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20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/>
  </bookViews>
  <sheets>
    <sheet name="Recap" sheetId="19" r:id="rId1"/>
    <sheet name="Masques" sheetId="26" r:id="rId2"/>
    <sheet name="Models" sheetId="6" r:id="rId3"/>
    <sheet name="Réglage perte" sheetId="7" r:id="rId4"/>
    <sheet name="2018" sheetId="1" r:id="rId5"/>
    <sheet name="2019" sheetId="15" r:id="rId6"/>
    <sheet name="2020" sheetId="16" r:id="rId7"/>
    <sheet name="2021" sheetId="17" r:id="rId8"/>
    <sheet name="2022" sheetId="18" r:id="rId9"/>
    <sheet name="2023" sheetId="20" r:id="rId10"/>
    <sheet name="2024" sheetId="22" r:id="rId11"/>
    <sheet name="2025" sheetId="23" r:id="rId12"/>
    <sheet name="2026" sheetId="24" r:id="rId13"/>
    <sheet name="2027" sheetId="25" r:id="rId14"/>
  </sheets>
  <externalReferences>
    <externalReference r:id="rId15"/>
    <externalReference r:id="rId16"/>
    <externalReference r:id="rId17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'2018'!$E$8</definedName>
    <definedName name="Acti_net" localSheetId="5">'2019'!$E$8</definedName>
    <definedName name="Acti_net" localSheetId="6">'2020'!$E$8</definedName>
    <definedName name="Acti_net" localSheetId="7">'2021'!$E$8</definedName>
    <definedName name="Acti_net" localSheetId="8">'2022'!$E$8</definedName>
    <definedName name="Acti_net" localSheetId="9">'2023'!$E$8</definedName>
    <definedName name="Acti_net" localSheetId="10">'2024'!$E$8</definedName>
    <definedName name="Acti_net" localSheetId="11">'2025'!$E$8</definedName>
    <definedName name="Acti_net" localSheetId="12">'2026'!$E$8</definedName>
    <definedName name="Acti_net" localSheetId="13">'2027'!$E$8</definedName>
    <definedName name="Acti_tai" localSheetId="4">'2018'!$F$8</definedName>
    <definedName name="Acti_tai" localSheetId="5">'2019'!$F$8</definedName>
    <definedName name="Acti_tai" localSheetId="6">'2020'!$F$8</definedName>
    <definedName name="Acti_tai" localSheetId="7">'2021'!$F$8</definedName>
    <definedName name="Acti_tai" localSheetId="8">'2022'!$F$8</definedName>
    <definedName name="Acti_tai" localSheetId="9">'2023'!$F$8</definedName>
    <definedName name="Acti_tai" localSheetId="10">'2024'!$F$8</definedName>
    <definedName name="Acti_tai" localSheetId="11">'2025'!$F$8</definedName>
    <definedName name="Acti_tai" localSheetId="12">'2026'!$F$8</definedName>
    <definedName name="Acti_tai" localSheetId="13">'2027'!$F$8</definedName>
    <definedName name="Ajust_M">Models!$Y$1</definedName>
    <definedName name="Amaj">'2018'!$G$3</definedName>
    <definedName name="An" localSheetId="4">'2018'!$J$1</definedName>
    <definedName name="An" localSheetId="5">'2019'!$J$1</definedName>
    <definedName name="An" localSheetId="6">'2020'!$J$1</definedName>
    <definedName name="An" localSheetId="7">'2021'!$J$1</definedName>
    <definedName name="An" localSheetId="8">'2022'!$J$1</definedName>
    <definedName name="An" localSheetId="9">'2023'!$J$1</definedName>
    <definedName name="An" localSheetId="10">'2024'!$J$1</definedName>
    <definedName name="An" localSheetId="11">'2025'!$J$1</definedName>
    <definedName name="An" localSheetId="12">'2026'!$J$1</definedName>
    <definedName name="An" localSheetId="13">'2027'!$J$1</definedName>
    <definedName name="An_max" localSheetId="4">'2018'!$J$15:$J$380</definedName>
    <definedName name="An_max" localSheetId="5">'2019'!$J$15:$J$380</definedName>
    <definedName name="An_max" localSheetId="6">'2020'!$J$15:$J$380</definedName>
    <definedName name="An_max" localSheetId="7">'2021'!$J$15:$J$380</definedName>
    <definedName name="An_max" localSheetId="8">'2022'!$J$15:$J$380</definedName>
    <definedName name="An_max" localSheetId="9">'2023'!$J$15:$J$380</definedName>
    <definedName name="An_max" localSheetId="10">'2024'!$J$15:$J$380</definedName>
    <definedName name="An_max" localSheetId="11">'2025'!$J$15:$J$380</definedName>
    <definedName name="An_max" localSheetId="12">'2026'!$J$15:$J$380</definedName>
    <definedName name="An_max" localSheetId="13">'2027'!$J$15:$J$380</definedName>
    <definedName name="An_Tnet" localSheetId="4">'2018'!$F$7</definedName>
    <definedName name="An_Tnet" localSheetId="5">'2019'!$F$7</definedName>
    <definedName name="An_Tnet" localSheetId="6">'2020'!$F$7</definedName>
    <definedName name="An_Tnet" localSheetId="7">'2021'!$F$7</definedName>
    <definedName name="An_Tnet" localSheetId="8">'2022'!$F$7</definedName>
    <definedName name="An_Tnet" localSheetId="9">'2023'!$F$7</definedName>
    <definedName name="An_Tnet" localSheetId="10">'2024'!$F$7</definedName>
    <definedName name="An_Tnet" localSheetId="11">'2025'!$F$7</definedName>
    <definedName name="An_Tnet" localSheetId="12">'2026'!$F$7</definedName>
    <definedName name="An_Tnet" localSheetId="13">'2027'!$F$7</definedName>
    <definedName name="Azi_pv_sel">Masques!$R$5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'2018'!$P$12</definedName>
    <definedName name="Croi_tai" localSheetId="5">'2019'!$P$12</definedName>
    <definedName name="Croi_tai" localSheetId="6">'2020'!$P$12</definedName>
    <definedName name="Croi_tai" localSheetId="7">'2021'!$P$12</definedName>
    <definedName name="Croi_tai" localSheetId="8">'2022'!$P$12</definedName>
    <definedName name="Croi_tai" localSheetId="9">'2023'!$P$12</definedName>
    <definedName name="Croi_tai" localSheetId="10">'2024'!$P$12</definedName>
    <definedName name="Croi_tai" localSheetId="11">'2025'!$P$12</definedName>
    <definedName name="Croi_tai" localSheetId="12">'2026'!$P$12</definedName>
    <definedName name="Croi_tai" localSheetId="13">'2027'!$P$12</definedName>
    <definedName name="Croivg">Models!$BE$15:$BE$380</definedName>
    <definedName name="Csdif">Models!$BQ$4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'2018'!$Q$12</definedName>
    <definedName name="Dd" localSheetId="5">'2019'!$Q$12</definedName>
    <definedName name="Dd" localSheetId="6">'2020'!$Q$12</definedName>
    <definedName name="Dd" localSheetId="7">'2021'!$Q$12</definedName>
    <definedName name="Dd" localSheetId="8">'2022'!$Q$12</definedName>
    <definedName name="Dd" localSheetId="9">'2023'!$Q$12</definedName>
    <definedName name="Dd" localSheetId="10">'2024'!$Q$12</definedName>
    <definedName name="Dd" localSheetId="11">'2025'!$Q$12</definedName>
    <definedName name="Dd" localSheetId="12">'2026'!$Q$12</definedName>
    <definedName name="Dd" localSheetId="13">'2027'!$Q$12</definedName>
    <definedName name="Dd_s" localSheetId="4">'2018'!$AE$12</definedName>
    <definedName name="Dd_s" localSheetId="5">'2019'!$AE$12</definedName>
    <definedName name="Dd_s" localSheetId="6">'2020'!$AE$12</definedName>
    <definedName name="Dd_s" localSheetId="7">'2021'!$AE$12</definedName>
    <definedName name="Dd_s" localSheetId="8">'2022'!$AE$12</definedName>
    <definedName name="Dd_s" localSheetId="9">'2023'!$AE$12</definedName>
    <definedName name="Dd_s" localSheetId="10">'2024'!$AE$12</definedName>
    <definedName name="Dd_s" localSheetId="11">'2025'!$AE$12</definedName>
    <definedName name="Dd_s" localSheetId="12">'2026'!$AE$12</definedName>
    <definedName name="Dd_s" localSheetId="13">'2027'!$AE$12</definedName>
    <definedName name="Dens" localSheetId="4">'2018'!$Q$11</definedName>
    <definedName name="Dens" localSheetId="5">'2019'!$Q$11</definedName>
    <definedName name="Dens" localSheetId="6">'2020'!$Q$11</definedName>
    <definedName name="Dens" localSheetId="7">'2021'!$Q$11</definedName>
    <definedName name="Dens" localSheetId="8">'2022'!$Q$11</definedName>
    <definedName name="Dens" localSheetId="9">'2023'!$Q$11</definedName>
    <definedName name="Dens" localSheetId="10">'2024'!$Q$11</definedName>
    <definedName name="Dens" localSheetId="11">'2025'!$Q$11</definedName>
    <definedName name="Dens" localSheetId="12">'2026'!$Q$11</definedName>
    <definedName name="Dens" localSheetId="13">'2027'!$Q$11</definedName>
    <definedName name="Dens_2018">'Réglage perte'!$C$11</definedName>
    <definedName name="Dens_2019">'Réglage perte'!$I$11</definedName>
    <definedName name="Dens_2020">'Réglage perte'!$O$11</definedName>
    <definedName name="Dens_2021">'Réglage perte'!$U$11</definedName>
    <definedName name="Dens_2022">'Réglage perte'!$AA$11</definedName>
    <definedName name="Dens_2023">'Réglage perte'!$AG$11</definedName>
    <definedName name="Dens_2024">'Réglage perte'!$AM$11</definedName>
    <definedName name="Dens_2025">'Réglage perte'!$AS$11</definedName>
    <definedName name="Dens_2026">'Réglage perte'!$AY$11</definedName>
    <definedName name="Dens_2027">'Réglage perte'!$BE$11</definedName>
    <definedName name="Dens_2028">'Réglage perte'!$BK$11</definedName>
    <definedName name="Dens_2029">'Réglage perte'!$BQ$11</definedName>
    <definedName name="Dens_2030">'Réglage perte'!$BW$11</definedName>
    <definedName name="Dens_s" localSheetId="5">'2019'!$AE$11</definedName>
    <definedName name="Dens_s" localSheetId="6">'2020'!$AE$11</definedName>
    <definedName name="Dens_s" localSheetId="7">'2021'!$AE$11</definedName>
    <definedName name="Dens_s" localSheetId="8">'2022'!$AE$11</definedName>
    <definedName name="Dens_s" localSheetId="9">'2023'!$AE$11</definedName>
    <definedName name="Dens_s" localSheetId="10">'2024'!$AE$11</definedName>
    <definedName name="Dens_s" localSheetId="11">'2025'!$AE$11</definedName>
    <definedName name="Dens_s" localSheetId="12">'2026'!$AE$11</definedName>
    <definedName name="Dens_s" localSheetId="13">'2027'!$AE$11</definedName>
    <definedName name="Dépas_env" localSheetId="4">'2018'!$G$12</definedName>
    <definedName name="Dépas_env" localSheetId="5">'2019'!$G$12</definedName>
    <definedName name="Dépas_env" localSheetId="6">'2020'!$G$12</definedName>
    <definedName name="Dépas_env" localSheetId="7">'2021'!$G$12</definedName>
    <definedName name="Dépas_env" localSheetId="8">'2022'!$G$12</definedName>
    <definedName name="Dépas_env" localSheetId="9">'2023'!$G$12</definedName>
    <definedName name="Dépas_env" localSheetId="10">'2024'!$G$12</definedName>
    <definedName name="Dépas_env" localSheetId="11">'2025'!$G$12</definedName>
    <definedName name="Dépas_env" localSheetId="12">'2026'!$G$12</definedName>
    <definedName name="Dépas_env" localSheetId="13">'2027'!$G$12</definedName>
    <definedName name="Df" localSheetId="4">'2018'!$Q$379</definedName>
    <definedName name="Df" localSheetId="5">'2019'!$Q$379</definedName>
    <definedName name="Df" localSheetId="6">'2020'!$Q$379</definedName>
    <definedName name="Df" localSheetId="7">'2021'!$Q$379</definedName>
    <definedName name="Df" localSheetId="8">'2022'!$Q$379</definedName>
    <definedName name="Df" localSheetId="9">'2023'!$Q$379</definedName>
    <definedName name="Df" localSheetId="10">'2024'!$Q$379</definedName>
    <definedName name="Df" localSheetId="11">'2025'!$Q$379</definedName>
    <definedName name="Df" localSheetId="12">'2026'!$Q$379</definedName>
    <definedName name="Df" localSheetId="13">'2027'!$Q$379</definedName>
    <definedName name="Df_s" localSheetId="4">'2018'!$AE$379</definedName>
    <definedName name="Df_s" localSheetId="5">'2019'!$AE$379</definedName>
    <definedName name="Df_s" localSheetId="6">'2020'!$AE$379</definedName>
    <definedName name="Df_s" localSheetId="7">'2021'!$AE$379</definedName>
    <definedName name="Df_s" localSheetId="8">'2022'!$AE$379</definedName>
    <definedName name="Df_s" localSheetId="9">'2023'!$AE$379</definedName>
    <definedName name="Df_s" localSheetId="10">'2024'!$AE$379</definedName>
    <definedName name="Df_s" localSheetId="11">'2025'!$AE$379</definedName>
    <definedName name="Df_s" localSheetId="12">'2026'!$AE$379</definedName>
    <definedName name="Df_s" localSheetId="13">'2027'!$AE$379</definedName>
    <definedName name="Echel_vg">Models!$BJ$14:$BT$14</definedName>
    <definedName name="Echelev_ch">Models!$BJ$14:$BT$14</definedName>
    <definedName name="Env_an" localSheetId="4">'2018'!$V$15:$V$380</definedName>
    <definedName name="Env_an" localSheetId="5">'2019'!$V$15:$V$380</definedName>
    <definedName name="Env_an" localSheetId="6">'2020'!$V$15:$V$380</definedName>
    <definedName name="Env_an" localSheetId="7">'2021'!$V$15:$V$380</definedName>
    <definedName name="Env_an" localSheetId="8">'2022'!$V$15:$V$380</definedName>
    <definedName name="Env_an" localSheetId="9">'2023'!$V$15:$V$380</definedName>
    <definedName name="Env_an" localSheetId="10">'2024'!$V$15:$V$380</definedName>
    <definedName name="Env_an" localSheetId="11">'2025'!$V$15:$V$380</definedName>
    <definedName name="Env_an" localSheetId="12">'2026'!$V$15:$V$380</definedName>
    <definedName name="Env_an" localSheetId="13">'2027'!$V$15:$V$380</definedName>
    <definedName name="ERP_i">Models!$BH$15:$BH$380</definedName>
    <definedName name="GainD">Recap!$M$7</definedName>
    <definedName name="H_i">Models!$BH$9</definedName>
    <definedName name="H_pv">Masques!$F$14</definedName>
    <definedName name="Hdd" localSheetId="4">'2018'!$U$12</definedName>
    <definedName name="Hdd" localSheetId="5">'2019'!$U$12</definedName>
    <definedName name="Hdd" localSheetId="6">'2020'!$U$12</definedName>
    <definedName name="Hdd" localSheetId="7">'2021'!$U$12</definedName>
    <definedName name="Hdd" localSheetId="8">'2022'!$U$12</definedName>
    <definedName name="Hdd" localSheetId="9">'2023'!$U$12</definedName>
    <definedName name="Hdd" localSheetId="10">'2024'!$U$12</definedName>
    <definedName name="Hdd" localSheetId="11">'2025'!$U$12</definedName>
    <definedName name="Hdd" localSheetId="12">'2026'!$U$12</definedName>
    <definedName name="Hdd" localSheetId="13">'2027'!$U$12</definedName>
    <definedName name="Hdd_s" localSheetId="4">'2018'!$AI$12</definedName>
    <definedName name="Hdd_s" localSheetId="5">'2019'!$AI$12</definedName>
    <definedName name="Hdd_s" localSheetId="6">'2020'!$AI$12</definedName>
    <definedName name="Hdd_s" localSheetId="7">'2021'!$AI$12</definedName>
    <definedName name="Hdd_s" localSheetId="8">'2022'!$AI$12</definedName>
    <definedName name="Hdd_s" localSheetId="9">'2023'!$AI$12</definedName>
    <definedName name="Hdd_s" localSheetId="10">'2024'!$AI$12</definedName>
    <definedName name="Hdd_s" localSheetId="11">'2025'!$AI$12</definedName>
    <definedName name="Hdd_s" localSheetId="12">'2026'!$AI$12</definedName>
    <definedName name="Hdd_s" localSheetId="13">'2027'!$AI$12</definedName>
    <definedName name="Hdf" localSheetId="4">'2018'!$U$379</definedName>
    <definedName name="Hdf" localSheetId="5">'2019'!$U$379</definedName>
    <definedName name="Hdf" localSheetId="6">'2020'!$U$379</definedName>
    <definedName name="Hdf" localSheetId="7">'2021'!$U$379</definedName>
    <definedName name="Hdf" localSheetId="8">'2022'!$U$379</definedName>
    <definedName name="Hdf" localSheetId="9">'2023'!$U$379</definedName>
    <definedName name="Hdf" localSheetId="10">'2024'!$U$379</definedName>
    <definedName name="Hdf" localSheetId="11">'2025'!$U$379</definedName>
    <definedName name="Hdf" localSheetId="12">'2026'!$U$379</definedName>
    <definedName name="Hdf" localSheetId="13">'2027'!$U$379</definedName>
    <definedName name="Hdf_s" localSheetId="4">'2018'!$AI$379</definedName>
    <definedName name="Hdf_s" localSheetId="5">'2019'!$AI$379</definedName>
    <definedName name="Hdf_s" localSheetId="6">'2020'!$AI$379</definedName>
    <definedName name="Hdf_s" localSheetId="7">'2021'!$AI$379</definedName>
    <definedName name="Hdf_s" localSheetId="8">'2022'!$AI$379</definedName>
    <definedName name="Hdf_s" localSheetId="9">'2023'!$AI$379</definedName>
    <definedName name="Hdf_s" localSheetId="10">'2024'!$AI$379</definedName>
    <definedName name="Hdf_s" localSheetId="11">'2025'!$AI$379</definedName>
    <definedName name="Hdf_s" localSheetId="12">'2026'!$AI$379</definedName>
    <definedName name="Hdf_s" localSheetId="13">'2027'!$AI$379</definedName>
    <definedName name="Hdtai_s" localSheetId="4">'2018'!$AI$11</definedName>
    <definedName name="Hdtai_s" localSheetId="5">'2019'!$AI$11</definedName>
    <definedName name="Hdtai_s" localSheetId="6">'2020'!$AI$11</definedName>
    <definedName name="Hdtai_s" localSheetId="7">'2021'!$AI$11</definedName>
    <definedName name="Hdtai_s" localSheetId="8">'2022'!$AI$11</definedName>
    <definedName name="Hdtai_s" localSheetId="9">'2023'!$AI$11</definedName>
    <definedName name="Hdtai_s" localSheetId="10">'2024'!$AI$11</definedName>
    <definedName name="Hdtai_s" localSheetId="11">'2025'!$AI$11</definedName>
    <definedName name="Hdtai_s" localSheetId="12">'2026'!$AI$11</definedName>
    <definedName name="Hdtai_s" localSheetId="13">'2027'!$AI$11</definedName>
    <definedName name="Hdtf" localSheetId="4">'2018'!$U$11</definedName>
    <definedName name="Hdtf" localSheetId="5">'2019'!$U$11</definedName>
    <definedName name="Hdtf" localSheetId="6">'2020'!$U$11</definedName>
    <definedName name="Hdtf" localSheetId="7">'2021'!$U$11</definedName>
    <definedName name="Hdtf" localSheetId="8">'2022'!$U$11</definedName>
    <definedName name="Hdtf" localSheetId="9">'2023'!$U$11</definedName>
    <definedName name="Hdtf" localSheetId="10">'2024'!$U$11</definedName>
    <definedName name="Hdtf" localSheetId="11">'2025'!$U$11</definedName>
    <definedName name="Hdtf" localSheetId="12">'2026'!$U$11</definedName>
    <definedName name="Hdtf" localSheetId="13">'2027'!$U$11</definedName>
    <definedName name="Hobs1">Masques!$W$10</definedName>
    <definedName name="Hobs2">Masques!$W$11</definedName>
    <definedName name="Hobs3">Masques!$W$12</definedName>
    <definedName name="Hp_vg" localSheetId="4">'2018'!$U$15:$U$380</definedName>
    <definedName name="Hp_vg" localSheetId="5">'2019'!$U$15:$U$380</definedName>
    <definedName name="Hp_vg" localSheetId="6">'2020'!$U$15:$U$380</definedName>
    <definedName name="Hp_vg" localSheetId="7">'2021'!$U$15:$U$380</definedName>
    <definedName name="Hp_vg" localSheetId="8">'2022'!$U$15:$U$380</definedName>
    <definedName name="Hp_vg" localSheetId="9">'2023'!$U$15:$U$380</definedName>
    <definedName name="Hp_vg" localSheetId="10">'2024'!$U$15:$U$380</definedName>
    <definedName name="Hp_vg" localSheetId="11">'2025'!$U$15:$U$380</definedName>
    <definedName name="Hp_vg" localSheetId="12">'2026'!$U$15:$U$380</definedName>
    <definedName name="Hp_vg" localSheetId="13">'2027'!$U$15:$U$380</definedName>
    <definedName name="Hp_vg_s" comment="Hauteur  pousse _végétation (°) sans action de taille" localSheetId="4">'2018'!$AI$15:$AI$380</definedName>
    <definedName name="Hp_vg_s" localSheetId="5">'2019'!$AI$15:$AI$380</definedName>
    <definedName name="Hp_vg_s" localSheetId="6">'2020'!$AI$15:$AI$380</definedName>
    <definedName name="Hp_vg_s" localSheetId="7">'2021'!$AI$15:$AI$380</definedName>
    <definedName name="Hp_vg_s" localSheetId="8">'2022'!$AI$15:$AI$380</definedName>
    <definedName name="Hp_vg_s" localSheetId="9">'2023'!$AI$15:$AI$380</definedName>
    <definedName name="Hp_vg_s" localSheetId="10">'2024'!$AI$15:$AI$380</definedName>
    <definedName name="Hp_vg_s" localSheetId="11">'2025'!$AI$15:$AI$380</definedName>
    <definedName name="Hp_vg_s" localSheetId="12">'2026'!$AI$15:$AI$380</definedName>
    <definedName name="Hp_vg_s" localSheetId="13">'2027'!$AI$15:$AI$380</definedName>
    <definedName name="Hrm">Masques!$G$8</definedName>
    <definedName name="Htf_2018">'Réglage perte'!$D$11</definedName>
    <definedName name="Htf_2019">'Réglage perte'!$J$11</definedName>
    <definedName name="Htf_2020">'Réglage perte'!$P$11</definedName>
    <definedName name="Htf_2021">'Réglage perte'!$V$11</definedName>
    <definedName name="Htf_2022">'Réglage perte'!$AB$11</definedName>
    <definedName name="Htf_2023">'Réglage perte'!$AH$11</definedName>
    <definedName name="Htf_2024">'Réglage perte'!$AN$11</definedName>
    <definedName name="Htf_2025">'Réglage perte'!$AT$11</definedName>
    <definedName name="Htf_2026">'Réglage perte'!$AZ$11</definedName>
    <definedName name="Htf_2027">'Réglage perte'!$BF$11</definedName>
    <definedName name="Htf_2028">'Réglage perte'!$BL$11</definedName>
    <definedName name="Htf_2029">'Réglage perte'!$BR$11</definedName>
    <definedName name="Htf_2030">'Réglage perte'!$BX$11</definedName>
    <definedName name="Inflex" localSheetId="4">'2018'!$E$7</definedName>
    <definedName name="Inflex" localSheetId="5">'2019'!$E$7</definedName>
    <definedName name="Inflex" localSheetId="6">'2020'!$E$7</definedName>
    <definedName name="Inflex" localSheetId="7">'2021'!$E$7</definedName>
    <definedName name="Inflex" localSheetId="8">'2022'!$E$7</definedName>
    <definedName name="Inflex" localSheetId="9">'2023'!$E$7</definedName>
    <definedName name="Inflex" localSheetId="10">'2024'!$E$7</definedName>
    <definedName name="Inflex" localSheetId="11">'2025'!$E$7</definedName>
    <definedName name="Inflex" localSheetId="12">'2026'!$E$7</definedName>
    <definedName name="Inflex" localSheetId="13">'2027'!$E$7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'2018'!$I$15:$I$380</definedName>
    <definedName name="Maxi_hp" localSheetId="5">'2019'!$I$15:$I$380</definedName>
    <definedName name="Maxi_hp" localSheetId="6">'2020'!$I$15:$I$380</definedName>
    <definedName name="Maxi_hp" localSheetId="7">'2021'!$I$15:$I$380</definedName>
    <definedName name="Maxi_hp" localSheetId="8">'2022'!$I$15:$I$380</definedName>
    <definedName name="Maxi_hp" localSheetId="9">'2023'!$I$15:$I$380</definedName>
    <definedName name="Maxi_hp" localSheetId="10">'2024'!$I$15:$I$380</definedName>
    <definedName name="Maxi_hp" localSheetId="11">'2025'!$I$15:$I$380</definedName>
    <definedName name="Maxi_hp" localSheetId="12">'2026'!$I$15:$I$380</definedName>
    <definedName name="Maxi_hp" localSheetId="13">'2027'!$I$15:$I$380</definedName>
    <definedName name="MaxiM">Models!$J$15:$J$380</definedName>
    <definedName name="Notai" localSheetId="4">'2018'!$P$10</definedName>
    <definedName name="Notai" localSheetId="5">'2019'!$P$10</definedName>
    <definedName name="Notai" localSheetId="6">'2020'!$P$10</definedName>
    <definedName name="Notai" localSheetId="7">'2021'!$P$10</definedName>
    <definedName name="Notai" localSheetId="8">'2022'!$P$10</definedName>
    <definedName name="Notai" localSheetId="9">'2023'!$P$10</definedName>
    <definedName name="Notai" localSheetId="10">'2024'!$P$10</definedName>
    <definedName name="Notai" localSheetId="11">'2025'!$P$10</definedName>
    <definedName name="Notai" localSheetId="12">'2026'!$P$10</definedName>
    <definedName name="Notai" localSheetId="13">'2027'!$P$10</definedName>
    <definedName name="NoTnet" localSheetId="4">'2018'!$AC$12</definedName>
    <definedName name="NoTnet" localSheetId="5">'2019'!$AC$12</definedName>
    <definedName name="NoTnet" localSheetId="6">'2020'!$AC$12</definedName>
    <definedName name="NoTnet" localSheetId="7">'2021'!$AC$12</definedName>
    <definedName name="NoTnet" localSheetId="8">'2022'!$AC$12</definedName>
    <definedName name="NoTnet" localSheetId="9">'2023'!$AC$12</definedName>
    <definedName name="NoTnet" localSheetId="10">'2024'!$AC$12</definedName>
    <definedName name="NoTnet" localSheetId="11">'2025'!$AC$12</definedName>
    <definedName name="NoTnet" localSheetId="12">'2026'!$AC$12</definedName>
    <definedName name="NoTnet" localSheetId="13">'2027'!$AC$12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'2018'!$Q$10</definedName>
    <definedName name="PousD" localSheetId="5">'2019'!$Q$10</definedName>
    <definedName name="PousD" localSheetId="6">'2020'!$Q$10</definedName>
    <definedName name="PousD" localSheetId="7">'2021'!$Q$10</definedName>
    <definedName name="PousD" localSheetId="8">'2022'!$Q$10</definedName>
    <definedName name="PousD" localSheetId="9">'2023'!$Q$10</definedName>
    <definedName name="PousD" localSheetId="10">'2024'!$Q$10</definedName>
    <definedName name="PousD" localSheetId="11">'2025'!$Q$10</definedName>
    <definedName name="PousD" localSheetId="12">'2026'!$Q$10</definedName>
    <definedName name="PousD" localSheetId="13">'2027'!$Q$10</definedName>
    <definedName name="PousH" localSheetId="4">'2018'!$U$10</definedName>
    <definedName name="PousH" localSheetId="5">'2019'!$U$10</definedName>
    <definedName name="PousH" localSheetId="6">'2020'!$U$10</definedName>
    <definedName name="PousH" localSheetId="7">'2021'!$U$10</definedName>
    <definedName name="PousH" localSheetId="8">'2022'!$U$10</definedName>
    <definedName name="PousH" localSheetId="9">'2023'!$U$10</definedName>
    <definedName name="PousH" localSheetId="10">'2024'!$U$10</definedName>
    <definedName name="PousH" localSheetId="11">'2025'!$U$10</definedName>
    <definedName name="PousH" localSheetId="12">'2026'!$U$10</definedName>
    <definedName name="PousH" localSheetId="13">'2027'!$U$10</definedName>
    <definedName name="PousHi">'Réglage perte'!$AM$2</definedName>
    <definedName name="Ppv" localSheetId="4">'2018'!$L$15:$L$380</definedName>
    <definedName name="Ppv" localSheetId="5">'2019'!$L$15:$L$380</definedName>
    <definedName name="Ppv" localSheetId="6">'2020'!$L$15:$L$380</definedName>
    <definedName name="Ppv" localSheetId="7">'2021'!$L$15:$L$380</definedName>
    <definedName name="Ppv" localSheetId="8">'2022'!$L$15:$L$380</definedName>
    <definedName name="Ppv" localSheetId="9">'2023'!$L$15:$L$380</definedName>
    <definedName name="Ppv" localSheetId="10">'2024'!$L$15:$L$380</definedName>
    <definedName name="Ppv" localSheetId="11">'2025'!$L$15:$L$380</definedName>
    <definedName name="Ppv" localSheetId="12">'2026'!$L$15:$L$380</definedName>
    <definedName name="Ppv" localSheetId="13">'2027'!$L$15:$L$380</definedName>
    <definedName name="Prod_an" localSheetId="4">'2018'!$H$9</definedName>
    <definedName name="Prod_an" localSheetId="5">'2019'!$H$9</definedName>
    <definedName name="Prod_an" localSheetId="6">'2020'!$H$9</definedName>
    <definedName name="Prod_an" localSheetId="7">'2021'!$H$9</definedName>
    <definedName name="Prod_an" localSheetId="8">'2022'!$H$9</definedName>
    <definedName name="Prod_an" localSheetId="9">'2023'!$H$9</definedName>
    <definedName name="Prod_an" localSheetId="10">'2024'!$H$9</definedName>
    <definedName name="Prod_an" localSheetId="11">'2025'!$H$9</definedName>
    <definedName name="Prod_an" localSheetId="12">'2026'!$H$9</definedName>
    <definedName name="Prod_an" localSheetId="13">'2027'!$H$9</definedName>
    <definedName name="Prod_an_s" localSheetId="4">'2018'!$X$9</definedName>
    <definedName name="Prod_an_s" localSheetId="5">'2019'!$X$9</definedName>
    <definedName name="Prod_an_s" localSheetId="6">'2020'!$X$9</definedName>
    <definedName name="Prod_an_s" localSheetId="7">'2021'!$X$9</definedName>
    <definedName name="Prod_an_s" localSheetId="8">'2022'!$X$9</definedName>
    <definedName name="Prod_an_s" localSheetId="9">'2023'!$X$9</definedName>
    <definedName name="Prod_an_s" localSheetId="10">'2024'!$X$9</definedName>
    <definedName name="Prod_an_s" localSheetId="11">'2025'!$X$9</definedName>
    <definedName name="Prod_an_s" localSheetId="12">'2026'!$X$9</definedName>
    <definedName name="Prod_an_s" localSheetId="13">'2027'!$X$9</definedName>
    <definedName name="Psa" localSheetId="4">'2018'!$O$15:$O$380</definedName>
    <definedName name="Psa" localSheetId="5">'2019'!$O$15:$O$380</definedName>
    <definedName name="Psa" localSheetId="6">'2020'!$O$15:$O$380</definedName>
    <definedName name="Psa" localSheetId="7">'2021'!$O$15:$O$380</definedName>
    <definedName name="Psa" localSheetId="8">'2022'!$O$15:$O$380</definedName>
    <definedName name="Psa" localSheetId="9">'2023'!$O$15:$O$380</definedName>
    <definedName name="Psa" localSheetId="10">'2024'!$O$15:$O$380</definedName>
    <definedName name="Psa" localSheetId="11">'2025'!$O$15:$O$380</definedName>
    <definedName name="Psa" localSheetId="12">'2026'!$O$15:$O$380</definedName>
    <definedName name="Psa" localSheetId="13">'2027'!$O$15:$O$380</definedName>
    <definedName name="Psa_s" localSheetId="4">'2018'!$AC$15:$AC$380</definedName>
    <definedName name="Psa_s" localSheetId="5">'2019'!$AC$15:$AC$380</definedName>
    <definedName name="Psa_s" localSheetId="6">'2020'!$AC$15:$AC$380</definedName>
    <definedName name="Psa_s" localSheetId="7">'2021'!$AC$15:$AC$380</definedName>
    <definedName name="Psa_s" localSheetId="8">'2022'!$AC$15:$AC$380</definedName>
    <definedName name="Psa_s" localSheetId="9">'2023'!$AC$15:$AC$380</definedName>
    <definedName name="Psa_s" localSheetId="10">'2024'!$AC$15:$AC$380</definedName>
    <definedName name="Psa_s" localSheetId="11">'2025'!$AC$15:$AC$380</definedName>
    <definedName name="Psa_s" localSheetId="12">'2026'!$AC$15:$AC$380</definedName>
    <definedName name="Psa_s" localSheetId="13">'2027'!$AC$15:$AC$380</definedName>
    <definedName name="Pspv" localSheetId="4">'2018'!$L$12</definedName>
    <definedName name="Pspv" localSheetId="5">'2019'!$L$12</definedName>
    <definedName name="Pspv" localSheetId="6">'2020'!$L$12</definedName>
    <definedName name="Pspv" localSheetId="7">'2021'!$L$12</definedName>
    <definedName name="Pspv" localSheetId="8">'2022'!$L$12</definedName>
    <definedName name="Pspv" localSheetId="9">'2023'!$L$12</definedName>
    <definedName name="Pspv" localSheetId="10">'2024'!$L$12</definedName>
    <definedName name="Pspv" localSheetId="11">'2025'!$L$12</definedName>
    <definedName name="Pspv" localSheetId="12">'2026'!$L$12</definedName>
    <definedName name="Pspv" localSheetId="13">'2027'!$L$12</definedName>
    <definedName name="Pspv_2018">'Réglage perte'!$C$9</definedName>
    <definedName name="Pspv_2019">'Réglage perte'!$I$9</definedName>
    <definedName name="Pspv_2020">'Réglage perte'!$O$9</definedName>
    <definedName name="Pspv_2021">'Réglage perte'!$U$9</definedName>
    <definedName name="Pspv_2022">'Réglage perte'!$AA$9</definedName>
    <definedName name="Pspv_2023">'Réglage perte'!$AG$9</definedName>
    <definedName name="Pspv_2024">'Réglage perte'!$AM$9</definedName>
    <definedName name="Pspv_2025">'Réglage perte'!$AS$9</definedName>
    <definedName name="Pspv_2026">'Réglage perte'!$AY$9</definedName>
    <definedName name="Pspv_2027">'Réglage perte'!$BE$9</definedName>
    <definedName name="Pspv_2028">'Réglage perte'!$BK$9</definedName>
    <definedName name="Pspv_2029">'Réglage perte'!$BQ$9</definedName>
    <definedName name="Pspv_2030">'Réglage perte'!$BW$9</definedName>
    <definedName name="Pvg" localSheetId="4">'2018'!$P$15:$P$380</definedName>
    <definedName name="Pvg" localSheetId="5">'2019'!$P$15:$P$380</definedName>
    <definedName name="Pvg" localSheetId="6">'2020'!$P$15:$P$380</definedName>
    <definedName name="Pvg" localSheetId="7">'2021'!$P$15:$P$380</definedName>
    <definedName name="Pvg" localSheetId="8">'2022'!$P$15:$P$380</definedName>
    <definedName name="Pvg" localSheetId="9">'2023'!$P$15:$P$380</definedName>
    <definedName name="Pvg" localSheetId="10">'2024'!$P$15:$P$380</definedName>
    <definedName name="Pvg" localSheetId="11">'2025'!$P$15:$P$380</definedName>
    <definedName name="Pvg" localSheetId="12">'2026'!$P$15:$P$380</definedName>
    <definedName name="Pvg" localSheetId="13">'2027'!$P$15:$P$380</definedName>
    <definedName name="Pvg_s" localSheetId="4">'2018'!$AD$15:$AD$380</definedName>
    <definedName name="Pvg_s" localSheetId="5">'2019'!$AD$15:$AD$380</definedName>
    <definedName name="Pvg_s" localSheetId="6">'2020'!$AD$15:$AD$380</definedName>
    <definedName name="Pvg_s" localSheetId="7">'2021'!$AD$15:$AD$380</definedName>
    <definedName name="Pvg_s" localSheetId="8">'2022'!$AD$15:$AD$380</definedName>
    <definedName name="Pvg_s" localSheetId="9">'2023'!$AD$15:$AD$380</definedName>
    <definedName name="Pvg_s" localSheetId="10">'2024'!$AD$15:$AD$380</definedName>
    <definedName name="Pvg_s" localSheetId="11">'2025'!$AD$15:$AD$380</definedName>
    <definedName name="Pvg_s" localSheetId="12">'2026'!$AD$15:$AD$380</definedName>
    <definedName name="Pvg_s" localSheetId="13">'2027'!$AD$15:$AD$380</definedName>
    <definedName name="R\Max" localSheetId="4">'2018'!$G$15:$G$380</definedName>
    <definedName name="R\Max" localSheetId="5">'2019'!$G$15:$G$380</definedName>
    <definedName name="R\Max" localSheetId="6">'2020'!$G$15:$G$380</definedName>
    <definedName name="R\Max" localSheetId="7">'2021'!$G$15:$G$380</definedName>
    <definedName name="R\Max" localSheetId="8">'2022'!$G$15:$G$380</definedName>
    <definedName name="R\Max" localSheetId="9">'2023'!$G$15:$G$380</definedName>
    <definedName name="R\Max" localSheetId="10">'2024'!$G$15:$G$380</definedName>
    <definedName name="R\Max" localSheetId="11">'2025'!$G$15:$G$380</definedName>
    <definedName name="R\Max" localSheetId="12">'2026'!$G$15:$G$380</definedName>
    <definedName name="R\Max" localSheetId="13">'2027'!$G$15:$G$380</definedName>
    <definedName name="Ram_pv">Masques!$I$3</definedName>
    <definedName name="Ramure">Models!$BD$15:$BD$380</definedName>
    <definedName name="Rata1">Masques!$I$10</definedName>
    <definedName name="Rata2">Masques!$I$11</definedName>
    <definedName name="Rata3">Masques!$I$12</definedName>
    <definedName name="Ratini" localSheetId="2">Models!$BH$12</definedName>
    <definedName name="Resal" localSheetId="4">'2018'!$O$10</definedName>
    <definedName name="Resal" localSheetId="5">'2019'!$O$10</definedName>
    <definedName name="Resal" localSheetId="6">'2020'!$O$10</definedName>
    <definedName name="Resal" localSheetId="7">'2021'!$O$10</definedName>
    <definedName name="Resal" localSheetId="8">'2022'!$O$10</definedName>
    <definedName name="Resal" localSheetId="9">'2023'!$O$10</definedName>
    <definedName name="Resal" localSheetId="10">'2024'!$O$10</definedName>
    <definedName name="Resal" localSheetId="11">'2025'!$O$10</definedName>
    <definedName name="Resal" localSheetId="12">'2026'!$O$10</definedName>
    <definedName name="Resal" localSheetId="13">'2027'!$O$10</definedName>
    <definedName name="Resal_2018">'Réglage perte'!$C$10</definedName>
    <definedName name="Resal_2019">'Réglage perte'!$I$10</definedName>
    <definedName name="Resal_2020">'Réglage perte'!$O$10</definedName>
    <definedName name="Resal_2021">'Réglage perte'!$U$10</definedName>
    <definedName name="Resal_2022">'Réglage perte'!$AA$10</definedName>
    <definedName name="Resal_2023">'Réglage perte'!$AG$10</definedName>
    <definedName name="Resal_2024">'Réglage perte'!$AM$10</definedName>
    <definedName name="Resal_2025">'Réglage perte'!$AS$10</definedName>
    <definedName name="Resal_2026">'Réglage perte'!$AY$10</definedName>
    <definedName name="Resal_2027">'Réglage perte'!$BE$10</definedName>
    <definedName name="Resal_2028">'Réglage perte'!$BK$10</definedName>
    <definedName name="Resal_2029">'Réglage perte'!$BQ$10</definedName>
    <definedName name="Resal_2030">'Réglage perte'!$BW$10</definedName>
    <definedName name="Resal_s" localSheetId="4">'2018'!$AC$10</definedName>
    <definedName name="Resal_s" localSheetId="5">'2019'!$AC$10</definedName>
    <definedName name="Resal_s" localSheetId="6">'2020'!$AC$10</definedName>
    <definedName name="Resal_s" localSheetId="7">'2021'!$AC$10</definedName>
    <definedName name="Resal_s" localSheetId="8">'2022'!$AC$10</definedName>
    <definedName name="Resal_s" localSheetId="9">'2023'!$AC$10</definedName>
    <definedName name="Resal_s" localSheetId="10">'2024'!$AC$10</definedName>
    <definedName name="Resal_s" localSheetId="11">'2025'!$AC$10</definedName>
    <definedName name="Resal_s" localSheetId="12">'2026'!$AC$10</definedName>
    <definedName name="Resal_s" localSheetId="13">'2027'!$AC$10</definedName>
    <definedName name="Salcycl">Models!$BF$15:$BF$380</definedName>
    <definedName name="Salim" localSheetId="4">'2018'!$O$11</definedName>
    <definedName name="Salim" localSheetId="5">'2019'!$O$11</definedName>
    <definedName name="Salim" localSheetId="6">'2020'!$O$11</definedName>
    <definedName name="Salim" localSheetId="7">'2021'!$O$11</definedName>
    <definedName name="Salim" localSheetId="8">'2022'!$O$11</definedName>
    <definedName name="Salim" localSheetId="9">'2023'!$O$11</definedName>
    <definedName name="Salim" localSheetId="10">'2024'!$O$11</definedName>
    <definedName name="Salim" localSheetId="11">'2025'!$O$11</definedName>
    <definedName name="Salim" localSheetId="12">'2026'!$O$11</definedName>
    <definedName name="Salim" localSheetId="13">'2027'!$O$11</definedName>
    <definedName name="Salim_2018">'Réglage perte'!$D$10</definedName>
    <definedName name="Salim_2019">'Réglage perte'!$J$10</definedName>
    <definedName name="Salim_2020">'Réglage perte'!$P$10</definedName>
    <definedName name="Salim_2021">'Réglage perte'!$V$10</definedName>
    <definedName name="Salim_2022">'Réglage perte'!$AB$10</definedName>
    <definedName name="Salim_2023">'Réglage perte'!$AH$10</definedName>
    <definedName name="Salim_2024">'Réglage perte'!$AN$10</definedName>
    <definedName name="Salim_2025">'Réglage perte'!$AT$10</definedName>
    <definedName name="Salim_2026">'Réglage perte'!$AZ$10</definedName>
    <definedName name="Salim_2027">'Réglage perte'!$BF$10</definedName>
    <definedName name="Salim_2028">'Réglage perte'!$BL$10</definedName>
    <definedName name="Salim_2029">'Réglage perte'!$BR$10</definedName>
    <definedName name="Salim_2030">'Réglage perte'!$BX$10</definedName>
    <definedName name="Salim_i">'Réglage perte'!$Z$1</definedName>
    <definedName name="Sdif">Models!$BQ$3</definedName>
    <definedName name="Station">'2018'!$E$4</definedName>
    <definedName name="t" localSheetId="4">'2018'!$A$15:$A$380</definedName>
    <definedName name="t" localSheetId="5">'2019'!$A$15:$A$380</definedName>
    <definedName name="t" localSheetId="6">'2020'!$A$15:$A$380</definedName>
    <definedName name="t" localSheetId="7">'2021'!$A$15:$A$380</definedName>
    <definedName name="t" localSheetId="8">'2022'!$A$15:$A$380</definedName>
    <definedName name="t" localSheetId="9">'2023'!$A$15:$A$380</definedName>
    <definedName name="t" localSheetId="10">'2024'!$A$15:$A$380</definedName>
    <definedName name="t" localSheetId="11">'2025'!$A$15:$A$380</definedName>
    <definedName name="t" localSheetId="12">'2026'!$A$15:$A$380</definedName>
    <definedName name="t" localSheetId="13">'2027'!$A$15:$A$380</definedName>
    <definedName name="T0">'2018'!$E$5</definedName>
    <definedName name="Tau_2018">'Réglage perte'!$E$10</definedName>
    <definedName name="Tau_2019">'Réglage perte'!$K$10</definedName>
    <definedName name="Tau_2020">'Réglage perte'!$Q$10</definedName>
    <definedName name="Tau_2021">'Réglage perte'!$W$10</definedName>
    <definedName name="Tau_2022">'Réglage perte'!$AC$10</definedName>
    <definedName name="Tau_2023">'Réglage perte'!$AI$10</definedName>
    <definedName name="Tau_2024">'Réglage perte'!$AO$10</definedName>
    <definedName name="Tau_2025">'Réglage perte'!$AU$10</definedName>
    <definedName name="Tau_2026">'Réglage perte'!$BA$10</definedName>
    <definedName name="Tau_2027">'Réglage perte'!$BG$10</definedName>
    <definedName name="Tau_2028">'Réglage perte'!$BM$10</definedName>
    <definedName name="Tau_2029">'Réglage perte'!$BS$10</definedName>
    <definedName name="Tau_2030">'Réglage perte'!$BY$10</definedName>
    <definedName name="Tau_i">'Réglage perte'!$AF$2</definedName>
    <definedName name="Tau_ij">'Réglage perte'!$AG$2</definedName>
    <definedName name="Tau_j" localSheetId="4">'2018'!$O$12</definedName>
    <definedName name="Tau_j" localSheetId="5">'2019'!$O$12</definedName>
    <definedName name="Tau_j" localSheetId="6">'2020'!$O$12</definedName>
    <definedName name="Tau_j" localSheetId="7">'2021'!$O$12</definedName>
    <definedName name="Tau_j" localSheetId="8">'2022'!$O$12</definedName>
    <definedName name="Tau_j" localSheetId="9">'2023'!$O$12</definedName>
    <definedName name="Tau_j" localSheetId="10">'2024'!$O$12</definedName>
    <definedName name="Tau_j" localSheetId="11">'2025'!$O$12</definedName>
    <definedName name="Tau_j" localSheetId="12">'2026'!$O$12</definedName>
    <definedName name="Tau_j" localSheetId="13">'2027'!$O$12</definedName>
    <definedName name="Tmaj">'2018'!$E$3</definedName>
    <definedName name="Tnet" localSheetId="4">'2018'!$O$9</definedName>
    <definedName name="Tnet" localSheetId="5">'2019'!$O$9</definedName>
    <definedName name="Tnet" localSheetId="6">'2020'!$O$9</definedName>
    <definedName name="Tnet" localSheetId="7">'2021'!$O$9</definedName>
    <definedName name="Tnet" localSheetId="8">'2022'!$O$9</definedName>
    <definedName name="Tnet" localSheetId="9">'2023'!$O$9</definedName>
    <definedName name="Tnet" localSheetId="10">'2024'!$O$9</definedName>
    <definedName name="Tnet" localSheetId="11">'2025'!$O$9</definedName>
    <definedName name="Tnet" localSheetId="12">'2026'!$O$9</definedName>
    <definedName name="Tnet" localSheetId="13">'2027'!$O$9</definedName>
    <definedName name="Tnet_2018">'Réglage perte'!$B$10</definedName>
    <definedName name="Tnet_2019">'Réglage perte'!$H$10</definedName>
    <definedName name="Tnet_2020">'Réglage perte'!$N$10</definedName>
    <definedName name="Tnet_2021">'Réglage perte'!$T$10</definedName>
    <definedName name="Tnet_2022">'Réglage perte'!$Z$10</definedName>
    <definedName name="Tnet_2023">'Réglage perte'!$AF$10</definedName>
    <definedName name="Tnet_2024">'Réglage perte'!$AL$10</definedName>
    <definedName name="Tnet_2025">'Réglage perte'!$AR$10</definedName>
    <definedName name="Tnet_2026">'Réglage perte'!$AX$10</definedName>
    <definedName name="Tnet_2027">'Réglage perte'!$BD$10</definedName>
    <definedName name="Tnet_2028">'Réglage perte'!$BJ$10</definedName>
    <definedName name="Tnet_2029">'Réglage perte'!$BP$10</definedName>
    <definedName name="Tnet_2030">'Réglage perte'!$BV$10</definedName>
    <definedName name="Tnet_s" localSheetId="4">'2018'!$AC$9</definedName>
    <definedName name="Tnet_s" localSheetId="5">'2019'!$AC$9</definedName>
    <definedName name="Tnet_s" localSheetId="6">'2020'!$AC$9</definedName>
    <definedName name="Tnet_s" localSheetId="7">'2021'!$AC$9</definedName>
    <definedName name="Tnet_s" localSheetId="8">'2022'!$AC$9</definedName>
    <definedName name="Tnet_s" localSheetId="9">'2023'!$AC$9</definedName>
    <definedName name="Tnet_s" localSheetId="10">'2024'!$AC$9</definedName>
    <definedName name="Tnet_s" localSheetId="11">'2025'!$AC$9</definedName>
    <definedName name="Tnet_s" localSheetId="12">'2026'!$AC$9</definedName>
    <definedName name="Tnet_s" localSheetId="13">'2027'!$AC$9</definedName>
    <definedName name="Tservice">'2018'!$E$6</definedName>
    <definedName name="Ttai" localSheetId="4">'2018'!$P$11</definedName>
    <definedName name="Ttai" localSheetId="5">'2019'!$P$11</definedName>
    <definedName name="Ttai" localSheetId="6">'2020'!$P$11</definedName>
    <definedName name="Ttai" localSheetId="7">'2021'!$P$11</definedName>
    <definedName name="Ttai" localSheetId="8">'2022'!$P$11</definedName>
    <definedName name="Ttai" localSheetId="9">'2023'!$P$11</definedName>
    <definedName name="Ttai" localSheetId="10">'2024'!$P$11</definedName>
    <definedName name="Ttai" localSheetId="11">'2025'!$P$11</definedName>
    <definedName name="Ttai" localSheetId="12">'2026'!$P$11</definedName>
    <definedName name="Ttai" localSheetId="13">'2027'!$P$11</definedName>
    <definedName name="Ttai_2018">'Réglage perte'!$B$11</definedName>
    <definedName name="Ttai_2019">'Réglage perte'!$H$11</definedName>
    <definedName name="Ttai_2020">'Réglage perte'!$N$11</definedName>
    <definedName name="Ttai_2021">'Réglage perte'!$T$11</definedName>
    <definedName name="Ttai_2022">'Réglage perte'!$Z$11</definedName>
    <definedName name="Ttai_2023">'Réglage perte'!$AF$11</definedName>
    <definedName name="Ttai_2024">'Réglage perte'!$AL$11</definedName>
    <definedName name="Ttai_2025">'Réglage perte'!$AR$11</definedName>
    <definedName name="Ttai_2026">'Réglage perte'!$AX$11</definedName>
    <definedName name="Ttai_2027">'Réglage perte'!$BD$11</definedName>
    <definedName name="Ttai_2028">'Réglage perte'!$BJ$11</definedName>
    <definedName name="Ttai_2029">'Réglage perte'!$BP$11</definedName>
    <definedName name="Ttai_2030">'Réglage perte'!$BV$11</definedName>
    <definedName name="Tvie" localSheetId="4">'2018'!$L$11</definedName>
    <definedName name="Tvie" localSheetId="5">'2019'!$L$11</definedName>
    <definedName name="Tvie" localSheetId="6">'2020'!$L$11</definedName>
    <definedName name="Tvie" localSheetId="7">'2021'!$L$11</definedName>
    <definedName name="Tvie" localSheetId="8">'2022'!$L$11</definedName>
    <definedName name="Tvie" localSheetId="9">'2023'!$L$11</definedName>
    <definedName name="Tvie" localSheetId="10">'2024'!$L$11</definedName>
    <definedName name="Tvie" localSheetId="11">'2025'!$L$11</definedName>
    <definedName name="Tvie" localSheetId="12">'2026'!$L$11</definedName>
    <definedName name="Tvie" localSheetId="13">'2027'!$L$11</definedName>
    <definedName name="Tvie_2018">'Réglage perte'!$B$9</definedName>
    <definedName name="Tvie_2019">'Réglage perte'!$H$9</definedName>
    <definedName name="Tvie_2020">'Réglage perte'!$N$9</definedName>
    <definedName name="Tvie_2021">'Réglage perte'!$T$9</definedName>
    <definedName name="Tvie_2022">'Réglage perte'!$Z$9</definedName>
    <definedName name="Tvie_2023">'Réglage perte'!$AF$9</definedName>
    <definedName name="Tvie_2024">'Réglage perte'!$AL$9</definedName>
    <definedName name="Tvie_2025">'Réglage perte'!$AR$9</definedName>
    <definedName name="Tvie_2026">'Réglage perte'!$AX$9</definedName>
    <definedName name="Tvie_2027">'Réglage perte'!$BD$9</definedName>
    <definedName name="Tvie_2028">'Réglage perte'!$BJ$9</definedName>
    <definedName name="Tvie_2029">'Réglage perte'!$BP$9</definedName>
    <definedName name="Tvie_2030">'Réglage perte'!$BV$9</definedName>
    <definedName name="Wh" localSheetId="4">'2018'!$B$15:$B$380</definedName>
    <definedName name="Wh" localSheetId="5">'2019'!$B$15:$B$380</definedName>
    <definedName name="Wh" localSheetId="6">'2020'!$B$15:$B$380</definedName>
    <definedName name="Wh" localSheetId="7">'2021'!$B$15:$B$380</definedName>
    <definedName name="Wh" localSheetId="8">'2022'!$B$15:$B$380</definedName>
    <definedName name="Wh" localSheetId="9">'2023'!$B$15:$B$380</definedName>
    <definedName name="Wh" localSheetId="10">'2024'!$B$15:$B$380</definedName>
    <definedName name="Wh" localSheetId="11">'2025'!$B$15:$B$380</definedName>
    <definedName name="Wh" localSheetId="12">'2026'!$B$15:$B$380</definedName>
    <definedName name="Wh" localSheetId="13">'2027'!$B$15:$B$380</definedName>
    <definedName name="Wh_gain_sa" localSheetId="4">'2018'!$Z$5</definedName>
    <definedName name="Wh_gain_sa" localSheetId="5">'2019'!$Z$5</definedName>
    <definedName name="Wh_gain_sa" localSheetId="6">'2020'!$Z$5</definedName>
    <definedName name="Wh_gain_sa" localSheetId="7">'2021'!$Z$5</definedName>
    <definedName name="Wh_gain_sa" localSheetId="8">'2022'!$Z$5</definedName>
    <definedName name="Wh_gain_sa" localSheetId="9">'2023'!$Z$5</definedName>
    <definedName name="Wh_gain_sa" localSheetId="10">'2024'!$Z$5</definedName>
    <definedName name="Wh_gain_sa" localSheetId="11">'2025'!$Z$5</definedName>
    <definedName name="Wh_gain_sa" localSheetId="12">'2026'!$Z$5</definedName>
    <definedName name="Wh_gain_sa" localSheetId="13">'2027'!$Z$5</definedName>
    <definedName name="Wh_gain_vg" localSheetId="4">'2018'!$AA$5</definedName>
    <definedName name="Wh_gain_vg" localSheetId="5">'2019'!$AA$5</definedName>
    <definedName name="Wh_gain_vg" localSheetId="6">'2020'!$AA$5</definedName>
    <definedName name="Wh_gain_vg" localSheetId="7">'2021'!$AA$5</definedName>
    <definedName name="Wh_gain_vg" localSheetId="8">'2022'!$AA$5</definedName>
    <definedName name="Wh_gain_vg" localSheetId="9">'2023'!$AA$5</definedName>
    <definedName name="Wh_gain_vg" localSheetId="10">'2024'!$AA$5</definedName>
    <definedName name="Wh_gain_vg" localSheetId="11">'2025'!$AA$5</definedName>
    <definedName name="Wh_gain_vg" localSheetId="12">'2026'!$AA$5</definedName>
    <definedName name="Wh_gain_vg" localSheetId="13">'2027'!$AA$5</definedName>
    <definedName name="Wh_hp" localSheetId="4">'2018'!$F$15:$F$380</definedName>
    <definedName name="Wh_hp" localSheetId="5">'2019'!$F$15:$F$380</definedName>
    <definedName name="Wh_hp" localSheetId="6">'2020'!$F$15:$F$380</definedName>
    <definedName name="Wh_hp" localSheetId="7">'2021'!$F$15:$F$380</definedName>
    <definedName name="Wh_hp" localSheetId="8">'2022'!$F$15:$F$380</definedName>
    <definedName name="Wh_hp" localSheetId="9">'2023'!$F$15:$F$380</definedName>
    <definedName name="Wh_hp" localSheetId="10">'2024'!$F$15:$F$380</definedName>
    <definedName name="Wh_hp" localSheetId="11">'2025'!$F$15:$F$380</definedName>
    <definedName name="Wh_hp" localSheetId="12">'2026'!$F$15:$F$380</definedName>
    <definedName name="Wh_hp" localSheetId="13">'2027'!$F$15:$F$380</definedName>
    <definedName name="Wh_Ppv" localSheetId="4">'2018'!$D$11</definedName>
    <definedName name="Wh_Ppv" localSheetId="5">'2019'!$D$11</definedName>
    <definedName name="Wh_Ppv" localSheetId="6">'2020'!$D$11</definedName>
    <definedName name="Wh_Ppv" localSheetId="7">'2021'!$D$11</definedName>
    <definedName name="Wh_Ppv" localSheetId="8">'2022'!$D$11</definedName>
    <definedName name="Wh_Ppv" localSheetId="9">'2023'!$D$11</definedName>
    <definedName name="Wh_Ppv" localSheetId="10">'2024'!$D$11</definedName>
    <definedName name="Wh_Ppv" localSheetId="11">'2025'!$D$11</definedName>
    <definedName name="Wh_Ppv" localSheetId="12">'2026'!$D$11</definedName>
    <definedName name="Wh_Ppv" localSheetId="13">'2027'!$D$11</definedName>
    <definedName name="Wh_Psa" localSheetId="4">'2018'!$E$11</definedName>
    <definedName name="Wh_Psa" localSheetId="5">'2019'!$E$11</definedName>
    <definedName name="Wh_Psa" localSheetId="6">'2020'!$E$11</definedName>
    <definedName name="Wh_Psa" localSheetId="7">'2021'!$E$11</definedName>
    <definedName name="Wh_Psa" localSheetId="8">'2022'!$E$11</definedName>
    <definedName name="Wh_Psa" localSheetId="9">'2023'!$E$11</definedName>
    <definedName name="Wh_Psa" localSheetId="10">'2024'!$E$11</definedName>
    <definedName name="Wh_Psa" localSheetId="11">'2025'!$E$11</definedName>
    <definedName name="Wh_Psa" localSheetId="12">'2026'!$E$11</definedName>
    <definedName name="Wh_Psa" localSheetId="13">'2027'!$E$11</definedName>
    <definedName name="Wh_Psa_s" localSheetId="4">'2018'!$Z$11</definedName>
    <definedName name="Wh_Psa_s" localSheetId="5">'2019'!$Z$11</definedName>
    <definedName name="Wh_Psa_s" localSheetId="6">'2020'!$Z$11</definedName>
    <definedName name="Wh_Psa_s" localSheetId="7">'2021'!$Z$11</definedName>
    <definedName name="Wh_Psa_s" localSheetId="8">'2022'!$Z$11</definedName>
    <definedName name="Wh_Psa_s" localSheetId="9">'2023'!$Z$11</definedName>
    <definedName name="Wh_Psa_s" localSheetId="10">'2024'!$Z$11</definedName>
    <definedName name="Wh_Psa_s" localSheetId="11">'2025'!$Z$11</definedName>
    <definedName name="Wh_Psa_s" localSheetId="12">'2026'!$Z$11</definedName>
    <definedName name="Wh_Psa_s" localSheetId="13">'2027'!$Z$11</definedName>
    <definedName name="Wh_Pvg" localSheetId="4">'2018'!$F$11</definedName>
    <definedName name="Wh_Pvg" localSheetId="5">'2019'!$F$11</definedName>
    <definedName name="Wh_Pvg" localSheetId="6">'2020'!$F$11</definedName>
    <definedName name="Wh_Pvg" localSheetId="7">'2021'!$F$11</definedName>
    <definedName name="Wh_Pvg" localSheetId="8">'2022'!$F$11</definedName>
    <definedName name="Wh_Pvg" localSheetId="9">'2023'!$F$11</definedName>
    <definedName name="Wh_Pvg" localSheetId="10">'2024'!$F$11</definedName>
    <definedName name="Wh_Pvg" localSheetId="11">'2025'!$F$11</definedName>
    <definedName name="Wh_Pvg" localSheetId="12">'2026'!$F$11</definedName>
    <definedName name="Wh_Pvg" localSheetId="13">'2027'!$F$11</definedName>
    <definedName name="Wh_Pvg_s" localSheetId="4">'2018'!$AA$11</definedName>
    <definedName name="Wh_Pvg_s" localSheetId="5">'2019'!$AA$11</definedName>
    <definedName name="Wh_Pvg_s" localSheetId="6">'2020'!$AA$11</definedName>
    <definedName name="Wh_Pvg_s" localSheetId="7">'2021'!$AA$11</definedName>
    <definedName name="Wh_Pvg_s" localSheetId="8">'2022'!$AA$11</definedName>
    <definedName name="Wh_Pvg_s" localSheetId="9">'2023'!$AA$11</definedName>
    <definedName name="Wh_Pvg_s" localSheetId="10">'2024'!$AA$11</definedName>
    <definedName name="Wh_Pvg_s" localSheetId="11">'2025'!$AA$11</definedName>
    <definedName name="Wh_Pvg_s" localSheetId="12">'2026'!$AA$11</definedName>
    <definedName name="Wh_Pvg_s" localSheetId="13">'2027'!$AA$11</definedName>
    <definedName name="Wh_pvt" localSheetId="4">'2018'!$D$15:$D$380</definedName>
    <definedName name="Wh_pvt" localSheetId="5">'2019'!$D$15:$D$380</definedName>
    <definedName name="Wh_pvt" localSheetId="6">'2020'!$D$15:$D$380</definedName>
    <definedName name="Wh_pvt" localSheetId="7">'2021'!$D$15:$D$380</definedName>
    <definedName name="Wh_pvt" localSheetId="8">'2022'!$D$15:$D$380</definedName>
    <definedName name="Wh_pvt" localSheetId="9">'2023'!$D$15:$D$380</definedName>
    <definedName name="Wh_pvt" localSheetId="10">'2024'!$D$15:$D$380</definedName>
    <definedName name="Wh_pvt" localSheetId="11">'2025'!$D$15:$D$380</definedName>
    <definedName name="Wh_pvt" localSheetId="12">'2026'!$D$15:$D$380</definedName>
    <definedName name="Wh_pvt" localSheetId="13">'2027'!$D$15:$D$380</definedName>
    <definedName name="Wh_pvt_s" localSheetId="4">'2018'!$Z$15:$Z$380</definedName>
    <definedName name="Wh_pvt_s" localSheetId="5">'2019'!$Z$15:$Z$380</definedName>
    <definedName name="Wh_pvt_s" localSheetId="6">'2020'!$Z$15:$Z$380</definedName>
    <definedName name="Wh_pvt_s" localSheetId="7">'2021'!$Z$15:$Z$380</definedName>
    <definedName name="Wh_pvt_s" localSheetId="8">'2022'!$Z$15:$Z$380</definedName>
    <definedName name="Wh_pvt_s" localSheetId="9">'2023'!$Z$15:$Z$380</definedName>
    <definedName name="Wh_pvt_s" localSheetId="10">'2024'!$Z$15:$Z$380</definedName>
    <definedName name="Wh_pvt_s" localSheetId="11">'2025'!$Z$15:$Z$380</definedName>
    <definedName name="Wh_pvt_s" localSheetId="12">'2026'!$Z$15:$Z$380</definedName>
    <definedName name="Wh_pvt_s" localSheetId="13">'2027'!$Z$15:$Z$380</definedName>
    <definedName name="Wh_s" localSheetId="4">'2018'!$Y$15:$Y$380</definedName>
    <definedName name="Wh_s" localSheetId="5">'2019'!$Y$15:$Y$380</definedName>
    <definedName name="Wh_s" localSheetId="6">'2020'!$Y$15:$Y$380</definedName>
    <definedName name="Wh_s" localSheetId="7">'2021'!$Y$15:$Y$380</definedName>
    <definedName name="Wh_s" localSheetId="8">'2022'!$Y$15:$Y$380</definedName>
    <definedName name="Wh_s" localSheetId="9">'2023'!$Y$15:$Y$380</definedName>
    <definedName name="Wh_s" localSheetId="10">'2024'!$Y$15:$Y$380</definedName>
    <definedName name="Wh_s" localSheetId="11">'2025'!$Y$15:$Y$380</definedName>
    <definedName name="Wh_s" localSheetId="12">'2026'!$Y$15:$Y$380</definedName>
    <definedName name="Wh_s" localSheetId="13">'2027'!$Y$15:$Y$380</definedName>
    <definedName name="Wh_sa" localSheetId="4">'2018'!$E$15:$E$380</definedName>
    <definedName name="Wh_sa" localSheetId="5">'2019'!$E$15:$E$380</definedName>
    <definedName name="Wh_sa" localSheetId="6">'2020'!$E$15:$E$380</definedName>
    <definedName name="Wh_sa" localSheetId="7">'2021'!$E$15:$E$380</definedName>
    <definedName name="Wh_sa" localSheetId="8">'2022'!$E$15:$E$380</definedName>
    <definedName name="Wh_sa" localSheetId="9">'2023'!$E$15:$E$380</definedName>
    <definedName name="Wh_sa" localSheetId="10">'2024'!$E$15:$E$380</definedName>
    <definedName name="Wh_sa" localSheetId="11">'2025'!$E$15:$E$380</definedName>
    <definedName name="Wh_sa" localSheetId="12">'2026'!$E$15:$E$380</definedName>
    <definedName name="Wh_sa" localSheetId="13">'2027'!$E$15:$E$380</definedName>
    <definedName name="Wh_sa_s" localSheetId="4">'2018'!$AA$15:$AA$380</definedName>
    <definedName name="Wh_sa_s" localSheetId="5">'2019'!$AA$15:$AA$380</definedName>
    <definedName name="Wh_sa_s" localSheetId="6">'2020'!$AA$15:$AA$380</definedName>
    <definedName name="Wh_sa_s" localSheetId="7">'2021'!$AA$15:$AA$380</definedName>
    <definedName name="Wh_sa_s" localSheetId="8">'2022'!$AA$15:$AA$380</definedName>
    <definedName name="Wh_sa_s" localSheetId="9">'2023'!$AA$15:$AA$380</definedName>
    <definedName name="Wh_sa_s" localSheetId="10">'2024'!$AA$15:$AA$380</definedName>
    <definedName name="Wh_sa_s" localSheetId="11">'2025'!$AA$15:$AA$380</definedName>
    <definedName name="Wh_sa_s" localSheetId="12">'2026'!$AA$15:$AA$380</definedName>
    <definedName name="Wh_sa_s" localSheetId="13">'2027'!$AA$15:$AA$380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Masques!$E$14</definedName>
  </definedNames>
  <calcPr calcId="152511"/>
</workbook>
</file>

<file path=xl/calcChain.xml><?xml version="1.0" encoding="utf-8"?>
<calcChain xmlns="http://schemas.openxmlformats.org/spreadsheetml/2006/main">
  <c r="L8" i="19" l="1"/>
  <c r="K8" i="19"/>
  <c r="M7" i="19" l="1"/>
  <c r="F10" i="7" l="1"/>
  <c r="M32" i="19" l="1"/>
  <c r="B31" i="19"/>
  <c r="AJ10" i="7"/>
  <c r="AP10" i="7" s="1"/>
  <c r="AV10" i="7" s="1"/>
  <c r="BB10" i="7" s="1"/>
  <c r="BH10" i="7" s="1"/>
  <c r="BN10" i="7" s="1"/>
  <c r="BT10" i="7" s="1"/>
  <c r="BZ10" i="7" s="1"/>
  <c r="AD10" i="7"/>
  <c r="Z10" i="7"/>
  <c r="AA10" i="7" s="1"/>
  <c r="X10" i="7"/>
  <c r="T10" i="7"/>
  <c r="N10" i="7"/>
  <c r="P10" i="7" s="1"/>
  <c r="E10" i="7"/>
  <c r="C10" i="7"/>
  <c r="L10" i="7" s="1"/>
  <c r="R10" i="7" s="1"/>
  <c r="B10" i="7"/>
  <c r="D10" i="7" s="1"/>
  <c r="F9" i="7"/>
  <c r="B9" i="7"/>
  <c r="H10" i="7" l="1"/>
  <c r="L9" i="7" s="1"/>
  <c r="R9" i="7" s="1"/>
  <c r="AD9" i="7"/>
  <c r="AF10" i="7" s="1"/>
  <c r="AJ9" i="7" s="1"/>
  <c r="AL10" i="7" s="1"/>
  <c r="O10" i="7"/>
  <c r="H9" i="7"/>
  <c r="C9" i="7"/>
  <c r="V10" i="7"/>
  <c r="AB10" i="7" s="1"/>
  <c r="X9" i="7"/>
  <c r="U10" i="7"/>
  <c r="AH10" i="7" l="1"/>
  <c r="AN10" i="7" s="1"/>
  <c r="AT10" i="7" s="1"/>
  <c r="AZ10" i="7" s="1"/>
  <c r="BF10" i="7" s="1"/>
  <c r="BL10" i="7" s="1"/>
  <c r="BR10" i="7" s="1"/>
  <c r="BX10" i="7" s="1"/>
  <c r="K10" i="7"/>
  <c r="Q10" i="7" s="1"/>
  <c r="W10" i="7" s="1"/>
  <c r="AC10" i="7" s="1"/>
  <c r="AI10" i="7" s="1"/>
  <c r="AO10" i="7" s="1"/>
  <c r="AU10" i="7" s="1"/>
  <c r="BA10" i="7" s="1"/>
  <c r="BG10" i="7" s="1"/>
  <c r="BM10" i="7" s="1"/>
  <c r="BS10" i="7" s="1"/>
  <c r="BY10" i="7" s="1"/>
  <c r="J10" i="7"/>
  <c r="I9" i="7"/>
  <c r="N9" i="7"/>
  <c r="AP9" i="7"/>
  <c r="AR10" i="7" s="1"/>
  <c r="AV9" i="7" l="1"/>
  <c r="AX10" i="7" s="1"/>
  <c r="T9" i="7"/>
  <c r="O9" i="7"/>
  <c r="BB9" i="7" l="1"/>
  <c r="BD10" i="7" s="1"/>
  <c r="Z9" i="7"/>
  <c r="U9" i="7"/>
  <c r="BH9" i="7" l="1"/>
  <c r="BJ10" i="7" s="1"/>
  <c r="AF9" i="7"/>
  <c r="AA9" i="7"/>
  <c r="AL9" i="7" l="1"/>
  <c r="AR9" i="7" s="1"/>
  <c r="AX9" i="7" s="1"/>
  <c r="BD9" i="7" s="1"/>
  <c r="BJ9" i="7" s="1"/>
  <c r="BP9" i="7" s="1"/>
  <c r="BV9" i="7" s="1"/>
  <c r="AG9" i="7"/>
  <c r="AM9" i="7" s="1"/>
  <c r="AS9" i="7" s="1"/>
  <c r="AY9" i="7" s="1"/>
  <c r="BE9" i="7" s="1"/>
  <c r="BK9" i="7" s="1"/>
  <c r="BQ9" i="7" s="1"/>
  <c r="BW9" i="7" s="1"/>
  <c r="BK10" i="7"/>
  <c r="BN9" i="7"/>
  <c r="BP10" i="7" s="1"/>
  <c r="BQ10" i="7" l="1"/>
  <c r="BT9" i="7"/>
  <c r="BV10" i="7" s="1"/>
  <c r="BW10" i="7" l="1"/>
  <c r="BZ9" i="7"/>
  <c r="CF380" i="6" l="1"/>
  <c r="CE380" i="6"/>
  <c r="CD380" i="6"/>
  <c r="CB380" i="6"/>
  <c r="CA380" i="6"/>
  <c r="BZ380" i="6"/>
  <c r="BX380" i="6"/>
  <c r="BW380" i="6"/>
  <c r="BW287" i="6"/>
  <c r="BW286" i="6"/>
  <c r="BW285" i="6"/>
  <c r="BW284" i="6"/>
  <c r="BW283" i="6"/>
  <c r="BW282" i="6"/>
  <c r="BW281" i="6"/>
  <c r="BW280" i="6"/>
  <c r="BW279" i="6"/>
  <c r="BW278" i="6"/>
  <c r="BW277" i="6"/>
  <c r="BW276" i="6"/>
  <c r="BW275" i="6"/>
  <c r="BW274" i="6"/>
  <c r="BW273" i="6"/>
  <c r="BW272" i="6"/>
  <c r="BW271" i="6"/>
  <c r="BW270" i="6"/>
  <c r="BW269" i="6"/>
  <c r="BW268" i="6"/>
  <c r="BW267" i="6"/>
  <c r="BW266" i="6"/>
  <c r="BW265" i="6"/>
  <c r="BW264" i="6"/>
  <c r="BW263" i="6"/>
  <c r="BW262" i="6"/>
  <c r="BW261" i="6"/>
  <c r="BW260" i="6"/>
  <c r="BW259" i="6"/>
  <c r="BW258" i="6"/>
  <c r="BW257" i="6"/>
  <c r="BW256" i="6"/>
  <c r="BW255" i="6"/>
  <c r="BW254" i="6"/>
  <c r="BW253" i="6"/>
  <c r="BW252" i="6"/>
  <c r="BW251" i="6"/>
  <c r="BW250" i="6"/>
  <c r="BW249" i="6"/>
  <c r="BW248" i="6"/>
  <c r="BW247" i="6"/>
  <c r="BW246" i="6"/>
  <c r="BW245" i="6"/>
  <c r="BW244" i="6"/>
  <c r="BW243" i="6"/>
  <c r="BW242" i="6"/>
  <c r="BW241" i="6"/>
  <c r="BW240" i="6"/>
  <c r="BW239" i="6"/>
  <c r="BW238" i="6"/>
  <c r="BW237" i="6"/>
  <c r="BW236" i="6"/>
  <c r="BW235" i="6"/>
  <c r="BW234" i="6"/>
  <c r="BW233" i="6"/>
  <c r="BW232" i="6"/>
  <c r="BW231" i="6"/>
  <c r="BW230" i="6"/>
  <c r="BW229" i="6"/>
  <c r="BW228" i="6"/>
  <c r="BW227" i="6"/>
  <c r="BW226" i="6"/>
  <c r="BW225" i="6"/>
  <c r="BW224" i="6"/>
  <c r="BW223" i="6"/>
  <c r="BW222" i="6"/>
  <c r="BW221" i="6"/>
  <c r="BW220" i="6"/>
  <c r="BW219" i="6"/>
  <c r="BW218" i="6"/>
  <c r="BW217" i="6"/>
  <c r="BW216" i="6"/>
  <c r="BW215" i="6"/>
  <c r="BW214" i="6"/>
  <c r="BW213" i="6"/>
  <c r="BW212" i="6"/>
  <c r="BW211" i="6"/>
  <c r="BW210" i="6"/>
  <c r="BW209" i="6"/>
  <c r="BW208" i="6"/>
  <c r="BW207" i="6"/>
  <c r="BW206" i="6"/>
  <c r="BW205" i="6"/>
  <c r="BW204" i="6"/>
  <c r="BW203" i="6"/>
  <c r="BW202" i="6"/>
  <c r="BW201" i="6"/>
  <c r="BW200" i="6"/>
  <c r="BW199" i="6"/>
  <c r="BW198" i="6"/>
  <c r="BW197" i="6"/>
  <c r="BW196" i="6"/>
  <c r="BW195" i="6"/>
  <c r="BW194" i="6"/>
  <c r="BW193" i="6"/>
  <c r="BW192" i="6"/>
  <c r="BW191" i="6"/>
  <c r="BW190" i="6"/>
  <c r="BW189" i="6"/>
  <c r="BW188" i="6"/>
  <c r="BW187" i="6"/>
  <c r="BW186" i="6"/>
  <c r="BW185" i="6"/>
  <c r="BW184" i="6"/>
  <c r="BW183" i="6"/>
  <c r="BW182" i="6"/>
  <c r="BW181" i="6"/>
  <c r="BW180" i="6"/>
  <c r="BW179" i="6"/>
  <c r="BW178" i="6"/>
  <c r="BW177" i="6"/>
  <c r="BW176" i="6"/>
  <c r="BW175" i="6"/>
  <c r="BW174" i="6"/>
  <c r="BW173" i="6"/>
  <c r="BW172" i="6"/>
  <c r="BW171" i="6"/>
  <c r="BW170" i="6"/>
  <c r="BW169" i="6"/>
  <c r="BW168" i="6"/>
  <c r="BW167" i="6"/>
  <c r="BW166" i="6"/>
  <c r="BW165" i="6"/>
  <c r="BW164" i="6"/>
  <c r="BW163" i="6"/>
  <c r="BW162" i="6"/>
  <c r="BW161" i="6"/>
  <c r="BW160" i="6"/>
  <c r="BW159" i="6"/>
  <c r="BW158" i="6"/>
  <c r="BW157" i="6"/>
  <c r="BW156" i="6"/>
  <c r="BW155" i="6"/>
  <c r="BW154" i="6"/>
  <c r="BW153" i="6"/>
  <c r="BW152" i="6"/>
  <c r="BW151" i="6"/>
  <c r="BW150" i="6"/>
  <c r="BW149" i="6"/>
  <c r="BW148" i="6"/>
  <c r="BW147" i="6"/>
  <c r="BW146" i="6"/>
  <c r="BW145" i="6"/>
  <c r="BW144" i="6"/>
  <c r="BW143" i="6"/>
  <c r="BW142" i="6"/>
  <c r="BW141" i="6"/>
  <c r="BW140" i="6"/>
  <c r="BW139" i="6"/>
  <c r="BW138" i="6"/>
  <c r="BW137" i="6"/>
  <c r="BW136" i="6"/>
  <c r="BW135" i="6"/>
  <c r="BW134" i="6"/>
  <c r="BW133" i="6"/>
  <c r="BW132" i="6"/>
  <c r="BW131" i="6"/>
  <c r="BW130" i="6"/>
  <c r="BW129" i="6"/>
  <c r="BW128" i="6"/>
  <c r="BW127" i="6"/>
  <c r="BW126" i="6"/>
  <c r="BW125" i="6"/>
  <c r="BW124" i="6"/>
  <c r="BW123" i="6"/>
  <c r="BW122" i="6"/>
  <c r="BW121" i="6"/>
  <c r="BW120" i="6"/>
  <c r="BW119" i="6"/>
  <c r="BW118" i="6"/>
  <c r="BW117" i="6"/>
  <c r="BW116" i="6"/>
  <c r="BW115" i="6"/>
  <c r="BW114" i="6"/>
  <c r="BW113" i="6"/>
  <c r="BW112" i="6"/>
  <c r="BW111" i="6"/>
  <c r="BW110" i="6"/>
  <c r="BW109" i="6"/>
  <c r="BW108" i="6"/>
  <c r="BW107" i="6"/>
  <c r="BW106" i="6"/>
  <c r="BW105" i="6"/>
  <c r="BW104" i="6"/>
  <c r="BW103" i="6"/>
  <c r="BW102" i="6"/>
  <c r="BW101" i="6"/>
  <c r="BW100" i="6"/>
  <c r="BW99" i="6"/>
  <c r="BW98" i="6"/>
  <c r="BW97" i="6"/>
  <c r="BW96" i="6"/>
  <c r="BW95" i="6"/>
  <c r="BW94" i="6"/>
  <c r="BW93" i="6"/>
  <c r="BW92" i="6"/>
  <c r="BW91" i="6"/>
  <c r="BW90" i="6"/>
  <c r="BW89" i="6"/>
  <c r="BW88" i="6"/>
  <c r="BW87" i="6"/>
  <c r="BW86" i="6"/>
  <c r="BW85" i="6"/>
  <c r="BW84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B380" i="18"/>
  <c r="B274" i="18"/>
  <c r="B71" i="18" l="1"/>
  <c r="L32" i="19" l="1"/>
  <c r="K32" i="19"/>
  <c r="BP13" i="6"/>
  <c r="I5" i="19" l="1"/>
  <c r="I4" i="19"/>
  <c r="L38" i="26"/>
  <c r="N74" i="26"/>
  <c r="L37" i="26"/>
  <c r="N73" i="26"/>
  <c r="L36" i="26"/>
  <c r="N72" i="26"/>
  <c r="L35" i="26"/>
  <c r="N71" i="26"/>
  <c r="E35" i="26"/>
  <c r="L34" i="26"/>
  <c r="N70" i="26"/>
  <c r="E34" i="26"/>
  <c r="L33" i="26"/>
  <c r="E33" i="26"/>
  <c r="L32" i="26"/>
  <c r="N68" i="26"/>
  <c r="E32" i="26"/>
  <c r="L31" i="26"/>
  <c r="N67" i="26"/>
  <c r="E31" i="26"/>
  <c r="L30" i="26"/>
  <c r="N66" i="26"/>
  <c r="E30" i="26"/>
  <c r="L29" i="26"/>
  <c r="N65" i="26"/>
  <c r="E29" i="26"/>
  <c r="L28" i="26"/>
  <c r="N64" i="26"/>
  <c r="E28" i="26"/>
  <c r="L27" i="26"/>
  <c r="N63" i="26"/>
  <c r="E27" i="26"/>
  <c r="L26" i="26"/>
  <c r="N62" i="26"/>
  <c r="E26" i="26"/>
  <c r="L25" i="26"/>
  <c r="N61" i="26"/>
  <c r="E25" i="26"/>
  <c r="L39" i="26"/>
  <c r="N75" i="26"/>
  <c r="L48" i="26"/>
  <c r="L40" i="26"/>
  <c r="N76" i="26"/>
  <c r="L24" i="26"/>
  <c r="N60" i="26"/>
  <c r="E24" i="26"/>
  <c r="L23" i="26"/>
  <c r="N59" i="26"/>
  <c r="E23" i="26"/>
  <c r="L41" i="26"/>
  <c r="N77" i="26"/>
  <c r="L51" i="26"/>
  <c r="AC79" i="26"/>
  <c r="AC78" i="26"/>
  <c r="AC77" i="26"/>
  <c r="AC76" i="26"/>
  <c r="AC75" i="26"/>
  <c r="AC74" i="26"/>
  <c r="AC73" i="26"/>
  <c r="AC72" i="26"/>
  <c r="AC71" i="26"/>
  <c r="AC68" i="26"/>
  <c r="AC67" i="26"/>
  <c r="AC66" i="26"/>
  <c r="AC63" i="26"/>
  <c r="AC62" i="26"/>
  <c r="AC60" i="26"/>
  <c r="AC58" i="26"/>
  <c r="I22" i="26"/>
  <c r="O58" i="26"/>
  <c r="AC57" i="26"/>
  <c r="AC56" i="26"/>
  <c r="M79" i="26"/>
  <c r="Q79" i="26"/>
  <c r="M78" i="26"/>
  <c r="Z78" i="26"/>
  <c r="M76" i="26"/>
  <c r="Y76" i="26"/>
  <c r="E22" i="26"/>
  <c r="Z54" i="26"/>
  <c r="E14" i="26"/>
  <c r="G26" i="26"/>
  <c r="M62" i="26"/>
  <c r="M77" i="26"/>
  <c r="P77" i="26"/>
  <c r="BF16" i="6"/>
  <c r="B54" i="26"/>
  <c r="N54" i="26"/>
  <c r="A69" i="26"/>
  <c r="A68" i="26"/>
  <c r="A78" i="26"/>
  <c r="A77" i="26"/>
  <c r="A76" i="26"/>
  <c r="A75" i="26"/>
  <c r="A79" i="26"/>
  <c r="A74" i="26"/>
  <c r="A73" i="26"/>
  <c r="A72" i="26"/>
  <c r="A71" i="26"/>
  <c r="A70" i="26"/>
  <c r="L43" i="26"/>
  <c r="N79" i="26"/>
  <c r="L42" i="26"/>
  <c r="N78" i="26"/>
  <c r="L22" i="26"/>
  <c r="N58" i="26"/>
  <c r="L21" i="26"/>
  <c r="N57" i="26"/>
  <c r="L20" i="26"/>
  <c r="N56" i="26"/>
  <c r="L19" i="26"/>
  <c r="L18" i="26"/>
  <c r="L17" i="26"/>
  <c r="L16" i="26"/>
  <c r="M57" i="26"/>
  <c r="R5" i="26"/>
  <c r="I40" i="26"/>
  <c r="O76" i="26"/>
  <c r="M56" i="26"/>
  <c r="Y56" i="26"/>
  <c r="L45" i="26"/>
  <c r="L46" i="26"/>
  <c r="L47" i="26"/>
  <c r="L49" i="26"/>
  <c r="W10" i="26"/>
  <c r="B10" i="26"/>
  <c r="F11" i="26"/>
  <c r="F10" i="26"/>
  <c r="G12" i="26"/>
  <c r="F12" i="26"/>
  <c r="A67" i="26"/>
  <c r="A66" i="26"/>
  <c r="A65" i="26"/>
  <c r="A64" i="26"/>
  <c r="A63" i="26"/>
  <c r="A62" i="26"/>
  <c r="A61" i="26"/>
  <c r="A60" i="26"/>
  <c r="A59" i="26"/>
  <c r="A58" i="26"/>
  <c r="A57" i="26"/>
  <c r="A56" i="26"/>
  <c r="E16" i="26"/>
  <c r="L12" i="26"/>
  <c r="A15" i="1"/>
  <c r="A16" i="1"/>
  <c r="A17" i="1"/>
  <c r="L11" i="26"/>
  <c r="L10" i="26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O226" i="1" s="1"/>
  <c r="BF225" i="6"/>
  <c r="BF224" i="6"/>
  <c r="AC224" i="1" s="1"/>
  <c r="BF223" i="6"/>
  <c r="BF222" i="6"/>
  <c r="AC222" i="1" s="1"/>
  <c r="BF221" i="6"/>
  <c r="BF220" i="6"/>
  <c r="AC220" i="1" s="1"/>
  <c r="BF219" i="6"/>
  <c r="BF218" i="6"/>
  <c r="O218" i="1" s="1"/>
  <c r="BF217" i="6"/>
  <c r="BF216" i="6"/>
  <c r="AC216" i="1" s="1"/>
  <c r="BF215" i="6"/>
  <c r="BF214" i="6"/>
  <c r="AC214" i="1" s="1"/>
  <c r="BF213" i="6"/>
  <c r="BF212" i="6"/>
  <c r="O212" i="1" s="1"/>
  <c r="BF211" i="6"/>
  <c r="BF210" i="6"/>
  <c r="O210" i="1" s="1"/>
  <c r="C26" i="7" s="1"/>
  <c r="BF209" i="6"/>
  <c r="BF208" i="6"/>
  <c r="AC208" i="1" s="1"/>
  <c r="BF207" i="6"/>
  <c r="BF206" i="6"/>
  <c r="O206" i="1" s="1"/>
  <c r="BF205" i="6"/>
  <c r="BF204" i="6"/>
  <c r="O204" i="1" s="1"/>
  <c r="BF203" i="6"/>
  <c r="BF202" i="6"/>
  <c r="AC202" i="1" s="1"/>
  <c r="BF201" i="6"/>
  <c r="BF200" i="6"/>
  <c r="AC200" i="1" s="1"/>
  <c r="BF199" i="6"/>
  <c r="BF198" i="6"/>
  <c r="AC198" i="1" s="1"/>
  <c r="BF197" i="6"/>
  <c r="AC197" i="1" s="1"/>
  <c r="BF196" i="6"/>
  <c r="O196" i="1" s="1"/>
  <c r="BF195" i="6"/>
  <c r="AC195" i="1" s="1"/>
  <c r="BF194" i="6"/>
  <c r="AC194" i="1" s="1"/>
  <c r="BF193" i="6"/>
  <c r="BF192" i="6"/>
  <c r="O192" i="1" s="1"/>
  <c r="BF191" i="6"/>
  <c r="BF190" i="6"/>
  <c r="AC190" i="1" s="1"/>
  <c r="BF189" i="6"/>
  <c r="BF188" i="6"/>
  <c r="AC188" i="1" s="1"/>
  <c r="BF187" i="6"/>
  <c r="BF186" i="6"/>
  <c r="O186" i="1" s="1"/>
  <c r="BF185" i="6"/>
  <c r="BF184" i="6"/>
  <c r="O184" i="1" s="1"/>
  <c r="BF183" i="6"/>
  <c r="BF182" i="6"/>
  <c r="AC182" i="1" s="1"/>
  <c r="BF181" i="6"/>
  <c r="BF180" i="6"/>
  <c r="BF179" i="6"/>
  <c r="BF178" i="6"/>
  <c r="AC178" i="1" s="1"/>
  <c r="BF177" i="6"/>
  <c r="BF176" i="6"/>
  <c r="O176" i="1" s="1"/>
  <c r="BF175" i="6"/>
  <c r="BF174" i="6"/>
  <c r="BF173" i="6"/>
  <c r="BF172" i="6"/>
  <c r="AC172" i="1" s="1"/>
  <c r="BF171" i="6"/>
  <c r="BF170" i="6"/>
  <c r="O170" i="1" s="1"/>
  <c r="BF169" i="6"/>
  <c r="BF168" i="6"/>
  <c r="O168" i="1" s="1"/>
  <c r="BF167" i="6"/>
  <c r="BF166" i="6"/>
  <c r="AC166" i="1" s="1"/>
  <c r="BF165" i="6"/>
  <c r="BF164" i="6"/>
  <c r="O164" i="1" s="1"/>
  <c r="BF163" i="6"/>
  <c r="AC163" i="1" s="1"/>
  <c r="BF162" i="6"/>
  <c r="AC162" i="1" s="1"/>
  <c r="BF161" i="6"/>
  <c r="BF160" i="6"/>
  <c r="BF159" i="6"/>
  <c r="BF158" i="6"/>
  <c r="O158" i="1" s="1"/>
  <c r="BF157" i="6"/>
  <c r="BF156" i="6"/>
  <c r="O156" i="1" s="1"/>
  <c r="BF155" i="6"/>
  <c r="BF154" i="6"/>
  <c r="O154" i="1" s="1"/>
  <c r="BF153" i="6"/>
  <c r="BF152" i="6"/>
  <c r="O152" i="1" s="1"/>
  <c r="BF151" i="6"/>
  <c r="BF150" i="6"/>
  <c r="AC150" i="1" s="1"/>
  <c r="BF149" i="6"/>
  <c r="BF148" i="6"/>
  <c r="AC148" i="1" s="1"/>
  <c r="BF147" i="6"/>
  <c r="BF146" i="6"/>
  <c r="AC146" i="1" s="1"/>
  <c r="BF145" i="6"/>
  <c r="BF144" i="6"/>
  <c r="AC144" i="1" s="1"/>
  <c r="BF143" i="6"/>
  <c r="BF142" i="6"/>
  <c r="AC142" i="1" s="1"/>
  <c r="BF141" i="6"/>
  <c r="BF140" i="6"/>
  <c r="AC140" i="1" s="1"/>
  <c r="BF139" i="6"/>
  <c r="BF138" i="6"/>
  <c r="O138" i="1" s="1"/>
  <c r="BF137" i="6"/>
  <c r="BF136" i="6"/>
  <c r="O136" i="1" s="1"/>
  <c r="BF135" i="6"/>
  <c r="BF134" i="6"/>
  <c r="O134" i="1" s="1"/>
  <c r="BF133" i="6"/>
  <c r="BF132" i="6"/>
  <c r="BF131" i="6"/>
  <c r="BF130" i="6"/>
  <c r="O130" i="1" s="1"/>
  <c r="BF129" i="6"/>
  <c r="BF128" i="6"/>
  <c r="BF127" i="6"/>
  <c r="AC127" i="1" s="1"/>
  <c r="BF126" i="6"/>
  <c r="O126" i="1" s="1"/>
  <c r="BF125" i="6"/>
  <c r="AC125" i="1" s="1"/>
  <c r="BF124" i="6"/>
  <c r="BF123" i="6"/>
  <c r="BF122" i="6"/>
  <c r="AC122" i="1" s="1"/>
  <c r="BF121" i="6"/>
  <c r="BF120" i="6"/>
  <c r="AC120" i="1" s="1"/>
  <c r="BF119" i="6"/>
  <c r="BF118" i="6"/>
  <c r="O118" i="1" s="1"/>
  <c r="BF117" i="6"/>
  <c r="BF116" i="6"/>
  <c r="O116" i="1" s="1"/>
  <c r="BF115" i="6"/>
  <c r="BF114" i="6"/>
  <c r="O114" i="1" s="1"/>
  <c r="BF113" i="6"/>
  <c r="BF112" i="6"/>
  <c r="AC112" i="1" s="1"/>
  <c r="BF111" i="6"/>
  <c r="BF110" i="6"/>
  <c r="AC110" i="1" s="1"/>
  <c r="BF109" i="6"/>
  <c r="BF108" i="6"/>
  <c r="O108" i="1" s="1"/>
  <c r="BF107" i="6"/>
  <c r="BF106" i="6"/>
  <c r="BF105" i="6"/>
  <c r="BF104" i="6"/>
  <c r="AC104" i="1" s="1"/>
  <c r="BF103" i="6"/>
  <c r="BF102" i="6"/>
  <c r="BF101" i="6"/>
  <c r="BF100" i="6"/>
  <c r="AC100" i="1" s="1"/>
  <c r="BF99" i="6"/>
  <c r="BF98" i="6"/>
  <c r="AC98" i="1" s="1"/>
  <c r="BF97" i="6"/>
  <c r="BF96" i="6"/>
  <c r="AC96" i="1" s="1"/>
  <c r="BF95" i="6"/>
  <c r="BF94" i="6"/>
  <c r="BF93" i="6"/>
  <c r="BF92" i="6"/>
  <c r="BF91" i="6"/>
  <c r="BF90" i="6"/>
  <c r="BF89" i="6"/>
  <c r="BF88" i="6"/>
  <c r="O88" i="1" s="1"/>
  <c r="C22" i="7" s="1"/>
  <c r="BF87" i="6"/>
  <c r="BF86" i="6"/>
  <c r="O86" i="1" s="1"/>
  <c r="BF85" i="6"/>
  <c r="BF84" i="6"/>
  <c r="AC84" i="1" s="1"/>
  <c r="BF83" i="6"/>
  <c r="BF82" i="6"/>
  <c r="BF81" i="6"/>
  <c r="BF80" i="6"/>
  <c r="O80" i="1" s="1"/>
  <c r="BF79" i="6"/>
  <c r="BF78" i="6"/>
  <c r="O78" i="1" s="1"/>
  <c r="BF77" i="6"/>
  <c r="BF76" i="6"/>
  <c r="AC76" i="1" s="1"/>
  <c r="BF75" i="6"/>
  <c r="BF74" i="6"/>
  <c r="AC74" i="1" s="1"/>
  <c r="BF73" i="6"/>
  <c r="BF72" i="6"/>
  <c r="BF71" i="6"/>
  <c r="BF70" i="6"/>
  <c r="O70" i="1" s="1"/>
  <c r="BF69" i="6"/>
  <c r="BF68" i="6"/>
  <c r="O68" i="1" s="1"/>
  <c r="BF67" i="6"/>
  <c r="BF66" i="6"/>
  <c r="BF65" i="6"/>
  <c r="BF64" i="6"/>
  <c r="BF63" i="6"/>
  <c r="AC63" i="1" s="1"/>
  <c r="BF62" i="6"/>
  <c r="BF61" i="6"/>
  <c r="BF60" i="6"/>
  <c r="O60" i="1" s="1"/>
  <c r="C21" i="7" s="1"/>
  <c r="BF59" i="6"/>
  <c r="O59" i="1" s="1"/>
  <c r="BF58" i="6"/>
  <c r="AC58" i="1" s="1"/>
  <c r="BF57" i="6"/>
  <c r="O57" i="1" s="1"/>
  <c r="BF56" i="6"/>
  <c r="AC56" i="1" s="1"/>
  <c r="BF55" i="6"/>
  <c r="AC55" i="1" s="1"/>
  <c r="BF54" i="6"/>
  <c r="BF53" i="6"/>
  <c r="AC53" i="1" s="1"/>
  <c r="BF52" i="6"/>
  <c r="AC52" i="1" s="1"/>
  <c r="BF51" i="6"/>
  <c r="BF50" i="6"/>
  <c r="BF49" i="6"/>
  <c r="BF48" i="6"/>
  <c r="AC48" i="1" s="1"/>
  <c r="BF47" i="6"/>
  <c r="BF46" i="6"/>
  <c r="AC46" i="1" s="1"/>
  <c r="BF45" i="6"/>
  <c r="AC45" i="1" s="1"/>
  <c r="BF44" i="6"/>
  <c r="AC44" i="1" s="1"/>
  <c r="BF43" i="6"/>
  <c r="BF42" i="6"/>
  <c r="O42" i="1" s="1"/>
  <c r="BF41" i="6"/>
  <c r="BF40" i="6"/>
  <c r="AC40" i="1" s="1"/>
  <c r="BF39" i="6"/>
  <c r="BF38" i="6"/>
  <c r="AC38" i="1" s="1"/>
  <c r="BF37" i="6"/>
  <c r="O37" i="1" s="1"/>
  <c r="BF36" i="6"/>
  <c r="BF35" i="6"/>
  <c r="O35" i="1" s="1"/>
  <c r="BF34" i="6"/>
  <c r="AC34" i="1" s="1"/>
  <c r="BF33" i="6"/>
  <c r="BF32" i="6"/>
  <c r="BF31" i="6"/>
  <c r="BF30" i="6"/>
  <c r="BF29" i="6"/>
  <c r="BF28" i="6"/>
  <c r="AC28" i="1" s="1"/>
  <c r="BF27" i="6"/>
  <c r="BF26" i="6"/>
  <c r="BF25" i="6"/>
  <c r="BF24" i="6"/>
  <c r="BF23" i="6"/>
  <c r="O23" i="1" s="1"/>
  <c r="BF22" i="6"/>
  <c r="BF21" i="6"/>
  <c r="BF20" i="6"/>
  <c r="AC20" i="1" s="1"/>
  <c r="BF19" i="6"/>
  <c r="BF18" i="6"/>
  <c r="O18" i="1" s="1"/>
  <c r="BF17" i="6"/>
  <c r="O17" i="1" s="1"/>
  <c r="BF15" i="6"/>
  <c r="BQ4" i="6"/>
  <c r="H12" i="26"/>
  <c r="H11" i="26"/>
  <c r="H10" i="26"/>
  <c r="AO12" i="6"/>
  <c r="AN12" i="6"/>
  <c r="AN17" i="6"/>
  <c r="AM12" i="6"/>
  <c r="AL12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S43" i="6"/>
  <c r="X12" i="6"/>
  <c r="W12" i="6"/>
  <c r="V12" i="6"/>
  <c r="U12" i="6"/>
  <c r="T12" i="6"/>
  <c r="S12" i="6"/>
  <c r="P43" i="6"/>
  <c r="R12" i="6"/>
  <c r="Q12" i="6"/>
  <c r="Q17" i="6"/>
  <c r="P12" i="6"/>
  <c r="O12" i="6"/>
  <c r="P15" i="6"/>
  <c r="N12" i="6"/>
  <c r="M12" i="6"/>
  <c r="M17" i="6"/>
  <c r="L12" i="6"/>
  <c r="AM13" i="6"/>
  <c r="Z44" i="6" s="1"/>
  <c r="M3" i="6"/>
  <c r="AL13" i="6"/>
  <c r="AK20" i="6" s="1"/>
  <c r="AK13" i="6"/>
  <c r="L44" i="6" s="1"/>
  <c r="M46" i="6" s="1"/>
  <c r="AJ13" i="6"/>
  <c r="E330" i="6" s="1"/>
  <c r="AI13" i="6"/>
  <c r="AJ16" i="6" s="1"/>
  <c r="AH13" i="6"/>
  <c r="E302" i="6" s="1"/>
  <c r="AG13" i="6"/>
  <c r="E288" i="6" s="1"/>
  <c r="AF13" i="6"/>
  <c r="AF18" i="6" s="1"/>
  <c r="AE13" i="6"/>
  <c r="E260" i="6" s="1"/>
  <c r="AD13" i="6"/>
  <c r="V29" i="6" s="1"/>
  <c r="AC13" i="6"/>
  <c r="AB20" i="6" s="1"/>
  <c r="AB13" i="6"/>
  <c r="AA20" i="6" s="1"/>
  <c r="AA13" i="6"/>
  <c r="AB16" i="6" s="1"/>
  <c r="Z13" i="6"/>
  <c r="Z18" i="6" s="1"/>
  <c r="Y13" i="6"/>
  <c r="E176" i="6" s="1"/>
  <c r="X13" i="6"/>
  <c r="S29" i="6" s="1"/>
  <c r="R35" i="6" s="1"/>
  <c r="W13" i="6"/>
  <c r="X16" i="6" s="1"/>
  <c r="V13" i="6"/>
  <c r="R29" i="6" s="1"/>
  <c r="Q35" i="6" s="1"/>
  <c r="U13" i="6"/>
  <c r="Q44" i="6" s="1"/>
  <c r="T13" i="6"/>
  <c r="Q29" i="6" s="1"/>
  <c r="S13" i="6"/>
  <c r="E92" i="6" s="1"/>
  <c r="R13" i="6"/>
  <c r="R18" i="6" s="1"/>
  <c r="Q13" i="6"/>
  <c r="P20" i="6" s="1"/>
  <c r="P13" i="6"/>
  <c r="P18" i="6" s="1"/>
  <c r="O13" i="6"/>
  <c r="O18" i="6" s="1"/>
  <c r="N13" i="6"/>
  <c r="AN13" i="6" s="1"/>
  <c r="L3" i="6"/>
  <c r="AO3" i="6"/>
  <c r="AN3" i="6"/>
  <c r="F55" i="26"/>
  <c r="E55" i="26"/>
  <c r="E73" i="26"/>
  <c r="BO14" i="6"/>
  <c r="BN12" i="6"/>
  <c r="BO12" i="6"/>
  <c r="BO13" i="6"/>
  <c r="A54" i="2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A1" i="26"/>
  <c r="D5" i="26"/>
  <c r="F5" i="26"/>
  <c r="C6" i="19"/>
  <c r="C6" i="26"/>
  <c r="B6" i="26"/>
  <c r="J53" i="26"/>
  <c r="J3" i="26"/>
  <c r="J5" i="26"/>
  <c r="S5" i="26"/>
  <c r="B1" i="26"/>
  <c r="J1" i="1"/>
  <c r="G3" i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C11" i="7"/>
  <c r="Q11" i="1" s="1"/>
  <c r="L11" i="1"/>
  <c r="AE12" i="1"/>
  <c r="I380" i="1"/>
  <c r="H380" i="15"/>
  <c r="I380" i="15"/>
  <c r="H9" i="16"/>
  <c r="B13" i="19"/>
  <c r="H9" i="15"/>
  <c r="B12" i="19"/>
  <c r="H9" i="1"/>
  <c r="B11" i="19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/>
  <c r="T1" i="7"/>
  <c r="B381" i="1"/>
  <c r="B382" i="1"/>
  <c r="B383" i="1"/>
  <c r="J381" i="1"/>
  <c r="J382" i="1"/>
  <c r="J383" i="1"/>
  <c r="Q12" i="1"/>
  <c r="H9" i="17"/>
  <c r="B14" i="19"/>
  <c r="B383" i="17"/>
  <c r="B381" i="17"/>
  <c r="B382" i="17"/>
  <c r="I154" i="1"/>
  <c r="I147" i="1"/>
  <c r="I79" i="1"/>
  <c r="I24" i="1"/>
  <c r="I109" i="1"/>
  <c r="I159" i="1"/>
  <c r="I163" i="1"/>
  <c r="I51" i="1"/>
  <c r="I31" i="1"/>
  <c r="I69" i="1"/>
  <c r="I21" i="1"/>
  <c r="I124" i="1"/>
  <c r="I101" i="1"/>
  <c r="I108" i="1"/>
  <c r="I141" i="1"/>
  <c r="I148" i="1"/>
  <c r="I63" i="1"/>
  <c r="I74" i="1"/>
  <c r="I113" i="1"/>
  <c r="I168" i="1"/>
  <c r="I62" i="1"/>
  <c r="I77" i="1"/>
  <c r="I155" i="1"/>
  <c r="I19" i="1"/>
  <c r="I80" i="1"/>
  <c r="I84" i="1"/>
  <c r="I58" i="1"/>
  <c r="I130" i="1"/>
  <c r="I76" i="1"/>
  <c r="I57" i="1"/>
  <c r="I158" i="1"/>
  <c r="I107" i="1"/>
  <c r="I156" i="1"/>
  <c r="I123" i="1"/>
  <c r="I30" i="1"/>
  <c r="I86" i="1"/>
  <c r="I146" i="1"/>
  <c r="I96" i="1"/>
  <c r="I70" i="1"/>
  <c r="I164" i="1"/>
  <c r="I88" i="1"/>
  <c r="I105" i="1"/>
  <c r="I121" i="1"/>
  <c r="I151" i="1"/>
  <c r="I85" i="1"/>
  <c r="I71" i="1"/>
  <c r="I89" i="1"/>
  <c r="I72" i="1"/>
  <c r="I33" i="1"/>
  <c r="I61" i="1"/>
  <c r="I149" i="1"/>
  <c r="I132" i="1"/>
  <c r="I36" i="1"/>
  <c r="I35" i="1"/>
  <c r="I100" i="1"/>
  <c r="I78" i="1"/>
  <c r="I97" i="1"/>
  <c r="I26" i="1"/>
  <c r="I41" i="1"/>
  <c r="I111" i="1"/>
  <c r="I46" i="1"/>
  <c r="I52" i="1"/>
  <c r="I48" i="1"/>
  <c r="I23" i="1"/>
  <c r="I98" i="1"/>
  <c r="I59" i="1"/>
  <c r="I43" i="1"/>
  <c r="I49" i="1"/>
  <c r="I134" i="1"/>
  <c r="I25" i="1"/>
  <c r="I32" i="1"/>
  <c r="I135" i="1"/>
  <c r="I94" i="1"/>
  <c r="I128" i="1"/>
  <c r="I40" i="1"/>
  <c r="I91" i="1"/>
  <c r="I102" i="1"/>
  <c r="I50" i="1"/>
  <c r="I125" i="1"/>
  <c r="I104" i="1"/>
  <c r="I60" i="1"/>
  <c r="I68" i="1"/>
  <c r="I106" i="1"/>
  <c r="I44" i="1"/>
  <c r="I67" i="1"/>
  <c r="I126" i="1"/>
  <c r="I160" i="1"/>
  <c r="I37" i="1"/>
  <c r="I83" i="1"/>
  <c r="I55" i="1"/>
  <c r="I29" i="1"/>
  <c r="I34" i="1"/>
  <c r="I17" i="1"/>
  <c r="I165" i="1"/>
  <c r="I116" i="1"/>
  <c r="I81" i="1"/>
  <c r="I16" i="1"/>
  <c r="I75" i="1"/>
  <c r="I110" i="1"/>
  <c r="I93" i="1"/>
  <c r="I90" i="1"/>
  <c r="I82" i="1"/>
  <c r="I92" i="1"/>
  <c r="I142" i="1"/>
  <c r="I114" i="1"/>
  <c r="I56" i="1"/>
  <c r="I122" i="1"/>
  <c r="I133" i="1"/>
  <c r="I95" i="1"/>
  <c r="I120" i="1"/>
  <c r="I73" i="1"/>
  <c r="I127" i="1"/>
  <c r="I118" i="1"/>
  <c r="I161" i="1"/>
  <c r="I39" i="1"/>
  <c r="I119" i="1"/>
  <c r="I42" i="1"/>
  <c r="I87" i="1"/>
  <c r="I112" i="1"/>
  <c r="I162" i="1"/>
  <c r="I140" i="1"/>
  <c r="I22" i="1"/>
  <c r="I64" i="1"/>
  <c r="I157" i="1"/>
  <c r="I153" i="1"/>
  <c r="I38" i="1"/>
  <c r="I150" i="1"/>
  <c r="I143" i="1"/>
  <c r="I145" i="1"/>
  <c r="I20" i="1"/>
  <c r="I65" i="1"/>
  <c r="I152" i="1"/>
  <c r="I54" i="1"/>
  <c r="I47" i="1"/>
  <c r="I115" i="1"/>
  <c r="I138" i="1"/>
  <c r="I117" i="1"/>
  <c r="I27" i="1"/>
  <c r="I144" i="1"/>
  <c r="I103" i="1"/>
  <c r="I45" i="1"/>
  <c r="I137" i="1"/>
  <c r="I66" i="1"/>
  <c r="I129" i="1"/>
  <c r="I28" i="1"/>
  <c r="I53" i="1"/>
  <c r="I139" i="1"/>
  <c r="I99" i="1"/>
  <c r="I136" i="1"/>
  <c r="I166" i="1"/>
  <c r="I167" i="1"/>
  <c r="I18" i="1"/>
  <c r="I131" i="1"/>
  <c r="I15" i="1"/>
  <c r="U55" i="26"/>
  <c r="H55" i="26"/>
  <c r="V55" i="26"/>
  <c r="V14" i="1"/>
  <c r="Y17" i="6"/>
  <c r="V28" i="6"/>
  <c r="AL15" i="6"/>
  <c r="AM17" i="6"/>
  <c r="AM21" i="6"/>
  <c r="P19" i="6"/>
  <c r="O49" i="6"/>
  <c r="W43" i="6"/>
  <c r="W30" i="6"/>
  <c r="M43" i="6"/>
  <c r="N15" i="6"/>
  <c r="T15" i="6"/>
  <c r="V49" i="6"/>
  <c r="Q43" i="6"/>
  <c r="U17" i="6"/>
  <c r="W17" i="6"/>
  <c r="X19" i="6"/>
  <c r="Z15" i="6"/>
  <c r="Z19" i="6"/>
  <c r="T43" i="6"/>
  <c r="AD15" i="6"/>
  <c r="AD19" i="6"/>
  <c r="AE17" i="6"/>
  <c r="AK19" i="6"/>
  <c r="AM15" i="6"/>
  <c r="AM19" i="6"/>
  <c r="AA28" i="6"/>
  <c r="R43" i="6"/>
  <c r="N45" i="6"/>
  <c r="R47" i="6"/>
  <c r="R52" i="6"/>
  <c r="U45" i="6"/>
  <c r="S49" i="6"/>
  <c r="T47" i="6"/>
  <c r="Q47" i="6"/>
  <c r="R45" i="6"/>
  <c r="P49" i="6"/>
  <c r="R49" i="6"/>
  <c r="S47" i="6"/>
  <c r="T45" i="6"/>
  <c r="O17" i="6"/>
  <c r="N19" i="6"/>
  <c r="N43" i="6"/>
  <c r="M49" i="6"/>
  <c r="R15" i="6"/>
  <c r="O43" i="6"/>
  <c r="N49" i="6"/>
  <c r="R19" i="6"/>
  <c r="S17" i="6"/>
  <c r="AH15" i="6"/>
  <c r="AG17" i="6"/>
  <c r="AF19" i="6"/>
  <c r="AH19" i="6"/>
  <c r="AI17" i="6"/>
  <c r="AL19" i="6"/>
  <c r="P45" i="6"/>
  <c r="X45" i="6"/>
  <c r="W47" i="6"/>
  <c r="P47" i="6"/>
  <c r="Q45" i="6"/>
  <c r="Q51" i="6"/>
  <c r="BS8" i="6"/>
  <c r="N47" i="6"/>
  <c r="O45" i="6"/>
  <c r="P52" i="6"/>
  <c r="AV192" i="6"/>
  <c r="AV160" i="6"/>
  <c r="AU131" i="6"/>
  <c r="AW131" i="6"/>
  <c r="AX131" i="6"/>
  <c r="AU128" i="6"/>
  <c r="AW128" i="6"/>
  <c r="AU126" i="6"/>
  <c r="AW126" i="6"/>
  <c r="AU121" i="6"/>
  <c r="AW121" i="6"/>
  <c r="AU108" i="6"/>
  <c r="AW108" i="6"/>
  <c r="AU106" i="6"/>
  <c r="AW106" i="6"/>
  <c r="AU99" i="6"/>
  <c r="AW99" i="6"/>
  <c r="AX99" i="6"/>
  <c r="AU97" i="6"/>
  <c r="AW97" i="6"/>
  <c r="AU96" i="6"/>
  <c r="AW96" i="6"/>
  <c r="AX96" i="6"/>
  <c r="AU95" i="6"/>
  <c r="AW95" i="6"/>
  <c r="AV199" i="6"/>
  <c r="AV167" i="6"/>
  <c r="AV142" i="6"/>
  <c r="AV124" i="6"/>
  <c r="AV110" i="6"/>
  <c r="AV139" i="6"/>
  <c r="AV107" i="6"/>
  <c r="AV101" i="6"/>
  <c r="AV129" i="6"/>
  <c r="AV175" i="6"/>
  <c r="AV159" i="6"/>
  <c r="AU117" i="6"/>
  <c r="AW117" i="6"/>
  <c r="AU102" i="6"/>
  <c r="AW102" i="6"/>
  <c r="AU193" i="6"/>
  <c r="AW193" i="6"/>
  <c r="AU177" i="6"/>
  <c r="AW177" i="6"/>
  <c r="AV140" i="6"/>
  <c r="AV126" i="6"/>
  <c r="AV108" i="6"/>
  <c r="AV94" i="6"/>
  <c r="AV147" i="6"/>
  <c r="AV115" i="6"/>
  <c r="AV157" i="6"/>
  <c r="AV93" i="6"/>
  <c r="AV113" i="6"/>
  <c r="AU146" i="6"/>
  <c r="AW146" i="6"/>
  <c r="AU140" i="6"/>
  <c r="AW140" i="6"/>
  <c r="AU133" i="6"/>
  <c r="AW133" i="6"/>
  <c r="AU130" i="6"/>
  <c r="AW130" i="6"/>
  <c r="AU124" i="6"/>
  <c r="AW124" i="6"/>
  <c r="AX124" i="6"/>
  <c r="AU122" i="6"/>
  <c r="AW122" i="6"/>
  <c r="AU115" i="6"/>
  <c r="AW115" i="6"/>
  <c r="AX115" i="6"/>
  <c r="AU112" i="6"/>
  <c r="AW112" i="6"/>
  <c r="AU110" i="6"/>
  <c r="AW110" i="6"/>
  <c r="AU104" i="6"/>
  <c r="AW104" i="6"/>
  <c r="AV193" i="6"/>
  <c r="AU166" i="6"/>
  <c r="AW166" i="6"/>
  <c r="AV169" i="6"/>
  <c r="AV136" i="6"/>
  <c r="AV104" i="6"/>
  <c r="AV99" i="6"/>
  <c r="AV186" i="6"/>
  <c r="AU153" i="6"/>
  <c r="AW153" i="6"/>
  <c r="AU144" i="6"/>
  <c r="AW144" i="6"/>
  <c r="AU129" i="6"/>
  <c r="AW129" i="6"/>
  <c r="AX129" i="6"/>
  <c r="AU98" i="6"/>
  <c r="AW98" i="6"/>
  <c r="AV203" i="6"/>
  <c r="AV154" i="6"/>
  <c r="AV120" i="6"/>
  <c r="AV184" i="6"/>
  <c r="AV103" i="6"/>
  <c r="AV153" i="6"/>
  <c r="AV172" i="6"/>
  <c r="AU156" i="6"/>
  <c r="AW156" i="6"/>
  <c r="AU152" i="6"/>
  <c r="AW152" i="6"/>
  <c r="AU145" i="6"/>
  <c r="AW145" i="6"/>
  <c r="AU143" i="6"/>
  <c r="AW143" i="6"/>
  <c r="AU134" i="6"/>
  <c r="AW134" i="6"/>
  <c r="AU119" i="6"/>
  <c r="AW119" i="6"/>
  <c r="AU116" i="6"/>
  <c r="AW116" i="6"/>
  <c r="AU94" i="6"/>
  <c r="AW94" i="6"/>
  <c r="AV202" i="6"/>
  <c r="AV171" i="6"/>
  <c r="AV187" i="6"/>
  <c r="AV132" i="6"/>
  <c r="AX132" i="6"/>
  <c r="AV118" i="6"/>
  <c r="AV100" i="6"/>
  <c r="AV119" i="6"/>
  <c r="AV133" i="6"/>
  <c r="AV137" i="6"/>
  <c r="AU203" i="6"/>
  <c r="AW203" i="6"/>
  <c r="AX203" i="6"/>
  <c r="AU199" i="6"/>
  <c r="AW199" i="6"/>
  <c r="AU169" i="6"/>
  <c r="AW169" i="6"/>
  <c r="AU127" i="6"/>
  <c r="AW127" i="6"/>
  <c r="AU120" i="6"/>
  <c r="AW120" i="6"/>
  <c r="AU101" i="6"/>
  <c r="AW101" i="6"/>
  <c r="AX101" i="6"/>
  <c r="AV196" i="6"/>
  <c r="AX196" i="6"/>
  <c r="AV170" i="6"/>
  <c r="AU159" i="6"/>
  <c r="AW159" i="6"/>
  <c r="AX159" i="6"/>
  <c r="AV150" i="6"/>
  <c r="AV134" i="6"/>
  <c r="AV116" i="6"/>
  <c r="AV102" i="6"/>
  <c r="AV180" i="6"/>
  <c r="AV127" i="6"/>
  <c r="AV95" i="6"/>
  <c r="AV125" i="6"/>
  <c r="AV121" i="6"/>
  <c r="AU158" i="6"/>
  <c r="AW158" i="6"/>
  <c r="AU138" i="6"/>
  <c r="AW138" i="6"/>
  <c r="AU136" i="6"/>
  <c r="AW136" i="6"/>
  <c r="AX136" i="6"/>
  <c r="AU202" i="6"/>
  <c r="AW202" i="6"/>
  <c r="AX202" i="6"/>
  <c r="AU198" i="6"/>
  <c r="AW198" i="6"/>
  <c r="AU170" i="6"/>
  <c r="AW170" i="6"/>
  <c r="AV161" i="6"/>
  <c r="AV152" i="6"/>
  <c r="AV122" i="6"/>
  <c r="AX122" i="6"/>
  <c r="AV131" i="6"/>
  <c r="AU178" i="6"/>
  <c r="AW178" i="6"/>
  <c r="AU183" i="6"/>
  <c r="AW183" i="6"/>
  <c r="AV179" i="6"/>
  <c r="AU109" i="6"/>
  <c r="AW109" i="6"/>
  <c r="AU194" i="6"/>
  <c r="AW194" i="6"/>
  <c r="AV168" i="6"/>
  <c r="AV138" i="6"/>
  <c r="AV106" i="6"/>
  <c r="AV135" i="6"/>
  <c r="AV141" i="6"/>
  <c r="AV145" i="6"/>
  <c r="AX145" i="6"/>
  <c r="AV194" i="6"/>
  <c r="AU147" i="6"/>
  <c r="AW147" i="6"/>
  <c r="AX147" i="6"/>
  <c r="AU139" i="6"/>
  <c r="AW139" i="6"/>
  <c r="AX139" i="6"/>
  <c r="AU118" i="6"/>
  <c r="AW118" i="6"/>
  <c r="AU196" i="6"/>
  <c r="AW196" i="6"/>
  <c r="AV200" i="6"/>
  <c r="AV183" i="6"/>
  <c r="AV114" i="6"/>
  <c r="AV111" i="6"/>
  <c r="AU197" i="6"/>
  <c r="AW197" i="6"/>
  <c r="AU155" i="6"/>
  <c r="AW155" i="6"/>
  <c r="AU142" i="6"/>
  <c r="AW142" i="6"/>
  <c r="AX142" i="6"/>
  <c r="AV198" i="6"/>
  <c r="AV164" i="6"/>
  <c r="AV98" i="6"/>
  <c r="AX98" i="6"/>
  <c r="AV109" i="6"/>
  <c r="AX109" i="6"/>
  <c r="AU141" i="6"/>
  <c r="AW141" i="6"/>
  <c r="AU113" i="6"/>
  <c r="AW113" i="6"/>
  <c r="AX113" i="6"/>
  <c r="AV177" i="6"/>
  <c r="AX177" i="6"/>
  <c r="AU181" i="6"/>
  <c r="AW181" i="6"/>
  <c r="AU160" i="6"/>
  <c r="AW160" i="6"/>
  <c r="AX160" i="6"/>
  <c r="AV155" i="6"/>
  <c r="AU137" i="6"/>
  <c r="AW137" i="6"/>
  <c r="AX137" i="6"/>
  <c r="AU105" i="6"/>
  <c r="AW105" i="6"/>
  <c r="AU186" i="6"/>
  <c r="AW186" i="6"/>
  <c r="AU161" i="6"/>
  <c r="AW161" i="6"/>
  <c r="AV143" i="6"/>
  <c r="AV191" i="6"/>
  <c r="AU114" i="6"/>
  <c r="AW114" i="6"/>
  <c r="AV112" i="6"/>
  <c r="AX112" i="6"/>
  <c r="AV162" i="6"/>
  <c r="AU135" i="6"/>
  <c r="AW135" i="6"/>
  <c r="AX135" i="6"/>
  <c r="AU125" i="6"/>
  <c r="AW125" i="6"/>
  <c r="AX125" i="6"/>
  <c r="AU111" i="6"/>
  <c r="AW111" i="6"/>
  <c r="AU103" i="6"/>
  <c r="AW103" i="6"/>
  <c r="AX103" i="6"/>
  <c r="AU182" i="6"/>
  <c r="AW182" i="6"/>
  <c r="AU168" i="6"/>
  <c r="AW168" i="6"/>
  <c r="AX168" i="6"/>
  <c r="AU191" i="6"/>
  <c r="AW191" i="6"/>
  <c r="AV165" i="6"/>
  <c r="AV146" i="6"/>
  <c r="AU172" i="6"/>
  <c r="AW172" i="6"/>
  <c r="AX172" i="6"/>
  <c r="AV117" i="6"/>
  <c r="AU185" i="6"/>
  <c r="AW185" i="6"/>
  <c r="AU171" i="6"/>
  <c r="AW171" i="6"/>
  <c r="AU107" i="6"/>
  <c r="AW107" i="6"/>
  <c r="AU100" i="6"/>
  <c r="AW100" i="6"/>
  <c r="AU190" i="6"/>
  <c r="AW190" i="6"/>
  <c r="AV130" i="6"/>
  <c r="AV123" i="6"/>
  <c r="AV92" i="6"/>
  <c r="AV178" i="6"/>
  <c r="AU132" i="6"/>
  <c r="AW132" i="6"/>
  <c r="AU200" i="6"/>
  <c r="AW200" i="6"/>
  <c r="AX200" i="6"/>
  <c r="AV96" i="6"/>
  <c r="AV163" i="6"/>
  <c r="AV144" i="6"/>
  <c r="AV97" i="6"/>
  <c r="AU149" i="6"/>
  <c r="AW149" i="6"/>
  <c r="AU123" i="6"/>
  <c r="AW123" i="6"/>
  <c r="AX123" i="6"/>
  <c r="AU164" i="6"/>
  <c r="AW164" i="6"/>
  <c r="AV128" i="6"/>
  <c r="AV105" i="6"/>
  <c r="AU151" i="6"/>
  <c r="AW151" i="6"/>
  <c r="AU93" i="6"/>
  <c r="AW93" i="6"/>
  <c r="AV182" i="6"/>
  <c r="AU92" i="6"/>
  <c r="AW92" i="6"/>
  <c r="AX92" i="6"/>
  <c r="P51" i="6"/>
  <c r="N51" i="6"/>
  <c r="N52" i="6"/>
  <c r="AX161" i="6"/>
  <c r="AX170" i="6"/>
  <c r="AX127" i="6"/>
  <c r="AX119" i="6"/>
  <c r="AX146" i="6"/>
  <c r="AX102" i="6"/>
  <c r="AX106" i="6"/>
  <c r="AX141" i="6"/>
  <c r="BE369" i="6"/>
  <c r="BE370" i="6"/>
  <c r="BE368" i="6"/>
  <c r="BE367" i="6"/>
  <c r="BE366" i="6"/>
  <c r="BE365" i="6"/>
  <c r="BE364" i="6"/>
  <c r="BE363" i="6"/>
  <c r="BE362" i="6"/>
  <c r="BE361" i="6"/>
  <c r="BE360" i="6"/>
  <c r="BE359" i="6"/>
  <c r="BE358" i="6"/>
  <c r="BE357" i="6"/>
  <c r="BE356" i="6"/>
  <c r="BE355" i="6"/>
  <c r="BE354" i="6"/>
  <c r="BE353" i="6"/>
  <c r="BE352" i="6"/>
  <c r="BE351" i="6"/>
  <c r="BE350" i="6"/>
  <c r="BE349" i="6"/>
  <c r="BE348" i="6"/>
  <c r="BE347" i="6"/>
  <c r="BE346" i="6"/>
  <c r="BE345" i="6"/>
  <c r="BE344" i="6"/>
  <c r="BE343" i="6"/>
  <c r="BE342" i="6"/>
  <c r="BE341" i="6"/>
  <c r="BE340" i="6"/>
  <c r="BE339" i="6"/>
  <c r="BE338" i="6"/>
  <c r="BE337" i="6"/>
  <c r="BE336" i="6"/>
  <c r="BE335" i="6"/>
  <c r="BE334" i="6"/>
  <c r="BE333" i="6"/>
  <c r="BE332" i="6"/>
  <c r="BE331" i="6"/>
  <c r="BE330" i="6"/>
  <c r="BE329" i="6"/>
  <c r="BE328" i="6"/>
  <c r="BE327" i="6"/>
  <c r="BE326" i="6"/>
  <c r="BE325" i="6"/>
  <c r="BE324" i="6"/>
  <c r="BE323" i="6"/>
  <c r="BE322" i="6"/>
  <c r="BE321" i="6"/>
  <c r="BE320" i="6"/>
  <c r="BE319" i="6"/>
  <c r="BE318" i="6"/>
  <c r="BE317" i="6"/>
  <c r="BE316" i="6"/>
  <c r="BE315" i="6"/>
  <c r="BE314" i="6"/>
  <c r="BE313" i="6"/>
  <c r="BE312" i="6"/>
  <c r="BE311" i="6"/>
  <c r="BE310" i="6"/>
  <c r="BE309" i="6"/>
  <c r="BE308" i="6"/>
  <c r="BE307" i="6"/>
  <c r="BE306" i="6"/>
  <c r="BE305" i="6"/>
  <c r="BE304" i="6"/>
  <c r="BE303" i="6"/>
  <c r="BE302" i="6"/>
  <c r="BE301" i="6"/>
  <c r="BE300" i="6"/>
  <c r="BE299" i="6"/>
  <c r="BE298" i="6"/>
  <c r="BE297" i="6"/>
  <c r="BE296" i="6"/>
  <c r="BE295" i="6"/>
  <c r="BE294" i="6"/>
  <c r="BE293" i="6"/>
  <c r="BE292" i="6"/>
  <c r="BE291" i="6"/>
  <c r="BE290" i="6"/>
  <c r="BE289" i="6"/>
  <c r="BE288" i="6"/>
  <c r="BE287" i="6"/>
  <c r="BE286" i="6"/>
  <c r="BE285" i="6"/>
  <c r="BE284" i="6"/>
  <c r="BE283" i="6"/>
  <c r="BE282" i="6"/>
  <c r="BE281" i="6"/>
  <c r="BE280" i="6"/>
  <c r="BE279" i="6"/>
  <c r="BE278" i="6"/>
  <c r="BE277" i="6"/>
  <c r="BE276" i="6"/>
  <c r="BE275" i="6"/>
  <c r="BE274" i="6"/>
  <c r="BE273" i="6"/>
  <c r="BE272" i="6"/>
  <c r="BE271" i="6"/>
  <c r="BE270" i="6"/>
  <c r="BE269" i="6"/>
  <c r="BE268" i="6"/>
  <c r="BE267" i="6"/>
  <c r="BE266" i="6"/>
  <c r="BE265" i="6"/>
  <c r="BE264" i="6"/>
  <c r="BE263" i="6"/>
  <c r="BE262" i="6"/>
  <c r="BE261" i="6"/>
  <c r="BE260" i="6"/>
  <c r="BE259" i="6"/>
  <c r="BE258" i="6"/>
  <c r="BE257" i="6"/>
  <c r="BE256" i="6"/>
  <c r="BE255" i="6"/>
  <c r="BE254" i="6"/>
  <c r="BE253" i="6"/>
  <c r="BE252" i="6"/>
  <c r="BE251" i="6"/>
  <c r="BE250" i="6"/>
  <c r="BE249" i="6"/>
  <c r="BE248" i="6"/>
  <c r="BE247" i="6"/>
  <c r="BE246" i="6"/>
  <c r="BE245" i="6"/>
  <c r="BE244" i="6"/>
  <c r="BE243" i="6"/>
  <c r="BE242" i="6"/>
  <c r="BE241" i="6"/>
  <c r="BE240" i="6"/>
  <c r="BE239" i="6"/>
  <c r="BE238" i="6"/>
  <c r="BE237" i="6"/>
  <c r="BE236" i="6"/>
  <c r="BE235" i="6"/>
  <c r="BE234" i="6"/>
  <c r="BE233" i="6"/>
  <c r="BE232" i="6"/>
  <c r="BE231" i="6"/>
  <c r="BE230" i="6"/>
  <c r="BE229" i="6"/>
  <c r="BE228" i="6"/>
  <c r="BE227" i="6"/>
  <c r="BE226" i="6"/>
  <c r="BE225" i="6"/>
  <c r="BE224" i="6"/>
  <c r="BE223" i="6"/>
  <c r="BE222" i="6"/>
  <c r="BE221" i="6"/>
  <c r="BE220" i="6"/>
  <c r="BE219" i="6"/>
  <c r="BE218" i="6"/>
  <c r="BE217" i="6"/>
  <c r="BE216" i="6"/>
  <c r="BE215" i="6"/>
  <c r="BE214" i="6"/>
  <c r="BE213" i="6"/>
  <c r="BE212" i="6"/>
  <c r="BE211" i="6"/>
  <c r="BE210" i="6"/>
  <c r="BE209" i="6"/>
  <c r="BE208" i="6"/>
  <c r="BE207" i="6"/>
  <c r="BE206" i="6"/>
  <c r="BE205" i="6"/>
  <c r="BE204" i="6"/>
  <c r="BE203" i="6"/>
  <c r="BE202" i="6"/>
  <c r="BE201" i="6"/>
  <c r="BE200" i="6"/>
  <c r="BE199" i="6"/>
  <c r="BE198" i="6"/>
  <c r="BE197" i="6"/>
  <c r="BE196" i="6"/>
  <c r="BE195" i="6"/>
  <c r="BE194" i="6"/>
  <c r="BE193" i="6"/>
  <c r="BE192" i="6"/>
  <c r="BE191" i="6"/>
  <c r="BE190" i="6"/>
  <c r="BE189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H9" i="6" s="1"/>
  <c r="BE19" i="6"/>
  <c r="BE18" i="6"/>
  <c r="BE17" i="6"/>
  <c r="BE16" i="6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BE373" i="6"/>
  <c r="BE374" i="6"/>
  <c r="BE375" i="6"/>
  <c r="BE376" i="6"/>
  <c r="BE377" i="6"/>
  <c r="BE378" i="6"/>
  <c r="BE379" i="6"/>
  <c r="BE380" i="6"/>
  <c r="Y14" i="1"/>
  <c r="F14" i="1"/>
  <c r="L1" i="1"/>
  <c r="A11" i="19"/>
  <c r="A35" i="19" s="1"/>
  <c r="J1" i="15"/>
  <c r="A61" i="19"/>
  <c r="A6" i="6"/>
  <c r="A3" i="7"/>
  <c r="X1" i="1"/>
  <c r="K15" i="1"/>
  <c r="A15" i="15"/>
  <c r="O9" i="1"/>
  <c r="AJ380" i="1" s="1"/>
  <c r="L15" i="1"/>
  <c r="A12" i="19"/>
  <c r="A36" i="19" s="1"/>
  <c r="B6" i="6"/>
  <c r="A62" i="19"/>
  <c r="G3" i="7"/>
  <c r="L1" i="15"/>
  <c r="Y14" i="15"/>
  <c r="F14" i="15"/>
  <c r="V14" i="15"/>
  <c r="J380" i="15"/>
  <c r="J1" i="16"/>
  <c r="X1" i="15"/>
  <c r="AB15" i="1"/>
  <c r="X15" i="1"/>
  <c r="L11" i="15"/>
  <c r="A15" i="16"/>
  <c r="A63" i="19"/>
  <c r="J1" i="17"/>
  <c r="M3" i="7"/>
  <c r="V14" i="16"/>
  <c r="L1" i="16"/>
  <c r="AB16" i="1"/>
  <c r="X16" i="1"/>
  <c r="AJ16" i="1"/>
  <c r="L16" i="1"/>
  <c r="K16" i="1"/>
  <c r="E148" i="6"/>
  <c r="O16" i="6"/>
  <c r="Z20" i="6"/>
  <c r="K17" i="1"/>
  <c r="BP13" i="7"/>
  <c r="E7" i="1"/>
  <c r="B13" i="7"/>
  <c r="A18" i="1"/>
  <c r="AB17" i="1"/>
  <c r="X17" i="1"/>
  <c r="L17" i="1"/>
  <c r="A15" i="17"/>
  <c r="X15" i="15"/>
  <c r="L11" i="16"/>
  <c r="Y14" i="16"/>
  <c r="C6" i="6"/>
  <c r="A13" i="19"/>
  <c r="A37" i="19" s="1"/>
  <c r="F14" i="16"/>
  <c r="X1" i="16"/>
  <c r="BS13" i="7"/>
  <c r="AJ18" i="1"/>
  <c r="AC17" i="1"/>
  <c r="BN14" i="6"/>
  <c r="U56" i="26"/>
  <c r="BP14" i="6"/>
  <c r="Q78" i="26"/>
  <c r="Y79" i="26"/>
  <c r="T77" i="26"/>
  <c r="M74" i="26"/>
  <c r="V74" i="26"/>
  <c r="T76" i="26"/>
  <c r="V78" i="26"/>
  <c r="S79" i="26"/>
  <c r="M75" i="26"/>
  <c r="W77" i="26"/>
  <c r="AC64" i="26"/>
  <c r="U74" i="26"/>
  <c r="M73" i="26"/>
  <c r="V73" i="26"/>
  <c r="G24" i="26"/>
  <c r="M60" i="26"/>
  <c r="N69" i="26"/>
  <c r="S75" i="26"/>
  <c r="R75" i="26"/>
  <c r="Z75" i="26"/>
  <c r="U75" i="26"/>
  <c r="P75" i="26"/>
  <c r="Q75" i="26"/>
  <c r="AC61" i="26"/>
  <c r="U34" i="6"/>
  <c r="V32" i="6"/>
  <c r="M15" i="6"/>
  <c r="M21" i="6"/>
  <c r="M28" i="6"/>
  <c r="N17" i="6"/>
  <c r="N28" i="6"/>
  <c r="O15" i="6"/>
  <c r="O21" i="6"/>
  <c r="M19" i="6"/>
  <c r="O28" i="6"/>
  <c r="Q15" i="6"/>
  <c r="Q21" i="6"/>
  <c r="O19" i="6"/>
  <c r="P17" i="6"/>
  <c r="P22" i="6"/>
  <c r="S15" i="6"/>
  <c r="S21" i="6"/>
  <c r="Q19" i="6"/>
  <c r="Q22" i="6"/>
  <c r="R17" i="6"/>
  <c r="P28" i="6"/>
  <c r="Q28" i="6"/>
  <c r="P34" i="6"/>
  <c r="S19" i="6"/>
  <c r="U15" i="6"/>
  <c r="U21" i="6"/>
  <c r="T17" i="6"/>
  <c r="T21" i="6"/>
  <c r="U19" i="6"/>
  <c r="R28" i="6"/>
  <c r="W15" i="6"/>
  <c r="W21" i="6"/>
  <c r="V17" i="6"/>
  <c r="X17" i="6"/>
  <c r="X22" i="6"/>
  <c r="S28" i="6"/>
  <c r="W19" i="6"/>
  <c r="W22" i="6"/>
  <c r="Y15" i="6"/>
  <c r="Y21" i="6"/>
  <c r="T28" i="6"/>
  <c r="Y19" i="6"/>
  <c r="Y22" i="6"/>
  <c r="AA15" i="6"/>
  <c r="Z17" i="6"/>
  <c r="AB17" i="6"/>
  <c r="AA19" i="6"/>
  <c r="U28" i="6"/>
  <c r="AC15" i="6"/>
  <c r="AE15" i="6"/>
  <c r="AE21" i="6"/>
  <c r="AD17" i="6"/>
  <c r="AC19" i="6"/>
  <c r="AE19" i="6"/>
  <c r="W28" i="6"/>
  <c r="AG15" i="6"/>
  <c r="AG21" i="6"/>
  <c r="AF17" i="6"/>
  <c r="AF22" i="6"/>
  <c r="AI15" i="6"/>
  <c r="AI21" i="6"/>
  <c r="AH17" i="6"/>
  <c r="AH22" i="6"/>
  <c r="AG19" i="6"/>
  <c r="X28" i="6"/>
  <c r="AI19" i="6"/>
  <c r="Y28" i="6"/>
  <c r="AK15" i="6"/>
  <c r="AJ17" i="6"/>
  <c r="AX171" i="6"/>
  <c r="AX164" i="6"/>
  <c r="AX100" i="6"/>
  <c r="AX191" i="6"/>
  <c r="AX114" i="6"/>
  <c r="AX198" i="6"/>
  <c r="AX193" i="6"/>
  <c r="AX110" i="6"/>
  <c r="AX133" i="6"/>
  <c r="S52" i="6"/>
  <c r="AV176" i="6"/>
  <c r="AV173" i="6"/>
  <c r="AU192" i="6"/>
  <c r="AW192" i="6"/>
  <c r="AX192" i="6"/>
  <c r="AU179" i="6"/>
  <c r="AW179" i="6"/>
  <c r="AX179" i="6"/>
  <c r="AU175" i="6"/>
  <c r="AW175" i="6"/>
  <c r="AX175" i="6"/>
  <c r="AV158" i="6"/>
  <c r="AX158" i="6"/>
  <c r="AU176" i="6"/>
  <c r="AW176" i="6"/>
  <c r="AV195" i="6"/>
  <c r="AU165" i="6"/>
  <c r="AW165" i="6"/>
  <c r="AX165" i="6"/>
  <c r="AV201" i="6"/>
  <c r="AV166" i="6"/>
  <c r="AX166" i="6"/>
  <c r="AV156" i="6"/>
  <c r="AV174" i="6"/>
  <c r="AU180" i="6"/>
  <c r="AW180" i="6"/>
  <c r="AX180" i="6"/>
  <c r="AV197" i="6"/>
  <c r="AX197" i="6"/>
  <c r="AU167" i="6"/>
  <c r="AW167" i="6"/>
  <c r="AV181" i="6"/>
  <c r="AX181" i="6"/>
  <c r="AV188" i="6"/>
  <c r="AV189" i="6"/>
  <c r="AU154" i="6"/>
  <c r="AW154" i="6"/>
  <c r="AX154" i="6"/>
  <c r="AU150" i="6"/>
  <c r="AW150" i="6"/>
  <c r="AX150" i="6"/>
  <c r="AU195" i="6"/>
  <c r="AW195" i="6"/>
  <c r="AX195" i="6"/>
  <c r="AU162" i="6"/>
  <c r="AW162" i="6"/>
  <c r="AX162" i="6"/>
  <c r="AV148" i="6"/>
  <c r="AV151" i="6"/>
  <c r="AU174" i="6"/>
  <c r="AW174" i="6"/>
  <c r="AX174" i="6"/>
  <c r="AU201" i="6"/>
  <c r="AW201" i="6"/>
  <c r="AX201" i="6"/>
  <c r="AU187" i="6"/>
  <c r="AW187" i="6"/>
  <c r="AX187" i="6"/>
  <c r="AU189" i="6"/>
  <c r="AW189" i="6"/>
  <c r="AU163" i="6"/>
  <c r="AW163" i="6"/>
  <c r="AV185" i="6"/>
  <c r="AX185" i="6"/>
  <c r="AV190" i="6"/>
  <c r="AX190" i="6"/>
  <c r="AU148" i="6"/>
  <c r="AW148" i="6"/>
  <c r="AX148" i="6"/>
  <c r="AU184" i="6"/>
  <c r="AW184" i="6"/>
  <c r="AX184" i="6"/>
  <c r="AU188" i="6"/>
  <c r="AW188" i="6"/>
  <c r="AX188" i="6"/>
  <c r="AV149" i="6"/>
  <c r="AU157" i="6"/>
  <c r="AW157" i="6"/>
  <c r="AX157" i="6"/>
  <c r="AU173" i="6"/>
  <c r="AW173" i="6"/>
  <c r="AX173" i="6"/>
  <c r="AE22" i="6"/>
  <c r="U22" i="6"/>
  <c r="AX130" i="6"/>
  <c r="AX140" i="6"/>
  <c r="AX126" i="6"/>
  <c r="AB28" i="6"/>
  <c r="AA34" i="6"/>
  <c r="AA32" i="6"/>
  <c r="AA37" i="6"/>
  <c r="Z34" i="6"/>
  <c r="AG22" i="6"/>
  <c r="S22" i="6"/>
  <c r="O22" i="6"/>
  <c r="AI22" i="6"/>
  <c r="T51" i="6"/>
  <c r="Y43" i="6"/>
  <c r="AK17" i="6"/>
  <c r="AK22" i="6"/>
  <c r="AJ19" i="6"/>
  <c r="AJ22" i="6"/>
  <c r="Z43" i="6"/>
  <c r="AN15" i="6"/>
  <c r="AN21" i="6"/>
  <c r="AH21" i="6"/>
  <c r="R22" i="6"/>
  <c r="R21" i="6"/>
  <c r="R51" i="6"/>
  <c r="AM22" i="6"/>
  <c r="P21" i="6"/>
  <c r="AX155" i="6"/>
  <c r="AX194" i="6"/>
  <c r="AX178" i="6"/>
  <c r="AX138" i="6"/>
  <c r="AX116" i="6"/>
  <c r="AX134" i="6"/>
  <c r="AX152" i="6"/>
  <c r="AX153" i="6"/>
  <c r="AX93" i="6"/>
  <c r="AX94" i="6"/>
  <c r="AX95" i="6"/>
  <c r="AX97" i="6"/>
  <c r="AX121" i="6"/>
  <c r="AX128" i="6"/>
  <c r="AX144" i="6"/>
  <c r="AX183" i="6"/>
  <c r="BS11" i="6"/>
  <c r="BS4" i="6"/>
  <c r="BS6" i="6"/>
  <c r="BS5" i="6"/>
  <c r="BS9" i="6"/>
  <c r="BS10" i="6"/>
  <c r="BS7" i="6"/>
  <c r="AX151" i="6"/>
  <c r="AX149" i="6"/>
  <c r="AX182" i="6"/>
  <c r="AX186" i="6"/>
  <c r="AX105" i="6"/>
  <c r="AX118" i="6"/>
  <c r="AX169" i="6"/>
  <c r="AX117" i="6"/>
  <c r="AX176" i="6"/>
  <c r="AX107" i="6"/>
  <c r="AX111" i="6"/>
  <c r="AX163" i="6"/>
  <c r="AX189" i="6"/>
  <c r="AX120" i="6"/>
  <c r="AX199" i="6"/>
  <c r="AX143" i="6"/>
  <c r="AX156" i="6"/>
  <c r="AX167" i="6"/>
  <c r="AX104" i="6"/>
  <c r="AX108" i="6"/>
  <c r="F33" i="6"/>
  <c r="H33" i="6"/>
  <c r="G21" i="6"/>
  <c r="F22" i="6"/>
  <c r="G29" i="6"/>
  <c r="F24" i="6"/>
  <c r="H24" i="6"/>
  <c r="F30" i="6"/>
  <c r="H30" i="6"/>
  <c r="O47" i="6"/>
  <c r="V34" i="6"/>
  <c r="V37" i="6"/>
  <c r="S45" i="6"/>
  <c r="S51" i="6"/>
  <c r="Q49" i="6"/>
  <c r="Q52" i="6"/>
  <c r="R30" i="6"/>
  <c r="Q32" i="6"/>
  <c r="L43" i="6"/>
  <c r="M45" i="6"/>
  <c r="M51" i="6"/>
  <c r="M47" i="6"/>
  <c r="M22" i="6"/>
  <c r="V15" i="6"/>
  <c r="V21" i="6"/>
  <c r="T19" i="6"/>
  <c r="T22" i="6"/>
  <c r="X15" i="6"/>
  <c r="X21" i="6"/>
  <c r="V19" i="6"/>
  <c r="V22" i="6"/>
  <c r="AA17" i="6"/>
  <c r="AB15" i="6"/>
  <c r="AB21" i="6"/>
  <c r="AB19" i="6"/>
  <c r="AB22" i="6"/>
  <c r="AC17" i="6"/>
  <c r="U43" i="6"/>
  <c r="AF15" i="6"/>
  <c r="AF21" i="6"/>
  <c r="V43" i="6"/>
  <c r="X43" i="6"/>
  <c r="AJ15" i="6"/>
  <c r="AJ21" i="6"/>
  <c r="Z28" i="6"/>
  <c r="AL17" i="6"/>
  <c r="AN19" i="6"/>
  <c r="AN22" i="6"/>
  <c r="AA43" i="6"/>
  <c r="M72" i="26"/>
  <c r="Q72" i="26"/>
  <c r="G72" i="26"/>
  <c r="R73" i="26"/>
  <c r="Z73" i="26"/>
  <c r="G73" i="26"/>
  <c r="Y73" i="26"/>
  <c r="P73" i="26"/>
  <c r="X73" i="26"/>
  <c r="Y47" i="6"/>
  <c r="Z45" i="6"/>
  <c r="X49" i="6"/>
  <c r="AK21" i="6"/>
  <c r="AD21" i="6"/>
  <c r="AD22" i="6"/>
  <c r="G18" i="6"/>
  <c r="G178" i="6"/>
  <c r="G94" i="6"/>
  <c r="G24" i="6"/>
  <c r="I24" i="6"/>
  <c r="F180" i="6"/>
  <c r="H180" i="6"/>
  <c r="F162" i="6"/>
  <c r="H162" i="6"/>
  <c r="F186" i="6"/>
  <c r="H186" i="6"/>
  <c r="F165" i="6"/>
  <c r="H165" i="6"/>
  <c r="G184" i="6"/>
  <c r="G32" i="6"/>
  <c r="G31" i="6"/>
  <c r="F28" i="6"/>
  <c r="H28" i="6"/>
  <c r="G177" i="6"/>
  <c r="F163" i="6"/>
  <c r="H163" i="6"/>
  <c r="G176" i="6"/>
  <c r="F179" i="6"/>
  <c r="H179" i="6"/>
  <c r="G166" i="6"/>
  <c r="G105" i="6"/>
  <c r="F93" i="6"/>
  <c r="H93" i="6"/>
  <c r="I93" i="6"/>
  <c r="G93" i="6"/>
  <c r="F92" i="6"/>
  <c r="H92" i="6"/>
  <c r="G123" i="6"/>
  <c r="F109" i="6"/>
  <c r="H109" i="6"/>
  <c r="G30" i="6"/>
  <c r="I30" i="6"/>
  <c r="G163" i="6"/>
  <c r="F188" i="6"/>
  <c r="H188" i="6"/>
  <c r="G101" i="6"/>
  <c r="F100" i="6"/>
  <c r="H100" i="6"/>
  <c r="F342" i="6"/>
  <c r="H342" i="6"/>
  <c r="I342" i="6"/>
  <c r="F305" i="6"/>
  <c r="H305" i="6"/>
  <c r="G332" i="6"/>
  <c r="G342" i="6"/>
  <c r="F302" i="6"/>
  <c r="H302" i="6"/>
  <c r="F334" i="6"/>
  <c r="H334" i="6"/>
  <c r="F339" i="6"/>
  <c r="H339" i="6"/>
  <c r="F335" i="6"/>
  <c r="H335" i="6"/>
  <c r="G341" i="6"/>
  <c r="G338" i="6"/>
  <c r="G289" i="6"/>
  <c r="F300" i="6"/>
  <c r="H300" i="6"/>
  <c r="G305" i="6"/>
  <c r="F318" i="6"/>
  <c r="H318" i="6"/>
  <c r="G318" i="6"/>
  <c r="G324" i="6"/>
  <c r="F333" i="6"/>
  <c r="H333" i="6"/>
  <c r="F323" i="6"/>
  <c r="H323" i="6"/>
  <c r="G297" i="6"/>
  <c r="G294" i="6"/>
  <c r="F19" i="6"/>
  <c r="H19" i="6"/>
  <c r="F170" i="6"/>
  <c r="H170" i="6"/>
  <c r="F183" i="6"/>
  <c r="H183" i="6"/>
  <c r="F32" i="6"/>
  <c r="H32" i="6"/>
  <c r="I32" i="6"/>
  <c r="G20" i="6"/>
  <c r="F99" i="6"/>
  <c r="H99" i="6"/>
  <c r="F174" i="6"/>
  <c r="H174" i="6"/>
  <c r="F168" i="6"/>
  <c r="H168" i="6"/>
  <c r="F175" i="6"/>
  <c r="H175" i="6"/>
  <c r="F102" i="6"/>
  <c r="H102" i="6"/>
  <c r="G102" i="6"/>
  <c r="G182" i="6"/>
  <c r="G331" i="6"/>
  <c r="G168" i="6"/>
  <c r="Z21" i="6"/>
  <c r="G335" i="6"/>
  <c r="G337" i="6"/>
  <c r="F320" i="6"/>
  <c r="H320" i="6"/>
  <c r="G336" i="6"/>
  <c r="G291" i="6"/>
  <c r="G326" i="6"/>
  <c r="F317" i="6"/>
  <c r="H317" i="6"/>
  <c r="F328" i="6"/>
  <c r="H328" i="6"/>
  <c r="G304" i="6"/>
  <c r="G340" i="6"/>
  <c r="F65" i="6"/>
  <c r="H65" i="6"/>
  <c r="F150" i="6"/>
  <c r="H150" i="6"/>
  <c r="F135" i="6"/>
  <c r="H135" i="6"/>
  <c r="F105" i="6"/>
  <c r="H105" i="6"/>
  <c r="I105" i="6"/>
  <c r="F166" i="6"/>
  <c r="H166" i="6"/>
  <c r="I166" i="6"/>
  <c r="G53" i="6"/>
  <c r="G120" i="6"/>
  <c r="G145" i="6"/>
  <c r="G15" i="6"/>
  <c r="F149" i="6"/>
  <c r="H149" i="6"/>
  <c r="G165" i="6"/>
  <c r="G104" i="6"/>
  <c r="G140" i="6"/>
  <c r="F20" i="6"/>
  <c r="H20" i="6"/>
  <c r="I20" i="6"/>
  <c r="G172" i="6"/>
  <c r="G131" i="6"/>
  <c r="F84" i="6"/>
  <c r="H84" i="6"/>
  <c r="G56" i="6"/>
  <c r="F127" i="6"/>
  <c r="H127" i="6"/>
  <c r="F126" i="6"/>
  <c r="H126" i="6"/>
  <c r="G139" i="6"/>
  <c r="G74" i="6"/>
  <c r="G180" i="6"/>
  <c r="F88" i="6"/>
  <c r="H88" i="6"/>
  <c r="G90" i="6"/>
  <c r="F26" i="6"/>
  <c r="H26" i="6"/>
  <c r="F98" i="6"/>
  <c r="H98" i="6"/>
  <c r="F129" i="6"/>
  <c r="H129" i="6"/>
  <c r="G162" i="6"/>
  <c r="G19" i="6"/>
  <c r="G169" i="6"/>
  <c r="F173" i="6"/>
  <c r="H173" i="6"/>
  <c r="G185" i="6"/>
  <c r="F321" i="6"/>
  <c r="H321" i="6"/>
  <c r="G315" i="6"/>
  <c r="G333" i="6"/>
  <c r="F316" i="6"/>
  <c r="H316" i="6"/>
  <c r="G299" i="6"/>
  <c r="G339" i="6"/>
  <c r="F304" i="6"/>
  <c r="H304" i="6"/>
  <c r="I304" i="6"/>
  <c r="F292" i="6"/>
  <c r="H292" i="6"/>
  <c r="G306" i="6"/>
  <c r="G34" i="6"/>
  <c r="F29" i="6"/>
  <c r="H29" i="6"/>
  <c r="I29" i="6"/>
  <c r="G158" i="6"/>
  <c r="G170" i="6"/>
  <c r="F128" i="6"/>
  <c r="H128" i="6"/>
  <c r="F114" i="6"/>
  <c r="H114" i="6"/>
  <c r="G155" i="6"/>
  <c r="F57" i="6"/>
  <c r="H57" i="6"/>
  <c r="F184" i="6"/>
  <c r="H184" i="6"/>
  <c r="I184" i="6"/>
  <c r="F21" i="6"/>
  <c r="H21" i="6"/>
  <c r="F87" i="6"/>
  <c r="H87" i="6"/>
  <c r="G175" i="6"/>
  <c r="F96" i="6"/>
  <c r="H96" i="6"/>
  <c r="G171" i="6"/>
  <c r="G73" i="6"/>
  <c r="G116" i="6"/>
  <c r="F39" i="6"/>
  <c r="H39" i="6"/>
  <c r="G144" i="6"/>
  <c r="F181" i="6"/>
  <c r="H181" i="6"/>
  <c r="G22" i="6"/>
  <c r="G81" i="6"/>
  <c r="F85" i="6"/>
  <c r="H85" i="6"/>
  <c r="G89" i="6"/>
  <c r="G52" i="6"/>
  <c r="F95" i="6"/>
  <c r="H95" i="6"/>
  <c r="F375" i="6"/>
  <c r="H375" i="6"/>
  <c r="G378" i="6"/>
  <c r="F167" i="6"/>
  <c r="H167" i="6"/>
  <c r="G96" i="6"/>
  <c r="F301" i="6"/>
  <c r="H301" i="6"/>
  <c r="F331" i="6"/>
  <c r="H331" i="6"/>
  <c r="I331" i="6"/>
  <c r="G319" i="6"/>
  <c r="G310" i="6"/>
  <c r="F296" i="6"/>
  <c r="H296" i="6"/>
  <c r="G322" i="6"/>
  <c r="G307" i="6"/>
  <c r="G320" i="6"/>
  <c r="I320" i="6"/>
  <c r="F313" i="6"/>
  <c r="H313" i="6"/>
  <c r="G95" i="6"/>
  <c r="G84" i="6"/>
  <c r="F61" i="6"/>
  <c r="H61" i="6"/>
  <c r="F143" i="6"/>
  <c r="H143" i="6"/>
  <c r="G183" i="6"/>
  <c r="I183" i="6"/>
  <c r="G78" i="6"/>
  <c r="F161" i="6"/>
  <c r="H161" i="6"/>
  <c r="G173" i="6"/>
  <c r="F60" i="6"/>
  <c r="H60" i="6"/>
  <c r="F160" i="6"/>
  <c r="H160" i="6"/>
  <c r="G68" i="6"/>
  <c r="G35" i="6"/>
  <c r="F25" i="6"/>
  <c r="H25" i="6"/>
  <c r="F48" i="6"/>
  <c r="H48" i="6"/>
  <c r="F115" i="6"/>
  <c r="H115" i="6"/>
  <c r="F122" i="6"/>
  <c r="H122" i="6"/>
  <c r="G174" i="6"/>
  <c r="F134" i="6"/>
  <c r="H134" i="6"/>
  <c r="G51" i="6"/>
  <c r="G167" i="6"/>
  <c r="F45" i="6"/>
  <c r="H45" i="6"/>
  <c r="F35" i="6"/>
  <c r="H35" i="6"/>
  <c r="I35" i="6"/>
  <c r="G149" i="6"/>
  <c r="G97" i="6"/>
  <c r="F136" i="6"/>
  <c r="H136" i="6"/>
  <c r="Z22" i="6"/>
  <c r="F377" i="6"/>
  <c r="H377" i="6"/>
  <c r="G321" i="6"/>
  <c r="F337" i="6"/>
  <c r="H337" i="6"/>
  <c r="I337" i="6"/>
  <c r="F319" i="6"/>
  <c r="H319" i="6"/>
  <c r="I319" i="6"/>
  <c r="F326" i="6"/>
  <c r="H326" i="6"/>
  <c r="I326" i="6"/>
  <c r="F327" i="6"/>
  <c r="H327" i="6"/>
  <c r="G156" i="6"/>
  <c r="G136" i="6"/>
  <c r="F155" i="6"/>
  <c r="H155" i="6"/>
  <c r="I155" i="6"/>
  <c r="F146" i="6"/>
  <c r="H146" i="6"/>
  <c r="I146" i="6"/>
  <c r="G147" i="6"/>
  <c r="G160" i="6"/>
  <c r="G146" i="6"/>
  <c r="F137" i="6"/>
  <c r="H137" i="6"/>
  <c r="G130" i="6"/>
  <c r="F118" i="6"/>
  <c r="H118" i="6"/>
  <c r="G111" i="6"/>
  <c r="F23" i="6"/>
  <c r="H23" i="6"/>
  <c r="G164" i="6"/>
  <c r="G23" i="6"/>
  <c r="I23" i="6"/>
  <c r="F176" i="6"/>
  <c r="H176" i="6"/>
  <c r="I176" i="6"/>
  <c r="G187" i="6"/>
  <c r="F101" i="6"/>
  <c r="H101" i="6"/>
  <c r="I101" i="6"/>
  <c r="F169" i="6"/>
  <c r="H169" i="6"/>
  <c r="F94" i="6"/>
  <c r="H94" i="6"/>
  <c r="I94" i="6"/>
  <c r="G323" i="6"/>
  <c r="F338" i="6"/>
  <c r="H338" i="6"/>
  <c r="I338" i="6"/>
  <c r="F298" i="6"/>
  <c r="H298" i="6"/>
  <c r="F289" i="6"/>
  <c r="H289" i="6"/>
  <c r="I289" i="6"/>
  <c r="F329" i="6"/>
  <c r="H329" i="6"/>
  <c r="F31" i="6"/>
  <c r="H31" i="6"/>
  <c r="I31" i="6"/>
  <c r="F37" i="6"/>
  <c r="H37" i="6"/>
  <c r="G114" i="6"/>
  <c r="F43" i="6"/>
  <c r="H43" i="6"/>
  <c r="I43" i="6"/>
  <c r="G33" i="6"/>
  <c r="I33" i="6"/>
  <c r="F40" i="6"/>
  <c r="H40" i="6"/>
  <c r="F131" i="6"/>
  <c r="H131" i="6"/>
  <c r="I131" i="6"/>
  <c r="G99" i="6"/>
  <c r="F121" i="6"/>
  <c r="H121" i="6"/>
  <c r="F145" i="6"/>
  <c r="H145" i="6"/>
  <c r="I145" i="6"/>
  <c r="G186" i="6"/>
  <c r="F172" i="6"/>
  <c r="H172" i="6"/>
  <c r="I172" i="6"/>
  <c r="F156" i="6"/>
  <c r="H156" i="6"/>
  <c r="I156" i="6"/>
  <c r="G119" i="6"/>
  <c r="G134" i="6"/>
  <c r="G100" i="6"/>
  <c r="F177" i="6"/>
  <c r="H177" i="6"/>
  <c r="I177" i="6"/>
  <c r="G129" i="6"/>
  <c r="G179" i="6"/>
  <c r="G316" i="6"/>
  <c r="G292" i="6"/>
  <c r="G303" i="6"/>
  <c r="F290" i="6"/>
  <c r="H290" i="6"/>
  <c r="G148" i="6"/>
  <c r="G26" i="6"/>
  <c r="G181" i="6"/>
  <c r="G41" i="6"/>
  <c r="G25" i="6"/>
  <c r="G43" i="6"/>
  <c r="F18" i="6"/>
  <c r="H18" i="6"/>
  <c r="I18" i="6"/>
  <c r="G55" i="6"/>
  <c r="F81" i="6"/>
  <c r="H81" i="6"/>
  <c r="I81" i="6"/>
  <c r="G59" i="6"/>
  <c r="G27" i="6"/>
  <c r="G188" i="6"/>
  <c r="F34" i="6"/>
  <c r="H34" i="6"/>
  <c r="I34" i="6"/>
  <c r="G128" i="6"/>
  <c r="F309" i="6"/>
  <c r="H309" i="6"/>
  <c r="F325" i="6"/>
  <c r="H325" i="6"/>
  <c r="F312" i="6"/>
  <c r="H312" i="6"/>
  <c r="F340" i="6"/>
  <c r="H340" i="6"/>
  <c r="I340" i="6"/>
  <c r="G298" i="6"/>
  <c r="G47" i="6"/>
  <c r="G109" i="6"/>
  <c r="F113" i="6"/>
  <c r="H113" i="6"/>
  <c r="G79" i="6"/>
  <c r="G189" i="6"/>
  <c r="F55" i="6"/>
  <c r="H55" i="6"/>
  <c r="I55" i="6"/>
  <c r="G61" i="6"/>
  <c r="G62" i="6"/>
  <c r="F69" i="6"/>
  <c r="H69" i="6"/>
  <c r="F56" i="6"/>
  <c r="H56" i="6"/>
  <c r="I56" i="6"/>
  <c r="F15" i="6"/>
  <c r="H15" i="6"/>
  <c r="I15" i="6"/>
  <c r="F75" i="6"/>
  <c r="H75" i="6"/>
  <c r="F27" i="6"/>
  <c r="H27" i="6"/>
  <c r="G330" i="6"/>
  <c r="G325" i="6"/>
  <c r="G157" i="6"/>
  <c r="F144" i="6"/>
  <c r="H144" i="6"/>
  <c r="I144" i="6"/>
  <c r="G150" i="6"/>
  <c r="I150" i="6"/>
  <c r="F147" i="6"/>
  <c r="H147" i="6"/>
  <c r="I147" i="6"/>
  <c r="F108" i="6"/>
  <c r="H108" i="6"/>
  <c r="G117" i="6"/>
  <c r="G133" i="6"/>
  <c r="F125" i="6"/>
  <c r="H125" i="6"/>
  <c r="F133" i="6"/>
  <c r="H133" i="6"/>
  <c r="I133" i="6"/>
  <c r="G106" i="6"/>
  <c r="F110" i="6"/>
  <c r="H110" i="6"/>
  <c r="F376" i="6"/>
  <c r="H376" i="6"/>
  <c r="G376" i="6"/>
  <c r="G379" i="6"/>
  <c r="F299" i="6"/>
  <c r="H299" i="6"/>
  <c r="I299" i="6"/>
  <c r="G309" i="6"/>
  <c r="F303" i="6"/>
  <c r="H303" i="6"/>
  <c r="I303" i="6"/>
  <c r="F310" i="6"/>
  <c r="H310" i="6"/>
  <c r="I310" i="6"/>
  <c r="G301" i="6"/>
  <c r="G311" i="6"/>
  <c r="G77" i="6"/>
  <c r="F68" i="6"/>
  <c r="H68" i="6"/>
  <c r="I68" i="6"/>
  <c r="F91" i="6"/>
  <c r="H91" i="6"/>
  <c r="F76" i="6"/>
  <c r="H76" i="6"/>
  <c r="G72" i="6"/>
  <c r="G85" i="6"/>
  <c r="F83" i="6"/>
  <c r="H83" i="6"/>
  <c r="G36" i="6"/>
  <c r="G58" i="6"/>
  <c r="G45" i="6"/>
  <c r="F62" i="6"/>
  <c r="H62" i="6"/>
  <c r="I62" i="6"/>
  <c r="F52" i="6"/>
  <c r="H52" i="6"/>
  <c r="I52" i="6"/>
  <c r="F41" i="6"/>
  <c r="H41" i="6"/>
  <c r="I41" i="6"/>
  <c r="F322" i="6"/>
  <c r="H322" i="6"/>
  <c r="I322" i="6"/>
  <c r="G329" i="6"/>
  <c r="G328" i="6"/>
  <c r="G138" i="6"/>
  <c r="F158" i="6"/>
  <c r="H158" i="6"/>
  <c r="I158" i="6"/>
  <c r="F154" i="6"/>
  <c r="H154" i="6"/>
  <c r="G161" i="6"/>
  <c r="F138" i="6"/>
  <c r="H138" i="6"/>
  <c r="I138" i="6"/>
  <c r="G137" i="6"/>
  <c r="I137" i="6"/>
  <c r="F151" i="6"/>
  <c r="H151" i="6"/>
  <c r="G113" i="6"/>
  <c r="I113" i="6"/>
  <c r="F116" i="6"/>
  <c r="H116" i="6"/>
  <c r="I116" i="6"/>
  <c r="G126" i="6"/>
  <c r="F117" i="6"/>
  <c r="H117" i="6"/>
  <c r="I117" i="6"/>
  <c r="G132" i="6"/>
  <c r="F107" i="6"/>
  <c r="H107" i="6"/>
  <c r="G377" i="6"/>
  <c r="F378" i="6"/>
  <c r="H378" i="6"/>
  <c r="I378" i="6"/>
  <c r="G372" i="6"/>
  <c r="G302" i="6"/>
  <c r="F297" i="6"/>
  <c r="H297" i="6"/>
  <c r="I297" i="6"/>
  <c r="G312" i="6"/>
  <c r="F311" i="6"/>
  <c r="H311" i="6"/>
  <c r="I311" i="6"/>
  <c r="F308" i="6"/>
  <c r="H308" i="6"/>
  <c r="G288" i="6"/>
  <c r="G313" i="6"/>
  <c r="G71" i="6"/>
  <c r="F90" i="6"/>
  <c r="H90" i="6"/>
  <c r="I90" i="6"/>
  <c r="G75" i="6"/>
  <c r="F72" i="6"/>
  <c r="H72" i="6"/>
  <c r="I72" i="6"/>
  <c r="F66" i="6"/>
  <c r="H66" i="6"/>
  <c r="G91" i="6"/>
  <c r="G70" i="6"/>
  <c r="F64" i="6"/>
  <c r="H64" i="6"/>
  <c r="G60" i="6"/>
  <c r="G50" i="6"/>
  <c r="F46" i="6"/>
  <c r="H46" i="6"/>
  <c r="F36" i="6"/>
  <c r="H36" i="6"/>
  <c r="I36" i="6"/>
  <c r="F58" i="6"/>
  <c r="H58" i="6"/>
  <c r="I58" i="6"/>
  <c r="F38" i="6"/>
  <c r="H38" i="6"/>
  <c r="I38" i="6"/>
  <c r="F189" i="6"/>
  <c r="H189" i="6"/>
  <c r="F187" i="6"/>
  <c r="H187" i="6"/>
  <c r="I187" i="6"/>
  <c r="G92" i="6"/>
  <c r="F124" i="6"/>
  <c r="H124" i="6"/>
  <c r="G290" i="6"/>
  <c r="F341" i="6"/>
  <c r="H341" i="6"/>
  <c r="I341" i="6"/>
  <c r="G46" i="6"/>
  <c r="F16" i="6"/>
  <c r="H16" i="6"/>
  <c r="G38" i="6"/>
  <c r="G118" i="6"/>
  <c r="F63" i="6"/>
  <c r="H63" i="6"/>
  <c r="G86" i="6"/>
  <c r="G39" i="6"/>
  <c r="G125" i="6"/>
  <c r="F178" i="6"/>
  <c r="H178" i="6"/>
  <c r="I178" i="6"/>
  <c r="G98" i="6"/>
  <c r="F306" i="6"/>
  <c r="H306" i="6"/>
  <c r="I306" i="6"/>
  <c r="G327" i="6"/>
  <c r="G88" i="6"/>
  <c r="F164" i="6"/>
  <c r="H164" i="6"/>
  <c r="I164" i="6"/>
  <c r="G37" i="6"/>
  <c r="F67" i="6"/>
  <c r="H67" i="6"/>
  <c r="F73" i="6"/>
  <c r="H73" i="6"/>
  <c r="I73" i="6"/>
  <c r="F379" i="6"/>
  <c r="H379" i="6"/>
  <c r="I379" i="6"/>
  <c r="F336" i="6"/>
  <c r="H336" i="6"/>
  <c r="I336" i="6"/>
  <c r="G308" i="6"/>
  <c r="G48" i="6"/>
  <c r="F104" i="6"/>
  <c r="H104" i="6"/>
  <c r="I104" i="6"/>
  <c r="G127" i="6"/>
  <c r="G28" i="6"/>
  <c r="G112" i="6"/>
  <c r="F82" i="6"/>
  <c r="H82" i="6"/>
  <c r="F373" i="6"/>
  <c r="H373" i="6"/>
  <c r="F324" i="6"/>
  <c r="H324" i="6"/>
  <c r="I324" i="6"/>
  <c r="G153" i="6"/>
  <c r="G154" i="6"/>
  <c r="F120" i="6"/>
  <c r="H120" i="6"/>
  <c r="I120" i="6"/>
  <c r="G110" i="6"/>
  <c r="F119" i="6"/>
  <c r="H119" i="6"/>
  <c r="I119" i="6"/>
  <c r="G380" i="6"/>
  <c r="G314" i="6"/>
  <c r="F295" i="6"/>
  <c r="H295" i="6"/>
  <c r="G66" i="6"/>
  <c r="F77" i="6"/>
  <c r="H77" i="6"/>
  <c r="I77" i="6"/>
  <c r="F80" i="6"/>
  <c r="H80" i="6"/>
  <c r="G40" i="6"/>
  <c r="I40" i="6"/>
  <c r="G44" i="6"/>
  <c r="F47" i="6"/>
  <c r="H47" i="6"/>
  <c r="I47" i="6"/>
  <c r="G63" i="6"/>
  <c r="G317" i="6"/>
  <c r="G141" i="6"/>
  <c r="G152" i="6"/>
  <c r="G159" i="6"/>
  <c r="F142" i="6"/>
  <c r="H142" i="6"/>
  <c r="G107" i="6"/>
  <c r="G124" i="6"/>
  <c r="G108" i="6"/>
  <c r="G373" i="6"/>
  <c r="G375" i="6"/>
  <c r="F307" i="6"/>
  <c r="H307" i="6"/>
  <c r="I307" i="6"/>
  <c r="G300" i="6"/>
  <c r="F89" i="6"/>
  <c r="H89" i="6"/>
  <c r="I89" i="6"/>
  <c r="G83" i="6"/>
  <c r="G87" i="6"/>
  <c r="G69" i="6"/>
  <c r="I69" i="6"/>
  <c r="F42" i="6"/>
  <c r="H42" i="6"/>
  <c r="I42" i="6"/>
  <c r="G42" i="6"/>
  <c r="F59" i="6"/>
  <c r="H59" i="6"/>
  <c r="I59" i="6"/>
  <c r="F97" i="6"/>
  <c r="H97" i="6"/>
  <c r="I97" i="6"/>
  <c r="F293" i="6"/>
  <c r="H293" i="6"/>
  <c r="G343" i="6"/>
  <c r="F17" i="6"/>
  <c r="H17" i="6"/>
  <c r="F152" i="6"/>
  <c r="H152" i="6"/>
  <c r="G121" i="6"/>
  <c r="F103" i="6"/>
  <c r="H103" i="6"/>
  <c r="F294" i="6"/>
  <c r="H294" i="6"/>
  <c r="I294" i="6"/>
  <c r="F157" i="6"/>
  <c r="H157" i="6"/>
  <c r="I157" i="6"/>
  <c r="F44" i="6"/>
  <c r="H44" i="6"/>
  <c r="I44" i="6"/>
  <c r="G64" i="6"/>
  <c r="F171" i="6"/>
  <c r="H171" i="6"/>
  <c r="I171" i="6"/>
  <c r="F343" i="6"/>
  <c r="H343" i="6"/>
  <c r="I343" i="6"/>
  <c r="G82" i="6"/>
  <c r="F50" i="6"/>
  <c r="H50" i="6"/>
  <c r="F123" i="6"/>
  <c r="H123" i="6"/>
  <c r="I123" i="6"/>
  <c r="G57" i="6"/>
  <c r="G151" i="6"/>
  <c r="G143" i="6"/>
  <c r="F380" i="6"/>
  <c r="H380" i="6"/>
  <c r="I380" i="6"/>
  <c r="F315" i="6"/>
  <c r="H315" i="6"/>
  <c r="I315" i="6"/>
  <c r="F71" i="6"/>
  <c r="H71" i="6"/>
  <c r="I71" i="6"/>
  <c r="G49" i="6"/>
  <c r="G142" i="6"/>
  <c r="G135" i="6"/>
  <c r="F106" i="6"/>
  <c r="H106" i="6"/>
  <c r="I106" i="6"/>
  <c r="F111" i="6"/>
  <c r="H111" i="6"/>
  <c r="I111" i="6"/>
  <c r="G374" i="6"/>
  <c r="F288" i="6"/>
  <c r="H288" i="6"/>
  <c r="I288" i="6"/>
  <c r="F86" i="6"/>
  <c r="H86" i="6"/>
  <c r="I86" i="6"/>
  <c r="F70" i="6"/>
  <c r="H70" i="6"/>
  <c r="I70" i="6"/>
  <c r="F74" i="6"/>
  <c r="H74" i="6"/>
  <c r="I74" i="6"/>
  <c r="F51" i="6"/>
  <c r="H51" i="6"/>
  <c r="I51" i="6"/>
  <c r="G16" i="6"/>
  <c r="F314" i="6"/>
  <c r="H314" i="6"/>
  <c r="F182" i="6"/>
  <c r="H182" i="6"/>
  <c r="I182" i="6"/>
  <c r="F49" i="6"/>
  <c r="H49" i="6"/>
  <c r="I49" i="6"/>
  <c r="F332" i="6"/>
  <c r="H332" i="6"/>
  <c r="I332" i="6"/>
  <c r="G17" i="6"/>
  <c r="G103" i="6"/>
  <c r="F153" i="6"/>
  <c r="H153" i="6"/>
  <c r="I153" i="6"/>
  <c r="F140" i="6"/>
  <c r="H140" i="6"/>
  <c r="I140" i="6"/>
  <c r="F139" i="6"/>
  <c r="H139" i="6"/>
  <c r="I139" i="6"/>
  <c r="G115" i="6"/>
  <c r="G295" i="6"/>
  <c r="F79" i="6"/>
  <c r="H79" i="6"/>
  <c r="I79" i="6"/>
  <c r="F330" i="6"/>
  <c r="H330" i="6"/>
  <c r="I330" i="6"/>
  <c r="F159" i="6"/>
  <c r="H159" i="6"/>
  <c r="I159" i="6"/>
  <c r="F374" i="6"/>
  <c r="H374" i="6"/>
  <c r="G293" i="6"/>
  <c r="I293" i="6"/>
  <c r="G65" i="6"/>
  <c r="G54" i="6"/>
  <c r="F185" i="6"/>
  <c r="H185" i="6"/>
  <c r="I185" i="6"/>
  <c r="F130" i="6"/>
  <c r="H130" i="6"/>
  <c r="I130" i="6"/>
  <c r="F141" i="6"/>
  <c r="H141" i="6"/>
  <c r="I141" i="6"/>
  <c r="F112" i="6"/>
  <c r="H112" i="6"/>
  <c r="I112" i="6"/>
  <c r="G76" i="6"/>
  <c r="F291" i="6"/>
  <c r="H291" i="6"/>
  <c r="I291" i="6"/>
  <c r="F78" i="6"/>
  <c r="H78" i="6"/>
  <c r="I78" i="6"/>
  <c r="G334" i="6"/>
  <c r="F132" i="6"/>
  <c r="H132" i="6"/>
  <c r="I132" i="6"/>
  <c r="F372" i="6"/>
  <c r="H372" i="6"/>
  <c r="I372" i="6"/>
  <c r="G80" i="6"/>
  <c r="F54" i="6"/>
  <c r="H54" i="6"/>
  <c r="I54" i="6"/>
  <c r="F148" i="6"/>
  <c r="H148" i="6"/>
  <c r="I148" i="6"/>
  <c r="G122" i="6"/>
  <c r="G296" i="6"/>
  <c r="G67" i="6"/>
  <c r="F53" i="6"/>
  <c r="H53" i="6"/>
  <c r="I53" i="6"/>
  <c r="T30" i="6"/>
  <c r="R34" i="6"/>
  <c r="S32" i="6"/>
  <c r="R32" i="6"/>
  <c r="R37" i="6"/>
  <c r="Q34" i="6"/>
  <c r="S30" i="6"/>
  <c r="Q30" i="6"/>
  <c r="P32" i="6"/>
  <c r="P37" i="6"/>
  <c r="O34" i="6"/>
  <c r="O30" i="6"/>
  <c r="N32" i="6"/>
  <c r="M34" i="6"/>
  <c r="L28" i="6"/>
  <c r="M30" i="6"/>
  <c r="M36" i="6"/>
  <c r="M32" i="6"/>
  <c r="N30" i="6"/>
  <c r="N36" i="6"/>
  <c r="Y49" i="6"/>
  <c r="AA45" i="6"/>
  <c r="Z47" i="6"/>
  <c r="X34" i="6"/>
  <c r="Y32" i="6"/>
  <c r="Z30" i="6"/>
  <c r="X32" i="6"/>
  <c r="X37" i="6"/>
  <c r="Y30" i="6"/>
  <c r="W34" i="6"/>
  <c r="X30" i="6"/>
  <c r="W32" i="6"/>
  <c r="T34" i="6"/>
  <c r="V30" i="6"/>
  <c r="V36" i="6"/>
  <c r="U32" i="6"/>
  <c r="U37" i="6"/>
  <c r="U30" i="6"/>
  <c r="U36" i="6"/>
  <c r="S34" i="6"/>
  <c r="S37" i="6"/>
  <c r="T32" i="6"/>
  <c r="N34" i="6"/>
  <c r="P30" i="6"/>
  <c r="P36" i="6"/>
  <c r="O32" i="6"/>
  <c r="O37" i="6"/>
  <c r="N21" i="6"/>
  <c r="N22" i="6"/>
  <c r="AA47" i="6"/>
  <c r="Z49" i="6"/>
  <c r="Z52" i="6"/>
  <c r="AB43" i="6"/>
  <c r="AA49" i="6"/>
  <c r="AL21" i="6"/>
  <c r="AL22" i="6"/>
  <c r="F361" i="6"/>
  <c r="H361" i="6"/>
  <c r="G346" i="6"/>
  <c r="F356" i="6"/>
  <c r="H356" i="6"/>
  <c r="F370" i="6"/>
  <c r="H370" i="6"/>
  <c r="F364" i="6"/>
  <c r="H364" i="6"/>
  <c r="F367" i="6"/>
  <c r="H367" i="6"/>
  <c r="G355" i="6"/>
  <c r="F350" i="6"/>
  <c r="H350" i="6"/>
  <c r="F371" i="6"/>
  <c r="H371" i="6"/>
  <c r="F360" i="6"/>
  <c r="H360" i="6"/>
  <c r="F353" i="6"/>
  <c r="H353" i="6"/>
  <c r="F366" i="6"/>
  <c r="H366" i="6"/>
  <c r="G371" i="6"/>
  <c r="G347" i="6"/>
  <c r="F368" i="6"/>
  <c r="H368" i="6"/>
  <c r="G354" i="6"/>
  <c r="G370" i="6"/>
  <c r="G344" i="6"/>
  <c r="G358" i="6"/>
  <c r="G366" i="6"/>
  <c r="F354" i="6"/>
  <c r="H354" i="6"/>
  <c r="F363" i="6"/>
  <c r="H363" i="6"/>
  <c r="F358" i="6"/>
  <c r="H358" i="6"/>
  <c r="I358" i="6"/>
  <c r="F365" i="6"/>
  <c r="H365" i="6"/>
  <c r="G345" i="6"/>
  <c r="F345" i="6"/>
  <c r="H345" i="6"/>
  <c r="G369" i="6"/>
  <c r="G356" i="6"/>
  <c r="F355" i="6"/>
  <c r="H355" i="6"/>
  <c r="I355" i="6"/>
  <c r="F352" i="6"/>
  <c r="H352" i="6"/>
  <c r="G360" i="6"/>
  <c r="G359" i="6"/>
  <c r="F362" i="6"/>
  <c r="H362" i="6"/>
  <c r="G367" i="6"/>
  <c r="G349" i="6"/>
  <c r="G362" i="6"/>
  <c r="F344" i="6"/>
  <c r="H344" i="6"/>
  <c r="G363" i="6"/>
  <c r="G353" i="6"/>
  <c r="G357" i="6"/>
  <c r="G348" i="6"/>
  <c r="F346" i="6"/>
  <c r="H346" i="6"/>
  <c r="I346" i="6"/>
  <c r="G350" i="6"/>
  <c r="G352" i="6"/>
  <c r="F357" i="6"/>
  <c r="H357" i="6"/>
  <c r="G368" i="6"/>
  <c r="F351" i="6"/>
  <c r="H351" i="6"/>
  <c r="F348" i="6"/>
  <c r="H348" i="6"/>
  <c r="F349" i="6"/>
  <c r="H349" i="6"/>
  <c r="I349" i="6"/>
  <c r="G361" i="6"/>
  <c r="G364" i="6"/>
  <c r="F347" i="6"/>
  <c r="H347" i="6"/>
  <c r="I347" i="6"/>
  <c r="G351" i="6"/>
  <c r="F369" i="6"/>
  <c r="H369" i="6"/>
  <c r="F359" i="6"/>
  <c r="H359" i="6"/>
  <c r="G365" i="6"/>
  <c r="U49" i="6"/>
  <c r="V47" i="6"/>
  <c r="V52" i="6"/>
  <c r="W45" i="6"/>
  <c r="W51" i="6"/>
  <c r="V45" i="6"/>
  <c r="V51" i="6"/>
  <c r="U47" i="6"/>
  <c r="T49" i="6"/>
  <c r="T52" i="6"/>
  <c r="AA21" i="6"/>
  <c r="AA22" i="6"/>
  <c r="G190" i="6"/>
  <c r="F190" i="6"/>
  <c r="H190" i="6"/>
  <c r="I21" i="6"/>
  <c r="Z32" i="6"/>
  <c r="Y34" i="6"/>
  <c r="Y37" i="6"/>
  <c r="AA30" i="6"/>
  <c r="AA36" i="6"/>
  <c r="W49" i="6"/>
  <c r="W52" i="6"/>
  <c r="X47" i="6"/>
  <c r="Y45" i="6"/>
  <c r="Y51" i="6"/>
  <c r="AC22" i="6"/>
  <c r="AC21" i="6"/>
  <c r="F258" i="6"/>
  <c r="H258" i="6"/>
  <c r="F263" i="6"/>
  <c r="H263" i="6"/>
  <c r="G270" i="6"/>
  <c r="F254" i="6"/>
  <c r="H254" i="6"/>
  <c r="F236" i="6"/>
  <c r="H236" i="6"/>
  <c r="G200" i="6"/>
  <c r="F281" i="6"/>
  <c r="H281" i="6"/>
  <c r="F253" i="6"/>
  <c r="H253" i="6"/>
  <c r="F260" i="6"/>
  <c r="H260" i="6"/>
  <c r="F237" i="6"/>
  <c r="H237" i="6"/>
  <c r="F196" i="6"/>
  <c r="H196" i="6"/>
  <c r="F264" i="6"/>
  <c r="H264" i="6"/>
  <c r="F280" i="6"/>
  <c r="H280" i="6"/>
  <c r="F195" i="6"/>
  <c r="H195" i="6"/>
  <c r="G258" i="6"/>
  <c r="G192" i="6"/>
  <c r="F285" i="6"/>
  <c r="H285" i="6"/>
  <c r="F249" i="6"/>
  <c r="H249" i="6"/>
  <c r="G191" i="6"/>
  <c r="F261" i="6"/>
  <c r="H261" i="6"/>
  <c r="G285" i="6"/>
  <c r="G199" i="6"/>
  <c r="G241" i="6"/>
  <c r="F201" i="6"/>
  <c r="H201" i="6"/>
  <c r="F265" i="6"/>
  <c r="H265" i="6"/>
  <c r="F238" i="6"/>
  <c r="H238" i="6"/>
  <c r="G261" i="6"/>
  <c r="G263" i="6"/>
  <c r="G287" i="6"/>
  <c r="F271" i="6"/>
  <c r="H271" i="6"/>
  <c r="F279" i="6"/>
  <c r="H279" i="6"/>
  <c r="F276" i="6"/>
  <c r="H276" i="6"/>
  <c r="G196" i="6"/>
  <c r="F197" i="6"/>
  <c r="H197" i="6"/>
  <c r="F247" i="6"/>
  <c r="H247" i="6"/>
  <c r="G243" i="6"/>
  <c r="G201" i="6"/>
  <c r="G238" i="6"/>
  <c r="F192" i="6"/>
  <c r="H192" i="6"/>
  <c r="I192" i="6"/>
  <c r="F199" i="6"/>
  <c r="H199" i="6"/>
  <c r="I199" i="6"/>
  <c r="G254" i="6"/>
  <c r="G275" i="6"/>
  <c r="G235" i="6"/>
  <c r="G203" i="6"/>
  <c r="F234" i="6"/>
  <c r="H234" i="6"/>
  <c r="F256" i="6"/>
  <c r="H256" i="6"/>
  <c r="G280" i="6"/>
  <c r="F286" i="6"/>
  <c r="H286" i="6"/>
  <c r="F272" i="6"/>
  <c r="H272" i="6"/>
  <c r="F193" i="6"/>
  <c r="H193" i="6"/>
  <c r="G244" i="6"/>
  <c r="F235" i="6"/>
  <c r="H235" i="6"/>
  <c r="G256" i="6"/>
  <c r="G236" i="6"/>
  <c r="G251" i="6"/>
  <c r="G253" i="6"/>
  <c r="G284" i="6"/>
  <c r="G246" i="6"/>
  <c r="F242" i="6"/>
  <c r="H242" i="6"/>
  <c r="F246" i="6"/>
  <c r="H246" i="6"/>
  <c r="I246" i="6"/>
  <c r="F287" i="6"/>
  <c r="H287" i="6"/>
  <c r="I287" i="6"/>
  <c r="F250" i="6"/>
  <c r="H250" i="6"/>
  <c r="G257" i="6"/>
  <c r="G262" i="6"/>
  <c r="F245" i="6"/>
  <c r="H245" i="6"/>
  <c r="F241" i="6"/>
  <c r="H241" i="6"/>
  <c r="F243" i="6"/>
  <c r="H243" i="6"/>
  <c r="I243" i="6"/>
  <c r="F283" i="6"/>
  <c r="H283" i="6"/>
  <c r="G271" i="6"/>
  <c r="G259" i="6"/>
  <c r="G282" i="6"/>
  <c r="G269" i="6"/>
  <c r="G277" i="6"/>
  <c r="F259" i="6"/>
  <c r="H259" i="6"/>
  <c r="I259" i="6"/>
  <c r="G233" i="6"/>
  <c r="F278" i="6"/>
  <c r="H278" i="6"/>
  <c r="G237" i="6"/>
  <c r="G239" i="6"/>
  <c r="F269" i="6"/>
  <c r="H269" i="6"/>
  <c r="I269" i="6"/>
  <c r="G276" i="6"/>
  <c r="G266" i="6"/>
  <c r="F244" i="6"/>
  <c r="H244" i="6"/>
  <c r="G194" i="6"/>
  <c r="G264" i="6"/>
  <c r="G218" i="6"/>
  <c r="G212" i="6"/>
  <c r="G215" i="6"/>
  <c r="G208" i="6"/>
  <c r="F228" i="6"/>
  <c r="H228" i="6"/>
  <c r="F222" i="6"/>
  <c r="H222" i="6"/>
  <c r="F248" i="6"/>
  <c r="H248" i="6"/>
  <c r="F200" i="6"/>
  <c r="H200" i="6"/>
  <c r="I200" i="6"/>
  <c r="G207" i="6"/>
  <c r="F206" i="6"/>
  <c r="H206" i="6"/>
  <c r="G210" i="6"/>
  <c r="G278" i="6"/>
  <c r="F216" i="6"/>
  <c r="H216" i="6"/>
  <c r="G222" i="6"/>
  <c r="F194" i="6"/>
  <c r="H194" i="6"/>
  <c r="I194" i="6"/>
  <c r="G225" i="6"/>
  <c r="F209" i="6"/>
  <c r="H209" i="6"/>
  <c r="F225" i="6"/>
  <c r="H225" i="6"/>
  <c r="I225" i="6"/>
  <c r="F273" i="6"/>
  <c r="H273" i="6"/>
  <c r="G245" i="6"/>
  <c r="G193" i="6"/>
  <c r="G232" i="6"/>
  <c r="G255" i="6"/>
  <c r="F203" i="6"/>
  <c r="H203" i="6"/>
  <c r="I203" i="6"/>
  <c r="G286" i="6"/>
  <c r="G272" i="6"/>
  <c r="F255" i="6"/>
  <c r="H255" i="6"/>
  <c r="I255" i="6"/>
  <c r="F232" i="6"/>
  <c r="H232" i="6"/>
  <c r="I232" i="6"/>
  <c r="G252" i="6"/>
  <c r="G223" i="6"/>
  <c r="F233" i="6"/>
  <c r="H233" i="6"/>
  <c r="I233" i="6"/>
  <c r="F275" i="6"/>
  <c r="H275" i="6"/>
  <c r="I275" i="6"/>
  <c r="F204" i="6"/>
  <c r="H204" i="6"/>
  <c r="F223" i="6"/>
  <c r="H223" i="6"/>
  <c r="I223" i="6"/>
  <c r="G229" i="6"/>
  <c r="F230" i="6"/>
  <c r="H230" i="6"/>
  <c r="F208" i="6"/>
  <c r="H208" i="6"/>
  <c r="I208" i="6"/>
  <c r="G213" i="6"/>
  <c r="F218" i="6"/>
  <c r="H218" i="6"/>
  <c r="I218" i="6"/>
  <c r="G220" i="6"/>
  <c r="G281" i="6"/>
  <c r="G205" i="6"/>
  <c r="G228" i="6"/>
  <c r="G230" i="6"/>
  <c r="G216" i="6"/>
  <c r="G209" i="6"/>
  <c r="F239" i="6"/>
  <c r="H239" i="6"/>
  <c r="I239" i="6"/>
  <c r="G273" i="6"/>
  <c r="F215" i="6"/>
  <c r="H215" i="6"/>
  <c r="I215" i="6"/>
  <c r="F202" i="6"/>
  <c r="H202" i="6"/>
  <c r="G260" i="6"/>
  <c r="G202" i="6"/>
  <c r="G274" i="6"/>
  <c r="G197" i="6"/>
  <c r="F191" i="6"/>
  <c r="H191" i="6"/>
  <c r="I191" i="6"/>
  <c r="F270" i="6"/>
  <c r="H270" i="6"/>
  <c r="F277" i="6"/>
  <c r="H277" i="6"/>
  <c r="I277" i="6"/>
  <c r="F266" i="6"/>
  <c r="H266" i="6"/>
  <c r="G195" i="6"/>
  <c r="F251" i="6"/>
  <c r="H251" i="6"/>
  <c r="G250" i="6"/>
  <c r="F282" i="6"/>
  <c r="H282" i="6"/>
  <c r="F212" i="6"/>
  <c r="H212" i="6"/>
  <c r="I212" i="6"/>
  <c r="F221" i="6"/>
  <c r="H221" i="6"/>
  <c r="G227" i="6"/>
  <c r="F207" i="6"/>
  <c r="H207" i="6"/>
  <c r="F226" i="6"/>
  <c r="H226" i="6"/>
  <c r="G219" i="6"/>
  <c r="G224" i="6"/>
  <c r="G226" i="6"/>
  <c r="G211" i="6"/>
  <c r="G249" i="6"/>
  <c r="G217" i="6"/>
  <c r="G231" i="6"/>
  <c r="G268" i="6"/>
  <c r="G204" i="6"/>
  <c r="G234" i="6"/>
  <c r="G247" i="6"/>
  <c r="F198" i="6"/>
  <c r="H198" i="6"/>
  <c r="F240" i="6"/>
  <c r="H240" i="6"/>
  <c r="F262" i="6"/>
  <c r="H262" i="6"/>
  <c r="I262" i="6"/>
  <c r="F284" i="6"/>
  <c r="H284" i="6"/>
  <c r="F257" i="6"/>
  <c r="H257" i="6"/>
  <c r="I257" i="6"/>
  <c r="F267" i="6"/>
  <c r="H267" i="6"/>
  <c r="G242" i="6"/>
  <c r="G267" i="6"/>
  <c r="G240" i="6"/>
  <c r="G198" i="6"/>
  <c r="G279" i="6"/>
  <c r="F268" i="6"/>
  <c r="H268" i="6"/>
  <c r="G283" i="6"/>
  <c r="G248" i="6"/>
  <c r="F211" i="6"/>
  <c r="H211" i="6"/>
  <c r="I211" i="6"/>
  <c r="F217" i="6"/>
  <c r="H217" i="6"/>
  <c r="G206" i="6"/>
  <c r="F227" i="6"/>
  <c r="H227" i="6"/>
  <c r="F214" i="6"/>
  <c r="H214" i="6"/>
  <c r="F220" i="6"/>
  <c r="H220" i="6"/>
  <c r="I220" i="6"/>
  <c r="F229" i="6"/>
  <c r="H229" i="6"/>
  <c r="I229" i="6"/>
  <c r="F219" i="6"/>
  <c r="H219" i="6"/>
  <c r="I219" i="6"/>
  <c r="F252" i="6"/>
  <c r="H252" i="6"/>
  <c r="I252" i="6"/>
  <c r="G221" i="6"/>
  <c r="F231" i="6"/>
  <c r="H231" i="6"/>
  <c r="I231" i="6"/>
  <c r="F224" i="6"/>
  <c r="H224" i="6"/>
  <c r="F213" i="6"/>
  <c r="H213" i="6"/>
  <c r="I213" i="6"/>
  <c r="F205" i="6"/>
  <c r="H205" i="6"/>
  <c r="I205" i="6"/>
  <c r="F274" i="6"/>
  <c r="H274" i="6"/>
  <c r="I274" i="6"/>
  <c r="G265" i="6"/>
  <c r="F210" i="6"/>
  <c r="H210" i="6"/>
  <c r="I210" i="6"/>
  <c r="G214" i="6"/>
  <c r="M52" i="6"/>
  <c r="AU35" i="6"/>
  <c r="AW35" i="6"/>
  <c r="AU34" i="6"/>
  <c r="AW34" i="6"/>
  <c r="AU29" i="6"/>
  <c r="AW29" i="6"/>
  <c r="AU28" i="6"/>
  <c r="AW28" i="6"/>
  <c r="AU27" i="6"/>
  <c r="AW27" i="6"/>
  <c r="AU26" i="6"/>
  <c r="AW26" i="6"/>
  <c r="AV32" i="6"/>
  <c r="AU15" i="6"/>
  <c r="AV28" i="6"/>
  <c r="AU19" i="6"/>
  <c r="AW19" i="6"/>
  <c r="AU18" i="6"/>
  <c r="AW18" i="6"/>
  <c r="AV35" i="6"/>
  <c r="AV19" i="6"/>
  <c r="AV23" i="6"/>
  <c r="AU33" i="6"/>
  <c r="AW33" i="6"/>
  <c r="AU22" i="6"/>
  <c r="AW22" i="6"/>
  <c r="AU16" i="6"/>
  <c r="AW16" i="6"/>
  <c r="AV22" i="6"/>
  <c r="AV34" i="6"/>
  <c r="AV17" i="6"/>
  <c r="AV21" i="6"/>
  <c r="AV15" i="6"/>
  <c r="AV26" i="6"/>
  <c r="AV25" i="6"/>
  <c r="AV18" i="6"/>
  <c r="AV24" i="6"/>
  <c r="AU25" i="6"/>
  <c r="AW25" i="6"/>
  <c r="AU24" i="6"/>
  <c r="AW24" i="6"/>
  <c r="AX24" i="6"/>
  <c r="AV20" i="6"/>
  <c r="AU21" i="6"/>
  <c r="AW21" i="6"/>
  <c r="AU20" i="6"/>
  <c r="AW20" i="6"/>
  <c r="AX20" i="6"/>
  <c r="AV27" i="6"/>
  <c r="AU31" i="6"/>
  <c r="AW31" i="6"/>
  <c r="AU30" i="6"/>
  <c r="AW30" i="6"/>
  <c r="AV31" i="6"/>
  <c r="AV16" i="6"/>
  <c r="AV29" i="6"/>
  <c r="AU32" i="6"/>
  <c r="AW32" i="6"/>
  <c r="AU23" i="6"/>
  <c r="AW23" i="6"/>
  <c r="AV30" i="6"/>
  <c r="AU17" i="6"/>
  <c r="AW17" i="6"/>
  <c r="AV33" i="6"/>
  <c r="Q37" i="6"/>
  <c r="AQ98" i="6"/>
  <c r="AQ125" i="6"/>
  <c r="AP94" i="6"/>
  <c r="AR94" i="6"/>
  <c r="AP82" i="6"/>
  <c r="AR82" i="6"/>
  <c r="AQ128" i="6"/>
  <c r="AP100" i="6"/>
  <c r="AR100" i="6"/>
  <c r="AP127" i="6"/>
  <c r="AR127" i="6"/>
  <c r="AP93" i="6"/>
  <c r="AR93" i="6"/>
  <c r="AP110" i="6"/>
  <c r="AR110" i="6"/>
  <c r="AP80" i="6"/>
  <c r="AR80" i="6"/>
  <c r="AQ95" i="6"/>
  <c r="AQ92" i="6"/>
  <c r="AQ113" i="6"/>
  <c r="AP84" i="6"/>
  <c r="AR84" i="6"/>
  <c r="AP117" i="6"/>
  <c r="AR117" i="6"/>
  <c r="AP101" i="6"/>
  <c r="AR101" i="6"/>
  <c r="AQ83" i="6"/>
  <c r="AQ87" i="6"/>
  <c r="AP116" i="6"/>
  <c r="AR116" i="6"/>
  <c r="AP123" i="6"/>
  <c r="AR123" i="6"/>
  <c r="AQ112" i="6"/>
  <c r="AQ84" i="6"/>
  <c r="AP107" i="6"/>
  <c r="AR107" i="6"/>
  <c r="AP118" i="6"/>
  <c r="AR118" i="6"/>
  <c r="AQ79" i="6"/>
  <c r="AP103" i="6"/>
  <c r="AR103" i="6"/>
  <c r="AQ107" i="6"/>
  <c r="AQ97" i="6"/>
  <c r="AP98" i="6"/>
  <c r="AR98" i="6"/>
  <c r="AS98" i="6"/>
  <c r="AQ115" i="6"/>
  <c r="AQ91" i="6"/>
  <c r="AQ82" i="6"/>
  <c r="AQ111" i="6"/>
  <c r="AQ119" i="6"/>
  <c r="AQ93" i="6"/>
  <c r="AP131" i="6"/>
  <c r="AR131" i="6"/>
  <c r="AQ106" i="6"/>
  <c r="AP105" i="6"/>
  <c r="AR105" i="6"/>
  <c r="AP78" i="6"/>
  <c r="AQ81" i="6"/>
  <c r="AP86" i="6"/>
  <c r="AR86" i="6"/>
  <c r="AQ105" i="6"/>
  <c r="AP109" i="6"/>
  <c r="AR109" i="6"/>
  <c r="AQ96" i="6"/>
  <c r="AQ120" i="6"/>
  <c r="AP121" i="6"/>
  <c r="AR121" i="6"/>
  <c r="AQ100" i="6"/>
  <c r="AQ103" i="6"/>
  <c r="AQ94" i="6"/>
  <c r="AQ110" i="6"/>
  <c r="AP119" i="6"/>
  <c r="AR119" i="6"/>
  <c r="AQ122" i="6"/>
  <c r="AQ133" i="6"/>
  <c r="AP106" i="6"/>
  <c r="AR106" i="6"/>
  <c r="AP88" i="6"/>
  <c r="AR88" i="6"/>
  <c r="AQ124" i="6"/>
  <c r="AP92" i="6"/>
  <c r="AR92" i="6"/>
  <c r="AP79" i="6"/>
  <c r="AR79" i="6"/>
  <c r="AP132" i="6"/>
  <c r="AR132" i="6"/>
  <c r="AP96" i="6"/>
  <c r="AR96" i="6"/>
  <c r="AS96" i="6"/>
  <c r="AP126" i="6"/>
  <c r="AR126" i="6"/>
  <c r="AP85" i="6"/>
  <c r="AR85" i="6"/>
  <c r="AQ131" i="6"/>
  <c r="AP128" i="6"/>
  <c r="AR128" i="6"/>
  <c r="AS128" i="6"/>
  <c r="AP95" i="6"/>
  <c r="AR95" i="6"/>
  <c r="AS95" i="6"/>
  <c r="AQ85" i="6"/>
  <c r="AQ109" i="6"/>
  <c r="AP99" i="6"/>
  <c r="AR99" i="6"/>
  <c r="AQ132" i="6"/>
  <c r="AQ88" i="6"/>
  <c r="AP81" i="6"/>
  <c r="AR81" i="6"/>
  <c r="AQ129" i="6"/>
  <c r="AP130" i="6"/>
  <c r="AR130" i="6"/>
  <c r="AP122" i="6"/>
  <c r="AR122" i="6"/>
  <c r="AS122" i="6"/>
  <c r="AQ117" i="6"/>
  <c r="AP120" i="6"/>
  <c r="AR120" i="6"/>
  <c r="AQ90" i="6"/>
  <c r="AQ78" i="6"/>
  <c r="AP133" i="6"/>
  <c r="AR133" i="6"/>
  <c r="AS133" i="6"/>
  <c r="AP114" i="6"/>
  <c r="AR114" i="6"/>
  <c r="AP91" i="6"/>
  <c r="AR91" i="6"/>
  <c r="AS91" i="6"/>
  <c r="AP113" i="6"/>
  <c r="AR113" i="6"/>
  <c r="AS113" i="6"/>
  <c r="AQ104" i="6"/>
  <c r="AQ89" i="6"/>
  <c r="AQ86" i="6"/>
  <c r="AQ101" i="6"/>
  <c r="AQ114" i="6"/>
  <c r="AP87" i="6"/>
  <c r="AR87" i="6"/>
  <c r="AS87" i="6"/>
  <c r="AQ130" i="6"/>
  <c r="AP89" i="6"/>
  <c r="AR89" i="6"/>
  <c r="AS89" i="6"/>
  <c r="AP104" i="6"/>
  <c r="AR104" i="6"/>
  <c r="AS104" i="6"/>
  <c r="AP97" i="6"/>
  <c r="AR97" i="6"/>
  <c r="AS97" i="6"/>
  <c r="AP102" i="6"/>
  <c r="AR102" i="6"/>
  <c r="AQ121" i="6"/>
  <c r="AQ116" i="6"/>
  <c r="AP83" i="6"/>
  <c r="AR83" i="6"/>
  <c r="AS83" i="6"/>
  <c r="AQ118" i="6"/>
  <c r="AP125" i="6"/>
  <c r="AR125" i="6"/>
  <c r="AS125" i="6"/>
  <c r="AP108" i="6"/>
  <c r="AR108" i="6"/>
  <c r="AQ123" i="6"/>
  <c r="AP112" i="6"/>
  <c r="AR112" i="6"/>
  <c r="AS112" i="6"/>
  <c r="AP111" i="6"/>
  <c r="AR111" i="6"/>
  <c r="AS111" i="6"/>
  <c r="AQ80" i="6"/>
  <c r="AQ99" i="6"/>
  <c r="AQ108" i="6"/>
  <c r="AP115" i="6"/>
  <c r="AR115" i="6"/>
  <c r="AS115" i="6"/>
  <c r="AQ126" i="6"/>
  <c r="AP124" i="6"/>
  <c r="AR124" i="6"/>
  <c r="AS124" i="6"/>
  <c r="AP90" i="6"/>
  <c r="AR90" i="6"/>
  <c r="AS90" i="6"/>
  <c r="AQ127" i="6"/>
  <c r="AQ102" i="6"/>
  <c r="AP129" i="6"/>
  <c r="AR129" i="6"/>
  <c r="AS129" i="6"/>
  <c r="Q36" i="6"/>
  <c r="AV72" i="6"/>
  <c r="AV56" i="6"/>
  <c r="AV40" i="6"/>
  <c r="AU70" i="6"/>
  <c r="AW70" i="6"/>
  <c r="AU65" i="6"/>
  <c r="AW65" i="6"/>
  <c r="AU63" i="6"/>
  <c r="AW63" i="6"/>
  <c r="AU48" i="6"/>
  <c r="AW48" i="6"/>
  <c r="AX48" i="6"/>
  <c r="AV78" i="6"/>
  <c r="AV62" i="6"/>
  <c r="AV46" i="6"/>
  <c r="AV89" i="6"/>
  <c r="AU88" i="6"/>
  <c r="AW88" i="6"/>
  <c r="AU85" i="6"/>
  <c r="AW85" i="6"/>
  <c r="AX85" i="6"/>
  <c r="AU82" i="6"/>
  <c r="AW82" i="6"/>
  <c r="AU69" i="6"/>
  <c r="AW69" i="6"/>
  <c r="AX69" i="6"/>
  <c r="AV61" i="6"/>
  <c r="AU86" i="6"/>
  <c r="AW86" i="6"/>
  <c r="AX86" i="6"/>
  <c r="AV84" i="6"/>
  <c r="AV52" i="6"/>
  <c r="AU89" i="6"/>
  <c r="AW89" i="6"/>
  <c r="AU51" i="6"/>
  <c r="AW51" i="6"/>
  <c r="AX51" i="6"/>
  <c r="AV82" i="6"/>
  <c r="AV50" i="6"/>
  <c r="AU71" i="6"/>
  <c r="AW71" i="6"/>
  <c r="AU56" i="6"/>
  <c r="AW56" i="6"/>
  <c r="AX56" i="6"/>
  <c r="AV79" i="6"/>
  <c r="AV47" i="6"/>
  <c r="AU77" i="6"/>
  <c r="AW77" i="6"/>
  <c r="AU75" i="6"/>
  <c r="AW75" i="6"/>
  <c r="AU74" i="6"/>
  <c r="AW74" i="6"/>
  <c r="AU45" i="6"/>
  <c r="AW45" i="6"/>
  <c r="AX45" i="6"/>
  <c r="AU43" i="6"/>
  <c r="AW43" i="6"/>
  <c r="AU42" i="6"/>
  <c r="AW42" i="6"/>
  <c r="AX42" i="6"/>
  <c r="AV86" i="6"/>
  <c r="AV67" i="6"/>
  <c r="AV51" i="6"/>
  <c r="AV87" i="6"/>
  <c r="AU81" i="6"/>
  <c r="AW81" i="6"/>
  <c r="AU79" i="6"/>
  <c r="AW79" i="6"/>
  <c r="AX79" i="6"/>
  <c r="AU49" i="6"/>
  <c r="AW49" i="6"/>
  <c r="AU47" i="6"/>
  <c r="AW47" i="6"/>
  <c r="AX47" i="6"/>
  <c r="AV73" i="6"/>
  <c r="AV57" i="6"/>
  <c r="AV41" i="6"/>
  <c r="AU52" i="6"/>
  <c r="AW52" i="6"/>
  <c r="AX52" i="6"/>
  <c r="AV69" i="6"/>
  <c r="AV37" i="6"/>
  <c r="AU72" i="6"/>
  <c r="AW72" i="6"/>
  <c r="AU40" i="6"/>
  <c r="AW40" i="6"/>
  <c r="AX40" i="6"/>
  <c r="AV60" i="6"/>
  <c r="AU84" i="6"/>
  <c r="AW84" i="6"/>
  <c r="AX84" i="6"/>
  <c r="AU53" i="6"/>
  <c r="AW53" i="6"/>
  <c r="AV74" i="6"/>
  <c r="AV42" i="6"/>
  <c r="AV71" i="6"/>
  <c r="AV39" i="6"/>
  <c r="O52" i="6"/>
  <c r="AV80" i="6"/>
  <c r="AV64" i="6"/>
  <c r="AV48" i="6"/>
  <c r="AU91" i="6"/>
  <c r="AW91" i="6"/>
  <c r="AX91" i="6"/>
  <c r="AU90" i="6"/>
  <c r="AW90" i="6"/>
  <c r="AU80" i="6"/>
  <c r="AW80" i="6"/>
  <c r="AX80" i="6"/>
  <c r="AU38" i="6"/>
  <c r="AW38" i="6"/>
  <c r="AV88" i="6"/>
  <c r="AV70" i="6"/>
  <c r="AV54" i="6"/>
  <c r="AV38" i="6"/>
  <c r="AU50" i="6"/>
  <c r="AW50" i="6"/>
  <c r="AX50" i="6"/>
  <c r="AU37" i="6"/>
  <c r="AW37" i="6"/>
  <c r="AV77" i="6"/>
  <c r="AV45" i="6"/>
  <c r="AU57" i="6"/>
  <c r="AW57" i="6"/>
  <c r="AX57" i="6"/>
  <c r="AV68" i="6"/>
  <c r="AV36" i="6"/>
  <c r="AU68" i="6"/>
  <c r="AW68" i="6"/>
  <c r="AX68" i="6"/>
  <c r="AV66" i="6"/>
  <c r="AV85" i="6"/>
  <c r="AU62" i="6"/>
  <c r="AW62" i="6"/>
  <c r="AX62" i="6"/>
  <c r="AU39" i="6"/>
  <c r="AW39" i="6"/>
  <c r="AX39" i="6"/>
  <c r="AV63" i="6"/>
  <c r="AV83" i="6"/>
  <c r="AU76" i="6"/>
  <c r="AW76" i="6"/>
  <c r="AU61" i="6"/>
  <c r="AW61" i="6"/>
  <c r="AX61" i="6"/>
  <c r="AU60" i="6"/>
  <c r="AW60" i="6"/>
  <c r="AX60" i="6"/>
  <c r="AU59" i="6"/>
  <c r="AW59" i="6"/>
  <c r="AU58" i="6"/>
  <c r="AW58" i="6"/>
  <c r="AX58" i="6"/>
  <c r="AU44" i="6"/>
  <c r="AW44" i="6"/>
  <c r="AV75" i="6"/>
  <c r="AV59" i="6"/>
  <c r="AV43" i="6"/>
  <c r="AU83" i="6"/>
  <c r="AW83" i="6"/>
  <c r="AX83" i="6"/>
  <c r="AU64" i="6"/>
  <c r="AW64" i="6"/>
  <c r="AX64" i="6"/>
  <c r="AU54" i="6"/>
  <c r="AW54" i="6"/>
  <c r="AV81" i="6"/>
  <c r="AV65" i="6"/>
  <c r="AV49" i="6"/>
  <c r="AV91" i="6"/>
  <c r="AU67" i="6"/>
  <c r="AW67" i="6"/>
  <c r="AX67" i="6"/>
  <c r="AV90" i="6"/>
  <c r="AV53" i="6"/>
  <c r="AU78" i="6"/>
  <c r="AW78" i="6"/>
  <c r="AX78" i="6"/>
  <c r="AU55" i="6"/>
  <c r="AW55" i="6"/>
  <c r="AU46" i="6"/>
  <c r="AW46" i="6"/>
  <c r="AX46" i="6"/>
  <c r="AV76" i="6"/>
  <c r="AV44" i="6"/>
  <c r="AU87" i="6"/>
  <c r="AW87" i="6"/>
  <c r="AX87" i="6"/>
  <c r="AU66" i="6"/>
  <c r="AW66" i="6"/>
  <c r="AU36" i="6"/>
  <c r="AW36" i="6"/>
  <c r="AX36" i="6"/>
  <c r="AV58" i="6"/>
  <c r="AU73" i="6"/>
  <c r="AW73" i="6"/>
  <c r="AX73" i="6"/>
  <c r="AU41" i="6"/>
  <c r="AW41" i="6"/>
  <c r="AX41" i="6"/>
  <c r="AV55" i="6"/>
  <c r="O51" i="6"/>
  <c r="H22" i="6"/>
  <c r="T37" i="6"/>
  <c r="AQ179" i="6"/>
  <c r="AP187" i="6"/>
  <c r="AR187" i="6"/>
  <c r="AQ188" i="6"/>
  <c r="AQ74" i="6"/>
  <c r="AP165" i="6"/>
  <c r="AR165" i="6"/>
  <c r="AQ176" i="6"/>
  <c r="AP58" i="6"/>
  <c r="AR58" i="6"/>
  <c r="AP61" i="6"/>
  <c r="AR61" i="6"/>
  <c r="AP159" i="6"/>
  <c r="AR159" i="6"/>
  <c r="AP148" i="6"/>
  <c r="AR148" i="6"/>
  <c r="AQ148" i="6"/>
  <c r="AP22" i="6"/>
  <c r="AR22" i="6"/>
  <c r="AP33" i="6"/>
  <c r="AR33" i="6"/>
  <c r="AP173" i="6"/>
  <c r="AR173" i="6"/>
  <c r="AP158" i="6"/>
  <c r="AR158" i="6"/>
  <c r="AQ156" i="6"/>
  <c r="AP186" i="6"/>
  <c r="AR186" i="6"/>
  <c r="AS186" i="6"/>
  <c r="AP188" i="6"/>
  <c r="AR188" i="6"/>
  <c r="AQ50" i="6"/>
  <c r="AP77" i="6"/>
  <c r="AR77" i="6"/>
  <c r="AQ31" i="6"/>
  <c r="AP139" i="6"/>
  <c r="AR139" i="6"/>
  <c r="AP189" i="6"/>
  <c r="AR189" i="6"/>
  <c r="AS189" i="6"/>
  <c r="AQ186" i="6"/>
  <c r="AQ134" i="6"/>
  <c r="AQ30" i="6"/>
  <c r="AP74" i="6"/>
  <c r="AR74" i="6"/>
  <c r="AS74" i="6"/>
  <c r="AP62" i="6"/>
  <c r="AR62" i="6"/>
  <c r="AP52" i="6"/>
  <c r="AR52" i="6"/>
  <c r="AP167" i="6"/>
  <c r="AR167" i="6"/>
  <c r="AQ24" i="6"/>
  <c r="AP70" i="6"/>
  <c r="AR70" i="6"/>
  <c r="AQ73" i="6"/>
  <c r="AQ45" i="6"/>
  <c r="AQ164" i="6"/>
  <c r="AP31" i="6"/>
  <c r="AR31" i="6"/>
  <c r="AQ166" i="6"/>
  <c r="AP59" i="6"/>
  <c r="AR59" i="6"/>
  <c r="AQ52" i="6"/>
  <c r="AP39" i="6"/>
  <c r="AR39" i="6"/>
  <c r="AP37" i="6"/>
  <c r="AR37" i="6"/>
  <c r="AP177" i="6"/>
  <c r="AR177" i="6"/>
  <c r="AQ144" i="6"/>
  <c r="AP179" i="6"/>
  <c r="AR179" i="6"/>
  <c r="AP161" i="6"/>
  <c r="AR161" i="6"/>
  <c r="AS161" i="6"/>
  <c r="AQ149" i="6"/>
  <c r="AP150" i="6"/>
  <c r="AR150" i="6"/>
  <c r="AQ67" i="6"/>
  <c r="AP135" i="6"/>
  <c r="AR135" i="6"/>
  <c r="AQ56" i="6"/>
  <c r="AP168" i="6"/>
  <c r="AR168" i="6"/>
  <c r="AP24" i="6"/>
  <c r="AR24" i="6"/>
  <c r="AP73" i="6"/>
  <c r="AR73" i="6"/>
  <c r="AS73" i="6"/>
  <c r="AQ177" i="6"/>
  <c r="AP35" i="6"/>
  <c r="AR35" i="6"/>
  <c r="AQ181" i="6"/>
  <c r="AQ171" i="6"/>
  <c r="AP170" i="6"/>
  <c r="AR170" i="6"/>
  <c r="AP175" i="6"/>
  <c r="AR175" i="6"/>
  <c r="AS175" i="6"/>
  <c r="AP160" i="6"/>
  <c r="AR160" i="6"/>
  <c r="AQ143" i="6"/>
  <c r="AP137" i="6"/>
  <c r="AR137" i="6"/>
  <c r="AQ40" i="6"/>
  <c r="AQ154" i="6"/>
  <c r="AQ150" i="6"/>
  <c r="AQ189" i="6"/>
  <c r="AP48" i="6"/>
  <c r="AR48" i="6"/>
  <c r="AS48" i="6"/>
  <c r="AQ180" i="6"/>
  <c r="AP149" i="6"/>
  <c r="AR149" i="6"/>
  <c r="AS149" i="6"/>
  <c r="AQ175" i="6"/>
  <c r="AP18" i="6"/>
  <c r="AR18" i="6"/>
  <c r="AP17" i="6"/>
  <c r="AR17" i="6"/>
  <c r="AQ138" i="6"/>
  <c r="AQ142" i="6"/>
  <c r="AP69" i="6"/>
  <c r="AR69" i="6"/>
  <c r="AP142" i="6"/>
  <c r="AR142" i="6"/>
  <c r="AS142" i="6"/>
  <c r="AQ59" i="6"/>
  <c r="AQ39" i="6"/>
  <c r="AQ20" i="6"/>
  <c r="AQ183" i="6"/>
  <c r="AP25" i="6"/>
  <c r="AR25" i="6"/>
  <c r="AP38" i="6"/>
  <c r="AR38" i="6"/>
  <c r="AP76" i="6"/>
  <c r="AR76" i="6"/>
  <c r="AS76" i="6"/>
  <c r="AP45" i="6"/>
  <c r="AR45" i="6"/>
  <c r="AS45" i="6"/>
  <c r="AQ44" i="6"/>
  <c r="AP40" i="6"/>
  <c r="AR40" i="6"/>
  <c r="AQ302" i="6"/>
  <c r="AQ48" i="6"/>
  <c r="AQ72" i="6"/>
  <c r="AP36" i="6"/>
  <c r="AR36" i="6"/>
  <c r="AP153" i="6"/>
  <c r="AR153" i="6"/>
  <c r="AP51" i="6"/>
  <c r="AR51" i="6"/>
  <c r="AP164" i="6"/>
  <c r="AR164" i="6"/>
  <c r="AS164" i="6"/>
  <c r="AQ152" i="6"/>
  <c r="AQ32" i="6"/>
  <c r="AQ136" i="6"/>
  <c r="AP182" i="6"/>
  <c r="AR182" i="6"/>
  <c r="AP176" i="6"/>
  <c r="AR176" i="6"/>
  <c r="AS176" i="6"/>
  <c r="AQ27" i="6"/>
  <c r="AQ70" i="6"/>
  <c r="AQ57" i="6"/>
  <c r="AQ161" i="6"/>
  <c r="AP63" i="6"/>
  <c r="AR63" i="6"/>
  <c r="AQ155" i="6"/>
  <c r="AQ151" i="6"/>
  <c r="AQ21" i="6"/>
  <c r="AP185" i="6"/>
  <c r="AR185" i="6"/>
  <c r="AQ137" i="6"/>
  <c r="AS137" i="6"/>
  <c r="AP41" i="6"/>
  <c r="AR41" i="6"/>
  <c r="AQ145" i="6"/>
  <c r="AQ185" i="6"/>
  <c r="AP166" i="6"/>
  <c r="AR166" i="6"/>
  <c r="AP15" i="6"/>
  <c r="AR15" i="6"/>
  <c r="AQ65" i="6"/>
  <c r="AP144" i="6"/>
  <c r="AR144" i="6"/>
  <c r="AS144" i="6"/>
  <c r="AQ51" i="6"/>
  <c r="AP134" i="6"/>
  <c r="AR134" i="6"/>
  <c r="AS134" i="6"/>
  <c r="AQ53" i="6"/>
  <c r="AP47" i="6"/>
  <c r="AR47" i="6"/>
  <c r="AQ147" i="6"/>
  <c r="AQ18" i="6"/>
  <c r="AQ76" i="6"/>
  <c r="AP162" i="6"/>
  <c r="AR162" i="6"/>
  <c r="AP68" i="6"/>
  <c r="AR68" i="6"/>
  <c r="AP60" i="6"/>
  <c r="AR60" i="6"/>
  <c r="AS60" i="6"/>
  <c r="AP50" i="6"/>
  <c r="AR50" i="6"/>
  <c r="AP183" i="6"/>
  <c r="AR183" i="6"/>
  <c r="AP72" i="6"/>
  <c r="AR72" i="6"/>
  <c r="AQ68" i="6"/>
  <c r="AQ22" i="6"/>
  <c r="AQ146" i="6"/>
  <c r="AP75" i="6"/>
  <c r="AR75" i="6"/>
  <c r="AQ140" i="6"/>
  <c r="AP46" i="6"/>
  <c r="AR46" i="6"/>
  <c r="AQ42" i="6"/>
  <c r="AQ23" i="6"/>
  <c r="AP141" i="6"/>
  <c r="AR141" i="6"/>
  <c r="AS141" i="6"/>
  <c r="AQ34" i="6"/>
  <c r="AP56" i="6"/>
  <c r="AR56" i="6"/>
  <c r="AS56" i="6"/>
  <c r="AQ163" i="6"/>
  <c r="AQ153" i="6"/>
  <c r="AQ184" i="6"/>
  <c r="AQ35" i="6"/>
  <c r="AQ174" i="6"/>
  <c r="AQ47" i="6"/>
  <c r="AP29" i="6"/>
  <c r="AR29" i="6"/>
  <c r="AQ54" i="6"/>
  <c r="AQ71" i="6"/>
  <c r="AP26" i="6"/>
  <c r="AR26" i="6"/>
  <c r="AP67" i="6"/>
  <c r="AR67" i="6"/>
  <c r="AS67" i="6"/>
  <c r="AQ38" i="6"/>
  <c r="AP147" i="6"/>
  <c r="AR147" i="6"/>
  <c r="AS147" i="6"/>
  <c r="AQ66" i="6"/>
  <c r="AP57" i="6"/>
  <c r="AR57" i="6"/>
  <c r="AQ139" i="6"/>
  <c r="AP34" i="6"/>
  <c r="AR34" i="6"/>
  <c r="AS34" i="6"/>
  <c r="AQ15" i="6"/>
  <c r="AQ17" i="6"/>
  <c r="AP151" i="6"/>
  <c r="AR151" i="6"/>
  <c r="AS151" i="6"/>
  <c r="AQ157" i="6"/>
  <c r="AP71" i="6"/>
  <c r="AR71" i="6"/>
  <c r="AS71" i="6"/>
  <c r="AP20" i="6"/>
  <c r="AR20" i="6"/>
  <c r="AQ173" i="6"/>
  <c r="AP146" i="6"/>
  <c r="AR146" i="6"/>
  <c r="AP23" i="6"/>
  <c r="AR23" i="6"/>
  <c r="AS23" i="6"/>
  <c r="AQ16" i="6"/>
  <c r="AQ62" i="6"/>
  <c r="AP140" i="6"/>
  <c r="AR140" i="6"/>
  <c r="AQ46" i="6"/>
  <c r="AS46" i="6"/>
  <c r="AQ60" i="6"/>
  <c r="AQ26" i="6"/>
  <c r="AQ169" i="6"/>
  <c r="AQ55" i="6"/>
  <c r="AQ64" i="6"/>
  <c r="AQ168" i="6"/>
  <c r="AP16" i="6"/>
  <c r="AR16" i="6"/>
  <c r="AS16" i="6"/>
  <c r="AP145" i="6"/>
  <c r="AR145" i="6"/>
  <c r="AS145" i="6"/>
  <c r="AP65" i="6"/>
  <c r="AR65" i="6"/>
  <c r="AS65" i="6"/>
  <c r="AQ36" i="6"/>
  <c r="AP163" i="6"/>
  <c r="AR163" i="6"/>
  <c r="AS163" i="6"/>
  <c r="AP152" i="6"/>
  <c r="AR152" i="6"/>
  <c r="AS152" i="6"/>
  <c r="AQ141" i="6"/>
  <c r="AP21" i="6"/>
  <c r="AR21" i="6"/>
  <c r="AS21" i="6"/>
  <c r="AQ190" i="6"/>
  <c r="AP190" i="6"/>
  <c r="AR190" i="6"/>
  <c r="AS190" i="6"/>
  <c r="AQ198" i="6"/>
  <c r="AQ245" i="6"/>
  <c r="AP202" i="6"/>
  <c r="AR202" i="6"/>
  <c r="AQ199" i="6"/>
  <c r="AP238" i="6"/>
  <c r="AR238" i="6"/>
  <c r="AP230" i="6"/>
  <c r="AR230" i="6"/>
  <c r="AQ192" i="6"/>
  <c r="AQ222" i="6"/>
  <c r="AP204" i="6"/>
  <c r="AR204" i="6"/>
  <c r="AQ214" i="6"/>
  <c r="AQ195" i="6"/>
  <c r="AQ239" i="6"/>
  <c r="AQ210" i="6"/>
  <c r="AQ206" i="6"/>
  <c r="AP221" i="6"/>
  <c r="AR221" i="6"/>
  <c r="AP219" i="6"/>
  <c r="AR219" i="6"/>
  <c r="AS219" i="6"/>
  <c r="AQ234" i="6"/>
  <c r="AQ237" i="6"/>
  <c r="AQ194" i="6"/>
  <c r="AQ236" i="6"/>
  <c r="AQ211" i="6"/>
  <c r="AP224" i="6"/>
  <c r="AR224" i="6"/>
  <c r="AP222" i="6"/>
  <c r="AR222" i="6"/>
  <c r="AP205" i="6"/>
  <c r="AR205" i="6"/>
  <c r="AS205" i="6"/>
  <c r="AQ215" i="6"/>
  <c r="AQ230" i="6"/>
  <c r="AQ203" i="6"/>
  <c r="AQ216" i="6"/>
  <c r="AP194" i="6"/>
  <c r="AR194" i="6"/>
  <c r="AS194" i="6"/>
  <c r="AP209" i="6"/>
  <c r="AR209" i="6"/>
  <c r="AP207" i="6"/>
  <c r="AR207" i="6"/>
  <c r="AP211" i="6"/>
  <c r="AR211" i="6"/>
  <c r="AS211" i="6"/>
  <c r="AP216" i="6"/>
  <c r="AR216" i="6"/>
  <c r="AQ197" i="6"/>
  <c r="AQ218" i="6"/>
  <c r="AP236" i="6"/>
  <c r="AR236" i="6"/>
  <c r="AS236" i="6"/>
  <c r="AP203" i="6"/>
  <c r="AR203" i="6"/>
  <c r="AS203" i="6"/>
  <c r="AP192" i="6"/>
  <c r="AR192" i="6"/>
  <c r="AS192" i="6"/>
  <c r="AQ242" i="6"/>
  <c r="AP243" i="6"/>
  <c r="AR243" i="6"/>
  <c r="AS243" i="6"/>
  <c r="AQ225" i="6"/>
  <c r="AP239" i="6"/>
  <c r="AR239" i="6"/>
  <c r="AS239" i="6"/>
  <c r="AP232" i="6"/>
  <c r="AR232" i="6"/>
  <c r="AQ231" i="6"/>
  <c r="AP197" i="6"/>
  <c r="AR197" i="6"/>
  <c r="AQ196" i="6"/>
  <c r="AQ205" i="6"/>
  <c r="AP201" i="6"/>
  <c r="AR201" i="6"/>
  <c r="AQ243" i="6"/>
  <c r="AQ240" i="6"/>
  <c r="AQ219" i="6"/>
  <c r="AP210" i="6"/>
  <c r="AR210" i="6"/>
  <c r="AS210" i="6"/>
  <c r="AQ204" i="6"/>
  <c r="AS204" i="6"/>
  <c r="AQ238" i="6"/>
  <c r="AP258" i="6"/>
  <c r="AR258" i="6"/>
  <c r="AP297" i="6"/>
  <c r="AR297" i="6"/>
  <c r="AQ288" i="6"/>
  <c r="AQ269" i="6"/>
  <c r="AP284" i="6"/>
  <c r="AR284" i="6"/>
  <c r="AQ282" i="6"/>
  <c r="AP270" i="6"/>
  <c r="AR270" i="6"/>
  <c r="AQ279" i="6"/>
  <c r="AP300" i="6"/>
  <c r="AR300" i="6"/>
  <c r="AQ257" i="6"/>
  <c r="AP262" i="6"/>
  <c r="AR262" i="6"/>
  <c r="AQ299" i="6"/>
  <c r="AP271" i="6"/>
  <c r="AR271" i="6"/>
  <c r="AQ263" i="6"/>
  <c r="AQ289" i="6"/>
  <c r="AP266" i="6"/>
  <c r="AR266" i="6"/>
  <c r="AS266" i="6"/>
  <c r="AQ294" i="6"/>
  <c r="AP268" i="6"/>
  <c r="AR268" i="6"/>
  <c r="AS268" i="6"/>
  <c r="AQ268" i="6"/>
  <c r="AQ275" i="6"/>
  <c r="AP256" i="6"/>
  <c r="AR256" i="6"/>
  <c r="AQ264" i="6"/>
  <c r="AP253" i="6"/>
  <c r="AR253" i="6"/>
  <c r="AP301" i="6"/>
  <c r="AR301" i="6"/>
  <c r="AQ267" i="6"/>
  <c r="AQ246" i="6"/>
  <c r="AQ272" i="6"/>
  <c r="AP292" i="6"/>
  <c r="AR292" i="6"/>
  <c r="AQ262" i="6"/>
  <c r="AQ301" i="6"/>
  <c r="AP263" i="6"/>
  <c r="AR263" i="6"/>
  <c r="AP298" i="6"/>
  <c r="AR298" i="6"/>
  <c r="AQ286" i="6"/>
  <c r="AQ248" i="6"/>
  <c r="AP283" i="6"/>
  <c r="AR283" i="6"/>
  <c r="AP287" i="6"/>
  <c r="AR287" i="6"/>
  <c r="AS287" i="6"/>
  <c r="AQ271" i="6"/>
  <c r="AQ254" i="6"/>
  <c r="AP280" i="6"/>
  <c r="AR280" i="6"/>
  <c r="AQ284" i="6"/>
  <c r="AQ255" i="6"/>
  <c r="AP290" i="6"/>
  <c r="AR290" i="6"/>
  <c r="AP293" i="6"/>
  <c r="AR293" i="6"/>
  <c r="AQ261" i="6"/>
  <c r="AQ295" i="6"/>
  <c r="AP291" i="6"/>
  <c r="AR291" i="6"/>
  <c r="AS291" i="6"/>
  <c r="AQ300" i="6"/>
  <c r="AP278" i="6"/>
  <c r="AR278" i="6"/>
  <c r="AP261" i="6"/>
  <c r="AR261" i="6"/>
  <c r="AP265" i="6"/>
  <c r="AR265" i="6"/>
  <c r="AQ291" i="6"/>
  <c r="AP250" i="6"/>
  <c r="AR250" i="6"/>
  <c r="AP281" i="6"/>
  <c r="AR281" i="6"/>
  <c r="AQ258" i="6"/>
  <c r="AP249" i="6"/>
  <c r="AR249" i="6"/>
  <c r="AP171" i="6"/>
  <c r="AR171" i="6"/>
  <c r="AS171" i="6"/>
  <c r="AP64" i="6"/>
  <c r="AR64" i="6"/>
  <c r="AS64" i="6"/>
  <c r="AQ178" i="6"/>
  <c r="AQ158" i="6"/>
  <c r="AP43" i="6"/>
  <c r="AR43" i="6"/>
  <c r="AQ33" i="6"/>
  <c r="AQ41" i="6"/>
  <c r="AQ187" i="6"/>
  <c r="AQ159" i="6"/>
  <c r="AP30" i="6"/>
  <c r="AR30" i="6"/>
  <c r="AS30" i="6"/>
  <c r="AP53" i="6"/>
  <c r="AR53" i="6"/>
  <c r="AS53" i="6"/>
  <c r="AQ69" i="6"/>
  <c r="AP44" i="6"/>
  <c r="AR44" i="6"/>
  <c r="AS44" i="6"/>
  <c r="AP174" i="6"/>
  <c r="AR174" i="6"/>
  <c r="AS174" i="6"/>
  <c r="AQ75" i="6"/>
  <c r="AQ167" i="6"/>
  <c r="AQ19" i="6"/>
  <c r="AP184" i="6"/>
  <c r="AR184" i="6"/>
  <c r="AS184" i="6"/>
  <c r="AQ160" i="6"/>
  <c r="AP55" i="6"/>
  <c r="AR55" i="6"/>
  <c r="AS55" i="6"/>
  <c r="AQ37" i="6"/>
  <c r="AP27" i="6"/>
  <c r="AR27" i="6"/>
  <c r="AS27" i="6"/>
  <c r="AQ162" i="6"/>
  <c r="AQ25" i="6"/>
  <c r="AP156" i="6"/>
  <c r="AR156" i="6"/>
  <c r="AS156" i="6"/>
  <c r="AQ43" i="6"/>
  <c r="AQ49" i="6"/>
  <c r="AP242" i="6"/>
  <c r="AR242" i="6"/>
  <c r="AS242" i="6"/>
  <c r="AP206" i="6"/>
  <c r="AR206" i="6"/>
  <c r="AS206" i="6"/>
  <c r="AQ241" i="6"/>
  <c r="AQ233" i="6"/>
  <c r="AP233" i="6"/>
  <c r="AR233" i="6"/>
  <c r="AP191" i="6"/>
  <c r="AR191" i="6"/>
  <c r="AQ202" i="6"/>
  <c r="AQ212" i="6"/>
  <c r="AQ235" i="6"/>
  <c r="AQ201" i="6"/>
  <c r="AP223" i="6"/>
  <c r="AR223" i="6"/>
  <c r="AP231" i="6"/>
  <c r="AR231" i="6"/>
  <c r="AS231" i="6"/>
  <c r="AP240" i="6"/>
  <c r="AR240" i="6"/>
  <c r="AP215" i="6"/>
  <c r="AR215" i="6"/>
  <c r="AS215" i="6"/>
  <c r="AQ223" i="6"/>
  <c r="AP234" i="6"/>
  <c r="AR234" i="6"/>
  <c r="AS234" i="6"/>
  <c r="AP208" i="6"/>
  <c r="AR208" i="6"/>
  <c r="AQ221" i="6"/>
  <c r="AQ193" i="6"/>
  <c r="AP244" i="6"/>
  <c r="AR244" i="6"/>
  <c r="AP213" i="6"/>
  <c r="AR213" i="6"/>
  <c r="AP241" i="6"/>
  <c r="AR241" i="6"/>
  <c r="AS241" i="6"/>
  <c r="AP193" i="6"/>
  <c r="AR193" i="6"/>
  <c r="AS193" i="6"/>
  <c r="AQ220" i="6"/>
  <c r="AP245" i="6"/>
  <c r="AR245" i="6"/>
  <c r="AS245" i="6"/>
  <c r="AQ228" i="6"/>
  <c r="AP235" i="6"/>
  <c r="AR235" i="6"/>
  <c r="AS235" i="6"/>
  <c r="AP200" i="6"/>
  <c r="AR200" i="6"/>
  <c r="AS200" i="6"/>
  <c r="AQ287" i="6"/>
  <c r="AP252" i="6"/>
  <c r="AR252" i="6"/>
  <c r="AP251" i="6"/>
  <c r="AR251" i="6"/>
  <c r="AP246" i="6"/>
  <c r="AR246" i="6"/>
  <c r="AS246" i="6"/>
  <c r="AP277" i="6"/>
  <c r="AR277" i="6"/>
  <c r="AQ297" i="6"/>
  <c r="AQ293" i="6"/>
  <c r="AQ290" i="6"/>
  <c r="AQ266" i="6"/>
  <c r="AQ251" i="6"/>
  <c r="AP247" i="6"/>
  <c r="AR247" i="6"/>
  <c r="AQ281" i="6"/>
  <c r="AP272" i="6"/>
  <c r="AR272" i="6"/>
  <c r="AS272" i="6"/>
  <c r="AQ252" i="6"/>
  <c r="AQ277" i="6"/>
  <c r="AQ276" i="6"/>
  <c r="AQ296" i="6"/>
  <c r="AP264" i="6"/>
  <c r="AR264" i="6"/>
  <c r="AS264" i="6"/>
  <c r="AQ253" i="6"/>
  <c r="AP276" i="6"/>
  <c r="AR276" i="6"/>
  <c r="AS276" i="6"/>
  <c r="AP248" i="6"/>
  <c r="AR248" i="6"/>
  <c r="AP267" i="6"/>
  <c r="AR267" i="6"/>
  <c r="AS267" i="6"/>
  <c r="AP273" i="6"/>
  <c r="AR273" i="6"/>
  <c r="AP257" i="6"/>
  <c r="AR257" i="6"/>
  <c r="AS257" i="6"/>
  <c r="AP299" i="6"/>
  <c r="AR299" i="6"/>
  <c r="AS299" i="6"/>
  <c r="AQ250" i="6"/>
  <c r="AQ274" i="6"/>
  <c r="AP289" i="6"/>
  <c r="AR289" i="6"/>
  <c r="AS289" i="6"/>
  <c r="AP169" i="6"/>
  <c r="AR169" i="6"/>
  <c r="AQ28" i="6"/>
  <c r="AP143" i="6"/>
  <c r="AR143" i="6"/>
  <c r="AP66" i="6"/>
  <c r="AR66" i="6"/>
  <c r="AS66" i="6"/>
  <c r="AQ170" i="6"/>
  <c r="AQ61" i="6"/>
  <c r="AQ182" i="6"/>
  <c r="AQ29" i="6"/>
  <c r="AP32" i="6"/>
  <c r="AR32" i="6"/>
  <c r="AS32" i="6"/>
  <c r="AQ165" i="6"/>
  <c r="AS165" i="6"/>
  <c r="AP136" i="6"/>
  <c r="AR136" i="6"/>
  <c r="AQ135" i="6"/>
  <c r="AP157" i="6"/>
  <c r="AR157" i="6"/>
  <c r="AS157" i="6"/>
  <c r="AQ58" i="6"/>
  <c r="AP302" i="6"/>
  <c r="AR302" i="6"/>
  <c r="AS302" i="6"/>
  <c r="AP225" i="6"/>
  <c r="AR225" i="6"/>
  <c r="AS225" i="6"/>
  <c r="AP196" i="6"/>
  <c r="AR196" i="6"/>
  <c r="AS196" i="6"/>
  <c r="AP226" i="6"/>
  <c r="AR226" i="6"/>
  <c r="AP227" i="6"/>
  <c r="AR227" i="6"/>
  <c r="AQ209" i="6"/>
  <c r="AQ229" i="6"/>
  <c r="AP229" i="6"/>
  <c r="AR229" i="6"/>
  <c r="AS229" i="6"/>
  <c r="AP218" i="6"/>
  <c r="AR218" i="6"/>
  <c r="AS218" i="6"/>
  <c r="AQ244" i="6"/>
  <c r="AP228" i="6"/>
  <c r="AR228" i="6"/>
  <c r="AQ213" i="6"/>
  <c r="AP212" i="6"/>
  <c r="AR212" i="6"/>
  <c r="AP237" i="6"/>
  <c r="AR237" i="6"/>
  <c r="AS237" i="6"/>
  <c r="AQ208" i="6"/>
  <c r="AP269" i="6"/>
  <c r="AR269" i="6"/>
  <c r="AS269" i="6"/>
  <c r="AP282" i="6"/>
  <c r="AR282" i="6"/>
  <c r="AS282" i="6"/>
  <c r="AQ298" i="6"/>
  <c r="AQ260" i="6"/>
  <c r="AQ273" i="6"/>
  <c r="AP260" i="6"/>
  <c r="AR260" i="6"/>
  <c r="AS260" i="6"/>
  <c r="AQ292" i="6"/>
  <c r="AP296" i="6"/>
  <c r="AR296" i="6"/>
  <c r="AS296" i="6"/>
  <c r="AQ283" i="6"/>
  <c r="AP274" i="6"/>
  <c r="AR274" i="6"/>
  <c r="AS274" i="6"/>
  <c r="AQ280" i="6"/>
  <c r="AS280" i="6"/>
  <c r="AP286" i="6"/>
  <c r="AR286" i="6"/>
  <c r="AS286" i="6"/>
  <c r="AP285" i="6"/>
  <c r="AR285" i="6"/>
  <c r="AP288" i="6"/>
  <c r="AR288" i="6"/>
  <c r="AS288" i="6"/>
  <c r="AQ256" i="6"/>
  <c r="AP181" i="6"/>
  <c r="AR181" i="6"/>
  <c r="AP54" i="6"/>
  <c r="AR54" i="6"/>
  <c r="AS54" i="6"/>
  <c r="AP155" i="6"/>
  <c r="AR155" i="6"/>
  <c r="AS155" i="6"/>
  <c r="AQ77" i="6"/>
  <c r="AP138" i="6"/>
  <c r="AR138" i="6"/>
  <c r="AS138" i="6"/>
  <c r="AQ172" i="6"/>
  <c r="AP154" i="6"/>
  <c r="AR154" i="6"/>
  <c r="AS154" i="6"/>
  <c r="AQ63" i="6"/>
  <c r="AP19" i="6"/>
  <c r="AR19" i="6"/>
  <c r="AS19" i="6"/>
  <c r="AP49" i="6"/>
  <c r="AR49" i="6"/>
  <c r="AS49" i="6"/>
  <c r="AP178" i="6"/>
  <c r="AR178" i="6"/>
  <c r="AS178" i="6"/>
  <c r="AP180" i="6"/>
  <c r="AR180" i="6"/>
  <c r="AS180" i="6"/>
  <c r="AP28" i="6"/>
  <c r="AR28" i="6"/>
  <c r="AP42" i="6"/>
  <c r="AR42" i="6"/>
  <c r="AS42" i="6"/>
  <c r="AP172" i="6"/>
  <c r="AR172" i="6"/>
  <c r="AQ226" i="6"/>
  <c r="AQ200" i="6"/>
  <c r="AQ227" i="6"/>
  <c r="AQ217" i="6"/>
  <c r="AQ207" i="6"/>
  <c r="AQ191" i="6"/>
  <c r="AP217" i="6"/>
  <c r="AR217" i="6"/>
  <c r="AS217" i="6"/>
  <c r="AP198" i="6"/>
  <c r="AR198" i="6"/>
  <c r="AS198" i="6"/>
  <c r="AQ232" i="6"/>
  <c r="AP214" i="6"/>
  <c r="AR214" i="6"/>
  <c r="AS214" i="6"/>
  <c r="AQ224" i="6"/>
  <c r="AP195" i="6"/>
  <c r="AR195" i="6"/>
  <c r="AS195" i="6"/>
  <c r="AP220" i="6"/>
  <c r="AR220" i="6"/>
  <c r="AS220" i="6"/>
  <c r="AP199" i="6"/>
  <c r="AR199" i="6"/>
  <c r="AS199" i="6"/>
  <c r="AQ259" i="6"/>
  <c r="AP275" i="6"/>
  <c r="AR275" i="6"/>
  <c r="AS275" i="6"/>
  <c r="AQ265" i="6"/>
  <c r="AP254" i="6"/>
  <c r="AR254" i="6"/>
  <c r="AS254" i="6"/>
  <c r="AQ270" i="6"/>
  <c r="AP294" i="6"/>
  <c r="AR294" i="6"/>
  <c r="AS294" i="6"/>
  <c r="AQ278" i="6"/>
  <c r="AP255" i="6"/>
  <c r="AR255" i="6"/>
  <c r="AS255" i="6"/>
  <c r="AQ285" i="6"/>
  <c r="AQ249" i="6"/>
  <c r="AP295" i="6"/>
  <c r="AR295" i="6"/>
  <c r="AS295" i="6"/>
  <c r="AP259" i="6"/>
  <c r="AR259" i="6"/>
  <c r="AP279" i="6"/>
  <c r="AR279" i="6"/>
  <c r="AS279" i="6"/>
  <c r="AQ247" i="6"/>
  <c r="W37" i="6"/>
  <c r="W36" i="6"/>
  <c r="N37" i="6"/>
  <c r="T36" i="6"/>
  <c r="I17" i="6"/>
  <c r="I142" i="6"/>
  <c r="I295" i="6"/>
  <c r="I82" i="6"/>
  <c r="I67" i="6"/>
  <c r="I16" i="6"/>
  <c r="I124" i="6"/>
  <c r="I50" i="6"/>
  <c r="I64" i="6"/>
  <c r="I308" i="6"/>
  <c r="I107" i="6"/>
  <c r="I151" i="6"/>
  <c r="I154" i="6"/>
  <c r="I83" i="6"/>
  <c r="I91" i="6"/>
  <c r="I110" i="6"/>
  <c r="I108" i="6"/>
  <c r="I75" i="6"/>
  <c r="I312" i="6"/>
  <c r="I309" i="6"/>
  <c r="I37" i="6"/>
  <c r="I329" i="6"/>
  <c r="I298" i="6"/>
  <c r="I118" i="6"/>
  <c r="I327" i="6"/>
  <c r="I134" i="6"/>
  <c r="I122" i="6"/>
  <c r="I48" i="6"/>
  <c r="I160" i="6"/>
  <c r="I143" i="6"/>
  <c r="I313" i="6"/>
  <c r="I296" i="6"/>
  <c r="I301" i="6"/>
  <c r="I167" i="6"/>
  <c r="I375" i="6"/>
  <c r="I85" i="6"/>
  <c r="I57" i="6"/>
  <c r="I114" i="6"/>
  <c r="I321" i="6"/>
  <c r="I173" i="6"/>
  <c r="I129" i="6"/>
  <c r="I26" i="6"/>
  <c r="I88" i="6"/>
  <c r="I126" i="6"/>
  <c r="I149" i="6"/>
  <c r="I328" i="6"/>
  <c r="I175" i="6"/>
  <c r="I174" i="6"/>
  <c r="I19" i="6"/>
  <c r="I333" i="6"/>
  <c r="I339" i="6"/>
  <c r="I302" i="6"/>
  <c r="I109" i="6"/>
  <c r="I92" i="6"/>
  <c r="I186" i="6"/>
  <c r="I180" i="6"/>
  <c r="Z51" i="6"/>
  <c r="R36" i="6"/>
  <c r="AX65" i="6"/>
  <c r="X36" i="6"/>
  <c r="Y36" i="6"/>
  <c r="M37" i="6"/>
  <c r="O36" i="6"/>
  <c r="S36" i="6"/>
  <c r="I374" i="6"/>
  <c r="I103" i="6"/>
  <c r="I152" i="6"/>
  <c r="I80" i="6"/>
  <c r="I314" i="6"/>
  <c r="I373" i="6"/>
  <c r="I63" i="6"/>
  <c r="I46" i="6"/>
  <c r="I66" i="6"/>
  <c r="I76" i="6"/>
  <c r="I376" i="6"/>
  <c r="I125" i="6"/>
  <c r="I27" i="6"/>
  <c r="I189" i="6"/>
  <c r="I325" i="6"/>
  <c r="I290" i="6"/>
  <c r="I121" i="6"/>
  <c r="I377" i="6"/>
  <c r="I136" i="6"/>
  <c r="I45" i="6"/>
  <c r="I115" i="6"/>
  <c r="I25" i="6"/>
  <c r="I60" i="6"/>
  <c r="I161" i="6"/>
  <c r="I61" i="6"/>
  <c r="I95" i="6"/>
  <c r="I181" i="6"/>
  <c r="I39" i="6"/>
  <c r="I96" i="6"/>
  <c r="I87" i="6"/>
  <c r="I128" i="6"/>
  <c r="I292" i="6"/>
  <c r="I316" i="6"/>
  <c r="I169" i="6"/>
  <c r="I98" i="6"/>
  <c r="I127" i="6"/>
  <c r="I84" i="6"/>
  <c r="I135" i="6"/>
  <c r="I65" i="6"/>
  <c r="I317" i="6"/>
  <c r="I102" i="6"/>
  <c r="I168" i="6"/>
  <c r="I99" i="6"/>
  <c r="I170" i="6"/>
  <c r="I323" i="6"/>
  <c r="I318" i="6"/>
  <c r="I300" i="6"/>
  <c r="I335" i="6"/>
  <c r="I334" i="6"/>
  <c r="I305" i="6"/>
  <c r="I100" i="6"/>
  <c r="I188" i="6"/>
  <c r="I179" i="6"/>
  <c r="I163" i="6"/>
  <c r="I28" i="6"/>
  <c r="I165" i="6"/>
  <c r="I162" i="6"/>
  <c r="Y52" i="6"/>
  <c r="I359" i="6"/>
  <c r="I357" i="6"/>
  <c r="I344" i="6"/>
  <c r="I362" i="6"/>
  <c r="I354" i="6"/>
  <c r="G12" i="6"/>
  <c r="F13" i="6"/>
  <c r="F12" i="6"/>
  <c r="AS81" i="6"/>
  <c r="AS92" i="6"/>
  <c r="AS88" i="6"/>
  <c r="AS119" i="6"/>
  <c r="AS110" i="6"/>
  <c r="AX32" i="6"/>
  <c r="AX21" i="6"/>
  <c r="AX19" i="6"/>
  <c r="AX26" i="6"/>
  <c r="AX28" i="6"/>
  <c r="AX34" i="6"/>
  <c r="I224" i="6"/>
  <c r="I227" i="6"/>
  <c r="I217" i="6"/>
  <c r="I268" i="6"/>
  <c r="I284" i="6"/>
  <c r="I240" i="6"/>
  <c r="I207" i="6"/>
  <c r="I282" i="6"/>
  <c r="I251" i="6"/>
  <c r="I266" i="6"/>
  <c r="I270" i="6"/>
  <c r="I244" i="6"/>
  <c r="I241" i="6"/>
  <c r="I235" i="6"/>
  <c r="I369" i="6"/>
  <c r="I22" i="6"/>
  <c r="H13" i="6"/>
  <c r="H12" i="6"/>
  <c r="AX66" i="6"/>
  <c r="AX54" i="6"/>
  <c r="AX44" i="6"/>
  <c r="AX59" i="6"/>
  <c r="AX37" i="6"/>
  <c r="AX38" i="6"/>
  <c r="AX90" i="6"/>
  <c r="AX53" i="6"/>
  <c r="AX72" i="6"/>
  <c r="AX49" i="6"/>
  <c r="AX81" i="6"/>
  <c r="AX43" i="6"/>
  <c r="AX74" i="6"/>
  <c r="AX77" i="6"/>
  <c r="AX71" i="6"/>
  <c r="AX89" i="6"/>
  <c r="AX82" i="6"/>
  <c r="AX88" i="6"/>
  <c r="AX63" i="6"/>
  <c r="AX70" i="6"/>
  <c r="AS114" i="6"/>
  <c r="AS120" i="6"/>
  <c r="AS99" i="6"/>
  <c r="AS85" i="6"/>
  <c r="AS79" i="6"/>
  <c r="AS106" i="6"/>
  <c r="AS121" i="6"/>
  <c r="AS105" i="6"/>
  <c r="AS131" i="6"/>
  <c r="AS103" i="6"/>
  <c r="AS118" i="6"/>
  <c r="AS123" i="6"/>
  <c r="AS101" i="6"/>
  <c r="AS84" i="6"/>
  <c r="AS80" i="6"/>
  <c r="AS93" i="6"/>
  <c r="AS100" i="6"/>
  <c r="AS82" i="6"/>
  <c r="AX17" i="6"/>
  <c r="AX23" i="6"/>
  <c r="AX31" i="6"/>
  <c r="AX25" i="6"/>
  <c r="AX16" i="6"/>
  <c r="AX33" i="6"/>
  <c r="AX18" i="6"/>
  <c r="AX27" i="6"/>
  <c r="AX29" i="6"/>
  <c r="AX35" i="6"/>
  <c r="I214" i="6"/>
  <c r="I198" i="6"/>
  <c r="I226" i="6"/>
  <c r="I204" i="6"/>
  <c r="I273" i="6"/>
  <c r="I209" i="6"/>
  <c r="I216" i="6"/>
  <c r="I248" i="6"/>
  <c r="I228" i="6"/>
  <c r="I245" i="6"/>
  <c r="I242" i="6"/>
  <c r="I272" i="6"/>
  <c r="I234" i="6"/>
  <c r="I247" i="6"/>
  <c r="I279" i="6"/>
  <c r="I265" i="6"/>
  <c r="I285" i="6"/>
  <c r="I280" i="6"/>
  <c r="I196" i="6"/>
  <c r="I260" i="6"/>
  <c r="I281" i="6"/>
  <c r="I236" i="6"/>
  <c r="I258" i="6"/>
  <c r="AU258" i="6"/>
  <c r="AW258" i="6"/>
  <c r="AV256" i="6"/>
  <c r="AV243" i="6"/>
  <c r="AU235" i="6"/>
  <c r="AW235" i="6"/>
  <c r="AV231" i="6"/>
  <c r="AU223" i="6"/>
  <c r="AW223" i="6"/>
  <c r="AU216" i="6"/>
  <c r="AW216" i="6"/>
  <c r="AV254" i="6"/>
  <c r="AU244" i="6"/>
  <c r="AW244" i="6"/>
  <c r="AV223" i="6"/>
  <c r="AU215" i="6"/>
  <c r="AW215" i="6"/>
  <c r="AV237" i="6"/>
  <c r="AU256" i="6"/>
  <c r="AW256" i="6"/>
  <c r="AU250" i="6"/>
  <c r="AW250" i="6"/>
  <c r="AU237" i="6"/>
  <c r="AW237" i="6"/>
  <c r="AV253" i="6"/>
  <c r="AV218" i="6"/>
  <c r="AV236" i="6"/>
  <c r="AV259" i="6"/>
  <c r="AU211" i="6"/>
  <c r="AW211" i="6"/>
  <c r="AU249" i="6"/>
  <c r="AW249" i="6"/>
  <c r="AU236" i="6"/>
  <c r="AW236" i="6"/>
  <c r="AX236" i="6"/>
  <c r="AV251" i="6"/>
  <c r="AV207" i="6"/>
  <c r="AU226" i="6"/>
  <c r="AW226" i="6"/>
  <c r="AU206" i="6"/>
  <c r="AW206" i="6"/>
  <c r="AU207" i="6"/>
  <c r="AW207" i="6"/>
  <c r="AV229" i="6"/>
  <c r="AV213" i="6"/>
  <c r="AV221" i="6"/>
  <c r="AV238" i="6"/>
  <c r="AU259" i="6"/>
  <c r="AW259" i="6"/>
  <c r="AV247" i="6"/>
  <c r="AU239" i="6"/>
  <c r="AW239" i="6"/>
  <c r="AU234" i="6"/>
  <c r="AW234" i="6"/>
  <c r="AV227" i="6"/>
  <c r="AU218" i="6"/>
  <c r="AW218" i="6"/>
  <c r="AX218" i="6"/>
  <c r="AV215" i="6"/>
  <c r="AV250" i="6"/>
  <c r="AU240" i="6"/>
  <c r="AW240" i="6"/>
  <c r="AV219" i="6"/>
  <c r="AV208" i="6"/>
  <c r="AV234" i="6"/>
  <c r="AU225" i="6"/>
  <c r="AW225" i="6"/>
  <c r="AU227" i="6"/>
  <c r="AW227" i="6"/>
  <c r="AV244" i="6"/>
  <c r="AV224" i="6"/>
  <c r="AU246" i="6"/>
  <c r="AW246" i="6"/>
  <c r="AU243" i="6"/>
  <c r="AW243" i="6"/>
  <c r="AX243" i="6"/>
  <c r="AV205" i="6"/>
  <c r="AV12" i="6"/>
  <c r="AU224" i="6"/>
  <c r="AW224" i="6"/>
  <c r="AX224" i="6"/>
  <c r="AV239" i="6"/>
  <c r="AU251" i="6"/>
  <c r="AW251" i="6"/>
  <c r="AX251" i="6"/>
  <c r="AV242" i="6"/>
  <c r="AV226" i="6"/>
  <c r="AU245" i="6"/>
  <c r="AW245" i="6"/>
  <c r="AV216" i="6"/>
  <c r="AV257" i="6"/>
  <c r="AV233" i="6"/>
  <c r="AU209" i="6"/>
  <c r="AW209" i="6"/>
  <c r="AV241" i="6"/>
  <c r="AU221" i="6"/>
  <c r="AW221" i="6"/>
  <c r="AX221" i="6"/>
  <c r="AU219" i="6"/>
  <c r="AW219" i="6"/>
  <c r="AX219" i="6"/>
  <c r="AV252" i="6"/>
  <c r="AU213" i="6"/>
  <c r="AW213" i="6"/>
  <c r="AX213" i="6"/>
  <c r="AV210" i="6"/>
  <c r="AU231" i="6"/>
  <c r="AW231" i="6"/>
  <c r="AX231" i="6"/>
  <c r="AU252" i="6"/>
  <c r="AW252" i="6"/>
  <c r="AX252" i="6"/>
  <c r="AV214" i="6"/>
  <c r="AV209" i="6"/>
  <c r="AU257" i="6"/>
  <c r="AW257" i="6"/>
  <c r="AV230" i="6"/>
  <c r="AU242" i="6"/>
  <c r="AW242" i="6"/>
  <c r="AU253" i="6"/>
  <c r="AW253" i="6"/>
  <c r="AX253" i="6"/>
  <c r="AU220" i="6"/>
  <c r="AW220" i="6"/>
  <c r="AV258" i="6"/>
  <c r="AV206" i="6"/>
  <c r="AV240" i="6"/>
  <c r="AV249" i="6"/>
  <c r="AU205" i="6"/>
  <c r="AW205" i="6"/>
  <c r="AX205" i="6"/>
  <c r="AU247" i="6"/>
  <c r="AW247" i="6"/>
  <c r="AX247" i="6"/>
  <c r="AV232" i="6"/>
  <c r="AV245" i="6"/>
  <c r="AV248" i="6"/>
  <c r="AU212" i="6"/>
  <c r="AW212" i="6"/>
  <c r="AV235" i="6"/>
  <c r="AU248" i="6"/>
  <c r="AW248" i="6"/>
  <c r="AU208" i="6"/>
  <c r="AW208" i="6"/>
  <c r="AX208" i="6"/>
  <c r="AV246" i="6"/>
  <c r="AV379" i="6"/>
  <c r="AU379" i="6"/>
  <c r="AW379" i="6"/>
  <c r="AU374" i="6"/>
  <c r="AW374" i="6"/>
  <c r="AV377" i="6"/>
  <c r="AU372" i="6"/>
  <c r="AW372" i="6"/>
  <c r="AU375" i="6"/>
  <c r="AW375" i="6"/>
  <c r="AU377" i="6"/>
  <c r="AW377" i="6"/>
  <c r="AV378" i="6"/>
  <c r="AU380" i="6"/>
  <c r="AW380" i="6"/>
  <c r="AV228" i="6"/>
  <c r="AU241" i="6"/>
  <c r="AW241" i="6"/>
  <c r="AU228" i="6"/>
  <c r="AW228" i="6"/>
  <c r="AX228" i="6"/>
  <c r="AU238" i="6"/>
  <c r="AW238" i="6"/>
  <c r="AX238" i="6"/>
  <c r="AV255" i="6"/>
  <c r="AV211" i="6"/>
  <c r="AV225" i="6"/>
  <c r="AU214" i="6"/>
  <c r="AW214" i="6"/>
  <c r="AU230" i="6"/>
  <c r="AW230" i="6"/>
  <c r="AU217" i="6"/>
  <c r="AW217" i="6"/>
  <c r="AV222" i="6"/>
  <c r="AV212" i="6"/>
  <c r="AV220" i="6"/>
  <c r="AU210" i="6"/>
  <c r="AW210" i="6"/>
  <c r="AX210" i="6"/>
  <c r="AU222" i="6"/>
  <c r="AW222" i="6"/>
  <c r="AX222" i="6"/>
  <c r="AV217" i="6"/>
  <c r="AU229" i="6"/>
  <c r="AW229" i="6"/>
  <c r="AU255" i="6"/>
  <c r="AW255" i="6"/>
  <c r="AU232" i="6"/>
  <c r="AW232" i="6"/>
  <c r="AU254" i="6"/>
  <c r="AW254" i="6"/>
  <c r="AX254" i="6"/>
  <c r="AU233" i="6"/>
  <c r="AW233" i="6"/>
  <c r="AX233" i="6"/>
  <c r="X52" i="6"/>
  <c r="AU378" i="6"/>
  <c r="AW378" i="6"/>
  <c r="AX378" i="6"/>
  <c r="AV380" i="6"/>
  <c r="AV373" i="6"/>
  <c r="AV376" i="6"/>
  <c r="AV375" i="6"/>
  <c r="AV372" i="6"/>
  <c r="AU373" i="6"/>
  <c r="AW373" i="6"/>
  <c r="AX373" i="6"/>
  <c r="AU376" i="6"/>
  <c r="AW376" i="6"/>
  <c r="AX376" i="6"/>
  <c r="AV374" i="6"/>
  <c r="AV314" i="6"/>
  <c r="AV282" i="6"/>
  <c r="AU260" i="6"/>
  <c r="AW260" i="6"/>
  <c r="AU303" i="6"/>
  <c r="AW303" i="6"/>
  <c r="AU271" i="6"/>
  <c r="AW271" i="6"/>
  <c r="AU268" i="6"/>
  <c r="AW268" i="6"/>
  <c r="AU306" i="6"/>
  <c r="AW306" i="6"/>
  <c r="AU304" i="6"/>
  <c r="AW304" i="6"/>
  <c r="AU295" i="6"/>
  <c r="AW295" i="6"/>
  <c r="AU290" i="6"/>
  <c r="AW290" i="6"/>
  <c r="AU289" i="6"/>
  <c r="AW289" i="6"/>
  <c r="AV283" i="6"/>
  <c r="AV306" i="6"/>
  <c r="AV274" i="6"/>
  <c r="AU287" i="6"/>
  <c r="AW287" i="6"/>
  <c r="AV290" i="6"/>
  <c r="AU280" i="6"/>
  <c r="AW280" i="6"/>
  <c r="AV302" i="6"/>
  <c r="AV270" i="6"/>
  <c r="AU262" i="6"/>
  <c r="AW262" i="6"/>
  <c r="AU261" i="6"/>
  <c r="AW261" i="6"/>
  <c r="AV307" i="6"/>
  <c r="AU264" i="6"/>
  <c r="AW264" i="6"/>
  <c r="AV315" i="6"/>
  <c r="AV299" i="6"/>
  <c r="AU279" i="6"/>
  <c r="AW279" i="6"/>
  <c r="AV271" i="6"/>
  <c r="AU302" i="6"/>
  <c r="AW302" i="6"/>
  <c r="AX302" i="6"/>
  <c r="AU270" i="6"/>
  <c r="AW270" i="6"/>
  <c r="AX270" i="6"/>
  <c r="AV262" i="6"/>
  <c r="AV291" i="6"/>
  <c r="AV296" i="6"/>
  <c r="AU296" i="6"/>
  <c r="AW296" i="6"/>
  <c r="AV285" i="6"/>
  <c r="AV304" i="6"/>
  <c r="AV293" i="6"/>
  <c r="AU312" i="6"/>
  <c r="AW312" i="6"/>
  <c r="AV284" i="6"/>
  <c r="AU297" i="6"/>
  <c r="AW297" i="6"/>
  <c r="AU282" i="6"/>
  <c r="AW282" i="6"/>
  <c r="AX282" i="6"/>
  <c r="AU307" i="6"/>
  <c r="AW307" i="6"/>
  <c r="AU276" i="6"/>
  <c r="AW276" i="6"/>
  <c r="AV309" i="6"/>
  <c r="AV305" i="6"/>
  <c r="AV301" i="6"/>
  <c r="AV264" i="6"/>
  <c r="AU284" i="6"/>
  <c r="AW284" i="6"/>
  <c r="AU313" i="6"/>
  <c r="AW313" i="6"/>
  <c r="AV298" i="6"/>
  <c r="AV13" i="6"/>
  <c r="AV266" i="6"/>
  <c r="AV310" i="6"/>
  <c r="AU300" i="6"/>
  <c r="AW300" i="6"/>
  <c r="AV279" i="6"/>
  <c r="AU267" i="6"/>
  <c r="AW267" i="6"/>
  <c r="AU311" i="6"/>
  <c r="AW311" i="6"/>
  <c r="AU310" i="6"/>
  <c r="AW310" i="6"/>
  <c r="AU305" i="6"/>
  <c r="AW305" i="6"/>
  <c r="AV303" i="6"/>
  <c r="AU294" i="6"/>
  <c r="AW294" i="6"/>
  <c r="AU273" i="6"/>
  <c r="AW273" i="6"/>
  <c r="AU298" i="6"/>
  <c r="AW298" i="6"/>
  <c r="AU266" i="6"/>
  <c r="AW266" i="6"/>
  <c r="AX266" i="6"/>
  <c r="AV263" i="6"/>
  <c r="AU263" i="6"/>
  <c r="AW263" i="6"/>
  <c r="AV275" i="6"/>
  <c r="AU309" i="6"/>
  <c r="AW309" i="6"/>
  <c r="AU291" i="6"/>
  <c r="AW291" i="6"/>
  <c r="AX291" i="6"/>
  <c r="AV287" i="6"/>
  <c r="AU272" i="6"/>
  <c r="AW272" i="6"/>
  <c r="AV311" i="6"/>
  <c r="AV278" i="6"/>
  <c r="AU314" i="6"/>
  <c r="AW314" i="6"/>
  <c r="AV260" i="6"/>
  <c r="AV261" i="6"/>
  <c r="AU275" i="6"/>
  <c r="AW275" i="6"/>
  <c r="AX275" i="6"/>
  <c r="AV272" i="6"/>
  <c r="AV297" i="6"/>
  <c r="AU265" i="6"/>
  <c r="AW265" i="6"/>
  <c r="AU315" i="6"/>
  <c r="AW315" i="6"/>
  <c r="AV280" i="6"/>
  <c r="AU277" i="6"/>
  <c r="AW277" i="6"/>
  <c r="AU301" i="6"/>
  <c r="AW301" i="6"/>
  <c r="AV295" i="6"/>
  <c r="AU283" i="6"/>
  <c r="AW283" i="6"/>
  <c r="AX283" i="6"/>
  <c r="AV308" i="6"/>
  <c r="AU278" i="6"/>
  <c r="AW278" i="6"/>
  <c r="AU285" i="6"/>
  <c r="AW285" i="6"/>
  <c r="AV269" i="6"/>
  <c r="AV276" i="6"/>
  <c r="AU371" i="6"/>
  <c r="AW371" i="6"/>
  <c r="AV351" i="6"/>
  <c r="AV326" i="6"/>
  <c r="AU331" i="6"/>
  <c r="AW331" i="6"/>
  <c r="AU327" i="6"/>
  <c r="AW327" i="6"/>
  <c r="AV366" i="6"/>
  <c r="AV362" i="6"/>
  <c r="AV333" i="6"/>
  <c r="AU348" i="6"/>
  <c r="AW348" i="6"/>
  <c r="AU324" i="6"/>
  <c r="AW324" i="6"/>
  <c r="AU322" i="6"/>
  <c r="AW322" i="6"/>
  <c r="AU342" i="6"/>
  <c r="AW342" i="6"/>
  <c r="AV323" i="6"/>
  <c r="AU367" i="6"/>
  <c r="AW367" i="6"/>
  <c r="AV365" i="6"/>
  <c r="AU352" i="6"/>
  <c r="AW352" i="6"/>
  <c r="AV347" i="6"/>
  <c r="AU346" i="6"/>
  <c r="AW346" i="6"/>
  <c r="AV367" i="6"/>
  <c r="AU320" i="6"/>
  <c r="AW320" i="6"/>
  <c r="AV318" i="6"/>
  <c r="AU356" i="6"/>
  <c r="AW356" i="6"/>
  <c r="AU353" i="6"/>
  <c r="AW353" i="6"/>
  <c r="AV348" i="6"/>
  <c r="AU325" i="6"/>
  <c r="AW325" i="6"/>
  <c r="AU350" i="6"/>
  <c r="AW350" i="6"/>
  <c r="AV356" i="6"/>
  <c r="AU363" i="6"/>
  <c r="AW363" i="6"/>
  <c r="AV319" i="6"/>
  <c r="AU343" i="6"/>
  <c r="AW343" i="6"/>
  <c r="AU318" i="6"/>
  <c r="AW318" i="6"/>
  <c r="AX318" i="6"/>
  <c r="AU338" i="6"/>
  <c r="AW338" i="6"/>
  <c r="AU359" i="6"/>
  <c r="AW359" i="6"/>
  <c r="AV338" i="6"/>
  <c r="AU355" i="6"/>
  <c r="AW355" i="6"/>
  <c r="AU365" i="6"/>
  <c r="AW365" i="6"/>
  <c r="AV321" i="6"/>
  <c r="AU349" i="6"/>
  <c r="AW349" i="6"/>
  <c r="AV328" i="6"/>
  <c r="AV343" i="6"/>
  <c r="AV352" i="6"/>
  <c r="AU360" i="6"/>
  <c r="AW360" i="6"/>
  <c r="AU334" i="6"/>
  <c r="AW334" i="6"/>
  <c r="AU361" i="6"/>
  <c r="AW361" i="6"/>
  <c r="AV316" i="6"/>
  <c r="AV350" i="6"/>
  <c r="AU317" i="6"/>
  <c r="AW317" i="6"/>
  <c r="AV353" i="6"/>
  <c r="AV325" i="6"/>
  <c r="AV322" i="6"/>
  <c r="AV359" i="6"/>
  <c r="AU364" i="6"/>
  <c r="AW364" i="6"/>
  <c r="AV346" i="6"/>
  <c r="AV341" i="6"/>
  <c r="AV357" i="6"/>
  <c r="AV320" i="6"/>
  <c r="AV324" i="6"/>
  <c r="AU293" i="6"/>
  <c r="AW293" i="6"/>
  <c r="AX293" i="6"/>
  <c r="AU274" i="6"/>
  <c r="AW274" i="6"/>
  <c r="AX274" i="6"/>
  <c r="AV267" i="6"/>
  <c r="AV289" i="6"/>
  <c r="AU286" i="6"/>
  <c r="AW286" i="6"/>
  <c r="AV286" i="6"/>
  <c r="AU308" i="6"/>
  <c r="AW308" i="6"/>
  <c r="AX308" i="6"/>
  <c r="AU292" i="6"/>
  <c r="AW292" i="6"/>
  <c r="AU288" i="6"/>
  <c r="AW288" i="6"/>
  <c r="AU281" i="6"/>
  <c r="AW281" i="6"/>
  <c r="AV288" i="6"/>
  <c r="AV265" i="6"/>
  <c r="AV313" i="6"/>
  <c r="AV294" i="6"/>
  <c r="AU299" i="6"/>
  <c r="AW299" i="6"/>
  <c r="AX299" i="6"/>
  <c r="AV300" i="6"/>
  <c r="AV312" i="6"/>
  <c r="AV277" i="6"/>
  <c r="AU269" i="6"/>
  <c r="AW269" i="6"/>
  <c r="AX269" i="6"/>
  <c r="AV273" i="6"/>
  <c r="AV268" i="6"/>
  <c r="AV281" i="6"/>
  <c r="AV292" i="6"/>
  <c r="AV361" i="6"/>
  <c r="AV342" i="6"/>
  <c r="AV340" i="6"/>
  <c r="AU319" i="6"/>
  <c r="AW319" i="6"/>
  <c r="AU370" i="6"/>
  <c r="AW370" i="6"/>
  <c r="AV354" i="6"/>
  <c r="AU368" i="6"/>
  <c r="AW368" i="6"/>
  <c r="AV360" i="6"/>
  <c r="AU323" i="6"/>
  <c r="AW323" i="6"/>
  <c r="AX323" i="6"/>
  <c r="AU330" i="6"/>
  <c r="AW330" i="6"/>
  <c r="AV339" i="6"/>
  <c r="AU369" i="6"/>
  <c r="AW369" i="6"/>
  <c r="AU357" i="6"/>
  <c r="AW357" i="6"/>
  <c r="AX357" i="6"/>
  <c r="AU354" i="6"/>
  <c r="AW354" i="6"/>
  <c r="AX354" i="6"/>
  <c r="AV355" i="6"/>
  <c r="AU345" i="6"/>
  <c r="AW345" i="6"/>
  <c r="AV330" i="6"/>
  <c r="AV336" i="6"/>
  <c r="AU344" i="6"/>
  <c r="AW344" i="6"/>
  <c r="AU316" i="6"/>
  <c r="AW316" i="6"/>
  <c r="AU362" i="6"/>
  <c r="AW362" i="6"/>
  <c r="AX362" i="6"/>
  <c r="AU347" i="6"/>
  <c r="AW347" i="6"/>
  <c r="AX347" i="6"/>
  <c r="AU340" i="6"/>
  <c r="AW340" i="6"/>
  <c r="AX340" i="6"/>
  <c r="AV331" i="6"/>
  <c r="AV337" i="6"/>
  <c r="AU358" i="6"/>
  <c r="AW358" i="6"/>
  <c r="AU332" i="6"/>
  <c r="AW332" i="6"/>
  <c r="AU321" i="6"/>
  <c r="AW321" i="6"/>
  <c r="AX321" i="6"/>
  <c r="AV317" i="6"/>
  <c r="AV349" i="6"/>
  <c r="AV332" i="6"/>
  <c r="AV370" i="6"/>
  <c r="AU335" i="6"/>
  <c r="AW335" i="6"/>
  <c r="AU333" i="6"/>
  <c r="AW333" i="6"/>
  <c r="AX333" i="6"/>
  <c r="AU329" i="6"/>
  <c r="AW329" i="6"/>
  <c r="AU351" i="6"/>
  <c r="AW351" i="6"/>
  <c r="AX351" i="6"/>
  <c r="AV358" i="6"/>
  <c r="AV364" i="6"/>
  <c r="AU328" i="6"/>
  <c r="AW328" i="6"/>
  <c r="AX328" i="6"/>
  <c r="AV368" i="6"/>
  <c r="AV345" i="6"/>
  <c r="AU366" i="6"/>
  <c r="AW366" i="6"/>
  <c r="AX366" i="6"/>
  <c r="AV369" i="6"/>
  <c r="AV363" i="6"/>
  <c r="AV371" i="6"/>
  <c r="AU339" i="6"/>
  <c r="AW339" i="6"/>
  <c r="AV327" i="6"/>
  <c r="AV335" i="6"/>
  <c r="AV344" i="6"/>
  <c r="AV329" i="6"/>
  <c r="AU337" i="6"/>
  <c r="AW337" i="6"/>
  <c r="AX337" i="6"/>
  <c r="AU326" i="6"/>
  <c r="AW326" i="6"/>
  <c r="AX326" i="6"/>
  <c r="AV334" i="6"/>
  <c r="AU336" i="6"/>
  <c r="AW336" i="6"/>
  <c r="AX336" i="6"/>
  <c r="AU341" i="6"/>
  <c r="AW341" i="6"/>
  <c r="X51" i="6"/>
  <c r="Z37" i="6"/>
  <c r="AQ319" i="6"/>
  <c r="AP329" i="6"/>
  <c r="AR329" i="6"/>
  <c r="AQ348" i="6"/>
  <c r="AP368" i="6"/>
  <c r="AR368" i="6"/>
  <c r="AQ342" i="6"/>
  <c r="AP352" i="6"/>
  <c r="AR352" i="6"/>
  <c r="AQ363" i="6"/>
  <c r="AQ328" i="6"/>
  <c r="AP328" i="6"/>
  <c r="AR328" i="6"/>
  <c r="AP372" i="6"/>
  <c r="AR372" i="6"/>
  <c r="AQ318" i="6"/>
  <c r="AP306" i="6"/>
  <c r="AR306" i="6"/>
  <c r="AQ360" i="6"/>
  <c r="AP313" i="6"/>
  <c r="AR313" i="6"/>
  <c r="AQ326" i="6"/>
  <c r="AQ347" i="6"/>
  <c r="AP340" i="6"/>
  <c r="AR340" i="6"/>
  <c r="AP377" i="6"/>
  <c r="AR377" i="6"/>
  <c r="AP359" i="6"/>
  <c r="AR359" i="6"/>
  <c r="AP323" i="6"/>
  <c r="AR323" i="6"/>
  <c r="AP335" i="6"/>
  <c r="AR335" i="6"/>
  <c r="AP311" i="6"/>
  <c r="AR311" i="6"/>
  <c r="AQ304" i="6"/>
  <c r="AP338" i="6"/>
  <c r="AR338" i="6"/>
  <c r="AQ337" i="6"/>
  <c r="AP331" i="6"/>
  <c r="AR331" i="6"/>
  <c r="AQ346" i="6"/>
  <c r="AQ373" i="6"/>
  <c r="AQ340" i="6"/>
  <c r="AQ308" i="6"/>
  <c r="AQ305" i="6"/>
  <c r="AP353" i="6"/>
  <c r="AR353" i="6"/>
  <c r="AQ320" i="6"/>
  <c r="AP369" i="6"/>
  <c r="AR369" i="6"/>
  <c r="AQ322" i="6"/>
  <c r="AQ367" i="6"/>
  <c r="AP336" i="6"/>
  <c r="AR336" i="6"/>
  <c r="AQ310" i="6"/>
  <c r="AP346" i="6"/>
  <c r="AR346" i="6"/>
  <c r="AS346" i="6"/>
  <c r="AQ338" i="6"/>
  <c r="AP365" i="6"/>
  <c r="AR365" i="6"/>
  <c r="AP308" i="6"/>
  <c r="AR308" i="6"/>
  <c r="AS308" i="6"/>
  <c r="AP321" i="6"/>
  <c r="AR321" i="6"/>
  <c r="AQ378" i="6"/>
  <c r="AP342" i="6"/>
  <c r="AR342" i="6"/>
  <c r="AS342" i="6"/>
  <c r="AQ330" i="6"/>
  <c r="AQ314" i="6"/>
  <c r="AQ352" i="6"/>
  <c r="AQ361" i="6"/>
  <c r="AP367" i="6"/>
  <c r="AR367" i="6"/>
  <c r="AS367" i="6"/>
  <c r="AQ351" i="6"/>
  <c r="AQ312" i="6"/>
  <c r="AP318" i="6"/>
  <c r="AR318" i="6"/>
  <c r="AS318" i="6"/>
  <c r="AQ345" i="6"/>
  <c r="AP341" i="6"/>
  <c r="AR341" i="6"/>
  <c r="AP366" i="6"/>
  <c r="AR366" i="6"/>
  <c r="AP362" i="6"/>
  <c r="AR362" i="6"/>
  <c r="AQ309" i="6"/>
  <c r="AQ306" i="6"/>
  <c r="AP351" i="6"/>
  <c r="AR351" i="6"/>
  <c r="AP373" i="6"/>
  <c r="AR373" i="6"/>
  <c r="AQ325" i="6"/>
  <c r="AQ371" i="6"/>
  <c r="AQ317" i="6"/>
  <c r="AQ354" i="6"/>
  <c r="AQ377" i="6"/>
  <c r="AP357" i="6"/>
  <c r="AR357" i="6"/>
  <c r="AQ369" i="6"/>
  <c r="AQ366" i="6"/>
  <c r="AQ311" i="6"/>
  <c r="AP360" i="6"/>
  <c r="AR360" i="6"/>
  <c r="AS360" i="6"/>
  <c r="AP378" i="6"/>
  <c r="AR378" i="6"/>
  <c r="AS378" i="6"/>
  <c r="AP309" i="6"/>
  <c r="AR309" i="6"/>
  <c r="AP312" i="6"/>
  <c r="AR312" i="6"/>
  <c r="AS312" i="6"/>
  <c r="AQ358" i="6"/>
  <c r="AQ315" i="6"/>
  <c r="AP320" i="6"/>
  <c r="AR320" i="6"/>
  <c r="AS320" i="6"/>
  <c r="AP303" i="6"/>
  <c r="AR303" i="6"/>
  <c r="AQ333" i="6"/>
  <c r="AP327" i="6"/>
  <c r="AR327" i="6"/>
  <c r="AQ350" i="6"/>
  <c r="AQ375" i="6"/>
  <c r="AQ303" i="6"/>
  <c r="AQ316" i="6"/>
  <c r="AQ323" i="6"/>
  <c r="AP364" i="6"/>
  <c r="AR364" i="6"/>
  <c r="AQ331" i="6"/>
  <c r="AP370" i="6"/>
  <c r="AR370" i="6"/>
  <c r="AQ355" i="6"/>
  <c r="AQ313" i="6"/>
  <c r="AP324" i="6"/>
  <c r="AR324" i="6"/>
  <c r="AQ374" i="6"/>
  <c r="AP325" i="6"/>
  <c r="AR325" i="6"/>
  <c r="AP326" i="6"/>
  <c r="AR326" i="6"/>
  <c r="AP349" i="6"/>
  <c r="AR349" i="6"/>
  <c r="AQ379" i="6"/>
  <c r="AQ327" i="6"/>
  <c r="AQ380" i="6"/>
  <c r="AP330" i="6"/>
  <c r="AR330" i="6"/>
  <c r="AQ365" i="6"/>
  <c r="AQ336" i="6"/>
  <c r="AQ376" i="6"/>
  <c r="AQ332" i="6"/>
  <c r="AP315" i="6"/>
  <c r="AR315" i="6"/>
  <c r="AS315" i="6"/>
  <c r="AP354" i="6"/>
  <c r="AR354" i="6"/>
  <c r="AS354" i="6"/>
  <c r="AP348" i="6"/>
  <c r="AR348" i="6"/>
  <c r="AP358" i="6"/>
  <c r="AR358" i="6"/>
  <c r="AS358" i="6"/>
  <c r="AP343" i="6"/>
  <c r="AR343" i="6"/>
  <c r="AQ321" i="6"/>
  <c r="AQ356" i="6"/>
  <c r="AP379" i="6"/>
  <c r="AR379" i="6"/>
  <c r="AP344" i="6"/>
  <c r="AR344" i="6"/>
  <c r="AP355" i="6"/>
  <c r="AR355" i="6"/>
  <c r="AS355" i="6"/>
  <c r="AP305" i="6"/>
  <c r="AR305" i="6"/>
  <c r="AP347" i="6"/>
  <c r="AR347" i="6"/>
  <c r="AS347" i="6"/>
  <c r="AQ368" i="6"/>
  <c r="AP332" i="6"/>
  <c r="AR332" i="6"/>
  <c r="AS332" i="6"/>
  <c r="AP374" i="6"/>
  <c r="AR374" i="6"/>
  <c r="AS374" i="6"/>
  <c r="AQ344" i="6"/>
  <c r="AP361" i="6"/>
  <c r="AR361" i="6"/>
  <c r="AP307" i="6"/>
  <c r="AR307" i="6"/>
  <c r="AP376" i="6"/>
  <c r="AR376" i="6"/>
  <c r="AS376" i="6"/>
  <c r="AP350" i="6"/>
  <c r="AR350" i="6"/>
  <c r="AS350" i="6"/>
  <c r="AQ324" i="6"/>
  <c r="AP333" i="6"/>
  <c r="AR333" i="6"/>
  <c r="AS333" i="6"/>
  <c r="AQ335" i="6"/>
  <c r="AP314" i="6"/>
  <c r="AR314" i="6"/>
  <c r="AS314" i="6"/>
  <c r="AQ339" i="6"/>
  <c r="AP339" i="6"/>
  <c r="AR339" i="6"/>
  <c r="AQ329" i="6"/>
  <c r="AP363" i="6"/>
  <c r="AR363" i="6"/>
  <c r="AS363" i="6"/>
  <c r="AQ349" i="6"/>
  <c r="AP319" i="6"/>
  <c r="AR319" i="6"/>
  <c r="AS319" i="6"/>
  <c r="AP337" i="6"/>
  <c r="AR337" i="6"/>
  <c r="AP334" i="6"/>
  <c r="AR334" i="6"/>
  <c r="AQ307" i="6"/>
  <c r="AP310" i="6"/>
  <c r="AR310" i="6"/>
  <c r="AS310" i="6"/>
  <c r="AQ334" i="6"/>
  <c r="AP316" i="6"/>
  <c r="AR316" i="6"/>
  <c r="AQ370" i="6"/>
  <c r="AQ343" i="6"/>
  <c r="AP304" i="6"/>
  <c r="AR304" i="6"/>
  <c r="AQ357" i="6"/>
  <c r="AQ364" i="6"/>
  <c r="AP317" i="6"/>
  <c r="AR317" i="6"/>
  <c r="AS317" i="6"/>
  <c r="AQ362" i="6"/>
  <c r="AQ359" i="6"/>
  <c r="AQ372" i="6"/>
  <c r="AP380" i="6"/>
  <c r="AR380" i="6"/>
  <c r="AP322" i="6"/>
  <c r="AR322" i="6"/>
  <c r="AQ353" i="6"/>
  <c r="AP371" i="6"/>
  <c r="AR371" i="6"/>
  <c r="AP345" i="6"/>
  <c r="AR345" i="6"/>
  <c r="AS345" i="6"/>
  <c r="AP356" i="6"/>
  <c r="AR356" i="6"/>
  <c r="AS356" i="6"/>
  <c r="AP375" i="6"/>
  <c r="AR375" i="6"/>
  <c r="AS375" i="6"/>
  <c r="AQ341" i="6"/>
  <c r="Z36" i="6"/>
  <c r="G13" i="6"/>
  <c r="AV204" i="6"/>
  <c r="AU204" i="6"/>
  <c r="AW204" i="6"/>
  <c r="AX204" i="6"/>
  <c r="U52" i="6"/>
  <c r="U51" i="6"/>
  <c r="I351" i="6"/>
  <c r="I368" i="6"/>
  <c r="I353" i="6"/>
  <c r="I371" i="6"/>
  <c r="I364" i="6"/>
  <c r="I356" i="6"/>
  <c r="I361" i="6"/>
  <c r="AX55" i="6"/>
  <c r="AX76" i="6"/>
  <c r="AX75" i="6"/>
  <c r="AS108" i="6"/>
  <c r="AS102" i="6"/>
  <c r="AS130" i="6"/>
  <c r="AS126" i="6"/>
  <c r="AS132" i="6"/>
  <c r="AS109" i="6"/>
  <c r="AS86" i="6"/>
  <c r="AR78" i="6"/>
  <c r="AP12" i="6"/>
  <c r="AS107" i="6"/>
  <c r="AS116" i="6"/>
  <c r="AS117" i="6"/>
  <c r="AS127" i="6"/>
  <c r="AS94" i="6"/>
  <c r="AX30" i="6"/>
  <c r="AX22" i="6"/>
  <c r="AW15" i="6"/>
  <c r="AU12" i="6"/>
  <c r="I267" i="6"/>
  <c r="I221" i="6"/>
  <c r="I202" i="6"/>
  <c r="I230" i="6"/>
  <c r="I206" i="6"/>
  <c r="I222" i="6"/>
  <c r="I278" i="6"/>
  <c r="I283" i="6"/>
  <c r="I250" i="6"/>
  <c r="I193" i="6"/>
  <c r="I286" i="6"/>
  <c r="I256" i="6"/>
  <c r="I197" i="6"/>
  <c r="I276" i="6"/>
  <c r="I271" i="6"/>
  <c r="I238" i="6"/>
  <c r="I201" i="6"/>
  <c r="I261" i="6"/>
  <c r="I249" i="6"/>
  <c r="I195" i="6"/>
  <c r="I264" i="6"/>
  <c r="I237" i="6"/>
  <c r="I253" i="6"/>
  <c r="I254" i="6"/>
  <c r="I263" i="6"/>
  <c r="I190" i="6"/>
  <c r="I348" i="6"/>
  <c r="I352" i="6"/>
  <c r="I345" i="6"/>
  <c r="I365" i="6"/>
  <c r="I363" i="6"/>
  <c r="I366" i="6"/>
  <c r="I360" i="6"/>
  <c r="I350" i="6"/>
  <c r="I367" i="6"/>
  <c r="I370" i="6"/>
  <c r="AA52" i="6"/>
  <c r="AA51" i="6"/>
  <c r="AS285" i="6"/>
  <c r="AS226" i="6"/>
  <c r="AS252" i="6"/>
  <c r="AS244" i="6"/>
  <c r="AS191" i="6"/>
  <c r="AS250" i="6"/>
  <c r="AS265" i="6"/>
  <c r="AS278" i="6"/>
  <c r="AS290" i="6"/>
  <c r="AS298" i="6"/>
  <c r="AS292" i="6"/>
  <c r="AS301" i="6"/>
  <c r="AS297" i="6"/>
  <c r="AS201" i="6"/>
  <c r="AS209" i="6"/>
  <c r="AS224" i="6"/>
  <c r="AS230" i="6"/>
  <c r="AS26" i="6"/>
  <c r="AS162" i="6"/>
  <c r="AS47" i="6"/>
  <c r="AS15" i="6"/>
  <c r="AS41" i="6"/>
  <c r="AS185" i="6"/>
  <c r="AS63" i="6"/>
  <c r="AS182" i="6"/>
  <c r="AS153" i="6"/>
  <c r="AS25" i="6"/>
  <c r="AS69" i="6"/>
  <c r="AS18" i="6"/>
  <c r="AS143" i="6"/>
  <c r="AS35" i="6"/>
  <c r="AS168" i="6"/>
  <c r="AS135" i="6"/>
  <c r="AS150" i="6"/>
  <c r="AS37" i="6"/>
  <c r="AS52" i="6"/>
  <c r="AS158" i="6"/>
  <c r="AS33" i="6"/>
  <c r="AS159" i="6"/>
  <c r="AS58" i="6"/>
  <c r="AX298" i="6"/>
  <c r="AU13" i="6"/>
  <c r="AP13" i="6"/>
  <c r="AS371" i="6"/>
  <c r="AS322" i="6"/>
  <c r="AS304" i="6"/>
  <c r="AS337" i="6"/>
  <c r="AS361" i="6"/>
  <c r="AS305" i="6"/>
  <c r="AS348" i="6"/>
  <c r="AS326" i="6"/>
  <c r="AS303" i="6"/>
  <c r="AS351" i="6"/>
  <c r="AX341" i="6"/>
  <c r="AX292" i="6"/>
  <c r="AX348" i="6"/>
  <c r="AX278" i="6"/>
  <c r="AX301" i="6"/>
  <c r="AX314" i="6"/>
  <c r="AX309" i="6"/>
  <c r="AX263" i="6"/>
  <c r="AX310" i="6"/>
  <c r="AX232" i="6"/>
  <c r="AX229" i="6"/>
  <c r="AX230" i="6"/>
  <c r="AX379" i="6"/>
  <c r="AX248" i="6"/>
  <c r="AX242" i="6"/>
  <c r="AX257" i="6"/>
  <c r="AX227" i="6"/>
  <c r="AX207" i="6"/>
  <c r="AX237" i="6"/>
  <c r="AX256" i="6"/>
  <c r="AS259" i="6"/>
  <c r="AS172" i="6"/>
  <c r="AS28" i="6"/>
  <c r="AS212" i="6"/>
  <c r="AS228" i="6"/>
  <c r="AS227" i="6"/>
  <c r="AS273" i="6"/>
  <c r="AS248" i="6"/>
  <c r="AS247" i="6"/>
  <c r="AS277" i="6"/>
  <c r="AS251" i="6"/>
  <c r="AS213" i="6"/>
  <c r="AS208" i="6"/>
  <c r="AS240" i="6"/>
  <c r="AS223" i="6"/>
  <c r="AS233" i="6"/>
  <c r="AS43" i="6"/>
  <c r="AS249" i="6"/>
  <c r="AS281" i="6"/>
  <c r="AS261" i="6"/>
  <c r="AS293" i="6"/>
  <c r="AS283" i="6"/>
  <c r="AS263" i="6"/>
  <c r="AS253" i="6"/>
  <c r="AS256" i="6"/>
  <c r="AS271" i="6"/>
  <c r="AS262" i="6"/>
  <c r="AS300" i="6"/>
  <c r="AS270" i="6"/>
  <c r="AS284" i="6"/>
  <c r="AS258" i="6"/>
  <c r="AS197" i="6"/>
  <c r="AS232" i="6"/>
  <c r="AS216" i="6"/>
  <c r="AS207" i="6"/>
  <c r="AS222" i="6"/>
  <c r="AS221" i="6"/>
  <c r="AS238" i="6"/>
  <c r="AS202" i="6"/>
  <c r="AS169" i="6"/>
  <c r="AS140" i="6"/>
  <c r="AS146" i="6"/>
  <c r="AS20" i="6"/>
  <c r="AS57" i="6"/>
  <c r="AS29" i="6"/>
  <c r="AS75" i="6"/>
  <c r="AS72" i="6"/>
  <c r="AS50" i="6"/>
  <c r="AS68" i="6"/>
  <c r="AS166" i="6"/>
  <c r="AS136" i="6"/>
  <c r="AS51" i="6"/>
  <c r="AS36" i="6"/>
  <c r="AS40" i="6"/>
  <c r="AS38" i="6"/>
  <c r="AS183" i="6"/>
  <c r="AS17" i="6"/>
  <c r="AS160" i="6"/>
  <c r="AS170" i="6"/>
  <c r="AS181" i="6"/>
  <c r="AS24" i="6"/>
  <c r="AS179" i="6"/>
  <c r="AS177" i="6"/>
  <c r="AS39" i="6"/>
  <c r="AS59" i="6"/>
  <c r="AS31" i="6"/>
  <c r="AS70" i="6"/>
  <c r="AS167" i="6"/>
  <c r="AS62" i="6"/>
  <c r="AS139" i="6"/>
  <c r="AS77" i="6"/>
  <c r="AS188" i="6"/>
  <c r="AS173" i="6"/>
  <c r="AS22" i="6"/>
  <c r="AS148" i="6"/>
  <c r="AS61" i="6"/>
  <c r="AS187" i="6"/>
  <c r="AS366" i="6"/>
  <c r="AX329" i="6"/>
  <c r="AX335" i="6"/>
  <c r="AX368" i="6"/>
  <c r="AX370" i="6"/>
  <c r="AX353" i="6"/>
  <c r="AX322" i="6"/>
  <c r="AX279" i="6"/>
  <c r="AX304" i="6"/>
  <c r="AX212" i="6"/>
  <c r="I13" i="6"/>
  <c r="AS344" i="6"/>
  <c r="AS343" i="6"/>
  <c r="AS327" i="6"/>
  <c r="AS331" i="6"/>
  <c r="AS323" i="6"/>
  <c r="AS306" i="6"/>
  <c r="AQ13" i="6"/>
  <c r="AX285" i="6"/>
  <c r="AX315" i="6"/>
  <c r="AX214" i="6"/>
  <c r="AX241" i="6"/>
  <c r="AX15" i="6"/>
  <c r="AW12" i="6"/>
  <c r="AW13" i="6"/>
  <c r="AS380" i="6"/>
  <c r="AS316" i="6"/>
  <c r="AS334" i="6"/>
  <c r="AS339" i="6"/>
  <c r="AS307" i="6"/>
  <c r="AS379" i="6"/>
  <c r="AS330" i="6"/>
  <c r="AS349" i="6"/>
  <c r="AS325" i="6"/>
  <c r="AS324" i="6"/>
  <c r="AS309" i="6"/>
  <c r="AS357" i="6"/>
  <c r="AS373" i="6"/>
  <c r="AS362" i="6"/>
  <c r="AS341" i="6"/>
  <c r="AS321" i="6"/>
  <c r="AS365" i="6"/>
  <c r="AS336" i="6"/>
  <c r="AS335" i="6"/>
  <c r="AS359" i="6"/>
  <c r="AS340" i="6"/>
  <c r="AS328" i="6"/>
  <c r="AX339" i="6"/>
  <c r="AX358" i="6"/>
  <c r="AX316" i="6"/>
  <c r="AX345" i="6"/>
  <c r="AX369" i="6"/>
  <c r="AX330" i="6"/>
  <c r="AX319" i="6"/>
  <c r="AX288" i="6"/>
  <c r="AX286" i="6"/>
  <c r="AX364" i="6"/>
  <c r="AX361" i="6"/>
  <c r="AX360" i="6"/>
  <c r="AX349" i="6"/>
  <c r="AX365" i="6"/>
  <c r="AX338" i="6"/>
  <c r="AX343" i="6"/>
  <c r="AX363" i="6"/>
  <c r="AX350" i="6"/>
  <c r="AX356" i="6"/>
  <c r="AX320" i="6"/>
  <c r="AX346" i="6"/>
  <c r="AX352" i="6"/>
  <c r="AX367" i="6"/>
  <c r="AX342" i="6"/>
  <c r="AX324" i="6"/>
  <c r="AX331" i="6"/>
  <c r="AX277" i="6"/>
  <c r="AX272" i="6"/>
  <c r="AX294" i="6"/>
  <c r="AX305" i="6"/>
  <c r="AX311" i="6"/>
  <c r="AX284" i="6"/>
  <c r="AX307" i="6"/>
  <c r="AX297" i="6"/>
  <c r="AX312" i="6"/>
  <c r="AX296" i="6"/>
  <c r="AX264" i="6"/>
  <c r="AX261" i="6"/>
  <c r="AX280" i="6"/>
  <c r="AX287" i="6"/>
  <c r="AX289" i="6"/>
  <c r="AX295" i="6"/>
  <c r="AX306" i="6"/>
  <c r="AX271" i="6"/>
  <c r="AX260" i="6"/>
  <c r="AX255" i="6"/>
  <c r="AX217" i="6"/>
  <c r="AX380" i="6"/>
  <c r="AX377" i="6"/>
  <c r="AX372" i="6"/>
  <c r="AX374" i="6"/>
  <c r="AX209" i="6"/>
  <c r="AX245" i="6"/>
  <c r="AX246" i="6"/>
  <c r="AX225" i="6"/>
  <c r="AX240" i="6"/>
  <c r="AX239" i="6"/>
  <c r="AX259" i="6"/>
  <c r="AX206" i="6"/>
  <c r="AX211" i="6"/>
  <c r="AX250" i="6"/>
  <c r="AX223" i="6"/>
  <c r="AX235" i="6"/>
  <c r="AQ12" i="6"/>
  <c r="I12" i="6"/>
  <c r="AS78" i="6"/>
  <c r="AR12" i="6"/>
  <c r="AR13" i="6"/>
  <c r="AS370" i="6"/>
  <c r="AS364" i="6"/>
  <c r="AS369" i="6"/>
  <c r="AS353" i="6"/>
  <c r="AS338" i="6"/>
  <c r="AS311" i="6"/>
  <c r="AS377" i="6"/>
  <c r="AS313" i="6"/>
  <c r="AS372" i="6"/>
  <c r="AS352" i="6"/>
  <c r="AS368" i="6"/>
  <c r="AS329" i="6"/>
  <c r="AX332" i="6"/>
  <c r="AX344" i="6"/>
  <c r="AX281" i="6"/>
  <c r="AX317" i="6"/>
  <c r="AX334" i="6"/>
  <c r="AX355" i="6"/>
  <c r="AX359" i="6"/>
  <c r="AX325" i="6"/>
  <c r="AX327" i="6"/>
  <c r="AX371" i="6"/>
  <c r="AX265" i="6"/>
  <c r="AX273" i="6"/>
  <c r="AX267" i="6"/>
  <c r="AX300" i="6"/>
  <c r="AX313" i="6"/>
  <c r="AX276" i="6"/>
  <c r="AX262" i="6"/>
  <c r="AX290" i="6"/>
  <c r="AX268" i="6"/>
  <c r="AX303" i="6"/>
  <c r="AX375" i="6"/>
  <c r="AX220" i="6"/>
  <c r="AX234" i="6"/>
  <c r="AX226" i="6"/>
  <c r="AX249" i="6"/>
  <c r="AX215" i="6"/>
  <c r="AX244" i="6"/>
  <c r="AX216" i="6"/>
  <c r="AX258" i="6"/>
  <c r="AC70" i="26"/>
  <c r="AS12" i="6"/>
  <c r="AS13" i="6"/>
  <c r="AX13" i="6"/>
  <c r="AX12" i="6"/>
  <c r="C15" i="7"/>
  <c r="K15" i="17"/>
  <c r="X15" i="17"/>
  <c r="AB15" i="17"/>
  <c r="A16" i="17"/>
  <c r="X18" i="1"/>
  <c r="AB18" i="1"/>
  <c r="A19" i="1"/>
  <c r="L18" i="1"/>
  <c r="K18" i="1"/>
  <c r="D6" i="6"/>
  <c r="A64" i="19"/>
  <c r="V14" i="17"/>
  <c r="L1" i="17"/>
  <c r="Y14" i="17"/>
  <c r="F14" i="17"/>
  <c r="S3" i="7"/>
  <c r="J1" i="18"/>
  <c r="X1" i="17"/>
  <c r="A14" i="19"/>
  <c r="A38" i="19" s="1"/>
  <c r="A16" i="16"/>
  <c r="K15" i="16"/>
  <c r="AB15" i="16"/>
  <c r="X15" i="16"/>
  <c r="L12" i="1"/>
  <c r="O11" i="1"/>
  <c r="B11" i="7"/>
  <c r="L11" i="17"/>
  <c r="E8" i="1"/>
  <c r="BV13" i="7"/>
  <c r="BJ13" i="7"/>
  <c r="F7" i="1"/>
  <c r="AC9" i="1" s="1"/>
  <c r="AJ15" i="1"/>
  <c r="AJ17" i="1"/>
  <c r="A16" i="15"/>
  <c r="AB15" i="15"/>
  <c r="K15" i="15"/>
  <c r="AB16" i="15"/>
  <c r="K16" i="15"/>
  <c r="X16" i="15"/>
  <c r="A17" i="15"/>
  <c r="K11" i="19"/>
  <c r="K35" i="19" s="1"/>
  <c r="O10" i="1"/>
  <c r="BQ13" i="7" s="1"/>
  <c r="L11" i="18"/>
  <c r="P11" i="1"/>
  <c r="B15" i="7"/>
  <c r="L12" i="15"/>
  <c r="AB16" i="16"/>
  <c r="X16" i="16"/>
  <c r="K16" i="16"/>
  <c r="A17" i="16"/>
  <c r="AC12" i="1"/>
  <c r="X1" i="18"/>
  <c r="F14" i="18"/>
  <c r="A15" i="18"/>
  <c r="L1" i="18"/>
  <c r="V14" i="18"/>
  <c r="J1" i="20"/>
  <c r="Y14" i="18"/>
  <c r="A15" i="19"/>
  <c r="A39" i="19" s="1"/>
  <c r="E6" i="6"/>
  <c r="A65" i="19"/>
  <c r="Y3" i="7"/>
  <c r="AC10" i="1"/>
  <c r="A20" i="1"/>
  <c r="AJ19" i="1"/>
  <c r="AK19" i="1"/>
  <c r="K19" i="1"/>
  <c r="AB19" i="1"/>
  <c r="L19" i="1"/>
  <c r="X19" i="1"/>
  <c r="AB16" i="17"/>
  <c r="X16" i="17"/>
  <c r="A17" i="17"/>
  <c r="K16" i="17"/>
  <c r="L20" i="1"/>
  <c r="K20" i="1"/>
  <c r="AK20" i="1"/>
  <c r="A21" i="1"/>
  <c r="AB20" i="1"/>
  <c r="AJ20" i="1"/>
  <c r="X20" i="1"/>
  <c r="AB15" i="18"/>
  <c r="X15" i="18"/>
  <c r="K15" i="18"/>
  <c r="A16" i="18"/>
  <c r="K17" i="16"/>
  <c r="X17" i="16"/>
  <c r="A18" i="16"/>
  <c r="AB17" i="16"/>
  <c r="L11" i="20"/>
  <c r="L17" i="15"/>
  <c r="D17" i="15" s="1"/>
  <c r="A18" i="15"/>
  <c r="X17" i="15"/>
  <c r="AB17" i="15"/>
  <c r="K17" i="15"/>
  <c r="X17" i="17"/>
  <c r="A18" i="17"/>
  <c r="AB17" i="17"/>
  <c r="K17" i="17"/>
  <c r="F14" i="20"/>
  <c r="A16" i="19"/>
  <c r="A40" i="19" s="1"/>
  <c r="X1" i="20"/>
  <c r="A15" i="20"/>
  <c r="F6" i="6"/>
  <c r="V14" i="20"/>
  <c r="J1" i="22"/>
  <c r="Y14" i="20"/>
  <c r="AE3" i="7"/>
  <c r="L1" i="20"/>
  <c r="L12" i="16"/>
  <c r="L12" i="17"/>
  <c r="L17" i="17" s="1"/>
  <c r="D17" i="17" s="1"/>
  <c r="P12" i="1"/>
  <c r="AK17" i="1"/>
  <c r="F8" i="1"/>
  <c r="AK380" i="1"/>
  <c r="AK16" i="1"/>
  <c r="AK15" i="1"/>
  <c r="AK18" i="1"/>
  <c r="L12" i="18"/>
  <c r="L15" i="18" s="1"/>
  <c r="L16" i="15"/>
  <c r="D16" i="15" s="1"/>
  <c r="L12" i="20"/>
  <c r="AE11" i="1"/>
  <c r="L11" i="19"/>
  <c r="P10" i="1"/>
  <c r="AI11" i="1"/>
  <c r="K15" i="20"/>
  <c r="AB15" i="20"/>
  <c r="X15" i="20"/>
  <c r="A16" i="20"/>
  <c r="X18" i="15"/>
  <c r="AB18" i="15"/>
  <c r="A19" i="15"/>
  <c r="K18" i="15"/>
  <c r="AB18" i="16"/>
  <c r="A19" i="16"/>
  <c r="X18" i="16"/>
  <c r="K18" i="16"/>
  <c r="A22" i="1"/>
  <c r="L21" i="1"/>
  <c r="AJ21" i="1"/>
  <c r="X21" i="1"/>
  <c r="AB21" i="1"/>
  <c r="AK21" i="1"/>
  <c r="K21" i="1"/>
  <c r="A17" i="19"/>
  <c r="A41" i="19" s="1"/>
  <c r="F14" i="22"/>
  <c r="G6" i="6"/>
  <c r="L1" i="22"/>
  <c r="AK3" i="7"/>
  <c r="J1" i="23"/>
  <c r="V14" i="22"/>
  <c r="X1" i="22"/>
  <c r="A15" i="22"/>
  <c r="Y14" i="22"/>
  <c r="X18" i="17"/>
  <c r="K18" i="17"/>
  <c r="A19" i="17"/>
  <c r="AB18" i="17"/>
  <c r="L11" i="22"/>
  <c r="K16" i="18"/>
  <c r="A17" i="18"/>
  <c r="AB16" i="18"/>
  <c r="X16" i="18"/>
  <c r="L11" i="23"/>
  <c r="X19" i="17"/>
  <c r="K19" i="17"/>
  <c r="AB19" i="17"/>
  <c r="A20" i="17"/>
  <c r="H6" i="6"/>
  <c r="L1" i="23"/>
  <c r="Y14" i="23"/>
  <c r="A15" i="23"/>
  <c r="A18" i="19"/>
  <c r="A42" i="19" s="1"/>
  <c r="F14" i="23"/>
  <c r="AQ3" i="7"/>
  <c r="X1" i="23"/>
  <c r="J1" i="24"/>
  <c r="V14" i="23"/>
  <c r="AJ22" i="1"/>
  <c r="L22" i="1"/>
  <c r="AK22" i="1"/>
  <c r="A23" i="1"/>
  <c r="K22" i="1"/>
  <c r="X22" i="1"/>
  <c r="AB22" i="1"/>
  <c r="A20" i="15"/>
  <c r="AB19" i="15"/>
  <c r="K19" i="15"/>
  <c r="X19" i="15"/>
  <c r="A17" i="20"/>
  <c r="X16" i="20"/>
  <c r="AB16" i="20"/>
  <c r="K16" i="20"/>
  <c r="L12" i="22"/>
  <c r="A18" i="18"/>
  <c r="AB17" i="18"/>
  <c r="K17" i="18"/>
  <c r="X17" i="18"/>
  <c r="X15" i="22"/>
  <c r="A16" i="22"/>
  <c r="AB15" i="22"/>
  <c r="K15" i="22"/>
  <c r="K19" i="16"/>
  <c r="A20" i="16"/>
  <c r="AB19" i="16"/>
  <c r="X19" i="16"/>
  <c r="A21" i="16"/>
  <c r="AB20" i="16"/>
  <c r="K20" i="16"/>
  <c r="X20" i="16"/>
  <c r="K18" i="18"/>
  <c r="X18" i="18"/>
  <c r="A19" i="18"/>
  <c r="AB18" i="18"/>
  <c r="A18" i="20"/>
  <c r="AB17" i="20"/>
  <c r="K17" i="20"/>
  <c r="X17" i="20"/>
  <c r="I6" i="6"/>
  <c r="X1" i="24"/>
  <c r="L1" i="24"/>
  <c r="Y14" i="24"/>
  <c r="A15" i="24"/>
  <c r="V14" i="24"/>
  <c r="J1" i="25"/>
  <c r="AW3" i="7"/>
  <c r="F14" i="24"/>
  <c r="A19" i="19"/>
  <c r="A43" i="19" s="1"/>
  <c r="X16" i="22"/>
  <c r="AB16" i="22"/>
  <c r="A17" i="22"/>
  <c r="K16" i="22"/>
  <c r="L12" i="23"/>
  <c r="X20" i="15"/>
  <c r="A21" i="15"/>
  <c r="AB20" i="15"/>
  <c r="K20" i="15"/>
  <c r="A24" i="1"/>
  <c r="AB23" i="1"/>
  <c r="K23" i="1"/>
  <c r="AJ23" i="1"/>
  <c r="X23" i="1"/>
  <c r="L23" i="1"/>
  <c r="AK23" i="1"/>
  <c r="K15" i="23"/>
  <c r="X15" i="23"/>
  <c r="AB15" i="23"/>
  <c r="A16" i="23"/>
  <c r="X20" i="17"/>
  <c r="K20" i="17"/>
  <c r="A21" i="17"/>
  <c r="AB20" i="17"/>
  <c r="L11" i="24"/>
  <c r="K16" i="23"/>
  <c r="A17" i="23"/>
  <c r="X16" i="23"/>
  <c r="AB16" i="23"/>
  <c r="A25" i="1"/>
  <c r="X24" i="1"/>
  <c r="K24" i="1"/>
  <c r="AK24" i="1"/>
  <c r="L24" i="1"/>
  <c r="AB24" i="1"/>
  <c r="AJ24" i="1"/>
  <c r="AB21" i="15"/>
  <c r="A22" i="15"/>
  <c r="X21" i="15"/>
  <c r="K21" i="15"/>
  <c r="AB17" i="22"/>
  <c r="K17" i="22"/>
  <c r="X17" i="22"/>
  <c r="A18" i="22"/>
  <c r="K18" i="20"/>
  <c r="X18" i="20"/>
  <c r="AB18" i="20"/>
  <c r="A19" i="20"/>
  <c r="AB21" i="16"/>
  <c r="K21" i="16"/>
  <c r="X21" i="16"/>
  <c r="A22" i="16"/>
  <c r="K21" i="17"/>
  <c r="A22" i="17"/>
  <c r="X21" i="17"/>
  <c r="AB21" i="17"/>
  <c r="L11" i="25"/>
  <c r="L12" i="24"/>
  <c r="F14" i="25"/>
  <c r="J6" i="6"/>
  <c r="A20" i="19"/>
  <c r="A44" i="19" s="1"/>
  <c r="L1" i="25"/>
  <c r="BC3" i="7"/>
  <c r="Y14" i="25"/>
  <c r="X1" i="25"/>
  <c r="V14" i="25"/>
  <c r="A15" i="25"/>
  <c r="A16" i="24"/>
  <c r="X15" i="24"/>
  <c r="AB15" i="24"/>
  <c r="K15" i="24"/>
  <c r="A20" i="18"/>
  <c r="X19" i="18"/>
  <c r="K19" i="18"/>
  <c r="AB19" i="18"/>
  <c r="A23" i="16"/>
  <c r="X22" i="16"/>
  <c r="AB22" i="16"/>
  <c r="K22" i="16"/>
  <c r="K18" i="22"/>
  <c r="A19" i="22"/>
  <c r="X18" i="22"/>
  <c r="AB18" i="22"/>
  <c r="A17" i="24"/>
  <c r="X16" i="24"/>
  <c r="K16" i="24"/>
  <c r="AB16" i="24"/>
  <c r="AB20" i="18"/>
  <c r="K20" i="18"/>
  <c r="A21" i="18"/>
  <c r="X20" i="18"/>
  <c r="X15" i="25"/>
  <c r="A16" i="25"/>
  <c r="K15" i="25"/>
  <c r="AB15" i="25"/>
  <c r="L12" i="25"/>
  <c r="A23" i="17"/>
  <c r="X22" i="17"/>
  <c r="AB22" i="17"/>
  <c r="K22" i="17"/>
  <c r="K19" i="20"/>
  <c r="X19" i="20"/>
  <c r="A20" i="20"/>
  <c r="AB19" i="20"/>
  <c r="AB22" i="15"/>
  <c r="X22" i="15"/>
  <c r="K22" i="15"/>
  <c r="A23" i="15"/>
  <c r="A26" i="1"/>
  <c r="AB25" i="1"/>
  <c r="K25" i="1"/>
  <c r="X25" i="1"/>
  <c r="AK25" i="1"/>
  <c r="L25" i="1"/>
  <c r="AJ25" i="1"/>
  <c r="X17" i="23"/>
  <c r="K17" i="23"/>
  <c r="A18" i="23"/>
  <c r="AB17" i="23"/>
  <c r="A19" i="23"/>
  <c r="K18" i="23"/>
  <c r="AB18" i="23"/>
  <c r="X18" i="23"/>
  <c r="A21" i="20"/>
  <c r="X20" i="20"/>
  <c r="AB20" i="20"/>
  <c r="K20" i="20"/>
  <c r="K23" i="17"/>
  <c r="AB23" i="17"/>
  <c r="X23" i="17"/>
  <c r="A24" i="17"/>
  <c r="AB16" i="25"/>
  <c r="A17" i="25"/>
  <c r="X16" i="25"/>
  <c r="K16" i="25"/>
  <c r="L21" i="18"/>
  <c r="K21" i="18"/>
  <c r="AB21" i="18"/>
  <c r="A22" i="18"/>
  <c r="X21" i="18"/>
  <c r="AB23" i="16"/>
  <c r="X23" i="16"/>
  <c r="A24" i="16"/>
  <c r="K23" i="16"/>
  <c r="L26" i="1"/>
  <c r="AK26" i="1"/>
  <c r="K26" i="1"/>
  <c r="A27" i="1"/>
  <c r="AJ26" i="1"/>
  <c r="AB26" i="1"/>
  <c r="X26" i="1"/>
  <c r="AB23" i="15"/>
  <c r="K23" i="15"/>
  <c r="A24" i="15"/>
  <c r="X23" i="15"/>
  <c r="K17" i="24"/>
  <c r="X17" i="24"/>
  <c r="L17" i="24"/>
  <c r="AB17" i="24"/>
  <c r="A18" i="24"/>
  <c r="K19" i="22"/>
  <c r="L19" i="22"/>
  <c r="X19" i="22"/>
  <c r="A20" i="22"/>
  <c r="AB19" i="22"/>
  <c r="AB20" i="22"/>
  <c r="A21" i="22"/>
  <c r="K20" i="22"/>
  <c r="X20" i="22"/>
  <c r="X18" i="24"/>
  <c r="K18" i="24"/>
  <c r="AB18" i="24"/>
  <c r="A19" i="24"/>
  <c r="AB24" i="17"/>
  <c r="X24" i="17"/>
  <c r="A25" i="17"/>
  <c r="K24" i="17"/>
  <c r="A20" i="23"/>
  <c r="X19" i="23"/>
  <c r="K19" i="23"/>
  <c r="AB19" i="23"/>
  <c r="X24" i="15"/>
  <c r="A25" i="15"/>
  <c r="AB24" i="15"/>
  <c r="K24" i="15"/>
  <c r="A28" i="1"/>
  <c r="AB27" i="1"/>
  <c r="X27" i="1"/>
  <c r="K27" i="1"/>
  <c r="L27" i="1"/>
  <c r="AJ27" i="1"/>
  <c r="AK27" i="1"/>
  <c r="AB24" i="16"/>
  <c r="A25" i="16"/>
  <c r="X24" i="16"/>
  <c r="K24" i="16"/>
  <c r="A23" i="18"/>
  <c r="AB22" i="18"/>
  <c r="X22" i="18"/>
  <c r="K22" i="18"/>
  <c r="A18" i="25"/>
  <c r="X17" i="25"/>
  <c r="AB17" i="25"/>
  <c r="K17" i="25"/>
  <c r="A22" i="20"/>
  <c r="X21" i="20"/>
  <c r="AB21" i="20"/>
  <c r="K21" i="20"/>
  <c r="AB22" i="20"/>
  <c r="A23" i="20"/>
  <c r="X22" i="20"/>
  <c r="K22" i="20"/>
  <c r="K23" i="18"/>
  <c r="A24" i="18"/>
  <c r="X23" i="18"/>
  <c r="AB23" i="18"/>
  <c r="K25" i="15"/>
  <c r="A26" i="15"/>
  <c r="X25" i="15"/>
  <c r="AB25" i="15"/>
  <c r="A19" i="25"/>
  <c r="X18" i="25"/>
  <c r="K18" i="25"/>
  <c r="AB18" i="25"/>
  <c r="K25" i="16"/>
  <c r="X25" i="16"/>
  <c r="A26" i="16"/>
  <c r="AB25" i="16"/>
  <c r="A29" i="1"/>
  <c r="X28" i="1"/>
  <c r="K28" i="1"/>
  <c r="L28" i="1"/>
  <c r="AK28" i="1"/>
  <c r="AB28" i="1"/>
  <c r="AJ28" i="1"/>
  <c r="AB20" i="23"/>
  <c r="K20" i="23"/>
  <c r="X20" i="23"/>
  <c r="A21" i="23"/>
  <c r="A26" i="17"/>
  <c r="X25" i="17"/>
  <c r="K25" i="17"/>
  <c r="AB25" i="17"/>
  <c r="AB19" i="24"/>
  <c r="X19" i="24"/>
  <c r="K19" i="24"/>
  <c r="A20" i="24"/>
  <c r="A22" i="22"/>
  <c r="K21" i="22"/>
  <c r="AB21" i="22"/>
  <c r="X21" i="22"/>
  <c r="X20" i="24"/>
  <c r="A21" i="24"/>
  <c r="AB20" i="24"/>
  <c r="K20" i="24"/>
  <c r="K26" i="17"/>
  <c r="A27" i="17"/>
  <c r="AB26" i="17"/>
  <c r="X26" i="17"/>
  <c r="AB21" i="23"/>
  <c r="A22" i="23"/>
  <c r="X21" i="23"/>
  <c r="K21" i="23"/>
  <c r="K29" i="1"/>
  <c r="AK29" i="1"/>
  <c r="AJ29" i="1"/>
  <c r="A20" i="7"/>
  <c r="A30" i="1"/>
  <c r="X29" i="1"/>
  <c r="L29" i="1"/>
  <c r="B20" i="7" s="1"/>
  <c r="AB29" i="1"/>
  <c r="X26" i="16"/>
  <c r="AB26" i="16"/>
  <c r="K26" i="16"/>
  <c r="A27" i="16"/>
  <c r="AB26" i="15"/>
  <c r="K26" i="15"/>
  <c r="A27" i="15"/>
  <c r="X26" i="15"/>
  <c r="A23" i="22"/>
  <c r="X22" i="22"/>
  <c r="K22" i="22"/>
  <c r="AB22" i="22"/>
  <c r="A20" i="25"/>
  <c r="K19" i="25"/>
  <c r="AB19" i="25"/>
  <c r="X19" i="25"/>
  <c r="A25" i="18"/>
  <c r="AB24" i="18"/>
  <c r="X24" i="18"/>
  <c r="K24" i="18"/>
  <c r="K23" i="20"/>
  <c r="AB23" i="20"/>
  <c r="X23" i="20"/>
  <c r="A24" i="20"/>
  <c r="K20" i="25"/>
  <c r="AB20" i="25"/>
  <c r="A21" i="25"/>
  <c r="X20" i="25"/>
  <c r="X23" i="22"/>
  <c r="K23" i="22"/>
  <c r="AB23" i="22"/>
  <c r="A24" i="22"/>
  <c r="X27" i="16"/>
  <c r="K27" i="16"/>
  <c r="AB27" i="16"/>
  <c r="A28" i="16"/>
  <c r="L27" i="16"/>
  <c r="D27" i="16" s="1"/>
  <c r="AB27" i="17"/>
  <c r="K27" i="17"/>
  <c r="X27" i="17"/>
  <c r="A28" i="17"/>
  <c r="X21" i="24"/>
  <c r="A22" i="24"/>
  <c r="AB21" i="24"/>
  <c r="K21" i="24"/>
  <c r="AB24" i="20"/>
  <c r="A25" i="20"/>
  <c r="K24" i="20"/>
  <c r="X24" i="20"/>
  <c r="AB25" i="18"/>
  <c r="K25" i="18"/>
  <c r="X25" i="18"/>
  <c r="A26" i="18"/>
  <c r="A28" i="15"/>
  <c r="AB27" i="15"/>
  <c r="K27" i="15"/>
  <c r="X27" i="15"/>
  <c r="AC30" i="1"/>
  <c r="L30" i="1"/>
  <c r="K30" i="1"/>
  <c r="AB30" i="1"/>
  <c r="AK30" i="1"/>
  <c r="X30" i="1"/>
  <c r="A31" i="1"/>
  <c r="AJ30" i="1"/>
  <c r="O30" i="1"/>
  <c r="AB22" i="23"/>
  <c r="X22" i="23"/>
  <c r="K22" i="23"/>
  <c r="A23" i="23"/>
  <c r="A29" i="15"/>
  <c r="AB28" i="15"/>
  <c r="K28" i="15"/>
  <c r="X28" i="15"/>
  <c r="L28" i="15"/>
  <c r="D28" i="15" s="1"/>
  <c r="K26" i="18"/>
  <c r="A27" i="18"/>
  <c r="X26" i="18"/>
  <c r="AB26" i="18"/>
  <c r="K25" i="20"/>
  <c r="X25" i="20"/>
  <c r="AB25" i="20"/>
  <c r="A26" i="20"/>
  <c r="A23" i="24"/>
  <c r="AB22" i="24"/>
  <c r="K22" i="24"/>
  <c r="X22" i="24"/>
  <c r="A22" i="25"/>
  <c r="X21" i="25"/>
  <c r="K21" i="25"/>
  <c r="AB21" i="25"/>
  <c r="AB23" i="23"/>
  <c r="A24" i="23"/>
  <c r="K23" i="23"/>
  <c r="X23" i="23"/>
  <c r="A32" i="1"/>
  <c r="AJ31" i="1"/>
  <c r="L31" i="1"/>
  <c r="AK31" i="1"/>
  <c r="K31" i="1"/>
  <c r="X31" i="1"/>
  <c r="AB31" i="1"/>
  <c r="A29" i="17"/>
  <c r="AB28" i="17"/>
  <c r="K28" i="17"/>
  <c r="X28" i="17"/>
  <c r="A29" i="16"/>
  <c r="AB28" i="16"/>
  <c r="X28" i="16"/>
  <c r="K28" i="16"/>
  <c r="K24" i="22"/>
  <c r="AB24" i="22"/>
  <c r="X24" i="22"/>
  <c r="A25" i="22"/>
  <c r="X25" i="22"/>
  <c r="A26" i="22"/>
  <c r="K25" i="22"/>
  <c r="AB25" i="22"/>
  <c r="A33" i="1"/>
  <c r="K32" i="1"/>
  <c r="AJ32" i="1"/>
  <c r="L32" i="1"/>
  <c r="X32" i="1"/>
  <c r="AK32" i="1"/>
  <c r="AB32" i="1"/>
  <c r="A23" i="25"/>
  <c r="L22" i="25"/>
  <c r="X22" i="25"/>
  <c r="AB22" i="25"/>
  <c r="K22" i="25"/>
  <c r="K23" i="24"/>
  <c r="X23" i="24"/>
  <c r="L23" i="24"/>
  <c r="A24" i="24"/>
  <c r="AB23" i="24"/>
  <c r="K26" i="20"/>
  <c r="L26" i="20"/>
  <c r="X26" i="20"/>
  <c r="AB26" i="20"/>
  <c r="A27" i="20"/>
  <c r="X27" i="18"/>
  <c r="A28" i="18"/>
  <c r="K27" i="18"/>
  <c r="AB27" i="18"/>
  <c r="AB29" i="15"/>
  <c r="A32" i="7"/>
  <c r="A30" i="15"/>
  <c r="K29" i="15"/>
  <c r="X29" i="15"/>
  <c r="AB29" i="16"/>
  <c r="A30" i="16"/>
  <c r="K29" i="16"/>
  <c r="X29" i="16"/>
  <c r="A44" i="7"/>
  <c r="A56" i="7"/>
  <c r="K29" i="17"/>
  <c r="AB29" i="17"/>
  <c r="X29" i="17"/>
  <c r="A30" i="17"/>
  <c r="K24" i="23"/>
  <c r="AB24" i="23"/>
  <c r="A25" i="23"/>
  <c r="X24" i="23"/>
  <c r="X25" i="23"/>
  <c r="A26" i="23"/>
  <c r="AB25" i="23"/>
  <c r="K25" i="23"/>
  <c r="AB30" i="16"/>
  <c r="K30" i="16"/>
  <c r="A31" i="16"/>
  <c r="X30" i="16"/>
  <c r="A31" i="15"/>
  <c r="K30" i="15"/>
  <c r="AB30" i="15"/>
  <c r="X30" i="15"/>
  <c r="K24" i="24"/>
  <c r="AB24" i="24"/>
  <c r="A25" i="24"/>
  <c r="X24" i="24"/>
  <c r="X23" i="25"/>
  <c r="AB23" i="25"/>
  <c r="A24" i="25"/>
  <c r="K23" i="25"/>
  <c r="A34" i="1"/>
  <c r="X33" i="1"/>
  <c r="AJ33" i="1"/>
  <c r="AB33" i="1"/>
  <c r="K33" i="1"/>
  <c r="L33" i="1"/>
  <c r="AK33" i="1"/>
  <c r="AB30" i="17"/>
  <c r="X30" i="17"/>
  <c r="K30" i="17"/>
  <c r="A31" i="17"/>
  <c r="L28" i="18"/>
  <c r="AB28" i="18"/>
  <c r="A29" i="18"/>
  <c r="K28" i="18"/>
  <c r="X28" i="18"/>
  <c r="K27" i="20"/>
  <c r="A28" i="20"/>
  <c r="X27" i="20"/>
  <c r="AB27" i="20"/>
  <c r="K26" i="22"/>
  <c r="X26" i="22"/>
  <c r="A27" i="22"/>
  <c r="AB26" i="22"/>
  <c r="A29" i="20"/>
  <c r="K28" i="20"/>
  <c r="AB28" i="20"/>
  <c r="X28" i="20"/>
  <c r="A32" i="17"/>
  <c r="K31" i="17"/>
  <c r="AB31" i="17"/>
  <c r="X31" i="17"/>
  <c r="A35" i="1"/>
  <c r="K34" i="1"/>
  <c r="AJ34" i="1"/>
  <c r="AB34" i="1"/>
  <c r="L34" i="1"/>
  <c r="X34" i="1"/>
  <c r="AK34" i="1"/>
  <c r="AB24" i="25"/>
  <c r="A25" i="25"/>
  <c r="X24" i="25"/>
  <c r="K24" i="25"/>
  <c r="AB25" i="24"/>
  <c r="A26" i="24"/>
  <c r="X25" i="24"/>
  <c r="K25" i="24"/>
  <c r="A32" i="15"/>
  <c r="X31" i="15"/>
  <c r="AB31" i="15"/>
  <c r="K31" i="15"/>
  <c r="X31" i="16"/>
  <c r="A32" i="16"/>
  <c r="K31" i="16"/>
  <c r="AB31" i="16"/>
  <c r="X27" i="22"/>
  <c r="K27" i="22"/>
  <c r="AB27" i="22"/>
  <c r="A28" i="22"/>
  <c r="K29" i="18"/>
  <c r="A68" i="7"/>
  <c r="X29" i="18"/>
  <c r="AB29" i="18"/>
  <c r="A30" i="18"/>
  <c r="K26" i="23"/>
  <c r="A27" i="23"/>
  <c r="AB26" i="23"/>
  <c r="X26" i="23"/>
  <c r="X30" i="18"/>
  <c r="K30" i="18"/>
  <c r="AB30" i="18"/>
  <c r="A31" i="18"/>
  <c r="AB32" i="16"/>
  <c r="A33" i="16"/>
  <c r="K32" i="16"/>
  <c r="X32" i="16"/>
  <c r="A27" i="24"/>
  <c r="X26" i="24"/>
  <c r="K26" i="24"/>
  <c r="AB26" i="24"/>
  <c r="AB32" i="17"/>
  <c r="K32" i="17"/>
  <c r="X32" i="17"/>
  <c r="A33" i="17"/>
  <c r="K29" i="20"/>
  <c r="L29" i="20"/>
  <c r="AF20" i="7" s="1"/>
  <c r="AB29" i="20"/>
  <c r="AE20" i="7"/>
  <c r="A30" i="20"/>
  <c r="X29" i="20"/>
  <c r="A28" i="23"/>
  <c r="L27" i="23"/>
  <c r="AB27" i="23"/>
  <c r="K27" i="23"/>
  <c r="X27" i="23"/>
  <c r="A29" i="22"/>
  <c r="AB28" i="22"/>
  <c r="K28" i="22"/>
  <c r="X28" i="22"/>
  <c r="K32" i="15"/>
  <c r="AB32" i="15"/>
  <c r="X32" i="15"/>
  <c r="A33" i="15"/>
  <c r="A26" i="25"/>
  <c r="X25" i="25"/>
  <c r="K25" i="25"/>
  <c r="AB25" i="25"/>
  <c r="AK35" i="1"/>
  <c r="AJ35" i="1"/>
  <c r="X35" i="1"/>
  <c r="A36" i="1"/>
  <c r="K35" i="1"/>
  <c r="AB35" i="1"/>
  <c r="L35" i="1"/>
  <c r="A34" i="17"/>
  <c r="X33" i="17"/>
  <c r="K33" i="17"/>
  <c r="AB33" i="17"/>
  <c r="X33" i="16"/>
  <c r="A34" i="16"/>
  <c r="K33" i="16"/>
  <c r="AB33" i="16"/>
  <c r="A37" i="1"/>
  <c r="AK36" i="1"/>
  <c r="X36" i="1"/>
  <c r="AJ36" i="1"/>
  <c r="K36" i="1"/>
  <c r="L36" i="1"/>
  <c r="AB36" i="1"/>
  <c r="X26" i="25"/>
  <c r="A27" i="25"/>
  <c r="AB26" i="25"/>
  <c r="K26" i="25"/>
  <c r="K33" i="15"/>
  <c r="AB33" i="15"/>
  <c r="A34" i="15"/>
  <c r="X33" i="15"/>
  <c r="A30" i="22"/>
  <c r="AB29" i="22"/>
  <c r="X29" i="22"/>
  <c r="K29" i="22"/>
  <c r="AE32" i="7"/>
  <c r="X28" i="23"/>
  <c r="A29" i="23"/>
  <c r="AB28" i="23"/>
  <c r="K28" i="23"/>
  <c r="K30" i="20"/>
  <c r="A31" i="20"/>
  <c r="X30" i="20"/>
  <c r="AB30" i="20"/>
  <c r="AB27" i="24"/>
  <c r="A28" i="24"/>
  <c r="K27" i="24"/>
  <c r="X27" i="24"/>
  <c r="A32" i="18"/>
  <c r="X31" i="18"/>
  <c r="AB31" i="18"/>
  <c r="K31" i="18"/>
  <c r="A31" i="22"/>
  <c r="AB30" i="22"/>
  <c r="X30" i="22"/>
  <c r="K30" i="22"/>
  <c r="K34" i="15"/>
  <c r="X34" i="15"/>
  <c r="AB34" i="15"/>
  <c r="A35" i="15"/>
  <c r="AJ37" i="1"/>
  <c r="L37" i="1"/>
  <c r="AB37" i="1"/>
  <c r="A38" i="1"/>
  <c r="X37" i="1"/>
  <c r="AK37" i="1"/>
  <c r="K37" i="1"/>
  <c r="X31" i="20"/>
  <c r="AB31" i="20"/>
  <c r="A32" i="20"/>
  <c r="K31" i="20"/>
  <c r="K32" i="18"/>
  <c r="AB32" i="18"/>
  <c r="A33" i="18"/>
  <c r="X32" i="18"/>
  <c r="K28" i="24"/>
  <c r="AB28" i="24"/>
  <c r="A29" i="24"/>
  <c r="X28" i="24"/>
  <c r="K29" i="23"/>
  <c r="AE44" i="7"/>
  <c r="A30" i="23"/>
  <c r="AB29" i="23"/>
  <c r="X29" i="23"/>
  <c r="X27" i="25"/>
  <c r="K27" i="25"/>
  <c r="A28" i="25"/>
  <c r="AB27" i="25"/>
  <c r="X34" i="16"/>
  <c r="K34" i="16"/>
  <c r="A35" i="16"/>
  <c r="AB34" i="16"/>
  <c r="AB34" i="17"/>
  <c r="K34" i="17"/>
  <c r="A35" i="17"/>
  <c r="X34" i="17"/>
  <c r="X35" i="17"/>
  <c r="AB35" i="17"/>
  <c r="A36" i="17"/>
  <c r="K35" i="17"/>
  <c r="K35" i="16"/>
  <c r="AB35" i="16"/>
  <c r="X35" i="16"/>
  <c r="A36" i="16"/>
  <c r="K28" i="25"/>
  <c r="A29" i="25"/>
  <c r="AB28" i="25"/>
  <c r="X28" i="25"/>
  <c r="AB30" i="23"/>
  <c r="A31" i="23"/>
  <c r="X30" i="23"/>
  <c r="K30" i="23"/>
  <c r="K33" i="18"/>
  <c r="AB33" i="18"/>
  <c r="X33" i="18"/>
  <c r="A34" i="18"/>
  <c r="X32" i="20"/>
  <c r="A33" i="20"/>
  <c r="K32" i="20"/>
  <c r="AB32" i="20"/>
  <c r="A39" i="1"/>
  <c r="L38" i="1"/>
  <c r="AK38" i="1"/>
  <c r="K38" i="1"/>
  <c r="AJ38" i="1"/>
  <c r="AB38" i="1"/>
  <c r="X38" i="1"/>
  <c r="K29" i="24"/>
  <c r="A30" i="24"/>
  <c r="X29" i="24"/>
  <c r="AE56" i="7"/>
  <c r="AB29" i="24"/>
  <c r="AB35" i="15"/>
  <c r="K35" i="15"/>
  <c r="A36" i="15"/>
  <c r="X35" i="15"/>
  <c r="A32" i="22"/>
  <c r="K31" i="22"/>
  <c r="X31" i="22"/>
  <c r="AB31" i="22"/>
  <c r="A31" i="24"/>
  <c r="AB30" i="24"/>
  <c r="K30" i="24"/>
  <c r="X30" i="24"/>
  <c r="A37" i="16"/>
  <c r="X36" i="16"/>
  <c r="K36" i="16"/>
  <c r="AB36" i="16"/>
  <c r="A37" i="17"/>
  <c r="X36" i="17"/>
  <c r="AB36" i="17"/>
  <c r="K36" i="17"/>
  <c r="A33" i="22"/>
  <c r="X32" i="22"/>
  <c r="K32" i="22"/>
  <c r="AB32" i="22"/>
  <c r="AB36" i="15"/>
  <c r="A37" i="15"/>
  <c r="X36" i="15"/>
  <c r="K36" i="15"/>
  <c r="X39" i="1"/>
  <c r="AK39" i="1"/>
  <c r="L39" i="1"/>
  <c r="AJ39" i="1"/>
  <c r="K39" i="1"/>
  <c r="A40" i="1"/>
  <c r="AB39" i="1"/>
  <c r="X33" i="20"/>
  <c r="K33" i="20"/>
  <c r="A34" i="20"/>
  <c r="AB33" i="20"/>
  <c r="X34" i="18"/>
  <c r="K34" i="18"/>
  <c r="AB34" i="18"/>
  <c r="A35" i="18"/>
  <c r="AB31" i="23"/>
  <c r="X31" i="23"/>
  <c r="K31" i="23"/>
  <c r="A32" i="23"/>
  <c r="X29" i="25"/>
  <c r="K29" i="25"/>
  <c r="A30" i="25"/>
  <c r="AB29" i="25"/>
  <c r="AE68" i="7"/>
  <c r="A41" i="1"/>
  <c r="L40" i="1"/>
  <c r="AB40" i="1"/>
  <c r="AK40" i="1"/>
  <c r="K40" i="1"/>
  <c r="X40" i="1"/>
  <c r="AJ40" i="1"/>
  <c r="K37" i="16"/>
  <c r="A38" i="16"/>
  <c r="X37" i="16"/>
  <c r="AB37" i="16"/>
  <c r="A32" i="24"/>
  <c r="K31" i="24"/>
  <c r="X31" i="24"/>
  <c r="AB31" i="24"/>
  <c r="AB30" i="25"/>
  <c r="K30" i="25"/>
  <c r="A31" i="25"/>
  <c r="X30" i="25"/>
  <c r="X35" i="18"/>
  <c r="A36" i="18"/>
  <c r="AB35" i="18"/>
  <c r="K35" i="18"/>
  <c r="K37" i="15"/>
  <c r="AB37" i="15"/>
  <c r="X37" i="15"/>
  <c r="A38" i="15"/>
  <c r="A33" i="23"/>
  <c r="AB32" i="23"/>
  <c r="K32" i="23"/>
  <c r="X32" i="23"/>
  <c r="A35" i="20"/>
  <c r="K34" i="20"/>
  <c r="X34" i="20"/>
  <c r="AB34" i="20"/>
  <c r="AB33" i="22"/>
  <c r="A34" i="22"/>
  <c r="K33" i="22"/>
  <c r="X33" i="22"/>
  <c r="K37" i="17"/>
  <c r="AB37" i="17"/>
  <c r="A38" i="17"/>
  <c r="X37" i="17"/>
  <c r="A36" i="20"/>
  <c r="K35" i="20"/>
  <c r="X35" i="20"/>
  <c r="AB35" i="20"/>
  <c r="K38" i="15"/>
  <c r="A39" i="15"/>
  <c r="X38" i="15"/>
  <c r="AB38" i="15"/>
  <c r="A37" i="18"/>
  <c r="X36" i="18"/>
  <c r="AB36" i="18"/>
  <c r="K36" i="18"/>
  <c r="A33" i="24"/>
  <c r="K32" i="24"/>
  <c r="AB32" i="24"/>
  <c r="X32" i="24"/>
  <c r="A42" i="1"/>
  <c r="L41" i="1"/>
  <c r="AB41" i="1"/>
  <c r="AK41" i="1"/>
  <c r="X41" i="1"/>
  <c r="K41" i="1"/>
  <c r="AJ41" i="1"/>
  <c r="A39" i="17"/>
  <c r="AB38" i="17"/>
  <c r="X38" i="17"/>
  <c r="K38" i="17"/>
  <c r="K34" i="22"/>
  <c r="AB34" i="22"/>
  <c r="A35" i="22"/>
  <c r="X34" i="22"/>
  <c r="A34" i="23"/>
  <c r="X33" i="23"/>
  <c r="K33" i="23"/>
  <c r="AB33" i="23"/>
  <c r="K31" i="25"/>
  <c r="AB31" i="25"/>
  <c r="X31" i="25"/>
  <c r="A32" i="25"/>
  <c r="X38" i="16"/>
  <c r="K38" i="16"/>
  <c r="AB38" i="16"/>
  <c r="A39" i="16"/>
  <c r="A40" i="17"/>
  <c r="X39" i="17"/>
  <c r="AB39" i="17"/>
  <c r="K39" i="17"/>
  <c r="A34" i="24"/>
  <c r="AB33" i="24"/>
  <c r="X33" i="24"/>
  <c r="K33" i="24"/>
  <c r="AB39" i="15"/>
  <c r="A40" i="15"/>
  <c r="X39" i="15"/>
  <c r="K39" i="15"/>
  <c r="A33" i="25"/>
  <c r="X32" i="25"/>
  <c r="K32" i="25"/>
  <c r="AB32" i="25"/>
  <c r="K39" i="16"/>
  <c r="A40" i="16"/>
  <c r="AB39" i="16"/>
  <c r="X39" i="16"/>
  <c r="K34" i="23"/>
  <c r="A35" i="23"/>
  <c r="X34" i="23"/>
  <c r="AB34" i="23"/>
  <c r="A36" i="22"/>
  <c r="AB35" i="22"/>
  <c r="K35" i="22"/>
  <c r="X35" i="22"/>
  <c r="AJ42" i="1"/>
  <c r="AK42" i="1"/>
  <c r="X42" i="1"/>
  <c r="K42" i="1"/>
  <c r="L42" i="1"/>
  <c r="AB42" i="1"/>
  <c r="A43" i="1"/>
  <c r="AB37" i="18"/>
  <c r="K37" i="18"/>
  <c r="X37" i="18"/>
  <c r="A38" i="18"/>
  <c r="A37" i="20"/>
  <c r="AB36" i="20"/>
  <c r="X36" i="20"/>
  <c r="K36" i="20"/>
  <c r="K37" i="20"/>
  <c r="A38" i="20"/>
  <c r="X37" i="20"/>
  <c r="AB37" i="20"/>
  <c r="K36" i="22"/>
  <c r="AB36" i="22"/>
  <c r="A37" i="22"/>
  <c r="X36" i="22"/>
  <c r="K35" i="23"/>
  <c r="AB35" i="23"/>
  <c r="A36" i="23"/>
  <c r="X35" i="23"/>
  <c r="AB33" i="25"/>
  <c r="A34" i="25"/>
  <c r="X33" i="25"/>
  <c r="K33" i="25"/>
  <c r="AB34" i="24"/>
  <c r="X34" i="24"/>
  <c r="K34" i="24"/>
  <c r="A35" i="24"/>
  <c r="A39" i="18"/>
  <c r="K38" i="18"/>
  <c r="AB38" i="18"/>
  <c r="X38" i="18"/>
  <c r="AJ43" i="1"/>
  <c r="L43" i="1"/>
  <c r="AK43" i="1"/>
  <c r="AB43" i="1"/>
  <c r="X43" i="1"/>
  <c r="A44" i="1"/>
  <c r="K43" i="1"/>
  <c r="K40" i="16"/>
  <c r="X40" i="16"/>
  <c r="AB40" i="16"/>
  <c r="A41" i="16"/>
  <c r="AB40" i="15"/>
  <c r="X40" i="15"/>
  <c r="K40" i="15"/>
  <c r="A41" i="15"/>
  <c r="K40" i="17"/>
  <c r="AB40" i="17"/>
  <c r="X40" i="17"/>
  <c r="A41" i="17"/>
  <c r="AB41" i="15"/>
  <c r="X41" i="15"/>
  <c r="A42" i="15"/>
  <c r="K41" i="15"/>
  <c r="X36" i="23"/>
  <c r="AB36" i="23"/>
  <c r="A37" i="23"/>
  <c r="K36" i="23"/>
  <c r="X37" i="22"/>
  <c r="A38" i="22"/>
  <c r="AB37" i="22"/>
  <c r="K37" i="22"/>
  <c r="K38" i="20"/>
  <c r="X38" i="20"/>
  <c r="AB38" i="20"/>
  <c r="A39" i="20"/>
  <c r="A42" i="17"/>
  <c r="X41" i="17"/>
  <c r="AB41" i="17"/>
  <c r="K41" i="17"/>
  <c r="X41" i="16"/>
  <c r="A42" i="16"/>
  <c r="K41" i="16"/>
  <c r="AB41" i="16"/>
  <c r="A45" i="1"/>
  <c r="AB44" i="1"/>
  <c r="K44" i="1"/>
  <c r="AJ44" i="1"/>
  <c r="L44" i="1"/>
  <c r="X44" i="1"/>
  <c r="AK44" i="1"/>
  <c r="A40" i="18"/>
  <c r="K39" i="18"/>
  <c r="X39" i="18"/>
  <c r="AB39" i="18"/>
  <c r="X35" i="24"/>
  <c r="AB35" i="24"/>
  <c r="A36" i="24"/>
  <c r="K35" i="24"/>
  <c r="AB34" i="25"/>
  <c r="A35" i="25"/>
  <c r="K34" i="25"/>
  <c r="X34" i="25"/>
  <c r="X35" i="25"/>
  <c r="AB35" i="25"/>
  <c r="K35" i="25"/>
  <c r="A36" i="25"/>
  <c r="K36" i="24"/>
  <c r="AB36" i="24"/>
  <c r="A37" i="24"/>
  <c r="X36" i="24"/>
  <c r="AB42" i="17"/>
  <c r="K42" i="17"/>
  <c r="A43" i="17"/>
  <c r="X42" i="17"/>
  <c r="A40" i="20"/>
  <c r="X39" i="20"/>
  <c r="AB39" i="20"/>
  <c r="K39" i="20"/>
  <c r="A39" i="22"/>
  <c r="AB38" i="22"/>
  <c r="K38" i="22"/>
  <c r="X38" i="22"/>
  <c r="K42" i="15"/>
  <c r="A43" i="15"/>
  <c r="X42" i="15"/>
  <c r="AB42" i="15"/>
  <c r="A41" i="18"/>
  <c r="AB40" i="18"/>
  <c r="X40" i="18"/>
  <c r="K40" i="18"/>
  <c r="A46" i="1"/>
  <c r="AB45" i="1"/>
  <c r="L45" i="1"/>
  <c r="X45" i="1"/>
  <c r="AK45" i="1"/>
  <c r="AJ45" i="1"/>
  <c r="K45" i="1"/>
  <c r="X42" i="16"/>
  <c r="A43" i="16"/>
  <c r="K42" i="16"/>
  <c r="AB42" i="16"/>
  <c r="AB37" i="23"/>
  <c r="A38" i="23"/>
  <c r="K37" i="23"/>
  <c r="X37" i="23"/>
  <c r="X38" i="23"/>
  <c r="AB38" i="23"/>
  <c r="K38" i="23"/>
  <c r="A39" i="23"/>
  <c r="K43" i="16"/>
  <c r="X43" i="16"/>
  <c r="AB43" i="16"/>
  <c r="A44" i="16"/>
  <c r="A47" i="1"/>
  <c r="X46" i="1"/>
  <c r="K46" i="1"/>
  <c r="AK46" i="1"/>
  <c r="AJ46" i="1"/>
  <c r="L46" i="1"/>
  <c r="AB46" i="1"/>
  <c r="A40" i="22"/>
  <c r="AB39" i="22"/>
  <c r="X39" i="22"/>
  <c r="K39" i="22"/>
  <c r="A37" i="25"/>
  <c r="AB36" i="25"/>
  <c r="K36" i="25"/>
  <c r="X36" i="25"/>
  <c r="A42" i="18"/>
  <c r="AB41" i="18"/>
  <c r="K41" i="18"/>
  <c r="X41" i="18"/>
  <c r="X43" i="15"/>
  <c r="K43" i="15"/>
  <c r="A44" i="15"/>
  <c r="AB43" i="15"/>
  <c r="K40" i="20"/>
  <c r="AB40" i="20"/>
  <c r="A41" i="20"/>
  <c r="X40" i="20"/>
  <c r="K43" i="17"/>
  <c r="X43" i="17"/>
  <c r="AB43" i="17"/>
  <c r="A44" i="17"/>
  <c r="AB37" i="24"/>
  <c r="X37" i="24"/>
  <c r="A38" i="24"/>
  <c r="K37" i="24"/>
  <c r="AB44" i="17"/>
  <c r="X44" i="17"/>
  <c r="K44" i="17"/>
  <c r="A45" i="17"/>
  <c r="X41" i="20"/>
  <c r="A42" i="20"/>
  <c r="AB41" i="20"/>
  <c r="K41" i="20"/>
  <c r="X44" i="15"/>
  <c r="AB44" i="15"/>
  <c r="A45" i="15"/>
  <c r="K44" i="15"/>
  <c r="K40" i="22"/>
  <c r="A41" i="22"/>
  <c r="X40" i="22"/>
  <c r="AB40" i="22"/>
  <c r="AB44" i="16"/>
  <c r="A45" i="16"/>
  <c r="K44" i="16"/>
  <c r="X44" i="16"/>
  <c r="X39" i="23"/>
  <c r="AB39" i="23"/>
  <c r="A40" i="23"/>
  <c r="K39" i="23"/>
  <c r="AB38" i="24"/>
  <c r="X38" i="24"/>
  <c r="K38" i="24"/>
  <c r="A39" i="24"/>
  <c r="K42" i="18"/>
  <c r="X42" i="18"/>
  <c r="A43" i="18"/>
  <c r="AB42" i="18"/>
  <c r="K37" i="25"/>
  <c r="AB37" i="25"/>
  <c r="A38" i="25"/>
  <c r="X37" i="25"/>
  <c r="A48" i="1"/>
  <c r="AB47" i="1"/>
  <c r="L47" i="1"/>
  <c r="K47" i="1"/>
  <c r="X47" i="1"/>
  <c r="AJ47" i="1"/>
  <c r="AK47" i="1"/>
  <c r="AK48" i="1"/>
  <c r="X48" i="1"/>
  <c r="AJ48" i="1"/>
  <c r="A49" i="1"/>
  <c r="AB48" i="1"/>
  <c r="K48" i="1"/>
  <c r="L48" i="1"/>
  <c r="AB45" i="15"/>
  <c r="X45" i="15"/>
  <c r="K45" i="15"/>
  <c r="A46" i="15"/>
  <c r="X45" i="17"/>
  <c r="AB45" i="17"/>
  <c r="K45" i="17"/>
  <c r="A46" i="17"/>
  <c r="K38" i="25"/>
  <c r="X38" i="25"/>
  <c r="AB38" i="25"/>
  <c r="A39" i="25"/>
  <c r="AB43" i="18"/>
  <c r="A44" i="18"/>
  <c r="X43" i="18"/>
  <c r="K43" i="18"/>
  <c r="K39" i="24"/>
  <c r="A40" i="24"/>
  <c r="AB39" i="24"/>
  <c r="X39" i="24"/>
  <c r="X40" i="23"/>
  <c r="AB40" i="23"/>
  <c r="A41" i="23"/>
  <c r="K40" i="23"/>
  <c r="AB45" i="16"/>
  <c r="K45" i="16"/>
  <c r="A46" i="16"/>
  <c r="X45" i="16"/>
  <c r="AB41" i="22"/>
  <c r="K41" i="22"/>
  <c r="X41" i="22"/>
  <c r="A42" i="22"/>
  <c r="A43" i="20"/>
  <c r="X42" i="20"/>
  <c r="K42" i="20"/>
  <c r="AB42" i="20"/>
  <c r="AB43" i="20"/>
  <c r="A44" i="20"/>
  <c r="X43" i="20"/>
  <c r="K43" i="20"/>
  <c r="A41" i="24"/>
  <c r="K40" i="24"/>
  <c r="AB40" i="24"/>
  <c r="X40" i="24"/>
  <c r="AB44" i="18"/>
  <c r="A45" i="18"/>
  <c r="X44" i="18"/>
  <c r="K44" i="18"/>
  <c r="AK49" i="1"/>
  <c r="AB49" i="1"/>
  <c r="AJ49" i="1"/>
  <c r="L49" i="1"/>
  <c r="X49" i="1"/>
  <c r="K49" i="1"/>
  <c r="A50" i="1"/>
  <c r="K42" i="22"/>
  <c r="X42" i="22"/>
  <c r="A43" i="22"/>
  <c r="AB42" i="22"/>
  <c r="X46" i="16"/>
  <c r="K46" i="16"/>
  <c r="AB46" i="16"/>
  <c r="A47" i="16"/>
  <c r="X41" i="23"/>
  <c r="K41" i="23"/>
  <c r="A42" i="23"/>
  <c r="AB41" i="23"/>
  <c r="X39" i="25"/>
  <c r="A40" i="25"/>
  <c r="AB39" i="25"/>
  <c r="K39" i="25"/>
  <c r="AB46" i="17"/>
  <c r="A47" i="17"/>
  <c r="K46" i="17"/>
  <c r="X46" i="17"/>
  <c r="A47" i="15"/>
  <c r="X46" i="15"/>
  <c r="AB46" i="15"/>
  <c r="K46" i="15"/>
  <c r="X47" i="17"/>
  <c r="K47" i="17"/>
  <c r="AB47" i="17"/>
  <c r="A48" i="17"/>
  <c r="K40" i="25"/>
  <c r="AB40" i="25"/>
  <c r="A41" i="25"/>
  <c r="X40" i="25"/>
  <c r="A43" i="23"/>
  <c r="K42" i="23"/>
  <c r="X42" i="23"/>
  <c r="AB42" i="23"/>
  <c r="A48" i="15"/>
  <c r="AB47" i="15"/>
  <c r="K47" i="15"/>
  <c r="X47" i="15"/>
  <c r="AB43" i="22"/>
  <c r="A44" i="22"/>
  <c r="K43" i="22"/>
  <c r="X43" i="22"/>
  <c r="A46" i="18"/>
  <c r="X45" i="18"/>
  <c r="AB45" i="18"/>
  <c r="K45" i="18"/>
  <c r="AB41" i="24"/>
  <c r="X41" i="24"/>
  <c r="K41" i="24"/>
  <c r="A42" i="24"/>
  <c r="K47" i="16"/>
  <c r="X47" i="16"/>
  <c r="AB47" i="16"/>
  <c r="A48" i="16"/>
  <c r="A51" i="1"/>
  <c r="X50" i="1"/>
  <c r="L50" i="1"/>
  <c r="K50" i="1"/>
  <c r="AK50" i="1"/>
  <c r="AJ50" i="1"/>
  <c r="AB50" i="1"/>
  <c r="AB44" i="20"/>
  <c r="K44" i="20"/>
  <c r="A45" i="20"/>
  <c r="X44" i="20"/>
  <c r="K51" i="1"/>
  <c r="X51" i="1"/>
  <c r="L51" i="1"/>
  <c r="AJ51" i="1"/>
  <c r="AB51" i="1"/>
  <c r="AK51" i="1"/>
  <c r="A52" i="1"/>
  <c r="X42" i="24"/>
  <c r="K42" i="24"/>
  <c r="A43" i="24"/>
  <c r="AB42" i="24"/>
  <c r="K46" i="18"/>
  <c r="AB46" i="18"/>
  <c r="A47" i="18"/>
  <c r="X46" i="18"/>
  <c r="A45" i="22"/>
  <c r="AB44" i="22"/>
  <c r="K44" i="22"/>
  <c r="X44" i="22"/>
  <c r="X48" i="15"/>
  <c r="AB48" i="15"/>
  <c r="A49" i="15"/>
  <c r="K48" i="15"/>
  <c r="A46" i="20"/>
  <c r="X45" i="20"/>
  <c r="AB45" i="20"/>
  <c r="K45" i="20"/>
  <c r="X48" i="16"/>
  <c r="A49" i="16"/>
  <c r="AB48" i="16"/>
  <c r="K48" i="16"/>
  <c r="L48" i="16"/>
  <c r="D48" i="16" s="1"/>
  <c r="K43" i="23"/>
  <c r="X43" i="23"/>
  <c r="A44" i="23"/>
  <c r="AB43" i="23"/>
  <c r="AB41" i="25"/>
  <c r="A42" i="25"/>
  <c r="K41" i="25"/>
  <c r="X41" i="25"/>
  <c r="X48" i="17"/>
  <c r="AB48" i="17"/>
  <c r="A49" i="17"/>
  <c r="K48" i="17"/>
  <c r="X52" i="1"/>
  <c r="AJ52" i="1"/>
  <c r="L52" i="1"/>
  <c r="AB52" i="1"/>
  <c r="K52" i="1"/>
  <c r="AK52" i="1"/>
  <c r="A53" i="1"/>
  <c r="X49" i="17"/>
  <c r="A50" i="17"/>
  <c r="AB49" i="17"/>
  <c r="K49" i="17"/>
  <c r="A43" i="25"/>
  <c r="K42" i="25"/>
  <c r="AB42" i="25"/>
  <c r="X42" i="25"/>
  <c r="K44" i="23"/>
  <c r="A45" i="23"/>
  <c r="AB44" i="23"/>
  <c r="X44" i="23"/>
  <c r="K49" i="16"/>
  <c r="AB49" i="16"/>
  <c r="X49" i="16"/>
  <c r="A50" i="16"/>
  <c r="K46" i="20"/>
  <c r="AB46" i="20"/>
  <c r="A47" i="20"/>
  <c r="X46" i="20"/>
  <c r="AB49" i="15"/>
  <c r="X49" i="15"/>
  <c r="A50" i="15"/>
  <c r="K49" i="15"/>
  <c r="AB45" i="22"/>
  <c r="X45" i="22"/>
  <c r="K45" i="22"/>
  <c r="A46" i="22"/>
  <c r="A48" i="18"/>
  <c r="AB47" i="18"/>
  <c r="K47" i="18"/>
  <c r="X47" i="18"/>
  <c r="X43" i="24"/>
  <c r="A44" i="24"/>
  <c r="K43" i="24"/>
  <c r="AB43" i="24"/>
  <c r="L43" i="24"/>
  <c r="X44" i="24"/>
  <c r="K44" i="24"/>
  <c r="AB44" i="24"/>
  <c r="A45" i="24"/>
  <c r="K48" i="18"/>
  <c r="AB48" i="18"/>
  <c r="A49" i="18"/>
  <c r="X48" i="18"/>
  <c r="AB46" i="22"/>
  <c r="L46" i="22"/>
  <c r="X46" i="22"/>
  <c r="A47" i="22"/>
  <c r="K46" i="22"/>
  <c r="X45" i="23"/>
  <c r="K45" i="23"/>
  <c r="A46" i="23"/>
  <c r="AB45" i="23"/>
  <c r="A51" i="17"/>
  <c r="AB50" i="17"/>
  <c r="X50" i="17"/>
  <c r="K50" i="17"/>
  <c r="A54" i="1"/>
  <c r="K53" i="1"/>
  <c r="AJ53" i="1"/>
  <c r="AB53" i="1"/>
  <c r="X53" i="1"/>
  <c r="AK53" i="1"/>
  <c r="L53" i="1"/>
  <c r="AB50" i="15"/>
  <c r="X50" i="15"/>
  <c r="K50" i="15"/>
  <c r="A51" i="15"/>
  <c r="K47" i="20"/>
  <c r="AB47" i="20"/>
  <c r="X47" i="20"/>
  <c r="A48" i="20"/>
  <c r="X50" i="16"/>
  <c r="AB50" i="16"/>
  <c r="K50" i="16"/>
  <c r="A51" i="16"/>
  <c r="A44" i="25"/>
  <c r="AB43" i="25"/>
  <c r="X43" i="25"/>
  <c r="K43" i="25"/>
  <c r="A52" i="15"/>
  <c r="K51" i="15"/>
  <c r="X51" i="15"/>
  <c r="AB51" i="15"/>
  <c r="AB54" i="1"/>
  <c r="AK54" i="1"/>
  <c r="L54" i="1"/>
  <c r="A55" i="1"/>
  <c r="AJ54" i="1"/>
  <c r="K54" i="1"/>
  <c r="X54" i="1"/>
  <c r="AB46" i="23"/>
  <c r="K46" i="23"/>
  <c r="A47" i="23"/>
  <c r="X46" i="23"/>
  <c r="K47" i="22"/>
  <c r="X47" i="22"/>
  <c r="A48" i="22"/>
  <c r="AB47" i="22"/>
  <c r="X49" i="18"/>
  <c r="AB49" i="18"/>
  <c r="K49" i="18"/>
  <c r="A50" i="18"/>
  <c r="X45" i="24"/>
  <c r="AB45" i="24"/>
  <c r="A46" i="24"/>
  <c r="K45" i="24"/>
  <c r="X44" i="25"/>
  <c r="K44" i="25"/>
  <c r="A45" i="25"/>
  <c r="AB44" i="25"/>
  <c r="K51" i="16"/>
  <c r="AB51" i="16"/>
  <c r="X51" i="16"/>
  <c r="A52" i="16"/>
  <c r="X48" i="20"/>
  <c r="AB48" i="20"/>
  <c r="A49" i="20"/>
  <c r="K48" i="20"/>
  <c r="AB51" i="17"/>
  <c r="K51" i="17"/>
  <c r="A52" i="17"/>
  <c r="X51" i="17"/>
  <c r="AB52" i="17"/>
  <c r="A53" i="17"/>
  <c r="X52" i="17"/>
  <c r="K52" i="17"/>
  <c r="X49" i="20"/>
  <c r="K49" i="20"/>
  <c r="AB49" i="20"/>
  <c r="A50" i="20"/>
  <c r="A49" i="22"/>
  <c r="X48" i="22"/>
  <c r="K48" i="22"/>
  <c r="AB48" i="22"/>
  <c r="A48" i="23"/>
  <c r="X47" i="23"/>
  <c r="K47" i="23"/>
  <c r="AB47" i="23"/>
  <c r="A56" i="1"/>
  <c r="AB55" i="1"/>
  <c r="AK55" i="1"/>
  <c r="X55" i="1"/>
  <c r="L55" i="1"/>
  <c r="AJ55" i="1"/>
  <c r="K55" i="1"/>
  <c r="AB52" i="16"/>
  <c r="K52" i="16"/>
  <c r="X52" i="16"/>
  <c r="A53" i="16"/>
  <c r="A46" i="25"/>
  <c r="AB45" i="25"/>
  <c r="X45" i="25"/>
  <c r="K45" i="25"/>
  <c r="AB46" i="24"/>
  <c r="K46" i="24"/>
  <c r="X46" i="24"/>
  <c r="A47" i="24"/>
  <c r="X50" i="18"/>
  <c r="K50" i="18"/>
  <c r="A51" i="18"/>
  <c r="AB50" i="18"/>
  <c r="AB52" i="15"/>
  <c r="A53" i="15"/>
  <c r="K52" i="15"/>
  <c r="X52" i="15"/>
  <c r="X53" i="15"/>
  <c r="AB53" i="15"/>
  <c r="K53" i="15"/>
  <c r="A54" i="15"/>
  <c r="AB51" i="18"/>
  <c r="X51" i="18"/>
  <c r="A52" i="18"/>
  <c r="K51" i="18"/>
  <c r="AB47" i="24"/>
  <c r="K47" i="24"/>
  <c r="A48" i="24"/>
  <c r="X47" i="24"/>
  <c r="X53" i="16"/>
  <c r="K53" i="16"/>
  <c r="AB53" i="16"/>
  <c r="A54" i="16"/>
  <c r="A49" i="23"/>
  <c r="X48" i="23"/>
  <c r="K48" i="23"/>
  <c r="AB48" i="23"/>
  <c r="X53" i="17"/>
  <c r="A54" i="17"/>
  <c r="K53" i="17"/>
  <c r="AB53" i="17"/>
  <c r="K46" i="25"/>
  <c r="AB46" i="25"/>
  <c r="X46" i="25"/>
  <c r="A47" i="25"/>
  <c r="AK56" i="1"/>
  <c r="AJ56" i="1"/>
  <c r="X56" i="1"/>
  <c r="A57" i="1"/>
  <c r="K56" i="1"/>
  <c r="AB56" i="1"/>
  <c r="L56" i="1"/>
  <c r="K49" i="22"/>
  <c r="A50" i="22"/>
  <c r="AB49" i="22"/>
  <c r="X49" i="22"/>
  <c r="X50" i="20"/>
  <c r="A51" i="20"/>
  <c r="K50" i="20"/>
  <c r="AB50" i="20"/>
  <c r="X51" i="20"/>
  <c r="A52" i="20"/>
  <c r="AB51" i="20"/>
  <c r="K51" i="20"/>
  <c r="A58" i="1"/>
  <c r="X57" i="1"/>
  <c r="AB57" i="1"/>
  <c r="K57" i="1"/>
  <c r="AJ57" i="1"/>
  <c r="AK57" i="1"/>
  <c r="L57" i="1"/>
  <c r="AB54" i="17"/>
  <c r="A55" i="17"/>
  <c r="K54" i="17"/>
  <c r="X54" i="17"/>
  <c r="A50" i="23"/>
  <c r="K49" i="23"/>
  <c r="AB49" i="23"/>
  <c r="X49" i="23"/>
  <c r="K52" i="18"/>
  <c r="A53" i="18"/>
  <c r="X52" i="18"/>
  <c r="AB52" i="18"/>
  <c r="AB50" i="22"/>
  <c r="K50" i="22"/>
  <c r="A51" i="22"/>
  <c r="X50" i="22"/>
  <c r="A48" i="25"/>
  <c r="K47" i="25"/>
  <c r="X47" i="25"/>
  <c r="AB47" i="25"/>
  <c r="K54" i="16"/>
  <c r="AB54" i="16"/>
  <c r="X54" i="16"/>
  <c r="A55" i="16"/>
  <c r="K48" i="24"/>
  <c r="AB48" i="24"/>
  <c r="A49" i="24"/>
  <c r="X48" i="24"/>
  <c r="AB54" i="15"/>
  <c r="A55" i="15"/>
  <c r="K54" i="15"/>
  <c r="X54" i="15"/>
  <c r="A56" i="16"/>
  <c r="AB55" i="16"/>
  <c r="X55" i="16"/>
  <c r="K55" i="16"/>
  <c r="X51" i="22"/>
  <c r="K51" i="22"/>
  <c r="AB51" i="22"/>
  <c r="A52" i="22"/>
  <c r="X50" i="23"/>
  <c r="AB50" i="23"/>
  <c r="K50" i="23"/>
  <c r="A51" i="23"/>
  <c r="AB52" i="20"/>
  <c r="A53" i="20"/>
  <c r="K52" i="20"/>
  <c r="X52" i="20"/>
  <c r="AB55" i="15"/>
  <c r="K55" i="15"/>
  <c r="A56" i="15"/>
  <c r="X55" i="15"/>
  <c r="AB49" i="24"/>
  <c r="A50" i="24"/>
  <c r="K49" i="24"/>
  <c r="X49" i="24"/>
  <c r="X48" i="25"/>
  <c r="AB48" i="25"/>
  <c r="K48" i="25"/>
  <c r="A49" i="25"/>
  <c r="AB53" i="18"/>
  <c r="K53" i="18"/>
  <c r="A54" i="18"/>
  <c r="X53" i="18"/>
  <c r="AB55" i="17"/>
  <c r="K55" i="17"/>
  <c r="X55" i="17"/>
  <c r="A56" i="17"/>
  <c r="A59" i="1"/>
  <c r="L58" i="1"/>
  <c r="AK58" i="1"/>
  <c r="AB58" i="1"/>
  <c r="K58" i="1"/>
  <c r="X58" i="1"/>
  <c r="AJ58" i="1"/>
  <c r="A60" i="1"/>
  <c r="AJ59" i="1"/>
  <c r="AK59" i="1"/>
  <c r="L59" i="1"/>
  <c r="X59" i="1"/>
  <c r="AB59" i="1"/>
  <c r="K59" i="1"/>
  <c r="AB54" i="18"/>
  <c r="A55" i="18"/>
  <c r="X54" i="18"/>
  <c r="K54" i="18"/>
  <c r="A50" i="25"/>
  <c r="AB49" i="25"/>
  <c r="X49" i="25"/>
  <c r="K49" i="25"/>
  <c r="AB50" i="24"/>
  <c r="X50" i="24"/>
  <c r="A51" i="24"/>
  <c r="K50" i="24"/>
  <c r="A57" i="15"/>
  <c r="X56" i="15"/>
  <c r="AB56" i="15"/>
  <c r="K56" i="15"/>
  <c r="X51" i="23"/>
  <c r="AB51" i="23"/>
  <c r="A52" i="23"/>
  <c r="K51" i="23"/>
  <c r="A57" i="17"/>
  <c r="AB56" i="17"/>
  <c r="K56" i="17"/>
  <c r="X56" i="17"/>
  <c r="A54" i="20"/>
  <c r="X53" i="20"/>
  <c r="K53" i="20"/>
  <c r="AB53" i="20"/>
  <c r="X52" i="22"/>
  <c r="A53" i="22"/>
  <c r="K52" i="22"/>
  <c r="AB52" i="22"/>
  <c r="K56" i="16"/>
  <c r="A57" i="16"/>
  <c r="X56" i="16"/>
  <c r="AB56" i="16"/>
  <c r="X57" i="16"/>
  <c r="A58" i="16"/>
  <c r="AB57" i="16"/>
  <c r="K57" i="16"/>
  <c r="AB53" i="22"/>
  <c r="K53" i="22"/>
  <c r="X53" i="22"/>
  <c r="A54" i="22"/>
  <c r="A58" i="17"/>
  <c r="AB57" i="17"/>
  <c r="X57" i="17"/>
  <c r="K57" i="17"/>
  <c r="X52" i="23"/>
  <c r="K52" i="23"/>
  <c r="AB52" i="23"/>
  <c r="A53" i="23"/>
  <c r="K57" i="15"/>
  <c r="AB57" i="15"/>
  <c r="X57" i="15"/>
  <c r="A58" i="15"/>
  <c r="A51" i="25"/>
  <c r="X50" i="25"/>
  <c r="AB50" i="25"/>
  <c r="K50" i="25"/>
  <c r="AB55" i="18"/>
  <c r="X55" i="18"/>
  <c r="A56" i="18"/>
  <c r="K55" i="18"/>
  <c r="K54" i="20"/>
  <c r="A55" i="20"/>
  <c r="AB54" i="20"/>
  <c r="X54" i="20"/>
  <c r="A52" i="24"/>
  <c r="X51" i="24"/>
  <c r="K51" i="24"/>
  <c r="AB51" i="24"/>
  <c r="K60" i="1"/>
  <c r="L60" i="1"/>
  <c r="AK60" i="1"/>
  <c r="AB60" i="1"/>
  <c r="A61" i="1"/>
  <c r="AJ60" i="1"/>
  <c r="X60" i="1"/>
  <c r="A21" i="7"/>
  <c r="AJ61" i="1"/>
  <c r="K61" i="1"/>
  <c r="AK61" i="1"/>
  <c r="X61" i="1"/>
  <c r="L61" i="1"/>
  <c r="AB61" i="1"/>
  <c r="A62" i="1"/>
  <c r="X55" i="20"/>
  <c r="K55" i="20"/>
  <c r="AB55" i="20"/>
  <c r="A56" i="20"/>
  <c r="X56" i="18"/>
  <c r="K56" i="18"/>
  <c r="AB56" i="18"/>
  <c r="A57" i="18"/>
  <c r="X51" i="25"/>
  <c r="A52" i="25"/>
  <c r="K51" i="25"/>
  <c r="AB51" i="25"/>
  <c r="K58" i="17"/>
  <c r="X58" i="17"/>
  <c r="A59" i="17"/>
  <c r="AB58" i="17"/>
  <c r="K54" i="22"/>
  <c r="AB54" i="22"/>
  <c r="A55" i="22"/>
  <c r="X54" i="22"/>
  <c r="X58" i="16"/>
  <c r="A59" i="16"/>
  <c r="AB58" i="16"/>
  <c r="K58" i="16"/>
  <c r="B21" i="7"/>
  <c r="A53" i="24"/>
  <c r="AB52" i="24"/>
  <c r="X52" i="24"/>
  <c r="K52" i="24"/>
  <c r="K58" i="15"/>
  <c r="X58" i="15"/>
  <c r="A59" i="15"/>
  <c r="AB58" i="15"/>
  <c r="AB53" i="23"/>
  <c r="X53" i="23"/>
  <c r="K53" i="23"/>
  <c r="A54" i="23"/>
  <c r="K59" i="17"/>
  <c r="X59" i="17"/>
  <c r="AB59" i="17"/>
  <c r="A60" i="17"/>
  <c r="K59" i="16"/>
  <c r="AB59" i="16"/>
  <c r="A60" i="16"/>
  <c r="X59" i="16"/>
  <c r="K55" i="22"/>
  <c r="AB55" i="22"/>
  <c r="A56" i="22"/>
  <c r="X55" i="22"/>
  <c r="AB54" i="23"/>
  <c r="K54" i="23"/>
  <c r="X54" i="23"/>
  <c r="A55" i="23"/>
  <c r="AB59" i="15"/>
  <c r="A60" i="15"/>
  <c r="X59" i="15"/>
  <c r="K59" i="15"/>
  <c r="A54" i="24"/>
  <c r="K53" i="24"/>
  <c r="AB53" i="24"/>
  <c r="X53" i="24"/>
  <c r="AB52" i="25"/>
  <c r="X52" i="25"/>
  <c r="K52" i="25"/>
  <c r="A53" i="25"/>
  <c r="A58" i="18"/>
  <c r="X57" i="18"/>
  <c r="K57" i="18"/>
  <c r="AB57" i="18"/>
  <c r="X56" i="20"/>
  <c r="A57" i="20"/>
  <c r="AB56" i="20"/>
  <c r="K56" i="20"/>
  <c r="A63" i="1"/>
  <c r="X62" i="1"/>
  <c r="AJ62" i="1"/>
  <c r="AB62" i="1"/>
  <c r="AK62" i="1"/>
  <c r="L62" i="1"/>
  <c r="K62" i="1"/>
  <c r="K57" i="20"/>
  <c r="A58" i="20"/>
  <c r="X57" i="20"/>
  <c r="AB57" i="20"/>
  <c r="L57" i="20"/>
  <c r="K58" i="18"/>
  <c r="AB58" i="18"/>
  <c r="X58" i="18"/>
  <c r="A59" i="18"/>
  <c r="AB53" i="25"/>
  <c r="K53" i="25"/>
  <c r="X53" i="25"/>
  <c r="A54" i="25"/>
  <c r="A55" i="24"/>
  <c r="K54" i="24"/>
  <c r="AB54" i="24"/>
  <c r="X54" i="24"/>
  <c r="X60" i="15"/>
  <c r="AB60" i="15"/>
  <c r="A33" i="7"/>
  <c r="K60" i="15"/>
  <c r="A61" i="15"/>
  <c r="A64" i="1"/>
  <c r="AJ63" i="1"/>
  <c r="AK63" i="1"/>
  <c r="AB63" i="1"/>
  <c r="X63" i="1"/>
  <c r="L63" i="1"/>
  <c r="K63" i="1"/>
  <c r="L55" i="23"/>
  <c r="A56" i="23"/>
  <c r="AB55" i="23"/>
  <c r="X55" i="23"/>
  <c r="K55" i="23"/>
  <c r="X56" i="22"/>
  <c r="AB56" i="22"/>
  <c r="K56" i="22"/>
  <c r="A57" i="22"/>
  <c r="A45" i="7"/>
  <c r="K60" i="16"/>
  <c r="AB60" i="16"/>
  <c r="X60" i="16"/>
  <c r="A61" i="16"/>
  <c r="AB60" i="17"/>
  <c r="A61" i="17"/>
  <c r="K60" i="17"/>
  <c r="A57" i="7"/>
  <c r="X60" i="17"/>
  <c r="K61" i="17"/>
  <c r="AB61" i="17"/>
  <c r="A62" i="17"/>
  <c r="X61" i="17"/>
  <c r="AB61" i="16"/>
  <c r="X61" i="16"/>
  <c r="A62" i="16"/>
  <c r="K61" i="16"/>
  <c r="A58" i="22"/>
  <c r="X57" i="22"/>
  <c r="K57" i="22"/>
  <c r="AB57" i="22"/>
  <c r="A57" i="23"/>
  <c r="AB56" i="23"/>
  <c r="X56" i="23"/>
  <c r="K56" i="23"/>
  <c r="K64" i="1"/>
  <c r="AK64" i="1"/>
  <c r="X64" i="1"/>
  <c r="A65" i="1"/>
  <c r="AJ64" i="1"/>
  <c r="AB64" i="1"/>
  <c r="L64" i="1"/>
  <c r="X55" i="24"/>
  <c r="A56" i="24"/>
  <c r="K55" i="24"/>
  <c r="AB55" i="24"/>
  <c r="L55" i="24"/>
  <c r="AB58" i="20"/>
  <c r="X58" i="20"/>
  <c r="A59" i="20"/>
  <c r="K58" i="20"/>
  <c r="X61" i="15"/>
  <c r="K61" i="15"/>
  <c r="AB61" i="15"/>
  <c r="A62" i="15"/>
  <c r="K54" i="25"/>
  <c r="L54" i="25"/>
  <c r="A55" i="25"/>
  <c r="AB54" i="25"/>
  <c r="X54" i="25"/>
  <c r="K59" i="18"/>
  <c r="A60" i="18"/>
  <c r="AB59" i="18"/>
  <c r="X59" i="18"/>
  <c r="X55" i="25"/>
  <c r="A56" i="25"/>
  <c r="K55" i="25"/>
  <c r="AB55" i="25"/>
  <c r="A60" i="20"/>
  <c r="AB59" i="20"/>
  <c r="X59" i="20"/>
  <c r="K59" i="20"/>
  <c r="K56" i="24"/>
  <c r="X56" i="24"/>
  <c r="A57" i="24"/>
  <c r="AB56" i="24"/>
  <c r="A66" i="1"/>
  <c r="K65" i="1"/>
  <c r="AB65" i="1"/>
  <c r="AJ65" i="1"/>
  <c r="AK65" i="1"/>
  <c r="L65" i="1"/>
  <c r="X65" i="1"/>
  <c r="A59" i="22"/>
  <c r="L58" i="22"/>
  <c r="K58" i="22"/>
  <c r="X58" i="22"/>
  <c r="AB58" i="22"/>
  <c r="X62" i="17"/>
  <c r="AB62" i="17"/>
  <c r="K62" i="17"/>
  <c r="A63" i="17"/>
  <c r="L62" i="17"/>
  <c r="D62" i="17" s="1"/>
  <c r="K60" i="18"/>
  <c r="A69" i="7"/>
  <c r="AB60" i="18"/>
  <c r="A61" i="18"/>
  <c r="X60" i="18"/>
  <c r="K62" i="15"/>
  <c r="A63" i="15"/>
  <c r="X62" i="15"/>
  <c r="AB62" i="15"/>
  <c r="AB57" i="23"/>
  <c r="K57" i="23"/>
  <c r="X57" i="23"/>
  <c r="A58" i="23"/>
  <c r="L57" i="23"/>
  <c r="K62" i="16"/>
  <c r="AB62" i="16"/>
  <c r="A63" i="16"/>
  <c r="X62" i="16"/>
  <c r="A64" i="16"/>
  <c r="K63" i="16"/>
  <c r="X63" i="16"/>
  <c r="AB63" i="16"/>
  <c r="A59" i="23"/>
  <c r="AB58" i="23"/>
  <c r="K58" i="23"/>
  <c r="X58" i="23"/>
  <c r="A64" i="17"/>
  <c r="X63" i="17"/>
  <c r="K63" i="17"/>
  <c r="AB63" i="17"/>
  <c r="K56" i="25"/>
  <c r="A57" i="25"/>
  <c r="X56" i="25"/>
  <c r="L56" i="25"/>
  <c r="AB56" i="25"/>
  <c r="AB63" i="15"/>
  <c r="A64" i="15"/>
  <c r="K63" i="15"/>
  <c r="X63" i="15"/>
  <c r="X61" i="18"/>
  <c r="K61" i="18"/>
  <c r="AB61" i="18"/>
  <c r="A62" i="18"/>
  <c r="X59" i="22"/>
  <c r="K59" i="22"/>
  <c r="AB59" i="22"/>
  <c r="A60" i="22"/>
  <c r="K66" i="1"/>
  <c r="X66" i="1"/>
  <c r="AK66" i="1"/>
  <c r="A67" i="1"/>
  <c r="L66" i="1"/>
  <c r="AB66" i="1"/>
  <c r="AJ66" i="1"/>
  <c r="X57" i="24"/>
  <c r="K57" i="24"/>
  <c r="AB57" i="24"/>
  <c r="A58" i="24"/>
  <c r="X60" i="20"/>
  <c r="A61" i="20"/>
  <c r="AB60" i="20"/>
  <c r="AE21" i="7"/>
  <c r="K60" i="20"/>
  <c r="L60" i="20"/>
  <c r="AF21" i="7" s="1"/>
  <c r="K62" i="18"/>
  <c r="A63" i="18"/>
  <c r="AB62" i="18"/>
  <c r="X62" i="18"/>
  <c r="X64" i="15"/>
  <c r="K64" i="15"/>
  <c r="A65" i="15"/>
  <c r="AB64" i="15"/>
  <c r="X61" i="20"/>
  <c r="AB61" i="20"/>
  <c r="K61" i="20"/>
  <c r="A62" i="20"/>
  <c r="X58" i="24"/>
  <c r="AB58" i="24"/>
  <c r="K58" i="24"/>
  <c r="A59" i="24"/>
  <c r="X67" i="1"/>
  <c r="L67" i="1"/>
  <c r="AJ67" i="1"/>
  <c r="A68" i="1"/>
  <c r="K67" i="1"/>
  <c r="AB67" i="1"/>
  <c r="AK67" i="1"/>
  <c r="AB60" i="22"/>
  <c r="AE33" i="7"/>
  <c r="A61" i="22"/>
  <c r="X60" i="22"/>
  <c r="K60" i="22"/>
  <c r="X57" i="25"/>
  <c r="AB57" i="25"/>
  <c r="K57" i="25"/>
  <c r="A58" i="25"/>
  <c r="AB64" i="17"/>
  <c r="K64" i="17"/>
  <c r="X64" i="17"/>
  <c r="A65" i="17"/>
  <c r="AB59" i="23"/>
  <c r="X59" i="23"/>
  <c r="A60" i="23"/>
  <c r="K59" i="23"/>
  <c r="K64" i="16"/>
  <c r="X64" i="16"/>
  <c r="AB64" i="16"/>
  <c r="A65" i="16"/>
  <c r="AB65" i="16"/>
  <c r="X65" i="16"/>
  <c r="A66" i="16"/>
  <c r="K65" i="16"/>
  <c r="L65" i="16"/>
  <c r="D65" i="16" s="1"/>
  <c r="X65" i="17"/>
  <c r="A66" i="17"/>
  <c r="AB65" i="17"/>
  <c r="L65" i="17"/>
  <c r="D65" i="17" s="1"/>
  <c r="K65" i="17"/>
  <c r="A62" i="22"/>
  <c r="X61" i="22"/>
  <c r="L61" i="22"/>
  <c r="AB61" i="22"/>
  <c r="K61" i="22"/>
  <c r="A66" i="15"/>
  <c r="AB65" i="15"/>
  <c r="X65" i="15"/>
  <c r="K65" i="15"/>
  <c r="AB63" i="18"/>
  <c r="X63" i="18"/>
  <c r="K63" i="18"/>
  <c r="A64" i="18"/>
  <c r="K60" i="23"/>
  <c r="AE45" i="7"/>
  <c r="X60" i="23"/>
  <c r="AB60" i="23"/>
  <c r="L60" i="23"/>
  <c r="AF45" i="7" s="1"/>
  <c r="A61" i="23"/>
  <c r="X58" i="25"/>
  <c r="K58" i="25"/>
  <c r="A59" i="25"/>
  <c r="L58" i="25"/>
  <c r="AB58" i="25"/>
  <c r="A69" i="1"/>
  <c r="X68" i="1"/>
  <c r="AJ68" i="1"/>
  <c r="K68" i="1"/>
  <c r="AK68" i="1"/>
  <c r="L68" i="1"/>
  <c r="AB68" i="1"/>
  <c r="X59" i="24"/>
  <c r="L59" i="24"/>
  <c r="A60" i="24"/>
  <c r="AB59" i="24"/>
  <c r="K59" i="24"/>
  <c r="K62" i="20"/>
  <c r="X62" i="20"/>
  <c r="L62" i="20"/>
  <c r="AB62" i="20"/>
  <c r="A63" i="20"/>
  <c r="A60" i="25"/>
  <c r="L59" i="25"/>
  <c r="K59" i="25"/>
  <c r="AB59" i="25"/>
  <c r="X59" i="25"/>
  <c r="X64" i="18"/>
  <c r="K64" i="18"/>
  <c r="L64" i="18"/>
  <c r="A65" i="18"/>
  <c r="AB64" i="18"/>
  <c r="X66" i="15"/>
  <c r="K66" i="15"/>
  <c r="AB66" i="15"/>
  <c r="A67" i="15"/>
  <c r="K66" i="16"/>
  <c r="A67" i="16"/>
  <c r="X66" i="16"/>
  <c r="AB66" i="16"/>
  <c r="AB63" i="20"/>
  <c r="A64" i="20"/>
  <c r="K63" i="20"/>
  <c r="X63" i="20"/>
  <c r="AE57" i="7"/>
  <c r="L60" i="24"/>
  <c r="AF57" i="7" s="1"/>
  <c r="K60" i="24"/>
  <c r="A61" i="24"/>
  <c r="X60" i="24"/>
  <c r="AB60" i="24"/>
  <c r="K69" i="1"/>
  <c r="X69" i="1"/>
  <c r="AJ69" i="1"/>
  <c r="A70" i="1"/>
  <c r="AB69" i="1"/>
  <c r="AK69" i="1"/>
  <c r="L69" i="1"/>
  <c r="AB61" i="23"/>
  <c r="K61" i="23"/>
  <c r="A62" i="23"/>
  <c r="X61" i="23"/>
  <c r="K62" i="22"/>
  <c r="AB62" i="22"/>
  <c r="X62" i="22"/>
  <c r="A63" i="22"/>
  <c r="L66" i="17"/>
  <c r="D66" i="17" s="1"/>
  <c r="AB66" i="17"/>
  <c r="X66" i="17"/>
  <c r="K66" i="17"/>
  <c r="A67" i="17"/>
  <c r="A71" i="1"/>
  <c r="AJ70" i="1"/>
  <c r="K70" i="1"/>
  <c r="AK70" i="1"/>
  <c r="AB70" i="1"/>
  <c r="X70" i="1"/>
  <c r="L70" i="1"/>
  <c r="AB61" i="24"/>
  <c r="K61" i="24"/>
  <c r="A62" i="24"/>
  <c r="X61" i="24"/>
  <c r="L61" i="24"/>
  <c r="K67" i="16"/>
  <c r="A68" i="16"/>
  <c r="AB67" i="16"/>
  <c r="X67" i="16"/>
  <c r="AB67" i="15"/>
  <c r="A68" i="15"/>
  <c r="K67" i="15"/>
  <c r="X67" i="15"/>
  <c r="K65" i="18"/>
  <c r="X65" i="18"/>
  <c r="AB65" i="18"/>
  <c r="A66" i="18"/>
  <c r="L60" i="25"/>
  <c r="AF69" i="7" s="1"/>
  <c r="K60" i="25"/>
  <c r="A61" i="25"/>
  <c r="AB60" i="25"/>
  <c r="X60" i="25"/>
  <c r="AE69" i="7"/>
  <c r="K67" i="17"/>
  <c r="AB67" i="17"/>
  <c r="A68" i="17"/>
  <c r="X67" i="17"/>
  <c r="AB63" i="22"/>
  <c r="K63" i="22"/>
  <c r="X63" i="22"/>
  <c r="A64" i="22"/>
  <c r="AB62" i="23"/>
  <c r="A63" i="23"/>
  <c r="K62" i="23"/>
  <c r="X62" i="23"/>
  <c r="AB64" i="20"/>
  <c r="K64" i="20"/>
  <c r="X64" i="20"/>
  <c r="A65" i="20"/>
  <c r="L65" i="20"/>
  <c r="AB65" i="20"/>
  <c r="X65" i="20"/>
  <c r="K65" i="20"/>
  <c r="A66" i="20"/>
  <c r="AB63" i="23"/>
  <c r="X63" i="23"/>
  <c r="A64" i="23"/>
  <c r="K63" i="23"/>
  <c r="X66" i="18"/>
  <c r="A67" i="18"/>
  <c r="AB66" i="18"/>
  <c r="K66" i="18"/>
  <c r="X68" i="15"/>
  <c r="L68" i="15"/>
  <c r="D68" i="15" s="1"/>
  <c r="K68" i="15"/>
  <c r="AB68" i="15"/>
  <c r="A69" i="15"/>
  <c r="A69" i="16"/>
  <c r="K68" i="16"/>
  <c r="AB68" i="16"/>
  <c r="X68" i="16"/>
  <c r="L68" i="16"/>
  <c r="D68" i="16" s="1"/>
  <c r="L71" i="1"/>
  <c r="X71" i="1"/>
  <c r="K71" i="1"/>
  <c r="AK71" i="1"/>
  <c r="AJ71" i="1"/>
  <c r="AB71" i="1"/>
  <c r="A72" i="1"/>
  <c r="L64" i="22"/>
  <c r="X64" i="22"/>
  <c r="AB64" i="22"/>
  <c r="K64" i="22"/>
  <c r="A65" i="22"/>
  <c r="K68" i="17"/>
  <c r="X68" i="17"/>
  <c r="AB68" i="17"/>
  <c r="L68" i="17"/>
  <c r="D68" i="17" s="1"/>
  <c r="A69" i="17"/>
  <c r="K61" i="25"/>
  <c r="X61" i="25"/>
  <c r="AB61" i="25"/>
  <c r="A62" i="25"/>
  <c r="K62" i="24"/>
  <c r="AB62" i="24"/>
  <c r="A63" i="24"/>
  <c r="X62" i="24"/>
  <c r="AB63" i="24"/>
  <c r="K63" i="24"/>
  <c r="A64" i="24"/>
  <c r="X63" i="24"/>
  <c r="A63" i="25"/>
  <c r="X62" i="25"/>
  <c r="K62" i="25"/>
  <c r="AB62" i="25"/>
  <c r="K69" i="17"/>
  <c r="A70" i="17"/>
  <c r="L69" i="17"/>
  <c r="D69" i="17" s="1"/>
  <c r="X69" i="17"/>
  <c r="AB69" i="17"/>
  <c r="A66" i="22"/>
  <c r="AB65" i="22"/>
  <c r="K65" i="22"/>
  <c r="X65" i="22"/>
  <c r="A73" i="1"/>
  <c r="AK72" i="1"/>
  <c r="L72" i="1"/>
  <c r="X72" i="1"/>
  <c r="K72" i="1"/>
  <c r="AJ72" i="1"/>
  <c r="AB72" i="1"/>
  <c r="A70" i="15"/>
  <c r="K69" i="15"/>
  <c r="AB69" i="15"/>
  <c r="X69" i="15"/>
  <c r="A70" i="16"/>
  <c r="L69" i="16"/>
  <c r="D69" i="16" s="1"/>
  <c r="AB69" i="16"/>
  <c r="K69" i="16"/>
  <c r="X69" i="16"/>
  <c r="K67" i="18"/>
  <c r="A68" i="18"/>
  <c r="AB67" i="18"/>
  <c r="X67" i="18"/>
  <c r="K64" i="23"/>
  <c r="AB64" i="23"/>
  <c r="A65" i="23"/>
  <c r="X64" i="23"/>
  <c r="A67" i="20"/>
  <c r="X66" i="20"/>
  <c r="L66" i="20"/>
  <c r="K66" i="20"/>
  <c r="AB66" i="20"/>
  <c r="X67" i="20"/>
  <c r="AB67" i="20"/>
  <c r="K67" i="20"/>
  <c r="L67" i="20"/>
  <c r="A68" i="20"/>
  <c r="L66" i="22"/>
  <c r="X66" i="22"/>
  <c r="K66" i="22"/>
  <c r="A67" i="22"/>
  <c r="AB66" i="22"/>
  <c r="K64" i="24"/>
  <c r="L64" i="24"/>
  <c r="A65" i="24"/>
  <c r="AB64" i="24"/>
  <c r="X64" i="24"/>
  <c r="K65" i="23"/>
  <c r="X65" i="23"/>
  <c r="AB65" i="23"/>
  <c r="A66" i="23"/>
  <c r="A69" i="18"/>
  <c r="X68" i="18"/>
  <c r="AB68" i="18"/>
  <c r="K68" i="18"/>
  <c r="X70" i="16"/>
  <c r="A71" i="16"/>
  <c r="K70" i="16"/>
  <c r="AB70" i="16"/>
  <c r="X70" i="15"/>
  <c r="L70" i="15"/>
  <c r="K70" i="15"/>
  <c r="AB70" i="15"/>
  <c r="A71" i="15"/>
  <c r="AJ73" i="1"/>
  <c r="K73" i="1"/>
  <c r="AK73" i="1"/>
  <c r="L73" i="1"/>
  <c r="AB73" i="1"/>
  <c r="A74" i="1"/>
  <c r="X73" i="1"/>
  <c r="X70" i="17"/>
  <c r="K70" i="17"/>
  <c r="A71" i="17"/>
  <c r="AB70" i="17"/>
  <c r="L63" i="25"/>
  <c r="A64" i="25"/>
  <c r="AB63" i="25"/>
  <c r="K63" i="25"/>
  <c r="X63" i="25"/>
  <c r="AB64" i="25"/>
  <c r="X64" i="25"/>
  <c r="K64" i="25"/>
  <c r="A65" i="25"/>
  <c r="A72" i="15"/>
  <c r="AB71" i="15"/>
  <c r="L71" i="15"/>
  <c r="D71" i="15" s="1"/>
  <c r="X71" i="15"/>
  <c r="K71" i="15"/>
  <c r="AB71" i="16"/>
  <c r="L71" i="16"/>
  <c r="A72" i="16"/>
  <c r="X71" i="16"/>
  <c r="K71" i="16"/>
  <c r="L67" i="22"/>
  <c r="X67" i="22"/>
  <c r="K67" i="22"/>
  <c r="AB67" i="22"/>
  <c r="A68" i="22"/>
  <c r="AB68" i="20"/>
  <c r="X68" i="20"/>
  <c r="K68" i="20"/>
  <c r="L68" i="20"/>
  <c r="A69" i="20"/>
  <c r="X71" i="17"/>
  <c r="A72" i="17"/>
  <c r="AB71" i="17"/>
  <c r="K71" i="17"/>
  <c r="L71" i="17"/>
  <c r="D71" i="17" s="1"/>
  <c r="AK74" i="1"/>
  <c r="AJ74" i="1"/>
  <c r="X74" i="1"/>
  <c r="A75" i="1"/>
  <c r="AB74" i="1"/>
  <c r="L74" i="1"/>
  <c r="K74" i="1"/>
  <c r="D70" i="15"/>
  <c r="A70" i="18"/>
  <c r="K69" i="18"/>
  <c r="AB69" i="18"/>
  <c r="X69" i="18"/>
  <c r="A67" i="23"/>
  <c r="X66" i="23"/>
  <c r="AB66" i="23"/>
  <c r="K66" i="23"/>
  <c r="A66" i="24"/>
  <c r="X65" i="24"/>
  <c r="K65" i="24"/>
  <c r="AB65" i="24"/>
  <c r="AK75" i="1"/>
  <c r="AJ75" i="1"/>
  <c r="AB75" i="1"/>
  <c r="A76" i="1"/>
  <c r="L75" i="1"/>
  <c r="X75" i="1"/>
  <c r="K75" i="1"/>
  <c r="X69" i="20"/>
  <c r="AB69" i="20"/>
  <c r="A70" i="20"/>
  <c r="K69" i="20"/>
  <c r="D71" i="16"/>
  <c r="K72" i="15"/>
  <c r="A73" i="15"/>
  <c r="X72" i="15"/>
  <c r="AB72" i="15"/>
  <c r="L66" i="24"/>
  <c r="A67" i="24"/>
  <c r="X66" i="24"/>
  <c r="K66" i="24"/>
  <c r="AB66" i="24"/>
  <c r="A68" i="23"/>
  <c r="K67" i="23"/>
  <c r="X67" i="23"/>
  <c r="L67" i="23"/>
  <c r="AB67" i="23"/>
  <c r="L70" i="18"/>
  <c r="X70" i="18"/>
  <c r="AB70" i="18"/>
  <c r="K70" i="18"/>
  <c r="A71" i="18"/>
  <c r="L72" i="17"/>
  <c r="D72" i="17" s="1"/>
  <c r="AB72" i="17"/>
  <c r="A73" i="17"/>
  <c r="K72" i="17"/>
  <c r="X72" i="17"/>
  <c r="AB68" i="22"/>
  <c r="K68" i="22"/>
  <c r="A69" i="22"/>
  <c r="X68" i="22"/>
  <c r="L72" i="16"/>
  <c r="D72" i="16" s="1"/>
  <c r="A73" i="16"/>
  <c r="AB72" i="16"/>
  <c r="X72" i="16"/>
  <c r="K72" i="16"/>
  <c r="AB65" i="25"/>
  <c r="A66" i="25"/>
  <c r="K65" i="25"/>
  <c r="X65" i="25"/>
  <c r="A67" i="25"/>
  <c r="X66" i="25"/>
  <c r="K66" i="25"/>
  <c r="AB66" i="25"/>
  <c r="K73" i="16"/>
  <c r="A74" i="16"/>
  <c r="AB73" i="16"/>
  <c r="X73" i="16"/>
  <c r="K69" i="22"/>
  <c r="A70" i="22"/>
  <c r="L69" i="22"/>
  <c r="X69" i="22"/>
  <c r="AB69" i="22"/>
  <c r="X68" i="23"/>
  <c r="L68" i="23"/>
  <c r="AB68" i="23"/>
  <c r="K68" i="23"/>
  <c r="A69" i="23"/>
  <c r="AB67" i="24"/>
  <c r="K67" i="24"/>
  <c r="A68" i="24"/>
  <c r="X67" i="24"/>
  <c r="A77" i="1"/>
  <c r="K76" i="1"/>
  <c r="AK76" i="1"/>
  <c r="X76" i="1"/>
  <c r="L76" i="1"/>
  <c r="AB76" i="1"/>
  <c r="AJ76" i="1"/>
  <c r="X73" i="17"/>
  <c r="K73" i="17"/>
  <c r="AB73" i="17"/>
  <c r="A74" i="17"/>
  <c r="K71" i="18"/>
  <c r="X71" i="18"/>
  <c r="AB71" i="18"/>
  <c r="A72" i="18"/>
  <c r="AB73" i="15"/>
  <c r="A74" i="15"/>
  <c r="K73" i="15"/>
  <c r="X73" i="15"/>
  <c r="A71" i="20"/>
  <c r="X70" i="20"/>
  <c r="K70" i="20"/>
  <c r="L70" i="20"/>
  <c r="AB70" i="20"/>
  <c r="AB74" i="15"/>
  <c r="X74" i="15"/>
  <c r="K74" i="15"/>
  <c r="A75" i="15"/>
  <c r="L74" i="15"/>
  <c r="D74" i="15" s="1"/>
  <c r="AB72" i="18"/>
  <c r="A73" i="18"/>
  <c r="X72" i="18"/>
  <c r="L72" i="18"/>
  <c r="K72" i="18"/>
  <c r="AB69" i="23"/>
  <c r="K69" i="23"/>
  <c r="A70" i="23"/>
  <c r="X69" i="23"/>
  <c r="A71" i="22"/>
  <c r="X70" i="22"/>
  <c r="AB70" i="22"/>
  <c r="K70" i="22"/>
  <c r="AB71" i="20"/>
  <c r="K71" i="20"/>
  <c r="A72" i="20"/>
  <c r="X71" i="20"/>
  <c r="AB74" i="17"/>
  <c r="X74" i="17"/>
  <c r="A75" i="17"/>
  <c r="K74" i="17"/>
  <c r="A78" i="1"/>
  <c r="L77" i="1"/>
  <c r="AJ77" i="1"/>
  <c r="AK77" i="1"/>
  <c r="K77" i="1"/>
  <c r="AB77" i="1"/>
  <c r="X77" i="1"/>
  <c r="AB68" i="24"/>
  <c r="X68" i="24"/>
  <c r="A69" i="24"/>
  <c r="L68" i="24"/>
  <c r="K68" i="24"/>
  <c r="L74" i="16"/>
  <c r="D74" i="16" s="1"/>
  <c r="K74" i="16"/>
  <c r="A75" i="16"/>
  <c r="AB74" i="16"/>
  <c r="X74" i="16"/>
  <c r="AB67" i="25"/>
  <c r="K67" i="25"/>
  <c r="X67" i="25"/>
  <c r="A68" i="25"/>
  <c r="X68" i="25"/>
  <c r="K68" i="25"/>
  <c r="AB68" i="25"/>
  <c r="A69" i="25"/>
  <c r="K69" i="24"/>
  <c r="AB69" i="24"/>
  <c r="X69" i="24"/>
  <c r="A70" i="24"/>
  <c r="AB72" i="20"/>
  <c r="A73" i="20"/>
  <c r="L72" i="20"/>
  <c r="X72" i="20"/>
  <c r="K72" i="20"/>
  <c r="K70" i="23"/>
  <c r="A71" i="23"/>
  <c r="X70" i="23"/>
  <c r="AB70" i="23"/>
  <c r="AB73" i="18"/>
  <c r="A74" i="18"/>
  <c r="X73" i="18"/>
  <c r="K73" i="18"/>
  <c r="L73" i="18"/>
  <c r="AB75" i="16"/>
  <c r="A76" i="16"/>
  <c r="X75" i="16"/>
  <c r="K75" i="16"/>
  <c r="A79" i="1"/>
  <c r="K78" i="1"/>
  <c r="L78" i="1"/>
  <c r="AJ78" i="1"/>
  <c r="X78" i="1"/>
  <c r="AK78" i="1"/>
  <c r="AB78" i="1"/>
  <c r="A76" i="17"/>
  <c r="AB75" i="17"/>
  <c r="X75" i="17"/>
  <c r="K75" i="17"/>
  <c r="A72" i="22"/>
  <c r="AB71" i="22"/>
  <c r="K71" i="22"/>
  <c r="X71" i="22"/>
  <c r="K75" i="15"/>
  <c r="X75" i="15"/>
  <c r="AB75" i="15"/>
  <c r="A76" i="15"/>
  <c r="K76" i="15"/>
  <c r="A77" i="15"/>
  <c r="L76" i="15"/>
  <c r="D76" i="15" s="1"/>
  <c r="AB76" i="15"/>
  <c r="X76" i="15"/>
  <c r="L72" i="22"/>
  <c r="A73" i="22"/>
  <c r="K72" i="22"/>
  <c r="AB72" i="22"/>
  <c r="X72" i="22"/>
  <c r="AB76" i="17"/>
  <c r="A77" i="17"/>
  <c r="X76" i="17"/>
  <c r="L76" i="17"/>
  <c r="D76" i="17" s="1"/>
  <c r="K76" i="17"/>
  <c r="X73" i="20"/>
  <c r="AB73" i="20"/>
  <c r="K73" i="20"/>
  <c r="A74" i="20"/>
  <c r="X79" i="1"/>
  <c r="L79" i="1"/>
  <c r="AJ79" i="1"/>
  <c r="AK79" i="1"/>
  <c r="K79" i="1"/>
  <c r="AB79" i="1"/>
  <c r="A80" i="1"/>
  <c r="AB76" i="16"/>
  <c r="K76" i="16"/>
  <c r="X76" i="16"/>
  <c r="A77" i="16"/>
  <c r="AB74" i="18"/>
  <c r="A75" i="18"/>
  <c r="X74" i="18"/>
  <c r="K74" i="18"/>
  <c r="AB71" i="23"/>
  <c r="A72" i="23"/>
  <c r="X71" i="23"/>
  <c r="K71" i="23"/>
  <c r="AB70" i="24"/>
  <c r="X70" i="24"/>
  <c r="A71" i="24"/>
  <c r="K70" i="24"/>
  <c r="K69" i="25"/>
  <c r="A70" i="25"/>
  <c r="AB69" i="25"/>
  <c r="X69" i="25"/>
  <c r="L69" i="25"/>
  <c r="K71" i="24"/>
  <c r="L71" i="24"/>
  <c r="AB71" i="24"/>
  <c r="A72" i="24"/>
  <c r="X71" i="24"/>
  <c r="K75" i="18"/>
  <c r="AB75" i="18"/>
  <c r="X75" i="18"/>
  <c r="A76" i="18"/>
  <c r="L75" i="18"/>
  <c r="X77" i="15"/>
  <c r="A78" i="15"/>
  <c r="AB77" i="15"/>
  <c r="K77" i="15"/>
  <c r="K70" i="25"/>
  <c r="X70" i="25"/>
  <c r="AB70" i="25"/>
  <c r="A71" i="25"/>
  <c r="L70" i="25"/>
  <c r="A73" i="23"/>
  <c r="K72" i="23"/>
  <c r="AB72" i="23"/>
  <c r="X72" i="23"/>
  <c r="AB77" i="16"/>
  <c r="A78" i="16"/>
  <c r="L77" i="16"/>
  <c r="D77" i="16" s="1"/>
  <c r="K77" i="16"/>
  <c r="X77" i="16"/>
  <c r="AJ80" i="1"/>
  <c r="AK80" i="1"/>
  <c r="K80" i="1"/>
  <c r="L80" i="1"/>
  <c r="X80" i="1"/>
  <c r="AB80" i="1"/>
  <c r="A81" i="1"/>
  <c r="K74" i="20"/>
  <c r="AB74" i="20"/>
  <c r="X74" i="20"/>
  <c r="A75" i="20"/>
  <c r="L74" i="20"/>
  <c r="A78" i="17"/>
  <c r="AB77" i="17"/>
  <c r="K77" i="17"/>
  <c r="X77" i="17"/>
  <c r="AB73" i="22"/>
  <c r="X73" i="22"/>
  <c r="A74" i="22"/>
  <c r="K73" i="22"/>
  <c r="X81" i="1"/>
  <c r="AB81" i="1"/>
  <c r="K81" i="1"/>
  <c r="AJ81" i="1"/>
  <c r="L81" i="1"/>
  <c r="AK81" i="1"/>
  <c r="A82" i="1"/>
  <c r="K73" i="23"/>
  <c r="A74" i="23"/>
  <c r="X73" i="23"/>
  <c r="AB73" i="23"/>
  <c r="L73" i="23"/>
  <c r="A72" i="25"/>
  <c r="AB71" i="25"/>
  <c r="X71" i="25"/>
  <c r="K71" i="25"/>
  <c r="AB72" i="24"/>
  <c r="K72" i="24"/>
  <c r="L72" i="24"/>
  <c r="X72" i="24"/>
  <c r="A73" i="24"/>
  <c r="K74" i="22"/>
  <c r="A75" i="22"/>
  <c r="X74" i="22"/>
  <c r="AB74" i="22"/>
  <c r="L78" i="17"/>
  <c r="X78" i="17"/>
  <c r="AB78" i="17"/>
  <c r="K78" i="17"/>
  <c r="A79" i="17"/>
  <c r="K75" i="20"/>
  <c r="AB75" i="20"/>
  <c r="A76" i="20"/>
  <c r="L75" i="20"/>
  <c r="X75" i="20"/>
  <c r="X78" i="16"/>
  <c r="AB78" i="16"/>
  <c r="A79" i="16"/>
  <c r="K78" i="16"/>
  <c r="L78" i="16"/>
  <c r="K78" i="15"/>
  <c r="A79" i="15"/>
  <c r="AB78" i="15"/>
  <c r="L78" i="15"/>
  <c r="D78" i="15" s="1"/>
  <c r="X78" i="15"/>
  <c r="L76" i="18"/>
  <c r="K76" i="18"/>
  <c r="A77" i="18"/>
  <c r="X76" i="18"/>
  <c r="AB76" i="18"/>
  <c r="X77" i="18"/>
  <c r="A78" i="18"/>
  <c r="K77" i="18"/>
  <c r="AB77" i="18"/>
  <c r="AB79" i="15"/>
  <c r="K79" i="15"/>
  <c r="A80" i="15"/>
  <c r="L79" i="15"/>
  <c r="D79" i="15" s="1"/>
  <c r="X79" i="15"/>
  <c r="D78" i="16"/>
  <c r="X79" i="16"/>
  <c r="L79" i="16"/>
  <c r="D79" i="16" s="1"/>
  <c r="AB79" i="16"/>
  <c r="A80" i="16"/>
  <c r="K79" i="16"/>
  <c r="A77" i="20"/>
  <c r="AB76" i="20"/>
  <c r="K76" i="20"/>
  <c r="X76" i="20"/>
  <c r="AB79" i="17"/>
  <c r="K79" i="17"/>
  <c r="A80" i="17"/>
  <c r="X79" i="17"/>
  <c r="D78" i="17"/>
  <c r="K73" i="24"/>
  <c r="L73" i="24"/>
  <c r="X73" i="24"/>
  <c r="A74" i="24"/>
  <c r="AB73" i="24"/>
  <c r="A75" i="23"/>
  <c r="X74" i="23"/>
  <c r="L74" i="23"/>
  <c r="AB74" i="23"/>
  <c r="K74" i="23"/>
  <c r="K75" i="22"/>
  <c r="AB75" i="22"/>
  <c r="X75" i="22"/>
  <c r="L75" i="22"/>
  <c r="A76" i="22"/>
  <c r="K72" i="25"/>
  <c r="AB72" i="25"/>
  <c r="L72" i="25"/>
  <c r="X72" i="25"/>
  <c r="A73" i="25"/>
  <c r="A83" i="1"/>
  <c r="L82" i="1"/>
  <c r="X82" i="1"/>
  <c r="AJ82" i="1"/>
  <c r="AB82" i="1"/>
  <c r="AK82" i="1"/>
  <c r="K82" i="1"/>
  <c r="A84" i="1"/>
  <c r="K83" i="1"/>
  <c r="X83" i="1"/>
  <c r="AB83" i="1"/>
  <c r="AJ83" i="1"/>
  <c r="AK83" i="1"/>
  <c r="L83" i="1"/>
  <c r="A74" i="25"/>
  <c r="K73" i="25"/>
  <c r="X73" i="25"/>
  <c r="AB73" i="25"/>
  <c r="K75" i="23"/>
  <c r="A76" i="23"/>
  <c r="AB75" i="23"/>
  <c r="X75" i="23"/>
  <c r="A81" i="17"/>
  <c r="AB80" i="17"/>
  <c r="X80" i="17"/>
  <c r="K80" i="17"/>
  <c r="AB77" i="20"/>
  <c r="A78" i="20"/>
  <c r="X77" i="20"/>
  <c r="K77" i="20"/>
  <c r="K80" i="16"/>
  <c r="AB80" i="16"/>
  <c r="X80" i="16"/>
  <c r="A81" i="16"/>
  <c r="AB80" i="15"/>
  <c r="L80" i="15"/>
  <c r="D80" i="15" s="1"/>
  <c r="X80" i="15"/>
  <c r="K80" i="15"/>
  <c r="A81" i="15"/>
  <c r="L78" i="18"/>
  <c r="AB78" i="18"/>
  <c r="X78" i="18"/>
  <c r="K78" i="18"/>
  <c r="A79" i="18"/>
  <c r="A77" i="22"/>
  <c r="X76" i="22"/>
  <c r="AB76" i="22"/>
  <c r="K76" i="22"/>
  <c r="X74" i="24"/>
  <c r="K74" i="24"/>
  <c r="A75" i="24"/>
  <c r="AB74" i="24"/>
  <c r="L74" i="24"/>
  <c r="AB75" i="24"/>
  <c r="X75" i="24"/>
  <c r="A76" i="24"/>
  <c r="K75" i="24"/>
  <c r="X79" i="18"/>
  <c r="K79" i="18"/>
  <c r="L79" i="18"/>
  <c r="AB79" i="18"/>
  <c r="A80" i="18"/>
  <c r="L81" i="17"/>
  <c r="D81" i="17" s="1"/>
  <c r="A82" i="17"/>
  <c r="K81" i="17"/>
  <c r="X81" i="17"/>
  <c r="AB81" i="17"/>
  <c r="A78" i="22"/>
  <c r="AB77" i="22"/>
  <c r="X77" i="22"/>
  <c r="K77" i="22"/>
  <c r="AB81" i="15"/>
  <c r="X81" i="15"/>
  <c r="A82" i="15"/>
  <c r="K81" i="15"/>
  <c r="L81" i="15"/>
  <c r="D81" i="15" s="1"/>
  <c r="A82" i="16"/>
  <c r="X81" i="16"/>
  <c r="AB81" i="16"/>
  <c r="K81" i="16"/>
  <c r="A79" i="20"/>
  <c r="K78" i="20"/>
  <c r="AB78" i="20"/>
  <c r="X78" i="20"/>
  <c r="K76" i="23"/>
  <c r="AB76" i="23"/>
  <c r="A77" i="23"/>
  <c r="L76" i="23"/>
  <c r="X76" i="23"/>
  <c r="X74" i="25"/>
  <c r="K74" i="25"/>
  <c r="AB74" i="25"/>
  <c r="A75" i="25"/>
  <c r="L74" i="25"/>
  <c r="L84" i="1"/>
  <c r="K84" i="1"/>
  <c r="AJ84" i="1"/>
  <c r="A85" i="1"/>
  <c r="AB84" i="1"/>
  <c r="X84" i="1"/>
  <c r="AK84" i="1"/>
  <c r="A78" i="23"/>
  <c r="X77" i="23"/>
  <c r="K77" i="23"/>
  <c r="AB77" i="23"/>
  <c r="L79" i="20"/>
  <c r="K79" i="20"/>
  <c r="AB79" i="20"/>
  <c r="A80" i="20"/>
  <c r="X79" i="20"/>
  <c r="AB80" i="18"/>
  <c r="K80" i="18"/>
  <c r="X80" i="18"/>
  <c r="A81" i="18"/>
  <c r="L76" i="24"/>
  <c r="X76" i="24"/>
  <c r="AB76" i="24"/>
  <c r="A77" i="24"/>
  <c r="K76" i="24"/>
  <c r="A86" i="1"/>
  <c r="K85" i="1"/>
  <c r="X85" i="1"/>
  <c r="L85" i="1"/>
  <c r="AK85" i="1"/>
  <c r="AB85" i="1"/>
  <c r="AJ85" i="1"/>
  <c r="K75" i="25"/>
  <c r="AB75" i="25"/>
  <c r="A76" i="25"/>
  <c r="X75" i="25"/>
  <c r="K82" i="16"/>
  <c r="A83" i="16"/>
  <c r="AB82" i="16"/>
  <c r="X82" i="16"/>
  <c r="X82" i="15"/>
  <c r="K82" i="15"/>
  <c r="L82" i="15"/>
  <c r="D82" i="15" s="1"/>
  <c r="AB82" i="15"/>
  <c r="A83" i="15"/>
  <c r="K78" i="22"/>
  <c r="AB78" i="22"/>
  <c r="A79" i="22"/>
  <c r="X78" i="22"/>
  <c r="K82" i="17"/>
  <c r="X82" i="17"/>
  <c r="A83" i="17"/>
  <c r="AB82" i="17"/>
  <c r="X83" i="16"/>
  <c r="A84" i="16"/>
  <c r="AB83" i="16"/>
  <c r="K83" i="16"/>
  <c r="A77" i="25"/>
  <c r="L76" i="25"/>
  <c r="X76" i="25"/>
  <c r="AB76" i="25"/>
  <c r="K76" i="25"/>
  <c r="AK86" i="1"/>
  <c r="AJ86" i="1"/>
  <c r="AB86" i="1"/>
  <c r="X86" i="1"/>
  <c r="L86" i="1"/>
  <c r="K86" i="1"/>
  <c r="A87" i="1"/>
  <c r="K77" i="24"/>
  <c r="A78" i="24"/>
  <c r="X77" i="24"/>
  <c r="L77" i="24"/>
  <c r="AB77" i="24"/>
  <c r="A79" i="23"/>
  <c r="AB78" i="23"/>
  <c r="X78" i="23"/>
  <c r="K78" i="23"/>
  <c r="AB83" i="17"/>
  <c r="K83" i="17"/>
  <c r="X83" i="17"/>
  <c r="A84" i="17"/>
  <c r="K79" i="22"/>
  <c r="X79" i="22"/>
  <c r="L79" i="22"/>
  <c r="AB79" i="22"/>
  <c r="A80" i="22"/>
  <c r="AB83" i="15"/>
  <c r="L83" i="15"/>
  <c r="D83" i="15" s="1"/>
  <c r="A84" i="15"/>
  <c r="K83" i="15"/>
  <c r="X83" i="15"/>
  <c r="AB81" i="18"/>
  <c r="A82" i="18"/>
  <c r="K81" i="18"/>
  <c r="X81" i="18"/>
  <c r="A81" i="20"/>
  <c r="AB80" i="20"/>
  <c r="K80" i="20"/>
  <c r="X80" i="20"/>
  <c r="A83" i="18"/>
  <c r="AB82" i="18"/>
  <c r="X82" i="18"/>
  <c r="K82" i="18"/>
  <c r="X80" i="22"/>
  <c r="AB80" i="22"/>
  <c r="K80" i="22"/>
  <c r="A81" i="22"/>
  <c r="AB79" i="23"/>
  <c r="X79" i="23"/>
  <c r="K79" i="23"/>
  <c r="A80" i="23"/>
  <c r="L79" i="23"/>
  <c r="A79" i="24"/>
  <c r="X78" i="24"/>
  <c r="K78" i="24"/>
  <c r="L78" i="24"/>
  <c r="AB78" i="24"/>
  <c r="X77" i="25"/>
  <c r="A78" i="25"/>
  <c r="AB77" i="25"/>
  <c r="K77" i="25"/>
  <c r="AB81" i="20"/>
  <c r="A82" i="20"/>
  <c r="X81" i="20"/>
  <c r="K81" i="20"/>
  <c r="K84" i="15"/>
  <c r="AB84" i="15"/>
  <c r="A85" i="15"/>
  <c r="X84" i="15"/>
  <c r="AB84" i="17"/>
  <c r="K84" i="17"/>
  <c r="X84" i="17"/>
  <c r="A85" i="17"/>
  <c r="AK87" i="1"/>
  <c r="X87" i="1"/>
  <c r="K87" i="1"/>
  <c r="A88" i="1"/>
  <c r="L87" i="1"/>
  <c r="AJ87" i="1"/>
  <c r="AB87" i="1"/>
  <c r="L84" i="16"/>
  <c r="D84" i="16" s="1"/>
  <c r="X84" i="16"/>
  <c r="AB84" i="16"/>
  <c r="A85" i="16"/>
  <c r="K84" i="16"/>
  <c r="AB85" i="16"/>
  <c r="L85" i="16"/>
  <c r="D85" i="16" s="1"/>
  <c r="K85" i="16"/>
  <c r="X85" i="16"/>
  <c r="A86" i="16"/>
  <c r="X85" i="15"/>
  <c r="AB85" i="15"/>
  <c r="A86" i="15"/>
  <c r="K85" i="15"/>
  <c r="X82" i="20"/>
  <c r="L82" i="20"/>
  <c r="A83" i="20"/>
  <c r="K82" i="20"/>
  <c r="AB82" i="20"/>
  <c r="X78" i="25"/>
  <c r="K78" i="25"/>
  <c r="A79" i="25"/>
  <c r="AB78" i="25"/>
  <c r="A80" i="24"/>
  <c r="AB79" i="24"/>
  <c r="X79" i="24"/>
  <c r="K79" i="24"/>
  <c r="K83" i="18"/>
  <c r="AB83" i="18"/>
  <c r="A84" i="18"/>
  <c r="X83" i="18"/>
  <c r="L83" i="18"/>
  <c r="A89" i="1"/>
  <c r="K88" i="1"/>
  <c r="X88" i="1"/>
  <c r="AK88" i="1"/>
  <c r="AB88" i="1"/>
  <c r="L88" i="1"/>
  <c r="B22" i="7" s="1"/>
  <c r="AJ88" i="1"/>
  <c r="A22" i="7"/>
  <c r="K85" i="17"/>
  <c r="X85" i="17"/>
  <c r="AB85" i="17"/>
  <c r="A86" i="17"/>
  <c r="L80" i="23"/>
  <c r="K80" i="23"/>
  <c r="AB80" i="23"/>
  <c r="A81" i="23"/>
  <c r="X80" i="23"/>
  <c r="K81" i="22"/>
  <c r="A82" i="22"/>
  <c r="AB81" i="22"/>
  <c r="X81" i="22"/>
  <c r="A82" i="23"/>
  <c r="X81" i="23"/>
  <c r="AB81" i="23"/>
  <c r="K81" i="23"/>
  <c r="A80" i="25"/>
  <c r="X79" i="25"/>
  <c r="K79" i="25"/>
  <c r="L79" i="25"/>
  <c r="AB79" i="25"/>
  <c r="L83" i="20"/>
  <c r="X83" i="20"/>
  <c r="K83" i="20"/>
  <c r="A84" i="20"/>
  <c r="AB83" i="20"/>
  <c r="K82" i="22"/>
  <c r="A83" i="22"/>
  <c r="X82" i="22"/>
  <c r="L82" i="22"/>
  <c r="AB82" i="22"/>
  <c r="AB86" i="17"/>
  <c r="X86" i="17"/>
  <c r="L86" i="17"/>
  <c r="D86" i="17" s="1"/>
  <c r="A87" i="17"/>
  <c r="K86" i="17"/>
  <c r="AK89" i="1"/>
  <c r="AJ89" i="1"/>
  <c r="K89" i="1"/>
  <c r="L89" i="1"/>
  <c r="X89" i="1"/>
  <c r="AB89" i="1"/>
  <c r="A90" i="1"/>
  <c r="X84" i="18"/>
  <c r="A85" i="18"/>
  <c r="AB84" i="18"/>
  <c r="K84" i="18"/>
  <c r="L84" i="18"/>
  <c r="K80" i="24"/>
  <c r="AB80" i="24"/>
  <c r="X80" i="24"/>
  <c r="A81" i="24"/>
  <c r="L86" i="15"/>
  <c r="D86" i="15" s="1"/>
  <c r="AB86" i="15"/>
  <c r="A87" i="15"/>
  <c r="X86" i="15"/>
  <c r="K86" i="15"/>
  <c r="A87" i="16"/>
  <c r="AB86" i="16"/>
  <c r="X86" i="16"/>
  <c r="K86" i="16"/>
  <c r="A91" i="1"/>
  <c r="X90" i="1"/>
  <c r="AK90" i="1"/>
  <c r="K90" i="1"/>
  <c r="AJ90" i="1"/>
  <c r="L90" i="1"/>
  <c r="AB90" i="1"/>
  <c r="K82" i="23"/>
  <c r="X82" i="23"/>
  <c r="A83" i="23"/>
  <c r="AB82" i="23"/>
  <c r="AB87" i="16"/>
  <c r="A88" i="16"/>
  <c r="K87" i="16"/>
  <c r="X87" i="16"/>
  <c r="L87" i="16"/>
  <c r="D87" i="16" s="1"/>
  <c r="A88" i="15"/>
  <c r="K87" i="15"/>
  <c r="X87" i="15"/>
  <c r="AB87" i="15"/>
  <c r="L81" i="24"/>
  <c r="X81" i="24"/>
  <c r="K81" i="24"/>
  <c r="AB81" i="24"/>
  <c r="A82" i="24"/>
  <c r="X85" i="18"/>
  <c r="A86" i="18"/>
  <c r="AB85" i="18"/>
  <c r="K85" i="18"/>
  <c r="A88" i="17"/>
  <c r="K87" i="17"/>
  <c r="AB87" i="17"/>
  <c r="X87" i="17"/>
  <c r="A84" i="22"/>
  <c r="K83" i="22"/>
  <c r="AB83" i="22"/>
  <c r="X83" i="22"/>
  <c r="A85" i="20"/>
  <c r="K84" i="20"/>
  <c r="AB84" i="20"/>
  <c r="X84" i="20"/>
  <c r="A81" i="25"/>
  <c r="K80" i="25"/>
  <c r="X80" i="25"/>
  <c r="AB80" i="25"/>
  <c r="K85" i="20"/>
  <c r="X85" i="20"/>
  <c r="A86" i="20"/>
  <c r="AB85" i="20"/>
  <c r="L85" i="20"/>
  <c r="AB84" i="22"/>
  <c r="L84" i="22"/>
  <c r="K84" i="22"/>
  <c r="A85" i="22"/>
  <c r="X84" i="22"/>
  <c r="K86" i="18"/>
  <c r="X86" i="18"/>
  <c r="A87" i="18"/>
  <c r="AB86" i="18"/>
  <c r="K88" i="15"/>
  <c r="A34" i="7"/>
  <c r="A89" i="15"/>
  <c r="L88" i="15"/>
  <c r="D88" i="15" s="1"/>
  <c r="AB88" i="15"/>
  <c r="X88" i="15"/>
  <c r="AB83" i="23"/>
  <c r="K83" i="23"/>
  <c r="A84" i="23"/>
  <c r="X83" i="23"/>
  <c r="L81" i="25"/>
  <c r="K81" i="25"/>
  <c r="A82" i="25"/>
  <c r="AB81" i="25"/>
  <c r="X81" i="25"/>
  <c r="AB88" i="17"/>
  <c r="L88" i="17"/>
  <c r="D88" i="17" s="1"/>
  <c r="X88" i="17"/>
  <c r="K88" i="17"/>
  <c r="A58" i="7"/>
  <c r="A89" i="17"/>
  <c r="AB82" i="24"/>
  <c r="K82" i="24"/>
  <c r="A83" i="24"/>
  <c r="X82" i="24"/>
  <c r="L88" i="16"/>
  <c r="B46" i="7" s="1"/>
  <c r="AB88" i="16"/>
  <c r="A89" i="16"/>
  <c r="A46" i="7"/>
  <c r="K88" i="16"/>
  <c r="X88" i="16"/>
  <c r="A92" i="1"/>
  <c r="K91" i="1"/>
  <c r="AJ91" i="1"/>
  <c r="AB91" i="1"/>
  <c r="X91" i="1"/>
  <c r="L91" i="1"/>
  <c r="AK91" i="1"/>
  <c r="K89" i="16"/>
  <c r="A90" i="16"/>
  <c r="X89" i="16"/>
  <c r="AB89" i="16"/>
  <c r="A84" i="24"/>
  <c r="L83" i="24"/>
  <c r="X83" i="24"/>
  <c r="AB83" i="24"/>
  <c r="K83" i="24"/>
  <c r="AB89" i="17"/>
  <c r="X89" i="17"/>
  <c r="L89" i="17"/>
  <c r="D89" i="17" s="1"/>
  <c r="A90" i="17"/>
  <c r="K89" i="17"/>
  <c r="A86" i="22"/>
  <c r="K85" i="22"/>
  <c r="AB85" i="22"/>
  <c r="L85" i="22"/>
  <c r="X85" i="22"/>
  <c r="L86" i="20"/>
  <c r="X86" i="20"/>
  <c r="A87" i="20"/>
  <c r="AB86" i="20"/>
  <c r="K86" i="20"/>
  <c r="A93" i="1"/>
  <c r="L92" i="1"/>
  <c r="AB92" i="1"/>
  <c r="X92" i="1"/>
  <c r="K92" i="1"/>
  <c r="AJ92" i="1"/>
  <c r="AK92" i="1"/>
  <c r="K82" i="25"/>
  <c r="AB82" i="25"/>
  <c r="A83" i="25"/>
  <c r="X82" i="25"/>
  <c r="K84" i="23"/>
  <c r="X84" i="23"/>
  <c r="A85" i="23"/>
  <c r="AB84" i="23"/>
  <c r="L89" i="15"/>
  <c r="D89" i="15" s="1"/>
  <c r="X89" i="15"/>
  <c r="K89" i="15"/>
  <c r="AB89" i="15"/>
  <c r="A90" i="15"/>
  <c r="K87" i="18"/>
  <c r="AB87" i="18"/>
  <c r="X87" i="18"/>
  <c r="A88" i="18"/>
  <c r="K85" i="23"/>
  <c r="A86" i="23"/>
  <c r="X85" i="23"/>
  <c r="AB85" i="23"/>
  <c r="K83" i="25"/>
  <c r="A84" i="25"/>
  <c r="X83" i="25"/>
  <c r="AB83" i="25"/>
  <c r="AK93" i="1"/>
  <c r="AB93" i="1"/>
  <c r="AJ93" i="1"/>
  <c r="A94" i="1"/>
  <c r="L93" i="1"/>
  <c r="K93" i="1"/>
  <c r="X93" i="1"/>
  <c r="K90" i="17"/>
  <c r="X90" i="17"/>
  <c r="AB90" i="17"/>
  <c r="L90" i="17"/>
  <c r="D90" i="17" s="1"/>
  <c r="A91" i="17"/>
  <c r="K84" i="24"/>
  <c r="A85" i="24"/>
  <c r="X84" i="24"/>
  <c r="AB84" i="24"/>
  <c r="L84" i="24"/>
  <c r="K90" i="15"/>
  <c r="X90" i="15"/>
  <c r="A91" i="15"/>
  <c r="AB90" i="15"/>
  <c r="L90" i="15"/>
  <c r="D90" i="15" s="1"/>
  <c r="AB88" i="18"/>
  <c r="A89" i="18"/>
  <c r="X88" i="18"/>
  <c r="A70" i="7"/>
  <c r="K88" i="18"/>
  <c r="K87" i="20"/>
  <c r="A88" i="20"/>
  <c r="AB87" i="20"/>
  <c r="X87" i="20"/>
  <c r="X86" i="22"/>
  <c r="AB86" i="22"/>
  <c r="K86" i="22"/>
  <c r="A87" i="22"/>
  <c r="L86" i="22"/>
  <c r="AB90" i="16"/>
  <c r="A91" i="16"/>
  <c r="K90" i="16"/>
  <c r="X90" i="16"/>
  <c r="AB91" i="16"/>
  <c r="K91" i="16"/>
  <c r="A92" i="16"/>
  <c r="X91" i="16"/>
  <c r="A88" i="22"/>
  <c r="L87" i="22"/>
  <c r="X87" i="22"/>
  <c r="AB87" i="22"/>
  <c r="K87" i="22"/>
  <c r="K89" i="18"/>
  <c r="X89" i="18"/>
  <c r="AB89" i="18"/>
  <c r="A90" i="18"/>
  <c r="AB91" i="15"/>
  <c r="A92" i="15"/>
  <c r="X91" i="15"/>
  <c r="K91" i="15"/>
  <c r="X85" i="24"/>
  <c r="A86" i="24"/>
  <c r="K85" i="24"/>
  <c r="AB85" i="24"/>
  <c r="K91" i="17"/>
  <c r="AB91" i="17"/>
  <c r="A92" i="17"/>
  <c r="L91" i="17"/>
  <c r="D91" i="17" s="1"/>
  <c r="X91" i="17"/>
  <c r="X84" i="25"/>
  <c r="K84" i="25"/>
  <c r="L84" i="25"/>
  <c r="AB84" i="25"/>
  <c r="A85" i="25"/>
  <c r="A87" i="23"/>
  <c r="AB86" i="23"/>
  <c r="X86" i="23"/>
  <c r="K86" i="23"/>
  <c r="A89" i="20"/>
  <c r="X88" i="20"/>
  <c r="L88" i="20"/>
  <c r="AF22" i="7" s="1"/>
  <c r="K88" i="20"/>
  <c r="AB88" i="20"/>
  <c r="AE22" i="7"/>
  <c r="A95" i="1"/>
  <c r="X94" i="1"/>
  <c r="AJ94" i="1"/>
  <c r="AB94" i="1"/>
  <c r="L94" i="1"/>
  <c r="K94" i="1"/>
  <c r="AK94" i="1"/>
  <c r="X89" i="20"/>
  <c r="AB89" i="20"/>
  <c r="A90" i="20"/>
  <c r="K89" i="20"/>
  <c r="L87" i="23"/>
  <c r="AB87" i="23"/>
  <c r="X87" i="23"/>
  <c r="A88" i="23"/>
  <c r="K87" i="23"/>
  <c r="K92" i="17"/>
  <c r="AB92" i="17"/>
  <c r="X92" i="17"/>
  <c r="L92" i="17"/>
  <c r="D92" i="17" s="1"/>
  <c r="A93" i="17"/>
  <c r="L86" i="24"/>
  <c r="X86" i="24"/>
  <c r="K86" i="24"/>
  <c r="AB86" i="24"/>
  <c r="A87" i="24"/>
  <c r="K88" i="22"/>
  <c r="A89" i="22"/>
  <c r="AB88" i="22"/>
  <c r="X88" i="22"/>
  <c r="AE34" i="7"/>
  <c r="L88" i="22"/>
  <c r="AF34" i="7" s="1"/>
  <c r="AB95" i="1"/>
  <c r="AK95" i="1"/>
  <c r="L95" i="1"/>
  <c r="X95" i="1"/>
  <c r="K95" i="1"/>
  <c r="A96" i="1"/>
  <c r="AJ95" i="1"/>
  <c r="X85" i="25"/>
  <c r="A86" i="25"/>
  <c r="L85" i="25"/>
  <c r="K85" i="25"/>
  <c r="AB85" i="25"/>
  <c r="K92" i="15"/>
  <c r="AB92" i="15"/>
  <c r="X92" i="15"/>
  <c r="A93" i="15"/>
  <c r="A91" i="18"/>
  <c r="K90" i="18"/>
  <c r="X90" i="18"/>
  <c r="AB90" i="18"/>
  <c r="L90" i="18"/>
  <c r="K92" i="16"/>
  <c r="X92" i="16"/>
  <c r="AB92" i="16"/>
  <c r="A93" i="16"/>
  <c r="AB91" i="18"/>
  <c r="X91" i="18"/>
  <c r="L91" i="18"/>
  <c r="K91" i="18"/>
  <c r="A92" i="18"/>
  <c r="AK96" i="1"/>
  <c r="X96" i="1"/>
  <c r="AB96" i="1"/>
  <c r="A97" i="1"/>
  <c r="AJ96" i="1"/>
  <c r="K96" i="1"/>
  <c r="L96" i="1"/>
  <c r="A88" i="24"/>
  <c r="AB87" i="24"/>
  <c r="L87" i="24"/>
  <c r="K87" i="24"/>
  <c r="X87" i="24"/>
  <c r="A94" i="16"/>
  <c r="X93" i="16"/>
  <c r="K93" i="16"/>
  <c r="L93" i="16"/>
  <c r="D93" i="16" s="1"/>
  <c r="AB93" i="16"/>
  <c r="A94" i="15"/>
  <c r="AB93" i="15"/>
  <c r="L93" i="15"/>
  <c r="D93" i="15" s="1"/>
  <c r="K93" i="15"/>
  <c r="X93" i="15"/>
  <c r="L86" i="25"/>
  <c r="K86" i="25"/>
  <c r="X86" i="25"/>
  <c r="AB86" i="25"/>
  <c r="A87" i="25"/>
  <c r="AB89" i="22"/>
  <c r="L89" i="22"/>
  <c r="K89" i="22"/>
  <c r="A90" i="22"/>
  <c r="X89" i="22"/>
  <c r="AB93" i="17"/>
  <c r="A94" i="17"/>
  <c r="X93" i="17"/>
  <c r="K93" i="17"/>
  <c r="A89" i="23"/>
  <c r="AE46" i="7"/>
  <c r="K88" i="23"/>
  <c r="AB88" i="23"/>
  <c r="X88" i="23"/>
  <c r="X90" i="20"/>
  <c r="AB90" i="20"/>
  <c r="K90" i="20"/>
  <c r="A91" i="20"/>
  <c r="K91" i="20"/>
  <c r="AB91" i="20"/>
  <c r="X91" i="20"/>
  <c r="A92" i="20"/>
  <c r="L91" i="20"/>
  <c r="AB89" i="23"/>
  <c r="A90" i="23"/>
  <c r="L89" i="23"/>
  <c r="K89" i="23"/>
  <c r="X89" i="23"/>
  <c r="K94" i="17"/>
  <c r="A95" i="17"/>
  <c r="X94" i="17"/>
  <c r="L94" i="17"/>
  <c r="D94" i="17" s="1"/>
  <c r="AB94" i="17"/>
  <c r="X90" i="22"/>
  <c r="AB90" i="22"/>
  <c r="L90" i="22"/>
  <c r="K90" i="22"/>
  <c r="A91" i="22"/>
  <c r="A98" i="1"/>
  <c r="AB97" i="1"/>
  <c r="X97" i="1"/>
  <c r="L97" i="1"/>
  <c r="AJ97" i="1"/>
  <c r="K97" i="1"/>
  <c r="AK97" i="1"/>
  <c r="AB87" i="25"/>
  <c r="K87" i="25"/>
  <c r="X87" i="25"/>
  <c r="A88" i="25"/>
  <c r="K94" i="15"/>
  <c r="AB94" i="15"/>
  <c r="A95" i="15"/>
  <c r="X94" i="15"/>
  <c r="K94" i="16"/>
  <c r="AB94" i="16"/>
  <c r="X94" i="16"/>
  <c r="A95" i="16"/>
  <c r="L94" i="16"/>
  <c r="D94" i="16" s="1"/>
  <c r="K88" i="24"/>
  <c r="AE58" i="7"/>
  <c r="A89" i="24"/>
  <c r="X88" i="24"/>
  <c r="AB88" i="24"/>
  <c r="AB92" i="18"/>
  <c r="L92" i="18"/>
  <c r="A93" i="18"/>
  <c r="X92" i="18"/>
  <c r="K92" i="18"/>
  <c r="X89" i="24"/>
  <c r="A90" i="24"/>
  <c r="AB89" i="24"/>
  <c r="K89" i="24"/>
  <c r="X95" i="15"/>
  <c r="AB95" i="15"/>
  <c r="A96" i="15"/>
  <c r="K95" i="15"/>
  <c r="A92" i="22"/>
  <c r="X91" i="22"/>
  <c r="AB91" i="22"/>
  <c r="K91" i="22"/>
  <c r="X95" i="17"/>
  <c r="AB95" i="17"/>
  <c r="K95" i="17"/>
  <c r="A96" i="17"/>
  <c r="L95" i="17"/>
  <c r="D95" i="17" s="1"/>
  <c r="X90" i="23"/>
  <c r="L90" i="23"/>
  <c r="AB90" i="23"/>
  <c r="A91" i="23"/>
  <c r="K90" i="23"/>
  <c r="A93" i="20"/>
  <c r="X92" i="20"/>
  <c r="K92" i="20"/>
  <c r="AB92" i="20"/>
  <c r="L92" i="20"/>
  <c r="X93" i="18"/>
  <c r="L93" i="18"/>
  <c r="AB93" i="18"/>
  <c r="A94" i="18"/>
  <c r="K93" i="18"/>
  <c r="K95" i="16"/>
  <c r="X95" i="16"/>
  <c r="A96" i="16"/>
  <c r="AB95" i="16"/>
  <c r="A89" i="25"/>
  <c r="K88" i="25"/>
  <c r="L88" i="25"/>
  <c r="AF70" i="7" s="1"/>
  <c r="AE70" i="7"/>
  <c r="AB88" i="25"/>
  <c r="X88" i="25"/>
  <c r="L98" i="1"/>
  <c r="AK98" i="1"/>
  <c r="X98" i="1"/>
  <c r="AB98" i="1"/>
  <c r="AJ98" i="1"/>
  <c r="K98" i="1"/>
  <c r="A99" i="1"/>
  <c r="A100" i="1"/>
  <c r="X99" i="1"/>
  <c r="AK99" i="1"/>
  <c r="AJ99" i="1"/>
  <c r="L99" i="1"/>
  <c r="AB99" i="1"/>
  <c r="K99" i="1"/>
  <c r="A97" i="16"/>
  <c r="K96" i="16"/>
  <c r="AB96" i="16"/>
  <c r="X96" i="16"/>
  <c r="X91" i="23"/>
  <c r="L91" i="23"/>
  <c r="A92" i="23"/>
  <c r="AB91" i="23"/>
  <c r="K91" i="23"/>
  <c r="K92" i="22"/>
  <c r="AB92" i="22"/>
  <c r="X92" i="22"/>
  <c r="A93" i="22"/>
  <c r="X96" i="15"/>
  <c r="K96" i="15"/>
  <c r="A97" i="15"/>
  <c r="AB96" i="15"/>
  <c r="K89" i="25"/>
  <c r="X89" i="25"/>
  <c r="AB89" i="25"/>
  <c r="L89" i="25"/>
  <c r="A90" i="25"/>
  <c r="K94" i="18"/>
  <c r="A95" i="18"/>
  <c r="X94" i="18"/>
  <c r="AB94" i="18"/>
  <c r="K93" i="20"/>
  <c r="AB93" i="20"/>
  <c r="A94" i="20"/>
  <c r="X93" i="20"/>
  <c r="X96" i="17"/>
  <c r="AB96" i="17"/>
  <c r="K96" i="17"/>
  <c r="A97" i="17"/>
  <c r="X90" i="24"/>
  <c r="AB90" i="24"/>
  <c r="L90" i="24"/>
  <c r="K90" i="24"/>
  <c r="A91" i="24"/>
  <c r="X91" i="24"/>
  <c r="AB91" i="24"/>
  <c r="K91" i="24"/>
  <c r="L91" i="24"/>
  <c r="A92" i="24"/>
  <c r="X97" i="17"/>
  <c r="L97" i="17"/>
  <c r="D97" i="17" s="1"/>
  <c r="A98" i="17"/>
  <c r="AB97" i="17"/>
  <c r="K97" i="17"/>
  <c r="A96" i="18"/>
  <c r="K95" i="18"/>
  <c r="L95" i="18"/>
  <c r="X95" i="18"/>
  <c r="AB95" i="18"/>
  <c r="K90" i="25"/>
  <c r="X90" i="25"/>
  <c r="A91" i="25"/>
  <c r="L90" i="25"/>
  <c r="AB90" i="25"/>
  <c r="AB93" i="22"/>
  <c r="X93" i="22"/>
  <c r="K93" i="22"/>
  <c r="A94" i="22"/>
  <c r="L93" i="22"/>
  <c r="K92" i="23"/>
  <c r="A93" i="23"/>
  <c r="X92" i="23"/>
  <c r="L92" i="23"/>
  <c r="AB92" i="23"/>
  <c r="L94" i="20"/>
  <c r="A95" i="20"/>
  <c r="K94" i="20"/>
  <c r="X94" i="20"/>
  <c r="AB94" i="20"/>
  <c r="A98" i="15"/>
  <c r="X97" i="15"/>
  <c r="K97" i="15"/>
  <c r="AB97" i="15"/>
  <c r="L97" i="15"/>
  <c r="D97" i="15" s="1"/>
  <c r="L97" i="16"/>
  <c r="D97" i="16" s="1"/>
  <c r="A98" i="16"/>
  <c r="AB97" i="16"/>
  <c r="X97" i="16"/>
  <c r="K97" i="16"/>
  <c r="AB100" i="1"/>
  <c r="AK100" i="1"/>
  <c r="L100" i="1"/>
  <c r="A101" i="1"/>
  <c r="AJ100" i="1"/>
  <c r="K100" i="1"/>
  <c r="X100" i="1"/>
  <c r="L95" i="20"/>
  <c r="X95" i="20"/>
  <c r="K95" i="20"/>
  <c r="A96" i="20"/>
  <c r="AB95" i="20"/>
  <c r="L93" i="23"/>
  <c r="X93" i="23"/>
  <c r="K93" i="23"/>
  <c r="AB93" i="23"/>
  <c r="A94" i="23"/>
  <c r="L94" i="22"/>
  <c r="A95" i="22"/>
  <c r="K94" i="22"/>
  <c r="AB94" i="22"/>
  <c r="X94" i="22"/>
  <c r="L91" i="25"/>
  <c r="A92" i="25"/>
  <c r="K91" i="25"/>
  <c r="AB91" i="25"/>
  <c r="X91" i="25"/>
  <c r="A102" i="1"/>
  <c r="K101" i="1"/>
  <c r="AK101" i="1"/>
  <c r="AB101" i="1"/>
  <c r="X101" i="1"/>
  <c r="AJ101" i="1"/>
  <c r="L101" i="1"/>
  <c r="K98" i="16"/>
  <c r="A99" i="16"/>
  <c r="X98" i="16"/>
  <c r="L98" i="16"/>
  <c r="D98" i="16" s="1"/>
  <c r="AB98" i="16"/>
  <c r="K98" i="15"/>
  <c r="X98" i="15"/>
  <c r="AB98" i="15"/>
  <c r="A99" i="15"/>
  <c r="L98" i="15"/>
  <c r="D98" i="15" s="1"/>
  <c r="K96" i="18"/>
  <c r="L96" i="18"/>
  <c r="X96" i="18"/>
  <c r="AB96" i="18"/>
  <c r="A97" i="18"/>
  <c r="L98" i="17"/>
  <c r="X98" i="17"/>
  <c r="AB98" i="17"/>
  <c r="K98" i="17"/>
  <c r="A99" i="17"/>
  <c r="X92" i="24"/>
  <c r="AB92" i="24"/>
  <c r="L92" i="24"/>
  <c r="A93" i="24"/>
  <c r="K92" i="24"/>
  <c r="X99" i="17"/>
  <c r="L99" i="17"/>
  <c r="D99" i="17" s="1"/>
  <c r="K99" i="17"/>
  <c r="A100" i="17"/>
  <c r="AB99" i="17"/>
  <c r="A98" i="18"/>
  <c r="K97" i="18"/>
  <c r="AB97" i="18"/>
  <c r="X97" i="18"/>
  <c r="L97" i="18"/>
  <c r="K99" i="16"/>
  <c r="L99" i="16"/>
  <c r="D99" i="16" s="1"/>
  <c r="AB99" i="16"/>
  <c r="X99" i="16"/>
  <c r="A100" i="16"/>
  <c r="A103" i="1"/>
  <c r="AB102" i="1"/>
  <c r="AJ102" i="1"/>
  <c r="K102" i="1"/>
  <c r="AK102" i="1"/>
  <c r="L102" i="1"/>
  <c r="X102" i="1"/>
  <c r="X92" i="25"/>
  <c r="K92" i="25"/>
  <c r="L92" i="25"/>
  <c r="A93" i="25"/>
  <c r="AB92" i="25"/>
  <c r="A94" i="24"/>
  <c r="L93" i="24"/>
  <c r="AB93" i="24"/>
  <c r="X93" i="24"/>
  <c r="K93" i="24"/>
  <c r="D98" i="17"/>
  <c r="L99" i="15"/>
  <c r="D99" i="15" s="1"/>
  <c r="AB99" i="15"/>
  <c r="X99" i="15"/>
  <c r="K99" i="15"/>
  <c r="A100" i="15"/>
  <c r="L95" i="22"/>
  <c r="A96" i="22"/>
  <c r="X95" i="22"/>
  <c r="K95" i="22"/>
  <c r="AB95" i="22"/>
  <c r="A95" i="23"/>
  <c r="K94" i="23"/>
  <c r="L94" i="23"/>
  <c r="AB94" i="23"/>
  <c r="X94" i="23"/>
  <c r="A97" i="20"/>
  <c r="K96" i="20"/>
  <c r="AB96" i="20"/>
  <c r="L96" i="20"/>
  <c r="X96" i="20"/>
  <c r="K97" i="20"/>
  <c r="AB97" i="20"/>
  <c r="X97" i="20"/>
  <c r="A98" i="20"/>
  <c r="L97" i="20"/>
  <c r="X95" i="23"/>
  <c r="K95" i="23"/>
  <c r="L95" i="23"/>
  <c r="A96" i="23"/>
  <c r="AB95" i="23"/>
  <c r="K96" i="22"/>
  <c r="L96" i="22"/>
  <c r="X96" i="22"/>
  <c r="A97" i="22"/>
  <c r="AB96" i="22"/>
  <c r="A104" i="1"/>
  <c r="AJ103" i="1"/>
  <c r="X103" i="1"/>
  <c r="AK103" i="1"/>
  <c r="AB103" i="1"/>
  <c r="K103" i="1"/>
  <c r="L103" i="1"/>
  <c r="X100" i="16"/>
  <c r="A101" i="16"/>
  <c r="K100" i="16"/>
  <c r="AB100" i="16"/>
  <c r="L100" i="16"/>
  <c r="D100" i="16" s="1"/>
  <c r="AB98" i="18"/>
  <c r="L98" i="18"/>
  <c r="K98" i="18"/>
  <c r="A99" i="18"/>
  <c r="X98" i="18"/>
  <c r="K100" i="17"/>
  <c r="L100" i="17"/>
  <c r="D100" i="17" s="1"/>
  <c r="AB100" i="17"/>
  <c r="A101" i="17"/>
  <c r="X100" i="17"/>
  <c r="X100" i="15"/>
  <c r="K100" i="15"/>
  <c r="L100" i="15"/>
  <c r="D100" i="15" s="1"/>
  <c r="AB100" i="15"/>
  <c r="A101" i="15"/>
  <c r="AB94" i="24"/>
  <c r="A95" i="24"/>
  <c r="K94" i="24"/>
  <c r="L94" i="24"/>
  <c r="X94" i="24"/>
  <c r="A94" i="25"/>
  <c r="K93" i="25"/>
  <c r="X93" i="25"/>
  <c r="L93" i="25"/>
  <c r="AB93" i="25"/>
  <c r="L97" i="22"/>
  <c r="X97" i="22"/>
  <c r="K97" i="22"/>
  <c r="AB97" i="22"/>
  <c r="A98" i="22"/>
  <c r="AB94" i="25"/>
  <c r="L94" i="25"/>
  <c r="X94" i="25"/>
  <c r="K94" i="25"/>
  <c r="A95" i="25"/>
  <c r="AB95" i="24"/>
  <c r="K95" i="24"/>
  <c r="L95" i="24"/>
  <c r="X95" i="24"/>
  <c r="A96" i="24"/>
  <c r="X101" i="15"/>
  <c r="L101" i="15"/>
  <c r="D101" i="15" s="1"/>
  <c r="AB101" i="15"/>
  <c r="A102" i="15"/>
  <c r="K101" i="15"/>
  <c r="L99" i="18"/>
  <c r="AB99" i="18"/>
  <c r="A100" i="18"/>
  <c r="K99" i="18"/>
  <c r="X99" i="18"/>
  <c r="X101" i="16"/>
  <c r="A102" i="16"/>
  <c r="L101" i="16"/>
  <c r="AB101" i="16"/>
  <c r="K101" i="16"/>
  <c r="A105" i="1"/>
  <c r="K104" i="1"/>
  <c r="AJ104" i="1"/>
  <c r="L104" i="1"/>
  <c r="X104" i="1"/>
  <c r="AB104" i="1"/>
  <c r="AK104" i="1"/>
  <c r="X96" i="23"/>
  <c r="L96" i="23"/>
  <c r="AB96" i="23"/>
  <c r="A97" i="23"/>
  <c r="K96" i="23"/>
  <c r="X98" i="20"/>
  <c r="L98" i="20"/>
  <c r="A99" i="20"/>
  <c r="AB98" i="20"/>
  <c r="K98" i="20"/>
  <c r="A102" i="17"/>
  <c r="L101" i="17"/>
  <c r="X101" i="17"/>
  <c r="K101" i="17"/>
  <c r="AB101" i="17"/>
  <c r="K102" i="17"/>
  <c r="A103" i="17"/>
  <c r="X102" i="17"/>
  <c r="AB102" i="17"/>
  <c r="L102" i="17"/>
  <c r="D102" i="17" s="1"/>
  <c r="A100" i="20"/>
  <c r="K99" i="20"/>
  <c r="AB99" i="20"/>
  <c r="X99" i="20"/>
  <c r="L99" i="20"/>
  <c r="A103" i="16"/>
  <c r="L102" i="16"/>
  <c r="D102" i="16" s="1"/>
  <c r="K102" i="16"/>
  <c r="X102" i="16"/>
  <c r="AB102" i="16"/>
  <c r="X98" i="22"/>
  <c r="L98" i="22"/>
  <c r="AB98" i="22"/>
  <c r="K98" i="22"/>
  <c r="A99" i="22"/>
  <c r="D101" i="17"/>
  <c r="K97" i="23"/>
  <c r="L97" i="23"/>
  <c r="A98" i="23"/>
  <c r="X97" i="23"/>
  <c r="AB97" i="23"/>
  <c r="K105" i="1"/>
  <c r="X105" i="1"/>
  <c r="AJ105" i="1"/>
  <c r="AB105" i="1"/>
  <c r="AK105" i="1"/>
  <c r="A106" i="1"/>
  <c r="L105" i="1"/>
  <c r="D101" i="16"/>
  <c r="X100" i="18"/>
  <c r="L100" i="18"/>
  <c r="A101" i="18"/>
  <c r="K100" i="18"/>
  <c r="AB100" i="18"/>
  <c r="K102" i="15"/>
  <c r="AB102" i="15"/>
  <c r="X102" i="15"/>
  <c r="A103" i="15"/>
  <c r="L102" i="15"/>
  <c r="D102" i="15" s="1"/>
  <c r="AB96" i="24"/>
  <c r="L96" i="24"/>
  <c r="X96" i="24"/>
  <c r="A97" i="24"/>
  <c r="K96" i="24"/>
  <c r="K95" i="25"/>
  <c r="X95" i="25"/>
  <c r="A96" i="25"/>
  <c r="L95" i="25"/>
  <c r="AB95" i="25"/>
  <c r="K96" i="25"/>
  <c r="AB96" i="25"/>
  <c r="L96" i="25"/>
  <c r="X96" i="25"/>
  <c r="A97" i="25"/>
  <c r="AB103" i="15"/>
  <c r="X103" i="15"/>
  <c r="A104" i="15"/>
  <c r="K103" i="15"/>
  <c r="L103" i="15"/>
  <c r="D103" i="15" s="1"/>
  <c r="A104" i="16"/>
  <c r="L103" i="16"/>
  <c r="D103" i="16" s="1"/>
  <c r="AB103" i="16"/>
  <c r="K103" i="16"/>
  <c r="X103" i="16"/>
  <c r="X100" i="20"/>
  <c r="AB100" i="20"/>
  <c r="L100" i="20"/>
  <c r="K100" i="20"/>
  <c r="A101" i="20"/>
  <c r="A104" i="17"/>
  <c r="X103" i="17"/>
  <c r="L103" i="17"/>
  <c r="D103" i="17" s="1"/>
  <c r="K103" i="17"/>
  <c r="AB103" i="17"/>
  <c r="A98" i="24"/>
  <c r="K97" i="24"/>
  <c r="AB97" i="24"/>
  <c r="L97" i="24"/>
  <c r="X97" i="24"/>
  <c r="A102" i="18"/>
  <c r="L101" i="18"/>
  <c r="AB101" i="18"/>
  <c r="X101" i="18"/>
  <c r="K101" i="18"/>
  <c r="X106" i="1"/>
  <c r="AK106" i="1"/>
  <c r="L106" i="1"/>
  <c r="K106" i="1"/>
  <c r="AB106" i="1"/>
  <c r="AJ106" i="1"/>
  <c r="A107" i="1"/>
  <c r="AB98" i="23"/>
  <c r="K98" i="23"/>
  <c r="A99" i="23"/>
  <c r="L98" i="23"/>
  <c r="X98" i="23"/>
  <c r="AB99" i="22"/>
  <c r="A100" i="22"/>
  <c r="K99" i="22"/>
  <c r="L99" i="22"/>
  <c r="X99" i="22"/>
  <c r="X107" i="1"/>
  <c r="AJ107" i="1"/>
  <c r="AK107" i="1"/>
  <c r="AB107" i="1"/>
  <c r="L107" i="1"/>
  <c r="A108" i="1"/>
  <c r="K107" i="1"/>
  <c r="A103" i="18"/>
  <c r="K102" i="18"/>
  <c r="X102" i="18"/>
  <c r="L102" i="18"/>
  <c r="AB102" i="18"/>
  <c r="K98" i="24"/>
  <c r="X98" i="24"/>
  <c r="A99" i="24"/>
  <c r="L98" i="24"/>
  <c r="AB98" i="24"/>
  <c r="A102" i="20"/>
  <c r="X101" i="20"/>
  <c r="K101" i="20"/>
  <c r="AB101" i="20"/>
  <c r="L101" i="20"/>
  <c r="AB104" i="15"/>
  <c r="A105" i="15"/>
  <c r="X104" i="15"/>
  <c r="K104" i="15"/>
  <c r="L104" i="15"/>
  <c r="D104" i="15" s="1"/>
  <c r="X100" i="22"/>
  <c r="AB100" i="22"/>
  <c r="K100" i="22"/>
  <c r="L100" i="22"/>
  <c r="A101" i="22"/>
  <c r="A100" i="23"/>
  <c r="X99" i="23"/>
  <c r="K99" i="23"/>
  <c r="L99" i="23"/>
  <c r="AB99" i="23"/>
  <c r="A105" i="17"/>
  <c r="L104" i="17"/>
  <c r="D104" i="17" s="1"/>
  <c r="X104" i="17"/>
  <c r="AB104" i="17"/>
  <c r="K104" i="17"/>
  <c r="AB104" i="16"/>
  <c r="K104" i="16"/>
  <c r="L104" i="16"/>
  <c r="D104" i="16" s="1"/>
  <c r="A105" i="16"/>
  <c r="X104" i="16"/>
  <c r="L97" i="25"/>
  <c r="K97" i="25"/>
  <c r="AB97" i="25"/>
  <c r="A98" i="25"/>
  <c r="X97" i="25"/>
  <c r="X100" i="23"/>
  <c r="L100" i="23"/>
  <c r="AB100" i="23"/>
  <c r="K100" i="23"/>
  <c r="A101" i="23"/>
  <c r="L102" i="20"/>
  <c r="A103" i="20"/>
  <c r="X102" i="20"/>
  <c r="AB102" i="20"/>
  <c r="K102" i="20"/>
  <c r="AK108" i="1"/>
  <c r="AB108" i="1"/>
  <c r="K108" i="1"/>
  <c r="X108" i="1"/>
  <c r="L108" i="1"/>
  <c r="A109" i="1"/>
  <c r="AJ108" i="1"/>
  <c r="AB98" i="25"/>
  <c r="L98" i="25"/>
  <c r="X98" i="25"/>
  <c r="K98" i="25"/>
  <c r="A99" i="25"/>
  <c r="X105" i="16"/>
  <c r="L105" i="16"/>
  <c r="D105" i="16" s="1"/>
  <c r="K105" i="16"/>
  <c r="AB105" i="16"/>
  <c r="A106" i="16"/>
  <c r="AB105" i="17"/>
  <c r="A106" i="17"/>
  <c r="L105" i="17"/>
  <c r="K105" i="17"/>
  <c r="X105" i="17"/>
  <c r="K101" i="22"/>
  <c r="A102" i="22"/>
  <c r="X101" i="22"/>
  <c r="L101" i="22"/>
  <c r="AB101" i="22"/>
  <c r="AB105" i="15"/>
  <c r="L105" i="15"/>
  <c r="D105" i="15" s="1"/>
  <c r="K105" i="15"/>
  <c r="A106" i="15"/>
  <c r="X105" i="15"/>
  <c r="AB99" i="24"/>
  <c r="X99" i="24"/>
  <c r="K99" i="24"/>
  <c r="L99" i="24"/>
  <c r="A100" i="24"/>
  <c r="K103" i="18"/>
  <c r="A104" i="18"/>
  <c r="AB103" i="18"/>
  <c r="L103" i="18"/>
  <c r="X103" i="18"/>
  <c r="K104" i="18"/>
  <c r="AB104" i="18"/>
  <c r="A105" i="18"/>
  <c r="X104" i="18"/>
  <c r="L104" i="18"/>
  <c r="A101" i="24"/>
  <c r="X100" i="24"/>
  <c r="AB100" i="24"/>
  <c r="K100" i="24"/>
  <c r="L100" i="24"/>
  <c r="K106" i="15"/>
  <c r="A107" i="15"/>
  <c r="L106" i="15"/>
  <c r="D106" i="15" s="1"/>
  <c r="AB106" i="15"/>
  <c r="X106" i="15"/>
  <c r="X106" i="17"/>
  <c r="AB106" i="17"/>
  <c r="L106" i="17"/>
  <c r="D106" i="17" s="1"/>
  <c r="A107" i="17"/>
  <c r="K106" i="17"/>
  <c r="AB106" i="16"/>
  <c r="A107" i="16"/>
  <c r="L106" i="16"/>
  <c r="K106" i="16"/>
  <c r="X106" i="16"/>
  <c r="A100" i="25"/>
  <c r="X99" i="25"/>
  <c r="K99" i="25"/>
  <c r="AB99" i="25"/>
  <c r="L99" i="25"/>
  <c r="X103" i="20"/>
  <c r="AB103" i="20"/>
  <c r="K103" i="20"/>
  <c r="A104" i="20"/>
  <c r="L103" i="20"/>
  <c r="K101" i="23"/>
  <c r="A102" i="23"/>
  <c r="X101" i="23"/>
  <c r="AB101" i="23"/>
  <c r="L101" i="23"/>
  <c r="X102" i="22"/>
  <c r="AB102" i="22"/>
  <c r="A103" i="22"/>
  <c r="L102" i="22"/>
  <c r="K102" i="22"/>
  <c r="D105" i="17"/>
  <c r="A110" i="1"/>
  <c r="L109" i="1"/>
  <c r="X109" i="1"/>
  <c r="AB109" i="1"/>
  <c r="AJ109" i="1"/>
  <c r="K109" i="1"/>
  <c r="AK109" i="1"/>
  <c r="X102" i="23"/>
  <c r="A103" i="23"/>
  <c r="K102" i="23"/>
  <c r="L102" i="23"/>
  <c r="AB102" i="23"/>
  <c r="D106" i="16"/>
  <c r="AB107" i="17"/>
  <c r="X107" i="17"/>
  <c r="A108" i="17"/>
  <c r="K107" i="17"/>
  <c r="L107" i="17"/>
  <c r="A106" i="18"/>
  <c r="L105" i="18"/>
  <c r="X105" i="18"/>
  <c r="K105" i="18"/>
  <c r="AB105" i="18"/>
  <c r="A111" i="1"/>
  <c r="L110" i="1"/>
  <c r="X110" i="1"/>
  <c r="K110" i="1"/>
  <c r="AJ110" i="1"/>
  <c r="AB110" i="1"/>
  <c r="AK110" i="1"/>
  <c r="AB103" i="22"/>
  <c r="L103" i="22"/>
  <c r="X103" i="22"/>
  <c r="A104" i="22"/>
  <c r="K103" i="22"/>
  <c r="AB104" i="20"/>
  <c r="L104" i="20"/>
  <c r="X104" i="20"/>
  <c r="K104" i="20"/>
  <c r="A105" i="20"/>
  <c r="A101" i="25"/>
  <c r="AB100" i="25"/>
  <c r="X100" i="25"/>
  <c r="L100" i="25"/>
  <c r="K100" i="25"/>
  <c r="AB107" i="16"/>
  <c r="X107" i="16"/>
  <c r="L107" i="16"/>
  <c r="D107" i="16" s="1"/>
  <c r="K107" i="16"/>
  <c r="A108" i="16"/>
  <c r="L107" i="15"/>
  <c r="D107" i="15" s="1"/>
  <c r="K107" i="15"/>
  <c r="X107" i="15"/>
  <c r="A108" i="15"/>
  <c r="AB107" i="15"/>
  <c r="X101" i="24"/>
  <c r="A102" i="24"/>
  <c r="L101" i="24"/>
  <c r="AB101" i="24"/>
  <c r="K101" i="24"/>
  <c r="K108" i="15"/>
  <c r="AB108" i="15"/>
  <c r="L108" i="15"/>
  <c r="D108" i="15" s="1"/>
  <c r="A109" i="15"/>
  <c r="X108" i="15"/>
  <c r="AB101" i="25"/>
  <c r="K101" i="25"/>
  <c r="L101" i="25"/>
  <c r="A102" i="25"/>
  <c r="X101" i="25"/>
  <c r="A112" i="1"/>
  <c r="L111" i="1"/>
  <c r="K111" i="1"/>
  <c r="X111" i="1"/>
  <c r="AJ111" i="1"/>
  <c r="AB111" i="1"/>
  <c r="AK111" i="1"/>
  <c r="D107" i="17"/>
  <c r="L108" i="17"/>
  <c r="D108" i="17" s="1"/>
  <c r="A109" i="17"/>
  <c r="X108" i="17"/>
  <c r="K108" i="17"/>
  <c r="AB108" i="17"/>
  <c r="L102" i="24"/>
  <c r="K102" i="24"/>
  <c r="AB102" i="24"/>
  <c r="A103" i="24"/>
  <c r="X102" i="24"/>
  <c r="A109" i="16"/>
  <c r="L108" i="16"/>
  <c r="D108" i="16" s="1"/>
  <c r="AB108" i="16"/>
  <c r="K108" i="16"/>
  <c r="X108" i="16"/>
  <c r="AB105" i="20"/>
  <c r="X105" i="20"/>
  <c r="A106" i="20"/>
  <c r="K105" i="20"/>
  <c r="L105" i="20"/>
  <c r="X104" i="22"/>
  <c r="AB104" i="22"/>
  <c r="A105" i="22"/>
  <c r="K104" i="22"/>
  <c r="L104" i="22"/>
  <c r="X106" i="18"/>
  <c r="A107" i="18"/>
  <c r="K106" i="18"/>
  <c r="AB106" i="18"/>
  <c r="L106" i="18"/>
  <c r="K103" i="23"/>
  <c r="X103" i="23"/>
  <c r="L103" i="23"/>
  <c r="A104" i="23"/>
  <c r="AB103" i="23"/>
  <c r="L107" i="18"/>
  <c r="AB107" i="18"/>
  <c r="X107" i="18"/>
  <c r="A108" i="18"/>
  <c r="K107" i="18"/>
  <c r="K105" i="22"/>
  <c r="X105" i="22"/>
  <c r="A106" i="22"/>
  <c r="L105" i="22"/>
  <c r="AB105" i="22"/>
  <c r="X106" i="20"/>
  <c r="L106" i="20"/>
  <c r="K106" i="20"/>
  <c r="AB106" i="20"/>
  <c r="A107" i="20"/>
  <c r="X109" i="16"/>
  <c r="A110" i="16"/>
  <c r="AB109" i="16"/>
  <c r="L109" i="16"/>
  <c r="D109" i="16" s="1"/>
  <c r="K109" i="16"/>
  <c r="AB103" i="24"/>
  <c r="X103" i="24"/>
  <c r="L103" i="24"/>
  <c r="A104" i="24"/>
  <c r="K103" i="24"/>
  <c r="L109" i="17"/>
  <c r="D109" i="17" s="1"/>
  <c r="X109" i="17"/>
  <c r="K109" i="17"/>
  <c r="AB109" i="17"/>
  <c r="A110" i="17"/>
  <c r="K104" i="23"/>
  <c r="A105" i="23"/>
  <c r="X104" i="23"/>
  <c r="AB104" i="23"/>
  <c r="L104" i="23"/>
  <c r="L112" i="1"/>
  <c r="AK112" i="1"/>
  <c r="X112" i="1"/>
  <c r="A113" i="1"/>
  <c r="AJ112" i="1"/>
  <c r="K112" i="1"/>
  <c r="AB112" i="1"/>
  <c r="L102" i="25"/>
  <c r="K102" i="25"/>
  <c r="A103" i="25"/>
  <c r="X102" i="25"/>
  <c r="AB102" i="25"/>
  <c r="X109" i="15"/>
  <c r="A110" i="15"/>
  <c r="L109" i="15"/>
  <c r="D109" i="15" s="1"/>
  <c r="AB109" i="15"/>
  <c r="K109" i="15"/>
  <c r="K113" i="1"/>
  <c r="AJ113" i="1"/>
  <c r="AK113" i="1"/>
  <c r="A114" i="1"/>
  <c r="AB113" i="1"/>
  <c r="L113" i="1"/>
  <c r="X113" i="1"/>
  <c r="K105" i="23"/>
  <c r="X105" i="23"/>
  <c r="AB105" i="23"/>
  <c r="A106" i="23"/>
  <c r="L105" i="23"/>
  <c r="AB108" i="18"/>
  <c r="L108" i="18"/>
  <c r="A109" i="18"/>
  <c r="X108" i="18"/>
  <c r="K108" i="18"/>
  <c r="X110" i="15"/>
  <c r="A111" i="15"/>
  <c r="AB110" i="15"/>
  <c r="K110" i="15"/>
  <c r="L110" i="15"/>
  <c r="D110" i="15" s="1"/>
  <c r="K103" i="25"/>
  <c r="X103" i="25"/>
  <c r="AB103" i="25"/>
  <c r="A104" i="25"/>
  <c r="L103" i="25"/>
  <c r="A111" i="17"/>
  <c r="AB110" i="17"/>
  <c r="K110" i="17"/>
  <c r="L110" i="17"/>
  <c r="D110" i="17" s="1"/>
  <c r="X110" i="17"/>
  <c r="K104" i="24"/>
  <c r="X104" i="24"/>
  <c r="AB104" i="24"/>
  <c r="A105" i="24"/>
  <c r="L104" i="24"/>
  <c r="X110" i="16"/>
  <c r="L110" i="16"/>
  <c r="AB110" i="16"/>
  <c r="K110" i="16"/>
  <c r="A111" i="16"/>
  <c r="L107" i="20"/>
  <c r="A108" i="20"/>
  <c r="K107" i="20"/>
  <c r="AB107" i="20"/>
  <c r="X107" i="20"/>
  <c r="AB106" i="22"/>
  <c r="A107" i="22"/>
  <c r="X106" i="22"/>
  <c r="L106" i="22"/>
  <c r="K106" i="22"/>
  <c r="D110" i="16"/>
  <c r="K111" i="15"/>
  <c r="A112" i="15"/>
  <c r="AB111" i="15"/>
  <c r="L111" i="15"/>
  <c r="D111" i="15" s="1"/>
  <c r="X111" i="15"/>
  <c r="X109" i="18"/>
  <c r="A110" i="18"/>
  <c r="AB109" i="18"/>
  <c r="L109" i="18"/>
  <c r="K109" i="18"/>
  <c r="L106" i="23"/>
  <c r="X106" i="23"/>
  <c r="AB106" i="23"/>
  <c r="K106" i="23"/>
  <c r="A107" i="23"/>
  <c r="A115" i="1"/>
  <c r="K114" i="1"/>
  <c r="AB114" i="1"/>
  <c r="X114" i="1"/>
  <c r="AJ114" i="1"/>
  <c r="L114" i="1"/>
  <c r="AK114" i="1"/>
  <c r="A108" i="22"/>
  <c r="K107" i="22"/>
  <c r="X107" i="22"/>
  <c r="AB107" i="22"/>
  <c r="L107" i="22"/>
  <c r="AB108" i="20"/>
  <c r="L108" i="20"/>
  <c r="X108" i="20"/>
  <c r="K108" i="20"/>
  <c r="A109" i="20"/>
  <c r="AB111" i="16"/>
  <c r="K111" i="16"/>
  <c r="A112" i="16"/>
  <c r="X111" i="16"/>
  <c r="L111" i="16"/>
  <c r="D111" i="16" s="1"/>
  <c r="X105" i="24"/>
  <c r="A106" i="24"/>
  <c r="K105" i="24"/>
  <c r="L105" i="24"/>
  <c r="AB105" i="24"/>
  <c r="L111" i="17"/>
  <c r="AB111" i="17"/>
  <c r="A112" i="17"/>
  <c r="K111" i="17"/>
  <c r="X111" i="17"/>
  <c r="AB104" i="25"/>
  <c r="K104" i="25"/>
  <c r="L104" i="25"/>
  <c r="A105" i="25"/>
  <c r="X104" i="25"/>
  <c r="D111" i="17"/>
  <c r="L112" i="16"/>
  <c r="D112" i="16" s="1"/>
  <c r="K112" i="16"/>
  <c r="AB112" i="16"/>
  <c r="X112" i="16"/>
  <c r="A113" i="16"/>
  <c r="K112" i="15"/>
  <c r="AB112" i="15"/>
  <c r="L112" i="15"/>
  <c r="X112" i="15"/>
  <c r="A113" i="15"/>
  <c r="X105" i="25"/>
  <c r="K105" i="25"/>
  <c r="AB105" i="25"/>
  <c r="A106" i="25"/>
  <c r="L105" i="25"/>
  <c r="AB109" i="20"/>
  <c r="A110" i="20"/>
  <c r="K109" i="20"/>
  <c r="L109" i="20"/>
  <c r="X109" i="20"/>
  <c r="X108" i="22"/>
  <c r="AB108" i="22"/>
  <c r="K108" i="22"/>
  <c r="L108" i="22"/>
  <c r="A109" i="22"/>
  <c r="A116" i="1"/>
  <c r="K115" i="1"/>
  <c r="AK115" i="1"/>
  <c r="AB115" i="1"/>
  <c r="X115" i="1"/>
  <c r="AJ115" i="1"/>
  <c r="L115" i="1"/>
  <c r="A108" i="23"/>
  <c r="L107" i="23"/>
  <c r="K107" i="23"/>
  <c r="X107" i="23"/>
  <c r="AB107" i="23"/>
  <c r="A111" i="18"/>
  <c r="X110" i="18"/>
  <c r="L110" i="18"/>
  <c r="AB110" i="18"/>
  <c r="K110" i="18"/>
  <c r="X112" i="17"/>
  <c r="K112" i="17"/>
  <c r="L112" i="17"/>
  <c r="AB112" i="17"/>
  <c r="A113" i="17"/>
  <c r="AB106" i="24"/>
  <c r="K106" i="24"/>
  <c r="X106" i="24"/>
  <c r="L106" i="24"/>
  <c r="A107" i="24"/>
  <c r="A108" i="24"/>
  <c r="AB107" i="24"/>
  <c r="L107" i="24"/>
  <c r="K107" i="24"/>
  <c r="X107" i="24"/>
  <c r="AB113" i="17"/>
  <c r="X113" i="17"/>
  <c r="A114" i="17"/>
  <c r="K113" i="17"/>
  <c r="L113" i="17"/>
  <c r="D113" i="17" s="1"/>
  <c r="K111" i="18"/>
  <c r="AB111" i="18"/>
  <c r="X111" i="18"/>
  <c r="A112" i="18"/>
  <c r="L111" i="18"/>
  <c r="A117" i="1"/>
  <c r="K116" i="1"/>
  <c r="AB116" i="1"/>
  <c r="X116" i="1"/>
  <c r="AK116" i="1"/>
  <c r="L116" i="1"/>
  <c r="AJ116" i="1"/>
  <c r="A110" i="22"/>
  <c r="X109" i="22"/>
  <c r="L109" i="22"/>
  <c r="AB109" i="22"/>
  <c r="K109" i="22"/>
  <c r="A111" i="20"/>
  <c r="AB110" i="20"/>
  <c r="K110" i="20"/>
  <c r="L110" i="20"/>
  <c r="X110" i="20"/>
  <c r="A114" i="15"/>
  <c r="AB113" i="15"/>
  <c r="X113" i="15"/>
  <c r="K113" i="15"/>
  <c r="L113" i="15"/>
  <c r="D113" i="15" s="1"/>
  <c r="D112" i="15"/>
  <c r="D112" i="17"/>
  <c r="AB108" i="23"/>
  <c r="X108" i="23"/>
  <c r="L108" i="23"/>
  <c r="K108" i="23"/>
  <c r="A109" i="23"/>
  <c r="AB106" i="25"/>
  <c r="L106" i="25"/>
  <c r="A107" i="25"/>
  <c r="K106" i="25"/>
  <c r="X106" i="25"/>
  <c r="AB113" i="16"/>
  <c r="L113" i="16"/>
  <c r="D113" i="16" s="1"/>
  <c r="X113" i="16"/>
  <c r="A114" i="16"/>
  <c r="K113" i="16"/>
  <c r="A115" i="16"/>
  <c r="AB114" i="16"/>
  <c r="X114" i="16"/>
  <c r="L114" i="16"/>
  <c r="D114" i="16" s="1"/>
  <c r="K114" i="16"/>
  <c r="K107" i="25"/>
  <c r="L107" i="25"/>
  <c r="X107" i="25"/>
  <c r="A108" i="25"/>
  <c r="AB107" i="25"/>
  <c r="X109" i="23"/>
  <c r="L109" i="23"/>
  <c r="K109" i="23"/>
  <c r="AB109" i="23"/>
  <c r="A110" i="23"/>
  <c r="AB110" i="22"/>
  <c r="L110" i="22"/>
  <c r="A111" i="22"/>
  <c r="X110" i="22"/>
  <c r="K110" i="22"/>
  <c r="AB114" i="17"/>
  <c r="L114" i="17"/>
  <c r="D114" i="17" s="1"/>
  <c r="A115" i="17"/>
  <c r="X114" i="17"/>
  <c r="K114" i="17"/>
  <c r="L114" i="15"/>
  <c r="X114" i="15"/>
  <c r="K114" i="15"/>
  <c r="AB114" i="15"/>
  <c r="A115" i="15"/>
  <c r="L111" i="20"/>
  <c r="A112" i="20"/>
  <c r="K111" i="20"/>
  <c r="AB111" i="20"/>
  <c r="X111" i="20"/>
  <c r="AK117" i="1"/>
  <c r="AJ117" i="1"/>
  <c r="K117" i="1"/>
  <c r="X117" i="1"/>
  <c r="L117" i="1"/>
  <c r="AB117" i="1"/>
  <c r="A118" i="1"/>
  <c r="K112" i="18"/>
  <c r="AB112" i="18"/>
  <c r="A113" i="18"/>
  <c r="L112" i="18"/>
  <c r="X112" i="18"/>
  <c r="L108" i="24"/>
  <c r="AB108" i="24"/>
  <c r="K108" i="24"/>
  <c r="X108" i="24"/>
  <c r="A109" i="24"/>
  <c r="A114" i="18"/>
  <c r="K113" i="18"/>
  <c r="AB113" i="18"/>
  <c r="X113" i="18"/>
  <c r="L113" i="18"/>
  <c r="A112" i="22"/>
  <c r="X111" i="22"/>
  <c r="L111" i="22"/>
  <c r="K111" i="22"/>
  <c r="AB111" i="22"/>
  <c r="L110" i="23"/>
  <c r="A111" i="23"/>
  <c r="AB110" i="23"/>
  <c r="K110" i="23"/>
  <c r="X110" i="23"/>
  <c r="AB108" i="25"/>
  <c r="X108" i="25"/>
  <c r="L108" i="25"/>
  <c r="A109" i="25"/>
  <c r="K108" i="25"/>
  <c r="L115" i="16"/>
  <c r="D115" i="16" s="1"/>
  <c r="A116" i="16"/>
  <c r="X115" i="16"/>
  <c r="K115" i="16"/>
  <c r="AB115" i="16"/>
  <c r="K109" i="24"/>
  <c r="AB109" i="24"/>
  <c r="A110" i="24"/>
  <c r="X109" i="24"/>
  <c r="L109" i="24"/>
  <c r="AK118" i="1"/>
  <c r="AB118" i="1"/>
  <c r="K118" i="1"/>
  <c r="AJ118" i="1"/>
  <c r="X118" i="1"/>
  <c r="A119" i="1"/>
  <c r="L118" i="1"/>
  <c r="L112" i="20"/>
  <c r="AB112" i="20"/>
  <c r="A113" i="20"/>
  <c r="X112" i="20"/>
  <c r="K112" i="20"/>
  <c r="A116" i="15"/>
  <c r="X115" i="15"/>
  <c r="L115" i="15"/>
  <c r="D115" i="15" s="1"/>
  <c r="K115" i="15"/>
  <c r="AB115" i="15"/>
  <c r="D114" i="15"/>
  <c r="A116" i="17"/>
  <c r="AB115" i="17"/>
  <c r="X115" i="17"/>
  <c r="K115" i="17"/>
  <c r="L115" i="17"/>
  <c r="D115" i="17" s="1"/>
  <c r="L116" i="17"/>
  <c r="D116" i="17" s="1"/>
  <c r="K116" i="17"/>
  <c r="AB116" i="17"/>
  <c r="X116" i="17"/>
  <c r="A117" i="17"/>
  <c r="X116" i="15"/>
  <c r="A117" i="15"/>
  <c r="AB116" i="15"/>
  <c r="K116" i="15"/>
  <c r="L116" i="15"/>
  <c r="D116" i="15" s="1"/>
  <c r="A120" i="1"/>
  <c r="K119" i="1"/>
  <c r="X119" i="1"/>
  <c r="AB119" i="1"/>
  <c r="A23" i="7"/>
  <c r="L119" i="1"/>
  <c r="B23" i="7" s="1"/>
  <c r="AK119" i="1"/>
  <c r="AJ119" i="1"/>
  <c r="K110" i="24"/>
  <c r="A111" i="24"/>
  <c r="X110" i="24"/>
  <c r="AB110" i="24"/>
  <c r="L110" i="24"/>
  <c r="AB116" i="16"/>
  <c r="X116" i="16"/>
  <c r="L116" i="16"/>
  <c r="D116" i="16" s="1"/>
  <c r="A117" i="16"/>
  <c r="K116" i="16"/>
  <c r="A110" i="25"/>
  <c r="AB109" i="25"/>
  <c r="K109" i="25"/>
  <c r="L109" i="25"/>
  <c r="X109" i="25"/>
  <c r="AB113" i="20"/>
  <c r="X113" i="20"/>
  <c r="L113" i="20"/>
  <c r="K113" i="20"/>
  <c r="A114" i="20"/>
  <c r="K111" i="23"/>
  <c r="X111" i="23"/>
  <c r="L111" i="23"/>
  <c r="A112" i="23"/>
  <c r="AB111" i="23"/>
  <c r="K112" i="22"/>
  <c r="AB112" i="22"/>
  <c r="X112" i="22"/>
  <c r="A113" i="22"/>
  <c r="L112" i="22"/>
  <c r="K114" i="18"/>
  <c r="X114" i="18"/>
  <c r="AB114" i="18"/>
  <c r="L114" i="18"/>
  <c r="A115" i="18"/>
  <c r="L115" i="18"/>
  <c r="K115" i="18"/>
  <c r="X115" i="18"/>
  <c r="A116" i="18"/>
  <c r="AB115" i="18"/>
  <c r="A115" i="20"/>
  <c r="K114" i="20"/>
  <c r="X114" i="20"/>
  <c r="AB114" i="20"/>
  <c r="L114" i="20"/>
  <c r="A111" i="25"/>
  <c r="AB110" i="25"/>
  <c r="L110" i="25"/>
  <c r="X110" i="25"/>
  <c r="K110" i="25"/>
  <c r="X117" i="16"/>
  <c r="AB117" i="16"/>
  <c r="L117" i="16"/>
  <c r="D117" i="16" s="1"/>
  <c r="K117" i="16"/>
  <c r="A118" i="16"/>
  <c r="AB117" i="17"/>
  <c r="X117" i="17"/>
  <c r="L117" i="17"/>
  <c r="D117" i="17" s="1"/>
  <c r="K117" i="17"/>
  <c r="A118" i="17"/>
  <c r="L113" i="22"/>
  <c r="K113" i="22"/>
  <c r="A114" i="22"/>
  <c r="AB113" i="22"/>
  <c r="X113" i="22"/>
  <c r="K112" i="23"/>
  <c r="AB112" i="23"/>
  <c r="A113" i="23"/>
  <c r="X112" i="23"/>
  <c r="L112" i="23"/>
  <c r="L111" i="24"/>
  <c r="A112" i="24"/>
  <c r="X111" i="24"/>
  <c r="AB111" i="24"/>
  <c r="K111" i="24"/>
  <c r="A121" i="1"/>
  <c r="X120" i="1"/>
  <c r="AJ120" i="1"/>
  <c r="AB120" i="1"/>
  <c r="K120" i="1"/>
  <c r="L120" i="1"/>
  <c r="AK120" i="1"/>
  <c r="A118" i="15"/>
  <c r="K117" i="15"/>
  <c r="AB117" i="15"/>
  <c r="L117" i="15"/>
  <c r="D117" i="15" s="1"/>
  <c r="X117" i="15"/>
  <c r="A119" i="15"/>
  <c r="X118" i="15"/>
  <c r="AB118" i="15"/>
  <c r="K118" i="15"/>
  <c r="L118" i="15"/>
  <c r="D118" i="15" s="1"/>
  <c r="K114" i="22"/>
  <c r="L114" i="22"/>
  <c r="X114" i="22"/>
  <c r="AB114" i="22"/>
  <c r="A115" i="22"/>
  <c r="X118" i="17"/>
  <c r="A119" i="17"/>
  <c r="AB118" i="17"/>
  <c r="L118" i="17"/>
  <c r="D118" i="17" s="1"/>
  <c r="K118" i="17"/>
  <c r="AB118" i="16"/>
  <c r="L118" i="16"/>
  <c r="D118" i="16" s="1"/>
  <c r="A119" i="16"/>
  <c r="X118" i="16"/>
  <c r="K118" i="16"/>
  <c r="A117" i="18"/>
  <c r="AB116" i="18"/>
  <c r="K116" i="18"/>
  <c r="L116" i="18"/>
  <c r="X116" i="18"/>
  <c r="L121" i="1"/>
  <c r="AK121" i="1"/>
  <c r="AB121" i="1"/>
  <c r="A122" i="1"/>
  <c r="AJ121" i="1"/>
  <c r="K121" i="1"/>
  <c r="X121" i="1"/>
  <c r="L112" i="24"/>
  <c r="A113" i="24"/>
  <c r="K112" i="24"/>
  <c r="X112" i="24"/>
  <c r="AB112" i="24"/>
  <c r="AB113" i="23"/>
  <c r="A114" i="23"/>
  <c r="K113" i="23"/>
  <c r="L113" i="23"/>
  <c r="X113" i="23"/>
  <c r="K111" i="25"/>
  <c r="X111" i="25"/>
  <c r="AB111" i="25"/>
  <c r="L111" i="25"/>
  <c r="A112" i="25"/>
  <c r="K115" i="20"/>
  <c r="X115" i="20"/>
  <c r="AB115" i="20"/>
  <c r="A116" i="20"/>
  <c r="L115" i="20"/>
  <c r="AB116" i="20"/>
  <c r="L116" i="20"/>
  <c r="K116" i="20"/>
  <c r="X116" i="20"/>
  <c r="A117" i="20"/>
  <c r="AB114" i="23"/>
  <c r="X114" i="23"/>
  <c r="A115" i="23"/>
  <c r="K114" i="23"/>
  <c r="L114" i="23"/>
  <c r="A114" i="24"/>
  <c r="K113" i="24"/>
  <c r="X113" i="24"/>
  <c r="L113" i="24"/>
  <c r="AB113" i="24"/>
  <c r="AB117" i="18"/>
  <c r="X117" i="18"/>
  <c r="L117" i="18"/>
  <c r="K117" i="18"/>
  <c r="A118" i="18"/>
  <c r="X119" i="17"/>
  <c r="A120" i="17"/>
  <c r="AB119" i="17"/>
  <c r="K119" i="17"/>
  <c r="A59" i="7"/>
  <c r="L119" i="17"/>
  <c r="D119" i="17" s="1"/>
  <c r="A116" i="22"/>
  <c r="K115" i="22"/>
  <c r="AB115" i="22"/>
  <c r="L115" i="22"/>
  <c r="X115" i="22"/>
  <c r="K112" i="25"/>
  <c r="X112" i="25"/>
  <c r="A113" i="25"/>
  <c r="AB112" i="25"/>
  <c r="L112" i="25"/>
  <c r="A123" i="1"/>
  <c r="AB122" i="1"/>
  <c r="X122" i="1"/>
  <c r="AJ122" i="1"/>
  <c r="L122" i="1"/>
  <c r="K122" i="1"/>
  <c r="AK122" i="1"/>
  <c r="X119" i="16"/>
  <c r="K119" i="16"/>
  <c r="AB119" i="16"/>
  <c r="A120" i="16"/>
  <c r="A47" i="7"/>
  <c r="L119" i="16"/>
  <c r="B47" i="7" s="1"/>
  <c r="K119" i="15"/>
  <c r="L119" i="15"/>
  <c r="AB119" i="15"/>
  <c r="A35" i="7"/>
  <c r="A120" i="15"/>
  <c r="X119" i="15"/>
  <c r="AB120" i="16"/>
  <c r="K120" i="16"/>
  <c r="L120" i="16"/>
  <c r="D120" i="16" s="1"/>
  <c r="A121" i="16"/>
  <c r="X120" i="16"/>
  <c r="A124" i="1"/>
  <c r="AJ123" i="1"/>
  <c r="L123" i="1"/>
  <c r="K123" i="1"/>
  <c r="AK123" i="1"/>
  <c r="X123" i="1"/>
  <c r="AB123" i="1"/>
  <c r="L116" i="22"/>
  <c r="A117" i="22"/>
  <c r="K116" i="22"/>
  <c r="AB116" i="22"/>
  <c r="X116" i="22"/>
  <c r="B59" i="7"/>
  <c r="X114" i="24"/>
  <c r="A115" i="24"/>
  <c r="L114" i="24"/>
  <c r="AB114" i="24"/>
  <c r="K114" i="24"/>
  <c r="A121" i="15"/>
  <c r="AB120" i="15"/>
  <c r="K120" i="15"/>
  <c r="L120" i="15"/>
  <c r="D120" i="15" s="1"/>
  <c r="X120" i="15"/>
  <c r="L113" i="25"/>
  <c r="AB113" i="25"/>
  <c r="A114" i="25"/>
  <c r="K113" i="25"/>
  <c r="X113" i="25"/>
  <c r="L120" i="17"/>
  <c r="D120" i="17" s="1"/>
  <c r="X120" i="17"/>
  <c r="K120" i="17"/>
  <c r="AB120" i="17"/>
  <c r="A121" i="17"/>
  <c r="K118" i="18"/>
  <c r="A119" i="18"/>
  <c r="AB118" i="18"/>
  <c r="L118" i="18"/>
  <c r="X118" i="18"/>
  <c r="X115" i="23"/>
  <c r="L115" i="23"/>
  <c r="K115" i="23"/>
  <c r="AB115" i="23"/>
  <c r="A116" i="23"/>
  <c r="X117" i="20"/>
  <c r="K117" i="20"/>
  <c r="L117" i="20"/>
  <c r="AB117" i="20"/>
  <c r="A118" i="20"/>
  <c r="A119" i="20"/>
  <c r="AB118" i="20"/>
  <c r="L118" i="20"/>
  <c r="K118" i="20"/>
  <c r="X118" i="20"/>
  <c r="AB116" i="23"/>
  <c r="A117" i="23"/>
  <c r="L116" i="23"/>
  <c r="K116" i="23"/>
  <c r="X116" i="23"/>
  <c r="L119" i="18"/>
  <c r="B71" i="7" s="1"/>
  <c r="A71" i="7"/>
  <c r="A120" i="18"/>
  <c r="K119" i="18"/>
  <c r="X119" i="18"/>
  <c r="AB119" i="18"/>
  <c r="X121" i="17"/>
  <c r="L121" i="17"/>
  <c r="D121" i="17" s="1"/>
  <c r="A122" i="17"/>
  <c r="K121" i="17"/>
  <c r="AB121" i="17"/>
  <c r="AB114" i="25"/>
  <c r="L114" i="25"/>
  <c r="X114" i="25"/>
  <c r="K114" i="25"/>
  <c r="A115" i="25"/>
  <c r="K121" i="15"/>
  <c r="AB121" i="15"/>
  <c r="A122" i="15"/>
  <c r="X121" i="15"/>
  <c r="L121" i="15"/>
  <c r="D121" i="15" s="1"/>
  <c r="AB115" i="24"/>
  <c r="L115" i="24"/>
  <c r="X115" i="24"/>
  <c r="K115" i="24"/>
  <c r="A116" i="24"/>
  <c r="K117" i="22"/>
  <c r="A118" i="22"/>
  <c r="AB117" i="22"/>
  <c r="L117" i="22"/>
  <c r="X117" i="22"/>
  <c r="A125" i="1"/>
  <c r="X124" i="1"/>
  <c r="L124" i="1"/>
  <c r="AB124" i="1"/>
  <c r="AK124" i="1"/>
  <c r="K124" i="1"/>
  <c r="AJ124" i="1"/>
  <c r="A122" i="16"/>
  <c r="AB121" i="16"/>
  <c r="K121" i="16"/>
  <c r="X121" i="16"/>
  <c r="L121" i="16"/>
  <c r="D121" i="16" s="1"/>
  <c r="X122" i="16"/>
  <c r="K122" i="16"/>
  <c r="AB122" i="16"/>
  <c r="A123" i="16"/>
  <c r="L122" i="16"/>
  <c r="D122" i="16" s="1"/>
  <c r="X125" i="1"/>
  <c r="AJ125" i="1"/>
  <c r="AB125" i="1"/>
  <c r="AK125" i="1"/>
  <c r="K125" i="1"/>
  <c r="L125" i="1"/>
  <c r="A126" i="1"/>
  <c r="A117" i="24"/>
  <c r="L116" i="24"/>
  <c r="X116" i="24"/>
  <c r="AB116" i="24"/>
  <c r="K116" i="24"/>
  <c r="AB122" i="17"/>
  <c r="X122" i="17"/>
  <c r="K122" i="17"/>
  <c r="A123" i="17"/>
  <c r="L122" i="17"/>
  <c r="D122" i="17" s="1"/>
  <c r="L120" i="18"/>
  <c r="A121" i="18"/>
  <c r="AB120" i="18"/>
  <c r="X120" i="18"/>
  <c r="K120" i="18"/>
  <c r="X118" i="22"/>
  <c r="L118" i="22"/>
  <c r="K118" i="22"/>
  <c r="A119" i="22"/>
  <c r="AB118" i="22"/>
  <c r="A123" i="15"/>
  <c r="X122" i="15"/>
  <c r="K122" i="15"/>
  <c r="L122" i="15"/>
  <c r="AB122" i="15"/>
  <c r="L115" i="25"/>
  <c r="AB115" i="25"/>
  <c r="K115" i="25"/>
  <c r="X115" i="25"/>
  <c r="A116" i="25"/>
  <c r="K117" i="23"/>
  <c r="L117" i="23"/>
  <c r="A118" i="23"/>
  <c r="AB117" i="23"/>
  <c r="X117" i="23"/>
  <c r="A120" i="20"/>
  <c r="AB119" i="20"/>
  <c r="L119" i="20"/>
  <c r="AE23" i="7"/>
  <c r="X119" i="20"/>
  <c r="K119" i="20"/>
  <c r="AB123" i="15"/>
  <c r="A124" i="15"/>
  <c r="L123" i="15"/>
  <c r="K123" i="15"/>
  <c r="X123" i="15"/>
  <c r="X119" i="22"/>
  <c r="AE35" i="7"/>
  <c r="A120" i="22"/>
  <c r="AB119" i="22"/>
  <c r="K119" i="22"/>
  <c r="L119" i="22"/>
  <c r="AF35" i="7" s="1"/>
  <c r="K123" i="17"/>
  <c r="A124" i="17"/>
  <c r="L123" i="17"/>
  <c r="D123" i="17" s="1"/>
  <c r="AB123" i="17"/>
  <c r="X123" i="17"/>
  <c r="AB126" i="1"/>
  <c r="X126" i="1"/>
  <c r="AK126" i="1"/>
  <c r="A127" i="1"/>
  <c r="AJ126" i="1"/>
  <c r="L126" i="1"/>
  <c r="K126" i="1"/>
  <c r="A124" i="16"/>
  <c r="L123" i="16"/>
  <c r="AB123" i="16"/>
  <c r="X123" i="16"/>
  <c r="K123" i="16"/>
  <c r="AF23" i="7"/>
  <c r="K120" i="20"/>
  <c r="A121" i="20"/>
  <c r="AB120" i="20"/>
  <c r="L120" i="20"/>
  <c r="X120" i="20"/>
  <c r="K118" i="23"/>
  <c r="X118" i="23"/>
  <c r="L118" i="23"/>
  <c r="A119" i="23"/>
  <c r="AB118" i="23"/>
  <c r="A117" i="25"/>
  <c r="X116" i="25"/>
  <c r="L116" i="25"/>
  <c r="AB116" i="25"/>
  <c r="K116" i="25"/>
  <c r="D122" i="15"/>
  <c r="A122" i="18"/>
  <c r="K121" i="18"/>
  <c r="AB121" i="18"/>
  <c r="L121" i="18"/>
  <c r="X121" i="18"/>
  <c r="AB117" i="24"/>
  <c r="X117" i="24"/>
  <c r="A118" i="24"/>
  <c r="K117" i="24"/>
  <c r="L117" i="24"/>
  <c r="K118" i="24"/>
  <c r="L118" i="24"/>
  <c r="X118" i="24"/>
  <c r="A119" i="24"/>
  <c r="AB118" i="24"/>
  <c r="L119" i="23"/>
  <c r="AF47" i="7" s="1"/>
  <c r="A120" i="23"/>
  <c r="AB119" i="23"/>
  <c r="X119" i="23"/>
  <c r="AE47" i="7"/>
  <c r="K119" i="23"/>
  <c r="D123" i="16"/>
  <c r="AB120" i="22"/>
  <c r="A121" i="22"/>
  <c r="L120" i="22"/>
  <c r="K120" i="22"/>
  <c r="X120" i="22"/>
  <c r="D123" i="15"/>
  <c r="A123" i="18"/>
  <c r="L122" i="18"/>
  <c r="K122" i="18"/>
  <c r="AB122" i="18"/>
  <c r="X122" i="18"/>
  <c r="A118" i="25"/>
  <c r="X117" i="25"/>
  <c r="AB117" i="25"/>
  <c r="L117" i="25"/>
  <c r="K117" i="25"/>
  <c r="X121" i="20"/>
  <c r="K121" i="20"/>
  <c r="L121" i="20"/>
  <c r="AB121" i="20"/>
  <c r="A122" i="20"/>
  <c r="L124" i="16"/>
  <c r="D124" i="16" s="1"/>
  <c r="K124" i="16"/>
  <c r="X124" i="16"/>
  <c r="AB124" i="16"/>
  <c r="A125" i="16"/>
  <c r="A128" i="1"/>
  <c r="AK127" i="1"/>
  <c r="AJ127" i="1"/>
  <c r="AB127" i="1"/>
  <c r="X127" i="1"/>
  <c r="L127" i="1"/>
  <c r="K127" i="1"/>
  <c r="L124" i="17"/>
  <c r="D124" i="17" s="1"/>
  <c r="X124" i="17"/>
  <c r="K124" i="17"/>
  <c r="AB124" i="17"/>
  <c r="A125" i="17"/>
  <c r="X124" i="15"/>
  <c r="K124" i="15"/>
  <c r="L124" i="15"/>
  <c r="D124" i="15" s="1"/>
  <c r="A125" i="15"/>
  <c r="AB124" i="15"/>
  <c r="A126" i="16"/>
  <c r="AB125" i="16"/>
  <c r="L125" i="16"/>
  <c r="D125" i="16" s="1"/>
  <c r="K125" i="16"/>
  <c r="X125" i="16"/>
  <c r="AB118" i="25"/>
  <c r="L118" i="25"/>
  <c r="K118" i="25"/>
  <c r="X118" i="25"/>
  <c r="A119" i="25"/>
  <c r="AE59" i="7"/>
  <c r="K119" i="24"/>
  <c r="X119" i="24"/>
  <c r="AB119" i="24"/>
  <c r="L119" i="24"/>
  <c r="AF59" i="7" s="1"/>
  <c r="A120" i="24"/>
  <c r="AB125" i="17"/>
  <c r="K125" i="17"/>
  <c r="A126" i="17"/>
  <c r="X125" i="17"/>
  <c r="L125" i="17"/>
  <c r="D125" i="17" s="1"/>
  <c r="AB125" i="15"/>
  <c r="A126" i="15"/>
  <c r="L125" i="15"/>
  <c r="D125" i="15" s="1"/>
  <c r="K125" i="15"/>
  <c r="X125" i="15"/>
  <c r="AK128" i="1"/>
  <c r="AJ128" i="1"/>
  <c r="K128" i="1"/>
  <c r="A129" i="1"/>
  <c r="L128" i="1"/>
  <c r="AB128" i="1"/>
  <c r="X128" i="1"/>
  <c r="L122" i="20"/>
  <c r="K122" i="20"/>
  <c r="AB122" i="20"/>
  <c r="X122" i="20"/>
  <c r="A123" i="20"/>
  <c r="L123" i="18"/>
  <c r="AB123" i="18"/>
  <c r="K123" i="18"/>
  <c r="A124" i="18"/>
  <c r="X123" i="18"/>
  <c r="K121" i="22"/>
  <c r="A122" i="22"/>
  <c r="X121" i="22"/>
  <c r="AB121" i="22"/>
  <c r="L121" i="22"/>
  <c r="X120" i="23"/>
  <c r="L120" i="23"/>
  <c r="A121" i="23"/>
  <c r="K120" i="23"/>
  <c r="AB120" i="23"/>
  <c r="AB121" i="23"/>
  <c r="K121" i="23"/>
  <c r="X121" i="23"/>
  <c r="L121" i="23"/>
  <c r="A122" i="23"/>
  <c r="A123" i="22"/>
  <c r="K122" i="22"/>
  <c r="AB122" i="22"/>
  <c r="X122" i="22"/>
  <c r="L122" i="22"/>
  <c r="K124" i="18"/>
  <c r="AB124" i="18"/>
  <c r="L124" i="18"/>
  <c r="X124" i="18"/>
  <c r="A125" i="18"/>
  <c r="A130" i="1"/>
  <c r="AJ129" i="1"/>
  <c r="AB129" i="1"/>
  <c r="L129" i="1"/>
  <c r="AK129" i="1"/>
  <c r="K129" i="1"/>
  <c r="X129" i="1"/>
  <c r="A127" i="17"/>
  <c r="L126" i="17"/>
  <c r="D126" i="17" s="1"/>
  <c r="X126" i="17"/>
  <c r="K126" i="17"/>
  <c r="AB126" i="17"/>
  <c r="AE71" i="7"/>
  <c r="X119" i="25"/>
  <c r="AB119" i="25"/>
  <c r="K119" i="25"/>
  <c r="L119" i="25"/>
  <c r="A120" i="25"/>
  <c r="AB123" i="20"/>
  <c r="L123" i="20"/>
  <c r="K123" i="20"/>
  <c r="A124" i="20"/>
  <c r="X123" i="20"/>
  <c r="L126" i="15"/>
  <c r="A127" i="15"/>
  <c r="AB126" i="15"/>
  <c r="K126" i="15"/>
  <c r="X126" i="15"/>
  <c r="K120" i="24"/>
  <c r="X120" i="24"/>
  <c r="L120" i="24"/>
  <c r="A121" i="24"/>
  <c r="AB120" i="24"/>
  <c r="L126" i="16"/>
  <c r="X126" i="16"/>
  <c r="AB126" i="16"/>
  <c r="K126" i="16"/>
  <c r="A127" i="16"/>
  <c r="X121" i="24"/>
  <c r="AB121" i="24"/>
  <c r="A122" i="24"/>
  <c r="L121" i="24"/>
  <c r="K121" i="24"/>
  <c r="D126" i="15"/>
  <c r="AB124" i="20"/>
  <c r="A125" i="20"/>
  <c r="X124" i="20"/>
  <c r="L124" i="20"/>
  <c r="K124" i="20"/>
  <c r="AB127" i="17"/>
  <c r="L127" i="17"/>
  <c r="D127" i="17" s="1"/>
  <c r="A128" i="17"/>
  <c r="K127" i="17"/>
  <c r="X127" i="17"/>
  <c r="K123" i="22"/>
  <c r="L123" i="22"/>
  <c r="AB123" i="22"/>
  <c r="X123" i="22"/>
  <c r="A124" i="22"/>
  <c r="A123" i="23"/>
  <c r="L122" i="23"/>
  <c r="X122" i="23"/>
  <c r="AB122" i="23"/>
  <c r="K122" i="23"/>
  <c r="A128" i="16"/>
  <c r="K127" i="16"/>
  <c r="AB127" i="16"/>
  <c r="X127" i="16"/>
  <c r="L127" i="16"/>
  <c r="D127" i="16" s="1"/>
  <c r="D126" i="16"/>
  <c r="X127" i="15"/>
  <c r="A128" i="15"/>
  <c r="AB127" i="15"/>
  <c r="K127" i="15"/>
  <c r="L127" i="15"/>
  <c r="D127" i="15" s="1"/>
  <c r="A121" i="25"/>
  <c r="K120" i="25"/>
  <c r="AB120" i="25"/>
  <c r="X120" i="25"/>
  <c r="L120" i="25"/>
  <c r="AF71" i="7"/>
  <c r="AK130" i="1"/>
  <c r="X130" i="1"/>
  <c r="K130" i="1"/>
  <c r="A131" i="1"/>
  <c r="L130" i="1"/>
  <c r="AJ130" i="1"/>
  <c r="AB130" i="1"/>
  <c r="K125" i="18"/>
  <c r="A126" i="18"/>
  <c r="L125" i="18"/>
  <c r="X125" i="18"/>
  <c r="AB125" i="18"/>
  <c r="A122" i="25"/>
  <c r="L121" i="25"/>
  <c r="X121" i="25"/>
  <c r="AB121" i="25"/>
  <c r="K121" i="25"/>
  <c r="AB128" i="15"/>
  <c r="L128" i="15"/>
  <c r="D128" i="15" s="1"/>
  <c r="X128" i="15"/>
  <c r="K128" i="15"/>
  <c r="A129" i="15"/>
  <c r="AB128" i="16"/>
  <c r="A129" i="16"/>
  <c r="X128" i="16"/>
  <c r="L128" i="16"/>
  <c r="D128" i="16" s="1"/>
  <c r="K128" i="16"/>
  <c r="A124" i="23"/>
  <c r="X123" i="23"/>
  <c r="L123" i="23"/>
  <c r="K123" i="23"/>
  <c r="AB123" i="23"/>
  <c r="L124" i="22"/>
  <c r="A125" i="22"/>
  <c r="X124" i="22"/>
  <c r="K124" i="22"/>
  <c r="AB124" i="22"/>
  <c r="K128" i="17"/>
  <c r="A129" i="17"/>
  <c r="X128" i="17"/>
  <c r="AB128" i="17"/>
  <c r="L128" i="17"/>
  <c r="D128" i="17" s="1"/>
  <c r="K126" i="18"/>
  <c r="A127" i="18"/>
  <c r="L126" i="18"/>
  <c r="AB126" i="18"/>
  <c r="X126" i="18"/>
  <c r="K131" i="1"/>
  <c r="AB131" i="1"/>
  <c r="L131" i="1"/>
  <c r="A132" i="1"/>
  <c r="AJ131" i="1"/>
  <c r="AK131" i="1"/>
  <c r="X131" i="1"/>
  <c r="L125" i="20"/>
  <c r="AB125" i="20"/>
  <c r="A126" i="20"/>
  <c r="K125" i="20"/>
  <c r="X125" i="20"/>
  <c r="X122" i="24"/>
  <c r="K122" i="24"/>
  <c r="A123" i="24"/>
  <c r="L122" i="24"/>
  <c r="AB122" i="24"/>
  <c r="K123" i="24"/>
  <c r="X123" i="24"/>
  <c r="A124" i="24"/>
  <c r="L123" i="24"/>
  <c r="AB123" i="24"/>
  <c r="X127" i="18"/>
  <c r="AB127" i="18"/>
  <c r="L127" i="18"/>
  <c r="K127" i="18"/>
  <c r="A128" i="18"/>
  <c r="AB122" i="25"/>
  <c r="L122" i="25"/>
  <c r="X122" i="25"/>
  <c r="K122" i="25"/>
  <c r="A123" i="25"/>
  <c r="L126" i="20"/>
  <c r="X126" i="20"/>
  <c r="A127" i="20"/>
  <c r="K126" i="20"/>
  <c r="AB126" i="20"/>
  <c r="AB132" i="1"/>
  <c r="X132" i="1"/>
  <c r="K132" i="1"/>
  <c r="A133" i="1"/>
  <c r="AK132" i="1"/>
  <c r="L132" i="1"/>
  <c r="AJ132" i="1"/>
  <c r="X129" i="17"/>
  <c r="L129" i="17"/>
  <c r="D129" i="17" s="1"/>
  <c r="K129" i="17"/>
  <c r="A130" i="17"/>
  <c r="AB129" i="17"/>
  <c r="A126" i="22"/>
  <c r="AB125" i="22"/>
  <c r="L125" i="22"/>
  <c r="X125" i="22"/>
  <c r="K125" i="22"/>
  <c r="L124" i="23"/>
  <c r="A125" i="23"/>
  <c r="AB124" i="23"/>
  <c r="K124" i="23"/>
  <c r="X124" i="23"/>
  <c r="A130" i="16"/>
  <c r="X129" i="16"/>
  <c r="K129" i="16"/>
  <c r="AB129" i="16"/>
  <c r="L129" i="16"/>
  <c r="AB129" i="15"/>
  <c r="X129" i="15"/>
  <c r="L129" i="15"/>
  <c r="D129" i="15" s="1"/>
  <c r="K129" i="15"/>
  <c r="A130" i="15"/>
  <c r="D129" i="16"/>
  <c r="AB130" i="16"/>
  <c r="X130" i="16"/>
  <c r="A131" i="16"/>
  <c r="K130" i="16"/>
  <c r="L130" i="16"/>
  <c r="D130" i="16" s="1"/>
  <c r="AB125" i="23"/>
  <c r="L125" i="23"/>
  <c r="X125" i="23"/>
  <c r="A126" i="23"/>
  <c r="K125" i="23"/>
  <c r="AB133" i="1"/>
  <c r="K133" i="1"/>
  <c r="L133" i="1"/>
  <c r="AJ133" i="1"/>
  <c r="AK133" i="1"/>
  <c r="X133" i="1"/>
  <c r="A134" i="1"/>
  <c r="X127" i="20"/>
  <c r="A128" i="20"/>
  <c r="K127" i="20"/>
  <c r="L127" i="20"/>
  <c r="AB127" i="20"/>
  <c r="A124" i="25"/>
  <c r="X123" i="25"/>
  <c r="L123" i="25"/>
  <c r="K123" i="25"/>
  <c r="AB123" i="25"/>
  <c r="X128" i="18"/>
  <c r="L128" i="18"/>
  <c r="K128" i="18"/>
  <c r="AB128" i="18"/>
  <c r="A129" i="18"/>
  <c r="L130" i="15"/>
  <c r="D130" i="15" s="1"/>
  <c r="X130" i="15"/>
  <c r="AB130" i="15"/>
  <c r="K130" i="15"/>
  <c r="A131" i="15"/>
  <c r="X126" i="22"/>
  <c r="L126" i="22"/>
  <c r="K126" i="22"/>
  <c r="AB126" i="22"/>
  <c r="A127" i="22"/>
  <c r="K130" i="17"/>
  <c r="L130" i="17"/>
  <c r="D130" i="17" s="1"/>
  <c r="A131" i="17"/>
  <c r="X130" i="17"/>
  <c r="AB130" i="17"/>
  <c r="A125" i="24"/>
  <c r="L124" i="24"/>
  <c r="K124" i="24"/>
  <c r="AB124" i="24"/>
  <c r="X124" i="24"/>
  <c r="AB125" i="24"/>
  <c r="K125" i="24"/>
  <c r="A126" i="24"/>
  <c r="X125" i="24"/>
  <c r="L125" i="24"/>
  <c r="X127" i="22"/>
  <c r="A128" i="22"/>
  <c r="L127" i="22"/>
  <c r="K127" i="22"/>
  <c r="AB127" i="22"/>
  <c r="A125" i="25"/>
  <c r="AB124" i="25"/>
  <c r="L124" i="25"/>
  <c r="K124" i="25"/>
  <c r="X124" i="25"/>
  <c r="A127" i="23"/>
  <c r="X126" i="23"/>
  <c r="AB126" i="23"/>
  <c r="L126" i="23"/>
  <c r="K126" i="23"/>
  <c r="L131" i="17"/>
  <c r="D131" i="17" s="1"/>
  <c r="A132" i="17"/>
  <c r="AB131" i="17"/>
  <c r="K131" i="17"/>
  <c r="X131" i="17"/>
  <c r="AB131" i="15"/>
  <c r="A132" i="15"/>
  <c r="K131" i="15"/>
  <c r="L131" i="15"/>
  <c r="X131" i="15"/>
  <c r="A130" i="18"/>
  <c r="L129" i="18"/>
  <c r="X129" i="18"/>
  <c r="K129" i="18"/>
  <c r="AB129" i="18"/>
  <c r="K128" i="20"/>
  <c r="L128" i="20"/>
  <c r="AB128" i="20"/>
  <c r="X128" i="20"/>
  <c r="A129" i="20"/>
  <c r="X134" i="1"/>
  <c r="K134" i="1"/>
  <c r="L134" i="1"/>
  <c r="AB134" i="1"/>
  <c r="AJ134" i="1"/>
  <c r="AK134" i="1"/>
  <c r="A135" i="1"/>
  <c r="AB131" i="16"/>
  <c r="X131" i="16"/>
  <c r="K131" i="16"/>
  <c r="L131" i="16"/>
  <c r="D131" i="16" s="1"/>
  <c r="A132" i="16"/>
  <c r="A136" i="1"/>
  <c r="AJ135" i="1"/>
  <c r="L135" i="1"/>
  <c r="X135" i="1"/>
  <c r="AK135" i="1"/>
  <c r="AB135" i="1"/>
  <c r="K135" i="1"/>
  <c r="X127" i="23"/>
  <c r="K127" i="23"/>
  <c r="L127" i="23"/>
  <c r="AB127" i="23"/>
  <c r="A128" i="23"/>
  <c r="AB126" i="24"/>
  <c r="A127" i="24"/>
  <c r="L126" i="24"/>
  <c r="X126" i="24"/>
  <c r="K126" i="24"/>
  <c r="AB132" i="16"/>
  <c r="K132" i="16"/>
  <c r="L132" i="16"/>
  <c r="D132" i="16" s="1"/>
  <c r="X132" i="16"/>
  <c r="A133" i="16"/>
  <c r="AB129" i="20"/>
  <c r="L129" i="20"/>
  <c r="A130" i="20"/>
  <c r="K129" i="20"/>
  <c r="X129" i="20"/>
  <c r="AB130" i="18"/>
  <c r="X130" i="18"/>
  <c r="L130" i="18"/>
  <c r="A131" i="18"/>
  <c r="K130" i="18"/>
  <c r="D131" i="15"/>
  <c r="L132" i="15"/>
  <c r="D132" i="15" s="1"/>
  <c r="X132" i="15"/>
  <c r="A133" i="15"/>
  <c r="AB132" i="15"/>
  <c r="K132" i="15"/>
  <c r="A133" i="17"/>
  <c r="K132" i="17"/>
  <c r="X132" i="17"/>
  <c r="AB132" i="17"/>
  <c r="L132" i="17"/>
  <c r="D132" i="17" s="1"/>
  <c r="L125" i="25"/>
  <c r="A126" i="25"/>
  <c r="K125" i="25"/>
  <c r="AB125" i="25"/>
  <c r="X125" i="25"/>
  <c r="X128" i="22"/>
  <c r="K128" i="22"/>
  <c r="A129" i="22"/>
  <c r="L128" i="22"/>
  <c r="AB128" i="22"/>
  <c r="L129" i="22"/>
  <c r="X129" i="22"/>
  <c r="K129" i="22"/>
  <c r="A130" i="22"/>
  <c r="AB129" i="22"/>
  <c r="L126" i="25"/>
  <c r="AB126" i="25"/>
  <c r="K126" i="25"/>
  <c r="A127" i="25"/>
  <c r="X126" i="25"/>
  <c r="K133" i="17"/>
  <c r="A134" i="17"/>
  <c r="L133" i="17"/>
  <c r="D133" i="17" s="1"/>
  <c r="X133" i="17"/>
  <c r="AB133" i="17"/>
  <c r="X131" i="18"/>
  <c r="L131" i="18"/>
  <c r="A132" i="18"/>
  <c r="K131" i="18"/>
  <c r="AB131" i="18"/>
  <c r="K130" i="20"/>
  <c r="L130" i="20"/>
  <c r="X130" i="20"/>
  <c r="AB130" i="20"/>
  <c r="A131" i="20"/>
  <c r="K133" i="15"/>
  <c r="AB133" i="15"/>
  <c r="A134" i="15"/>
  <c r="L133" i="15"/>
  <c r="D133" i="15" s="1"/>
  <c r="X133" i="15"/>
  <c r="AB133" i="16"/>
  <c r="K133" i="16"/>
  <c r="A134" i="16"/>
  <c r="X133" i="16"/>
  <c r="L133" i="16"/>
  <c r="D133" i="16" s="1"/>
  <c r="X127" i="24"/>
  <c r="A128" i="24"/>
  <c r="K127" i="24"/>
  <c r="L127" i="24"/>
  <c r="AB127" i="24"/>
  <c r="A129" i="23"/>
  <c r="X128" i="23"/>
  <c r="L128" i="23"/>
  <c r="K128" i="23"/>
  <c r="AB128" i="23"/>
  <c r="A137" i="1"/>
  <c r="X136" i="1"/>
  <c r="AB136" i="1"/>
  <c r="L136" i="1"/>
  <c r="AJ136" i="1"/>
  <c r="K136" i="1"/>
  <c r="AK136" i="1"/>
  <c r="X129" i="23"/>
  <c r="AB129" i="23"/>
  <c r="L129" i="23"/>
  <c r="A130" i="23"/>
  <c r="K129" i="23"/>
  <c r="K128" i="24"/>
  <c r="X128" i="24"/>
  <c r="AB128" i="24"/>
  <c r="L128" i="24"/>
  <c r="A129" i="24"/>
  <c r="X134" i="16"/>
  <c r="L134" i="16"/>
  <c r="D134" i="16" s="1"/>
  <c r="AB134" i="16"/>
  <c r="A135" i="16"/>
  <c r="K134" i="16"/>
  <c r="A135" i="15"/>
  <c r="K134" i="15"/>
  <c r="L134" i="15"/>
  <c r="D134" i="15" s="1"/>
  <c r="AB134" i="15"/>
  <c r="X134" i="15"/>
  <c r="AB132" i="18"/>
  <c r="K132" i="18"/>
  <c r="X132" i="18"/>
  <c r="L132" i="18"/>
  <c r="A133" i="18"/>
  <c r="L134" i="17"/>
  <c r="D134" i="17" s="1"/>
  <c r="X134" i="17"/>
  <c r="K134" i="17"/>
  <c r="A135" i="17"/>
  <c r="AB134" i="17"/>
  <c r="AB130" i="22"/>
  <c r="A131" i="22"/>
  <c r="L130" i="22"/>
  <c r="K130" i="22"/>
  <c r="X130" i="22"/>
  <c r="AB137" i="1"/>
  <c r="AJ137" i="1"/>
  <c r="K137" i="1"/>
  <c r="A138" i="1"/>
  <c r="L137" i="1"/>
  <c r="X137" i="1"/>
  <c r="AK137" i="1"/>
  <c r="K131" i="20"/>
  <c r="AB131" i="20"/>
  <c r="L131" i="20"/>
  <c r="X131" i="20"/>
  <c r="A132" i="20"/>
  <c r="X127" i="25"/>
  <c r="A128" i="25"/>
  <c r="AB127" i="25"/>
  <c r="K127" i="25"/>
  <c r="L127" i="25"/>
  <c r="A129" i="25"/>
  <c r="L128" i="25"/>
  <c r="AB128" i="25"/>
  <c r="X128" i="25"/>
  <c r="K128" i="25"/>
  <c r="AB132" i="20"/>
  <c r="X132" i="20"/>
  <c r="L132" i="20"/>
  <c r="K132" i="20"/>
  <c r="A133" i="20"/>
  <c r="L133" i="18"/>
  <c r="AB133" i="18"/>
  <c r="A134" i="18"/>
  <c r="X133" i="18"/>
  <c r="K133" i="18"/>
  <c r="A131" i="23"/>
  <c r="AB130" i="23"/>
  <c r="L130" i="23"/>
  <c r="X130" i="23"/>
  <c r="K130" i="23"/>
  <c r="X138" i="1"/>
  <c r="L138" i="1"/>
  <c r="AJ138" i="1"/>
  <c r="K138" i="1"/>
  <c r="AB138" i="1"/>
  <c r="A139" i="1"/>
  <c r="AK138" i="1"/>
  <c r="X131" i="22"/>
  <c r="AB131" i="22"/>
  <c r="K131" i="22"/>
  <c r="A132" i="22"/>
  <c r="L131" i="22"/>
  <c r="A136" i="17"/>
  <c r="AB135" i="17"/>
  <c r="K135" i="17"/>
  <c r="L135" i="17"/>
  <c r="D135" i="17" s="1"/>
  <c r="X135" i="17"/>
  <c r="L135" i="15"/>
  <c r="D135" i="15" s="1"/>
  <c r="X135" i="15"/>
  <c r="K135" i="15"/>
  <c r="A136" i="15"/>
  <c r="AB135" i="15"/>
  <c r="AB135" i="16"/>
  <c r="A136" i="16"/>
  <c r="X135" i="16"/>
  <c r="K135" i="16"/>
  <c r="L135" i="16"/>
  <c r="AB129" i="24"/>
  <c r="L129" i="24"/>
  <c r="K129" i="24"/>
  <c r="A130" i="24"/>
  <c r="X129" i="24"/>
  <c r="AB130" i="24"/>
  <c r="X130" i="24"/>
  <c r="A131" i="24"/>
  <c r="K130" i="24"/>
  <c r="L130" i="24"/>
  <c r="L136" i="15"/>
  <c r="D136" i="15" s="1"/>
  <c r="AB136" i="15"/>
  <c r="K136" i="15"/>
  <c r="X136" i="15"/>
  <c r="A137" i="15"/>
  <c r="K136" i="17"/>
  <c r="AB136" i="17"/>
  <c r="X136" i="17"/>
  <c r="L136" i="17"/>
  <c r="D136" i="17" s="1"/>
  <c r="A137" i="17"/>
  <c r="A133" i="22"/>
  <c r="X132" i="22"/>
  <c r="L132" i="22"/>
  <c r="AB132" i="22"/>
  <c r="K132" i="22"/>
  <c r="A140" i="1"/>
  <c r="X139" i="1"/>
  <c r="L139" i="1"/>
  <c r="AJ139" i="1"/>
  <c r="AB139" i="1"/>
  <c r="AK139" i="1"/>
  <c r="K139" i="1"/>
  <c r="X134" i="18"/>
  <c r="L134" i="18"/>
  <c r="AB134" i="18"/>
  <c r="A135" i="18"/>
  <c r="K134" i="18"/>
  <c r="D135" i="16"/>
  <c r="L136" i="16"/>
  <c r="D136" i="16" s="1"/>
  <c r="K136" i="16"/>
  <c r="A137" i="16"/>
  <c r="X136" i="16"/>
  <c r="AB136" i="16"/>
  <c r="K131" i="23"/>
  <c r="AB131" i="23"/>
  <c r="L131" i="23"/>
  <c r="A132" i="23"/>
  <c r="X131" i="23"/>
  <c r="A134" i="20"/>
  <c r="K133" i="20"/>
  <c r="X133" i="20"/>
  <c r="L133" i="20"/>
  <c r="AB133" i="20"/>
  <c r="K129" i="25"/>
  <c r="AB129" i="25"/>
  <c r="A130" i="25"/>
  <c r="X129" i="25"/>
  <c r="L129" i="25"/>
  <c r="X130" i="25"/>
  <c r="L130" i="25"/>
  <c r="A131" i="25"/>
  <c r="AB130" i="25"/>
  <c r="K130" i="25"/>
  <c r="K134" i="20"/>
  <c r="L134" i="20"/>
  <c r="A135" i="20"/>
  <c r="AB134" i="20"/>
  <c r="X134" i="20"/>
  <c r="X132" i="23"/>
  <c r="A133" i="23"/>
  <c r="AB132" i="23"/>
  <c r="K132" i="23"/>
  <c r="L132" i="23"/>
  <c r="L135" i="18"/>
  <c r="X135" i="18"/>
  <c r="AB135" i="18"/>
  <c r="K135" i="18"/>
  <c r="A136" i="18"/>
  <c r="AB133" i="22"/>
  <c r="L133" i="22"/>
  <c r="A134" i="22"/>
  <c r="X133" i="22"/>
  <c r="K133" i="22"/>
  <c r="A138" i="15"/>
  <c r="X137" i="15"/>
  <c r="K137" i="15"/>
  <c r="L137" i="15"/>
  <c r="D137" i="15" s="1"/>
  <c r="AB137" i="15"/>
  <c r="L137" i="16"/>
  <c r="D137" i="16" s="1"/>
  <c r="K137" i="16"/>
  <c r="AB137" i="16"/>
  <c r="A138" i="16"/>
  <c r="X137" i="16"/>
  <c r="A141" i="1"/>
  <c r="AK140" i="1"/>
  <c r="L140" i="1"/>
  <c r="K140" i="1"/>
  <c r="AJ140" i="1"/>
  <c r="X140" i="1"/>
  <c r="AB140" i="1"/>
  <c r="AB137" i="17"/>
  <c r="L137" i="17"/>
  <c r="K137" i="17"/>
  <c r="X137" i="17"/>
  <c r="A138" i="17"/>
  <c r="X131" i="24"/>
  <c r="K131" i="24"/>
  <c r="A132" i="24"/>
  <c r="AB131" i="24"/>
  <c r="L131" i="24"/>
  <c r="K132" i="24"/>
  <c r="AB132" i="24"/>
  <c r="X132" i="24"/>
  <c r="A133" i="24"/>
  <c r="L132" i="24"/>
  <c r="D137" i="17"/>
  <c r="AB138" i="16"/>
  <c r="L138" i="16"/>
  <c r="D138" i="16" s="1"/>
  <c r="K138" i="16"/>
  <c r="X138" i="16"/>
  <c r="A139" i="16"/>
  <c r="A135" i="22"/>
  <c r="X134" i="22"/>
  <c r="K134" i="22"/>
  <c r="L134" i="22"/>
  <c r="AB134" i="22"/>
  <c r="K136" i="18"/>
  <c r="A137" i="18"/>
  <c r="AB136" i="18"/>
  <c r="X136" i="18"/>
  <c r="L136" i="18"/>
  <c r="K133" i="23"/>
  <c r="AB133" i="23"/>
  <c r="X133" i="23"/>
  <c r="L133" i="23"/>
  <c r="A134" i="23"/>
  <c r="L135" i="20"/>
  <c r="K135" i="20"/>
  <c r="X135" i="20"/>
  <c r="A136" i="20"/>
  <c r="AB135" i="20"/>
  <c r="A139" i="17"/>
  <c r="L138" i="17"/>
  <c r="D138" i="17" s="1"/>
  <c r="K138" i="17"/>
  <c r="AB138" i="17"/>
  <c r="X138" i="17"/>
  <c r="AJ141" i="1"/>
  <c r="K141" i="1"/>
  <c r="AB141" i="1"/>
  <c r="A142" i="1"/>
  <c r="L141" i="1"/>
  <c r="AK141" i="1"/>
  <c r="X141" i="1"/>
  <c r="L138" i="15"/>
  <c r="D138" i="15" s="1"/>
  <c r="X138" i="15"/>
  <c r="A139" i="15"/>
  <c r="K138" i="15"/>
  <c r="AB138" i="15"/>
  <c r="X131" i="25"/>
  <c r="A132" i="25"/>
  <c r="K131" i="25"/>
  <c r="L131" i="25"/>
  <c r="AB131" i="25"/>
  <c r="L139" i="15"/>
  <c r="D139" i="15" s="1"/>
  <c r="K139" i="15"/>
  <c r="X139" i="15"/>
  <c r="A140" i="15"/>
  <c r="AB139" i="15"/>
  <c r="A143" i="1"/>
  <c r="AB142" i="1"/>
  <c r="AK142" i="1"/>
  <c r="X142" i="1"/>
  <c r="K142" i="1"/>
  <c r="AJ142" i="1"/>
  <c r="L142" i="1"/>
  <c r="L136" i="20"/>
  <c r="AB136" i="20"/>
  <c r="A137" i="20"/>
  <c r="X136" i="20"/>
  <c r="K136" i="20"/>
  <c r="K137" i="18"/>
  <c r="X137" i="18"/>
  <c r="A138" i="18"/>
  <c r="L137" i="18"/>
  <c r="AB137" i="18"/>
  <c r="AB135" i="22"/>
  <c r="X135" i="22"/>
  <c r="K135" i="22"/>
  <c r="L135" i="22"/>
  <c r="A136" i="22"/>
  <c r="L139" i="16"/>
  <c r="D139" i="16" s="1"/>
  <c r="X139" i="16"/>
  <c r="A140" i="16"/>
  <c r="K139" i="16"/>
  <c r="AB139" i="16"/>
  <c r="X132" i="25"/>
  <c r="AB132" i="25"/>
  <c r="A133" i="25"/>
  <c r="L132" i="25"/>
  <c r="K132" i="25"/>
  <c r="K139" i="17"/>
  <c r="X139" i="17"/>
  <c r="L139" i="17"/>
  <c r="D139" i="17" s="1"/>
  <c r="AB139" i="17"/>
  <c r="A140" i="17"/>
  <c r="K134" i="23"/>
  <c r="L134" i="23"/>
  <c r="X134" i="23"/>
  <c r="A135" i="23"/>
  <c r="AB134" i="23"/>
  <c r="K133" i="24"/>
  <c r="A134" i="24"/>
  <c r="AB133" i="24"/>
  <c r="X133" i="24"/>
  <c r="L133" i="24"/>
  <c r="K133" i="25"/>
  <c r="X133" i="25"/>
  <c r="A134" i="25"/>
  <c r="L133" i="25"/>
  <c r="AB133" i="25"/>
  <c r="K140" i="16"/>
  <c r="L140" i="16"/>
  <c r="D140" i="16" s="1"/>
  <c r="X140" i="16"/>
  <c r="AB140" i="16"/>
  <c r="A141" i="16"/>
  <c r="X136" i="22"/>
  <c r="A137" i="22"/>
  <c r="L136" i="22"/>
  <c r="AB136" i="22"/>
  <c r="K136" i="22"/>
  <c r="K134" i="24"/>
  <c r="A135" i="24"/>
  <c r="AB134" i="24"/>
  <c r="X134" i="24"/>
  <c r="L134" i="24"/>
  <c r="AB135" i="23"/>
  <c r="K135" i="23"/>
  <c r="L135" i="23"/>
  <c r="X135" i="23"/>
  <c r="A136" i="23"/>
  <c r="L140" i="17"/>
  <c r="A141" i="17"/>
  <c r="X140" i="17"/>
  <c r="AB140" i="17"/>
  <c r="K140" i="17"/>
  <c r="A139" i="18"/>
  <c r="X138" i="18"/>
  <c r="K138" i="18"/>
  <c r="L138" i="18"/>
  <c r="AB138" i="18"/>
  <c r="L137" i="20"/>
  <c r="AB137" i="20"/>
  <c r="K137" i="20"/>
  <c r="X137" i="20"/>
  <c r="A138" i="20"/>
  <c r="AB143" i="1"/>
  <c r="AJ143" i="1"/>
  <c r="L143" i="1"/>
  <c r="K143" i="1"/>
  <c r="X143" i="1"/>
  <c r="AK143" i="1"/>
  <c r="A144" i="1"/>
  <c r="X140" i="15"/>
  <c r="L140" i="15"/>
  <c r="D140" i="15" s="1"/>
  <c r="AB140" i="15"/>
  <c r="K140" i="15"/>
  <c r="A141" i="15"/>
  <c r="A142" i="15"/>
  <c r="X141" i="15"/>
  <c r="AB141" i="15"/>
  <c r="L141" i="15"/>
  <c r="D141" i="15" s="1"/>
  <c r="K141" i="15"/>
  <c r="L144" i="1"/>
  <c r="AK144" i="1"/>
  <c r="X144" i="1"/>
  <c r="AB144" i="1"/>
  <c r="AJ144" i="1"/>
  <c r="A145" i="1"/>
  <c r="K144" i="1"/>
  <c r="K138" i="20"/>
  <c r="X138" i="20"/>
  <c r="AB138" i="20"/>
  <c r="L138" i="20"/>
  <c r="A139" i="20"/>
  <c r="D140" i="17"/>
  <c r="K136" i="23"/>
  <c r="AB136" i="23"/>
  <c r="L136" i="23"/>
  <c r="X136" i="23"/>
  <c r="A137" i="23"/>
  <c r="L137" i="22"/>
  <c r="AB137" i="22"/>
  <c r="K137" i="22"/>
  <c r="A138" i="22"/>
  <c r="X137" i="22"/>
  <c r="AB141" i="16"/>
  <c r="L141" i="16"/>
  <c r="D141" i="16" s="1"/>
  <c r="K141" i="16"/>
  <c r="A142" i="16"/>
  <c r="X141" i="16"/>
  <c r="AB139" i="18"/>
  <c r="K139" i="18"/>
  <c r="L139" i="18"/>
  <c r="A140" i="18"/>
  <c r="X139" i="18"/>
  <c r="L141" i="17"/>
  <c r="D141" i="17" s="1"/>
  <c r="A142" i="17"/>
  <c r="AB141" i="17"/>
  <c r="K141" i="17"/>
  <c r="X141" i="17"/>
  <c r="L135" i="24"/>
  <c r="AB135" i="24"/>
  <c r="X135" i="24"/>
  <c r="A136" i="24"/>
  <c r="K135" i="24"/>
  <c r="AB134" i="25"/>
  <c r="X134" i="25"/>
  <c r="A135" i="25"/>
  <c r="K134" i="25"/>
  <c r="L134" i="25"/>
  <c r="X136" i="24"/>
  <c r="A137" i="24"/>
  <c r="K136" i="24"/>
  <c r="L136" i="24"/>
  <c r="AB136" i="24"/>
  <c r="K140" i="18"/>
  <c r="A141" i="18"/>
  <c r="AB140" i="18"/>
  <c r="X140" i="18"/>
  <c r="L140" i="18"/>
  <c r="L138" i="22"/>
  <c r="A139" i="22"/>
  <c r="AB138" i="22"/>
  <c r="X138" i="22"/>
  <c r="K138" i="22"/>
  <c r="K137" i="23"/>
  <c r="X137" i="23"/>
  <c r="L137" i="23"/>
  <c r="A138" i="23"/>
  <c r="AB137" i="23"/>
  <c r="A146" i="1"/>
  <c r="AJ145" i="1"/>
  <c r="AK145" i="1"/>
  <c r="AB145" i="1"/>
  <c r="X145" i="1"/>
  <c r="K145" i="1"/>
  <c r="L145" i="1"/>
  <c r="AB135" i="25"/>
  <c r="L135" i="25"/>
  <c r="A136" i="25"/>
  <c r="K135" i="25"/>
  <c r="X135" i="25"/>
  <c r="AB142" i="17"/>
  <c r="L142" i="17"/>
  <c r="D142" i="17" s="1"/>
  <c r="A143" i="17"/>
  <c r="K142" i="17"/>
  <c r="X142" i="17"/>
  <c r="A143" i="16"/>
  <c r="K142" i="16"/>
  <c r="L142" i="16"/>
  <c r="D142" i="16" s="1"/>
  <c r="X142" i="16"/>
  <c r="AB142" i="16"/>
  <c r="A140" i="20"/>
  <c r="L139" i="20"/>
  <c r="X139" i="20"/>
  <c r="K139" i="20"/>
  <c r="AB139" i="20"/>
  <c r="L142" i="15"/>
  <c r="D142" i="15" s="1"/>
  <c r="A143" i="15"/>
  <c r="AB142" i="15"/>
  <c r="K142" i="15"/>
  <c r="X142" i="15"/>
  <c r="K140" i="20"/>
  <c r="AB140" i="20"/>
  <c r="L140" i="20"/>
  <c r="X140" i="20"/>
  <c r="A141" i="20"/>
  <c r="AB143" i="16"/>
  <c r="L143" i="16"/>
  <c r="D143" i="16" s="1"/>
  <c r="K143" i="16"/>
  <c r="A144" i="16"/>
  <c r="X143" i="16"/>
  <c r="A144" i="17"/>
  <c r="AB143" i="17"/>
  <c r="K143" i="17"/>
  <c r="L143" i="17"/>
  <c r="D143" i="17" s="1"/>
  <c r="X143" i="17"/>
  <c r="K138" i="23"/>
  <c r="A139" i="23"/>
  <c r="L138" i="23"/>
  <c r="AB138" i="23"/>
  <c r="X138" i="23"/>
  <c r="AB137" i="24"/>
  <c r="K137" i="24"/>
  <c r="L137" i="24"/>
  <c r="A138" i="24"/>
  <c r="X137" i="24"/>
  <c r="L143" i="15"/>
  <c r="D143" i="15" s="1"/>
  <c r="K143" i="15"/>
  <c r="AB143" i="15"/>
  <c r="X143" i="15"/>
  <c r="A144" i="15"/>
  <c r="AB136" i="25"/>
  <c r="A137" i="25"/>
  <c r="K136" i="25"/>
  <c r="L136" i="25"/>
  <c r="X136" i="25"/>
  <c r="AB146" i="1"/>
  <c r="K146" i="1"/>
  <c r="AK146" i="1"/>
  <c r="AJ146" i="1"/>
  <c r="X146" i="1"/>
  <c r="L146" i="1"/>
  <c r="A147" i="1"/>
  <c r="A140" i="22"/>
  <c r="AB139" i="22"/>
  <c r="X139" i="22"/>
  <c r="K139" i="22"/>
  <c r="L139" i="22"/>
  <c r="K141" i="18"/>
  <c r="L141" i="18"/>
  <c r="AB141" i="18"/>
  <c r="A142" i="18"/>
  <c r="X141" i="18"/>
  <c r="X147" i="1"/>
  <c r="AB147" i="1"/>
  <c r="L147" i="1"/>
  <c r="A148" i="1"/>
  <c r="AK147" i="1"/>
  <c r="AJ147" i="1"/>
  <c r="K147" i="1"/>
  <c r="K137" i="25"/>
  <c r="X137" i="25"/>
  <c r="AB137" i="25"/>
  <c r="A138" i="25"/>
  <c r="L137" i="25"/>
  <c r="K144" i="15"/>
  <c r="AB144" i="15"/>
  <c r="L144" i="15"/>
  <c r="D144" i="15" s="1"/>
  <c r="X144" i="15"/>
  <c r="A145" i="15"/>
  <c r="K138" i="24"/>
  <c r="L138" i="24"/>
  <c r="X138" i="24"/>
  <c r="AB138" i="24"/>
  <c r="A139" i="24"/>
  <c r="AB142" i="18"/>
  <c r="K142" i="18"/>
  <c r="A143" i="18"/>
  <c r="L142" i="18"/>
  <c r="X142" i="18"/>
  <c r="L140" i="22"/>
  <c r="AB140" i="22"/>
  <c r="X140" i="22"/>
  <c r="A141" i="22"/>
  <c r="K140" i="22"/>
  <c r="L139" i="23"/>
  <c r="X139" i="23"/>
  <c r="K139" i="23"/>
  <c r="AB139" i="23"/>
  <c r="A140" i="23"/>
  <c r="K144" i="17"/>
  <c r="AB144" i="17"/>
  <c r="L144" i="17"/>
  <c r="D144" i="17" s="1"/>
  <c r="A145" i="17"/>
  <c r="X144" i="17"/>
  <c r="X144" i="16"/>
  <c r="L144" i="16"/>
  <c r="D144" i="16" s="1"/>
  <c r="K144" i="16"/>
  <c r="A145" i="16"/>
  <c r="AB144" i="16"/>
  <c r="AB141" i="20"/>
  <c r="X141" i="20"/>
  <c r="L141" i="20"/>
  <c r="A142" i="20"/>
  <c r="K141" i="20"/>
  <c r="L145" i="16"/>
  <c r="D145" i="16" s="1"/>
  <c r="AB145" i="16"/>
  <c r="X145" i="16"/>
  <c r="K145" i="16"/>
  <c r="A146" i="16"/>
  <c r="L140" i="23"/>
  <c r="AB140" i="23"/>
  <c r="X140" i="23"/>
  <c r="K140" i="23"/>
  <c r="A141" i="23"/>
  <c r="X141" i="22"/>
  <c r="AB141" i="22"/>
  <c r="A142" i="22"/>
  <c r="L141" i="22"/>
  <c r="K141" i="22"/>
  <c r="X142" i="20"/>
  <c r="AB142" i="20"/>
  <c r="A143" i="20"/>
  <c r="K142" i="20"/>
  <c r="L142" i="20"/>
  <c r="A146" i="17"/>
  <c r="L145" i="17"/>
  <c r="D145" i="17" s="1"/>
  <c r="X145" i="17"/>
  <c r="K145" i="17"/>
  <c r="AB145" i="17"/>
  <c r="X143" i="18"/>
  <c r="L143" i="18"/>
  <c r="AB143" i="18"/>
  <c r="K143" i="18"/>
  <c r="A144" i="18"/>
  <c r="X139" i="24"/>
  <c r="K139" i="24"/>
  <c r="A140" i="24"/>
  <c r="L139" i="24"/>
  <c r="AB139" i="24"/>
  <c r="A146" i="15"/>
  <c r="X145" i="15"/>
  <c r="AB145" i="15"/>
  <c r="L145" i="15"/>
  <c r="D145" i="15" s="1"/>
  <c r="K145" i="15"/>
  <c r="L138" i="25"/>
  <c r="A139" i="25"/>
  <c r="X138" i="25"/>
  <c r="K138" i="25"/>
  <c r="AB138" i="25"/>
  <c r="A149" i="1"/>
  <c r="AJ148" i="1"/>
  <c r="K148" i="1"/>
  <c r="L148" i="1"/>
  <c r="AB148" i="1"/>
  <c r="AK148" i="1"/>
  <c r="X148" i="1"/>
  <c r="A140" i="25"/>
  <c r="L139" i="25"/>
  <c r="X139" i="25"/>
  <c r="K139" i="25"/>
  <c r="AB139" i="25"/>
  <c r="K144" i="18"/>
  <c r="AB144" i="18"/>
  <c r="L144" i="18"/>
  <c r="A145" i="18"/>
  <c r="X144" i="18"/>
  <c r="X143" i="20"/>
  <c r="L143" i="20"/>
  <c r="K143" i="20"/>
  <c r="AB143" i="20"/>
  <c r="A144" i="20"/>
  <c r="AB141" i="23"/>
  <c r="A142" i="23"/>
  <c r="K141" i="23"/>
  <c r="L141" i="23"/>
  <c r="X141" i="23"/>
  <c r="K146" i="16"/>
  <c r="AB146" i="16"/>
  <c r="X146" i="16"/>
  <c r="L146" i="16"/>
  <c r="D146" i="16" s="1"/>
  <c r="A147" i="16"/>
  <c r="A150" i="1"/>
  <c r="AB149" i="1"/>
  <c r="K149" i="1"/>
  <c r="AK149" i="1"/>
  <c r="X149" i="1"/>
  <c r="A24" i="7"/>
  <c r="L149" i="1"/>
  <c r="B24" i="7" s="1"/>
  <c r="AJ149" i="1"/>
  <c r="X146" i="15"/>
  <c r="A147" i="15"/>
  <c r="K146" i="15"/>
  <c r="L146" i="15"/>
  <c r="D146" i="15" s="1"/>
  <c r="AB146" i="15"/>
  <c r="AB140" i="24"/>
  <c r="A141" i="24"/>
  <c r="X140" i="24"/>
  <c r="K140" i="24"/>
  <c r="L140" i="24"/>
  <c r="A147" i="17"/>
  <c r="K146" i="17"/>
  <c r="L146" i="17"/>
  <c r="D146" i="17" s="1"/>
  <c r="AB146" i="17"/>
  <c r="X146" i="17"/>
  <c r="K142" i="22"/>
  <c r="A143" i="22"/>
  <c r="X142" i="22"/>
  <c r="AB142" i="22"/>
  <c r="L142" i="22"/>
  <c r="X143" i="22"/>
  <c r="AB143" i="22"/>
  <c r="L143" i="22"/>
  <c r="K143" i="22"/>
  <c r="A144" i="22"/>
  <c r="K147" i="17"/>
  <c r="L147" i="17"/>
  <c r="D147" i="17" s="1"/>
  <c r="X147" i="17"/>
  <c r="A148" i="17"/>
  <c r="AB147" i="17"/>
  <c r="X147" i="15"/>
  <c r="K147" i="15"/>
  <c r="A148" i="15"/>
  <c r="L147" i="15"/>
  <c r="D147" i="15" s="1"/>
  <c r="AB147" i="15"/>
  <c r="X150" i="1"/>
  <c r="AJ150" i="1"/>
  <c r="K150" i="1"/>
  <c r="AK150" i="1"/>
  <c r="AB150" i="1"/>
  <c r="A151" i="1"/>
  <c r="L150" i="1"/>
  <c r="A145" i="20"/>
  <c r="X144" i="20"/>
  <c r="K144" i="20"/>
  <c r="AB144" i="20"/>
  <c r="L144" i="20"/>
  <c r="A142" i="24"/>
  <c r="AB141" i="24"/>
  <c r="L141" i="24"/>
  <c r="X141" i="24"/>
  <c r="K141" i="24"/>
  <c r="X147" i="16"/>
  <c r="AB147" i="16"/>
  <c r="K147" i="16"/>
  <c r="A148" i="16"/>
  <c r="L147" i="16"/>
  <c r="D147" i="16" s="1"/>
  <c r="A143" i="23"/>
  <c r="L142" i="23"/>
  <c r="AB142" i="23"/>
  <c r="X142" i="23"/>
  <c r="K142" i="23"/>
  <c r="X145" i="18"/>
  <c r="L145" i="18"/>
  <c r="AB145" i="18"/>
  <c r="A146" i="18"/>
  <c r="K145" i="18"/>
  <c r="K140" i="25"/>
  <c r="A141" i="25"/>
  <c r="L140" i="25"/>
  <c r="AB140" i="25"/>
  <c r="X140" i="25"/>
  <c r="K141" i="25"/>
  <c r="AB141" i="25"/>
  <c r="L141" i="25"/>
  <c r="A142" i="25"/>
  <c r="X141" i="25"/>
  <c r="A147" i="18"/>
  <c r="X146" i="18"/>
  <c r="L146" i="18"/>
  <c r="AB146" i="18"/>
  <c r="K146" i="18"/>
  <c r="K143" i="23"/>
  <c r="X143" i="23"/>
  <c r="AB143" i="23"/>
  <c r="L143" i="23"/>
  <c r="A144" i="23"/>
  <c r="X151" i="1"/>
  <c r="AK151" i="1"/>
  <c r="AJ151" i="1"/>
  <c r="K151" i="1"/>
  <c r="L151" i="1"/>
  <c r="AB151" i="1"/>
  <c r="A152" i="1"/>
  <c r="K148" i="17"/>
  <c r="A149" i="17"/>
  <c r="L148" i="17"/>
  <c r="D148" i="17" s="1"/>
  <c r="X148" i="17"/>
  <c r="AB148" i="17"/>
  <c r="K144" i="22"/>
  <c r="A145" i="22"/>
  <c r="L144" i="22"/>
  <c r="AB144" i="22"/>
  <c r="X144" i="22"/>
  <c r="K148" i="16"/>
  <c r="L148" i="16"/>
  <c r="D148" i="16" s="1"/>
  <c r="AB148" i="16"/>
  <c r="X148" i="16"/>
  <c r="A149" i="16"/>
  <c r="K142" i="24"/>
  <c r="L142" i="24"/>
  <c r="X142" i="24"/>
  <c r="AB142" i="24"/>
  <c r="A143" i="24"/>
  <c r="X145" i="20"/>
  <c r="K145" i="20"/>
  <c r="A146" i="20"/>
  <c r="L145" i="20"/>
  <c r="AB145" i="20"/>
  <c r="X148" i="15"/>
  <c r="K148" i="15"/>
  <c r="AB148" i="15"/>
  <c r="A149" i="15"/>
  <c r="L148" i="15"/>
  <c r="D148" i="15" s="1"/>
  <c r="A36" i="7"/>
  <c r="A150" i="15"/>
  <c r="L149" i="15"/>
  <c r="B36" i="7" s="1"/>
  <c r="K149" i="15"/>
  <c r="AB149" i="15"/>
  <c r="X149" i="15"/>
  <c r="X143" i="24"/>
  <c r="A144" i="24"/>
  <c r="AB143" i="24"/>
  <c r="L143" i="24"/>
  <c r="K143" i="24"/>
  <c r="AB145" i="22"/>
  <c r="A146" i="22"/>
  <c r="K145" i="22"/>
  <c r="X145" i="22"/>
  <c r="L145" i="22"/>
  <c r="A153" i="1"/>
  <c r="L152" i="1"/>
  <c r="AB152" i="1"/>
  <c r="AK152" i="1"/>
  <c r="K152" i="1"/>
  <c r="X152" i="1"/>
  <c r="AJ152" i="1"/>
  <c r="L144" i="23"/>
  <c r="K144" i="23"/>
  <c r="AB144" i="23"/>
  <c r="X144" i="23"/>
  <c r="A145" i="23"/>
  <c r="K147" i="18"/>
  <c r="A148" i="18"/>
  <c r="L147" i="18"/>
  <c r="X147" i="18"/>
  <c r="AB147" i="18"/>
  <c r="AB142" i="25"/>
  <c r="A143" i="25"/>
  <c r="K142" i="25"/>
  <c r="L142" i="25"/>
  <c r="X142" i="25"/>
  <c r="L146" i="20"/>
  <c r="K146" i="20"/>
  <c r="A147" i="20"/>
  <c r="AB146" i="20"/>
  <c r="X146" i="20"/>
  <c r="A48" i="7"/>
  <c r="X149" i="16"/>
  <c r="L149" i="16"/>
  <c r="D149" i="16" s="1"/>
  <c r="A150" i="16"/>
  <c r="AB149" i="16"/>
  <c r="K149" i="16"/>
  <c r="A60" i="7"/>
  <c r="L149" i="17"/>
  <c r="X149" i="17"/>
  <c r="A150" i="17"/>
  <c r="AB149" i="17"/>
  <c r="K149" i="17"/>
  <c r="K150" i="17"/>
  <c r="AB150" i="17"/>
  <c r="X150" i="17"/>
  <c r="L150" i="17"/>
  <c r="D150" i="17" s="1"/>
  <c r="A151" i="17"/>
  <c r="K147" i="20"/>
  <c r="AB147" i="20"/>
  <c r="X147" i="20"/>
  <c r="L147" i="20"/>
  <c r="A148" i="20"/>
  <c r="X143" i="25"/>
  <c r="A144" i="25"/>
  <c r="L143" i="25"/>
  <c r="AB143" i="25"/>
  <c r="K143" i="25"/>
  <c r="L145" i="23"/>
  <c r="K145" i="23"/>
  <c r="A146" i="23"/>
  <c r="AB145" i="23"/>
  <c r="X145" i="23"/>
  <c r="X153" i="1"/>
  <c r="K153" i="1"/>
  <c r="AK153" i="1"/>
  <c r="A154" i="1"/>
  <c r="AB153" i="1"/>
  <c r="AJ153" i="1"/>
  <c r="L153" i="1"/>
  <c r="X146" i="22"/>
  <c r="L146" i="22"/>
  <c r="A147" i="22"/>
  <c r="K146" i="22"/>
  <c r="AB146" i="22"/>
  <c r="K150" i="15"/>
  <c r="AB150" i="15"/>
  <c r="X150" i="15"/>
  <c r="L150" i="15"/>
  <c r="D150" i="15" s="1"/>
  <c r="A151" i="15"/>
  <c r="K150" i="16"/>
  <c r="L150" i="16"/>
  <c r="D150" i="16" s="1"/>
  <c r="X150" i="16"/>
  <c r="AB150" i="16"/>
  <c r="A151" i="16"/>
  <c r="A149" i="18"/>
  <c r="K148" i="18"/>
  <c r="X148" i="18"/>
  <c r="AB148" i="18"/>
  <c r="L148" i="18"/>
  <c r="AB144" i="24"/>
  <c r="K144" i="24"/>
  <c r="A145" i="24"/>
  <c r="X144" i="24"/>
  <c r="L144" i="24"/>
  <c r="K151" i="16"/>
  <c r="X151" i="16"/>
  <c r="A152" i="16"/>
  <c r="AB151" i="16"/>
  <c r="L151" i="16"/>
  <c r="D151" i="16" s="1"/>
  <c r="AJ154" i="1"/>
  <c r="AK154" i="1"/>
  <c r="K154" i="1"/>
  <c r="A155" i="1"/>
  <c r="L154" i="1"/>
  <c r="X154" i="1"/>
  <c r="AB154" i="1"/>
  <c r="L144" i="25"/>
  <c r="AB144" i="25"/>
  <c r="K144" i="25"/>
  <c r="X144" i="25"/>
  <c r="A145" i="25"/>
  <c r="K148" i="20"/>
  <c r="A149" i="20"/>
  <c r="X148" i="20"/>
  <c r="AB148" i="20"/>
  <c r="L148" i="20"/>
  <c r="L145" i="24"/>
  <c r="K145" i="24"/>
  <c r="A146" i="24"/>
  <c r="X145" i="24"/>
  <c r="AB145" i="24"/>
  <c r="X149" i="18"/>
  <c r="K149" i="18"/>
  <c r="A72" i="7"/>
  <c r="L149" i="18"/>
  <c r="B72" i="7" s="1"/>
  <c r="AB149" i="18"/>
  <c r="A150" i="18"/>
  <c r="AB151" i="15"/>
  <c r="L151" i="15"/>
  <c r="D151" i="15" s="1"/>
  <c r="X151" i="15"/>
  <c r="K151" i="15"/>
  <c r="A152" i="15"/>
  <c r="K147" i="22"/>
  <c r="L147" i="22"/>
  <c r="X147" i="22"/>
  <c r="A148" i="22"/>
  <c r="AB147" i="22"/>
  <c r="X146" i="23"/>
  <c r="K146" i="23"/>
  <c r="AB146" i="23"/>
  <c r="L146" i="23"/>
  <c r="A147" i="23"/>
  <c r="X151" i="17"/>
  <c r="AB151" i="17"/>
  <c r="A152" i="17"/>
  <c r="K151" i="17"/>
  <c r="L151" i="17"/>
  <c r="D151" i="17" s="1"/>
  <c r="K147" i="23"/>
  <c r="AB147" i="23"/>
  <c r="X147" i="23"/>
  <c r="A148" i="23"/>
  <c r="L147" i="23"/>
  <c r="AB148" i="22"/>
  <c r="A149" i="22"/>
  <c r="L148" i="22"/>
  <c r="K148" i="22"/>
  <c r="X148" i="22"/>
  <c r="L152" i="15"/>
  <c r="D152" i="15" s="1"/>
  <c r="X152" i="15"/>
  <c r="A153" i="15"/>
  <c r="AB152" i="15"/>
  <c r="K152" i="15"/>
  <c r="A151" i="18"/>
  <c r="K150" i="18"/>
  <c r="L150" i="18"/>
  <c r="AB150" i="18"/>
  <c r="X150" i="18"/>
  <c r="AE24" i="7"/>
  <c r="K149" i="20"/>
  <c r="X149" i="20"/>
  <c r="AB149" i="20"/>
  <c r="L149" i="20"/>
  <c r="AF24" i="7" s="1"/>
  <c r="A150" i="20"/>
  <c r="L152" i="16"/>
  <c r="D152" i="16" s="1"/>
  <c r="X152" i="16"/>
  <c r="K152" i="16"/>
  <c r="AB152" i="16"/>
  <c r="A153" i="16"/>
  <c r="X152" i="17"/>
  <c r="L152" i="17"/>
  <c r="D152" i="17" s="1"/>
  <c r="K152" i="17"/>
  <c r="AB152" i="17"/>
  <c r="A153" i="17"/>
  <c r="A147" i="24"/>
  <c r="AB146" i="24"/>
  <c r="K146" i="24"/>
  <c r="X146" i="24"/>
  <c r="L146" i="24"/>
  <c r="L145" i="25"/>
  <c r="K145" i="25"/>
  <c r="AB145" i="25"/>
  <c r="X145" i="25"/>
  <c r="A146" i="25"/>
  <c r="A156" i="1"/>
  <c r="AJ155" i="1"/>
  <c r="L155" i="1"/>
  <c r="K155" i="1"/>
  <c r="AK155" i="1"/>
  <c r="X155" i="1"/>
  <c r="AB155" i="1"/>
  <c r="A157" i="1"/>
  <c r="K156" i="1"/>
  <c r="AK156" i="1"/>
  <c r="L156" i="1"/>
  <c r="AB156" i="1"/>
  <c r="AJ156" i="1"/>
  <c r="X156" i="1"/>
  <c r="L153" i="16"/>
  <c r="D153" i="16" s="1"/>
  <c r="K153" i="16"/>
  <c r="AB153" i="16"/>
  <c r="A154" i="16"/>
  <c r="X153" i="16"/>
  <c r="AB149" i="22"/>
  <c r="A150" i="22"/>
  <c r="AE36" i="7"/>
  <c r="K149" i="22"/>
  <c r="X149" i="22"/>
  <c r="L149" i="22"/>
  <c r="AF36" i="7" s="1"/>
  <c r="AB148" i="23"/>
  <c r="K148" i="23"/>
  <c r="X148" i="23"/>
  <c r="A149" i="23"/>
  <c r="L148" i="23"/>
  <c r="L146" i="25"/>
  <c r="X146" i="25"/>
  <c r="K146" i="25"/>
  <c r="A147" i="25"/>
  <c r="AB146" i="25"/>
  <c r="L147" i="24"/>
  <c r="X147" i="24"/>
  <c r="A148" i="24"/>
  <c r="K147" i="24"/>
  <c r="AB147" i="24"/>
  <c r="AB153" i="17"/>
  <c r="A154" i="17"/>
  <c r="K153" i="17"/>
  <c r="L153" i="17"/>
  <c r="D153" i="17" s="1"/>
  <c r="X153" i="17"/>
  <c r="AB150" i="20"/>
  <c r="X150" i="20"/>
  <c r="K150" i="20"/>
  <c r="A151" i="20"/>
  <c r="L150" i="20"/>
  <c r="L151" i="18"/>
  <c r="AB151" i="18"/>
  <c r="X151" i="18"/>
  <c r="K151" i="18"/>
  <c r="A152" i="18"/>
  <c r="K153" i="15"/>
  <c r="X153" i="15"/>
  <c r="L153" i="15"/>
  <c r="D153" i="15" s="1"/>
  <c r="AB153" i="15"/>
  <c r="A154" i="15"/>
  <c r="AB154" i="15"/>
  <c r="K154" i="15"/>
  <c r="L154" i="15"/>
  <c r="D154" i="15" s="1"/>
  <c r="X154" i="15"/>
  <c r="A155" i="15"/>
  <c r="A153" i="18"/>
  <c r="X152" i="18"/>
  <c r="AB152" i="18"/>
  <c r="L152" i="18"/>
  <c r="K152" i="18"/>
  <c r="AB151" i="20"/>
  <c r="A152" i="20"/>
  <c r="X151" i="20"/>
  <c r="L151" i="20"/>
  <c r="K151" i="20"/>
  <c r="L148" i="24"/>
  <c r="X148" i="24"/>
  <c r="A149" i="24"/>
  <c r="AB148" i="24"/>
  <c r="K148" i="24"/>
  <c r="L147" i="25"/>
  <c r="A148" i="25"/>
  <c r="K147" i="25"/>
  <c r="AB147" i="25"/>
  <c r="X147" i="25"/>
  <c r="L149" i="23"/>
  <c r="AF48" i="7" s="1"/>
  <c r="AE48" i="7"/>
  <c r="AB149" i="23"/>
  <c r="X149" i="23"/>
  <c r="K149" i="23"/>
  <c r="A150" i="23"/>
  <c r="AB154" i="17"/>
  <c r="X154" i="17"/>
  <c r="A155" i="17"/>
  <c r="L154" i="17"/>
  <c r="D154" i="17" s="1"/>
  <c r="K154" i="17"/>
  <c r="L150" i="22"/>
  <c r="A151" i="22"/>
  <c r="X150" i="22"/>
  <c r="AB150" i="22"/>
  <c r="K150" i="22"/>
  <c r="AB154" i="16"/>
  <c r="K154" i="16"/>
  <c r="L154" i="16"/>
  <c r="A155" i="16"/>
  <c r="X154" i="16"/>
  <c r="K157" i="1"/>
  <c r="AK157" i="1"/>
  <c r="AJ157" i="1"/>
  <c r="L157" i="1"/>
  <c r="AB157" i="1"/>
  <c r="X157" i="1"/>
  <c r="A158" i="1"/>
  <c r="D154" i="16"/>
  <c r="X158" i="1"/>
  <c r="AB158" i="1"/>
  <c r="K158" i="1"/>
  <c r="L158" i="1"/>
  <c r="AK158" i="1"/>
  <c r="A159" i="1"/>
  <c r="AJ158" i="1"/>
  <c r="X155" i="16"/>
  <c r="AB155" i="16"/>
  <c r="A156" i="16"/>
  <c r="L155" i="16"/>
  <c r="D155" i="16" s="1"/>
  <c r="K155" i="16"/>
  <c r="X151" i="22"/>
  <c r="A152" i="22"/>
  <c r="L151" i="22"/>
  <c r="AB151" i="22"/>
  <c r="K151" i="22"/>
  <c r="L155" i="17"/>
  <c r="D155" i="17" s="1"/>
  <c r="X155" i="17"/>
  <c r="AB155" i="17"/>
  <c r="K155" i="17"/>
  <c r="A156" i="17"/>
  <c r="A151" i="23"/>
  <c r="X150" i="23"/>
  <c r="AB150" i="23"/>
  <c r="L150" i="23"/>
  <c r="K150" i="23"/>
  <c r="AB148" i="25"/>
  <c r="K148" i="25"/>
  <c r="A149" i="25"/>
  <c r="L148" i="25"/>
  <c r="X148" i="25"/>
  <c r="X153" i="18"/>
  <c r="AB153" i="18"/>
  <c r="A154" i="18"/>
  <c r="K153" i="18"/>
  <c r="L153" i="18"/>
  <c r="L149" i="24"/>
  <c r="AF60" i="7" s="1"/>
  <c r="AB149" i="24"/>
  <c r="X149" i="24"/>
  <c r="AE60" i="7"/>
  <c r="A150" i="24"/>
  <c r="K149" i="24"/>
  <c r="AB152" i="20"/>
  <c r="K152" i="20"/>
  <c r="X152" i="20"/>
  <c r="L152" i="20"/>
  <c r="A153" i="20"/>
  <c r="K155" i="15"/>
  <c r="X155" i="15"/>
  <c r="A156" i="15"/>
  <c r="AB155" i="15"/>
  <c r="L155" i="15"/>
  <c r="D155" i="15" s="1"/>
  <c r="X156" i="15"/>
  <c r="AB156" i="15"/>
  <c r="K156" i="15"/>
  <c r="A157" i="15"/>
  <c r="L156" i="15"/>
  <c r="A151" i="24"/>
  <c r="AB150" i="24"/>
  <c r="K150" i="24"/>
  <c r="X150" i="24"/>
  <c r="L150" i="24"/>
  <c r="AE72" i="7"/>
  <c r="L149" i="25"/>
  <c r="AB149" i="25"/>
  <c r="K149" i="25"/>
  <c r="X149" i="25"/>
  <c r="A150" i="25"/>
  <c r="K156" i="17"/>
  <c r="A157" i="17"/>
  <c r="L156" i="17"/>
  <c r="D156" i="17" s="1"/>
  <c r="X156" i="17"/>
  <c r="AB156" i="17"/>
  <c r="AJ159" i="1"/>
  <c r="K159" i="1"/>
  <c r="L159" i="1"/>
  <c r="AB159" i="1"/>
  <c r="AK159" i="1"/>
  <c r="X159" i="1"/>
  <c r="A160" i="1"/>
  <c r="K153" i="20"/>
  <c r="L153" i="20"/>
  <c r="X153" i="20"/>
  <c r="A154" i="20"/>
  <c r="AB153" i="20"/>
  <c r="X154" i="18"/>
  <c r="L154" i="18"/>
  <c r="AB154" i="18"/>
  <c r="A155" i="18"/>
  <c r="K154" i="18"/>
  <c r="K151" i="23"/>
  <c r="X151" i="23"/>
  <c r="AB151" i="23"/>
  <c r="A152" i="23"/>
  <c r="L151" i="23"/>
  <c r="X152" i="22"/>
  <c r="K152" i="22"/>
  <c r="L152" i="22"/>
  <c r="A153" i="22"/>
  <c r="AB152" i="22"/>
  <c r="X156" i="16"/>
  <c r="A157" i="16"/>
  <c r="L156" i="16"/>
  <c r="D156" i="16" s="1"/>
  <c r="AB156" i="16"/>
  <c r="K156" i="16"/>
  <c r="X157" i="16"/>
  <c r="K157" i="16"/>
  <c r="A158" i="16"/>
  <c r="AB157" i="16"/>
  <c r="L157" i="16"/>
  <c r="D157" i="16" s="1"/>
  <c r="X152" i="23"/>
  <c r="AB152" i="23"/>
  <c r="K152" i="23"/>
  <c r="A153" i="23"/>
  <c r="L152" i="23"/>
  <c r="AB155" i="18"/>
  <c r="K155" i="18"/>
  <c r="A156" i="18"/>
  <c r="L155" i="18"/>
  <c r="X155" i="18"/>
  <c r="K154" i="20"/>
  <c r="AB154" i="20"/>
  <c r="A155" i="20"/>
  <c r="L154" i="20"/>
  <c r="X154" i="20"/>
  <c r="AF72" i="7"/>
  <c r="L151" i="24"/>
  <c r="A152" i="24"/>
  <c r="X151" i="24"/>
  <c r="AB151" i="24"/>
  <c r="K151" i="24"/>
  <c r="A158" i="15"/>
  <c r="AB157" i="15"/>
  <c r="L157" i="15"/>
  <c r="X157" i="15"/>
  <c r="K157" i="15"/>
  <c r="AB153" i="22"/>
  <c r="L153" i="22"/>
  <c r="X153" i="22"/>
  <c r="A154" i="22"/>
  <c r="K153" i="22"/>
  <c r="A161" i="1"/>
  <c r="AK160" i="1"/>
  <c r="K160" i="1"/>
  <c r="AB160" i="1"/>
  <c r="AJ160" i="1"/>
  <c r="L160" i="1"/>
  <c r="X160" i="1"/>
  <c r="L157" i="17"/>
  <c r="D157" i="17" s="1"/>
  <c r="K157" i="17"/>
  <c r="A158" i="17"/>
  <c r="AB157" i="17"/>
  <c r="X157" i="17"/>
  <c r="X150" i="25"/>
  <c r="L150" i="25"/>
  <c r="A151" i="25"/>
  <c r="AB150" i="25"/>
  <c r="K150" i="25"/>
  <c r="D156" i="15"/>
  <c r="A152" i="25"/>
  <c r="K151" i="25"/>
  <c r="AB151" i="25"/>
  <c r="X151" i="25"/>
  <c r="L151" i="25"/>
  <c r="L158" i="17"/>
  <c r="D158" i="17" s="1"/>
  <c r="AB158" i="17"/>
  <c r="A159" i="17"/>
  <c r="X158" i="17"/>
  <c r="K158" i="17"/>
  <c r="A162" i="1"/>
  <c r="AK161" i="1"/>
  <c r="K161" i="1"/>
  <c r="AJ161" i="1"/>
  <c r="X161" i="1"/>
  <c r="AB161" i="1"/>
  <c r="L161" i="1"/>
  <c r="K154" i="22"/>
  <c r="A155" i="22"/>
  <c r="L154" i="22"/>
  <c r="AB154" i="22"/>
  <c r="X154" i="22"/>
  <c r="D157" i="15"/>
  <c r="K158" i="15"/>
  <c r="X158" i="15"/>
  <c r="L158" i="15"/>
  <c r="D158" i="15" s="1"/>
  <c r="A159" i="15"/>
  <c r="AB158" i="15"/>
  <c r="AB152" i="24"/>
  <c r="K152" i="24"/>
  <c r="X152" i="24"/>
  <c r="A153" i="24"/>
  <c r="L152" i="24"/>
  <c r="K155" i="20"/>
  <c r="AB155" i="20"/>
  <c r="A156" i="20"/>
  <c r="X155" i="20"/>
  <c r="L155" i="20"/>
  <c r="A157" i="18"/>
  <c r="K156" i="18"/>
  <c r="X156" i="18"/>
  <c r="AB156" i="18"/>
  <c r="L156" i="18"/>
  <c r="L153" i="23"/>
  <c r="AB153" i="23"/>
  <c r="K153" i="23"/>
  <c r="A154" i="23"/>
  <c r="X153" i="23"/>
  <c r="A159" i="16"/>
  <c r="K158" i="16"/>
  <c r="AB158" i="16"/>
  <c r="L158" i="16"/>
  <c r="X158" i="16"/>
  <c r="A160" i="16"/>
  <c r="AB159" i="16"/>
  <c r="K159" i="16"/>
  <c r="L159" i="16"/>
  <c r="D159" i="16" s="1"/>
  <c r="X159" i="16"/>
  <c r="L154" i="23"/>
  <c r="A155" i="23"/>
  <c r="K154" i="23"/>
  <c r="X154" i="23"/>
  <c r="AB154" i="23"/>
  <c r="K157" i="18"/>
  <c r="A158" i="18"/>
  <c r="X157" i="18"/>
  <c r="L157" i="18"/>
  <c r="AB157" i="18"/>
  <c r="A160" i="15"/>
  <c r="X159" i="15"/>
  <c r="AB159" i="15"/>
  <c r="K159" i="15"/>
  <c r="L159" i="15"/>
  <c r="D159" i="15" s="1"/>
  <c r="L155" i="22"/>
  <c r="X155" i="22"/>
  <c r="A156" i="22"/>
  <c r="K155" i="22"/>
  <c r="AB155" i="22"/>
  <c r="A163" i="1"/>
  <c r="X162" i="1"/>
  <c r="K162" i="1"/>
  <c r="L162" i="1"/>
  <c r="AJ162" i="1"/>
  <c r="AK162" i="1"/>
  <c r="AB162" i="1"/>
  <c r="D158" i="16"/>
  <c r="X156" i="20"/>
  <c r="A157" i="20"/>
  <c r="AB156" i="20"/>
  <c r="L156" i="20"/>
  <c r="K156" i="20"/>
  <c r="X153" i="24"/>
  <c r="L153" i="24"/>
  <c r="K153" i="24"/>
  <c r="A154" i="24"/>
  <c r="AB153" i="24"/>
  <c r="A160" i="17"/>
  <c r="L159" i="17"/>
  <c r="D159" i="17" s="1"/>
  <c r="K159" i="17"/>
  <c r="X159" i="17"/>
  <c r="AB159" i="17"/>
  <c r="A153" i="25"/>
  <c r="L152" i="25"/>
  <c r="AB152" i="25"/>
  <c r="K152" i="25"/>
  <c r="X152" i="25"/>
  <c r="K153" i="25"/>
  <c r="A154" i="25"/>
  <c r="L153" i="25"/>
  <c r="AB153" i="25"/>
  <c r="X153" i="25"/>
  <c r="L160" i="17"/>
  <c r="D160" i="17" s="1"/>
  <c r="A161" i="17"/>
  <c r="K160" i="17"/>
  <c r="AB160" i="17"/>
  <c r="X160" i="17"/>
  <c r="AB154" i="24"/>
  <c r="X154" i="24"/>
  <c r="L154" i="24"/>
  <c r="K154" i="24"/>
  <c r="A155" i="24"/>
  <c r="K160" i="15"/>
  <c r="AB160" i="15"/>
  <c r="X160" i="15"/>
  <c r="A161" i="15"/>
  <c r="L160" i="15"/>
  <c r="D160" i="15" s="1"/>
  <c r="X155" i="23"/>
  <c r="A156" i="23"/>
  <c r="L155" i="23"/>
  <c r="AB155" i="23"/>
  <c r="K155" i="23"/>
  <c r="K157" i="20"/>
  <c r="A158" i="20"/>
  <c r="AB157" i="20"/>
  <c r="X157" i="20"/>
  <c r="L157" i="20"/>
  <c r="AK163" i="1"/>
  <c r="AB163" i="1"/>
  <c r="X163" i="1"/>
  <c r="A164" i="1"/>
  <c r="AJ163" i="1"/>
  <c r="L163" i="1"/>
  <c r="K163" i="1"/>
  <c r="A157" i="22"/>
  <c r="X156" i="22"/>
  <c r="K156" i="22"/>
  <c r="AB156" i="22"/>
  <c r="L156" i="22"/>
  <c r="X158" i="18"/>
  <c r="A159" i="18"/>
  <c r="L158" i="18"/>
  <c r="K158" i="18"/>
  <c r="AB158" i="18"/>
  <c r="X160" i="16"/>
  <c r="AB160" i="16"/>
  <c r="K160" i="16"/>
  <c r="L160" i="16"/>
  <c r="D160" i="16" s="1"/>
  <c r="A161" i="16"/>
  <c r="X161" i="16"/>
  <c r="AB161" i="16"/>
  <c r="A162" i="16"/>
  <c r="K161" i="16"/>
  <c r="L161" i="16"/>
  <c r="D161" i="16" s="1"/>
  <c r="AB161" i="15"/>
  <c r="K161" i="15"/>
  <c r="X161" i="15"/>
  <c r="A162" i="15"/>
  <c r="L161" i="15"/>
  <c r="D161" i="15" s="1"/>
  <c r="X154" i="25"/>
  <c r="AB154" i="25"/>
  <c r="K154" i="25"/>
  <c r="A155" i="25"/>
  <c r="L154" i="25"/>
  <c r="L159" i="18"/>
  <c r="AB159" i="18"/>
  <c r="A160" i="18"/>
  <c r="K159" i="18"/>
  <c r="X159" i="18"/>
  <c r="A158" i="22"/>
  <c r="X157" i="22"/>
  <c r="L157" i="22"/>
  <c r="K157" i="22"/>
  <c r="AB157" i="22"/>
  <c r="AK164" i="1"/>
  <c r="L164" i="1"/>
  <c r="K164" i="1"/>
  <c r="AJ164" i="1"/>
  <c r="X164" i="1"/>
  <c r="AB164" i="1"/>
  <c r="A165" i="1"/>
  <c r="L158" i="20"/>
  <c r="X158" i="20"/>
  <c r="K158" i="20"/>
  <c r="AB158" i="20"/>
  <c r="A159" i="20"/>
  <c r="A157" i="23"/>
  <c r="AB156" i="23"/>
  <c r="X156" i="23"/>
  <c r="K156" i="23"/>
  <c r="L156" i="23"/>
  <c r="AB155" i="24"/>
  <c r="A156" i="24"/>
  <c r="K155" i="24"/>
  <c r="L155" i="24"/>
  <c r="X155" i="24"/>
  <c r="K161" i="17"/>
  <c r="A162" i="17"/>
  <c r="X161" i="17"/>
  <c r="L161" i="17"/>
  <c r="AB161" i="17"/>
  <c r="D161" i="17"/>
  <c r="X156" i="24"/>
  <c r="K156" i="24"/>
  <c r="A157" i="24"/>
  <c r="L156" i="24"/>
  <c r="AB156" i="24"/>
  <c r="AB157" i="23"/>
  <c r="K157" i="23"/>
  <c r="L157" i="23"/>
  <c r="X157" i="23"/>
  <c r="A158" i="23"/>
  <c r="L159" i="20"/>
  <c r="A160" i="20"/>
  <c r="AB159" i="20"/>
  <c r="K159" i="20"/>
  <c r="X159" i="20"/>
  <c r="A166" i="1"/>
  <c r="AB165" i="1"/>
  <c r="AK165" i="1"/>
  <c r="L165" i="1"/>
  <c r="AJ165" i="1"/>
  <c r="K165" i="1"/>
  <c r="X165" i="1"/>
  <c r="AB160" i="18"/>
  <c r="X160" i="18"/>
  <c r="A161" i="18"/>
  <c r="L160" i="18"/>
  <c r="K160" i="18"/>
  <c r="A156" i="25"/>
  <c r="L155" i="25"/>
  <c r="K155" i="25"/>
  <c r="X155" i="25"/>
  <c r="AB155" i="25"/>
  <c r="L162" i="15"/>
  <c r="D162" i="15" s="1"/>
  <c r="AB162" i="15"/>
  <c r="X162" i="15"/>
  <c r="K162" i="15"/>
  <c r="A163" i="15"/>
  <c r="A163" i="17"/>
  <c r="X162" i="17"/>
  <c r="L162" i="17"/>
  <c r="D162" i="17" s="1"/>
  <c r="AB162" i="17"/>
  <c r="K162" i="17"/>
  <c r="K158" i="22"/>
  <c r="A159" i="22"/>
  <c r="AB158" i="22"/>
  <c r="X158" i="22"/>
  <c r="L158" i="22"/>
  <c r="K162" i="16"/>
  <c r="X162" i="16"/>
  <c r="L162" i="16"/>
  <c r="A163" i="16"/>
  <c r="AB162" i="16"/>
  <c r="L159" i="22"/>
  <c r="AB159" i="22"/>
  <c r="K159" i="22"/>
  <c r="A160" i="22"/>
  <c r="X159" i="22"/>
  <c r="K161" i="18"/>
  <c r="X161" i="18"/>
  <c r="L161" i="18"/>
  <c r="AB161" i="18"/>
  <c r="A162" i="18"/>
  <c r="A167" i="1"/>
  <c r="AK166" i="1"/>
  <c r="AB166" i="1"/>
  <c r="L166" i="1"/>
  <c r="AJ166" i="1"/>
  <c r="X166" i="1"/>
  <c r="K166" i="1"/>
  <c r="AB157" i="24"/>
  <c r="A158" i="24"/>
  <c r="K157" i="24"/>
  <c r="X157" i="24"/>
  <c r="L157" i="24"/>
  <c r="X163" i="16"/>
  <c r="AB163" i="16"/>
  <c r="K163" i="16"/>
  <c r="A164" i="16"/>
  <c r="L163" i="16"/>
  <c r="D163" i="16" s="1"/>
  <c r="D162" i="16"/>
  <c r="A164" i="17"/>
  <c r="L163" i="17"/>
  <c r="D163" i="17" s="1"/>
  <c r="K163" i="17"/>
  <c r="X163" i="17"/>
  <c r="AB163" i="17"/>
  <c r="L163" i="15"/>
  <c r="D163" i="15" s="1"/>
  <c r="X163" i="15"/>
  <c r="K163" i="15"/>
  <c r="AB163" i="15"/>
  <c r="A164" i="15"/>
  <c r="AB156" i="25"/>
  <c r="X156" i="25"/>
  <c r="A157" i="25"/>
  <c r="L156" i="25"/>
  <c r="K156" i="25"/>
  <c r="K160" i="20"/>
  <c r="A161" i="20"/>
  <c r="AB160" i="20"/>
  <c r="L160" i="20"/>
  <c r="X160" i="20"/>
  <c r="X158" i="23"/>
  <c r="K158" i="23"/>
  <c r="A159" i="23"/>
  <c r="L158" i="23"/>
  <c r="AB158" i="23"/>
  <c r="K164" i="15"/>
  <c r="L164" i="15"/>
  <c r="D164" i="15" s="1"/>
  <c r="X164" i="15"/>
  <c r="A165" i="15"/>
  <c r="AB164" i="15"/>
  <c r="L158" i="24"/>
  <c r="AB158" i="24"/>
  <c r="A159" i="24"/>
  <c r="K158" i="24"/>
  <c r="X158" i="24"/>
  <c r="A168" i="1"/>
  <c r="X167" i="1"/>
  <c r="AK167" i="1"/>
  <c r="AB167" i="1"/>
  <c r="K167" i="1"/>
  <c r="AJ167" i="1"/>
  <c r="L167" i="1"/>
  <c r="X159" i="23"/>
  <c r="K159" i="23"/>
  <c r="AB159" i="23"/>
  <c r="L159" i="23"/>
  <c r="A160" i="23"/>
  <c r="X161" i="20"/>
  <c r="AB161" i="20"/>
  <c r="A162" i="20"/>
  <c r="K161" i="20"/>
  <c r="L161" i="20"/>
  <c r="L157" i="25"/>
  <c r="X157" i="25"/>
  <c r="K157" i="25"/>
  <c r="A158" i="25"/>
  <c r="AB157" i="25"/>
  <c r="AB164" i="17"/>
  <c r="X164" i="17"/>
  <c r="A165" i="17"/>
  <c r="K164" i="17"/>
  <c r="L164" i="17"/>
  <c r="D164" i="17" s="1"/>
  <c r="K164" i="16"/>
  <c r="AB164" i="16"/>
  <c r="L164" i="16"/>
  <c r="A165" i="16"/>
  <c r="X164" i="16"/>
  <c r="X162" i="18"/>
  <c r="K162" i="18"/>
  <c r="A163" i="18"/>
  <c r="L162" i="18"/>
  <c r="AB162" i="18"/>
  <c r="K160" i="22"/>
  <c r="AB160" i="22"/>
  <c r="A161" i="22"/>
  <c r="L160" i="22"/>
  <c r="X160" i="22"/>
  <c r="X163" i="18"/>
  <c r="AB163" i="18"/>
  <c r="K163" i="18"/>
  <c r="L163" i="18"/>
  <c r="A164" i="18"/>
  <c r="D164" i="16"/>
  <c r="AB160" i="23"/>
  <c r="L160" i="23"/>
  <c r="A161" i="23"/>
  <c r="K160" i="23"/>
  <c r="X160" i="23"/>
  <c r="AJ168" i="1"/>
  <c r="X168" i="1"/>
  <c r="AK168" i="1"/>
  <c r="AB168" i="1"/>
  <c r="K168" i="1"/>
  <c r="L168" i="1"/>
  <c r="A169" i="1"/>
  <c r="A162" i="22"/>
  <c r="K161" i="22"/>
  <c r="L161" i="22"/>
  <c r="AB161" i="22"/>
  <c r="X161" i="22"/>
  <c r="X165" i="16"/>
  <c r="A166" i="16"/>
  <c r="K165" i="16"/>
  <c r="L165" i="16"/>
  <c r="D165" i="16" s="1"/>
  <c r="AB165" i="16"/>
  <c r="K165" i="17"/>
  <c r="X165" i="17"/>
  <c r="A166" i="17"/>
  <c r="L165" i="17"/>
  <c r="D165" i="17" s="1"/>
  <c r="AB165" i="17"/>
  <c r="AB158" i="25"/>
  <c r="L158" i="25"/>
  <c r="K158" i="25"/>
  <c r="X158" i="25"/>
  <c r="A159" i="25"/>
  <c r="K162" i="20"/>
  <c r="A163" i="20"/>
  <c r="AB162" i="20"/>
  <c r="L162" i="20"/>
  <c r="X162" i="20"/>
  <c r="AB159" i="24"/>
  <c r="A160" i="24"/>
  <c r="K159" i="24"/>
  <c r="X159" i="24"/>
  <c r="L159" i="24"/>
  <c r="X165" i="15"/>
  <c r="A166" i="15"/>
  <c r="AB165" i="15"/>
  <c r="L165" i="15"/>
  <c r="K165" i="15"/>
  <c r="D165" i="15"/>
  <c r="A163" i="22"/>
  <c r="K162" i="22"/>
  <c r="AB162" i="22"/>
  <c r="L162" i="22"/>
  <c r="X162" i="22"/>
  <c r="X161" i="23"/>
  <c r="AB161" i="23"/>
  <c r="A162" i="23"/>
  <c r="K161" i="23"/>
  <c r="L161" i="23"/>
  <c r="K166" i="15"/>
  <c r="L166" i="15"/>
  <c r="D166" i="15" s="1"/>
  <c r="X166" i="15"/>
  <c r="AB166" i="15"/>
  <c r="A167" i="15"/>
  <c r="L160" i="24"/>
  <c r="X160" i="24"/>
  <c r="AB160" i="24"/>
  <c r="A161" i="24"/>
  <c r="K160" i="24"/>
  <c r="AB163" i="20"/>
  <c r="A164" i="20"/>
  <c r="K163" i="20"/>
  <c r="L163" i="20"/>
  <c r="X163" i="20"/>
  <c r="A160" i="25"/>
  <c r="X159" i="25"/>
  <c r="AB159" i="25"/>
  <c r="K159" i="25"/>
  <c r="L159" i="25"/>
  <c r="K166" i="17"/>
  <c r="L166" i="17"/>
  <c r="D166" i="17" s="1"/>
  <c r="A167" i="17"/>
  <c r="X166" i="17"/>
  <c r="AB166" i="17"/>
  <c r="AB166" i="16"/>
  <c r="K166" i="16"/>
  <c r="L166" i="16"/>
  <c r="D166" i="16" s="1"/>
  <c r="X166" i="16"/>
  <c r="A167" i="16"/>
  <c r="AK169" i="1"/>
  <c r="X169" i="1"/>
  <c r="K169" i="1"/>
  <c r="AJ169" i="1"/>
  <c r="L169" i="1"/>
  <c r="AB169" i="1"/>
  <c r="A170" i="1"/>
  <c r="AB164" i="18"/>
  <c r="L164" i="18"/>
  <c r="A165" i="18"/>
  <c r="K164" i="18"/>
  <c r="X164" i="18"/>
  <c r="X167" i="17"/>
  <c r="AB167" i="17"/>
  <c r="L167" i="17"/>
  <c r="D167" i="17" s="1"/>
  <c r="A168" i="17"/>
  <c r="K167" i="17"/>
  <c r="K160" i="25"/>
  <c r="AB160" i="25"/>
  <c r="X160" i="25"/>
  <c r="L160" i="25"/>
  <c r="A161" i="25"/>
  <c r="A165" i="20"/>
  <c r="K164" i="20"/>
  <c r="L164" i="20"/>
  <c r="AB164" i="20"/>
  <c r="X164" i="20"/>
  <c r="AB161" i="24"/>
  <c r="X161" i="24"/>
  <c r="K161" i="24"/>
  <c r="A162" i="24"/>
  <c r="L161" i="24"/>
  <c r="K167" i="15"/>
  <c r="AB167" i="15"/>
  <c r="X167" i="15"/>
  <c r="L167" i="15"/>
  <c r="D167" i="15" s="1"/>
  <c r="A168" i="15"/>
  <c r="X165" i="18"/>
  <c r="L165" i="18"/>
  <c r="K165" i="18"/>
  <c r="A166" i="18"/>
  <c r="AB165" i="18"/>
  <c r="X170" i="1"/>
  <c r="L170" i="1"/>
  <c r="AJ170" i="1"/>
  <c r="A171" i="1"/>
  <c r="K170" i="1"/>
  <c r="AB170" i="1"/>
  <c r="AK170" i="1"/>
  <c r="A168" i="16"/>
  <c r="X167" i="16"/>
  <c r="L167" i="16"/>
  <c r="D167" i="16" s="1"/>
  <c r="AB167" i="16"/>
  <c r="K167" i="16"/>
  <c r="AB162" i="23"/>
  <c r="K162" i="23"/>
  <c r="A163" i="23"/>
  <c r="L162" i="23"/>
  <c r="X162" i="23"/>
  <c r="X163" i="22"/>
  <c r="AB163" i="22"/>
  <c r="L163" i="22"/>
  <c r="A164" i="22"/>
  <c r="K163" i="22"/>
  <c r="L166" i="18"/>
  <c r="A167" i="18"/>
  <c r="K166" i="18"/>
  <c r="X166" i="18"/>
  <c r="AB166" i="18"/>
  <c r="X161" i="25"/>
  <c r="AB161" i="25"/>
  <c r="K161" i="25"/>
  <c r="A162" i="25"/>
  <c r="L161" i="25"/>
  <c r="L164" i="22"/>
  <c r="K164" i="22"/>
  <c r="AB164" i="22"/>
  <c r="X164" i="22"/>
  <c r="A165" i="22"/>
  <c r="L163" i="23"/>
  <c r="AB163" i="23"/>
  <c r="X163" i="23"/>
  <c r="K163" i="23"/>
  <c r="A164" i="23"/>
  <c r="A169" i="16"/>
  <c r="K168" i="16"/>
  <c r="L168" i="16"/>
  <c r="D168" i="16" s="1"/>
  <c r="AB168" i="16"/>
  <c r="X168" i="16"/>
  <c r="AK171" i="1"/>
  <c r="L171" i="1"/>
  <c r="AB171" i="1"/>
  <c r="A172" i="1"/>
  <c r="X171" i="1"/>
  <c r="K171" i="1"/>
  <c r="AJ171" i="1"/>
  <c r="A169" i="15"/>
  <c r="K168" i="15"/>
  <c r="AB168" i="15"/>
  <c r="X168" i="15"/>
  <c r="L168" i="15"/>
  <c r="D168" i="15" s="1"/>
  <c r="K162" i="24"/>
  <c r="AB162" i="24"/>
  <c r="L162" i="24"/>
  <c r="A163" i="24"/>
  <c r="X162" i="24"/>
  <c r="X165" i="20"/>
  <c r="A166" i="20"/>
  <c r="L165" i="20"/>
  <c r="K165" i="20"/>
  <c r="AB165" i="20"/>
  <c r="L168" i="17"/>
  <c r="D168" i="17" s="1"/>
  <c r="K168" i="17"/>
  <c r="X168" i="17"/>
  <c r="A169" i="17"/>
  <c r="AB168" i="17"/>
  <c r="K169" i="17"/>
  <c r="L169" i="17"/>
  <c r="D169" i="17" s="1"/>
  <c r="X169" i="17"/>
  <c r="AB169" i="17"/>
  <c r="A170" i="17"/>
  <c r="A167" i="20"/>
  <c r="X166" i="20"/>
  <c r="AB166" i="20"/>
  <c r="K166" i="20"/>
  <c r="L166" i="20"/>
  <c r="K163" i="24"/>
  <c r="AB163" i="24"/>
  <c r="A164" i="24"/>
  <c r="X163" i="24"/>
  <c r="L163" i="24"/>
  <c r="L169" i="15"/>
  <c r="D169" i="15" s="1"/>
  <c r="A170" i="15"/>
  <c r="AB169" i="15"/>
  <c r="X169" i="15"/>
  <c r="K169" i="15"/>
  <c r="A166" i="22"/>
  <c r="X165" i="22"/>
  <c r="AB165" i="22"/>
  <c r="K165" i="22"/>
  <c r="L165" i="22"/>
  <c r="AB167" i="18"/>
  <c r="A168" i="18"/>
  <c r="L167" i="18"/>
  <c r="X167" i="18"/>
  <c r="K167" i="18"/>
  <c r="A173" i="1"/>
  <c r="L172" i="1"/>
  <c r="AB172" i="1"/>
  <c r="AJ172" i="1"/>
  <c r="K172" i="1"/>
  <c r="AK172" i="1"/>
  <c r="X172" i="1"/>
  <c r="A170" i="16"/>
  <c r="K169" i="16"/>
  <c r="X169" i="16"/>
  <c r="AB169" i="16"/>
  <c r="L169" i="16"/>
  <c r="A165" i="23"/>
  <c r="L164" i="23"/>
  <c r="AB164" i="23"/>
  <c r="K164" i="23"/>
  <c r="X164" i="23"/>
  <c r="K162" i="25"/>
  <c r="L162" i="25"/>
  <c r="AB162" i="25"/>
  <c r="X162" i="25"/>
  <c r="A163" i="25"/>
  <c r="K165" i="23"/>
  <c r="L165" i="23"/>
  <c r="A166" i="23"/>
  <c r="AB165" i="23"/>
  <c r="X165" i="23"/>
  <c r="D169" i="16"/>
  <c r="K168" i="18"/>
  <c r="L168" i="18"/>
  <c r="A169" i="18"/>
  <c r="AB168" i="18"/>
  <c r="X168" i="18"/>
  <c r="A167" i="22"/>
  <c r="K166" i="22"/>
  <c r="X166" i="22"/>
  <c r="AB166" i="22"/>
  <c r="L166" i="22"/>
  <c r="K170" i="15"/>
  <c r="AB170" i="15"/>
  <c r="A171" i="15"/>
  <c r="X170" i="15"/>
  <c r="L170" i="15"/>
  <c r="K164" i="24"/>
  <c r="A165" i="24"/>
  <c r="X164" i="24"/>
  <c r="L164" i="24"/>
  <c r="AB164" i="24"/>
  <c r="L163" i="25"/>
  <c r="A164" i="25"/>
  <c r="K163" i="25"/>
  <c r="X163" i="25"/>
  <c r="AB163" i="25"/>
  <c r="L170" i="16"/>
  <c r="D170" i="16" s="1"/>
  <c r="K170" i="16"/>
  <c r="X170" i="16"/>
  <c r="A171" i="16"/>
  <c r="AB170" i="16"/>
  <c r="A174" i="1"/>
  <c r="K173" i="1"/>
  <c r="AK173" i="1"/>
  <c r="L173" i="1"/>
  <c r="AJ173" i="1"/>
  <c r="AB173" i="1"/>
  <c r="X173" i="1"/>
  <c r="I169" i="1"/>
  <c r="K167" i="20"/>
  <c r="X167" i="20"/>
  <c r="A168" i="20"/>
  <c r="AB167" i="20"/>
  <c r="L167" i="20"/>
  <c r="AB170" i="17"/>
  <c r="A171" i="17"/>
  <c r="K170" i="17"/>
  <c r="L170" i="17"/>
  <c r="D170" i="17" s="1"/>
  <c r="X170" i="17"/>
  <c r="I170" i="1"/>
  <c r="A175" i="1"/>
  <c r="AB174" i="1"/>
  <c r="K174" i="1"/>
  <c r="X174" i="1"/>
  <c r="L174" i="1"/>
  <c r="AJ174" i="1"/>
  <c r="AK174" i="1"/>
  <c r="L171" i="16"/>
  <c r="D171" i="16" s="1"/>
  <c r="AB171" i="16"/>
  <c r="A172" i="16"/>
  <c r="K171" i="16"/>
  <c r="X171" i="16"/>
  <c r="K165" i="24"/>
  <c r="AB165" i="24"/>
  <c r="A166" i="24"/>
  <c r="L165" i="24"/>
  <c r="X165" i="24"/>
  <c r="D170" i="15"/>
  <c r="A168" i="22"/>
  <c r="K167" i="22"/>
  <c r="X167" i="22"/>
  <c r="L167" i="22"/>
  <c r="AB167" i="22"/>
  <c r="X169" i="18"/>
  <c r="L169" i="18"/>
  <c r="K169" i="18"/>
  <c r="A170" i="18"/>
  <c r="AB169" i="18"/>
  <c r="L171" i="17"/>
  <c r="D171" i="17" s="1"/>
  <c r="AB171" i="17"/>
  <c r="K171" i="17"/>
  <c r="X171" i="17"/>
  <c r="A172" i="17"/>
  <c r="AB168" i="20"/>
  <c r="A169" i="20"/>
  <c r="L168" i="20"/>
  <c r="X168" i="20"/>
  <c r="K168" i="20"/>
  <c r="A165" i="25"/>
  <c r="K164" i="25"/>
  <c r="AB164" i="25"/>
  <c r="L164" i="25"/>
  <c r="X164" i="25"/>
  <c r="L171" i="15"/>
  <c r="X171" i="15"/>
  <c r="K171" i="15"/>
  <c r="AB171" i="15"/>
  <c r="A172" i="15"/>
  <c r="AB166" i="23"/>
  <c r="A167" i="23"/>
  <c r="X166" i="23"/>
  <c r="K166" i="23"/>
  <c r="L166" i="23"/>
  <c r="D171" i="15"/>
  <c r="I171" i="1"/>
  <c r="A171" i="18"/>
  <c r="L170" i="18"/>
  <c r="AB170" i="18"/>
  <c r="K170" i="18"/>
  <c r="X170" i="18"/>
  <c r="AB168" i="22"/>
  <c r="A169" i="22"/>
  <c r="X168" i="22"/>
  <c r="K168" i="22"/>
  <c r="L168" i="22"/>
  <c r="A167" i="24"/>
  <c r="K166" i="24"/>
  <c r="L166" i="24"/>
  <c r="X166" i="24"/>
  <c r="AB166" i="24"/>
  <c r="L167" i="23"/>
  <c r="K167" i="23"/>
  <c r="AB167" i="23"/>
  <c r="A168" i="23"/>
  <c r="X167" i="23"/>
  <c r="K172" i="15"/>
  <c r="X172" i="15"/>
  <c r="L172" i="15"/>
  <c r="D172" i="15" s="1"/>
  <c r="A173" i="15"/>
  <c r="AB172" i="15"/>
  <c r="K165" i="25"/>
  <c r="A166" i="25"/>
  <c r="X165" i="25"/>
  <c r="AB165" i="25"/>
  <c r="L165" i="25"/>
  <c r="AB169" i="20"/>
  <c r="L169" i="20"/>
  <c r="A170" i="20"/>
  <c r="K169" i="20"/>
  <c r="X169" i="20"/>
  <c r="K172" i="17"/>
  <c r="A173" i="17"/>
  <c r="L172" i="17"/>
  <c r="D172" i="17" s="1"/>
  <c r="AB172" i="17"/>
  <c r="X172" i="17"/>
  <c r="L172" i="16"/>
  <c r="D172" i="16" s="1"/>
  <c r="AB172" i="16"/>
  <c r="K172" i="16"/>
  <c r="A173" i="16"/>
  <c r="X172" i="16"/>
  <c r="AJ175" i="1"/>
  <c r="AK175" i="1"/>
  <c r="K175" i="1"/>
  <c r="A176" i="1"/>
  <c r="AB175" i="1"/>
  <c r="X175" i="1"/>
  <c r="L175" i="1"/>
  <c r="A174" i="17"/>
  <c r="K173" i="17"/>
  <c r="AB173" i="17"/>
  <c r="L173" i="17"/>
  <c r="D173" i="17" s="1"/>
  <c r="X173" i="17"/>
  <c r="X170" i="20"/>
  <c r="K170" i="20"/>
  <c r="A171" i="20"/>
  <c r="L170" i="20"/>
  <c r="AB170" i="20"/>
  <c r="X173" i="15"/>
  <c r="A174" i="15"/>
  <c r="AB173" i="15"/>
  <c r="L173" i="15"/>
  <c r="D173" i="15" s="1"/>
  <c r="K173" i="15"/>
  <c r="X167" i="24"/>
  <c r="A168" i="24"/>
  <c r="K167" i="24"/>
  <c r="L167" i="24"/>
  <c r="AB167" i="24"/>
  <c r="AB169" i="22"/>
  <c r="X169" i="22"/>
  <c r="K169" i="22"/>
  <c r="A170" i="22"/>
  <c r="L169" i="22"/>
  <c r="I172" i="1"/>
  <c r="A177" i="1"/>
  <c r="AB176" i="1"/>
  <c r="AJ176" i="1"/>
  <c r="X176" i="1"/>
  <c r="K176" i="1"/>
  <c r="AK176" i="1"/>
  <c r="L176" i="1"/>
  <c r="X173" i="16"/>
  <c r="L173" i="16"/>
  <c r="D173" i="16" s="1"/>
  <c r="AB173" i="16"/>
  <c r="K173" i="16"/>
  <c r="A174" i="16"/>
  <c r="L166" i="25"/>
  <c r="X166" i="25"/>
  <c r="K166" i="25"/>
  <c r="AB166" i="25"/>
  <c r="A167" i="25"/>
  <c r="K168" i="23"/>
  <c r="X168" i="23"/>
  <c r="L168" i="23"/>
  <c r="A169" i="23"/>
  <c r="AB168" i="23"/>
  <c r="L171" i="18"/>
  <c r="X171" i="18"/>
  <c r="A172" i="18"/>
  <c r="K171" i="18"/>
  <c r="AB171" i="18"/>
  <c r="I173" i="1"/>
  <c r="X167" i="25"/>
  <c r="K167" i="25"/>
  <c r="AB167" i="25"/>
  <c r="L167" i="25"/>
  <c r="A168" i="25"/>
  <c r="L174" i="16"/>
  <c r="X174" i="16"/>
  <c r="K174" i="16"/>
  <c r="A175" i="16"/>
  <c r="AB174" i="16"/>
  <c r="AJ177" i="1"/>
  <c r="K177" i="1"/>
  <c r="AB177" i="1"/>
  <c r="A178" i="1"/>
  <c r="AK177" i="1"/>
  <c r="L177" i="1"/>
  <c r="X177" i="1"/>
  <c r="AB174" i="15"/>
  <c r="X174" i="15"/>
  <c r="A175" i="15"/>
  <c r="K174" i="15"/>
  <c r="L174" i="15"/>
  <c r="D174" i="15" s="1"/>
  <c r="K171" i="20"/>
  <c r="L171" i="20"/>
  <c r="A172" i="20"/>
  <c r="X171" i="20"/>
  <c r="AB171" i="20"/>
  <c r="AB172" i="18"/>
  <c r="K172" i="18"/>
  <c r="L172" i="18"/>
  <c r="X172" i="18"/>
  <c r="A173" i="18"/>
  <c r="K169" i="23"/>
  <c r="X169" i="23"/>
  <c r="AB169" i="23"/>
  <c r="L169" i="23"/>
  <c r="A170" i="23"/>
  <c r="X170" i="22"/>
  <c r="L170" i="22"/>
  <c r="A171" i="22"/>
  <c r="K170" i="22"/>
  <c r="AB170" i="22"/>
  <c r="K168" i="24"/>
  <c r="AB168" i="24"/>
  <c r="X168" i="24"/>
  <c r="L168" i="24"/>
  <c r="A169" i="24"/>
  <c r="L174" i="17"/>
  <c r="D174" i="17" s="1"/>
  <c r="AB174" i="17"/>
  <c r="K174" i="17"/>
  <c r="A175" i="17"/>
  <c r="X174" i="17"/>
  <c r="AB169" i="24"/>
  <c r="L169" i="24"/>
  <c r="X169" i="24"/>
  <c r="A170" i="24"/>
  <c r="K169" i="24"/>
  <c r="A174" i="18"/>
  <c r="L173" i="18"/>
  <c r="AB173" i="18"/>
  <c r="K173" i="18"/>
  <c r="X173" i="18"/>
  <c r="X172" i="20"/>
  <c r="A173" i="20"/>
  <c r="K172" i="20"/>
  <c r="L172" i="20"/>
  <c r="AB172" i="20"/>
  <c r="K175" i="15"/>
  <c r="X175" i="15"/>
  <c r="L175" i="15"/>
  <c r="D175" i="15" s="1"/>
  <c r="AB175" i="15"/>
  <c r="A176" i="15"/>
  <c r="X178" i="1"/>
  <c r="AK178" i="1"/>
  <c r="L178" i="1"/>
  <c r="A179" i="1"/>
  <c r="AJ178" i="1"/>
  <c r="K178" i="1"/>
  <c r="AB178" i="1"/>
  <c r="L175" i="16"/>
  <c r="X175" i="16"/>
  <c r="A176" i="16"/>
  <c r="K175" i="16"/>
  <c r="AB175" i="16"/>
  <c r="K168" i="25"/>
  <c r="X168" i="25"/>
  <c r="AB168" i="25"/>
  <c r="A169" i="25"/>
  <c r="L168" i="25"/>
  <c r="K175" i="17"/>
  <c r="X175" i="17"/>
  <c r="AB175" i="17"/>
  <c r="L175" i="17"/>
  <c r="D175" i="17" s="1"/>
  <c r="A176" i="17"/>
  <c r="X171" i="22"/>
  <c r="A172" i="22"/>
  <c r="K171" i="22"/>
  <c r="L171" i="22"/>
  <c r="AB171" i="22"/>
  <c r="I174" i="1"/>
  <c r="X170" i="23"/>
  <c r="L170" i="23"/>
  <c r="A171" i="23"/>
  <c r="K170" i="23"/>
  <c r="AB170" i="23"/>
  <c r="D174" i="16"/>
  <c r="X172" i="22"/>
  <c r="L172" i="22"/>
  <c r="K172" i="22"/>
  <c r="AB172" i="22"/>
  <c r="A173" i="22"/>
  <c r="L179" i="1"/>
  <c r="K179" i="1"/>
  <c r="X179" i="1"/>
  <c r="AB179" i="1"/>
  <c r="AK179" i="1"/>
  <c r="A180" i="1"/>
  <c r="AJ179" i="1"/>
  <c r="K173" i="20"/>
  <c r="A174" i="20"/>
  <c r="L173" i="20"/>
  <c r="AB173" i="20"/>
  <c r="X173" i="20"/>
  <c r="AB171" i="23"/>
  <c r="X171" i="23"/>
  <c r="A172" i="23"/>
  <c r="K171" i="23"/>
  <c r="L171" i="23"/>
  <c r="AB176" i="17"/>
  <c r="X176" i="17"/>
  <c r="A177" i="17"/>
  <c r="K176" i="17"/>
  <c r="L176" i="17"/>
  <c r="D176" i="17" s="1"/>
  <c r="A170" i="25"/>
  <c r="K169" i="25"/>
  <c r="X169" i="25"/>
  <c r="AB169" i="25"/>
  <c r="L169" i="25"/>
  <c r="A177" i="16"/>
  <c r="AB176" i="16"/>
  <c r="K176" i="16"/>
  <c r="X176" i="16"/>
  <c r="L176" i="16"/>
  <c r="D175" i="16"/>
  <c r="AB176" i="15"/>
  <c r="K176" i="15"/>
  <c r="L176" i="15"/>
  <c r="A177" i="15"/>
  <c r="X176" i="15"/>
  <c r="L174" i="18"/>
  <c r="K174" i="18"/>
  <c r="A175" i="18"/>
  <c r="AB174" i="18"/>
  <c r="X174" i="18"/>
  <c r="A171" i="24"/>
  <c r="AB170" i="24"/>
  <c r="X170" i="24"/>
  <c r="L170" i="24"/>
  <c r="K170" i="24"/>
  <c r="I175" i="1"/>
  <c r="I176" i="1"/>
  <c r="L171" i="24"/>
  <c r="K171" i="24"/>
  <c r="A172" i="24"/>
  <c r="AB171" i="24"/>
  <c r="X171" i="24"/>
  <c r="D176" i="15"/>
  <c r="AB170" i="25"/>
  <c r="K170" i="25"/>
  <c r="A171" i="25"/>
  <c r="L170" i="25"/>
  <c r="X170" i="25"/>
  <c r="K177" i="17"/>
  <c r="L177" i="17"/>
  <c r="AB177" i="17"/>
  <c r="X177" i="17"/>
  <c r="A178" i="17"/>
  <c r="K174" i="20"/>
  <c r="L174" i="20"/>
  <c r="AB174" i="20"/>
  <c r="X174" i="20"/>
  <c r="A175" i="20"/>
  <c r="L175" i="18"/>
  <c r="A176" i="18"/>
  <c r="AB175" i="18"/>
  <c r="X175" i="18"/>
  <c r="K175" i="18"/>
  <c r="K177" i="15"/>
  <c r="A178" i="15"/>
  <c r="X177" i="15"/>
  <c r="AB177" i="15"/>
  <c r="L177" i="15"/>
  <c r="D176" i="16"/>
  <c r="L177" i="16"/>
  <c r="D177" i="16" s="1"/>
  <c r="X177" i="16"/>
  <c r="A178" i="16"/>
  <c r="K177" i="16"/>
  <c r="AB177" i="16"/>
  <c r="AB172" i="23"/>
  <c r="L172" i="23"/>
  <c r="K172" i="23"/>
  <c r="X172" i="23"/>
  <c r="A173" i="23"/>
  <c r="AJ180" i="1"/>
  <c r="AK180" i="1"/>
  <c r="A25" i="7"/>
  <c r="X180" i="1"/>
  <c r="AB180" i="1"/>
  <c r="K180" i="1"/>
  <c r="A181" i="1"/>
  <c r="L180" i="1"/>
  <c r="B25" i="7" s="1"/>
  <c r="K173" i="22"/>
  <c r="X173" i="22"/>
  <c r="L173" i="22"/>
  <c r="AB173" i="22"/>
  <c r="A174" i="22"/>
  <c r="I177" i="1"/>
  <c r="A182" i="1"/>
  <c r="L181" i="1"/>
  <c r="AJ181" i="1"/>
  <c r="K181" i="1"/>
  <c r="X181" i="1"/>
  <c r="AK181" i="1"/>
  <c r="AB181" i="1"/>
  <c r="L178" i="16"/>
  <c r="D178" i="16" s="1"/>
  <c r="AB178" i="16"/>
  <c r="A179" i="16"/>
  <c r="K178" i="16"/>
  <c r="X178" i="16"/>
  <c r="L178" i="15"/>
  <c r="D178" i="15" s="1"/>
  <c r="AB178" i="15"/>
  <c r="X178" i="15"/>
  <c r="A179" i="15"/>
  <c r="K178" i="15"/>
  <c r="X176" i="18"/>
  <c r="L176" i="18"/>
  <c r="AB176" i="18"/>
  <c r="K176" i="18"/>
  <c r="A177" i="18"/>
  <c r="A179" i="17"/>
  <c r="K178" i="17"/>
  <c r="AB178" i="17"/>
  <c r="L178" i="17"/>
  <c r="D178" i="17" s="1"/>
  <c r="X178" i="17"/>
  <c r="AB172" i="24"/>
  <c r="A173" i="24"/>
  <c r="K172" i="24"/>
  <c r="X172" i="24"/>
  <c r="L172" i="24"/>
  <c r="A175" i="22"/>
  <c r="AB174" i="22"/>
  <c r="X174" i="22"/>
  <c r="L174" i="22"/>
  <c r="K174" i="22"/>
  <c r="L173" i="23"/>
  <c r="A174" i="23"/>
  <c r="K173" i="23"/>
  <c r="AB173" i="23"/>
  <c r="X173" i="23"/>
  <c r="D177" i="15"/>
  <c r="A176" i="20"/>
  <c r="L175" i="20"/>
  <c r="X175" i="20"/>
  <c r="K175" i="20"/>
  <c r="AB175" i="20"/>
  <c r="D177" i="17"/>
  <c r="K171" i="25"/>
  <c r="X171" i="25"/>
  <c r="L171" i="25"/>
  <c r="AB171" i="25"/>
  <c r="A172" i="25"/>
  <c r="I178" i="1"/>
  <c r="X173" i="24"/>
  <c r="AB173" i="24"/>
  <c r="A174" i="24"/>
  <c r="K173" i="24"/>
  <c r="L173" i="24"/>
  <c r="L177" i="18"/>
  <c r="X177" i="18"/>
  <c r="AB177" i="18"/>
  <c r="A178" i="18"/>
  <c r="K177" i="18"/>
  <c r="A180" i="15"/>
  <c r="X179" i="15"/>
  <c r="AB179" i="15"/>
  <c r="K179" i="15"/>
  <c r="L179" i="15"/>
  <c r="D179" i="15" s="1"/>
  <c r="L172" i="25"/>
  <c r="A173" i="25"/>
  <c r="X172" i="25"/>
  <c r="AB172" i="25"/>
  <c r="K172" i="25"/>
  <c r="L176" i="20"/>
  <c r="A177" i="20"/>
  <c r="AB176" i="20"/>
  <c r="X176" i="20"/>
  <c r="K176" i="20"/>
  <c r="AB174" i="23"/>
  <c r="A175" i="23"/>
  <c r="K174" i="23"/>
  <c r="X174" i="23"/>
  <c r="L174" i="23"/>
  <c r="X175" i="22"/>
  <c r="AB175" i="22"/>
  <c r="K175" i="22"/>
  <c r="A176" i="22"/>
  <c r="L175" i="22"/>
  <c r="X179" i="17"/>
  <c r="A180" i="17"/>
  <c r="AB179" i="17"/>
  <c r="L179" i="17"/>
  <c r="D179" i="17" s="1"/>
  <c r="K179" i="17"/>
  <c r="K179" i="16"/>
  <c r="X179" i="16"/>
  <c r="A180" i="16"/>
  <c r="L179" i="16"/>
  <c r="D179" i="16" s="1"/>
  <c r="AB179" i="16"/>
  <c r="A183" i="1"/>
  <c r="L182" i="1"/>
  <c r="AJ182" i="1"/>
  <c r="AB182" i="1"/>
  <c r="X182" i="1"/>
  <c r="K182" i="1"/>
  <c r="AK182" i="1"/>
  <c r="I179" i="1"/>
  <c r="AJ183" i="1"/>
  <c r="AK183" i="1"/>
  <c r="L183" i="1"/>
  <c r="A184" i="1"/>
  <c r="K183" i="1"/>
  <c r="X183" i="1"/>
  <c r="AB183" i="1"/>
  <c r="L180" i="16"/>
  <c r="B49" i="7" s="1"/>
  <c r="A181" i="16"/>
  <c r="AB180" i="16"/>
  <c r="A49" i="7"/>
  <c r="K180" i="16"/>
  <c r="X180" i="16"/>
  <c r="X176" i="22"/>
  <c r="AB176" i="22"/>
  <c r="A177" i="22"/>
  <c r="L176" i="22"/>
  <c r="K176" i="22"/>
  <c r="AB177" i="20"/>
  <c r="L177" i="20"/>
  <c r="A178" i="20"/>
  <c r="X177" i="20"/>
  <c r="K177" i="20"/>
  <c r="A61" i="7"/>
  <c r="L180" i="17"/>
  <c r="B61" i="7" s="1"/>
  <c r="A181" i="17"/>
  <c r="X180" i="17"/>
  <c r="AB180" i="17"/>
  <c r="K180" i="17"/>
  <c r="K175" i="23"/>
  <c r="X175" i="23"/>
  <c r="AB175" i="23"/>
  <c r="L175" i="23"/>
  <c r="A176" i="23"/>
  <c r="X173" i="25"/>
  <c r="A174" i="25"/>
  <c r="AB173" i="25"/>
  <c r="K173" i="25"/>
  <c r="L173" i="25"/>
  <c r="A37" i="7"/>
  <c r="L180" i="15"/>
  <c r="D180" i="15" s="1"/>
  <c r="K180" i="15"/>
  <c r="A181" i="15"/>
  <c r="X180" i="15"/>
  <c r="AB180" i="15"/>
  <c r="AB178" i="18"/>
  <c r="A179" i="18"/>
  <c r="K178" i="18"/>
  <c r="L178" i="18"/>
  <c r="X178" i="18"/>
  <c r="K174" i="24"/>
  <c r="L174" i="24"/>
  <c r="X174" i="24"/>
  <c r="A175" i="24"/>
  <c r="AB174" i="24"/>
  <c r="AB175" i="24"/>
  <c r="K175" i="24"/>
  <c r="L175" i="24"/>
  <c r="A176" i="24"/>
  <c r="X175" i="24"/>
  <c r="L181" i="17"/>
  <c r="D181" i="17" s="1"/>
  <c r="AB181" i="17"/>
  <c r="X181" i="17"/>
  <c r="A182" i="17"/>
  <c r="K181" i="17"/>
  <c r="I180" i="1"/>
  <c r="K177" i="22"/>
  <c r="L177" i="22"/>
  <c r="A178" i="22"/>
  <c r="X177" i="22"/>
  <c r="AB177" i="22"/>
  <c r="AB181" i="16"/>
  <c r="K181" i="16"/>
  <c r="X181" i="16"/>
  <c r="A182" i="16"/>
  <c r="L181" i="16"/>
  <c r="D181" i="16" s="1"/>
  <c r="A185" i="1"/>
  <c r="L184" i="1"/>
  <c r="AJ184" i="1"/>
  <c r="AB184" i="1"/>
  <c r="K184" i="1"/>
  <c r="X184" i="1"/>
  <c r="AK184" i="1"/>
  <c r="K179" i="18"/>
  <c r="X179" i="18"/>
  <c r="L179" i="18"/>
  <c r="A180" i="18"/>
  <c r="AB179" i="18"/>
  <c r="L181" i="15"/>
  <c r="D181" i="15" s="1"/>
  <c r="K181" i="15"/>
  <c r="X181" i="15"/>
  <c r="AB181" i="15"/>
  <c r="A182" i="15"/>
  <c r="AB174" i="25"/>
  <c r="A175" i="25"/>
  <c r="K174" i="25"/>
  <c r="X174" i="25"/>
  <c r="L174" i="25"/>
  <c r="L176" i="23"/>
  <c r="X176" i="23"/>
  <c r="K176" i="23"/>
  <c r="AB176" i="23"/>
  <c r="A177" i="23"/>
  <c r="AB178" i="20"/>
  <c r="K178" i="20"/>
  <c r="L178" i="20"/>
  <c r="X178" i="20"/>
  <c r="A179" i="20"/>
  <c r="I181" i="1"/>
  <c r="K179" i="20"/>
  <c r="X179" i="20"/>
  <c r="AB179" i="20"/>
  <c r="A180" i="20"/>
  <c r="L179" i="20"/>
  <c r="X175" i="25"/>
  <c r="A176" i="25"/>
  <c r="K175" i="25"/>
  <c r="AB175" i="25"/>
  <c r="L175" i="25"/>
  <c r="A181" i="18"/>
  <c r="X180" i="18"/>
  <c r="L180" i="18"/>
  <c r="B73" i="7" s="1"/>
  <c r="A73" i="7"/>
  <c r="K180" i="18"/>
  <c r="AB180" i="18"/>
  <c r="A186" i="1"/>
  <c r="L185" i="1"/>
  <c r="AJ185" i="1"/>
  <c r="AK185" i="1"/>
  <c r="AB185" i="1"/>
  <c r="X185" i="1"/>
  <c r="K185" i="1"/>
  <c r="AB182" i="17"/>
  <c r="A183" i="17"/>
  <c r="K182" i="17"/>
  <c r="L182" i="17"/>
  <c r="D182" i="17" s="1"/>
  <c r="X182" i="17"/>
  <c r="X176" i="24"/>
  <c r="K176" i="24"/>
  <c r="L176" i="24"/>
  <c r="AB176" i="24"/>
  <c r="A177" i="24"/>
  <c r="AB177" i="23"/>
  <c r="L177" i="23"/>
  <c r="A178" i="23"/>
  <c r="K177" i="23"/>
  <c r="X177" i="23"/>
  <c r="L182" i="15"/>
  <c r="D182" i="15" s="1"/>
  <c r="A183" i="15"/>
  <c r="AB182" i="15"/>
  <c r="K182" i="15"/>
  <c r="X182" i="15"/>
  <c r="K182" i="16"/>
  <c r="AB182" i="16"/>
  <c r="L182" i="16"/>
  <c r="D182" i="16" s="1"/>
  <c r="X182" i="16"/>
  <c r="A183" i="16"/>
  <c r="L178" i="22"/>
  <c r="K178" i="22"/>
  <c r="AB178" i="22"/>
  <c r="X178" i="22"/>
  <c r="A179" i="22"/>
  <c r="I182" i="1"/>
  <c r="A180" i="22"/>
  <c r="X179" i="22"/>
  <c r="AB179" i="22"/>
  <c r="L179" i="22"/>
  <c r="K179" i="22"/>
  <c r="AB183" i="16"/>
  <c r="A184" i="16"/>
  <c r="K183" i="16"/>
  <c r="X183" i="16"/>
  <c r="L183" i="16"/>
  <c r="D183" i="16" s="1"/>
  <c r="AK186" i="1"/>
  <c r="X186" i="1"/>
  <c r="K186" i="1"/>
  <c r="A187" i="1"/>
  <c r="L186" i="1"/>
  <c r="AB186" i="1"/>
  <c r="AJ186" i="1"/>
  <c r="AE25" i="7"/>
  <c r="A181" i="20"/>
  <c r="L180" i="20"/>
  <c r="AF25" i="7" s="1"/>
  <c r="X180" i="20"/>
  <c r="AB180" i="20"/>
  <c r="K180" i="20"/>
  <c r="K183" i="15"/>
  <c r="AB183" i="15"/>
  <c r="A184" i="15"/>
  <c r="L183" i="15"/>
  <c r="D183" i="15" s="1"/>
  <c r="X183" i="15"/>
  <c r="AB178" i="23"/>
  <c r="L178" i="23"/>
  <c r="X178" i="23"/>
  <c r="A179" i="23"/>
  <c r="K178" i="23"/>
  <c r="K177" i="24"/>
  <c r="AB177" i="24"/>
  <c r="A178" i="24"/>
  <c r="L177" i="24"/>
  <c r="X177" i="24"/>
  <c r="AB183" i="17"/>
  <c r="K183" i="17"/>
  <c r="X183" i="17"/>
  <c r="L183" i="17"/>
  <c r="D183" i="17" s="1"/>
  <c r="A184" i="17"/>
  <c r="X181" i="18"/>
  <c r="A182" i="18"/>
  <c r="AB181" i="18"/>
  <c r="L181" i="18"/>
  <c r="K181" i="18"/>
  <c r="L176" i="25"/>
  <c r="K176" i="25"/>
  <c r="X176" i="25"/>
  <c r="AB176" i="25"/>
  <c r="A177" i="25"/>
  <c r="I183" i="1"/>
  <c r="A178" i="25"/>
  <c r="L177" i="25"/>
  <c r="X177" i="25"/>
  <c r="K177" i="25"/>
  <c r="AB177" i="25"/>
  <c r="L184" i="17"/>
  <c r="D184" i="17" s="1"/>
  <c r="X184" i="17"/>
  <c r="AB184" i="17"/>
  <c r="A185" i="17"/>
  <c r="K184" i="17"/>
  <c r="L179" i="23"/>
  <c r="AB179" i="23"/>
  <c r="A180" i="23"/>
  <c r="K179" i="23"/>
  <c r="X179" i="23"/>
  <c r="L181" i="20"/>
  <c r="K181" i="20"/>
  <c r="AB181" i="20"/>
  <c r="X181" i="20"/>
  <c r="A182" i="20"/>
  <c r="AE37" i="7"/>
  <c r="AB180" i="22"/>
  <c r="X180" i="22"/>
  <c r="A181" i="22"/>
  <c r="K180" i="22"/>
  <c r="L180" i="22"/>
  <c r="AF37" i="7" s="1"/>
  <c r="A183" i="18"/>
  <c r="X182" i="18"/>
  <c r="AB182" i="18"/>
  <c r="L182" i="18"/>
  <c r="K182" i="18"/>
  <c r="AB178" i="24"/>
  <c r="X178" i="24"/>
  <c r="A179" i="24"/>
  <c r="L178" i="24"/>
  <c r="K178" i="24"/>
  <c r="A185" i="15"/>
  <c r="L184" i="15"/>
  <c r="D184" i="15" s="1"/>
  <c r="AB184" i="15"/>
  <c r="K184" i="15"/>
  <c r="X184" i="15"/>
  <c r="A188" i="1"/>
  <c r="L187" i="1"/>
  <c r="AB187" i="1"/>
  <c r="AK187" i="1"/>
  <c r="K187" i="1"/>
  <c r="AJ187" i="1"/>
  <c r="X187" i="1"/>
  <c r="L184" i="16"/>
  <c r="D184" i="16" s="1"/>
  <c r="X184" i="16"/>
  <c r="K184" i="16"/>
  <c r="A185" i="16"/>
  <c r="AB184" i="16"/>
  <c r="I184" i="1"/>
  <c r="AB188" i="1"/>
  <c r="L188" i="1"/>
  <c r="X188" i="1"/>
  <c r="K188" i="1"/>
  <c r="AJ188" i="1"/>
  <c r="AK188" i="1"/>
  <c r="A189" i="1"/>
  <c r="A182" i="22"/>
  <c r="X181" i="22"/>
  <c r="AB181" i="22"/>
  <c r="K181" i="22"/>
  <c r="L181" i="22"/>
  <c r="AB182" i="20"/>
  <c r="A183" i="20"/>
  <c r="L182" i="20"/>
  <c r="K182" i="20"/>
  <c r="X182" i="20"/>
  <c r="L180" i="23"/>
  <c r="AF49" i="7" s="1"/>
  <c r="AE49" i="7"/>
  <c r="AB180" i="23"/>
  <c r="A181" i="23"/>
  <c r="K180" i="23"/>
  <c r="X180" i="23"/>
  <c r="K178" i="25"/>
  <c r="AB178" i="25"/>
  <c r="X178" i="25"/>
  <c r="A179" i="25"/>
  <c r="L178" i="25"/>
  <c r="AB185" i="16"/>
  <c r="A186" i="16"/>
  <c r="K185" i="16"/>
  <c r="L185" i="16"/>
  <c r="X185" i="16"/>
  <c r="A186" i="15"/>
  <c r="L185" i="15"/>
  <c r="D185" i="15" s="1"/>
  <c r="K185" i="15"/>
  <c r="X185" i="15"/>
  <c r="AB185" i="15"/>
  <c r="AB179" i="24"/>
  <c r="A180" i="24"/>
  <c r="L179" i="24"/>
  <c r="X179" i="24"/>
  <c r="K179" i="24"/>
  <c r="AB183" i="18"/>
  <c r="L183" i="18"/>
  <c r="K183" i="18"/>
  <c r="A184" i="18"/>
  <c r="X183" i="18"/>
  <c r="X185" i="17"/>
  <c r="A186" i="17"/>
  <c r="K185" i="17"/>
  <c r="AB185" i="17"/>
  <c r="L185" i="17"/>
  <c r="D185" i="17" s="1"/>
  <c r="I185" i="1"/>
  <c r="A181" i="24"/>
  <c r="AB180" i="24"/>
  <c r="K180" i="24"/>
  <c r="L180" i="24"/>
  <c r="AF61" i="7" s="1"/>
  <c r="AE61" i="7"/>
  <c r="X180" i="24"/>
  <c r="AB186" i="15"/>
  <c r="K186" i="15"/>
  <c r="X186" i="15"/>
  <c r="A187" i="15"/>
  <c r="L186" i="15"/>
  <c r="D185" i="16"/>
  <c r="K186" i="16"/>
  <c r="A187" i="16"/>
  <c r="AB186" i="16"/>
  <c r="X186" i="16"/>
  <c r="L186" i="16"/>
  <c r="D186" i="16" s="1"/>
  <c r="K181" i="23"/>
  <c r="A182" i="23"/>
  <c r="AB181" i="23"/>
  <c r="X181" i="23"/>
  <c r="L181" i="23"/>
  <c r="K183" i="20"/>
  <c r="L183" i="20"/>
  <c r="X183" i="20"/>
  <c r="AB183" i="20"/>
  <c r="A184" i="20"/>
  <c r="X182" i="22"/>
  <c r="L182" i="22"/>
  <c r="A183" i="22"/>
  <c r="K182" i="22"/>
  <c r="AB182" i="22"/>
  <c r="X189" i="1"/>
  <c r="AJ189" i="1"/>
  <c r="AK189" i="1"/>
  <c r="A190" i="1"/>
  <c r="K189" i="1"/>
  <c r="AB189" i="1"/>
  <c r="L189" i="1"/>
  <c r="X186" i="17"/>
  <c r="K186" i="17"/>
  <c r="AB186" i="17"/>
  <c r="A187" i="17"/>
  <c r="L186" i="17"/>
  <c r="D186" i="17" s="1"/>
  <c r="K184" i="18"/>
  <c r="L184" i="18"/>
  <c r="A185" i="18"/>
  <c r="AB184" i="18"/>
  <c r="X184" i="18"/>
  <c r="L179" i="25"/>
  <c r="X179" i="25"/>
  <c r="A180" i="25"/>
  <c r="K179" i="25"/>
  <c r="AB179" i="25"/>
  <c r="I186" i="1"/>
  <c r="X185" i="18"/>
  <c r="K185" i="18"/>
  <c r="AB185" i="18"/>
  <c r="L185" i="18"/>
  <c r="A186" i="18"/>
  <c r="X187" i="17"/>
  <c r="AB187" i="17"/>
  <c r="K187" i="17"/>
  <c r="L187" i="17"/>
  <c r="D187" i="17" s="1"/>
  <c r="A188" i="17"/>
  <c r="AJ190" i="1"/>
  <c r="L190" i="1"/>
  <c r="AB190" i="1"/>
  <c r="AK190" i="1"/>
  <c r="A191" i="1"/>
  <c r="K190" i="1"/>
  <c r="X190" i="1"/>
  <c r="AB187" i="16"/>
  <c r="L187" i="16"/>
  <c r="D187" i="16" s="1"/>
  <c r="X187" i="16"/>
  <c r="A188" i="16"/>
  <c r="K187" i="16"/>
  <c r="AE73" i="7"/>
  <c r="AB180" i="25"/>
  <c r="K180" i="25"/>
  <c r="L180" i="25"/>
  <c r="A181" i="25"/>
  <c r="X180" i="25"/>
  <c r="K183" i="22"/>
  <c r="AB183" i="22"/>
  <c r="X183" i="22"/>
  <c r="L183" i="22"/>
  <c r="A184" i="22"/>
  <c r="K184" i="20"/>
  <c r="AB184" i="20"/>
  <c r="X184" i="20"/>
  <c r="L184" i="20"/>
  <c r="A185" i="20"/>
  <c r="K182" i="23"/>
  <c r="AB182" i="23"/>
  <c r="L182" i="23"/>
  <c r="X182" i="23"/>
  <c r="A183" i="23"/>
  <c r="D186" i="15"/>
  <c r="A188" i="15"/>
  <c r="K187" i="15"/>
  <c r="X187" i="15"/>
  <c r="AB187" i="15"/>
  <c r="L187" i="15"/>
  <c r="D187" i="15" s="1"/>
  <c r="L181" i="24"/>
  <c r="A182" i="24"/>
  <c r="K181" i="24"/>
  <c r="AB181" i="24"/>
  <c r="X181" i="24"/>
  <c r="AB188" i="15"/>
  <c r="L188" i="15"/>
  <c r="D188" i="15" s="1"/>
  <c r="X188" i="15"/>
  <c r="K188" i="15"/>
  <c r="A189" i="15"/>
  <c r="A184" i="23"/>
  <c r="AB183" i="23"/>
  <c r="X183" i="23"/>
  <c r="K183" i="23"/>
  <c r="L183" i="23"/>
  <c r="A185" i="22"/>
  <c r="K184" i="22"/>
  <c r="X184" i="22"/>
  <c r="AB184" i="22"/>
  <c r="L184" i="22"/>
  <c r="AF73" i="7"/>
  <c r="I187" i="1"/>
  <c r="L185" i="20"/>
  <c r="AB185" i="20"/>
  <c r="K185" i="20"/>
  <c r="X185" i="20"/>
  <c r="A186" i="20"/>
  <c r="AB181" i="25"/>
  <c r="A182" i="25"/>
  <c r="X181" i="25"/>
  <c r="K181" i="25"/>
  <c r="L181" i="25"/>
  <c r="L186" i="18"/>
  <c r="X186" i="18"/>
  <c r="A187" i="18"/>
  <c r="AB186" i="18"/>
  <c r="K186" i="18"/>
  <c r="AB182" i="24"/>
  <c r="X182" i="24"/>
  <c r="A183" i="24"/>
  <c r="L182" i="24"/>
  <c r="K182" i="24"/>
  <c r="A189" i="16"/>
  <c r="AB188" i="16"/>
  <c r="X188" i="16"/>
  <c r="K188" i="16"/>
  <c r="L188" i="16"/>
  <c r="A192" i="1"/>
  <c r="AJ191" i="1"/>
  <c r="L191" i="1"/>
  <c r="X191" i="1"/>
  <c r="K191" i="1"/>
  <c r="AB191" i="1"/>
  <c r="AK191" i="1"/>
  <c r="AB188" i="17"/>
  <c r="X188" i="17"/>
  <c r="A189" i="17"/>
  <c r="K188" i="17"/>
  <c r="L188" i="17"/>
  <c r="D188" i="17" s="1"/>
  <c r="X189" i="17"/>
  <c r="AB189" i="17"/>
  <c r="A190" i="17"/>
  <c r="K189" i="17"/>
  <c r="L189" i="17"/>
  <c r="D189" i="17" s="1"/>
  <c r="D188" i="16"/>
  <c r="X189" i="16"/>
  <c r="L189" i="16"/>
  <c r="D189" i="16" s="1"/>
  <c r="K189" i="16"/>
  <c r="AB189" i="16"/>
  <c r="A190" i="16"/>
  <c r="L183" i="24"/>
  <c r="A184" i="24"/>
  <c r="X183" i="24"/>
  <c r="K183" i="24"/>
  <c r="AB183" i="24"/>
  <c r="I188" i="1"/>
  <c r="X184" i="23"/>
  <c r="L184" i="23"/>
  <c r="K184" i="23"/>
  <c r="A185" i="23"/>
  <c r="AB184" i="23"/>
  <c r="A193" i="1"/>
  <c r="X192" i="1"/>
  <c r="AJ192" i="1"/>
  <c r="AB192" i="1"/>
  <c r="K192" i="1"/>
  <c r="L192" i="1"/>
  <c r="AK192" i="1"/>
  <c r="K187" i="18"/>
  <c r="L187" i="18"/>
  <c r="AB187" i="18"/>
  <c r="A188" i="18"/>
  <c r="X187" i="18"/>
  <c r="L182" i="25"/>
  <c r="AB182" i="25"/>
  <c r="X182" i="25"/>
  <c r="K182" i="25"/>
  <c r="A183" i="25"/>
  <c r="X186" i="20"/>
  <c r="A187" i="20"/>
  <c r="K186" i="20"/>
  <c r="AB186" i="20"/>
  <c r="L186" i="20"/>
  <c r="X185" i="22"/>
  <c r="L185" i="22"/>
  <c r="AB185" i="22"/>
  <c r="K185" i="22"/>
  <c r="A186" i="22"/>
  <c r="AB189" i="15"/>
  <c r="X189" i="15"/>
  <c r="A190" i="15"/>
  <c r="L189" i="15"/>
  <c r="D189" i="15" s="1"/>
  <c r="K189" i="15"/>
  <c r="A191" i="15"/>
  <c r="AB190" i="15"/>
  <c r="K190" i="15"/>
  <c r="L190" i="15"/>
  <c r="D190" i="15" s="1"/>
  <c r="X190" i="15"/>
  <c r="X186" i="22"/>
  <c r="A187" i="22"/>
  <c r="K186" i="22"/>
  <c r="L186" i="22"/>
  <c r="AB186" i="22"/>
  <c r="K187" i="20"/>
  <c r="A188" i="20"/>
  <c r="X187" i="20"/>
  <c r="L187" i="20"/>
  <c r="AB187" i="20"/>
  <c r="A189" i="18"/>
  <c r="L188" i="18"/>
  <c r="X188" i="18"/>
  <c r="AB188" i="18"/>
  <c r="K188" i="18"/>
  <c r="A194" i="1"/>
  <c r="AJ193" i="1"/>
  <c r="AB193" i="1"/>
  <c r="L193" i="1"/>
  <c r="X193" i="1"/>
  <c r="K193" i="1"/>
  <c r="AK193" i="1"/>
  <c r="X185" i="23"/>
  <c r="AB185" i="23"/>
  <c r="K185" i="23"/>
  <c r="L185" i="23"/>
  <c r="A186" i="23"/>
  <c r="K184" i="24"/>
  <c r="AB184" i="24"/>
  <c r="A185" i="24"/>
  <c r="L184" i="24"/>
  <c r="X184" i="24"/>
  <c r="I189" i="1"/>
  <c r="AB183" i="25"/>
  <c r="X183" i="25"/>
  <c r="K183" i="25"/>
  <c r="L183" i="25"/>
  <c r="A184" i="25"/>
  <c r="K190" i="16"/>
  <c r="A191" i="16"/>
  <c r="AB190" i="16"/>
  <c r="L190" i="16"/>
  <c r="D190" i="16" s="1"/>
  <c r="X190" i="16"/>
  <c r="AB190" i="17"/>
  <c r="A191" i="17"/>
  <c r="K190" i="17"/>
  <c r="X190" i="17"/>
  <c r="L190" i="17"/>
  <c r="D190" i="17" s="1"/>
  <c r="K191" i="17"/>
  <c r="A192" i="17"/>
  <c r="AB191" i="17"/>
  <c r="L191" i="17"/>
  <c r="D191" i="17" s="1"/>
  <c r="X191" i="17"/>
  <c r="I190" i="1"/>
  <c r="K184" i="25"/>
  <c r="A185" i="25"/>
  <c r="AB184" i="25"/>
  <c r="X184" i="25"/>
  <c r="L184" i="25"/>
  <c r="A189" i="20"/>
  <c r="AB188" i="20"/>
  <c r="X188" i="20"/>
  <c r="K188" i="20"/>
  <c r="L188" i="20"/>
  <c r="X191" i="16"/>
  <c r="AB191" i="16"/>
  <c r="K191" i="16"/>
  <c r="L191" i="16"/>
  <c r="A192" i="16"/>
  <c r="X185" i="24"/>
  <c r="AB185" i="24"/>
  <c r="L185" i="24"/>
  <c r="K185" i="24"/>
  <c r="A186" i="24"/>
  <c r="A187" i="23"/>
  <c r="X186" i="23"/>
  <c r="AB186" i="23"/>
  <c r="L186" i="23"/>
  <c r="K186" i="23"/>
  <c r="A195" i="1"/>
  <c r="X194" i="1"/>
  <c r="L194" i="1"/>
  <c r="AB194" i="1"/>
  <c r="AK194" i="1"/>
  <c r="AJ194" i="1"/>
  <c r="K194" i="1"/>
  <c r="K189" i="18"/>
  <c r="A190" i="18"/>
  <c r="AB189" i="18"/>
  <c r="L189" i="18"/>
  <c r="X189" i="18"/>
  <c r="X187" i="22"/>
  <c r="AB187" i="22"/>
  <c r="K187" i="22"/>
  <c r="L187" i="22"/>
  <c r="A188" i="22"/>
  <c r="AB191" i="15"/>
  <c r="L191" i="15"/>
  <c r="A192" i="15"/>
  <c r="K191" i="15"/>
  <c r="X191" i="15"/>
  <c r="L188" i="22"/>
  <c r="A189" i="22"/>
  <c r="K188" i="22"/>
  <c r="X188" i="22"/>
  <c r="AB188" i="22"/>
  <c r="A191" i="18"/>
  <c r="K190" i="18"/>
  <c r="AB190" i="18"/>
  <c r="X190" i="18"/>
  <c r="L190" i="18"/>
  <c r="I191" i="1"/>
  <c r="AB192" i="16"/>
  <c r="L192" i="16"/>
  <c r="D192" i="16" s="1"/>
  <c r="X192" i="16"/>
  <c r="K192" i="16"/>
  <c r="A193" i="16"/>
  <c r="D191" i="16"/>
  <c r="L192" i="15"/>
  <c r="AB192" i="15"/>
  <c r="K192" i="15"/>
  <c r="A193" i="15"/>
  <c r="X192" i="15"/>
  <c r="D191" i="15"/>
  <c r="AJ195" i="1"/>
  <c r="X195" i="1"/>
  <c r="AK195" i="1"/>
  <c r="A196" i="1"/>
  <c r="AB195" i="1"/>
  <c r="L195" i="1"/>
  <c r="K195" i="1"/>
  <c r="X187" i="23"/>
  <c r="AB187" i="23"/>
  <c r="A188" i="23"/>
  <c r="K187" i="23"/>
  <c r="L187" i="23"/>
  <c r="K186" i="24"/>
  <c r="A187" i="24"/>
  <c r="X186" i="24"/>
  <c r="AB186" i="24"/>
  <c r="L186" i="24"/>
  <c r="AB189" i="20"/>
  <c r="X189" i="20"/>
  <c r="K189" i="20"/>
  <c r="L189" i="20"/>
  <c r="A190" i="20"/>
  <c r="L185" i="25"/>
  <c r="K185" i="25"/>
  <c r="A186" i="25"/>
  <c r="X185" i="25"/>
  <c r="AB185" i="25"/>
  <c r="A193" i="17"/>
  <c r="L192" i="17"/>
  <c r="D192" i="17" s="1"/>
  <c r="X192" i="17"/>
  <c r="AB192" i="17"/>
  <c r="K192" i="17"/>
  <c r="I192" i="1"/>
  <c r="AB193" i="17"/>
  <c r="X193" i="17"/>
  <c r="L193" i="17"/>
  <c r="D193" i="17" s="1"/>
  <c r="K193" i="17"/>
  <c r="A194" i="17"/>
  <c r="A191" i="20"/>
  <c r="AB190" i="20"/>
  <c r="K190" i="20"/>
  <c r="L190" i="20"/>
  <c r="X190" i="20"/>
  <c r="A188" i="24"/>
  <c r="X187" i="24"/>
  <c r="L187" i="24"/>
  <c r="K187" i="24"/>
  <c r="AB187" i="24"/>
  <c r="L188" i="23"/>
  <c r="A189" i="23"/>
  <c r="X188" i="23"/>
  <c r="AB188" i="23"/>
  <c r="K188" i="23"/>
  <c r="A197" i="1"/>
  <c r="K196" i="1"/>
  <c r="L196" i="1"/>
  <c r="AK196" i="1"/>
  <c r="AJ196" i="1"/>
  <c r="AB196" i="1"/>
  <c r="X196" i="1"/>
  <c r="D192" i="15"/>
  <c r="AB193" i="16"/>
  <c r="L193" i="16"/>
  <c r="D193" i="16" s="1"/>
  <c r="K193" i="16"/>
  <c r="A194" i="16"/>
  <c r="X193" i="16"/>
  <c r="X191" i="18"/>
  <c r="A192" i="18"/>
  <c r="AB191" i="18"/>
  <c r="K191" i="18"/>
  <c r="L191" i="18"/>
  <c r="AB189" i="22"/>
  <c r="X189" i="22"/>
  <c r="L189" i="22"/>
  <c r="K189" i="22"/>
  <c r="A190" i="22"/>
  <c r="X186" i="25"/>
  <c r="L186" i="25"/>
  <c r="K186" i="25"/>
  <c r="A187" i="25"/>
  <c r="AB186" i="25"/>
  <c r="L193" i="15"/>
  <c r="D193" i="15" s="1"/>
  <c r="K193" i="15"/>
  <c r="A194" i="15"/>
  <c r="X193" i="15"/>
  <c r="AB193" i="15"/>
  <c r="I193" i="1"/>
  <c r="A195" i="15"/>
  <c r="K194" i="15"/>
  <c r="X194" i="15"/>
  <c r="AB194" i="15"/>
  <c r="L194" i="15"/>
  <c r="A195" i="17"/>
  <c r="X194" i="17"/>
  <c r="AB194" i="17"/>
  <c r="L194" i="17"/>
  <c r="D194" i="17" s="1"/>
  <c r="K194" i="17"/>
  <c r="X187" i="25"/>
  <c r="A188" i="25"/>
  <c r="AB187" i="25"/>
  <c r="K187" i="25"/>
  <c r="L187" i="25"/>
  <c r="AB190" i="22"/>
  <c r="L190" i="22"/>
  <c r="K190" i="22"/>
  <c r="X190" i="22"/>
  <c r="A191" i="22"/>
  <c r="X192" i="18"/>
  <c r="AB192" i="18"/>
  <c r="K192" i="18"/>
  <c r="L192" i="18"/>
  <c r="A193" i="18"/>
  <c r="X194" i="16"/>
  <c r="K194" i="16"/>
  <c r="A195" i="16"/>
  <c r="L194" i="16"/>
  <c r="D194" i="16" s="1"/>
  <c r="AB194" i="16"/>
  <c r="A198" i="1"/>
  <c r="AB197" i="1"/>
  <c r="L197" i="1"/>
  <c r="AK197" i="1"/>
  <c r="AJ197" i="1"/>
  <c r="K197" i="1"/>
  <c r="X197" i="1"/>
  <c r="X189" i="23"/>
  <c r="K189" i="23"/>
  <c r="AB189" i="23"/>
  <c r="L189" i="23"/>
  <c r="A190" i="23"/>
  <c r="AB188" i="24"/>
  <c r="L188" i="24"/>
  <c r="X188" i="24"/>
  <c r="K188" i="24"/>
  <c r="A189" i="24"/>
  <c r="AB191" i="20"/>
  <c r="X191" i="20"/>
  <c r="K191" i="20"/>
  <c r="L191" i="20"/>
  <c r="A192" i="20"/>
  <c r="I194" i="1"/>
  <c r="A193" i="20"/>
  <c r="X192" i="20"/>
  <c r="K192" i="20"/>
  <c r="AB192" i="20"/>
  <c r="L192" i="20"/>
  <c r="K190" i="23"/>
  <c r="X190" i="23"/>
  <c r="A191" i="23"/>
  <c r="AB190" i="23"/>
  <c r="L190" i="23"/>
  <c r="K198" i="1"/>
  <c r="AB198" i="1"/>
  <c r="AK198" i="1"/>
  <c r="AJ198" i="1"/>
  <c r="A199" i="1"/>
  <c r="L198" i="1"/>
  <c r="X198" i="1"/>
  <c r="K195" i="16"/>
  <c r="AB195" i="16"/>
  <c r="A196" i="16"/>
  <c r="L195" i="16"/>
  <c r="D195" i="16" s="1"/>
  <c r="X195" i="16"/>
  <c r="K195" i="17"/>
  <c r="L195" i="17"/>
  <c r="D195" i="17" s="1"/>
  <c r="AB195" i="17"/>
  <c r="X195" i="17"/>
  <c r="A196" i="17"/>
  <c r="A196" i="15"/>
  <c r="X195" i="15"/>
  <c r="K195" i="15"/>
  <c r="L195" i="15"/>
  <c r="D195" i="15" s="1"/>
  <c r="AB195" i="15"/>
  <c r="K189" i="24"/>
  <c r="L189" i="24"/>
  <c r="A190" i="24"/>
  <c r="AB189" i="24"/>
  <c r="X189" i="24"/>
  <c r="L193" i="18"/>
  <c r="K193" i="18"/>
  <c r="X193" i="18"/>
  <c r="A194" i="18"/>
  <c r="AB193" i="18"/>
  <c r="L191" i="22"/>
  <c r="A192" i="22"/>
  <c r="K191" i="22"/>
  <c r="X191" i="22"/>
  <c r="AB191" i="22"/>
  <c r="A189" i="25"/>
  <c r="AB188" i="25"/>
  <c r="X188" i="25"/>
  <c r="K188" i="25"/>
  <c r="L188" i="25"/>
  <c r="D194" i="15"/>
  <c r="X189" i="25"/>
  <c r="L189" i="25"/>
  <c r="A190" i="25"/>
  <c r="AB189" i="25"/>
  <c r="K189" i="25"/>
  <c r="L194" i="18"/>
  <c r="X194" i="18"/>
  <c r="K194" i="18"/>
  <c r="AB194" i="18"/>
  <c r="A195" i="18"/>
  <c r="L192" i="22"/>
  <c r="K192" i="22"/>
  <c r="A193" i="22"/>
  <c r="AB192" i="22"/>
  <c r="X192" i="22"/>
  <c r="A191" i="24"/>
  <c r="X190" i="24"/>
  <c r="K190" i="24"/>
  <c r="L190" i="24"/>
  <c r="AB190" i="24"/>
  <c r="X196" i="15"/>
  <c r="K196" i="15"/>
  <c r="AB196" i="15"/>
  <c r="L196" i="15"/>
  <c r="D196" i="15" s="1"/>
  <c r="A197" i="15"/>
  <c r="K196" i="17"/>
  <c r="X196" i="17"/>
  <c r="AB196" i="17"/>
  <c r="L196" i="17"/>
  <c r="D196" i="17" s="1"/>
  <c r="A197" i="17"/>
  <c r="K196" i="16"/>
  <c r="X196" i="16"/>
  <c r="L196" i="16"/>
  <c r="D196" i="16" s="1"/>
  <c r="AB196" i="16"/>
  <c r="A197" i="16"/>
  <c r="A200" i="1"/>
  <c r="X199" i="1"/>
  <c r="L199" i="1"/>
  <c r="AB199" i="1"/>
  <c r="K199" i="1"/>
  <c r="AK199" i="1"/>
  <c r="AJ199" i="1"/>
  <c r="K191" i="23"/>
  <c r="AB191" i="23"/>
  <c r="L191" i="23"/>
  <c r="X191" i="23"/>
  <c r="A192" i="23"/>
  <c r="K193" i="20"/>
  <c r="X193" i="20"/>
  <c r="L193" i="20"/>
  <c r="AB193" i="20"/>
  <c r="A194" i="20"/>
  <c r="I196" i="1"/>
  <c r="A193" i="23"/>
  <c r="AB192" i="23"/>
  <c r="L192" i="23"/>
  <c r="X192" i="23"/>
  <c r="K192" i="23"/>
  <c r="AB200" i="1"/>
  <c r="AK200" i="1"/>
  <c r="K200" i="1"/>
  <c r="L200" i="1"/>
  <c r="AJ200" i="1"/>
  <c r="X200" i="1"/>
  <c r="A201" i="1"/>
  <c r="AB197" i="16"/>
  <c r="A198" i="16"/>
  <c r="K197" i="16"/>
  <c r="X197" i="16"/>
  <c r="L197" i="16"/>
  <c r="D197" i="16" s="1"/>
  <c r="A198" i="17"/>
  <c r="L197" i="17"/>
  <c r="D197" i="17" s="1"/>
  <c r="X197" i="17"/>
  <c r="K197" i="17"/>
  <c r="AB197" i="17"/>
  <c r="L191" i="24"/>
  <c r="AB191" i="24"/>
  <c r="X191" i="24"/>
  <c r="A192" i="24"/>
  <c r="K191" i="24"/>
  <c r="I195" i="1"/>
  <c r="AB195" i="18"/>
  <c r="L195" i="18"/>
  <c r="K195" i="18"/>
  <c r="X195" i="18"/>
  <c r="A196" i="18"/>
  <c r="X190" i="25"/>
  <c r="L190" i="25"/>
  <c r="A191" i="25"/>
  <c r="AB190" i="25"/>
  <c r="K190" i="25"/>
  <c r="X194" i="20"/>
  <c r="L194" i="20"/>
  <c r="A195" i="20"/>
  <c r="K194" i="20"/>
  <c r="AB194" i="20"/>
  <c r="K197" i="15"/>
  <c r="L197" i="15"/>
  <c r="D197" i="15" s="1"/>
  <c r="A198" i="15"/>
  <c r="X197" i="15"/>
  <c r="AB197" i="15"/>
  <c r="AB193" i="22"/>
  <c r="L193" i="22"/>
  <c r="A194" i="22"/>
  <c r="K193" i="22"/>
  <c r="X193" i="22"/>
  <c r="I197" i="1"/>
  <c r="L198" i="15"/>
  <c r="D198" i="15" s="1"/>
  <c r="A199" i="15"/>
  <c r="AB198" i="15"/>
  <c r="X198" i="15"/>
  <c r="K198" i="15"/>
  <c r="A192" i="25"/>
  <c r="K191" i="25"/>
  <c r="AB191" i="25"/>
  <c r="X191" i="25"/>
  <c r="L191" i="25"/>
  <c r="AB194" i="22"/>
  <c r="L194" i="22"/>
  <c r="A195" i="22"/>
  <c r="K194" i="22"/>
  <c r="X194" i="22"/>
  <c r="X195" i="20"/>
  <c r="AB195" i="20"/>
  <c r="A196" i="20"/>
  <c r="K195" i="20"/>
  <c r="L195" i="20"/>
  <c r="AB198" i="17"/>
  <c r="X198" i="17"/>
  <c r="A199" i="17"/>
  <c r="K198" i="17"/>
  <c r="L198" i="17"/>
  <c r="D198" i="17" s="1"/>
  <c r="K198" i="16"/>
  <c r="X198" i="16"/>
  <c r="AB198" i="16"/>
  <c r="A199" i="16"/>
  <c r="L198" i="16"/>
  <c r="D198" i="16" s="1"/>
  <c r="AB193" i="23"/>
  <c r="X193" i="23"/>
  <c r="K193" i="23"/>
  <c r="A194" i="23"/>
  <c r="L193" i="23"/>
  <c r="K196" i="18"/>
  <c r="X196" i="18"/>
  <c r="A197" i="18"/>
  <c r="AB196" i="18"/>
  <c r="L196" i="18"/>
  <c r="K192" i="24"/>
  <c r="A193" i="24"/>
  <c r="L192" i="24"/>
  <c r="AB192" i="24"/>
  <c r="X192" i="24"/>
  <c r="A202" i="1"/>
  <c r="L201" i="1"/>
  <c r="X201" i="1"/>
  <c r="AK201" i="1"/>
  <c r="K201" i="1"/>
  <c r="AJ201" i="1"/>
  <c r="AB201" i="1"/>
  <c r="A203" i="1"/>
  <c r="X202" i="1"/>
  <c r="L202" i="1"/>
  <c r="AJ202" i="1"/>
  <c r="AB202" i="1"/>
  <c r="AK202" i="1"/>
  <c r="K202" i="1"/>
  <c r="A194" i="24"/>
  <c r="AB193" i="24"/>
  <c r="L193" i="24"/>
  <c r="X193" i="24"/>
  <c r="K193" i="24"/>
  <c r="AB197" i="18"/>
  <c r="A198" i="18"/>
  <c r="L197" i="18"/>
  <c r="K197" i="18"/>
  <c r="X197" i="18"/>
  <c r="K194" i="23"/>
  <c r="AB194" i="23"/>
  <c r="A195" i="23"/>
  <c r="X194" i="23"/>
  <c r="L194" i="23"/>
  <c r="K196" i="20"/>
  <c r="L196" i="20"/>
  <c r="A197" i="20"/>
  <c r="AB196" i="20"/>
  <c r="X196" i="20"/>
  <c r="X195" i="22"/>
  <c r="L195" i="22"/>
  <c r="K195" i="22"/>
  <c r="AB195" i="22"/>
  <c r="A196" i="22"/>
  <c r="AB199" i="16"/>
  <c r="X199" i="16"/>
  <c r="L199" i="16"/>
  <c r="D199" i="16" s="1"/>
  <c r="K199" i="16"/>
  <c r="A200" i="16"/>
  <c r="X199" i="17"/>
  <c r="AB199" i="17"/>
  <c r="K199" i="17"/>
  <c r="L199" i="17"/>
  <c r="A200" i="17"/>
  <c r="I198" i="1"/>
  <c r="A193" i="25"/>
  <c r="X192" i="25"/>
  <c r="L192" i="25"/>
  <c r="AB192" i="25"/>
  <c r="K192" i="25"/>
  <c r="X199" i="15"/>
  <c r="L199" i="15"/>
  <c r="D199" i="15" s="1"/>
  <c r="K199" i="15"/>
  <c r="A200" i="15"/>
  <c r="AB199" i="15"/>
  <c r="X200" i="15"/>
  <c r="A201" i="15"/>
  <c r="K200" i="15"/>
  <c r="AB200" i="15"/>
  <c r="L200" i="15"/>
  <c r="D200" i="15" s="1"/>
  <c r="D199" i="17"/>
  <c r="X200" i="16"/>
  <c r="AB200" i="16"/>
  <c r="A201" i="16"/>
  <c r="K200" i="16"/>
  <c r="L200" i="16"/>
  <c r="D200" i="16" s="1"/>
  <c r="K195" i="23"/>
  <c r="A196" i="23"/>
  <c r="AB195" i="23"/>
  <c r="X195" i="23"/>
  <c r="L195" i="23"/>
  <c r="K198" i="18"/>
  <c r="X198" i="18"/>
  <c r="L198" i="18"/>
  <c r="AB198" i="18"/>
  <c r="A199" i="18"/>
  <c r="AB203" i="1"/>
  <c r="AK203" i="1"/>
  <c r="L203" i="1"/>
  <c r="X203" i="1"/>
  <c r="K203" i="1"/>
  <c r="A204" i="1"/>
  <c r="AJ203" i="1"/>
  <c r="I199" i="1"/>
  <c r="X193" i="25"/>
  <c r="L193" i="25"/>
  <c r="A194" i="25"/>
  <c r="AB193" i="25"/>
  <c r="K193" i="25"/>
  <c r="AB200" i="17"/>
  <c r="L200" i="17"/>
  <c r="D200" i="17" s="1"/>
  <c r="A201" i="17"/>
  <c r="K200" i="17"/>
  <c r="X200" i="17"/>
  <c r="AB196" i="22"/>
  <c r="L196" i="22"/>
  <c r="A197" i="22"/>
  <c r="K196" i="22"/>
  <c r="X196" i="22"/>
  <c r="A198" i="20"/>
  <c r="X197" i="20"/>
  <c r="AB197" i="20"/>
  <c r="K197" i="20"/>
  <c r="L197" i="20"/>
  <c r="A195" i="24"/>
  <c r="L194" i="24"/>
  <c r="K194" i="24"/>
  <c r="X194" i="24"/>
  <c r="AB194" i="24"/>
  <c r="L194" i="25"/>
  <c r="K194" i="25"/>
  <c r="X194" i="25"/>
  <c r="A195" i="25"/>
  <c r="AB194" i="25"/>
  <c r="A205" i="1"/>
  <c r="L204" i="1"/>
  <c r="K204" i="1"/>
  <c r="AB204" i="1"/>
  <c r="AK204" i="1"/>
  <c r="AJ204" i="1"/>
  <c r="X204" i="1"/>
  <c r="X199" i="18"/>
  <c r="K199" i="18"/>
  <c r="L199" i="18"/>
  <c r="A200" i="18"/>
  <c r="AB199" i="18"/>
  <c r="A197" i="23"/>
  <c r="AB196" i="23"/>
  <c r="X196" i="23"/>
  <c r="L196" i="23"/>
  <c r="K196" i="23"/>
  <c r="L201" i="16"/>
  <c r="D201" i="16" s="1"/>
  <c r="K201" i="16"/>
  <c r="X201" i="16"/>
  <c r="AB201" i="16"/>
  <c r="A202" i="16"/>
  <c r="X201" i="15"/>
  <c r="AB201" i="15"/>
  <c r="A202" i="15"/>
  <c r="L201" i="15"/>
  <c r="D201" i="15" s="1"/>
  <c r="K201" i="15"/>
  <c r="I200" i="1"/>
  <c r="K195" i="24"/>
  <c r="A196" i="24"/>
  <c r="L195" i="24"/>
  <c r="AB195" i="24"/>
  <c r="X195" i="24"/>
  <c r="AB198" i="20"/>
  <c r="K198" i="20"/>
  <c r="L198" i="20"/>
  <c r="X198" i="20"/>
  <c r="A199" i="20"/>
  <c r="AB197" i="22"/>
  <c r="K197" i="22"/>
  <c r="X197" i="22"/>
  <c r="L197" i="22"/>
  <c r="A198" i="22"/>
  <c r="A202" i="17"/>
  <c r="X201" i="17"/>
  <c r="L201" i="17"/>
  <c r="D201" i="17" s="1"/>
  <c r="K201" i="17"/>
  <c r="AB201" i="17"/>
  <c r="AB202" i="17"/>
  <c r="X202" i="17"/>
  <c r="K202" i="17"/>
  <c r="L202" i="17"/>
  <c r="D202" i="17" s="1"/>
  <c r="A203" i="17"/>
  <c r="AB198" i="22"/>
  <c r="A199" i="22"/>
  <c r="L198" i="22"/>
  <c r="X198" i="22"/>
  <c r="K198" i="22"/>
  <c r="X199" i="20"/>
  <c r="L199" i="20"/>
  <c r="AB199" i="20"/>
  <c r="A200" i="20"/>
  <c r="K199" i="20"/>
  <c r="K196" i="24"/>
  <c r="X196" i="24"/>
  <c r="L196" i="24"/>
  <c r="AB196" i="24"/>
  <c r="A197" i="24"/>
  <c r="X202" i="16"/>
  <c r="AB202" i="16"/>
  <c r="L202" i="16"/>
  <c r="D202" i="16" s="1"/>
  <c r="A203" i="16"/>
  <c r="K202" i="16"/>
  <c r="AB197" i="23"/>
  <c r="X197" i="23"/>
  <c r="K197" i="23"/>
  <c r="A198" i="23"/>
  <c r="L197" i="23"/>
  <c r="AK205" i="1"/>
  <c r="L205" i="1"/>
  <c r="AB205" i="1"/>
  <c r="K205" i="1"/>
  <c r="X205" i="1"/>
  <c r="AJ205" i="1"/>
  <c r="A206" i="1"/>
  <c r="I201" i="1"/>
  <c r="X202" i="15"/>
  <c r="A203" i="15"/>
  <c r="K202" i="15"/>
  <c r="AB202" i="15"/>
  <c r="L202" i="15"/>
  <c r="D202" i="15" s="1"/>
  <c r="K200" i="18"/>
  <c r="L200" i="18"/>
  <c r="A201" i="18"/>
  <c r="X200" i="18"/>
  <c r="AB200" i="18"/>
  <c r="A196" i="25"/>
  <c r="L195" i="25"/>
  <c r="AB195" i="25"/>
  <c r="K195" i="25"/>
  <c r="X195" i="25"/>
  <c r="L201" i="18"/>
  <c r="K201" i="18"/>
  <c r="X201" i="18"/>
  <c r="AB201" i="18"/>
  <c r="A202" i="18"/>
  <c r="A204" i="15"/>
  <c r="X203" i="15"/>
  <c r="AB203" i="15"/>
  <c r="K203" i="15"/>
  <c r="L203" i="15"/>
  <c r="D203" i="15" s="1"/>
  <c r="A207" i="1"/>
  <c r="K206" i="1"/>
  <c r="AK206" i="1"/>
  <c r="AB206" i="1"/>
  <c r="AJ206" i="1"/>
  <c r="X206" i="1"/>
  <c r="L206" i="1"/>
  <c r="AB198" i="23"/>
  <c r="L198" i="23"/>
  <c r="A199" i="23"/>
  <c r="K198" i="23"/>
  <c r="X198" i="23"/>
  <c r="L197" i="24"/>
  <c r="K197" i="24"/>
  <c r="AB197" i="24"/>
  <c r="X197" i="24"/>
  <c r="A198" i="24"/>
  <c r="X200" i="20"/>
  <c r="A201" i="20"/>
  <c r="AB200" i="20"/>
  <c r="L200" i="20"/>
  <c r="K200" i="20"/>
  <c r="AB199" i="22"/>
  <c r="K199" i="22"/>
  <c r="A200" i="22"/>
  <c r="X199" i="22"/>
  <c r="L199" i="22"/>
  <c r="AB203" i="17"/>
  <c r="K203" i="17"/>
  <c r="A204" i="17"/>
  <c r="L203" i="17"/>
  <c r="D203" i="17" s="1"/>
  <c r="X203" i="17"/>
  <c r="I202" i="1"/>
  <c r="L196" i="25"/>
  <c r="K196" i="25"/>
  <c r="A197" i="25"/>
  <c r="AB196" i="25"/>
  <c r="X196" i="25"/>
  <c r="L203" i="16"/>
  <c r="D203" i="16" s="1"/>
  <c r="X203" i="16"/>
  <c r="K203" i="16"/>
  <c r="A204" i="16"/>
  <c r="AB203" i="16"/>
  <c r="I203" i="1"/>
  <c r="A198" i="25"/>
  <c r="L197" i="25"/>
  <c r="AB197" i="25"/>
  <c r="X197" i="25"/>
  <c r="K197" i="25"/>
  <c r="L200" i="22"/>
  <c r="X200" i="22"/>
  <c r="A201" i="22"/>
  <c r="K200" i="22"/>
  <c r="AB200" i="22"/>
  <c r="L198" i="24"/>
  <c r="X198" i="24"/>
  <c r="AB198" i="24"/>
  <c r="A199" i="24"/>
  <c r="K198" i="24"/>
  <c r="AB202" i="18"/>
  <c r="A203" i="18"/>
  <c r="X202" i="18"/>
  <c r="L202" i="18"/>
  <c r="K202" i="18"/>
  <c r="L204" i="16"/>
  <c r="D204" i="16" s="1"/>
  <c r="K204" i="16"/>
  <c r="A205" i="16"/>
  <c r="X204" i="16"/>
  <c r="AB204" i="16"/>
  <c r="X204" i="17"/>
  <c r="AB204" i="17"/>
  <c r="K204" i="17"/>
  <c r="A205" i="17"/>
  <c r="L204" i="17"/>
  <c r="D204" i="17" s="1"/>
  <c r="L201" i="20"/>
  <c r="AB201" i="20"/>
  <c r="X201" i="20"/>
  <c r="K201" i="20"/>
  <c r="A202" i="20"/>
  <c r="A200" i="23"/>
  <c r="AB199" i="23"/>
  <c r="K199" i="23"/>
  <c r="L199" i="23"/>
  <c r="X199" i="23"/>
  <c r="X207" i="1"/>
  <c r="K207" i="1"/>
  <c r="AK207" i="1"/>
  <c r="A208" i="1"/>
  <c r="AJ207" i="1"/>
  <c r="AB207" i="1"/>
  <c r="L207" i="1"/>
  <c r="X204" i="15"/>
  <c r="L204" i="15"/>
  <c r="D204" i="15" s="1"/>
  <c r="A205" i="15"/>
  <c r="K204" i="15"/>
  <c r="AB204" i="15"/>
  <c r="K205" i="15"/>
  <c r="AB205" i="15"/>
  <c r="L205" i="15"/>
  <c r="A206" i="15"/>
  <c r="X205" i="15"/>
  <c r="K208" i="1"/>
  <c r="X208" i="1"/>
  <c r="L208" i="1"/>
  <c r="AK208" i="1"/>
  <c r="AJ208" i="1"/>
  <c r="A209" i="1"/>
  <c r="AB208" i="1"/>
  <c r="AB200" i="23"/>
  <c r="A201" i="23"/>
  <c r="X200" i="23"/>
  <c r="K200" i="23"/>
  <c r="L200" i="23"/>
  <c r="A203" i="20"/>
  <c r="K202" i="20"/>
  <c r="L202" i="20"/>
  <c r="X202" i="20"/>
  <c r="AB202" i="20"/>
  <c r="A206" i="17"/>
  <c r="X205" i="17"/>
  <c r="AB205" i="17"/>
  <c r="L205" i="17"/>
  <c r="K205" i="17"/>
  <c r="I204" i="1"/>
  <c r="A206" i="16"/>
  <c r="AB205" i="16"/>
  <c r="L205" i="16"/>
  <c r="K205" i="16"/>
  <c r="X205" i="16"/>
  <c r="K203" i="18"/>
  <c r="A204" i="18"/>
  <c r="AB203" i="18"/>
  <c r="L203" i="18"/>
  <c r="X203" i="18"/>
  <c r="AB199" i="24"/>
  <c r="K199" i="24"/>
  <c r="X199" i="24"/>
  <c r="A200" i="24"/>
  <c r="L199" i="24"/>
  <c r="K201" i="22"/>
  <c r="AB201" i="22"/>
  <c r="A202" i="22"/>
  <c r="X201" i="22"/>
  <c r="L201" i="22"/>
  <c r="A199" i="25"/>
  <c r="L198" i="25"/>
  <c r="AB198" i="25"/>
  <c r="K198" i="25"/>
  <c r="X198" i="25"/>
  <c r="A200" i="25"/>
  <c r="X199" i="25"/>
  <c r="L199" i="25"/>
  <c r="K199" i="25"/>
  <c r="AB199" i="25"/>
  <c r="AB202" i="22"/>
  <c r="X202" i="22"/>
  <c r="L202" i="22"/>
  <c r="K202" i="22"/>
  <c r="A203" i="22"/>
  <c r="AB200" i="24"/>
  <c r="A201" i="24"/>
  <c r="L200" i="24"/>
  <c r="K200" i="24"/>
  <c r="X200" i="24"/>
  <c r="AB204" i="18"/>
  <c r="K204" i="18"/>
  <c r="A205" i="18"/>
  <c r="X204" i="18"/>
  <c r="L204" i="18"/>
  <c r="D205" i="17"/>
  <c r="K206" i="15"/>
  <c r="AB206" i="15"/>
  <c r="A207" i="15"/>
  <c r="L206" i="15"/>
  <c r="D206" i="15" s="1"/>
  <c r="X206" i="15"/>
  <c r="I205" i="1"/>
  <c r="D205" i="16"/>
  <c r="X206" i="16"/>
  <c r="K206" i="16"/>
  <c r="A207" i="16"/>
  <c r="AB206" i="16"/>
  <c r="L206" i="16"/>
  <c r="D206" i="16" s="1"/>
  <c r="L206" i="17"/>
  <c r="D206" i="17" s="1"/>
  <c r="X206" i="17"/>
  <c r="AB206" i="17"/>
  <c r="K206" i="17"/>
  <c r="A207" i="17"/>
  <c r="K203" i="20"/>
  <c r="L203" i="20"/>
  <c r="AB203" i="20"/>
  <c r="X203" i="20"/>
  <c r="A204" i="20"/>
  <c r="L201" i="23"/>
  <c r="K201" i="23"/>
  <c r="AB201" i="23"/>
  <c r="X201" i="23"/>
  <c r="A202" i="23"/>
  <c r="AK209" i="1"/>
  <c r="L209" i="1"/>
  <c r="AJ209" i="1"/>
  <c r="X209" i="1"/>
  <c r="K209" i="1"/>
  <c r="A210" i="1"/>
  <c r="AB209" i="1"/>
  <c r="D205" i="15"/>
  <c r="A211" i="1"/>
  <c r="L210" i="1"/>
  <c r="B26" i="7" s="1"/>
  <c r="X210" i="1"/>
  <c r="AB210" i="1"/>
  <c r="AK210" i="1"/>
  <c r="A26" i="7"/>
  <c r="K210" i="1"/>
  <c r="AJ210" i="1"/>
  <c r="X204" i="20"/>
  <c r="K204" i="20"/>
  <c r="L204" i="20"/>
  <c r="A205" i="20"/>
  <c r="AB204" i="20"/>
  <c r="K207" i="17"/>
  <c r="X207" i="17"/>
  <c r="L207" i="17"/>
  <c r="D207" i="17" s="1"/>
  <c r="AB207" i="17"/>
  <c r="A208" i="17"/>
  <c r="A208" i="15"/>
  <c r="AB207" i="15"/>
  <c r="L207" i="15"/>
  <c r="K207" i="15"/>
  <c r="X207" i="15"/>
  <c r="AB205" i="18"/>
  <c r="K205" i="18"/>
  <c r="X205" i="18"/>
  <c r="L205" i="18"/>
  <c r="A206" i="18"/>
  <c r="L202" i="23"/>
  <c r="K202" i="23"/>
  <c r="X202" i="23"/>
  <c r="A203" i="23"/>
  <c r="AB202" i="23"/>
  <c r="A208" i="16"/>
  <c r="AB207" i="16"/>
  <c r="L207" i="16"/>
  <c r="D207" i="16" s="1"/>
  <c r="K207" i="16"/>
  <c r="X207" i="16"/>
  <c r="I206" i="1"/>
  <c r="K201" i="24"/>
  <c r="L201" i="24"/>
  <c r="X201" i="24"/>
  <c r="AB201" i="24"/>
  <c r="A202" i="24"/>
  <c r="L203" i="22"/>
  <c r="AB203" i="22"/>
  <c r="A204" i="22"/>
  <c r="K203" i="22"/>
  <c r="X203" i="22"/>
  <c r="A201" i="25"/>
  <c r="X200" i="25"/>
  <c r="K200" i="25"/>
  <c r="AB200" i="25"/>
  <c r="L200" i="25"/>
  <c r="AB201" i="25"/>
  <c r="X201" i="25"/>
  <c r="K201" i="25"/>
  <c r="A202" i="25"/>
  <c r="L201" i="25"/>
  <c r="X204" i="22"/>
  <c r="L204" i="22"/>
  <c r="A205" i="22"/>
  <c r="K204" i="22"/>
  <c r="AB204" i="22"/>
  <c r="A209" i="16"/>
  <c r="AB208" i="16"/>
  <c r="L208" i="16"/>
  <c r="D208" i="16" s="1"/>
  <c r="X208" i="16"/>
  <c r="K208" i="16"/>
  <c r="AB206" i="18"/>
  <c r="K206" i="18"/>
  <c r="X206" i="18"/>
  <c r="A207" i="18"/>
  <c r="L206" i="18"/>
  <c r="D207" i="15"/>
  <c r="K208" i="15"/>
  <c r="A209" i="15"/>
  <c r="L208" i="15"/>
  <c r="D208" i="15" s="1"/>
  <c r="AB208" i="15"/>
  <c r="X208" i="15"/>
  <c r="I207" i="1"/>
  <c r="AB202" i="24"/>
  <c r="L202" i="24"/>
  <c r="A203" i="24"/>
  <c r="X202" i="24"/>
  <c r="K202" i="24"/>
  <c r="AB203" i="23"/>
  <c r="X203" i="23"/>
  <c r="K203" i="23"/>
  <c r="A204" i="23"/>
  <c r="L203" i="23"/>
  <c r="X208" i="17"/>
  <c r="A209" i="17"/>
  <c r="AB208" i="17"/>
  <c r="K208" i="17"/>
  <c r="L208" i="17"/>
  <c r="D208" i="17" s="1"/>
  <c r="X205" i="20"/>
  <c r="K205" i="20"/>
  <c r="L205" i="20"/>
  <c r="AB205" i="20"/>
  <c r="A206" i="20"/>
  <c r="K211" i="1"/>
  <c r="AB211" i="1"/>
  <c r="L211" i="1"/>
  <c r="AK211" i="1"/>
  <c r="A212" i="1"/>
  <c r="AJ211" i="1"/>
  <c r="X211" i="1"/>
  <c r="X206" i="20"/>
  <c r="AB206" i="20"/>
  <c r="A207" i="20"/>
  <c r="K206" i="20"/>
  <c r="L206" i="20"/>
  <c r="A210" i="17"/>
  <c r="X209" i="17"/>
  <c r="L209" i="17"/>
  <c r="D209" i="17" s="1"/>
  <c r="K209" i="17"/>
  <c r="AB209" i="17"/>
  <c r="L204" i="23"/>
  <c r="X204" i="23"/>
  <c r="A205" i="23"/>
  <c r="AB204" i="23"/>
  <c r="K204" i="23"/>
  <c r="K203" i="24"/>
  <c r="L203" i="24"/>
  <c r="AB203" i="24"/>
  <c r="X203" i="24"/>
  <c r="A204" i="24"/>
  <c r="X209" i="15"/>
  <c r="A210" i="15"/>
  <c r="L209" i="15"/>
  <c r="D209" i="15" s="1"/>
  <c r="K209" i="15"/>
  <c r="AB209" i="15"/>
  <c r="I208" i="1"/>
  <c r="AB212" i="1"/>
  <c r="K212" i="1"/>
  <c r="AK212" i="1"/>
  <c r="A213" i="1"/>
  <c r="AJ212" i="1"/>
  <c r="L212" i="1"/>
  <c r="X212" i="1"/>
  <c r="K207" i="18"/>
  <c r="L207" i="18"/>
  <c r="AB207" i="18"/>
  <c r="A208" i="18"/>
  <c r="X207" i="18"/>
  <c r="K209" i="16"/>
  <c r="X209" i="16"/>
  <c r="AB209" i="16"/>
  <c r="L209" i="16"/>
  <c r="D209" i="16" s="1"/>
  <c r="A210" i="16"/>
  <c r="X205" i="22"/>
  <c r="A206" i="22"/>
  <c r="K205" i="22"/>
  <c r="L205" i="22"/>
  <c r="AB205" i="22"/>
  <c r="A203" i="25"/>
  <c r="AB202" i="25"/>
  <c r="L202" i="25"/>
  <c r="K202" i="25"/>
  <c r="X202" i="25"/>
  <c r="AB206" i="22"/>
  <c r="X206" i="22"/>
  <c r="L206" i="22"/>
  <c r="A207" i="22"/>
  <c r="K206" i="22"/>
  <c r="A214" i="1"/>
  <c r="K213" i="1"/>
  <c r="L213" i="1"/>
  <c r="X213" i="1"/>
  <c r="AJ213" i="1"/>
  <c r="AK213" i="1"/>
  <c r="AB213" i="1"/>
  <c r="AB210" i="17"/>
  <c r="K210" i="17"/>
  <c r="L210" i="17"/>
  <c r="D210" i="17" s="1"/>
  <c r="X210" i="17"/>
  <c r="A211" i="17"/>
  <c r="A62" i="7"/>
  <c r="I209" i="1"/>
  <c r="X203" i="25"/>
  <c r="A204" i="25"/>
  <c r="AB203" i="25"/>
  <c r="K203" i="25"/>
  <c r="L203" i="25"/>
  <c r="L210" i="16"/>
  <c r="B50" i="7" s="1"/>
  <c r="A50" i="7"/>
  <c r="K210" i="16"/>
  <c r="X210" i="16"/>
  <c r="AB210" i="16"/>
  <c r="A211" i="16"/>
  <c r="A209" i="18"/>
  <c r="AB208" i="18"/>
  <c r="X208" i="18"/>
  <c r="K208" i="18"/>
  <c r="L208" i="18"/>
  <c r="A211" i="15"/>
  <c r="L210" i="15"/>
  <c r="D210" i="15" s="1"/>
  <c r="X210" i="15"/>
  <c r="K210" i="15"/>
  <c r="A38" i="7"/>
  <c r="AB210" i="15"/>
  <c r="L204" i="24"/>
  <c r="A205" i="24"/>
  <c r="X204" i="24"/>
  <c r="K204" i="24"/>
  <c r="AB204" i="24"/>
  <c r="A206" i="23"/>
  <c r="AB205" i="23"/>
  <c r="L205" i="23"/>
  <c r="K205" i="23"/>
  <c r="X205" i="23"/>
  <c r="L207" i="20"/>
  <c r="AB207" i="20"/>
  <c r="A208" i="20"/>
  <c r="X207" i="20"/>
  <c r="K207" i="20"/>
  <c r="I210" i="1"/>
  <c r="K205" i="24"/>
  <c r="AB205" i="24"/>
  <c r="L205" i="24"/>
  <c r="A206" i="24"/>
  <c r="X205" i="24"/>
  <c r="B38" i="7"/>
  <c r="L211" i="16"/>
  <c r="D211" i="16" s="1"/>
  <c r="AB211" i="16"/>
  <c r="K211" i="16"/>
  <c r="X211" i="16"/>
  <c r="A212" i="16"/>
  <c r="D210" i="16"/>
  <c r="A212" i="17"/>
  <c r="K211" i="17"/>
  <c r="AB211" i="17"/>
  <c r="L211" i="17"/>
  <c r="D211" i="17" s="1"/>
  <c r="X211" i="17"/>
  <c r="B62" i="7"/>
  <c r="AB208" i="20"/>
  <c r="K208" i="20"/>
  <c r="X208" i="20"/>
  <c r="A209" i="20"/>
  <c r="L208" i="20"/>
  <c r="A207" i="23"/>
  <c r="AB206" i="23"/>
  <c r="X206" i="23"/>
  <c r="L206" i="23"/>
  <c r="K206" i="23"/>
  <c r="A212" i="15"/>
  <c r="X211" i="15"/>
  <c r="L211" i="15"/>
  <c r="D211" i="15" s="1"/>
  <c r="AB211" i="15"/>
  <c r="K211" i="15"/>
  <c r="X209" i="18"/>
  <c r="AB209" i="18"/>
  <c r="A210" i="18"/>
  <c r="K209" i="18"/>
  <c r="L209" i="18"/>
  <c r="A205" i="25"/>
  <c r="AB204" i="25"/>
  <c r="L204" i="25"/>
  <c r="K204" i="25"/>
  <c r="X204" i="25"/>
  <c r="A215" i="1"/>
  <c r="K214" i="1"/>
  <c r="X214" i="1"/>
  <c r="AB214" i="1"/>
  <c r="AJ214" i="1"/>
  <c r="AK214" i="1"/>
  <c r="L214" i="1"/>
  <c r="AB207" i="22"/>
  <c r="L207" i="22"/>
  <c r="A208" i="22"/>
  <c r="K207" i="22"/>
  <c r="X207" i="22"/>
  <c r="K208" i="22"/>
  <c r="X208" i="22"/>
  <c r="L208" i="22"/>
  <c r="A209" i="22"/>
  <c r="AB208" i="22"/>
  <c r="K210" i="18"/>
  <c r="A211" i="18"/>
  <c r="L210" i="18"/>
  <c r="B74" i="7" s="1"/>
  <c r="X210" i="18"/>
  <c r="AB210" i="18"/>
  <c r="A74" i="7"/>
  <c r="AB209" i="20"/>
  <c r="X209" i="20"/>
  <c r="L209" i="20"/>
  <c r="A210" i="20"/>
  <c r="K209" i="20"/>
  <c r="A213" i="17"/>
  <c r="X212" i="17"/>
  <c r="L212" i="17"/>
  <c r="D212" i="17" s="1"/>
  <c r="AB212" i="17"/>
  <c r="K212" i="17"/>
  <c r="L206" i="24"/>
  <c r="A207" i="24"/>
  <c r="X206" i="24"/>
  <c r="K206" i="24"/>
  <c r="AB206" i="24"/>
  <c r="K215" i="1"/>
  <c r="AB215" i="1"/>
  <c r="L215" i="1"/>
  <c r="X215" i="1"/>
  <c r="A216" i="1"/>
  <c r="AK215" i="1"/>
  <c r="AJ215" i="1"/>
  <c r="K205" i="25"/>
  <c r="AB205" i="25"/>
  <c r="X205" i="25"/>
  <c r="A206" i="25"/>
  <c r="L205" i="25"/>
  <c r="X212" i="15"/>
  <c r="AB212" i="15"/>
  <c r="A213" i="15"/>
  <c r="L212" i="15"/>
  <c r="D212" i="15" s="1"/>
  <c r="K212" i="15"/>
  <c r="L207" i="23"/>
  <c r="X207" i="23"/>
  <c r="A208" i="23"/>
  <c r="AB207" i="23"/>
  <c r="K207" i="23"/>
  <c r="K212" i="16"/>
  <c r="A213" i="16"/>
  <c r="X212" i="16"/>
  <c r="AB212" i="16"/>
  <c r="L212" i="16"/>
  <c r="D212" i="16" s="1"/>
  <c r="I211" i="1"/>
  <c r="I212" i="1"/>
  <c r="L213" i="16"/>
  <c r="A214" i="16"/>
  <c r="X213" i="16"/>
  <c r="AB213" i="16"/>
  <c r="K213" i="16"/>
  <c r="X208" i="23"/>
  <c r="L208" i="23"/>
  <c r="AB208" i="23"/>
  <c r="K208" i="23"/>
  <c r="A209" i="23"/>
  <c r="K216" i="1"/>
  <c r="AB216" i="1"/>
  <c r="AK216" i="1"/>
  <c r="X216" i="1"/>
  <c r="L216" i="1"/>
  <c r="AJ216" i="1"/>
  <c r="A217" i="1"/>
  <c r="AB207" i="24"/>
  <c r="X207" i="24"/>
  <c r="K207" i="24"/>
  <c r="A208" i="24"/>
  <c r="L207" i="24"/>
  <c r="A214" i="17"/>
  <c r="K213" i="17"/>
  <c r="X213" i="17"/>
  <c r="AB213" i="17"/>
  <c r="L213" i="17"/>
  <c r="D213" i="17" s="1"/>
  <c r="L211" i="18"/>
  <c r="A212" i="18"/>
  <c r="K211" i="18"/>
  <c r="AB211" i="18"/>
  <c r="X211" i="18"/>
  <c r="A210" i="22"/>
  <c r="AB209" i="22"/>
  <c r="X209" i="22"/>
  <c r="K209" i="22"/>
  <c r="L209" i="22"/>
  <c r="L213" i="15"/>
  <c r="D213" i="15" s="1"/>
  <c r="AB213" i="15"/>
  <c r="X213" i="15"/>
  <c r="A214" i="15"/>
  <c r="K213" i="15"/>
  <c r="A207" i="25"/>
  <c r="L206" i="25"/>
  <c r="X206" i="25"/>
  <c r="K206" i="25"/>
  <c r="AB206" i="25"/>
  <c r="A211" i="20"/>
  <c r="AB210" i="20"/>
  <c r="K210" i="20"/>
  <c r="L210" i="20"/>
  <c r="AF26" i="7" s="1"/>
  <c r="AE26" i="7"/>
  <c r="X210" i="20"/>
  <c r="I213" i="1"/>
  <c r="A212" i="20"/>
  <c r="X211" i="20"/>
  <c r="K211" i="20"/>
  <c r="AB211" i="20"/>
  <c r="L211" i="20"/>
  <c r="X207" i="25"/>
  <c r="A208" i="25"/>
  <c r="L207" i="25"/>
  <c r="AB207" i="25"/>
  <c r="K207" i="25"/>
  <c r="K214" i="15"/>
  <c r="L214" i="15"/>
  <c r="D214" i="15" s="1"/>
  <c r="AB214" i="15"/>
  <c r="A215" i="15"/>
  <c r="X214" i="15"/>
  <c r="L212" i="18"/>
  <c r="AB212" i="18"/>
  <c r="A213" i="18"/>
  <c r="X212" i="18"/>
  <c r="K212" i="18"/>
  <c r="D213" i="16"/>
  <c r="AE38" i="7"/>
  <c r="L210" i="22"/>
  <c r="K210" i="22"/>
  <c r="AB210" i="22"/>
  <c r="X210" i="22"/>
  <c r="A211" i="22"/>
  <c r="K214" i="17"/>
  <c r="X214" i="17"/>
  <c r="AB214" i="17"/>
  <c r="A215" i="17"/>
  <c r="L214" i="17"/>
  <c r="D214" i="17" s="1"/>
  <c r="AB208" i="24"/>
  <c r="X208" i="24"/>
  <c r="K208" i="24"/>
  <c r="L208" i="24"/>
  <c r="A209" i="24"/>
  <c r="AK217" i="1"/>
  <c r="AB217" i="1"/>
  <c r="X217" i="1"/>
  <c r="A218" i="1"/>
  <c r="L217" i="1"/>
  <c r="AJ217" i="1"/>
  <c r="K217" i="1"/>
  <c r="AB209" i="23"/>
  <c r="X209" i="23"/>
  <c r="A210" i="23"/>
  <c r="K209" i="23"/>
  <c r="L209" i="23"/>
  <c r="A215" i="16"/>
  <c r="AB214" i="16"/>
  <c r="L214" i="16"/>
  <c r="D214" i="16" s="1"/>
  <c r="X214" i="16"/>
  <c r="K214" i="16"/>
  <c r="A216" i="16"/>
  <c r="L215" i="16"/>
  <c r="K215" i="16"/>
  <c r="AB215" i="16"/>
  <c r="X215" i="16"/>
  <c r="AB211" i="22"/>
  <c r="K211" i="22"/>
  <c r="A212" i="22"/>
  <c r="L211" i="22"/>
  <c r="X211" i="22"/>
  <c r="AF38" i="7"/>
  <c r="I214" i="1"/>
  <c r="X208" i="25"/>
  <c r="L208" i="25"/>
  <c r="K208" i="25"/>
  <c r="A209" i="25"/>
  <c r="AB208" i="25"/>
  <c r="X212" i="20"/>
  <c r="A213" i="20"/>
  <c r="L212" i="20"/>
  <c r="K212" i="20"/>
  <c r="AB212" i="20"/>
  <c r="X210" i="23"/>
  <c r="A211" i="23"/>
  <c r="K210" i="23"/>
  <c r="L210" i="23"/>
  <c r="AE50" i="7"/>
  <c r="AB210" i="23"/>
  <c r="A219" i="1"/>
  <c r="K218" i="1"/>
  <c r="L218" i="1"/>
  <c r="X218" i="1"/>
  <c r="AJ218" i="1"/>
  <c r="AB218" i="1"/>
  <c r="AK218" i="1"/>
  <c r="A210" i="24"/>
  <c r="X209" i="24"/>
  <c r="K209" i="24"/>
  <c r="AB209" i="24"/>
  <c r="L209" i="24"/>
  <c r="AB215" i="17"/>
  <c r="L215" i="17"/>
  <c r="D215" i="17" s="1"/>
  <c r="X215" i="17"/>
  <c r="A216" i="17"/>
  <c r="K215" i="17"/>
  <c r="K213" i="18"/>
  <c r="AB213" i="18"/>
  <c r="L213" i="18"/>
  <c r="X213" i="18"/>
  <c r="A214" i="18"/>
  <c r="K215" i="15"/>
  <c r="X215" i="15"/>
  <c r="L215" i="15"/>
  <c r="D215" i="15" s="1"/>
  <c r="A216" i="15"/>
  <c r="AB215" i="15"/>
  <c r="X210" i="24"/>
  <c r="AB210" i="24"/>
  <c r="AE62" i="7"/>
  <c r="K210" i="24"/>
  <c r="L210" i="24"/>
  <c r="AF62" i="7" s="1"/>
  <c r="A211" i="24"/>
  <c r="AF50" i="7"/>
  <c r="L211" i="23"/>
  <c r="AB211" i="23"/>
  <c r="K211" i="23"/>
  <c r="A212" i="23"/>
  <c r="X211" i="23"/>
  <c r="X213" i="20"/>
  <c r="K213" i="20"/>
  <c r="AB213" i="20"/>
  <c r="L213" i="20"/>
  <c r="A214" i="20"/>
  <c r="A210" i="25"/>
  <c r="AB209" i="25"/>
  <c r="X209" i="25"/>
  <c r="K209" i="25"/>
  <c r="L209" i="25"/>
  <c r="D215" i="16"/>
  <c r="I215" i="1"/>
  <c r="K216" i="15"/>
  <c r="AB216" i="15"/>
  <c r="A217" i="15"/>
  <c r="L216" i="15"/>
  <c r="D216" i="15" s="1"/>
  <c r="X216" i="15"/>
  <c r="L214" i="18"/>
  <c r="A215" i="18"/>
  <c r="K214" i="18"/>
  <c r="X214" i="18"/>
  <c r="AB214" i="18"/>
  <c r="L216" i="17"/>
  <c r="D216" i="17" s="1"/>
  <c r="K216" i="17"/>
  <c r="X216" i="17"/>
  <c r="A217" i="17"/>
  <c r="AB216" i="17"/>
  <c r="A220" i="1"/>
  <c r="K219" i="1"/>
  <c r="X219" i="1"/>
  <c r="AB219" i="1"/>
  <c r="AK219" i="1"/>
  <c r="L219" i="1"/>
  <c r="AJ219" i="1"/>
  <c r="AB212" i="22"/>
  <c r="X212" i="22"/>
  <c r="A213" i="22"/>
  <c r="L212" i="22"/>
  <c r="K212" i="22"/>
  <c r="L216" i="16"/>
  <c r="D216" i="16" s="1"/>
  <c r="X216" i="16"/>
  <c r="AB216" i="16"/>
  <c r="K216" i="16"/>
  <c r="A217" i="16"/>
  <c r="X213" i="22"/>
  <c r="A214" i="22"/>
  <c r="K213" i="22"/>
  <c r="AB213" i="22"/>
  <c r="L213" i="22"/>
  <c r="K217" i="17"/>
  <c r="AB217" i="17"/>
  <c r="A218" i="17"/>
  <c r="L217" i="17"/>
  <c r="D217" i="17" s="1"/>
  <c r="X217" i="17"/>
  <c r="AB210" i="25"/>
  <c r="L210" i="25"/>
  <c r="AF74" i="7" s="1"/>
  <c r="A211" i="25"/>
  <c r="K210" i="25"/>
  <c r="X210" i="25"/>
  <c r="AE74" i="7"/>
  <c r="L214" i="20"/>
  <c r="AB214" i="20"/>
  <c r="X214" i="20"/>
  <c r="K214" i="20"/>
  <c r="A215" i="20"/>
  <c r="X211" i="24"/>
  <c r="K211" i="24"/>
  <c r="A212" i="24"/>
  <c r="AB211" i="24"/>
  <c r="L211" i="24"/>
  <c r="I216" i="1"/>
  <c r="K217" i="16"/>
  <c r="AB217" i="16"/>
  <c r="X217" i="16"/>
  <c r="A218" i="16"/>
  <c r="L217" i="16"/>
  <c r="D217" i="16" s="1"/>
  <c r="A221" i="1"/>
  <c r="AB220" i="1"/>
  <c r="L220" i="1"/>
  <c r="X220" i="1"/>
  <c r="AK220" i="1"/>
  <c r="K220" i="1"/>
  <c r="AJ220" i="1"/>
  <c r="X215" i="18"/>
  <c r="AB215" i="18"/>
  <c r="L215" i="18"/>
  <c r="K215" i="18"/>
  <c r="A216" i="18"/>
  <c r="A218" i="15"/>
  <c r="K217" i="15"/>
  <c r="AB217" i="15"/>
  <c r="L217" i="15"/>
  <c r="D217" i="15" s="1"/>
  <c r="X217" i="15"/>
  <c r="AB212" i="23"/>
  <c r="A213" i="23"/>
  <c r="K212" i="23"/>
  <c r="L212" i="23"/>
  <c r="X212" i="23"/>
  <c r="K216" i="18"/>
  <c r="A217" i="18"/>
  <c r="L216" i="18"/>
  <c r="X216" i="18"/>
  <c r="AB216" i="18"/>
  <c r="A222" i="1"/>
  <c r="L221" i="1"/>
  <c r="AK221" i="1"/>
  <c r="AB221" i="1"/>
  <c r="X221" i="1"/>
  <c r="K221" i="1"/>
  <c r="AJ221" i="1"/>
  <c r="L215" i="20"/>
  <c r="A216" i="20"/>
  <c r="K215" i="20"/>
  <c r="AB215" i="20"/>
  <c r="X215" i="20"/>
  <c r="A219" i="17"/>
  <c r="L218" i="17"/>
  <c r="K218" i="17"/>
  <c r="X218" i="17"/>
  <c r="AB218" i="17"/>
  <c r="X214" i="22"/>
  <c r="K214" i="22"/>
  <c r="L214" i="22"/>
  <c r="AB214" i="22"/>
  <c r="A215" i="22"/>
  <c r="I217" i="1"/>
  <c r="X213" i="23"/>
  <c r="L213" i="23"/>
  <c r="K213" i="23"/>
  <c r="AB213" i="23"/>
  <c r="A214" i="23"/>
  <c r="X218" i="15"/>
  <c r="L218" i="15"/>
  <c r="D218" i="15" s="1"/>
  <c r="A219" i="15"/>
  <c r="K218" i="15"/>
  <c r="AB218" i="15"/>
  <c r="L218" i="16"/>
  <c r="D218" i="16" s="1"/>
  <c r="AB218" i="16"/>
  <c r="A219" i="16"/>
  <c r="X218" i="16"/>
  <c r="K218" i="16"/>
  <c r="AB212" i="24"/>
  <c r="K212" i="24"/>
  <c r="X212" i="24"/>
  <c r="L212" i="24"/>
  <c r="A213" i="24"/>
  <c r="A212" i="25"/>
  <c r="X211" i="25"/>
  <c r="AB211" i="25"/>
  <c r="K211" i="25"/>
  <c r="L211" i="25"/>
  <c r="L213" i="24"/>
  <c r="AB213" i="24"/>
  <c r="K213" i="24"/>
  <c r="X213" i="24"/>
  <c r="A214" i="24"/>
  <c r="L215" i="22"/>
  <c r="K215" i="22"/>
  <c r="A216" i="22"/>
  <c r="AB215" i="22"/>
  <c r="X215" i="22"/>
  <c r="I218" i="1"/>
  <c r="D218" i="17"/>
  <c r="A217" i="20"/>
  <c r="L216" i="20"/>
  <c r="X216" i="20"/>
  <c r="K216" i="20"/>
  <c r="AB216" i="20"/>
  <c r="AK222" i="1"/>
  <c r="AJ222" i="1"/>
  <c r="AB222" i="1"/>
  <c r="A223" i="1"/>
  <c r="X222" i="1"/>
  <c r="K222" i="1"/>
  <c r="L222" i="1"/>
  <c r="L217" i="18"/>
  <c r="X217" i="18"/>
  <c r="K217" i="18"/>
  <c r="A218" i="18"/>
  <c r="AB217" i="18"/>
  <c r="L212" i="25"/>
  <c r="X212" i="25"/>
  <c r="K212" i="25"/>
  <c r="A213" i="25"/>
  <c r="AB212" i="25"/>
  <c r="X219" i="16"/>
  <c r="AB219" i="16"/>
  <c r="K219" i="16"/>
  <c r="A220" i="16"/>
  <c r="L219" i="16"/>
  <c r="AB219" i="15"/>
  <c r="X219" i="15"/>
  <c r="A220" i="15"/>
  <c r="L219" i="15"/>
  <c r="D219" i="15" s="1"/>
  <c r="K219" i="15"/>
  <c r="A215" i="23"/>
  <c r="AB214" i="23"/>
  <c r="L214" i="23"/>
  <c r="K214" i="23"/>
  <c r="X214" i="23"/>
  <c r="AB219" i="17"/>
  <c r="L219" i="17"/>
  <c r="D219" i="17" s="1"/>
  <c r="A220" i="17"/>
  <c r="X219" i="17"/>
  <c r="K219" i="17"/>
  <c r="I219" i="1"/>
  <c r="AB215" i="23"/>
  <c r="L215" i="23"/>
  <c r="X215" i="23"/>
  <c r="A216" i="23"/>
  <c r="K215" i="23"/>
  <c r="AB220" i="16"/>
  <c r="X220" i="16"/>
  <c r="K220" i="16"/>
  <c r="A221" i="16"/>
  <c r="L220" i="16"/>
  <c r="K213" i="25"/>
  <c r="L213" i="25"/>
  <c r="AB213" i="25"/>
  <c r="A214" i="25"/>
  <c r="X213" i="25"/>
  <c r="A224" i="1"/>
  <c r="X223" i="1"/>
  <c r="AJ223" i="1"/>
  <c r="K223" i="1"/>
  <c r="AK223" i="1"/>
  <c r="AB223" i="1"/>
  <c r="L223" i="1"/>
  <c r="K214" i="24"/>
  <c r="X214" i="24"/>
  <c r="L214" i="24"/>
  <c r="AB214" i="24"/>
  <c r="A215" i="24"/>
  <c r="X220" i="17"/>
  <c r="A221" i="17"/>
  <c r="K220" i="17"/>
  <c r="L220" i="17"/>
  <c r="D220" i="17" s="1"/>
  <c r="AB220" i="17"/>
  <c r="K220" i="15"/>
  <c r="AB220" i="15"/>
  <c r="A221" i="15"/>
  <c r="L220" i="15"/>
  <c r="D220" i="15" s="1"/>
  <c r="X220" i="15"/>
  <c r="D219" i="16"/>
  <c r="K218" i="18"/>
  <c r="L218" i="18"/>
  <c r="A219" i="18"/>
  <c r="AB218" i="18"/>
  <c r="X218" i="18"/>
  <c r="K217" i="20"/>
  <c r="L217" i="20"/>
  <c r="A218" i="20"/>
  <c r="X217" i="20"/>
  <c r="AB217" i="20"/>
  <c r="A217" i="22"/>
  <c r="X216" i="22"/>
  <c r="L216" i="22"/>
  <c r="K216" i="22"/>
  <c r="AB216" i="22"/>
  <c r="I220" i="1"/>
  <c r="L217" i="22"/>
  <c r="X217" i="22"/>
  <c r="K217" i="22"/>
  <c r="AB217" i="22"/>
  <c r="A218" i="22"/>
  <c r="K218" i="20"/>
  <c r="X218" i="20"/>
  <c r="A219" i="20"/>
  <c r="AB218" i="20"/>
  <c r="L218" i="20"/>
  <c r="X221" i="15"/>
  <c r="AB221" i="15"/>
  <c r="K221" i="15"/>
  <c r="A222" i="15"/>
  <c r="L221" i="15"/>
  <c r="D221" i="15" s="1"/>
  <c r="AB221" i="17"/>
  <c r="K221" i="17"/>
  <c r="X221" i="17"/>
  <c r="A222" i="17"/>
  <c r="L221" i="17"/>
  <c r="D221" i="17" s="1"/>
  <c r="A225" i="1"/>
  <c r="L224" i="1"/>
  <c r="AB224" i="1"/>
  <c r="AK224" i="1"/>
  <c r="AJ224" i="1"/>
  <c r="X224" i="1"/>
  <c r="K224" i="1"/>
  <c r="D220" i="16"/>
  <c r="L221" i="16"/>
  <c r="X221" i="16"/>
  <c r="AB221" i="16"/>
  <c r="K221" i="16"/>
  <c r="A222" i="16"/>
  <c r="A220" i="18"/>
  <c r="X219" i="18"/>
  <c r="K219" i="18"/>
  <c r="L219" i="18"/>
  <c r="AB219" i="18"/>
  <c r="A216" i="24"/>
  <c r="AB215" i="24"/>
  <c r="X215" i="24"/>
  <c r="K215" i="24"/>
  <c r="L215" i="24"/>
  <c r="X214" i="25"/>
  <c r="A215" i="25"/>
  <c r="AB214" i="25"/>
  <c r="K214" i="25"/>
  <c r="L214" i="25"/>
  <c r="X216" i="23"/>
  <c r="L216" i="23"/>
  <c r="A217" i="23"/>
  <c r="AB216" i="23"/>
  <c r="K216" i="23"/>
  <c r="I221" i="1"/>
  <c r="K220" i="18"/>
  <c r="L220" i="18"/>
  <c r="A221" i="18"/>
  <c r="X220" i="18"/>
  <c r="AB220" i="18"/>
  <c r="X222" i="16"/>
  <c r="L222" i="16"/>
  <c r="D222" i="16" s="1"/>
  <c r="K222" i="16"/>
  <c r="AB222" i="16"/>
  <c r="A223" i="16"/>
  <c r="D221" i="16"/>
  <c r="A223" i="15"/>
  <c r="K222" i="15"/>
  <c r="L222" i="15"/>
  <c r="D222" i="15" s="1"/>
  <c r="AB222" i="15"/>
  <c r="X222" i="15"/>
  <c r="L219" i="20"/>
  <c r="A220" i="20"/>
  <c r="AB219" i="20"/>
  <c r="X219" i="20"/>
  <c r="K219" i="20"/>
  <c r="L218" i="22"/>
  <c r="X218" i="22"/>
  <c r="K218" i="22"/>
  <c r="AB218" i="22"/>
  <c r="A219" i="22"/>
  <c r="K217" i="23"/>
  <c r="A218" i="23"/>
  <c r="L217" i="23"/>
  <c r="AB217" i="23"/>
  <c r="X217" i="23"/>
  <c r="AB215" i="25"/>
  <c r="X215" i="25"/>
  <c r="L215" i="25"/>
  <c r="A216" i="25"/>
  <c r="K215" i="25"/>
  <c r="X216" i="24"/>
  <c r="A217" i="24"/>
  <c r="AB216" i="24"/>
  <c r="K216" i="24"/>
  <c r="L216" i="24"/>
  <c r="L225" i="1"/>
  <c r="AB225" i="1"/>
  <c r="AK225" i="1"/>
  <c r="A226" i="1"/>
  <c r="K225" i="1"/>
  <c r="AJ225" i="1"/>
  <c r="X225" i="1"/>
  <c r="AB222" i="17"/>
  <c r="K222" i="17"/>
  <c r="A223" i="17"/>
  <c r="X222" i="17"/>
  <c r="L222" i="17"/>
  <c r="D222" i="17" s="1"/>
  <c r="I222" i="1"/>
  <c r="X226" i="1"/>
  <c r="K226" i="1"/>
  <c r="AK226" i="1"/>
  <c r="L226" i="1"/>
  <c r="AB226" i="1"/>
  <c r="A227" i="1"/>
  <c r="AJ226" i="1"/>
  <c r="AB216" i="25"/>
  <c r="L216" i="25"/>
  <c r="X216" i="25"/>
  <c r="K216" i="25"/>
  <c r="A217" i="25"/>
  <c r="K219" i="22"/>
  <c r="A220" i="22"/>
  <c r="L219" i="22"/>
  <c r="X219" i="22"/>
  <c r="AB219" i="22"/>
  <c r="K220" i="20"/>
  <c r="A221" i="20"/>
  <c r="L220" i="20"/>
  <c r="X220" i="20"/>
  <c r="AB220" i="20"/>
  <c r="A224" i="15"/>
  <c r="AB223" i="15"/>
  <c r="K223" i="15"/>
  <c r="X223" i="15"/>
  <c r="L223" i="15"/>
  <c r="D223" i="15" s="1"/>
  <c r="AB223" i="16"/>
  <c r="A224" i="16"/>
  <c r="L223" i="16"/>
  <c r="D223" i="16" s="1"/>
  <c r="K223" i="16"/>
  <c r="X223" i="16"/>
  <c r="A222" i="18"/>
  <c r="AB221" i="18"/>
  <c r="K221" i="18"/>
  <c r="X221" i="18"/>
  <c r="L221" i="18"/>
  <c r="K223" i="17"/>
  <c r="AB223" i="17"/>
  <c r="A224" i="17"/>
  <c r="L223" i="17"/>
  <c r="D223" i="17" s="1"/>
  <c r="X223" i="17"/>
  <c r="A218" i="24"/>
  <c r="AB217" i="24"/>
  <c r="X217" i="24"/>
  <c r="K217" i="24"/>
  <c r="L217" i="24"/>
  <c r="AB218" i="23"/>
  <c r="A219" i="23"/>
  <c r="X218" i="23"/>
  <c r="K218" i="23"/>
  <c r="L218" i="23"/>
  <c r="I223" i="1"/>
  <c r="L218" i="24"/>
  <c r="A219" i="24"/>
  <c r="AB218" i="24"/>
  <c r="X218" i="24"/>
  <c r="K218" i="24"/>
  <c r="X224" i="17"/>
  <c r="A225" i="17"/>
  <c r="L224" i="17"/>
  <c r="D224" i="17" s="1"/>
  <c r="K224" i="17"/>
  <c r="AB224" i="17"/>
  <c r="A225" i="15"/>
  <c r="L224" i="15"/>
  <c r="D224" i="15" s="1"/>
  <c r="AB224" i="15"/>
  <c r="X224" i="15"/>
  <c r="K224" i="15"/>
  <c r="A222" i="20"/>
  <c r="L221" i="20"/>
  <c r="AB221" i="20"/>
  <c r="K221" i="20"/>
  <c r="X221" i="20"/>
  <c r="A221" i="22"/>
  <c r="X220" i="22"/>
  <c r="L220" i="22"/>
  <c r="AB220" i="22"/>
  <c r="K220" i="22"/>
  <c r="L219" i="23"/>
  <c r="K219" i="23"/>
  <c r="A220" i="23"/>
  <c r="X219" i="23"/>
  <c r="AB219" i="23"/>
  <c r="K222" i="18"/>
  <c r="A223" i="18"/>
  <c r="L222" i="18"/>
  <c r="X222" i="18"/>
  <c r="AB222" i="18"/>
  <c r="L224" i="16"/>
  <c r="D224" i="16" s="1"/>
  <c r="K224" i="16"/>
  <c r="X224" i="16"/>
  <c r="AB224" i="16"/>
  <c r="A225" i="16"/>
  <c r="L217" i="25"/>
  <c r="A218" i="25"/>
  <c r="AB217" i="25"/>
  <c r="K217" i="25"/>
  <c r="X217" i="25"/>
  <c r="A228" i="1"/>
  <c r="AB227" i="1"/>
  <c r="AK227" i="1"/>
  <c r="L227" i="1"/>
  <c r="AJ227" i="1"/>
  <c r="X227" i="1"/>
  <c r="K227" i="1"/>
  <c r="A229" i="1"/>
  <c r="AK228" i="1"/>
  <c r="AJ228" i="1"/>
  <c r="K228" i="1"/>
  <c r="L228" i="1"/>
  <c r="AB228" i="1"/>
  <c r="X228" i="1"/>
  <c r="A219" i="25"/>
  <c r="X218" i="25"/>
  <c r="AB218" i="25"/>
  <c r="K218" i="25"/>
  <c r="L218" i="25"/>
  <c r="I224" i="1"/>
  <c r="K221" i="22"/>
  <c r="X221" i="22"/>
  <c r="A222" i="22"/>
  <c r="AB221" i="22"/>
  <c r="L221" i="22"/>
  <c r="K219" i="24"/>
  <c r="A220" i="24"/>
  <c r="AB219" i="24"/>
  <c r="L219" i="24"/>
  <c r="X219" i="24"/>
  <c r="X225" i="16"/>
  <c r="A226" i="16"/>
  <c r="L225" i="16"/>
  <c r="D225" i="16" s="1"/>
  <c r="K225" i="16"/>
  <c r="AB225" i="16"/>
  <c r="X223" i="18"/>
  <c r="L223" i="18"/>
  <c r="K223" i="18"/>
  <c r="AB223" i="18"/>
  <c r="A224" i="18"/>
  <c r="K220" i="23"/>
  <c r="AB220" i="23"/>
  <c r="X220" i="23"/>
  <c r="A221" i="23"/>
  <c r="L220" i="23"/>
  <c r="L222" i="20"/>
  <c r="X222" i="20"/>
  <c r="A223" i="20"/>
  <c r="K222" i="20"/>
  <c r="AB222" i="20"/>
  <c r="K225" i="15"/>
  <c r="L225" i="15"/>
  <c r="AB225" i="15"/>
  <c r="X225" i="15"/>
  <c r="A226" i="15"/>
  <c r="A226" i="17"/>
  <c r="X225" i="17"/>
  <c r="K225" i="17"/>
  <c r="L225" i="17"/>
  <c r="AB225" i="17"/>
  <c r="I225" i="1"/>
  <c r="A227" i="16"/>
  <c r="K226" i="16"/>
  <c r="AB226" i="16"/>
  <c r="X226" i="16"/>
  <c r="L226" i="16"/>
  <c r="D226" i="16" s="1"/>
  <c r="L222" i="22"/>
  <c r="X222" i="22"/>
  <c r="K222" i="22"/>
  <c r="AB222" i="22"/>
  <c r="A223" i="22"/>
  <c r="X219" i="25"/>
  <c r="AB219" i="25"/>
  <c r="A220" i="25"/>
  <c r="K219" i="25"/>
  <c r="L219" i="25"/>
  <c r="D225" i="17"/>
  <c r="X226" i="17"/>
  <c r="L226" i="17"/>
  <c r="D226" i="17" s="1"/>
  <c r="K226" i="17"/>
  <c r="A227" i="17"/>
  <c r="AB226" i="17"/>
  <c r="A227" i="15"/>
  <c r="L226" i="15"/>
  <c r="D226" i="15" s="1"/>
  <c r="K226" i="15"/>
  <c r="X226" i="15"/>
  <c r="AB226" i="15"/>
  <c r="D225" i="15"/>
  <c r="L223" i="20"/>
  <c r="X223" i="20"/>
  <c r="AB223" i="20"/>
  <c r="A224" i="20"/>
  <c r="K223" i="20"/>
  <c r="X221" i="23"/>
  <c r="K221" i="23"/>
  <c r="L221" i="23"/>
  <c r="AB221" i="23"/>
  <c r="A222" i="23"/>
  <c r="L224" i="18"/>
  <c r="K224" i="18"/>
  <c r="AB224" i="18"/>
  <c r="A225" i="18"/>
  <c r="X224" i="18"/>
  <c r="L220" i="24"/>
  <c r="A221" i="24"/>
  <c r="AB220" i="24"/>
  <c r="X220" i="24"/>
  <c r="K220" i="24"/>
  <c r="A230" i="1"/>
  <c r="X229" i="1"/>
  <c r="AB229" i="1"/>
  <c r="AK229" i="1"/>
  <c r="AJ229" i="1"/>
  <c r="K229" i="1"/>
  <c r="L229" i="1"/>
  <c r="AK230" i="1"/>
  <c r="AJ230" i="1"/>
  <c r="AB230" i="1"/>
  <c r="K230" i="1"/>
  <c r="L230" i="1"/>
  <c r="X230" i="1"/>
  <c r="A231" i="1"/>
  <c r="AB222" i="23"/>
  <c r="A223" i="23"/>
  <c r="K222" i="23"/>
  <c r="L222" i="23"/>
  <c r="X222" i="23"/>
  <c r="L224" i="20"/>
  <c r="K224" i="20"/>
  <c r="A225" i="20"/>
  <c r="X224" i="20"/>
  <c r="AB224" i="20"/>
  <c r="A228" i="15"/>
  <c r="X227" i="15"/>
  <c r="K227" i="15"/>
  <c r="L227" i="15"/>
  <c r="AB227" i="15"/>
  <c r="A221" i="25"/>
  <c r="K220" i="25"/>
  <c r="X220" i="25"/>
  <c r="AB220" i="25"/>
  <c r="L220" i="25"/>
  <c r="A224" i="22"/>
  <c r="L223" i="22"/>
  <c r="AB223" i="22"/>
  <c r="K223" i="22"/>
  <c r="X223" i="22"/>
  <c r="K221" i="24"/>
  <c r="A222" i="24"/>
  <c r="AB221" i="24"/>
  <c r="L221" i="24"/>
  <c r="X221" i="24"/>
  <c r="A226" i="18"/>
  <c r="X225" i="18"/>
  <c r="L225" i="18"/>
  <c r="AB225" i="18"/>
  <c r="K225" i="18"/>
  <c r="K227" i="17"/>
  <c r="AB227" i="17"/>
  <c r="L227" i="17"/>
  <c r="D227" i="17" s="1"/>
  <c r="A228" i="17"/>
  <c r="X227" i="17"/>
  <c r="AB227" i="16"/>
  <c r="X227" i="16"/>
  <c r="K227" i="16"/>
  <c r="L227" i="16"/>
  <c r="D227" i="16" s="1"/>
  <c r="A228" i="16"/>
  <c r="A229" i="16"/>
  <c r="AB228" i="16"/>
  <c r="L228" i="16"/>
  <c r="D228" i="16" s="1"/>
  <c r="K228" i="16"/>
  <c r="X228" i="16"/>
  <c r="X228" i="17"/>
  <c r="AB228" i="17"/>
  <c r="L228" i="17"/>
  <c r="A229" i="17"/>
  <c r="K228" i="17"/>
  <c r="K221" i="25"/>
  <c r="A222" i="25"/>
  <c r="X221" i="25"/>
  <c r="L221" i="25"/>
  <c r="AB221" i="25"/>
  <c r="X228" i="15"/>
  <c r="L228" i="15"/>
  <c r="D228" i="15" s="1"/>
  <c r="AB228" i="15"/>
  <c r="K228" i="15"/>
  <c r="A229" i="15"/>
  <c r="A232" i="1"/>
  <c r="K231" i="1"/>
  <c r="AB231" i="1"/>
  <c r="AJ231" i="1"/>
  <c r="AK231" i="1"/>
  <c r="L231" i="1"/>
  <c r="X231" i="1"/>
  <c r="I227" i="1"/>
  <c r="K226" i="18"/>
  <c r="AB226" i="18"/>
  <c r="X226" i="18"/>
  <c r="L226" i="18"/>
  <c r="A227" i="18"/>
  <c r="A223" i="24"/>
  <c r="L222" i="24"/>
  <c r="AB222" i="24"/>
  <c r="K222" i="24"/>
  <c r="X222" i="24"/>
  <c r="I226" i="1"/>
  <c r="K224" i="22"/>
  <c r="AB224" i="22"/>
  <c r="X224" i="22"/>
  <c r="A225" i="22"/>
  <c r="L224" i="22"/>
  <c r="D227" i="15"/>
  <c r="L225" i="20"/>
  <c r="K225" i="20"/>
  <c r="X225" i="20"/>
  <c r="A226" i="20"/>
  <c r="AB225" i="20"/>
  <c r="L223" i="23"/>
  <c r="K223" i="23"/>
  <c r="A224" i="23"/>
  <c r="X223" i="23"/>
  <c r="AB223" i="23"/>
  <c r="I228" i="1"/>
  <c r="AB224" i="23"/>
  <c r="A225" i="23"/>
  <c r="K224" i="23"/>
  <c r="L224" i="23"/>
  <c r="X224" i="23"/>
  <c r="K226" i="20"/>
  <c r="A227" i="20"/>
  <c r="L226" i="20"/>
  <c r="X226" i="20"/>
  <c r="AB226" i="20"/>
  <c r="AB232" i="1"/>
  <c r="K232" i="1"/>
  <c r="AJ232" i="1"/>
  <c r="A233" i="1"/>
  <c r="AK232" i="1"/>
  <c r="L232" i="1"/>
  <c r="X232" i="1"/>
  <c r="D228" i="17"/>
  <c r="AB225" i="22"/>
  <c r="K225" i="22"/>
  <c r="X225" i="22"/>
  <c r="L225" i="22"/>
  <c r="A226" i="22"/>
  <c r="A224" i="24"/>
  <c r="AB223" i="24"/>
  <c r="X223" i="24"/>
  <c r="L223" i="24"/>
  <c r="K223" i="24"/>
  <c r="AB227" i="18"/>
  <c r="A228" i="18"/>
  <c r="L227" i="18"/>
  <c r="X227" i="18"/>
  <c r="K227" i="18"/>
  <c r="X229" i="15"/>
  <c r="K229" i="15"/>
  <c r="L229" i="15"/>
  <c r="D229" i="15" s="1"/>
  <c r="AB229" i="15"/>
  <c r="A230" i="15"/>
  <c r="K222" i="25"/>
  <c r="AB222" i="25"/>
  <c r="A223" i="25"/>
  <c r="L222" i="25"/>
  <c r="X222" i="25"/>
  <c r="X229" i="17"/>
  <c r="AB229" i="17"/>
  <c r="A230" i="17"/>
  <c r="L229" i="17"/>
  <c r="D229" i="17" s="1"/>
  <c r="K229" i="17"/>
  <c r="A230" i="16"/>
  <c r="AB229" i="16"/>
  <c r="K229" i="16"/>
  <c r="L229" i="16"/>
  <c r="D229" i="16" s="1"/>
  <c r="X229" i="16"/>
  <c r="AB230" i="16"/>
  <c r="L230" i="16"/>
  <c r="D230" i="16" s="1"/>
  <c r="X230" i="16"/>
  <c r="A231" i="16"/>
  <c r="K230" i="16"/>
  <c r="AB230" i="17"/>
  <c r="X230" i="17"/>
  <c r="L230" i="17"/>
  <c r="D230" i="17" s="1"/>
  <c r="A231" i="17"/>
  <c r="K230" i="17"/>
  <c r="L228" i="18"/>
  <c r="K228" i="18"/>
  <c r="A229" i="18"/>
  <c r="AB228" i="18"/>
  <c r="X228" i="18"/>
  <c r="L224" i="24"/>
  <c r="AB224" i="24"/>
  <c r="K224" i="24"/>
  <c r="A225" i="24"/>
  <c r="X224" i="24"/>
  <c r="L226" i="22"/>
  <c r="K226" i="22"/>
  <c r="A227" i="22"/>
  <c r="AB226" i="22"/>
  <c r="X226" i="22"/>
  <c r="I229" i="1"/>
  <c r="K223" i="25"/>
  <c r="AB223" i="25"/>
  <c r="A224" i="25"/>
  <c r="L223" i="25"/>
  <c r="X223" i="25"/>
  <c r="A231" i="15"/>
  <c r="L230" i="15"/>
  <c r="D230" i="15" s="1"/>
  <c r="AB230" i="15"/>
  <c r="X230" i="15"/>
  <c r="K230" i="15"/>
  <c r="K233" i="1"/>
  <c r="X233" i="1"/>
  <c r="L233" i="1"/>
  <c r="AK233" i="1"/>
  <c r="AB233" i="1"/>
  <c r="AJ233" i="1"/>
  <c r="A234" i="1"/>
  <c r="AB227" i="20"/>
  <c r="K227" i="20"/>
  <c r="L227" i="20"/>
  <c r="X227" i="20"/>
  <c r="A228" i="20"/>
  <c r="X225" i="23"/>
  <c r="K225" i="23"/>
  <c r="AB225" i="23"/>
  <c r="A226" i="23"/>
  <c r="L225" i="23"/>
  <c r="I230" i="1"/>
  <c r="AB234" i="1"/>
  <c r="AJ234" i="1"/>
  <c r="AK234" i="1"/>
  <c r="K234" i="1"/>
  <c r="L234" i="1"/>
  <c r="X234" i="1"/>
  <c r="A235" i="1"/>
  <c r="X224" i="25"/>
  <c r="AB224" i="25"/>
  <c r="K224" i="25"/>
  <c r="A225" i="25"/>
  <c r="L224" i="25"/>
  <c r="K227" i="22"/>
  <c r="AB227" i="22"/>
  <c r="X227" i="22"/>
  <c r="L227" i="22"/>
  <c r="A228" i="22"/>
  <c r="AB225" i="24"/>
  <c r="A226" i="24"/>
  <c r="K225" i="24"/>
  <c r="L225" i="24"/>
  <c r="X225" i="24"/>
  <c r="X229" i="18"/>
  <c r="L229" i="18"/>
  <c r="A230" i="18"/>
  <c r="K229" i="18"/>
  <c r="AB229" i="18"/>
  <c r="A232" i="16"/>
  <c r="L231" i="16"/>
  <c r="D231" i="16" s="1"/>
  <c r="K231" i="16"/>
  <c r="AB231" i="16"/>
  <c r="X231" i="16"/>
  <c r="AB226" i="23"/>
  <c r="X226" i="23"/>
  <c r="A227" i="23"/>
  <c r="K226" i="23"/>
  <c r="L226" i="23"/>
  <c r="L228" i="20"/>
  <c r="X228" i="20"/>
  <c r="A229" i="20"/>
  <c r="AB228" i="20"/>
  <c r="K228" i="20"/>
  <c r="X231" i="15"/>
  <c r="AB231" i="15"/>
  <c r="K231" i="15"/>
  <c r="A232" i="15"/>
  <c r="L231" i="15"/>
  <c r="D231" i="15" s="1"/>
  <c r="AB231" i="17"/>
  <c r="A232" i="17"/>
  <c r="K231" i="17"/>
  <c r="L231" i="17"/>
  <c r="D231" i="17" s="1"/>
  <c r="X231" i="17"/>
  <c r="I231" i="1"/>
  <c r="L232" i="17"/>
  <c r="D232" i="17" s="1"/>
  <c r="K232" i="17"/>
  <c r="A233" i="17"/>
  <c r="X232" i="17"/>
  <c r="AB232" i="17"/>
  <c r="A233" i="15"/>
  <c r="X232" i="15"/>
  <c r="AB232" i="15"/>
  <c r="K232" i="15"/>
  <c r="L232" i="15"/>
  <c r="D232" i="15" s="1"/>
  <c r="X227" i="23"/>
  <c r="L227" i="23"/>
  <c r="A228" i="23"/>
  <c r="AB227" i="23"/>
  <c r="K227" i="23"/>
  <c r="K225" i="25"/>
  <c r="A226" i="25"/>
  <c r="AB225" i="25"/>
  <c r="L225" i="25"/>
  <c r="X225" i="25"/>
  <c r="AJ235" i="1"/>
  <c r="L235" i="1"/>
  <c r="K235" i="1"/>
  <c r="X235" i="1"/>
  <c r="AB235" i="1"/>
  <c r="AK235" i="1"/>
  <c r="A236" i="1"/>
  <c r="AB229" i="20"/>
  <c r="A230" i="20"/>
  <c r="K229" i="20"/>
  <c r="L229" i="20"/>
  <c r="X229" i="20"/>
  <c r="L232" i="16"/>
  <c r="D232" i="16" s="1"/>
  <c r="A233" i="16"/>
  <c r="K232" i="16"/>
  <c r="X232" i="16"/>
  <c r="AB232" i="16"/>
  <c r="K230" i="18"/>
  <c r="A231" i="18"/>
  <c r="L230" i="18"/>
  <c r="AB230" i="18"/>
  <c r="X230" i="18"/>
  <c r="X226" i="24"/>
  <c r="L226" i="24"/>
  <c r="AB226" i="24"/>
  <c r="K226" i="24"/>
  <c r="A227" i="24"/>
  <c r="X228" i="22"/>
  <c r="K228" i="22"/>
  <c r="A229" i="22"/>
  <c r="AB228" i="22"/>
  <c r="L228" i="22"/>
  <c r="I232" i="1"/>
  <c r="K229" i="22"/>
  <c r="AB229" i="22"/>
  <c r="X229" i="22"/>
  <c r="L229" i="22"/>
  <c r="A230" i="22"/>
  <c r="X227" i="24"/>
  <c r="K227" i="24"/>
  <c r="L227" i="24"/>
  <c r="AB227" i="24"/>
  <c r="A228" i="24"/>
  <c r="A232" i="18"/>
  <c r="L231" i="18"/>
  <c r="AB231" i="18"/>
  <c r="X231" i="18"/>
  <c r="K231" i="18"/>
  <c r="A234" i="16"/>
  <c r="AB233" i="16"/>
  <c r="L233" i="16"/>
  <c r="D233" i="16" s="1"/>
  <c r="K233" i="16"/>
  <c r="X233" i="16"/>
  <c r="K226" i="25"/>
  <c r="A227" i="25"/>
  <c r="AB226" i="25"/>
  <c r="X226" i="25"/>
  <c r="L226" i="25"/>
  <c r="X233" i="15"/>
  <c r="L233" i="15"/>
  <c r="D233" i="15" s="1"/>
  <c r="AB233" i="15"/>
  <c r="A234" i="15"/>
  <c r="K233" i="15"/>
  <c r="K230" i="20"/>
  <c r="A231" i="20"/>
  <c r="AB230" i="20"/>
  <c r="L230" i="20"/>
  <c r="X230" i="20"/>
  <c r="A237" i="1"/>
  <c r="AB236" i="1"/>
  <c r="AJ236" i="1"/>
  <c r="X236" i="1"/>
  <c r="AK236" i="1"/>
  <c r="L236" i="1"/>
  <c r="K236" i="1"/>
  <c r="L228" i="23"/>
  <c r="A229" i="23"/>
  <c r="K228" i="23"/>
  <c r="AB228" i="23"/>
  <c r="X228" i="23"/>
  <c r="AB233" i="17"/>
  <c r="L233" i="17"/>
  <c r="D233" i="17" s="1"/>
  <c r="X233" i="17"/>
  <c r="K233" i="17"/>
  <c r="A234" i="17"/>
  <c r="I233" i="1"/>
  <c r="I234" i="1"/>
  <c r="K231" i="20"/>
  <c r="A232" i="20"/>
  <c r="L231" i="20"/>
  <c r="AB231" i="20"/>
  <c r="X231" i="20"/>
  <c r="AB234" i="15"/>
  <c r="K234" i="15"/>
  <c r="L234" i="15"/>
  <c r="D234" i="15" s="1"/>
  <c r="A235" i="15"/>
  <c r="X234" i="15"/>
  <c r="A233" i="18"/>
  <c r="L232" i="18"/>
  <c r="AB232" i="18"/>
  <c r="K232" i="18"/>
  <c r="X232" i="18"/>
  <c r="X228" i="24"/>
  <c r="AB228" i="24"/>
  <c r="A229" i="24"/>
  <c r="L228" i="24"/>
  <c r="K228" i="24"/>
  <c r="K234" i="17"/>
  <c r="L234" i="17"/>
  <c r="D234" i="17" s="1"/>
  <c r="X234" i="17"/>
  <c r="A235" i="17"/>
  <c r="AB234" i="17"/>
  <c r="AB229" i="23"/>
  <c r="L229" i="23"/>
  <c r="K229" i="23"/>
  <c r="A230" i="23"/>
  <c r="X229" i="23"/>
  <c r="A238" i="1"/>
  <c r="L237" i="1"/>
  <c r="AB237" i="1"/>
  <c r="AK237" i="1"/>
  <c r="X237" i="1"/>
  <c r="K237" i="1"/>
  <c r="AJ237" i="1"/>
  <c r="A228" i="25"/>
  <c r="X227" i="25"/>
  <c r="AB227" i="25"/>
  <c r="K227" i="25"/>
  <c r="L227" i="25"/>
  <c r="K234" i="16"/>
  <c r="A235" i="16"/>
  <c r="L234" i="16"/>
  <c r="D234" i="16" s="1"/>
  <c r="AB234" i="16"/>
  <c r="X234" i="16"/>
  <c r="A231" i="22"/>
  <c r="AB230" i="22"/>
  <c r="X230" i="22"/>
  <c r="K230" i="22"/>
  <c r="L230" i="22"/>
  <c r="A232" i="22"/>
  <c r="K231" i="22"/>
  <c r="L231" i="22"/>
  <c r="X231" i="22"/>
  <c r="AB231" i="22"/>
  <c r="A234" i="18"/>
  <c r="AB233" i="18"/>
  <c r="L233" i="18"/>
  <c r="K233" i="18"/>
  <c r="X233" i="18"/>
  <c r="K235" i="16"/>
  <c r="A236" i="16"/>
  <c r="X235" i="16"/>
  <c r="L235" i="16"/>
  <c r="D235" i="16" s="1"/>
  <c r="AB235" i="16"/>
  <c r="A229" i="25"/>
  <c r="AB228" i="25"/>
  <c r="L228" i="25"/>
  <c r="X228" i="25"/>
  <c r="K228" i="25"/>
  <c r="AK238" i="1"/>
  <c r="AJ238" i="1"/>
  <c r="K238" i="1"/>
  <c r="A239" i="1"/>
  <c r="AB238" i="1"/>
  <c r="L238" i="1"/>
  <c r="X238" i="1"/>
  <c r="X230" i="23"/>
  <c r="L230" i="23"/>
  <c r="AB230" i="23"/>
  <c r="A231" i="23"/>
  <c r="K230" i="23"/>
  <c r="AB235" i="17"/>
  <c r="A236" i="17"/>
  <c r="K235" i="17"/>
  <c r="X235" i="17"/>
  <c r="L235" i="17"/>
  <c r="D235" i="17" s="1"/>
  <c r="L229" i="24"/>
  <c r="K229" i="24"/>
  <c r="AB229" i="24"/>
  <c r="A230" i="24"/>
  <c r="X229" i="24"/>
  <c r="L235" i="15"/>
  <c r="D235" i="15" s="1"/>
  <c r="X235" i="15"/>
  <c r="AB235" i="15"/>
  <c r="A236" i="15"/>
  <c r="K235" i="15"/>
  <c r="AB232" i="20"/>
  <c r="A233" i="20"/>
  <c r="X232" i="20"/>
  <c r="K232" i="20"/>
  <c r="L232" i="20"/>
  <c r="I235" i="1"/>
  <c r="X236" i="17"/>
  <c r="A237" i="17"/>
  <c r="L236" i="17"/>
  <c r="D236" i="17" s="1"/>
  <c r="K236" i="17"/>
  <c r="AB236" i="17"/>
  <c r="X231" i="23"/>
  <c r="AB231" i="23"/>
  <c r="L231" i="23"/>
  <c r="K231" i="23"/>
  <c r="A232" i="23"/>
  <c r="A240" i="1"/>
  <c r="K239" i="1"/>
  <c r="AB239" i="1"/>
  <c r="AJ239" i="1"/>
  <c r="X239" i="1"/>
  <c r="AK239" i="1"/>
  <c r="L239" i="1"/>
  <c r="X236" i="16"/>
  <c r="A237" i="16"/>
  <c r="K236" i="16"/>
  <c r="L236" i="16"/>
  <c r="D236" i="16" s="1"/>
  <c r="AB236" i="16"/>
  <c r="L234" i="18"/>
  <c r="K234" i="18"/>
  <c r="A235" i="18"/>
  <c r="X234" i="18"/>
  <c r="AB234" i="18"/>
  <c r="L232" i="22"/>
  <c r="X232" i="22"/>
  <c r="AB232" i="22"/>
  <c r="K232" i="22"/>
  <c r="A233" i="22"/>
  <c r="K236" i="15"/>
  <c r="A237" i="15"/>
  <c r="X236" i="15"/>
  <c r="AB236" i="15"/>
  <c r="L236" i="15"/>
  <c r="D236" i="15" s="1"/>
  <c r="L233" i="20"/>
  <c r="A234" i="20"/>
  <c r="X233" i="20"/>
  <c r="K233" i="20"/>
  <c r="AB233" i="20"/>
  <c r="A231" i="24"/>
  <c r="X230" i="24"/>
  <c r="K230" i="24"/>
  <c r="L230" i="24"/>
  <c r="AB230" i="24"/>
  <c r="X229" i="25"/>
  <c r="K229" i="25"/>
  <c r="L229" i="25"/>
  <c r="AB229" i="25"/>
  <c r="A230" i="25"/>
  <c r="A232" i="24"/>
  <c r="X231" i="24"/>
  <c r="L231" i="24"/>
  <c r="AB231" i="24"/>
  <c r="K231" i="24"/>
  <c r="A235" i="20"/>
  <c r="X234" i="20"/>
  <c r="AB234" i="20"/>
  <c r="L234" i="20"/>
  <c r="K234" i="20"/>
  <c r="K230" i="25"/>
  <c r="L230" i="25"/>
  <c r="A231" i="25"/>
  <c r="X230" i="25"/>
  <c r="AB230" i="25"/>
  <c r="K237" i="15"/>
  <c r="L237" i="15"/>
  <c r="D237" i="15" s="1"/>
  <c r="A238" i="15"/>
  <c r="X237" i="15"/>
  <c r="AB237" i="15"/>
  <c r="X233" i="22"/>
  <c r="A234" i="22"/>
  <c r="K233" i="22"/>
  <c r="L233" i="22"/>
  <c r="AB233" i="22"/>
  <c r="I237" i="1"/>
  <c r="X235" i="18"/>
  <c r="K235" i="18"/>
  <c r="AB235" i="18"/>
  <c r="A236" i="18"/>
  <c r="L235" i="18"/>
  <c r="I236" i="1"/>
  <c r="K237" i="16"/>
  <c r="L237" i="16"/>
  <c r="D237" i="16" s="1"/>
  <c r="AB237" i="16"/>
  <c r="A238" i="16"/>
  <c r="X237" i="16"/>
  <c r="A241" i="1"/>
  <c r="X240" i="1"/>
  <c r="AK240" i="1"/>
  <c r="K240" i="1"/>
  <c r="AJ240" i="1"/>
  <c r="L240" i="1"/>
  <c r="AB240" i="1"/>
  <c r="AB232" i="23"/>
  <c r="K232" i="23"/>
  <c r="L232" i="23"/>
  <c r="X232" i="23"/>
  <c r="A233" i="23"/>
  <c r="L237" i="17"/>
  <c r="X237" i="17"/>
  <c r="A238" i="17"/>
  <c r="K237" i="17"/>
  <c r="AB237" i="17"/>
  <c r="AB238" i="17"/>
  <c r="L238" i="17"/>
  <c r="D238" i="17" s="1"/>
  <c r="K238" i="17"/>
  <c r="X238" i="17"/>
  <c r="A239" i="17"/>
  <c r="D237" i="17"/>
  <c r="AB233" i="23"/>
  <c r="A234" i="23"/>
  <c r="L233" i="23"/>
  <c r="X233" i="23"/>
  <c r="K233" i="23"/>
  <c r="AB238" i="16"/>
  <c r="L238" i="16"/>
  <c r="D238" i="16" s="1"/>
  <c r="A239" i="16"/>
  <c r="K238" i="16"/>
  <c r="X238" i="16"/>
  <c r="A235" i="22"/>
  <c r="AB234" i="22"/>
  <c r="K234" i="22"/>
  <c r="X234" i="22"/>
  <c r="L234" i="22"/>
  <c r="K238" i="15"/>
  <c r="AB238" i="15"/>
  <c r="A239" i="15"/>
  <c r="X238" i="15"/>
  <c r="L238" i="15"/>
  <c r="D238" i="15" s="1"/>
  <c r="K231" i="25"/>
  <c r="L231" i="25"/>
  <c r="AB231" i="25"/>
  <c r="A232" i="25"/>
  <c r="X231" i="25"/>
  <c r="K232" i="24"/>
  <c r="L232" i="24"/>
  <c r="A233" i="24"/>
  <c r="X232" i="24"/>
  <c r="AB232" i="24"/>
  <c r="A242" i="1"/>
  <c r="A27" i="7"/>
  <c r="X241" i="1"/>
  <c r="L241" i="1"/>
  <c r="B27" i="7" s="1"/>
  <c r="K241" i="1"/>
  <c r="AJ241" i="1"/>
  <c r="AK241" i="1"/>
  <c r="AB241" i="1"/>
  <c r="K236" i="18"/>
  <c r="AB236" i="18"/>
  <c r="A237" i="18"/>
  <c r="L236" i="18"/>
  <c r="X236" i="18"/>
  <c r="A236" i="20"/>
  <c r="AB235" i="20"/>
  <c r="L235" i="20"/>
  <c r="X235" i="20"/>
  <c r="K235" i="20"/>
  <c r="I238" i="1"/>
  <c r="AB237" i="18"/>
  <c r="A238" i="18"/>
  <c r="L237" i="18"/>
  <c r="X237" i="18"/>
  <c r="K237" i="18"/>
  <c r="A243" i="1"/>
  <c r="K242" i="1"/>
  <c r="AB242" i="1"/>
  <c r="L242" i="1"/>
  <c r="AJ242" i="1"/>
  <c r="X242" i="1"/>
  <c r="AK242" i="1"/>
  <c r="AB235" i="22"/>
  <c r="X235" i="22"/>
  <c r="A236" i="22"/>
  <c r="L235" i="22"/>
  <c r="K235" i="22"/>
  <c r="X239" i="16"/>
  <c r="L239" i="16"/>
  <c r="D239" i="16" s="1"/>
  <c r="A240" i="16"/>
  <c r="AB239" i="16"/>
  <c r="K239" i="16"/>
  <c r="K236" i="20"/>
  <c r="L236" i="20"/>
  <c r="A237" i="20"/>
  <c r="X236" i="20"/>
  <c r="AB236" i="20"/>
  <c r="A234" i="24"/>
  <c r="AB233" i="24"/>
  <c r="L233" i="24"/>
  <c r="X233" i="24"/>
  <c r="K233" i="24"/>
  <c r="X232" i="25"/>
  <c r="A233" i="25"/>
  <c r="L232" i="25"/>
  <c r="AB232" i="25"/>
  <c r="K232" i="25"/>
  <c r="K239" i="15"/>
  <c r="AB239" i="15"/>
  <c r="A240" i="15"/>
  <c r="X239" i="15"/>
  <c r="L239" i="15"/>
  <c r="D239" i="15" s="1"/>
  <c r="X234" i="23"/>
  <c r="AB234" i="23"/>
  <c r="A235" i="23"/>
  <c r="L234" i="23"/>
  <c r="K234" i="23"/>
  <c r="A240" i="17"/>
  <c r="K239" i="17"/>
  <c r="AB239" i="17"/>
  <c r="L239" i="17"/>
  <c r="D239" i="17" s="1"/>
  <c r="X239" i="17"/>
  <c r="I239" i="1"/>
  <c r="A241" i="17"/>
  <c r="AB240" i="17"/>
  <c r="X240" i="17"/>
  <c r="K240" i="17"/>
  <c r="L240" i="17"/>
  <c r="D240" i="17" s="1"/>
  <c r="X235" i="23"/>
  <c r="K235" i="23"/>
  <c r="AB235" i="23"/>
  <c r="L235" i="23"/>
  <c r="A236" i="23"/>
  <c r="AB237" i="20"/>
  <c r="K237" i="20"/>
  <c r="X237" i="20"/>
  <c r="L237" i="20"/>
  <c r="A238" i="20"/>
  <c r="AB240" i="16"/>
  <c r="X240" i="16"/>
  <c r="A241" i="16"/>
  <c r="K240" i="16"/>
  <c r="L240" i="16"/>
  <c r="D240" i="16" s="1"/>
  <c r="AB243" i="1"/>
  <c r="X243" i="1"/>
  <c r="AK243" i="1"/>
  <c r="A244" i="1"/>
  <c r="AJ243" i="1"/>
  <c r="L243" i="1"/>
  <c r="K243" i="1"/>
  <c r="X238" i="18"/>
  <c r="L238" i="18"/>
  <c r="K238" i="18"/>
  <c r="AB238" i="18"/>
  <c r="A239" i="18"/>
  <c r="A241" i="15"/>
  <c r="AB240" i="15"/>
  <c r="K240" i="15"/>
  <c r="L240" i="15"/>
  <c r="D240" i="15" s="1"/>
  <c r="X240" i="15"/>
  <c r="X233" i="25"/>
  <c r="AB233" i="25"/>
  <c r="K233" i="25"/>
  <c r="A234" i="25"/>
  <c r="L233" i="25"/>
  <c r="L234" i="24"/>
  <c r="A235" i="24"/>
  <c r="AB234" i="24"/>
  <c r="X234" i="24"/>
  <c r="K234" i="24"/>
  <c r="A237" i="22"/>
  <c r="K236" i="22"/>
  <c r="AB236" i="22"/>
  <c r="X236" i="22"/>
  <c r="L236" i="22"/>
  <c r="K237" i="22"/>
  <c r="A238" i="22"/>
  <c r="L237" i="22"/>
  <c r="X237" i="22"/>
  <c r="AB237" i="22"/>
  <c r="X235" i="24"/>
  <c r="AB235" i="24"/>
  <c r="L235" i="24"/>
  <c r="A236" i="24"/>
  <c r="K235" i="24"/>
  <c r="K234" i="25"/>
  <c r="AB234" i="25"/>
  <c r="A235" i="25"/>
  <c r="X234" i="25"/>
  <c r="L234" i="25"/>
  <c r="K241" i="15"/>
  <c r="A39" i="7"/>
  <c r="X241" i="15"/>
  <c r="L241" i="15"/>
  <c r="D241" i="15" s="1"/>
  <c r="A242" i="15"/>
  <c r="AB241" i="15"/>
  <c r="X244" i="1"/>
  <c r="AK244" i="1"/>
  <c r="K244" i="1"/>
  <c r="A245" i="1"/>
  <c r="AJ244" i="1"/>
  <c r="AB244" i="1"/>
  <c r="L244" i="1"/>
  <c r="X238" i="20"/>
  <c r="AB238" i="20"/>
  <c r="K238" i="20"/>
  <c r="L238" i="20"/>
  <c r="A239" i="20"/>
  <c r="I240" i="1"/>
  <c r="A240" i="18"/>
  <c r="L239" i="18"/>
  <c r="X239" i="18"/>
  <c r="AB239" i="18"/>
  <c r="K239" i="18"/>
  <c r="X241" i="16"/>
  <c r="AB241" i="16"/>
  <c r="L241" i="16"/>
  <c r="D241" i="16" s="1"/>
  <c r="A242" i="16"/>
  <c r="K241" i="16"/>
  <c r="A51" i="7"/>
  <c r="X236" i="23"/>
  <c r="L236" i="23"/>
  <c r="A237" i="23"/>
  <c r="AB236" i="23"/>
  <c r="K236" i="23"/>
  <c r="X241" i="17"/>
  <c r="AB241" i="17"/>
  <c r="A63" i="7"/>
  <c r="K241" i="17"/>
  <c r="L241" i="17"/>
  <c r="B63" i="7" s="1"/>
  <c r="A242" i="17"/>
  <c r="I241" i="1"/>
  <c r="A238" i="23"/>
  <c r="X237" i="23"/>
  <c r="K237" i="23"/>
  <c r="AB237" i="23"/>
  <c r="L237" i="23"/>
  <c r="AB242" i="16"/>
  <c r="X242" i="16"/>
  <c r="A243" i="16"/>
  <c r="L242" i="16"/>
  <c r="D242" i="16" s="1"/>
  <c r="K242" i="16"/>
  <c r="A240" i="20"/>
  <c r="X239" i="20"/>
  <c r="L239" i="20"/>
  <c r="AB239" i="20"/>
  <c r="K239" i="20"/>
  <c r="L242" i="15"/>
  <c r="D242" i="15" s="1"/>
  <c r="A243" i="15"/>
  <c r="K242" i="15"/>
  <c r="X242" i="15"/>
  <c r="AB242" i="15"/>
  <c r="A237" i="24"/>
  <c r="X236" i="24"/>
  <c r="K236" i="24"/>
  <c r="L236" i="24"/>
  <c r="AB236" i="24"/>
  <c r="A239" i="22"/>
  <c r="K238" i="22"/>
  <c r="X238" i="22"/>
  <c r="L238" i="22"/>
  <c r="AB238" i="22"/>
  <c r="L242" i="17"/>
  <c r="D242" i="17" s="1"/>
  <c r="AB242" i="17"/>
  <c r="A243" i="17"/>
  <c r="X242" i="17"/>
  <c r="K242" i="17"/>
  <c r="X240" i="18"/>
  <c r="L240" i="18"/>
  <c r="K240" i="18"/>
  <c r="A241" i="18"/>
  <c r="AB240" i="18"/>
  <c r="L245" i="1"/>
  <c r="AB245" i="1"/>
  <c r="AJ245" i="1"/>
  <c r="X245" i="1"/>
  <c r="AK245" i="1"/>
  <c r="A246" i="1"/>
  <c r="K245" i="1"/>
  <c r="X235" i="25"/>
  <c r="K235" i="25"/>
  <c r="AB235" i="25"/>
  <c r="L235" i="25"/>
  <c r="A236" i="25"/>
  <c r="AB236" i="25"/>
  <c r="A237" i="25"/>
  <c r="K236" i="25"/>
  <c r="L236" i="25"/>
  <c r="X236" i="25"/>
  <c r="AJ246" i="1"/>
  <c r="L246" i="1"/>
  <c r="X246" i="1"/>
  <c r="K246" i="1"/>
  <c r="AB246" i="1"/>
  <c r="AK246" i="1"/>
  <c r="A247" i="1"/>
  <c r="A75" i="7"/>
  <c r="AB241" i="18"/>
  <c r="X241" i="18"/>
  <c r="L241" i="18"/>
  <c r="B75" i="7" s="1"/>
  <c r="A242" i="18"/>
  <c r="K241" i="18"/>
  <c r="A240" i="22"/>
  <c r="K239" i="22"/>
  <c r="AB239" i="22"/>
  <c r="L239" i="22"/>
  <c r="X239" i="22"/>
  <c r="L243" i="15"/>
  <c r="D243" i="15" s="1"/>
  <c r="K243" i="15"/>
  <c r="A244" i="15"/>
  <c r="X243" i="15"/>
  <c r="AB243" i="15"/>
  <c r="X238" i="23"/>
  <c r="K238" i="23"/>
  <c r="A239" i="23"/>
  <c r="AB238" i="23"/>
  <c r="L238" i="23"/>
  <c r="X243" i="17"/>
  <c r="K243" i="17"/>
  <c r="AB243" i="17"/>
  <c r="L243" i="17"/>
  <c r="D243" i="17" s="1"/>
  <c r="A244" i="17"/>
  <c r="AB237" i="24"/>
  <c r="L237" i="24"/>
  <c r="A238" i="24"/>
  <c r="K237" i="24"/>
  <c r="X237" i="24"/>
  <c r="X240" i="20"/>
  <c r="K240" i="20"/>
  <c r="AB240" i="20"/>
  <c r="L240" i="20"/>
  <c r="A241" i="20"/>
  <c r="A244" i="16"/>
  <c r="AB243" i="16"/>
  <c r="X243" i="16"/>
  <c r="K243" i="16"/>
  <c r="L243" i="16"/>
  <c r="D243" i="16" s="1"/>
  <c r="I242" i="1"/>
  <c r="I243" i="1"/>
  <c r="X241" i="20"/>
  <c r="AB241" i="20"/>
  <c r="K241" i="20"/>
  <c r="AE27" i="7"/>
  <c r="L241" i="20"/>
  <c r="AF27" i="7" s="1"/>
  <c r="A242" i="20"/>
  <c r="X238" i="24"/>
  <c r="AB238" i="24"/>
  <c r="A239" i="24"/>
  <c r="L238" i="24"/>
  <c r="K238" i="24"/>
  <c r="L244" i="17"/>
  <c r="D244" i="17" s="1"/>
  <c r="AB244" i="17"/>
  <c r="K244" i="17"/>
  <c r="X244" i="17"/>
  <c r="A245" i="17"/>
  <c r="AB239" i="23"/>
  <c r="A240" i="23"/>
  <c r="K239" i="23"/>
  <c r="X239" i="23"/>
  <c r="L239" i="23"/>
  <c r="X247" i="1"/>
  <c r="L247" i="1"/>
  <c r="AJ247" i="1"/>
  <c r="AB247" i="1"/>
  <c r="A248" i="1"/>
  <c r="K247" i="1"/>
  <c r="AK247" i="1"/>
  <c r="L244" i="16"/>
  <c r="D244" i="16" s="1"/>
  <c r="X244" i="16"/>
  <c r="A245" i="16"/>
  <c r="AB244" i="16"/>
  <c r="K244" i="16"/>
  <c r="K244" i="15"/>
  <c r="L244" i="15"/>
  <c r="D244" i="15" s="1"/>
  <c r="AB244" i="15"/>
  <c r="A245" i="15"/>
  <c r="X244" i="15"/>
  <c r="L240" i="22"/>
  <c r="X240" i="22"/>
  <c r="AB240" i="22"/>
  <c r="A241" i="22"/>
  <c r="K240" i="22"/>
  <c r="A243" i="18"/>
  <c r="K242" i="18"/>
  <c r="L242" i="18"/>
  <c r="X242" i="18"/>
  <c r="AB242" i="18"/>
  <c r="AB237" i="25"/>
  <c r="L237" i="25"/>
  <c r="A238" i="25"/>
  <c r="X237" i="25"/>
  <c r="K237" i="25"/>
  <c r="I244" i="1"/>
  <c r="A239" i="25"/>
  <c r="K238" i="25"/>
  <c r="AB238" i="25"/>
  <c r="L238" i="25"/>
  <c r="X238" i="25"/>
  <c r="A246" i="16"/>
  <c r="X245" i="16"/>
  <c r="L245" i="16"/>
  <c r="D245" i="16" s="1"/>
  <c r="AB245" i="16"/>
  <c r="K245" i="16"/>
  <c r="A249" i="1"/>
  <c r="K248" i="1"/>
  <c r="X248" i="1"/>
  <c r="L248" i="1"/>
  <c r="AJ248" i="1"/>
  <c r="AK248" i="1"/>
  <c r="AB248" i="1"/>
  <c r="K239" i="24"/>
  <c r="X239" i="24"/>
  <c r="AB239" i="24"/>
  <c r="A240" i="24"/>
  <c r="L239" i="24"/>
  <c r="A243" i="20"/>
  <c r="X242" i="20"/>
  <c r="K242" i="20"/>
  <c r="AB242" i="20"/>
  <c r="L242" i="20"/>
  <c r="AB243" i="18"/>
  <c r="X243" i="18"/>
  <c r="A244" i="18"/>
  <c r="L243" i="18"/>
  <c r="K243" i="18"/>
  <c r="K241" i="22"/>
  <c r="A242" i="22"/>
  <c r="X241" i="22"/>
  <c r="L241" i="22"/>
  <c r="AF39" i="7" s="1"/>
  <c r="AB241" i="22"/>
  <c r="AE39" i="7"/>
  <c r="L245" i="15"/>
  <c r="D245" i="15" s="1"/>
  <c r="K245" i="15"/>
  <c r="A246" i="15"/>
  <c r="AB245" i="15"/>
  <c r="X245" i="15"/>
  <c r="K240" i="23"/>
  <c r="A241" i="23"/>
  <c r="AB240" i="23"/>
  <c r="L240" i="23"/>
  <c r="X240" i="23"/>
  <c r="AB245" i="17"/>
  <c r="L245" i="17"/>
  <c r="D245" i="17" s="1"/>
  <c r="X245" i="17"/>
  <c r="A246" i="17"/>
  <c r="K245" i="17"/>
  <c r="AB246" i="17"/>
  <c r="K246" i="17"/>
  <c r="A247" i="17"/>
  <c r="X246" i="17"/>
  <c r="L246" i="17"/>
  <c r="D246" i="17" s="1"/>
  <c r="K246" i="15"/>
  <c r="L246" i="15"/>
  <c r="D246" i="15" s="1"/>
  <c r="AB246" i="15"/>
  <c r="X246" i="15"/>
  <c r="A247" i="15"/>
  <c r="X242" i="22"/>
  <c r="A243" i="22"/>
  <c r="AB242" i="22"/>
  <c r="L242" i="22"/>
  <c r="K242" i="22"/>
  <c r="AB244" i="18"/>
  <c r="K244" i="18"/>
  <c r="A245" i="18"/>
  <c r="X244" i="18"/>
  <c r="L244" i="18"/>
  <c r="AB243" i="20"/>
  <c r="K243" i="20"/>
  <c r="X243" i="20"/>
  <c r="A244" i="20"/>
  <c r="L243" i="20"/>
  <c r="K240" i="24"/>
  <c r="X240" i="24"/>
  <c r="L240" i="24"/>
  <c r="A241" i="24"/>
  <c r="AB240" i="24"/>
  <c r="K249" i="1"/>
  <c r="AJ249" i="1"/>
  <c r="X249" i="1"/>
  <c r="AK249" i="1"/>
  <c r="AB249" i="1"/>
  <c r="A250" i="1"/>
  <c r="L249" i="1"/>
  <c r="A240" i="25"/>
  <c r="X239" i="25"/>
  <c r="L239" i="25"/>
  <c r="AB239" i="25"/>
  <c r="K239" i="25"/>
  <c r="AB241" i="23"/>
  <c r="K241" i="23"/>
  <c r="L241" i="23"/>
  <c r="AF51" i="7" s="1"/>
  <c r="AE51" i="7"/>
  <c r="A242" i="23"/>
  <c r="X241" i="23"/>
  <c r="I245" i="1"/>
  <c r="A247" i="16"/>
  <c r="K246" i="16"/>
  <c r="X246" i="16"/>
  <c r="L246" i="16"/>
  <c r="D246" i="16" s="1"/>
  <c r="AB246" i="16"/>
  <c r="X242" i="23"/>
  <c r="AB242" i="23"/>
  <c r="A243" i="23"/>
  <c r="L242" i="23"/>
  <c r="K242" i="23"/>
  <c r="K240" i="25"/>
  <c r="A241" i="25"/>
  <c r="X240" i="25"/>
  <c r="AB240" i="25"/>
  <c r="L240" i="25"/>
  <c r="AB241" i="24"/>
  <c r="A242" i="24"/>
  <c r="K241" i="24"/>
  <c r="AE63" i="7"/>
  <c r="X241" i="24"/>
  <c r="L241" i="24"/>
  <c r="AF63" i="7" s="1"/>
  <c r="A245" i="20"/>
  <c r="K244" i="20"/>
  <c r="AB244" i="20"/>
  <c r="L244" i="20"/>
  <c r="X244" i="20"/>
  <c r="AB245" i="18"/>
  <c r="X245" i="18"/>
  <c r="K245" i="18"/>
  <c r="A246" i="18"/>
  <c r="L245" i="18"/>
  <c r="X243" i="22"/>
  <c r="A244" i="22"/>
  <c r="AB243" i="22"/>
  <c r="K243" i="22"/>
  <c r="L243" i="22"/>
  <c r="X247" i="17"/>
  <c r="AB247" i="17"/>
  <c r="L247" i="17"/>
  <c r="D247" i="17" s="1"/>
  <c r="K247" i="17"/>
  <c r="A248" i="17"/>
  <c r="I246" i="1"/>
  <c r="AB247" i="16"/>
  <c r="X247" i="16"/>
  <c r="K247" i="16"/>
  <c r="L247" i="16"/>
  <c r="D247" i="16" s="1"/>
  <c r="A248" i="16"/>
  <c r="A251" i="1"/>
  <c r="AJ250" i="1"/>
  <c r="L250" i="1"/>
  <c r="AB250" i="1"/>
  <c r="AK250" i="1"/>
  <c r="X250" i="1"/>
  <c r="K250" i="1"/>
  <c r="X247" i="15"/>
  <c r="K247" i="15"/>
  <c r="L247" i="15"/>
  <c r="D247" i="15" s="1"/>
  <c r="A248" i="15"/>
  <c r="AB247" i="15"/>
  <c r="I247" i="1"/>
  <c r="K248" i="15"/>
  <c r="L248" i="15"/>
  <c r="D248" i="15" s="1"/>
  <c r="X248" i="15"/>
  <c r="AB248" i="15"/>
  <c r="A249" i="15"/>
  <c r="X251" i="1"/>
  <c r="AB251" i="1"/>
  <c r="L251" i="1"/>
  <c r="AJ251" i="1"/>
  <c r="AK251" i="1"/>
  <c r="K251" i="1"/>
  <c r="A252" i="1"/>
  <c r="X248" i="16"/>
  <c r="A249" i="16"/>
  <c r="AB248" i="16"/>
  <c r="K248" i="16"/>
  <c r="L248" i="16"/>
  <c r="D248" i="16" s="1"/>
  <c r="K248" i="17"/>
  <c r="X248" i="17"/>
  <c r="A249" i="17"/>
  <c r="AB248" i="17"/>
  <c r="L248" i="17"/>
  <c r="D248" i="17" s="1"/>
  <c r="X244" i="22"/>
  <c r="L244" i="22"/>
  <c r="AB244" i="22"/>
  <c r="K244" i="22"/>
  <c r="A245" i="22"/>
  <c r="L245" i="20"/>
  <c r="K245" i="20"/>
  <c r="AB245" i="20"/>
  <c r="X245" i="20"/>
  <c r="A246" i="20"/>
  <c r="K242" i="24"/>
  <c r="X242" i="24"/>
  <c r="AB242" i="24"/>
  <c r="L242" i="24"/>
  <c r="A243" i="24"/>
  <c r="K243" i="23"/>
  <c r="L243" i="23"/>
  <c r="AB243" i="23"/>
  <c r="A244" i="23"/>
  <c r="X243" i="23"/>
  <c r="A247" i="18"/>
  <c r="AB246" i="18"/>
  <c r="K246" i="18"/>
  <c r="L246" i="18"/>
  <c r="X246" i="18"/>
  <c r="L241" i="25"/>
  <c r="AF75" i="7" s="1"/>
  <c r="AB241" i="25"/>
  <c r="K241" i="25"/>
  <c r="AE75" i="7"/>
  <c r="X241" i="25"/>
  <c r="A242" i="25"/>
  <c r="I248" i="1"/>
  <c r="AB242" i="25"/>
  <c r="X242" i="25"/>
  <c r="K242" i="25"/>
  <c r="A243" i="25"/>
  <c r="L242" i="25"/>
  <c r="AB247" i="18"/>
  <c r="X247" i="18"/>
  <c r="K247" i="18"/>
  <c r="A248" i="18"/>
  <c r="L247" i="18"/>
  <c r="L243" i="24"/>
  <c r="A244" i="24"/>
  <c r="K243" i="24"/>
  <c r="AB243" i="24"/>
  <c r="X243" i="24"/>
  <c r="L245" i="22"/>
  <c r="A246" i="22"/>
  <c r="X245" i="22"/>
  <c r="AB245" i="22"/>
  <c r="K245" i="22"/>
  <c r="X249" i="15"/>
  <c r="K249" i="15"/>
  <c r="A250" i="15"/>
  <c r="L249" i="15"/>
  <c r="D249" i="15" s="1"/>
  <c r="AB249" i="15"/>
  <c r="X244" i="23"/>
  <c r="K244" i="23"/>
  <c r="AB244" i="23"/>
  <c r="A245" i="23"/>
  <c r="L244" i="23"/>
  <c r="L246" i="20"/>
  <c r="AB246" i="20"/>
  <c r="A247" i="20"/>
  <c r="X246" i="20"/>
  <c r="K246" i="20"/>
  <c r="X249" i="17"/>
  <c r="AB249" i="17"/>
  <c r="L249" i="17"/>
  <c r="D249" i="17" s="1"/>
  <c r="K249" i="17"/>
  <c r="A250" i="17"/>
  <c r="L249" i="16"/>
  <c r="X249" i="16"/>
  <c r="A250" i="16"/>
  <c r="AB249" i="16"/>
  <c r="K249" i="16"/>
  <c r="A253" i="1"/>
  <c r="AJ252" i="1"/>
  <c r="X252" i="1"/>
  <c r="L252" i="1"/>
  <c r="K252" i="1"/>
  <c r="AB252" i="1"/>
  <c r="AK252" i="1"/>
  <c r="A247" i="22"/>
  <c r="L246" i="22"/>
  <c r="X246" i="22"/>
  <c r="AB246" i="22"/>
  <c r="K246" i="22"/>
  <c r="AB244" i="24"/>
  <c r="A245" i="24"/>
  <c r="X244" i="24"/>
  <c r="L244" i="24"/>
  <c r="K244" i="24"/>
  <c r="L248" i="18"/>
  <c r="AB248" i="18"/>
  <c r="A249" i="18"/>
  <c r="X248" i="18"/>
  <c r="K248" i="18"/>
  <c r="L243" i="25"/>
  <c r="X243" i="25"/>
  <c r="AB243" i="25"/>
  <c r="K243" i="25"/>
  <c r="A244" i="25"/>
  <c r="AB253" i="1"/>
  <c r="AJ253" i="1"/>
  <c r="X253" i="1"/>
  <c r="A254" i="1"/>
  <c r="AK253" i="1"/>
  <c r="K253" i="1"/>
  <c r="L253" i="1"/>
  <c r="K250" i="16"/>
  <c r="L250" i="16"/>
  <c r="A251" i="16"/>
  <c r="X250" i="16"/>
  <c r="AB250" i="16"/>
  <c r="D249" i="16"/>
  <c r="K250" i="17"/>
  <c r="X250" i="17"/>
  <c r="L250" i="17"/>
  <c r="D250" i="17" s="1"/>
  <c r="A251" i="17"/>
  <c r="AB250" i="17"/>
  <c r="X247" i="20"/>
  <c r="L247" i="20"/>
  <c r="AB247" i="20"/>
  <c r="A248" i="20"/>
  <c r="K247" i="20"/>
  <c r="K245" i="23"/>
  <c r="A246" i="23"/>
  <c r="X245" i="23"/>
  <c r="L245" i="23"/>
  <c r="AB245" i="23"/>
  <c r="I249" i="1"/>
  <c r="A251" i="15"/>
  <c r="X250" i="15"/>
  <c r="L250" i="15"/>
  <c r="D250" i="15" s="1"/>
  <c r="AB250" i="15"/>
  <c r="K250" i="15"/>
  <c r="I250" i="1"/>
  <c r="X251" i="15"/>
  <c r="AB251" i="15"/>
  <c r="A252" i="15"/>
  <c r="L251" i="15"/>
  <c r="D251" i="15" s="1"/>
  <c r="K251" i="15"/>
  <c r="D250" i="16"/>
  <c r="A245" i="25"/>
  <c r="L244" i="25"/>
  <c r="X244" i="25"/>
  <c r="AB244" i="25"/>
  <c r="K244" i="25"/>
  <c r="A250" i="18"/>
  <c r="AB249" i="18"/>
  <c r="L249" i="18"/>
  <c r="K249" i="18"/>
  <c r="X249" i="18"/>
  <c r="A247" i="23"/>
  <c r="K246" i="23"/>
  <c r="AB246" i="23"/>
  <c r="X246" i="23"/>
  <c r="L246" i="23"/>
  <c r="X248" i="20"/>
  <c r="K248" i="20"/>
  <c r="L248" i="20"/>
  <c r="A249" i="20"/>
  <c r="AB248" i="20"/>
  <c r="AB251" i="17"/>
  <c r="L251" i="17"/>
  <c r="D251" i="17" s="1"/>
  <c r="K251" i="17"/>
  <c r="X251" i="17"/>
  <c r="A252" i="17"/>
  <c r="X251" i="16"/>
  <c r="AB251" i="16"/>
  <c r="L251" i="16"/>
  <c r="D251" i="16" s="1"/>
  <c r="K251" i="16"/>
  <c r="A252" i="16"/>
  <c r="A255" i="1"/>
  <c r="AB254" i="1"/>
  <c r="K254" i="1"/>
  <c r="AJ254" i="1"/>
  <c r="X254" i="1"/>
  <c r="AK254" i="1"/>
  <c r="L254" i="1"/>
  <c r="A246" i="24"/>
  <c r="K245" i="24"/>
  <c r="L245" i="24"/>
  <c r="AB245" i="24"/>
  <c r="X245" i="24"/>
  <c r="K247" i="22"/>
  <c r="A248" i="22"/>
  <c r="X247" i="22"/>
  <c r="AB247" i="22"/>
  <c r="L247" i="22"/>
  <c r="K249" i="20"/>
  <c r="L249" i="20"/>
  <c r="X249" i="20"/>
  <c r="AB249" i="20"/>
  <c r="A250" i="20"/>
  <c r="L247" i="23"/>
  <c r="A248" i="23"/>
  <c r="AB247" i="23"/>
  <c r="X247" i="23"/>
  <c r="K247" i="23"/>
  <c r="I251" i="1"/>
  <c r="K245" i="25"/>
  <c r="L245" i="25"/>
  <c r="A246" i="25"/>
  <c r="X245" i="25"/>
  <c r="AB245" i="25"/>
  <c r="X252" i="15"/>
  <c r="AB252" i="15"/>
  <c r="L252" i="15"/>
  <c r="D252" i="15" s="1"/>
  <c r="A253" i="15"/>
  <c r="K252" i="15"/>
  <c r="A249" i="22"/>
  <c r="X248" i="22"/>
  <c r="L248" i="22"/>
  <c r="AB248" i="22"/>
  <c r="K248" i="22"/>
  <c r="K246" i="24"/>
  <c r="A247" i="24"/>
  <c r="X246" i="24"/>
  <c r="AB246" i="24"/>
  <c r="L246" i="24"/>
  <c r="AK255" i="1"/>
  <c r="L255" i="1"/>
  <c r="K255" i="1"/>
  <c r="A256" i="1"/>
  <c r="AJ255" i="1"/>
  <c r="X255" i="1"/>
  <c r="AB255" i="1"/>
  <c r="K252" i="16"/>
  <c r="X252" i="16"/>
  <c r="AB252" i="16"/>
  <c r="A253" i="16"/>
  <c r="L252" i="16"/>
  <c r="D252" i="16" s="1"/>
  <c r="X252" i="17"/>
  <c r="A253" i="17"/>
  <c r="K252" i="17"/>
  <c r="AB252" i="17"/>
  <c r="L252" i="17"/>
  <c r="D252" i="17" s="1"/>
  <c r="X250" i="18"/>
  <c r="K250" i="18"/>
  <c r="L250" i="18"/>
  <c r="A251" i="18"/>
  <c r="AB250" i="18"/>
  <c r="I252" i="1"/>
  <c r="X253" i="16"/>
  <c r="AB253" i="16"/>
  <c r="A254" i="16"/>
  <c r="L253" i="16"/>
  <c r="K253" i="16"/>
  <c r="X256" i="1"/>
  <c r="AK256" i="1"/>
  <c r="L256" i="1"/>
  <c r="K256" i="1"/>
  <c r="AB256" i="1"/>
  <c r="AJ256" i="1"/>
  <c r="A257" i="1"/>
  <c r="L247" i="24"/>
  <c r="AB247" i="24"/>
  <c r="X247" i="24"/>
  <c r="A248" i="24"/>
  <c r="K247" i="24"/>
  <c r="A247" i="25"/>
  <c r="K246" i="25"/>
  <c r="L246" i="25"/>
  <c r="AB246" i="25"/>
  <c r="X246" i="25"/>
  <c r="AB250" i="20"/>
  <c r="X250" i="20"/>
  <c r="A251" i="20"/>
  <c r="L250" i="20"/>
  <c r="K250" i="20"/>
  <c r="X251" i="18"/>
  <c r="A252" i="18"/>
  <c r="AB251" i="18"/>
  <c r="K251" i="18"/>
  <c r="L251" i="18"/>
  <c r="X253" i="17"/>
  <c r="AB253" i="17"/>
  <c r="K253" i="17"/>
  <c r="L253" i="17"/>
  <c r="A254" i="17"/>
  <c r="K249" i="22"/>
  <c r="AB249" i="22"/>
  <c r="A250" i="22"/>
  <c r="L249" i="22"/>
  <c r="X249" i="22"/>
  <c r="AB253" i="15"/>
  <c r="K253" i="15"/>
  <c r="X253" i="15"/>
  <c r="A254" i="15"/>
  <c r="L253" i="15"/>
  <c r="D253" i="15" s="1"/>
  <c r="A249" i="23"/>
  <c r="L248" i="23"/>
  <c r="K248" i="23"/>
  <c r="AB248" i="23"/>
  <c r="X248" i="23"/>
  <c r="I253" i="1"/>
  <c r="X249" i="23"/>
  <c r="A250" i="23"/>
  <c r="AB249" i="23"/>
  <c r="K249" i="23"/>
  <c r="L249" i="23"/>
  <c r="X254" i="15"/>
  <c r="K254" i="15"/>
  <c r="AB254" i="15"/>
  <c r="L254" i="15"/>
  <c r="D254" i="15" s="1"/>
  <c r="A255" i="15"/>
  <c r="D253" i="17"/>
  <c r="AB252" i="18"/>
  <c r="X252" i="18"/>
  <c r="A253" i="18"/>
  <c r="L252" i="18"/>
  <c r="K252" i="18"/>
  <c r="AB251" i="20"/>
  <c r="K251" i="20"/>
  <c r="X251" i="20"/>
  <c r="A252" i="20"/>
  <c r="L251" i="20"/>
  <c r="K247" i="25"/>
  <c r="L247" i="25"/>
  <c r="AB247" i="25"/>
  <c r="X247" i="25"/>
  <c r="A248" i="25"/>
  <c r="X248" i="24"/>
  <c r="L248" i="24"/>
  <c r="A249" i="24"/>
  <c r="K248" i="24"/>
  <c r="AB248" i="24"/>
  <c r="AB254" i="16"/>
  <c r="A255" i="16"/>
  <c r="K254" i="16"/>
  <c r="X254" i="16"/>
  <c r="L254" i="16"/>
  <c r="D254" i="16" s="1"/>
  <c r="L250" i="22"/>
  <c r="X250" i="22"/>
  <c r="K250" i="22"/>
  <c r="AB250" i="22"/>
  <c r="A251" i="22"/>
  <c r="A255" i="17"/>
  <c r="X254" i="17"/>
  <c r="L254" i="17"/>
  <c r="K254" i="17"/>
  <c r="AB254" i="17"/>
  <c r="AK257" i="1"/>
  <c r="L257" i="1"/>
  <c r="AJ257" i="1"/>
  <c r="A258" i="1"/>
  <c r="X257" i="1"/>
  <c r="K257" i="1"/>
  <c r="AB257" i="1"/>
  <c r="D253" i="16"/>
  <c r="I254" i="1"/>
  <c r="K251" i="22"/>
  <c r="AB251" i="22"/>
  <c r="L251" i="22"/>
  <c r="X251" i="22"/>
  <c r="A252" i="22"/>
  <c r="X255" i="16"/>
  <c r="A256" i="16"/>
  <c r="L255" i="16"/>
  <c r="D255" i="16" s="1"/>
  <c r="K255" i="16"/>
  <c r="AB255" i="16"/>
  <c r="AB248" i="25"/>
  <c r="A249" i="25"/>
  <c r="X248" i="25"/>
  <c r="L248" i="25"/>
  <c r="K248" i="25"/>
  <c r="K252" i="20"/>
  <c r="X252" i="20"/>
  <c r="L252" i="20"/>
  <c r="A253" i="20"/>
  <c r="AB252" i="20"/>
  <c r="X253" i="18"/>
  <c r="AB253" i="18"/>
  <c r="K253" i="18"/>
  <c r="L253" i="18"/>
  <c r="A254" i="18"/>
  <c r="A259" i="1"/>
  <c r="K258" i="1"/>
  <c r="AJ258" i="1"/>
  <c r="AB258" i="1"/>
  <c r="L258" i="1"/>
  <c r="AK258" i="1"/>
  <c r="X258" i="1"/>
  <c r="D254" i="17"/>
  <c r="L255" i="17"/>
  <c r="D255" i="17" s="1"/>
  <c r="A256" i="17"/>
  <c r="X255" i="17"/>
  <c r="K255" i="17"/>
  <c r="AB255" i="17"/>
  <c r="AB249" i="24"/>
  <c r="K249" i="24"/>
  <c r="L249" i="24"/>
  <c r="X249" i="24"/>
  <c r="A250" i="24"/>
  <c r="AB255" i="15"/>
  <c r="X255" i="15"/>
  <c r="L255" i="15"/>
  <c r="D255" i="15" s="1"/>
  <c r="K255" i="15"/>
  <c r="A256" i="15"/>
  <c r="L250" i="23"/>
  <c r="A251" i="23"/>
  <c r="K250" i="23"/>
  <c r="X250" i="23"/>
  <c r="AB250" i="23"/>
  <c r="I255" i="1"/>
  <c r="L251" i="23"/>
  <c r="A252" i="23"/>
  <c r="AB251" i="23"/>
  <c r="X251" i="23"/>
  <c r="K251" i="23"/>
  <c r="A251" i="24"/>
  <c r="AB250" i="24"/>
  <c r="L250" i="24"/>
  <c r="K250" i="24"/>
  <c r="X250" i="24"/>
  <c r="X249" i="25"/>
  <c r="A250" i="25"/>
  <c r="AB249" i="25"/>
  <c r="L249" i="25"/>
  <c r="K249" i="25"/>
  <c r="A257" i="16"/>
  <c r="K256" i="16"/>
  <c r="AB256" i="16"/>
  <c r="X256" i="16"/>
  <c r="L256" i="16"/>
  <c r="D256" i="16" s="1"/>
  <c r="L252" i="22"/>
  <c r="A253" i="22"/>
  <c r="X252" i="22"/>
  <c r="AB252" i="22"/>
  <c r="K252" i="22"/>
  <c r="X256" i="15"/>
  <c r="A257" i="15"/>
  <c r="K256" i="15"/>
  <c r="L256" i="15"/>
  <c r="D256" i="15" s="1"/>
  <c r="AB256" i="15"/>
  <c r="K256" i="17"/>
  <c r="A257" i="17"/>
  <c r="L256" i="17"/>
  <c r="D256" i="17" s="1"/>
  <c r="AB256" i="17"/>
  <c r="X256" i="17"/>
  <c r="A260" i="1"/>
  <c r="AJ259" i="1"/>
  <c r="AB259" i="1"/>
  <c r="AK259" i="1"/>
  <c r="X259" i="1"/>
  <c r="L259" i="1"/>
  <c r="K259" i="1"/>
  <c r="A255" i="18"/>
  <c r="L254" i="18"/>
  <c r="AB254" i="18"/>
  <c r="X254" i="18"/>
  <c r="K254" i="18"/>
  <c r="A254" i="20"/>
  <c r="X253" i="20"/>
  <c r="K253" i="20"/>
  <c r="L253" i="20"/>
  <c r="AB253" i="20"/>
  <c r="I256" i="1"/>
  <c r="X254" i="20"/>
  <c r="A255" i="20"/>
  <c r="AB254" i="20"/>
  <c r="L254" i="20"/>
  <c r="K254" i="20"/>
  <c r="A261" i="1"/>
  <c r="AJ260" i="1"/>
  <c r="L260" i="1"/>
  <c r="X260" i="1"/>
  <c r="AB260" i="1"/>
  <c r="K260" i="1"/>
  <c r="AK260" i="1"/>
  <c r="AB257" i="17"/>
  <c r="K257" i="17"/>
  <c r="L257" i="17"/>
  <c r="D257" i="17" s="1"/>
  <c r="A258" i="17"/>
  <c r="X257" i="17"/>
  <c r="AB257" i="15"/>
  <c r="A258" i="15"/>
  <c r="X257" i="15"/>
  <c r="L257" i="15"/>
  <c r="D257" i="15" s="1"/>
  <c r="K257" i="15"/>
  <c r="AB255" i="18"/>
  <c r="L255" i="18"/>
  <c r="A256" i="18"/>
  <c r="X255" i="18"/>
  <c r="K255" i="18"/>
  <c r="AB253" i="22"/>
  <c r="A254" i="22"/>
  <c r="L253" i="22"/>
  <c r="X253" i="22"/>
  <c r="K253" i="22"/>
  <c r="L257" i="16"/>
  <c r="D257" i="16" s="1"/>
  <c r="K257" i="16"/>
  <c r="AB257" i="16"/>
  <c r="X257" i="16"/>
  <c r="A258" i="16"/>
  <c r="L250" i="25"/>
  <c r="K250" i="25"/>
  <c r="A251" i="25"/>
  <c r="X250" i="25"/>
  <c r="AB250" i="25"/>
  <c r="A252" i="24"/>
  <c r="X251" i="24"/>
  <c r="K251" i="24"/>
  <c r="AB251" i="24"/>
  <c r="L251" i="24"/>
  <c r="K252" i="23"/>
  <c r="AB252" i="23"/>
  <c r="X252" i="23"/>
  <c r="A253" i="23"/>
  <c r="L252" i="23"/>
  <c r="AB252" i="24"/>
  <c r="K252" i="24"/>
  <c r="X252" i="24"/>
  <c r="L252" i="24"/>
  <c r="A253" i="24"/>
  <c r="I257" i="1"/>
  <c r="AB258" i="16"/>
  <c r="X258" i="16"/>
  <c r="L258" i="16"/>
  <c r="A259" i="16"/>
  <c r="K258" i="16"/>
  <c r="L258" i="15"/>
  <c r="D258" i="15" s="1"/>
  <c r="K258" i="15"/>
  <c r="AB258" i="15"/>
  <c r="X258" i="15"/>
  <c r="A259" i="15"/>
  <c r="K261" i="1"/>
  <c r="AB261" i="1"/>
  <c r="AK261" i="1"/>
  <c r="AJ261" i="1"/>
  <c r="A262" i="1"/>
  <c r="X261" i="1"/>
  <c r="L261" i="1"/>
  <c r="AB253" i="23"/>
  <c r="K253" i="23"/>
  <c r="A254" i="23"/>
  <c r="L253" i="23"/>
  <c r="X253" i="23"/>
  <c r="K251" i="25"/>
  <c r="X251" i="25"/>
  <c r="AB251" i="25"/>
  <c r="L251" i="25"/>
  <c r="A252" i="25"/>
  <c r="L254" i="22"/>
  <c r="A255" i="22"/>
  <c r="X254" i="22"/>
  <c r="K254" i="22"/>
  <c r="AB254" i="22"/>
  <c r="X256" i="18"/>
  <c r="AB256" i="18"/>
  <c r="A257" i="18"/>
  <c r="K256" i="18"/>
  <c r="L256" i="18"/>
  <c r="K258" i="17"/>
  <c r="L258" i="17"/>
  <c r="X258" i="17"/>
  <c r="A259" i="17"/>
  <c r="AB258" i="17"/>
  <c r="A256" i="20"/>
  <c r="L255" i="20"/>
  <c r="X255" i="20"/>
  <c r="K255" i="20"/>
  <c r="AB255" i="20"/>
  <c r="AB259" i="17"/>
  <c r="A260" i="17"/>
  <c r="L259" i="17"/>
  <c r="D259" i="17" s="1"/>
  <c r="X259" i="17"/>
  <c r="K259" i="17"/>
  <c r="D258" i="17"/>
  <c r="X257" i="18"/>
  <c r="L257" i="18"/>
  <c r="K257" i="18"/>
  <c r="AB257" i="18"/>
  <c r="A258" i="18"/>
  <c r="X255" i="22"/>
  <c r="K255" i="22"/>
  <c r="AB255" i="22"/>
  <c r="L255" i="22"/>
  <c r="A256" i="22"/>
  <c r="K254" i="23"/>
  <c r="X254" i="23"/>
  <c r="A255" i="23"/>
  <c r="AB254" i="23"/>
  <c r="L254" i="23"/>
  <c r="A263" i="1"/>
  <c r="AB262" i="1"/>
  <c r="AJ262" i="1"/>
  <c r="AK262" i="1"/>
  <c r="K262" i="1"/>
  <c r="X262" i="1"/>
  <c r="L262" i="1"/>
  <c r="AB259" i="15"/>
  <c r="A260" i="15"/>
  <c r="X259" i="15"/>
  <c r="L259" i="15"/>
  <c r="D259" i="15" s="1"/>
  <c r="K259" i="15"/>
  <c r="AB259" i="16"/>
  <c r="L259" i="16"/>
  <c r="D259" i="16" s="1"/>
  <c r="A260" i="16"/>
  <c r="X259" i="16"/>
  <c r="K259" i="16"/>
  <c r="K256" i="20"/>
  <c r="A257" i="20"/>
  <c r="L256" i="20"/>
  <c r="AB256" i="20"/>
  <c r="X256" i="20"/>
  <c r="I258" i="1"/>
  <c r="X252" i="25"/>
  <c r="A253" i="25"/>
  <c r="L252" i="25"/>
  <c r="K252" i="25"/>
  <c r="AB252" i="25"/>
  <c r="D258" i="16"/>
  <c r="L253" i="24"/>
  <c r="X253" i="24"/>
  <c r="K253" i="24"/>
  <c r="AB253" i="24"/>
  <c r="A254" i="24"/>
  <c r="X260" i="16"/>
  <c r="K260" i="16"/>
  <c r="A261" i="16"/>
  <c r="AB260" i="16"/>
  <c r="L260" i="16"/>
  <c r="D260" i="16" s="1"/>
  <c r="A261" i="15"/>
  <c r="K260" i="15"/>
  <c r="AB260" i="15"/>
  <c r="X260" i="15"/>
  <c r="L260" i="15"/>
  <c r="D260" i="15" s="1"/>
  <c r="L263" i="1"/>
  <c r="AJ263" i="1"/>
  <c r="X263" i="1"/>
  <c r="K263" i="1"/>
  <c r="AK263" i="1"/>
  <c r="A264" i="1"/>
  <c r="AB263" i="1"/>
  <c r="X254" i="24"/>
  <c r="K254" i="24"/>
  <c r="A255" i="24"/>
  <c r="L254" i="24"/>
  <c r="AB254" i="24"/>
  <c r="K253" i="25"/>
  <c r="X253" i="25"/>
  <c r="A254" i="25"/>
  <c r="L253" i="25"/>
  <c r="AB253" i="25"/>
  <c r="A258" i="20"/>
  <c r="X257" i="20"/>
  <c r="L257" i="20"/>
  <c r="AB257" i="20"/>
  <c r="K257" i="20"/>
  <c r="I259" i="1"/>
  <c r="X255" i="23"/>
  <c r="AB255" i="23"/>
  <c r="L255" i="23"/>
  <c r="K255" i="23"/>
  <c r="A256" i="23"/>
  <c r="A257" i="22"/>
  <c r="L256" i="22"/>
  <c r="K256" i="22"/>
  <c r="AB256" i="22"/>
  <c r="X256" i="22"/>
  <c r="L258" i="18"/>
  <c r="K258" i="18"/>
  <c r="A259" i="18"/>
  <c r="X258" i="18"/>
  <c r="AB258" i="18"/>
  <c r="A261" i="17"/>
  <c r="AB260" i="17"/>
  <c r="X260" i="17"/>
  <c r="L260" i="17"/>
  <c r="D260" i="17" s="1"/>
  <c r="K260" i="17"/>
  <c r="I260" i="1"/>
  <c r="L259" i="18"/>
  <c r="K259" i="18"/>
  <c r="X259" i="18"/>
  <c r="A260" i="18"/>
  <c r="AB259" i="18"/>
  <c r="A255" i="25"/>
  <c r="L254" i="25"/>
  <c r="X254" i="25"/>
  <c r="K254" i="25"/>
  <c r="AB254" i="25"/>
  <c r="A265" i="1"/>
  <c r="L264" i="1"/>
  <c r="K264" i="1"/>
  <c r="AJ264" i="1"/>
  <c r="AK264" i="1"/>
  <c r="AB264" i="1"/>
  <c r="X264" i="1"/>
  <c r="X261" i="17"/>
  <c r="L261" i="17"/>
  <c r="D261" i="17" s="1"/>
  <c r="K261" i="17"/>
  <c r="A262" i="17"/>
  <c r="AB261" i="17"/>
  <c r="K257" i="22"/>
  <c r="X257" i="22"/>
  <c r="AB257" i="22"/>
  <c r="A258" i="22"/>
  <c r="L257" i="22"/>
  <c r="K256" i="23"/>
  <c r="X256" i="23"/>
  <c r="A257" i="23"/>
  <c r="L256" i="23"/>
  <c r="AB256" i="23"/>
  <c r="AB258" i="20"/>
  <c r="L258" i="20"/>
  <c r="K258" i="20"/>
  <c r="X258" i="20"/>
  <c r="A259" i="20"/>
  <c r="K255" i="24"/>
  <c r="X255" i="24"/>
  <c r="L255" i="24"/>
  <c r="A256" i="24"/>
  <c r="AB255" i="24"/>
  <c r="L261" i="15"/>
  <c r="D261" i="15" s="1"/>
  <c r="A262" i="15"/>
  <c r="K261" i="15"/>
  <c r="AB261" i="15"/>
  <c r="X261" i="15"/>
  <c r="A262" i="16"/>
  <c r="X261" i="16"/>
  <c r="AB261" i="16"/>
  <c r="L261" i="16"/>
  <c r="K261" i="16"/>
  <c r="I261" i="1"/>
  <c r="L265" i="1"/>
  <c r="AB265" i="1"/>
  <c r="K265" i="1"/>
  <c r="A266" i="1"/>
  <c r="X265" i="1"/>
  <c r="AK265" i="1"/>
  <c r="AJ265" i="1"/>
  <c r="D261" i="16"/>
  <c r="K262" i="15"/>
  <c r="L262" i="15"/>
  <c r="D262" i="15" s="1"/>
  <c r="AB262" i="15"/>
  <c r="A263" i="15"/>
  <c r="X262" i="15"/>
  <c r="X256" i="24"/>
  <c r="A257" i="24"/>
  <c r="AB256" i="24"/>
  <c r="K256" i="24"/>
  <c r="L256" i="24"/>
  <c r="K262" i="17"/>
  <c r="A263" i="17"/>
  <c r="AB262" i="17"/>
  <c r="L262" i="17"/>
  <c r="X262" i="17"/>
  <c r="AB262" i="16"/>
  <c r="K262" i="16"/>
  <c r="L262" i="16"/>
  <c r="D262" i="16" s="1"/>
  <c r="A263" i="16"/>
  <c r="X262" i="16"/>
  <c r="L259" i="20"/>
  <c r="X259" i="20"/>
  <c r="K259" i="20"/>
  <c r="AB259" i="20"/>
  <c r="A260" i="20"/>
  <c r="X257" i="23"/>
  <c r="AB257" i="23"/>
  <c r="L257" i="23"/>
  <c r="K257" i="23"/>
  <c r="A258" i="23"/>
  <c r="X258" i="22"/>
  <c r="K258" i="22"/>
  <c r="A259" i="22"/>
  <c r="AB258" i="22"/>
  <c r="L258" i="22"/>
  <c r="AB255" i="25"/>
  <c r="L255" i="25"/>
  <c r="K255" i="25"/>
  <c r="A256" i="25"/>
  <c r="X255" i="25"/>
  <c r="X260" i="18"/>
  <c r="K260" i="18"/>
  <c r="A261" i="18"/>
  <c r="L260" i="18"/>
  <c r="AB260" i="18"/>
  <c r="X260" i="20"/>
  <c r="K260" i="20"/>
  <c r="AB260" i="20"/>
  <c r="A261" i="20"/>
  <c r="L260" i="20"/>
  <c r="A264" i="16"/>
  <c r="K263" i="16"/>
  <c r="L263" i="16"/>
  <c r="D263" i="16" s="1"/>
  <c r="AB263" i="16"/>
  <c r="X263" i="16"/>
  <c r="D262" i="17"/>
  <c r="A264" i="17"/>
  <c r="L263" i="17"/>
  <c r="X263" i="17"/>
  <c r="AB263" i="17"/>
  <c r="K263" i="17"/>
  <c r="A264" i="15"/>
  <c r="AB263" i="15"/>
  <c r="X263" i="15"/>
  <c r="L263" i="15"/>
  <c r="D263" i="15" s="1"/>
  <c r="K263" i="15"/>
  <c r="A267" i="1"/>
  <c r="AK266" i="1"/>
  <c r="X266" i="1"/>
  <c r="AB266" i="1"/>
  <c r="AJ266" i="1"/>
  <c r="K266" i="1"/>
  <c r="L266" i="1"/>
  <c r="I262" i="1"/>
  <c r="K261" i="18"/>
  <c r="A262" i="18"/>
  <c r="X261" i="18"/>
  <c r="L261" i="18"/>
  <c r="AB261" i="18"/>
  <c r="A257" i="25"/>
  <c r="L256" i="25"/>
  <c r="K256" i="25"/>
  <c r="X256" i="25"/>
  <c r="AB256" i="25"/>
  <c r="X259" i="22"/>
  <c r="A260" i="22"/>
  <c r="K259" i="22"/>
  <c r="AB259" i="22"/>
  <c r="L259" i="22"/>
  <c r="AB258" i="23"/>
  <c r="K258" i="23"/>
  <c r="X258" i="23"/>
  <c r="A259" i="23"/>
  <c r="L258" i="23"/>
  <c r="X257" i="24"/>
  <c r="L257" i="24"/>
  <c r="AB257" i="24"/>
  <c r="K257" i="24"/>
  <c r="A258" i="24"/>
  <c r="L258" i="24"/>
  <c r="A259" i="24"/>
  <c r="AB258" i="24"/>
  <c r="X258" i="24"/>
  <c r="K258" i="24"/>
  <c r="A261" i="22"/>
  <c r="K260" i="22"/>
  <c r="AB260" i="22"/>
  <c r="L260" i="22"/>
  <c r="X260" i="22"/>
  <c r="AB264" i="15"/>
  <c r="X264" i="15"/>
  <c r="K264" i="15"/>
  <c r="L264" i="15"/>
  <c r="D264" i="15" s="1"/>
  <c r="A265" i="15"/>
  <c r="AB264" i="17"/>
  <c r="X264" i="17"/>
  <c r="L264" i="17"/>
  <c r="A265" i="17"/>
  <c r="K264" i="17"/>
  <c r="AB261" i="20"/>
  <c r="A262" i="20"/>
  <c r="X261" i="20"/>
  <c r="L261" i="20"/>
  <c r="K261" i="20"/>
  <c r="I263" i="1"/>
  <c r="A260" i="23"/>
  <c r="L259" i="23"/>
  <c r="AB259" i="23"/>
  <c r="K259" i="23"/>
  <c r="X259" i="23"/>
  <c r="X257" i="25"/>
  <c r="A258" i="25"/>
  <c r="L257" i="25"/>
  <c r="K257" i="25"/>
  <c r="AB257" i="25"/>
  <c r="K262" i="18"/>
  <c r="X262" i="18"/>
  <c r="L262" i="18"/>
  <c r="AB262" i="18"/>
  <c r="A263" i="18"/>
  <c r="A268" i="1"/>
  <c r="X267" i="1"/>
  <c r="K267" i="1"/>
  <c r="AK267" i="1"/>
  <c r="AB267" i="1"/>
  <c r="L267" i="1"/>
  <c r="AJ267" i="1"/>
  <c r="D263" i="17"/>
  <c r="K264" i="16"/>
  <c r="A265" i="16"/>
  <c r="AB264" i="16"/>
  <c r="X264" i="16"/>
  <c r="L264" i="16"/>
  <c r="D264" i="16" s="1"/>
  <c r="I264" i="1"/>
  <c r="A266" i="16"/>
  <c r="AB265" i="16"/>
  <c r="K265" i="16"/>
  <c r="X265" i="16"/>
  <c r="L265" i="16"/>
  <c r="D265" i="16" s="1"/>
  <c r="A269" i="1"/>
  <c r="AK268" i="1"/>
  <c r="X268" i="1"/>
  <c r="K268" i="1"/>
  <c r="AB268" i="1"/>
  <c r="AJ268" i="1"/>
  <c r="L268" i="1"/>
  <c r="A264" i="18"/>
  <c r="K263" i="18"/>
  <c r="L263" i="18"/>
  <c r="AB263" i="18"/>
  <c r="X263" i="18"/>
  <c r="L258" i="25"/>
  <c r="A259" i="25"/>
  <c r="AB258" i="25"/>
  <c r="X258" i="25"/>
  <c r="K258" i="25"/>
  <c r="L260" i="23"/>
  <c r="K260" i="23"/>
  <c r="AB260" i="23"/>
  <c r="A261" i="23"/>
  <c r="X260" i="23"/>
  <c r="K265" i="17"/>
  <c r="X265" i="17"/>
  <c r="AB265" i="17"/>
  <c r="A266" i="17"/>
  <c r="L265" i="17"/>
  <c r="D265" i="17" s="1"/>
  <c r="X265" i="15"/>
  <c r="A266" i="15"/>
  <c r="L265" i="15"/>
  <c r="D265" i="15" s="1"/>
  <c r="K265" i="15"/>
  <c r="AB265" i="15"/>
  <c r="A262" i="22"/>
  <c r="AB261" i="22"/>
  <c r="K261" i="22"/>
  <c r="L261" i="22"/>
  <c r="X261" i="22"/>
  <c r="AB259" i="24"/>
  <c r="L259" i="24"/>
  <c r="X259" i="24"/>
  <c r="K259" i="24"/>
  <c r="A260" i="24"/>
  <c r="A263" i="20"/>
  <c r="X262" i="20"/>
  <c r="L262" i="20"/>
  <c r="K262" i="20"/>
  <c r="AB262" i="20"/>
  <c r="D264" i="17"/>
  <c r="I265" i="1"/>
  <c r="A264" i="20"/>
  <c r="K263" i="20"/>
  <c r="L263" i="20"/>
  <c r="AB263" i="20"/>
  <c r="X263" i="20"/>
  <c r="X262" i="22"/>
  <c r="K262" i="22"/>
  <c r="L262" i="22"/>
  <c r="A263" i="22"/>
  <c r="AB262" i="22"/>
  <c r="AB266" i="17"/>
  <c r="X266" i="17"/>
  <c r="K266" i="17"/>
  <c r="L266" i="17"/>
  <c r="D266" i="17" s="1"/>
  <c r="A267" i="17"/>
  <c r="A260" i="25"/>
  <c r="X259" i="25"/>
  <c r="AB259" i="25"/>
  <c r="L259" i="25"/>
  <c r="K259" i="25"/>
  <c r="A265" i="18"/>
  <c r="AB264" i="18"/>
  <c r="K264" i="18"/>
  <c r="L264" i="18"/>
  <c r="X264" i="18"/>
  <c r="AB266" i="16"/>
  <c r="X266" i="16"/>
  <c r="K266" i="16"/>
  <c r="A267" i="16"/>
  <c r="L266" i="16"/>
  <c r="D266" i="16" s="1"/>
  <c r="AB260" i="24"/>
  <c r="A261" i="24"/>
  <c r="K260" i="24"/>
  <c r="L260" i="24"/>
  <c r="X260" i="24"/>
  <c r="A267" i="15"/>
  <c r="AB266" i="15"/>
  <c r="X266" i="15"/>
  <c r="K266" i="15"/>
  <c r="L266" i="15"/>
  <c r="D266" i="15" s="1"/>
  <c r="A262" i="23"/>
  <c r="L261" i="23"/>
  <c r="AB261" i="23"/>
  <c r="K261" i="23"/>
  <c r="X261" i="23"/>
  <c r="AJ269" i="1"/>
  <c r="L269" i="1"/>
  <c r="X269" i="1"/>
  <c r="K269" i="1"/>
  <c r="AB269" i="1"/>
  <c r="AK269" i="1"/>
  <c r="A270" i="1"/>
  <c r="I266" i="1"/>
  <c r="L262" i="23"/>
  <c r="X262" i="23"/>
  <c r="K262" i="23"/>
  <c r="AB262" i="23"/>
  <c r="A263" i="23"/>
  <c r="AB261" i="24"/>
  <c r="X261" i="24"/>
  <c r="A262" i="24"/>
  <c r="L261" i="24"/>
  <c r="K261" i="24"/>
  <c r="K265" i="18"/>
  <c r="X265" i="18"/>
  <c r="AB265" i="18"/>
  <c r="L265" i="18"/>
  <c r="A266" i="18"/>
  <c r="L260" i="25"/>
  <c r="K260" i="25"/>
  <c r="A261" i="25"/>
  <c r="AB260" i="25"/>
  <c r="X260" i="25"/>
  <c r="K267" i="17"/>
  <c r="A268" i="17"/>
  <c r="AB267" i="17"/>
  <c r="X267" i="17"/>
  <c r="L267" i="17"/>
  <c r="D267" i="17" s="1"/>
  <c r="X263" i="22"/>
  <c r="A264" i="22"/>
  <c r="AB263" i="22"/>
  <c r="K263" i="22"/>
  <c r="L263" i="22"/>
  <c r="A271" i="1"/>
  <c r="X270" i="1"/>
  <c r="K270" i="1"/>
  <c r="AB270" i="1"/>
  <c r="L270" i="1"/>
  <c r="AK270" i="1"/>
  <c r="AJ270" i="1"/>
  <c r="AB267" i="15"/>
  <c r="A268" i="15"/>
  <c r="K267" i="15"/>
  <c r="L267" i="15"/>
  <c r="D267" i="15" s="1"/>
  <c r="X267" i="15"/>
  <c r="K267" i="16"/>
  <c r="A268" i="16"/>
  <c r="X267" i="16"/>
  <c r="L267" i="16"/>
  <c r="D267" i="16" s="1"/>
  <c r="AB267" i="16"/>
  <c r="A265" i="20"/>
  <c r="K264" i="20"/>
  <c r="X264" i="20"/>
  <c r="AB264" i="20"/>
  <c r="L264" i="20"/>
  <c r="I267" i="1"/>
  <c r="A272" i="1"/>
  <c r="K271" i="1"/>
  <c r="X271" i="1"/>
  <c r="L271" i="1"/>
  <c r="AK271" i="1"/>
  <c r="AJ271" i="1"/>
  <c r="AB271" i="1"/>
  <c r="L264" i="22"/>
  <c r="A265" i="22"/>
  <c r="K264" i="22"/>
  <c r="X264" i="22"/>
  <c r="AB264" i="22"/>
  <c r="A269" i="17"/>
  <c r="AB268" i="17"/>
  <c r="K268" i="17"/>
  <c r="L268" i="17"/>
  <c r="D268" i="17" s="1"/>
  <c r="X268" i="17"/>
  <c r="X261" i="25"/>
  <c r="A262" i="25"/>
  <c r="AB261" i="25"/>
  <c r="K261" i="25"/>
  <c r="L261" i="25"/>
  <c r="L268" i="16"/>
  <c r="D268" i="16" s="1"/>
  <c r="X268" i="16"/>
  <c r="K268" i="16"/>
  <c r="A269" i="16"/>
  <c r="AB268" i="16"/>
  <c r="AB265" i="20"/>
  <c r="K265" i="20"/>
  <c r="L265" i="20"/>
  <c r="X265" i="20"/>
  <c r="A266" i="20"/>
  <c r="A269" i="15"/>
  <c r="K268" i="15"/>
  <c r="L268" i="15"/>
  <c r="X268" i="15"/>
  <c r="AB268" i="15"/>
  <c r="X266" i="18"/>
  <c r="AB266" i="18"/>
  <c r="L266" i="18"/>
  <c r="K266" i="18"/>
  <c r="A267" i="18"/>
  <c r="X262" i="24"/>
  <c r="AB262" i="24"/>
  <c r="A263" i="24"/>
  <c r="K262" i="24"/>
  <c r="L262" i="24"/>
  <c r="AB263" i="23"/>
  <c r="L263" i="23"/>
  <c r="A264" i="23"/>
  <c r="X263" i="23"/>
  <c r="K263" i="23"/>
  <c r="I268" i="1"/>
  <c r="A265" i="23"/>
  <c r="X264" i="23"/>
  <c r="L264" i="23"/>
  <c r="K264" i="23"/>
  <c r="AB264" i="23"/>
  <c r="AB263" i="24"/>
  <c r="L263" i="24"/>
  <c r="A264" i="24"/>
  <c r="X263" i="24"/>
  <c r="K263" i="24"/>
  <c r="A270" i="16"/>
  <c r="L269" i="16"/>
  <c r="D269" i="16" s="1"/>
  <c r="K269" i="16"/>
  <c r="AB269" i="16"/>
  <c r="X269" i="16"/>
  <c r="K265" i="22"/>
  <c r="AB265" i="22"/>
  <c r="L265" i="22"/>
  <c r="X265" i="22"/>
  <c r="A266" i="22"/>
  <c r="L267" i="18"/>
  <c r="X267" i="18"/>
  <c r="A268" i="18"/>
  <c r="AB267" i="18"/>
  <c r="K267" i="18"/>
  <c r="D268" i="15"/>
  <c r="A270" i="15"/>
  <c r="AB269" i="15"/>
  <c r="L269" i="15"/>
  <c r="K269" i="15"/>
  <c r="X269" i="15"/>
  <c r="A267" i="20"/>
  <c r="X266" i="20"/>
  <c r="K266" i="20"/>
  <c r="AB266" i="20"/>
  <c r="L266" i="20"/>
  <c r="A263" i="25"/>
  <c r="X262" i="25"/>
  <c r="AB262" i="25"/>
  <c r="L262" i="25"/>
  <c r="K262" i="25"/>
  <c r="X269" i="17"/>
  <c r="A270" i="17"/>
  <c r="K269" i="17"/>
  <c r="AB269" i="17"/>
  <c r="L269" i="17"/>
  <c r="D269" i="17" s="1"/>
  <c r="A273" i="1"/>
  <c r="A28" i="7"/>
  <c r="K272" i="1"/>
  <c r="AB272" i="1"/>
  <c r="AK272" i="1"/>
  <c r="L272" i="1"/>
  <c r="B28" i="7" s="1"/>
  <c r="AJ272" i="1"/>
  <c r="X272" i="1"/>
  <c r="I269" i="1"/>
  <c r="L270" i="17"/>
  <c r="D270" i="17" s="1"/>
  <c r="AB270" i="17"/>
  <c r="K270" i="17"/>
  <c r="A271" i="17"/>
  <c r="X270" i="17"/>
  <c r="A269" i="18"/>
  <c r="K268" i="18"/>
  <c r="AB268" i="18"/>
  <c r="L268" i="18"/>
  <c r="X268" i="18"/>
  <c r="AB264" i="24"/>
  <c r="K264" i="24"/>
  <c r="X264" i="24"/>
  <c r="L264" i="24"/>
  <c r="A265" i="24"/>
  <c r="A266" i="23"/>
  <c r="AB265" i="23"/>
  <c r="L265" i="23"/>
  <c r="K265" i="23"/>
  <c r="X265" i="23"/>
  <c r="X273" i="1"/>
  <c r="K273" i="1"/>
  <c r="L273" i="1"/>
  <c r="A274" i="1"/>
  <c r="AJ273" i="1"/>
  <c r="AK273" i="1"/>
  <c r="AB273" i="1"/>
  <c r="AB263" i="25"/>
  <c r="X263" i="25"/>
  <c r="A264" i="25"/>
  <c r="L263" i="25"/>
  <c r="K263" i="25"/>
  <c r="L267" i="20"/>
  <c r="A268" i="20"/>
  <c r="K267" i="20"/>
  <c r="X267" i="20"/>
  <c r="AB267" i="20"/>
  <c r="D269" i="15"/>
  <c r="A271" i="15"/>
  <c r="L270" i="15"/>
  <c r="K270" i="15"/>
  <c r="X270" i="15"/>
  <c r="AB270" i="15"/>
  <c r="K266" i="22"/>
  <c r="A267" i="22"/>
  <c r="AB266" i="22"/>
  <c r="X266" i="22"/>
  <c r="L266" i="22"/>
  <c r="A271" i="16"/>
  <c r="K270" i="16"/>
  <c r="L270" i="16"/>
  <c r="AB270" i="16"/>
  <c r="X270" i="16"/>
  <c r="I270" i="1"/>
  <c r="X271" i="15"/>
  <c r="A272" i="15"/>
  <c r="AB271" i="15"/>
  <c r="L271" i="15"/>
  <c r="D271" i="15" s="1"/>
  <c r="K271" i="15"/>
  <c r="X268" i="20"/>
  <c r="L268" i="20"/>
  <c r="AB268" i="20"/>
  <c r="K268" i="20"/>
  <c r="A269" i="20"/>
  <c r="K266" i="23"/>
  <c r="L266" i="23"/>
  <c r="AB266" i="23"/>
  <c r="A267" i="23"/>
  <c r="X266" i="23"/>
  <c r="AB269" i="18"/>
  <c r="K269" i="18"/>
  <c r="X269" i="18"/>
  <c r="L269" i="18"/>
  <c r="A270" i="18"/>
  <c r="D270" i="16"/>
  <c r="K271" i="16"/>
  <c r="AB271" i="16"/>
  <c r="X271" i="16"/>
  <c r="A272" i="16"/>
  <c r="L271" i="16"/>
  <c r="D271" i="16" s="1"/>
  <c r="K267" i="22"/>
  <c r="X267" i="22"/>
  <c r="AB267" i="22"/>
  <c r="L267" i="22"/>
  <c r="A268" i="22"/>
  <c r="D270" i="15"/>
  <c r="K264" i="25"/>
  <c r="AB264" i="25"/>
  <c r="A265" i="25"/>
  <c r="X264" i="25"/>
  <c r="L264" i="25"/>
  <c r="AJ274" i="1"/>
  <c r="L274" i="1"/>
  <c r="X274" i="1"/>
  <c r="AB274" i="1"/>
  <c r="AK274" i="1"/>
  <c r="A275" i="1"/>
  <c r="K274" i="1"/>
  <c r="A266" i="24"/>
  <c r="X265" i="24"/>
  <c r="AB265" i="24"/>
  <c r="L265" i="24"/>
  <c r="K265" i="24"/>
  <c r="K271" i="17"/>
  <c r="A272" i="17"/>
  <c r="AB271" i="17"/>
  <c r="X271" i="17"/>
  <c r="L271" i="17"/>
  <c r="D271" i="17" s="1"/>
  <c r="I271" i="1"/>
  <c r="A64" i="7"/>
  <c r="L272" i="17"/>
  <c r="D272" i="17" s="1"/>
  <c r="K272" i="17"/>
  <c r="A273" i="17"/>
  <c r="X272" i="17"/>
  <c r="AB272" i="17"/>
  <c r="AB268" i="22"/>
  <c r="X268" i="22"/>
  <c r="L268" i="22"/>
  <c r="K268" i="22"/>
  <c r="A269" i="22"/>
  <c r="A273" i="16"/>
  <c r="L272" i="16"/>
  <c r="B52" i="7" s="1"/>
  <c r="AB272" i="16"/>
  <c r="X272" i="16"/>
  <c r="K272" i="16"/>
  <c r="A52" i="7"/>
  <c r="L270" i="18"/>
  <c r="K270" i="18"/>
  <c r="X270" i="18"/>
  <c r="A271" i="18"/>
  <c r="AB270" i="18"/>
  <c r="K267" i="23"/>
  <c r="X267" i="23"/>
  <c r="A268" i="23"/>
  <c r="L267" i="23"/>
  <c r="AB267" i="23"/>
  <c r="L266" i="24"/>
  <c r="X266" i="24"/>
  <c r="A267" i="24"/>
  <c r="AB266" i="24"/>
  <c r="K266" i="24"/>
  <c r="AJ275" i="1"/>
  <c r="AK275" i="1"/>
  <c r="K275" i="1"/>
  <c r="AB275" i="1"/>
  <c r="A276" i="1"/>
  <c r="X275" i="1"/>
  <c r="L275" i="1"/>
  <c r="L265" i="25"/>
  <c r="X265" i="25"/>
  <c r="K265" i="25"/>
  <c r="AB265" i="25"/>
  <c r="A266" i="25"/>
  <c r="A270" i="20"/>
  <c r="L269" i="20"/>
  <c r="K269" i="20"/>
  <c r="AB269" i="20"/>
  <c r="X269" i="20"/>
  <c r="X272" i="15"/>
  <c r="A273" i="15"/>
  <c r="L272" i="15"/>
  <c r="D272" i="15" s="1"/>
  <c r="AB272" i="15"/>
  <c r="K272" i="15"/>
  <c r="A40" i="7"/>
  <c r="X270" i="20"/>
  <c r="A271" i="20"/>
  <c r="AB270" i="20"/>
  <c r="L270" i="20"/>
  <c r="K270" i="20"/>
  <c r="AB267" i="24"/>
  <c r="L267" i="24"/>
  <c r="K267" i="24"/>
  <c r="A268" i="24"/>
  <c r="X267" i="24"/>
  <c r="AB271" i="18"/>
  <c r="L271" i="18"/>
  <c r="K271" i="18"/>
  <c r="A272" i="18"/>
  <c r="X271" i="18"/>
  <c r="D272" i="16"/>
  <c r="AB269" i="22"/>
  <c r="A270" i="22"/>
  <c r="L269" i="22"/>
  <c r="X269" i="22"/>
  <c r="K269" i="22"/>
  <c r="K273" i="15"/>
  <c r="L273" i="15"/>
  <c r="D273" i="15" s="1"/>
  <c r="A274" i="15"/>
  <c r="X273" i="15"/>
  <c r="AB273" i="15"/>
  <c r="AB266" i="25"/>
  <c r="A267" i="25"/>
  <c r="K266" i="25"/>
  <c r="X266" i="25"/>
  <c r="L266" i="25"/>
  <c r="X276" i="1"/>
  <c r="L276" i="1"/>
  <c r="AK276" i="1"/>
  <c r="AJ276" i="1"/>
  <c r="K276" i="1"/>
  <c r="A277" i="1"/>
  <c r="AB276" i="1"/>
  <c r="A269" i="23"/>
  <c r="X268" i="23"/>
  <c r="AB268" i="23"/>
  <c r="L268" i="23"/>
  <c r="K268" i="23"/>
  <c r="L273" i="16"/>
  <c r="D273" i="16" s="1"/>
  <c r="A274" i="16"/>
  <c r="K273" i="16"/>
  <c r="AB273" i="16"/>
  <c r="X273" i="16"/>
  <c r="X273" i="17"/>
  <c r="K273" i="17"/>
  <c r="AB273" i="17"/>
  <c r="L273" i="17"/>
  <c r="D273" i="17" s="1"/>
  <c r="A274" i="17"/>
  <c r="I272" i="1"/>
  <c r="I273" i="1"/>
  <c r="AB274" i="17"/>
  <c r="K274" i="17"/>
  <c r="A275" i="17"/>
  <c r="X274" i="17"/>
  <c r="L274" i="17"/>
  <c r="D274" i="17" s="1"/>
  <c r="L269" i="23"/>
  <c r="K269" i="23"/>
  <c r="AB269" i="23"/>
  <c r="A270" i="23"/>
  <c r="X269" i="23"/>
  <c r="AB277" i="1"/>
  <c r="AJ277" i="1"/>
  <c r="X277" i="1"/>
  <c r="A278" i="1"/>
  <c r="L277" i="1"/>
  <c r="AK277" i="1"/>
  <c r="K277" i="1"/>
  <c r="AB267" i="25"/>
  <c r="A268" i="25"/>
  <c r="L267" i="25"/>
  <c r="K267" i="25"/>
  <c r="X267" i="25"/>
  <c r="A269" i="24"/>
  <c r="AB268" i="24"/>
  <c r="K268" i="24"/>
  <c r="X268" i="24"/>
  <c r="L268" i="24"/>
  <c r="K271" i="20"/>
  <c r="X271" i="20"/>
  <c r="AB271" i="20"/>
  <c r="A272" i="20"/>
  <c r="L271" i="20"/>
  <c r="A275" i="16"/>
  <c r="AB274" i="16"/>
  <c r="K274" i="16"/>
  <c r="X274" i="16"/>
  <c r="L274" i="16"/>
  <c r="D274" i="16" s="1"/>
  <c r="L274" i="15"/>
  <c r="D274" i="15" s="1"/>
  <c r="K274" i="15"/>
  <c r="AB274" i="15"/>
  <c r="X274" i="15"/>
  <c r="A275" i="15"/>
  <c r="A271" i="22"/>
  <c r="K270" i="22"/>
  <c r="L270" i="22"/>
  <c r="AB270" i="22"/>
  <c r="X270" i="22"/>
  <c r="L272" i="18"/>
  <c r="K272" i="18"/>
  <c r="A273" i="18"/>
  <c r="X272" i="18"/>
  <c r="AB272" i="18"/>
  <c r="A76" i="7"/>
  <c r="I274" i="1"/>
  <c r="K273" i="18"/>
  <c r="X273" i="18"/>
  <c r="A274" i="18"/>
  <c r="AB273" i="18"/>
  <c r="L273" i="18"/>
  <c r="B76" i="7"/>
  <c r="A272" i="22"/>
  <c r="AB271" i="22"/>
  <c r="K271" i="22"/>
  <c r="L271" i="22"/>
  <c r="X271" i="22"/>
  <c r="X275" i="15"/>
  <c r="A276" i="15"/>
  <c r="K275" i="15"/>
  <c r="L275" i="15"/>
  <c r="D275" i="15" s="1"/>
  <c r="AB275" i="15"/>
  <c r="X275" i="16"/>
  <c r="A276" i="16"/>
  <c r="AB275" i="16"/>
  <c r="L275" i="16"/>
  <c r="D275" i="16" s="1"/>
  <c r="K275" i="16"/>
  <c r="X272" i="20"/>
  <c r="AE28" i="7"/>
  <c r="A273" i="20"/>
  <c r="K272" i="20"/>
  <c r="AB272" i="20"/>
  <c r="L272" i="20"/>
  <c r="AF28" i="7" s="1"/>
  <c r="AB269" i="24"/>
  <c r="A270" i="24"/>
  <c r="K269" i="24"/>
  <c r="L269" i="24"/>
  <c r="X269" i="24"/>
  <c r="X270" i="23"/>
  <c r="AB270" i="23"/>
  <c r="A271" i="23"/>
  <c r="K270" i="23"/>
  <c r="L270" i="23"/>
  <c r="A276" i="17"/>
  <c r="X275" i="17"/>
  <c r="K275" i="17"/>
  <c r="L275" i="17"/>
  <c r="D275" i="17" s="1"/>
  <c r="AB275" i="17"/>
  <c r="K268" i="25"/>
  <c r="AB268" i="25"/>
  <c r="A269" i="25"/>
  <c r="X268" i="25"/>
  <c r="L268" i="25"/>
  <c r="A279" i="1"/>
  <c r="AB278" i="1"/>
  <c r="K278" i="1"/>
  <c r="X278" i="1"/>
  <c r="AJ278" i="1"/>
  <c r="AK278" i="1"/>
  <c r="L278" i="1"/>
  <c r="I275" i="1"/>
  <c r="A277" i="17"/>
  <c r="L276" i="17"/>
  <c r="D276" i="17" s="1"/>
  <c r="AB276" i="17"/>
  <c r="K276" i="17"/>
  <c r="X276" i="17"/>
  <c r="K270" i="24"/>
  <c r="A271" i="24"/>
  <c r="X270" i="24"/>
  <c r="L270" i="24"/>
  <c r="AB270" i="24"/>
  <c r="AB273" i="20"/>
  <c r="A274" i="20"/>
  <c r="L273" i="20"/>
  <c r="X273" i="20"/>
  <c r="K273" i="20"/>
  <c r="X276" i="15"/>
  <c r="AB276" i="15"/>
  <c r="A277" i="15"/>
  <c r="K276" i="15"/>
  <c r="L276" i="15"/>
  <c r="D276" i="15" s="1"/>
  <c r="L272" i="22"/>
  <c r="AF40" i="7" s="1"/>
  <c r="AE40" i="7"/>
  <c r="X272" i="22"/>
  <c r="AB272" i="22"/>
  <c r="A273" i="22"/>
  <c r="K272" i="22"/>
  <c r="K274" i="18"/>
  <c r="X274" i="18"/>
  <c r="L274" i="18"/>
  <c r="A275" i="18"/>
  <c r="AB274" i="18"/>
  <c r="AJ279" i="1"/>
  <c r="AB279" i="1"/>
  <c r="L279" i="1"/>
  <c r="AK279" i="1"/>
  <c r="X279" i="1"/>
  <c r="A280" i="1"/>
  <c r="K279" i="1"/>
  <c r="L269" i="25"/>
  <c r="X269" i="25"/>
  <c r="K269" i="25"/>
  <c r="AB269" i="25"/>
  <c r="A270" i="25"/>
  <c r="L271" i="23"/>
  <c r="AB271" i="23"/>
  <c r="K271" i="23"/>
  <c r="X271" i="23"/>
  <c r="A272" i="23"/>
  <c r="L276" i="16"/>
  <c r="AB276" i="16"/>
  <c r="K276" i="16"/>
  <c r="X276" i="16"/>
  <c r="A277" i="16"/>
  <c r="I276" i="1"/>
  <c r="D276" i="16"/>
  <c r="L272" i="23"/>
  <c r="X272" i="23"/>
  <c r="AE52" i="7"/>
  <c r="AB272" i="23"/>
  <c r="K272" i="23"/>
  <c r="A273" i="23"/>
  <c r="AB270" i="25"/>
  <c r="L270" i="25"/>
  <c r="A271" i="25"/>
  <c r="K270" i="25"/>
  <c r="X270" i="25"/>
  <c r="AJ280" i="1"/>
  <c r="K280" i="1"/>
  <c r="AK280" i="1"/>
  <c r="A281" i="1"/>
  <c r="L280" i="1"/>
  <c r="X280" i="1"/>
  <c r="AB280" i="1"/>
  <c r="X275" i="18"/>
  <c r="L275" i="18"/>
  <c r="AB275" i="18"/>
  <c r="A276" i="18"/>
  <c r="K275" i="18"/>
  <c r="L271" i="24"/>
  <c r="A272" i="24"/>
  <c r="X271" i="24"/>
  <c r="K271" i="24"/>
  <c r="AB271" i="24"/>
  <c r="K277" i="16"/>
  <c r="A278" i="16"/>
  <c r="L277" i="16"/>
  <c r="D277" i="16" s="1"/>
  <c r="X277" i="16"/>
  <c r="AB277" i="16"/>
  <c r="A274" i="22"/>
  <c r="K273" i="22"/>
  <c r="L273" i="22"/>
  <c r="X273" i="22"/>
  <c r="AB273" i="22"/>
  <c r="X277" i="15"/>
  <c r="L277" i="15"/>
  <c r="D277" i="15" s="1"/>
  <c r="A278" i="15"/>
  <c r="AB277" i="15"/>
  <c r="K277" i="15"/>
  <c r="A275" i="20"/>
  <c r="K274" i="20"/>
  <c r="L274" i="20"/>
  <c r="AB274" i="20"/>
  <c r="X274" i="20"/>
  <c r="K277" i="17"/>
  <c r="A278" i="17"/>
  <c r="AB277" i="17"/>
  <c r="X277" i="17"/>
  <c r="L277" i="17"/>
  <c r="D277" i="17" s="1"/>
  <c r="I277" i="1"/>
  <c r="L278" i="17"/>
  <c r="D278" i="17" s="1"/>
  <c r="X278" i="17"/>
  <c r="A279" i="17"/>
  <c r="K278" i="17"/>
  <c r="AB278" i="17"/>
  <c r="K275" i="20"/>
  <c r="L275" i="20"/>
  <c r="A276" i="20"/>
  <c r="AB275" i="20"/>
  <c r="X275" i="20"/>
  <c r="L274" i="22"/>
  <c r="A275" i="22"/>
  <c r="X274" i="22"/>
  <c r="AB274" i="22"/>
  <c r="K274" i="22"/>
  <c r="AE64" i="7"/>
  <c r="A273" i="24"/>
  <c r="AB272" i="24"/>
  <c r="K272" i="24"/>
  <c r="L272" i="24"/>
  <c r="AF64" i="7" s="1"/>
  <c r="X272" i="24"/>
  <c r="L271" i="25"/>
  <c r="X271" i="25"/>
  <c r="AB271" i="25"/>
  <c r="K271" i="25"/>
  <c r="A272" i="25"/>
  <c r="AF52" i="7"/>
  <c r="X278" i="15"/>
  <c r="K278" i="15"/>
  <c r="L278" i="15"/>
  <c r="D278" i="15" s="1"/>
  <c r="A279" i="15"/>
  <c r="AB278" i="15"/>
  <c r="L278" i="16"/>
  <c r="D278" i="16" s="1"/>
  <c r="A279" i="16"/>
  <c r="X278" i="16"/>
  <c r="K278" i="16"/>
  <c r="AB278" i="16"/>
  <c r="L276" i="18"/>
  <c r="A277" i="18"/>
  <c r="K276" i="18"/>
  <c r="AB276" i="18"/>
  <c r="X276" i="18"/>
  <c r="AK281" i="1"/>
  <c r="AB281" i="1"/>
  <c r="L281" i="1"/>
  <c r="AJ281" i="1"/>
  <c r="A282" i="1"/>
  <c r="X281" i="1"/>
  <c r="K281" i="1"/>
  <c r="L273" i="23"/>
  <c r="X273" i="23"/>
  <c r="AB273" i="23"/>
  <c r="A274" i="23"/>
  <c r="K273" i="23"/>
  <c r="K274" i="23"/>
  <c r="L274" i="23"/>
  <c r="X274" i="23"/>
  <c r="AB274" i="23"/>
  <c r="A275" i="23"/>
  <c r="X277" i="18"/>
  <c r="L277" i="18"/>
  <c r="AB277" i="18"/>
  <c r="K277" i="18"/>
  <c r="A278" i="18"/>
  <c r="A280" i="15"/>
  <c r="X279" i="15"/>
  <c r="L279" i="15"/>
  <c r="D279" i="15" s="1"/>
  <c r="AB279" i="15"/>
  <c r="K279" i="15"/>
  <c r="AE76" i="7"/>
  <c r="AB272" i="25"/>
  <c r="X272" i="25"/>
  <c r="A273" i="25"/>
  <c r="L272" i="25"/>
  <c r="AF76" i="7" s="1"/>
  <c r="K272" i="25"/>
  <c r="L276" i="20"/>
  <c r="AB276" i="20"/>
  <c r="X276" i="20"/>
  <c r="A277" i="20"/>
  <c r="K276" i="20"/>
  <c r="AB279" i="17"/>
  <c r="L279" i="17"/>
  <c r="D279" i="17" s="1"/>
  <c r="X279" i="17"/>
  <c r="A280" i="17"/>
  <c r="K279" i="17"/>
  <c r="A283" i="1"/>
  <c r="AB282" i="1"/>
  <c r="L282" i="1"/>
  <c r="AJ282" i="1"/>
  <c r="X282" i="1"/>
  <c r="AK282" i="1"/>
  <c r="K282" i="1"/>
  <c r="I278" i="1"/>
  <c r="AB279" i="16"/>
  <c r="K279" i="16"/>
  <c r="A280" i="16"/>
  <c r="L279" i="16"/>
  <c r="D279" i="16" s="1"/>
  <c r="X279" i="16"/>
  <c r="X273" i="24"/>
  <c r="A274" i="24"/>
  <c r="AB273" i="24"/>
  <c r="L273" i="24"/>
  <c r="K273" i="24"/>
  <c r="AB275" i="22"/>
  <c r="X275" i="22"/>
  <c r="L275" i="22"/>
  <c r="K275" i="22"/>
  <c r="A276" i="22"/>
  <c r="A275" i="24"/>
  <c r="AB274" i="24"/>
  <c r="K274" i="24"/>
  <c r="X274" i="24"/>
  <c r="L274" i="24"/>
  <c r="AB283" i="1"/>
  <c r="AK283" i="1"/>
  <c r="L283" i="1"/>
  <c r="K283" i="1"/>
  <c r="X283" i="1"/>
  <c r="A284" i="1"/>
  <c r="AJ283" i="1"/>
  <c r="X280" i="17"/>
  <c r="AB280" i="17"/>
  <c r="A281" i="17"/>
  <c r="L280" i="17"/>
  <c r="D280" i="17" s="1"/>
  <c r="K280" i="17"/>
  <c r="X273" i="25"/>
  <c r="AB273" i="25"/>
  <c r="A274" i="25"/>
  <c r="L273" i="25"/>
  <c r="K273" i="25"/>
  <c r="K280" i="15"/>
  <c r="AB280" i="15"/>
  <c r="L280" i="15"/>
  <c r="D280" i="15" s="1"/>
  <c r="X280" i="15"/>
  <c r="A281" i="15"/>
  <c r="I279" i="1"/>
  <c r="K276" i="22"/>
  <c r="AB276" i="22"/>
  <c r="L276" i="22"/>
  <c r="X276" i="22"/>
  <c r="A277" i="22"/>
  <c r="K280" i="16"/>
  <c r="A281" i="16"/>
  <c r="L280" i="16"/>
  <c r="X280" i="16"/>
  <c r="AB280" i="16"/>
  <c r="X277" i="20"/>
  <c r="AB277" i="20"/>
  <c r="L277" i="20"/>
  <c r="A278" i="20"/>
  <c r="K277" i="20"/>
  <c r="AB278" i="18"/>
  <c r="L278" i="18"/>
  <c r="X278" i="18"/>
  <c r="K278" i="18"/>
  <c r="A279" i="18"/>
  <c r="A276" i="23"/>
  <c r="L275" i="23"/>
  <c r="AB275" i="23"/>
  <c r="K275" i="23"/>
  <c r="X275" i="23"/>
  <c r="AB276" i="23"/>
  <c r="X276" i="23"/>
  <c r="L276" i="23"/>
  <c r="K276" i="23"/>
  <c r="A277" i="23"/>
  <c r="L279" i="18"/>
  <c r="X279" i="18"/>
  <c r="A280" i="18"/>
  <c r="AB279" i="18"/>
  <c r="K279" i="18"/>
  <c r="D280" i="16"/>
  <c r="L277" i="22"/>
  <c r="A278" i="22"/>
  <c r="X277" i="22"/>
  <c r="AB277" i="22"/>
  <c r="K277" i="22"/>
  <c r="I280" i="1"/>
  <c r="L281" i="17"/>
  <c r="D281" i="17" s="1"/>
  <c r="A282" i="17"/>
  <c r="X281" i="17"/>
  <c r="AB281" i="17"/>
  <c r="K281" i="17"/>
  <c r="K275" i="24"/>
  <c r="L275" i="24"/>
  <c r="X275" i="24"/>
  <c r="A276" i="24"/>
  <c r="AB275" i="24"/>
  <c r="X278" i="20"/>
  <c r="K278" i="20"/>
  <c r="A279" i="20"/>
  <c r="L278" i="20"/>
  <c r="AB278" i="20"/>
  <c r="X281" i="16"/>
  <c r="L281" i="16"/>
  <c r="D281" i="16" s="1"/>
  <c r="K281" i="16"/>
  <c r="A282" i="16"/>
  <c r="AB281" i="16"/>
  <c r="L281" i="15"/>
  <c r="D281" i="15" s="1"/>
  <c r="A282" i="15"/>
  <c r="K281" i="15"/>
  <c r="X281" i="15"/>
  <c r="AB281" i="15"/>
  <c r="AB274" i="25"/>
  <c r="K274" i="25"/>
  <c r="X274" i="25"/>
  <c r="A275" i="25"/>
  <c r="L274" i="25"/>
  <c r="AJ284" i="1"/>
  <c r="AK284" i="1"/>
  <c r="K284" i="1"/>
  <c r="A285" i="1"/>
  <c r="L284" i="1"/>
  <c r="AB284" i="1"/>
  <c r="X284" i="1"/>
  <c r="X282" i="15"/>
  <c r="A283" i="15"/>
  <c r="L282" i="15"/>
  <c r="K282" i="15"/>
  <c r="AB282" i="15"/>
  <c r="K282" i="17"/>
  <c r="X282" i="17"/>
  <c r="AB282" i="17"/>
  <c r="A283" i="17"/>
  <c r="L282" i="17"/>
  <c r="D282" i="17" s="1"/>
  <c r="K280" i="18"/>
  <c r="AB280" i="18"/>
  <c r="X280" i="18"/>
  <c r="A281" i="18"/>
  <c r="L280" i="18"/>
  <c r="I281" i="1"/>
  <c r="X285" i="1"/>
  <c r="AK285" i="1"/>
  <c r="AJ285" i="1"/>
  <c r="A286" i="1"/>
  <c r="L285" i="1"/>
  <c r="AB285" i="1"/>
  <c r="K285" i="1"/>
  <c r="K275" i="25"/>
  <c r="AB275" i="25"/>
  <c r="L275" i="25"/>
  <c r="A276" i="25"/>
  <c r="X275" i="25"/>
  <c r="AB282" i="16"/>
  <c r="L282" i="16"/>
  <c r="D282" i="16" s="1"/>
  <c r="A283" i="16"/>
  <c r="X282" i="16"/>
  <c r="K282" i="16"/>
  <c r="K279" i="20"/>
  <c r="X279" i="20"/>
  <c r="AB279" i="20"/>
  <c r="L279" i="20"/>
  <c r="A280" i="20"/>
  <c r="L276" i="24"/>
  <c r="K276" i="24"/>
  <c r="A277" i="24"/>
  <c r="X276" i="24"/>
  <c r="AB276" i="24"/>
  <c r="A279" i="22"/>
  <c r="L278" i="22"/>
  <c r="K278" i="22"/>
  <c r="AB278" i="22"/>
  <c r="X278" i="22"/>
  <c r="A278" i="23"/>
  <c r="L277" i="23"/>
  <c r="K277" i="23"/>
  <c r="X277" i="23"/>
  <c r="AB277" i="23"/>
  <c r="AB279" i="22"/>
  <c r="A280" i="22"/>
  <c r="X279" i="22"/>
  <c r="K279" i="22"/>
  <c r="L279" i="22"/>
  <c r="L277" i="24"/>
  <c r="K277" i="24"/>
  <c r="X277" i="24"/>
  <c r="AB277" i="24"/>
  <c r="A278" i="24"/>
  <c r="L280" i="20"/>
  <c r="K280" i="20"/>
  <c r="AB280" i="20"/>
  <c r="A281" i="20"/>
  <c r="X280" i="20"/>
  <c r="AB283" i="16"/>
  <c r="L283" i="16"/>
  <c r="D283" i="16" s="1"/>
  <c r="A284" i="16"/>
  <c r="K283" i="16"/>
  <c r="X283" i="16"/>
  <c r="L276" i="25"/>
  <c r="K276" i="25"/>
  <c r="A277" i="25"/>
  <c r="X276" i="25"/>
  <c r="AB276" i="25"/>
  <c r="X283" i="15"/>
  <c r="A284" i="15"/>
  <c r="K283" i="15"/>
  <c r="L283" i="15"/>
  <c r="AB283" i="15"/>
  <c r="X278" i="23"/>
  <c r="K278" i="23"/>
  <c r="L278" i="23"/>
  <c r="AB278" i="23"/>
  <c r="A279" i="23"/>
  <c r="A287" i="1"/>
  <c r="X286" i="1"/>
  <c r="L286" i="1"/>
  <c r="AK286" i="1"/>
  <c r="AJ286" i="1"/>
  <c r="AB286" i="1"/>
  <c r="K286" i="1"/>
  <c r="K281" i="18"/>
  <c r="L281" i="18"/>
  <c r="A282" i="18"/>
  <c r="X281" i="18"/>
  <c r="AB281" i="18"/>
  <c r="AB283" i="17"/>
  <c r="L283" i="17"/>
  <c r="D283" i="17" s="1"/>
  <c r="K283" i="17"/>
  <c r="A284" i="17"/>
  <c r="X283" i="17"/>
  <c r="I282" i="1"/>
  <c r="D282" i="15"/>
  <c r="I283" i="1"/>
  <c r="A288" i="1"/>
  <c r="AB287" i="1"/>
  <c r="X287" i="1"/>
  <c r="L287" i="1"/>
  <c r="AK287" i="1"/>
  <c r="AJ287" i="1"/>
  <c r="K287" i="1"/>
  <c r="D283" i="15"/>
  <c r="X284" i="15"/>
  <c r="AB284" i="15"/>
  <c r="K284" i="15"/>
  <c r="L284" i="15"/>
  <c r="D284" i="15" s="1"/>
  <c r="A285" i="15"/>
  <c r="X277" i="25"/>
  <c r="K277" i="25"/>
  <c r="L277" i="25"/>
  <c r="AB277" i="25"/>
  <c r="A278" i="25"/>
  <c r="A285" i="16"/>
  <c r="AB284" i="16"/>
  <c r="L284" i="16"/>
  <c r="X284" i="16"/>
  <c r="K284" i="16"/>
  <c r="L284" i="17"/>
  <c r="D284" i="17" s="1"/>
  <c r="X284" i="17"/>
  <c r="A285" i="17"/>
  <c r="AB284" i="17"/>
  <c r="K284" i="17"/>
  <c r="AB282" i="18"/>
  <c r="X282" i="18"/>
  <c r="K282" i="18"/>
  <c r="A283" i="18"/>
  <c r="L282" i="18"/>
  <c r="L279" i="23"/>
  <c r="X279" i="23"/>
  <c r="K279" i="23"/>
  <c r="A280" i="23"/>
  <c r="AB279" i="23"/>
  <c r="A282" i="20"/>
  <c r="AB281" i="20"/>
  <c r="X281" i="20"/>
  <c r="L281" i="20"/>
  <c r="K281" i="20"/>
  <c r="X278" i="24"/>
  <c r="L278" i="24"/>
  <c r="K278" i="24"/>
  <c r="AB278" i="24"/>
  <c r="A279" i="24"/>
  <c r="X280" i="22"/>
  <c r="A281" i="22"/>
  <c r="K280" i="22"/>
  <c r="AB280" i="22"/>
  <c r="L280" i="22"/>
  <c r="AB280" i="23"/>
  <c r="X280" i="23"/>
  <c r="K280" i="23"/>
  <c r="L280" i="23"/>
  <c r="A281" i="23"/>
  <c r="L283" i="18"/>
  <c r="X283" i="18"/>
  <c r="AB283" i="18"/>
  <c r="A284" i="18"/>
  <c r="K283" i="18"/>
  <c r="X285" i="17"/>
  <c r="A286" i="17"/>
  <c r="L285" i="17"/>
  <c r="D285" i="17" s="1"/>
  <c r="K285" i="17"/>
  <c r="AB285" i="17"/>
  <c r="AB278" i="25"/>
  <c r="K278" i="25"/>
  <c r="A279" i="25"/>
  <c r="X278" i="25"/>
  <c r="L278" i="25"/>
  <c r="L285" i="15"/>
  <c r="D285" i="15" s="1"/>
  <c r="AB285" i="15"/>
  <c r="K285" i="15"/>
  <c r="A286" i="15"/>
  <c r="X285" i="15"/>
  <c r="I284" i="1"/>
  <c r="AB279" i="24"/>
  <c r="X279" i="24"/>
  <c r="A280" i="24"/>
  <c r="L279" i="24"/>
  <c r="K279" i="24"/>
  <c r="AB281" i="22"/>
  <c r="A282" i="22"/>
  <c r="L281" i="22"/>
  <c r="X281" i="22"/>
  <c r="K281" i="22"/>
  <c r="K282" i="20"/>
  <c r="L282" i="20"/>
  <c r="A283" i="20"/>
  <c r="X282" i="20"/>
  <c r="AB282" i="20"/>
  <c r="D284" i="16"/>
  <c r="AB285" i="16"/>
  <c r="K285" i="16"/>
  <c r="L285" i="16"/>
  <c r="X285" i="16"/>
  <c r="A286" i="16"/>
  <c r="A289" i="1"/>
  <c r="L288" i="1"/>
  <c r="D288" i="1" s="1"/>
  <c r="AJ288" i="1"/>
  <c r="X288" i="1"/>
  <c r="AB288" i="1"/>
  <c r="AK288" i="1"/>
  <c r="K288" i="1"/>
  <c r="I285" i="1"/>
  <c r="A290" i="1"/>
  <c r="L289" i="1"/>
  <c r="D289" i="1" s="1"/>
  <c r="X289" i="1"/>
  <c r="K289" i="1"/>
  <c r="AK289" i="1"/>
  <c r="AB289" i="1"/>
  <c r="AJ289" i="1"/>
  <c r="D285" i="16"/>
  <c r="K283" i="20"/>
  <c r="AB283" i="20"/>
  <c r="L283" i="20"/>
  <c r="A284" i="20"/>
  <c r="X283" i="20"/>
  <c r="A281" i="24"/>
  <c r="X280" i="24"/>
  <c r="AB280" i="24"/>
  <c r="K280" i="24"/>
  <c r="L280" i="24"/>
  <c r="X286" i="15"/>
  <c r="L286" i="15"/>
  <c r="D286" i="15" s="1"/>
  <c r="K286" i="15"/>
  <c r="AB286" i="15"/>
  <c r="A287" i="15"/>
  <c r="AB279" i="25"/>
  <c r="K279" i="25"/>
  <c r="A280" i="25"/>
  <c r="X279" i="25"/>
  <c r="L279" i="25"/>
  <c r="K286" i="17"/>
  <c r="X286" i="17"/>
  <c r="A287" i="17"/>
  <c r="AB286" i="17"/>
  <c r="L286" i="17"/>
  <c r="D286" i="17" s="1"/>
  <c r="K281" i="23"/>
  <c r="X281" i="23"/>
  <c r="AB281" i="23"/>
  <c r="L281" i="23"/>
  <c r="A282" i="23"/>
  <c r="A287" i="16"/>
  <c r="K286" i="16"/>
  <c r="L286" i="16"/>
  <c r="D286" i="16" s="1"/>
  <c r="AB286" i="16"/>
  <c r="X286" i="16"/>
  <c r="AB282" i="22"/>
  <c r="L282" i="22"/>
  <c r="K282" i="22"/>
  <c r="A283" i="22"/>
  <c r="X282" i="22"/>
  <c r="L284" i="18"/>
  <c r="K284" i="18"/>
  <c r="A285" i="18"/>
  <c r="X284" i="18"/>
  <c r="AB284" i="18"/>
  <c r="I286" i="1"/>
  <c r="X285" i="18"/>
  <c r="A286" i="18"/>
  <c r="K285" i="18"/>
  <c r="L285" i="18"/>
  <c r="AB285" i="18"/>
  <c r="L283" i="22"/>
  <c r="X283" i="22"/>
  <c r="AB283" i="22"/>
  <c r="K283" i="22"/>
  <c r="A284" i="22"/>
  <c r="X287" i="15"/>
  <c r="L287" i="15"/>
  <c r="D287" i="15" s="1"/>
  <c r="AB287" i="15"/>
  <c r="K287" i="15"/>
  <c r="A288" i="15"/>
  <c r="A291" i="1"/>
  <c r="X290" i="1"/>
  <c r="AB290" i="1"/>
  <c r="AJ290" i="1"/>
  <c r="K290" i="1"/>
  <c r="L290" i="1"/>
  <c r="D290" i="1" s="1"/>
  <c r="AK290" i="1"/>
  <c r="X287" i="16"/>
  <c r="K287" i="16"/>
  <c r="AB287" i="16"/>
  <c r="L287" i="16"/>
  <c r="D287" i="16" s="1"/>
  <c r="A288" i="16"/>
  <c r="L282" i="23"/>
  <c r="A283" i="23"/>
  <c r="K282" i="23"/>
  <c r="AB282" i="23"/>
  <c r="X282" i="23"/>
  <c r="L287" i="17"/>
  <c r="D287" i="17" s="1"/>
  <c r="K287" i="17"/>
  <c r="X287" i="17"/>
  <c r="A288" i="17"/>
  <c r="AB287" i="17"/>
  <c r="L280" i="25"/>
  <c r="A281" i="25"/>
  <c r="AB280" i="25"/>
  <c r="X280" i="25"/>
  <c r="K280" i="25"/>
  <c r="X281" i="24"/>
  <c r="K281" i="24"/>
  <c r="AB281" i="24"/>
  <c r="L281" i="24"/>
  <c r="A282" i="24"/>
  <c r="X284" i="20"/>
  <c r="AB284" i="20"/>
  <c r="A285" i="20"/>
  <c r="K284" i="20"/>
  <c r="L284" i="20"/>
  <c r="X285" i="20"/>
  <c r="K285" i="20"/>
  <c r="A286" i="20"/>
  <c r="AB285" i="20"/>
  <c r="L285" i="20"/>
  <c r="X283" i="23"/>
  <c r="AB283" i="23"/>
  <c r="K283" i="23"/>
  <c r="A284" i="23"/>
  <c r="L283" i="23"/>
  <c r="X288" i="16"/>
  <c r="K288" i="16"/>
  <c r="L288" i="16"/>
  <c r="D288" i="16" s="1"/>
  <c r="A289" i="16"/>
  <c r="AB288" i="16"/>
  <c r="A292" i="1"/>
  <c r="AB291" i="1"/>
  <c r="AJ291" i="1"/>
  <c r="K291" i="1"/>
  <c r="AK291" i="1"/>
  <c r="X291" i="1"/>
  <c r="L291" i="1"/>
  <c r="D291" i="1" s="1"/>
  <c r="K288" i="15"/>
  <c r="X288" i="15"/>
  <c r="L288" i="15"/>
  <c r="D288" i="15" s="1"/>
  <c r="AB288" i="15"/>
  <c r="A289" i="15"/>
  <c r="L282" i="24"/>
  <c r="K282" i="24"/>
  <c r="AB282" i="24"/>
  <c r="A283" i="24"/>
  <c r="X282" i="24"/>
  <c r="X281" i="25"/>
  <c r="L281" i="25"/>
  <c r="AB281" i="25"/>
  <c r="A282" i="25"/>
  <c r="K281" i="25"/>
  <c r="K288" i="17"/>
  <c r="L288" i="17"/>
  <c r="D288" i="17" s="1"/>
  <c r="AB288" i="17"/>
  <c r="X288" i="17"/>
  <c r="A289" i="17"/>
  <c r="I287" i="1"/>
  <c r="L284" i="22"/>
  <c r="K284" i="22"/>
  <c r="X284" i="22"/>
  <c r="A285" i="22"/>
  <c r="AB284" i="22"/>
  <c r="L286" i="18"/>
  <c r="K286" i="18"/>
  <c r="A287" i="18"/>
  <c r="AB286" i="18"/>
  <c r="X286" i="18"/>
  <c r="A284" i="24"/>
  <c r="X283" i="24"/>
  <c r="K283" i="24"/>
  <c r="L283" i="24"/>
  <c r="AB283" i="24"/>
  <c r="L287" i="18"/>
  <c r="X287" i="18"/>
  <c r="K287" i="18"/>
  <c r="AB287" i="18"/>
  <c r="A288" i="18"/>
  <c r="K285" i="22"/>
  <c r="X285" i="22"/>
  <c r="L285" i="22"/>
  <c r="AB285" i="22"/>
  <c r="A286" i="22"/>
  <c r="K289" i="17"/>
  <c r="X289" i="17"/>
  <c r="AB289" i="17"/>
  <c r="A290" i="17"/>
  <c r="L289" i="17"/>
  <c r="X282" i="25"/>
  <c r="K282" i="25"/>
  <c r="AB282" i="25"/>
  <c r="A283" i="25"/>
  <c r="L282" i="25"/>
  <c r="AB289" i="15"/>
  <c r="L289" i="15"/>
  <c r="D289" i="15" s="1"/>
  <c r="A290" i="15"/>
  <c r="X289" i="15"/>
  <c r="K289" i="15"/>
  <c r="K292" i="1"/>
  <c r="AB292" i="1"/>
  <c r="X292" i="1"/>
  <c r="AK292" i="1"/>
  <c r="L292" i="1"/>
  <c r="D292" i="1" s="1"/>
  <c r="AJ292" i="1"/>
  <c r="A293" i="1"/>
  <c r="X289" i="16"/>
  <c r="L289" i="16"/>
  <c r="AB289" i="16"/>
  <c r="A290" i="16"/>
  <c r="K289" i="16"/>
  <c r="A285" i="23"/>
  <c r="K284" i="23"/>
  <c r="L284" i="23"/>
  <c r="X284" i="23"/>
  <c r="AB284" i="23"/>
  <c r="A287" i="20"/>
  <c r="L286" i="20"/>
  <c r="AB286" i="20"/>
  <c r="X286" i="20"/>
  <c r="K286" i="20"/>
  <c r="L287" i="20"/>
  <c r="K287" i="20"/>
  <c r="AB287" i="20"/>
  <c r="A288" i="20"/>
  <c r="X287" i="20"/>
  <c r="K293" i="1"/>
  <c r="AB293" i="1"/>
  <c r="AJ293" i="1"/>
  <c r="A294" i="1"/>
  <c r="X293" i="1"/>
  <c r="L293" i="1"/>
  <c r="D293" i="1" s="1"/>
  <c r="AK293" i="1"/>
  <c r="A291" i="15"/>
  <c r="AB290" i="15"/>
  <c r="K290" i="15"/>
  <c r="L290" i="15"/>
  <c r="D290" i="15" s="1"/>
  <c r="X290" i="15"/>
  <c r="D289" i="17"/>
  <c r="X290" i="17"/>
  <c r="A291" i="17"/>
  <c r="AB290" i="17"/>
  <c r="L290" i="17"/>
  <c r="D290" i="17" s="1"/>
  <c r="K290" i="17"/>
  <c r="A287" i="22"/>
  <c r="K286" i="22"/>
  <c r="X286" i="22"/>
  <c r="L286" i="22"/>
  <c r="AB286" i="22"/>
  <c r="L288" i="18"/>
  <c r="K288" i="18"/>
  <c r="A289" i="18"/>
  <c r="X288" i="18"/>
  <c r="AB288" i="18"/>
  <c r="X284" i="24"/>
  <c r="K284" i="24"/>
  <c r="L284" i="24"/>
  <c r="A285" i="24"/>
  <c r="AB284" i="24"/>
  <c r="K285" i="23"/>
  <c r="AB285" i="23"/>
  <c r="L285" i="23"/>
  <c r="X285" i="23"/>
  <c r="A286" i="23"/>
  <c r="X290" i="16"/>
  <c r="K290" i="16"/>
  <c r="AB290" i="16"/>
  <c r="A291" i="16"/>
  <c r="L290" i="16"/>
  <c r="D290" i="16" s="1"/>
  <c r="D289" i="16"/>
  <c r="A284" i="25"/>
  <c r="AB283" i="25"/>
  <c r="X283" i="25"/>
  <c r="K283" i="25"/>
  <c r="L283" i="25"/>
  <c r="A292" i="16"/>
  <c r="AB291" i="16"/>
  <c r="X291" i="16"/>
  <c r="K291" i="16"/>
  <c r="L291" i="16"/>
  <c r="D291" i="16" s="1"/>
  <c r="A286" i="24"/>
  <c r="X285" i="24"/>
  <c r="L285" i="24"/>
  <c r="K285" i="24"/>
  <c r="AB285" i="24"/>
  <c r="L289" i="18"/>
  <c r="K289" i="18"/>
  <c r="X289" i="18"/>
  <c r="A290" i="18"/>
  <c r="AB289" i="18"/>
  <c r="L291" i="15"/>
  <c r="D291" i="15" s="1"/>
  <c r="K291" i="15"/>
  <c r="X291" i="15"/>
  <c r="A292" i="15"/>
  <c r="AB291" i="15"/>
  <c r="A295" i="1"/>
  <c r="K294" i="1"/>
  <c r="L294" i="1"/>
  <c r="D294" i="1" s="1"/>
  <c r="AK294" i="1"/>
  <c r="AB294" i="1"/>
  <c r="X294" i="1"/>
  <c r="AJ294" i="1"/>
  <c r="A285" i="25"/>
  <c r="L284" i="25"/>
  <c r="K284" i="25"/>
  <c r="X284" i="25"/>
  <c r="AB284" i="25"/>
  <c r="X286" i="23"/>
  <c r="K286" i="23"/>
  <c r="A287" i="23"/>
  <c r="AB286" i="23"/>
  <c r="L286" i="23"/>
  <c r="X287" i="22"/>
  <c r="AB287" i="22"/>
  <c r="L287" i="22"/>
  <c r="K287" i="22"/>
  <c r="A288" i="22"/>
  <c r="X291" i="17"/>
  <c r="K291" i="17"/>
  <c r="A292" i="17"/>
  <c r="AB291" i="17"/>
  <c r="L291" i="17"/>
  <c r="D291" i="17" s="1"/>
  <c r="X288" i="20"/>
  <c r="K288" i="20"/>
  <c r="L288" i="20"/>
  <c r="AB288" i="20"/>
  <c r="A289" i="20"/>
  <c r="AB292" i="17"/>
  <c r="A293" i="17"/>
  <c r="L292" i="17"/>
  <c r="D292" i="17" s="1"/>
  <c r="K292" i="17"/>
  <c r="X292" i="17"/>
  <c r="AB288" i="22"/>
  <c r="K288" i="22"/>
  <c r="L288" i="22"/>
  <c r="X288" i="22"/>
  <c r="A289" i="22"/>
  <c r="AB287" i="23"/>
  <c r="X287" i="23"/>
  <c r="L287" i="23"/>
  <c r="K287" i="23"/>
  <c r="A288" i="23"/>
  <c r="A296" i="1"/>
  <c r="AB295" i="1"/>
  <c r="K295" i="1"/>
  <c r="X295" i="1"/>
  <c r="L295" i="1"/>
  <c r="D295" i="1" s="1"/>
  <c r="AJ295" i="1"/>
  <c r="AK295" i="1"/>
  <c r="X292" i="15"/>
  <c r="L292" i="15"/>
  <c r="D292" i="15" s="1"/>
  <c r="K292" i="15"/>
  <c r="A293" i="15"/>
  <c r="AB292" i="15"/>
  <c r="K290" i="18"/>
  <c r="AB290" i="18"/>
  <c r="A291" i="18"/>
  <c r="L290" i="18"/>
  <c r="X290" i="18"/>
  <c r="A290" i="20"/>
  <c r="K289" i="20"/>
  <c r="L289" i="20"/>
  <c r="X289" i="20"/>
  <c r="AB289" i="20"/>
  <c r="A286" i="25"/>
  <c r="L285" i="25"/>
  <c r="K285" i="25"/>
  <c r="X285" i="25"/>
  <c r="AB285" i="25"/>
  <c r="L286" i="24"/>
  <c r="K286" i="24"/>
  <c r="A287" i="24"/>
  <c r="X286" i="24"/>
  <c r="AB286" i="24"/>
  <c r="A293" i="16"/>
  <c r="K292" i="16"/>
  <c r="AB292" i="16"/>
  <c r="L292" i="16"/>
  <c r="D292" i="16" s="1"/>
  <c r="X292" i="16"/>
  <c r="L293" i="16"/>
  <c r="D293" i="16" s="1"/>
  <c r="X293" i="16"/>
  <c r="A294" i="16"/>
  <c r="AB293" i="16"/>
  <c r="K293" i="16"/>
  <c r="AB290" i="20"/>
  <c r="X290" i="20"/>
  <c r="L290" i="20"/>
  <c r="A291" i="20"/>
  <c r="K290" i="20"/>
  <c r="K288" i="23"/>
  <c r="L288" i="23"/>
  <c r="X288" i="23"/>
  <c r="AB288" i="23"/>
  <c r="A289" i="23"/>
  <c r="A288" i="24"/>
  <c r="AB287" i="24"/>
  <c r="X287" i="24"/>
  <c r="K287" i="24"/>
  <c r="L287" i="24"/>
  <c r="X286" i="25"/>
  <c r="A287" i="25"/>
  <c r="L286" i="25"/>
  <c r="K286" i="25"/>
  <c r="AB286" i="25"/>
  <c r="L291" i="18"/>
  <c r="X291" i="18"/>
  <c r="A292" i="18"/>
  <c r="K291" i="18"/>
  <c r="AB291" i="18"/>
  <c r="L293" i="15"/>
  <c r="D293" i="15" s="1"/>
  <c r="AB293" i="15"/>
  <c r="X293" i="15"/>
  <c r="A294" i="15"/>
  <c r="K293" i="15"/>
  <c r="A297" i="1"/>
  <c r="K296" i="1"/>
  <c r="L296" i="1"/>
  <c r="D296" i="1" s="1"/>
  <c r="AK296" i="1"/>
  <c r="AJ296" i="1"/>
  <c r="AB296" i="1"/>
  <c r="X296" i="1"/>
  <c r="X289" i="22"/>
  <c r="K289" i="22"/>
  <c r="A290" i="22"/>
  <c r="L289" i="22"/>
  <c r="AB289" i="22"/>
  <c r="K293" i="17"/>
  <c r="AB293" i="17"/>
  <c r="X293" i="17"/>
  <c r="A294" i="17"/>
  <c r="L293" i="17"/>
  <c r="D293" i="17" s="1"/>
  <c r="X294" i="17"/>
  <c r="AB294" i="17"/>
  <c r="L294" i="17"/>
  <c r="D294" i="17" s="1"/>
  <c r="A295" i="17"/>
  <c r="K294" i="17"/>
  <c r="L290" i="22"/>
  <c r="A291" i="22"/>
  <c r="AB290" i="22"/>
  <c r="K290" i="22"/>
  <c r="X290" i="22"/>
  <c r="L288" i="24"/>
  <c r="K288" i="24"/>
  <c r="A289" i="24"/>
  <c r="X288" i="24"/>
  <c r="AB288" i="24"/>
  <c r="AB289" i="23"/>
  <c r="L289" i="23"/>
  <c r="K289" i="23"/>
  <c r="X289" i="23"/>
  <c r="A290" i="23"/>
  <c r="AB291" i="20"/>
  <c r="X291" i="20"/>
  <c r="L291" i="20"/>
  <c r="A292" i="20"/>
  <c r="K291" i="20"/>
  <c r="X294" i="16"/>
  <c r="L294" i="16"/>
  <c r="D294" i="16" s="1"/>
  <c r="AB294" i="16"/>
  <c r="K294" i="16"/>
  <c r="A295" i="16"/>
  <c r="AK297" i="1"/>
  <c r="K297" i="1"/>
  <c r="AB297" i="1"/>
  <c r="A298" i="1"/>
  <c r="AJ297" i="1"/>
  <c r="X297" i="1"/>
  <c r="L297" i="1"/>
  <c r="D297" i="1" s="1"/>
  <c r="X294" i="15"/>
  <c r="AB294" i="15"/>
  <c r="L294" i="15"/>
  <c r="D294" i="15" s="1"/>
  <c r="A295" i="15"/>
  <c r="K294" i="15"/>
  <c r="A293" i="18"/>
  <c r="L292" i="18"/>
  <c r="K292" i="18"/>
  <c r="X292" i="18"/>
  <c r="AB292" i="18"/>
  <c r="K287" i="25"/>
  <c r="AB287" i="25"/>
  <c r="L287" i="25"/>
  <c r="X287" i="25"/>
  <c r="A288" i="25"/>
  <c r="AB293" i="18"/>
  <c r="K293" i="18"/>
  <c r="L293" i="18"/>
  <c r="X293" i="18"/>
  <c r="A294" i="18"/>
  <c r="A296" i="15"/>
  <c r="K295" i="15"/>
  <c r="L295" i="15"/>
  <c r="D295" i="15" s="1"/>
  <c r="X295" i="15"/>
  <c r="AB295" i="15"/>
  <c r="K295" i="16"/>
  <c r="AB295" i="16"/>
  <c r="L295" i="16"/>
  <c r="D295" i="16" s="1"/>
  <c r="X295" i="16"/>
  <c r="A296" i="16"/>
  <c r="K290" i="23"/>
  <c r="X290" i="23"/>
  <c r="A291" i="23"/>
  <c r="AB290" i="23"/>
  <c r="L290" i="23"/>
  <c r="AB289" i="24"/>
  <c r="X289" i="24"/>
  <c r="L289" i="24"/>
  <c r="A290" i="24"/>
  <c r="K289" i="24"/>
  <c r="AB291" i="22"/>
  <c r="K291" i="22"/>
  <c r="L291" i="22"/>
  <c r="A292" i="22"/>
  <c r="X291" i="22"/>
  <c r="X288" i="25"/>
  <c r="AB288" i="25"/>
  <c r="L288" i="25"/>
  <c r="A289" i="25"/>
  <c r="K288" i="25"/>
  <c r="AK298" i="1"/>
  <c r="K298" i="1"/>
  <c r="X298" i="1"/>
  <c r="AB298" i="1"/>
  <c r="L298" i="1"/>
  <c r="D298" i="1" s="1"/>
  <c r="AJ298" i="1"/>
  <c r="A299" i="1"/>
  <c r="L292" i="20"/>
  <c r="AB292" i="20"/>
  <c r="X292" i="20"/>
  <c r="A293" i="20"/>
  <c r="K292" i="20"/>
  <c r="AB295" i="17"/>
  <c r="L295" i="17"/>
  <c r="D295" i="17" s="1"/>
  <c r="X295" i="17"/>
  <c r="K295" i="17"/>
  <c r="A296" i="17"/>
  <c r="AB290" i="24"/>
  <c r="L290" i="24"/>
  <c r="X290" i="24"/>
  <c r="K290" i="24"/>
  <c r="A291" i="24"/>
  <c r="AB291" i="23"/>
  <c r="K291" i="23"/>
  <c r="L291" i="23"/>
  <c r="X291" i="23"/>
  <c r="A292" i="23"/>
  <c r="A297" i="16"/>
  <c r="X296" i="16"/>
  <c r="L296" i="16"/>
  <c r="D296" i="16" s="1"/>
  <c r="K296" i="16"/>
  <c r="AB296" i="16"/>
  <c r="AB296" i="15"/>
  <c r="X296" i="15"/>
  <c r="A297" i="15"/>
  <c r="K296" i="15"/>
  <c r="L296" i="15"/>
  <c r="D296" i="15" s="1"/>
  <c r="K294" i="18"/>
  <c r="L294" i="18"/>
  <c r="A295" i="18"/>
  <c r="AB294" i="18"/>
  <c r="X294" i="18"/>
  <c r="A297" i="17"/>
  <c r="X296" i="17"/>
  <c r="K296" i="17"/>
  <c r="AB296" i="17"/>
  <c r="L296" i="17"/>
  <c r="D296" i="17" s="1"/>
  <c r="X293" i="20"/>
  <c r="AB293" i="20"/>
  <c r="L293" i="20"/>
  <c r="K293" i="20"/>
  <c r="A294" i="20"/>
  <c r="A300" i="1"/>
  <c r="X299" i="1"/>
  <c r="AB299" i="1"/>
  <c r="AK299" i="1"/>
  <c r="K299" i="1"/>
  <c r="L299" i="1"/>
  <c r="D299" i="1" s="1"/>
  <c r="AJ299" i="1"/>
  <c r="A290" i="25"/>
  <c r="L289" i="25"/>
  <c r="K289" i="25"/>
  <c r="X289" i="25"/>
  <c r="AB289" i="25"/>
  <c r="K292" i="22"/>
  <c r="AB292" i="22"/>
  <c r="A293" i="22"/>
  <c r="X292" i="22"/>
  <c r="L292" i="22"/>
  <c r="A301" i="1"/>
  <c r="K300" i="1"/>
  <c r="L300" i="1"/>
  <c r="D300" i="1" s="1"/>
  <c r="X300" i="1"/>
  <c r="AB300" i="1"/>
  <c r="AK300" i="1"/>
  <c r="AJ300" i="1"/>
  <c r="A298" i="17"/>
  <c r="K297" i="17"/>
  <c r="AB297" i="17"/>
  <c r="L297" i="17"/>
  <c r="D297" i="17" s="1"/>
  <c r="X297" i="17"/>
  <c r="X297" i="15"/>
  <c r="K297" i="15"/>
  <c r="AB297" i="15"/>
  <c r="A298" i="15"/>
  <c r="L297" i="15"/>
  <c r="D297" i="15" s="1"/>
  <c r="L292" i="23"/>
  <c r="X292" i="23"/>
  <c r="AB292" i="23"/>
  <c r="A293" i="23"/>
  <c r="K292" i="23"/>
  <c r="A292" i="24"/>
  <c r="X291" i="24"/>
  <c r="K291" i="24"/>
  <c r="AB291" i="24"/>
  <c r="L291" i="24"/>
  <c r="A294" i="22"/>
  <c r="K293" i="22"/>
  <c r="AB293" i="22"/>
  <c r="X293" i="22"/>
  <c r="L293" i="22"/>
  <c r="K290" i="25"/>
  <c r="X290" i="25"/>
  <c r="A291" i="25"/>
  <c r="L290" i="25"/>
  <c r="AB290" i="25"/>
  <c r="X294" i="20"/>
  <c r="K294" i="20"/>
  <c r="L294" i="20"/>
  <c r="A295" i="20"/>
  <c r="AB294" i="20"/>
  <c r="K295" i="18"/>
  <c r="X295" i="18"/>
  <c r="L295" i="18"/>
  <c r="A296" i="18"/>
  <c r="AB295" i="18"/>
  <c r="X297" i="16"/>
  <c r="L297" i="16"/>
  <c r="D297" i="16" s="1"/>
  <c r="AB297" i="16"/>
  <c r="A298" i="16"/>
  <c r="K297" i="16"/>
  <c r="X298" i="16"/>
  <c r="A299" i="16"/>
  <c r="K298" i="16"/>
  <c r="AB298" i="16"/>
  <c r="L298" i="16"/>
  <c r="D298" i="16" s="1"/>
  <c r="A292" i="25"/>
  <c r="K291" i="25"/>
  <c r="X291" i="25"/>
  <c r="L291" i="25"/>
  <c r="AB291" i="25"/>
  <c r="A294" i="23"/>
  <c r="AB293" i="23"/>
  <c r="K293" i="23"/>
  <c r="L293" i="23"/>
  <c r="X293" i="23"/>
  <c r="A299" i="17"/>
  <c r="AB298" i="17"/>
  <c r="K298" i="17"/>
  <c r="L298" i="17"/>
  <c r="D298" i="17" s="1"/>
  <c r="X298" i="17"/>
  <c r="A297" i="18"/>
  <c r="X296" i="18"/>
  <c r="K296" i="18"/>
  <c r="L296" i="18"/>
  <c r="AB296" i="18"/>
  <c r="AB295" i="20"/>
  <c r="A296" i="20"/>
  <c r="L295" i="20"/>
  <c r="X295" i="20"/>
  <c r="K295" i="20"/>
  <c r="L294" i="22"/>
  <c r="X294" i="22"/>
  <c r="K294" i="22"/>
  <c r="A295" i="22"/>
  <c r="AB294" i="22"/>
  <c r="K292" i="24"/>
  <c r="A293" i="24"/>
  <c r="L292" i="24"/>
  <c r="AB292" i="24"/>
  <c r="X292" i="24"/>
  <c r="X298" i="15"/>
  <c r="A299" i="15"/>
  <c r="L298" i="15"/>
  <c r="D298" i="15" s="1"/>
  <c r="K298" i="15"/>
  <c r="AB298" i="15"/>
  <c r="AJ301" i="1"/>
  <c r="AK301" i="1"/>
  <c r="L301" i="1"/>
  <c r="D301" i="1" s="1"/>
  <c r="X301" i="1"/>
  <c r="AB301" i="1"/>
  <c r="K301" i="1"/>
  <c r="A302" i="1"/>
  <c r="A303" i="1"/>
  <c r="K302" i="1"/>
  <c r="A29" i="7"/>
  <c r="AB302" i="1"/>
  <c r="AK302" i="1"/>
  <c r="L302" i="1"/>
  <c r="D302" i="1" s="1"/>
  <c r="AJ302" i="1"/>
  <c r="X302" i="1"/>
  <c r="A300" i="15"/>
  <c r="X299" i="15"/>
  <c r="AB299" i="15"/>
  <c r="L299" i="15"/>
  <c r="D299" i="15" s="1"/>
  <c r="K299" i="15"/>
  <c r="L293" i="24"/>
  <c r="AB293" i="24"/>
  <c r="K293" i="24"/>
  <c r="X293" i="24"/>
  <c r="A294" i="24"/>
  <c r="X295" i="22"/>
  <c r="L295" i="22"/>
  <c r="K295" i="22"/>
  <c r="A296" i="22"/>
  <c r="AB295" i="22"/>
  <c r="A297" i="20"/>
  <c r="K296" i="20"/>
  <c r="L296" i="20"/>
  <c r="AB296" i="20"/>
  <c r="X296" i="20"/>
  <c r="X297" i="18"/>
  <c r="K297" i="18"/>
  <c r="AB297" i="18"/>
  <c r="A298" i="18"/>
  <c r="L297" i="18"/>
  <c r="A293" i="25"/>
  <c r="L292" i="25"/>
  <c r="X292" i="25"/>
  <c r="AB292" i="25"/>
  <c r="K292" i="25"/>
  <c r="L299" i="17"/>
  <c r="D299" i="17" s="1"/>
  <c r="X299" i="17"/>
  <c r="K299" i="17"/>
  <c r="AB299" i="17"/>
  <c r="A300" i="17"/>
  <c r="AB294" i="23"/>
  <c r="L294" i="23"/>
  <c r="X294" i="23"/>
  <c r="K294" i="23"/>
  <c r="A295" i="23"/>
  <c r="L299" i="16"/>
  <c r="D299" i="16" s="1"/>
  <c r="K299" i="16"/>
  <c r="X299" i="16"/>
  <c r="A300" i="16"/>
  <c r="AB299" i="16"/>
  <c r="AB297" i="20"/>
  <c r="K297" i="20"/>
  <c r="L297" i="20"/>
  <c r="X297" i="20"/>
  <c r="A298" i="20"/>
  <c r="X296" i="22"/>
  <c r="L296" i="22"/>
  <c r="A297" i="22"/>
  <c r="AB296" i="22"/>
  <c r="K296" i="22"/>
  <c r="K300" i="16"/>
  <c r="L300" i="16"/>
  <c r="AB300" i="16"/>
  <c r="X300" i="16"/>
  <c r="A301" i="16"/>
  <c r="A296" i="23"/>
  <c r="AB295" i="23"/>
  <c r="K295" i="23"/>
  <c r="L295" i="23"/>
  <c r="X295" i="23"/>
  <c r="K300" i="17"/>
  <c r="A301" i="17"/>
  <c r="L300" i="17"/>
  <c r="D300" i="17" s="1"/>
  <c r="AB300" i="17"/>
  <c r="X300" i="17"/>
  <c r="A294" i="25"/>
  <c r="X293" i="25"/>
  <c r="L293" i="25"/>
  <c r="K293" i="25"/>
  <c r="AB293" i="25"/>
  <c r="A299" i="18"/>
  <c r="X298" i="18"/>
  <c r="K298" i="18"/>
  <c r="AB298" i="18"/>
  <c r="L298" i="18"/>
  <c r="A295" i="24"/>
  <c r="X294" i="24"/>
  <c r="L294" i="24"/>
  <c r="AB294" i="24"/>
  <c r="K294" i="24"/>
  <c r="A301" i="15"/>
  <c r="K300" i="15"/>
  <c r="AB300" i="15"/>
  <c r="L300" i="15"/>
  <c r="X300" i="15"/>
  <c r="X303" i="1"/>
  <c r="K303" i="1"/>
  <c r="AJ303" i="1"/>
  <c r="AB303" i="1"/>
  <c r="AK303" i="1"/>
  <c r="L303" i="1"/>
  <c r="D303" i="1" s="1"/>
  <c r="A304" i="1"/>
  <c r="AJ304" i="1"/>
  <c r="X304" i="1"/>
  <c r="AB304" i="1"/>
  <c r="K304" i="1"/>
  <c r="AK304" i="1"/>
  <c r="A305" i="1"/>
  <c r="L304" i="1"/>
  <c r="D304" i="1" s="1"/>
  <c r="D300" i="15"/>
  <c r="X295" i="24"/>
  <c r="L295" i="24"/>
  <c r="A296" i="24"/>
  <c r="K295" i="24"/>
  <c r="AB295" i="24"/>
  <c r="A295" i="25"/>
  <c r="X294" i="25"/>
  <c r="L294" i="25"/>
  <c r="K294" i="25"/>
  <c r="AB294" i="25"/>
  <c r="AB301" i="17"/>
  <c r="X301" i="17"/>
  <c r="K301" i="17"/>
  <c r="A302" i="17"/>
  <c r="L301" i="17"/>
  <c r="D301" i="17" s="1"/>
  <c r="K296" i="23"/>
  <c r="A297" i="23"/>
  <c r="AB296" i="23"/>
  <c r="X296" i="23"/>
  <c r="L296" i="23"/>
  <c r="X301" i="16"/>
  <c r="AB301" i="16"/>
  <c r="L301" i="16"/>
  <c r="D301" i="16" s="1"/>
  <c r="A302" i="16"/>
  <c r="K301" i="16"/>
  <c r="D300" i="16"/>
  <c r="X298" i="20"/>
  <c r="AB298" i="20"/>
  <c r="L298" i="20"/>
  <c r="A299" i="20"/>
  <c r="K298" i="20"/>
  <c r="L301" i="15"/>
  <c r="D301" i="15" s="1"/>
  <c r="AB301" i="15"/>
  <c r="K301" i="15"/>
  <c r="A302" i="15"/>
  <c r="X301" i="15"/>
  <c r="A300" i="18"/>
  <c r="K299" i="18"/>
  <c r="X299" i="18"/>
  <c r="L299" i="18"/>
  <c r="AB299" i="18"/>
  <c r="K297" i="22"/>
  <c r="L297" i="22"/>
  <c r="AB297" i="22"/>
  <c r="A298" i="22"/>
  <c r="X297" i="22"/>
  <c r="K298" i="22"/>
  <c r="X298" i="22"/>
  <c r="L298" i="22"/>
  <c r="AB298" i="22"/>
  <c r="A299" i="22"/>
  <c r="K302" i="15"/>
  <c r="L302" i="15"/>
  <c r="B41" i="7" s="1"/>
  <c r="AB302" i="15"/>
  <c r="A303" i="15"/>
  <c r="A41" i="7"/>
  <c r="X302" i="15"/>
  <c r="L302" i="16"/>
  <c r="D302" i="16" s="1"/>
  <c r="X302" i="16"/>
  <c r="K302" i="16"/>
  <c r="AB302" i="16"/>
  <c r="A303" i="16"/>
  <c r="A53" i="7"/>
  <c r="X302" i="17"/>
  <c r="L302" i="17"/>
  <c r="B65" i="7" s="1"/>
  <c r="K302" i="17"/>
  <c r="AB302" i="17"/>
  <c r="A303" i="17"/>
  <c r="A65" i="7"/>
  <c r="K295" i="25"/>
  <c r="L295" i="25"/>
  <c r="AB295" i="25"/>
  <c r="X295" i="25"/>
  <c r="A296" i="25"/>
  <c r="X296" i="24"/>
  <c r="L296" i="24"/>
  <c r="K296" i="24"/>
  <c r="A297" i="24"/>
  <c r="AB296" i="24"/>
  <c r="A301" i="18"/>
  <c r="L300" i="18"/>
  <c r="K300" i="18"/>
  <c r="AB300" i="18"/>
  <c r="X300" i="18"/>
  <c r="L299" i="20"/>
  <c r="X299" i="20"/>
  <c r="A300" i="20"/>
  <c r="AB299" i="20"/>
  <c r="K299" i="20"/>
  <c r="A298" i="23"/>
  <c r="AB297" i="23"/>
  <c r="X297" i="23"/>
  <c r="L297" i="23"/>
  <c r="K297" i="23"/>
  <c r="A306" i="1"/>
  <c r="L305" i="1"/>
  <c r="D305" i="1" s="1"/>
  <c r="K305" i="1"/>
  <c r="AK305" i="1"/>
  <c r="AB305" i="1"/>
  <c r="X305" i="1"/>
  <c r="AJ305" i="1"/>
  <c r="A299" i="23"/>
  <c r="AB298" i="23"/>
  <c r="K298" i="23"/>
  <c r="X298" i="23"/>
  <c r="L298" i="23"/>
  <c r="A297" i="25"/>
  <c r="AB296" i="25"/>
  <c r="L296" i="25"/>
  <c r="K296" i="25"/>
  <c r="X296" i="25"/>
  <c r="L303" i="17"/>
  <c r="D303" i="17" s="1"/>
  <c r="K303" i="17"/>
  <c r="A304" i="17"/>
  <c r="X303" i="17"/>
  <c r="AB303" i="17"/>
  <c r="A304" i="15"/>
  <c r="K303" i="15"/>
  <c r="AB303" i="15"/>
  <c r="L303" i="15"/>
  <c r="D303" i="15" s="1"/>
  <c r="X303" i="15"/>
  <c r="AJ306" i="1"/>
  <c r="AK306" i="1"/>
  <c r="K306" i="1"/>
  <c r="AB306" i="1"/>
  <c r="X306" i="1"/>
  <c r="A307" i="1"/>
  <c r="L306" i="1"/>
  <c r="D306" i="1" s="1"/>
  <c r="K300" i="20"/>
  <c r="L300" i="20"/>
  <c r="A301" i="20"/>
  <c r="X300" i="20"/>
  <c r="AB300" i="20"/>
  <c r="A302" i="18"/>
  <c r="X301" i="18"/>
  <c r="L301" i="18"/>
  <c r="K301" i="18"/>
  <c r="AB301" i="18"/>
  <c r="L297" i="24"/>
  <c r="K297" i="24"/>
  <c r="X297" i="24"/>
  <c r="AB297" i="24"/>
  <c r="A298" i="24"/>
  <c r="A304" i="16"/>
  <c r="K303" i="16"/>
  <c r="L303" i="16"/>
  <c r="D303" i="16" s="1"/>
  <c r="X303" i="16"/>
  <c r="AB303" i="16"/>
  <c r="K299" i="22"/>
  <c r="L299" i="22"/>
  <c r="AB299" i="22"/>
  <c r="X299" i="22"/>
  <c r="A300" i="22"/>
  <c r="L300" i="22"/>
  <c r="K300" i="22"/>
  <c r="A301" i="22"/>
  <c r="X300" i="22"/>
  <c r="AB300" i="22"/>
  <c r="K302" i="18"/>
  <c r="A303" i="18"/>
  <c r="L302" i="18"/>
  <c r="B77" i="7" s="1"/>
  <c r="A77" i="7"/>
  <c r="AB302" i="18"/>
  <c r="X302" i="18"/>
  <c r="L301" i="20"/>
  <c r="AB301" i="20"/>
  <c r="A302" i="20"/>
  <c r="K301" i="20"/>
  <c r="X301" i="20"/>
  <c r="K304" i="15"/>
  <c r="X304" i="15"/>
  <c r="AB304" i="15"/>
  <c r="A305" i="15"/>
  <c r="L304" i="15"/>
  <c r="D304" i="15" s="1"/>
  <c r="K299" i="23"/>
  <c r="X299" i="23"/>
  <c r="L299" i="23"/>
  <c r="A300" i="23"/>
  <c r="AB299" i="23"/>
  <c r="AB304" i="16"/>
  <c r="L304" i="16"/>
  <c r="X304" i="16"/>
  <c r="A305" i="16"/>
  <c r="K304" i="16"/>
  <c r="A299" i="24"/>
  <c r="X298" i="24"/>
  <c r="AB298" i="24"/>
  <c r="K298" i="24"/>
  <c r="L298" i="24"/>
  <c r="A308" i="1"/>
  <c r="AB307" i="1"/>
  <c r="X307" i="1"/>
  <c r="L307" i="1"/>
  <c r="AK307" i="1"/>
  <c r="K307" i="1"/>
  <c r="AJ307" i="1"/>
  <c r="L304" i="17"/>
  <c r="D304" i="17" s="1"/>
  <c r="A305" i="17"/>
  <c r="AB304" i="17"/>
  <c r="X304" i="17"/>
  <c r="K304" i="17"/>
  <c r="K297" i="25"/>
  <c r="X297" i="25"/>
  <c r="AB297" i="25"/>
  <c r="L297" i="25"/>
  <c r="A298" i="25"/>
  <c r="A299" i="25"/>
  <c r="K298" i="25"/>
  <c r="L298" i="25"/>
  <c r="AB298" i="25"/>
  <c r="X298" i="25"/>
  <c r="A306" i="17"/>
  <c r="K305" i="17"/>
  <c r="AB305" i="17"/>
  <c r="X305" i="17"/>
  <c r="L305" i="17"/>
  <c r="D305" i="17" s="1"/>
  <c r="D307" i="1"/>
  <c r="X305" i="16"/>
  <c r="K305" i="16"/>
  <c r="A306" i="16"/>
  <c r="AB305" i="16"/>
  <c r="L305" i="16"/>
  <c r="D305" i="16" s="1"/>
  <c r="D304" i="16"/>
  <c r="L300" i="23"/>
  <c r="AB300" i="23"/>
  <c r="K300" i="23"/>
  <c r="A301" i="23"/>
  <c r="X300" i="23"/>
  <c r="A303" i="20"/>
  <c r="L302" i="20"/>
  <c r="AF29" i="7" s="1"/>
  <c r="K302" i="20"/>
  <c r="AE29" i="7"/>
  <c r="X302" i="20"/>
  <c r="AB302" i="20"/>
  <c r="X308" i="1"/>
  <c r="AJ308" i="1"/>
  <c r="L308" i="1"/>
  <c r="K308" i="1"/>
  <c r="AK308" i="1"/>
  <c r="AB308" i="1"/>
  <c r="A309" i="1"/>
  <c r="AB299" i="24"/>
  <c r="X299" i="24"/>
  <c r="K299" i="24"/>
  <c r="A300" i="24"/>
  <c r="L299" i="24"/>
  <c r="L305" i="15"/>
  <c r="D305" i="15" s="1"/>
  <c r="X305" i="15"/>
  <c r="A306" i="15"/>
  <c r="K305" i="15"/>
  <c r="AB305" i="15"/>
  <c r="A304" i="18"/>
  <c r="K303" i="18"/>
  <c r="L303" i="18"/>
  <c r="X303" i="18"/>
  <c r="AB303" i="18"/>
  <c r="AB301" i="22"/>
  <c r="K301" i="22"/>
  <c r="A302" i="22"/>
  <c r="L301" i="22"/>
  <c r="X301" i="22"/>
  <c r="AB302" i="22"/>
  <c r="AE41" i="7"/>
  <c r="K302" i="22"/>
  <c r="X302" i="22"/>
  <c r="A303" i="22"/>
  <c r="L302" i="22"/>
  <c r="AF41" i="7" s="1"/>
  <c r="K304" i="18"/>
  <c r="A305" i="18"/>
  <c r="AB304" i="18"/>
  <c r="L304" i="18"/>
  <c r="X304" i="18"/>
  <c r="A307" i="15"/>
  <c r="K306" i="15"/>
  <c r="AB306" i="15"/>
  <c r="X306" i="15"/>
  <c r="L306" i="15"/>
  <c r="D306" i="15" s="1"/>
  <c r="AB300" i="24"/>
  <c r="A301" i="24"/>
  <c r="L300" i="24"/>
  <c r="X300" i="24"/>
  <c r="K300" i="24"/>
  <c r="AJ309" i="1"/>
  <c r="AK309" i="1"/>
  <c r="AB309" i="1"/>
  <c r="K309" i="1"/>
  <c r="L309" i="1"/>
  <c r="D309" i="1" s="1"/>
  <c r="X309" i="1"/>
  <c r="A310" i="1"/>
  <c r="AB303" i="20"/>
  <c r="X303" i="20"/>
  <c r="L303" i="20"/>
  <c r="K303" i="20"/>
  <c r="A304" i="20"/>
  <c r="X306" i="16"/>
  <c r="L306" i="16"/>
  <c r="D306" i="16" s="1"/>
  <c r="AB306" i="16"/>
  <c r="K306" i="16"/>
  <c r="A307" i="16"/>
  <c r="A307" i="17"/>
  <c r="AB306" i="17"/>
  <c r="X306" i="17"/>
  <c r="K306" i="17"/>
  <c r="L306" i="17"/>
  <c r="D306" i="17" s="1"/>
  <c r="D308" i="1"/>
  <c r="AB301" i="23"/>
  <c r="X301" i="23"/>
  <c r="K301" i="23"/>
  <c r="L301" i="23"/>
  <c r="A302" i="23"/>
  <c r="AB299" i="25"/>
  <c r="K299" i="25"/>
  <c r="X299" i="25"/>
  <c r="A300" i="25"/>
  <c r="L299" i="25"/>
  <c r="AB304" i="20"/>
  <c r="X304" i="20"/>
  <c r="A305" i="20"/>
  <c r="K304" i="20"/>
  <c r="L304" i="20"/>
  <c r="AB310" i="1"/>
  <c r="AJ310" i="1"/>
  <c r="X310" i="1"/>
  <c r="A311" i="1"/>
  <c r="AK310" i="1"/>
  <c r="K310" i="1"/>
  <c r="L310" i="1"/>
  <c r="D310" i="1" s="1"/>
  <c r="AB301" i="24"/>
  <c r="K301" i="24"/>
  <c r="X301" i="24"/>
  <c r="A302" i="24"/>
  <c r="L301" i="24"/>
  <c r="K307" i="15"/>
  <c r="A308" i="15"/>
  <c r="L307" i="15"/>
  <c r="D307" i="15" s="1"/>
  <c r="AB307" i="15"/>
  <c r="X307" i="15"/>
  <c r="AB305" i="18"/>
  <c r="A306" i="18"/>
  <c r="X305" i="18"/>
  <c r="K305" i="18"/>
  <c r="L305" i="18"/>
  <c r="X303" i="22"/>
  <c r="A304" i="22"/>
  <c r="K303" i="22"/>
  <c r="AB303" i="22"/>
  <c r="L303" i="22"/>
  <c r="X300" i="25"/>
  <c r="A301" i="25"/>
  <c r="K300" i="25"/>
  <c r="L300" i="25"/>
  <c r="AB300" i="25"/>
  <c r="L302" i="23"/>
  <c r="AE53" i="7"/>
  <c r="A303" i="23"/>
  <c r="X302" i="23"/>
  <c r="AB302" i="23"/>
  <c r="K302" i="23"/>
  <c r="AB307" i="17"/>
  <c r="A308" i="17"/>
  <c r="K307" i="17"/>
  <c r="L307" i="17"/>
  <c r="D307" i="17" s="1"/>
  <c r="X307" i="17"/>
  <c r="A308" i="16"/>
  <c r="X307" i="16"/>
  <c r="K307" i="16"/>
  <c r="L307" i="16"/>
  <c r="AB307" i="16"/>
  <c r="AB308" i="17"/>
  <c r="K308" i="17"/>
  <c r="L308" i="17"/>
  <c r="D308" i="17" s="1"/>
  <c r="X308" i="17"/>
  <c r="A309" i="17"/>
  <c r="K303" i="23"/>
  <c r="X303" i="23"/>
  <c r="A304" i="23"/>
  <c r="AB303" i="23"/>
  <c r="L303" i="23"/>
  <c r="AF53" i="7"/>
  <c r="L301" i="25"/>
  <c r="AB301" i="25"/>
  <c r="K301" i="25"/>
  <c r="X301" i="25"/>
  <c r="A302" i="25"/>
  <c r="K304" i="22"/>
  <c r="X304" i="22"/>
  <c r="A305" i="22"/>
  <c r="AB304" i="22"/>
  <c r="L304" i="22"/>
  <c r="X308" i="15"/>
  <c r="L308" i="15"/>
  <c r="D308" i="15" s="1"/>
  <c r="A309" i="15"/>
  <c r="AB308" i="15"/>
  <c r="K308" i="15"/>
  <c r="AB302" i="24"/>
  <c r="AE65" i="7"/>
  <c r="A303" i="24"/>
  <c r="L302" i="24"/>
  <c r="AF65" i="7" s="1"/>
  <c r="X302" i="24"/>
  <c r="K302" i="24"/>
  <c r="AK311" i="1"/>
  <c r="K311" i="1"/>
  <c r="AB311" i="1"/>
  <c r="AJ311" i="1"/>
  <c r="X311" i="1"/>
  <c r="A312" i="1"/>
  <c r="L311" i="1"/>
  <c r="D311" i="1" s="1"/>
  <c r="A306" i="20"/>
  <c r="X305" i="20"/>
  <c r="AB305" i="20"/>
  <c r="L305" i="20"/>
  <c r="K305" i="20"/>
  <c r="D307" i="16"/>
  <c r="A309" i="16"/>
  <c r="L308" i="16"/>
  <c r="D308" i="16" s="1"/>
  <c r="K308" i="16"/>
  <c r="X308" i="16"/>
  <c r="AB308" i="16"/>
  <c r="X306" i="18"/>
  <c r="K306" i="18"/>
  <c r="AB306" i="18"/>
  <c r="A307" i="18"/>
  <c r="L306" i="18"/>
  <c r="X307" i="18"/>
  <c r="A308" i="18"/>
  <c r="K307" i="18"/>
  <c r="AB307" i="18"/>
  <c r="L307" i="18"/>
  <c r="X309" i="16"/>
  <c r="L309" i="16"/>
  <c r="D309" i="16" s="1"/>
  <c r="A310" i="16"/>
  <c r="K309" i="16"/>
  <c r="AB309" i="16"/>
  <c r="L306" i="20"/>
  <c r="X306" i="20"/>
  <c r="K306" i="20"/>
  <c r="AB306" i="20"/>
  <c r="A307" i="20"/>
  <c r="K302" i="25"/>
  <c r="AE77" i="7"/>
  <c r="A303" i="25"/>
  <c r="AB302" i="25"/>
  <c r="L302" i="25"/>
  <c r="AF77" i="7" s="1"/>
  <c r="X302" i="25"/>
  <c r="A313" i="1"/>
  <c r="K312" i="1"/>
  <c r="AB312" i="1"/>
  <c r="AK312" i="1"/>
  <c r="L312" i="1"/>
  <c r="X312" i="1"/>
  <c r="AJ312" i="1"/>
  <c r="X303" i="24"/>
  <c r="A304" i="24"/>
  <c r="K303" i="24"/>
  <c r="AB303" i="24"/>
  <c r="L303" i="24"/>
  <c r="L309" i="15"/>
  <c r="D309" i="15" s="1"/>
  <c r="K309" i="15"/>
  <c r="X309" i="15"/>
  <c r="AB309" i="15"/>
  <c r="A310" i="15"/>
  <c r="A306" i="22"/>
  <c r="K305" i="22"/>
  <c r="L305" i="22"/>
  <c r="X305" i="22"/>
  <c r="AB305" i="22"/>
  <c r="K304" i="23"/>
  <c r="L304" i="23"/>
  <c r="AB304" i="23"/>
  <c r="A305" i="23"/>
  <c r="X304" i="23"/>
  <c r="X309" i="17"/>
  <c r="A310" i="17"/>
  <c r="AB309" i="17"/>
  <c r="L309" i="17"/>
  <c r="D309" i="17" s="1"/>
  <c r="K309" i="17"/>
  <c r="L310" i="17"/>
  <c r="D310" i="17" s="1"/>
  <c r="AB310" i="17"/>
  <c r="K310" i="17"/>
  <c r="X310" i="17"/>
  <c r="A311" i="17"/>
  <c r="AB304" i="24"/>
  <c r="L304" i="24"/>
  <c r="X304" i="24"/>
  <c r="A305" i="24"/>
  <c r="K304" i="24"/>
  <c r="AB307" i="20"/>
  <c r="L307" i="20"/>
  <c r="X307" i="20"/>
  <c r="A308" i="20"/>
  <c r="K307" i="20"/>
  <c r="L310" i="16"/>
  <c r="X310" i="16"/>
  <c r="AB310" i="16"/>
  <c r="A311" i="16"/>
  <c r="K310" i="16"/>
  <c r="K308" i="18"/>
  <c r="AB308" i="18"/>
  <c r="L308" i="18"/>
  <c r="A309" i="18"/>
  <c r="X308" i="18"/>
  <c r="X305" i="23"/>
  <c r="A306" i="23"/>
  <c r="AB305" i="23"/>
  <c r="K305" i="23"/>
  <c r="L305" i="23"/>
  <c r="X306" i="22"/>
  <c r="A307" i="22"/>
  <c r="L306" i="22"/>
  <c r="AB306" i="22"/>
  <c r="K306" i="22"/>
  <c r="AB310" i="15"/>
  <c r="X310" i="15"/>
  <c r="K310" i="15"/>
  <c r="A311" i="15"/>
  <c r="L310" i="15"/>
  <c r="D312" i="1"/>
  <c r="AJ313" i="1"/>
  <c r="X313" i="1"/>
  <c r="AB313" i="1"/>
  <c r="A314" i="1"/>
  <c r="AK313" i="1"/>
  <c r="L313" i="1"/>
  <c r="D313" i="1" s="1"/>
  <c r="K313" i="1"/>
  <c r="AB303" i="25"/>
  <c r="A304" i="25"/>
  <c r="L303" i="25"/>
  <c r="X303" i="25"/>
  <c r="K303" i="25"/>
  <c r="D310" i="15"/>
  <c r="AB311" i="15"/>
  <c r="K311" i="15"/>
  <c r="A312" i="15"/>
  <c r="L311" i="15"/>
  <c r="D311" i="15" s="1"/>
  <c r="X311" i="15"/>
  <c r="A308" i="22"/>
  <c r="AB307" i="22"/>
  <c r="L307" i="22"/>
  <c r="K307" i="22"/>
  <c r="X307" i="22"/>
  <c r="L309" i="18"/>
  <c r="K309" i="18"/>
  <c r="AB309" i="18"/>
  <c r="X309" i="18"/>
  <c r="A310" i="18"/>
  <c r="D310" i="16"/>
  <c r="X304" i="25"/>
  <c r="K304" i="25"/>
  <c r="L304" i="25"/>
  <c r="A305" i="25"/>
  <c r="AB304" i="25"/>
  <c r="A315" i="1"/>
  <c r="AK314" i="1"/>
  <c r="L314" i="1"/>
  <c r="D314" i="1" s="1"/>
  <c r="X314" i="1"/>
  <c r="AJ314" i="1"/>
  <c r="K314" i="1"/>
  <c r="AB314" i="1"/>
  <c r="X306" i="23"/>
  <c r="A307" i="23"/>
  <c r="K306" i="23"/>
  <c r="L306" i="23"/>
  <c r="AB306" i="23"/>
  <c r="K311" i="16"/>
  <c r="L311" i="16"/>
  <c r="A312" i="16"/>
  <c r="AB311" i="16"/>
  <c r="X311" i="16"/>
  <c r="A309" i="20"/>
  <c r="L308" i="20"/>
  <c r="X308" i="20"/>
  <c r="AB308" i="20"/>
  <c r="K308" i="20"/>
  <c r="L305" i="24"/>
  <c r="K305" i="24"/>
  <c r="X305" i="24"/>
  <c r="A306" i="24"/>
  <c r="AB305" i="24"/>
  <c r="A312" i="17"/>
  <c r="AB311" i="17"/>
  <c r="L311" i="17"/>
  <c r="D311" i="17" s="1"/>
  <c r="K311" i="17"/>
  <c r="X311" i="17"/>
  <c r="X312" i="17"/>
  <c r="AB312" i="17"/>
  <c r="A313" i="17"/>
  <c r="K312" i="17"/>
  <c r="L312" i="17"/>
  <c r="D312" i="17" s="1"/>
  <c r="K312" i="16"/>
  <c r="X312" i="16"/>
  <c r="A313" i="16"/>
  <c r="AB312" i="16"/>
  <c r="L312" i="16"/>
  <c r="D312" i="16" s="1"/>
  <c r="A316" i="1"/>
  <c r="K315" i="1"/>
  <c r="X315" i="1"/>
  <c r="L315" i="1"/>
  <c r="AJ315" i="1"/>
  <c r="AK315" i="1"/>
  <c r="AB315" i="1"/>
  <c r="K310" i="18"/>
  <c r="X310" i="18"/>
  <c r="L310" i="18"/>
  <c r="A311" i="18"/>
  <c r="AB310" i="18"/>
  <c r="K308" i="22"/>
  <c r="AB308" i="22"/>
  <c r="X308" i="22"/>
  <c r="L308" i="22"/>
  <c r="A309" i="22"/>
  <c r="AB306" i="24"/>
  <c r="K306" i="24"/>
  <c r="X306" i="24"/>
  <c r="L306" i="24"/>
  <c r="A307" i="24"/>
  <c r="X309" i="20"/>
  <c r="K309" i="20"/>
  <c r="L309" i="20"/>
  <c r="A310" i="20"/>
  <c r="AB309" i="20"/>
  <c r="D311" i="16"/>
  <c r="L307" i="23"/>
  <c r="K307" i="23"/>
  <c r="X307" i="23"/>
  <c r="AB307" i="23"/>
  <c r="A308" i="23"/>
  <c r="X305" i="25"/>
  <c r="K305" i="25"/>
  <c r="L305" i="25"/>
  <c r="A306" i="25"/>
  <c r="AB305" i="25"/>
  <c r="X312" i="15"/>
  <c r="K312" i="15"/>
  <c r="A313" i="15"/>
  <c r="AB312" i="15"/>
  <c r="L312" i="15"/>
  <c r="D312" i="15" s="1"/>
  <c r="L309" i="22"/>
  <c r="X309" i="22"/>
  <c r="A310" i="22"/>
  <c r="AB309" i="22"/>
  <c r="K309" i="22"/>
  <c r="X311" i="18"/>
  <c r="K311" i="18"/>
  <c r="L311" i="18"/>
  <c r="A312" i="18"/>
  <c r="AB311" i="18"/>
  <c r="L316" i="1"/>
  <c r="D316" i="1" s="1"/>
  <c r="AB316" i="1"/>
  <c r="AK316" i="1"/>
  <c r="X316" i="1"/>
  <c r="AJ316" i="1"/>
  <c r="A317" i="1"/>
  <c r="K316" i="1"/>
  <c r="X313" i="15"/>
  <c r="AB313" i="15"/>
  <c r="A314" i="15"/>
  <c r="L313" i="15"/>
  <c r="D313" i="15" s="1"/>
  <c r="K313" i="15"/>
  <c r="K306" i="25"/>
  <c r="L306" i="25"/>
  <c r="AB306" i="25"/>
  <c r="A307" i="25"/>
  <c r="X306" i="25"/>
  <c r="K308" i="23"/>
  <c r="A309" i="23"/>
  <c r="L308" i="23"/>
  <c r="AB308" i="23"/>
  <c r="X308" i="23"/>
  <c r="L310" i="20"/>
  <c r="K310" i="20"/>
  <c r="AB310" i="20"/>
  <c r="A311" i="20"/>
  <c r="X310" i="20"/>
  <c r="AB307" i="24"/>
  <c r="A308" i="24"/>
  <c r="X307" i="24"/>
  <c r="K307" i="24"/>
  <c r="L307" i="24"/>
  <c r="D315" i="1"/>
  <c r="X313" i="16"/>
  <c r="A314" i="16"/>
  <c r="L313" i="16"/>
  <c r="D313" i="16" s="1"/>
  <c r="AB313" i="16"/>
  <c r="K313" i="16"/>
  <c r="K313" i="17"/>
  <c r="X313" i="17"/>
  <c r="AB313" i="17"/>
  <c r="L313" i="17"/>
  <c r="D313" i="17" s="1"/>
  <c r="A314" i="17"/>
  <c r="A315" i="16"/>
  <c r="L314" i="16"/>
  <c r="D314" i="16" s="1"/>
  <c r="K314" i="16"/>
  <c r="X314" i="16"/>
  <c r="AB314" i="16"/>
  <c r="A312" i="20"/>
  <c r="L311" i="20"/>
  <c r="K311" i="20"/>
  <c r="X311" i="20"/>
  <c r="AB311" i="20"/>
  <c r="X307" i="25"/>
  <c r="AB307" i="25"/>
  <c r="K307" i="25"/>
  <c r="A308" i="25"/>
  <c r="L307" i="25"/>
  <c r="A318" i="1"/>
  <c r="X317" i="1"/>
  <c r="AJ317" i="1"/>
  <c r="L317" i="1"/>
  <c r="D317" i="1" s="1"/>
  <c r="AK317" i="1"/>
  <c r="K317" i="1"/>
  <c r="AB317" i="1"/>
  <c r="X310" i="22"/>
  <c r="AB310" i="22"/>
  <c r="A311" i="22"/>
  <c r="L310" i="22"/>
  <c r="K310" i="22"/>
  <c r="L314" i="17"/>
  <c r="D314" i="17" s="1"/>
  <c r="K314" i="17"/>
  <c r="X314" i="17"/>
  <c r="AB314" i="17"/>
  <c r="A315" i="17"/>
  <c r="AB308" i="24"/>
  <c r="X308" i="24"/>
  <c r="K308" i="24"/>
  <c r="L308" i="24"/>
  <c r="A309" i="24"/>
  <c r="X309" i="23"/>
  <c r="K309" i="23"/>
  <c r="AB309" i="23"/>
  <c r="L309" i="23"/>
  <c r="A310" i="23"/>
  <c r="A315" i="15"/>
  <c r="L314" i="15"/>
  <c r="D314" i="15" s="1"/>
  <c r="AB314" i="15"/>
  <c r="K314" i="15"/>
  <c r="X314" i="15"/>
  <c r="AB312" i="18"/>
  <c r="A313" i="18"/>
  <c r="X312" i="18"/>
  <c r="K312" i="18"/>
  <c r="L312" i="18"/>
  <c r="X313" i="18"/>
  <c r="A314" i="18"/>
  <c r="L313" i="18"/>
  <c r="AB313" i="18"/>
  <c r="K313" i="18"/>
  <c r="K310" i="23"/>
  <c r="A311" i="23"/>
  <c r="L310" i="23"/>
  <c r="AB310" i="23"/>
  <c r="X310" i="23"/>
  <c r="L315" i="17"/>
  <c r="D315" i="17" s="1"/>
  <c r="A316" i="17"/>
  <c r="AB315" i="17"/>
  <c r="X315" i="17"/>
  <c r="K315" i="17"/>
  <c r="AB312" i="20"/>
  <c r="A313" i="20"/>
  <c r="X312" i="20"/>
  <c r="K312" i="20"/>
  <c r="L312" i="20"/>
  <c r="K315" i="16"/>
  <c r="X315" i="16"/>
  <c r="L315" i="16"/>
  <c r="D315" i="16" s="1"/>
  <c r="AB315" i="16"/>
  <c r="A316" i="16"/>
  <c r="AB315" i="15"/>
  <c r="A316" i="15"/>
  <c r="K315" i="15"/>
  <c r="X315" i="15"/>
  <c r="L315" i="15"/>
  <c r="D315" i="15" s="1"/>
  <c r="AB309" i="24"/>
  <c r="A310" i="24"/>
  <c r="L309" i="24"/>
  <c r="K309" i="24"/>
  <c r="X309" i="24"/>
  <c r="L311" i="22"/>
  <c r="K311" i="22"/>
  <c r="A312" i="22"/>
  <c r="X311" i="22"/>
  <c r="AB311" i="22"/>
  <c r="AB318" i="1"/>
  <c r="X318" i="1"/>
  <c r="K318" i="1"/>
  <c r="A319" i="1"/>
  <c r="AJ318" i="1"/>
  <c r="L318" i="1"/>
  <c r="D318" i="1" s="1"/>
  <c r="AK318" i="1"/>
  <c r="X308" i="25"/>
  <c r="AB308" i="25"/>
  <c r="A309" i="25"/>
  <c r="L308" i="25"/>
  <c r="K308" i="25"/>
  <c r="X309" i="25"/>
  <c r="A310" i="25"/>
  <c r="AB309" i="25"/>
  <c r="K309" i="25"/>
  <c r="L309" i="25"/>
  <c r="AK319" i="1"/>
  <c r="AJ319" i="1"/>
  <c r="K319" i="1"/>
  <c r="AB319" i="1"/>
  <c r="L319" i="1"/>
  <c r="D319" i="1" s="1"/>
  <c r="A320" i="1"/>
  <c r="X319" i="1"/>
  <c r="A313" i="22"/>
  <c r="K312" i="22"/>
  <c r="AB312" i="22"/>
  <c r="L312" i="22"/>
  <c r="X312" i="22"/>
  <c r="X316" i="16"/>
  <c r="L316" i="16"/>
  <c r="D316" i="16" s="1"/>
  <c r="A317" i="16"/>
  <c r="K316" i="16"/>
  <c r="AB316" i="16"/>
  <c r="X311" i="23"/>
  <c r="AB311" i="23"/>
  <c r="L311" i="23"/>
  <c r="K311" i="23"/>
  <c r="A312" i="23"/>
  <c r="A311" i="24"/>
  <c r="X310" i="24"/>
  <c r="AB310" i="24"/>
  <c r="L310" i="24"/>
  <c r="K310" i="24"/>
  <c r="K316" i="15"/>
  <c r="A317" i="15"/>
  <c r="X316" i="15"/>
  <c r="L316" i="15"/>
  <c r="D316" i="15" s="1"/>
  <c r="AB316" i="15"/>
  <c r="AB313" i="20"/>
  <c r="X313" i="20"/>
  <c r="L313" i="20"/>
  <c r="K313" i="20"/>
  <c r="A314" i="20"/>
  <c r="K316" i="17"/>
  <c r="X316" i="17"/>
  <c r="L316" i="17"/>
  <c r="D316" i="17" s="1"/>
  <c r="A317" i="17"/>
  <c r="AB316" i="17"/>
  <c r="AB314" i="18"/>
  <c r="A315" i="18"/>
  <c r="K314" i="18"/>
  <c r="X314" i="18"/>
  <c r="L314" i="18"/>
  <c r="L317" i="17"/>
  <c r="D317" i="17" s="1"/>
  <c r="X317" i="17"/>
  <c r="AB317" i="17"/>
  <c r="K317" i="17"/>
  <c r="A318" i="17"/>
  <c r="A318" i="15"/>
  <c r="AB317" i="15"/>
  <c r="L317" i="15"/>
  <c r="D317" i="15" s="1"/>
  <c r="X317" i="15"/>
  <c r="K317" i="15"/>
  <c r="A312" i="24"/>
  <c r="L311" i="24"/>
  <c r="X311" i="24"/>
  <c r="AB311" i="24"/>
  <c r="K311" i="24"/>
  <c r="A321" i="1"/>
  <c r="AB320" i="1"/>
  <c r="AK320" i="1"/>
  <c r="K320" i="1"/>
  <c r="AJ320" i="1"/>
  <c r="L320" i="1"/>
  <c r="D320" i="1" s="1"/>
  <c r="X320" i="1"/>
  <c r="L310" i="25"/>
  <c r="A311" i="25"/>
  <c r="AB310" i="25"/>
  <c r="X310" i="25"/>
  <c r="K310" i="25"/>
  <c r="L315" i="18"/>
  <c r="X315" i="18"/>
  <c r="K315" i="18"/>
  <c r="A316" i="18"/>
  <c r="AB315" i="18"/>
  <c r="AB314" i="20"/>
  <c r="A315" i="20"/>
  <c r="K314" i="20"/>
  <c r="X314" i="20"/>
  <c r="L314" i="20"/>
  <c r="AB312" i="23"/>
  <c r="L312" i="23"/>
  <c r="X312" i="23"/>
  <c r="A313" i="23"/>
  <c r="K312" i="23"/>
  <c r="X317" i="16"/>
  <c r="K317" i="16"/>
  <c r="AB317" i="16"/>
  <c r="A318" i="16"/>
  <c r="L317" i="16"/>
  <c r="D317" i="16" s="1"/>
  <c r="X313" i="22"/>
  <c r="L313" i="22"/>
  <c r="K313" i="22"/>
  <c r="A314" i="22"/>
  <c r="AB313" i="22"/>
  <c r="AB314" i="22"/>
  <c r="A315" i="22"/>
  <c r="K314" i="22"/>
  <c r="X314" i="22"/>
  <c r="L314" i="22"/>
  <c r="L318" i="16"/>
  <c r="D318" i="16" s="1"/>
  <c r="K318" i="16"/>
  <c r="X318" i="16"/>
  <c r="AB318" i="16"/>
  <c r="A319" i="16"/>
  <c r="K313" i="23"/>
  <c r="L313" i="23"/>
  <c r="A314" i="23"/>
  <c r="AB313" i="23"/>
  <c r="X313" i="23"/>
  <c r="AB315" i="20"/>
  <c r="L315" i="20"/>
  <c r="X315" i="20"/>
  <c r="A316" i="20"/>
  <c r="K315" i="20"/>
  <c r="L311" i="25"/>
  <c r="A312" i="25"/>
  <c r="AB311" i="25"/>
  <c r="K311" i="25"/>
  <c r="X311" i="25"/>
  <c r="A322" i="1"/>
  <c r="AB321" i="1"/>
  <c r="AK321" i="1"/>
  <c r="L321" i="1"/>
  <c r="D321" i="1" s="1"/>
  <c r="K321" i="1"/>
  <c r="X321" i="1"/>
  <c r="AJ321" i="1"/>
  <c r="K318" i="15"/>
  <c r="L318" i="15"/>
  <c r="D318" i="15" s="1"/>
  <c r="AB318" i="15"/>
  <c r="A319" i="15"/>
  <c r="X318" i="15"/>
  <c r="AB316" i="18"/>
  <c r="L316" i="18"/>
  <c r="X316" i="18"/>
  <c r="A317" i="18"/>
  <c r="K316" i="18"/>
  <c r="K312" i="24"/>
  <c r="X312" i="24"/>
  <c r="A313" i="24"/>
  <c r="L312" i="24"/>
  <c r="AB312" i="24"/>
  <c r="L318" i="17"/>
  <c r="D318" i="17" s="1"/>
  <c r="X318" i="17"/>
  <c r="K318" i="17"/>
  <c r="AB318" i="17"/>
  <c r="A319" i="17"/>
  <c r="K313" i="24"/>
  <c r="L313" i="24"/>
  <c r="A314" i="24"/>
  <c r="X313" i="24"/>
  <c r="AB313" i="24"/>
  <c r="K319" i="15"/>
  <c r="L319" i="15"/>
  <c r="D319" i="15" s="1"/>
  <c r="X319" i="15"/>
  <c r="A320" i="15"/>
  <c r="AB319" i="15"/>
  <c r="A323" i="1"/>
  <c r="X322" i="1"/>
  <c r="AK322" i="1"/>
  <c r="K322" i="1"/>
  <c r="AJ322" i="1"/>
  <c r="AB322" i="1"/>
  <c r="L322" i="1"/>
  <c r="D322" i="1" s="1"/>
  <c r="A313" i="25"/>
  <c r="X312" i="25"/>
  <c r="K312" i="25"/>
  <c r="AB312" i="25"/>
  <c r="L312" i="25"/>
  <c r="L319" i="16"/>
  <c r="D319" i="16" s="1"/>
  <c r="X319" i="16"/>
  <c r="A320" i="16"/>
  <c r="K319" i="16"/>
  <c r="AB319" i="16"/>
  <c r="AB315" i="22"/>
  <c r="A316" i="22"/>
  <c r="X315" i="22"/>
  <c r="L315" i="22"/>
  <c r="K315" i="22"/>
  <c r="X319" i="17"/>
  <c r="A320" i="17"/>
  <c r="L319" i="17"/>
  <c r="D319" i="17" s="1"/>
  <c r="AB319" i="17"/>
  <c r="K319" i="17"/>
  <c r="AB317" i="18"/>
  <c r="L317" i="18"/>
  <c r="K317" i="18"/>
  <c r="X317" i="18"/>
  <c r="A318" i="18"/>
  <c r="X316" i="20"/>
  <c r="L316" i="20"/>
  <c r="A317" i="20"/>
  <c r="AB316" i="20"/>
  <c r="K316" i="20"/>
  <c r="K314" i="23"/>
  <c r="L314" i="23"/>
  <c r="AB314" i="23"/>
  <c r="A315" i="23"/>
  <c r="X314" i="23"/>
  <c r="AB315" i="23"/>
  <c r="A316" i="23"/>
  <c r="X315" i="23"/>
  <c r="L315" i="23"/>
  <c r="K315" i="23"/>
  <c r="K317" i="20"/>
  <c r="X317" i="20"/>
  <c r="L317" i="20"/>
  <c r="A318" i="20"/>
  <c r="AB317" i="20"/>
  <c r="K318" i="18"/>
  <c r="A319" i="18"/>
  <c r="AB318" i="18"/>
  <c r="X318" i="18"/>
  <c r="L318" i="18"/>
  <c r="X320" i="17"/>
  <c r="AB320" i="17"/>
  <c r="K320" i="17"/>
  <c r="A321" i="17"/>
  <c r="L320" i="17"/>
  <c r="D320" i="17" s="1"/>
  <c r="K320" i="16"/>
  <c r="AB320" i="16"/>
  <c r="L320" i="16"/>
  <c r="D320" i="16" s="1"/>
  <c r="A321" i="16"/>
  <c r="X320" i="16"/>
  <c r="A324" i="1"/>
  <c r="K323" i="1"/>
  <c r="L323" i="1"/>
  <c r="D323" i="1" s="1"/>
  <c r="X323" i="1"/>
  <c r="AJ323" i="1"/>
  <c r="AB323" i="1"/>
  <c r="AK323" i="1"/>
  <c r="K316" i="22"/>
  <c r="AB316" i="22"/>
  <c r="A317" i="22"/>
  <c r="L316" i="22"/>
  <c r="X316" i="22"/>
  <c r="A314" i="25"/>
  <c r="K313" i="25"/>
  <c r="L313" i="25"/>
  <c r="AB313" i="25"/>
  <c r="X313" i="25"/>
  <c r="L320" i="15"/>
  <c r="X320" i="15"/>
  <c r="A321" i="15"/>
  <c r="K320" i="15"/>
  <c r="AB320" i="15"/>
  <c r="X314" i="24"/>
  <c r="AB314" i="24"/>
  <c r="K314" i="24"/>
  <c r="A315" i="24"/>
  <c r="L314" i="24"/>
  <c r="AB315" i="24"/>
  <c r="X315" i="24"/>
  <c r="A316" i="24"/>
  <c r="L315" i="24"/>
  <c r="K315" i="24"/>
  <c r="AB321" i="15"/>
  <c r="L321" i="15"/>
  <c r="D321" i="15" s="1"/>
  <c r="X321" i="15"/>
  <c r="K321" i="15"/>
  <c r="A322" i="15"/>
  <c r="AK324" i="1"/>
  <c r="AB324" i="1"/>
  <c r="L324" i="1"/>
  <c r="D324" i="1" s="1"/>
  <c r="AJ324" i="1"/>
  <c r="A325" i="1"/>
  <c r="X324" i="1"/>
  <c r="K324" i="1"/>
  <c r="AB321" i="17"/>
  <c r="A322" i="17"/>
  <c r="L321" i="17"/>
  <c r="K321" i="17"/>
  <c r="X321" i="17"/>
  <c r="A317" i="23"/>
  <c r="AB316" i="23"/>
  <c r="L316" i="23"/>
  <c r="K316" i="23"/>
  <c r="X316" i="23"/>
  <c r="D320" i="15"/>
  <c r="A315" i="25"/>
  <c r="AB314" i="25"/>
  <c r="K314" i="25"/>
  <c r="X314" i="25"/>
  <c r="L314" i="25"/>
  <c r="A318" i="22"/>
  <c r="L317" i="22"/>
  <c r="AB317" i="22"/>
  <c r="K317" i="22"/>
  <c r="X317" i="22"/>
  <c r="AB321" i="16"/>
  <c r="A322" i="16"/>
  <c r="L321" i="16"/>
  <c r="D321" i="16" s="1"/>
  <c r="K321" i="16"/>
  <c r="X321" i="16"/>
  <c r="K319" i="18"/>
  <c r="AB319" i="18"/>
  <c r="A320" i="18"/>
  <c r="X319" i="18"/>
  <c r="L319" i="18"/>
  <c r="X318" i="20"/>
  <c r="L318" i="20"/>
  <c r="A319" i="20"/>
  <c r="AB318" i="20"/>
  <c r="K318" i="20"/>
  <c r="K320" i="18"/>
  <c r="X320" i="18"/>
  <c r="AB320" i="18"/>
  <c r="L320" i="18"/>
  <c r="A321" i="18"/>
  <c r="L315" i="25"/>
  <c r="K315" i="25"/>
  <c r="X315" i="25"/>
  <c r="A316" i="25"/>
  <c r="AB315" i="25"/>
  <c r="D321" i="17"/>
  <c r="A326" i="1"/>
  <c r="X325" i="1"/>
  <c r="AB325" i="1"/>
  <c r="L325" i="1"/>
  <c r="D325" i="1" s="1"/>
  <c r="AK325" i="1"/>
  <c r="K325" i="1"/>
  <c r="AJ325" i="1"/>
  <c r="X322" i="15"/>
  <c r="L322" i="15"/>
  <c r="D322" i="15" s="1"/>
  <c r="A323" i="15"/>
  <c r="K322" i="15"/>
  <c r="AB322" i="15"/>
  <c r="AB319" i="20"/>
  <c r="A320" i="20"/>
  <c r="L319" i="20"/>
  <c r="X319" i="20"/>
  <c r="K319" i="20"/>
  <c r="L322" i="16"/>
  <c r="K322" i="16"/>
  <c r="X322" i="16"/>
  <c r="AB322" i="16"/>
  <c r="A323" i="16"/>
  <c r="X318" i="22"/>
  <c r="L318" i="22"/>
  <c r="AB318" i="22"/>
  <c r="K318" i="22"/>
  <c r="A319" i="22"/>
  <c r="L317" i="23"/>
  <c r="X317" i="23"/>
  <c r="AB317" i="23"/>
  <c r="K317" i="23"/>
  <c r="A318" i="23"/>
  <c r="K322" i="17"/>
  <c r="L322" i="17"/>
  <c r="D322" i="17" s="1"/>
  <c r="AB322" i="17"/>
  <c r="X322" i="17"/>
  <c r="A323" i="17"/>
  <c r="L316" i="24"/>
  <c r="AB316" i="24"/>
  <c r="X316" i="24"/>
  <c r="K316" i="24"/>
  <c r="A317" i="24"/>
  <c r="A318" i="24"/>
  <c r="K317" i="24"/>
  <c r="X317" i="24"/>
  <c r="L317" i="24"/>
  <c r="AB317" i="24"/>
  <c r="X323" i="17"/>
  <c r="L323" i="17"/>
  <c r="D323" i="17" s="1"/>
  <c r="K323" i="17"/>
  <c r="A324" i="17"/>
  <c r="AB323" i="17"/>
  <c r="AB318" i="23"/>
  <c r="A319" i="23"/>
  <c r="K318" i="23"/>
  <c r="L318" i="23"/>
  <c r="X318" i="23"/>
  <c r="L319" i="22"/>
  <c r="A320" i="22"/>
  <c r="AB319" i="22"/>
  <c r="X319" i="22"/>
  <c r="K319" i="22"/>
  <c r="A324" i="16"/>
  <c r="L323" i="16"/>
  <c r="D323" i="16" s="1"/>
  <c r="K323" i="16"/>
  <c r="AB323" i="16"/>
  <c r="X323" i="16"/>
  <c r="D322" i="16"/>
  <c r="AB323" i="15"/>
  <c r="X323" i="15"/>
  <c r="L323" i="15"/>
  <c r="D323" i="15" s="1"/>
  <c r="K323" i="15"/>
  <c r="A324" i="15"/>
  <c r="A327" i="1"/>
  <c r="AB326" i="1"/>
  <c r="AK326" i="1"/>
  <c r="K326" i="1"/>
  <c r="L326" i="1"/>
  <c r="D326" i="1" s="1"/>
  <c r="X326" i="1"/>
  <c r="AJ326" i="1"/>
  <c r="A321" i="20"/>
  <c r="X320" i="20"/>
  <c r="L320" i="20"/>
  <c r="K320" i="20"/>
  <c r="AB320" i="20"/>
  <c r="K316" i="25"/>
  <c r="L316" i="25"/>
  <c r="A317" i="25"/>
  <c r="X316" i="25"/>
  <c r="AB316" i="25"/>
  <c r="A322" i="18"/>
  <c r="K321" i="18"/>
  <c r="L321" i="18"/>
  <c r="AB321" i="18"/>
  <c r="X321" i="18"/>
  <c r="A322" i="20"/>
  <c r="L321" i="20"/>
  <c r="AB321" i="20"/>
  <c r="X321" i="20"/>
  <c r="K321" i="20"/>
  <c r="X324" i="16"/>
  <c r="K324" i="16"/>
  <c r="L324" i="16"/>
  <c r="D324" i="16" s="1"/>
  <c r="AB324" i="16"/>
  <c r="A325" i="16"/>
  <c r="K319" i="23"/>
  <c r="L319" i="23"/>
  <c r="AB319" i="23"/>
  <c r="A320" i="23"/>
  <c r="X319" i="23"/>
  <c r="A319" i="24"/>
  <c r="AB318" i="24"/>
  <c r="K318" i="24"/>
  <c r="X318" i="24"/>
  <c r="L318" i="24"/>
  <c r="L322" i="18"/>
  <c r="X322" i="18"/>
  <c r="K322" i="18"/>
  <c r="AB322" i="18"/>
  <c r="A323" i="18"/>
  <c r="K317" i="25"/>
  <c r="AB317" i="25"/>
  <c r="X317" i="25"/>
  <c r="A318" i="25"/>
  <c r="L317" i="25"/>
  <c r="AK327" i="1"/>
  <c r="X327" i="1"/>
  <c r="AJ327" i="1"/>
  <c r="A328" i="1"/>
  <c r="K327" i="1"/>
  <c r="AB327" i="1"/>
  <c r="L327" i="1"/>
  <c r="D327" i="1" s="1"/>
  <c r="X324" i="15"/>
  <c r="L324" i="15"/>
  <c r="D324" i="15" s="1"/>
  <c r="A325" i="15"/>
  <c r="AB324" i="15"/>
  <c r="K324" i="15"/>
  <c r="AB320" i="22"/>
  <c r="K320" i="22"/>
  <c r="L320" i="22"/>
  <c r="X320" i="22"/>
  <c r="A321" i="22"/>
  <c r="A325" i="17"/>
  <c r="X324" i="17"/>
  <c r="L324" i="17"/>
  <c r="AB324" i="17"/>
  <c r="K324" i="17"/>
  <c r="AB325" i="17"/>
  <c r="A326" i="17"/>
  <c r="K325" i="17"/>
  <c r="X325" i="17"/>
  <c r="L325" i="17"/>
  <c r="D325" i="17" s="1"/>
  <c r="A322" i="22"/>
  <c r="AB321" i="22"/>
  <c r="K321" i="22"/>
  <c r="L321" i="22"/>
  <c r="X321" i="22"/>
  <c r="L325" i="15"/>
  <c r="D325" i="15" s="1"/>
  <c r="K325" i="15"/>
  <c r="A326" i="15"/>
  <c r="AB325" i="15"/>
  <c r="X325" i="15"/>
  <c r="L318" i="25"/>
  <c r="K318" i="25"/>
  <c r="A319" i="25"/>
  <c r="X318" i="25"/>
  <c r="AB318" i="25"/>
  <c r="A324" i="18"/>
  <c r="L323" i="18"/>
  <c r="AB323" i="18"/>
  <c r="X323" i="18"/>
  <c r="K323" i="18"/>
  <c r="AB319" i="24"/>
  <c r="K319" i="24"/>
  <c r="X319" i="24"/>
  <c r="A320" i="24"/>
  <c r="L319" i="24"/>
  <c r="L322" i="20"/>
  <c r="AB322" i="20"/>
  <c r="X322" i="20"/>
  <c r="A323" i="20"/>
  <c r="K322" i="20"/>
  <c r="D324" i="17"/>
  <c r="A329" i="1"/>
  <c r="AK328" i="1"/>
  <c r="X328" i="1"/>
  <c r="L328" i="1"/>
  <c r="D328" i="1" s="1"/>
  <c r="AB328" i="1"/>
  <c r="AJ328" i="1"/>
  <c r="K328" i="1"/>
  <c r="L320" i="23"/>
  <c r="X320" i="23"/>
  <c r="AB320" i="23"/>
  <c r="K320" i="23"/>
  <c r="A321" i="23"/>
  <c r="AB325" i="16"/>
  <c r="A326" i="16"/>
  <c r="K325" i="16"/>
  <c r="L325" i="16"/>
  <c r="X325" i="16"/>
  <c r="AB329" i="1"/>
  <c r="X329" i="1"/>
  <c r="L329" i="1"/>
  <c r="D329" i="1" s="1"/>
  <c r="AJ329" i="1"/>
  <c r="K329" i="1"/>
  <c r="A330" i="1"/>
  <c r="AK329" i="1"/>
  <c r="K320" i="24"/>
  <c r="L320" i="24"/>
  <c r="A321" i="24"/>
  <c r="AB320" i="24"/>
  <c r="X320" i="24"/>
  <c r="L319" i="25"/>
  <c r="K319" i="25"/>
  <c r="X319" i="25"/>
  <c r="AB319" i="25"/>
  <c r="A320" i="25"/>
  <c r="L326" i="15"/>
  <c r="A327" i="15"/>
  <c r="K326" i="15"/>
  <c r="AB326" i="15"/>
  <c r="X326" i="15"/>
  <c r="D325" i="16"/>
  <c r="L326" i="16"/>
  <c r="D326" i="16" s="1"/>
  <c r="AB326" i="16"/>
  <c r="K326" i="16"/>
  <c r="A327" i="16"/>
  <c r="X326" i="16"/>
  <c r="A322" i="23"/>
  <c r="X321" i="23"/>
  <c r="AB321" i="23"/>
  <c r="L321" i="23"/>
  <c r="K321" i="23"/>
  <c r="L323" i="20"/>
  <c r="K323" i="20"/>
  <c r="A324" i="20"/>
  <c r="AB323" i="20"/>
  <c r="X323" i="20"/>
  <c r="K324" i="18"/>
  <c r="AB324" i="18"/>
  <c r="X324" i="18"/>
  <c r="A325" i="18"/>
  <c r="L324" i="18"/>
  <c r="AB322" i="22"/>
  <c r="A323" i="22"/>
  <c r="K322" i="22"/>
  <c r="L322" i="22"/>
  <c r="X322" i="22"/>
  <c r="L326" i="17"/>
  <c r="D326" i="17" s="1"/>
  <c r="K326" i="17"/>
  <c r="X326" i="17"/>
  <c r="AB326" i="17"/>
  <c r="A327" i="17"/>
  <c r="K323" i="22"/>
  <c r="X323" i="22"/>
  <c r="L323" i="22"/>
  <c r="A324" i="22"/>
  <c r="AB323" i="22"/>
  <c r="A326" i="18"/>
  <c r="K325" i="18"/>
  <c r="AB325" i="18"/>
  <c r="X325" i="18"/>
  <c r="L325" i="18"/>
  <c r="D326" i="15"/>
  <c r="X320" i="25"/>
  <c r="A321" i="25"/>
  <c r="K320" i="25"/>
  <c r="L320" i="25"/>
  <c r="AB320" i="25"/>
  <c r="AB321" i="24"/>
  <c r="L321" i="24"/>
  <c r="A322" i="24"/>
  <c r="K321" i="24"/>
  <c r="X321" i="24"/>
  <c r="AK330" i="1"/>
  <c r="L330" i="1"/>
  <c r="D330" i="1" s="1"/>
  <c r="AJ330" i="1"/>
  <c r="X330" i="1"/>
  <c r="AB330" i="1"/>
  <c r="A331" i="1"/>
  <c r="K330" i="1"/>
  <c r="X327" i="17"/>
  <c r="L327" i="17"/>
  <c r="D327" i="17" s="1"/>
  <c r="AB327" i="17"/>
  <c r="K327" i="17"/>
  <c r="A328" i="17"/>
  <c r="L324" i="20"/>
  <c r="X324" i="20"/>
  <c r="A325" i="20"/>
  <c r="K324" i="20"/>
  <c r="AB324" i="20"/>
  <c r="X322" i="23"/>
  <c r="K322" i="23"/>
  <c r="L322" i="23"/>
  <c r="AB322" i="23"/>
  <c r="A323" i="23"/>
  <c r="X327" i="16"/>
  <c r="A328" i="16"/>
  <c r="K327" i="16"/>
  <c r="AB327" i="16"/>
  <c r="L327" i="16"/>
  <c r="D327" i="16" s="1"/>
  <c r="X327" i="15"/>
  <c r="AB327" i="15"/>
  <c r="L327" i="15"/>
  <c r="D327" i="15" s="1"/>
  <c r="A328" i="15"/>
  <c r="K327" i="15"/>
  <c r="A329" i="15"/>
  <c r="AB328" i="15"/>
  <c r="L328" i="15"/>
  <c r="D328" i="15" s="1"/>
  <c r="X328" i="15"/>
  <c r="K328" i="15"/>
  <c r="A324" i="23"/>
  <c r="K323" i="23"/>
  <c r="X323" i="23"/>
  <c r="L323" i="23"/>
  <c r="AB323" i="23"/>
  <c r="A326" i="20"/>
  <c r="L325" i="20"/>
  <c r="X325" i="20"/>
  <c r="AB325" i="20"/>
  <c r="K325" i="20"/>
  <c r="X331" i="1"/>
  <c r="K331" i="1"/>
  <c r="L331" i="1"/>
  <c r="AJ331" i="1"/>
  <c r="A332" i="1"/>
  <c r="AK331" i="1"/>
  <c r="AB331" i="1"/>
  <c r="AB322" i="24"/>
  <c r="K322" i="24"/>
  <c r="A323" i="24"/>
  <c r="L322" i="24"/>
  <c r="X322" i="24"/>
  <c r="AB321" i="25"/>
  <c r="A322" i="25"/>
  <c r="L321" i="25"/>
  <c r="X321" i="25"/>
  <c r="K321" i="25"/>
  <c r="A327" i="18"/>
  <c r="AB326" i="18"/>
  <c r="K326" i="18"/>
  <c r="L326" i="18"/>
  <c r="X326" i="18"/>
  <c r="X324" i="22"/>
  <c r="K324" i="22"/>
  <c r="AB324" i="22"/>
  <c r="A325" i="22"/>
  <c r="L324" i="22"/>
  <c r="L328" i="16"/>
  <c r="D328" i="16" s="1"/>
  <c r="K328" i="16"/>
  <c r="AB328" i="16"/>
  <c r="A329" i="16"/>
  <c r="X328" i="16"/>
  <c r="A329" i="17"/>
  <c r="X328" i="17"/>
  <c r="K328" i="17"/>
  <c r="L328" i="17"/>
  <c r="D328" i="17" s="1"/>
  <c r="AB328" i="17"/>
  <c r="A330" i="17"/>
  <c r="K329" i="17"/>
  <c r="L329" i="17"/>
  <c r="D329" i="17" s="1"/>
  <c r="X329" i="17"/>
  <c r="AB329" i="17"/>
  <c r="AB329" i="16"/>
  <c r="L329" i="16"/>
  <c r="X329" i="16"/>
  <c r="K329" i="16"/>
  <c r="A330" i="16"/>
  <c r="K325" i="22"/>
  <c r="AB325" i="22"/>
  <c r="A326" i="22"/>
  <c r="X325" i="22"/>
  <c r="L325" i="22"/>
  <c r="K327" i="18"/>
  <c r="X327" i="18"/>
  <c r="AB327" i="18"/>
  <c r="L327" i="18"/>
  <c r="A328" i="18"/>
  <c r="K322" i="25"/>
  <c r="AB322" i="25"/>
  <c r="L322" i="25"/>
  <c r="X322" i="25"/>
  <c r="A323" i="25"/>
  <c r="X323" i="24"/>
  <c r="K323" i="24"/>
  <c r="L323" i="24"/>
  <c r="A324" i="24"/>
  <c r="AB323" i="24"/>
  <c r="K332" i="1"/>
  <c r="L332" i="1"/>
  <c r="AB332" i="1"/>
  <c r="A333" i="1"/>
  <c r="AJ332" i="1"/>
  <c r="X332" i="1"/>
  <c r="AK332" i="1"/>
  <c r="AB324" i="23"/>
  <c r="K324" i="23"/>
  <c r="X324" i="23"/>
  <c r="A325" i="23"/>
  <c r="L324" i="23"/>
  <c r="A327" i="20"/>
  <c r="L326" i="20"/>
  <c r="K326" i="20"/>
  <c r="AB326" i="20"/>
  <c r="X326" i="20"/>
  <c r="A330" i="15"/>
  <c r="AB329" i="15"/>
  <c r="K329" i="15"/>
  <c r="L329" i="15"/>
  <c r="D329" i="15" s="1"/>
  <c r="X329" i="15"/>
  <c r="K330" i="15"/>
  <c r="AB330" i="15"/>
  <c r="X330" i="15"/>
  <c r="L330" i="15"/>
  <c r="A331" i="15"/>
  <c r="D332" i="1"/>
  <c r="X324" i="24"/>
  <c r="A325" i="24"/>
  <c r="K324" i="24"/>
  <c r="L324" i="24"/>
  <c r="AB324" i="24"/>
  <c r="AB328" i="18"/>
  <c r="L328" i="18"/>
  <c r="X328" i="18"/>
  <c r="A329" i="18"/>
  <c r="K328" i="18"/>
  <c r="X327" i="20"/>
  <c r="AB327" i="20"/>
  <c r="L327" i="20"/>
  <c r="K327" i="20"/>
  <c r="A328" i="20"/>
  <c r="AB325" i="23"/>
  <c r="X325" i="23"/>
  <c r="A326" i="23"/>
  <c r="L325" i="23"/>
  <c r="K325" i="23"/>
  <c r="A30" i="7"/>
  <c r="AJ333" i="1"/>
  <c r="K333" i="1"/>
  <c r="AB333" i="1"/>
  <c r="L333" i="1"/>
  <c r="D333" i="1" s="1"/>
  <c r="A334" i="1"/>
  <c r="AK333" i="1"/>
  <c r="X333" i="1"/>
  <c r="K323" i="25"/>
  <c r="A324" i="25"/>
  <c r="AB323" i="25"/>
  <c r="L323" i="25"/>
  <c r="X323" i="25"/>
  <c r="L326" i="22"/>
  <c r="AB326" i="22"/>
  <c r="K326" i="22"/>
  <c r="A327" i="22"/>
  <c r="X326" i="22"/>
  <c r="L330" i="16"/>
  <c r="D330" i="16" s="1"/>
  <c r="K330" i="16"/>
  <c r="X330" i="16"/>
  <c r="A331" i="16"/>
  <c r="AB330" i="16"/>
  <c r="X330" i="17"/>
  <c r="L330" i="17"/>
  <c r="D330" i="17" s="1"/>
  <c r="A331" i="17"/>
  <c r="AB330" i="17"/>
  <c r="K330" i="17"/>
  <c r="A332" i="17"/>
  <c r="X331" i="17"/>
  <c r="K331" i="17"/>
  <c r="L331" i="17"/>
  <c r="D331" i="17" s="1"/>
  <c r="AB331" i="17"/>
  <c r="AB331" i="16"/>
  <c r="A332" i="16"/>
  <c r="X331" i="16"/>
  <c r="L331" i="16"/>
  <c r="K331" i="16"/>
  <c r="K327" i="22"/>
  <c r="X327" i="22"/>
  <c r="A328" i="22"/>
  <c r="AB327" i="22"/>
  <c r="L327" i="22"/>
  <c r="A335" i="1"/>
  <c r="AK334" i="1"/>
  <c r="L334" i="1"/>
  <c r="D334" i="1" s="1"/>
  <c r="AB334" i="1"/>
  <c r="X334" i="1"/>
  <c r="AJ334" i="1"/>
  <c r="K334" i="1"/>
  <c r="L328" i="20"/>
  <c r="AB328" i="20"/>
  <c r="X328" i="20"/>
  <c r="A329" i="20"/>
  <c r="K328" i="20"/>
  <c r="X329" i="18"/>
  <c r="K329" i="18"/>
  <c r="AB329" i="18"/>
  <c r="A330" i="18"/>
  <c r="L329" i="18"/>
  <c r="A326" i="24"/>
  <c r="K325" i="24"/>
  <c r="L325" i="24"/>
  <c r="AB325" i="24"/>
  <c r="X325" i="24"/>
  <c r="D330" i="15"/>
  <c r="K324" i="25"/>
  <c r="A325" i="25"/>
  <c r="X324" i="25"/>
  <c r="L324" i="25"/>
  <c r="AB324" i="25"/>
  <c r="X326" i="23"/>
  <c r="AB326" i="23"/>
  <c r="A327" i="23"/>
  <c r="L326" i="23"/>
  <c r="K326" i="23"/>
  <c r="X331" i="15"/>
  <c r="A332" i="15"/>
  <c r="AB331" i="15"/>
  <c r="L331" i="15"/>
  <c r="D331" i="15" s="1"/>
  <c r="K331" i="15"/>
  <c r="L332" i="15"/>
  <c r="D332" i="15" s="1"/>
  <c r="A333" i="15"/>
  <c r="K332" i="15"/>
  <c r="X332" i="15"/>
  <c r="AB332" i="15"/>
  <c r="A328" i="23"/>
  <c r="AB327" i="23"/>
  <c r="L327" i="23"/>
  <c r="K327" i="23"/>
  <c r="X327" i="23"/>
  <c r="K330" i="18"/>
  <c r="AB330" i="18"/>
  <c r="L330" i="18"/>
  <c r="X330" i="18"/>
  <c r="A331" i="18"/>
  <c r="A336" i="1"/>
  <c r="X335" i="1"/>
  <c r="AK335" i="1"/>
  <c r="AB335" i="1"/>
  <c r="L335" i="1"/>
  <c r="D335" i="1" s="1"/>
  <c r="K335" i="1"/>
  <c r="AJ335" i="1"/>
  <c r="K328" i="22"/>
  <c r="AB328" i="22"/>
  <c r="A329" i="22"/>
  <c r="X328" i="22"/>
  <c r="L328" i="22"/>
  <c r="D331" i="16"/>
  <c r="L332" i="16"/>
  <c r="D332" i="16" s="1"/>
  <c r="A333" i="16"/>
  <c r="AB332" i="16"/>
  <c r="X332" i="16"/>
  <c r="K332" i="16"/>
  <c r="L325" i="25"/>
  <c r="K325" i="25"/>
  <c r="X325" i="25"/>
  <c r="A326" i="25"/>
  <c r="AB325" i="25"/>
  <c r="L326" i="24"/>
  <c r="X326" i="24"/>
  <c r="K326" i="24"/>
  <c r="A327" i="24"/>
  <c r="AB326" i="24"/>
  <c r="A330" i="20"/>
  <c r="AB329" i="20"/>
  <c r="K329" i="20"/>
  <c r="L329" i="20"/>
  <c r="X329" i="20"/>
  <c r="A333" i="17"/>
  <c r="AB332" i="17"/>
  <c r="K332" i="17"/>
  <c r="X332" i="17"/>
  <c r="L332" i="17"/>
  <c r="D332" i="17" s="1"/>
  <c r="K333" i="17"/>
  <c r="L333" i="17"/>
  <c r="B66" i="7" s="1"/>
  <c r="A66" i="7"/>
  <c r="A334" i="17"/>
  <c r="AB333" i="17"/>
  <c r="X333" i="17"/>
  <c r="K330" i="20"/>
  <c r="A331" i="20"/>
  <c r="AB330" i="20"/>
  <c r="L330" i="20"/>
  <c r="X330" i="20"/>
  <c r="K327" i="24"/>
  <c r="AB327" i="24"/>
  <c r="A328" i="24"/>
  <c r="L327" i="24"/>
  <c r="X327" i="24"/>
  <c r="A334" i="16"/>
  <c r="AB333" i="16"/>
  <c r="X333" i="16"/>
  <c r="L333" i="16"/>
  <c r="B54" i="7" s="1"/>
  <c r="K333" i="16"/>
  <c r="A54" i="7"/>
  <c r="A330" i="22"/>
  <c r="AB329" i="22"/>
  <c r="K329" i="22"/>
  <c r="L329" i="22"/>
  <c r="X329" i="22"/>
  <c r="AK336" i="1"/>
  <c r="L336" i="1"/>
  <c r="D336" i="1" s="1"/>
  <c r="AB336" i="1"/>
  <c r="X336" i="1"/>
  <c r="A337" i="1"/>
  <c r="AJ336" i="1"/>
  <c r="K336" i="1"/>
  <c r="X331" i="18"/>
  <c r="L331" i="18"/>
  <c r="AB331" i="18"/>
  <c r="K331" i="18"/>
  <c r="A332" i="18"/>
  <c r="A329" i="23"/>
  <c r="K328" i="23"/>
  <c r="AB328" i="23"/>
  <c r="L328" i="23"/>
  <c r="X328" i="23"/>
  <c r="X326" i="25"/>
  <c r="L326" i="25"/>
  <c r="AB326" i="25"/>
  <c r="K326" i="25"/>
  <c r="A327" i="25"/>
  <c r="AB333" i="15"/>
  <c r="A334" i="15"/>
  <c r="K333" i="15"/>
  <c r="A42" i="7"/>
  <c r="L333" i="15"/>
  <c r="B42" i="7" s="1"/>
  <c r="X333" i="15"/>
  <c r="K334" i="15"/>
  <c r="AB334" i="15"/>
  <c r="L334" i="15"/>
  <c r="D334" i="15" s="1"/>
  <c r="A335" i="15"/>
  <c r="X334" i="15"/>
  <c r="AB327" i="25"/>
  <c r="L327" i="25"/>
  <c r="A328" i="25"/>
  <c r="K327" i="25"/>
  <c r="X327" i="25"/>
  <c r="L329" i="23"/>
  <c r="X329" i="23"/>
  <c r="A330" i="23"/>
  <c r="AB329" i="23"/>
  <c r="K329" i="23"/>
  <c r="X332" i="18"/>
  <c r="A333" i="18"/>
  <c r="K332" i="18"/>
  <c r="L332" i="18"/>
  <c r="AB332" i="18"/>
  <c r="A338" i="1"/>
  <c r="AB337" i="1"/>
  <c r="K337" i="1"/>
  <c r="L337" i="1"/>
  <c r="D337" i="1" s="1"/>
  <c r="AK337" i="1"/>
  <c r="AJ337" i="1"/>
  <c r="X337" i="1"/>
  <c r="X330" i="22"/>
  <c r="A331" i="22"/>
  <c r="K330" i="22"/>
  <c r="L330" i="22"/>
  <c r="AB330" i="22"/>
  <c r="A335" i="17"/>
  <c r="AB334" i="17"/>
  <c r="K334" i="17"/>
  <c r="L334" i="17"/>
  <c r="X334" i="17"/>
  <c r="A335" i="16"/>
  <c r="K334" i="16"/>
  <c r="L334" i="16"/>
  <c r="AB334" i="16"/>
  <c r="X334" i="16"/>
  <c r="A329" i="24"/>
  <c r="K328" i="24"/>
  <c r="L328" i="24"/>
  <c r="X328" i="24"/>
  <c r="AB328" i="24"/>
  <c r="L331" i="20"/>
  <c r="AB331" i="20"/>
  <c r="X331" i="20"/>
  <c r="A332" i="20"/>
  <c r="K331" i="20"/>
  <c r="K329" i="24"/>
  <c r="AB329" i="24"/>
  <c r="L329" i="24"/>
  <c r="X329" i="24"/>
  <c r="A330" i="24"/>
  <c r="D334" i="16"/>
  <c r="X335" i="16"/>
  <c r="A336" i="16"/>
  <c r="AB335" i="16"/>
  <c r="L335" i="16"/>
  <c r="D335" i="16" s="1"/>
  <c r="K335" i="16"/>
  <c r="D334" i="17"/>
  <c r="AJ338" i="1"/>
  <c r="AK338" i="1"/>
  <c r="L338" i="1"/>
  <c r="D338" i="1" s="1"/>
  <c r="A339" i="1"/>
  <c r="X338" i="1"/>
  <c r="K338" i="1"/>
  <c r="AB338" i="1"/>
  <c r="K333" i="18"/>
  <c r="L333" i="18"/>
  <c r="AB333" i="18"/>
  <c r="X333" i="18"/>
  <c r="A334" i="18"/>
  <c r="A78" i="7"/>
  <c r="K328" i="25"/>
  <c r="X328" i="25"/>
  <c r="AB328" i="25"/>
  <c r="L328" i="25"/>
  <c r="A329" i="25"/>
  <c r="X332" i="20"/>
  <c r="A333" i="20"/>
  <c r="AB332" i="20"/>
  <c r="K332" i="20"/>
  <c r="L332" i="20"/>
  <c r="A336" i="17"/>
  <c r="K335" i="17"/>
  <c r="AB335" i="17"/>
  <c r="X335" i="17"/>
  <c r="L335" i="17"/>
  <c r="D335" i="17" s="1"/>
  <c r="A332" i="22"/>
  <c r="L331" i="22"/>
  <c r="X331" i="22"/>
  <c r="K331" i="22"/>
  <c r="AB331" i="22"/>
  <c r="X330" i="23"/>
  <c r="AB330" i="23"/>
  <c r="A331" i="23"/>
  <c r="K330" i="23"/>
  <c r="L330" i="23"/>
  <c r="L335" i="15"/>
  <c r="D335" i="15" s="1"/>
  <c r="X335" i="15"/>
  <c r="A336" i="15"/>
  <c r="K335" i="15"/>
  <c r="AB335" i="15"/>
  <c r="L336" i="15"/>
  <c r="D336" i="15" s="1"/>
  <c r="A337" i="15"/>
  <c r="K336" i="15"/>
  <c r="X336" i="15"/>
  <c r="AB336" i="15"/>
  <c r="X331" i="23"/>
  <c r="K331" i="23"/>
  <c r="AB331" i="23"/>
  <c r="L331" i="23"/>
  <c r="A332" i="23"/>
  <c r="L329" i="25"/>
  <c r="K329" i="25"/>
  <c r="A330" i="25"/>
  <c r="X329" i="25"/>
  <c r="AB329" i="25"/>
  <c r="A331" i="24"/>
  <c r="AB330" i="24"/>
  <c r="X330" i="24"/>
  <c r="K330" i="24"/>
  <c r="L330" i="24"/>
  <c r="X332" i="22"/>
  <c r="K332" i="22"/>
  <c r="A333" i="22"/>
  <c r="L332" i="22"/>
  <c r="AB332" i="22"/>
  <c r="K336" i="17"/>
  <c r="A337" i="17"/>
  <c r="L336" i="17"/>
  <c r="D336" i="17" s="1"/>
  <c r="AB336" i="17"/>
  <c r="X336" i="17"/>
  <c r="AB333" i="20"/>
  <c r="K333" i="20"/>
  <c r="AE30" i="7"/>
  <c r="A334" i="20"/>
  <c r="X333" i="20"/>
  <c r="L333" i="20"/>
  <c r="AF30" i="7" s="1"/>
  <c r="K334" i="18"/>
  <c r="AB334" i="18"/>
  <c r="A335" i="18"/>
  <c r="L334" i="18"/>
  <c r="X334" i="18"/>
  <c r="B78" i="7"/>
  <c r="A340" i="1"/>
  <c r="X339" i="1"/>
  <c r="K339" i="1"/>
  <c r="AB339" i="1"/>
  <c r="AJ339" i="1"/>
  <c r="L339" i="1"/>
  <c r="D339" i="1" s="1"/>
  <c r="AK339" i="1"/>
  <c r="A337" i="16"/>
  <c r="L336" i="16"/>
  <c r="D336" i="16" s="1"/>
  <c r="K336" i="16"/>
  <c r="X336" i="16"/>
  <c r="AB336" i="16"/>
  <c r="X337" i="17"/>
  <c r="K337" i="17"/>
  <c r="A338" i="17"/>
  <c r="L337" i="17"/>
  <c r="D337" i="17" s="1"/>
  <c r="AB337" i="17"/>
  <c r="L333" i="22"/>
  <c r="X333" i="22"/>
  <c r="K333" i="22"/>
  <c r="AB333" i="22"/>
  <c r="AE42" i="7"/>
  <c r="A334" i="22"/>
  <c r="A332" i="24"/>
  <c r="K331" i="24"/>
  <c r="L331" i="24"/>
  <c r="X331" i="24"/>
  <c r="AB331" i="24"/>
  <c r="K330" i="25"/>
  <c r="A331" i="25"/>
  <c r="X330" i="25"/>
  <c r="L330" i="25"/>
  <c r="AB330" i="25"/>
  <c r="K332" i="23"/>
  <c r="X332" i="23"/>
  <c r="L332" i="23"/>
  <c r="AB332" i="23"/>
  <c r="A333" i="23"/>
  <c r="X337" i="16"/>
  <c r="AB337" i="16"/>
  <c r="L337" i="16"/>
  <c r="D337" i="16" s="1"/>
  <c r="K337" i="16"/>
  <c r="A338" i="16"/>
  <c r="AJ340" i="1"/>
  <c r="AK340" i="1"/>
  <c r="X340" i="1"/>
  <c r="AB340" i="1"/>
  <c r="L340" i="1"/>
  <c r="D340" i="1" s="1"/>
  <c r="K340" i="1"/>
  <c r="A341" i="1"/>
  <c r="X335" i="18"/>
  <c r="AB335" i="18"/>
  <c r="K335" i="18"/>
  <c r="A336" i="18"/>
  <c r="L335" i="18"/>
  <c r="X334" i="20"/>
  <c r="AB334" i="20"/>
  <c r="A335" i="20"/>
  <c r="L334" i="20"/>
  <c r="K334" i="20"/>
  <c r="A338" i="15"/>
  <c r="K337" i="15"/>
  <c r="L337" i="15"/>
  <c r="D337" i="15" s="1"/>
  <c r="X337" i="15"/>
  <c r="AB337" i="15"/>
  <c r="K338" i="15"/>
  <c r="L338" i="15"/>
  <c r="D338" i="15" s="1"/>
  <c r="A339" i="15"/>
  <c r="X338" i="15"/>
  <c r="AB338" i="15"/>
  <c r="K336" i="18"/>
  <c r="AB336" i="18"/>
  <c r="A337" i="18"/>
  <c r="X336" i="18"/>
  <c r="L336" i="18"/>
  <c r="A342" i="1"/>
  <c r="L341" i="1"/>
  <c r="D341" i="1" s="1"/>
  <c r="K341" i="1"/>
  <c r="X341" i="1"/>
  <c r="AJ341" i="1"/>
  <c r="AB341" i="1"/>
  <c r="AK341" i="1"/>
  <c r="AB335" i="20"/>
  <c r="L335" i="20"/>
  <c r="X335" i="20"/>
  <c r="A336" i="20"/>
  <c r="K335" i="20"/>
  <c r="L338" i="16"/>
  <c r="D338" i="16" s="1"/>
  <c r="A339" i="16"/>
  <c r="K338" i="16"/>
  <c r="AB338" i="16"/>
  <c r="X338" i="16"/>
  <c r="K333" i="23"/>
  <c r="AB333" i="23"/>
  <c r="X333" i="23"/>
  <c r="L333" i="23"/>
  <c r="A334" i="23"/>
  <c r="AE54" i="7"/>
  <c r="AB331" i="25"/>
  <c r="X331" i="25"/>
  <c r="L331" i="25"/>
  <c r="K331" i="25"/>
  <c r="A332" i="25"/>
  <c r="AB332" i="24"/>
  <c r="K332" i="24"/>
  <c r="X332" i="24"/>
  <c r="L332" i="24"/>
  <c r="A333" i="24"/>
  <c r="AB334" i="22"/>
  <c r="L334" i="22"/>
  <c r="K334" i="22"/>
  <c r="X334" i="22"/>
  <c r="A335" i="22"/>
  <c r="AF42" i="7"/>
  <c r="A339" i="17"/>
  <c r="AB338" i="17"/>
  <c r="K338" i="17"/>
  <c r="X338" i="17"/>
  <c r="L338" i="17"/>
  <c r="D338" i="17" s="1"/>
  <c r="L333" i="24"/>
  <c r="AF66" i="7" s="1"/>
  <c r="X333" i="24"/>
  <c r="AE66" i="7"/>
  <c r="AB333" i="24"/>
  <c r="A334" i="24"/>
  <c r="K333" i="24"/>
  <c r="AF54" i="7"/>
  <c r="L339" i="16"/>
  <c r="D339" i="16" s="1"/>
  <c r="K339" i="16"/>
  <c r="A340" i="16"/>
  <c r="X339" i="16"/>
  <c r="AB339" i="16"/>
  <c r="K337" i="18"/>
  <c r="X337" i="18"/>
  <c r="AB337" i="18"/>
  <c r="L337" i="18"/>
  <c r="A338" i="18"/>
  <c r="K339" i="17"/>
  <c r="L339" i="17"/>
  <c r="D339" i="17" s="1"/>
  <c r="A340" i="17"/>
  <c r="X339" i="17"/>
  <c r="AB339" i="17"/>
  <c r="K335" i="22"/>
  <c r="AB335" i="22"/>
  <c r="L335" i="22"/>
  <c r="X335" i="22"/>
  <c r="A336" i="22"/>
  <c r="X332" i="25"/>
  <c r="A333" i="25"/>
  <c r="AB332" i="25"/>
  <c r="K332" i="25"/>
  <c r="L332" i="25"/>
  <c r="K334" i="23"/>
  <c r="L334" i="23"/>
  <c r="A335" i="23"/>
  <c r="AB334" i="23"/>
  <c r="X334" i="23"/>
  <c r="K336" i="20"/>
  <c r="AB336" i="20"/>
  <c r="A337" i="20"/>
  <c r="L336" i="20"/>
  <c r="X336" i="20"/>
  <c r="A343" i="1"/>
  <c r="AB342" i="1"/>
  <c r="AK342" i="1"/>
  <c r="L342" i="1"/>
  <c r="D342" i="1" s="1"/>
  <c r="K342" i="1"/>
  <c r="X342" i="1"/>
  <c r="AJ342" i="1"/>
  <c r="L339" i="15"/>
  <c r="X339" i="15"/>
  <c r="A340" i="15"/>
  <c r="K339" i="15"/>
  <c r="AB339" i="15"/>
  <c r="L340" i="15"/>
  <c r="D340" i="15" s="1"/>
  <c r="X340" i="15"/>
  <c r="AB340" i="15"/>
  <c r="K340" i="15"/>
  <c r="A341" i="15"/>
  <c r="A344" i="1"/>
  <c r="AB343" i="1"/>
  <c r="K343" i="1"/>
  <c r="L343" i="1"/>
  <c r="D343" i="1" s="1"/>
  <c r="AK343" i="1"/>
  <c r="AJ343" i="1"/>
  <c r="X343" i="1"/>
  <c r="A334" i="25"/>
  <c r="AB333" i="25"/>
  <c r="K333" i="25"/>
  <c r="X333" i="25"/>
  <c r="AE78" i="7"/>
  <c r="L333" i="25"/>
  <c r="AF78" i="7" s="1"/>
  <c r="L336" i="22"/>
  <c r="A337" i="22"/>
  <c r="K336" i="22"/>
  <c r="X336" i="22"/>
  <c r="AB336" i="22"/>
  <c r="D339" i="15"/>
  <c r="X337" i="20"/>
  <c r="K337" i="20"/>
  <c r="AB337" i="20"/>
  <c r="A338" i="20"/>
  <c r="L337" i="20"/>
  <c r="A336" i="23"/>
  <c r="L335" i="23"/>
  <c r="AB335" i="23"/>
  <c r="X335" i="23"/>
  <c r="K335" i="23"/>
  <c r="A341" i="17"/>
  <c r="K340" i="17"/>
  <c r="AB340" i="17"/>
  <c r="X340" i="17"/>
  <c r="L340" i="17"/>
  <c r="D340" i="17" s="1"/>
  <c r="A339" i="18"/>
  <c r="AB338" i="18"/>
  <c r="K338" i="18"/>
  <c r="L338" i="18"/>
  <c r="X338" i="18"/>
  <c r="A341" i="16"/>
  <c r="L340" i="16"/>
  <c r="D340" i="16" s="1"/>
  <c r="AB340" i="16"/>
  <c r="X340" i="16"/>
  <c r="K340" i="16"/>
  <c r="L334" i="24"/>
  <c r="X334" i="24"/>
  <c r="A335" i="24"/>
  <c r="K334" i="24"/>
  <c r="AB334" i="24"/>
  <c r="X341" i="17"/>
  <c r="A342" i="17"/>
  <c r="K341" i="17"/>
  <c r="AB341" i="17"/>
  <c r="L341" i="17"/>
  <c r="D341" i="17" s="1"/>
  <c r="AB336" i="23"/>
  <c r="L336" i="23"/>
  <c r="K336" i="23"/>
  <c r="X336" i="23"/>
  <c r="A337" i="23"/>
  <c r="L337" i="22"/>
  <c r="K337" i="22"/>
  <c r="A338" i="22"/>
  <c r="X337" i="22"/>
  <c r="AB337" i="22"/>
  <c r="A345" i="1"/>
  <c r="AK344" i="1"/>
  <c r="AB344" i="1"/>
  <c r="K344" i="1"/>
  <c r="X344" i="1"/>
  <c r="AJ344" i="1"/>
  <c r="L344" i="1"/>
  <c r="D344" i="1" s="1"/>
  <c r="A336" i="24"/>
  <c r="L335" i="24"/>
  <c r="AB335" i="24"/>
  <c r="X335" i="24"/>
  <c r="K335" i="24"/>
  <c r="AB341" i="16"/>
  <c r="A342" i="16"/>
  <c r="L341" i="16"/>
  <c r="D341" i="16" s="1"/>
  <c r="X341" i="16"/>
  <c r="K341" i="16"/>
  <c r="AB339" i="18"/>
  <c r="A340" i="18"/>
  <c r="X339" i="18"/>
  <c r="L339" i="18"/>
  <c r="K339" i="18"/>
  <c r="AB338" i="20"/>
  <c r="L338" i="20"/>
  <c r="X338" i="20"/>
  <c r="K338" i="20"/>
  <c r="A339" i="20"/>
  <c r="AB334" i="25"/>
  <c r="A335" i="25"/>
  <c r="L334" i="25"/>
  <c r="X334" i="25"/>
  <c r="K334" i="25"/>
  <c r="A342" i="15"/>
  <c r="L341" i="15"/>
  <c r="D341" i="15" s="1"/>
  <c r="AB341" i="15"/>
  <c r="X341" i="15"/>
  <c r="K341" i="15"/>
  <c r="X342" i="16"/>
  <c r="A343" i="16"/>
  <c r="K342" i="16"/>
  <c r="L342" i="16"/>
  <c r="D342" i="16" s="1"/>
  <c r="AB342" i="16"/>
  <c r="AB336" i="24"/>
  <c r="K336" i="24"/>
  <c r="X336" i="24"/>
  <c r="A337" i="24"/>
  <c r="L336" i="24"/>
  <c r="X337" i="23"/>
  <c r="AB337" i="23"/>
  <c r="A338" i="23"/>
  <c r="K337" i="23"/>
  <c r="L337" i="23"/>
  <c r="K342" i="17"/>
  <c r="X342" i="17"/>
  <c r="L342" i="17"/>
  <c r="D342" i="17" s="1"/>
  <c r="AB342" i="17"/>
  <c r="A343" i="17"/>
  <c r="L340" i="18"/>
  <c r="X340" i="18"/>
  <c r="K340" i="18"/>
  <c r="A341" i="18"/>
  <c r="AB340" i="18"/>
  <c r="AB342" i="15"/>
  <c r="K342" i="15"/>
  <c r="X342" i="15"/>
  <c r="L342" i="15"/>
  <c r="D342" i="15" s="1"/>
  <c r="A343" i="15"/>
  <c r="A336" i="25"/>
  <c r="X335" i="25"/>
  <c r="K335" i="25"/>
  <c r="L335" i="25"/>
  <c r="AB335" i="25"/>
  <c r="A340" i="20"/>
  <c r="X339" i="20"/>
  <c r="AB339" i="20"/>
  <c r="K339" i="20"/>
  <c r="L339" i="20"/>
  <c r="X345" i="1"/>
  <c r="L345" i="1"/>
  <c r="D345" i="1" s="1"/>
  <c r="AB345" i="1"/>
  <c r="AK345" i="1"/>
  <c r="A346" i="1"/>
  <c r="AJ345" i="1"/>
  <c r="K345" i="1"/>
  <c r="AB338" i="22"/>
  <c r="A339" i="22"/>
  <c r="L338" i="22"/>
  <c r="K338" i="22"/>
  <c r="X338" i="22"/>
  <c r="K339" i="22"/>
  <c r="AB339" i="22"/>
  <c r="L339" i="22"/>
  <c r="X339" i="22"/>
  <c r="A340" i="22"/>
  <c r="A347" i="1"/>
  <c r="AB346" i="1"/>
  <c r="K346" i="1"/>
  <c r="AJ346" i="1"/>
  <c r="L346" i="1"/>
  <c r="D346" i="1" s="1"/>
  <c r="X346" i="1"/>
  <c r="AK346" i="1"/>
  <c r="X336" i="25"/>
  <c r="A337" i="25"/>
  <c r="K336" i="25"/>
  <c r="AB336" i="25"/>
  <c r="L336" i="25"/>
  <c r="AB343" i="15"/>
  <c r="L343" i="15"/>
  <c r="D343" i="15" s="1"/>
  <c r="K343" i="15"/>
  <c r="A344" i="15"/>
  <c r="X343" i="15"/>
  <c r="X343" i="17"/>
  <c r="K343" i="17"/>
  <c r="AB343" i="17"/>
  <c r="L343" i="17"/>
  <c r="D343" i="17" s="1"/>
  <c r="A344" i="17"/>
  <c r="L338" i="23"/>
  <c r="A339" i="23"/>
  <c r="K338" i="23"/>
  <c r="AB338" i="23"/>
  <c r="X338" i="23"/>
  <c r="X340" i="20"/>
  <c r="AB340" i="20"/>
  <c r="A341" i="20"/>
  <c r="K340" i="20"/>
  <c r="L340" i="20"/>
  <c r="L341" i="18"/>
  <c r="AB341" i="18"/>
  <c r="K341" i="18"/>
  <c r="A342" i="18"/>
  <c r="X341" i="18"/>
  <c r="AB337" i="24"/>
  <c r="K337" i="24"/>
  <c r="X337" i="24"/>
  <c r="L337" i="24"/>
  <c r="A338" i="24"/>
  <c r="A344" i="16"/>
  <c r="X343" i="16"/>
  <c r="L343" i="16"/>
  <c r="D343" i="16" s="1"/>
  <c r="K343" i="16"/>
  <c r="AB343" i="16"/>
  <c r="X344" i="16"/>
  <c r="AB344" i="16"/>
  <c r="A345" i="16"/>
  <c r="K344" i="16"/>
  <c r="L344" i="16"/>
  <c r="D344" i="16" s="1"/>
  <c r="A339" i="24"/>
  <c r="L338" i="24"/>
  <c r="AB338" i="24"/>
  <c r="X338" i="24"/>
  <c r="K338" i="24"/>
  <c r="A342" i="20"/>
  <c r="L341" i="20"/>
  <c r="K341" i="20"/>
  <c r="X341" i="20"/>
  <c r="AB341" i="20"/>
  <c r="A340" i="23"/>
  <c r="X339" i="23"/>
  <c r="AB339" i="23"/>
  <c r="L339" i="23"/>
  <c r="K339" i="23"/>
  <c r="A345" i="15"/>
  <c r="X344" i="15"/>
  <c r="L344" i="15"/>
  <c r="D344" i="15" s="1"/>
  <c r="AB344" i="15"/>
  <c r="K344" i="15"/>
  <c r="AB337" i="25"/>
  <c r="K337" i="25"/>
  <c r="A338" i="25"/>
  <c r="L337" i="25"/>
  <c r="X337" i="25"/>
  <c r="A341" i="22"/>
  <c r="X340" i="22"/>
  <c r="L340" i="22"/>
  <c r="AB340" i="22"/>
  <c r="K340" i="22"/>
  <c r="K342" i="18"/>
  <c r="A343" i="18"/>
  <c r="AB342" i="18"/>
  <c r="L342" i="18"/>
  <c r="X342" i="18"/>
  <c r="K344" i="17"/>
  <c r="A345" i="17"/>
  <c r="X344" i="17"/>
  <c r="L344" i="17"/>
  <c r="D344" i="17" s="1"/>
  <c r="AB344" i="17"/>
  <c r="L347" i="1"/>
  <c r="K347" i="1"/>
  <c r="AJ347" i="1"/>
  <c r="X347" i="1"/>
  <c r="AK347" i="1"/>
  <c r="A348" i="1"/>
  <c r="AB347" i="1"/>
  <c r="A349" i="1"/>
  <c r="AB348" i="1"/>
  <c r="AK348" i="1"/>
  <c r="K348" i="1"/>
  <c r="L348" i="1"/>
  <c r="D348" i="1" s="1"/>
  <c r="X348" i="1"/>
  <c r="AJ348" i="1"/>
  <c r="D347" i="1"/>
  <c r="K345" i="17"/>
  <c r="X345" i="17"/>
  <c r="A346" i="17"/>
  <c r="AB345" i="17"/>
  <c r="L345" i="17"/>
  <c r="D345" i="17" s="1"/>
  <c r="L343" i="18"/>
  <c r="X343" i="18"/>
  <c r="K343" i="18"/>
  <c r="A344" i="18"/>
  <c r="AB343" i="18"/>
  <c r="L340" i="23"/>
  <c r="X340" i="23"/>
  <c r="A341" i="23"/>
  <c r="K340" i="23"/>
  <c r="AB340" i="23"/>
  <c r="AB345" i="16"/>
  <c r="X345" i="16"/>
  <c r="K345" i="16"/>
  <c r="A346" i="16"/>
  <c r="L345" i="16"/>
  <c r="D345" i="16" s="1"/>
  <c r="K341" i="22"/>
  <c r="L341" i="22"/>
  <c r="AB341" i="22"/>
  <c r="X341" i="22"/>
  <c r="A342" i="22"/>
  <c r="L338" i="25"/>
  <c r="X338" i="25"/>
  <c r="A339" i="25"/>
  <c r="AB338" i="25"/>
  <c r="K338" i="25"/>
  <c r="X345" i="15"/>
  <c r="L345" i="15"/>
  <c r="D345" i="15" s="1"/>
  <c r="K345" i="15"/>
  <c r="AB345" i="15"/>
  <c r="A346" i="15"/>
  <c r="L342" i="20"/>
  <c r="AB342" i="20"/>
  <c r="K342" i="20"/>
  <c r="X342" i="20"/>
  <c r="A343" i="20"/>
  <c r="X339" i="24"/>
  <c r="K339" i="24"/>
  <c r="L339" i="24"/>
  <c r="AB339" i="24"/>
  <c r="A340" i="24"/>
  <c r="A344" i="20"/>
  <c r="AB343" i="20"/>
  <c r="K343" i="20"/>
  <c r="L343" i="20"/>
  <c r="X343" i="20"/>
  <c r="X342" i="22"/>
  <c r="A343" i="22"/>
  <c r="L342" i="22"/>
  <c r="K342" i="22"/>
  <c r="AB342" i="22"/>
  <c r="X346" i="17"/>
  <c r="L346" i="17"/>
  <c r="K346" i="17"/>
  <c r="AB346" i="17"/>
  <c r="A347" i="17"/>
  <c r="AK349" i="1"/>
  <c r="K349" i="1"/>
  <c r="AJ349" i="1"/>
  <c r="AB349" i="1"/>
  <c r="X349" i="1"/>
  <c r="A350" i="1"/>
  <c r="L349" i="1"/>
  <c r="D349" i="1" s="1"/>
  <c r="K340" i="24"/>
  <c r="L340" i="24"/>
  <c r="X340" i="24"/>
  <c r="A341" i="24"/>
  <c r="AB340" i="24"/>
  <c r="K346" i="15"/>
  <c r="X346" i="15"/>
  <c r="AB346" i="15"/>
  <c r="L346" i="15"/>
  <c r="A347" i="15"/>
  <c r="L339" i="25"/>
  <c r="X339" i="25"/>
  <c r="A340" i="25"/>
  <c r="AB339" i="25"/>
  <c r="K339" i="25"/>
  <c r="K346" i="16"/>
  <c r="AB346" i="16"/>
  <c r="L346" i="16"/>
  <c r="D346" i="16" s="1"/>
  <c r="X346" i="16"/>
  <c r="A347" i="16"/>
  <c r="X341" i="23"/>
  <c r="K341" i="23"/>
  <c r="L341" i="23"/>
  <c r="A342" i="23"/>
  <c r="AB341" i="23"/>
  <c r="AB344" i="18"/>
  <c r="A345" i="18"/>
  <c r="X344" i="18"/>
  <c r="K344" i="18"/>
  <c r="L344" i="18"/>
  <c r="L340" i="25"/>
  <c r="X340" i="25"/>
  <c r="K340" i="25"/>
  <c r="AB340" i="25"/>
  <c r="A341" i="25"/>
  <c r="A348" i="15"/>
  <c r="X347" i="15"/>
  <c r="L347" i="15"/>
  <c r="D347" i="15" s="1"/>
  <c r="AB347" i="15"/>
  <c r="K347" i="15"/>
  <c r="D346" i="15"/>
  <c r="L350" i="1"/>
  <c r="D350" i="1" s="1"/>
  <c r="AB350" i="1"/>
  <c r="AK350" i="1"/>
  <c r="A351" i="1"/>
  <c r="AJ350" i="1"/>
  <c r="X350" i="1"/>
  <c r="K350" i="1"/>
  <c r="X345" i="18"/>
  <c r="A346" i="18"/>
  <c r="AB345" i="18"/>
  <c r="K345" i="18"/>
  <c r="L345" i="18"/>
  <c r="A343" i="23"/>
  <c r="L342" i="23"/>
  <c r="AB342" i="23"/>
  <c r="K342" i="23"/>
  <c r="X342" i="23"/>
  <c r="A348" i="16"/>
  <c r="L347" i="16"/>
  <c r="D347" i="16" s="1"/>
  <c r="X347" i="16"/>
  <c r="K347" i="16"/>
  <c r="AB347" i="16"/>
  <c r="K341" i="24"/>
  <c r="L341" i="24"/>
  <c r="A342" i="24"/>
  <c r="AB341" i="24"/>
  <c r="X341" i="24"/>
  <c r="X347" i="17"/>
  <c r="AB347" i="17"/>
  <c r="L347" i="17"/>
  <c r="K347" i="17"/>
  <c r="A348" i="17"/>
  <c r="D346" i="17"/>
  <c r="L343" i="22"/>
  <c r="A344" i="22"/>
  <c r="K343" i="22"/>
  <c r="X343" i="22"/>
  <c r="AB343" i="22"/>
  <c r="L344" i="20"/>
  <c r="X344" i="20"/>
  <c r="K344" i="20"/>
  <c r="A345" i="20"/>
  <c r="AB344" i="20"/>
  <c r="AB345" i="20"/>
  <c r="K345" i="20"/>
  <c r="A346" i="20"/>
  <c r="X345" i="20"/>
  <c r="L345" i="20"/>
  <c r="K348" i="17"/>
  <c r="A349" i="17"/>
  <c r="AB348" i="17"/>
  <c r="X348" i="17"/>
  <c r="L348" i="17"/>
  <c r="D348" i="17" s="1"/>
  <c r="D347" i="17"/>
  <c r="A343" i="24"/>
  <c r="K342" i="24"/>
  <c r="X342" i="24"/>
  <c r="L342" i="24"/>
  <c r="AB342" i="24"/>
  <c r="AB343" i="23"/>
  <c r="A344" i="23"/>
  <c r="K343" i="23"/>
  <c r="L343" i="23"/>
  <c r="X343" i="23"/>
  <c r="L346" i="18"/>
  <c r="AB346" i="18"/>
  <c r="K346" i="18"/>
  <c r="A347" i="18"/>
  <c r="X346" i="18"/>
  <c r="L341" i="25"/>
  <c r="A342" i="25"/>
  <c r="X341" i="25"/>
  <c r="K341" i="25"/>
  <c r="AB341" i="25"/>
  <c r="AB344" i="22"/>
  <c r="L344" i="22"/>
  <c r="X344" i="22"/>
  <c r="A345" i="22"/>
  <c r="K344" i="22"/>
  <c r="A349" i="16"/>
  <c r="AB348" i="16"/>
  <c r="X348" i="16"/>
  <c r="L348" i="16"/>
  <c r="K348" i="16"/>
  <c r="K351" i="1"/>
  <c r="L351" i="1"/>
  <c r="D351" i="1" s="1"/>
  <c r="X351" i="1"/>
  <c r="AB351" i="1"/>
  <c r="AJ351" i="1"/>
  <c r="A352" i="1"/>
  <c r="AK351" i="1"/>
  <c r="L348" i="15"/>
  <c r="D348" i="15" s="1"/>
  <c r="AB348" i="15"/>
  <c r="A349" i="15"/>
  <c r="K348" i="15"/>
  <c r="X348" i="15"/>
  <c r="K349" i="15"/>
  <c r="AB349" i="15"/>
  <c r="X349" i="15"/>
  <c r="L349" i="15"/>
  <c r="D349" i="15" s="1"/>
  <c r="A350" i="15"/>
  <c r="A353" i="1"/>
  <c r="AK352" i="1"/>
  <c r="K352" i="1"/>
  <c r="L352" i="1"/>
  <c r="D352" i="1" s="1"/>
  <c r="X352" i="1"/>
  <c r="AJ352" i="1"/>
  <c r="AB352" i="1"/>
  <c r="L345" i="22"/>
  <c r="A346" i="22"/>
  <c r="X345" i="22"/>
  <c r="K345" i="22"/>
  <c r="AB345" i="22"/>
  <c r="X342" i="25"/>
  <c r="L342" i="25"/>
  <c r="A343" i="25"/>
  <c r="K342" i="25"/>
  <c r="AB342" i="25"/>
  <c r="AB343" i="24"/>
  <c r="X343" i="24"/>
  <c r="A344" i="24"/>
  <c r="L343" i="24"/>
  <c r="K343" i="24"/>
  <c r="K349" i="17"/>
  <c r="L349" i="17"/>
  <c r="D349" i="17" s="1"/>
  <c r="AB349" i="17"/>
  <c r="X349" i="17"/>
  <c r="A350" i="17"/>
  <c r="D348" i="16"/>
  <c r="L349" i="16"/>
  <c r="K349" i="16"/>
  <c r="A350" i="16"/>
  <c r="AB349" i="16"/>
  <c r="X349" i="16"/>
  <c r="A348" i="18"/>
  <c r="X347" i="18"/>
  <c r="AB347" i="18"/>
  <c r="L347" i="18"/>
  <c r="K347" i="18"/>
  <c r="A345" i="23"/>
  <c r="AB344" i="23"/>
  <c r="K344" i="23"/>
  <c r="L344" i="23"/>
  <c r="X344" i="23"/>
  <c r="L346" i="20"/>
  <c r="A347" i="20"/>
  <c r="X346" i="20"/>
  <c r="K346" i="20"/>
  <c r="AB346" i="20"/>
  <c r="A346" i="23"/>
  <c r="AB345" i="23"/>
  <c r="L345" i="23"/>
  <c r="X345" i="23"/>
  <c r="K345" i="23"/>
  <c r="A351" i="16"/>
  <c r="L350" i="16"/>
  <c r="D350" i="16" s="1"/>
  <c r="X350" i="16"/>
  <c r="AB350" i="16"/>
  <c r="K350" i="16"/>
  <c r="D349" i="16"/>
  <c r="X350" i="17"/>
  <c r="AB350" i="17"/>
  <c r="A351" i="17"/>
  <c r="L350" i="17"/>
  <c r="D350" i="17" s="1"/>
  <c r="K350" i="17"/>
  <c r="AB347" i="20"/>
  <c r="L347" i="20"/>
  <c r="A348" i="20"/>
  <c r="X347" i="20"/>
  <c r="K347" i="20"/>
  <c r="X348" i="18"/>
  <c r="A349" i="18"/>
  <c r="AB348" i="18"/>
  <c r="K348" i="18"/>
  <c r="L348" i="18"/>
  <c r="X350" i="15"/>
  <c r="L350" i="15"/>
  <c r="D350" i="15" s="1"/>
  <c r="A351" i="15"/>
  <c r="AB350" i="15"/>
  <c r="K350" i="15"/>
  <c r="A345" i="24"/>
  <c r="K344" i="24"/>
  <c r="X344" i="24"/>
  <c r="AB344" i="24"/>
  <c r="L344" i="24"/>
  <c r="A344" i="25"/>
  <c r="L343" i="25"/>
  <c r="AB343" i="25"/>
  <c r="K343" i="25"/>
  <c r="X343" i="25"/>
  <c r="L346" i="22"/>
  <c r="K346" i="22"/>
  <c r="A347" i="22"/>
  <c r="AB346" i="22"/>
  <c r="X346" i="22"/>
  <c r="AJ353" i="1"/>
  <c r="AK353" i="1"/>
  <c r="X353" i="1"/>
  <c r="K353" i="1"/>
  <c r="AB353" i="1"/>
  <c r="A354" i="1"/>
  <c r="L353" i="1"/>
  <c r="D353" i="1" s="1"/>
  <c r="A355" i="1"/>
  <c r="L354" i="1"/>
  <c r="D354" i="1" s="1"/>
  <c r="AJ354" i="1"/>
  <c r="AB354" i="1"/>
  <c r="X354" i="1"/>
  <c r="K354" i="1"/>
  <c r="AK354" i="1"/>
  <c r="K345" i="24"/>
  <c r="X345" i="24"/>
  <c r="L345" i="24"/>
  <c r="A346" i="24"/>
  <c r="AB345" i="24"/>
  <c r="K351" i="16"/>
  <c r="X351" i="16"/>
  <c r="L351" i="16"/>
  <c r="D351" i="16" s="1"/>
  <c r="A352" i="16"/>
  <c r="AB351" i="16"/>
  <c r="X344" i="25"/>
  <c r="L344" i="25"/>
  <c r="AB344" i="25"/>
  <c r="A345" i="25"/>
  <c r="K344" i="25"/>
  <c r="K351" i="15"/>
  <c r="X351" i="15"/>
  <c r="AB351" i="15"/>
  <c r="A352" i="15"/>
  <c r="L351" i="15"/>
  <c r="D351" i="15" s="1"/>
  <c r="L349" i="18"/>
  <c r="AB349" i="18"/>
  <c r="A350" i="18"/>
  <c r="K349" i="18"/>
  <c r="X349" i="18"/>
  <c r="K351" i="17"/>
  <c r="AB351" i="17"/>
  <c r="X351" i="17"/>
  <c r="A352" i="17"/>
  <c r="L351" i="17"/>
  <c r="D351" i="17" s="1"/>
  <c r="AB346" i="23"/>
  <c r="K346" i="23"/>
  <c r="A347" i="23"/>
  <c r="L346" i="23"/>
  <c r="X346" i="23"/>
  <c r="A348" i="22"/>
  <c r="K347" i="22"/>
  <c r="X347" i="22"/>
  <c r="AB347" i="22"/>
  <c r="L347" i="22"/>
  <c r="K348" i="20"/>
  <c r="L348" i="20"/>
  <c r="X348" i="20"/>
  <c r="A349" i="20"/>
  <c r="AB348" i="20"/>
  <c r="X349" i="20"/>
  <c r="L349" i="20"/>
  <c r="AB349" i="20"/>
  <c r="K349" i="20"/>
  <c r="A350" i="20"/>
  <c r="AB347" i="23"/>
  <c r="L347" i="23"/>
  <c r="X347" i="23"/>
  <c r="K347" i="23"/>
  <c r="A348" i="23"/>
  <c r="K352" i="15"/>
  <c r="AB352" i="15"/>
  <c r="A353" i="15"/>
  <c r="L352" i="15"/>
  <c r="X352" i="15"/>
  <c r="X346" i="24"/>
  <c r="A347" i="24"/>
  <c r="L346" i="24"/>
  <c r="K346" i="24"/>
  <c r="AB346" i="24"/>
  <c r="AK355" i="1"/>
  <c r="X355" i="1"/>
  <c r="AB355" i="1"/>
  <c r="A356" i="1"/>
  <c r="L355" i="1"/>
  <c r="D355" i="1" s="1"/>
  <c r="AJ355" i="1"/>
  <c r="K355" i="1"/>
  <c r="L348" i="22"/>
  <c r="X348" i="22"/>
  <c r="AB348" i="22"/>
  <c r="A349" i="22"/>
  <c r="K348" i="22"/>
  <c r="L352" i="17"/>
  <c r="D352" i="17" s="1"/>
  <c r="X352" i="17"/>
  <c r="AB352" i="17"/>
  <c r="A353" i="17"/>
  <c r="K352" i="17"/>
  <c r="X350" i="18"/>
  <c r="A351" i="18"/>
  <c r="L350" i="18"/>
  <c r="AB350" i="18"/>
  <c r="K350" i="18"/>
  <c r="K345" i="25"/>
  <c r="L345" i="25"/>
  <c r="X345" i="25"/>
  <c r="A346" i="25"/>
  <c r="AB345" i="25"/>
  <c r="K352" i="16"/>
  <c r="AB352" i="16"/>
  <c r="A353" i="16"/>
  <c r="X352" i="16"/>
  <c r="L352" i="16"/>
  <c r="D352" i="16" s="1"/>
  <c r="A354" i="16"/>
  <c r="K353" i="16"/>
  <c r="L353" i="16"/>
  <c r="D353" i="16" s="1"/>
  <c r="AB353" i="16"/>
  <c r="X353" i="16"/>
  <c r="K351" i="18"/>
  <c r="X351" i="18"/>
  <c r="A352" i="18"/>
  <c r="AB351" i="18"/>
  <c r="L351" i="18"/>
  <c r="AB349" i="22"/>
  <c r="L349" i="22"/>
  <c r="A350" i="22"/>
  <c r="X349" i="22"/>
  <c r="K349" i="22"/>
  <c r="A357" i="1"/>
  <c r="AB356" i="1"/>
  <c r="L356" i="1"/>
  <c r="D356" i="1" s="1"/>
  <c r="K356" i="1"/>
  <c r="AK356" i="1"/>
  <c r="AJ356" i="1"/>
  <c r="X356" i="1"/>
  <c r="K347" i="24"/>
  <c r="AB347" i="24"/>
  <c r="X347" i="24"/>
  <c r="A348" i="24"/>
  <c r="L347" i="24"/>
  <c r="AB348" i="23"/>
  <c r="K348" i="23"/>
  <c r="X348" i="23"/>
  <c r="L348" i="23"/>
  <c r="A349" i="23"/>
  <c r="AB350" i="20"/>
  <c r="L350" i="20"/>
  <c r="X350" i="20"/>
  <c r="K350" i="20"/>
  <c r="A351" i="20"/>
  <c r="X346" i="25"/>
  <c r="L346" i="25"/>
  <c r="AB346" i="25"/>
  <c r="A347" i="25"/>
  <c r="K346" i="25"/>
  <c r="L353" i="17"/>
  <c r="AB353" i="17"/>
  <c r="A354" i="17"/>
  <c r="K353" i="17"/>
  <c r="X353" i="17"/>
  <c r="D352" i="15"/>
  <c r="L353" i="15"/>
  <c r="X353" i="15"/>
  <c r="A354" i="15"/>
  <c r="K353" i="15"/>
  <c r="AB353" i="15"/>
  <c r="K354" i="15"/>
  <c r="L354" i="15"/>
  <c r="A355" i="15"/>
  <c r="AB354" i="15"/>
  <c r="X354" i="15"/>
  <c r="D353" i="15"/>
  <c r="L351" i="20"/>
  <c r="K351" i="20"/>
  <c r="AB351" i="20"/>
  <c r="A352" i="20"/>
  <c r="X351" i="20"/>
  <c r="A358" i="1"/>
  <c r="L357" i="1"/>
  <c r="K357" i="1"/>
  <c r="AK357" i="1"/>
  <c r="AJ357" i="1"/>
  <c r="X357" i="1"/>
  <c r="AB357" i="1"/>
  <c r="AB350" i="22"/>
  <c r="K350" i="22"/>
  <c r="L350" i="22"/>
  <c r="X350" i="22"/>
  <c r="A351" i="22"/>
  <c r="X354" i="16"/>
  <c r="A355" i="16"/>
  <c r="L354" i="16"/>
  <c r="D354" i="16" s="1"/>
  <c r="AB354" i="16"/>
  <c r="K354" i="16"/>
  <c r="A355" i="17"/>
  <c r="K354" i="17"/>
  <c r="L354" i="17"/>
  <c r="D354" i="17" s="1"/>
  <c r="AB354" i="17"/>
  <c r="X354" i="17"/>
  <c r="D353" i="17"/>
  <c r="A348" i="25"/>
  <c r="X347" i="25"/>
  <c r="K347" i="25"/>
  <c r="AB347" i="25"/>
  <c r="L347" i="25"/>
  <c r="AB349" i="23"/>
  <c r="X349" i="23"/>
  <c r="A350" i="23"/>
  <c r="L349" i="23"/>
  <c r="K349" i="23"/>
  <c r="A349" i="24"/>
  <c r="AB348" i="24"/>
  <c r="K348" i="24"/>
  <c r="L348" i="24"/>
  <c r="X348" i="24"/>
  <c r="A353" i="18"/>
  <c r="L352" i="18"/>
  <c r="X352" i="18"/>
  <c r="K352" i="18"/>
  <c r="AB352" i="18"/>
  <c r="X349" i="24"/>
  <c r="A350" i="24"/>
  <c r="AB349" i="24"/>
  <c r="K349" i="24"/>
  <c r="L349" i="24"/>
  <c r="K355" i="17"/>
  <c r="AB355" i="17"/>
  <c r="A356" i="17"/>
  <c r="L355" i="17"/>
  <c r="D355" i="17" s="1"/>
  <c r="X355" i="17"/>
  <c r="A356" i="16"/>
  <c r="AB355" i="16"/>
  <c r="L355" i="16"/>
  <c r="D355" i="16" s="1"/>
  <c r="K355" i="16"/>
  <c r="X355" i="16"/>
  <c r="A352" i="22"/>
  <c r="AB351" i="22"/>
  <c r="X351" i="22"/>
  <c r="L351" i="22"/>
  <c r="K351" i="22"/>
  <c r="D357" i="1"/>
  <c r="D354" i="15"/>
  <c r="A354" i="18"/>
  <c r="AB353" i="18"/>
  <c r="X353" i="18"/>
  <c r="L353" i="18"/>
  <c r="K353" i="18"/>
  <c r="K350" i="23"/>
  <c r="X350" i="23"/>
  <c r="AB350" i="23"/>
  <c r="A351" i="23"/>
  <c r="L350" i="23"/>
  <c r="A349" i="25"/>
  <c r="K348" i="25"/>
  <c r="X348" i="25"/>
  <c r="L348" i="25"/>
  <c r="AB348" i="25"/>
  <c r="AB358" i="1"/>
  <c r="L358" i="1"/>
  <c r="D358" i="1" s="1"/>
  <c r="AJ358" i="1"/>
  <c r="A359" i="1"/>
  <c r="K358" i="1"/>
  <c r="AK358" i="1"/>
  <c r="X358" i="1"/>
  <c r="A353" i="20"/>
  <c r="AB352" i="20"/>
  <c r="K352" i="20"/>
  <c r="X352" i="20"/>
  <c r="L352" i="20"/>
  <c r="L355" i="15"/>
  <c r="D355" i="15" s="1"/>
  <c r="AB355" i="15"/>
  <c r="K355" i="15"/>
  <c r="X355" i="15"/>
  <c r="A356" i="15"/>
  <c r="X349" i="25"/>
  <c r="A350" i="25"/>
  <c r="L349" i="25"/>
  <c r="K349" i="25"/>
  <c r="AB349" i="25"/>
  <c r="A357" i="16"/>
  <c r="X356" i="16"/>
  <c r="L356" i="16"/>
  <c r="D356" i="16" s="1"/>
  <c r="K356" i="16"/>
  <c r="AB356" i="16"/>
  <c r="K356" i="17"/>
  <c r="AB356" i="17"/>
  <c r="L356" i="17"/>
  <c r="D356" i="17" s="1"/>
  <c r="A357" i="17"/>
  <c r="X356" i="17"/>
  <c r="L350" i="24"/>
  <c r="AB350" i="24"/>
  <c r="K350" i="24"/>
  <c r="X350" i="24"/>
  <c r="A351" i="24"/>
  <c r="K356" i="15"/>
  <c r="A357" i="15"/>
  <c r="AB356" i="15"/>
  <c r="X356" i="15"/>
  <c r="L356" i="15"/>
  <c r="L353" i="20"/>
  <c r="A354" i="20"/>
  <c r="AB353" i="20"/>
  <c r="K353" i="20"/>
  <c r="X353" i="20"/>
  <c r="A360" i="1"/>
  <c r="K359" i="1"/>
  <c r="L359" i="1"/>
  <c r="D359" i="1" s="1"/>
  <c r="X359" i="1"/>
  <c r="AK359" i="1"/>
  <c r="AB359" i="1"/>
  <c r="AJ359" i="1"/>
  <c r="K351" i="23"/>
  <c r="L351" i="23"/>
  <c r="AB351" i="23"/>
  <c r="X351" i="23"/>
  <c r="A352" i="23"/>
  <c r="AB354" i="18"/>
  <c r="L354" i="18"/>
  <c r="A355" i="18"/>
  <c r="K354" i="18"/>
  <c r="X354" i="18"/>
  <c r="A353" i="22"/>
  <c r="AB352" i="22"/>
  <c r="K352" i="22"/>
  <c r="L352" i="22"/>
  <c r="X352" i="22"/>
  <c r="D356" i="15"/>
  <c r="AB357" i="15"/>
  <c r="A358" i="15"/>
  <c r="K357" i="15"/>
  <c r="L357" i="15"/>
  <c r="D357" i="15" s="1"/>
  <c r="X357" i="15"/>
  <c r="AB351" i="24"/>
  <c r="K351" i="24"/>
  <c r="A352" i="24"/>
  <c r="X351" i="24"/>
  <c r="L351" i="24"/>
  <c r="K357" i="16"/>
  <c r="L357" i="16"/>
  <c r="D357" i="16" s="1"/>
  <c r="X357" i="16"/>
  <c r="A358" i="16"/>
  <c r="AB357" i="16"/>
  <c r="L353" i="22"/>
  <c r="X353" i="22"/>
  <c r="AB353" i="22"/>
  <c r="A354" i="22"/>
  <c r="K353" i="22"/>
  <c r="AB355" i="18"/>
  <c r="L355" i="18"/>
  <c r="A356" i="18"/>
  <c r="K355" i="18"/>
  <c r="X355" i="18"/>
  <c r="AB352" i="23"/>
  <c r="A353" i="23"/>
  <c r="X352" i="23"/>
  <c r="K352" i="23"/>
  <c r="L352" i="23"/>
  <c r="AJ360" i="1"/>
  <c r="AK360" i="1"/>
  <c r="K360" i="1"/>
  <c r="X360" i="1"/>
  <c r="AB360" i="1"/>
  <c r="L360" i="1"/>
  <c r="D360" i="1" s="1"/>
  <c r="A361" i="1"/>
  <c r="X354" i="20"/>
  <c r="L354" i="20"/>
  <c r="K354" i="20"/>
  <c r="A355" i="20"/>
  <c r="AB354" i="20"/>
  <c r="AB357" i="17"/>
  <c r="K357" i="17"/>
  <c r="X357" i="17"/>
  <c r="A358" i="17"/>
  <c r="L357" i="17"/>
  <c r="D357" i="17" s="1"/>
  <c r="A351" i="25"/>
  <c r="X350" i="25"/>
  <c r="AB350" i="25"/>
  <c r="L350" i="25"/>
  <c r="K350" i="25"/>
  <c r="X351" i="25"/>
  <c r="L351" i="25"/>
  <c r="AB351" i="25"/>
  <c r="A352" i="25"/>
  <c r="K351" i="25"/>
  <c r="L355" i="20"/>
  <c r="AB355" i="20"/>
  <c r="X355" i="20"/>
  <c r="A356" i="20"/>
  <c r="K355" i="20"/>
  <c r="AB353" i="23"/>
  <c r="K353" i="23"/>
  <c r="L353" i="23"/>
  <c r="X353" i="23"/>
  <c r="A354" i="23"/>
  <c r="K356" i="18"/>
  <c r="A357" i="18"/>
  <c r="L356" i="18"/>
  <c r="AB356" i="18"/>
  <c r="X356" i="18"/>
  <c r="A355" i="22"/>
  <c r="L354" i="22"/>
  <c r="K354" i="22"/>
  <c r="AB354" i="22"/>
  <c r="X354" i="22"/>
  <c r="K358" i="17"/>
  <c r="X358" i="17"/>
  <c r="A359" i="17"/>
  <c r="L358" i="17"/>
  <c r="D358" i="17" s="1"/>
  <c r="AB358" i="17"/>
  <c r="A362" i="1"/>
  <c r="AB361" i="1"/>
  <c r="AK361" i="1"/>
  <c r="X361" i="1"/>
  <c r="AJ361" i="1"/>
  <c r="K361" i="1"/>
  <c r="L361" i="1"/>
  <c r="D361" i="1" s="1"/>
  <c r="A359" i="16"/>
  <c r="X358" i="16"/>
  <c r="L358" i="16"/>
  <c r="D358" i="16" s="1"/>
  <c r="AB358" i="16"/>
  <c r="K358" i="16"/>
  <c r="AB352" i="24"/>
  <c r="K352" i="24"/>
  <c r="A353" i="24"/>
  <c r="L352" i="24"/>
  <c r="X352" i="24"/>
  <c r="AB358" i="15"/>
  <c r="A359" i="15"/>
  <c r="L358" i="15"/>
  <c r="K358" i="15"/>
  <c r="X358" i="15"/>
  <c r="X359" i="15"/>
  <c r="AB359" i="15"/>
  <c r="A360" i="15"/>
  <c r="K359" i="15"/>
  <c r="L359" i="15"/>
  <c r="L353" i="24"/>
  <c r="A354" i="24"/>
  <c r="X353" i="24"/>
  <c r="K353" i="24"/>
  <c r="AB353" i="24"/>
  <c r="X359" i="16"/>
  <c r="L359" i="16"/>
  <c r="D359" i="16" s="1"/>
  <c r="AB359" i="16"/>
  <c r="K359" i="16"/>
  <c r="A360" i="16"/>
  <c r="A363" i="1"/>
  <c r="X362" i="1"/>
  <c r="L362" i="1"/>
  <c r="D362" i="1" s="1"/>
  <c r="AJ362" i="1"/>
  <c r="AK362" i="1"/>
  <c r="K362" i="1"/>
  <c r="AB362" i="1"/>
  <c r="AB359" i="17"/>
  <c r="X359" i="17"/>
  <c r="L359" i="17"/>
  <c r="D359" i="17" s="1"/>
  <c r="A360" i="17"/>
  <c r="K359" i="17"/>
  <c r="L354" i="23"/>
  <c r="K354" i="23"/>
  <c r="AB354" i="23"/>
  <c r="A355" i="23"/>
  <c r="X354" i="23"/>
  <c r="K352" i="25"/>
  <c r="AB352" i="25"/>
  <c r="A353" i="25"/>
  <c r="L352" i="25"/>
  <c r="X352" i="25"/>
  <c r="D358" i="15"/>
  <c r="AB355" i="22"/>
  <c r="X355" i="22"/>
  <c r="L355" i="22"/>
  <c r="A356" i="22"/>
  <c r="K355" i="22"/>
  <c r="K357" i="18"/>
  <c r="L357" i="18"/>
  <c r="AB357" i="18"/>
  <c r="A358" i="18"/>
  <c r="X357" i="18"/>
  <c r="K356" i="20"/>
  <c r="X356" i="20"/>
  <c r="L356" i="20"/>
  <c r="AB356" i="20"/>
  <c r="A357" i="20"/>
  <c r="AB357" i="20"/>
  <c r="X357" i="20"/>
  <c r="K357" i="20"/>
  <c r="A358" i="20"/>
  <c r="L357" i="20"/>
  <c r="K358" i="18"/>
  <c r="X358" i="18"/>
  <c r="L358" i="18"/>
  <c r="A359" i="18"/>
  <c r="AB358" i="18"/>
  <c r="X356" i="22"/>
  <c r="L356" i="22"/>
  <c r="K356" i="22"/>
  <c r="A357" i="22"/>
  <c r="AB356" i="22"/>
  <c r="K353" i="25"/>
  <c r="L353" i="25"/>
  <c r="AB353" i="25"/>
  <c r="X353" i="25"/>
  <c r="A354" i="25"/>
  <c r="A355" i="24"/>
  <c r="K354" i="24"/>
  <c r="X354" i="24"/>
  <c r="AB354" i="24"/>
  <c r="L354" i="24"/>
  <c r="X360" i="15"/>
  <c r="K360" i="15"/>
  <c r="L360" i="15"/>
  <c r="AB360" i="15"/>
  <c r="A361" i="15"/>
  <c r="L355" i="23"/>
  <c r="A356" i="23"/>
  <c r="AB355" i="23"/>
  <c r="K355" i="23"/>
  <c r="X355" i="23"/>
  <c r="X360" i="17"/>
  <c r="K360" i="17"/>
  <c r="AB360" i="17"/>
  <c r="L360" i="17"/>
  <c r="D360" i="17" s="1"/>
  <c r="A361" i="17"/>
  <c r="AB363" i="1"/>
  <c r="A31" i="7"/>
  <c r="AJ363" i="1"/>
  <c r="AK363" i="1"/>
  <c r="A364" i="1"/>
  <c r="X363" i="1"/>
  <c r="K363" i="1"/>
  <c r="L363" i="1"/>
  <c r="D363" i="1" s="1"/>
  <c r="K360" i="16"/>
  <c r="X360" i="16"/>
  <c r="AB360" i="16"/>
  <c r="L360" i="16"/>
  <c r="D360" i="16" s="1"/>
  <c r="A361" i="16"/>
  <c r="D359" i="15"/>
  <c r="K361" i="16"/>
  <c r="AB361" i="16"/>
  <c r="A362" i="16"/>
  <c r="X361" i="16"/>
  <c r="L361" i="16"/>
  <c r="A365" i="1"/>
  <c r="AB364" i="1"/>
  <c r="K364" i="1"/>
  <c r="X364" i="1"/>
  <c r="AJ364" i="1"/>
  <c r="AK364" i="1"/>
  <c r="L364" i="1"/>
  <c r="D364" i="1" s="1"/>
  <c r="L361" i="15"/>
  <c r="D361" i="15" s="1"/>
  <c r="X361" i="15"/>
  <c r="AB361" i="15"/>
  <c r="K361" i="15"/>
  <c r="A362" i="15"/>
  <c r="D360" i="15"/>
  <c r="AB354" i="25"/>
  <c r="X354" i="25"/>
  <c r="A355" i="25"/>
  <c r="L354" i="25"/>
  <c r="K354" i="25"/>
  <c r="X358" i="20"/>
  <c r="K358" i="20"/>
  <c r="A359" i="20"/>
  <c r="AB358" i="20"/>
  <c r="L358" i="20"/>
  <c r="A362" i="17"/>
  <c r="X361" i="17"/>
  <c r="AB361" i="17"/>
  <c r="L361" i="17"/>
  <c r="K361" i="17"/>
  <c r="AB356" i="23"/>
  <c r="L356" i="23"/>
  <c r="K356" i="23"/>
  <c r="X356" i="23"/>
  <c r="A357" i="23"/>
  <c r="A356" i="24"/>
  <c r="K355" i="24"/>
  <c r="X355" i="24"/>
  <c r="AB355" i="24"/>
  <c r="L355" i="24"/>
  <c r="L357" i="22"/>
  <c r="AB357" i="22"/>
  <c r="X357" i="22"/>
  <c r="A358" i="22"/>
  <c r="K357" i="22"/>
  <c r="X359" i="18"/>
  <c r="AB359" i="18"/>
  <c r="K359" i="18"/>
  <c r="A360" i="18"/>
  <c r="L359" i="18"/>
  <c r="X360" i="18"/>
  <c r="A361" i="18"/>
  <c r="AB360" i="18"/>
  <c r="L360" i="18"/>
  <c r="K360" i="18"/>
  <c r="A359" i="22"/>
  <c r="K358" i="22"/>
  <c r="X358" i="22"/>
  <c r="L358" i="22"/>
  <c r="AB358" i="22"/>
  <c r="X359" i="20"/>
  <c r="K359" i="20"/>
  <c r="AB359" i="20"/>
  <c r="L359" i="20"/>
  <c r="A360" i="20"/>
  <c r="X362" i="15"/>
  <c r="AB362" i="15"/>
  <c r="L362" i="15"/>
  <c r="D362" i="15" s="1"/>
  <c r="A363" i="15"/>
  <c r="K362" i="15"/>
  <c r="AK365" i="1"/>
  <c r="AJ365" i="1"/>
  <c r="AB365" i="1"/>
  <c r="A366" i="1"/>
  <c r="L365" i="1"/>
  <c r="D365" i="1" s="1"/>
  <c r="K365" i="1"/>
  <c r="X365" i="1"/>
  <c r="D361" i="16"/>
  <c r="X356" i="24"/>
  <c r="L356" i="24"/>
  <c r="K356" i="24"/>
  <c r="A357" i="24"/>
  <c r="AB356" i="24"/>
  <c r="A358" i="23"/>
  <c r="L357" i="23"/>
  <c r="X357" i="23"/>
  <c r="K357" i="23"/>
  <c r="AB357" i="23"/>
  <c r="D361" i="17"/>
  <c r="A363" i="17"/>
  <c r="K362" i="17"/>
  <c r="L362" i="17"/>
  <c r="D362" i="17" s="1"/>
  <c r="AB362" i="17"/>
  <c r="X362" i="17"/>
  <c r="X355" i="25"/>
  <c r="A356" i="25"/>
  <c r="AB355" i="25"/>
  <c r="K355" i="25"/>
  <c r="L355" i="25"/>
  <c r="X362" i="16"/>
  <c r="AB362" i="16"/>
  <c r="L362" i="16"/>
  <c r="A363" i="16"/>
  <c r="K362" i="16"/>
  <c r="A358" i="24"/>
  <c r="K357" i="24"/>
  <c r="X357" i="24"/>
  <c r="AB357" i="24"/>
  <c r="L357" i="24"/>
  <c r="L359" i="22"/>
  <c r="X359" i="22"/>
  <c r="AB359" i="22"/>
  <c r="K359" i="22"/>
  <c r="A360" i="22"/>
  <c r="X361" i="18"/>
  <c r="K361" i="18"/>
  <c r="L361" i="18"/>
  <c r="AB361" i="18"/>
  <c r="A362" i="18"/>
  <c r="AB363" i="16"/>
  <c r="L363" i="16"/>
  <c r="D363" i="16" s="1"/>
  <c r="A364" i="16"/>
  <c r="A55" i="7"/>
  <c r="X363" i="16"/>
  <c r="K363" i="16"/>
  <c r="D362" i="16"/>
  <c r="AB356" i="25"/>
  <c r="L356" i="25"/>
  <c r="X356" i="25"/>
  <c r="K356" i="25"/>
  <c r="A357" i="25"/>
  <c r="AB363" i="17"/>
  <c r="L363" i="17"/>
  <c r="B67" i="7" s="1"/>
  <c r="X363" i="17"/>
  <c r="A67" i="7"/>
  <c r="K363" i="17"/>
  <c r="A364" i="17"/>
  <c r="X358" i="23"/>
  <c r="L358" i="23"/>
  <c r="A359" i="23"/>
  <c r="K358" i="23"/>
  <c r="AB358" i="23"/>
  <c r="A367" i="1"/>
  <c r="AB366" i="1"/>
  <c r="X366" i="1"/>
  <c r="AJ366" i="1"/>
  <c r="AK366" i="1"/>
  <c r="L366" i="1"/>
  <c r="D366" i="1" s="1"/>
  <c r="K366" i="1"/>
  <c r="A364" i="15"/>
  <c r="AB363" i="15"/>
  <c r="X363" i="15"/>
  <c r="A43" i="7"/>
  <c r="K363" i="15"/>
  <c r="L363" i="15"/>
  <c r="D363" i="15" s="1"/>
  <c r="L360" i="20"/>
  <c r="A361" i="20"/>
  <c r="X360" i="20"/>
  <c r="K360" i="20"/>
  <c r="AB360" i="20"/>
  <c r="X367" i="1"/>
  <c r="AK367" i="1"/>
  <c r="AB367" i="1"/>
  <c r="A368" i="1"/>
  <c r="K367" i="1"/>
  <c r="L367" i="1"/>
  <c r="D367" i="1" s="1"/>
  <c r="AJ367" i="1"/>
  <c r="L357" i="25"/>
  <c r="A358" i="25"/>
  <c r="AB357" i="25"/>
  <c r="X357" i="25"/>
  <c r="K357" i="25"/>
  <c r="B55" i="7"/>
  <c r="K364" i="15"/>
  <c r="A365" i="15"/>
  <c r="AB364" i="15"/>
  <c r="L364" i="15"/>
  <c r="D364" i="15" s="1"/>
  <c r="X364" i="15"/>
  <c r="L361" i="20"/>
  <c r="AB361" i="20"/>
  <c r="A362" i="20"/>
  <c r="K361" i="20"/>
  <c r="X361" i="20"/>
  <c r="L359" i="23"/>
  <c r="AB359" i="23"/>
  <c r="X359" i="23"/>
  <c r="A360" i="23"/>
  <c r="K359" i="23"/>
  <c r="L364" i="17"/>
  <c r="D364" i="17" s="1"/>
  <c r="K364" i="17"/>
  <c r="A365" i="17"/>
  <c r="AB364" i="17"/>
  <c r="X364" i="17"/>
  <c r="A365" i="16"/>
  <c r="X364" i="16"/>
  <c r="K364" i="16"/>
  <c r="AB364" i="16"/>
  <c r="L364" i="16"/>
  <c r="D364" i="16" s="1"/>
  <c r="X362" i="18"/>
  <c r="L362" i="18"/>
  <c r="A363" i="18"/>
  <c r="K362" i="18"/>
  <c r="AB362" i="18"/>
  <c r="AB360" i="22"/>
  <c r="K360" i="22"/>
  <c r="L360" i="22"/>
  <c r="X360" i="22"/>
  <c r="A361" i="22"/>
  <c r="AB358" i="24"/>
  <c r="A359" i="24"/>
  <c r="X358" i="24"/>
  <c r="K358" i="24"/>
  <c r="L358" i="24"/>
  <c r="L361" i="22"/>
  <c r="A362" i="22"/>
  <c r="AB361" i="22"/>
  <c r="X361" i="22"/>
  <c r="K361" i="22"/>
  <c r="A366" i="17"/>
  <c r="X365" i="17"/>
  <c r="L365" i="17"/>
  <c r="D365" i="17" s="1"/>
  <c r="AB365" i="17"/>
  <c r="K365" i="17"/>
  <c r="K358" i="25"/>
  <c r="L358" i="25"/>
  <c r="X358" i="25"/>
  <c r="AB358" i="25"/>
  <c r="A359" i="25"/>
  <c r="L359" i="24"/>
  <c r="AB359" i="24"/>
  <c r="X359" i="24"/>
  <c r="K359" i="24"/>
  <c r="A360" i="24"/>
  <c r="A364" i="18"/>
  <c r="A79" i="7"/>
  <c r="X363" i="18"/>
  <c r="AB363" i="18"/>
  <c r="L363" i="18"/>
  <c r="B79" i="7" s="1"/>
  <c r="K363" i="18"/>
  <c r="K365" i="16"/>
  <c r="AB365" i="16"/>
  <c r="L365" i="16"/>
  <c r="A366" i="16"/>
  <c r="X365" i="16"/>
  <c r="A361" i="23"/>
  <c r="K360" i="23"/>
  <c r="X360" i="23"/>
  <c r="L360" i="23"/>
  <c r="AB360" i="23"/>
  <c r="A363" i="20"/>
  <c r="L362" i="20"/>
  <c r="AB362" i="20"/>
  <c r="K362" i="20"/>
  <c r="X362" i="20"/>
  <c r="X365" i="15"/>
  <c r="L365" i="15"/>
  <c r="D365" i="15" s="1"/>
  <c r="K365" i="15"/>
  <c r="A366" i="15"/>
  <c r="AB365" i="15"/>
  <c r="A369" i="1"/>
  <c r="K368" i="1"/>
  <c r="AJ368" i="1"/>
  <c r="L368" i="1"/>
  <c r="D368" i="1" s="1"/>
  <c r="AK368" i="1"/>
  <c r="X368" i="1"/>
  <c r="AB368" i="1"/>
  <c r="A365" i="18"/>
  <c r="L364" i="18"/>
  <c r="K364" i="18"/>
  <c r="AB364" i="18"/>
  <c r="X364" i="18"/>
  <c r="AB366" i="17"/>
  <c r="L366" i="17"/>
  <c r="D366" i="17" s="1"/>
  <c r="A367" i="17"/>
  <c r="X366" i="17"/>
  <c r="K366" i="17"/>
  <c r="A363" i="22"/>
  <c r="K362" i="22"/>
  <c r="X362" i="22"/>
  <c r="AB362" i="22"/>
  <c r="L362" i="22"/>
  <c r="A370" i="1"/>
  <c r="X369" i="1"/>
  <c r="AJ369" i="1"/>
  <c r="AB369" i="1"/>
  <c r="AK369" i="1"/>
  <c r="L369" i="1"/>
  <c r="D369" i="1" s="1"/>
  <c r="K369" i="1"/>
  <c r="X366" i="15"/>
  <c r="A367" i="15"/>
  <c r="K366" i="15"/>
  <c r="AB366" i="15"/>
  <c r="L366" i="15"/>
  <c r="D366" i="15" s="1"/>
  <c r="X363" i="20"/>
  <c r="AB363" i="20"/>
  <c r="A364" i="20"/>
  <c r="L363" i="20"/>
  <c r="AF31" i="7" s="1"/>
  <c r="K363" i="20"/>
  <c r="AE31" i="7"/>
  <c r="X361" i="23"/>
  <c r="A362" i="23"/>
  <c r="L361" i="23"/>
  <c r="K361" i="23"/>
  <c r="AB361" i="23"/>
  <c r="A367" i="16"/>
  <c r="X366" i="16"/>
  <c r="K366" i="16"/>
  <c r="L366" i="16"/>
  <c r="D366" i="16" s="1"/>
  <c r="AB366" i="16"/>
  <c r="D365" i="16"/>
  <c r="K360" i="24"/>
  <c r="L360" i="24"/>
  <c r="A361" i="24"/>
  <c r="AB360" i="24"/>
  <c r="X360" i="24"/>
  <c r="L359" i="25"/>
  <c r="A360" i="25"/>
  <c r="K359" i="25"/>
  <c r="AB359" i="25"/>
  <c r="X359" i="25"/>
  <c r="K360" i="25"/>
  <c r="A361" i="25"/>
  <c r="L360" i="25"/>
  <c r="AB360" i="25"/>
  <c r="X360" i="25"/>
  <c r="AB367" i="16"/>
  <c r="K367" i="16"/>
  <c r="X367" i="16"/>
  <c r="L367" i="16"/>
  <c r="D367" i="16" s="1"/>
  <c r="A368" i="16"/>
  <c r="AB362" i="23"/>
  <c r="X362" i="23"/>
  <c r="A363" i="23"/>
  <c r="K362" i="23"/>
  <c r="L362" i="23"/>
  <c r="A364" i="22"/>
  <c r="X363" i="22"/>
  <c r="K363" i="22"/>
  <c r="AE43" i="7"/>
  <c r="AB363" i="22"/>
  <c r="L363" i="22"/>
  <c r="AF43" i="7" s="1"/>
  <c r="A368" i="17"/>
  <c r="K367" i="17"/>
  <c r="X367" i="17"/>
  <c r="AB367" i="17"/>
  <c r="L367" i="17"/>
  <c r="X361" i="24"/>
  <c r="K361" i="24"/>
  <c r="L361" i="24"/>
  <c r="AB361" i="24"/>
  <c r="A362" i="24"/>
  <c r="AB364" i="20"/>
  <c r="X364" i="20"/>
  <c r="L364" i="20"/>
  <c r="A365" i="20"/>
  <c r="K364" i="20"/>
  <c r="A368" i="15"/>
  <c r="K367" i="15"/>
  <c r="AB367" i="15"/>
  <c r="X367" i="15"/>
  <c r="L367" i="15"/>
  <c r="D367" i="15" s="1"/>
  <c r="AJ370" i="1"/>
  <c r="X370" i="1"/>
  <c r="AB370" i="1"/>
  <c r="A371" i="1"/>
  <c r="AK370" i="1"/>
  <c r="L370" i="1"/>
  <c r="D370" i="1" s="1"/>
  <c r="K370" i="1"/>
  <c r="A366" i="18"/>
  <c r="K365" i="18"/>
  <c r="AB365" i="18"/>
  <c r="L365" i="18"/>
  <c r="X365" i="18"/>
  <c r="A372" i="1"/>
  <c r="K371" i="1"/>
  <c r="AJ371" i="1"/>
  <c r="X371" i="1"/>
  <c r="L371" i="1"/>
  <c r="D371" i="1" s="1"/>
  <c r="AK371" i="1"/>
  <c r="AB371" i="1"/>
  <c r="AB365" i="20"/>
  <c r="K365" i="20"/>
  <c r="L365" i="20"/>
  <c r="X365" i="20"/>
  <c r="A366" i="20"/>
  <c r="D367" i="17"/>
  <c r="K368" i="16"/>
  <c r="AB368" i="16"/>
  <c r="L368" i="16"/>
  <c r="D368" i="16" s="1"/>
  <c r="A369" i="16"/>
  <c r="X368" i="16"/>
  <c r="K366" i="18"/>
  <c r="L366" i="18"/>
  <c r="AB366" i="18"/>
  <c r="X366" i="18"/>
  <c r="A367" i="18"/>
  <c r="X368" i="15"/>
  <c r="K368" i="15"/>
  <c r="L368" i="15"/>
  <c r="D368" i="15" s="1"/>
  <c r="A369" i="15"/>
  <c r="AB368" i="15"/>
  <c r="X362" i="24"/>
  <c r="AB362" i="24"/>
  <c r="A363" i="24"/>
  <c r="K362" i="24"/>
  <c r="L362" i="24"/>
  <c r="L368" i="17"/>
  <c r="AB368" i="17"/>
  <c r="A369" i="17"/>
  <c r="K368" i="17"/>
  <c r="X368" i="17"/>
  <c r="AB364" i="22"/>
  <c r="X364" i="22"/>
  <c r="A365" i="22"/>
  <c r="L364" i="22"/>
  <c r="K364" i="22"/>
  <c r="K363" i="23"/>
  <c r="L363" i="23"/>
  <c r="AF55" i="7" s="1"/>
  <c r="X363" i="23"/>
  <c r="AB363" i="23"/>
  <c r="AE55" i="7"/>
  <c r="A364" i="23"/>
  <c r="X361" i="25"/>
  <c r="K361" i="25"/>
  <c r="L361" i="25"/>
  <c r="AB361" i="25"/>
  <c r="A362" i="25"/>
  <c r="X364" i="23"/>
  <c r="K364" i="23"/>
  <c r="AB364" i="23"/>
  <c r="A365" i="23"/>
  <c r="L364" i="23"/>
  <c r="L365" i="22"/>
  <c r="A366" i="22"/>
  <c r="AB365" i="22"/>
  <c r="X365" i="22"/>
  <c r="K365" i="22"/>
  <c r="AB369" i="17"/>
  <c r="L369" i="17"/>
  <c r="D369" i="17" s="1"/>
  <c r="A370" i="17"/>
  <c r="K369" i="17"/>
  <c r="X369" i="17"/>
  <c r="D368" i="17"/>
  <c r="AB363" i="24"/>
  <c r="X363" i="24"/>
  <c r="AE67" i="7"/>
  <c r="L363" i="24"/>
  <c r="AF67" i="7" s="1"/>
  <c r="A364" i="24"/>
  <c r="K363" i="24"/>
  <c r="AB366" i="20"/>
  <c r="X366" i="20"/>
  <c r="L366" i="20"/>
  <c r="K366" i="20"/>
  <c r="A367" i="20"/>
  <c r="AB372" i="1"/>
  <c r="AJ372" i="1"/>
  <c r="AK372" i="1"/>
  <c r="L372" i="1"/>
  <c r="D372" i="1" s="1"/>
  <c r="K372" i="1"/>
  <c r="X372" i="1"/>
  <c r="A373" i="1"/>
  <c r="A363" i="25"/>
  <c r="X362" i="25"/>
  <c r="AB362" i="25"/>
  <c r="K362" i="25"/>
  <c r="L362" i="25"/>
  <c r="A370" i="15"/>
  <c r="AB369" i="15"/>
  <c r="L369" i="15"/>
  <c r="D369" i="15" s="1"/>
  <c r="X369" i="15"/>
  <c r="K369" i="15"/>
  <c r="X367" i="18"/>
  <c r="A368" i="18"/>
  <c r="L367" i="18"/>
  <c r="K367" i="18"/>
  <c r="AB367" i="18"/>
  <c r="X369" i="16"/>
  <c r="L369" i="16"/>
  <c r="D369" i="16" s="1"/>
  <c r="A370" i="16"/>
  <c r="AB369" i="16"/>
  <c r="K369" i="16"/>
  <c r="AB368" i="18"/>
  <c r="K368" i="18"/>
  <c r="A369" i="18"/>
  <c r="X368" i="18"/>
  <c r="L368" i="18"/>
  <c r="K370" i="15"/>
  <c r="L370" i="15"/>
  <c r="A371" i="15"/>
  <c r="X370" i="15"/>
  <c r="AB370" i="15"/>
  <c r="L363" i="25"/>
  <c r="AF79" i="7" s="1"/>
  <c r="AE79" i="7"/>
  <c r="K363" i="25"/>
  <c r="A364" i="25"/>
  <c r="X363" i="25"/>
  <c r="AB363" i="25"/>
  <c r="K367" i="20"/>
  <c r="X367" i="20"/>
  <c r="L367" i="20"/>
  <c r="AB367" i="20"/>
  <c r="A368" i="20"/>
  <c r="K370" i="17"/>
  <c r="A371" i="17"/>
  <c r="L370" i="17"/>
  <c r="D370" i="17" s="1"/>
  <c r="AB370" i="17"/>
  <c r="X370" i="17"/>
  <c r="X370" i="16"/>
  <c r="L370" i="16"/>
  <c r="D370" i="16" s="1"/>
  <c r="A371" i="16"/>
  <c r="K370" i="16"/>
  <c r="AB370" i="16"/>
  <c r="A374" i="1"/>
  <c r="L373" i="1"/>
  <c r="D373" i="1" s="1"/>
  <c r="K373" i="1"/>
  <c r="X373" i="1"/>
  <c r="AJ373" i="1"/>
  <c r="AK373" i="1"/>
  <c r="AB373" i="1"/>
  <c r="A365" i="24"/>
  <c r="AB364" i="24"/>
  <c r="X364" i="24"/>
  <c r="K364" i="24"/>
  <c r="L364" i="24"/>
  <c r="AB366" i="22"/>
  <c r="L366" i="22"/>
  <c r="K366" i="22"/>
  <c r="X366" i="22"/>
  <c r="A367" i="22"/>
  <c r="X365" i="23"/>
  <c r="L365" i="23"/>
  <c r="AB365" i="23"/>
  <c r="A366" i="23"/>
  <c r="K365" i="23"/>
  <c r="K366" i="23"/>
  <c r="A367" i="23"/>
  <c r="AB366" i="23"/>
  <c r="X366" i="23"/>
  <c r="L366" i="23"/>
  <c r="K367" i="22"/>
  <c r="A368" i="22"/>
  <c r="AB367" i="22"/>
  <c r="X367" i="22"/>
  <c r="L367" i="22"/>
  <c r="L365" i="24"/>
  <c r="AB365" i="24"/>
  <c r="K365" i="24"/>
  <c r="A366" i="24"/>
  <c r="X365" i="24"/>
  <c r="AB371" i="16"/>
  <c r="X371" i="16"/>
  <c r="L371" i="16"/>
  <c r="D371" i="16" s="1"/>
  <c r="A372" i="16"/>
  <c r="K371" i="16"/>
  <c r="AB371" i="17"/>
  <c r="A372" i="17"/>
  <c r="X371" i="17"/>
  <c r="L371" i="17"/>
  <c r="D371" i="17" s="1"/>
  <c r="K371" i="17"/>
  <c r="A369" i="20"/>
  <c r="L368" i="20"/>
  <c r="K368" i="20"/>
  <c r="X368" i="20"/>
  <c r="AB368" i="20"/>
  <c r="L364" i="25"/>
  <c r="A365" i="25"/>
  <c r="X364" i="25"/>
  <c r="K364" i="25"/>
  <c r="AB364" i="25"/>
  <c r="L371" i="15"/>
  <c r="D371" i="15" s="1"/>
  <c r="K371" i="15"/>
  <c r="AB371" i="15"/>
  <c r="X371" i="15"/>
  <c r="A372" i="15"/>
  <c r="A375" i="1"/>
  <c r="AB374" i="1"/>
  <c r="AJ374" i="1"/>
  <c r="L374" i="1"/>
  <c r="D374" i="1" s="1"/>
  <c r="K374" i="1"/>
  <c r="AK374" i="1"/>
  <c r="X374" i="1"/>
  <c r="D370" i="15"/>
  <c r="L369" i="18"/>
  <c r="A370" i="18"/>
  <c r="X369" i="18"/>
  <c r="AB369" i="18"/>
  <c r="K369" i="18"/>
  <c r="AB375" i="1"/>
  <c r="AJ375" i="1"/>
  <c r="AK375" i="1"/>
  <c r="L375" i="1"/>
  <c r="D375" i="1" s="1"/>
  <c r="A376" i="1"/>
  <c r="X375" i="1"/>
  <c r="K375" i="1"/>
  <c r="K365" i="25"/>
  <c r="L365" i="25"/>
  <c r="A366" i="25"/>
  <c r="AB365" i="25"/>
  <c r="X365" i="25"/>
  <c r="K369" i="20"/>
  <c r="L369" i="20"/>
  <c r="AB369" i="20"/>
  <c r="X369" i="20"/>
  <c r="A370" i="20"/>
  <c r="L372" i="17"/>
  <c r="D372" i="17" s="1"/>
  <c r="K372" i="17"/>
  <c r="X372" i="17"/>
  <c r="AB372" i="17"/>
  <c r="A373" i="17"/>
  <c r="A373" i="16"/>
  <c r="K372" i="16"/>
  <c r="X372" i="16"/>
  <c r="L372" i="16"/>
  <c r="D372" i="16" s="1"/>
  <c r="AB372" i="16"/>
  <c r="K366" i="24"/>
  <c r="A367" i="24"/>
  <c r="X366" i="24"/>
  <c r="L366" i="24"/>
  <c r="AB366" i="24"/>
  <c r="X367" i="23"/>
  <c r="A368" i="23"/>
  <c r="L367" i="23"/>
  <c r="AB367" i="23"/>
  <c r="K367" i="23"/>
  <c r="A371" i="18"/>
  <c r="AB370" i="18"/>
  <c r="K370" i="18"/>
  <c r="L370" i="18"/>
  <c r="X370" i="18"/>
  <c r="A373" i="15"/>
  <c r="K372" i="15"/>
  <c r="X372" i="15"/>
  <c r="AB372" i="15"/>
  <c r="L372" i="15"/>
  <c r="D372" i="15" s="1"/>
  <c r="A369" i="22"/>
  <c r="L368" i="22"/>
  <c r="K368" i="22"/>
  <c r="AB368" i="22"/>
  <c r="X368" i="22"/>
  <c r="L369" i="22"/>
  <c r="AB369" i="22"/>
  <c r="X369" i="22"/>
  <c r="K369" i="22"/>
  <c r="A370" i="22"/>
  <c r="X367" i="24"/>
  <c r="L367" i="24"/>
  <c r="AB367" i="24"/>
  <c r="A368" i="24"/>
  <c r="K367" i="24"/>
  <c r="L373" i="16"/>
  <c r="D373" i="16" s="1"/>
  <c r="K373" i="16"/>
  <c r="A374" i="16"/>
  <c r="AB373" i="16"/>
  <c r="X373" i="16"/>
  <c r="X370" i="20"/>
  <c r="L370" i="20"/>
  <c r="AB370" i="20"/>
  <c r="K370" i="20"/>
  <c r="A371" i="20"/>
  <c r="L366" i="25"/>
  <c r="AB366" i="25"/>
  <c r="K366" i="25"/>
  <c r="X366" i="25"/>
  <c r="A367" i="25"/>
  <c r="K376" i="1"/>
  <c r="AJ376" i="1"/>
  <c r="AB376" i="1"/>
  <c r="X376" i="1"/>
  <c r="AK376" i="1"/>
  <c r="L376" i="1"/>
  <c r="D376" i="1" s="1"/>
  <c r="A377" i="1"/>
  <c r="X373" i="15"/>
  <c r="AB373" i="15"/>
  <c r="L373" i="15"/>
  <c r="D373" i="15" s="1"/>
  <c r="A374" i="15"/>
  <c r="K373" i="15"/>
  <c r="AB371" i="18"/>
  <c r="X371" i="18"/>
  <c r="A372" i="18"/>
  <c r="L371" i="18"/>
  <c r="K371" i="18"/>
  <c r="X368" i="23"/>
  <c r="A369" i="23"/>
  <c r="L368" i="23"/>
  <c r="AB368" i="23"/>
  <c r="K368" i="23"/>
  <c r="A374" i="17"/>
  <c r="X373" i="17"/>
  <c r="L373" i="17"/>
  <c r="D373" i="17" s="1"/>
  <c r="K373" i="17"/>
  <c r="AB373" i="17"/>
  <c r="L372" i="18"/>
  <c r="A373" i="18"/>
  <c r="AB372" i="18"/>
  <c r="X372" i="18"/>
  <c r="K372" i="18"/>
  <c r="A368" i="25"/>
  <c r="K367" i="25"/>
  <c r="X367" i="25"/>
  <c r="AB367" i="25"/>
  <c r="L367" i="25"/>
  <c r="L371" i="20"/>
  <c r="X371" i="20"/>
  <c r="AB371" i="20"/>
  <c r="A372" i="20"/>
  <c r="K371" i="20"/>
  <c r="AB368" i="24"/>
  <c r="X368" i="24"/>
  <c r="K368" i="24"/>
  <c r="A369" i="24"/>
  <c r="L368" i="24"/>
  <c r="L374" i="17"/>
  <c r="D374" i="17" s="1"/>
  <c r="K374" i="17"/>
  <c r="AB374" i="17"/>
  <c r="X374" i="17"/>
  <c r="A375" i="17"/>
  <c r="X369" i="23"/>
  <c r="K369" i="23"/>
  <c r="L369" i="23"/>
  <c r="AB369" i="23"/>
  <c r="A370" i="23"/>
  <c r="X374" i="15"/>
  <c r="L374" i="15"/>
  <c r="D374" i="15" s="1"/>
  <c r="K374" i="15"/>
  <c r="AB374" i="15"/>
  <c r="A375" i="15"/>
  <c r="AJ377" i="1"/>
  <c r="AK377" i="1"/>
  <c r="K377" i="1"/>
  <c r="AB377" i="1"/>
  <c r="X377" i="1"/>
  <c r="A378" i="1"/>
  <c r="L377" i="1"/>
  <c r="D377" i="1" s="1"/>
  <c r="AB374" i="16"/>
  <c r="L374" i="16"/>
  <c r="D374" i="16" s="1"/>
  <c r="K374" i="16"/>
  <c r="A375" i="16"/>
  <c r="X374" i="16"/>
  <c r="AB370" i="22"/>
  <c r="L370" i="22"/>
  <c r="K370" i="22"/>
  <c r="X370" i="22"/>
  <c r="A371" i="22"/>
  <c r="X375" i="16"/>
  <c r="AB375" i="16"/>
  <c r="L375" i="16"/>
  <c r="D375" i="16" s="1"/>
  <c r="K375" i="16"/>
  <c r="A376" i="16"/>
  <c r="K375" i="15"/>
  <c r="X375" i="15"/>
  <c r="L375" i="15"/>
  <c r="D375" i="15" s="1"/>
  <c r="A376" i="15"/>
  <c r="AB375" i="15"/>
  <c r="L370" i="23"/>
  <c r="K370" i="23"/>
  <c r="AB370" i="23"/>
  <c r="X370" i="23"/>
  <c r="A371" i="23"/>
  <c r="AB375" i="17"/>
  <c r="X375" i="17"/>
  <c r="K375" i="17"/>
  <c r="L375" i="17"/>
  <c r="D375" i="17" s="1"/>
  <c r="A376" i="17"/>
  <c r="X369" i="24"/>
  <c r="K369" i="24"/>
  <c r="A370" i="24"/>
  <c r="L369" i="24"/>
  <c r="AB369" i="24"/>
  <c r="AB368" i="25"/>
  <c r="L368" i="25"/>
  <c r="K368" i="25"/>
  <c r="X368" i="25"/>
  <c r="A369" i="25"/>
  <c r="L371" i="22"/>
  <c r="AB371" i="22"/>
  <c r="A372" i="22"/>
  <c r="K371" i="22"/>
  <c r="X371" i="22"/>
  <c r="A379" i="1"/>
  <c r="AK378" i="1"/>
  <c r="AJ378" i="1"/>
  <c r="AB378" i="1"/>
  <c r="L378" i="1"/>
  <c r="D378" i="1" s="1"/>
  <c r="X378" i="1"/>
  <c r="K378" i="1"/>
  <c r="K372" i="20"/>
  <c r="X372" i="20"/>
  <c r="AB372" i="20"/>
  <c r="L372" i="20"/>
  <c r="A373" i="20"/>
  <c r="A374" i="18"/>
  <c r="L373" i="18"/>
  <c r="X373" i="18"/>
  <c r="AB373" i="18"/>
  <c r="K373" i="18"/>
  <c r="K372" i="22"/>
  <c r="X372" i="22"/>
  <c r="AB372" i="22"/>
  <c r="A373" i="22"/>
  <c r="L372" i="22"/>
  <c r="A370" i="25"/>
  <c r="X369" i="25"/>
  <c r="L369" i="25"/>
  <c r="AB369" i="25"/>
  <c r="K369" i="25"/>
  <c r="A377" i="17"/>
  <c r="AB376" i="17"/>
  <c r="X376" i="17"/>
  <c r="K376" i="17"/>
  <c r="L376" i="17"/>
  <c r="D376" i="17" s="1"/>
  <c r="K374" i="18"/>
  <c r="A375" i="18"/>
  <c r="X374" i="18"/>
  <c r="AB374" i="18"/>
  <c r="L374" i="18"/>
  <c r="K373" i="20"/>
  <c r="AB373" i="20"/>
  <c r="A374" i="20"/>
  <c r="L373" i="20"/>
  <c r="X373" i="20"/>
  <c r="K379" i="1"/>
  <c r="AJ379" i="1"/>
  <c r="AB379" i="1"/>
  <c r="AK379" i="1"/>
  <c r="L379" i="1"/>
  <c r="X379" i="1"/>
  <c r="AB370" i="24"/>
  <c r="A371" i="24"/>
  <c r="K370" i="24"/>
  <c r="X370" i="24"/>
  <c r="L370" i="24"/>
  <c r="X371" i="23"/>
  <c r="L371" i="23"/>
  <c r="A372" i="23"/>
  <c r="K371" i="23"/>
  <c r="AB371" i="23"/>
  <c r="A377" i="15"/>
  <c r="X376" i="15"/>
  <c r="AB376" i="15"/>
  <c r="K376" i="15"/>
  <c r="L376" i="15"/>
  <c r="A377" i="16"/>
  <c r="AB376" i="16"/>
  <c r="L376" i="16"/>
  <c r="D376" i="16" s="1"/>
  <c r="K376" i="16"/>
  <c r="X376" i="16"/>
  <c r="A378" i="16"/>
  <c r="AB377" i="16"/>
  <c r="L377" i="16"/>
  <c r="K377" i="16"/>
  <c r="X377" i="16"/>
  <c r="A373" i="23"/>
  <c r="AB372" i="23"/>
  <c r="L372" i="23"/>
  <c r="K372" i="23"/>
  <c r="X372" i="23"/>
  <c r="L370" i="25"/>
  <c r="K370" i="25"/>
  <c r="A371" i="25"/>
  <c r="X370" i="25"/>
  <c r="AB370" i="25"/>
  <c r="X373" i="22"/>
  <c r="K373" i="22"/>
  <c r="L373" i="22"/>
  <c r="A374" i="22"/>
  <c r="AB373" i="22"/>
  <c r="D376" i="15"/>
  <c r="L377" i="15"/>
  <c r="D377" i="15" s="1"/>
  <c r="K377" i="15"/>
  <c r="X377" i="15"/>
  <c r="A378" i="15"/>
  <c r="AB377" i="15"/>
  <c r="X371" i="24"/>
  <c r="A372" i="24"/>
  <c r="K371" i="24"/>
  <c r="AB371" i="24"/>
  <c r="L371" i="24"/>
  <c r="AK5" i="1"/>
  <c r="AM9" i="1"/>
  <c r="AM5" i="1"/>
  <c r="AM7" i="1"/>
  <c r="AM11" i="1" s="1"/>
  <c r="AK7" i="1"/>
  <c r="AK11" i="1" s="1"/>
  <c r="AK9" i="1"/>
  <c r="AK6" i="1"/>
  <c r="L374" i="20"/>
  <c r="X374" i="20"/>
  <c r="K374" i="20"/>
  <c r="A375" i="20"/>
  <c r="AB374" i="20"/>
  <c r="AB375" i="18"/>
  <c r="A376" i="18"/>
  <c r="X375" i="18"/>
  <c r="K375" i="18"/>
  <c r="L375" i="18"/>
  <c r="A378" i="17"/>
  <c r="L377" i="17"/>
  <c r="K377" i="17"/>
  <c r="AB377" i="17"/>
  <c r="X377" i="17"/>
  <c r="D377" i="17"/>
  <c r="K375" i="20"/>
  <c r="X375" i="20"/>
  <c r="AB375" i="20"/>
  <c r="A376" i="20"/>
  <c r="L375" i="20"/>
  <c r="AB378" i="17"/>
  <c r="K378" i="17"/>
  <c r="A379" i="17"/>
  <c r="L378" i="17"/>
  <c r="D378" i="17" s="1"/>
  <c r="X378" i="17"/>
  <c r="X376" i="18"/>
  <c r="K376" i="18"/>
  <c r="L376" i="18"/>
  <c r="A377" i="18"/>
  <c r="AB376" i="18"/>
  <c r="L372" i="24"/>
  <c r="X372" i="24"/>
  <c r="A373" i="24"/>
  <c r="K372" i="24"/>
  <c r="AB372" i="24"/>
  <c r="AB378" i="15"/>
  <c r="A379" i="15"/>
  <c r="X378" i="15"/>
  <c r="K378" i="15"/>
  <c r="L378" i="15"/>
  <c r="D378" i="15" s="1"/>
  <c r="K374" i="22"/>
  <c r="L374" i="22"/>
  <c r="X374" i="22"/>
  <c r="AB374" i="22"/>
  <c r="A375" i="22"/>
  <c r="X371" i="25"/>
  <c r="AB371" i="25"/>
  <c r="A372" i="25"/>
  <c r="L371" i="25"/>
  <c r="K371" i="25"/>
  <c r="K373" i="23"/>
  <c r="L373" i="23"/>
  <c r="AB373" i="23"/>
  <c r="X373" i="23"/>
  <c r="A374" i="23"/>
  <c r="D377" i="16"/>
  <c r="A379" i="16"/>
  <c r="L378" i="16"/>
  <c r="D378" i="16" s="1"/>
  <c r="K378" i="16"/>
  <c r="X378" i="16"/>
  <c r="AB378" i="16"/>
  <c r="A373" i="25"/>
  <c r="AB372" i="25"/>
  <c r="X372" i="25"/>
  <c r="L372" i="25"/>
  <c r="K372" i="25"/>
  <c r="L379" i="15"/>
  <c r="K379" i="15"/>
  <c r="AB379" i="15"/>
  <c r="X379" i="15"/>
  <c r="AB376" i="20"/>
  <c r="L376" i="20"/>
  <c r="X376" i="20"/>
  <c r="K376" i="20"/>
  <c r="A377" i="20"/>
  <c r="AB379" i="16"/>
  <c r="X379" i="16"/>
  <c r="L379" i="16"/>
  <c r="A380" i="16"/>
  <c r="K379" i="16"/>
  <c r="L374" i="23"/>
  <c r="K374" i="23"/>
  <c r="A375" i="23"/>
  <c r="AB374" i="23"/>
  <c r="X374" i="23"/>
  <c r="L375" i="22"/>
  <c r="X375" i="22"/>
  <c r="A376" i="22"/>
  <c r="K375" i="22"/>
  <c r="AB375" i="22"/>
  <c r="L373" i="24"/>
  <c r="AB373" i="24"/>
  <c r="K373" i="24"/>
  <c r="A374" i="24"/>
  <c r="X373" i="24"/>
  <c r="A378" i="18"/>
  <c r="L377" i="18"/>
  <c r="X377" i="18"/>
  <c r="AB377" i="18"/>
  <c r="K377" i="18"/>
  <c r="X379" i="17"/>
  <c r="K379" i="17"/>
  <c r="AB379" i="17"/>
  <c r="L379" i="17"/>
  <c r="X374" i="24"/>
  <c r="K374" i="24"/>
  <c r="L374" i="24"/>
  <c r="A375" i="24"/>
  <c r="AB374" i="24"/>
  <c r="AB373" i="25"/>
  <c r="A374" i="25"/>
  <c r="L373" i="25"/>
  <c r="K373" i="25"/>
  <c r="X373" i="25"/>
  <c r="AB378" i="18"/>
  <c r="L378" i="18"/>
  <c r="A379" i="18"/>
  <c r="X378" i="18"/>
  <c r="K378" i="18"/>
  <c r="K376" i="22"/>
  <c r="AB376" i="22"/>
  <c r="X376" i="22"/>
  <c r="A377" i="22"/>
  <c r="L376" i="22"/>
  <c r="K375" i="23"/>
  <c r="A376" i="23"/>
  <c r="AB375" i="23"/>
  <c r="X375" i="23"/>
  <c r="L375" i="23"/>
  <c r="X380" i="16"/>
  <c r="K380" i="16"/>
  <c r="L380" i="16"/>
  <c r="D380" i="16" s="1"/>
  <c r="AB380" i="16"/>
  <c r="AB377" i="20"/>
  <c r="L377" i="20"/>
  <c r="K377" i="20"/>
  <c r="A378" i="20"/>
  <c r="X377" i="20"/>
  <c r="L378" i="20"/>
  <c r="A379" i="20"/>
  <c r="X378" i="20"/>
  <c r="AB378" i="20"/>
  <c r="K378" i="20"/>
  <c r="AB375" i="24"/>
  <c r="A376" i="24"/>
  <c r="L375" i="24"/>
  <c r="K375" i="24"/>
  <c r="X375" i="24"/>
  <c r="AB379" i="18"/>
  <c r="L379" i="18"/>
  <c r="B39" i="19" s="1"/>
  <c r="X379" i="18"/>
  <c r="K379" i="18"/>
  <c r="K376" i="23"/>
  <c r="AB376" i="23"/>
  <c r="A377" i="23"/>
  <c r="X376" i="23"/>
  <c r="L376" i="23"/>
  <c r="L377" i="22"/>
  <c r="AB377" i="22"/>
  <c r="X377" i="22"/>
  <c r="A378" i="22"/>
  <c r="K377" i="22"/>
  <c r="L374" i="25"/>
  <c r="AB374" i="25"/>
  <c r="K374" i="25"/>
  <c r="X374" i="25"/>
  <c r="A375" i="25"/>
  <c r="AB375" i="25"/>
  <c r="K375" i="25"/>
  <c r="A376" i="25"/>
  <c r="L375" i="25"/>
  <c r="X375" i="25"/>
  <c r="X378" i="22"/>
  <c r="L378" i="22"/>
  <c r="AB378" i="22"/>
  <c r="K378" i="22"/>
  <c r="A379" i="22"/>
  <c r="X377" i="23"/>
  <c r="L377" i="23"/>
  <c r="AB377" i="23"/>
  <c r="A378" i="23"/>
  <c r="K377" i="23"/>
  <c r="X376" i="24"/>
  <c r="A377" i="24"/>
  <c r="AB376" i="24"/>
  <c r="L376" i="24"/>
  <c r="K376" i="24"/>
  <c r="X379" i="20"/>
  <c r="K379" i="20"/>
  <c r="AB379" i="20"/>
  <c r="L379" i="20"/>
  <c r="B40" i="19" s="1"/>
  <c r="X378" i="23"/>
  <c r="AB378" i="23"/>
  <c r="A379" i="23"/>
  <c r="K378" i="23"/>
  <c r="L378" i="23"/>
  <c r="AB377" i="24"/>
  <c r="A378" i="24"/>
  <c r="X377" i="24"/>
  <c r="L377" i="24"/>
  <c r="K377" i="24"/>
  <c r="AB379" i="22"/>
  <c r="X379" i="22"/>
  <c r="A380" i="22"/>
  <c r="K379" i="22"/>
  <c r="L379" i="22"/>
  <c r="B41" i="19" s="1"/>
  <c r="L376" i="25"/>
  <c r="A377" i="25"/>
  <c r="AB376" i="25"/>
  <c r="X376" i="25"/>
  <c r="K376" i="25"/>
  <c r="A379" i="24"/>
  <c r="AB378" i="24"/>
  <c r="L378" i="24"/>
  <c r="K378" i="24"/>
  <c r="X378" i="24"/>
  <c r="K379" i="23"/>
  <c r="AB379" i="23"/>
  <c r="X379" i="23"/>
  <c r="L379" i="23"/>
  <c r="B42" i="19" s="1"/>
  <c r="K377" i="25"/>
  <c r="L377" i="25"/>
  <c r="AB377" i="25"/>
  <c r="A378" i="25"/>
  <c r="X377" i="25"/>
  <c r="AB380" i="22"/>
  <c r="L380" i="22"/>
  <c r="K380" i="22"/>
  <c r="X380" i="22"/>
  <c r="X378" i="25"/>
  <c r="AB378" i="25"/>
  <c r="K378" i="25"/>
  <c r="L378" i="25"/>
  <c r="A379" i="25"/>
  <c r="AB379" i="24"/>
  <c r="K379" i="24"/>
  <c r="L379" i="24"/>
  <c r="B43" i="19" s="1"/>
  <c r="X379" i="24"/>
  <c r="K379" i="25"/>
  <c r="AB379" i="25"/>
  <c r="L379" i="25"/>
  <c r="B44" i="19" s="1"/>
  <c r="X379" i="25"/>
  <c r="H72" i="26"/>
  <c r="S77" i="26"/>
  <c r="I55" i="26"/>
  <c r="I42" i="26"/>
  <c r="O78" i="26"/>
  <c r="V72" i="26"/>
  <c r="T73" i="26"/>
  <c r="S73" i="26"/>
  <c r="T72" i="26"/>
  <c r="U73" i="26"/>
  <c r="W73" i="26"/>
  <c r="Q73" i="26"/>
  <c r="R76" i="26"/>
  <c r="Z56" i="26"/>
  <c r="X56" i="26"/>
  <c r="X72" i="26"/>
  <c r="Z72" i="26"/>
  <c r="AF72" i="26"/>
  <c r="R72" i="26"/>
  <c r="S72" i="26"/>
  <c r="Z74" i="26"/>
  <c r="AF73" i="26"/>
  <c r="P74" i="26"/>
  <c r="Y77" i="26"/>
  <c r="T78" i="26"/>
  <c r="W78" i="26"/>
  <c r="Y72" i="26"/>
  <c r="P72" i="26"/>
  <c r="U72" i="26"/>
  <c r="F73" i="26"/>
  <c r="H73" i="26"/>
  <c r="W72" i="26"/>
  <c r="F72" i="26"/>
  <c r="X74" i="26"/>
  <c r="G23" i="26"/>
  <c r="M59" i="26"/>
  <c r="I28" i="26"/>
  <c r="O64" i="26"/>
  <c r="P79" i="26"/>
  <c r="X76" i="26"/>
  <c r="Z76" i="26"/>
  <c r="AB75" i="26"/>
  <c r="AA75" i="26"/>
  <c r="W79" i="26"/>
  <c r="T55" i="26"/>
  <c r="P56" i="26"/>
  <c r="R56" i="26"/>
  <c r="G32" i="26"/>
  <c r="M68" i="26"/>
  <c r="AF75" i="26"/>
  <c r="D55" i="26"/>
  <c r="R55" i="26"/>
  <c r="BM14" i="6"/>
  <c r="S55" i="26"/>
  <c r="E72" i="26"/>
  <c r="E11" i="26"/>
  <c r="D11" i="26"/>
  <c r="W55" i="26"/>
  <c r="J55" i="26"/>
  <c r="I73" i="26"/>
  <c r="BQ14" i="6"/>
  <c r="I72" i="26"/>
  <c r="X75" i="26"/>
  <c r="Y75" i="26"/>
  <c r="T75" i="26"/>
  <c r="V75" i="26"/>
  <c r="W75" i="26"/>
  <c r="Y74" i="26"/>
  <c r="R74" i="26"/>
  <c r="S74" i="26"/>
  <c r="T74" i="26"/>
  <c r="W74" i="26"/>
  <c r="Q74" i="26"/>
  <c r="S56" i="26"/>
  <c r="W56" i="26"/>
  <c r="V56" i="26"/>
  <c r="Q56" i="26"/>
  <c r="T56" i="26"/>
  <c r="G31" i="26"/>
  <c r="M67" i="26"/>
  <c r="G35" i="26"/>
  <c r="M71" i="26"/>
  <c r="G33" i="26"/>
  <c r="M69" i="26"/>
  <c r="I31" i="26"/>
  <c r="I30" i="26"/>
  <c r="O66" i="26"/>
  <c r="I27" i="26"/>
  <c r="O63" i="26"/>
  <c r="P54" i="26"/>
  <c r="G22" i="26"/>
  <c r="M58" i="26"/>
  <c r="N55" i="26"/>
  <c r="I25" i="26"/>
  <c r="U76" i="26"/>
  <c r="V76" i="26"/>
  <c r="W76" i="26"/>
  <c r="S76" i="26"/>
  <c r="P76" i="26"/>
  <c r="Q76" i="26"/>
  <c r="V79" i="26"/>
  <c r="Z79" i="26"/>
  <c r="T79" i="26"/>
  <c r="X79" i="26"/>
  <c r="R79" i="26"/>
  <c r="U79" i="26"/>
  <c r="I24" i="26"/>
  <c r="O60" i="26"/>
  <c r="G28" i="26"/>
  <c r="M64" i="26"/>
  <c r="G34" i="26"/>
  <c r="M70" i="26"/>
  <c r="I34" i="26"/>
  <c r="O70" i="26"/>
  <c r="N5" i="26"/>
  <c r="H21" i="26"/>
  <c r="T57" i="26"/>
  <c r="E10" i="26"/>
  <c r="D10" i="26"/>
  <c r="E12" i="26"/>
  <c r="D12" i="26"/>
  <c r="I20" i="26"/>
  <c r="O56" i="26"/>
  <c r="O54" i="26"/>
  <c r="I21" i="26"/>
  <c r="U77" i="26"/>
  <c r="Q77" i="26"/>
  <c r="Z77" i="26"/>
  <c r="X77" i="26"/>
  <c r="R77" i="26"/>
  <c r="V77" i="26"/>
  <c r="S78" i="26"/>
  <c r="R78" i="26"/>
  <c r="X78" i="26"/>
  <c r="Y78" i="26"/>
  <c r="P78" i="26"/>
  <c r="U78" i="26"/>
  <c r="I41" i="26"/>
  <c r="O77" i="26"/>
  <c r="C55" i="26"/>
  <c r="W57" i="26"/>
  <c r="I36" i="26"/>
  <c r="I37" i="26"/>
  <c r="O73" i="26"/>
  <c r="I38" i="26"/>
  <c r="O74" i="26"/>
  <c r="I39" i="26"/>
  <c r="O75" i="26"/>
  <c r="I43" i="26"/>
  <c r="O79" i="26"/>
  <c r="I32" i="26"/>
  <c r="I35" i="26"/>
  <c r="G25" i="26"/>
  <c r="I26" i="26"/>
  <c r="G27" i="26"/>
  <c r="G29" i="26"/>
  <c r="G30" i="26"/>
  <c r="AB72" i="26"/>
  <c r="AA72" i="26"/>
  <c r="AB73" i="26"/>
  <c r="AA73" i="26"/>
  <c r="AF74" i="26"/>
  <c r="AB74" i="26"/>
  <c r="AA74" i="26"/>
  <c r="AF78" i="26"/>
  <c r="AB79" i="26"/>
  <c r="AA79" i="26"/>
  <c r="AF79" i="26"/>
  <c r="AB78" i="26"/>
  <c r="AA78" i="26"/>
  <c r="O61" i="26"/>
  <c r="J24" i="26"/>
  <c r="J30" i="26"/>
  <c r="O67" i="26"/>
  <c r="D72" i="26"/>
  <c r="D73" i="26"/>
  <c r="BL14" i="6"/>
  <c r="K55" i="26"/>
  <c r="BR14" i="6"/>
  <c r="J72" i="26"/>
  <c r="J73" i="26"/>
  <c r="X55" i="26"/>
  <c r="I11" i="26"/>
  <c r="J27" i="26"/>
  <c r="M65" i="26"/>
  <c r="O62" i="26"/>
  <c r="J25" i="26"/>
  <c r="O71" i="26"/>
  <c r="J34" i="26"/>
  <c r="J35" i="26"/>
  <c r="O72" i="26"/>
  <c r="Q55" i="26"/>
  <c r="B55" i="26"/>
  <c r="BK14" i="6"/>
  <c r="C72" i="26"/>
  <c r="C73" i="26"/>
  <c r="J26" i="26"/>
  <c r="O57" i="26"/>
  <c r="J21" i="26"/>
  <c r="J20" i="26"/>
  <c r="M66" i="26"/>
  <c r="M63" i="26"/>
  <c r="M61" i="26"/>
  <c r="J31" i="26"/>
  <c r="O68" i="26"/>
  <c r="AB77" i="26"/>
  <c r="AA77" i="26"/>
  <c r="AF76" i="26"/>
  <c r="AF77" i="26"/>
  <c r="AB76" i="26"/>
  <c r="AA76" i="26"/>
  <c r="I12" i="26"/>
  <c r="D16" i="26"/>
  <c r="F16" i="26"/>
  <c r="I10" i="26"/>
  <c r="U57" i="26"/>
  <c r="X57" i="26"/>
  <c r="P57" i="26"/>
  <c r="S57" i="26"/>
  <c r="V57" i="26"/>
  <c r="Y57" i="26"/>
  <c r="Q57" i="26"/>
  <c r="Z57" i="26"/>
  <c r="R57" i="26"/>
  <c r="L55" i="26"/>
  <c r="K73" i="26"/>
  <c r="BS14" i="6"/>
  <c r="K72" i="26"/>
  <c r="Y55" i="26"/>
  <c r="D35" i="26"/>
  <c r="F35" i="26"/>
  <c r="D25" i="26"/>
  <c r="F25" i="26"/>
  <c r="D33" i="26"/>
  <c r="F33" i="26"/>
  <c r="D31" i="26"/>
  <c r="F31" i="26"/>
  <c r="D32" i="26"/>
  <c r="F32" i="26"/>
  <c r="D34" i="26"/>
  <c r="F34" i="26"/>
  <c r="F17" i="26"/>
  <c r="F18" i="26"/>
  <c r="F19" i="26"/>
  <c r="F14" i="26"/>
  <c r="BJ14" i="6"/>
  <c r="P55" i="26"/>
  <c r="B73" i="26"/>
  <c r="B72" i="26"/>
  <c r="B71" i="26"/>
  <c r="AB56" i="26"/>
  <c r="AA56" i="26"/>
  <c r="AF56" i="26"/>
  <c r="D30" i="26"/>
  <c r="F30" i="26"/>
  <c r="D27" i="26"/>
  <c r="F27" i="26"/>
  <c r="D26" i="26"/>
  <c r="F26" i="26"/>
  <c r="D22" i="26"/>
  <c r="F22" i="26"/>
  <c r="D24" i="26"/>
  <c r="F24" i="26"/>
  <c r="D23" i="26"/>
  <c r="F23" i="26"/>
  <c r="D29" i="26"/>
  <c r="F29" i="26"/>
  <c r="D28" i="26"/>
  <c r="F28" i="26"/>
  <c r="B69" i="26"/>
  <c r="P69" i="26"/>
  <c r="P71" i="26"/>
  <c r="G70" i="26"/>
  <c r="U70" i="26"/>
  <c r="B70" i="26"/>
  <c r="P70" i="26"/>
  <c r="F70" i="26"/>
  <c r="T70" i="26"/>
  <c r="D70" i="26"/>
  <c r="R70" i="26"/>
  <c r="K70" i="26"/>
  <c r="Y70" i="26"/>
  <c r="H70" i="26"/>
  <c r="V70" i="26"/>
  <c r="L70" i="26"/>
  <c r="Z70" i="26"/>
  <c r="E70" i="26"/>
  <c r="S70" i="26"/>
  <c r="C70" i="26"/>
  <c r="Q70" i="26"/>
  <c r="J70" i="26"/>
  <c r="X70" i="26"/>
  <c r="I70" i="26"/>
  <c r="W70" i="26"/>
  <c r="I69" i="26"/>
  <c r="W69" i="26"/>
  <c r="J69" i="26"/>
  <c r="X69" i="26"/>
  <c r="D69" i="26"/>
  <c r="R69" i="26"/>
  <c r="K69" i="26"/>
  <c r="Y69" i="26"/>
  <c r="C69" i="26"/>
  <c r="Q69" i="26"/>
  <c r="L69" i="26"/>
  <c r="Z69" i="26"/>
  <c r="AF69" i="26"/>
  <c r="G69" i="26"/>
  <c r="U69" i="26"/>
  <c r="F69" i="26"/>
  <c r="T69" i="26"/>
  <c r="E69" i="26"/>
  <c r="S69" i="26"/>
  <c r="H69" i="26"/>
  <c r="V69" i="26"/>
  <c r="J71" i="26"/>
  <c r="X71" i="26"/>
  <c r="I71" i="26"/>
  <c r="W71" i="26"/>
  <c r="D71" i="26"/>
  <c r="R71" i="26"/>
  <c r="K71" i="26"/>
  <c r="Y71" i="26"/>
  <c r="F71" i="26"/>
  <c r="T71" i="26"/>
  <c r="L71" i="26"/>
  <c r="Z71" i="26"/>
  <c r="AF71" i="26"/>
  <c r="H71" i="26"/>
  <c r="V71" i="26"/>
  <c r="C71" i="26"/>
  <c r="Q71" i="26"/>
  <c r="G71" i="26"/>
  <c r="U71" i="26"/>
  <c r="E71" i="26"/>
  <c r="S71" i="26"/>
  <c r="F68" i="26"/>
  <c r="T68" i="26"/>
  <c r="B68" i="26"/>
  <c r="P68" i="26"/>
  <c r="J68" i="26"/>
  <c r="X68" i="26"/>
  <c r="G68" i="26"/>
  <c r="U68" i="26"/>
  <c r="I68" i="26"/>
  <c r="W68" i="26"/>
  <c r="D68" i="26"/>
  <c r="R68" i="26"/>
  <c r="C68" i="26"/>
  <c r="Q68" i="26"/>
  <c r="E68" i="26"/>
  <c r="S68" i="26"/>
  <c r="K68" i="26"/>
  <c r="Y68" i="26"/>
  <c r="L68" i="26"/>
  <c r="Z68" i="26"/>
  <c r="AB68" i="26"/>
  <c r="H68" i="26"/>
  <c r="V68" i="26"/>
  <c r="D67" i="26"/>
  <c r="R67" i="26"/>
  <c r="J67" i="26"/>
  <c r="X67" i="26"/>
  <c r="F67" i="26"/>
  <c r="T67" i="26"/>
  <c r="H67" i="26"/>
  <c r="V67" i="26"/>
  <c r="L67" i="26"/>
  <c r="Z67" i="26"/>
  <c r="AF67" i="26"/>
  <c r="C67" i="26"/>
  <c r="Q67" i="26"/>
  <c r="E67" i="26"/>
  <c r="S67" i="26"/>
  <c r="I67" i="26"/>
  <c r="W67" i="26"/>
  <c r="K67" i="26"/>
  <c r="Y67" i="26"/>
  <c r="G67" i="26"/>
  <c r="U67" i="26"/>
  <c r="B67" i="26"/>
  <c r="P67" i="26"/>
  <c r="I61" i="26"/>
  <c r="W61" i="26"/>
  <c r="G61" i="26"/>
  <c r="U61" i="26"/>
  <c r="K61" i="26"/>
  <c r="Y61" i="26"/>
  <c r="F61" i="26"/>
  <c r="T61" i="26"/>
  <c r="L61" i="26"/>
  <c r="Z61" i="26"/>
  <c r="H61" i="26"/>
  <c r="V61" i="26"/>
  <c r="J61" i="26"/>
  <c r="X61" i="26"/>
  <c r="E61" i="26"/>
  <c r="S61" i="26"/>
  <c r="D61" i="26"/>
  <c r="R61" i="26"/>
  <c r="C61" i="26"/>
  <c r="Q61" i="26"/>
  <c r="B61" i="26"/>
  <c r="P61" i="26"/>
  <c r="Z55" i="26"/>
  <c r="BT14" i="6"/>
  <c r="L72" i="26"/>
  <c r="L73" i="26"/>
  <c r="H64" i="26"/>
  <c r="V64" i="26"/>
  <c r="I64" i="26"/>
  <c r="W64" i="26"/>
  <c r="C64" i="26"/>
  <c r="Q64" i="26"/>
  <c r="K64" i="26"/>
  <c r="Y64" i="26"/>
  <c r="F64" i="26"/>
  <c r="T64" i="26"/>
  <c r="E64" i="26"/>
  <c r="S64" i="26"/>
  <c r="D64" i="26"/>
  <c r="R64" i="26"/>
  <c r="J64" i="26"/>
  <c r="X64" i="26"/>
  <c r="B64" i="26"/>
  <c r="P64" i="26"/>
  <c r="L64" i="26"/>
  <c r="Z64" i="26"/>
  <c r="G64" i="26"/>
  <c r="U64" i="26"/>
  <c r="H28" i="26"/>
  <c r="I60" i="26"/>
  <c r="W60" i="26"/>
  <c r="K60" i="26"/>
  <c r="Y60" i="26"/>
  <c r="L60" i="26"/>
  <c r="Z60" i="26"/>
  <c r="B60" i="26"/>
  <c r="P60" i="26"/>
  <c r="J60" i="26"/>
  <c r="X60" i="26"/>
  <c r="E60" i="26"/>
  <c r="S60" i="26"/>
  <c r="D60" i="26"/>
  <c r="R60" i="26"/>
  <c r="F60" i="26"/>
  <c r="T60" i="26"/>
  <c r="H60" i="26"/>
  <c r="V60" i="26"/>
  <c r="H24" i="26"/>
  <c r="C60" i="26"/>
  <c r="Q60" i="26"/>
  <c r="G60" i="26"/>
  <c r="U60" i="26"/>
  <c r="I63" i="26"/>
  <c r="W63" i="26"/>
  <c r="K63" i="26"/>
  <c r="Y63" i="26"/>
  <c r="L63" i="26"/>
  <c r="Z63" i="26"/>
  <c r="J63" i="26"/>
  <c r="X63" i="26"/>
  <c r="G63" i="26"/>
  <c r="U63" i="26"/>
  <c r="D63" i="26"/>
  <c r="R63" i="26"/>
  <c r="C63" i="26"/>
  <c r="Q63" i="26"/>
  <c r="E63" i="26"/>
  <c r="S63" i="26"/>
  <c r="B63" i="26"/>
  <c r="P63" i="26"/>
  <c r="F63" i="26"/>
  <c r="T63" i="26"/>
  <c r="H63" i="26"/>
  <c r="V63" i="26"/>
  <c r="H27" i="26"/>
  <c r="R3" i="26"/>
  <c r="H35" i="26"/>
  <c r="H34" i="26"/>
  <c r="H32" i="26"/>
  <c r="H33" i="26"/>
  <c r="H31" i="26"/>
  <c r="H25" i="26"/>
  <c r="G65" i="26"/>
  <c r="U65" i="26"/>
  <c r="I65" i="26"/>
  <c r="W65" i="26"/>
  <c r="C65" i="26"/>
  <c r="Q65" i="26"/>
  <c r="D65" i="26"/>
  <c r="R65" i="26"/>
  <c r="B65" i="26"/>
  <c r="P65" i="26"/>
  <c r="E65" i="26"/>
  <c r="S65" i="26"/>
  <c r="L65" i="26"/>
  <c r="Z65" i="26"/>
  <c r="H65" i="26"/>
  <c r="V65" i="26"/>
  <c r="F65" i="26"/>
  <c r="T65" i="26"/>
  <c r="J65" i="26"/>
  <c r="X65" i="26"/>
  <c r="K65" i="26"/>
  <c r="Y65" i="26"/>
  <c r="H29" i="26"/>
  <c r="F59" i="26"/>
  <c r="T59" i="26"/>
  <c r="L59" i="26"/>
  <c r="Z59" i="26"/>
  <c r="H59" i="26"/>
  <c r="V59" i="26"/>
  <c r="K59" i="26"/>
  <c r="Y59" i="26"/>
  <c r="G59" i="26"/>
  <c r="U59" i="26"/>
  <c r="H23" i="26"/>
  <c r="I59" i="26"/>
  <c r="W59" i="26"/>
  <c r="C59" i="26"/>
  <c r="Q59" i="26"/>
  <c r="D59" i="26"/>
  <c r="R59" i="26"/>
  <c r="B59" i="26"/>
  <c r="P59" i="26"/>
  <c r="E59" i="26"/>
  <c r="S59" i="26"/>
  <c r="J59" i="26"/>
  <c r="X59" i="26"/>
  <c r="D58" i="26"/>
  <c r="R58" i="26"/>
  <c r="G58" i="26"/>
  <c r="U58" i="26"/>
  <c r="H22" i="26"/>
  <c r="J58" i="26"/>
  <c r="X58" i="26"/>
  <c r="F58" i="26"/>
  <c r="T58" i="26"/>
  <c r="E58" i="26"/>
  <c r="S58" i="26"/>
  <c r="C58" i="26"/>
  <c r="Q58" i="26"/>
  <c r="B58" i="26"/>
  <c r="P58" i="26"/>
  <c r="K58" i="26"/>
  <c r="Y58" i="26"/>
  <c r="I58" i="26"/>
  <c r="W58" i="26"/>
  <c r="H58" i="26"/>
  <c r="V58" i="26"/>
  <c r="L58" i="26"/>
  <c r="Z58" i="26"/>
  <c r="H26" i="26"/>
  <c r="C62" i="26"/>
  <c r="Q62" i="26"/>
  <c r="G62" i="26"/>
  <c r="U62" i="26"/>
  <c r="D62" i="26"/>
  <c r="R62" i="26"/>
  <c r="J62" i="26"/>
  <c r="X62" i="26"/>
  <c r="L62" i="26"/>
  <c r="Z62" i="26"/>
  <c r="AB61" i="26"/>
  <c r="AA61" i="26"/>
  <c r="B62" i="26"/>
  <c r="P62" i="26"/>
  <c r="H62" i="26"/>
  <c r="V62" i="26"/>
  <c r="K62" i="26"/>
  <c r="Y62" i="26"/>
  <c r="F62" i="26"/>
  <c r="T62" i="26"/>
  <c r="I62" i="26"/>
  <c r="W62" i="26"/>
  <c r="E62" i="26"/>
  <c r="S62" i="26"/>
  <c r="D66" i="26"/>
  <c r="R66" i="26"/>
  <c r="C66" i="26"/>
  <c r="Q66" i="26"/>
  <c r="I66" i="26"/>
  <c r="W66" i="26"/>
  <c r="E66" i="26"/>
  <c r="S66" i="26"/>
  <c r="G66" i="26"/>
  <c r="U66" i="26"/>
  <c r="J66" i="26"/>
  <c r="X66" i="26"/>
  <c r="K66" i="26"/>
  <c r="Y66" i="26"/>
  <c r="F66" i="26"/>
  <c r="T66" i="26"/>
  <c r="L66" i="26"/>
  <c r="Z66" i="26"/>
  <c r="B66" i="26"/>
  <c r="P66" i="26"/>
  <c r="H66" i="26"/>
  <c r="V66" i="26"/>
  <c r="H30" i="26"/>
  <c r="AB71" i="26"/>
  <c r="AA71" i="26"/>
  <c r="AB70" i="26"/>
  <c r="AA70" i="26"/>
  <c r="AF70" i="26"/>
  <c r="AB67" i="26"/>
  <c r="AA67" i="26"/>
  <c r="AF68" i="26"/>
  <c r="AB69" i="26"/>
  <c r="AC69" i="26"/>
  <c r="I33" i="26"/>
  <c r="O69" i="26"/>
  <c r="AF66" i="26"/>
  <c r="AB66" i="26"/>
  <c r="AA66" i="26"/>
  <c r="AB65" i="26"/>
  <c r="AC65" i="26"/>
  <c r="I29" i="26"/>
  <c r="AF65" i="26"/>
  <c r="AB64" i="26"/>
  <c r="AF64" i="26"/>
  <c r="J32" i="26"/>
  <c r="AA68" i="26"/>
  <c r="AF62" i="26"/>
  <c r="AB62" i="26"/>
  <c r="AA62" i="26"/>
  <c r="AB58" i="26"/>
  <c r="AF58" i="26"/>
  <c r="AB57" i="26"/>
  <c r="AA57" i="26"/>
  <c r="AF57" i="26"/>
  <c r="AB59" i="26"/>
  <c r="AF59" i="26"/>
  <c r="AB63" i="26"/>
  <c r="AA63" i="26"/>
  <c r="AF63" i="26"/>
  <c r="AB60" i="26"/>
  <c r="AF60" i="26"/>
  <c r="AF61" i="26"/>
  <c r="J33" i="26"/>
  <c r="AA69" i="26"/>
  <c r="AC59" i="26"/>
  <c r="I23" i="26"/>
  <c r="AA60" i="26"/>
  <c r="J28" i="26"/>
  <c r="AA64" i="26"/>
  <c r="J29" i="26"/>
  <c r="AA65" i="26"/>
  <c r="O65" i="26"/>
  <c r="J23" i="26"/>
  <c r="AA59" i="26"/>
  <c r="J22" i="26"/>
  <c r="AA58" i="26"/>
  <c r="O59" i="26"/>
  <c r="A82" i="26" a="1"/>
  <c r="A85" i="26"/>
  <c r="C91" i="26"/>
  <c r="V89" i="26"/>
  <c r="P94" i="26"/>
  <c r="U85" i="26"/>
  <c r="A83" i="26"/>
  <c r="G87" i="26"/>
  <c r="R94" i="26"/>
  <c r="G90" i="26"/>
  <c r="C88" i="26"/>
  <c r="U93" i="26"/>
  <c r="K87" i="26"/>
  <c r="X84" i="26"/>
  <c r="Q85" i="26"/>
  <c r="D84" i="26"/>
  <c r="U88" i="26"/>
  <c r="S89" i="26"/>
  <c r="E92" i="26"/>
  <c r="L89" i="26"/>
  <c r="O89" i="26"/>
  <c r="J87" i="26"/>
  <c r="C89" i="26"/>
  <c r="F89" i="26"/>
  <c r="P86" i="26"/>
  <c r="C85" i="26"/>
  <c r="E83" i="26"/>
  <c r="U90" i="26"/>
  <c r="Q90" i="26"/>
  <c r="R90" i="26"/>
  <c r="M92" i="26"/>
  <c r="B88" i="26"/>
  <c r="Y83" i="26"/>
  <c r="O85" i="26"/>
  <c r="C82" i="26"/>
  <c r="R93" i="26"/>
  <c r="A92" i="26"/>
  <c r="Z85" i="26"/>
  <c r="B87" i="26"/>
  <c r="B84" i="26"/>
  <c r="Y84" i="26"/>
  <c r="K82" i="26"/>
  <c r="C83" i="26"/>
  <c r="A94" i="26"/>
  <c r="I88" i="26"/>
  <c r="H87" i="26"/>
  <c r="M83" i="26"/>
  <c r="J94" i="26"/>
  <c r="Q87" i="26"/>
  <c r="N92" i="26"/>
  <c r="I94" i="26"/>
  <c r="E91" i="26"/>
  <c r="S92" i="26"/>
  <c r="Z84" i="26"/>
  <c r="Q92" i="26"/>
  <c r="P90" i="26"/>
  <c r="S88" i="26"/>
  <c r="E90" i="26"/>
  <c r="U82" i="26"/>
  <c r="T83" i="26"/>
  <c r="Y82" i="26"/>
  <c r="M84" i="26"/>
  <c r="U84" i="26"/>
  <c r="X86" i="26"/>
  <c r="L88" i="26"/>
  <c r="A84" i="26"/>
  <c r="K83" i="26"/>
  <c r="A87" i="26"/>
  <c r="X89" i="26"/>
  <c r="E87" i="26"/>
  <c r="L93" i="26"/>
  <c r="I87" i="26"/>
  <c r="G92" i="26"/>
  <c r="G84" i="26"/>
  <c r="O90" i="26"/>
  <c r="A89" i="26"/>
  <c r="U92" i="26"/>
  <c r="M94" i="26"/>
  <c r="I82" i="26"/>
  <c r="F87" i="26"/>
  <c r="L87" i="26"/>
  <c r="Y86" i="26"/>
  <c r="E89" i="26"/>
  <c r="W86" i="26"/>
  <c r="Q91" i="26"/>
  <c r="H82" i="26"/>
  <c r="H88" i="26"/>
  <c r="B89" i="26"/>
  <c r="B93" i="26"/>
  <c r="Q82" i="26"/>
  <c r="N94" i="26"/>
  <c r="G86" i="26"/>
  <c r="E93" i="26"/>
  <c r="I83" i="26"/>
  <c r="Q84" i="26"/>
  <c r="I92" i="26"/>
  <c r="S87" i="26"/>
  <c r="T82" i="26"/>
  <c r="R87" i="26"/>
  <c r="X91" i="26"/>
  <c r="S94" i="26"/>
  <c r="V92" i="26"/>
  <c r="M82" i="26"/>
  <c r="R85" i="26"/>
  <c r="V88" i="26"/>
  <c r="F83" i="26"/>
  <c r="Z90" i="26"/>
  <c r="R84" i="26"/>
  <c r="K90" i="26"/>
  <c r="O94" i="26"/>
  <c r="P84" i="26"/>
  <c r="Y85" i="26"/>
  <c r="X94" i="26"/>
  <c r="Y89" i="26"/>
  <c r="X83" i="26"/>
  <c r="L92" i="26"/>
  <c r="U89" i="26"/>
  <c r="E88" i="26"/>
  <c r="H94" i="26"/>
  <c r="H93" i="26"/>
  <c r="Z82" i="26"/>
  <c r="E82" i="26"/>
  <c r="O84" i="26"/>
  <c r="E86" i="26"/>
  <c r="Z92" i="26"/>
  <c r="V83" i="26"/>
  <c r="Z86" i="26"/>
  <c r="N88" i="26"/>
  <c r="T89" i="26"/>
  <c r="H91" i="26"/>
  <c r="J91" i="26"/>
  <c r="D88" i="26"/>
  <c r="G82" i="26"/>
  <c r="M86" i="26"/>
  <c r="J85" i="26"/>
  <c r="T93" i="26"/>
  <c r="X90" i="26"/>
  <c r="J92" i="26"/>
  <c r="W92" i="26"/>
  <c r="W94" i="26"/>
  <c r="P82" i="26"/>
  <c r="W83" i="26"/>
  <c r="U87" i="26"/>
  <c r="W90" i="26"/>
  <c r="L94" i="26"/>
  <c r="Z93" i="26"/>
  <c r="I93" i="26"/>
  <c r="S90" i="26"/>
  <c r="G91" i="26"/>
  <c r="M89" i="26"/>
  <c r="Q89" i="26"/>
  <c r="M87" i="26"/>
  <c r="S85" i="26"/>
  <c r="Y93" i="26"/>
  <c r="X85" i="26"/>
  <c r="K93" i="26"/>
  <c r="N91" i="26"/>
  <c r="K84" i="26"/>
  <c r="N90" i="26"/>
  <c r="D85" i="26"/>
  <c r="M88" i="26"/>
  <c r="W91" i="26"/>
  <c r="P92" i="26"/>
  <c r="L84" i="26"/>
  <c r="T91" i="26"/>
  <c r="X88" i="26"/>
  <c r="F84" i="26"/>
  <c r="G88" i="26"/>
  <c r="B94" i="26"/>
  <c r="M93" i="26"/>
  <c r="V86" i="26"/>
  <c r="D83" i="26"/>
  <c r="W88" i="26"/>
  <c r="D91" i="26"/>
  <c r="J88" i="26"/>
  <c r="K88" i="26"/>
  <c r="A86" i="26"/>
  <c r="B92" i="26"/>
  <c r="Y94" i="26"/>
  <c r="W93" i="26"/>
  <c r="U94" i="26"/>
  <c r="N85" i="26"/>
  <c r="J84" i="26"/>
  <c r="D93" i="26"/>
  <c r="O93" i="26"/>
  <c r="V94" i="26"/>
  <c r="D94" i="26"/>
  <c r="F90" i="26"/>
  <c r="V85" i="26"/>
  <c r="F88" i="26"/>
  <c r="P87" i="26"/>
  <c r="Z94" i="26"/>
  <c r="P91" i="26"/>
  <c r="M90" i="26"/>
  <c r="I90" i="26"/>
  <c r="C87" i="26"/>
  <c r="O83" i="26"/>
  <c r="D89" i="26"/>
  <c r="Y87" i="26"/>
  <c r="R91" i="26"/>
  <c r="N84" i="26"/>
  <c r="C90" i="26"/>
  <c r="Y88" i="26"/>
  <c r="F82" i="26"/>
  <c r="T90" i="26"/>
  <c r="B86" i="26"/>
  <c r="T85" i="26"/>
  <c r="A91" i="26"/>
  <c r="K91" i="26"/>
  <c r="W82" i="26"/>
  <c r="Q88" i="26"/>
  <c r="Y90" i="26"/>
  <c r="Y91" i="26"/>
  <c r="H84" i="26"/>
  <c r="W87" i="26"/>
  <c r="J83" i="26"/>
  <c r="L91" i="26"/>
  <c r="N86" i="26"/>
  <c r="O86" i="26"/>
  <c r="N83" i="26"/>
  <c r="K85" i="26"/>
  <c r="V90" i="26"/>
  <c r="H90" i="26"/>
  <c r="P93" i="26"/>
  <c r="H85" i="26"/>
  <c r="G83" i="26"/>
  <c r="D92" i="26"/>
  <c r="C93" i="26"/>
  <c r="P85" i="26"/>
  <c r="D86" i="26"/>
  <c r="N82" i="26"/>
  <c r="F94" i="26"/>
  <c r="X93" i="26"/>
  <c r="D87" i="26"/>
  <c r="U86" i="26"/>
  <c r="K92" i="26"/>
  <c r="T84" i="26"/>
  <c r="A88" i="26"/>
  <c r="V82" i="26"/>
  <c r="V87" i="26"/>
  <c r="A82" i="26"/>
  <c r="O88" i="26"/>
  <c r="I89" i="26"/>
  <c r="O82" i="26"/>
  <c r="S93" i="26"/>
  <c r="W89" i="26"/>
  <c r="I86" i="26"/>
  <c r="R82" i="26"/>
  <c r="Q93" i="26"/>
  <c r="F92" i="26"/>
  <c r="I84" i="26"/>
  <c r="K86" i="26"/>
  <c r="H83" i="26"/>
  <c r="O91" i="26"/>
  <c r="T86" i="26"/>
  <c r="A93" i="26"/>
  <c r="G93" i="26"/>
  <c r="L90" i="26"/>
  <c r="G94" i="26"/>
  <c r="Z91" i="26"/>
  <c r="S84" i="26"/>
  <c r="H89" i="26"/>
  <c r="F93" i="26"/>
  <c r="I85" i="26"/>
  <c r="E94" i="26"/>
  <c r="Q94" i="26"/>
  <c r="X87" i="26"/>
  <c r="Z83" i="26"/>
  <c r="K94" i="26"/>
  <c r="P83" i="26"/>
  <c r="B82" i="26"/>
  <c r="T92" i="26"/>
  <c r="L85" i="26"/>
  <c r="E85" i="26"/>
  <c r="B91" i="26"/>
  <c r="S91" i="26"/>
  <c r="O87" i="26"/>
  <c r="J86" i="26"/>
  <c r="D82" i="26"/>
  <c r="M91" i="26"/>
  <c r="T87" i="26"/>
  <c r="V84" i="26"/>
  <c r="H92" i="26"/>
  <c r="R83" i="26"/>
  <c r="M85" i="26"/>
  <c r="J93" i="26"/>
  <c r="G85" i="26"/>
  <c r="B90" i="26"/>
  <c r="R89" i="26"/>
  <c r="B83" i="26"/>
  <c r="L83" i="26"/>
  <c r="B85" i="26"/>
  <c r="C86" i="26"/>
  <c r="S82" i="26"/>
  <c r="H86" i="26"/>
  <c r="S86" i="26"/>
  <c r="Z87" i="26"/>
  <c r="O92" i="26"/>
  <c r="J90" i="26"/>
  <c r="F91" i="26"/>
  <c r="P88" i="26"/>
  <c r="L82" i="26"/>
  <c r="E84" i="26"/>
  <c r="N93" i="26"/>
  <c r="U91" i="26"/>
  <c r="V93" i="26"/>
  <c r="L86" i="26"/>
  <c r="T88" i="26"/>
  <c r="W84" i="26"/>
  <c r="I91" i="26"/>
  <c r="K89" i="26"/>
  <c r="Y92" i="26"/>
  <c r="C84" i="26"/>
  <c r="W85" i="26"/>
  <c r="R88" i="26"/>
  <c r="D90" i="26"/>
  <c r="P89" i="26"/>
  <c r="X82" i="26"/>
  <c r="Q86" i="26"/>
  <c r="R92" i="26"/>
  <c r="C92" i="26"/>
  <c r="J82" i="26"/>
  <c r="Z88" i="26"/>
  <c r="X92" i="26"/>
  <c r="F86" i="26"/>
  <c r="S83" i="26"/>
  <c r="A90" i="26"/>
  <c r="F85" i="26"/>
  <c r="J89" i="26"/>
  <c r="T94" i="26"/>
  <c r="C94" i="26"/>
  <c r="V91" i="26"/>
  <c r="Z89" i="26"/>
  <c r="R86" i="26"/>
  <c r="N87" i="26"/>
  <c r="U83" i="26"/>
  <c r="N89" i="26"/>
  <c r="Q83" i="26"/>
  <c r="G89" i="26"/>
  <c r="O163" i="1" l="1"/>
  <c r="O127" i="1"/>
  <c r="O125" i="1"/>
  <c r="O63" i="1"/>
  <c r="AC59" i="1"/>
  <c r="O53" i="1"/>
  <c r="AC23" i="1"/>
  <c r="AJ6" i="1"/>
  <c r="AJ5" i="1"/>
  <c r="AJ7" i="1"/>
  <c r="AJ11" i="1" s="1"/>
  <c r="AC210" i="1"/>
  <c r="O188" i="1"/>
  <c r="O140" i="1"/>
  <c r="AC138" i="1"/>
  <c r="O122" i="1"/>
  <c r="AC108" i="1"/>
  <c r="AC88" i="1"/>
  <c r="AC86" i="1"/>
  <c r="O84" i="1"/>
  <c r="H11" i="7"/>
  <c r="N11" i="7" s="1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AF16" i="6"/>
  <c r="AJ9" i="1"/>
  <c r="O197" i="1"/>
  <c r="O195" i="1"/>
  <c r="E316" i="6"/>
  <c r="B29" i="7"/>
  <c r="D379" i="17"/>
  <c r="B38" i="19"/>
  <c r="D379" i="16"/>
  <c r="B37" i="19"/>
  <c r="D379" i="1"/>
  <c r="B35" i="19"/>
  <c r="D379" i="15"/>
  <c r="B36" i="19"/>
  <c r="D88" i="16"/>
  <c r="AE20" i="6"/>
  <c r="AC20" i="6"/>
  <c r="Y18" i="6"/>
  <c r="N18" i="6"/>
  <c r="B53" i="7"/>
  <c r="AC18" i="1"/>
  <c r="O224" i="1"/>
  <c r="O214" i="1"/>
  <c r="O208" i="1"/>
  <c r="AC186" i="1"/>
  <c r="AC80" i="1"/>
  <c r="AC68" i="1"/>
  <c r="D302" i="17"/>
  <c r="C13" i="7"/>
  <c r="I10" i="7" s="1"/>
  <c r="O9" i="17"/>
  <c r="AJ46" i="17" s="1"/>
  <c r="Q20" i="6"/>
  <c r="L27" i="24"/>
  <c r="L30" i="22"/>
  <c r="L34" i="15"/>
  <c r="D34" i="15" s="1"/>
  <c r="L31" i="20"/>
  <c r="L32" i="18"/>
  <c r="L28" i="24"/>
  <c r="L34" i="16"/>
  <c r="D34" i="16" s="1"/>
  <c r="L33" i="22"/>
  <c r="L37" i="17"/>
  <c r="D37" i="17" s="1"/>
  <c r="L39" i="15"/>
  <c r="D39" i="15" s="1"/>
  <c r="L41" i="16"/>
  <c r="D41" i="16" s="1"/>
  <c r="L39" i="18"/>
  <c r="L39" i="22"/>
  <c r="L45" i="18"/>
  <c r="L45" i="23"/>
  <c r="L50" i="15"/>
  <c r="D50" i="15" s="1"/>
  <c r="L47" i="20"/>
  <c r="L50" i="16"/>
  <c r="D50" i="16" s="1"/>
  <c r="L43" i="25"/>
  <c r="L51" i="15"/>
  <c r="D51" i="15" s="1"/>
  <c r="L47" i="22"/>
  <c r="L44" i="25"/>
  <c r="L51" i="16"/>
  <c r="D51" i="16" s="1"/>
  <c r="L52" i="16"/>
  <c r="D52" i="16" s="1"/>
  <c r="L48" i="23"/>
  <c r="L46" i="25"/>
  <c r="L54" i="18"/>
  <c r="L57" i="15"/>
  <c r="D57" i="15" s="1"/>
  <c r="L51" i="24"/>
  <c r="L56" i="18"/>
  <c r="L58" i="17"/>
  <c r="D58" i="17" s="1"/>
  <c r="L54" i="22"/>
  <c r="L58" i="16"/>
  <c r="D58" i="16" s="1"/>
  <c r="L59" i="17"/>
  <c r="D59" i="17" s="1"/>
  <c r="L59" i="16"/>
  <c r="D59" i="16" s="1"/>
  <c r="L56" i="20"/>
  <c r="L58" i="18"/>
  <c r="L60" i="15"/>
  <c r="L56" i="22"/>
  <c r="L60" i="16"/>
  <c r="D60" i="16" s="1"/>
  <c r="L60" i="17"/>
  <c r="B57" i="7" s="1"/>
  <c r="L61" i="17"/>
  <c r="D61" i="17" s="1"/>
  <c r="L61" i="16"/>
  <c r="D61" i="16" s="1"/>
  <c r="L57" i="22"/>
  <c r="L56" i="23"/>
  <c r="L58" i="20"/>
  <c r="L61" i="15"/>
  <c r="D61" i="15" s="1"/>
  <c r="L59" i="18"/>
  <c r="L55" i="25"/>
  <c r="L59" i="20"/>
  <c r="L56" i="24"/>
  <c r="L60" i="18"/>
  <c r="B69" i="7" s="1"/>
  <c r="L62" i="15"/>
  <c r="D62" i="15" s="1"/>
  <c r="L62" i="16"/>
  <c r="D62" i="16" s="1"/>
  <c r="L63" i="16"/>
  <c r="D63" i="16" s="1"/>
  <c r="L58" i="23"/>
  <c r="L63" i="17"/>
  <c r="D63" i="17" s="1"/>
  <c r="L63" i="15"/>
  <c r="D63" i="15" s="1"/>
  <c r="L61" i="18"/>
  <c r="L59" i="22"/>
  <c r="L57" i="24"/>
  <c r="L62" i="18"/>
  <c r="L64" i="15"/>
  <c r="D64" i="15" s="1"/>
  <c r="L61" i="20"/>
  <c r="L64" i="16"/>
  <c r="D64" i="16" s="1"/>
  <c r="L65" i="15"/>
  <c r="D65" i="15" s="1"/>
  <c r="L66" i="15"/>
  <c r="D66" i="15" s="1"/>
  <c r="L66" i="16"/>
  <c r="D66" i="16" s="1"/>
  <c r="L63" i="20"/>
  <c r="L61" i="23"/>
  <c r="L62" i="22"/>
  <c r="L67" i="16"/>
  <c r="D67" i="16" s="1"/>
  <c r="L65" i="18"/>
  <c r="L67" i="17"/>
  <c r="D67" i="17" s="1"/>
  <c r="L63" i="22"/>
  <c r="L62" i="23"/>
  <c r="L64" i="20"/>
  <c r="L63" i="23"/>
  <c r="L66" i="18"/>
  <c r="L61" i="25"/>
  <c r="L62" i="25"/>
  <c r="L65" i="22"/>
  <c r="L35" i="20"/>
  <c r="L38" i="15"/>
  <c r="D38" i="15" s="1"/>
  <c r="L34" i="22"/>
  <c r="L40" i="20"/>
  <c r="L43" i="17"/>
  <c r="D43" i="17" s="1"/>
  <c r="L37" i="24"/>
  <c r="L44" i="16"/>
  <c r="D44" i="16" s="1"/>
  <c r="L38" i="25"/>
  <c r="L40" i="23"/>
  <c r="L46" i="17"/>
  <c r="D46" i="17" s="1"/>
  <c r="L46" i="15"/>
  <c r="D46" i="15" s="1"/>
  <c r="L47" i="17"/>
  <c r="D47" i="17" s="1"/>
  <c r="L40" i="25"/>
  <c r="L49" i="20"/>
  <c r="L48" i="22"/>
  <c r="L47" i="23"/>
  <c r="L58" i="15"/>
  <c r="D58" i="15" s="1"/>
  <c r="L53" i="23"/>
  <c r="L54" i="23"/>
  <c r="L59" i="15"/>
  <c r="D59" i="15" s="1"/>
  <c r="L53" i="25"/>
  <c r="L54" i="24"/>
  <c r="L58" i="24"/>
  <c r="L60" i="22"/>
  <c r="AF33" i="7" s="1"/>
  <c r="L57" i="25"/>
  <c r="L64" i="17"/>
  <c r="D64" i="17" s="1"/>
  <c r="L59" i="23"/>
  <c r="L63" i="18"/>
  <c r="L67" i="15"/>
  <c r="D67" i="15" s="1"/>
  <c r="L62" i="24"/>
  <c r="L63" i="24"/>
  <c r="L69" i="15"/>
  <c r="D69" i="15" s="1"/>
  <c r="L67" i="18"/>
  <c r="L64" i="23"/>
  <c r="L65" i="23"/>
  <c r="L68" i="18"/>
  <c r="L70" i="16"/>
  <c r="D70" i="16" s="1"/>
  <c r="L70" i="17"/>
  <c r="D70" i="17" s="1"/>
  <c r="L64" i="25"/>
  <c r="L69" i="18"/>
  <c r="L66" i="23"/>
  <c r="L65" i="24"/>
  <c r="L69" i="20"/>
  <c r="L72" i="15"/>
  <c r="D72" i="15" s="1"/>
  <c r="L68" i="22"/>
  <c r="L65" i="25"/>
  <c r="L66" i="25"/>
  <c r="L73" i="16"/>
  <c r="D73" i="16" s="1"/>
  <c r="L67" i="24"/>
  <c r="L73" i="17"/>
  <c r="D73" i="17" s="1"/>
  <c r="L71" i="18"/>
  <c r="L73" i="15"/>
  <c r="D73" i="15" s="1"/>
  <c r="L69" i="23"/>
  <c r="L70" i="22"/>
  <c r="L71" i="20"/>
  <c r="L74" i="17"/>
  <c r="D74" i="17" s="1"/>
  <c r="L67" i="25"/>
  <c r="L68" i="25"/>
  <c r="L69" i="24"/>
  <c r="L70" i="23"/>
  <c r="L75" i="16"/>
  <c r="D75" i="16" s="1"/>
  <c r="L75" i="17"/>
  <c r="D75" i="17" s="1"/>
  <c r="L71" i="22"/>
  <c r="L75" i="15"/>
  <c r="D75" i="15" s="1"/>
  <c r="L73" i="20"/>
  <c r="L76" i="16"/>
  <c r="D76" i="16" s="1"/>
  <c r="L74" i="18"/>
  <c r="L71" i="23"/>
  <c r="L70" i="24"/>
  <c r="L77" i="15"/>
  <c r="D77" i="15" s="1"/>
  <c r="L72" i="23"/>
  <c r="L77" i="17"/>
  <c r="D77" i="17" s="1"/>
  <c r="L73" i="22"/>
  <c r="L71" i="25"/>
  <c r="L74" i="22"/>
  <c r="L77" i="18"/>
  <c r="L76" i="20"/>
  <c r="L79" i="17"/>
  <c r="D79" i="17" s="1"/>
  <c r="L73" i="25"/>
  <c r="L75" i="23"/>
  <c r="L80" i="17"/>
  <c r="D80" i="17" s="1"/>
  <c r="L77" i="20"/>
  <c r="L80" i="16"/>
  <c r="D80" i="16" s="1"/>
  <c r="L76" i="22"/>
  <c r="L75" i="24"/>
  <c r="L77" i="22"/>
  <c r="L81" i="16"/>
  <c r="D81" i="16" s="1"/>
  <c r="L78" i="20"/>
  <c r="L77" i="23"/>
  <c r="L80" i="18"/>
  <c r="L75" i="25"/>
  <c r="L82" i="16"/>
  <c r="D82" i="16" s="1"/>
  <c r="L78" i="22"/>
  <c r="L82" i="17"/>
  <c r="D82" i="17" s="1"/>
  <c r="L83" i="16"/>
  <c r="D83" i="16" s="1"/>
  <c r="L78" i="23"/>
  <c r="L83" i="17"/>
  <c r="D83" i="17" s="1"/>
  <c r="L81" i="18"/>
  <c r="L80" i="20"/>
  <c r="L82" i="18"/>
  <c r="L80" i="22"/>
  <c r="L77" i="25"/>
  <c r="L81" i="20"/>
  <c r="L84" i="15"/>
  <c r="D84" i="15" s="1"/>
  <c r="L84" i="17"/>
  <c r="D84" i="17" s="1"/>
  <c r="L85" i="15"/>
  <c r="D85" i="15" s="1"/>
  <c r="L78" i="25"/>
  <c r="L79" i="24"/>
  <c r="L85" i="17"/>
  <c r="D85" i="17" s="1"/>
  <c r="L81" i="22"/>
  <c r="L81" i="23"/>
  <c r="L80" i="24"/>
  <c r="L86" i="16"/>
  <c r="D86" i="16" s="1"/>
  <c r="L82" i="23"/>
  <c r="L87" i="15"/>
  <c r="D87" i="15" s="1"/>
  <c r="L85" i="18"/>
  <c r="L87" i="17"/>
  <c r="D87" i="17" s="1"/>
  <c r="L83" i="22"/>
  <c r="L84" i="20"/>
  <c r="L80" i="25"/>
  <c r="L86" i="18"/>
  <c r="L83" i="23"/>
  <c r="L82" i="24"/>
  <c r="L89" i="16"/>
  <c r="D89" i="16" s="1"/>
  <c r="L82" i="25"/>
  <c r="L84" i="23"/>
  <c r="L87" i="18"/>
  <c r="L85" i="23"/>
  <c r="L83" i="25"/>
  <c r="L88" i="18"/>
  <c r="B70" i="7" s="1"/>
  <c r="L87" i="20"/>
  <c r="L90" i="16"/>
  <c r="D90" i="16" s="1"/>
  <c r="L91" i="16"/>
  <c r="D91" i="16" s="1"/>
  <c r="L89" i="18"/>
  <c r="L91" i="15"/>
  <c r="D91" i="15" s="1"/>
  <c r="L85" i="24"/>
  <c r="L86" i="23"/>
  <c r="L89" i="20"/>
  <c r="L92" i="15"/>
  <c r="D92" i="15" s="1"/>
  <c r="L92" i="16"/>
  <c r="D92" i="16" s="1"/>
  <c r="L93" i="17"/>
  <c r="D93" i="17" s="1"/>
  <c r="L88" i="23"/>
  <c r="AF46" i="7" s="1"/>
  <c r="L90" i="20"/>
  <c r="L87" i="25"/>
  <c r="L94" i="15"/>
  <c r="D94" i="15" s="1"/>
  <c r="L88" i="24"/>
  <c r="AF58" i="7" s="1"/>
  <c r="L89" i="24"/>
  <c r="L95" i="15"/>
  <c r="D95" i="15" s="1"/>
  <c r="L91" i="22"/>
  <c r="L95" i="16"/>
  <c r="D95" i="16" s="1"/>
  <c r="L96" i="16"/>
  <c r="D96" i="16" s="1"/>
  <c r="L92" i="22"/>
  <c r="L96" i="15"/>
  <c r="D96" i="15" s="1"/>
  <c r="L94" i="18"/>
  <c r="L93" i="20"/>
  <c r="L96" i="17"/>
  <c r="D96" i="17" s="1"/>
  <c r="L50" i="23"/>
  <c r="L51" i="22"/>
  <c r="L55" i="16"/>
  <c r="D55" i="16" s="1"/>
  <c r="L54" i="16"/>
  <c r="D54" i="16" s="1"/>
  <c r="L47" i="25"/>
  <c r="L50" i="18"/>
  <c r="L36" i="24"/>
  <c r="L34" i="24"/>
  <c r="L33" i="25"/>
  <c r="L35" i="22"/>
  <c r="L34" i="23"/>
  <c r="B40" i="7"/>
  <c r="D363" i="17"/>
  <c r="D180" i="17"/>
  <c r="D149" i="15"/>
  <c r="AC57" i="1"/>
  <c r="O55" i="1"/>
  <c r="O20" i="1"/>
  <c r="AC212" i="1"/>
  <c r="O200" i="1"/>
  <c r="AC152" i="1"/>
  <c r="AC136" i="1"/>
  <c r="AC134" i="1"/>
  <c r="O100" i="1"/>
  <c r="AC78" i="1"/>
  <c r="O76" i="1"/>
  <c r="O74" i="1"/>
  <c r="AC60" i="1"/>
  <c r="O40" i="1"/>
  <c r="O34" i="1"/>
  <c r="T18" i="6"/>
  <c r="N29" i="6"/>
  <c r="O31" i="6" s="1"/>
  <c r="B39" i="7"/>
  <c r="B37" i="7"/>
  <c r="B48" i="7"/>
  <c r="T44" i="6"/>
  <c r="U46" i="6" s="1"/>
  <c r="L15" i="15"/>
  <c r="L15" i="16"/>
  <c r="L15" i="20"/>
  <c r="L18" i="15"/>
  <c r="D18" i="15" s="1"/>
  <c r="L18" i="16"/>
  <c r="D18" i="16" s="1"/>
  <c r="L16" i="17"/>
  <c r="D16" i="17" s="1"/>
  <c r="L18" i="17"/>
  <c r="D18" i="17" s="1"/>
  <c r="L17" i="16"/>
  <c r="D17" i="16" s="1"/>
  <c r="L16" i="18"/>
  <c r="L19" i="15"/>
  <c r="D19" i="15" s="1"/>
  <c r="L16" i="20"/>
  <c r="L17" i="18"/>
  <c r="L20" i="16"/>
  <c r="D20" i="16" s="1"/>
  <c r="L17" i="20"/>
  <c r="L20" i="17"/>
  <c r="D20" i="17" s="1"/>
  <c r="L21" i="16"/>
  <c r="D21" i="16" s="1"/>
  <c r="L22" i="16"/>
  <c r="D22" i="16" s="1"/>
  <c r="L18" i="22"/>
  <c r="L22" i="17"/>
  <c r="D22" i="17" s="1"/>
  <c r="L19" i="20"/>
  <c r="L18" i="23"/>
  <c r="L20" i="20"/>
  <c r="L16" i="25"/>
  <c r="L23" i="16"/>
  <c r="D23" i="16" s="1"/>
  <c r="L23" i="15"/>
  <c r="D23" i="15" s="1"/>
  <c r="L20" i="22"/>
  <c r="L24" i="17"/>
  <c r="D24" i="17" s="1"/>
  <c r="L19" i="23"/>
  <c r="L22" i="18"/>
  <c r="L21" i="20"/>
  <c r="L23" i="18"/>
  <c r="L18" i="25"/>
  <c r="L25" i="16"/>
  <c r="D25" i="16" s="1"/>
  <c r="L20" i="23"/>
  <c r="L19" i="24"/>
  <c r="L20" i="24"/>
  <c r="L26" i="17"/>
  <c r="D26" i="17" s="1"/>
  <c r="L21" i="23"/>
  <c r="L26" i="15"/>
  <c r="D26" i="15" s="1"/>
  <c r="L22" i="22"/>
  <c r="L19" i="25"/>
  <c r="L24" i="18"/>
  <c r="L23" i="22"/>
  <c r="L27" i="17"/>
  <c r="D27" i="17" s="1"/>
  <c r="L21" i="24"/>
  <c r="L24" i="20"/>
  <c r="L25" i="18"/>
  <c r="L27" i="15"/>
  <c r="D27" i="15" s="1"/>
  <c r="L22" i="23"/>
  <c r="L26" i="18"/>
  <c r="L21" i="25"/>
  <c r="L28" i="16"/>
  <c r="D28" i="16" s="1"/>
  <c r="L24" i="22"/>
  <c r="L27" i="18"/>
  <c r="L29" i="15"/>
  <c r="L29" i="16"/>
  <c r="L29" i="17"/>
  <c r="B56" i="7" s="1"/>
  <c r="L24" i="23"/>
  <c r="L25" i="23"/>
  <c r="L30" i="15"/>
  <c r="D30" i="15" s="1"/>
  <c r="L24" i="24"/>
  <c r="L23" i="25"/>
  <c r="L27" i="20"/>
  <c r="L31" i="17"/>
  <c r="D31" i="17" s="1"/>
  <c r="L24" i="25"/>
  <c r="L16" i="16"/>
  <c r="D16" i="16" s="1"/>
  <c r="L15" i="17"/>
  <c r="L19" i="16"/>
  <c r="D19" i="16" s="1"/>
  <c r="L18" i="18"/>
  <c r="L21" i="17"/>
  <c r="D21" i="17" s="1"/>
  <c r="L15" i="24"/>
  <c r="L19" i="18"/>
  <c r="L16" i="24"/>
  <c r="L20" i="18"/>
  <c r="L15" i="25"/>
  <c r="L22" i="15"/>
  <c r="D22" i="15" s="1"/>
  <c r="L17" i="23"/>
  <c r="L23" i="17"/>
  <c r="D23" i="17" s="1"/>
  <c r="L18" i="24"/>
  <c r="L17" i="25"/>
  <c r="L25" i="15"/>
  <c r="D25" i="15" s="1"/>
  <c r="L25" i="17"/>
  <c r="D25" i="17" s="1"/>
  <c r="L26" i="16"/>
  <c r="D26" i="16" s="1"/>
  <c r="L23" i="20"/>
  <c r="L20" i="25"/>
  <c r="L25" i="20"/>
  <c r="L22" i="24"/>
  <c r="L25" i="22"/>
  <c r="L30" i="16"/>
  <c r="D30" i="16" s="1"/>
  <c r="L30" i="17"/>
  <c r="D30" i="17" s="1"/>
  <c r="L26" i="22"/>
  <c r="L28" i="20"/>
  <c r="L25" i="24"/>
  <c r="L31" i="16"/>
  <c r="D31" i="16" s="1"/>
  <c r="L29" i="18"/>
  <c r="B68" i="7" s="1"/>
  <c r="L26" i="23"/>
  <c r="L30" i="18"/>
  <c r="L32" i="17"/>
  <c r="D32" i="17" s="1"/>
  <c r="L28" i="22"/>
  <c r="L32" i="15"/>
  <c r="D32" i="15" s="1"/>
  <c r="L33" i="15"/>
  <c r="D33" i="15" s="1"/>
  <c r="L29" i="22"/>
  <c r="AF32" i="7" s="1"/>
  <c r="L30" i="20"/>
  <c r="L31" i="18"/>
  <c r="L29" i="23"/>
  <c r="AF44" i="7" s="1"/>
  <c r="L27" i="25"/>
  <c r="L34" i="17"/>
  <c r="D34" i="17" s="1"/>
  <c r="L35" i="16"/>
  <c r="D35" i="16" s="1"/>
  <c r="L28" i="25"/>
  <c r="L30" i="23"/>
  <c r="L33" i="18"/>
  <c r="L32" i="20"/>
  <c r="L29" i="24"/>
  <c r="AF56" i="7" s="1"/>
  <c r="L35" i="15"/>
  <c r="D35" i="15" s="1"/>
  <c r="L31" i="22"/>
  <c r="L36" i="15"/>
  <c r="D36" i="15" s="1"/>
  <c r="L33" i="20"/>
  <c r="L34" i="18"/>
  <c r="L31" i="23"/>
  <c r="L31" i="24"/>
  <c r="L30" i="25"/>
  <c r="L34" i="20"/>
  <c r="L36" i="18"/>
  <c r="L32" i="24"/>
  <c r="L38" i="17"/>
  <c r="D38" i="17" s="1"/>
  <c r="L33" i="23"/>
  <c r="L31" i="25"/>
  <c r="L38" i="16"/>
  <c r="D38" i="16" s="1"/>
  <c r="L33" i="24"/>
  <c r="L32" i="25"/>
  <c r="L37" i="18"/>
  <c r="L36" i="20"/>
  <c r="L37" i="20"/>
  <c r="L35" i="23"/>
  <c r="L38" i="18"/>
  <c r="L40" i="15"/>
  <c r="D40" i="15" s="1"/>
  <c r="L40" i="17"/>
  <c r="D40" i="17" s="1"/>
  <c r="L36" i="23"/>
  <c r="L41" i="17"/>
  <c r="D41" i="17" s="1"/>
  <c r="L35" i="24"/>
  <c r="L35" i="25"/>
  <c r="L42" i="17"/>
  <c r="D42" i="17" s="1"/>
  <c r="L39" i="20"/>
  <c r="L38" i="22"/>
  <c r="L37" i="23"/>
  <c r="L38" i="23"/>
  <c r="L43" i="16"/>
  <c r="D43" i="16" s="1"/>
  <c r="L36" i="25"/>
  <c r="L43" i="15"/>
  <c r="D43" i="15" s="1"/>
  <c r="L44" i="17"/>
  <c r="D44" i="17" s="1"/>
  <c r="L41" i="20"/>
  <c r="L44" i="15"/>
  <c r="D44" i="15" s="1"/>
  <c r="L40" i="22"/>
  <c r="L39" i="23"/>
  <c r="L38" i="24"/>
  <c r="L37" i="25"/>
  <c r="L45" i="15"/>
  <c r="D45" i="15" s="1"/>
  <c r="L45" i="17"/>
  <c r="D45" i="17" s="1"/>
  <c r="L43" i="18"/>
  <c r="L39" i="24"/>
  <c r="L45" i="16"/>
  <c r="D45" i="16" s="1"/>
  <c r="L43" i="20"/>
  <c r="L40" i="24"/>
  <c r="L44" i="18"/>
  <c r="L42" i="22"/>
  <c r="L46" i="16"/>
  <c r="D46" i="16" s="1"/>
  <c r="L41" i="23"/>
  <c r="L39" i="25"/>
  <c r="L42" i="23"/>
  <c r="L43" i="22"/>
  <c r="L41" i="24"/>
  <c r="L44" i="20"/>
  <c r="L46" i="18"/>
  <c r="L44" i="22"/>
  <c r="L45" i="20"/>
  <c r="L43" i="23"/>
  <c r="L44" i="23"/>
  <c r="L49" i="16"/>
  <c r="D49" i="16" s="1"/>
  <c r="L46" i="20"/>
  <c r="L49" i="15"/>
  <c r="D49" i="15" s="1"/>
  <c r="L47" i="18"/>
  <c r="L44" i="24"/>
  <c r="L48" i="18"/>
  <c r="L50" i="17"/>
  <c r="D50" i="17" s="1"/>
  <c r="L46" i="23"/>
  <c r="L49" i="18"/>
  <c r="L45" i="24"/>
  <c r="L48" i="20"/>
  <c r="L52" i="17"/>
  <c r="D52" i="17" s="1"/>
  <c r="L45" i="25"/>
  <c r="L46" i="24"/>
  <c r="L52" i="15"/>
  <c r="D52" i="15" s="1"/>
  <c r="L53" i="16"/>
  <c r="D53" i="16" s="1"/>
  <c r="L53" i="17"/>
  <c r="D53" i="17" s="1"/>
  <c r="L50" i="20"/>
  <c r="L51" i="20"/>
  <c r="L49" i="23"/>
  <c r="L52" i="18"/>
  <c r="L50" i="22"/>
  <c r="L48" i="24"/>
  <c r="L54" i="15"/>
  <c r="D54" i="15" s="1"/>
  <c r="L49" i="24"/>
  <c r="L48" i="25"/>
  <c r="L55" i="17"/>
  <c r="D55" i="17" s="1"/>
  <c r="L49" i="25"/>
  <c r="L56" i="15"/>
  <c r="D56" i="15" s="1"/>
  <c r="L51" i="23"/>
  <c r="L56" i="16"/>
  <c r="D56" i="16" s="1"/>
  <c r="L57" i="16"/>
  <c r="D57" i="16" s="1"/>
  <c r="L53" i="22"/>
  <c r="L57" i="17"/>
  <c r="D57" i="17" s="1"/>
  <c r="L52" i="23"/>
  <c r="L50" i="25"/>
  <c r="L54" i="20"/>
  <c r="L383" i="1"/>
  <c r="B43" i="7"/>
  <c r="B51" i="7"/>
  <c r="B58" i="7"/>
  <c r="B34" i="7"/>
  <c r="L57" i="18"/>
  <c r="L52" i="25"/>
  <c r="L53" i="24"/>
  <c r="L55" i="22"/>
  <c r="L52" i="24"/>
  <c r="L51" i="25"/>
  <c r="L55" i="20"/>
  <c r="L55" i="18"/>
  <c r="L52" i="22"/>
  <c r="L53" i="20"/>
  <c r="L56" i="17"/>
  <c r="D56" i="17" s="1"/>
  <c r="L50" i="24"/>
  <c r="L53" i="18"/>
  <c r="L55" i="15"/>
  <c r="D55" i="15" s="1"/>
  <c r="L52" i="20"/>
  <c r="L54" i="17"/>
  <c r="D54" i="17" s="1"/>
  <c r="L49" i="22"/>
  <c r="L47" i="24"/>
  <c r="L51" i="18"/>
  <c r="L53" i="15"/>
  <c r="D53" i="15" s="1"/>
  <c r="L51" i="17"/>
  <c r="D51" i="17" s="1"/>
  <c r="L45" i="22"/>
  <c r="L42" i="25"/>
  <c r="L49" i="17"/>
  <c r="D49" i="17" s="1"/>
  <c r="L48" i="17"/>
  <c r="D48" i="17" s="1"/>
  <c r="L41" i="25"/>
  <c r="L48" i="15"/>
  <c r="D48" i="15" s="1"/>
  <c r="L42" i="24"/>
  <c r="L47" i="16"/>
  <c r="D47" i="16" s="1"/>
  <c r="L47" i="15"/>
  <c r="D47" i="15" s="1"/>
  <c r="L42" i="20"/>
  <c r="L41" i="22"/>
  <c r="L42" i="18"/>
  <c r="L41" i="18"/>
  <c r="L42" i="16"/>
  <c r="D42" i="16" s="1"/>
  <c r="L40" i="18"/>
  <c r="L42" i="15"/>
  <c r="D42" i="15" s="1"/>
  <c r="L34" i="25"/>
  <c r="L38" i="20"/>
  <c r="L37" i="22"/>
  <c r="L41" i="15"/>
  <c r="D41" i="15" s="1"/>
  <c r="L40" i="16"/>
  <c r="D40" i="16" s="1"/>
  <c r="L36" i="22"/>
  <c r="L39" i="16"/>
  <c r="D39" i="16" s="1"/>
  <c r="L39" i="17"/>
  <c r="D39" i="17" s="1"/>
  <c r="L32" i="23"/>
  <c r="L37" i="15"/>
  <c r="D37" i="15" s="1"/>
  <c r="L35" i="18"/>
  <c r="L37" i="16"/>
  <c r="D37" i="16" s="1"/>
  <c r="L29" i="25"/>
  <c r="AF68" i="7" s="1"/>
  <c r="L32" i="22"/>
  <c r="L36" i="17"/>
  <c r="D36" i="17" s="1"/>
  <c r="L36" i="16"/>
  <c r="D36" i="16" s="1"/>
  <c r="L30" i="24"/>
  <c r="L35" i="17"/>
  <c r="D35" i="17" s="1"/>
  <c r="L28" i="23"/>
  <c r="L26" i="25"/>
  <c r="L33" i="16"/>
  <c r="D33" i="16" s="1"/>
  <c r="L33" i="17"/>
  <c r="D33" i="17" s="1"/>
  <c r="L25" i="25"/>
  <c r="L26" i="24"/>
  <c r="L32" i="16"/>
  <c r="D32" i="16" s="1"/>
  <c r="L27" i="22"/>
  <c r="L31" i="15"/>
  <c r="D31" i="15" s="1"/>
  <c r="L28" i="17"/>
  <c r="D28" i="17" s="1"/>
  <c r="L23" i="23"/>
  <c r="L21" i="22"/>
  <c r="L22" i="20"/>
  <c r="L24" i="16"/>
  <c r="D24" i="16" s="1"/>
  <c r="L24" i="15"/>
  <c r="D24" i="15" s="1"/>
  <c r="L18" i="20"/>
  <c r="L17" i="22"/>
  <c r="L21" i="15"/>
  <c r="D21" i="15" s="1"/>
  <c r="L16" i="23"/>
  <c r="L15" i="23"/>
  <c r="L20" i="15"/>
  <c r="D20" i="15" s="1"/>
  <c r="L16" i="22"/>
  <c r="L15" i="22"/>
  <c r="L19" i="17"/>
  <c r="D19" i="17" s="1"/>
  <c r="B30" i="7"/>
  <c r="D302" i="15"/>
  <c r="B60" i="7"/>
  <c r="D149" i="17"/>
  <c r="L381" i="1"/>
  <c r="L382" i="1"/>
  <c r="D333" i="17"/>
  <c r="D333" i="16"/>
  <c r="D329" i="16"/>
  <c r="D331" i="1"/>
  <c r="D381" i="1" s="1"/>
  <c r="D60" i="17"/>
  <c r="D119" i="15"/>
  <c r="B35" i="7"/>
  <c r="AC18" i="6"/>
  <c r="E358" i="6"/>
  <c r="BH10" i="6"/>
  <c r="U12" i="1"/>
  <c r="BW16" i="7" s="1"/>
  <c r="AI12" i="1"/>
  <c r="AT2" i="7"/>
  <c r="D11" i="7"/>
  <c r="O19" i="1"/>
  <c r="AC19" i="1"/>
  <c r="O21" i="1"/>
  <c r="AC21" i="1"/>
  <c r="AC25" i="1"/>
  <c r="O25" i="1"/>
  <c r="AC27" i="1"/>
  <c r="O27" i="1"/>
  <c r="O29" i="1"/>
  <c r="C20" i="7" s="1"/>
  <c r="AC29" i="1"/>
  <c r="O31" i="1"/>
  <c r="AC31" i="1"/>
  <c r="O33" i="1"/>
  <c r="AC33" i="1"/>
  <c r="O39" i="1"/>
  <c r="AC39" i="1"/>
  <c r="AC41" i="1"/>
  <c r="O41" i="1"/>
  <c r="AC43" i="1"/>
  <c r="O43" i="1"/>
  <c r="AC47" i="1"/>
  <c r="O47" i="1"/>
  <c r="O49" i="1"/>
  <c r="AC49" i="1"/>
  <c r="AC51" i="1"/>
  <c r="O51" i="1"/>
  <c r="O61" i="1"/>
  <c r="AC61" i="1"/>
  <c r="AC65" i="1"/>
  <c r="O65" i="1"/>
  <c r="O67" i="1"/>
  <c r="AC67" i="1"/>
  <c r="O69" i="1"/>
  <c r="AC69" i="1"/>
  <c r="O71" i="1"/>
  <c r="AC71" i="1"/>
  <c r="O73" i="1"/>
  <c r="AC73" i="1"/>
  <c r="AC75" i="1"/>
  <c r="O75" i="1"/>
  <c r="AC77" i="1"/>
  <c r="O77" i="1"/>
  <c r="O79" i="1"/>
  <c r="AC79" i="1"/>
  <c r="AC81" i="1"/>
  <c r="O81" i="1"/>
  <c r="O83" i="1"/>
  <c r="AC83" i="1"/>
  <c r="O85" i="1"/>
  <c r="AC85" i="1"/>
  <c r="O87" i="1"/>
  <c r="AC87" i="1"/>
  <c r="AC89" i="1"/>
  <c r="O89" i="1"/>
  <c r="AC91" i="1"/>
  <c r="O91" i="1"/>
  <c r="AC93" i="1"/>
  <c r="O93" i="1"/>
  <c r="AC95" i="1"/>
  <c r="O95" i="1"/>
  <c r="AC97" i="1"/>
  <c r="O97" i="1"/>
  <c r="AC99" i="1"/>
  <c r="O99" i="1"/>
  <c r="AC101" i="1"/>
  <c r="O101" i="1"/>
  <c r="O103" i="1"/>
  <c r="AC103" i="1"/>
  <c r="O105" i="1"/>
  <c r="AC105" i="1"/>
  <c r="AC107" i="1"/>
  <c r="O107" i="1"/>
  <c r="O109" i="1"/>
  <c r="AC109" i="1"/>
  <c r="AC111" i="1"/>
  <c r="O111" i="1"/>
  <c r="AC113" i="1"/>
  <c r="O113" i="1"/>
  <c r="O115" i="1"/>
  <c r="AC115" i="1"/>
  <c r="AC117" i="1"/>
  <c r="O117" i="1"/>
  <c r="O119" i="1"/>
  <c r="C23" i="7" s="1"/>
  <c r="AC119" i="1"/>
  <c r="O121" i="1"/>
  <c r="AC121" i="1"/>
  <c r="AC123" i="1"/>
  <c r="O123" i="1"/>
  <c r="AC129" i="1"/>
  <c r="O129" i="1"/>
  <c r="O131" i="1"/>
  <c r="AC131" i="1"/>
  <c r="O133" i="1"/>
  <c r="AC133" i="1"/>
  <c r="O135" i="1"/>
  <c r="AC135" i="1"/>
  <c r="O137" i="1"/>
  <c r="AC137" i="1"/>
  <c r="O139" i="1"/>
  <c r="AC139" i="1"/>
  <c r="O141" i="1"/>
  <c r="AC141" i="1"/>
  <c r="AC143" i="1"/>
  <c r="O143" i="1"/>
  <c r="AC145" i="1"/>
  <c r="O145" i="1"/>
  <c r="O147" i="1"/>
  <c r="AC147" i="1"/>
  <c r="O149" i="1"/>
  <c r="C24" i="7" s="1"/>
  <c r="AC149" i="1"/>
  <c r="O151" i="1"/>
  <c r="AC151" i="1"/>
  <c r="AC153" i="1"/>
  <c r="O153" i="1"/>
  <c r="AC155" i="1"/>
  <c r="O155" i="1"/>
  <c r="O157" i="1"/>
  <c r="AC157" i="1"/>
  <c r="O159" i="1"/>
  <c r="AC159" i="1"/>
  <c r="O161" i="1"/>
  <c r="AC161" i="1"/>
  <c r="O165" i="1"/>
  <c r="AC165" i="1"/>
  <c r="AC167" i="1"/>
  <c r="O167" i="1"/>
  <c r="O169" i="1"/>
  <c r="AC169" i="1"/>
  <c r="AC171" i="1"/>
  <c r="O171" i="1"/>
  <c r="O173" i="1"/>
  <c r="AC173" i="1"/>
  <c r="O175" i="1"/>
  <c r="AC175" i="1"/>
  <c r="AC177" i="1"/>
  <c r="O177" i="1"/>
  <c r="AC179" i="1"/>
  <c r="O179" i="1"/>
  <c r="O181" i="1"/>
  <c r="AC181" i="1"/>
  <c r="O183" i="1"/>
  <c r="AC183" i="1"/>
  <c r="AC185" i="1"/>
  <c r="O185" i="1"/>
  <c r="O187" i="1"/>
  <c r="AC187" i="1"/>
  <c r="AC189" i="1"/>
  <c r="O189" i="1"/>
  <c r="O191" i="1"/>
  <c r="AC191" i="1"/>
  <c r="AC193" i="1"/>
  <c r="O193" i="1"/>
  <c r="AC199" i="1"/>
  <c r="O199" i="1"/>
  <c r="O201" i="1"/>
  <c r="AC201" i="1"/>
  <c r="AC203" i="1"/>
  <c r="O203" i="1"/>
  <c r="AC205" i="1"/>
  <c r="O205" i="1"/>
  <c r="O207" i="1"/>
  <c r="AC207" i="1"/>
  <c r="O209" i="1"/>
  <c r="AC209" i="1"/>
  <c r="O211" i="1"/>
  <c r="AC211" i="1"/>
  <c r="AC213" i="1"/>
  <c r="O213" i="1"/>
  <c r="AC215" i="1"/>
  <c r="O215" i="1"/>
  <c r="AC217" i="1"/>
  <c r="O217" i="1"/>
  <c r="O219" i="1"/>
  <c r="AC219" i="1"/>
  <c r="O221" i="1"/>
  <c r="AC221" i="1"/>
  <c r="O223" i="1"/>
  <c r="AC223" i="1"/>
  <c r="AC225" i="1"/>
  <c r="O225" i="1"/>
  <c r="H15" i="7"/>
  <c r="AC16" i="1"/>
  <c r="O16" i="1"/>
  <c r="Z16" i="6"/>
  <c r="Z24" i="6" s="1"/>
  <c r="Z23" i="6" s="1"/>
  <c r="Z25" i="6" s="1"/>
  <c r="Q18" i="6"/>
  <c r="W44" i="6"/>
  <c r="X46" i="6" s="1"/>
  <c r="AH20" i="6"/>
  <c r="E204" i="6"/>
  <c r="S44" i="6"/>
  <c r="S48" i="6" s="1"/>
  <c r="T16" i="6"/>
  <c r="E36" i="6"/>
  <c r="Q10" i="1"/>
  <c r="AE142" i="1" s="1"/>
  <c r="AE337" i="1"/>
  <c r="AE88" i="1"/>
  <c r="AE374" i="1"/>
  <c r="AE178" i="1"/>
  <c r="AE167" i="1"/>
  <c r="AE61" i="1"/>
  <c r="AE265" i="1"/>
  <c r="AE160" i="1"/>
  <c r="AE291" i="1"/>
  <c r="AE105" i="1"/>
  <c r="AE229" i="1"/>
  <c r="AE173" i="1"/>
  <c r="AE188" i="1"/>
  <c r="AE364" i="1"/>
  <c r="AE182" i="1"/>
  <c r="Q19" i="1"/>
  <c r="Q30" i="1"/>
  <c r="Q45" i="1"/>
  <c r="Q53" i="1"/>
  <c r="Q60" i="1"/>
  <c r="Q69" i="1"/>
  <c r="AE236" i="1"/>
  <c r="AE205" i="1"/>
  <c r="AE280" i="1"/>
  <c r="AE54" i="1"/>
  <c r="AE298" i="1"/>
  <c r="AE240" i="1"/>
  <c r="AE249" i="1"/>
  <c r="AE82" i="1"/>
  <c r="AE159" i="1"/>
  <c r="AE73" i="1"/>
  <c r="AE308" i="1"/>
  <c r="AE322" i="1"/>
  <c r="AE102" i="1"/>
  <c r="AE151" i="1"/>
  <c r="AE293" i="1"/>
  <c r="AE42" i="1"/>
  <c r="Q23" i="1"/>
  <c r="Q36" i="1"/>
  <c r="Q43" i="1"/>
  <c r="AE232" i="1"/>
  <c r="BK15" i="7"/>
  <c r="AE336" i="1"/>
  <c r="AE248" i="1"/>
  <c r="AE212" i="1"/>
  <c r="AE158" i="1"/>
  <c r="AE96" i="1"/>
  <c r="AE64" i="1"/>
  <c r="AE30" i="1"/>
  <c r="BQ15" i="7"/>
  <c r="AE342" i="1"/>
  <c r="AE313" i="1"/>
  <c r="AE338" i="1"/>
  <c r="AE306" i="1"/>
  <c r="AE274" i="1"/>
  <c r="AE215" i="1"/>
  <c r="AE193" i="1"/>
  <c r="AE153" i="1"/>
  <c r="AE136" i="1"/>
  <c r="AE130" i="1"/>
  <c r="AE95" i="1"/>
  <c r="AE27" i="1"/>
  <c r="AE18" i="1"/>
  <c r="AE349" i="1"/>
  <c r="AE256" i="1"/>
  <c r="AE209" i="1"/>
  <c r="AE127" i="1"/>
  <c r="AE91" i="1"/>
  <c r="AE29" i="1"/>
  <c r="AE251" i="1"/>
  <c r="AE55" i="1"/>
  <c r="AE45" i="1"/>
  <c r="AE345" i="1"/>
  <c r="AE311" i="1"/>
  <c r="AE262" i="1"/>
  <c r="AE166" i="1"/>
  <c r="AE74" i="1"/>
  <c r="AE379" i="1"/>
  <c r="AE12" i="15" s="1"/>
  <c r="BW15" i="7"/>
  <c r="AE343" i="1"/>
  <c r="AE339" i="1"/>
  <c r="AE289" i="1"/>
  <c r="AE198" i="1"/>
  <c r="AE146" i="1"/>
  <c r="AE131" i="1"/>
  <c r="AE109" i="1"/>
  <c r="AE39" i="1"/>
  <c r="AE19" i="1"/>
  <c r="AE350" i="1"/>
  <c r="AE257" i="1"/>
  <c r="AE211" i="1"/>
  <c r="AE128" i="1"/>
  <c r="AE106" i="1"/>
  <c r="AE31" i="1"/>
  <c r="AE378" i="1"/>
  <c r="AE330" i="1"/>
  <c r="AE60" i="1"/>
  <c r="AE47" i="1"/>
  <c r="AE75" i="1"/>
  <c r="AE169" i="1"/>
  <c r="AE221" i="1"/>
  <c r="AE253" i="1"/>
  <c r="AE295" i="1"/>
  <c r="AE321" i="1"/>
  <c r="AE51" i="1"/>
  <c r="AE67" i="1"/>
  <c r="AE79" i="1"/>
  <c r="AE37" i="1"/>
  <c r="AE177" i="1"/>
  <c r="AE185" i="1"/>
  <c r="AE222" i="1"/>
  <c r="AE301" i="1"/>
  <c r="AE317" i="1"/>
  <c r="AE323" i="1"/>
  <c r="AE363" i="1"/>
  <c r="AE41" i="1"/>
  <c r="AE156" i="1"/>
  <c r="AE194" i="1"/>
  <c r="AE239" i="1"/>
  <c r="AE152" i="1"/>
  <c r="AE123" i="1"/>
  <c r="AE250" i="1"/>
  <c r="AE111" i="1"/>
  <c r="AE217" i="1"/>
  <c r="AE267" i="1"/>
  <c r="AE275" i="1"/>
  <c r="AE36" i="1"/>
  <c r="AE85" i="1"/>
  <c r="AE139" i="1"/>
  <c r="AE325" i="1"/>
  <c r="AE361" i="1"/>
  <c r="AE57" i="1"/>
  <c r="AE207" i="1"/>
  <c r="AE294" i="1"/>
  <c r="AE90" i="1"/>
  <c r="AE355" i="1"/>
  <c r="AE48" i="1"/>
  <c r="AE163" i="1"/>
  <c r="AE175" i="1"/>
  <c r="AE226" i="1"/>
  <c r="AE297" i="1"/>
  <c r="AE334" i="1"/>
  <c r="AE366" i="1"/>
  <c r="AE89" i="1"/>
  <c r="AE120" i="1"/>
  <c r="AE23" i="1"/>
  <c r="AE53" i="1"/>
  <c r="AE101" i="1"/>
  <c r="AE241" i="1"/>
  <c r="AE368" i="1"/>
  <c r="AE358" i="1"/>
  <c r="AE56" i="1"/>
  <c r="AE87" i="1"/>
  <c r="AE115" i="1"/>
  <c r="AE135" i="1"/>
  <c r="AE202" i="1"/>
  <c r="AE259" i="1"/>
  <c r="AE277" i="1"/>
  <c r="AE314" i="1"/>
  <c r="AE335" i="1"/>
  <c r="AE348" i="1"/>
  <c r="AE204" i="1"/>
  <c r="AE17" i="1"/>
  <c r="AE161" i="1"/>
  <c r="AE192" i="1"/>
  <c r="AE303" i="1"/>
  <c r="AE122" i="1"/>
  <c r="AE124" i="1"/>
  <c r="AE28" i="1"/>
  <c r="AE129" i="1"/>
  <c r="AE252" i="1"/>
  <c r="AE196" i="1"/>
  <c r="AE352" i="1"/>
  <c r="AE66" i="1"/>
  <c r="AE117" i="1"/>
  <c r="AE231" i="1"/>
  <c r="AE279" i="1"/>
  <c r="AE333" i="1"/>
  <c r="AE83" i="1"/>
  <c r="AE230" i="1"/>
  <c r="AE373" i="1"/>
  <c r="AE165" i="1"/>
  <c r="AE228" i="1"/>
  <c r="AE359" i="1"/>
  <c r="AE110" i="1"/>
  <c r="AE108" i="1"/>
  <c r="AE21" i="1"/>
  <c r="AE100" i="1"/>
  <c r="AE186" i="1"/>
  <c r="AE372" i="1"/>
  <c r="AE356" i="1"/>
  <c r="AE58" i="1"/>
  <c r="AE125" i="1"/>
  <c r="AE225" i="1"/>
  <c r="AE269" i="1"/>
  <c r="AE340" i="1"/>
  <c r="Q16" i="1"/>
  <c r="Q17" i="1"/>
  <c r="Q18" i="1"/>
  <c r="Q27" i="1"/>
  <c r="Q32" i="1"/>
  <c r="Q33" i="1"/>
  <c r="Q35" i="1"/>
  <c r="Q38" i="1"/>
  <c r="Q40" i="1"/>
  <c r="Q44" i="1"/>
  <c r="Q46" i="1"/>
  <c r="Q47" i="1"/>
  <c r="Q51" i="1"/>
  <c r="Q52" i="1"/>
  <c r="Q55" i="1"/>
  <c r="Q57" i="1"/>
  <c r="Q61" i="1"/>
  <c r="Q63" i="1"/>
  <c r="Q67" i="1"/>
  <c r="Q68" i="1"/>
  <c r="Q71" i="1"/>
  <c r="Q72" i="1"/>
  <c r="Q73" i="1"/>
  <c r="Q74" i="1"/>
  <c r="Q75" i="1"/>
  <c r="Q76" i="1"/>
  <c r="Q81" i="1"/>
  <c r="Q83" i="1"/>
  <c r="BM15" i="7"/>
  <c r="BY15" i="7"/>
  <c r="BS15" i="7"/>
  <c r="E15" i="7"/>
  <c r="AE24" i="1"/>
  <c r="AE86" i="1"/>
  <c r="AE92" i="1"/>
  <c r="AE180" i="1"/>
  <c r="AE190" i="1"/>
  <c r="AE191" i="1"/>
  <c r="AE206" i="1"/>
  <c r="AE208" i="1"/>
  <c r="AE270" i="1"/>
  <c r="AE272" i="1"/>
  <c r="AE273" i="1"/>
  <c r="AE282" i="1"/>
  <c r="AE285" i="1"/>
  <c r="AE288" i="1"/>
  <c r="AE32" i="1"/>
  <c r="AE72" i="1"/>
  <c r="AE104" i="1"/>
  <c r="AE162" i="1"/>
  <c r="AE214" i="1"/>
  <c r="AE260" i="1"/>
  <c r="AE296" i="1"/>
  <c r="AE307" i="1"/>
  <c r="AE377" i="1"/>
  <c r="AE26" i="1"/>
  <c r="AE38" i="1"/>
  <c r="AE62" i="1"/>
  <c r="AE80" i="1"/>
  <c r="AE94" i="1"/>
  <c r="AE114" i="1"/>
  <c r="AE148" i="1"/>
  <c r="AE172" i="1"/>
  <c r="AE203" i="1"/>
  <c r="AE210" i="1"/>
  <c r="AE218" i="1"/>
  <c r="AE244" i="1"/>
  <c r="AE264" i="1"/>
  <c r="AE290" i="1"/>
  <c r="AE304" i="1"/>
  <c r="AE326" i="1"/>
  <c r="AE360" i="1"/>
  <c r="AC226" i="1"/>
  <c r="O220" i="1"/>
  <c r="AC218" i="1"/>
  <c r="O216" i="1"/>
  <c r="AC204" i="1"/>
  <c r="O198" i="1"/>
  <c r="AC196" i="1"/>
  <c r="O194" i="1"/>
  <c r="AC192" i="1"/>
  <c r="O178" i="1"/>
  <c r="AC176" i="1"/>
  <c r="O172" i="1"/>
  <c r="AC164" i="1"/>
  <c r="O148" i="1"/>
  <c r="O146" i="1"/>
  <c r="O144" i="1"/>
  <c r="AC116" i="1"/>
  <c r="O48" i="1"/>
  <c r="AC42" i="1"/>
  <c r="O28" i="1"/>
  <c r="O45" i="1"/>
  <c r="AC37" i="1"/>
  <c r="AC35" i="1"/>
  <c r="E106" i="6"/>
  <c r="E50" i="6"/>
  <c r="AM18" i="6"/>
  <c r="L29" i="6"/>
  <c r="M31" i="6" s="1"/>
  <c r="W29" i="6"/>
  <c r="X31" i="6" s="1"/>
  <c r="W16" i="6"/>
  <c r="S20" i="6"/>
  <c r="S16" i="6"/>
  <c r="E22" i="6"/>
  <c r="AN16" i="6"/>
  <c r="M13" i="6"/>
  <c r="M44" i="6" s="1"/>
  <c r="N46" i="6" s="1"/>
  <c r="AK16" i="6"/>
  <c r="AH18" i="6"/>
  <c r="Y20" i="6"/>
  <c r="Q16" i="6"/>
  <c r="E274" i="6"/>
  <c r="AE16" i="6"/>
  <c r="X44" i="6"/>
  <c r="AI18" i="6"/>
  <c r="AA18" i="6"/>
  <c r="X20" i="6"/>
  <c r="N20" i="6"/>
  <c r="O222" i="1"/>
  <c r="AC206" i="1"/>
  <c r="O202" i="1"/>
  <c r="O190" i="1"/>
  <c r="AC184" i="1"/>
  <c r="O182" i="1"/>
  <c r="AC170" i="1"/>
  <c r="AC168" i="1"/>
  <c r="O166" i="1"/>
  <c r="O162" i="1"/>
  <c r="AC158" i="1"/>
  <c r="AC156" i="1"/>
  <c r="AC154" i="1"/>
  <c r="O150" i="1"/>
  <c r="O142" i="1"/>
  <c r="AC130" i="1"/>
  <c r="AC126" i="1"/>
  <c r="O120" i="1"/>
  <c r="AC118" i="1"/>
  <c r="AC114" i="1"/>
  <c r="O112" i="1"/>
  <c r="O110" i="1"/>
  <c r="O104" i="1"/>
  <c r="O98" i="1"/>
  <c r="O96" i="1"/>
  <c r="AC70" i="1"/>
  <c r="O58" i="1"/>
  <c r="O56" i="1"/>
  <c r="O52" i="1"/>
  <c r="O46" i="1"/>
  <c r="O44" i="1"/>
  <c r="O38" i="1"/>
  <c r="B31" i="7"/>
  <c r="D333" i="15"/>
  <c r="D241" i="17"/>
  <c r="B64" i="7"/>
  <c r="AA16" i="6"/>
  <c r="AC15" i="1"/>
  <c r="O15" i="1"/>
  <c r="O22" i="1"/>
  <c r="AC22" i="1"/>
  <c r="O24" i="1"/>
  <c r="AC24" i="1"/>
  <c r="O26" i="1"/>
  <c r="AC26" i="1"/>
  <c r="O32" i="1"/>
  <c r="AC32" i="1"/>
  <c r="O36" i="1"/>
  <c r="AC36" i="1"/>
  <c r="O50" i="1"/>
  <c r="AC50" i="1"/>
  <c r="O54" i="1"/>
  <c r="AC54" i="1"/>
  <c r="O62" i="1"/>
  <c r="AC62" i="1"/>
  <c r="O64" i="1"/>
  <c r="AC64" i="1"/>
  <c r="O66" i="1"/>
  <c r="AC66" i="1"/>
  <c r="O72" i="1"/>
  <c r="AC72" i="1"/>
  <c r="AC82" i="1"/>
  <c r="O82" i="1"/>
  <c r="AC90" i="1"/>
  <c r="O90" i="1"/>
  <c r="AC92" i="1"/>
  <c r="O92" i="1"/>
  <c r="O94" i="1"/>
  <c r="AC94" i="1"/>
  <c r="O102" i="1"/>
  <c r="AC102" i="1"/>
  <c r="AC106" i="1"/>
  <c r="O106" i="1"/>
  <c r="AC124" i="1"/>
  <c r="O124" i="1"/>
  <c r="O128" i="1"/>
  <c r="AC128" i="1"/>
  <c r="O132" i="1"/>
  <c r="AC132" i="1"/>
  <c r="AC160" i="1"/>
  <c r="O160" i="1"/>
  <c r="O174" i="1"/>
  <c r="AC174" i="1"/>
  <c r="AC180" i="1"/>
  <c r="O180" i="1"/>
  <c r="C25" i="7" s="1"/>
  <c r="D180" i="16"/>
  <c r="D119" i="16"/>
  <c r="AA46" i="6"/>
  <c r="Z48" i="6"/>
  <c r="E134" i="6"/>
  <c r="U20" i="6"/>
  <c r="U16" i="6"/>
  <c r="E78" i="6"/>
  <c r="P29" i="6"/>
  <c r="P33" i="6" s="1"/>
  <c r="O29" i="6"/>
  <c r="O33" i="6" s="1"/>
  <c r="O20" i="6"/>
  <c r="O24" i="6" s="1"/>
  <c r="O23" i="6" s="1"/>
  <c r="O25" i="6" s="1"/>
  <c r="E372" i="6"/>
  <c r="AL20" i="6"/>
  <c r="AM16" i="6"/>
  <c r="L13" i="6"/>
  <c r="AI20" i="6"/>
  <c r="V18" i="6"/>
  <c r="AB29" i="6"/>
  <c r="AA35" i="6" s="1"/>
  <c r="AG16" i="6"/>
  <c r="AD18" i="6"/>
  <c r="E246" i="6"/>
  <c r="AG18" i="6"/>
  <c r="AF20" i="6"/>
  <c r="AH16" i="6"/>
  <c r="M20" i="6"/>
  <c r="Y50" i="6"/>
  <c r="AL18" i="6"/>
  <c r="Z29" i="6"/>
  <c r="AA31" i="6" s="1"/>
  <c r="BL13" i="7"/>
  <c r="D13" i="7"/>
  <c r="O227" i="1"/>
  <c r="AC229" i="1"/>
  <c r="O248" i="1"/>
  <c r="O249" i="1"/>
  <c r="AC249" i="1"/>
  <c r="AC250" i="1"/>
  <c r="O251" i="1"/>
  <c r="AC255" i="1"/>
  <c r="O264" i="1"/>
  <c r="AC264" i="1"/>
  <c r="O266" i="1"/>
  <c r="AC266" i="1"/>
  <c r="O267" i="1"/>
  <c r="AC267" i="1"/>
  <c r="AC279" i="1"/>
  <c r="O280" i="1"/>
  <c r="AC281" i="1"/>
  <c r="AC282" i="1"/>
  <c r="O282" i="1"/>
  <c r="O300" i="1"/>
  <c r="E300" i="1" s="1"/>
  <c r="AC300" i="1"/>
  <c r="O302" i="1"/>
  <c r="AC302" i="1"/>
  <c r="O303" i="1"/>
  <c r="E303" i="1" s="1"/>
  <c r="O305" i="1"/>
  <c r="E305" i="1" s="1"/>
  <c r="AC308" i="1"/>
  <c r="O309" i="1"/>
  <c r="E309" i="1" s="1"/>
  <c r="AC309" i="1"/>
  <c r="O312" i="1"/>
  <c r="AC313" i="1"/>
  <c r="AC314" i="1"/>
  <c r="AC315" i="1"/>
  <c r="O315" i="1"/>
  <c r="E315" i="1" s="1"/>
  <c r="AC319" i="1"/>
  <c r="O320" i="1"/>
  <c r="AC321" i="1"/>
  <c r="O322" i="1"/>
  <c r="E322" i="1" s="1"/>
  <c r="O324" i="1"/>
  <c r="E324" i="1" s="1"/>
  <c r="AC325" i="1"/>
  <c r="O326" i="1"/>
  <c r="AC329" i="1"/>
  <c r="AC331" i="1"/>
  <c r="AC332" i="1"/>
  <c r="AC333" i="1"/>
  <c r="O334" i="1"/>
  <c r="E334" i="1" s="1"/>
  <c r="O337" i="1"/>
  <c r="E337" i="1" s="1"/>
  <c r="AC338" i="1"/>
  <c r="O338" i="1"/>
  <c r="E338" i="1" s="1"/>
  <c r="AC339" i="1"/>
  <c r="O339" i="1"/>
  <c r="E339" i="1" s="1"/>
  <c r="O340" i="1"/>
  <c r="E340" i="1" s="1"/>
  <c r="O343" i="1"/>
  <c r="E343" i="1" s="1"/>
  <c r="AC346" i="1"/>
  <c r="O347" i="1"/>
  <c r="E347" i="1" s="1"/>
  <c r="AC347" i="1"/>
  <c r="AC349" i="1"/>
  <c r="O350" i="1"/>
  <c r="E350" i="1" s="1"/>
  <c r="AC352" i="1"/>
  <c r="AC354" i="1"/>
  <c r="O357" i="1"/>
  <c r="E357" i="1" s="1"/>
  <c r="O358" i="1"/>
  <c r="E358" i="1" s="1"/>
  <c r="AC358" i="1"/>
  <c r="BR13" i="7"/>
  <c r="BX13" i="7"/>
  <c r="AC231" i="1"/>
  <c r="AC233" i="1"/>
  <c r="O233" i="1"/>
  <c r="AC240" i="1"/>
  <c r="AC243" i="1"/>
  <c r="AC244" i="1"/>
  <c r="O244" i="1"/>
  <c r="O245" i="1"/>
  <c r="AC245" i="1"/>
  <c r="O246" i="1"/>
  <c r="AC246" i="1"/>
  <c r="AC253" i="1"/>
  <c r="O270" i="1"/>
  <c r="AC271" i="1"/>
  <c r="O273" i="1"/>
  <c r="O274" i="1"/>
  <c r="AC275" i="1"/>
  <c r="O287" i="1"/>
  <c r="O288" i="1"/>
  <c r="E288" i="1" s="1"/>
  <c r="AC290" i="1"/>
  <c r="O304" i="1"/>
  <c r="E304" i="1" s="1"/>
  <c r="AC306" i="1"/>
  <c r="O306" i="1"/>
  <c r="E306" i="1" s="1"/>
  <c r="AC307" i="1"/>
  <c r="AC310" i="1"/>
  <c r="O310" i="1"/>
  <c r="E310" i="1" s="1"/>
  <c r="AC311" i="1"/>
  <c r="O316" i="1"/>
  <c r="E316" i="1" s="1"/>
  <c r="O317" i="1"/>
  <c r="E317" i="1" s="1"/>
  <c r="AC318" i="1"/>
  <c r="AC323" i="1"/>
  <c r="O328" i="1"/>
  <c r="E328" i="1" s="1"/>
  <c r="AC328" i="1"/>
  <c r="O330" i="1"/>
  <c r="E330" i="1" s="1"/>
  <c r="O335" i="1"/>
  <c r="E335" i="1" s="1"/>
  <c r="AC335" i="1"/>
  <c r="AC336" i="1"/>
  <c r="O336" i="1"/>
  <c r="E336" i="1" s="1"/>
  <c r="O341" i="1"/>
  <c r="E341" i="1" s="1"/>
  <c r="AC341" i="1"/>
  <c r="AC344" i="1"/>
  <c r="O348" i="1"/>
  <c r="E348" i="1" s="1"/>
  <c r="AC351" i="1"/>
  <c r="O351" i="1"/>
  <c r="E351" i="1" s="1"/>
  <c r="O355" i="1"/>
  <c r="E355" i="1" s="1"/>
  <c r="AC356" i="1"/>
  <c r="AC362" i="1"/>
  <c r="O362" i="1"/>
  <c r="E362" i="1" s="1"/>
  <c r="AC363" i="1"/>
  <c r="O365" i="1"/>
  <c r="E365" i="1" s="1"/>
  <c r="O367" i="1"/>
  <c r="E367" i="1" s="1"/>
  <c r="O368" i="1"/>
  <c r="E368" i="1" s="1"/>
  <c r="O370" i="1"/>
  <c r="E370" i="1" s="1"/>
  <c r="O373" i="1"/>
  <c r="E373" i="1" s="1"/>
  <c r="AC373" i="1"/>
  <c r="AC374" i="1"/>
  <c r="AC375" i="1"/>
  <c r="O376" i="1"/>
  <c r="E376" i="1" s="1"/>
  <c r="AC376" i="1"/>
  <c r="AC359" i="1"/>
  <c r="AC364" i="1"/>
  <c r="O364" i="1"/>
  <c r="E364" i="1" s="1"/>
  <c r="AC366" i="1"/>
  <c r="AC369" i="1"/>
  <c r="AC371" i="1"/>
  <c r="O377" i="1"/>
  <c r="E377" i="1" s="1"/>
  <c r="O378" i="1"/>
  <c r="E378" i="1" s="1"/>
  <c r="AC378" i="1"/>
  <c r="E312" i="1"/>
  <c r="E326" i="1"/>
  <c r="E320" i="1"/>
  <c r="BY13" i="7"/>
  <c r="BM13" i="7"/>
  <c r="O379" i="1"/>
  <c r="AC379" i="1"/>
  <c r="AC377" i="1"/>
  <c r="O375" i="1"/>
  <c r="E375" i="1" s="1"/>
  <c r="O374" i="1"/>
  <c r="E374" i="1" s="1"/>
  <c r="AC372" i="1"/>
  <c r="O372" i="1"/>
  <c r="E372" i="1" s="1"/>
  <c r="O371" i="1"/>
  <c r="E371" i="1" s="1"/>
  <c r="AC370" i="1"/>
  <c r="O369" i="1"/>
  <c r="E369" i="1" s="1"/>
  <c r="AC368" i="1"/>
  <c r="AC367" i="1"/>
  <c r="O366" i="1"/>
  <c r="E366" i="1" s="1"/>
  <c r="AC365" i="1"/>
  <c r="O363" i="1"/>
  <c r="C31" i="7" s="1"/>
  <c r="AC361" i="1"/>
  <c r="O361" i="1"/>
  <c r="E361" i="1" s="1"/>
  <c r="O360" i="1"/>
  <c r="E360" i="1" s="1"/>
  <c r="AC360" i="1"/>
  <c r="O359" i="1"/>
  <c r="E359" i="1" s="1"/>
  <c r="AC357" i="1"/>
  <c r="O356" i="1"/>
  <c r="E356" i="1" s="1"/>
  <c r="AC355" i="1"/>
  <c r="O354" i="1"/>
  <c r="E354" i="1" s="1"/>
  <c r="O353" i="1"/>
  <c r="E353" i="1" s="1"/>
  <c r="AC353" i="1"/>
  <c r="O352" i="1"/>
  <c r="E352" i="1" s="1"/>
  <c r="AC350" i="1"/>
  <c r="O349" i="1"/>
  <c r="E349" i="1" s="1"/>
  <c r="AC348" i="1"/>
  <c r="O346" i="1"/>
  <c r="E346" i="1" s="1"/>
  <c r="O345" i="1"/>
  <c r="E345" i="1" s="1"/>
  <c r="AC345" i="1"/>
  <c r="O344" i="1"/>
  <c r="E344" i="1" s="1"/>
  <c r="AC343" i="1"/>
  <c r="O342" i="1"/>
  <c r="E342" i="1" s="1"/>
  <c r="AC342" i="1"/>
  <c r="AC340" i="1"/>
  <c r="AC337" i="1"/>
  <c r="AC334" i="1"/>
  <c r="O333" i="1"/>
  <c r="C30" i="7" s="1"/>
  <c r="O332" i="1"/>
  <c r="E332" i="1" s="1"/>
  <c r="O331" i="1"/>
  <c r="AC330" i="1"/>
  <c r="O329" i="1"/>
  <c r="E329" i="1" s="1"/>
  <c r="AC327" i="1"/>
  <c r="O327" i="1"/>
  <c r="E327" i="1" s="1"/>
  <c r="AC326" i="1"/>
  <c r="O325" i="1"/>
  <c r="E325" i="1" s="1"/>
  <c r="AC324" i="1"/>
  <c r="O323" i="1"/>
  <c r="E323" i="1" s="1"/>
  <c r="AC322" i="1"/>
  <c r="O321" i="1"/>
  <c r="E321" i="1" s="1"/>
  <c r="AC320" i="1"/>
  <c r="O319" i="1"/>
  <c r="E319" i="1" s="1"/>
  <c r="O318" i="1"/>
  <c r="E318" i="1" s="1"/>
  <c r="AC317" i="1"/>
  <c r="AC316" i="1"/>
  <c r="O314" i="1"/>
  <c r="E314" i="1" s="1"/>
  <c r="O313" i="1"/>
  <c r="E313" i="1" s="1"/>
  <c r="AC312" i="1"/>
  <c r="O311" i="1"/>
  <c r="E311" i="1" s="1"/>
  <c r="O308" i="1"/>
  <c r="E308" i="1" s="1"/>
  <c r="O307" i="1"/>
  <c r="E307" i="1" s="1"/>
  <c r="AC305" i="1"/>
  <c r="AC304" i="1"/>
  <c r="AC303" i="1"/>
  <c r="O301" i="1"/>
  <c r="E301" i="1" s="1"/>
  <c r="AC301" i="1"/>
  <c r="O299" i="1"/>
  <c r="E299" i="1" s="1"/>
  <c r="AC299" i="1"/>
  <c r="O298" i="1"/>
  <c r="E298" i="1" s="1"/>
  <c r="AC298" i="1"/>
  <c r="AC296" i="1"/>
  <c r="O296" i="1"/>
  <c r="E296" i="1" s="1"/>
  <c r="O295" i="1"/>
  <c r="E295" i="1" s="1"/>
  <c r="AC295" i="1"/>
  <c r="AC294" i="1"/>
  <c r="O293" i="1"/>
  <c r="E293" i="1" s="1"/>
  <c r="O289" i="1"/>
  <c r="E289" i="1" s="1"/>
  <c r="AC289" i="1"/>
  <c r="O286" i="1"/>
  <c r="AC285" i="1"/>
  <c r="O283" i="1"/>
  <c r="AC278" i="1"/>
  <c r="O278" i="1"/>
  <c r="AC277" i="1"/>
  <c r="O269" i="1"/>
  <c r="AC269" i="1"/>
  <c r="O268" i="1"/>
  <c r="O263" i="1"/>
  <c r="AC262" i="1"/>
  <c r="AC261" i="1"/>
  <c r="O258" i="1"/>
  <c r="AC258" i="1"/>
  <c r="AC256" i="1"/>
  <c r="AC254" i="1"/>
  <c r="O252" i="1"/>
  <c r="AC247" i="1"/>
  <c r="O242" i="1"/>
  <c r="AC242" i="1"/>
  <c r="O230" i="1"/>
  <c r="AC227" i="1"/>
  <c r="AC228" i="1"/>
  <c r="AC230" i="1"/>
  <c r="AC232" i="1"/>
  <c r="AC234" i="1"/>
  <c r="AC235" i="1"/>
  <c r="AC236" i="1"/>
  <c r="AC237" i="1"/>
  <c r="AC238" i="1"/>
  <c r="AC239" i="1"/>
  <c r="AC241" i="1"/>
  <c r="AC248" i="1"/>
  <c r="AC251" i="1"/>
  <c r="AC252" i="1"/>
  <c r="AC257" i="1"/>
  <c r="AC259" i="1"/>
  <c r="AC260" i="1"/>
  <c r="AC263" i="1"/>
  <c r="AC265" i="1"/>
  <c r="AC268" i="1"/>
  <c r="AC270" i="1"/>
  <c r="AC272" i="1"/>
  <c r="AC273" i="1"/>
  <c r="AC274" i="1"/>
  <c r="AC276" i="1"/>
  <c r="AC280" i="1"/>
  <c r="AC283" i="1"/>
  <c r="AC284" i="1"/>
  <c r="AC286" i="1"/>
  <c r="AC287" i="1"/>
  <c r="AC288" i="1"/>
  <c r="AC291" i="1"/>
  <c r="AC292" i="1"/>
  <c r="AC293" i="1"/>
  <c r="AC297" i="1"/>
  <c r="BW13" i="7"/>
  <c r="BK13" i="7"/>
  <c r="O228" i="1"/>
  <c r="O229" i="1"/>
  <c r="O231" i="1"/>
  <c r="O232" i="1"/>
  <c r="O234" i="1"/>
  <c r="O235" i="1"/>
  <c r="O236" i="1"/>
  <c r="O237" i="1"/>
  <c r="O238" i="1"/>
  <c r="O239" i="1"/>
  <c r="O240" i="1"/>
  <c r="O241" i="1"/>
  <c r="C27" i="7" s="1"/>
  <c r="O243" i="1"/>
  <c r="O247" i="1"/>
  <c r="O250" i="1"/>
  <c r="O253" i="1"/>
  <c r="O254" i="1"/>
  <c r="O255" i="1"/>
  <c r="O256" i="1"/>
  <c r="O257" i="1"/>
  <c r="O259" i="1"/>
  <c r="O260" i="1"/>
  <c r="O261" i="1"/>
  <c r="O262" i="1"/>
  <c r="O265" i="1"/>
  <c r="O271" i="1"/>
  <c r="O272" i="1"/>
  <c r="C28" i="7" s="1"/>
  <c r="O275" i="1"/>
  <c r="O276" i="1"/>
  <c r="O277" i="1"/>
  <c r="O279" i="1"/>
  <c r="O281" i="1"/>
  <c r="O284" i="1"/>
  <c r="O285" i="1"/>
  <c r="O290" i="1"/>
  <c r="E290" i="1" s="1"/>
  <c r="O291" i="1"/>
  <c r="E291" i="1" s="1"/>
  <c r="O292" i="1"/>
  <c r="E292" i="1" s="1"/>
  <c r="O294" i="1"/>
  <c r="E294" i="1" s="1"/>
  <c r="O297" i="1"/>
  <c r="E297" i="1" s="1"/>
  <c r="E13" i="7"/>
  <c r="O9" i="16"/>
  <c r="AJ8" i="1"/>
  <c r="T31" i="6"/>
  <c r="S33" i="6"/>
  <c r="R46" i="6"/>
  <c r="Q48" i="6"/>
  <c r="V33" i="6"/>
  <c r="W31" i="6"/>
  <c r="Q33" i="6"/>
  <c r="P35" i="6"/>
  <c r="V16" i="6"/>
  <c r="U18" i="6"/>
  <c r="W18" i="6"/>
  <c r="R44" i="6"/>
  <c r="U29" i="6"/>
  <c r="AB18" i="6"/>
  <c r="AC16" i="6"/>
  <c r="AL16" i="6"/>
  <c r="Y44" i="6"/>
  <c r="E344" i="6"/>
  <c r="AK18" i="6"/>
  <c r="AB24" i="6"/>
  <c r="R31" i="6"/>
  <c r="U35" i="6"/>
  <c r="AJ20" i="6"/>
  <c r="P50" i="6"/>
  <c r="V20" i="6"/>
  <c r="T20" i="6"/>
  <c r="E120" i="6"/>
  <c r="E218" i="6"/>
  <c r="AO13" i="6"/>
  <c r="N44" i="6"/>
  <c r="P16" i="6"/>
  <c r="P24" i="6" s="1"/>
  <c r="P23" i="6" s="1"/>
  <c r="P25" i="6" s="1"/>
  <c r="AB44" i="6"/>
  <c r="AA50" i="6" s="1"/>
  <c r="O44" i="6"/>
  <c r="E64" i="6"/>
  <c r="R16" i="6"/>
  <c r="P44" i="6"/>
  <c r="R20" i="6"/>
  <c r="R24" i="6" s="1"/>
  <c r="R23" i="6" s="1"/>
  <c r="S18" i="6"/>
  <c r="Y16" i="6"/>
  <c r="W20" i="6"/>
  <c r="X18" i="6"/>
  <c r="E162" i="6"/>
  <c r="T29" i="6"/>
  <c r="S35" i="6" s="1"/>
  <c r="E190" i="6"/>
  <c r="U44" i="6"/>
  <c r="E232" i="6"/>
  <c r="AD16" i="6"/>
  <c r="V44" i="6"/>
  <c r="V48" i="6" s="1"/>
  <c r="AE18" i="6"/>
  <c r="AD20" i="6"/>
  <c r="X29" i="6"/>
  <c r="AG20" i="6"/>
  <c r="AI16" i="6"/>
  <c r="Y29" i="6"/>
  <c r="Y33" i="6" s="1"/>
  <c r="AJ18" i="6"/>
  <c r="AN18" i="6"/>
  <c r="AM20" i="6"/>
  <c r="AA29" i="6"/>
  <c r="R33" i="6"/>
  <c r="S31" i="6"/>
  <c r="AK3" i="1"/>
  <c r="Q11" i="19" s="1"/>
  <c r="BK16" i="7" l="1"/>
  <c r="P11" i="15"/>
  <c r="AK21" i="15" s="1"/>
  <c r="I11" i="7"/>
  <c r="Q11" i="15" s="1"/>
  <c r="AF24" i="6"/>
  <c r="AF23" i="6" s="1"/>
  <c r="AF25" i="6" s="1"/>
  <c r="AJ271" i="17"/>
  <c r="AJ180" i="17"/>
  <c r="AJ356" i="17"/>
  <c r="AJ134" i="17"/>
  <c r="AJ34" i="17"/>
  <c r="AJ339" i="17"/>
  <c r="AJ190" i="17"/>
  <c r="AJ28" i="17"/>
  <c r="AJ104" i="17"/>
  <c r="AJ320" i="17"/>
  <c r="AJ366" i="17"/>
  <c r="AJ305" i="17"/>
  <c r="AJ245" i="17"/>
  <c r="AJ246" i="17"/>
  <c r="AJ123" i="17"/>
  <c r="AJ193" i="17"/>
  <c r="AJ117" i="17"/>
  <c r="AJ41" i="17"/>
  <c r="AJ369" i="17"/>
  <c r="AJ322" i="17"/>
  <c r="AJ321" i="17"/>
  <c r="AJ353" i="17"/>
  <c r="AJ325" i="17"/>
  <c r="AJ285" i="17"/>
  <c r="AJ261" i="17"/>
  <c r="AJ226" i="17"/>
  <c r="AJ286" i="17"/>
  <c r="AJ208" i="17"/>
  <c r="AJ138" i="17"/>
  <c r="AJ62" i="17"/>
  <c r="AJ222" i="17"/>
  <c r="AJ153" i="17"/>
  <c r="AJ146" i="17"/>
  <c r="AJ75" i="17"/>
  <c r="AJ77" i="17"/>
  <c r="N33" i="6"/>
  <c r="B45" i="7"/>
  <c r="B33" i="19"/>
  <c r="Q24" i="6"/>
  <c r="Q23" i="6" s="1"/>
  <c r="Q25" i="6" s="1"/>
  <c r="U50" i="6"/>
  <c r="T48" i="6"/>
  <c r="E379" i="1"/>
  <c r="C35" i="19"/>
  <c r="M48" i="6"/>
  <c r="AA24" i="6"/>
  <c r="AA23" i="6" s="1"/>
  <c r="AA25" i="6" s="1"/>
  <c r="L382" i="24"/>
  <c r="L383" i="18"/>
  <c r="Z33" i="6"/>
  <c r="T33" i="6"/>
  <c r="N16" i="6"/>
  <c r="N24" i="6" s="1"/>
  <c r="N23" i="6" s="1"/>
  <c r="M35" i="6"/>
  <c r="S50" i="6"/>
  <c r="L381" i="22"/>
  <c r="L381" i="23"/>
  <c r="L382" i="20"/>
  <c r="L382" i="25"/>
  <c r="L383" i="24"/>
  <c r="L382" i="18"/>
  <c r="AJ15" i="17"/>
  <c r="AJ30" i="17"/>
  <c r="AJ24" i="17"/>
  <c r="AJ42" i="17"/>
  <c r="AJ55" i="17"/>
  <c r="AJ39" i="17"/>
  <c r="AJ59" i="17"/>
  <c r="AJ74" i="17"/>
  <c r="AJ92" i="17"/>
  <c r="AJ103" i="17"/>
  <c r="AJ115" i="17"/>
  <c r="AJ72" i="17"/>
  <c r="AJ86" i="17"/>
  <c r="AJ116" i="17"/>
  <c r="AJ135" i="17"/>
  <c r="AJ145" i="17"/>
  <c r="AJ165" i="17"/>
  <c r="AJ179" i="17"/>
  <c r="AJ125" i="17"/>
  <c r="AJ152" i="17"/>
  <c r="AJ163" i="17"/>
  <c r="AJ184" i="17"/>
  <c r="AJ206" i="17"/>
  <c r="AJ221" i="17"/>
  <c r="AJ232" i="17"/>
  <c r="AJ240" i="17"/>
  <c r="AJ244" i="17"/>
  <c r="AJ255" i="17"/>
  <c r="AJ259" i="17"/>
  <c r="AJ273" i="17"/>
  <c r="AJ284" i="17"/>
  <c r="AJ293" i="17"/>
  <c r="AJ299" i="17"/>
  <c r="AJ185" i="17"/>
  <c r="AJ189" i="17"/>
  <c r="AJ194" i="17"/>
  <c r="AJ203" i="17"/>
  <c r="AJ213" i="17"/>
  <c r="AJ220" i="17"/>
  <c r="AJ230" i="17"/>
  <c r="AJ239" i="17"/>
  <c r="AJ249" i="17"/>
  <c r="AJ260" i="17"/>
  <c r="AJ264" i="17"/>
  <c r="AJ270" i="17"/>
  <c r="AJ278" i="17"/>
  <c r="AJ283" i="17"/>
  <c r="AJ291" i="17"/>
  <c r="AJ300" i="17"/>
  <c r="AJ311" i="17"/>
  <c r="AJ319" i="17"/>
  <c r="AJ331" i="17"/>
  <c r="AJ337" i="17"/>
  <c r="AJ342" i="17"/>
  <c r="AJ349" i="17"/>
  <c r="AJ359" i="17"/>
  <c r="AJ365" i="17"/>
  <c r="AJ307" i="17"/>
  <c r="AJ318" i="17"/>
  <c r="AJ330" i="17"/>
  <c r="AJ354" i="17"/>
  <c r="AJ372" i="17"/>
  <c r="AJ315" i="17"/>
  <c r="AJ351" i="17"/>
  <c r="AJ302" i="17"/>
  <c r="AJ333" i="17"/>
  <c r="AJ363" i="17"/>
  <c r="AJ374" i="17"/>
  <c r="AJ21" i="17"/>
  <c r="AJ33" i="17"/>
  <c r="AJ64" i="17"/>
  <c r="AJ65" i="17"/>
  <c r="AJ97" i="17"/>
  <c r="AJ129" i="17"/>
  <c r="AJ101" i="17"/>
  <c r="AJ140" i="17"/>
  <c r="AJ171" i="17"/>
  <c r="AJ142" i="17"/>
  <c r="AJ175" i="17"/>
  <c r="AJ211" i="17"/>
  <c r="AJ234" i="17"/>
  <c r="AJ250" i="17"/>
  <c r="AJ268" i="17"/>
  <c r="AJ287" i="17"/>
  <c r="AJ303" i="17"/>
  <c r="AJ191" i="17"/>
  <c r="AJ209" i="17"/>
  <c r="AJ227" i="17"/>
  <c r="AJ247" i="17"/>
  <c r="AJ262" i="17"/>
  <c r="AJ274" i="17"/>
  <c r="AJ288" i="17"/>
  <c r="AJ306" i="17"/>
  <c r="AJ327" i="17"/>
  <c r="AJ340" i="17"/>
  <c r="AJ355" i="17"/>
  <c r="AJ367" i="17"/>
  <c r="AJ324" i="17"/>
  <c r="AJ368" i="17"/>
  <c r="AJ344" i="17"/>
  <c r="AJ323" i="17"/>
  <c r="AJ370" i="17"/>
  <c r="AJ380" i="17"/>
  <c r="AJ31" i="17"/>
  <c r="AJ50" i="17"/>
  <c r="AJ45" i="17"/>
  <c r="AJ84" i="17"/>
  <c r="AJ107" i="17"/>
  <c r="AJ79" i="17"/>
  <c r="AJ124" i="17"/>
  <c r="AJ154" i="17"/>
  <c r="AJ111" i="17"/>
  <c r="AJ158" i="17"/>
  <c r="AJ198" i="17"/>
  <c r="AJ225" i="17"/>
  <c r="AJ242" i="17"/>
  <c r="AJ257" i="17"/>
  <c r="AJ277" i="17"/>
  <c r="AJ297" i="17"/>
  <c r="AJ187" i="17"/>
  <c r="AJ200" i="17"/>
  <c r="AJ217" i="17"/>
  <c r="AJ237" i="17"/>
  <c r="AJ253" i="17"/>
  <c r="AJ266" i="17"/>
  <c r="AJ281" i="17"/>
  <c r="AJ294" i="17"/>
  <c r="AJ314" i="17"/>
  <c r="AJ335" i="17"/>
  <c r="AJ347" i="17"/>
  <c r="AJ361" i="17"/>
  <c r="AJ313" i="17"/>
  <c r="AJ345" i="17"/>
  <c r="AJ377" i="17"/>
  <c r="AJ378" i="17"/>
  <c r="AJ352" i="17"/>
  <c r="F7" i="17"/>
  <c r="AC9" i="17" s="1"/>
  <c r="E8" i="17"/>
  <c r="K14" i="19" s="1"/>
  <c r="K38" i="19" s="1"/>
  <c r="T13" i="7"/>
  <c r="AJ27" i="17"/>
  <c r="AJ29" i="17"/>
  <c r="AJ22" i="17"/>
  <c r="AJ32" i="17"/>
  <c r="AJ40" i="17"/>
  <c r="AJ49" i="17"/>
  <c r="AJ54" i="17"/>
  <c r="AJ60" i="17"/>
  <c r="AJ70" i="17"/>
  <c r="AJ44" i="17"/>
  <c r="AJ58" i="17"/>
  <c r="AJ63" i="17"/>
  <c r="AJ73" i="17"/>
  <c r="AJ81" i="17"/>
  <c r="AJ91" i="17"/>
  <c r="AJ96" i="17"/>
  <c r="AJ100" i="17"/>
  <c r="AJ106" i="17"/>
  <c r="AJ113" i="17"/>
  <c r="AJ128" i="17"/>
  <c r="AJ71" i="17"/>
  <c r="AJ78" i="17"/>
  <c r="AJ85" i="17"/>
  <c r="AJ94" i="17"/>
  <c r="AJ109" i="17"/>
  <c r="AJ120" i="17"/>
  <c r="AJ133" i="17"/>
  <c r="AJ139" i="17"/>
  <c r="AJ144" i="17"/>
  <c r="AJ151" i="17"/>
  <c r="AJ164" i="17"/>
  <c r="AJ170" i="17"/>
  <c r="AJ177" i="17"/>
  <c r="AJ183" i="17"/>
  <c r="AJ122" i="17"/>
  <c r="AJ136" i="17"/>
  <c r="AJ149" i="17"/>
  <c r="AJ157" i="17"/>
  <c r="AJ162" i="17"/>
  <c r="AJ173" i="17"/>
  <c r="AJ181" i="17"/>
  <c r="AJ197" i="17"/>
  <c r="AJ204" i="17"/>
  <c r="AJ210" i="17"/>
  <c r="AJ218" i="17"/>
  <c r="AJ224" i="17"/>
  <c r="AJ19" i="17"/>
  <c r="AJ26" i="17"/>
  <c r="AJ37" i="17"/>
  <c r="AJ38" i="17"/>
  <c r="AJ53" i="17"/>
  <c r="AJ69" i="17"/>
  <c r="AJ51" i="17"/>
  <c r="AJ68" i="17"/>
  <c r="AJ90" i="17"/>
  <c r="AJ99" i="17"/>
  <c r="AJ112" i="17"/>
  <c r="AJ131" i="17"/>
  <c r="AJ83" i="17"/>
  <c r="AJ108" i="17"/>
  <c r="AJ127" i="17"/>
  <c r="AJ143" i="17"/>
  <c r="AJ160" i="17"/>
  <c r="AJ174" i="17"/>
  <c r="AJ119" i="17"/>
  <c r="AJ148" i="17"/>
  <c r="AJ161" i="17"/>
  <c r="AJ178" i="17"/>
  <c r="AJ202" i="17"/>
  <c r="AJ216" i="17"/>
  <c r="AJ231" i="17"/>
  <c r="AJ236" i="17"/>
  <c r="AJ243" i="17"/>
  <c r="AJ252" i="17"/>
  <c r="AJ258" i="17"/>
  <c r="AJ272" i="17"/>
  <c r="AJ280" i="17"/>
  <c r="AJ290" i="17"/>
  <c r="AJ298" i="17"/>
  <c r="AJ304" i="17"/>
  <c r="AJ188" i="17"/>
  <c r="AJ192" i="17"/>
  <c r="AJ201" i="17"/>
  <c r="AJ212" i="17"/>
  <c r="AJ219" i="17"/>
  <c r="AJ18" i="17"/>
  <c r="AJ23" i="17"/>
  <c r="AJ35" i="17"/>
  <c r="AJ36" i="17"/>
  <c r="AJ52" i="17"/>
  <c r="AJ67" i="17"/>
  <c r="AJ47" i="17"/>
  <c r="AJ66" i="17"/>
  <c r="AJ87" i="17"/>
  <c r="AJ98" i="17"/>
  <c r="AJ110" i="17"/>
  <c r="AJ130" i="17"/>
  <c r="AJ82" i="17"/>
  <c r="AJ102" i="17"/>
  <c r="AJ126" i="17"/>
  <c r="AJ141" i="17"/>
  <c r="AJ155" i="17"/>
  <c r="AJ172" i="17"/>
  <c r="AJ114" i="17"/>
  <c r="AJ147" i="17"/>
  <c r="AJ159" i="17"/>
  <c r="AJ176" i="17"/>
  <c r="AJ199" i="17"/>
  <c r="AJ215" i="17"/>
  <c r="AJ228" i="17"/>
  <c r="AJ20" i="17"/>
  <c r="AJ48" i="17"/>
  <c r="AJ43" i="17"/>
  <c r="AJ80" i="17"/>
  <c r="AJ105" i="17"/>
  <c r="AJ76" i="17"/>
  <c r="AJ118" i="17"/>
  <c r="AJ150" i="17"/>
  <c r="AJ182" i="17"/>
  <c r="AJ156" i="17"/>
  <c r="AJ196" i="17"/>
  <c r="AJ223" i="17"/>
  <c r="AJ241" i="17"/>
  <c r="AJ256" i="17"/>
  <c r="AJ276" i="17"/>
  <c r="AJ296" i="17"/>
  <c r="AJ186" i="17"/>
  <c r="AJ195" i="17"/>
  <c r="AJ214" i="17"/>
  <c r="AJ229" i="17"/>
  <c r="AJ238" i="17"/>
  <c r="AJ248" i="17"/>
  <c r="AJ254" i="17"/>
  <c r="AJ263" i="17"/>
  <c r="AJ269" i="17"/>
  <c r="AJ275" i="17"/>
  <c r="AJ282" i="17"/>
  <c r="AJ289" i="17"/>
  <c r="AJ295" i="17"/>
  <c r="AJ309" i="17"/>
  <c r="AJ316" i="17"/>
  <c r="AJ329" i="17"/>
  <c r="AJ336" i="17"/>
  <c r="AJ341" i="17"/>
  <c r="AJ348" i="17"/>
  <c r="AJ358" i="17"/>
  <c r="AJ364" i="17"/>
  <c r="AJ376" i="17"/>
  <c r="AJ317" i="17"/>
  <c r="AJ326" i="17"/>
  <c r="AJ350" i="17"/>
  <c r="AJ371" i="17"/>
  <c r="AJ310" i="17"/>
  <c r="AJ346" i="17"/>
  <c r="AJ379" i="17"/>
  <c r="AJ328" i="17"/>
  <c r="AJ362" i="17"/>
  <c r="AJ373" i="17"/>
  <c r="O9" i="15"/>
  <c r="AJ318" i="15" s="1"/>
  <c r="E7" i="17"/>
  <c r="O10" i="17" s="1"/>
  <c r="U13" i="7" s="1"/>
  <c r="AJ334" i="17"/>
  <c r="AJ357" i="17"/>
  <c r="AJ375" i="17"/>
  <c r="AJ338" i="17"/>
  <c r="AJ308" i="17"/>
  <c r="AJ360" i="17"/>
  <c r="AJ343" i="17"/>
  <c r="AJ332" i="17"/>
  <c r="AJ312" i="17"/>
  <c r="AJ292" i="17"/>
  <c r="AJ279" i="17"/>
  <c r="AJ265" i="17"/>
  <c r="AJ251" i="17"/>
  <c r="AJ235" i="17"/>
  <c r="AJ205" i="17"/>
  <c r="AJ301" i="17"/>
  <c r="AJ267" i="17"/>
  <c r="AJ233" i="17"/>
  <c r="AJ168" i="17"/>
  <c r="AJ169" i="17"/>
  <c r="AJ89" i="17"/>
  <c r="AJ95" i="17"/>
  <c r="AJ57" i="17"/>
  <c r="AJ17" i="17"/>
  <c r="AJ207" i="17"/>
  <c r="AJ167" i="17"/>
  <c r="AJ132" i="17"/>
  <c r="AJ166" i="17"/>
  <c r="AJ137" i="17"/>
  <c r="AJ88" i="17"/>
  <c r="AJ121" i="17"/>
  <c r="AJ93" i="17"/>
  <c r="AJ61" i="17"/>
  <c r="AJ56" i="17"/>
  <c r="AJ25" i="17"/>
  <c r="AJ16" i="17"/>
  <c r="O9" i="18"/>
  <c r="AC24" i="6"/>
  <c r="AC23" i="6" s="1"/>
  <c r="AC25" i="6" s="1"/>
  <c r="B33" i="7"/>
  <c r="D60" i="15"/>
  <c r="L383" i="20"/>
  <c r="L382" i="15"/>
  <c r="D382" i="1"/>
  <c r="D9" i="1"/>
  <c r="D11" i="1" s="1"/>
  <c r="E35" i="19" s="1"/>
  <c r="D29" i="17"/>
  <c r="R50" i="6"/>
  <c r="L383" i="15"/>
  <c r="L382" i="16"/>
  <c r="L381" i="25"/>
  <c r="L381" i="17"/>
  <c r="L381" i="24"/>
  <c r="L383" i="23"/>
  <c r="L382" i="22"/>
  <c r="L383" i="22"/>
  <c r="L383" i="16"/>
  <c r="L383" i="25"/>
  <c r="D15" i="17"/>
  <c r="D382" i="17" s="1"/>
  <c r="L382" i="17"/>
  <c r="B32" i="7"/>
  <c r="D29" i="15"/>
  <c r="L381" i="18"/>
  <c r="L381" i="20"/>
  <c r="D15" i="15"/>
  <c r="L381" i="15"/>
  <c r="L383" i="17"/>
  <c r="L382" i="23"/>
  <c r="D29" i="16"/>
  <c r="B44" i="7"/>
  <c r="D15" i="16"/>
  <c r="D383" i="16" s="1"/>
  <c r="L381" i="16"/>
  <c r="D382" i="16"/>
  <c r="D383" i="1"/>
  <c r="E331" i="1"/>
  <c r="AJ24" i="6"/>
  <c r="AJ23" i="6" s="1"/>
  <c r="AJ25" i="6" s="1"/>
  <c r="Y24" i="6"/>
  <c r="Y23" i="6" s="1"/>
  <c r="Y25" i="6" s="1"/>
  <c r="T46" i="6"/>
  <c r="P11" i="16"/>
  <c r="N15" i="7"/>
  <c r="AJ55" i="15"/>
  <c r="BQ16" i="7"/>
  <c r="C16" i="7"/>
  <c r="O11" i="7"/>
  <c r="AK16" i="15"/>
  <c r="AK81" i="15"/>
  <c r="AK155" i="15"/>
  <c r="AK218" i="15"/>
  <c r="AK223" i="15"/>
  <c r="AK28" i="15"/>
  <c r="AK75" i="15"/>
  <c r="AK157" i="15"/>
  <c r="AK281" i="15"/>
  <c r="AK296" i="15"/>
  <c r="AK324" i="15"/>
  <c r="AK341" i="15"/>
  <c r="AK138" i="15"/>
  <c r="AK204" i="15"/>
  <c r="AK353" i="15"/>
  <c r="AK176" i="15"/>
  <c r="F8" i="15"/>
  <c r="AK227" i="15"/>
  <c r="U11" i="1"/>
  <c r="U10" i="1"/>
  <c r="AI27" i="1" s="1"/>
  <c r="AH27" i="1" s="1"/>
  <c r="AG27" i="1" s="1"/>
  <c r="AF27" i="1" s="1"/>
  <c r="BH11" i="6"/>
  <c r="BH12" i="6" s="1"/>
  <c r="BH15" i="6" s="1"/>
  <c r="BH348" i="6"/>
  <c r="BH365" i="6"/>
  <c r="BH296" i="6"/>
  <c r="BH371" i="6"/>
  <c r="BH212" i="6"/>
  <c r="BH174" i="6"/>
  <c r="E12" i="6"/>
  <c r="T24" i="6"/>
  <c r="T23" i="6" s="1"/>
  <c r="T25" i="6" s="1"/>
  <c r="AK24" i="6"/>
  <c r="AK23" i="6" s="1"/>
  <c r="AK25" i="6" s="1"/>
  <c r="V50" i="6"/>
  <c r="W48" i="6"/>
  <c r="AE154" i="1"/>
  <c r="AE233" i="1"/>
  <c r="AE309" i="1"/>
  <c r="AE318" i="1"/>
  <c r="AE34" i="1"/>
  <c r="AE112" i="1"/>
  <c r="AE216" i="1"/>
  <c r="AE300" i="1"/>
  <c r="AE312" i="1"/>
  <c r="AE219" i="1"/>
  <c r="AE49" i="1"/>
  <c r="AE184" i="1"/>
  <c r="AE376" i="1"/>
  <c r="AE33" i="1"/>
  <c r="AE107" i="1"/>
  <c r="AE170" i="1"/>
  <c r="AE224" i="1"/>
  <c r="AE258" i="1"/>
  <c r="AE367" i="1"/>
  <c r="AE20" i="1"/>
  <c r="AE78" i="1"/>
  <c r="AE118" i="1"/>
  <c r="AE132" i="1"/>
  <c r="AE147" i="1"/>
  <c r="AE168" i="1"/>
  <c r="AE199" i="1"/>
  <c r="AE242" i="1"/>
  <c r="AE299" i="1"/>
  <c r="AE324" i="1"/>
  <c r="AE278" i="1"/>
  <c r="AE328" i="1"/>
  <c r="AE362" i="1"/>
  <c r="AE375" i="1"/>
  <c r="AE40" i="1"/>
  <c r="AE84" i="1"/>
  <c r="AE126" i="1"/>
  <c r="AE174" i="1"/>
  <c r="AE220" i="1"/>
  <c r="AE266" i="1"/>
  <c r="Q62" i="1"/>
  <c r="Q41" i="1"/>
  <c r="Q25" i="1"/>
  <c r="AE283" i="1"/>
  <c r="AE200" i="1"/>
  <c r="AE157" i="1"/>
  <c r="AE103" i="1"/>
  <c r="AE43" i="1"/>
  <c r="AE149" i="1"/>
  <c r="AE138" i="1"/>
  <c r="AE183" i="1"/>
  <c r="AE371" i="1"/>
  <c r="AE213" i="1"/>
  <c r="AE97" i="1"/>
  <c r="AE35" i="1"/>
  <c r="AE98" i="1"/>
  <c r="AE68" i="1"/>
  <c r="AE121" i="1"/>
  <c r="AE286" i="1"/>
  <c r="AE238" i="1"/>
  <c r="Q65" i="1"/>
  <c r="Q58" i="1"/>
  <c r="Q49" i="1"/>
  <c r="Q34" i="1"/>
  <c r="Q28" i="1"/>
  <c r="AE113" i="1"/>
  <c r="AE71" i="1"/>
  <c r="AE261" i="1"/>
  <c r="AE164" i="1"/>
  <c r="AE344" i="1"/>
  <c r="AE70" i="1"/>
  <c r="AE144" i="1"/>
  <c r="AE15" i="1"/>
  <c r="AE93" i="1"/>
  <c r="AE77" i="1"/>
  <c r="AE305" i="1"/>
  <c r="AE332" i="1"/>
  <c r="AE44" i="1"/>
  <c r="AE227" i="1"/>
  <c r="AE176" i="1"/>
  <c r="Q82" i="1"/>
  <c r="Q84" i="1"/>
  <c r="Q85" i="1"/>
  <c r="Q86" i="1"/>
  <c r="Q87" i="1"/>
  <c r="Q88" i="1"/>
  <c r="Q91" i="1"/>
  <c r="Q93" i="1"/>
  <c r="Q96" i="1"/>
  <c r="Q98" i="1"/>
  <c r="Q99" i="1"/>
  <c r="Q102" i="1"/>
  <c r="Q104" i="1"/>
  <c r="Q106" i="1"/>
  <c r="Q107" i="1"/>
  <c r="Q108" i="1"/>
  <c r="Q110" i="1"/>
  <c r="Q112" i="1"/>
  <c r="Q115" i="1"/>
  <c r="Q117" i="1"/>
  <c r="Q120" i="1"/>
  <c r="Q124" i="1"/>
  <c r="Q125" i="1"/>
  <c r="Q127" i="1"/>
  <c r="Q128" i="1"/>
  <c r="Q130" i="1"/>
  <c r="Q131" i="1"/>
  <c r="Q132" i="1"/>
  <c r="Q133" i="1"/>
  <c r="Q140" i="1"/>
  <c r="Q142" i="1"/>
  <c r="Q145" i="1"/>
  <c r="Q147" i="1"/>
  <c r="Q150" i="1"/>
  <c r="Q151" i="1"/>
  <c r="Q152" i="1"/>
  <c r="Q154" i="1"/>
  <c r="Q155" i="1"/>
  <c r="Q156" i="1"/>
  <c r="Q158" i="1"/>
  <c r="Q159" i="1"/>
  <c r="Q163" i="1"/>
  <c r="Q165" i="1"/>
  <c r="Q166" i="1"/>
  <c r="Q167" i="1"/>
  <c r="Q168" i="1"/>
  <c r="Q169" i="1"/>
  <c r="Q171" i="1"/>
  <c r="Q172" i="1"/>
  <c r="Q175" i="1"/>
  <c r="Q176" i="1"/>
  <c r="Q178" i="1"/>
  <c r="Q179" i="1"/>
  <c r="Q182" i="1"/>
  <c r="Q184" i="1"/>
  <c r="Q185" i="1"/>
  <c r="Q186" i="1"/>
  <c r="Q187" i="1"/>
  <c r="Q188" i="1"/>
  <c r="Q189" i="1"/>
  <c r="Q194" i="1"/>
  <c r="Q197" i="1"/>
  <c r="Q201" i="1"/>
  <c r="Q202" i="1"/>
  <c r="Q207" i="1"/>
  <c r="Q209" i="1"/>
  <c r="Q210" i="1"/>
  <c r="Q212" i="1"/>
  <c r="Q218" i="1"/>
  <c r="Q219" i="1"/>
  <c r="Q222" i="1"/>
  <c r="Q223" i="1"/>
  <c r="Q224" i="1"/>
  <c r="Q225" i="1"/>
  <c r="Q226" i="1"/>
  <c r="Q227" i="1"/>
  <c r="Q228" i="1"/>
  <c r="Q229" i="1"/>
  <c r="Q232" i="1"/>
  <c r="Q233" i="1"/>
  <c r="Q236" i="1"/>
  <c r="Q239" i="1"/>
  <c r="Q240" i="1"/>
  <c r="Q242" i="1"/>
  <c r="Q77" i="1"/>
  <c r="Q78" i="1"/>
  <c r="Q79" i="1"/>
  <c r="Q80" i="1"/>
  <c r="Q89" i="1"/>
  <c r="Q90" i="1"/>
  <c r="Q92" i="1"/>
  <c r="Q94" i="1"/>
  <c r="Q95" i="1"/>
  <c r="Q97" i="1"/>
  <c r="Q100" i="1"/>
  <c r="Q101" i="1"/>
  <c r="Q103" i="1"/>
  <c r="Q105" i="1"/>
  <c r="Q109" i="1"/>
  <c r="Q111" i="1"/>
  <c r="Q113" i="1"/>
  <c r="Q114" i="1"/>
  <c r="Q116" i="1"/>
  <c r="Q118" i="1"/>
  <c r="Q119" i="1"/>
  <c r="Q121" i="1"/>
  <c r="Q122" i="1"/>
  <c r="Q123" i="1"/>
  <c r="Q126" i="1"/>
  <c r="Q129" i="1"/>
  <c r="Q134" i="1"/>
  <c r="Q135" i="1"/>
  <c r="Q136" i="1"/>
  <c r="Q137" i="1"/>
  <c r="Q138" i="1"/>
  <c r="Q139" i="1"/>
  <c r="Q141" i="1"/>
  <c r="Q143" i="1"/>
  <c r="Q144" i="1"/>
  <c r="Q146" i="1"/>
  <c r="Q148" i="1"/>
  <c r="Q149" i="1"/>
  <c r="Q153" i="1"/>
  <c r="Q157" i="1"/>
  <c r="Q160" i="1"/>
  <c r="Q161" i="1"/>
  <c r="Q162" i="1"/>
  <c r="Q164" i="1"/>
  <c r="Q170" i="1"/>
  <c r="Q173" i="1"/>
  <c r="Q174" i="1"/>
  <c r="Q177" i="1"/>
  <c r="Q180" i="1"/>
  <c r="Q181" i="1"/>
  <c r="Q183" i="1"/>
  <c r="Q190" i="1"/>
  <c r="Q191" i="1"/>
  <c r="Q192" i="1"/>
  <c r="Q193" i="1"/>
  <c r="Q195" i="1"/>
  <c r="Q196" i="1"/>
  <c r="Q198" i="1"/>
  <c r="Q199" i="1"/>
  <c r="Q200" i="1"/>
  <c r="Q203" i="1"/>
  <c r="Q204" i="1"/>
  <c r="Q205" i="1"/>
  <c r="Q206" i="1"/>
  <c r="Q208" i="1"/>
  <c r="Q211" i="1"/>
  <c r="Q213" i="1"/>
  <c r="Q214" i="1"/>
  <c r="Q215" i="1"/>
  <c r="Q216" i="1"/>
  <c r="Q217" i="1"/>
  <c r="Q220" i="1"/>
  <c r="Q221" i="1"/>
  <c r="Q230" i="1"/>
  <c r="Q231" i="1"/>
  <c r="Q234" i="1"/>
  <c r="Q235" i="1"/>
  <c r="Q237" i="1"/>
  <c r="Q238" i="1"/>
  <c r="Q241" i="1"/>
  <c r="Q243" i="1"/>
  <c r="Q244" i="1"/>
  <c r="Q247" i="1"/>
  <c r="Q249" i="1"/>
  <c r="Q251" i="1"/>
  <c r="Q253" i="1"/>
  <c r="Q254" i="1"/>
  <c r="Q255" i="1"/>
  <c r="Q256" i="1"/>
  <c r="Q257" i="1"/>
  <c r="Q258" i="1"/>
  <c r="Q259" i="1"/>
  <c r="Q262" i="1"/>
  <c r="Q263" i="1"/>
  <c r="Q265" i="1"/>
  <c r="Q267" i="1"/>
  <c r="Q268" i="1"/>
  <c r="Q269" i="1"/>
  <c r="Q272" i="1"/>
  <c r="Q273" i="1"/>
  <c r="Q275" i="1"/>
  <c r="Q276" i="1"/>
  <c r="Q278" i="1"/>
  <c r="Q284" i="1"/>
  <c r="Q285" i="1"/>
  <c r="Q288" i="1"/>
  <c r="Q289" i="1"/>
  <c r="Q290" i="1"/>
  <c r="Q291" i="1"/>
  <c r="Q293" i="1"/>
  <c r="Q298" i="1"/>
  <c r="Q299" i="1"/>
  <c r="Q300" i="1"/>
  <c r="Q301" i="1"/>
  <c r="Q304" i="1"/>
  <c r="Q305" i="1"/>
  <c r="Q306" i="1"/>
  <c r="Q309" i="1"/>
  <c r="Q310" i="1"/>
  <c r="Q311" i="1"/>
  <c r="Q313" i="1"/>
  <c r="Q315" i="1"/>
  <c r="Q321" i="1"/>
  <c r="Q324" i="1"/>
  <c r="Q325" i="1"/>
  <c r="Q327" i="1"/>
  <c r="Q328" i="1"/>
  <c r="Q329" i="1"/>
  <c r="Q331" i="1"/>
  <c r="Q332" i="1"/>
  <c r="Q336" i="1"/>
  <c r="Q338" i="1"/>
  <c r="Q340" i="1"/>
  <c r="Q341" i="1"/>
  <c r="Q344" i="1"/>
  <c r="Q346" i="1"/>
  <c r="Q347" i="1"/>
  <c r="Q349" i="1"/>
  <c r="Q355" i="1"/>
  <c r="Q356" i="1"/>
  <c r="Q357" i="1"/>
  <c r="Q359" i="1"/>
  <c r="Q360" i="1"/>
  <c r="Q362" i="1"/>
  <c r="Q363" i="1"/>
  <c r="Q366" i="1"/>
  <c r="Q368" i="1"/>
  <c r="Q372" i="1"/>
  <c r="Q373" i="1"/>
  <c r="Q374" i="1"/>
  <c r="Q22" i="1"/>
  <c r="Q245" i="1"/>
  <c r="Q246" i="1"/>
  <c r="Q248" i="1"/>
  <c r="Q250" i="1"/>
  <c r="Q252" i="1"/>
  <c r="Q260" i="1"/>
  <c r="Q261" i="1"/>
  <c r="Q264" i="1"/>
  <c r="Q266" i="1"/>
  <c r="Q270" i="1"/>
  <c r="Q271" i="1"/>
  <c r="Q274" i="1"/>
  <c r="Q277" i="1"/>
  <c r="Q279" i="1"/>
  <c r="Q280" i="1"/>
  <c r="Q281" i="1"/>
  <c r="Q282" i="1"/>
  <c r="Q283" i="1"/>
  <c r="Q286" i="1"/>
  <c r="Q287" i="1"/>
  <c r="Q292" i="1"/>
  <c r="Q294" i="1"/>
  <c r="Q295" i="1"/>
  <c r="Q296" i="1"/>
  <c r="Q297" i="1"/>
  <c r="Q302" i="1"/>
  <c r="Q303" i="1"/>
  <c r="Q307" i="1"/>
  <c r="Q308" i="1"/>
  <c r="Q312" i="1"/>
  <c r="Q314" i="1"/>
  <c r="Q316" i="1"/>
  <c r="Q317" i="1"/>
  <c r="Q318" i="1"/>
  <c r="Q319" i="1"/>
  <c r="Q320" i="1"/>
  <c r="Q322" i="1"/>
  <c r="Q323" i="1"/>
  <c r="Q326" i="1"/>
  <c r="Q330" i="1"/>
  <c r="Q333" i="1"/>
  <c r="Q334" i="1"/>
  <c r="Q335" i="1"/>
  <c r="Q337" i="1"/>
  <c r="Q339" i="1"/>
  <c r="Q342" i="1"/>
  <c r="Q343" i="1"/>
  <c r="Q345" i="1"/>
  <c r="Q348" i="1"/>
  <c r="Q350" i="1"/>
  <c r="Q351" i="1"/>
  <c r="Q352" i="1"/>
  <c r="Q353" i="1"/>
  <c r="Q354" i="1"/>
  <c r="Q358" i="1"/>
  <c r="Q361" i="1"/>
  <c r="Q364" i="1"/>
  <c r="Q365" i="1"/>
  <c r="Q367" i="1"/>
  <c r="Q369" i="1"/>
  <c r="Q370" i="1"/>
  <c r="Q371" i="1"/>
  <c r="Q375" i="1"/>
  <c r="Q376" i="1"/>
  <c r="Q377" i="1"/>
  <c r="Q378" i="1"/>
  <c r="Q379" i="1"/>
  <c r="AE22" i="1"/>
  <c r="Q21" i="1"/>
  <c r="AE354" i="1"/>
  <c r="AE341" i="1"/>
  <c r="AE268" i="1"/>
  <c r="AE133" i="1"/>
  <c r="AE370" i="1"/>
  <c r="AE116" i="1"/>
  <c r="AE245" i="1"/>
  <c r="AE16" i="1"/>
  <c r="AE276" i="1"/>
  <c r="AE69" i="1"/>
  <c r="AE197" i="1"/>
  <c r="AE327" i="1"/>
  <c r="AE223" i="1"/>
  <c r="AE331" i="1"/>
  <c r="AE287" i="1"/>
  <c r="AE329" i="1"/>
  <c r="AE347" i="1"/>
  <c r="AE171" i="1"/>
  <c r="AE357" i="1"/>
  <c r="AE65" i="1"/>
  <c r="AE316" i="1"/>
  <c r="AE119" i="1"/>
  <c r="AE281" i="1"/>
  <c r="AE353" i="1"/>
  <c r="AE81" i="1"/>
  <c r="AE235" i="1"/>
  <c r="AE76" i="1"/>
  <c r="AE346" i="1"/>
  <c r="AE179" i="1"/>
  <c r="AE137" i="1"/>
  <c r="AE310" i="1"/>
  <c r="AE246" i="1"/>
  <c r="Q15" i="1"/>
  <c r="Q29" i="1"/>
  <c r="Q31" i="1"/>
  <c r="Q39" i="1"/>
  <c r="Q48" i="1"/>
  <c r="Q50" i="1"/>
  <c r="Q54" i="1"/>
  <c r="Q59" i="1"/>
  <c r="Q64" i="1"/>
  <c r="Q66" i="1"/>
  <c r="Q70" i="1"/>
  <c r="AE237" i="1"/>
  <c r="AE50" i="1"/>
  <c r="AE302" i="1"/>
  <c r="AE150" i="1"/>
  <c r="AE25" i="1"/>
  <c r="AE201" i="1"/>
  <c r="AE351" i="1"/>
  <c r="AE195" i="1"/>
  <c r="AE243" i="1"/>
  <c r="AE63" i="1"/>
  <c r="AE181" i="1"/>
  <c r="AE319" i="1"/>
  <c r="AE187" i="1"/>
  <c r="AE254" i="1"/>
  <c r="AE271" i="1"/>
  <c r="AE141" i="1"/>
  <c r="AE284" i="1"/>
  <c r="AE155" i="1"/>
  <c r="AE315" i="1"/>
  <c r="AE189" i="1"/>
  <c r="AE255" i="1"/>
  <c r="AE99" i="1"/>
  <c r="AE263" i="1"/>
  <c r="AE365" i="1"/>
  <c r="AE234" i="1"/>
  <c r="AE134" i="1"/>
  <c r="AE52" i="1"/>
  <c r="AE320" i="1"/>
  <c r="AE143" i="1"/>
  <c r="AE59" i="1"/>
  <c r="AE247" i="1"/>
  <c r="AE145" i="1"/>
  <c r="Q20" i="1"/>
  <c r="Q24" i="1"/>
  <c r="Q26" i="1"/>
  <c r="Q37" i="1"/>
  <c r="Q42" i="1"/>
  <c r="Q56" i="1"/>
  <c r="AE46" i="1"/>
  <c r="AE140" i="1"/>
  <c r="AE369" i="1"/>
  <c r="AE292" i="1"/>
  <c r="Q31" i="6"/>
  <c r="Q39" i="6" s="1"/>
  <c r="Q38" i="6" s="1"/>
  <c r="Q40" i="6" s="1"/>
  <c r="V35" i="6"/>
  <c r="W33" i="6"/>
  <c r="X35" i="6"/>
  <c r="Y35" i="6"/>
  <c r="M18" i="6"/>
  <c r="AI24" i="6"/>
  <c r="AI23" i="6" s="1"/>
  <c r="AI25" i="6" s="1"/>
  <c r="X24" i="6"/>
  <c r="X23" i="6" s="1"/>
  <c r="R25" i="6"/>
  <c r="V24" i="6"/>
  <c r="V23" i="6" s="1"/>
  <c r="V25" i="6" s="1"/>
  <c r="O35" i="6"/>
  <c r="O39" i="6" s="1"/>
  <c r="O38" i="6" s="1"/>
  <c r="AH24" i="6"/>
  <c r="AH23" i="6" s="1"/>
  <c r="AH25" i="6" s="1"/>
  <c r="Y46" i="6"/>
  <c r="X48" i="6"/>
  <c r="W50" i="6"/>
  <c r="N35" i="6"/>
  <c r="D383" i="17"/>
  <c r="D9" i="16"/>
  <c r="D11" i="16" s="1"/>
  <c r="E37" i="19" s="1"/>
  <c r="AC382" i="1"/>
  <c r="U31" i="6"/>
  <c r="P31" i="6"/>
  <c r="P39" i="6" s="1"/>
  <c r="P38" i="6" s="1"/>
  <c r="AM24" i="6"/>
  <c r="AM23" i="6" s="1"/>
  <c r="AM25" i="6" s="1"/>
  <c r="AG24" i="6"/>
  <c r="AG23" i="6" s="1"/>
  <c r="AG25" i="6" s="1"/>
  <c r="AL24" i="6"/>
  <c r="AL23" i="6" s="1"/>
  <c r="AL25" i="6" s="1"/>
  <c r="M16" i="6"/>
  <c r="M29" i="6"/>
  <c r="AC383" i="1"/>
  <c r="AC381" i="1"/>
  <c r="C29" i="7"/>
  <c r="E302" i="1"/>
  <c r="E363" i="1"/>
  <c r="O382" i="1"/>
  <c r="O381" i="1"/>
  <c r="E333" i="1"/>
  <c r="O383" i="1"/>
  <c r="L35" i="19" s="1"/>
  <c r="E8" i="16"/>
  <c r="K13" i="19" s="1"/>
  <c r="K37" i="19" s="1"/>
  <c r="E7" i="16"/>
  <c r="AJ21" i="16"/>
  <c r="AJ22" i="16"/>
  <c r="AJ24" i="16"/>
  <c r="AJ25" i="16"/>
  <c r="AJ26" i="16"/>
  <c r="AJ27" i="16"/>
  <c r="AJ28" i="16"/>
  <c r="AJ30" i="16"/>
  <c r="AJ31" i="16"/>
  <c r="AJ34" i="16"/>
  <c r="AJ35" i="16"/>
  <c r="AJ38" i="16"/>
  <c r="AJ41" i="16"/>
  <c r="AJ42" i="16"/>
  <c r="AJ44" i="16"/>
  <c r="AJ45" i="16"/>
  <c r="AJ46" i="16"/>
  <c r="AJ47" i="16"/>
  <c r="AJ50" i="16"/>
  <c r="AJ53" i="16"/>
  <c r="AJ57" i="16"/>
  <c r="AJ58" i="16"/>
  <c r="AJ60" i="16"/>
  <c r="AJ62" i="16"/>
  <c r="AJ63" i="16"/>
  <c r="AJ64" i="16"/>
  <c r="AJ67" i="16"/>
  <c r="AJ68" i="16"/>
  <c r="AJ71" i="16"/>
  <c r="AJ73" i="16"/>
  <c r="AJ74" i="16"/>
  <c r="AJ77" i="16"/>
  <c r="AJ80" i="16"/>
  <c r="AJ82" i="16"/>
  <c r="AJ84" i="16"/>
  <c r="AJ88" i="16"/>
  <c r="AJ90" i="16"/>
  <c r="AJ91" i="16"/>
  <c r="AJ93" i="16"/>
  <c r="AJ94" i="16"/>
  <c r="AJ95" i="16"/>
  <c r="AJ98" i="16"/>
  <c r="AJ99" i="16"/>
  <c r="AJ100" i="16"/>
  <c r="AJ102" i="16"/>
  <c r="AJ106" i="16"/>
  <c r="AJ108" i="16"/>
  <c r="AJ109" i="16"/>
  <c r="AJ110" i="16"/>
  <c r="AJ111" i="16"/>
  <c r="AJ116" i="16"/>
  <c r="AJ117" i="16"/>
  <c r="AJ118" i="16"/>
  <c r="AJ123" i="16"/>
  <c r="AJ125" i="16"/>
  <c r="AJ127" i="16"/>
  <c r="AJ128" i="16"/>
  <c r="AJ129" i="16"/>
  <c r="AJ130" i="16"/>
  <c r="AJ131" i="16"/>
  <c r="AJ134" i="16"/>
  <c r="AJ135" i="16"/>
  <c r="AJ136" i="16"/>
  <c r="AJ138" i="16"/>
  <c r="AJ139" i="16"/>
  <c r="AJ140" i="16"/>
  <c r="AJ141" i="16"/>
  <c r="AJ142" i="16"/>
  <c r="AJ143" i="16"/>
  <c r="AJ146" i="16"/>
  <c r="AJ147" i="16"/>
  <c r="AJ148" i="16"/>
  <c r="AJ150" i="16"/>
  <c r="AJ151" i="16"/>
  <c r="AJ154" i="16"/>
  <c r="AJ155" i="16"/>
  <c r="AJ156" i="16"/>
  <c r="AJ157" i="16"/>
  <c r="AJ161" i="16"/>
  <c r="AJ162" i="16"/>
  <c r="AJ29" i="16"/>
  <c r="AJ32" i="16"/>
  <c r="AJ33" i="16"/>
  <c r="AJ36" i="16"/>
  <c r="AJ37" i="16"/>
  <c r="AJ51" i="16"/>
  <c r="AJ52" i="16"/>
  <c r="AJ61" i="16"/>
  <c r="AJ72" i="16"/>
  <c r="AJ75" i="16"/>
  <c r="AJ76" i="16"/>
  <c r="AJ81" i="16"/>
  <c r="AJ85" i="16"/>
  <c r="AJ86" i="16"/>
  <c r="AJ87" i="16"/>
  <c r="AJ96" i="16"/>
  <c r="AJ97" i="16"/>
  <c r="AJ103" i="16"/>
  <c r="AJ104" i="16"/>
  <c r="AJ105" i="16"/>
  <c r="AJ119" i="16"/>
  <c r="AJ120" i="16"/>
  <c r="AJ121" i="16"/>
  <c r="AJ122" i="16"/>
  <c r="AJ126" i="16"/>
  <c r="AJ137" i="16"/>
  <c r="AJ144" i="16"/>
  <c r="AJ145" i="16"/>
  <c r="AJ165" i="16"/>
  <c r="AJ166" i="16"/>
  <c r="AJ168" i="16"/>
  <c r="AJ169" i="16"/>
  <c r="AJ171" i="16"/>
  <c r="AJ175" i="16"/>
  <c r="AJ176" i="16"/>
  <c r="AJ180" i="16"/>
  <c r="AJ181" i="16"/>
  <c r="AJ182" i="16"/>
  <c r="AJ186" i="16"/>
  <c r="AJ189" i="16"/>
  <c r="AJ191" i="16"/>
  <c r="AJ196" i="16"/>
  <c r="AJ199" i="16"/>
  <c r="AJ202" i="16"/>
  <c r="AJ204" i="16"/>
  <c r="AJ205" i="16"/>
  <c r="AJ206" i="16"/>
  <c r="AJ207" i="16"/>
  <c r="AJ209" i="16"/>
  <c r="AJ210" i="16"/>
  <c r="AJ214" i="16"/>
  <c r="AJ216" i="16"/>
  <c r="AJ217" i="16"/>
  <c r="AJ220" i="16"/>
  <c r="AJ226" i="16"/>
  <c r="AJ228" i="16"/>
  <c r="AJ230" i="16"/>
  <c r="AJ231" i="16"/>
  <c r="AJ234" i="16"/>
  <c r="AJ236" i="16"/>
  <c r="AJ237" i="16"/>
  <c r="AJ240" i="16"/>
  <c r="AJ242" i="16"/>
  <c r="AJ244" i="16"/>
  <c r="AJ245" i="16"/>
  <c r="AJ246" i="16"/>
  <c r="AJ247" i="16"/>
  <c r="AJ251" i="16"/>
  <c r="AJ253" i="16"/>
  <c r="AJ255" i="16"/>
  <c r="AJ256" i="16"/>
  <c r="AJ257" i="16"/>
  <c r="AJ261" i="16"/>
  <c r="AJ263" i="16"/>
  <c r="AJ264" i="16"/>
  <c r="AJ265" i="16"/>
  <c r="AJ266" i="16"/>
  <c r="AJ268" i="16"/>
  <c r="AJ269" i="16"/>
  <c r="AJ270" i="16"/>
  <c r="AJ272" i="16"/>
  <c r="AJ273" i="16"/>
  <c r="AJ275" i="16"/>
  <c r="AJ282" i="16"/>
  <c r="AJ39" i="16"/>
  <c r="AJ40" i="16"/>
  <c r="AJ43" i="16"/>
  <c r="AJ48" i="16"/>
  <c r="AJ49" i="16"/>
  <c r="AJ54" i="16"/>
  <c r="AJ55" i="16"/>
  <c r="AJ56" i="16"/>
  <c r="AJ59" i="16"/>
  <c r="AJ78" i="16"/>
  <c r="AJ79" i="16"/>
  <c r="AJ89" i="16"/>
  <c r="AJ92" i="16"/>
  <c r="AJ101" i="16"/>
  <c r="AJ132" i="16"/>
  <c r="AJ133" i="16"/>
  <c r="AJ172" i="16"/>
  <c r="AJ173" i="16"/>
  <c r="AJ174" i="16"/>
  <c r="AJ177" i="16"/>
  <c r="AJ178" i="16"/>
  <c r="AJ179" i="16"/>
  <c r="AJ187" i="16"/>
  <c r="AJ188" i="16"/>
  <c r="AJ192" i="16"/>
  <c r="AJ193" i="16"/>
  <c r="AJ194" i="16"/>
  <c r="AJ195" i="16"/>
  <c r="AJ200" i="16"/>
  <c r="AJ201" i="16"/>
  <c r="AJ215" i="16"/>
  <c r="AJ218" i="16"/>
  <c r="AJ219" i="16"/>
  <c r="AJ227" i="16"/>
  <c r="AJ235" i="16"/>
  <c r="AJ238" i="16"/>
  <c r="AJ239" i="16"/>
  <c r="AJ243" i="16"/>
  <c r="AJ248" i="16"/>
  <c r="AJ249" i="16"/>
  <c r="AJ250" i="16"/>
  <c r="AJ254" i="16"/>
  <c r="AJ262" i="16"/>
  <c r="AJ267" i="16"/>
  <c r="AJ276" i="16"/>
  <c r="AJ277" i="16"/>
  <c r="AJ278" i="16"/>
  <c r="AJ279" i="16"/>
  <c r="AJ280" i="16"/>
  <c r="AJ281" i="16"/>
  <c r="AJ285" i="16"/>
  <c r="AJ288" i="16"/>
  <c r="AJ289" i="16"/>
  <c r="AJ291" i="16"/>
  <c r="AJ293" i="16"/>
  <c r="AJ300" i="16"/>
  <c r="AJ301" i="16"/>
  <c r="AJ302" i="16"/>
  <c r="AJ303" i="16"/>
  <c r="AJ304" i="16"/>
  <c r="AJ308" i="16"/>
  <c r="AJ309" i="16"/>
  <c r="AJ311" i="16"/>
  <c r="AJ312" i="16"/>
  <c r="AJ315" i="16"/>
  <c r="AJ318" i="16"/>
  <c r="AJ320" i="16"/>
  <c r="AJ321" i="16"/>
  <c r="AJ322" i="16"/>
  <c r="AJ323" i="16"/>
  <c r="AJ325" i="16"/>
  <c r="AJ326" i="16"/>
  <c r="AJ327" i="16"/>
  <c r="AJ329" i="16"/>
  <c r="AJ330" i="16"/>
  <c r="AJ331" i="16"/>
  <c r="AJ332" i="16"/>
  <c r="AJ333" i="16"/>
  <c r="AJ334" i="16"/>
  <c r="AJ336" i="16"/>
  <c r="AJ337" i="16"/>
  <c r="AJ338" i="16"/>
  <c r="AJ339" i="16"/>
  <c r="AJ340" i="16"/>
  <c r="AJ342" i="16"/>
  <c r="AJ343" i="16"/>
  <c r="AJ346" i="16"/>
  <c r="AJ347" i="16"/>
  <c r="AJ350" i="16"/>
  <c r="AJ351" i="16"/>
  <c r="AJ352" i="16"/>
  <c r="AJ353" i="16"/>
  <c r="AJ356" i="16"/>
  <c r="AJ361" i="16"/>
  <c r="AJ363" i="16"/>
  <c r="AJ364" i="16"/>
  <c r="AJ366" i="16"/>
  <c r="AJ368" i="16"/>
  <c r="AJ369" i="16"/>
  <c r="AJ372" i="16"/>
  <c r="AJ373" i="16"/>
  <c r="AJ374" i="16"/>
  <c r="AJ376" i="16"/>
  <c r="AJ377" i="16"/>
  <c r="AJ378" i="16"/>
  <c r="AJ380" i="16"/>
  <c r="N13" i="7"/>
  <c r="AJ16" i="16"/>
  <c r="F7" i="16"/>
  <c r="AJ20" i="16"/>
  <c r="AJ23" i="16"/>
  <c r="AJ107" i="16"/>
  <c r="AJ112" i="16"/>
  <c r="AJ113" i="16"/>
  <c r="AJ114" i="16"/>
  <c r="AJ115" i="16"/>
  <c r="AJ124" i="16"/>
  <c r="AJ149" i="16"/>
  <c r="AJ152" i="16"/>
  <c r="AJ153" i="16"/>
  <c r="AJ158" i="16"/>
  <c r="AJ159" i="16"/>
  <c r="AJ160" i="16"/>
  <c r="AJ163" i="16"/>
  <c r="AJ164" i="16"/>
  <c r="AJ167" i="16"/>
  <c r="AJ170" i="16"/>
  <c r="AJ183" i="16"/>
  <c r="AJ184" i="16"/>
  <c r="AJ185" i="16"/>
  <c r="AJ190" i="16"/>
  <c r="AJ197" i="16"/>
  <c r="AJ198" i="16"/>
  <c r="AJ203" i="16"/>
  <c r="AJ208" i="16"/>
  <c r="AJ211" i="16"/>
  <c r="AJ212" i="16"/>
  <c r="AJ213" i="16"/>
  <c r="AJ229" i="16"/>
  <c r="AJ232" i="16"/>
  <c r="AJ233" i="16"/>
  <c r="AJ258" i="16"/>
  <c r="AJ259" i="16"/>
  <c r="AJ260" i="16"/>
  <c r="AJ271" i="16"/>
  <c r="AJ274" i="16"/>
  <c r="AJ283" i="16"/>
  <c r="AJ284" i="16"/>
  <c r="AJ292" i="16"/>
  <c r="AJ305" i="16"/>
  <c r="AJ306" i="16"/>
  <c r="AJ307" i="16"/>
  <c r="AJ310" i="16"/>
  <c r="AJ313" i="16"/>
  <c r="AJ314" i="16"/>
  <c r="AJ319" i="16"/>
  <c r="AJ324" i="16"/>
  <c r="AJ341" i="16"/>
  <c r="AJ344" i="16"/>
  <c r="AJ345" i="16"/>
  <c r="AJ348" i="16"/>
  <c r="AJ349" i="16"/>
  <c r="AJ354" i="16"/>
  <c r="AJ355" i="16"/>
  <c r="AJ362" i="16"/>
  <c r="AJ365" i="16"/>
  <c r="AJ375" i="16"/>
  <c r="AJ15" i="16"/>
  <c r="AJ19" i="16"/>
  <c r="AJ221" i="16"/>
  <c r="AJ222" i="16"/>
  <c r="AJ223" i="16"/>
  <c r="AJ224" i="16"/>
  <c r="AJ225" i="16"/>
  <c r="AJ286" i="16"/>
  <c r="AJ287" i="16"/>
  <c r="AJ290" i="16"/>
  <c r="AJ357" i="16"/>
  <c r="AJ358" i="16"/>
  <c r="AJ359" i="16"/>
  <c r="AJ360" i="16"/>
  <c r="AJ367" i="16"/>
  <c r="AJ370" i="16"/>
  <c r="AJ371" i="16"/>
  <c r="AJ18" i="16"/>
  <c r="AJ65" i="16"/>
  <c r="AJ66" i="16"/>
  <c r="AJ69" i="16"/>
  <c r="AJ70" i="16"/>
  <c r="AJ83" i="16"/>
  <c r="AJ294" i="16"/>
  <c r="AJ295" i="16"/>
  <c r="AJ296" i="16"/>
  <c r="AJ297" i="16"/>
  <c r="AJ298" i="16"/>
  <c r="AJ299" i="16"/>
  <c r="AJ316" i="16"/>
  <c r="AJ317" i="16"/>
  <c r="AJ328" i="16"/>
  <c r="AJ335" i="16"/>
  <c r="AJ241" i="16"/>
  <c r="AJ252" i="16"/>
  <c r="AJ379" i="16"/>
  <c r="AJ17" i="16"/>
  <c r="Q11" i="16"/>
  <c r="E13" i="6"/>
  <c r="AB23" i="6"/>
  <c r="W46" i="6"/>
  <c r="Z31" i="6"/>
  <c r="Y31" i="6"/>
  <c r="X33" i="6"/>
  <c r="W35" i="6"/>
  <c r="AE24" i="6"/>
  <c r="AE23" i="6" s="1"/>
  <c r="U48" i="6"/>
  <c r="V46" i="6"/>
  <c r="T50" i="6"/>
  <c r="N50" i="6"/>
  <c r="O48" i="6"/>
  <c r="P46" i="6"/>
  <c r="AN20" i="6"/>
  <c r="AN24" i="6" s="1"/>
  <c r="AN23" i="6" s="1"/>
  <c r="AN25" i="6" s="1"/>
  <c r="AA44" i="6"/>
  <c r="Q50" i="6"/>
  <c r="S46" i="6"/>
  <c r="R48" i="6"/>
  <c r="U24" i="6"/>
  <c r="U23" i="6" s="1"/>
  <c r="AD24" i="6"/>
  <c r="AD23" i="6" s="1"/>
  <c r="AD25" i="6" s="1"/>
  <c r="S24" i="6"/>
  <c r="S23" i="6" s="1"/>
  <c r="Q46" i="6"/>
  <c r="P48" i="6"/>
  <c r="O50" i="6"/>
  <c r="M50" i="6"/>
  <c r="O46" i="6"/>
  <c r="N48" i="6"/>
  <c r="N54" i="6" s="1"/>
  <c r="N53" i="6" s="1"/>
  <c r="Y48" i="6"/>
  <c r="Z46" i="6"/>
  <c r="X50" i="6"/>
  <c r="U33" i="6"/>
  <c r="T35" i="6"/>
  <c r="V31" i="6"/>
  <c r="W24" i="6"/>
  <c r="W23" i="6" s="1"/>
  <c r="J47" i="6"/>
  <c r="J41" i="6"/>
  <c r="J44" i="6"/>
  <c r="J45" i="6"/>
  <c r="J40" i="6"/>
  <c r="J36" i="6"/>
  <c r="J42" i="6"/>
  <c r="J38" i="6"/>
  <c r="J49" i="6"/>
  <c r="J46" i="6"/>
  <c r="J43" i="6"/>
  <c r="J48" i="6"/>
  <c r="J39" i="6"/>
  <c r="J37" i="6"/>
  <c r="R39" i="6"/>
  <c r="R38" i="6" s="1"/>
  <c r="S39" i="6"/>
  <c r="S38" i="6" s="1"/>
  <c r="S40" i="6" s="1"/>
  <c r="AA33" i="6"/>
  <c r="Z35" i="6"/>
  <c r="AK368" i="15" l="1"/>
  <c r="AK161" i="15"/>
  <c r="AK327" i="15"/>
  <c r="AK66" i="15"/>
  <c r="AK350" i="15"/>
  <c r="AK202" i="15"/>
  <c r="AK58" i="15"/>
  <c r="AK367" i="15"/>
  <c r="AK364" i="15"/>
  <c r="AK224" i="15"/>
  <c r="AK219" i="15"/>
  <c r="AK156" i="15"/>
  <c r="AK82" i="15"/>
  <c r="AK295" i="15"/>
  <c r="AK279" i="15"/>
  <c r="AK153" i="15"/>
  <c r="AK72" i="15"/>
  <c r="AK48" i="15"/>
  <c r="AK370" i="15"/>
  <c r="AK230" i="15"/>
  <c r="AK85" i="15"/>
  <c r="AK332" i="15"/>
  <c r="AK300" i="15"/>
  <c r="AK100" i="15"/>
  <c r="AK371" i="15"/>
  <c r="AK312" i="15"/>
  <c r="AK265" i="15"/>
  <c r="AK268" i="15"/>
  <c r="AK135" i="15"/>
  <c r="AK117" i="15"/>
  <c r="AK30" i="15"/>
  <c r="AK363" i="15"/>
  <c r="AK342" i="15"/>
  <c r="AK303" i="15"/>
  <c r="AK338" i="15"/>
  <c r="AK252" i="15"/>
  <c r="AK194" i="15"/>
  <c r="AK260" i="15"/>
  <c r="AK190" i="15"/>
  <c r="AK184" i="15"/>
  <c r="AK109" i="15"/>
  <c r="AK111" i="15"/>
  <c r="AK70" i="15"/>
  <c r="AK337" i="15"/>
  <c r="AK251" i="15"/>
  <c r="AK191" i="15"/>
  <c r="AK259" i="15"/>
  <c r="AK189" i="15"/>
  <c r="AK183" i="15"/>
  <c r="AK108" i="15"/>
  <c r="AK110" i="15"/>
  <c r="AK43" i="15"/>
  <c r="AK34" i="15"/>
  <c r="BH155" i="6"/>
  <c r="BH362" i="6"/>
  <c r="BH231" i="6"/>
  <c r="BH172" i="6"/>
  <c r="BH331" i="6"/>
  <c r="BH152" i="6"/>
  <c r="AK365" i="15"/>
  <c r="AK325" i="15"/>
  <c r="AK301" i="15"/>
  <c r="AK284" i="15"/>
  <c r="AK159" i="15"/>
  <c r="AK79" i="15"/>
  <c r="AK55" i="15"/>
  <c r="AK346" i="15"/>
  <c r="AK376" i="15"/>
  <c r="AK240" i="15"/>
  <c r="AK245" i="15"/>
  <c r="AK177" i="15"/>
  <c r="AK98" i="15"/>
  <c r="AK26" i="15"/>
  <c r="AK309" i="15"/>
  <c r="AK328" i="15"/>
  <c r="AK373" i="15"/>
  <c r="AK316" i="15"/>
  <c r="AK232" i="15"/>
  <c r="AK291" i="15"/>
  <c r="AK237" i="15"/>
  <c r="AK167" i="15"/>
  <c r="AK169" i="15"/>
  <c r="AK88" i="15"/>
  <c r="AK92" i="15"/>
  <c r="AK60" i="15"/>
  <c r="AK18" i="15"/>
  <c r="AK377" i="15"/>
  <c r="AK344" i="15"/>
  <c r="AK355" i="15"/>
  <c r="AK329" i="15"/>
  <c r="AK315" i="15"/>
  <c r="AK374" i="15"/>
  <c r="AK354" i="15"/>
  <c r="AK319" i="15"/>
  <c r="AK276" i="15"/>
  <c r="AK238" i="15"/>
  <c r="AK207" i="15"/>
  <c r="AK294" i="15"/>
  <c r="AK270" i="15"/>
  <c r="AK242" i="15"/>
  <c r="AK209" i="15"/>
  <c r="AK172" i="15"/>
  <c r="AK139" i="15"/>
  <c r="AK173" i="15"/>
  <c r="AK143" i="15"/>
  <c r="AK94" i="15"/>
  <c r="AK123" i="15"/>
  <c r="AK95" i="15"/>
  <c r="AK63" i="15"/>
  <c r="AK42" i="15"/>
  <c r="AK351" i="15"/>
  <c r="AK318" i="15"/>
  <c r="AK274" i="15"/>
  <c r="AK236" i="15"/>
  <c r="AK205" i="15"/>
  <c r="AK293" i="15"/>
  <c r="AK269" i="15"/>
  <c r="AK241" i="15"/>
  <c r="AK206" i="15"/>
  <c r="AK171" i="15"/>
  <c r="AK137" i="15"/>
  <c r="AK170" i="15"/>
  <c r="AK141" i="15"/>
  <c r="AK89" i="15"/>
  <c r="AK122" i="15"/>
  <c r="AK93" i="15"/>
  <c r="AK62" i="15"/>
  <c r="AK61" i="15"/>
  <c r="AK22" i="15"/>
  <c r="P12" i="15"/>
  <c r="AK15" i="15"/>
  <c r="AK25" i="15"/>
  <c r="AK31" i="15"/>
  <c r="AK36" i="15"/>
  <c r="AK29" i="15"/>
  <c r="AK40" i="15"/>
  <c r="AK45" i="15"/>
  <c r="AK54" i="15"/>
  <c r="AK59" i="15"/>
  <c r="AK65" i="15"/>
  <c r="AK71" i="15"/>
  <c r="AK47" i="15"/>
  <c r="AK53" i="15"/>
  <c r="AK67" i="15"/>
  <c r="AK77" i="15"/>
  <c r="AK84" i="15"/>
  <c r="AK91" i="15"/>
  <c r="AK96" i="15"/>
  <c r="AK105" i="15"/>
  <c r="AK112" i="15"/>
  <c r="AK116" i="15"/>
  <c r="AK124" i="15"/>
  <c r="AK129" i="15"/>
  <c r="AK76" i="15"/>
  <c r="AK87" i="15"/>
  <c r="AK97" i="15"/>
  <c r="AK104" i="15"/>
  <c r="AK118" i="15"/>
  <c r="AK136" i="15"/>
  <c r="AK147" i="15"/>
  <c r="AK151" i="15"/>
  <c r="AK160" i="15"/>
  <c r="AK168" i="15"/>
  <c r="AK175" i="15"/>
  <c r="AK180" i="15"/>
  <c r="AK119" i="15"/>
  <c r="AK132" i="15"/>
  <c r="AK140" i="15"/>
  <c r="AK146" i="15"/>
  <c r="AK158" i="15"/>
  <c r="AK166" i="15"/>
  <c r="AK174" i="15"/>
  <c r="AK187" i="15"/>
  <c r="AK192" i="15"/>
  <c r="AK200" i="15"/>
  <c r="AK210" i="15"/>
  <c r="AK216" i="15"/>
  <c r="AK226" i="15"/>
  <c r="AK235" i="15"/>
  <c r="AK244" i="15"/>
  <c r="AK254" i="15"/>
  <c r="AK262" i="15"/>
  <c r="AK267" i="15"/>
  <c r="AK271" i="15"/>
  <c r="AK277" i="15"/>
  <c r="AK283" i="15"/>
  <c r="AK290" i="15"/>
  <c r="AK297" i="15"/>
  <c r="AK307" i="15"/>
  <c r="AK195" i="15"/>
  <c r="AK203" i="15"/>
  <c r="AK208" i="15"/>
  <c r="AK221" i="15"/>
  <c r="AK225" i="15"/>
  <c r="AK231" i="15"/>
  <c r="AK239" i="15"/>
  <c r="AK249" i="15"/>
  <c r="AK253" i="15"/>
  <c r="AK261" i="15"/>
  <c r="AK280" i="15"/>
  <c r="AK288" i="15"/>
  <c r="AK299" i="15"/>
  <c r="AK314" i="15"/>
  <c r="AK320" i="15"/>
  <c r="AK334" i="15"/>
  <c r="AK339" i="15"/>
  <c r="AK348" i="15"/>
  <c r="AK17" i="15"/>
  <c r="AK20" i="15"/>
  <c r="AK35" i="15"/>
  <c r="AK32" i="15"/>
  <c r="AK50" i="15"/>
  <c r="AK64" i="15"/>
  <c r="AK44" i="15"/>
  <c r="AK366" i="15"/>
  <c r="AK347" i="15"/>
  <c r="AK305" i="15"/>
  <c r="AK340" i="15"/>
  <c r="AK255" i="15"/>
  <c r="AK198" i="15"/>
  <c r="AK263" i="15"/>
  <c r="AK193" i="15"/>
  <c r="AK121" i="15"/>
  <c r="AK120" i="15"/>
  <c r="AK113" i="15"/>
  <c r="AK49" i="15"/>
  <c r="AK37" i="15"/>
  <c r="AK310" i="15"/>
  <c r="AK356" i="15"/>
  <c r="AK317" i="15"/>
  <c r="AK360" i="15"/>
  <c r="AK282" i="15"/>
  <c r="AK212" i="15"/>
  <c r="AK272" i="15"/>
  <c r="AK211" i="15"/>
  <c r="AK142" i="15"/>
  <c r="AK148" i="15"/>
  <c r="AK125" i="15"/>
  <c r="AK69" i="15"/>
  <c r="AK41" i="15"/>
  <c r="AK321" i="15"/>
  <c r="AK358" i="15"/>
  <c r="AK359" i="15"/>
  <c r="AK335" i="15"/>
  <c r="AK323" i="15"/>
  <c r="AK298" i="15"/>
  <c r="AK362" i="15"/>
  <c r="AK336" i="15"/>
  <c r="AK292" i="15"/>
  <c r="AK250" i="15"/>
  <c r="AK222" i="15"/>
  <c r="AK185" i="15"/>
  <c r="AK278" i="15"/>
  <c r="AK258" i="15"/>
  <c r="AK217" i="15"/>
  <c r="AK188" i="15"/>
  <c r="AK152" i="15"/>
  <c r="AK181" i="15"/>
  <c r="AK154" i="15"/>
  <c r="AK106" i="15"/>
  <c r="AK131" i="15"/>
  <c r="AK107" i="15"/>
  <c r="AK78" i="15"/>
  <c r="AK39" i="15"/>
  <c r="AK46" i="15"/>
  <c r="AK33" i="15"/>
  <c r="AK379" i="15"/>
  <c r="AK311" i="15"/>
  <c r="AK369" i="15"/>
  <c r="AK352" i="15"/>
  <c r="AK375" i="15"/>
  <c r="AK357" i="15"/>
  <c r="AK349" i="15"/>
  <c r="AK333" i="15"/>
  <c r="AK326" i="15"/>
  <c r="AK322" i="15"/>
  <c r="AK308" i="15"/>
  <c r="AK378" i="15"/>
  <c r="AK372" i="15"/>
  <c r="AK361" i="15"/>
  <c r="AK345" i="15"/>
  <c r="AK331" i="15"/>
  <c r="AK313" i="15"/>
  <c r="AK287" i="15"/>
  <c r="AK257" i="15"/>
  <c r="AK246" i="15"/>
  <c r="AK229" i="15"/>
  <c r="AK220" i="15"/>
  <c r="AK201" i="15"/>
  <c r="AK304" i="15"/>
  <c r="AK289" i="15"/>
  <c r="AK275" i="15"/>
  <c r="AK266" i="15"/>
  <c r="AK248" i="15"/>
  <c r="AK234" i="15"/>
  <c r="AK215" i="15"/>
  <c r="AK197" i="15"/>
  <c r="AK186" i="15"/>
  <c r="AK165" i="15"/>
  <c r="AK145" i="15"/>
  <c r="AK130" i="15"/>
  <c r="AK179" i="15"/>
  <c r="AK164" i="15"/>
  <c r="AK150" i="15"/>
  <c r="AK134" i="15"/>
  <c r="AK103" i="15"/>
  <c r="AK83" i="15"/>
  <c r="AK128" i="15"/>
  <c r="AK115" i="15"/>
  <c r="AK102" i="15"/>
  <c r="AK90" i="15"/>
  <c r="AK74" i="15"/>
  <c r="AK52" i="15"/>
  <c r="AK57" i="15"/>
  <c r="AK24" i="15"/>
  <c r="AK380" i="15"/>
  <c r="AK343" i="15"/>
  <c r="AK330" i="15"/>
  <c r="AK306" i="15"/>
  <c r="AK286" i="15"/>
  <c r="AK256" i="15"/>
  <c r="AK243" i="15"/>
  <c r="AK228" i="15"/>
  <c r="AK213" i="15"/>
  <c r="AK199" i="15"/>
  <c r="AK302" i="15"/>
  <c r="AK285" i="15"/>
  <c r="AK273" i="15"/>
  <c r="AK264" i="15"/>
  <c r="AK247" i="15"/>
  <c r="AK233" i="15"/>
  <c r="AK214" i="15"/>
  <c r="AK196" i="15"/>
  <c r="AK182" i="15"/>
  <c r="AK162" i="15"/>
  <c r="AK144" i="15"/>
  <c r="AK127" i="15"/>
  <c r="AK178" i="15"/>
  <c r="AK163" i="15"/>
  <c r="AK149" i="15"/>
  <c r="AK133" i="15"/>
  <c r="AK101" i="15"/>
  <c r="AK80" i="15"/>
  <c r="AK126" i="15"/>
  <c r="AK114" i="15"/>
  <c r="AK99" i="15"/>
  <c r="AK86" i="15"/>
  <c r="AK73" i="15"/>
  <c r="AK51" i="15"/>
  <c r="AK68" i="15"/>
  <c r="AK56" i="15"/>
  <c r="AK38" i="15"/>
  <c r="AK23" i="15"/>
  <c r="AK27" i="15"/>
  <c r="AK19" i="15"/>
  <c r="BH146" i="6"/>
  <c r="BH240" i="6"/>
  <c r="BH220" i="6"/>
  <c r="BH267" i="6"/>
  <c r="BH359" i="6"/>
  <c r="BH49" i="6"/>
  <c r="BH154" i="6"/>
  <c r="BH223" i="6"/>
  <c r="BH78" i="6"/>
  <c r="BH243" i="6"/>
  <c r="BH133" i="6"/>
  <c r="BH91" i="6"/>
  <c r="AJ180" i="15"/>
  <c r="AJ207" i="15"/>
  <c r="AJ32" i="15"/>
  <c r="AJ372" i="15"/>
  <c r="AJ21" i="15"/>
  <c r="AJ99" i="15"/>
  <c r="AJ353" i="15"/>
  <c r="AJ361" i="15"/>
  <c r="AJ94" i="15"/>
  <c r="AJ164" i="15"/>
  <c r="AJ307" i="15"/>
  <c r="AJ271" i="15"/>
  <c r="AJ31" i="15"/>
  <c r="AJ253" i="15"/>
  <c r="AJ344" i="15"/>
  <c r="AJ60" i="15"/>
  <c r="AJ124" i="15"/>
  <c r="AJ40" i="15"/>
  <c r="AJ116" i="15"/>
  <c r="AJ233" i="15"/>
  <c r="AJ249" i="15"/>
  <c r="AJ149" i="15"/>
  <c r="AJ289" i="15"/>
  <c r="AJ300" i="15"/>
  <c r="AJ228" i="15"/>
  <c r="AJ369" i="15"/>
  <c r="AJ227" i="15"/>
  <c r="AE381" i="1"/>
  <c r="AJ241" i="15"/>
  <c r="AJ177" i="15"/>
  <c r="AJ85" i="15"/>
  <c r="H13" i="7"/>
  <c r="AJ46" i="15"/>
  <c r="AJ79" i="15"/>
  <c r="AJ109" i="15"/>
  <c r="AJ142" i="15"/>
  <c r="AJ64" i="15"/>
  <c r="AJ104" i="15"/>
  <c r="AJ80" i="15"/>
  <c r="AJ150" i="15"/>
  <c r="AJ204" i="15"/>
  <c r="AJ272" i="15"/>
  <c r="AJ174" i="15"/>
  <c r="AJ294" i="15"/>
  <c r="AJ78" i="15"/>
  <c r="AJ203" i="15"/>
  <c r="AJ173" i="15"/>
  <c r="AJ342" i="15"/>
  <c r="AJ240" i="15"/>
  <c r="AJ360" i="15"/>
  <c r="AJ108" i="15"/>
  <c r="AJ234" i="15"/>
  <c r="AJ255" i="15"/>
  <c r="AJ185" i="15"/>
  <c r="AJ100" i="15"/>
  <c r="BH18" i="6"/>
  <c r="BH63" i="6"/>
  <c r="BH180" i="6"/>
  <c r="BH251" i="6"/>
  <c r="BH32" i="6"/>
  <c r="BH178" i="6"/>
  <c r="BH270" i="6"/>
  <c r="BH329" i="6"/>
  <c r="BH159" i="6"/>
  <c r="BH235" i="6"/>
  <c r="BH105" i="6"/>
  <c r="BH79" i="6"/>
  <c r="BH367" i="6"/>
  <c r="BH366" i="6"/>
  <c r="BH378" i="6"/>
  <c r="BH197" i="6"/>
  <c r="BH301" i="6"/>
  <c r="BH214" i="6"/>
  <c r="BH340" i="6"/>
  <c r="BH249" i="6"/>
  <c r="BH361" i="6"/>
  <c r="BH353" i="6"/>
  <c r="BH61" i="6"/>
  <c r="BH153" i="6"/>
  <c r="BH59" i="6"/>
  <c r="BH344" i="6"/>
  <c r="BH118" i="6"/>
  <c r="BH221" i="6"/>
  <c r="BH69" i="6"/>
  <c r="BH168" i="6"/>
  <c r="BH232" i="6"/>
  <c r="BH158" i="6"/>
  <c r="BH162" i="6"/>
  <c r="BH76" i="6"/>
  <c r="BH111" i="6"/>
  <c r="BH127" i="6"/>
  <c r="BH374" i="6"/>
  <c r="BH281" i="6"/>
  <c r="BH27" i="6"/>
  <c r="BH39" i="6"/>
  <c r="BH194" i="6"/>
  <c r="BH370" i="6"/>
  <c r="BH275" i="6"/>
  <c r="BH47" i="6"/>
  <c r="BH373" i="6"/>
  <c r="BH245" i="6"/>
  <c r="BH314" i="6"/>
  <c r="BH326" i="6"/>
  <c r="BH139" i="6"/>
  <c r="BH100" i="6"/>
  <c r="BH22" i="6"/>
  <c r="BH261" i="6"/>
  <c r="BH375" i="6"/>
  <c r="BH210" i="6"/>
  <c r="BH256" i="6"/>
  <c r="BH66" i="6"/>
  <c r="BH323" i="6"/>
  <c r="BH248" i="6"/>
  <c r="BH335" i="6"/>
  <c r="BH87" i="6"/>
  <c r="BH293" i="6"/>
  <c r="BH173" i="6"/>
  <c r="BH35" i="6"/>
  <c r="BH140" i="6"/>
  <c r="BH58" i="6"/>
  <c r="BH37" i="6"/>
  <c r="BH205" i="6"/>
  <c r="BH179" i="6"/>
  <c r="BH23" i="6"/>
  <c r="BH316" i="6"/>
  <c r="BH80" i="6"/>
  <c r="BH244" i="6"/>
  <c r="BH222" i="6"/>
  <c r="BH77" i="6"/>
  <c r="BH257" i="6"/>
  <c r="BH185" i="6"/>
  <c r="BH224" i="6"/>
  <c r="BH163" i="6"/>
  <c r="BH53" i="6"/>
  <c r="BH134" i="6"/>
  <c r="BH211" i="6"/>
  <c r="BH269" i="6"/>
  <c r="BH350" i="6"/>
  <c r="BH143" i="6"/>
  <c r="BH88" i="6"/>
  <c r="BH42" i="6"/>
  <c r="BH169" i="6"/>
  <c r="BH358" i="6"/>
  <c r="BH50" i="6"/>
  <c r="BH137" i="6"/>
  <c r="BH83" i="6"/>
  <c r="BH142" i="6"/>
  <c r="BH110" i="6"/>
  <c r="BH55" i="6"/>
  <c r="BH149" i="6"/>
  <c r="BH26" i="6"/>
  <c r="BH198" i="6"/>
  <c r="BH338" i="6"/>
  <c r="BH328" i="6"/>
  <c r="BH272" i="6"/>
  <c r="BH351" i="6"/>
  <c r="BH115" i="6"/>
  <c r="BH33" i="6"/>
  <c r="BH109" i="6"/>
  <c r="BH352" i="6"/>
  <c r="BH369" i="6"/>
  <c r="BH355" i="6"/>
  <c r="BH379" i="6"/>
  <c r="BH357" i="6"/>
  <c r="BH60" i="6"/>
  <c r="BH201" i="6"/>
  <c r="BH193" i="6"/>
  <c r="BH294" i="6"/>
  <c r="BH282" i="6"/>
  <c r="BH43" i="6"/>
  <c r="BH247" i="6"/>
  <c r="BH229" i="6"/>
  <c r="BH306" i="6"/>
  <c r="BH101" i="6"/>
  <c r="BH380" i="6"/>
  <c r="BH176" i="6"/>
  <c r="BH258" i="6"/>
  <c r="BH325" i="6"/>
  <c r="BH188" i="6"/>
  <c r="BH255" i="6"/>
  <c r="BH103" i="6"/>
  <c r="BH160" i="6"/>
  <c r="BH332" i="6"/>
  <c r="BH203" i="6"/>
  <c r="BH315" i="6"/>
  <c r="BH166" i="6"/>
  <c r="BH236" i="6"/>
  <c r="BH324" i="6"/>
  <c r="BH377" i="6"/>
  <c r="BH189" i="6"/>
  <c r="BH309" i="6"/>
  <c r="BH123" i="6"/>
  <c r="BH241" i="6"/>
  <c r="BH44" i="6"/>
  <c r="BH264" i="6"/>
  <c r="BH70" i="6"/>
  <c r="BH125" i="6"/>
  <c r="BH187" i="6"/>
  <c r="BH128" i="6"/>
  <c r="BH72" i="6"/>
  <c r="BH376" i="6"/>
  <c r="BH305" i="6"/>
  <c r="BH99" i="6"/>
  <c r="BH21" i="6"/>
  <c r="BH90" i="6"/>
  <c r="BH299" i="6"/>
  <c r="BH268" i="6"/>
  <c r="BH343" i="6"/>
  <c r="BH192" i="6"/>
  <c r="BH34" i="6"/>
  <c r="BH112" i="6"/>
  <c r="BH252" i="6"/>
  <c r="BH57" i="6"/>
  <c r="BH46" i="6"/>
  <c r="J61" i="6"/>
  <c r="M54" i="6"/>
  <c r="M53" i="6" s="1"/>
  <c r="M55" i="6" s="1"/>
  <c r="J53" i="6"/>
  <c r="J50" i="6"/>
  <c r="J59" i="6"/>
  <c r="J186" i="6"/>
  <c r="J52" i="6"/>
  <c r="J54" i="6"/>
  <c r="J58" i="6"/>
  <c r="J189" i="6"/>
  <c r="J55" i="6"/>
  <c r="J56" i="6"/>
  <c r="J60" i="6"/>
  <c r="J51" i="6"/>
  <c r="J62" i="6"/>
  <c r="J63" i="6"/>
  <c r="J57" i="6"/>
  <c r="J68" i="6"/>
  <c r="D381" i="16"/>
  <c r="J179" i="6"/>
  <c r="J178" i="6"/>
  <c r="U54" i="6"/>
  <c r="U53" i="6" s="1"/>
  <c r="U55" i="6" s="1"/>
  <c r="J202" i="6"/>
  <c r="J200" i="6"/>
  <c r="J201" i="6"/>
  <c r="J196" i="6"/>
  <c r="J197" i="6"/>
  <c r="J198" i="6"/>
  <c r="J194" i="6"/>
  <c r="J203" i="6"/>
  <c r="J191" i="6"/>
  <c r="J199" i="6"/>
  <c r="J195" i="6"/>
  <c r="J190" i="6"/>
  <c r="J193" i="6"/>
  <c r="J192" i="6"/>
  <c r="AJ77" i="15"/>
  <c r="AJ133" i="15"/>
  <c r="AJ257" i="15"/>
  <c r="AJ277" i="15"/>
  <c r="AJ363" i="15"/>
  <c r="AJ283" i="15"/>
  <c r="AJ18" i="15"/>
  <c r="AJ221" i="15"/>
  <c r="AJ350" i="15"/>
  <c r="AJ367" i="15"/>
  <c r="AJ293" i="15"/>
  <c r="AJ167" i="15"/>
  <c r="AJ316" i="15"/>
  <c r="AJ354" i="15"/>
  <c r="AJ296" i="15"/>
  <c r="AJ239" i="15"/>
  <c r="AJ370" i="15"/>
  <c r="AJ340" i="15"/>
  <c r="AJ286" i="15"/>
  <c r="AJ169" i="15"/>
  <c r="AJ269" i="15"/>
  <c r="AJ200" i="15"/>
  <c r="AJ140" i="15"/>
  <c r="AJ74" i="15"/>
  <c r="AJ93" i="15"/>
  <c r="AJ379" i="15"/>
  <c r="AJ365" i="15"/>
  <c r="AJ346" i="15"/>
  <c r="AJ326" i="15"/>
  <c r="AJ276" i="15"/>
  <c r="AJ248" i="15"/>
  <c r="AJ223" i="15"/>
  <c r="AJ176" i="15"/>
  <c r="AJ359" i="15"/>
  <c r="AJ349" i="15"/>
  <c r="AJ336" i="15"/>
  <c r="AJ310" i="15"/>
  <c r="AJ273" i="15"/>
  <c r="AJ196" i="15"/>
  <c r="AJ315" i="15"/>
  <c r="AJ290" i="15"/>
  <c r="AJ252" i="15"/>
  <c r="AJ219" i="15"/>
  <c r="AJ193" i="15"/>
  <c r="AJ163" i="15"/>
  <c r="AJ131" i="15"/>
  <c r="AJ95" i="15"/>
  <c r="AJ50" i="15"/>
  <c r="AJ129" i="15"/>
  <c r="AJ63" i="15"/>
  <c r="AJ380" i="15"/>
  <c r="AJ285" i="15"/>
  <c r="AJ265" i="15"/>
  <c r="AJ229" i="15"/>
  <c r="AJ187" i="15"/>
  <c r="AJ324" i="15"/>
  <c r="AJ312" i="15"/>
  <c r="AJ302" i="15"/>
  <c r="AJ281" i="15"/>
  <c r="AJ268" i="15"/>
  <c r="AJ238" i="15"/>
  <c r="AJ226" i="15"/>
  <c r="AJ212" i="15"/>
  <c r="AJ199" i="15"/>
  <c r="AJ189" i="15"/>
  <c r="AJ171" i="15"/>
  <c r="AJ160" i="15"/>
  <c r="AJ137" i="15"/>
  <c r="AJ123" i="15"/>
  <c r="AJ105" i="15"/>
  <c r="AJ90" i="15"/>
  <c r="AJ72" i="15"/>
  <c r="AJ35" i="15"/>
  <c r="AJ147" i="15"/>
  <c r="AJ117" i="15"/>
  <c r="AJ86" i="15"/>
  <c r="AJ57" i="15"/>
  <c r="AJ29" i="15"/>
  <c r="AJ71" i="15"/>
  <c r="AJ52" i="15"/>
  <c r="AJ33" i="15"/>
  <c r="AJ159" i="15"/>
  <c r="AJ146" i="15"/>
  <c r="O11" i="17"/>
  <c r="AC12" i="17"/>
  <c r="AJ321" i="15"/>
  <c r="AJ375" i="15"/>
  <c r="AJ295" i="15"/>
  <c r="AJ275" i="15"/>
  <c r="AJ152" i="15"/>
  <c r="AJ107" i="15"/>
  <c r="AJ15" i="15"/>
  <c r="AJ27" i="15"/>
  <c r="AJ39" i="15"/>
  <c r="AJ56" i="15"/>
  <c r="AJ65" i="15"/>
  <c r="AJ84" i="15"/>
  <c r="AJ103" i="15"/>
  <c r="AJ114" i="15"/>
  <c r="AJ130" i="15"/>
  <c r="AJ153" i="15"/>
  <c r="AJ42" i="15"/>
  <c r="AJ75" i="15"/>
  <c r="AJ67" i="15"/>
  <c r="AJ136" i="15"/>
  <c r="AJ53" i="15"/>
  <c r="AJ98" i="15"/>
  <c r="AJ132" i="15"/>
  <c r="AJ166" i="15"/>
  <c r="AJ194" i="15"/>
  <c r="AJ220" i="15"/>
  <c r="AJ256" i="15"/>
  <c r="AJ292" i="15"/>
  <c r="AJ317" i="15"/>
  <c r="AJ206" i="15"/>
  <c r="AJ274" i="15"/>
  <c r="AJ38" i="15"/>
  <c r="AJ158" i="15"/>
  <c r="AJ115" i="15"/>
  <c r="AJ179" i="15"/>
  <c r="AJ231" i="15"/>
  <c r="AJ305" i="15"/>
  <c r="AJ243" i="15"/>
  <c r="AJ329" i="15"/>
  <c r="AJ355" i="15"/>
  <c r="AJ208" i="15"/>
  <c r="AJ259" i="15"/>
  <c r="AJ335" i="15"/>
  <c r="AJ371" i="15"/>
  <c r="AJ151" i="15"/>
  <c r="AJ175" i="15"/>
  <c r="AJ303" i="15"/>
  <c r="AJ327" i="15"/>
  <c r="AJ205" i="15"/>
  <c r="AJ333" i="15"/>
  <c r="AJ328" i="15"/>
  <c r="AJ139" i="15"/>
  <c r="AJ213" i="15"/>
  <c r="AJ347" i="15"/>
  <c r="AJ337" i="15"/>
  <c r="AJ195" i="15"/>
  <c r="AJ45" i="15"/>
  <c r="E8" i="15"/>
  <c r="K12" i="19" s="1"/>
  <c r="K36" i="19" s="1"/>
  <c r="AJ5" i="17"/>
  <c r="AJ8" i="17"/>
  <c r="O40" i="6"/>
  <c r="X39" i="6"/>
  <c r="X38" i="6" s="1"/>
  <c r="X40" i="6" s="1"/>
  <c r="J182" i="6"/>
  <c r="J185" i="6"/>
  <c r="J188" i="6"/>
  <c r="J71" i="6"/>
  <c r="U39" i="6"/>
  <c r="U38" i="6" s="1"/>
  <c r="U40" i="6" s="1"/>
  <c r="AB25" i="6"/>
  <c r="J215" i="6" s="1"/>
  <c r="Z39" i="6"/>
  <c r="Z38" i="6" s="1"/>
  <c r="Z40" i="6" s="1"/>
  <c r="T39" i="6"/>
  <c r="T38" i="6" s="1"/>
  <c r="T40" i="6" s="1"/>
  <c r="T54" i="6"/>
  <c r="T53" i="6" s="1"/>
  <c r="T55" i="6" s="1"/>
  <c r="Y39" i="6"/>
  <c r="Y38" i="6" s="1"/>
  <c r="Y40" i="6" s="1"/>
  <c r="D381" i="17"/>
  <c r="D9" i="17"/>
  <c r="D11" i="17" s="1"/>
  <c r="E38" i="19" s="1"/>
  <c r="O9" i="20"/>
  <c r="AJ7" i="17"/>
  <c r="E7" i="15"/>
  <c r="O12" i="17"/>
  <c r="AJ380" i="18"/>
  <c r="AJ21" i="18"/>
  <c r="AJ38" i="18"/>
  <c r="AJ41" i="18"/>
  <c r="AJ69" i="18"/>
  <c r="AJ102" i="18"/>
  <c r="AJ74" i="18"/>
  <c r="AJ105" i="18"/>
  <c r="AJ144" i="18"/>
  <c r="AJ178" i="18"/>
  <c r="AJ150" i="18"/>
  <c r="AJ179" i="18"/>
  <c r="AJ204" i="18"/>
  <c r="AJ235" i="18"/>
  <c r="AJ30" i="18"/>
  <c r="AJ58" i="18"/>
  <c r="AJ115" i="18"/>
  <c r="AJ121" i="18"/>
  <c r="AJ133" i="18"/>
  <c r="AJ193" i="18"/>
  <c r="AJ249" i="18"/>
  <c r="AJ271" i="18"/>
  <c r="AJ303" i="18"/>
  <c r="AJ220" i="18"/>
  <c r="AJ259" i="18"/>
  <c r="AJ309" i="18"/>
  <c r="AJ342" i="18"/>
  <c r="AJ370" i="18"/>
  <c r="AJ329" i="18"/>
  <c r="AJ366" i="18"/>
  <c r="Z13" i="7"/>
  <c r="AJ54" i="18"/>
  <c r="AJ87" i="18"/>
  <c r="AJ89" i="18"/>
  <c r="AJ157" i="18"/>
  <c r="AJ168" i="18"/>
  <c r="AJ221" i="18"/>
  <c r="AJ262" i="18"/>
  <c r="AJ288" i="18"/>
  <c r="AJ205" i="18"/>
  <c r="AJ241" i="18"/>
  <c r="AJ284" i="18"/>
  <c r="AJ326" i="18"/>
  <c r="AJ353" i="18"/>
  <c r="AJ307" i="18"/>
  <c r="AJ361" i="18"/>
  <c r="AJ343" i="18"/>
  <c r="AJ368" i="18"/>
  <c r="AJ379" i="18"/>
  <c r="AJ322" i="18"/>
  <c r="AJ362" i="18"/>
  <c r="AJ337" i="18"/>
  <c r="AJ291" i="18"/>
  <c r="AJ247" i="18"/>
  <c r="AJ213" i="18"/>
  <c r="AJ293" i="18"/>
  <c r="AJ267" i="18"/>
  <c r="AJ240" i="18"/>
  <c r="AJ210" i="18"/>
  <c r="AJ186" i="18"/>
  <c r="AJ160" i="18"/>
  <c r="AJ128" i="18"/>
  <c r="AJ152" i="18"/>
  <c r="AJ117" i="18"/>
  <c r="AJ79" i="18"/>
  <c r="AJ108" i="18"/>
  <c r="AJ80" i="18"/>
  <c r="AJ48" i="18"/>
  <c r="AJ47" i="18"/>
  <c r="AJ26" i="18"/>
  <c r="AJ15" i="18"/>
  <c r="AJ18" i="18"/>
  <c r="AJ23" i="18"/>
  <c r="AJ27" i="18"/>
  <c r="AJ33" i="18"/>
  <c r="AJ32" i="18"/>
  <c r="AJ37" i="18"/>
  <c r="AJ49" i="18"/>
  <c r="AJ55" i="18"/>
  <c r="AJ68" i="18"/>
  <c r="AJ42" i="18"/>
  <c r="AJ50" i="18"/>
  <c r="AJ59" i="18"/>
  <c r="AJ65" i="18"/>
  <c r="AJ70" i="18"/>
  <c r="AJ82" i="18"/>
  <c r="AJ88" i="18"/>
  <c r="AJ94" i="18"/>
  <c r="AJ104" i="18"/>
  <c r="AJ111" i="18"/>
  <c r="AJ116" i="18"/>
  <c r="AJ127" i="18"/>
  <c r="AJ75" i="18"/>
  <c r="AJ81" i="18"/>
  <c r="AJ93" i="18"/>
  <c r="AJ100" i="18"/>
  <c r="AJ109" i="18"/>
  <c r="AJ118" i="18"/>
  <c r="AJ123" i="18"/>
  <c r="AJ137" i="18"/>
  <c r="AJ145" i="18"/>
  <c r="AJ154" i="18"/>
  <c r="AJ158" i="18"/>
  <c r="AJ167" i="18"/>
  <c r="AJ181" i="18"/>
  <c r="AJ129" i="18"/>
  <c r="AJ135" i="18"/>
  <c r="AJ143" i="18"/>
  <c r="AJ151" i="18"/>
  <c r="AJ161" i="18"/>
  <c r="AJ169" i="18"/>
  <c r="AJ174" i="18"/>
  <c r="AJ180" i="18"/>
  <c r="AJ187" i="18"/>
  <c r="AJ195" i="18"/>
  <c r="AJ200" i="18"/>
  <c r="AJ206" i="18"/>
  <c r="AJ214" i="18"/>
  <c r="AJ222" i="18"/>
  <c r="AJ228" i="18"/>
  <c r="AJ236" i="18"/>
  <c r="AJ245" i="18"/>
  <c r="AJ250" i="18"/>
  <c r="AJ255" i="18"/>
  <c r="AJ264" i="18"/>
  <c r="AJ268" i="18"/>
  <c r="AJ274" i="18"/>
  <c r="AJ280" i="18"/>
  <c r="AJ289" i="18"/>
  <c r="AJ294" i="18"/>
  <c r="AJ183" i="18"/>
  <c r="AJ194" i="18"/>
  <c r="AJ209" i="18"/>
  <c r="AJ215" i="18"/>
  <c r="AJ225" i="18"/>
  <c r="AJ231" i="18"/>
  <c r="AJ242" i="18"/>
  <c r="AJ251" i="18"/>
  <c r="AJ260" i="18"/>
  <c r="AJ275" i="18"/>
  <c r="AJ285" i="18"/>
  <c r="AJ296" i="18"/>
  <c r="AJ310" i="18"/>
  <c r="AJ321" i="18"/>
  <c r="AJ330" i="18"/>
  <c r="AJ338" i="18"/>
  <c r="AJ344" i="18"/>
  <c r="AJ350" i="18"/>
  <c r="AJ354" i="18"/>
  <c r="AJ363" i="18"/>
  <c r="AJ371" i="18"/>
  <c r="AJ300" i="18"/>
  <c r="AJ314" i="18"/>
  <c r="AJ324" i="18"/>
  <c r="AJ331" i="18"/>
  <c r="AJ349" i="18"/>
  <c r="AJ365" i="18"/>
  <c r="AJ305" i="18"/>
  <c r="AJ378" i="18"/>
  <c r="AJ318" i="18"/>
  <c r="AJ347" i="18"/>
  <c r="AJ373" i="18"/>
  <c r="AJ19" i="18"/>
  <c r="AJ28" i="18"/>
  <c r="AJ22" i="18"/>
  <c r="AJ51" i="18"/>
  <c r="AJ39" i="18"/>
  <c r="AJ52" i="18"/>
  <c r="AJ66" i="18"/>
  <c r="AJ84" i="18"/>
  <c r="AJ96" i="18"/>
  <c r="AJ112" i="18"/>
  <c r="AJ71" i="18"/>
  <c r="AJ83" i="18"/>
  <c r="AJ341" i="18"/>
  <c r="AJ348" i="18"/>
  <c r="AJ273" i="18"/>
  <c r="AJ192" i="18"/>
  <c r="AJ254" i="18"/>
  <c r="AJ199" i="18"/>
  <c r="AJ142" i="18"/>
  <c r="AJ136" i="18"/>
  <c r="AJ126" i="18"/>
  <c r="AJ63" i="18"/>
  <c r="AJ31" i="18"/>
  <c r="AJ16" i="18"/>
  <c r="AJ20" i="18"/>
  <c r="AJ29" i="18"/>
  <c r="AJ36" i="18"/>
  <c r="AJ53" i="18"/>
  <c r="AJ40" i="18"/>
  <c r="AJ56" i="18"/>
  <c r="AJ67" i="18"/>
  <c r="AJ86" i="18"/>
  <c r="AJ98" i="18"/>
  <c r="AJ113" i="18"/>
  <c r="AJ73" i="18"/>
  <c r="AJ85" i="18"/>
  <c r="AJ103" i="18"/>
  <c r="AJ120" i="18"/>
  <c r="AJ140" i="18"/>
  <c r="AJ156" i="18"/>
  <c r="AJ176" i="18"/>
  <c r="AJ131" i="18"/>
  <c r="AJ149" i="18"/>
  <c r="AJ166" i="18"/>
  <c r="AJ177" i="18"/>
  <c r="AJ190" i="18"/>
  <c r="AJ202" i="18"/>
  <c r="AJ219" i="18"/>
  <c r="AJ233" i="18"/>
  <c r="AJ248" i="18"/>
  <c r="AJ261" i="18"/>
  <c r="AJ270" i="18"/>
  <c r="AJ283" i="18"/>
  <c r="AJ302" i="18"/>
  <c r="AJ203" i="18"/>
  <c r="AJ218" i="18"/>
  <c r="AJ237" i="18"/>
  <c r="AJ257" i="18"/>
  <c r="AJ282" i="18"/>
  <c r="AJ301" i="18"/>
  <c r="AJ325" i="18"/>
  <c r="AJ340" i="18"/>
  <c r="AJ352" i="18"/>
  <c r="AJ369" i="18"/>
  <c r="AJ306" i="18"/>
  <c r="AJ328" i="18"/>
  <c r="AJ357" i="18"/>
  <c r="AJ359" i="18"/>
  <c r="AJ336" i="18"/>
  <c r="F7" i="18"/>
  <c r="AJ34" i="18"/>
  <c r="AJ57" i="18"/>
  <c r="AJ60" i="18"/>
  <c r="AJ90" i="18"/>
  <c r="AJ124" i="18"/>
  <c r="AJ95" i="18"/>
  <c r="AJ110" i="18"/>
  <c r="AJ132" i="18"/>
  <c r="AJ146" i="18"/>
  <c r="AJ162" i="18"/>
  <c r="AJ182" i="18"/>
  <c r="AJ139" i="18"/>
  <c r="AJ153" i="18"/>
  <c r="AJ170" i="18"/>
  <c r="AJ184" i="18"/>
  <c r="AJ196" i="18"/>
  <c r="AJ207" i="18"/>
  <c r="AJ223" i="18"/>
  <c r="AJ238" i="18"/>
  <c r="AJ252" i="18"/>
  <c r="AJ265" i="18"/>
  <c r="AJ276" i="18"/>
  <c r="AJ290" i="18"/>
  <c r="AJ189" i="18"/>
  <c r="AJ211" i="18"/>
  <c r="AJ227" i="18"/>
  <c r="AJ243" i="18"/>
  <c r="AJ263" i="18"/>
  <c r="AJ286" i="18"/>
  <c r="AJ312" i="18"/>
  <c r="AJ332" i="18"/>
  <c r="AJ345" i="18"/>
  <c r="AJ358" i="18"/>
  <c r="AJ372" i="18"/>
  <c r="AJ315" i="18"/>
  <c r="AJ334" i="18"/>
  <c r="AJ374" i="18"/>
  <c r="AJ298" i="18"/>
  <c r="AJ356" i="18"/>
  <c r="AJ311" i="18"/>
  <c r="AJ299" i="18"/>
  <c r="AJ320" i="18"/>
  <c r="AJ230" i="18"/>
  <c r="AJ279" i="18"/>
  <c r="AJ226" i="18"/>
  <c r="AJ172" i="18"/>
  <c r="AJ165" i="18"/>
  <c r="AJ99" i="18"/>
  <c r="AJ92" i="18"/>
  <c r="AJ64" i="18"/>
  <c r="AJ17" i="18"/>
  <c r="AJ25" i="18"/>
  <c r="AJ35" i="18"/>
  <c r="AJ45" i="18"/>
  <c r="AJ62" i="18"/>
  <c r="AJ46" i="18"/>
  <c r="AJ61" i="18"/>
  <c r="AJ76" i="18"/>
  <c r="AJ91" i="18"/>
  <c r="AJ107" i="18"/>
  <c r="AJ125" i="18"/>
  <c r="AJ78" i="18"/>
  <c r="AJ97" i="18"/>
  <c r="AJ114" i="18"/>
  <c r="AJ134" i="18"/>
  <c r="AJ147" i="18"/>
  <c r="AJ164" i="18"/>
  <c r="AJ122" i="18"/>
  <c r="AJ141" i="18"/>
  <c r="AJ159" i="18"/>
  <c r="AJ171" i="18"/>
  <c r="AJ185" i="18"/>
  <c r="AJ197" i="18"/>
  <c r="AJ208" i="18"/>
  <c r="AJ224" i="18"/>
  <c r="AJ239" i="18"/>
  <c r="AJ253" i="18"/>
  <c r="AJ266" i="18"/>
  <c r="AJ277" i="18"/>
  <c r="AJ292" i="18"/>
  <c r="AJ191" i="18"/>
  <c r="AJ212" i="18"/>
  <c r="AJ229" i="18"/>
  <c r="AJ244" i="18"/>
  <c r="AJ272" i="18"/>
  <c r="AJ287" i="18"/>
  <c r="AJ313" i="18"/>
  <c r="AJ333" i="18"/>
  <c r="AJ346" i="18"/>
  <c r="AJ360" i="18"/>
  <c r="AJ376" i="18"/>
  <c r="AJ317" i="18"/>
  <c r="AJ335" i="18"/>
  <c r="AJ377" i="18"/>
  <c r="AJ308" i="18"/>
  <c r="AJ367" i="18"/>
  <c r="AJ24" i="18"/>
  <c r="AJ44" i="18"/>
  <c r="AJ43" i="18"/>
  <c r="AJ72" i="18"/>
  <c r="AJ106" i="18"/>
  <c r="AJ77" i="18"/>
  <c r="AJ101" i="18"/>
  <c r="AJ119" i="18"/>
  <c r="AJ138" i="18"/>
  <c r="AJ155" i="18"/>
  <c r="AJ173" i="18"/>
  <c r="AJ130" i="18"/>
  <c r="AJ148" i="18"/>
  <c r="AJ163" i="18"/>
  <c r="AJ175" i="18"/>
  <c r="AJ188" i="18"/>
  <c r="AJ201" i="18"/>
  <c r="AJ217" i="18"/>
  <c r="AJ232" i="18"/>
  <c r="AJ246" i="18"/>
  <c r="AJ258" i="18"/>
  <c r="AJ269" i="18"/>
  <c r="AJ281" i="18"/>
  <c r="AJ295" i="18"/>
  <c r="AJ198" i="18"/>
  <c r="AJ216" i="18"/>
  <c r="AJ234" i="18"/>
  <c r="AJ256" i="18"/>
  <c r="AJ278" i="18"/>
  <c r="AJ297" i="18"/>
  <c r="AJ323" i="18"/>
  <c r="AJ339" i="18"/>
  <c r="AJ351" i="18"/>
  <c r="AJ364" i="18"/>
  <c r="AJ304" i="18"/>
  <c r="AJ327" i="18"/>
  <c r="AJ355" i="18"/>
  <c r="AJ316" i="18"/>
  <c r="AJ319" i="18"/>
  <c r="AJ375" i="18"/>
  <c r="AJ338" i="15"/>
  <c r="AJ210" i="15"/>
  <c r="AJ331" i="15"/>
  <c r="AJ308" i="15"/>
  <c r="AJ181" i="15"/>
  <c r="AJ20" i="15"/>
  <c r="AJ260" i="15"/>
  <c r="AJ250" i="15"/>
  <c r="AJ120" i="15"/>
  <c r="AJ16" i="15"/>
  <c r="AJ24" i="15"/>
  <c r="AJ36" i="15"/>
  <c r="AJ49" i="15"/>
  <c r="AJ62" i="15"/>
  <c r="AJ82" i="15"/>
  <c r="AJ97" i="15"/>
  <c r="AJ111" i="15"/>
  <c r="AJ127" i="15"/>
  <c r="AJ144" i="15"/>
  <c r="AJ155" i="15"/>
  <c r="AJ26" i="15"/>
  <c r="AJ48" i="15"/>
  <c r="AJ68" i="15"/>
  <c r="AJ17" i="15"/>
  <c r="AJ34" i="15"/>
  <c r="AJ61" i="15"/>
  <c r="AJ96" i="15"/>
  <c r="AJ126" i="15"/>
  <c r="AJ154" i="15"/>
  <c r="AJ44" i="15"/>
  <c r="AJ76" i="15"/>
  <c r="AJ92" i="15"/>
  <c r="AJ113" i="15"/>
  <c r="AJ128" i="15"/>
  <c r="AJ141" i="15"/>
  <c r="AJ162" i="15"/>
  <c r="AJ178" i="15"/>
  <c r="AJ192" i="15"/>
  <c r="AJ201" i="15"/>
  <c r="AJ217" i="15"/>
  <c r="AJ230" i="15"/>
  <c r="AJ245" i="15"/>
  <c r="AJ270" i="15"/>
  <c r="AJ288" i="15"/>
  <c r="AJ304" i="15"/>
  <c r="AJ314" i="15"/>
  <c r="AJ172" i="15"/>
  <c r="AJ191" i="15"/>
  <c r="AJ242" i="15"/>
  <c r="AJ267" i="15"/>
  <c r="AJ287" i="15"/>
  <c r="AJ25" i="15"/>
  <c r="AJ83" i="15"/>
  <c r="AJ145" i="15"/>
  <c r="AJ70" i="15"/>
  <c r="AJ102" i="15"/>
  <c r="AJ135" i="15"/>
  <c r="AJ170" i="15"/>
  <c r="AJ198" i="15"/>
  <c r="AJ225" i="15"/>
  <c r="AJ264" i="15"/>
  <c r="AJ301" i="15"/>
  <c r="AJ322" i="15"/>
  <c r="AJ218" i="15"/>
  <c r="AJ284" i="15"/>
  <c r="AJ319" i="15"/>
  <c r="AJ339" i="15"/>
  <c r="AJ352" i="15"/>
  <c r="AJ366" i="15"/>
  <c r="AJ202" i="15"/>
  <c r="AJ232" i="15"/>
  <c r="AJ254" i="15"/>
  <c r="AJ291" i="15"/>
  <c r="AJ330" i="15"/>
  <c r="AJ351" i="15"/>
  <c r="AJ368" i="15"/>
  <c r="F7" i="15"/>
  <c r="AJ119" i="15"/>
  <c r="AJ91" i="15"/>
  <c r="AJ161" i="15"/>
  <c r="AJ216" i="15"/>
  <c r="AJ282" i="15"/>
  <c r="AJ188" i="15"/>
  <c r="AJ306" i="15"/>
  <c r="AJ348" i="15"/>
  <c r="AJ378" i="15"/>
  <c r="AJ247" i="15"/>
  <c r="AJ325" i="15"/>
  <c r="AJ364" i="15"/>
  <c r="AJ373" i="15"/>
  <c r="AJ356" i="15"/>
  <c r="AJ235" i="15"/>
  <c r="AJ19" i="15"/>
  <c r="AJ30" i="15"/>
  <c r="AJ43" i="15"/>
  <c r="AJ58" i="15"/>
  <c r="AJ69" i="15"/>
  <c r="AJ89" i="15"/>
  <c r="AJ106" i="15"/>
  <c r="AJ118" i="15"/>
  <c r="AJ138" i="15"/>
  <c r="AJ148" i="15"/>
  <c r="AJ165" i="15"/>
  <c r="AJ37" i="15"/>
  <c r="AJ54" i="15"/>
  <c r="AJ73" i="15"/>
  <c r="AJ23" i="15"/>
  <c r="AJ47" i="15"/>
  <c r="AJ81" i="15"/>
  <c r="AJ110" i="15"/>
  <c r="AJ143" i="15"/>
  <c r="AJ22" i="15"/>
  <c r="AJ66" i="15"/>
  <c r="AJ87" i="15"/>
  <c r="AJ101" i="15"/>
  <c r="AJ121" i="15"/>
  <c r="AJ134" i="15"/>
  <c r="AJ156" i="15"/>
  <c r="AJ168" i="15"/>
  <c r="AJ184" i="15"/>
  <c r="AJ197" i="15"/>
  <c r="AJ209" i="15"/>
  <c r="AJ224" i="15"/>
  <c r="AJ236" i="15"/>
  <c r="AJ258" i="15"/>
  <c r="AJ278" i="15"/>
  <c r="AJ298" i="15"/>
  <c r="AJ309" i="15"/>
  <c r="AJ320" i="15"/>
  <c r="AJ182" i="15"/>
  <c r="AJ215" i="15"/>
  <c r="AJ251" i="15"/>
  <c r="AJ280" i="15"/>
  <c r="AJ297" i="15"/>
  <c r="AJ51" i="15"/>
  <c r="AJ112" i="15"/>
  <c r="AJ28" i="15"/>
  <c r="AJ88" i="15"/>
  <c r="AJ122" i="15"/>
  <c r="AJ157" i="15"/>
  <c r="AJ186" i="15"/>
  <c r="AJ211" i="15"/>
  <c r="AJ237" i="15"/>
  <c r="AJ279" i="15"/>
  <c r="AJ311" i="15"/>
  <c r="AJ183" i="15"/>
  <c r="AJ263" i="15"/>
  <c r="AJ299" i="15"/>
  <c r="AJ332" i="15"/>
  <c r="AJ345" i="15"/>
  <c r="AJ357" i="15"/>
  <c r="AJ376" i="15"/>
  <c r="AJ214" i="15"/>
  <c r="AJ246" i="15"/>
  <c r="AJ261" i="15"/>
  <c r="AJ323" i="15"/>
  <c r="AJ341" i="15"/>
  <c r="AJ362" i="15"/>
  <c r="AJ374" i="15"/>
  <c r="AJ59" i="15"/>
  <c r="AJ41" i="15"/>
  <c r="AJ125" i="15"/>
  <c r="AJ190" i="15"/>
  <c r="AJ244" i="15"/>
  <c r="AJ313" i="15"/>
  <c r="AJ266" i="15"/>
  <c r="AJ334" i="15"/>
  <c r="AJ358" i="15"/>
  <c r="AJ222" i="15"/>
  <c r="AJ262" i="15"/>
  <c r="AJ343" i="15"/>
  <c r="AJ377" i="15"/>
  <c r="AJ6" i="17"/>
  <c r="J305" i="6"/>
  <c r="D382" i="15"/>
  <c r="D9" i="15"/>
  <c r="D11" i="15" s="1"/>
  <c r="E36" i="19" s="1"/>
  <c r="D383" i="15"/>
  <c r="D381" i="15"/>
  <c r="J176" i="6"/>
  <c r="J187" i="6"/>
  <c r="J184" i="6"/>
  <c r="J180" i="6"/>
  <c r="J183" i="6"/>
  <c r="J181" i="6"/>
  <c r="J177" i="6"/>
  <c r="J332" i="6"/>
  <c r="J295" i="6"/>
  <c r="J340" i="6"/>
  <c r="J323" i="6"/>
  <c r="J315" i="6"/>
  <c r="J337" i="6"/>
  <c r="J339" i="6"/>
  <c r="J334" i="6"/>
  <c r="J72" i="6"/>
  <c r="J65" i="6"/>
  <c r="J303" i="6"/>
  <c r="J318" i="6"/>
  <c r="J294" i="6"/>
  <c r="J288" i="6"/>
  <c r="Q382" i="1"/>
  <c r="AI95" i="1"/>
  <c r="AH95" i="1" s="1"/>
  <c r="AG95" i="1" s="1"/>
  <c r="AF95" i="1" s="1"/>
  <c r="AI363" i="1"/>
  <c r="AH363" i="1" s="1"/>
  <c r="AG363" i="1" s="1"/>
  <c r="AF363" i="1" s="1"/>
  <c r="AI34" i="1"/>
  <c r="AH34" i="1" s="1"/>
  <c r="AG34" i="1" s="1"/>
  <c r="AF34" i="1" s="1"/>
  <c r="U52" i="1"/>
  <c r="T52" i="1" s="1"/>
  <c r="S52" i="1" s="1"/>
  <c r="R52" i="1" s="1"/>
  <c r="U112" i="1"/>
  <c r="T112" i="1" s="1"/>
  <c r="S112" i="1" s="1"/>
  <c r="R112" i="1" s="1"/>
  <c r="U176" i="1"/>
  <c r="T176" i="1" s="1"/>
  <c r="S176" i="1" s="1"/>
  <c r="R176" i="1" s="1"/>
  <c r="AI183" i="1"/>
  <c r="AH183" i="1" s="1"/>
  <c r="AG183" i="1" s="1"/>
  <c r="AF183" i="1" s="1"/>
  <c r="U79" i="1"/>
  <c r="T79" i="1" s="1"/>
  <c r="S79" i="1" s="1"/>
  <c r="R79" i="1" s="1"/>
  <c r="U151" i="1"/>
  <c r="T151" i="1" s="1"/>
  <c r="S151" i="1" s="1"/>
  <c r="R151" i="1" s="1"/>
  <c r="U205" i="1"/>
  <c r="T205" i="1" s="1"/>
  <c r="S205" i="1" s="1"/>
  <c r="R205" i="1" s="1"/>
  <c r="AI168" i="1"/>
  <c r="AH168" i="1" s="1"/>
  <c r="AG168" i="1" s="1"/>
  <c r="AF168" i="1" s="1"/>
  <c r="AI36" i="1"/>
  <c r="AH36" i="1" s="1"/>
  <c r="AG36" i="1" s="1"/>
  <c r="AF36" i="1" s="1"/>
  <c r="U123" i="1"/>
  <c r="T123" i="1" s="1"/>
  <c r="S123" i="1" s="1"/>
  <c r="R123" i="1" s="1"/>
  <c r="U27" i="1"/>
  <c r="T27" i="1" s="1"/>
  <c r="S27" i="1" s="1"/>
  <c r="R27" i="1" s="1"/>
  <c r="U162" i="1"/>
  <c r="T162" i="1" s="1"/>
  <c r="S162" i="1" s="1"/>
  <c r="R162" i="1" s="1"/>
  <c r="U249" i="1"/>
  <c r="T249" i="1" s="1"/>
  <c r="S249" i="1" s="1"/>
  <c r="R249" i="1" s="1"/>
  <c r="U271" i="1"/>
  <c r="T271" i="1" s="1"/>
  <c r="S271" i="1" s="1"/>
  <c r="R271" i="1" s="1"/>
  <c r="U292" i="1"/>
  <c r="T292" i="1" s="1"/>
  <c r="S292" i="1" s="1"/>
  <c r="R292" i="1" s="1"/>
  <c r="U319" i="1"/>
  <c r="T319" i="1" s="1"/>
  <c r="S319" i="1" s="1"/>
  <c r="R319" i="1" s="1"/>
  <c r="U353" i="1"/>
  <c r="T353" i="1" s="1"/>
  <c r="S353" i="1" s="1"/>
  <c r="R353" i="1" s="1"/>
  <c r="U379" i="1"/>
  <c r="BX16" i="7" s="1"/>
  <c r="AI235" i="1"/>
  <c r="AH235" i="1" s="1"/>
  <c r="AG235" i="1" s="1"/>
  <c r="AF235" i="1" s="1"/>
  <c r="AI94" i="1"/>
  <c r="AH94" i="1" s="1"/>
  <c r="AG94" i="1" s="1"/>
  <c r="AF94" i="1" s="1"/>
  <c r="AI26" i="1"/>
  <c r="AH26" i="1" s="1"/>
  <c r="AG26" i="1" s="1"/>
  <c r="AF26" i="1" s="1"/>
  <c r="AI107" i="1"/>
  <c r="AH107" i="1" s="1"/>
  <c r="AG107" i="1" s="1"/>
  <c r="AF107" i="1" s="1"/>
  <c r="AI326" i="1"/>
  <c r="AH326" i="1" s="1"/>
  <c r="AG326" i="1" s="1"/>
  <c r="AF326" i="1" s="1"/>
  <c r="AI82" i="1"/>
  <c r="AH82" i="1" s="1"/>
  <c r="AG82" i="1" s="1"/>
  <c r="AF82" i="1" s="1"/>
  <c r="AI306" i="1"/>
  <c r="AH306" i="1" s="1"/>
  <c r="AG306" i="1" s="1"/>
  <c r="AF306" i="1" s="1"/>
  <c r="AI55" i="1"/>
  <c r="AH55" i="1" s="1"/>
  <c r="AG55" i="1" s="1"/>
  <c r="AF55" i="1" s="1"/>
  <c r="AI161" i="1"/>
  <c r="AH161" i="1" s="1"/>
  <c r="AG161" i="1" s="1"/>
  <c r="AF161" i="1" s="1"/>
  <c r="AI162" i="1"/>
  <c r="AH162" i="1" s="1"/>
  <c r="AG162" i="1" s="1"/>
  <c r="AF162" i="1" s="1"/>
  <c r="AI179" i="1"/>
  <c r="AH179" i="1" s="1"/>
  <c r="AG179" i="1" s="1"/>
  <c r="AF179" i="1" s="1"/>
  <c r="AI319" i="1"/>
  <c r="AH319" i="1" s="1"/>
  <c r="AG319" i="1" s="1"/>
  <c r="AF319" i="1" s="1"/>
  <c r="AI85" i="1"/>
  <c r="AH85" i="1" s="1"/>
  <c r="AG85" i="1" s="1"/>
  <c r="AF85" i="1" s="1"/>
  <c r="AI145" i="1"/>
  <c r="AH145" i="1" s="1"/>
  <c r="AG145" i="1" s="1"/>
  <c r="AF145" i="1" s="1"/>
  <c r="AI63" i="1"/>
  <c r="AH63" i="1" s="1"/>
  <c r="AG63" i="1" s="1"/>
  <c r="AF63" i="1" s="1"/>
  <c r="AI295" i="1"/>
  <c r="AH295" i="1" s="1"/>
  <c r="AG295" i="1" s="1"/>
  <c r="AF295" i="1" s="1"/>
  <c r="AI378" i="1"/>
  <c r="AH378" i="1" s="1"/>
  <c r="AG378" i="1" s="1"/>
  <c r="AF378" i="1" s="1"/>
  <c r="AI144" i="1"/>
  <c r="AH144" i="1" s="1"/>
  <c r="AG144" i="1" s="1"/>
  <c r="AF144" i="1" s="1"/>
  <c r="U47" i="1"/>
  <c r="T47" i="1" s="1"/>
  <c r="S47" i="1" s="1"/>
  <c r="R47" i="1" s="1"/>
  <c r="U77" i="1"/>
  <c r="T77" i="1" s="1"/>
  <c r="S77" i="1" s="1"/>
  <c r="R77" i="1" s="1"/>
  <c r="U109" i="1"/>
  <c r="T109" i="1" s="1"/>
  <c r="S109" i="1" s="1"/>
  <c r="R109" i="1" s="1"/>
  <c r="U131" i="1"/>
  <c r="T131" i="1" s="1"/>
  <c r="S131" i="1" s="1"/>
  <c r="R131" i="1" s="1"/>
  <c r="U174" i="1"/>
  <c r="T174" i="1" s="1"/>
  <c r="S174" i="1" s="1"/>
  <c r="R174" i="1" s="1"/>
  <c r="U207" i="1"/>
  <c r="T207" i="1" s="1"/>
  <c r="S207" i="1" s="1"/>
  <c r="R207" i="1" s="1"/>
  <c r="AI128" i="1"/>
  <c r="AH128" i="1" s="1"/>
  <c r="AG128" i="1" s="1"/>
  <c r="AF128" i="1" s="1"/>
  <c r="U44" i="1"/>
  <c r="T44" i="1" s="1"/>
  <c r="S44" i="1" s="1"/>
  <c r="R44" i="1" s="1"/>
  <c r="U74" i="1"/>
  <c r="T74" i="1" s="1"/>
  <c r="S74" i="1" s="1"/>
  <c r="R74" i="1" s="1"/>
  <c r="U107" i="1"/>
  <c r="T107" i="1" s="1"/>
  <c r="S107" i="1" s="1"/>
  <c r="R107" i="1" s="1"/>
  <c r="U150" i="1"/>
  <c r="T150" i="1" s="1"/>
  <c r="S150" i="1" s="1"/>
  <c r="R150" i="1" s="1"/>
  <c r="U171" i="1"/>
  <c r="T171" i="1" s="1"/>
  <c r="S171" i="1" s="1"/>
  <c r="R171" i="1" s="1"/>
  <c r="U204" i="1"/>
  <c r="T204" i="1" s="1"/>
  <c r="S204" i="1" s="1"/>
  <c r="R204" i="1" s="1"/>
  <c r="AI274" i="1"/>
  <c r="AH274" i="1" s="1"/>
  <c r="AG274" i="1" s="1"/>
  <c r="AF274" i="1" s="1"/>
  <c r="AI329" i="1"/>
  <c r="AH329" i="1" s="1"/>
  <c r="AG329" i="1" s="1"/>
  <c r="AF329" i="1" s="1"/>
  <c r="AI124" i="1"/>
  <c r="AH124" i="1" s="1"/>
  <c r="AG124" i="1" s="1"/>
  <c r="AF124" i="1" s="1"/>
  <c r="AI229" i="1"/>
  <c r="AH229" i="1" s="1"/>
  <c r="AG229" i="1" s="1"/>
  <c r="AF229" i="1" s="1"/>
  <c r="AI285" i="1"/>
  <c r="AH285" i="1" s="1"/>
  <c r="AG285" i="1" s="1"/>
  <c r="AF285" i="1" s="1"/>
  <c r="AI57" i="1"/>
  <c r="AH57" i="1" s="1"/>
  <c r="AG57" i="1" s="1"/>
  <c r="AF57" i="1" s="1"/>
  <c r="U328" i="1"/>
  <c r="T328" i="1" s="1"/>
  <c r="S328" i="1" s="1"/>
  <c r="R328" i="1" s="1"/>
  <c r="U268" i="1"/>
  <c r="T268" i="1" s="1"/>
  <c r="S268" i="1" s="1"/>
  <c r="R268" i="1" s="1"/>
  <c r="U347" i="1"/>
  <c r="T347" i="1" s="1"/>
  <c r="S347" i="1" s="1"/>
  <c r="R347" i="1" s="1"/>
  <c r="U90" i="1"/>
  <c r="T90" i="1" s="1"/>
  <c r="S90" i="1" s="1"/>
  <c r="R90" i="1" s="1"/>
  <c r="AI80" i="1"/>
  <c r="AH80" i="1" s="1"/>
  <c r="AG80" i="1" s="1"/>
  <c r="AF80" i="1" s="1"/>
  <c r="AI243" i="1"/>
  <c r="AH243" i="1" s="1"/>
  <c r="AG243" i="1" s="1"/>
  <c r="AF243" i="1" s="1"/>
  <c r="AI195" i="1"/>
  <c r="AH195" i="1" s="1"/>
  <c r="AG195" i="1" s="1"/>
  <c r="AF195" i="1" s="1"/>
  <c r="AI96" i="1"/>
  <c r="AH96" i="1" s="1"/>
  <c r="AG96" i="1" s="1"/>
  <c r="AF96" i="1" s="1"/>
  <c r="AI342" i="1"/>
  <c r="AH342" i="1" s="1"/>
  <c r="AG342" i="1" s="1"/>
  <c r="AF342" i="1" s="1"/>
  <c r="AI228" i="1"/>
  <c r="AH228" i="1" s="1"/>
  <c r="AG228" i="1" s="1"/>
  <c r="AF228" i="1" s="1"/>
  <c r="U323" i="1"/>
  <c r="T323" i="1" s="1"/>
  <c r="S323" i="1" s="1"/>
  <c r="R323" i="1" s="1"/>
  <c r="U256" i="1"/>
  <c r="T256" i="1" s="1"/>
  <c r="S256" i="1" s="1"/>
  <c r="R256" i="1" s="1"/>
  <c r="U332" i="1"/>
  <c r="T332" i="1" s="1"/>
  <c r="S332" i="1" s="1"/>
  <c r="R332" i="1" s="1"/>
  <c r="U20" i="1"/>
  <c r="T20" i="1" s="1"/>
  <c r="S20" i="1" s="1"/>
  <c r="R20" i="1" s="1"/>
  <c r="AI122" i="1"/>
  <c r="AH122" i="1" s="1"/>
  <c r="AG122" i="1" s="1"/>
  <c r="AF122" i="1" s="1"/>
  <c r="AI199" i="1"/>
  <c r="AH199" i="1" s="1"/>
  <c r="AG199" i="1" s="1"/>
  <c r="AF199" i="1" s="1"/>
  <c r="AI273" i="1"/>
  <c r="AH273" i="1" s="1"/>
  <c r="AG273" i="1" s="1"/>
  <c r="AF273" i="1" s="1"/>
  <c r="AI275" i="1"/>
  <c r="AH275" i="1" s="1"/>
  <c r="AG275" i="1" s="1"/>
  <c r="AF275" i="1" s="1"/>
  <c r="AI66" i="1"/>
  <c r="AH66" i="1" s="1"/>
  <c r="AG66" i="1" s="1"/>
  <c r="AF66" i="1" s="1"/>
  <c r="AI351" i="1"/>
  <c r="AH351" i="1" s="1"/>
  <c r="AG351" i="1" s="1"/>
  <c r="AF351" i="1" s="1"/>
  <c r="AI16" i="1"/>
  <c r="AH16" i="1" s="1"/>
  <c r="AG16" i="1" s="1"/>
  <c r="AF16" i="1" s="1"/>
  <c r="AI375" i="1"/>
  <c r="AH375" i="1" s="1"/>
  <c r="AG375" i="1" s="1"/>
  <c r="AF375" i="1" s="1"/>
  <c r="AI371" i="1"/>
  <c r="AH371" i="1" s="1"/>
  <c r="AG371" i="1" s="1"/>
  <c r="AF371" i="1" s="1"/>
  <c r="AI292" i="1"/>
  <c r="AH292" i="1" s="1"/>
  <c r="AG292" i="1" s="1"/>
  <c r="AF292" i="1" s="1"/>
  <c r="AI140" i="1"/>
  <c r="AH140" i="1" s="1"/>
  <c r="AG140" i="1" s="1"/>
  <c r="AF140" i="1" s="1"/>
  <c r="U361" i="1"/>
  <c r="T361" i="1" s="1"/>
  <c r="S361" i="1" s="1"/>
  <c r="R361" i="1" s="1"/>
  <c r="U326" i="1"/>
  <c r="T326" i="1" s="1"/>
  <c r="S326" i="1" s="1"/>
  <c r="R326" i="1" s="1"/>
  <c r="U299" i="1"/>
  <c r="T299" i="1" s="1"/>
  <c r="S299" i="1" s="1"/>
  <c r="R299" i="1" s="1"/>
  <c r="U262" i="1"/>
  <c r="T262" i="1" s="1"/>
  <c r="S262" i="1" s="1"/>
  <c r="R262" i="1" s="1"/>
  <c r="U228" i="1"/>
  <c r="U340" i="1"/>
  <c r="T340" i="1" s="1"/>
  <c r="S340" i="1" s="1"/>
  <c r="R340" i="1" s="1"/>
  <c r="U257" i="1"/>
  <c r="T257" i="1" s="1"/>
  <c r="S257" i="1" s="1"/>
  <c r="R257" i="1" s="1"/>
  <c r="U53" i="1"/>
  <c r="T53" i="1" s="1"/>
  <c r="S53" i="1" s="1"/>
  <c r="R53" i="1" s="1"/>
  <c r="U31" i="1"/>
  <c r="T31" i="1" s="1"/>
  <c r="S31" i="1" s="1"/>
  <c r="R31" i="1" s="1"/>
  <c r="AI213" i="1"/>
  <c r="AH213" i="1" s="1"/>
  <c r="AG213" i="1" s="1"/>
  <c r="AF213" i="1" s="1"/>
  <c r="AI366" i="1"/>
  <c r="AH366" i="1" s="1"/>
  <c r="AG366" i="1" s="1"/>
  <c r="AF366" i="1" s="1"/>
  <c r="AI288" i="1"/>
  <c r="AH288" i="1" s="1"/>
  <c r="AG288" i="1" s="1"/>
  <c r="AF288" i="1" s="1"/>
  <c r="AI142" i="1"/>
  <c r="AH142" i="1" s="1"/>
  <c r="AG142" i="1" s="1"/>
  <c r="AF142" i="1" s="1"/>
  <c r="AI353" i="1"/>
  <c r="AH353" i="1" s="1"/>
  <c r="AG353" i="1" s="1"/>
  <c r="AF353" i="1" s="1"/>
  <c r="AI133" i="1"/>
  <c r="AH133" i="1" s="1"/>
  <c r="AG133" i="1" s="1"/>
  <c r="AF133" i="1" s="1"/>
  <c r="AI81" i="1"/>
  <c r="AH81" i="1" s="1"/>
  <c r="AG81" i="1" s="1"/>
  <c r="AF81" i="1" s="1"/>
  <c r="AI250" i="1"/>
  <c r="AH250" i="1" s="1"/>
  <c r="AG250" i="1" s="1"/>
  <c r="AF250" i="1" s="1"/>
  <c r="AI317" i="1"/>
  <c r="AH317" i="1" s="1"/>
  <c r="AG317" i="1" s="1"/>
  <c r="AF317" i="1" s="1"/>
  <c r="AI372" i="1"/>
  <c r="AH372" i="1" s="1"/>
  <c r="AG372" i="1" s="1"/>
  <c r="AF372" i="1" s="1"/>
  <c r="AI268" i="1"/>
  <c r="AH268" i="1" s="1"/>
  <c r="AG268" i="1" s="1"/>
  <c r="AF268" i="1" s="1"/>
  <c r="AI340" i="1"/>
  <c r="AH340" i="1" s="1"/>
  <c r="AG340" i="1" s="1"/>
  <c r="AF340" i="1" s="1"/>
  <c r="AI156" i="1"/>
  <c r="AH156" i="1" s="1"/>
  <c r="AG156" i="1" s="1"/>
  <c r="AF156" i="1" s="1"/>
  <c r="AI42" i="1"/>
  <c r="AH42" i="1" s="1"/>
  <c r="AG42" i="1" s="1"/>
  <c r="AF42" i="1" s="1"/>
  <c r="AI215" i="1"/>
  <c r="AH215" i="1" s="1"/>
  <c r="AG215" i="1" s="1"/>
  <c r="AF215" i="1" s="1"/>
  <c r="AI20" i="1"/>
  <c r="AH20" i="1" s="1"/>
  <c r="AG20" i="1" s="1"/>
  <c r="AF20" i="1" s="1"/>
  <c r="AI277" i="1"/>
  <c r="AH277" i="1" s="1"/>
  <c r="AG277" i="1" s="1"/>
  <c r="AF277" i="1" s="1"/>
  <c r="AI293" i="1"/>
  <c r="AH293" i="1" s="1"/>
  <c r="AG293" i="1" s="1"/>
  <c r="AF293" i="1" s="1"/>
  <c r="AI186" i="1"/>
  <c r="AH186" i="1" s="1"/>
  <c r="AG186" i="1" s="1"/>
  <c r="AF186" i="1" s="1"/>
  <c r="AI44" i="1"/>
  <c r="AH44" i="1" s="1"/>
  <c r="AG44" i="1" s="1"/>
  <c r="AF44" i="1" s="1"/>
  <c r="AI245" i="1"/>
  <c r="AH245" i="1" s="1"/>
  <c r="AG245" i="1" s="1"/>
  <c r="AF245" i="1" s="1"/>
  <c r="AI304" i="1"/>
  <c r="AH304" i="1" s="1"/>
  <c r="AG304" i="1" s="1"/>
  <c r="AF304" i="1" s="1"/>
  <c r="U365" i="1"/>
  <c r="T365" i="1" s="1"/>
  <c r="S365" i="1" s="1"/>
  <c r="R365" i="1" s="1"/>
  <c r="U348" i="1"/>
  <c r="T348" i="1" s="1"/>
  <c r="S348" i="1" s="1"/>
  <c r="R348" i="1" s="1"/>
  <c r="U330" i="1"/>
  <c r="T330" i="1" s="1"/>
  <c r="S330" i="1" s="1"/>
  <c r="R330" i="1" s="1"/>
  <c r="U314" i="1"/>
  <c r="T314" i="1" s="1"/>
  <c r="S314" i="1" s="1"/>
  <c r="R314" i="1" s="1"/>
  <c r="U304" i="1"/>
  <c r="T304" i="1" s="1"/>
  <c r="S304" i="1" s="1"/>
  <c r="R304" i="1" s="1"/>
  <c r="U285" i="1"/>
  <c r="T285" i="1" s="1"/>
  <c r="S285" i="1" s="1"/>
  <c r="R285" i="1" s="1"/>
  <c r="U269" i="1"/>
  <c r="T269" i="1" s="1"/>
  <c r="S269" i="1" s="1"/>
  <c r="R269" i="1" s="1"/>
  <c r="U250" i="1"/>
  <c r="T250" i="1" s="1"/>
  <c r="S250" i="1" s="1"/>
  <c r="R250" i="1" s="1"/>
  <c r="U232" i="1"/>
  <c r="T232" i="1" s="1"/>
  <c r="S232" i="1" s="1"/>
  <c r="R232" i="1" s="1"/>
  <c r="U378" i="1"/>
  <c r="T378" i="1" s="1"/>
  <c r="S378" i="1" s="1"/>
  <c r="R378" i="1" s="1"/>
  <c r="U352" i="1"/>
  <c r="T352" i="1" s="1"/>
  <c r="S352" i="1" s="1"/>
  <c r="R352" i="1" s="1"/>
  <c r="U318" i="1"/>
  <c r="T318" i="1" s="1"/>
  <c r="S318" i="1" s="1"/>
  <c r="R318" i="1" s="1"/>
  <c r="U273" i="1"/>
  <c r="T273" i="1" s="1"/>
  <c r="S273" i="1" s="1"/>
  <c r="R273" i="1" s="1"/>
  <c r="U229" i="1"/>
  <c r="T229" i="1" s="1"/>
  <c r="S229" i="1" s="1"/>
  <c r="R229" i="1" s="1"/>
  <c r="U105" i="1"/>
  <c r="T105" i="1" s="1"/>
  <c r="S105" i="1" s="1"/>
  <c r="R105" i="1" s="1"/>
  <c r="U201" i="1"/>
  <c r="T201" i="1" s="1"/>
  <c r="S201" i="1" s="1"/>
  <c r="R201" i="1" s="1"/>
  <c r="U76" i="1"/>
  <c r="T76" i="1" s="1"/>
  <c r="S76" i="1" s="1"/>
  <c r="R76" i="1" s="1"/>
  <c r="AI18" i="1"/>
  <c r="AH18" i="1" s="1"/>
  <c r="AG18" i="1" s="1"/>
  <c r="AF18" i="1" s="1"/>
  <c r="AI238" i="1"/>
  <c r="AH238" i="1" s="1"/>
  <c r="AG238" i="1" s="1"/>
  <c r="AF238" i="1" s="1"/>
  <c r="Q383" i="1"/>
  <c r="AI164" i="1"/>
  <c r="AH164" i="1" s="1"/>
  <c r="AG164" i="1" s="1"/>
  <c r="AF164" i="1" s="1"/>
  <c r="AI226" i="1"/>
  <c r="U17" i="1"/>
  <c r="T17" i="1" s="1"/>
  <c r="S17" i="1" s="1"/>
  <c r="R17" i="1" s="1"/>
  <c r="U78" i="1"/>
  <c r="T78" i="1" s="1"/>
  <c r="S78" i="1" s="1"/>
  <c r="R78" i="1" s="1"/>
  <c r="U132" i="1"/>
  <c r="T132" i="1" s="1"/>
  <c r="S132" i="1" s="1"/>
  <c r="R132" i="1" s="1"/>
  <c r="U210" i="1"/>
  <c r="T210" i="1" s="1"/>
  <c r="S210" i="1" s="1"/>
  <c r="R210" i="1" s="1"/>
  <c r="U45" i="1"/>
  <c r="T45" i="1" s="1"/>
  <c r="S45" i="1" s="1"/>
  <c r="R45" i="1" s="1"/>
  <c r="U110" i="1"/>
  <c r="T110" i="1" s="1"/>
  <c r="S110" i="1" s="1"/>
  <c r="R110" i="1" s="1"/>
  <c r="U172" i="1"/>
  <c r="T172" i="1" s="1"/>
  <c r="S172" i="1" s="1"/>
  <c r="R172" i="1" s="1"/>
  <c r="U234" i="1"/>
  <c r="T234" i="1" s="1"/>
  <c r="S234" i="1" s="1"/>
  <c r="R234" i="1" s="1"/>
  <c r="AI359" i="1"/>
  <c r="AH359" i="1" s="1"/>
  <c r="AG359" i="1" s="1"/>
  <c r="AF359" i="1" s="1"/>
  <c r="U71" i="1"/>
  <c r="T71" i="1" s="1"/>
  <c r="S71" i="1" s="1"/>
  <c r="R71" i="1" s="1"/>
  <c r="U189" i="1"/>
  <c r="T189" i="1" s="1"/>
  <c r="S189" i="1" s="1"/>
  <c r="R189" i="1" s="1"/>
  <c r="U96" i="1"/>
  <c r="T96" i="1" s="1"/>
  <c r="S96" i="1" s="1"/>
  <c r="R96" i="1" s="1"/>
  <c r="U222" i="1"/>
  <c r="T222" i="1" s="1"/>
  <c r="S222" i="1" s="1"/>
  <c r="R222" i="1" s="1"/>
  <c r="U259" i="1"/>
  <c r="T259" i="1" s="1"/>
  <c r="S259" i="1" s="1"/>
  <c r="R259" i="1" s="1"/>
  <c r="U282" i="1"/>
  <c r="T282" i="1" s="1"/>
  <c r="S282" i="1" s="1"/>
  <c r="R282" i="1" s="1"/>
  <c r="U300" i="1"/>
  <c r="T300" i="1" s="1"/>
  <c r="S300" i="1" s="1"/>
  <c r="R300" i="1" s="1"/>
  <c r="U338" i="1"/>
  <c r="T338" i="1" s="1"/>
  <c r="S338" i="1" s="1"/>
  <c r="R338" i="1" s="1"/>
  <c r="U367" i="1"/>
  <c r="T367" i="1" s="1"/>
  <c r="S367" i="1" s="1"/>
  <c r="R367" i="1" s="1"/>
  <c r="AI318" i="1"/>
  <c r="AH318" i="1" s="1"/>
  <c r="AG318" i="1" s="1"/>
  <c r="AF318" i="1" s="1"/>
  <c r="AI244" i="1"/>
  <c r="AH244" i="1" s="1"/>
  <c r="AG244" i="1" s="1"/>
  <c r="AF244" i="1" s="1"/>
  <c r="AI119" i="1"/>
  <c r="AH119" i="1" s="1"/>
  <c r="AG119" i="1" s="1"/>
  <c r="AF119" i="1" s="1"/>
  <c r="AI259" i="1"/>
  <c r="AI114" i="1"/>
  <c r="AH114" i="1" s="1"/>
  <c r="AG114" i="1" s="1"/>
  <c r="AF114" i="1" s="1"/>
  <c r="AI276" i="1"/>
  <c r="AH276" i="1" s="1"/>
  <c r="AG276" i="1" s="1"/>
  <c r="AF276" i="1" s="1"/>
  <c r="AI345" i="1"/>
  <c r="AH345" i="1" s="1"/>
  <c r="AG345" i="1" s="1"/>
  <c r="AF345" i="1" s="1"/>
  <c r="AI346" i="1"/>
  <c r="AH346" i="1" s="1"/>
  <c r="AG346" i="1" s="1"/>
  <c r="AF346" i="1" s="1"/>
  <c r="AI365" i="1"/>
  <c r="AH365" i="1" s="1"/>
  <c r="AG365" i="1" s="1"/>
  <c r="AF365" i="1" s="1"/>
  <c r="AI184" i="1"/>
  <c r="AH184" i="1" s="1"/>
  <c r="AG184" i="1" s="1"/>
  <c r="AF184" i="1" s="1"/>
  <c r="AI202" i="1"/>
  <c r="AH202" i="1" s="1"/>
  <c r="AG202" i="1" s="1"/>
  <c r="AI217" i="1"/>
  <c r="AH217" i="1" s="1"/>
  <c r="AG217" i="1" s="1"/>
  <c r="AF217" i="1" s="1"/>
  <c r="AI21" i="1"/>
  <c r="AH21" i="1" s="1"/>
  <c r="AG21" i="1" s="1"/>
  <c r="AF21" i="1" s="1"/>
  <c r="AI339" i="1"/>
  <c r="AH339" i="1" s="1"/>
  <c r="AG339" i="1" s="1"/>
  <c r="AF339" i="1" s="1"/>
  <c r="AI41" i="1"/>
  <c r="AH41" i="1" s="1"/>
  <c r="AG41" i="1" s="1"/>
  <c r="AF41" i="1" s="1"/>
  <c r="AI223" i="1"/>
  <c r="U32" i="1"/>
  <c r="T32" i="1" s="1"/>
  <c r="S32" i="1" s="1"/>
  <c r="R32" i="1" s="1"/>
  <c r="U68" i="1"/>
  <c r="T68" i="1" s="1"/>
  <c r="S68" i="1" s="1"/>
  <c r="R68" i="1" s="1"/>
  <c r="U95" i="1"/>
  <c r="T95" i="1" s="1"/>
  <c r="S95" i="1" s="1"/>
  <c r="R95" i="1" s="1"/>
  <c r="U119" i="1"/>
  <c r="T119" i="1" s="1"/>
  <c r="S119" i="1" s="1"/>
  <c r="R119" i="1" s="1"/>
  <c r="U148" i="1"/>
  <c r="T148" i="1" s="1"/>
  <c r="S148" i="1" s="1"/>
  <c r="R148" i="1" s="1"/>
  <c r="U183" i="1"/>
  <c r="T183" i="1" s="1"/>
  <c r="S183" i="1" s="1"/>
  <c r="R183" i="1" s="1"/>
  <c r="AI74" i="1"/>
  <c r="AH74" i="1" s="1"/>
  <c r="AG74" i="1" s="1"/>
  <c r="AF74" i="1" s="1"/>
  <c r="U23" i="1"/>
  <c r="T23" i="1" s="1"/>
  <c r="S23" i="1" s="1"/>
  <c r="R23" i="1" s="1"/>
  <c r="U55" i="1"/>
  <c r="T55" i="1" s="1"/>
  <c r="S55" i="1" s="1"/>
  <c r="R55" i="1" s="1"/>
  <c r="U91" i="1"/>
  <c r="T91" i="1" s="1"/>
  <c r="S91" i="1" s="1"/>
  <c r="R91" i="1" s="1"/>
  <c r="U134" i="1"/>
  <c r="T134" i="1" s="1"/>
  <c r="S134" i="1" s="1"/>
  <c r="R134" i="1" s="1"/>
  <c r="U158" i="1"/>
  <c r="T158" i="1" s="1"/>
  <c r="S158" i="1" s="1"/>
  <c r="R158" i="1" s="1"/>
  <c r="U194" i="1"/>
  <c r="T194" i="1" s="1"/>
  <c r="S194" i="1" s="1"/>
  <c r="R194" i="1" s="1"/>
  <c r="U220" i="1"/>
  <c r="T220" i="1" s="1"/>
  <c r="S220" i="1" s="1"/>
  <c r="R220" i="1" s="1"/>
  <c r="AI127" i="1"/>
  <c r="AH127" i="1" s="1"/>
  <c r="AG127" i="1" s="1"/>
  <c r="AF127" i="1" s="1"/>
  <c r="AI205" i="1"/>
  <c r="AH205" i="1" s="1"/>
  <c r="AG205" i="1" s="1"/>
  <c r="AF205" i="1" s="1"/>
  <c r="AI247" i="1"/>
  <c r="AH247" i="1" s="1"/>
  <c r="AG247" i="1" s="1"/>
  <c r="AF247" i="1" s="1"/>
  <c r="AI364" i="1"/>
  <c r="AH364" i="1" s="1"/>
  <c r="AG364" i="1" s="1"/>
  <c r="AF364" i="1" s="1"/>
  <c r="AI224" i="1"/>
  <c r="AH224" i="1" s="1"/>
  <c r="AG224" i="1" s="1"/>
  <c r="AF224" i="1" s="1"/>
  <c r="U364" i="1"/>
  <c r="T364" i="1" s="1"/>
  <c r="S364" i="1" s="1"/>
  <c r="R364" i="1" s="1"/>
  <c r="U302" i="1"/>
  <c r="T302" i="1" s="1"/>
  <c r="S302" i="1" s="1"/>
  <c r="R302" i="1" s="1"/>
  <c r="U231" i="1"/>
  <c r="U266" i="1"/>
  <c r="T266" i="1" s="1"/>
  <c r="S266" i="1" s="1"/>
  <c r="R266" i="1" s="1"/>
  <c r="U66" i="1"/>
  <c r="T66" i="1" s="1"/>
  <c r="S66" i="1" s="1"/>
  <c r="R66" i="1" s="1"/>
  <c r="AI177" i="1"/>
  <c r="AH177" i="1" s="1"/>
  <c r="AG177" i="1" s="1"/>
  <c r="AF177" i="1" s="1"/>
  <c r="AI62" i="1"/>
  <c r="AH62" i="1" s="1"/>
  <c r="AG62" i="1" s="1"/>
  <c r="AF62" i="1" s="1"/>
  <c r="AI83" i="1"/>
  <c r="AH83" i="1" s="1"/>
  <c r="AG83" i="1" s="1"/>
  <c r="AF83" i="1" s="1"/>
  <c r="AI323" i="1"/>
  <c r="AH323" i="1" s="1"/>
  <c r="AG323" i="1" s="1"/>
  <c r="AF323" i="1" s="1"/>
  <c r="AI294" i="1"/>
  <c r="AH294" i="1" s="1"/>
  <c r="AG294" i="1" s="1"/>
  <c r="AF294" i="1" s="1"/>
  <c r="U356" i="1"/>
  <c r="T356" i="1" s="1"/>
  <c r="S356" i="1" s="1"/>
  <c r="R356" i="1" s="1"/>
  <c r="U297" i="1"/>
  <c r="T297" i="1" s="1"/>
  <c r="S297" i="1" s="1"/>
  <c r="R297" i="1" s="1"/>
  <c r="U224" i="1"/>
  <c r="T224" i="1" s="1"/>
  <c r="S224" i="1" s="1"/>
  <c r="R224" i="1" s="1"/>
  <c r="U248" i="1"/>
  <c r="T248" i="1" s="1"/>
  <c r="S248" i="1" s="1"/>
  <c r="R248" i="1" s="1"/>
  <c r="AI153" i="1"/>
  <c r="AH153" i="1" s="1"/>
  <c r="AG153" i="1" s="1"/>
  <c r="AF153" i="1" s="1"/>
  <c r="AI91" i="1"/>
  <c r="AH91" i="1" s="1"/>
  <c r="AG91" i="1" s="1"/>
  <c r="AF91" i="1" s="1"/>
  <c r="AI196" i="1"/>
  <c r="AH196" i="1" s="1"/>
  <c r="AG196" i="1" s="1"/>
  <c r="AF196" i="1" s="1"/>
  <c r="AI333" i="1"/>
  <c r="AH333" i="1" s="1"/>
  <c r="AG333" i="1" s="1"/>
  <c r="AF333" i="1" s="1"/>
  <c r="AI289" i="1"/>
  <c r="AI328" i="1"/>
  <c r="AH328" i="1" s="1"/>
  <c r="AG328" i="1" s="1"/>
  <c r="AF328" i="1" s="1"/>
  <c r="AI159" i="1"/>
  <c r="AH159" i="1" s="1"/>
  <c r="AG159" i="1" s="1"/>
  <c r="AF159" i="1" s="1"/>
  <c r="AI377" i="1"/>
  <c r="AH377" i="1" s="1"/>
  <c r="AG377" i="1" s="1"/>
  <c r="AF377" i="1" s="1"/>
  <c r="AI60" i="1"/>
  <c r="AH60" i="1" s="1"/>
  <c r="AG60" i="1" s="1"/>
  <c r="AF60" i="1" s="1"/>
  <c r="AI15" i="1"/>
  <c r="AH15" i="1" s="1"/>
  <c r="AG15" i="1" s="1"/>
  <c r="AF15" i="1" s="1"/>
  <c r="AI75" i="1"/>
  <c r="AH75" i="1" s="1"/>
  <c r="AG75" i="1" s="1"/>
  <c r="AF75" i="1" s="1"/>
  <c r="AI137" i="1"/>
  <c r="AH137" i="1" s="1"/>
  <c r="AG137" i="1" s="1"/>
  <c r="AF137" i="1" s="1"/>
  <c r="U342" i="1"/>
  <c r="T342" i="1" s="1"/>
  <c r="S342" i="1" s="1"/>
  <c r="R342" i="1" s="1"/>
  <c r="U310" i="1"/>
  <c r="T310" i="1" s="1"/>
  <c r="S310" i="1" s="1"/>
  <c r="R310" i="1" s="1"/>
  <c r="U281" i="1"/>
  <c r="T281" i="1" s="1"/>
  <c r="S281" i="1" s="1"/>
  <c r="R281" i="1" s="1"/>
  <c r="U242" i="1"/>
  <c r="T242" i="1" s="1"/>
  <c r="S242" i="1" s="1"/>
  <c r="R242" i="1" s="1"/>
  <c r="U370" i="1"/>
  <c r="T370" i="1" s="1"/>
  <c r="S370" i="1" s="1"/>
  <c r="R370" i="1" s="1"/>
  <c r="U303" i="1"/>
  <c r="T303" i="1" s="1"/>
  <c r="S303" i="1" s="1"/>
  <c r="R303" i="1" s="1"/>
  <c r="U192" i="1"/>
  <c r="T192" i="1" s="1"/>
  <c r="S192" i="1" s="1"/>
  <c r="R192" i="1" s="1"/>
  <c r="U146" i="1"/>
  <c r="T146" i="1" s="1"/>
  <c r="S146" i="1" s="1"/>
  <c r="R146" i="1" s="1"/>
  <c r="AI204" i="1"/>
  <c r="AH204" i="1" s="1"/>
  <c r="AG204" i="1" s="1"/>
  <c r="AF204" i="1" s="1"/>
  <c r="AI56" i="1"/>
  <c r="AH56" i="1" s="1"/>
  <c r="AG56" i="1" s="1"/>
  <c r="AF56" i="1" s="1"/>
  <c r="AI232" i="1"/>
  <c r="AH232" i="1" s="1"/>
  <c r="AG232" i="1" s="1"/>
  <c r="AF232" i="1" s="1"/>
  <c r="AI280" i="1"/>
  <c r="AH280" i="1" s="1"/>
  <c r="AG280" i="1" s="1"/>
  <c r="AF280" i="1" s="1"/>
  <c r="AI116" i="1"/>
  <c r="AH116" i="1" s="1"/>
  <c r="AG116" i="1" s="1"/>
  <c r="AF116" i="1" s="1"/>
  <c r="AI231" i="1"/>
  <c r="AH231" i="1" s="1"/>
  <c r="AG231" i="1" s="1"/>
  <c r="AF231" i="1" s="1"/>
  <c r="AI212" i="1"/>
  <c r="AH212" i="1" s="1"/>
  <c r="AG212" i="1" s="1"/>
  <c r="AF212" i="1" s="1"/>
  <c r="AI349" i="1"/>
  <c r="AI208" i="1"/>
  <c r="AH208" i="1" s="1"/>
  <c r="AG208" i="1" s="1"/>
  <c r="AF208" i="1" s="1"/>
  <c r="AI313" i="1"/>
  <c r="AH313" i="1" s="1"/>
  <c r="AG313" i="1" s="1"/>
  <c r="AF313" i="1" s="1"/>
  <c r="AI248" i="1"/>
  <c r="AH248" i="1" s="1"/>
  <c r="AG248" i="1" s="1"/>
  <c r="AF248" i="1" s="1"/>
  <c r="AI113" i="1"/>
  <c r="AH113" i="1" s="1"/>
  <c r="AG113" i="1" s="1"/>
  <c r="AF113" i="1" s="1"/>
  <c r="AI178" i="1"/>
  <c r="AH178" i="1" s="1"/>
  <c r="AG178" i="1" s="1"/>
  <c r="AF178" i="1" s="1"/>
  <c r="AI136" i="1"/>
  <c r="AH136" i="1" s="1"/>
  <c r="AG136" i="1" s="1"/>
  <c r="AF136" i="1" s="1"/>
  <c r="AI37" i="1"/>
  <c r="AH37" i="1" s="1"/>
  <c r="AG37" i="1" s="1"/>
  <c r="AF37" i="1" s="1"/>
  <c r="AI358" i="1"/>
  <c r="AH358" i="1" s="1"/>
  <c r="AG358" i="1" s="1"/>
  <c r="AF358" i="1" s="1"/>
  <c r="AI198" i="1"/>
  <c r="AH198" i="1" s="1"/>
  <c r="AG198" i="1" s="1"/>
  <c r="AF198" i="1" s="1"/>
  <c r="AI158" i="1"/>
  <c r="AH158" i="1" s="1"/>
  <c r="AG158" i="1" s="1"/>
  <c r="AF158" i="1" s="1"/>
  <c r="AI264" i="1"/>
  <c r="AI103" i="1"/>
  <c r="AH103" i="1" s="1"/>
  <c r="AG103" i="1" s="1"/>
  <c r="AF103" i="1" s="1"/>
  <c r="AI143" i="1"/>
  <c r="AH143" i="1" s="1"/>
  <c r="AG143" i="1" s="1"/>
  <c r="AF143" i="1" s="1"/>
  <c r="AI303" i="1"/>
  <c r="AH303" i="1" s="1"/>
  <c r="AG303" i="1" s="1"/>
  <c r="AF303" i="1" s="1"/>
  <c r="U374" i="1"/>
  <c r="T374" i="1" s="1"/>
  <c r="S374" i="1" s="1"/>
  <c r="R374" i="1" s="1"/>
  <c r="U360" i="1"/>
  <c r="T360" i="1" s="1"/>
  <c r="S360" i="1" s="1"/>
  <c r="R360" i="1" s="1"/>
  <c r="U339" i="1"/>
  <c r="T339" i="1" s="1"/>
  <c r="S339" i="1" s="1"/>
  <c r="R339" i="1" s="1"/>
  <c r="U324" i="1"/>
  <c r="T324" i="1" s="1"/>
  <c r="S324" i="1" s="1"/>
  <c r="R324" i="1" s="1"/>
  <c r="U309" i="1"/>
  <c r="T309" i="1" s="1"/>
  <c r="S309" i="1" s="1"/>
  <c r="R309" i="1" s="1"/>
  <c r="U298" i="1"/>
  <c r="T298" i="1" s="1"/>
  <c r="S298" i="1" s="1"/>
  <c r="R298" i="1" s="1"/>
  <c r="U280" i="1"/>
  <c r="T280" i="1" s="1"/>
  <c r="S280" i="1" s="1"/>
  <c r="R280" i="1" s="1"/>
  <c r="U261" i="1"/>
  <c r="T261" i="1" s="1"/>
  <c r="S261" i="1" s="1"/>
  <c r="R261" i="1" s="1"/>
  <c r="U241" i="1"/>
  <c r="T241" i="1" s="1"/>
  <c r="S241" i="1" s="1"/>
  <c r="R241" i="1" s="1"/>
  <c r="U227" i="1"/>
  <c r="T227" i="1" s="1"/>
  <c r="S227" i="1" s="1"/>
  <c r="R227" i="1" s="1"/>
  <c r="U366" i="1"/>
  <c r="T366" i="1" s="1"/>
  <c r="S366" i="1" s="1"/>
  <c r="R366" i="1" s="1"/>
  <c r="U335" i="1"/>
  <c r="T335" i="1" s="1"/>
  <c r="S335" i="1" s="1"/>
  <c r="R335" i="1" s="1"/>
  <c r="U294" i="1"/>
  <c r="T294" i="1" s="1"/>
  <c r="S294" i="1" s="1"/>
  <c r="R294" i="1" s="1"/>
  <c r="U251" i="1"/>
  <c r="T251" i="1" s="1"/>
  <c r="S251" i="1" s="1"/>
  <c r="R251" i="1" s="1"/>
  <c r="U169" i="1"/>
  <c r="T169" i="1" s="1"/>
  <c r="S169" i="1" s="1"/>
  <c r="R169" i="1" s="1"/>
  <c r="U43" i="1"/>
  <c r="T43" i="1" s="1"/>
  <c r="S43" i="1" s="1"/>
  <c r="R43" i="1" s="1"/>
  <c r="U130" i="1"/>
  <c r="T130" i="1" s="1"/>
  <c r="S130" i="1" s="1"/>
  <c r="R130" i="1" s="1"/>
  <c r="AI314" i="1"/>
  <c r="AH314" i="1" s="1"/>
  <c r="AG314" i="1" s="1"/>
  <c r="AF314" i="1" s="1"/>
  <c r="AH226" i="1"/>
  <c r="AG226" i="1" s="1"/>
  <c r="AF226" i="1" s="1"/>
  <c r="T231" i="1"/>
  <c r="S231" i="1" s="1"/>
  <c r="R231" i="1" s="1"/>
  <c r="AH289" i="1"/>
  <c r="AG289" i="1" s="1"/>
  <c r="AF289" i="1" s="1"/>
  <c r="T228" i="1"/>
  <c r="S228" i="1" s="1"/>
  <c r="R228" i="1" s="1"/>
  <c r="AH349" i="1"/>
  <c r="AG349" i="1" s="1"/>
  <c r="AF349" i="1" s="1"/>
  <c r="AH264" i="1"/>
  <c r="AG264" i="1" s="1"/>
  <c r="AF264" i="1" s="1"/>
  <c r="P11" i="17"/>
  <c r="T15" i="7"/>
  <c r="U11" i="7"/>
  <c r="AA11" i="7" s="1"/>
  <c r="Q381" i="1"/>
  <c r="BH138" i="6"/>
  <c r="BH228" i="6"/>
  <c r="BH276" i="6"/>
  <c r="BH71" i="6"/>
  <c r="BH107" i="6"/>
  <c r="BH132" i="6"/>
  <c r="BH104" i="6"/>
  <c r="BH130" i="6"/>
  <c r="BH234" i="6"/>
  <c r="BH339" i="6"/>
  <c r="BH260" i="6"/>
  <c r="BH298" i="6"/>
  <c r="BH119" i="6"/>
  <c r="BH320" i="6"/>
  <c r="BH337" i="6"/>
  <c r="BH24" i="6"/>
  <c r="BH30" i="6"/>
  <c r="BH265" i="6"/>
  <c r="BH271" i="6"/>
  <c r="BH19" i="6"/>
  <c r="BH217" i="6"/>
  <c r="BH354" i="6"/>
  <c r="BH167" i="6"/>
  <c r="BH17" i="6"/>
  <c r="BH266" i="6"/>
  <c r="BH48" i="6"/>
  <c r="BH322" i="6"/>
  <c r="BH177" i="6"/>
  <c r="BH286" i="6"/>
  <c r="BH253" i="6"/>
  <c r="BH196" i="6"/>
  <c r="BH308" i="6"/>
  <c r="BH208" i="6"/>
  <c r="BH51" i="6"/>
  <c r="BH16" i="6"/>
  <c r="BH321" i="6"/>
  <c r="BH336" i="6"/>
  <c r="BH341" i="6"/>
  <c r="BH131" i="6"/>
  <c r="BH97" i="6"/>
  <c r="BH126" i="6"/>
  <c r="BH254" i="6"/>
  <c r="BH280" i="6"/>
  <c r="BH239" i="6"/>
  <c r="BH36" i="6"/>
  <c r="AD36" i="1" s="1"/>
  <c r="BH300" i="6"/>
  <c r="BH74" i="6"/>
  <c r="BH94" i="6"/>
  <c r="BH135" i="6"/>
  <c r="BH191" i="6"/>
  <c r="BH175" i="6"/>
  <c r="BH345" i="6"/>
  <c r="BH121" i="6"/>
  <c r="BH95" i="6"/>
  <c r="BH302" i="6"/>
  <c r="BH287" i="6"/>
  <c r="BH114" i="6"/>
  <c r="BH67" i="6"/>
  <c r="BH313" i="6"/>
  <c r="BH40" i="6"/>
  <c r="BH54" i="6"/>
  <c r="BH122" i="6"/>
  <c r="BH171" i="6"/>
  <c r="BH277" i="6"/>
  <c r="BH75" i="6"/>
  <c r="BH184" i="6"/>
  <c r="BH230" i="6"/>
  <c r="BH356" i="6"/>
  <c r="BH102" i="6"/>
  <c r="BH120" i="6"/>
  <c r="BH318" i="6"/>
  <c r="BH89" i="6"/>
  <c r="BH86" i="6"/>
  <c r="BH195" i="6"/>
  <c r="BH98" i="6"/>
  <c r="BH209" i="6"/>
  <c r="BH307" i="6"/>
  <c r="BH156" i="6"/>
  <c r="BH207" i="6"/>
  <c r="BH202" i="6"/>
  <c r="BH327" i="6"/>
  <c r="BH144" i="6"/>
  <c r="BH368" i="6"/>
  <c r="BH150" i="6"/>
  <c r="BH181" i="6"/>
  <c r="BH278" i="6"/>
  <c r="BH190" i="6"/>
  <c r="BH129" i="6"/>
  <c r="BH52" i="6"/>
  <c r="BH349" i="6"/>
  <c r="BH310" i="6"/>
  <c r="BH289" i="6"/>
  <c r="BH106" i="6"/>
  <c r="BH151" i="6"/>
  <c r="BH225" i="6"/>
  <c r="BH113" i="6"/>
  <c r="BH28" i="6"/>
  <c r="BH116" i="6"/>
  <c r="BH319" i="6"/>
  <c r="BH108" i="6"/>
  <c r="BH141" i="6"/>
  <c r="BH145" i="6"/>
  <c r="BH56" i="6"/>
  <c r="BH347" i="6"/>
  <c r="BH233" i="6"/>
  <c r="BH147" i="6"/>
  <c r="BH279" i="6"/>
  <c r="BH317" i="6"/>
  <c r="BH263" i="6"/>
  <c r="BH274" i="6"/>
  <c r="BH199" i="6"/>
  <c r="BH170" i="6"/>
  <c r="BH148" i="6"/>
  <c r="BH273" i="6"/>
  <c r="BH164" i="6"/>
  <c r="BH204" i="6"/>
  <c r="BH288" i="6"/>
  <c r="BH124" i="6"/>
  <c r="BH219" i="6"/>
  <c r="BH45" i="6"/>
  <c r="BH165" i="6"/>
  <c r="BH73" i="6"/>
  <c r="BH29" i="6"/>
  <c r="BH215" i="6"/>
  <c r="BH20" i="6"/>
  <c r="BH330" i="6"/>
  <c r="BH360" i="6"/>
  <c r="BH290" i="6"/>
  <c r="BH284" i="6"/>
  <c r="BH303" i="6"/>
  <c r="BH334" i="6"/>
  <c r="BH218" i="6"/>
  <c r="BH295" i="6"/>
  <c r="BH85" i="6"/>
  <c r="BH246" i="6"/>
  <c r="BH31" i="6"/>
  <c r="BH81" i="6"/>
  <c r="BH262" i="6"/>
  <c r="BH92" i="6"/>
  <c r="BH216" i="6"/>
  <c r="BH311" i="6"/>
  <c r="BH304" i="6"/>
  <c r="BH333" i="6"/>
  <c r="BH41" i="6"/>
  <c r="BH291" i="6"/>
  <c r="BH297" i="6"/>
  <c r="BH372" i="6"/>
  <c r="BH238" i="6"/>
  <c r="BH237" i="6"/>
  <c r="BH285" i="6"/>
  <c r="BH157" i="6"/>
  <c r="BH161" i="6"/>
  <c r="BH250" i="6"/>
  <c r="BH226" i="6"/>
  <c r="BH364" i="6"/>
  <c r="BH25" i="6"/>
  <c r="BH312" i="6"/>
  <c r="BH84" i="6"/>
  <c r="BH183" i="6"/>
  <c r="BH65" i="6"/>
  <c r="BH242" i="6"/>
  <c r="BH38" i="6"/>
  <c r="BH206" i="6"/>
  <c r="BH96" i="6"/>
  <c r="BH213" i="6"/>
  <c r="BH62" i="6"/>
  <c r="BH117" i="6"/>
  <c r="BH200" i="6"/>
  <c r="BH93" i="6"/>
  <c r="BH363" i="6"/>
  <c r="BH64" i="6"/>
  <c r="BH82" i="6"/>
  <c r="BH292" i="6"/>
  <c r="BH342" i="6"/>
  <c r="BH68" i="6"/>
  <c r="BH259" i="6"/>
  <c r="BH186" i="6"/>
  <c r="BH136" i="6"/>
  <c r="BH182" i="6"/>
  <c r="BH283" i="6"/>
  <c r="BH346" i="6"/>
  <c r="BH227" i="6"/>
  <c r="BM16" i="7"/>
  <c r="E16" i="7"/>
  <c r="BY16" i="7"/>
  <c r="BS16" i="7"/>
  <c r="AI230" i="1"/>
  <c r="AI126" i="1"/>
  <c r="AH126" i="1" s="1"/>
  <c r="AG126" i="1" s="1"/>
  <c r="AF126" i="1" s="1"/>
  <c r="AI98" i="1"/>
  <c r="AH98" i="1" s="1"/>
  <c r="AG98" i="1" s="1"/>
  <c r="AF98" i="1" s="1"/>
  <c r="AI241" i="1"/>
  <c r="AI219" i="1"/>
  <c r="AH219" i="1" s="1"/>
  <c r="AG219" i="1" s="1"/>
  <c r="AF219" i="1" s="1"/>
  <c r="AI131" i="1"/>
  <c r="AH131" i="1" s="1"/>
  <c r="AG131" i="1" s="1"/>
  <c r="AF131" i="1" s="1"/>
  <c r="AI367" i="1"/>
  <c r="AI155" i="1"/>
  <c r="AH155" i="1" s="1"/>
  <c r="AG155" i="1" s="1"/>
  <c r="AF155" i="1" s="1"/>
  <c r="AI249" i="1"/>
  <c r="AH249" i="1" s="1"/>
  <c r="AG249" i="1" s="1"/>
  <c r="AF249" i="1" s="1"/>
  <c r="AI53" i="1"/>
  <c r="AH53" i="1" s="1"/>
  <c r="AG53" i="1" s="1"/>
  <c r="AF53" i="1" s="1"/>
  <c r="AI361" i="1"/>
  <c r="AH361" i="1" s="1"/>
  <c r="AG361" i="1" s="1"/>
  <c r="AF361" i="1" s="1"/>
  <c r="AI320" i="1"/>
  <c r="AI216" i="1"/>
  <c r="U29" i="1"/>
  <c r="T29" i="1" s="1"/>
  <c r="S29" i="1" s="1"/>
  <c r="R29" i="1" s="1"/>
  <c r="U39" i="1"/>
  <c r="T39" i="1" s="1"/>
  <c r="S39" i="1" s="1"/>
  <c r="R39" i="1" s="1"/>
  <c r="U62" i="1"/>
  <c r="T62" i="1" s="1"/>
  <c r="S62" i="1" s="1"/>
  <c r="R62" i="1" s="1"/>
  <c r="U73" i="1"/>
  <c r="T73" i="1" s="1"/>
  <c r="S73" i="1" s="1"/>
  <c r="R73" i="1" s="1"/>
  <c r="U86" i="1"/>
  <c r="T86" i="1" s="1"/>
  <c r="S86" i="1" s="1"/>
  <c r="R86" i="1" s="1"/>
  <c r="U104" i="1"/>
  <c r="T104" i="1" s="1"/>
  <c r="S104" i="1" s="1"/>
  <c r="R104" i="1" s="1"/>
  <c r="U116" i="1"/>
  <c r="T116" i="1" s="1"/>
  <c r="S116" i="1" s="1"/>
  <c r="R116" i="1" s="1"/>
  <c r="U127" i="1"/>
  <c r="T127" i="1" s="1"/>
  <c r="S127" i="1" s="1"/>
  <c r="R127" i="1" s="1"/>
  <c r="U140" i="1"/>
  <c r="T140" i="1" s="1"/>
  <c r="S140" i="1" s="1"/>
  <c r="R140" i="1" s="1"/>
  <c r="U168" i="1"/>
  <c r="T168" i="1" s="1"/>
  <c r="S168" i="1" s="1"/>
  <c r="R168" i="1" s="1"/>
  <c r="U180" i="1"/>
  <c r="T180" i="1" s="1"/>
  <c r="S180" i="1" s="1"/>
  <c r="R180" i="1" s="1"/>
  <c r="U193" i="1"/>
  <c r="T193" i="1" s="1"/>
  <c r="S193" i="1" s="1"/>
  <c r="R193" i="1" s="1"/>
  <c r="U217" i="1"/>
  <c r="T217" i="1" s="1"/>
  <c r="S217" i="1" s="1"/>
  <c r="R217" i="1" s="1"/>
  <c r="AI47" i="1"/>
  <c r="AH47" i="1" s="1"/>
  <c r="AG47" i="1" s="1"/>
  <c r="AF47" i="1" s="1"/>
  <c r="U18" i="1"/>
  <c r="T18" i="1" s="1"/>
  <c r="S18" i="1" s="1"/>
  <c r="R18" i="1" s="1"/>
  <c r="U36" i="1"/>
  <c r="T36" i="1" s="1"/>
  <c r="S36" i="1" s="1"/>
  <c r="R36" i="1" s="1"/>
  <c r="U50" i="1"/>
  <c r="T50" i="1" s="1"/>
  <c r="S50" i="1" s="1"/>
  <c r="R50" i="1" s="1"/>
  <c r="U63" i="1"/>
  <c r="T63" i="1" s="1"/>
  <c r="S63" i="1" s="1"/>
  <c r="R63" i="1" s="1"/>
  <c r="U87" i="1"/>
  <c r="T87" i="1" s="1"/>
  <c r="S87" i="1" s="1"/>
  <c r="R87" i="1" s="1"/>
  <c r="U98" i="1"/>
  <c r="T98" i="1" s="1"/>
  <c r="S98" i="1" s="1"/>
  <c r="R98" i="1" s="1"/>
  <c r="U125" i="1"/>
  <c r="T125" i="1" s="1"/>
  <c r="S125" i="1" s="1"/>
  <c r="R125" i="1" s="1"/>
  <c r="U143" i="1"/>
  <c r="T143" i="1" s="1"/>
  <c r="S143" i="1" s="1"/>
  <c r="R143" i="1" s="1"/>
  <c r="U155" i="1"/>
  <c r="T155" i="1" s="1"/>
  <c r="S155" i="1" s="1"/>
  <c r="R155" i="1" s="1"/>
  <c r="U164" i="1"/>
  <c r="T164" i="1" s="1"/>
  <c r="S164" i="1" s="1"/>
  <c r="R164" i="1" s="1"/>
  <c r="U188" i="1"/>
  <c r="T188" i="1" s="1"/>
  <c r="S188" i="1" s="1"/>
  <c r="R188" i="1" s="1"/>
  <c r="U200" i="1"/>
  <c r="T200" i="1" s="1"/>
  <c r="S200" i="1" s="1"/>
  <c r="R200" i="1" s="1"/>
  <c r="U213" i="1"/>
  <c r="T213" i="1" s="1"/>
  <c r="S213" i="1" s="1"/>
  <c r="R213" i="1" s="1"/>
  <c r="U225" i="1"/>
  <c r="T225" i="1" s="1"/>
  <c r="S225" i="1" s="1"/>
  <c r="R225" i="1" s="1"/>
  <c r="U238" i="1"/>
  <c r="T238" i="1" s="1"/>
  <c r="S238" i="1" s="1"/>
  <c r="R238" i="1" s="1"/>
  <c r="AI173" i="1"/>
  <c r="AH173" i="1" s="1"/>
  <c r="AG173" i="1" s="1"/>
  <c r="AF173" i="1" s="1"/>
  <c r="AI352" i="1"/>
  <c r="AH352" i="1" s="1"/>
  <c r="AG352" i="1" s="1"/>
  <c r="AF352" i="1" s="1"/>
  <c r="AI338" i="1"/>
  <c r="AI32" i="1"/>
  <c r="AH32" i="1" s="1"/>
  <c r="AG32" i="1" s="1"/>
  <c r="AF32" i="1" s="1"/>
  <c r="AI321" i="1"/>
  <c r="AH321" i="1" s="1"/>
  <c r="AG321" i="1" s="1"/>
  <c r="AF321" i="1" s="1"/>
  <c r="AI197" i="1"/>
  <c r="AH197" i="1" s="1"/>
  <c r="AG197" i="1" s="1"/>
  <c r="AF197" i="1" s="1"/>
  <c r="U26" i="1"/>
  <c r="T26" i="1" s="1"/>
  <c r="S26" i="1" s="1"/>
  <c r="R26" i="1" s="1"/>
  <c r="U57" i="1"/>
  <c r="T57" i="1" s="1"/>
  <c r="S57" i="1" s="1"/>
  <c r="R57" i="1" s="1"/>
  <c r="U82" i="1"/>
  <c r="T82" i="1" s="1"/>
  <c r="S82" i="1" s="1"/>
  <c r="R82" i="1" s="1"/>
  <c r="U114" i="1"/>
  <c r="T114" i="1" s="1"/>
  <c r="S114" i="1" s="1"/>
  <c r="R114" i="1" s="1"/>
  <c r="U137" i="1"/>
  <c r="T137" i="1" s="1"/>
  <c r="S137" i="1" s="1"/>
  <c r="R137" i="1" s="1"/>
  <c r="U178" i="1"/>
  <c r="T178" i="1" s="1"/>
  <c r="S178" i="1" s="1"/>
  <c r="R178" i="1" s="1"/>
  <c r="U212" i="1"/>
  <c r="T212" i="1" s="1"/>
  <c r="S212" i="1" s="1"/>
  <c r="R212" i="1" s="1"/>
  <c r="AI191" i="1"/>
  <c r="AH191" i="1" s="1"/>
  <c r="AG191" i="1" s="1"/>
  <c r="AF191" i="1" s="1"/>
  <c r="U48" i="1"/>
  <c r="T48" i="1" s="1"/>
  <c r="S48" i="1" s="1"/>
  <c r="R48" i="1" s="1"/>
  <c r="U83" i="1"/>
  <c r="T83" i="1" s="1"/>
  <c r="S83" i="1" s="1"/>
  <c r="R83" i="1" s="1"/>
  <c r="U121" i="1"/>
  <c r="T121" i="1" s="1"/>
  <c r="S121" i="1" s="1"/>
  <c r="R121" i="1" s="1"/>
  <c r="U153" i="1"/>
  <c r="T153" i="1" s="1"/>
  <c r="S153" i="1" s="1"/>
  <c r="R153" i="1" s="1"/>
  <c r="U184" i="1"/>
  <c r="T184" i="1" s="1"/>
  <c r="S184" i="1" s="1"/>
  <c r="R184" i="1" s="1"/>
  <c r="U208" i="1"/>
  <c r="T208" i="1" s="1"/>
  <c r="S208" i="1" s="1"/>
  <c r="R208" i="1" s="1"/>
  <c r="U235" i="1"/>
  <c r="T235" i="1" s="1"/>
  <c r="S235" i="1" s="1"/>
  <c r="R235" i="1" s="1"/>
  <c r="U247" i="1"/>
  <c r="T247" i="1" s="1"/>
  <c r="S247" i="1" s="1"/>
  <c r="R247" i="1" s="1"/>
  <c r="U253" i="1"/>
  <c r="T253" i="1" s="1"/>
  <c r="S253" i="1" s="1"/>
  <c r="R253" i="1" s="1"/>
  <c r="U258" i="1"/>
  <c r="T258" i="1" s="1"/>
  <c r="S258" i="1" s="1"/>
  <c r="R258" i="1" s="1"/>
  <c r="U260" i="1"/>
  <c r="T260" i="1" s="1"/>
  <c r="S260" i="1" s="1"/>
  <c r="R260" i="1" s="1"/>
  <c r="U267" i="1"/>
  <c r="T267" i="1" s="1"/>
  <c r="S267" i="1" s="1"/>
  <c r="R267" i="1" s="1"/>
  <c r="U272" i="1"/>
  <c r="T272" i="1" s="1"/>
  <c r="S272" i="1" s="1"/>
  <c r="R272" i="1" s="1"/>
  <c r="U278" i="1"/>
  <c r="T278" i="1" s="1"/>
  <c r="S278" i="1" s="1"/>
  <c r="R278" i="1" s="1"/>
  <c r="U286" i="1"/>
  <c r="T286" i="1" s="1"/>
  <c r="S286" i="1" s="1"/>
  <c r="R286" i="1" s="1"/>
  <c r="U291" i="1"/>
  <c r="T291" i="1" s="1"/>
  <c r="S291" i="1" s="1"/>
  <c r="R291" i="1" s="1"/>
  <c r="U293" i="1"/>
  <c r="T293" i="1" s="1"/>
  <c r="S293" i="1" s="1"/>
  <c r="R293" i="1" s="1"/>
  <c r="U296" i="1"/>
  <c r="T296" i="1" s="1"/>
  <c r="S296" i="1" s="1"/>
  <c r="R296" i="1" s="1"/>
  <c r="U306" i="1"/>
  <c r="T306" i="1" s="1"/>
  <c r="S306" i="1" s="1"/>
  <c r="R306" i="1" s="1"/>
  <c r="U317" i="1"/>
  <c r="T317" i="1" s="1"/>
  <c r="S317" i="1" s="1"/>
  <c r="R317" i="1" s="1"/>
  <c r="U325" i="1"/>
  <c r="T325" i="1" s="1"/>
  <c r="S325" i="1" s="1"/>
  <c r="R325" i="1" s="1"/>
  <c r="U333" i="1"/>
  <c r="T333" i="1" s="1"/>
  <c r="S333" i="1" s="1"/>
  <c r="R333" i="1" s="1"/>
  <c r="U341" i="1"/>
  <c r="T341" i="1" s="1"/>
  <c r="S341" i="1" s="1"/>
  <c r="R341" i="1" s="1"/>
  <c r="U349" i="1"/>
  <c r="T349" i="1" s="1"/>
  <c r="S349" i="1" s="1"/>
  <c r="R349" i="1" s="1"/>
  <c r="U355" i="1"/>
  <c r="T355" i="1" s="1"/>
  <c r="S355" i="1" s="1"/>
  <c r="R355" i="1" s="1"/>
  <c r="U362" i="1"/>
  <c r="T362" i="1" s="1"/>
  <c r="S362" i="1" s="1"/>
  <c r="R362" i="1" s="1"/>
  <c r="U371" i="1"/>
  <c r="T371" i="1" s="1"/>
  <c r="S371" i="1" s="1"/>
  <c r="R371" i="1" s="1"/>
  <c r="U377" i="1"/>
  <c r="AI141" i="1"/>
  <c r="AH141" i="1" s="1"/>
  <c r="AG141" i="1" s="1"/>
  <c r="AF141" i="1" s="1"/>
  <c r="AI315" i="1"/>
  <c r="AH315" i="1" s="1"/>
  <c r="AG315" i="1" s="1"/>
  <c r="AF315" i="1" s="1"/>
  <c r="AI234" i="1"/>
  <c r="AI170" i="1"/>
  <c r="AH170" i="1" s="1"/>
  <c r="AG170" i="1" s="1"/>
  <c r="AF170" i="1" s="1"/>
  <c r="AI210" i="1"/>
  <c r="AH210" i="1" s="1"/>
  <c r="AG210" i="1" s="1"/>
  <c r="AF210" i="1" s="1"/>
  <c r="AI356" i="1"/>
  <c r="AH356" i="1" s="1"/>
  <c r="AG356" i="1" s="1"/>
  <c r="AF356" i="1" s="1"/>
  <c r="AI302" i="1"/>
  <c r="AI266" i="1"/>
  <c r="AH266" i="1" s="1"/>
  <c r="AG266" i="1" s="1"/>
  <c r="AF266" i="1" s="1"/>
  <c r="AI354" i="1"/>
  <c r="AI102" i="1"/>
  <c r="AH102" i="1" s="1"/>
  <c r="AG102" i="1" s="1"/>
  <c r="AF102" i="1" s="1"/>
  <c r="AI23" i="1"/>
  <c r="AH23" i="1" s="1"/>
  <c r="AG23" i="1" s="1"/>
  <c r="AF23" i="1" s="1"/>
  <c r="AI379" i="1"/>
  <c r="AI166" i="1"/>
  <c r="AH166" i="1" s="1"/>
  <c r="AG166" i="1" s="1"/>
  <c r="AF166" i="1" s="1"/>
  <c r="AI251" i="1"/>
  <c r="AI117" i="1"/>
  <c r="AH117" i="1" s="1"/>
  <c r="AG117" i="1" s="1"/>
  <c r="AF117" i="1" s="1"/>
  <c r="AI185" i="1"/>
  <c r="AH185" i="1" s="1"/>
  <c r="AG185" i="1" s="1"/>
  <c r="AF185" i="1" s="1"/>
  <c r="AI227" i="1"/>
  <c r="AH227" i="1" s="1"/>
  <c r="AG227" i="1" s="1"/>
  <c r="AF227" i="1" s="1"/>
  <c r="AI362" i="1"/>
  <c r="AI330" i="1"/>
  <c r="AH330" i="1" s="1"/>
  <c r="AG330" i="1" s="1"/>
  <c r="AF330" i="1" s="1"/>
  <c r="AI135" i="1"/>
  <c r="AH135" i="1" s="1"/>
  <c r="AG135" i="1" s="1"/>
  <c r="AF135" i="1" s="1"/>
  <c r="AI343" i="1"/>
  <c r="AI260" i="1"/>
  <c r="AH260" i="1" s="1"/>
  <c r="AG260" i="1" s="1"/>
  <c r="AF260" i="1" s="1"/>
  <c r="AI263" i="1"/>
  <c r="AI45" i="1"/>
  <c r="AH45" i="1" s="1"/>
  <c r="AG45" i="1" s="1"/>
  <c r="AF45" i="1" s="1"/>
  <c r="AI347" i="1"/>
  <c r="AI233" i="1"/>
  <c r="AI368" i="1"/>
  <c r="AI281" i="1"/>
  <c r="AH281" i="1" s="1"/>
  <c r="AG281" i="1" s="1"/>
  <c r="AF281" i="1" s="1"/>
  <c r="AI287" i="1"/>
  <c r="AH287" i="1" s="1"/>
  <c r="AG287" i="1" s="1"/>
  <c r="AF287" i="1" s="1"/>
  <c r="AI146" i="1"/>
  <c r="AH146" i="1" s="1"/>
  <c r="AG146" i="1" s="1"/>
  <c r="AF146" i="1" s="1"/>
  <c r="AI59" i="1"/>
  <c r="AH59" i="1" s="1"/>
  <c r="AG59" i="1" s="1"/>
  <c r="AF59" i="1" s="1"/>
  <c r="AI376" i="1"/>
  <c r="AH376" i="1" s="1"/>
  <c r="AG376" i="1" s="1"/>
  <c r="AF376" i="1" s="1"/>
  <c r="AI181" i="1"/>
  <c r="AH181" i="1" s="1"/>
  <c r="AG181" i="1" s="1"/>
  <c r="AF181" i="1" s="1"/>
  <c r="AI300" i="1"/>
  <c r="AH300" i="1" s="1"/>
  <c r="AG300" i="1" s="1"/>
  <c r="AF300" i="1" s="1"/>
  <c r="AI211" i="1"/>
  <c r="AH211" i="1" s="1"/>
  <c r="AG211" i="1" s="1"/>
  <c r="AF211" i="1" s="1"/>
  <c r="AI255" i="1"/>
  <c r="AH255" i="1" s="1"/>
  <c r="AG255" i="1" s="1"/>
  <c r="AF255" i="1" s="1"/>
  <c r="AI167" i="1"/>
  <c r="AH167" i="1" s="1"/>
  <c r="AG167" i="1" s="1"/>
  <c r="AF167" i="1" s="1"/>
  <c r="AI67" i="1"/>
  <c r="AH67" i="1" s="1"/>
  <c r="AG67" i="1" s="1"/>
  <c r="AF67" i="1" s="1"/>
  <c r="AI149" i="1"/>
  <c r="AH149" i="1" s="1"/>
  <c r="AG149" i="1" s="1"/>
  <c r="AF149" i="1" s="1"/>
  <c r="AI188" i="1"/>
  <c r="AH188" i="1" s="1"/>
  <c r="AG188" i="1" s="1"/>
  <c r="AF188" i="1" s="1"/>
  <c r="AI252" i="1"/>
  <c r="AH252" i="1" s="1"/>
  <c r="AG252" i="1" s="1"/>
  <c r="AF252" i="1" s="1"/>
  <c r="AI296" i="1"/>
  <c r="AH296" i="1" s="1"/>
  <c r="AG296" i="1" s="1"/>
  <c r="AF296" i="1" s="1"/>
  <c r="AI337" i="1"/>
  <c r="AH337" i="1" s="1"/>
  <c r="AG337" i="1" s="1"/>
  <c r="AF337" i="1" s="1"/>
  <c r="AI28" i="1"/>
  <c r="AH28" i="1" s="1"/>
  <c r="AG28" i="1" s="1"/>
  <c r="AF28" i="1" s="1"/>
  <c r="AI240" i="1"/>
  <c r="AI86" i="1"/>
  <c r="AH86" i="1" s="1"/>
  <c r="AG86" i="1" s="1"/>
  <c r="AF86" i="1" s="1"/>
  <c r="AI272" i="1"/>
  <c r="AH272" i="1" s="1"/>
  <c r="AG272" i="1" s="1"/>
  <c r="AF272" i="1" s="1"/>
  <c r="AI282" i="1"/>
  <c r="AI374" i="1"/>
  <c r="AH374" i="1" s="1"/>
  <c r="AG374" i="1" s="1"/>
  <c r="AF374" i="1" s="1"/>
  <c r="AI369" i="1"/>
  <c r="AH369" i="1" s="1"/>
  <c r="AG369" i="1" s="1"/>
  <c r="AF369" i="1" s="1"/>
  <c r="AI118" i="1"/>
  <c r="AH118" i="1" s="1"/>
  <c r="AG118" i="1" s="1"/>
  <c r="AF118" i="1" s="1"/>
  <c r="AI301" i="1"/>
  <c r="AI239" i="1"/>
  <c r="AH239" i="1" s="1"/>
  <c r="AG239" i="1" s="1"/>
  <c r="AF239" i="1" s="1"/>
  <c r="AI99" i="1"/>
  <c r="AH99" i="1" s="1"/>
  <c r="AG99" i="1" s="1"/>
  <c r="AF99" i="1" s="1"/>
  <c r="AI87" i="1"/>
  <c r="AH87" i="1" s="1"/>
  <c r="AG87" i="1" s="1"/>
  <c r="AF87" i="1" s="1"/>
  <c r="AI261" i="1"/>
  <c r="AH261" i="1" s="1"/>
  <c r="AG261" i="1" s="1"/>
  <c r="AF261" i="1" s="1"/>
  <c r="AI130" i="1"/>
  <c r="AH130" i="1" s="1"/>
  <c r="AG130" i="1" s="1"/>
  <c r="AF130" i="1" s="1"/>
  <c r="AI176" i="1"/>
  <c r="AH176" i="1" s="1"/>
  <c r="AG176" i="1" s="1"/>
  <c r="AF176" i="1" s="1"/>
  <c r="AI311" i="1"/>
  <c r="AH311" i="1" s="1"/>
  <c r="AG311" i="1" s="1"/>
  <c r="AF311" i="1" s="1"/>
  <c r="AI373" i="1"/>
  <c r="AI308" i="1"/>
  <c r="AI344" i="1"/>
  <c r="AI218" i="1"/>
  <c r="AH218" i="1" s="1"/>
  <c r="AG218" i="1" s="1"/>
  <c r="AF218" i="1" s="1"/>
  <c r="AI108" i="1"/>
  <c r="AH108" i="1" s="1"/>
  <c r="AG108" i="1" s="1"/>
  <c r="AF108" i="1" s="1"/>
  <c r="AI237" i="1"/>
  <c r="AH237" i="1" s="1"/>
  <c r="AG237" i="1" s="1"/>
  <c r="AF237" i="1" s="1"/>
  <c r="AI242" i="1"/>
  <c r="U15" i="1"/>
  <c r="U30" i="1"/>
  <c r="T30" i="1" s="1"/>
  <c r="S30" i="1" s="1"/>
  <c r="R30" i="1" s="1"/>
  <c r="U35" i="1"/>
  <c r="T35" i="1" s="1"/>
  <c r="S35" i="1" s="1"/>
  <c r="R35" i="1" s="1"/>
  <c r="U40" i="1"/>
  <c r="T40" i="1" s="1"/>
  <c r="S40" i="1" s="1"/>
  <c r="R40" i="1" s="1"/>
  <c r="U54" i="1"/>
  <c r="T54" i="1" s="1"/>
  <c r="S54" i="1" s="1"/>
  <c r="R54" i="1" s="1"/>
  <c r="U65" i="1"/>
  <c r="T65" i="1" s="1"/>
  <c r="S65" i="1" s="1"/>
  <c r="R65" i="1" s="1"/>
  <c r="U70" i="1"/>
  <c r="T70" i="1" s="1"/>
  <c r="S70" i="1" s="1"/>
  <c r="R70" i="1" s="1"/>
  <c r="U75" i="1"/>
  <c r="T75" i="1" s="1"/>
  <c r="S75" i="1" s="1"/>
  <c r="R75" i="1" s="1"/>
  <c r="U81" i="1"/>
  <c r="T81" i="1" s="1"/>
  <c r="S81" i="1" s="1"/>
  <c r="R81" i="1" s="1"/>
  <c r="U88" i="1"/>
  <c r="T88" i="1" s="1"/>
  <c r="S88" i="1" s="1"/>
  <c r="R88" i="1" s="1"/>
  <c r="U100" i="1"/>
  <c r="T100" i="1" s="1"/>
  <c r="S100" i="1" s="1"/>
  <c r="R100" i="1" s="1"/>
  <c r="U106" i="1"/>
  <c r="T106" i="1" s="1"/>
  <c r="S106" i="1" s="1"/>
  <c r="R106" i="1" s="1"/>
  <c r="U113" i="1"/>
  <c r="T113" i="1" s="1"/>
  <c r="S113" i="1" s="1"/>
  <c r="R113" i="1" s="1"/>
  <c r="U117" i="1"/>
  <c r="T117" i="1" s="1"/>
  <c r="S117" i="1" s="1"/>
  <c r="R117" i="1" s="1"/>
  <c r="U122" i="1"/>
  <c r="T122" i="1" s="1"/>
  <c r="S122" i="1" s="1"/>
  <c r="R122" i="1" s="1"/>
  <c r="U129" i="1"/>
  <c r="T129" i="1" s="1"/>
  <c r="S129" i="1" s="1"/>
  <c r="R129" i="1" s="1"/>
  <c r="U135" i="1"/>
  <c r="T135" i="1" s="1"/>
  <c r="S135" i="1" s="1"/>
  <c r="R135" i="1" s="1"/>
  <c r="U145" i="1"/>
  <c r="T145" i="1" s="1"/>
  <c r="S145" i="1" s="1"/>
  <c r="R145" i="1" s="1"/>
  <c r="U161" i="1"/>
  <c r="T161" i="1" s="1"/>
  <c r="S161" i="1" s="1"/>
  <c r="R161" i="1" s="1"/>
  <c r="U170" i="1"/>
  <c r="T170" i="1" s="1"/>
  <c r="S170" i="1" s="1"/>
  <c r="R170" i="1" s="1"/>
  <c r="U177" i="1"/>
  <c r="T177" i="1" s="1"/>
  <c r="S177" i="1" s="1"/>
  <c r="R177" i="1" s="1"/>
  <c r="U181" i="1"/>
  <c r="T181" i="1" s="1"/>
  <c r="S181" i="1" s="1"/>
  <c r="R181" i="1" s="1"/>
  <c r="U186" i="1"/>
  <c r="T186" i="1" s="1"/>
  <c r="S186" i="1" s="1"/>
  <c r="R186" i="1" s="1"/>
  <c r="U196" i="1"/>
  <c r="T196" i="1" s="1"/>
  <c r="S196" i="1" s="1"/>
  <c r="R196" i="1" s="1"/>
  <c r="U211" i="1"/>
  <c r="T211" i="1" s="1"/>
  <c r="S211" i="1" s="1"/>
  <c r="R211" i="1" s="1"/>
  <c r="AI214" i="1"/>
  <c r="AH214" i="1" s="1"/>
  <c r="AG214" i="1" s="1"/>
  <c r="AF214" i="1" s="1"/>
  <c r="AI279" i="1"/>
  <c r="AH279" i="1" s="1"/>
  <c r="AG279" i="1" s="1"/>
  <c r="AF279" i="1" s="1"/>
  <c r="AI312" i="1"/>
  <c r="AI111" i="1"/>
  <c r="AH111" i="1" s="1"/>
  <c r="AG111" i="1" s="1"/>
  <c r="AF111" i="1" s="1"/>
  <c r="U16" i="1"/>
  <c r="T16" i="1" s="1"/>
  <c r="S16" i="1" s="1"/>
  <c r="R16" i="1" s="1"/>
  <c r="U25" i="1"/>
  <c r="T25" i="1" s="1"/>
  <c r="S25" i="1" s="1"/>
  <c r="R25" i="1" s="1"/>
  <c r="U41" i="1"/>
  <c r="T41" i="1" s="1"/>
  <c r="S41" i="1" s="1"/>
  <c r="R41" i="1" s="1"/>
  <c r="U46" i="1"/>
  <c r="T46" i="1" s="1"/>
  <c r="S46" i="1" s="1"/>
  <c r="R46" i="1" s="1"/>
  <c r="U51" i="1"/>
  <c r="T51" i="1" s="1"/>
  <c r="S51" i="1" s="1"/>
  <c r="R51" i="1" s="1"/>
  <c r="U59" i="1"/>
  <c r="T59" i="1" s="1"/>
  <c r="S59" i="1" s="1"/>
  <c r="R59" i="1" s="1"/>
  <c r="U64" i="1"/>
  <c r="T64" i="1" s="1"/>
  <c r="S64" i="1" s="1"/>
  <c r="R64" i="1" s="1"/>
  <c r="U80" i="1"/>
  <c r="T80" i="1" s="1"/>
  <c r="S80" i="1" s="1"/>
  <c r="R80" i="1" s="1"/>
  <c r="U89" i="1"/>
  <c r="T89" i="1" s="1"/>
  <c r="S89" i="1" s="1"/>
  <c r="R89" i="1" s="1"/>
  <c r="U94" i="1"/>
  <c r="T94" i="1" s="1"/>
  <c r="S94" i="1" s="1"/>
  <c r="R94" i="1" s="1"/>
  <c r="U101" i="1"/>
  <c r="T101" i="1" s="1"/>
  <c r="S101" i="1" s="1"/>
  <c r="R101" i="1" s="1"/>
  <c r="U111" i="1"/>
  <c r="T111" i="1" s="1"/>
  <c r="S111" i="1" s="1"/>
  <c r="R111" i="1" s="1"/>
  <c r="U128" i="1"/>
  <c r="T128" i="1" s="1"/>
  <c r="S128" i="1" s="1"/>
  <c r="R128" i="1" s="1"/>
  <c r="U139" i="1"/>
  <c r="T139" i="1" s="1"/>
  <c r="S139" i="1" s="1"/>
  <c r="R139" i="1" s="1"/>
  <c r="U144" i="1"/>
  <c r="T144" i="1" s="1"/>
  <c r="S144" i="1" s="1"/>
  <c r="R144" i="1" s="1"/>
  <c r="U152" i="1"/>
  <c r="T152" i="1" s="1"/>
  <c r="S152" i="1" s="1"/>
  <c r="R152" i="1" s="1"/>
  <c r="U156" i="1"/>
  <c r="T156" i="1" s="1"/>
  <c r="S156" i="1" s="1"/>
  <c r="R156" i="1" s="1"/>
  <c r="U160" i="1"/>
  <c r="T160" i="1" s="1"/>
  <c r="S160" i="1" s="1"/>
  <c r="R160" i="1" s="1"/>
  <c r="U166" i="1"/>
  <c r="T166" i="1" s="1"/>
  <c r="S166" i="1" s="1"/>
  <c r="R166" i="1" s="1"/>
  <c r="U175" i="1"/>
  <c r="T175" i="1" s="1"/>
  <c r="S175" i="1" s="1"/>
  <c r="R175" i="1" s="1"/>
  <c r="U190" i="1"/>
  <c r="T190" i="1" s="1"/>
  <c r="S190" i="1" s="1"/>
  <c r="R190" i="1" s="1"/>
  <c r="U197" i="1"/>
  <c r="T197" i="1" s="1"/>
  <c r="S197" i="1" s="1"/>
  <c r="R197" i="1" s="1"/>
  <c r="U202" i="1"/>
  <c r="T202" i="1" s="1"/>
  <c r="S202" i="1" s="1"/>
  <c r="R202" i="1" s="1"/>
  <c r="U206" i="1"/>
  <c r="T206" i="1" s="1"/>
  <c r="S206" i="1" s="1"/>
  <c r="R206" i="1" s="1"/>
  <c r="U216" i="1"/>
  <c r="T216" i="1" s="1"/>
  <c r="S216" i="1" s="1"/>
  <c r="R216" i="1" s="1"/>
  <c r="U223" i="1"/>
  <c r="T223" i="1" s="1"/>
  <c r="S223" i="1" s="1"/>
  <c r="R223" i="1" s="1"/>
  <c r="U233" i="1"/>
  <c r="T233" i="1" s="1"/>
  <c r="S233" i="1" s="1"/>
  <c r="R233" i="1" s="1"/>
  <c r="P10" i="15"/>
  <c r="AE11" i="15"/>
  <c r="AI11" i="15"/>
  <c r="L12" i="19"/>
  <c r="AM7" i="15"/>
  <c r="AM11" i="15" s="1"/>
  <c r="E7" i="18"/>
  <c r="E8" i="18"/>
  <c r="K15" i="19" s="1"/>
  <c r="K39" i="19" s="1"/>
  <c r="AI22" i="1"/>
  <c r="AH22" i="1" s="1"/>
  <c r="AG22" i="1" s="1"/>
  <c r="AF22" i="1" s="1"/>
  <c r="AI69" i="1"/>
  <c r="AH69" i="1" s="1"/>
  <c r="AG69" i="1" s="1"/>
  <c r="AF69" i="1" s="1"/>
  <c r="AI92" i="1"/>
  <c r="AH92" i="1" s="1"/>
  <c r="AG92" i="1" s="1"/>
  <c r="AF92" i="1" s="1"/>
  <c r="AI324" i="1"/>
  <c r="AH324" i="1" s="1"/>
  <c r="AG324" i="1" s="1"/>
  <c r="AF324" i="1" s="1"/>
  <c r="AI206" i="1"/>
  <c r="AH206" i="1" s="1"/>
  <c r="AG206" i="1" s="1"/>
  <c r="AF206" i="1" s="1"/>
  <c r="AI257" i="1"/>
  <c r="AH257" i="1" s="1"/>
  <c r="AG257" i="1" s="1"/>
  <c r="AF257" i="1" s="1"/>
  <c r="U34" i="1"/>
  <c r="T34" i="1" s="1"/>
  <c r="S34" i="1" s="1"/>
  <c r="R34" i="1" s="1"/>
  <c r="U69" i="1"/>
  <c r="T69" i="1" s="1"/>
  <c r="S69" i="1" s="1"/>
  <c r="R69" i="1" s="1"/>
  <c r="U99" i="1"/>
  <c r="T99" i="1" s="1"/>
  <c r="S99" i="1" s="1"/>
  <c r="R99" i="1" s="1"/>
  <c r="U120" i="1"/>
  <c r="T120" i="1" s="1"/>
  <c r="S120" i="1" s="1"/>
  <c r="R120" i="1" s="1"/>
  <c r="U149" i="1"/>
  <c r="T149" i="1" s="1"/>
  <c r="S149" i="1" s="1"/>
  <c r="R149" i="1" s="1"/>
  <c r="U185" i="1"/>
  <c r="T185" i="1" s="1"/>
  <c r="S185" i="1" s="1"/>
  <c r="R185" i="1" s="1"/>
  <c r="AI64" i="1"/>
  <c r="AH64" i="1" s="1"/>
  <c r="AG64" i="1" s="1"/>
  <c r="AF64" i="1" s="1"/>
  <c r="U24" i="1"/>
  <c r="T24" i="1" s="1"/>
  <c r="S24" i="1" s="1"/>
  <c r="R24" i="1" s="1"/>
  <c r="U56" i="1"/>
  <c r="T56" i="1" s="1"/>
  <c r="S56" i="1" s="1"/>
  <c r="R56" i="1" s="1"/>
  <c r="U93" i="1"/>
  <c r="T93" i="1" s="1"/>
  <c r="S93" i="1" s="1"/>
  <c r="R93" i="1" s="1"/>
  <c r="U136" i="1"/>
  <c r="T136" i="1" s="1"/>
  <c r="S136" i="1" s="1"/>
  <c r="R136" i="1" s="1"/>
  <c r="U159" i="1"/>
  <c r="T159" i="1" s="1"/>
  <c r="S159" i="1" s="1"/>
  <c r="R159" i="1" s="1"/>
  <c r="U195" i="1"/>
  <c r="T195" i="1" s="1"/>
  <c r="S195" i="1" s="1"/>
  <c r="R195" i="1" s="1"/>
  <c r="U219" i="1"/>
  <c r="T219" i="1" s="1"/>
  <c r="S219" i="1" s="1"/>
  <c r="R219" i="1" s="1"/>
  <c r="AI291" i="1"/>
  <c r="AI298" i="1"/>
  <c r="AI322" i="1"/>
  <c r="U37" i="1"/>
  <c r="T37" i="1" s="1"/>
  <c r="S37" i="1" s="1"/>
  <c r="R37" i="1" s="1"/>
  <c r="U102" i="1"/>
  <c r="T102" i="1" s="1"/>
  <c r="S102" i="1" s="1"/>
  <c r="R102" i="1" s="1"/>
  <c r="U165" i="1"/>
  <c r="T165" i="1" s="1"/>
  <c r="S165" i="1" s="1"/>
  <c r="R165" i="1" s="1"/>
  <c r="AI38" i="1"/>
  <c r="AH38" i="1" s="1"/>
  <c r="AG38" i="1" s="1"/>
  <c r="AF38" i="1" s="1"/>
  <c r="U60" i="1"/>
  <c r="T60" i="1" s="1"/>
  <c r="S60" i="1" s="1"/>
  <c r="R60" i="1" s="1"/>
  <c r="U141" i="1"/>
  <c r="T141" i="1" s="1"/>
  <c r="S141" i="1" s="1"/>
  <c r="R141" i="1" s="1"/>
  <c r="U198" i="1"/>
  <c r="T198" i="1" s="1"/>
  <c r="S198" i="1" s="1"/>
  <c r="U243" i="1"/>
  <c r="T243" i="1" s="1"/>
  <c r="S243" i="1" s="1"/>
  <c r="R243" i="1" s="1"/>
  <c r="U255" i="1"/>
  <c r="T255" i="1" s="1"/>
  <c r="S255" i="1" s="1"/>
  <c r="R255" i="1" s="1"/>
  <c r="U264" i="1"/>
  <c r="T264" i="1" s="1"/>
  <c r="S264" i="1" s="1"/>
  <c r="R264" i="1" s="1"/>
  <c r="U275" i="1"/>
  <c r="T275" i="1" s="1"/>
  <c r="S275" i="1" s="1"/>
  <c r="R275" i="1" s="1"/>
  <c r="U288" i="1"/>
  <c r="T288" i="1" s="1"/>
  <c r="S288" i="1" s="1"/>
  <c r="R288" i="1" s="1"/>
  <c r="U295" i="1"/>
  <c r="T295" i="1" s="1"/>
  <c r="S295" i="1" s="1"/>
  <c r="R295" i="1" s="1"/>
  <c r="U315" i="1"/>
  <c r="T315" i="1" s="1"/>
  <c r="S315" i="1" s="1"/>
  <c r="R315" i="1" s="1"/>
  <c r="U331" i="1"/>
  <c r="T331" i="1" s="1"/>
  <c r="S331" i="1" s="1"/>
  <c r="R331" i="1" s="1"/>
  <c r="U344" i="1"/>
  <c r="T344" i="1" s="1"/>
  <c r="S344" i="1" s="1"/>
  <c r="R344" i="1" s="1"/>
  <c r="U358" i="1"/>
  <c r="T358" i="1" s="1"/>
  <c r="S358" i="1" s="1"/>
  <c r="R358" i="1" s="1"/>
  <c r="U375" i="1"/>
  <c r="T375" i="1" s="1"/>
  <c r="S375" i="1" s="1"/>
  <c r="R375" i="1" s="1"/>
  <c r="AI297" i="1"/>
  <c r="AH297" i="1" s="1"/>
  <c r="AG297" i="1" s="1"/>
  <c r="AF297" i="1" s="1"/>
  <c r="AI171" i="1"/>
  <c r="AH171" i="1" s="1"/>
  <c r="AG171" i="1" s="1"/>
  <c r="AF171" i="1" s="1"/>
  <c r="AI169" i="1"/>
  <c r="AH169" i="1" s="1"/>
  <c r="AG169" i="1" s="1"/>
  <c r="AF169" i="1" s="1"/>
  <c r="AI72" i="1"/>
  <c r="AH72" i="1" s="1"/>
  <c r="AG72" i="1" s="1"/>
  <c r="AF72" i="1" s="1"/>
  <c r="AI269" i="1"/>
  <c r="AH269" i="1" s="1"/>
  <c r="AG269" i="1" s="1"/>
  <c r="AF269" i="1" s="1"/>
  <c r="AI70" i="1"/>
  <c r="AH70" i="1" s="1"/>
  <c r="AG70" i="1" s="1"/>
  <c r="AF70" i="1" s="1"/>
  <c r="AI309" i="1"/>
  <c r="AH309" i="1" s="1"/>
  <c r="AG309" i="1" s="1"/>
  <c r="AF309" i="1" s="1"/>
  <c r="AI207" i="1"/>
  <c r="AI90" i="1"/>
  <c r="AH90" i="1" s="1"/>
  <c r="AG90" i="1" s="1"/>
  <c r="AF90" i="1" s="1"/>
  <c r="AI151" i="1"/>
  <c r="AH151" i="1" s="1"/>
  <c r="AG151" i="1" s="1"/>
  <c r="AF151" i="1" s="1"/>
  <c r="AI58" i="1"/>
  <c r="AH58" i="1" s="1"/>
  <c r="AG58" i="1" s="1"/>
  <c r="AF58" i="1" s="1"/>
  <c r="AI89" i="1"/>
  <c r="AH89" i="1" s="1"/>
  <c r="AG89" i="1" s="1"/>
  <c r="AF89" i="1" s="1"/>
  <c r="AI192" i="1"/>
  <c r="AH192" i="1" s="1"/>
  <c r="AG192" i="1" s="1"/>
  <c r="AF192" i="1" s="1"/>
  <c r="AI334" i="1"/>
  <c r="AH334" i="1" s="1"/>
  <c r="AG334" i="1" s="1"/>
  <c r="AF334" i="1" s="1"/>
  <c r="AI148" i="1"/>
  <c r="AH148" i="1" s="1"/>
  <c r="AG148" i="1" s="1"/>
  <c r="AF148" i="1" s="1"/>
  <c r="AI350" i="1"/>
  <c r="AH350" i="1" s="1"/>
  <c r="AG350" i="1" s="1"/>
  <c r="AF350" i="1" s="1"/>
  <c r="AI134" i="1"/>
  <c r="AH134" i="1" s="1"/>
  <c r="AG134" i="1" s="1"/>
  <c r="AF134" i="1" s="1"/>
  <c r="AI341" i="1"/>
  <c r="AH341" i="1" s="1"/>
  <c r="AG341" i="1" s="1"/>
  <c r="AF341" i="1" s="1"/>
  <c r="AI152" i="1"/>
  <c r="AH152" i="1" s="1"/>
  <c r="AG152" i="1" s="1"/>
  <c r="AF152" i="1" s="1"/>
  <c r="AI290" i="1"/>
  <c r="AH290" i="1" s="1"/>
  <c r="AG290" i="1" s="1"/>
  <c r="AF290" i="1" s="1"/>
  <c r="AI97" i="1"/>
  <c r="AH97" i="1" s="1"/>
  <c r="AG97" i="1" s="1"/>
  <c r="AF97" i="1" s="1"/>
  <c r="AI256" i="1"/>
  <c r="AH256" i="1" s="1"/>
  <c r="AG256" i="1" s="1"/>
  <c r="AF256" i="1" s="1"/>
  <c r="AI138" i="1"/>
  <c r="AH138" i="1" s="1"/>
  <c r="AG138" i="1" s="1"/>
  <c r="AF138" i="1" s="1"/>
  <c r="AI123" i="1"/>
  <c r="AH123" i="1" s="1"/>
  <c r="AG123" i="1" s="1"/>
  <c r="AF123" i="1" s="1"/>
  <c r="AI165" i="1"/>
  <c r="AH165" i="1" s="1"/>
  <c r="AG165" i="1" s="1"/>
  <c r="AF165" i="1" s="1"/>
  <c r="AI355" i="1"/>
  <c r="AH355" i="1" s="1"/>
  <c r="AG355" i="1" s="1"/>
  <c r="AF355" i="1" s="1"/>
  <c r="AI190" i="1"/>
  <c r="AH190" i="1" s="1"/>
  <c r="AG190" i="1" s="1"/>
  <c r="AF190" i="1" s="1"/>
  <c r="AI160" i="1"/>
  <c r="AH160" i="1" s="1"/>
  <c r="AG160" i="1" s="1"/>
  <c r="AF160" i="1" s="1"/>
  <c r="AI77" i="1"/>
  <c r="AH77" i="1" s="1"/>
  <c r="AG77" i="1" s="1"/>
  <c r="AF77" i="1" s="1"/>
  <c r="AI105" i="1"/>
  <c r="AH105" i="1" s="1"/>
  <c r="AG105" i="1" s="1"/>
  <c r="AF105" i="1" s="1"/>
  <c r="AI132" i="1"/>
  <c r="AH132" i="1" s="1"/>
  <c r="AG132" i="1" s="1"/>
  <c r="AF132" i="1" s="1"/>
  <c r="AI46" i="1"/>
  <c r="AH46" i="1" s="1"/>
  <c r="AG46" i="1" s="1"/>
  <c r="AF46" i="1" s="1"/>
  <c r="U28" i="1"/>
  <c r="T28" i="1" s="1"/>
  <c r="S28" i="1" s="1"/>
  <c r="R28" i="1" s="1"/>
  <c r="U38" i="1"/>
  <c r="T38" i="1" s="1"/>
  <c r="S38" i="1" s="1"/>
  <c r="R38" i="1" s="1"/>
  <c r="U58" i="1"/>
  <c r="T58" i="1" s="1"/>
  <c r="S58" i="1" s="1"/>
  <c r="R58" i="1" s="1"/>
  <c r="U72" i="1"/>
  <c r="T72" i="1" s="1"/>
  <c r="S72" i="1" s="1"/>
  <c r="R72" i="1" s="1"/>
  <c r="U85" i="1"/>
  <c r="T85" i="1" s="1"/>
  <c r="S85" i="1" s="1"/>
  <c r="R85" i="1" s="1"/>
  <c r="U103" i="1"/>
  <c r="T103" i="1" s="1"/>
  <c r="S103" i="1" s="1"/>
  <c r="R103" i="1" s="1"/>
  <c r="U115" i="1"/>
  <c r="T115" i="1" s="1"/>
  <c r="S115" i="1" s="1"/>
  <c r="R115" i="1" s="1"/>
  <c r="U126" i="1"/>
  <c r="T126" i="1" s="1"/>
  <c r="S126" i="1" s="1"/>
  <c r="R126" i="1" s="1"/>
  <c r="U138" i="1"/>
  <c r="T138" i="1" s="1"/>
  <c r="S138" i="1" s="1"/>
  <c r="R138" i="1" s="1"/>
  <c r="U167" i="1"/>
  <c r="T167" i="1" s="1"/>
  <c r="S167" i="1" s="1"/>
  <c r="R167" i="1" s="1"/>
  <c r="U179" i="1"/>
  <c r="T179" i="1" s="1"/>
  <c r="S179" i="1" s="1"/>
  <c r="R179" i="1" s="1"/>
  <c r="U191" i="1"/>
  <c r="T191" i="1" s="1"/>
  <c r="S191" i="1" s="1"/>
  <c r="R191" i="1" s="1"/>
  <c r="U215" i="1"/>
  <c r="T215" i="1" s="1"/>
  <c r="S215" i="1" s="1"/>
  <c r="R215" i="1" s="1"/>
  <c r="AI78" i="1"/>
  <c r="AH78" i="1" s="1"/>
  <c r="AG78" i="1" s="1"/>
  <c r="AF78" i="1" s="1"/>
  <c r="U19" i="1"/>
  <c r="T19" i="1" s="1"/>
  <c r="S19" i="1" s="1"/>
  <c r="R19" i="1" s="1"/>
  <c r="U33" i="1"/>
  <c r="T33" i="1" s="1"/>
  <c r="S33" i="1" s="1"/>
  <c r="R33" i="1" s="1"/>
  <c r="U49" i="1"/>
  <c r="T49" i="1" s="1"/>
  <c r="S49" i="1" s="1"/>
  <c r="R49" i="1" s="1"/>
  <c r="U61" i="1"/>
  <c r="T61" i="1" s="1"/>
  <c r="U84" i="1"/>
  <c r="T84" i="1" s="1"/>
  <c r="S84" i="1" s="1"/>
  <c r="R84" i="1" s="1"/>
  <c r="U97" i="1"/>
  <c r="T97" i="1" s="1"/>
  <c r="S97" i="1" s="1"/>
  <c r="R97" i="1" s="1"/>
  <c r="U124" i="1"/>
  <c r="T124" i="1" s="1"/>
  <c r="S124" i="1" s="1"/>
  <c r="R124" i="1" s="1"/>
  <c r="U142" i="1"/>
  <c r="T142" i="1" s="1"/>
  <c r="S142" i="1" s="1"/>
  <c r="R142" i="1" s="1"/>
  <c r="U154" i="1"/>
  <c r="T154" i="1" s="1"/>
  <c r="S154" i="1" s="1"/>
  <c r="R154" i="1" s="1"/>
  <c r="U163" i="1"/>
  <c r="T163" i="1" s="1"/>
  <c r="S163" i="1" s="1"/>
  <c r="R163" i="1" s="1"/>
  <c r="U187" i="1"/>
  <c r="T187" i="1" s="1"/>
  <c r="S187" i="1" s="1"/>
  <c r="R187" i="1" s="1"/>
  <c r="U199" i="1"/>
  <c r="T199" i="1" s="1"/>
  <c r="S199" i="1" s="1"/>
  <c r="R199" i="1" s="1"/>
  <c r="U209" i="1"/>
  <c r="T209" i="1" s="1"/>
  <c r="S209" i="1" s="1"/>
  <c r="R209" i="1" s="1"/>
  <c r="U226" i="1"/>
  <c r="T226" i="1" s="1"/>
  <c r="S226" i="1" s="1"/>
  <c r="R226" i="1" s="1"/>
  <c r="AI93" i="1"/>
  <c r="AH93" i="1" s="1"/>
  <c r="AG93" i="1" s="1"/>
  <c r="AF93" i="1" s="1"/>
  <c r="AI163" i="1"/>
  <c r="AH163" i="1" s="1"/>
  <c r="AG163" i="1" s="1"/>
  <c r="AF163" i="1" s="1"/>
  <c r="AI31" i="1"/>
  <c r="AH31" i="1" s="1"/>
  <c r="AG31" i="1" s="1"/>
  <c r="AF31" i="1" s="1"/>
  <c r="AI271" i="1"/>
  <c r="AH271" i="1" s="1"/>
  <c r="AG271" i="1" s="1"/>
  <c r="AF271" i="1" s="1"/>
  <c r="AI325" i="1"/>
  <c r="AH325" i="1" s="1"/>
  <c r="AG325" i="1" s="1"/>
  <c r="AF325" i="1" s="1"/>
  <c r="AI121" i="1"/>
  <c r="AH121" i="1" s="1"/>
  <c r="AG121" i="1" s="1"/>
  <c r="AF121" i="1" s="1"/>
  <c r="AI258" i="1"/>
  <c r="AI193" i="1"/>
  <c r="AH193" i="1" s="1"/>
  <c r="AG193" i="1" s="1"/>
  <c r="AF193" i="1" s="1"/>
  <c r="AI194" i="1"/>
  <c r="AH194" i="1" s="1"/>
  <c r="AG194" i="1" s="1"/>
  <c r="AF194" i="1" s="1"/>
  <c r="AI209" i="1"/>
  <c r="AH209" i="1" s="1"/>
  <c r="AG209" i="1" s="1"/>
  <c r="AI79" i="1"/>
  <c r="AH79" i="1" s="1"/>
  <c r="AG79" i="1" s="1"/>
  <c r="AF79" i="1" s="1"/>
  <c r="U346" i="1"/>
  <c r="T346" i="1" s="1"/>
  <c r="S346" i="1" s="1"/>
  <c r="R346" i="1" s="1"/>
  <c r="U312" i="1"/>
  <c r="U284" i="1"/>
  <c r="U245" i="1"/>
  <c r="T245" i="1" s="1"/>
  <c r="S245" i="1" s="1"/>
  <c r="R245" i="1" s="1"/>
  <c r="U376" i="1"/>
  <c r="T376" i="1" s="1"/>
  <c r="S376" i="1" s="1"/>
  <c r="R376" i="1" s="1"/>
  <c r="U316" i="1"/>
  <c r="T316" i="1" s="1"/>
  <c r="S316" i="1" s="1"/>
  <c r="R316" i="1" s="1"/>
  <c r="U214" i="1"/>
  <c r="T214" i="1" s="1"/>
  <c r="S214" i="1" s="1"/>
  <c r="R214" i="1" s="1"/>
  <c r="U182" i="1"/>
  <c r="T182" i="1" s="1"/>
  <c r="S182" i="1" s="1"/>
  <c r="R182" i="1" s="1"/>
  <c r="AI336" i="1"/>
  <c r="AH336" i="1" s="1"/>
  <c r="AG336" i="1" s="1"/>
  <c r="AF336" i="1" s="1"/>
  <c r="AI246" i="1"/>
  <c r="AI189" i="1"/>
  <c r="AH189" i="1" s="1"/>
  <c r="AG189" i="1" s="1"/>
  <c r="AF189" i="1" s="1"/>
  <c r="AI106" i="1"/>
  <c r="AH106" i="1" s="1"/>
  <c r="AG106" i="1" s="1"/>
  <c r="AF106" i="1" s="1"/>
  <c r="AI71" i="1"/>
  <c r="AH71" i="1" s="1"/>
  <c r="AG71" i="1" s="1"/>
  <c r="AF71" i="1" s="1"/>
  <c r="AI203" i="1"/>
  <c r="AH203" i="1" s="1"/>
  <c r="AG203" i="1" s="1"/>
  <c r="AF203" i="1" s="1"/>
  <c r="AI112" i="1"/>
  <c r="AH112" i="1" s="1"/>
  <c r="AG112" i="1" s="1"/>
  <c r="AF112" i="1" s="1"/>
  <c r="AI316" i="1"/>
  <c r="AI331" i="1"/>
  <c r="AI73" i="1"/>
  <c r="AH73" i="1" s="1"/>
  <c r="AG73" i="1" s="1"/>
  <c r="AF73" i="1" s="1"/>
  <c r="AI225" i="1"/>
  <c r="AH225" i="1" s="1"/>
  <c r="AG225" i="1" s="1"/>
  <c r="AF225" i="1" s="1"/>
  <c r="U372" i="1"/>
  <c r="T372" i="1" s="1"/>
  <c r="S372" i="1" s="1"/>
  <c r="R372" i="1" s="1"/>
  <c r="U337" i="1"/>
  <c r="T337" i="1" s="1"/>
  <c r="S337" i="1" s="1"/>
  <c r="R337" i="1" s="1"/>
  <c r="U308" i="1"/>
  <c r="U277" i="1"/>
  <c r="U240" i="1"/>
  <c r="T240" i="1" s="1"/>
  <c r="S240" i="1" s="1"/>
  <c r="R240" i="1" s="1"/>
  <c r="U359" i="1"/>
  <c r="T359" i="1" s="1"/>
  <c r="S359" i="1" s="1"/>
  <c r="R359" i="1" s="1"/>
  <c r="U290" i="1"/>
  <c r="T290" i="1" s="1"/>
  <c r="S290" i="1" s="1"/>
  <c r="R290" i="1" s="1"/>
  <c r="U157" i="1"/>
  <c r="T157" i="1" s="1"/>
  <c r="S157" i="1" s="1"/>
  <c r="R157" i="1" s="1"/>
  <c r="U118" i="1"/>
  <c r="T118" i="1" s="1"/>
  <c r="S118" i="1" s="1"/>
  <c r="R118" i="1" s="1"/>
  <c r="AI305" i="1"/>
  <c r="AH305" i="1" s="1"/>
  <c r="AG305" i="1" s="1"/>
  <c r="AF305" i="1" s="1"/>
  <c r="AI154" i="1"/>
  <c r="AH154" i="1" s="1"/>
  <c r="AG154" i="1" s="1"/>
  <c r="AF154" i="1" s="1"/>
  <c r="AI76" i="1"/>
  <c r="AH76" i="1" s="1"/>
  <c r="AG76" i="1" s="1"/>
  <c r="AF76" i="1" s="1"/>
  <c r="AI284" i="1"/>
  <c r="AH284" i="1" s="1"/>
  <c r="AG284" i="1" s="1"/>
  <c r="AF284" i="1" s="1"/>
  <c r="AI283" i="1"/>
  <c r="AI310" i="1"/>
  <c r="AI84" i="1"/>
  <c r="AH84" i="1" s="1"/>
  <c r="AG84" i="1" s="1"/>
  <c r="AF84" i="1" s="1"/>
  <c r="AI68" i="1"/>
  <c r="AH68" i="1" s="1"/>
  <c r="AG68" i="1" s="1"/>
  <c r="AF68" i="1" s="1"/>
  <c r="AI187" i="1"/>
  <c r="AH187" i="1" s="1"/>
  <c r="AG187" i="1" s="1"/>
  <c r="AF187" i="1" s="1"/>
  <c r="AI360" i="1"/>
  <c r="AH360" i="1" s="1"/>
  <c r="AG360" i="1" s="1"/>
  <c r="AF360" i="1" s="1"/>
  <c r="AI147" i="1"/>
  <c r="AH147" i="1" s="1"/>
  <c r="AG147" i="1" s="1"/>
  <c r="AF147" i="1" s="1"/>
  <c r="U22" i="1"/>
  <c r="T22" i="1" s="1"/>
  <c r="S22" i="1" s="1"/>
  <c r="R22" i="1" s="1"/>
  <c r="AI286" i="1"/>
  <c r="AI267" i="1"/>
  <c r="AH267" i="1" s="1"/>
  <c r="AG267" i="1" s="1"/>
  <c r="AF267" i="1" s="1"/>
  <c r="AI24" i="1"/>
  <c r="AH24" i="1" s="1"/>
  <c r="AG24" i="1" s="1"/>
  <c r="AF24" i="1" s="1"/>
  <c r="AI65" i="1"/>
  <c r="AH65" i="1" s="1"/>
  <c r="AG65" i="1" s="1"/>
  <c r="AF65" i="1" s="1"/>
  <c r="AI101" i="1"/>
  <c r="AH101" i="1" s="1"/>
  <c r="AG101" i="1" s="1"/>
  <c r="AF101" i="1" s="1"/>
  <c r="AI48" i="1"/>
  <c r="AH48" i="1" s="1"/>
  <c r="AG48" i="1" s="1"/>
  <c r="AF48" i="1" s="1"/>
  <c r="AI236" i="1"/>
  <c r="AH236" i="1" s="1"/>
  <c r="AG236" i="1" s="1"/>
  <c r="AF236" i="1" s="1"/>
  <c r="AI254" i="1"/>
  <c r="AH254" i="1" s="1"/>
  <c r="AG254" i="1" s="1"/>
  <c r="AF254" i="1" s="1"/>
  <c r="AI61" i="1"/>
  <c r="AH61" i="1" s="1"/>
  <c r="AG61" i="1" s="1"/>
  <c r="AF61" i="1" s="1"/>
  <c r="AI33" i="1"/>
  <c r="AH33" i="1" s="1"/>
  <c r="AG33" i="1" s="1"/>
  <c r="AF33" i="1" s="1"/>
  <c r="U368" i="1"/>
  <c r="T368" i="1" s="1"/>
  <c r="S368" i="1" s="1"/>
  <c r="R368" i="1" s="1"/>
  <c r="U350" i="1"/>
  <c r="T350" i="1" s="1"/>
  <c r="S350" i="1" s="1"/>
  <c r="R350" i="1" s="1"/>
  <c r="U334" i="1"/>
  <c r="T334" i="1" s="1"/>
  <c r="S334" i="1" s="1"/>
  <c r="R334" i="1" s="1"/>
  <c r="U320" i="1"/>
  <c r="U305" i="1"/>
  <c r="U287" i="1"/>
  <c r="U270" i="1"/>
  <c r="T270" i="1" s="1"/>
  <c r="S270" i="1" s="1"/>
  <c r="R270" i="1" s="1"/>
  <c r="U252" i="1"/>
  <c r="T252" i="1" s="1"/>
  <c r="S252" i="1" s="1"/>
  <c r="R252" i="1" s="1"/>
  <c r="U236" i="1"/>
  <c r="U218" i="1"/>
  <c r="T218" i="1" s="1"/>
  <c r="S218" i="1" s="1"/>
  <c r="R218" i="1" s="1"/>
  <c r="U354" i="1"/>
  <c r="T354" i="1" s="1"/>
  <c r="S354" i="1" s="1"/>
  <c r="R354" i="1" s="1"/>
  <c r="U321" i="1"/>
  <c r="T321" i="1" s="1"/>
  <c r="S321" i="1" s="1"/>
  <c r="R321" i="1" s="1"/>
  <c r="U276" i="1"/>
  <c r="T276" i="1" s="1"/>
  <c r="S276" i="1" s="1"/>
  <c r="R276" i="1" s="1"/>
  <c r="U239" i="1"/>
  <c r="T239" i="1" s="1"/>
  <c r="S239" i="1" s="1"/>
  <c r="R239" i="1" s="1"/>
  <c r="U133" i="1"/>
  <c r="T133" i="1" s="1"/>
  <c r="S133" i="1" s="1"/>
  <c r="R133" i="1" s="1"/>
  <c r="AI220" i="1"/>
  <c r="AH220" i="1" s="1"/>
  <c r="AG220" i="1" s="1"/>
  <c r="AF220" i="1" s="1"/>
  <c r="U92" i="1"/>
  <c r="T92" i="1" s="1"/>
  <c r="S92" i="1" s="1"/>
  <c r="R92" i="1" s="1"/>
  <c r="AI50" i="1"/>
  <c r="AH50" i="1" s="1"/>
  <c r="AG50" i="1" s="1"/>
  <c r="AF50" i="1" s="1"/>
  <c r="AI262" i="1"/>
  <c r="AI40" i="1"/>
  <c r="AH40" i="1" s="1"/>
  <c r="AG40" i="1" s="1"/>
  <c r="AF40" i="1" s="1"/>
  <c r="AI109" i="1"/>
  <c r="AH109" i="1" s="1"/>
  <c r="AG109" i="1" s="1"/>
  <c r="AF109" i="1" s="1"/>
  <c r="AI129" i="1"/>
  <c r="AH129" i="1" s="1"/>
  <c r="AG129" i="1" s="1"/>
  <c r="AF129" i="1" s="1"/>
  <c r="AI307" i="1"/>
  <c r="AI299" i="1"/>
  <c r="AI253" i="1"/>
  <c r="AH253" i="1" s="1"/>
  <c r="AG253" i="1" s="1"/>
  <c r="AF253" i="1" s="1"/>
  <c r="AI51" i="1"/>
  <c r="AH51" i="1" s="1"/>
  <c r="AG51" i="1" s="1"/>
  <c r="AF51" i="1" s="1"/>
  <c r="AI19" i="1"/>
  <c r="AH19" i="1" s="1"/>
  <c r="AG19" i="1" s="1"/>
  <c r="AF19" i="1" s="1"/>
  <c r="AI370" i="1"/>
  <c r="AI348" i="1"/>
  <c r="AI222" i="1"/>
  <c r="AI120" i="1"/>
  <c r="AH120" i="1" s="1"/>
  <c r="AG120" i="1" s="1"/>
  <c r="AF120" i="1" s="1"/>
  <c r="AI357" i="1"/>
  <c r="AI29" i="1"/>
  <c r="AH29" i="1" s="1"/>
  <c r="AG29" i="1" s="1"/>
  <c r="AF29" i="1" s="1"/>
  <c r="AI104" i="1"/>
  <c r="AH104" i="1" s="1"/>
  <c r="AG104" i="1" s="1"/>
  <c r="AF104" i="1" s="1"/>
  <c r="AI200" i="1"/>
  <c r="AH200" i="1" s="1"/>
  <c r="AG200" i="1" s="1"/>
  <c r="AF200" i="1" s="1"/>
  <c r="AI157" i="1"/>
  <c r="AH157" i="1" s="1"/>
  <c r="AG157" i="1" s="1"/>
  <c r="AF157" i="1" s="1"/>
  <c r="AI54" i="1"/>
  <c r="AH54" i="1" s="1"/>
  <c r="AG54" i="1" s="1"/>
  <c r="AF54" i="1" s="1"/>
  <c r="AI335" i="1"/>
  <c r="AH335" i="1" s="1"/>
  <c r="AG335" i="1" s="1"/>
  <c r="AF335" i="1" s="1"/>
  <c r="AI39" i="1"/>
  <c r="AH39" i="1" s="1"/>
  <c r="AG39" i="1" s="1"/>
  <c r="AF39" i="1" s="1"/>
  <c r="AI43" i="1"/>
  <c r="AH43" i="1" s="1"/>
  <c r="AG43" i="1" s="1"/>
  <c r="AF43" i="1" s="1"/>
  <c r="U21" i="1"/>
  <c r="T21" i="1" s="1"/>
  <c r="S21" i="1" s="1"/>
  <c r="R21" i="1" s="1"/>
  <c r="AI139" i="1"/>
  <c r="AH139" i="1" s="1"/>
  <c r="AG139" i="1" s="1"/>
  <c r="AF139" i="1" s="1"/>
  <c r="AI25" i="1"/>
  <c r="AH25" i="1" s="1"/>
  <c r="AG25" i="1" s="1"/>
  <c r="AF25" i="1" s="1"/>
  <c r="AI201" i="1"/>
  <c r="AH201" i="1" s="1"/>
  <c r="AG201" i="1" s="1"/>
  <c r="AF201" i="1" s="1"/>
  <c r="AI172" i="1"/>
  <c r="AH172" i="1" s="1"/>
  <c r="AG172" i="1" s="1"/>
  <c r="AF172" i="1" s="1"/>
  <c r="AI125" i="1"/>
  <c r="AH125" i="1" s="1"/>
  <c r="AG125" i="1" s="1"/>
  <c r="AF125" i="1" s="1"/>
  <c r="AI180" i="1"/>
  <c r="AH180" i="1" s="1"/>
  <c r="AG180" i="1" s="1"/>
  <c r="AF180" i="1" s="1"/>
  <c r="AI327" i="1"/>
  <c r="AI174" i="1"/>
  <c r="AH174" i="1" s="1"/>
  <c r="AG174" i="1" s="1"/>
  <c r="AF174" i="1" s="1"/>
  <c r="AI270" i="1"/>
  <c r="AH270" i="1" s="1"/>
  <c r="AG270" i="1" s="1"/>
  <c r="AF270" i="1" s="1"/>
  <c r="AI115" i="1"/>
  <c r="AH115" i="1" s="1"/>
  <c r="AG115" i="1" s="1"/>
  <c r="AF115" i="1" s="1"/>
  <c r="AI150" i="1"/>
  <c r="AH150" i="1" s="1"/>
  <c r="AG150" i="1" s="1"/>
  <c r="AF150" i="1" s="1"/>
  <c r="AI52" i="1"/>
  <c r="AH52" i="1" s="1"/>
  <c r="AG52" i="1" s="1"/>
  <c r="AF52" i="1" s="1"/>
  <c r="AI49" i="1"/>
  <c r="AH49" i="1" s="1"/>
  <c r="AG49" i="1" s="1"/>
  <c r="AF49" i="1" s="1"/>
  <c r="AI332" i="1"/>
  <c r="AH332" i="1" s="1"/>
  <c r="AG332" i="1" s="1"/>
  <c r="AF332" i="1" s="1"/>
  <c r="AI265" i="1"/>
  <c r="AH265" i="1" s="1"/>
  <c r="AG265" i="1" s="1"/>
  <c r="AF265" i="1" s="1"/>
  <c r="AI278" i="1"/>
  <c r="AH278" i="1" s="1"/>
  <c r="AG278" i="1" s="1"/>
  <c r="AF278" i="1" s="1"/>
  <c r="AI35" i="1"/>
  <c r="AH35" i="1" s="1"/>
  <c r="AG35" i="1" s="1"/>
  <c r="AF35" i="1" s="1"/>
  <c r="AI182" i="1"/>
  <c r="AH182" i="1" s="1"/>
  <c r="AG182" i="1" s="1"/>
  <c r="AF182" i="1" s="1"/>
  <c r="AI30" i="1"/>
  <c r="AH30" i="1" s="1"/>
  <c r="AG30" i="1" s="1"/>
  <c r="AF30" i="1" s="1"/>
  <c r="AI175" i="1"/>
  <c r="AH175" i="1" s="1"/>
  <c r="AG175" i="1" s="1"/>
  <c r="AF175" i="1" s="1"/>
  <c r="AI110" i="1"/>
  <c r="AH110" i="1" s="1"/>
  <c r="AG110" i="1" s="1"/>
  <c r="AF110" i="1" s="1"/>
  <c r="U369" i="1"/>
  <c r="T369" i="1" s="1"/>
  <c r="S369" i="1" s="1"/>
  <c r="R369" i="1" s="1"/>
  <c r="U363" i="1"/>
  <c r="T363" i="1" s="1"/>
  <c r="S363" i="1" s="1"/>
  <c r="R363" i="1" s="1"/>
  <c r="U351" i="1"/>
  <c r="T351" i="1" s="1"/>
  <c r="S351" i="1" s="1"/>
  <c r="R351" i="1" s="1"/>
  <c r="U345" i="1"/>
  <c r="T345" i="1" s="1"/>
  <c r="S345" i="1" s="1"/>
  <c r="R345" i="1" s="1"/>
  <c r="U336" i="1"/>
  <c r="T336" i="1" s="1"/>
  <c r="S336" i="1" s="1"/>
  <c r="R336" i="1" s="1"/>
  <c r="U327" i="1"/>
  <c r="T327" i="1" s="1"/>
  <c r="S327" i="1" s="1"/>
  <c r="R327" i="1" s="1"/>
  <c r="U322" i="1"/>
  <c r="U311" i="1"/>
  <c r="U307" i="1"/>
  <c r="U301" i="1"/>
  <c r="U289" i="1"/>
  <c r="U283" i="1"/>
  <c r="T283" i="1" s="1"/>
  <c r="S283" i="1" s="1"/>
  <c r="R283" i="1" s="1"/>
  <c r="U274" i="1"/>
  <c r="T274" i="1" s="1"/>
  <c r="S274" i="1" s="1"/>
  <c r="R274" i="1" s="1"/>
  <c r="U265" i="1"/>
  <c r="T265" i="1" s="1"/>
  <c r="S265" i="1" s="1"/>
  <c r="R265" i="1" s="1"/>
  <c r="U254" i="1"/>
  <c r="T254" i="1" s="1"/>
  <c r="S254" i="1" s="1"/>
  <c r="R254" i="1" s="1"/>
  <c r="U244" i="1"/>
  <c r="T244" i="1" s="1"/>
  <c r="S244" i="1" s="1"/>
  <c r="R244" i="1" s="1"/>
  <c r="U237" i="1"/>
  <c r="T237" i="1" s="1"/>
  <c r="S237" i="1" s="1"/>
  <c r="R237" i="1" s="1"/>
  <c r="U230" i="1"/>
  <c r="U221" i="1"/>
  <c r="U373" i="1"/>
  <c r="T373" i="1" s="1"/>
  <c r="S373" i="1" s="1"/>
  <c r="R373" i="1" s="1"/>
  <c r="U357" i="1"/>
  <c r="T357" i="1" s="1"/>
  <c r="S357" i="1" s="1"/>
  <c r="R357" i="1" s="1"/>
  <c r="U343" i="1"/>
  <c r="T343" i="1" s="1"/>
  <c r="S343" i="1" s="1"/>
  <c r="R343" i="1" s="1"/>
  <c r="U329" i="1"/>
  <c r="T329" i="1" s="1"/>
  <c r="S329" i="1" s="1"/>
  <c r="R329" i="1" s="1"/>
  <c r="U313" i="1"/>
  <c r="T313" i="1" s="1"/>
  <c r="S313" i="1" s="1"/>
  <c r="R313" i="1" s="1"/>
  <c r="U279" i="1"/>
  <c r="T279" i="1" s="1"/>
  <c r="S279" i="1" s="1"/>
  <c r="R279" i="1" s="1"/>
  <c r="U263" i="1"/>
  <c r="T263" i="1" s="1"/>
  <c r="S263" i="1" s="1"/>
  <c r="R263" i="1" s="1"/>
  <c r="U246" i="1"/>
  <c r="T246" i="1" s="1"/>
  <c r="S246" i="1" s="1"/>
  <c r="R246" i="1" s="1"/>
  <c r="U203" i="1"/>
  <c r="T203" i="1" s="1"/>
  <c r="S203" i="1" s="1"/>
  <c r="R203" i="1" s="1"/>
  <c r="U147" i="1"/>
  <c r="T147" i="1" s="1"/>
  <c r="S147" i="1" s="1"/>
  <c r="R147" i="1" s="1"/>
  <c r="U67" i="1"/>
  <c r="T67" i="1" s="1"/>
  <c r="S67" i="1" s="1"/>
  <c r="R67" i="1" s="1"/>
  <c r="AI88" i="1"/>
  <c r="AH88" i="1" s="1"/>
  <c r="AG88" i="1" s="1"/>
  <c r="AF88" i="1" s="1"/>
  <c r="U173" i="1"/>
  <c r="T173" i="1" s="1"/>
  <c r="S173" i="1" s="1"/>
  <c r="R173" i="1" s="1"/>
  <c r="U108" i="1"/>
  <c r="T108" i="1" s="1"/>
  <c r="S108" i="1" s="1"/>
  <c r="R108" i="1" s="1"/>
  <c r="U42" i="1"/>
  <c r="T42" i="1" s="1"/>
  <c r="S42" i="1" s="1"/>
  <c r="R42" i="1" s="1"/>
  <c r="AI221" i="1"/>
  <c r="AI17" i="1"/>
  <c r="AI100" i="1"/>
  <c r="AH100" i="1" s="1"/>
  <c r="AG100" i="1" s="1"/>
  <c r="AF100" i="1" s="1"/>
  <c r="P12" i="16"/>
  <c r="AK32" i="16"/>
  <c r="AK47" i="16"/>
  <c r="AK42" i="16"/>
  <c r="AK78" i="16"/>
  <c r="AK98" i="16"/>
  <c r="AK113" i="16"/>
  <c r="AK125" i="16"/>
  <c r="AK79" i="16"/>
  <c r="AK95" i="16"/>
  <c r="AK112" i="16"/>
  <c r="AK137" i="16"/>
  <c r="AK153" i="16"/>
  <c r="AK167" i="16"/>
  <c r="AK184" i="16"/>
  <c r="AK147" i="16"/>
  <c r="AK163" i="16"/>
  <c r="AK180" i="16"/>
  <c r="AK191" i="16"/>
  <c r="AK205" i="16"/>
  <c r="AK217" i="16"/>
  <c r="AK232" i="16"/>
  <c r="AK244" i="16"/>
  <c r="AK263" i="16"/>
  <c r="AK277" i="16"/>
  <c r="AK288" i="16"/>
  <c r="AK304" i="16"/>
  <c r="AK197" i="16"/>
  <c r="AK222" i="16"/>
  <c r="AK240" i="16"/>
  <c r="AK254" i="16"/>
  <c r="AK273" i="16"/>
  <c r="AK295" i="16"/>
  <c r="AK313" i="16"/>
  <c r="AK330" i="16"/>
  <c r="AK345" i="16"/>
  <c r="AK363" i="16"/>
  <c r="AK379" i="16"/>
  <c r="AK334" i="16"/>
  <c r="AK368" i="16"/>
  <c r="AK325" i="16"/>
  <c r="AK339" i="16"/>
  <c r="AK20" i="16"/>
  <c r="AK59" i="16"/>
  <c r="AK91" i="16"/>
  <c r="AK118" i="16"/>
  <c r="AK86" i="16"/>
  <c r="AK133" i="16"/>
  <c r="AK161" i="16"/>
  <c r="AK138" i="16"/>
  <c r="AK171" i="16"/>
  <c r="AK201" i="16"/>
  <c r="AK226" i="16"/>
  <c r="AK256" i="16"/>
  <c r="AK281" i="16"/>
  <c r="AK193" i="16"/>
  <c r="AK231" i="16"/>
  <c r="AK266" i="16"/>
  <c r="AK307" i="16"/>
  <c r="AK337" i="16"/>
  <c r="AK374" i="16"/>
  <c r="AK351" i="16"/>
  <c r="AK320" i="16"/>
  <c r="AK37" i="16"/>
  <c r="AK105" i="16"/>
  <c r="AK103" i="16"/>
  <c r="AK175" i="16"/>
  <c r="AK187" i="16"/>
  <c r="AK238" i="16"/>
  <c r="AK298" i="16"/>
  <c r="AK250" i="16"/>
  <c r="AK324" i="16"/>
  <c r="AK317" i="16"/>
  <c r="AK353" i="16"/>
  <c r="AK63" i="16"/>
  <c r="AK131" i="16"/>
  <c r="AK144" i="16"/>
  <c r="AK154" i="16"/>
  <c r="AK211" i="16"/>
  <c r="AK268" i="16"/>
  <c r="AK213" i="16"/>
  <c r="AK286" i="16"/>
  <c r="AK357" i="16"/>
  <c r="AK375" i="16"/>
  <c r="AK348" i="16"/>
  <c r="AK350" i="16"/>
  <c r="AK372" i="16"/>
  <c r="AK342" i="16"/>
  <c r="AK308" i="16"/>
  <c r="AK367" i="16"/>
  <c r="AK354" i="16"/>
  <c r="AK332" i="16"/>
  <c r="AK319" i="16"/>
  <c r="AK297" i="16"/>
  <c r="AK282" i="16"/>
  <c r="AK259" i="16"/>
  <c r="AK248" i="16"/>
  <c r="AK224" i="16"/>
  <c r="AK207" i="16"/>
  <c r="AK306" i="16"/>
  <c r="AK293" i="16"/>
  <c r="AK279" i="16"/>
  <c r="AK265" i="16"/>
  <c r="AK247" i="16"/>
  <c r="AK236" i="16"/>
  <c r="AK221" i="16"/>
  <c r="AK208" i="16"/>
  <c r="AK199" i="16"/>
  <c r="AK183" i="16"/>
  <c r="AK168" i="16"/>
  <c r="AK151" i="16"/>
  <c r="AK120" i="16"/>
  <c r="AK172" i="16"/>
  <c r="AK159" i="16"/>
  <c r="AK141" i="16"/>
  <c r="AK123" i="16"/>
  <c r="AK101" i="16"/>
  <c r="AK82" i="16"/>
  <c r="AK127" i="16"/>
  <c r="AK115" i="16"/>
  <c r="AK100" i="16"/>
  <c r="AK87" i="16"/>
  <c r="AK52" i="16"/>
  <c r="AK55" i="16"/>
  <c r="AK33" i="16"/>
  <c r="AK18" i="16"/>
  <c r="AK15" i="16"/>
  <c r="AK25" i="16"/>
  <c r="AK31" i="16"/>
  <c r="AK30" i="16"/>
  <c r="AK36" i="16"/>
  <c r="AK40" i="16"/>
  <c r="AK46" i="16"/>
  <c r="AK53" i="16"/>
  <c r="AK58" i="16"/>
  <c r="AK67" i="16"/>
  <c r="AK41" i="16"/>
  <c r="AK51" i="16"/>
  <c r="AK62" i="16"/>
  <c r="AK71" i="16"/>
  <c r="AK77" i="16"/>
  <c r="AK84" i="16"/>
  <c r="AK17" i="16"/>
  <c r="AK29" i="16"/>
  <c r="AK35" i="16"/>
  <c r="AK45" i="16"/>
  <c r="AK57" i="16"/>
  <c r="AK70" i="16"/>
  <c r="AK61" i="16"/>
  <c r="AK75" i="16"/>
  <c r="AK89" i="16"/>
  <c r="AK97" i="16"/>
  <c r="AK104" i="16"/>
  <c r="AK110" i="16"/>
  <c r="AK117" i="16"/>
  <c r="AK124" i="16"/>
  <c r="AK130" i="16"/>
  <c r="AK76" i="16"/>
  <c r="AK85" i="16"/>
  <c r="AK92" i="16"/>
  <c r="AK102" i="16"/>
  <c r="AK111" i="16"/>
  <c r="AK129" i="16"/>
  <c r="AK136" i="16"/>
  <c r="AK143" i="16"/>
  <c r="AK149" i="16"/>
  <c r="AK160" i="16"/>
  <c r="AK166" i="16"/>
  <c r="AK174" i="16"/>
  <c r="AK182" i="16"/>
  <c r="AK128" i="16"/>
  <c r="AK146" i="16"/>
  <c r="AK152" i="16"/>
  <c r="AK157" i="16"/>
  <c r="AK170" i="16"/>
  <c r="AK179" i="16"/>
  <c r="AK186" i="16"/>
  <c r="AK190" i="16"/>
  <c r="AK200" i="16"/>
  <c r="AK204" i="16"/>
  <c r="AK209" i="16"/>
  <c r="AK215" i="16"/>
  <c r="AK225" i="16"/>
  <c r="AK230" i="16"/>
  <c r="AK237" i="16"/>
  <c r="AK243" i="16"/>
  <c r="AK255" i="16"/>
  <c r="AK262" i="16"/>
  <c r="AK267" i="16"/>
  <c r="AK276" i="16"/>
  <c r="AK280" i="16"/>
  <c r="AK287" i="16"/>
  <c r="AK294" i="16"/>
  <c r="AK302" i="16"/>
  <c r="AK185" i="16"/>
  <c r="AK196" i="16"/>
  <c r="AK210" i="16"/>
  <c r="AK220" i="16"/>
  <c r="AK229" i="16"/>
  <c r="AK239" i="16"/>
  <c r="AK249" i="16"/>
  <c r="AK253" i="16"/>
  <c r="AK260" i="16"/>
  <c r="AK272" i="16"/>
  <c r="AK285" i="16"/>
  <c r="AK291" i="16"/>
  <c r="AK303" i="16"/>
  <c r="AK312" i="16"/>
  <c r="AK323" i="16"/>
  <c r="AK328" i="16"/>
  <c r="AK336" i="16"/>
  <c r="AK344" i="16"/>
  <c r="AK356" i="16"/>
  <c r="AK362" i="16"/>
  <c r="AK369" i="16"/>
  <c r="AK378" i="16"/>
  <c r="AK315" i="16"/>
  <c r="AK333" i="16"/>
  <c r="AK346" i="16"/>
  <c r="AK366" i="16"/>
  <c r="AK373" i="16"/>
  <c r="AK316" i="16"/>
  <c r="AK370" i="16"/>
  <c r="AK338" i="16"/>
  <c r="AK349" i="16"/>
  <c r="AK361" i="16"/>
  <c r="AK322" i="16"/>
  <c r="AK311" i="16"/>
  <c r="AK365" i="16"/>
  <c r="AK329" i="16"/>
  <c r="AK377" i="16"/>
  <c r="AK360" i="16"/>
  <c r="AK341" i="16"/>
  <c r="AK327" i="16"/>
  <c r="AK310" i="16"/>
  <c r="AK290" i="16"/>
  <c r="AK271" i="16"/>
  <c r="AK252" i="16"/>
  <c r="AK235" i="16"/>
  <c r="AK218" i="16"/>
  <c r="AK195" i="16"/>
  <c r="AK301" i="16"/>
  <c r="AK284" i="16"/>
  <c r="AK275" i="16"/>
  <c r="AK261" i="16"/>
  <c r="AK242" i="16"/>
  <c r="AK228" i="16"/>
  <c r="AK214" i="16"/>
  <c r="AK203" i="16"/>
  <c r="AK189" i="16"/>
  <c r="AK178" i="16"/>
  <c r="AK156" i="16"/>
  <c r="AK142" i="16"/>
  <c r="AK177" i="16"/>
  <c r="AK164" i="16"/>
  <c r="AK148" i="16"/>
  <c r="AK135" i="16"/>
  <c r="AK108" i="16"/>
  <c r="AK90" i="16"/>
  <c r="AK73" i="16"/>
  <c r="AK122" i="16"/>
  <c r="AK109" i="16"/>
  <c r="AK94" i="16"/>
  <c r="AK72" i="16"/>
  <c r="AK68" i="16"/>
  <c r="AK39" i="16"/>
  <c r="AK27" i="16"/>
  <c r="F8" i="16"/>
  <c r="AK19" i="16"/>
  <c r="AK21" i="16"/>
  <c r="AK28" i="16"/>
  <c r="AK22" i="16"/>
  <c r="AK34" i="16"/>
  <c r="AK23" i="16"/>
  <c r="AK44" i="16"/>
  <c r="AK48" i="16"/>
  <c r="AK56" i="16"/>
  <c r="AK60" i="16"/>
  <c r="AK69" i="16"/>
  <c r="AK43" i="16"/>
  <c r="AK54" i="16"/>
  <c r="AK64" i="16"/>
  <c r="AK74" i="16"/>
  <c r="AK81" i="16"/>
  <c r="AK16" i="16"/>
  <c r="AK24" i="16"/>
  <c r="AK26" i="16"/>
  <c r="AK38" i="16"/>
  <c r="AK50" i="16"/>
  <c r="AK66" i="16"/>
  <c r="AK49" i="16"/>
  <c r="AK65" i="16"/>
  <c r="AK83" i="16"/>
  <c r="AK93" i="16"/>
  <c r="AK99" i="16"/>
  <c r="AK107" i="16"/>
  <c r="AK114" i="16"/>
  <c r="AK119" i="16"/>
  <c r="AK126" i="16"/>
  <c r="AK132" i="16"/>
  <c r="AK80" i="16"/>
  <c r="AK88" i="16"/>
  <c r="AK96" i="16"/>
  <c r="AK106" i="16"/>
  <c r="AK121" i="16"/>
  <c r="AK134" i="16"/>
  <c r="AK140" i="16"/>
  <c r="AK145" i="16"/>
  <c r="AK158" i="16"/>
  <c r="AK162" i="16"/>
  <c r="AK169" i="16"/>
  <c r="AK176" i="16"/>
  <c r="AK116" i="16"/>
  <c r="AK139" i="16"/>
  <c r="AK150" i="16"/>
  <c r="AK155" i="16"/>
  <c r="AK165" i="16"/>
  <c r="AK173" i="16"/>
  <c r="AK181" i="16"/>
  <c r="AK188" i="16"/>
  <c r="AK192" i="16"/>
  <c r="AK202" i="16"/>
  <c r="AK206" i="16"/>
  <c r="AK212" i="16"/>
  <c r="AK219" i="16"/>
  <c r="AK227" i="16"/>
  <c r="AK233" i="16"/>
  <c r="AK241" i="16"/>
  <c r="AK246" i="16"/>
  <c r="AK257" i="16"/>
  <c r="AK264" i="16"/>
  <c r="AK270" i="16"/>
  <c r="AK278" i="16"/>
  <c r="AK283" i="16"/>
  <c r="AK292" i="16"/>
  <c r="AK300" i="16"/>
  <c r="AK305" i="16"/>
  <c r="AK194" i="16"/>
  <c r="AK198" i="16"/>
  <c r="AK216" i="16"/>
  <c r="AK223" i="16"/>
  <c r="AK234" i="16"/>
  <c r="AK245" i="16"/>
  <c r="AK251" i="16"/>
  <c r="AK258" i="16"/>
  <c r="AK269" i="16"/>
  <c r="AK274" i="16"/>
  <c r="AK289" i="16"/>
  <c r="AK296" i="16"/>
  <c r="AK309" i="16"/>
  <c r="AK314" i="16"/>
  <c r="AK326" i="16"/>
  <c r="AK331" i="16"/>
  <c r="AK340" i="16"/>
  <c r="AK352" i="16"/>
  <c r="AK359" i="16"/>
  <c r="AK364" i="16"/>
  <c r="AK376" i="16"/>
  <c r="AK299" i="16"/>
  <c r="AK318" i="16"/>
  <c r="AK335" i="16"/>
  <c r="AK355" i="16"/>
  <c r="AK371" i="16"/>
  <c r="AK380" i="16"/>
  <c r="AK343" i="16"/>
  <c r="AK321" i="16"/>
  <c r="AK347" i="16"/>
  <c r="AK358" i="16"/>
  <c r="J357" i="6"/>
  <c r="J350" i="6"/>
  <c r="J70" i="6"/>
  <c r="J75" i="6"/>
  <c r="J310" i="6"/>
  <c r="J302" i="6"/>
  <c r="J306" i="6"/>
  <c r="J314" i="6"/>
  <c r="J321" i="6"/>
  <c r="J317" i="6"/>
  <c r="P317" i="1" s="1"/>
  <c r="J275" i="6"/>
  <c r="J274" i="6"/>
  <c r="J284" i="6"/>
  <c r="AD284" i="1" s="1"/>
  <c r="V54" i="6"/>
  <c r="V53" i="6" s="1"/>
  <c r="J69" i="6"/>
  <c r="J66" i="6"/>
  <c r="W54" i="6"/>
  <c r="W53" i="6" s="1"/>
  <c r="W55" i="6" s="1"/>
  <c r="Q12" i="15"/>
  <c r="D15" i="7"/>
  <c r="BX15" i="7"/>
  <c r="BR15" i="7"/>
  <c r="BL15" i="7"/>
  <c r="AE383" i="1"/>
  <c r="AE382" i="1"/>
  <c r="X25" i="6"/>
  <c r="J173" i="6" s="1"/>
  <c r="J333" i="6"/>
  <c r="J336" i="6"/>
  <c r="J354" i="6"/>
  <c r="P354" i="1" s="1"/>
  <c r="V354" i="1" s="1"/>
  <c r="F354" i="1" s="1"/>
  <c r="J351" i="6"/>
  <c r="J344" i="6"/>
  <c r="J330" i="6"/>
  <c r="J348" i="6"/>
  <c r="J316" i="6"/>
  <c r="J322" i="6"/>
  <c r="J329" i="6"/>
  <c r="M24" i="6"/>
  <c r="M23" i="6" s="1"/>
  <c r="M25" i="6" s="1"/>
  <c r="J352" i="6"/>
  <c r="J345" i="6"/>
  <c r="J353" i="6"/>
  <c r="J331" i="6"/>
  <c r="J338" i="6"/>
  <c r="J341" i="6"/>
  <c r="J349" i="6"/>
  <c r="J347" i="6"/>
  <c r="J356" i="6"/>
  <c r="J346" i="6"/>
  <c r="J355" i="6"/>
  <c r="J342" i="6"/>
  <c r="J343" i="6"/>
  <c r="J335" i="6"/>
  <c r="J67" i="6"/>
  <c r="J77" i="6"/>
  <c r="J76" i="6"/>
  <c r="J73" i="6"/>
  <c r="J64" i="6"/>
  <c r="J307" i="6"/>
  <c r="J328" i="6"/>
  <c r="J327" i="6"/>
  <c r="J304" i="6"/>
  <c r="J309" i="6"/>
  <c r="J324" i="6"/>
  <c r="J312" i="6"/>
  <c r="J320" i="6"/>
  <c r="J326" i="6"/>
  <c r="J308" i="6"/>
  <c r="J325" i="6"/>
  <c r="J319" i="6"/>
  <c r="J311" i="6"/>
  <c r="J313" i="6"/>
  <c r="J292" i="6"/>
  <c r="J74" i="6"/>
  <c r="J290" i="6"/>
  <c r="J285" i="6"/>
  <c r="J276" i="6"/>
  <c r="J286" i="6"/>
  <c r="J282" i="6"/>
  <c r="J289" i="6"/>
  <c r="J280" i="6"/>
  <c r="X54" i="6"/>
  <c r="X53" i="6" s="1"/>
  <c r="X55" i="6" s="1"/>
  <c r="E383" i="1"/>
  <c r="J174" i="6"/>
  <c r="P174" i="1" s="1"/>
  <c r="V174" i="1" s="1"/>
  <c r="J301" i="6"/>
  <c r="J296" i="6"/>
  <c r="J279" i="6"/>
  <c r="J298" i="6"/>
  <c r="J293" i="6"/>
  <c r="J283" i="6"/>
  <c r="J299" i="6"/>
  <c r="J287" i="6"/>
  <c r="J278" i="6"/>
  <c r="P278" i="1" s="1"/>
  <c r="V278" i="1" s="1"/>
  <c r="J281" i="6"/>
  <c r="J277" i="6"/>
  <c r="J300" i="6"/>
  <c r="J291" i="6"/>
  <c r="J297" i="6"/>
  <c r="M33" i="6"/>
  <c r="N31" i="6"/>
  <c r="N39" i="6" s="1"/>
  <c r="N38" i="6" s="1"/>
  <c r="AJ10" i="1"/>
  <c r="AJ12" i="1" s="1"/>
  <c r="AJ13" i="1" s="1"/>
  <c r="E9" i="1"/>
  <c r="E11" i="1" s="1"/>
  <c r="E381" i="1"/>
  <c r="AK8" i="1"/>
  <c r="E382" i="1"/>
  <c r="AJ5" i="16"/>
  <c r="AJ6" i="16"/>
  <c r="AJ7" i="16"/>
  <c r="AJ8" i="16"/>
  <c r="AC12" i="16"/>
  <c r="O11" i="16"/>
  <c r="O12" i="16"/>
  <c r="AC9" i="16"/>
  <c r="P54" i="6"/>
  <c r="P53" i="6" s="1"/>
  <c r="P55" i="6" s="1"/>
  <c r="J243" i="6"/>
  <c r="J242" i="6"/>
  <c r="J244" i="6"/>
  <c r="J236" i="6"/>
  <c r="J232" i="6"/>
  <c r="J235" i="6"/>
  <c r="J245" i="6"/>
  <c r="J240" i="6"/>
  <c r="J241" i="6"/>
  <c r="J238" i="6"/>
  <c r="J239" i="6"/>
  <c r="J234" i="6"/>
  <c r="J233" i="6"/>
  <c r="J237" i="6"/>
  <c r="S25" i="6"/>
  <c r="J81" i="6" s="1"/>
  <c r="U25" i="6"/>
  <c r="J126" i="6" s="1"/>
  <c r="W25" i="6"/>
  <c r="J146" i="6" s="1"/>
  <c r="Y54" i="6"/>
  <c r="Y53" i="6" s="1"/>
  <c r="Q54" i="6"/>
  <c r="Q53" i="6" s="1"/>
  <c r="Q55" i="6" s="1"/>
  <c r="R54" i="6"/>
  <c r="R53" i="6" s="1"/>
  <c r="R55" i="6" s="1"/>
  <c r="O54" i="6"/>
  <c r="O53" i="6" s="1"/>
  <c r="O55" i="6" s="1"/>
  <c r="W39" i="6"/>
  <c r="W38" i="6" s="1"/>
  <c r="W40" i="6" s="1"/>
  <c r="V39" i="6"/>
  <c r="V38" i="6" s="1"/>
  <c r="V40" i="6" s="1"/>
  <c r="S54" i="6"/>
  <c r="S53" i="6" s="1"/>
  <c r="S55" i="6" s="1"/>
  <c r="AA48" i="6"/>
  <c r="Z50" i="6"/>
  <c r="Z54" i="6" s="1"/>
  <c r="Z53" i="6" s="1"/>
  <c r="Z55" i="6" s="1"/>
  <c r="AE25" i="6"/>
  <c r="J262" i="6" s="1"/>
  <c r="N55" i="6"/>
  <c r="J378" i="6"/>
  <c r="P40" i="6"/>
  <c r="AT99" i="6" s="1"/>
  <c r="R40" i="6"/>
  <c r="AT131" i="6" s="1"/>
  <c r="N25" i="6"/>
  <c r="J29" i="6" s="1"/>
  <c r="AA39" i="6"/>
  <c r="AA38" i="6" s="1"/>
  <c r="AD44" i="1"/>
  <c r="J368" i="6"/>
  <c r="J375" i="6"/>
  <c r="J358" i="6"/>
  <c r="J373" i="6"/>
  <c r="J376" i="6"/>
  <c r="J367" i="6"/>
  <c r="J359" i="6"/>
  <c r="J360" i="6"/>
  <c r="J370" i="6"/>
  <c r="J364" i="6"/>
  <c r="J363" i="6"/>
  <c r="J377" i="6"/>
  <c r="AD38" i="1"/>
  <c r="AD45" i="1"/>
  <c r="J371" i="6"/>
  <c r="J361" i="6"/>
  <c r="J362" i="6"/>
  <c r="J365" i="6"/>
  <c r="J366" i="6"/>
  <c r="J380" i="6"/>
  <c r="J379" i="6"/>
  <c r="J369" i="6"/>
  <c r="J372" i="6"/>
  <c r="J374" i="6"/>
  <c r="P47" i="1" l="1"/>
  <c r="V47" i="1" s="1"/>
  <c r="AD326" i="1"/>
  <c r="P342" i="1"/>
  <c r="V342" i="1" s="1"/>
  <c r="F342" i="1" s="1"/>
  <c r="P348" i="1"/>
  <c r="V348" i="1" s="1"/>
  <c r="F348" i="1" s="1"/>
  <c r="G348" i="1" s="1"/>
  <c r="BW348" i="6" s="1"/>
  <c r="AM9" i="15"/>
  <c r="AK7" i="15"/>
  <c r="AK11" i="15" s="1"/>
  <c r="P282" i="1"/>
  <c r="V282" i="1" s="1"/>
  <c r="AD276" i="1"/>
  <c r="AK5" i="15"/>
  <c r="BL16" i="7"/>
  <c r="P367" i="1"/>
  <c r="P40" i="1"/>
  <c r="V40" i="1" s="1"/>
  <c r="P343" i="1"/>
  <c r="V343" i="1" s="1"/>
  <c r="F343" i="1" s="1"/>
  <c r="G343" i="1" s="1"/>
  <c r="BW343" i="6" s="1"/>
  <c r="P355" i="1"/>
  <c r="V355" i="1" s="1"/>
  <c r="F355" i="1" s="1"/>
  <c r="I355" i="1" s="1"/>
  <c r="P69" i="1"/>
  <c r="V69" i="1" s="1"/>
  <c r="P275" i="1"/>
  <c r="V275" i="1" s="1"/>
  <c r="AK9" i="15"/>
  <c r="AK6" i="15"/>
  <c r="AM5" i="15"/>
  <c r="P13" i="7"/>
  <c r="Q13" i="7"/>
  <c r="P41" i="1"/>
  <c r="V41" i="1" s="1"/>
  <c r="AD39" i="1"/>
  <c r="P370" i="1"/>
  <c r="V370" i="1" s="1"/>
  <c r="F370" i="1" s="1"/>
  <c r="I370" i="1" s="1"/>
  <c r="P43" i="1"/>
  <c r="V43" i="1" s="1"/>
  <c r="AD235" i="1"/>
  <c r="P353" i="1"/>
  <c r="V353" i="1" s="1"/>
  <c r="F353" i="1" s="1"/>
  <c r="P373" i="1"/>
  <c r="V373" i="1" s="1"/>
  <c r="F373" i="1" s="1"/>
  <c r="I373" i="1" s="1"/>
  <c r="P239" i="1"/>
  <c r="V239" i="1" s="1"/>
  <c r="P245" i="1"/>
  <c r="V245" i="1" s="1"/>
  <c r="P290" i="1"/>
  <c r="V290" i="1" s="1"/>
  <c r="F290" i="1" s="1"/>
  <c r="G290" i="1" s="1"/>
  <c r="BW290" i="6" s="1"/>
  <c r="P192" i="1"/>
  <c r="V192" i="1" s="1"/>
  <c r="P179" i="1"/>
  <c r="V179" i="1" s="1"/>
  <c r="AD63" i="1"/>
  <c r="P54" i="1"/>
  <c r="V54" i="1" s="1"/>
  <c r="AD50" i="1"/>
  <c r="AD42" i="1"/>
  <c r="AD37" i="1"/>
  <c r="AD47" i="1"/>
  <c r="AA47" i="1" s="1"/>
  <c r="Z47" i="1" s="1"/>
  <c r="Y47" i="1" s="1"/>
  <c r="P188" i="1"/>
  <c r="V188" i="1" s="1"/>
  <c r="AD200" i="1"/>
  <c r="P51" i="1"/>
  <c r="V51" i="1" s="1"/>
  <c r="AD189" i="1"/>
  <c r="AD41" i="1"/>
  <c r="P45" i="1"/>
  <c r="V45" i="1" s="1"/>
  <c r="AA45" i="1" s="1"/>
  <c r="Z45" i="1" s="1"/>
  <c r="Y45" i="1" s="1"/>
  <c r="AD46" i="1"/>
  <c r="P375" i="1"/>
  <c r="V375" i="1" s="1"/>
  <c r="F375" i="1" s="1"/>
  <c r="I375" i="1" s="1"/>
  <c r="AD297" i="1"/>
  <c r="AD300" i="1"/>
  <c r="AD281" i="1"/>
  <c r="AD287" i="1"/>
  <c r="P296" i="1"/>
  <c r="V296" i="1" s="1"/>
  <c r="F296" i="1" s="1"/>
  <c r="I296" i="1" s="1"/>
  <c r="AD313" i="1"/>
  <c r="AD319" i="1"/>
  <c r="P324" i="1"/>
  <c r="V324" i="1" s="1"/>
  <c r="F324" i="1" s="1"/>
  <c r="I324" i="1" s="1"/>
  <c r="AD304" i="1"/>
  <c r="P328" i="1"/>
  <c r="V328" i="1" s="1"/>
  <c r="F328" i="1" s="1"/>
  <c r="I328" i="1" s="1"/>
  <c r="AD64" i="1"/>
  <c r="P76" i="1"/>
  <c r="V76" i="1" s="1"/>
  <c r="P67" i="1"/>
  <c r="V67" i="1" s="1"/>
  <c r="AD356" i="1"/>
  <c r="P349" i="1"/>
  <c r="V349" i="1" s="1"/>
  <c r="F349" i="1" s="1"/>
  <c r="G349" i="1" s="1"/>
  <c r="BW349" i="6" s="1"/>
  <c r="P338" i="1"/>
  <c r="V338" i="1" s="1"/>
  <c r="F338" i="1" s="1"/>
  <c r="G338" i="1" s="1"/>
  <c r="BW338" i="6" s="1"/>
  <c r="P352" i="1"/>
  <c r="V352" i="1" s="1"/>
  <c r="F352" i="1" s="1"/>
  <c r="I352" i="1" s="1"/>
  <c r="P316" i="1"/>
  <c r="V316" i="1" s="1"/>
  <c r="P330" i="1"/>
  <c r="V330" i="1" s="1"/>
  <c r="F330" i="1" s="1"/>
  <c r="G330" i="1" s="1"/>
  <c r="BW330" i="6" s="1"/>
  <c r="AD336" i="1"/>
  <c r="AD321" i="1"/>
  <c r="AD306" i="1"/>
  <c r="AD70" i="1"/>
  <c r="AF202" i="1"/>
  <c r="AD202" i="1" s="1"/>
  <c r="P178" i="1"/>
  <c r="V178" i="1" s="1"/>
  <c r="P57" i="1"/>
  <c r="V57" i="1" s="1"/>
  <c r="AD62" i="1"/>
  <c r="AD60" i="1"/>
  <c r="AD55" i="1"/>
  <c r="P58" i="1"/>
  <c r="V58" i="1" s="1"/>
  <c r="AD53" i="1"/>
  <c r="O148" i="17"/>
  <c r="E148" i="17" s="1"/>
  <c r="O247" i="17"/>
  <c r="E247" i="17" s="1"/>
  <c r="AC10" i="15"/>
  <c r="J206" i="6"/>
  <c r="P206" i="1" s="1"/>
  <c r="V206" i="1" s="1"/>
  <c r="J225" i="6"/>
  <c r="AD225" i="1" s="1"/>
  <c r="J216" i="6"/>
  <c r="P216" i="1" s="1"/>
  <c r="V216" i="1" s="1"/>
  <c r="J218" i="6"/>
  <c r="P218" i="1" s="1"/>
  <c r="V218" i="1" s="1"/>
  <c r="J229" i="6"/>
  <c r="P229" i="1" s="1"/>
  <c r="V229" i="1" s="1"/>
  <c r="J224" i="6"/>
  <c r="AD224" i="1" s="1"/>
  <c r="O141" i="17"/>
  <c r="E141" i="17" s="1"/>
  <c r="O152" i="17"/>
  <c r="E152" i="17" s="1"/>
  <c r="O373" i="17"/>
  <c r="E373" i="17" s="1"/>
  <c r="O256" i="17"/>
  <c r="E256" i="17" s="1"/>
  <c r="O288" i="17"/>
  <c r="E288" i="17" s="1"/>
  <c r="P53" i="1"/>
  <c r="V53" i="1" s="1"/>
  <c r="P50" i="1"/>
  <c r="V50" i="1" s="1"/>
  <c r="AA50" i="1" s="1"/>
  <c r="Z50" i="1" s="1"/>
  <c r="Y50" i="1" s="1"/>
  <c r="P189" i="1"/>
  <c r="V189" i="1" s="1"/>
  <c r="AD186" i="1"/>
  <c r="P68" i="1"/>
  <c r="V68" i="1" s="1"/>
  <c r="AD56" i="1"/>
  <c r="AL9" i="15"/>
  <c r="O264" i="17"/>
  <c r="E264" i="17" s="1"/>
  <c r="O372" i="17"/>
  <c r="E372" i="17" s="1"/>
  <c r="O225" i="17"/>
  <c r="E225" i="17" s="1"/>
  <c r="O340" i="17"/>
  <c r="E340" i="17" s="1"/>
  <c r="O355" i="17"/>
  <c r="E355" i="17" s="1"/>
  <c r="AJ9" i="15"/>
  <c r="AL5" i="15"/>
  <c r="O222" i="17"/>
  <c r="E222" i="17" s="1"/>
  <c r="O200" i="17"/>
  <c r="E200" i="17" s="1"/>
  <c r="O131" i="17"/>
  <c r="E131" i="17" s="1"/>
  <c r="O317" i="17"/>
  <c r="E317" i="17" s="1"/>
  <c r="O287" i="17"/>
  <c r="E287" i="17" s="1"/>
  <c r="O186" i="17"/>
  <c r="E186" i="17" s="1"/>
  <c r="O342" i="17"/>
  <c r="E342" i="17" s="1"/>
  <c r="O267" i="17"/>
  <c r="E267" i="17" s="1"/>
  <c r="O163" i="17"/>
  <c r="E163" i="17" s="1"/>
  <c r="O268" i="17"/>
  <c r="E268" i="17" s="1"/>
  <c r="O140" i="17"/>
  <c r="E140" i="17" s="1"/>
  <c r="P62" i="1"/>
  <c r="V62" i="1" s="1"/>
  <c r="AA62" i="1" s="1"/>
  <c r="Z62" i="1" s="1"/>
  <c r="Y62" i="1" s="1"/>
  <c r="AD57" i="1"/>
  <c r="P52" i="1"/>
  <c r="V52" i="1" s="1"/>
  <c r="O244" i="17"/>
  <c r="E244" i="17" s="1"/>
  <c r="O187" i="17"/>
  <c r="E187" i="17" s="1"/>
  <c r="O239" i="17"/>
  <c r="E239" i="17" s="1"/>
  <c r="O174" i="17"/>
  <c r="E174" i="17" s="1"/>
  <c r="O165" i="17"/>
  <c r="E165" i="17" s="1"/>
  <c r="O376" i="17"/>
  <c r="E376" i="17" s="1"/>
  <c r="O345" i="17"/>
  <c r="E345" i="17" s="1"/>
  <c r="O273" i="17"/>
  <c r="E273" i="17" s="1"/>
  <c r="O213" i="17"/>
  <c r="E213" i="17" s="1"/>
  <c r="O261" i="17"/>
  <c r="E261" i="17" s="1"/>
  <c r="O205" i="17"/>
  <c r="E205" i="17" s="1"/>
  <c r="O149" i="17"/>
  <c r="E149" i="17" s="1"/>
  <c r="O338" i="17"/>
  <c r="E338" i="17" s="1"/>
  <c r="O367" i="17"/>
  <c r="E367" i="17" s="1"/>
  <c r="O312" i="17"/>
  <c r="E312" i="17" s="1"/>
  <c r="O208" i="17"/>
  <c r="E208" i="17" s="1"/>
  <c r="O219" i="17"/>
  <c r="E219" i="17" s="1"/>
  <c r="O153" i="17"/>
  <c r="E153" i="17" s="1"/>
  <c r="O335" i="17"/>
  <c r="E335" i="17" s="1"/>
  <c r="O297" i="17"/>
  <c r="E297" i="17" s="1"/>
  <c r="O197" i="17"/>
  <c r="E197" i="17" s="1"/>
  <c r="AD178" i="1"/>
  <c r="AA178" i="1" s="1"/>
  <c r="Z178" i="1" s="1"/>
  <c r="Y178" i="1" s="1"/>
  <c r="J212" i="6"/>
  <c r="P212" i="1" s="1"/>
  <c r="V212" i="1" s="1"/>
  <c r="J230" i="6"/>
  <c r="O125" i="17"/>
  <c r="E125" i="17" s="1"/>
  <c r="J214" i="6"/>
  <c r="P214" i="1" s="1"/>
  <c r="V214" i="1" s="1"/>
  <c r="J211" i="6"/>
  <c r="AD211" i="1" s="1"/>
  <c r="J231" i="6"/>
  <c r="P231" i="1" s="1"/>
  <c r="V231" i="1" s="1"/>
  <c r="AT187" i="6"/>
  <c r="AT180" i="6"/>
  <c r="AT166" i="6"/>
  <c r="AT169" i="6"/>
  <c r="AD179" i="1"/>
  <c r="AD198" i="1"/>
  <c r="P190" i="1"/>
  <c r="V190" i="1" s="1"/>
  <c r="P199" i="1"/>
  <c r="V199" i="1" s="1"/>
  <c r="AD196" i="1"/>
  <c r="P56" i="1"/>
  <c r="V56" i="1" s="1"/>
  <c r="AA56" i="1" s="1"/>
  <c r="Z56" i="1" s="1"/>
  <c r="Y56" i="1" s="1"/>
  <c r="P55" i="1"/>
  <c r="V55" i="1" s="1"/>
  <c r="P44" i="1"/>
  <c r="V44" i="1" s="1"/>
  <c r="AA44" i="1" s="1"/>
  <c r="Z44" i="1" s="1"/>
  <c r="Y44" i="1" s="1"/>
  <c r="AD40" i="1"/>
  <c r="P49" i="1"/>
  <c r="V49" i="1" s="1"/>
  <c r="AD43" i="1"/>
  <c r="AA43" i="1" s="1"/>
  <c r="Z43" i="1" s="1"/>
  <c r="Y43" i="1" s="1"/>
  <c r="P37" i="1"/>
  <c r="V37" i="1" s="1"/>
  <c r="AA37" i="1" s="1"/>
  <c r="Z37" i="1" s="1"/>
  <c r="Y37" i="1" s="1"/>
  <c r="AD59" i="1"/>
  <c r="P186" i="1"/>
  <c r="V186" i="1" s="1"/>
  <c r="AA186" i="1" s="1"/>
  <c r="Z186" i="1" s="1"/>
  <c r="Y186" i="1" s="1"/>
  <c r="P234" i="1"/>
  <c r="V234" i="1" s="1"/>
  <c r="AD238" i="1"/>
  <c r="P242" i="1"/>
  <c r="V242" i="1" s="1"/>
  <c r="P292" i="1"/>
  <c r="V292" i="1" s="1"/>
  <c r="F292" i="1" s="1"/>
  <c r="G292" i="1" s="1"/>
  <c r="BW292" i="6" s="1"/>
  <c r="AD311" i="1"/>
  <c r="P325" i="1"/>
  <c r="V325" i="1" s="1"/>
  <c r="F325" i="1" s="1"/>
  <c r="G325" i="1" s="1"/>
  <c r="BW325" i="6" s="1"/>
  <c r="P73" i="1"/>
  <c r="V73" i="1" s="1"/>
  <c r="P77" i="1"/>
  <c r="V77" i="1" s="1"/>
  <c r="P335" i="1"/>
  <c r="V335" i="1" s="1"/>
  <c r="F335" i="1" s="1"/>
  <c r="G335" i="1" s="1"/>
  <c r="BW335" i="6" s="1"/>
  <c r="AD346" i="1"/>
  <c r="P341" i="1"/>
  <c r="V341" i="1" s="1"/>
  <c r="F341" i="1" s="1"/>
  <c r="I341" i="1" s="1"/>
  <c r="AD66" i="1"/>
  <c r="AD274" i="1"/>
  <c r="AD75" i="1"/>
  <c r="P215" i="1"/>
  <c r="V215" i="1" s="1"/>
  <c r="P71" i="1"/>
  <c r="V71" i="1" s="1"/>
  <c r="AD185" i="1"/>
  <c r="AD193" i="1"/>
  <c r="AD195" i="1"/>
  <c r="AD191" i="1"/>
  <c r="AD194" i="1"/>
  <c r="AD197" i="1"/>
  <c r="AD201" i="1"/>
  <c r="P202" i="1"/>
  <c r="V202" i="1" s="1"/>
  <c r="O258" i="17"/>
  <c r="E258" i="17" s="1"/>
  <c r="O234" i="17"/>
  <c r="E234" i="17" s="1"/>
  <c r="O206" i="17"/>
  <c r="E206" i="17" s="1"/>
  <c r="O284" i="17"/>
  <c r="E284" i="17" s="1"/>
  <c r="O248" i="17"/>
  <c r="E248" i="17" s="1"/>
  <c r="O216" i="17"/>
  <c r="E216" i="17" s="1"/>
  <c r="O181" i="17"/>
  <c r="E181" i="17" s="1"/>
  <c r="O158" i="17"/>
  <c r="E158" i="17" s="1"/>
  <c r="O130" i="17"/>
  <c r="E130" i="17" s="1"/>
  <c r="O150" i="17"/>
  <c r="E150" i="17" s="1"/>
  <c r="O375" i="17"/>
  <c r="E375" i="17" s="1"/>
  <c r="O324" i="17"/>
  <c r="E324" i="17" s="1"/>
  <c r="O358" i="17"/>
  <c r="E358" i="17" s="1"/>
  <c r="O331" i="17"/>
  <c r="E331" i="17" s="1"/>
  <c r="O301" i="17"/>
  <c r="E301" i="17" s="1"/>
  <c r="O266" i="17"/>
  <c r="E266" i="17" s="1"/>
  <c r="O231" i="17"/>
  <c r="E231" i="17" s="1"/>
  <c r="O296" i="17"/>
  <c r="E296" i="17" s="1"/>
  <c r="O281" i="17"/>
  <c r="E281" i="17" s="1"/>
  <c r="O242" i="17"/>
  <c r="E242" i="17" s="1"/>
  <c r="O214" i="17"/>
  <c r="E214" i="17" s="1"/>
  <c r="O195" i="17"/>
  <c r="E195" i="17" s="1"/>
  <c r="O172" i="17"/>
  <c r="E172" i="17" s="1"/>
  <c r="O126" i="17"/>
  <c r="E126" i="17" s="1"/>
  <c r="O363" i="17"/>
  <c r="C67" i="7" s="1"/>
  <c r="O364" i="17"/>
  <c r="E364" i="17" s="1"/>
  <c r="O314" i="17"/>
  <c r="E314" i="17" s="1"/>
  <c r="O350" i="17"/>
  <c r="E350" i="17" s="1"/>
  <c r="O323" i="17"/>
  <c r="E323" i="17" s="1"/>
  <c r="O290" i="17"/>
  <c r="E290" i="17" s="1"/>
  <c r="O236" i="17"/>
  <c r="E236" i="17" s="1"/>
  <c r="O302" i="17"/>
  <c r="E302" i="17" s="1"/>
  <c r="O251" i="17"/>
  <c r="E251" i="17" s="1"/>
  <c r="O183" i="17"/>
  <c r="E183" i="17" s="1"/>
  <c r="O135" i="17"/>
  <c r="E135" i="17" s="1"/>
  <c r="O332" i="17"/>
  <c r="E332" i="17" s="1"/>
  <c r="O359" i="17"/>
  <c r="E359" i="17" s="1"/>
  <c r="O310" i="17"/>
  <c r="E310" i="17" s="1"/>
  <c r="O243" i="17"/>
  <c r="E243" i="17" s="1"/>
  <c r="O283" i="17"/>
  <c r="E283" i="17" s="1"/>
  <c r="O215" i="17"/>
  <c r="E215" i="17" s="1"/>
  <c r="O173" i="17"/>
  <c r="E173" i="17" s="1"/>
  <c r="O175" i="17"/>
  <c r="E175" i="17" s="1"/>
  <c r="V13" i="7"/>
  <c r="AT340" i="6"/>
  <c r="J208" i="6"/>
  <c r="AD208" i="1" s="1"/>
  <c r="J207" i="6"/>
  <c r="P207" i="1" s="1"/>
  <c r="V207" i="1" s="1"/>
  <c r="J222" i="6"/>
  <c r="P222" i="1" s="1"/>
  <c r="V222" i="1" s="1"/>
  <c r="J228" i="6"/>
  <c r="P228" i="1" s="1"/>
  <c r="V228" i="1" s="1"/>
  <c r="J226" i="6"/>
  <c r="AD226" i="1" s="1"/>
  <c r="P201" i="1"/>
  <c r="V201" i="1" s="1"/>
  <c r="AT183" i="6"/>
  <c r="AT189" i="6"/>
  <c r="AT172" i="6"/>
  <c r="J213" i="6"/>
  <c r="AD213" i="1" s="1"/>
  <c r="J210" i="6"/>
  <c r="P210" i="1" s="1"/>
  <c r="J204" i="6"/>
  <c r="AD204" i="1" s="1"/>
  <c r="J205" i="6"/>
  <c r="P205" i="1" s="1"/>
  <c r="V205" i="1" s="1"/>
  <c r="J227" i="6"/>
  <c r="P227" i="1" s="1"/>
  <c r="V227" i="1" s="1"/>
  <c r="J221" i="6"/>
  <c r="J223" i="6"/>
  <c r="P223" i="1" s="1"/>
  <c r="V223" i="1" s="1"/>
  <c r="J209" i="6"/>
  <c r="J217" i="6"/>
  <c r="AD217" i="1" s="1"/>
  <c r="J220" i="6"/>
  <c r="P220" i="1" s="1"/>
  <c r="V220" i="1" s="1"/>
  <c r="AY221" i="6"/>
  <c r="P200" i="1"/>
  <c r="V200" i="1" s="1"/>
  <c r="AT170" i="6"/>
  <c r="AT184" i="6"/>
  <c r="AT165" i="6"/>
  <c r="AT162" i="6"/>
  <c r="AT175" i="6"/>
  <c r="AT174" i="6"/>
  <c r="AT176" i="6"/>
  <c r="J171" i="6"/>
  <c r="AD171" i="1" s="1"/>
  <c r="AT173" i="6"/>
  <c r="AT167" i="6"/>
  <c r="AT181" i="6"/>
  <c r="AT186" i="6"/>
  <c r="AT164" i="6"/>
  <c r="AT182" i="6"/>
  <c r="AT163" i="6"/>
  <c r="AT171" i="6"/>
  <c r="AT185" i="6"/>
  <c r="AT177" i="6"/>
  <c r="AT188" i="6"/>
  <c r="AT168" i="6"/>
  <c r="AT178" i="6"/>
  <c r="AT179" i="6"/>
  <c r="P191" i="1"/>
  <c r="V191" i="1" s="1"/>
  <c r="AD192" i="1"/>
  <c r="J162" i="6"/>
  <c r="P162" i="1" s="1"/>
  <c r="V162" i="1" s="1"/>
  <c r="J175" i="6"/>
  <c r="AD175" i="1" s="1"/>
  <c r="P194" i="1"/>
  <c r="V194" i="1" s="1"/>
  <c r="AD71" i="1"/>
  <c r="C11" i="19"/>
  <c r="F35" i="19"/>
  <c r="AY215" i="6"/>
  <c r="AT331" i="6"/>
  <c r="Q11" i="17"/>
  <c r="O272" i="17"/>
  <c r="C64" i="7" s="1"/>
  <c r="O253" i="17"/>
  <c r="E253" i="17" s="1"/>
  <c r="O237" i="17"/>
  <c r="E237" i="17" s="1"/>
  <c r="O227" i="17"/>
  <c r="E227" i="17" s="1"/>
  <c r="O209" i="17"/>
  <c r="E209" i="17" s="1"/>
  <c r="O192" i="17"/>
  <c r="E192" i="17" s="1"/>
  <c r="O304" i="17"/>
  <c r="E304" i="17" s="1"/>
  <c r="O279" i="17"/>
  <c r="E279" i="17" s="1"/>
  <c r="O252" i="17"/>
  <c r="E252" i="17" s="1"/>
  <c r="O241" i="17"/>
  <c r="C63" i="7" s="1"/>
  <c r="O229" i="17"/>
  <c r="E229" i="17" s="1"/>
  <c r="O204" i="17"/>
  <c r="E204" i="17" s="1"/>
  <c r="O194" i="17"/>
  <c r="E194" i="17" s="1"/>
  <c r="O178" i="17"/>
  <c r="E178" i="17" s="1"/>
  <c r="O166" i="17"/>
  <c r="E166" i="17" s="1"/>
  <c r="O146" i="17"/>
  <c r="E146" i="17" s="1"/>
  <c r="O136" i="17"/>
  <c r="E136" i="17" s="1"/>
  <c r="O184" i="17"/>
  <c r="E184" i="17" s="1"/>
  <c r="O156" i="17"/>
  <c r="E156" i="17" s="1"/>
  <c r="O144" i="17"/>
  <c r="E144" i="17" s="1"/>
  <c r="O333" i="17"/>
  <c r="E333" i="17" s="1"/>
  <c r="O379" i="17"/>
  <c r="O360" i="17"/>
  <c r="E360" i="17" s="1"/>
  <c r="O307" i="17"/>
  <c r="E307" i="17" s="1"/>
  <c r="O366" i="17"/>
  <c r="E366" i="17" s="1"/>
  <c r="O354" i="17"/>
  <c r="E354" i="17" s="1"/>
  <c r="O337" i="17"/>
  <c r="E337" i="17" s="1"/>
  <c r="O322" i="17"/>
  <c r="E322" i="17" s="1"/>
  <c r="O311" i="17"/>
  <c r="E311" i="17" s="1"/>
  <c r="O292" i="17"/>
  <c r="E292" i="17" s="1"/>
  <c r="O269" i="17"/>
  <c r="E269" i="17" s="1"/>
  <c r="O262" i="17"/>
  <c r="E262" i="17" s="1"/>
  <c r="O246" i="17"/>
  <c r="E246" i="17" s="1"/>
  <c r="O223" i="17"/>
  <c r="E223" i="17" s="1"/>
  <c r="O193" i="17"/>
  <c r="E193" i="17" s="1"/>
  <c r="O293" i="17"/>
  <c r="E293" i="17" s="1"/>
  <c r="O285" i="17"/>
  <c r="E285" i="17" s="1"/>
  <c r="O271" i="17"/>
  <c r="E271" i="17" s="1"/>
  <c r="O249" i="17"/>
  <c r="E249" i="17" s="1"/>
  <c r="O230" i="17"/>
  <c r="E230" i="17" s="1"/>
  <c r="O218" i="17"/>
  <c r="E218" i="17" s="1"/>
  <c r="O210" i="17"/>
  <c r="C62" i="7" s="1"/>
  <c r="O198" i="17"/>
  <c r="E198" i="17" s="1"/>
  <c r="O189" i="17"/>
  <c r="E189" i="17" s="1"/>
  <c r="O177" i="17"/>
  <c r="E177" i="17" s="1"/>
  <c r="O168" i="17"/>
  <c r="E168" i="17" s="1"/>
  <c r="O137" i="17"/>
  <c r="E137" i="17" s="1"/>
  <c r="O162" i="17"/>
  <c r="E162" i="17" s="1"/>
  <c r="O128" i="17"/>
  <c r="E128" i="17" s="1"/>
  <c r="O349" i="17"/>
  <c r="E349" i="17" s="1"/>
  <c r="O329" i="17"/>
  <c r="E329" i="17" s="1"/>
  <c r="O351" i="17"/>
  <c r="E351" i="17" s="1"/>
  <c r="O325" i="17"/>
  <c r="E325" i="17" s="1"/>
  <c r="O378" i="17"/>
  <c r="E378" i="17" s="1"/>
  <c r="O357" i="17"/>
  <c r="E357" i="17" s="1"/>
  <c r="O344" i="17"/>
  <c r="E344" i="17" s="1"/>
  <c r="O328" i="17"/>
  <c r="E328" i="17" s="1"/>
  <c r="O316" i="17"/>
  <c r="E316" i="17" s="1"/>
  <c r="O308" i="17"/>
  <c r="E308" i="17" s="1"/>
  <c r="O277" i="17"/>
  <c r="E277" i="17" s="1"/>
  <c r="O250" i="17"/>
  <c r="E250" i="17" s="1"/>
  <c r="O224" i="17"/>
  <c r="E224" i="17" s="1"/>
  <c r="O191" i="17"/>
  <c r="E191" i="17" s="1"/>
  <c r="O294" i="17"/>
  <c r="E294" i="17" s="1"/>
  <c r="O276" i="17"/>
  <c r="E276" i="17" s="1"/>
  <c r="O240" i="17"/>
  <c r="E240" i="17" s="1"/>
  <c r="O203" i="17"/>
  <c r="E203" i="17" s="1"/>
  <c r="O176" i="17"/>
  <c r="E176" i="17" s="1"/>
  <c r="O142" i="17"/>
  <c r="E142" i="17" s="1"/>
  <c r="O180" i="17"/>
  <c r="E180" i="17" s="1"/>
  <c r="O132" i="17"/>
  <c r="E132" i="17" s="1"/>
  <c r="O377" i="17"/>
  <c r="E377" i="17" s="1"/>
  <c r="O306" i="17"/>
  <c r="E306" i="17" s="1"/>
  <c r="O348" i="17"/>
  <c r="E348" i="17" s="1"/>
  <c r="O320" i="17"/>
  <c r="E320" i="17" s="1"/>
  <c r="O274" i="17"/>
  <c r="E274" i="17" s="1"/>
  <c r="O257" i="17"/>
  <c r="E257" i="17" s="1"/>
  <c r="O217" i="17"/>
  <c r="E217" i="17" s="1"/>
  <c r="O289" i="17"/>
  <c r="E289" i="17" s="1"/>
  <c r="O263" i="17"/>
  <c r="E263" i="17" s="1"/>
  <c r="O228" i="17"/>
  <c r="E228" i="17" s="1"/>
  <c r="O207" i="17"/>
  <c r="E207" i="17" s="1"/>
  <c r="O188" i="17"/>
  <c r="E188" i="17" s="1"/>
  <c r="O161" i="17"/>
  <c r="E161" i="17" s="1"/>
  <c r="O133" i="17"/>
  <c r="E133" i="17" s="1"/>
  <c r="O159" i="17"/>
  <c r="E159" i="17" s="1"/>
  <c r="AJ6" i="15"/>
  <c r="AJ8" i="15"/>
  <c r="W13" i="7"/>
  <c r="O134" i="17"/>
  <c r="E134" i="17" s="1"/>
  <c r="O155" i="17"/>
  <c r="E155" i="17" s="1"/>
  <c r="O167" i="17"/>
  <c r="E167" i="17" s="1"/>
  <c r="O127" i="17"/>
  <c r="E127" i="17" s="1"/>
  <c r="O143" i="17"/>
  <c r="E143" i="17" s="1"/>
  <c r="O151" i="17"/>
  <c r="E151" i="17" s="1"/>
  <c r="O170" i="17"/>
  <c r="E170" i="17" s="1"/>
  <c r="O182" i="17"/>
  <c r="E182" i="17" s="1"/>
  <c r="O190" i="17"/>
  <c r="E190" i="17" s="1"/>
  <c r="O201" i="17"/>
  <c r="E201" i="17" s="1"/>
  <c r="O212" i="17"/>
  <c r="E212" i="17" s="1"/>
  <c r="O221" i="17"/>
  <c r="E221" i="17" s="1"/>
  <c r="O233" i="17"/>
  <c r="E233" i="17" s="1"/>
  <c r="O259" i="17"/>
  <c r="E259" i="17" s="1"/>
  <c r="O280" i="17"/>
  <c r="E280" i="17" s="1"/>
  <c r="O286" i="17"/>
  <c r="E286" i="17" s="1"/>
  <c r="O295" i="17"/>
  <c r="E295" i="17" s="1"/>
  <c r="O199" i="17"/>
  <c r="E199" i="17" s="1"/>
  <c r="O226" i="17"/>
  <c r="E226" i="17" s="1"/>
  <c r="O254" i="17"/>
  <c r="E254" i="17" s="1"/>
  <c r="O265" i="17"/>
  <c r="E265" i="17" s="1"/>
  <c r="O270" i="17"/>
  <c r="E270" i="17" s="1"/>
  <c r="O299" i="17"/>
  <c r="E299" i="17" s="1"/>
  <c r="O315" i="17"/>
  <c r="E315" i="17" s="1"/>
  <c r="O330" i="17"/>
  <c r="E330" i="17" s="1"/>
  <c r="O343" i="17"/>
  <c r="E343" i="17" s="1"/>
  <c r="O356" i="17"/>
  <c r="E356" i="17" s="1"/>
  <c r="O370" i="17"/>
  <c r="E370" i="17" s="1"/>
  <c r="O319" i="17"/>
  <c r="E319" i="17" s="1"/>
  <c r="O371" i="17"/>
  <c r="E371" i="17" s="1"/>
  <c r="O365" i="17"/>
  <c r="E365" i="17" s="1"/>
  <c r="O339" i="17"/>
  <c r="E339" i="17" s="1"/>
  <c r="O147" i="17"/>
  <c r="E147" i="17" s="1"/>
  <c r="O164" i="17"/>
  <c r="E164" i="17" s="1"/>
  <c r="O124" i="17"/>
  <c r="E124" i="17" s="1"/>
  <c r="O138" i="17"/>
  <c r="E138" i="17" s="1"/>
  <c r="O154" i="17"/>
  <c r="E154" i="17" s="1"/>
  <c r="O169" i="17"/>
  <c r="E169" i="17" s="1"/>
  <c r="O179" i="17"/>
  <c r="E179" i="17" s="1"/>
  <c r="O196" i="17"/>
  <c r="E196" i="17" s="1"/>
  <c r="O211" i="17"/>
  <c r="E211" i="17" s="1"/>
  <c r="O235" i="17"/>
  <c r="E235" i="17" s="1"/>
  <c r="O245" i="17"/>
  <c r="E245" i="17" s="1"/>
  <c r="O260" i="17"/>
  <c r="E260" i="17" s="1"/>
  <c r="O282" i="17"/>
  <c r="E282" i="17" s="1"/>
  <c r="O291" i="17"/>
  <c r="E291" i="17" s="1"/>
  <c r="O300" i="17"/>
  <c r="E300" i="17" s="1"/>
  <c r="O185" i="17"/>
  <c r="E185" i="17" s="1"/>
  <c r="O202" i="17"/>
  <c r="E202" i="17" s="1"/>
  <c r="O220" i="17"/>
  <c r="E220" i="17" s="1"/>
  <c r="O232" i="17"/>
  <c r="E232" i="17" s="1"/>
  <c r="O238" i="17"/>
  <c r="E238" i="17" s="1"/>
  <c r="O255" i="17"/>
  <c r="E255" i="17" s="1"/>
  <c r="O275" i="17"/>
  <c r="E275" i="17" s="1"/>
  <c r="O278" i="17"/>
  <c r="E278" i="17" s="1"/>
  <c r="O298" i="17"/>
  <c r="E298" i="17" s="1"/>
  <c r="O309" i="17"/>
  <c r="E309" i="17" s="1"/>
  <c r="O313" i="17"/>
  <c r="E313" i="17" s="1"/>
  <c r="O318" i="17"/>
  <c r="E318" i="17" s="1"/>
  <c r="O326" i="17"/>
  <c r="E326" i="17" s="1"/>
  <c r="O334" i="17"/>
  <c r="E334" i="17" s="1"/>
  <c r="O341" i="17"/>
  <c r="E341" i="17" s="1"/>
  <c r="O346" i="17"/>
  <c r="E346" i="17" s="1"/>
  <c r="O353" i="17"/>
  <c r="E353" i="17" s="1"/>
  <c r="O361" i="17"/>
  <c r="E361" i="17" s="1"/>
  <c r="O369" i="17"/>
  <c r="E369" i="17" s="1"/>
  <c r="O303" i="17"/>
  <c r="E303" i="17" s="1"/>
  <c r="O321" i="17"/>
  <c r="E321" i="17" s="1"/>
  <c r="O327" i="17"/>
  <c r="E327" i="17" s="1"/>
  <c r="O347" i="17"/>
  <c r="E347" i="17" s="1"/>
  <c r="O362" i="17"/>
  <c r="E362" i="17" s="1"/>
  <c r="O305" i="17"/>
  <c r="E305" i="17" s="1"/>
  <c r="O336" i="17"/>
  <c r="E336" i="17" s="1"/>
  <c r="O368" i="17"/>
  <c r="E368" i="17" s="1"/>
  <c r="O352" i="17"/>
  <c r="E352" i="17" s="1"/>
  <c r="O374" i="17"/>
  <c r="E374" i="17" s="1"/>
  <c r="O139" i="17"/>
  <c r="E139" i="17" s="1"/>
  <c r="O157" i="17"/>
  <c r="E157" i="17" s="1"/>
  <c r="O171" i="17"/>
  <c r="E171" i="17" s="1"/>
  <c r="O129" i="17"/>
  <c r="E129" i="17" s="1"/>
  <c r="O145" i="17"/>
  <c r="E145" i="17" s="1"/>
  <c r="O160" i="17"/>
  <c r="E160" i="17" s="1"/>
  <c r="O10" i="18"/>
  <c r="AA13" i="7" s="1"/>
  <c r="AG10" i="7" s="1"/>
  <c r="AD215" i="1"/>
  <c r="AA215" i="1" s="1"/>
  <c r="Z215" i="1" s="1"/>
  <c r="Y215" i="1" s="1"/>
  <c r="P294" i="1"/>
  <c r="V294" i="1" s="1"/>
  <c r="F294" i="1" s="1"/>
  <c r="G294" i="1" s="1"/>
  <c r="BW294" i="6" s="1"/>
  <c r="AD303" i="1"/>
  <c r="P72" i="1"/>
  <c r="V72" i="1" s="1"/>
  <c r="AD339" i="1"/>
  <c r="P315" i="1"/>
  <c r="V315" i="1" s="1"/>
  <c r="F315" i="1" s="1"/>
  <c r="P340" i="1"/>
  <c r="V340" i="1" s="1"/>
  <c r="F340" i="1" s="1"/>
  <c r="I340" i="1" s="1"/>
  <c r="P332" i="1"/>
  <c r="V332" i="1" s="1"/>
  <c r="F332" i="1" s="1"/>
  <c r="I332" i="1" s="1"/>
  <c r="AD181" i="1"/>
  <c r="AD180" i="1"/>
  <c r="P187" i="1"/>
  <c r="V187" i="1" s="1"/>
  <c r="R198" i="1"/>
  <c r="P198" i="1" s="1"/>
  <c r="AD48" i="1"/>
  <c r="AD51" i="1"/>
  <c r="P60" i="1"/>
  <c r="D21" i="7" s="1"/>
  <c r="AD203" i="1"/>
  <c r="P42" i="1"/>
  <c r="V42" i="1" s="1"/>
  <c r="AD49" i="1"/>
  <c r="AD58" i="1"/>
  <c r="P185" i="1"/>
  <c r="V185" i="1" s="1"/>
  <c r="P209" i="1"/>
  <c r="V209" i="1" s="1"/>
  <c r="P203" i="1"/>
  <c r="V203" i="1" s="1"/>
  <c r="P331" i="1"/>
  <c r="V331" i="1" s="1"/>
  <c r="F331" i="1" s="1"/>
  <c r="G331" i="1" s="1"/>
  <c r="BW331" i="6" s="1"/>
  <c r="P345" i="1"/>
  <c r="V345" i="1" s="1"/>
  <c r="F345" i="1" s="1"/>
  <c r="G345" i="1" s="1"/>
  <c r="BW345" i="6" s="1"/>
  <c r="P302" i="1"/>
  <c r="D29" i="7" s="1"/>
  <c r="P350" i="1"/>
  <c r="V350" i="1" s="1"/>
  <c r="F350" i="1" s="1"/>
  <c r="AD199" i="1"/>
  <c r="AD288" i="1"/>
  <c r="AD318" i="1"/>
  <c r="AD65" i="1"/>
  <c r="P334" i="1"/>
  <c r="V334" i="1" s="1"/>
  <c r="F334" i="1" s="1"/>
  <c r="G334" i="1" s="1"/>
  <c r="BW334" i="6" s="1"/>
  <c r="AD323" i="1"/>
  <c r="P295" i="1"/>
  <c r="V295" i="1" s="1"/>
  <c r="F295" i="1" s="1"/>
  <c r="G295" i="1" s="1"/>
  <c r="BW295" i="6" s="1"/>
  <c r="AD177" i="1"/>
  <c r="P183" i="1"/>
  <c r="V183" i="1" s="1"/>
  <c r="P184" i="1"/>
  <c r="V184" i="1" s="1"/>
  <c r="AD176" i="1"/>
  <c r="AD188" i="1"/>
  <c r="AD182" i="1"/>
  <c r="AT330" i="6"/>
  <c r="AY212" i="6"/>
  <c r="AY209" i="6"/>
  <c r="AT335" i="6"/>
  <c r="AT343" i="6"/>
  <c r="AY204" i="6"/>
  <c r="AY210" i="6"/>
  <c r="AY214" i="6"/>
  <c r="AT334" i="6"/>
  <c r="AT349" i="6"/>
  <c r="AT342" i="6"/>
  <c r="AT350" i="6"/>
  <c r="AT332" i="6"/>
  <c r="AY205" i="6"/>
  <c r="AY211" i="6"/>
  <c r="AY227" i="6"/>
  <c r="AY231" i="6"/>
  <c r="AY217" i="6"/>
  <c r="AY207" i="6"/>
  <c r="AY213" i="6"/>
  <c r="AT348" i="6"/>
  <c r="AT356" i="6"/>
  <c r="AT354" i="6"/>
  <c r="AY24" i="6"/>
  <c r="J219" i="6"/>
  <c r="P219" i="1" s="1"/>
  <c r="V219" i="1" s="1"/>
  <c r="AT341" i="6"/>
  <c r="AT337" i="6"/>
  <c r="AT338" i="6"/>
  <c r="AT353" i="6"/>
  <c r="AT345" i="6"/>
  <c r="AT346" i="6"/>
  <c r="AT336" i="6"/>
  <c r="AT344" i="6"/>
  <c r="AY218" i="6"/>
  <c r="AY228" i="6"/>
  <c r="AY224" i="6"/>
  <c r="AY208" i="6"/>
  <c r="AY219" i="6"/>
  <c r="AY222" i="6"/>
  <c r="AY206" i="6"/>
  <c r="AY225" i="6"/>
  <c r="AY229" i="6"/>
  <c r="AY216" i="6"/>
  <c r="AY220" i="6"/>
  <c r="AY226" i="6"/>
  <c r="AY223" i="6"/>
  <c r="AY230" i="6"/>
  <c r="AT144" i="6"/>
  <c r="AT142" i="6"/>
  <c r="AD184" i="1"/>
  <c r="P176" i="1"/>
  <c r="V176" i="1" s="1"/>
  <c r="AT355" i="6"/>
  <c r="AT347" i="6"/>
  <c r="AT357" i="6"/>
  <c r="AT339" i="6"/>
  <c r="AT351" i="6"/>
  <c r="AT352" i="6"/>
  <c r="P177" i="1"/>
  <c r="V177" i="1" s="1"/>
  <c r="AT333" i="6"/>
  <c r="AY179" i="6"/>
  <c r="P323" i="1"/>
  <c r="V323" i="1" s="1"/>
  <c r="F323" i="1" s="1"/>
  <c r="I323" i="1" s="1"/>
  <c r="AJ7" i="15"/>
  <c r="AJ11" i="15" s="1"/>
  <c r="AJ5" i="15"/>
  <c r="AC9" i="18"/>
  <c r="AC12" i="18"/>
  <c r="O12" i="18"/>
  <c r="AJ26" i="20"/>
  <c r="AJ61" i="20"/>
  <c r="AJ121" i="20"/>
  <c r="AJ133" i="20"/>
  <c r="AJ120" i="20"/>
  <c r="AJ200" i="20"/>
  <c r="AJ255" i="20"/>
  <c r="AJ196" i="20"/>
  <c r="AJ267" i="20"/>
  <c r="AJ339" i="20"/>
  <c r="AJ336" i="20"/>
  <c r="F7" i="20"/>
  <c r="AJ63" i="20"/>
  <c r="AJ87" i="20"/>
  <c r="AJ90" i="20"/>
  <c r="AJ161" i="20"/>
  <c r="AJ167" i="20"/>
  <c r="AJ230" i="20"/>
  <c r="AJ286" i="20"/>
  <c r="AJ232" i="20"/>
  <c r="AJ306" i="20"/>
  <c r="AJ364" i="20"/>
  <c r="AJ356" i="20"/>
  <c r="AF13" i="7"/>
  <c r="AJ15" i="20"/>
  <c r="AJ32" i="20"/>
  <c r="AJ21" i="20"/>
  <c r="AJ52" i="20"/>
  <c r="AJ35" i="20"/>
  <c r="AJ49" i="20"/>
  <c r="AJ64" i="20"/>
  <c r="AJ74" i="20"/>
  <c r="AJ92" i="20"/>
  <c r="AJ110" i="20"/>
  <c r="AJ124" i="20"/>
  <c r="AJ81" i="20"/>
  <c r="AJ93" i="20"/>
  <c r="AJ106" i="20"/>
  <c r="AJ136" i="20"/>
  <c r="AJ149" i="20"/>
  <c r="AJ163" i="20"/>
  <c r="AJ179" i="20"/>
  <c r="AJ134" i="20"/>
  <c r="AJ154" i="20"/>
  <c r="AJ174" i="20"/>
  <c r="AJ186" i="20"/>
  <c r="AJ206" i="20"/>
  <c r="AJ223" i="20"/>
  <c r="AJ233" i="20"/>
  <c r="AJ246" i="20"/>
  <c r="AJ259" i="20"/>
  <c r="AJ276" i="20"/>
  <c r="AJ292" i="20"/>
  <c r="AJ188" i="20"/>
  <c r="AJ201" i="20"/>
  <c r="AJ212" i="20"/>
  <c r="AJ235" i="20"/>
  <c r="AJ258" i="20"/>
  <c r="AJ273" i="20"/>
  <c r="AJ290" i="20"/>
  <c r="AJ309" i="20"/>
  <c r="AJ322" i="20"/>
  <c r="AJ341" i="20"/>
  <c r="AJ352" i="20"/>
  <c r="AJ366" i="20"/>
  <c r="AJ308" i="20"/>
  <c r="AJ346" i="20"/>
  <c r="AJ310" i="20"/>
  <c r="AJ367" i="20"/>
  <c r="AJ355" i="20"/>
  <c r="AJ34" i="20"/>
  <c r="AJ57" i="20"/>
  <c r="AJ51" i="20"/>
  <c r="AJ77" i="20"/>
  <c r="AJ113" i="20"/>
  <c r="AJ84" i="20"/>
  <c r="AJ122" i="20"/>
  <c r="AJ153" i="20"/>
  <c r="AJ112" i="20"/>
  <c r="AJ158" i="20"/>
  <c r="AJ189" i="20"/>
  <c r="AJ226" i="20"/>
  <c r="AJ249" i="20"/>
  <c r="AJ278" i="20"/>
  <c r="AJ191" i="20"/>
  <c r="AJ216" i="20"/>
  <c r="AJ262" i="20"/>
  <c r="AJ294" i="20"/>
  <c r="AJ330" i="20"/>
  <c r="AJ357" i="20"/>
  <c r="AJ319" i="20"/>
  <c r="AJ316" i="20"/>
  <c r="AJ379" i="20"/>
  <c r="AJ374" i="20"/>
  <c r="AJ349" i="20"/>
  <c r="AJ287" i="20"/>
  <c r="AJ210" i="20"/>
  <c r="AJ272" i="20"/>
  <c r="AJ221" i="20"/>
  <c r="AJ151" i="20"/>
  <c r="AJ146" i="20"/>
  <c r="AJ75" i="20"/>
  <c r="AJ71" i="20"/>
  <c r="AJ43" i="20"/>
  <c r="AJ380" i="20"/>
  <c r="AJ20" i="20"/>
  <c r="AJ59" i="20"/>
  <c r="AJ55" i="20"/>
  <c r="AJ80" i="20"/>
  <c r="AJ116" i="20"/>
  <c r="AJ86" i="20"/>
  <c r="AJ131" i="20"/>
  <c r="AJ157" i="20"/>
  <c r="AJ117" i="20"/>
  <c r="AJ164" i="20"/>
  <c r="AJ197" i="20"/>
  <c r="AJ228" i="20"/>
  <c r="AJ251" i="20"/>
  <c r="AJ283" i="20"/>
  <c r="AJ194" i="20"/>
  <c r="AJ219" i="20"/>
  <c r="AJ265" i="20"/>
  <c r="AJ299" i="20"/>
  <c r="AJ332" i="20"/>
  <c r="AJ361" i="20"/>
  <c r="AJ329" i="20"/>
  <c r="AJ327" i="20"/>
  <c r="AJ22" i="20"/>
  <c r="AJ40" i="20"/>
  <c r="AJ97" i="20"/>
  <c r="AJ96" i="20"/>
  <c r="AJ168" i="20"/>
  <c r="AJ176" i="20"/>
  <c r="AJ237" i="20"/>
  <c r="AJ298" i="20"/>
  <c r="AJ244" i="20"/>
  <c r="AJ314" i="20"/>
  <c r="AJ372" i="20"/>
  <c r="AJ369" i="20"/>
  <c r="AJ325" i="20"/>
  <c r="AJ320" i="20"/>
  <c r="AJ303" i="20"/>
  <c r="AJ184" i="20"/>
  <c r="AJ102" i="20"/>
  <c r="AJ46" i="20"/>
  <c r="AJ335" i="20"/>
  <c r="AJ378" i="20"/>
  <c r="AJ360" i="20"/>
  <c r="AJ323" i="20"/>
  <c r="AJ377" i="20"/>
  <c r="AJ353" i="20"/>
  <c r="AJ338" i="20"/>
  <c r="AJ326" i="20"/>
  <c r="AJ297" i="20"/>
  <c r="AJ373" i="20"/>
  <c r="AJ365" i="20"/>
  <c r="AJ358" i="20"/>
  <c r="AJ351" i="20"/>
  <c r="AJ344" i="20"/>
  <c r="AJ340" i="20"/>
  <c r="AJ331" i="20"/>
  <c r="AJ321" i="20"/>
  <c r="AJ315" i="20"/>
  <c r="AJ307" i="20"/>
  <c r="AJ295" i="20"/>
  <c r="AJ288" i="20"/>
  <c r="AJ280" i="20"/>
  <c r="AJ270" i="20"/>
  <c r="AJ263" i="20"/>
  <c r="AJ256" i="20"/>
  <c r="AJ245" i="20"/>
  <c r="AJ234" i="20"/>
  <c r="AJ217" i="20"/>
  <c r="AJ211" i="20"/>
  <c r="AJ205" i="20"/>
  <c r="AJ198" i="20"/>
  <c r="AJ192" i="20"/>
  <c r="AJ183" i="20"/>
  <c r="AJ300" i="20"/>
  <c r="AJ289" i="20"/>
  <c r="AJ281" i="20"/>
  <c r="AJ275" i="20"/>
  <c r="AJ268" i="20"/>
  <c r="AJ257" i="20"/>
  <c r="AJ250" i="20"/>
  <c r="AJ242" i="20"/>
  <c r="AJ238" i="20"/>
  <c r="AJ231" i="20"/>
  <c r="AJ227" i="20"/>
  <c r="AJ222" i="20"/>
  <c r="AJ215" i="20"/>
  <c r="AJ204" i="20"/>
  <c r="AJ193" i="20"/>
  <c r="AJ185" i="20"/>
  <c r="AJ178" i="20"/>
  <c r="AJ173" i="20"/>
  <c r="AJ160" i="20"/>
  <c r="AJ152" i="20"/>
  <c r="AJ143" i="20"/>
  <c r="AJ129" i="20"/>
  <c r="AJ114" i="20"/>
  <c r="AJ177" i="20"/>
  <c r="AJ169" i="20"/>
  <c r="AJ162" i="20"/>
  <c r="AJ155" i="20"/>
  <c r="AJ148" i="20"/>
  <c r="AJ140" i="20"/>
  <c r="AJ135" i="20"/>
  <c r="AJ130" i="20"/>
  <c r="AJ103" i="20"/>
  <c r="AJ98" i="20"/>
  <c r="AJ91" i="20"/>
  <c r="AJ85" i="20"/>
  <c r="AJ78" i="20"/>
  <c r="AJ127" i="20"/>
  <c r="AJ123" i="20"/>
  <c r="AJ115" i="20"/>
  <c r="AJ109" i="20"/>
  <c r="AJ100" i="20"/>
  <c r="AJ89" i="20"/>
  <c r="AJ79" i="20"/>
  <c r="AJ73" i="20"/>
  <c r="AJ68" i="20"/>
  <c r="AJ62" i="20"/>
  <c r="AJ54" i="20"/>
  <c r="AJ48" i="20"/>
  <c r="AJ41" i="20"/>
  <c r="AJ66" i="20"/>
  <c r="AJ58" i="20"/>
  <c r="AJ47" i="20"/>
  <c r="AJ37" i="20"/>
  <c r="AJ28" i="20"/>
  <c r="AJ19" i="20"/>
  <c r="AJ31" i="20"/>
  <c r="AJ23" i="20"/>
  <c r="AJ17" i="20"/>
  <c r="AJ25" i="20"/>
  <c r="AJ44" i="20"/>
  <c r="AJ104" i="20"/>
  <c r="AJ99" i="20"/>
  <c r="AJ170" i="20"/>
  <c r="AJ181" i="20"/>
  <c r="AJ239" i="20"/>
  <c r="AJ301" i="20"/>
  <c r="AJ247" i="20"/>
  <c r="AJ317" i="20"/>
  <c r="AJ375" i="20"/>
  <c r="AJ305" i="20"/>
  <c r="AJ67" i="20"/>
  <c r="AJ139" i="20"/>
  <c r="AJ214" i="20"/>
  <c r="AJ203" i="20"/>
  <c r="AJ343" i="20"/>
  <c r="AJ296" i="20"/>
  <c r="AJ241" i="20"/>
  <c r="AJ107" i="20"/>
  <c r="AJ324" i="20"/>
  <c r="AJ337" i="20"/>
  <c r="AJ370" i="20"/>
  <c r="AJ333" i="20"/>
  <c r="AJ376" i="20"/>
  <c r="AJ362" i="20"/>
  <c r="AJ348" i="20"/>
  <c r="AJ334" i="20"/>
  <c r="AJ318" i="20"/>
  <c r="AJ304" i="20"/>
  <c r="AJ284" i="20"/>
  <c r="AJ266" i="20"/>
  <c r="AJ253" i="20"/>
  <c r="AJ225" i="20"/>
  <c r="AJ209" i="20"/>
  <c r="AJ195" i="20"/>
  <c r="AJ302" i="20"/>
  <c r="AJ285" i="20"/>
  <c r="AJ271" i="20"/>
  <c r="AJ252" i="20"/>
  <c r="AJ240" i="20"/>
  <c r="AJ229" i="20"/>
  <c r="AJ220" i="20"/>
  <c r="AJ199" i="20"/>
  <c r="AJ182" i="20"/>
  <c r="AJ165" i="20"/>
  <c r="AJ147" i="20"/>
  <c r="AJ118" i="20"/>
  <c r="AJ171" i="20"/>
  <c r="AJ159" i="20"/>
  <c r="AJ145" i="20"/>
  <c r="AJ132" i="20"/>
  <c r="AJ101" i="20"/>
  <c r="AJ88" i="20"/>
  <c r="AJ72" i="20"/>
  <c r="AJ119" i="20"/>
  <c r="AJ105" i="20"/>
  <c r="AJ82" i="20"/>
  <c r="AJ70" i="20"/>
  <c r="AJ56" i="20"/>
  <c r="AJ45" i="20"/>
  <c r="AJ60" i="20"/>
  <c r="AJ42" i="20"/>
  <c r="AJ24" i="20"/>
  <c r="AJ29" i="20"/>
  <c r="AJ16" i="20"/>
  <c r="AJ39" i="20"/>
  <c r="AJ69" i="20"/>
  <c r="AJ128" i="20"/>
  <c r="AJ141" i="20"/>
  <c r="AJ144" i="20"/>
  <c r="AJ218" i="20"/>
  <c r="AJ269" i="20"/>
  <c r="AJ208" i="20"/>
  <c r="AJ282" i="20"/>
  <c r="AJ345" i="20"/>
  <c r="AJ359" i="20"/>
  <c r="AJ36" i="20"/>
  <c r="AJ126" i="20"/>
  <c r="AJ142" i="20"/>
  <c r="AJ264" i="20"/>
  <c r="AJ279" i="20"/>
  <c r="AJ350" i="20"/>
  <c r="AJ254" i="20"/>
  <c r="AJ172" i="20"/>
  <c r="AJ30" i="20"/>
  <c r="AJ363" i="20"/>
  <c r="AJ368" i="20"/>
  <c r="AJ312" i="20"/>
  <c r="AJ347" i="20"/>
  <c r="AJ311" i="20"/>
  <c r="AJ371" i="20"/>
  <c r="AJ354" i="20"/>
  <c r="AJ342" i="20"/>
  <c r="AJ328" i="20"/>
  <c r="AJ313" i="20"/>
  <c r="AJ291" i="20"/>
  <c r="AJ274" i="20"/>
  <c r="AJ260" i="20"/>
  <c r="AJ243" i="20"/>
  <c r="AJ213" i="20"/>
  <c r="AJ202" i="20"/>
  <c r="AJ190" i="20"/>
  <c r="AJ293" i="20"/>
  <c r="AJ277" i="20"/>
  <c r="AJ261" i="20"/>
  <c r="AJ248" i="20"/>
  <c r="AJ236" i="20"/>
  <c r="AJ224" i="20"/>
  <c r="AJ207" i="20"/>
  <c r="AJ187" i="20"/>
  <c r="AJ175" i="20"/>
  <c r="AJ156" i="20"/>
  <c r="AJ137" i="20"/>
  <c r="AJ180" i="20"/>
  <c r="AJ166" i="20"/>
  <c r="AJ150" i="20"/>
  <c r="AJ138" i="20"/>
  <c r="AJ108" i="20"/>
  <c r="AJ95" i="20"/>
  <c r="AJ83" i="20"/>
  <c r="AJ125" i="20"/>
  <c r="AJ111" i="20"/>
  <c r="AJ94" i="20"/>
  <c r="AJ76" i="20"/>
  <c r="AJ65" i="20"/>
  <c r="AJ50" i="20"/>
  <c r="AJ38" i="20"/>
  <c r="AJ53" i="20"/>
  <c r="AJ27" i="20"/>
  <c r="AJ33" i="20"/>
  <c r="AJ18" i="20"/>
  <c r="O11" i="15"/>
  <c r="AC12" i="15"/>
  <c r="AC9" i="15"/>
  <c r="O12" i="15"/>
  <c r="AJ5" i="18"/>
  <c r="O10" i="15"/>
  <c r="O11" i="18"/>
  <c r="O9" i="22"/>
  <c r="AL7" i="15"/>
  <c r="AL11" i="15" s="1"/>
  <c r="J168" i="6"/>
  <c r="AD168" i="1" s="1"/>
  <c r="P180" i="1"/>
  <c r="D25" i="7" s="1"/>
  <c r="J163" i="6"/>
  <c r="P163" i="1" s="1"/>
  <c r="V163" i="1" s="1"/>
  <c r="AD315" i="1"/>
  <c r="AD350" i="1"/>
  <c r="AT161" i="6"/>
  <c r="AD187" i="1"/>
  <c r="AD183" i="1"/>
  <c r="AD295" i="1"/>
  <c r="AT139" i="6"/>
  <c r="AD296" i="1"/>
  <c r="J169" i="6"/>
  <c r="P169" i="1" s="1"/>
  <c r="V169" i="1" s="1"/>
  <c r="AD294" i="1"/>
  <c r="J122" i="6"/>
  <c r="AD122" i="1" s="1"/>
  <c r="P303" i="1"/>
  <c r="V303" i="1" s="1"/>
  <c r="F303" i="1" s="1"/>
  <c r="AD76" i="1"/>
  <c r="AT149" i="6"/>
  <c r="AT145" i="6"/>
  <c r="AT141" i="6"/>
  <c r="AD352" i="1"/>
  <c r="P339" i="1"/>
  <c r="V339" i="1" s="1"/>
  <c r="F339" i="1" s="1"/>
  <c r="AD73" i="1"/>
  <c r="AD325" i="1"/>
  <c r="P321" i="1"/>
  <c r="V321" i="1" s="1"/>
  <c r="F321" i="1" s="1"/>
  <c r="I321" i="1" s="1"/>
  <c r="AD67" i="1"/>
  <c r="P65" i="1"/>
  <c r="V65" i="1" s="1"/>
  <c r="P356" i="1"/>
  <c r="V356" i="1" s="1"/>
  <c r="F356" i="1" s="1"/>
  <c r="G356" i="1" s="1"/>
  <c r="BW356" i="6" s="1"/>
  <c r="AD324" i="1"/>
  <c r="AD69" i="1"/>
  <c r="AA69" i="1" s="1"/>
  <c r="Z69" i="1" s="1"/>
  <c r="Y69" i="1" s="1"/>
  <c r="AD330" i="1"/>
  <c r="P336" i="1"/>
  <c r="V336" i="1" s="1"/>
  <c r="F336" i="1" s="1"/>
  <c r="I336" i="1" s="1"/>
  <c r="P66" i="1"/>
  <c r="V66" i="1" s="1"/>
  <c r="AD317" i="1"/>
  <c r="P173" i="1"/>
  <c r="V173" i="1" s="1"/>
  <c r="AD173" i="1"/>
  <c r="AD349" i="1"/>
  <c r="AD275" i="1"/>
  <c r="AT321" i="6"/>
  <c r="AD245" i="1"/>
  <c r="AD328" i="1"/>
  <c r="J117" i="6"/>
  <c r="J119" i="6"/>
  <c r="AD119" i="1" s="1"/>
  <c r="J164" i="6"/>
  <c r="P164" i="1" s="1"/>
  <c r="V164" i="1" s="1"/>
  <c r="J165" i="6"/>
  <c r="AD165" i="1" s="1"/>
  <c r="J166" i="6"/>
  <c r="AD166" i="1" s="1"/>
  <c r="J170" i="6"/>
  <c r="P170" i="1" s="1"/>
  <c r="V170" i="1" s="1"/>
  <c r="J167" i="6"/>
  <c r="AD167" i="1" s="1"/>
  <c r="J172" i="6"/>
  <c r="AD172" i="1" s="1"/>
  <c r="P319" i="1"/>
  <c r="V319" i="1" s="1"/>
  <c r="P318" i="1"/>
  <c r="V318" i="1" s="1"/>
  <c r="F318" i="1" s="1"/>
  <c r="I318" i="1" s="1"/>
  <c r="P280" i="1"/>
  <c r="V280" i="1" s="1"/>
  <c r="AD353" i="1"/>
  <c r="P310" i="1"/>
  <c r="V310" i="1" s="1"/>
  <c r="F310" i="1" s="1"/>
  <c r="AD289" i="1"/>
  <c r="P285" i="1"/>
  <c r="V285" i="1" s="1"/>
  <c r="P309" i="1"/>
  <c r="V309" i="1" s="1"/>
  <c r="F309" i="1" s="1"/>
  <c r="I309" i="1" s="1"/>
  <c r="AD333" i="1"/>
  <c r="P314" i="1"/>
  <c r="V314" i="1" s="1"/>
  <c r="F314" i="1" s="1"/>
  <c r="I314" i="1" s="1"/>
  <c r="P182" i="1"/>
  <c r="V182" i="1" s="1"/>
  <c r="P64" i="1"/>
  <c r="V64" i="1" s="1"/>
  <c r="P291" i="1"/>
  <c r="V291" i="1" s="1"/>
  <c r="F291" i="1" s="1"/>
  <c r="G291" i="1" s="1"/>
  <c r="BW291" i="6" s="1"/>
  <c r="AD190" i="1"/>
  <c r="P181" i="1"/>
  <c r="V181" i="1" s="1"/>
  <c r="P75" i="1"/>
  <c r="V75" i="1" s="1"/>
  <c r="P313" i="1"/>
  <c r="V313" i="1" s="1"/>
  <c r="F313" i="1" s="1"/>
  <c r="P196" i="1"/>
  <c r="V196" i="1" s="1"/>
  <c r="AH223" i="1"/>
  <c r="AG223" i="1" s="1"/>
  <c r="AF223" i="1" s="1"/>
  <c r="AH259" i="1"/>
  <c r="AG259" i="1" s="1"/>
  <c r="AF259" i="1" s="1"/>
  <c r="D16" i="7"/>
  <c r="T379" i="1"/>
  <c r="S379" i="1" s="1"/>
  <c r="R379" i="1" s="1"/>
  <c r="BR16" i="7"/>
  <c r="U12" i="15"/>
  <c r="I16" i="7" s="1"/>
  <c r="J11" i="7"/>
  <c r="U11" i="15" s="1"/>
  <c r="AD340" i="1"/>
  <c r="L13" i="19"/>
  <c r="AI11" i="16"/>
  <c r="AE11" i="16"/>
  <c r="P10" i="16"/>
  <c r="AH221" i="1"/>
  <c r="AG221" i="1" s="1"/>
  <c r="AF221" i="1" s="1"/>
  <c r="T221" i="1"/>
  <c r="S221" i="1" s="1"/>
  <c r="R221" i="1" s="1"/>
  <c r="T289" i="1"/>
  <c r="S289" i="1" s="1"/>
  <c r="R289" i="1" s="1"/>
  <c r="P289" i="1" s="1"/>
  <c r="V289" i="1" s="1"/>
  <c r="F289" i="1" s="1"/>
  <c r="T307" i="1"/>
  <c r="S307" i="1" s="1"/>
  <c r="R307" i="1" s="1"/>
  <c r="T322" i="1"/>
  <c r="S322" i="1" s="1"/>
  <c r="R322" i="1" s="1"/>
  <c r="P322" i="1" s="1"/>
  <c r="V322" i="1" s="1"/>
  <c r="F322" i="1" s="1"/>
  <c r="I322" i="1" s="1"/>
  <c r="AH348" i="1"/>
  <c r="AG348" i="1" s="1"/>
  <c r="AF348" i="1" s="1"/>
  <c r="AD348" i="1" s="1"/>
  <c r="AH307" i="1"/>
  <c r="AG307" i="1" s="1"/>
  <c r="AF307" i="1" s="1"/>
  <c r="AH262" i="1"/>
  <c r="AG262" i="1" s="1"/>
  <c r="AF262" i="1" s="1"/>
  <c r="T236" i="1"/>
  <c r="S236" i="1" s="1"/>
  <c r="R236" i="1" s="1"/>
  <c r="T305" i="1"/>
  <c r="AH286" i="1"/>
  <c r="AG286" i="1" s="1"/>
  <c r="AF286" i="1" s="1"/>
  <c r="AH283" i="1"/>
  <c r="AG283" i="1" s="1"/>
  <c r="AF283" i="1" s="1"/>
  <c r="T277" i="1"/>
  <c r="S277" i="1" s="1"/>
  <c r="R277" i="1" s="1"/>
  <c r="P277" i="1" s="1"/>
  <c r="V277" i="1" s="1"/>
  <c r="AH331" i="1"/>
  <c r="AG331" i="1" s="1"/>
  <c r="AF331" i="1" s="1"/>
  <c r="T284" i="1"/>
  <c r="S61" i="1"/>
  <c r="R61" i="1" s="1"/>
  <c r="P61" i="1" s="1"/>
  <c r="V61" i="1" s="1"/>
  <c r="AH207" i="1"/>
  <c r="AG207" i="1" s="1"/>
  <c r="AF207" i="1" s="1"/>
  <c r="AH322" i="1"/>
  <c r="AG322" i="1" s="1"/>
  <c r="AF322" i="1" s="1"/>
  <c r="AH291" i="1"/>
  <c r="AG291" i="1" s="1"/>
  <c r="AF291" i="1" s="1"/>
  <c r="AD291" i="1" s="1"/>
  <c r="U381" i="1"/>
  <c r="T15" i="1"/>
  <c r="U382" i="1"/>
  <c r="U383" i="1"/>
  <c r="AH308" i="1"/>
  <c r="AH240" i="1"/>
  <c r="AG240" i="1" s="1"/>
  <c r="AF240" i="1" s="1"/>
  <c r="AH368" i="1"/>
  <c r="AG368" i="1" s="1"/>
  <c r="AF368" i="1" s="1"/>
  <c r="AD368" i="1" s="1"/>
  <c r="AH347" i="1"/>
  <c r="AG347" i="1" s="1"/>
  <c r="AF347" i="1" s="1"/>
  <c r="AH263" i="1"/>
  <c r="AG263" i="1" s="1"/>
  <c r="AF263" i="1" s="1"/>
  <c r="AH343" i="1"/>
  <c r="AH354" i="1"/>
  <c r="AG354" i="1" s="1"/>
  <c r="AF354" i="1" s="1"/>
  <c r="AH302" i="1"/>
  <c r="AG302" i="1" s="1"/>
  <c r="AF302" i="1" s="1"/>
  <c r="AD302" i="1" s="1"/>
  <c r="AH234" i="1"/>
  <c r="AG234" i="1" s="1"/>
  <c r="AF234" i="1" s="1"/>
  <c r="AH338" i="1"/>
  <c r="AH216" i="1"/>
  <c r="AG216" i="1" s="1"/>
  <c r="AF216" i="1" s="1"/>
  <c r="AH367" i="1"/>
  <c r="AG367" i="1" s="1"/>
  <c r="AF367" i="1" s="1"/>
  <c r="AH230" i="1"/>
  <c r="AG230" i="1" s="1"/>
  <c r="AF230" i="1" s="1"/>
  <c r="AD230" i="1" s="1"/>
  <c r="AD61" i="1"/>
  <c r="AI381" i="1"/>
  <c r="AK17" i="17"/>
  <c r="F8" i="17"/>
  <c r="AK16" i="17"/>
  <c r="AK20" i="17"/>
  <c r="AK18" i="17"/>
  <c r="AK22" i="17"/>
  <c r="AK25" i="17"/>
  <c r="AK31" i="17"/>
  <c r="AK34" i="17"/>
  <c r="AK36" i="17"/>
  <c r="AK23" i="17"/>
  <c r="AK28" i="17"/>
  <c r="AK27" i="17"/>
  <c r="AK39" i="17"/>
  <c r="AK40" i="17"/>
  <c r="AK44" i="17"/>
  <c r="AK49" i="17"/>
  <c r="AK56" i="17"/>
  <c r="AK59" i="17"/>
  <c r="AK62" i="17"/>
  <c r="AK65" i="17"/>
  <c r="AK67" i="17"/>
  <c r="AK42" i="17"/>
  <c r="AK45" i="17"/>
  <c r="AK48" i="17"/>
  <c r="AK52" i="17"/>
  <c r="AK54" i="17"/>
  <c r="AK57" i="17"/>
  <c r="AK64" i="17"/>
  <c r="AK70" i="17"/>
  <c r="AK75" i="17"/>
  <c r="AK77" i="17"/>
  <c r="AK86" i="17"/>
  <c r="AK91" i="17"/>
  <c r="AK94" i="17"/>
  <c r="AK102" i="17"/>
  <c r="AK108" i="17"/>
  <c r="AK112" i="17"/>
  <c r="AK115" i="17"/>
  <c r="AK117" i="17"/>
  <c r="AK119" i="17"/>
  <c r="AK122" i="17"/>
  <c r="AK126" i="17"/>
  <c r="AK129" i="17"/>
  <c r="AK73" i="17"/>
  <c r="AK78" i="17"/>
  <c r="AK80" i="17"/>
  <c r="AK82" i="17"/>
  <c r="AK85" i="17"/>
  <c r="AK89" i="17"/>
  <c r="AK92" i="17"/>
  <c r="AK96" i="17"/>
  <c r="AK98" i="17"/>
  <c r="AK100" i="17"/>
  <c r="AK105" i="17"/>
  <c r="AK107" i="17"/>
  <c r="AK111" i="17"/>
  <c r="AK128" i="17"/>
  <c r="AK131" i="17"/>
  <c r="AK136" i="17"/>
  <c r="AK140" i="17"/>
  <c r="AK145" i="17"/>
  <c r="AK148" i="17"/>
  <c r="AK151" i="17"/>
  <c r="AK153" i="17"/>
  <c r="AK158" i="17"/>
  <c r="AK162" i="17"/>
  <c r="AK164" i="17"/>
  <c r="AK169" i="17"/>
  <c r="AK173" i="17"/>
  <c r="AK181" i="17"/>
  <c r="AK183" i="17"/>
  <c r="AK113" i="17"/>
  <c r="AK123" i="17"/>
  <c r="AK134" i="17"/>
  <c r="AK137" i="17"/>
  <c r="AK141" i="17"/>
  <c r="AK144" i="17"/>
  <c r="AK150" i="17"/>
  <c r="AK155" i="17"/>
  <c r="AK160" i="17"/>
  <c r="AK165" i="17"/>
  <c r="AK167" i="17"/>
  <c r="AK171" i="17"/>
  <c r="AK175" i="17"/>
  <c r="AK177" i="17"/>
  <c r="AK180" i="17"/>
  <c r="AK187" i="17"/>
  <c r="AK190" i="17"/>
  <c r="AK192" i="17"/>
  <c r="AK201" i="17"/>
  <c r="AK205" i="17"/>
  <c r="AK209" i="17"/>
  <c r="AK213" i="17"/>
  <c r="AK218" i="17"/>
  <c r="AK222" i="17"/>
  <c r="AK224" i="17"/>
  <c r="AK229" i="17"/>
  <c r="AK235" i="17"/>
  <c r="AK237" i="17"/>
  <c r="AK242" i="17"/>
  <c r="AK247" i="17"/>
  <c r="AK258" i="17"/>
  <c r="AK262" i="17"/>
  <c r="AK267" i="17"/>
  <c r="AK270" i="17"/>
  <c r="AK273" i="17"/>
  <c r="AK275" i="17"/>
  <c r="AK279" i="17"/>
  <c r="AK283" i="17"/>
  <c r="AK291" i="17"/>
  <c r="AK294" i="17"/>
  <c r="AK299" i="17"/>
  <c r="AK303" i="17"/>
  <c r="AK306" i="17"/>
  <c r="AK186" i="17"/>
  <c r="AK193" i="17"/>
  <c r="AK195" i="17"/>
  <c r="AK198" i="17"/>
  <c r="AK200" i="17"/>
  <c r="AK204" i="17"/>
  <c r="AK208" i="17"/>
  <c r="AK212" i="17"/>
  <c r="AK215" i="17"/>
  <c r="AK219" i="17"/>
  <c r="AK225" i="17"/>
  <c r="AK228" i="17"/>
  <c r="AK232" i="17"/>
  <c r="AK234" i="17"/>
  <c r="AK240" i="17"/>
  <c r="AK243" i="17"/>
  <c r="AK246" i="17"/>
  <c r="AK249" i="17"/>
  <c r="AK251" i="17"/>
  <c r="AK254" i="17"/>
  <c r="AK256" i="17"/>
  <c r="AK259" i="17"/>
  <c r="AK263" i="17"/>
  <c r="AK266" i="17"/>
  <c r="AK272" i="17"/>
  <c r="AK277" i="17"/>
  <c r="AK282" i="17"/>
  <c r="AK285" i="17"/>
  <c r="AK287" i="17"/>
  <c r="AK290" i="17"/>
  <c r="AK296" i="17"/>
  <c r="AK298" i="17"/>
  <c r="AK302" i="17"/>
  <c r="AK312" i="17"/>
  <c r="AK320" i="17"/>
  <c r="AK322" i="17"/>
  <c r="AK326" i="17"/>
  <c r="AK330" i="17"/>
  <c r="AK337" i="17"/>
  <c r="AK340" i="17"/>
  <c r="AK344" i="17"/>
  <c r="AK351" i="17"/>
  <c r="AK356" i="17"/>
  <c r="AK362" i="17"/>
  <c r="AK364" i="17"/>
  <c r="AK367" i="17"/>
  <c r="AK370" i="17"/>
  <c r="AK372" i="17"/>
  <c r="AK375" i="17"/>
  <c r="AK308" i="17"/>
  <c r="AK317" i="17"/>
  <c r="AK319" i="17"/>
  <c r="AK327" i="17"/>
  <c r="AK334" i="17"/>
  <c r="AK341" i="17"/>
  <c r="AK350" i="17"/>
  <c r="AK357" i="17"/>
  <c r="AK377" i="17"/>
  <c r="AK309" i="17"/>
  <c r="AK315" i="17"/>
  <c r="AK346" i="17"/>
  <c r="AK304" i="17"/>
  <c r="AK323" i="17"/>
  <c r="AK333" i="17"/>
  <c r="AK342" i="17"/>
  <c r="AK349" i="17"/>
  <c r="AK353" i="17"/>
  <c r="AK361" i="17"/>
  <c r="AK369" i="17"/>
  <c r="AK380" i="17"/>
  <c r="P12" i="17"/>
  <c r="AK24" i="17"/>
  <c r="AK33" i="17"/>
  <c r="AK37" i="17"/>
  <c r="AK32" i="17"/>
  <c r="AK38" i="17"/>
  <c r="AK47" i="17"/>
  <c r="AK58" i="17"/>
  <c r="AK63" i="17"/>
  <c r="AK69" i="17"/>
  <c r="AK46" i="17"/>
  <c r="AK53" i="17"/>
  <c r="AK60" i="17"/>
  <c r="AK72" i="17"/>
  <c r="AK83" i="17"/>
  <c r="AK93" i="17"/>
  <c r="AK104" i="17"/>
  <c r="AK114" i="17"/>
  <c r="AK118" i="17"/>
  <c r="AK124" i="17"/>
  <c r="AK71" i="17"/>
  <c r="AK79" i="17"/>
  <c r="AK84" i="17"/>
  <c r="AK90" i="17"/>
  <c r="AK97" i="17"/>
  <c r="AK103" i="17"/>
  <c r="AK110" i="17"/>
  <c r="AK130" i="17"/>
  <c r="AK139" i="17"/>
  <c r="AK146" i="17"/>
  <c r="AK152" i="17"/>
  <c r="AK159" i="17"/>
  <c r="AK168" i="17"/>
  <c r="AK178" i="17"/>
  <c r="AK184" i="17"/>
  <c r="AK133" i="17"/>
  <c r="AK138" i="17"/>
  <c r="AK147" i="17"/>
  <c r="AK156" i="17"/>
  <c r="AK166" i="17"/>
  <c r="AK174" i="17"/>
  <c r="AK179" i="17"/>
  <c r="AK189" i="17"/>
  <c r="AK197" i="17"/>
  <c r="AK207" i="17"/>
  <c r="AK217" i="17"/>
  <c r="AK223" i="17"/>
  <c r="AK231" i="17"/>
  <c r="AK238" i="17"/>
  <c r="AK253" i="17"/>
  <c r="AK265" i="17"/>
  <c r="AK271" i="17"/>
  <c r="AK278" i="17"/>
  <c r="AK288" i="17"/>
  <c r="AK295" i="17"/>
  <c r="AK305" i="17"/>
  <c r="AK188" i="17"/>
  <c r="AK196" i="17"/>
  <c r="AK202" i="17"/>
  <c r="AK211" i="17"/>
  <c r="AK216" i="17"/>
  <c r="AK226" i="17"/>
  <c r="AK233" i="17"/>
  <c r="AK241" i="17"/>
  <c r="AK248" i="17"/>
  <c r="AK252" i="17"/>
  <c r="AK257" i="17"/>
  <c r="AK264" i="17"/>
  <c r="AK276" i="17"/>
  <c r="AK284" i="17"/>
  <c r="AK289" i="17"/>
  <c r="AK297" i="17"/>
  <c r="AK310" i="17"/>
  <c r="AK321" i="17"/>
  <c r="AK329" i="17"/>
  <c r="AK338" i="17"/>
  <c r="AK347" i="17"/>
  <c r="AK358" i="17"/>
  <c r="AK365" i="17"/>
  <c r="AK371" i="17"/>
  <c r="AK379" i="17"/>
  <c r="AK318" i="17"/>
  <c r="AK331" i="17"/>
  <c r="AK345" i="17"/>
  <c r="AK376" i="17"/>
  <c r="AK313" i="17"/>
  <c r="AK360" i="17"/>
  <c r="AK328" i="17"/>
  <c r="AK348" i="17"/>
  <c r="AK359" i="17"/>
  <c r="AK374" i="17"/>
  <c r="AK19" i="17"/>
  <c r="AK29" i="17"/>
  <c r="AK26" i="17"/>
  <c r="AK41" i="17"/>
  <c r="AK61" i="17"/>
  <c r="AK43" i="17"/>
  <c r="AK55" i="17"/>
  <c r="AK76" i="17"/>
  <c r="AK101" i="17"/>
  <c r="AK116" i="17"/>
  <c r="AK127" i="17"/>
  <c r="AK81" i="17"/>
  <c r="AK95" i="17"/>
  <c r="AK106" i="17"/>
  <c r="AK132" i="17"/>
  <c r="AK149" i="17"/>
  <c r="AK163" i="17"/>
  <c r="AK182" i="17"/>
  <c r="AK135" i="17"/>
  <c r="AK154" i="17"/>
  <c r="AK170" i="17"/>
  <c r="AK185" i="17"/>
  <c r="AK203" i="17"/>
  <c r="AK220" i="17"/>
  <c r="AK236" i="17"/>
  <c r="AK261" i="17"/>
  <c r="AK274" i="17"/>
  <c r="AK292" i="17"/>
  <c r="AK307" i="17"/>
  <c r="AK199" i="17"/>
  <c r="AK214" i="17"/>
  <c r="AK230" i="17"/>
  <c r="AK244" i="17"/>
  <c r="AK255" i="17"/>
  <c r="AK268" i="17"/>
  <c r="AK286" i="17"/>
  <c r="AK301" i="17"/>
  <c r="AK325" i="17"/>
  <c r="AK343" i="17"/>
  <c r="AK363" i="17"/>
  <c r="AK373" i="17"/>
  <c r="AK324" i="17"/>
  <c r="AK354" i="17"/>
  <c r="AK336" i="17"/>
  <c r="AK339" i="17"/>
  <c r="AK366" i="17"/>
  <c r="AK15" i="17"/>
  <c r="AK21" i="17"/>
  <c r="AK35" i="17"/>
  <c r="AK30" i="17"/>
  <c r="AK51" i="17"/>
  <c r="AK66" i="17"/>
  <c r="AK50" i="17"/>
  <c r="AK68" i="17"/>
  <c r="AK88" i="17"/>
  <c r="AK109" i="17"/>
  <c r="AK120" i="17"/>
  <c r="AK74" i="17"/>
  <c r="AK87" i="17"/>
  <c r="AK99" i="17"/>
  <c r="AK125" i="17"/>
  <c r="AK142" i="17"/>
  <c r="AK157" i="17"/>
  <c r="AK172" i="17"/>
  <c r="AK121" i="17"/>
  <c r="AK143" i="17"/>
  <c r="AK161" i="17"/>
  <c r="AK176" i="17"/>
  <c r="AK191" i="17"/>
  <c r="AK210" i="17"/>
  <c r="AK227" i="17"/>
  <c r="AK245" i="17"/>
  <c r="AK269" i="17"/>
  <c r="AK281" i="17"/>
  <c r="AK300" i="17"/>
  <c r="AK194" i="17"/>
  <c r="AK206" i="17"/>
  <c r="AK221" i="17"/>
  <c r="AK239" i="17"/>
  <c r="AK250" i="17"/>
  <c r="AK260" i="17"/>
  <c r="AK280" i="17"/>
  <c r="AK293" i="17"/>
  <c r="AK314" i="17"/>
  <c r="AK332" i="17"/>
  <c r="AK355" i="17"/>
  <c r="AK368" i="17"/>
  <c r="AK316" i="17"/>
  <c r="AK335" i="17"/>
  <c r="AK378" i="17"/>
  <c r="AK311" i="17"/>
  <c r="AK352" i="17"/>
  <c r="AD68" i="1"/>
  <c r="AA68" i="1" s="1"/>
  <c r="Z68" i="1" s="1"/>
  <c r="Y68" i="1" s="1"/>
  <c r="AF209" i="1"/>
  <c r="P197" i="1"/>
  <c r="V197" i="1" s="1"/>
  <c r="P288" i="1"/>
  <c r="V288" i="1" s="1"/>
  <c r="F288" i="1" s="1"/>
  <c r="P274" i="1"/>
  <c r="V274" i="1" s="1"/>
  <c r="AD290" i="1"/>
  <c r="AD305" i="1"/>
  <c r="P306" i="1"/>
  <c r="V306" i="1" s="1"/>
  <c r="F306" i="1" s="1"/>
  <c r="I306" i="1" s="1"/>
  <c r="P36" i="1"/>
  <c r="V36" i="1" s="1"/>
  <c r="AA36" i="1" s="1"/>
  <c r="Z36" i="1" s="1"/>
  <c r="Y36" i="1" s="1"/>
  <c r="P38" i="1"/>
  <c r="V38" i="1" s="1"/>
  <c r="AA38" i="1" s="1"/>
  <c r="Z38" i="1" s="1"/>
  <c r="Y38" i="1" s="1"/>
  <c r="P46" i="1"/>
  <c r="V46" i="1" s="1"/>
  <c r="P48" i="1"/>
  <c r="V48" i="1" s="1"/>
  <c r="P39" i="1"/>
  <c r="V39" i="1" s="1"/>
  <c r="AA39" i="1" s="1"/>
  <c r="Z39" i="1" s="1"/>
  <c r="Y39" i="1" s="1"/>
  <c r="P63" i="1"/>
  <c r="V63" i="1" s="1"/>
  <c r="AD72" i="1"/>
  <c r="AD334" i="1"/>
  <c r="AD332" i="1"/>
  <c r="P351" i="1"/>
  <c r="V351" i="1" s="1"/>
  <c r="F351" i="1" s="1"/>
  <c r="G351" i="1" s="1"/>
  <c r="BW351" i="6" s="1"/>
  <c r="P357" i="1"/>
  <c r="V357" i="1" s="1"/>
  <c r="F357" i="1" s="1"/>
  <c r="AD337" i="1"/>
  <c r="P368" i="1"/>
  <c r="V368" i="1" s="1"/>
  <c r="F368" i="1" s="1"/>
  <c r="G368" i="1" s="1"/>
  <c r="BW368" i="6" s="1"/>
  <c r="P193" i="1"/>
  <c r="V193" i="1" s="1"/>
  <c r="P195" i="1"/>
  <c r="V195" i="1" s="1"/>
  <c r="P59" i="1"/>
  <c r="V59" i="1" s="1"/>
  <c r="AD54" i="1"/>
  <c r="AD52" i="1"/>
  <c r="P70" i="1"/>
  <c r="V70" i="1" s="1"/>
  <c r="AD355" i="1"/>
  <c r="AD174" i="1"/>
  <c r="AA174" i="1" s="1"/>
  <c r="Z174" i="1" s="1"/>
  <c r="Y174" i="1" s="1"/>
  <c r="AD206" i="1"/>
  <c r="AD232" i="1"/>
  <c r="P243" i="1"/>
  <c r="V243" i="1" s="1"/>
  <c r="P329" i="1"/>
  <c r="V329" i="1" s="1"/>
  <c r="F329" i="1" s="1"/>
  <c r="I329" i="1" s="1"/>
  <c r="P293" i="1"/>
  <c r="V293" i="1" s="1"/>
  <c r="F293" i="1" s="1"/>
  <c r="AD279" i="1"/>
  <c r="P337" i="1"/>
  <c r="V337" i="1" s="1"/>
  <c r="F337" i="1" s="1"/>
  <c r="P276" i="1"/>
  <c r="V276" i="1" s="1"/>
  <c r="AA276" i="1" s="1"/>
  <c r="Z276" i="1" s="1"/>
  <c r="Y276" i="1" s="1"/>
  <c r="AD280" i="1"/>
  <c r="P304" i="1"/>
  <c r="V304" i="1" s="1"/>
  <c r="F304" i="1" s="1"/>
  <c r="AD329" i="1"/>
  <c r="AD351" i="1"/>
  <c r="AM7" i="16"/>
  <c r="AM11" i="16" s="1"/>
  <c r="AM9" i="16"/>
  <c r="AK6" i="16"/>
  <c r="AK5" i="16"/>
  <c r="AK7" i="16"/>
  <c r="AK11" i="16" s="1"/>
  <c r="AK9" i="16"/>
  <c r="AM5" i="16"/>
  <c r="AH17" i="1"/>
  <c r="AI383" i="1"/>
  <c r="AI382" i="1"/>
  <c r="T230" i="1"/>
  <c r="S230" i="1" s="1"/>
  <c r="R230" i="1" s="1"/>
  <c r="T301" i="1"/>
  <c r="S301" i="1" s="1"/>
  <c r="R301" i="1" s="1"/>
  <c r="T311" i="1"/>
  <c r="S311" i="1" s="1"/>
  <c r="R311" i="1" s="1"/>
  <c r="P311" i="1" s="1"/>
  <c r="V311" i="1" s="1"/>
  <c r="F311" i="1" s="1"/>
  <c r="G311" i="1" s="1"/>
  <c r="BW311" i="6" s="1"/>
  <c r="AH327" i="1"/>
  <c r="AG327" i="1" s="1"/>
  <c r="AF327" i="1" s="1"/>
  <c r="AH357" i="1"/>
  <c r="AH222" i="1"/>
  <c r="AG222" i="1" s="1"/>
  <c r="AF222" i="1" s="1"/>
  <c r="AH370" i="1"/>
  <c r="AG370" i="1" s="1"/>
  <c r="AF370" i="1" s="1"/>
  <c r="AH299" i="1"/>
  <c r="AG299" i="1" s="1"/>
  <c r="AF299" i="1" s="1"/>
  <c r="T287" i="1"/>
  <c r="T320" i="1"/>
  <c r="AH310" i="1"/>
  <c r="AG310" i="1" s="1"/>
  <c r="AF310" i="1" s="1"/>
  <c r="T308" i="1"/>
  <c r="AH316" i="1"/>
  <c r="AG316" i="1" s="1"/>
  <c r="AF316" i="1" s="1"/>
  <c r="AH246" i="1"/>
  <c r="AG246" i="1" s="1"/>
  <c r="AF246" i="1" s="1"/>
  <c r="T312" i="1"/>
  <c r="S312" i="1" s="1"/>
  <c r="R312" i="1" s="1"/>
  <c r="P312" i="1" s="1"/>
  <c r="V312" i="1" s="1"/>
  <c r="F312" i="1" s="1"/>
  <c r="I312" i="1" s="1"/>
  <c r="AH258" i="1"/>
  <c r="AG258" i="1" s="1"/>
  <c r="AF258" i="1" s="1"/>
  <c r="AH298" i="1"/>
  <c r="AG298" i="1" s="1"/>
  <c r="AF298" i="1" s="1"/>
  <c r="AD298" i="1" s="1"/>
  <c r="AK3" i="15"/>
  <c r="Q12" i="19" s="1"/>
  <c r="AH312" i="1"/>
  <c r="AG312" i="1" s="1"/>
  <c r="AF312" i="1" s="1"/>
  <c r="AH242" i="1"/>
  <c r="AG242" i="1" s="1"/>
  <c r="AF242" i="1" s="1"/>
  <c r="AD242" i="1" s="1"/>
  <c r="AH344" i="1"/>
  <c r="AG344" i="1" s="1"/>
  <c r="AF344" i="1" s="1"/>
  <c r="AH373" i="1"/>
  <c r="AG373" i="1" s="1"/>
  <c r="AF373" i="1" s="1"/>
  <c r="AD373" i="1" s="1"/>
  <c r="AH301" i="1"/>
  <c r="AG301" i="1" s="1"/>
  <c r="AF301" i="1" s="1"/>
  <c r="AD301" i="1" s="1"/>
  <c r="AH282" i="1"/>
  <c r="AH233" i="1"/>
  <c r="AG233" i="1" s="1"/>
  <c r="AF233" i="1" s="1"/>
  <c r="AH362" i="1"/>
  <c r="AG362" i="1" s="1"/>
  <c r="AF362" i="1" s="1"/>
  <c r="AH251" i="1"/>
  <c r="AG251" i="1" s="1"/>
  <c r="AF251" i="1" s="1"/>
  <c r="AH379" i="1"/>
  <c r="AG379" i="1" s="1"/>
  <c r="AF379" i="1" s="1"/>
  <c r="AI12" i="15"/>
  <c r="T377" i="1"/>
  <c r="S377" i="1" s="1"/>
  <c r="R377" i="1" s="1"/>
  <c r="P377" i="1" s="1"/>
  <c r="AH320" i="1"/>
  <c r="AH241" i="1"/>
  <c r="AG241" i="1" s="1"/>
  <c r="AF241" i="1" s="1"/>
  <c r="AD241" i="1" s="1"/>
  <c r="P11" i="18"/>
  <c r="Z15" i="7"/>
  <c r="V55" i="6"/>
  <c r="AY240" i="6" s="1"/>
  <c r="AT327" i="6"/>
  <c r="AD314" i="1"/>
  <c r="P286" i="1"/>
  <c r="V286" i="1" s="1"/>
  <c r="AT303" i="6"/>
  <c r="AT318" i="6"/>
  <c r="AT304" i="6"/>
  <c r="AT325" i="6"/>
  <c r="AT71" i="6"/>
  <c r="P281" i="1"/>
  <c r="V281" i="1" s="1"/>
  <c r="P283" i="1"/>
  <c r="V283" i="1" s="1"/>
  <c r="AD335" i="1"/>
  <c r="J136" i="6"/>
  <c r="AD136" i="1" s="1"/>
  <c r="J125" i="6"/>
  <c r="P125" i="1" s="1"/>
  <c r="V125" i="1" s="1"/>
  <c r="J108" i="6"/>
  <c r="AD108" i="1" s="1"/>
  <c r="J124" i="6"/>
  <c r="AD124" i="1" s="1"/>
  <c r="J121" i="6"/>
  <c r="P121" i="1" s="1"/>
  <c r="V121" i="1" s="1"/>
  <c r="P238" i="1"/>
  <c r="V238" i="1" s="1"/>
  <c r="AD292" i="1"/>
  <c r="P347" i="1"/>
  <c r="V347" i="1" s="1"/>
  <c r="F347" i="1" s="1"/>
  <c r="P333" i="1"/>
  <c r="D30" i="7" s="1"/>
  <c r="I15" i="7"/>
  <c r="Q10" i="15"/>
  <c r="Q27" i="15" s="1"/>
  <c r="N40" i="6"/>
  <c r="AT23" i="6" s="1"/>
  <c r="P241" i="1"/>
  <c r="D27" i="7" s="1"/>
  <c r="AD77" i="1"/>
  <c r="AT136" i="6"/>
  <c r="AT154" i="6"/>
  <c r="AT152" i="6"/>
  <c r="AT157" i="6"/>
  <c r="AT143" i="6"/>
  <c r="AT138" i="6"/>
  <c r="AT156" i="6"/>
  <c r="AT148" i="6"/>
  <c r="P244" i="1"/>
  <c r="V244" i="1" s="1"/>
  <c r="P279" i="1"/>
  <c r="V279" i="1" s="1"/>
  <c r="AD309" i="1"/>
  <c r="P346" i="1"/>
  <c r="V346" i="1" s="1"/>
  <c r="F346" i="1" s="1"/>
  <c r="AD341" i="1"/>
  <c r="J143" i="6"/>
  <c r="AD143" i="1" s="1"/>
  <c r="J153" i="6"/>
  <c r="J131" i="6"/>
  <c r="P131" i="1" s="1"/>
  <c r="V131" i="1" s="1"/>
  <c r="J111" i="6"/>
  <c r="AD111" i="1" s="1"/>
  <c r="J127" i="6"/>
  <c r="AD127" i="1" s="1"/>
  <c r="J110" i="6"/>
  <c r="P110" i="1" s="1"/>
  <c r="V110" i="1" s="1"/>
  <c r="J118" i="6"/>
  <c r="J106" i="6"/>
  <c r="AD106" i="1" s="1"/>
  <c r="J128" i="6"/>
  <c r="J133" i="6"/>
  <c r="P133" i="1" s="1"/>
  <c r="V133" i="1" s="1"/>
  <c r="P326" i="1"/>
  <c r="V326" i="1" s="1"/>
  <c r="F326" i="1" s="1"/>
  <c r="I326" i="1" s="1"/>
  <c r="P327" i="1"/>
  <c r="V327" i="1" s="1"/>
  <c r="F327" i="1" s="1"/>
  <c r="G327" i="1" s="1"/>
  <c r="BW327" i="6" s="1"/>
  <c r="P344" i="1"/>
  <c r="V344" i="1" s="1"/>
  <c r="F344" i="1" s="1"/>
  <c r="AT155" i="6"/>
  <c r="AT146" i="6"/>
  <c r="AT151" i="6"/>
  <c r="AT159" i="6"/>
  <c r="AT158" i="6"/>
  <c r="AT137" i="6"/>
  <c r="AT150" i="6"/>
  <c r="AT135" i="6"/>
  <c r="AT160" i="6"/>
  <c r="AT134" i="6"/>
  <c r="AT147" i="6"/>
  <c r="AT153" i="6"/>
  <c r="AT140" i="6"/>
  <c r="P299" i="1"/>
  <c r="V299" i="1" s="1"/>
  <c r="F299" i="1" s="1"/>
  <c r="AD293" i="1"/>
  <c r="AD342" i="1"/>
  <c r="AA342" i="1" s="1"/>
  <c r="Z342" i="1" s="1"/>
  <c r="Y342" i="1" s="1"/>
  <c r="AD345" i="1"/>
  <c r="P74" i="1"/>
  <c r="V74" i="1" s="1"/>
  <c r="AD74" i="1"/>
  <c r="AT317" i="6"/>
  <c r="AT313" i="6"/>
  <c r="AT307" i="6"/>
  <c r="AD285" i="1"/>
  <c r="AT314" i="6"/>
  <c r="AT329" i="6"/>
  <c r="AT310" i="6"/>
  <c r="AT322" i="6"/>
  <c r="AT75" i="6"/>
  <c r="AD278" i="1"/>
  <c r="AA278" i="1" s="1"/>
  <c r="Z278" i="1" s="1"/>
  <c r="Y278" i="1" s="1"/>
  <c r="AT76" i="6"/>
  <c r="AT68" i="6"/>
  <c r="J161" i="6"/>
  <c r="AD161" i="1" s="1"/>
  <c r="J156" i="6"/>
  <c r="P156" i="1" s="1"/>
  <c r="V156" i="1" s="1"/>
  <c r="J155" i="6"/>
  <c r="AD155" i="1" s="1"/>
  <c r="J120" i="6"/>
  <c r="AD120" i="1" s="1"/>
  <c r="J129" i="6"/>
  <c r="J109" i="6"/>
  <c r="AD109" i="1" s="1"/>
  <c r="J114" i="6"/>
  <c r="J130" i="6"/>
  <c r="J123" i="6"/>
  <c r="AD123" i="1" s="1"/>
  <c r="J132" i="6"/>
  <c r="P132" i="1" s="1"/>
  <c r="V132" i="1" s="1"/>
  <c r="M39" i="6"/>
  <c r="M38" i="6" s="1"/>
  <c r="P298" i="1"/>
  <c r="V298" i="1" s="1"/>
  <c r="F298" i="1" s="1"/>
  <c r="P297" i="1"/>
  <c r="V297" i="1" s="1"/>
  <c r="F297" i="1" s="1"/>
  <c r="G297" i="1" s="1"/>
  <c r="BW297" i="6" s="1"/>
  <c r="AT60" i="6"/>
  <c r="AD244" i="1"/>
  <c r="P300" i="1"/>
  <c r="V300" i="1" s="1"/>
  <c r="F300" i="1" s="1"/>
  <c r="J35" i="6"/>
  <c r="AT70" i="6"/>
  <c r="AD277" i="1"/>
  <c r="AD239" i="1"/>
  <c r="AD243" i="1"/>
  <c r="AT306" i="6"/>
  <c r="AT328" i="6"/>
  <c r="AT302" i="6"/>
  <c r="AT324" i="6"/>
  <c r="AT326" i="6"/>
  <c r="AT320" i="6"/>
  <c r="AT311" i="6"/>
  <c r="AT319" i="6"/>
  <c r="AT312" i="6"/>
  <c r="AT323" i="6"/>
  <c r="AT308" i="6"/>
  <c r="AT309" i="6"/>
  <c r="AT315" i="6"/>
  <c r="AT305" i="6"/>
  <c r="AT316" i="6"/>
  <c r="V367" i="1"/>
  <c r="F367" i="1" s="1"/>
  <c r="G367" i="1" s="1"/>
  <c r="BW367" i="6" s="1"/>
  <c r="AD237" i="1"/>
  <c r="AD236" i="1"/>
  <c r="J32" i="6"/>
  <c r="AD32" i="1" s="1"/>
  <c r="J22" i="6"/>
  <c r="P22" i="1" s="1"/>
  <c r="V22" i="1" s="1"/>
  <c r="P237" i="1"/>
  <c r="V237" i="1" s="1"/>
  <c r="J20" i="6"/>
  <c r="AD20" i="1" s="1"/>
  <c r="P240" i="1"/>
  <c r="V240" i="1" s="1"/>
  <c r="J28" i="6"/>
  <c r="P28" i="1" s="1"/>
  <c r="V28" i="1" s="1"/>
  <c r="J34" i="6"/>
  <c r="P34" i="1" s="1"/>
  <c r="V34" i="1" s="1"/>
  <c r="J23" i="6"/>
  <c r="P23" i="1" s="1"/>
  <c r="V23" i="1" s="1"/>
  <c r="Q11" i="18"/>
  <c r="AG11" i="7"/>
  <c r="AT65" i="6"/>
  <c r="AT63" i="6"/>
  <c r="AT51" i="6"/>
  <c r="AY39" i="6"/>
  <c r="Y55" i="6"/>
  <c r="AY347" i="6" s="1"/>
  <c r="P81" i="1"/>
  <c r="V81" i="1" s="1"/>
  <c r="AD81" i="1"/>
  <c r="AT230" i="6"/>
  <c r="J30" i="6"/>
  <c r="P30" i="1" s="1"/>
  <c r="V30" i="1" s="1"/>
  <c r="J246" i="6"/>
  <c r="J265" i="6"/>
  <c r="J268" i="6"/>
  <c r="J264" i="6"/>
  <c r="J251" i="6"/>
  <c r="J256" i="6"/>
  <c r="J263" i="6"/>
  <c r="J247" i="6"/>
  <c r="J255" i="6"/>
  <c r="J249" i="6"/>
  <c r="J250" i="6"/>
  <c r="J270" i="6"/>
  <c r="J261" i="6"/>
  <c r="J266" i="6"/>
  <c r="J253" i="6"/>
  <c r="J273" i="6"/>
  <c r="J252" i="6"/>
  <c r="J257" i="6"/>
  <c r="J271" i="6"/>
  <c r="J259" i="6"/>
  <c r="J258" i="6"/>
  <c r="J254" i="6"/>
  <c r="J272" i="6"/>
  <c r="J269" i="6"/>
  <c r="J267" i="6"/>
  <c r="J260" i="6"/>
  <c r="J248" i="6"/>
  <c r="AA54" i="6"/>
  <c r="AA53" i="6" s="1"/>
  <c r="AY160" i="6"/>
  <c r="AY175" i="6"/>
  <c r="AY202" i="6"/>
  <c r="AY163" i="6"/>
  <c r="AY168" i="6"/>
  <c r="AY161" i="6"/>
  <c r="AY172" i="6"/>
  <c r="AY156" i="6"/>
  <c r="AY180" i="6"/>
  <c r="AY193" i="6"/>
  <c r="AY154" i="6"/>
  <c r="AY170" i="6"/>
  <c r="AY152" i="6"/>
  <c r="AY159" i="6"/>
  <c r="AY164" i="6"/>
  <c r="AY198" i="6"/>
  <c r="AY165" i="6"/>
  <c r="AY192" i="6"/>
  <c r="AY178" i="6"/>
  <c r="AY177" i="6"/>
  <c r="AY158" i="6"/>
  <c r="AY157" i="6"/>
  <c r="AY196" i="6"/>
  <c r="AY149" i="6"/>
  <c r="AY182" i="6"/>
  <c r="AY184" i="6"/>
  <c r="AY162" i="6"/>
  <c r="AY201" i="6"/>
  <c r="AY150" i="6"/>
  <c r="AY189" i="6"/>
  <c r="AY191" i="6"/>
  <c r="AY203" i="6"/>
  <c r="AY167" i="6"/>
  <c r="AY194" i="6"/>
  <c r="AY199" i="6"/>
  <c r="AY166" i="6"/>
  <c r="AY173" i="6"/>
  <c r="AY186" i="6"/>
  <c r="AY176" i="6"/>
  <c r="AY169" i="6"/>
  <c r="AY174" i="6"/>
  <c r="AY200" i="6"/>
  <c r="AY181" i="6"/>
  <c r="AY153" i="6"/>
  <c r="AY148" i="6"/>
  <c r="AY155" i="6"/>
  <c r="AY151" i="6"/>
  <c r="AY183" i="6"/>
  <c r="AY195" i="6"/>
  <c r="AY197" i="6"/>
  <c r="AY190" i="6"/>
  <c r="AY188" i="6"/>
  <c r="AY171" i="6"/>
  <c r="AY187" i="6"/>
  <c r="AY185" i="6"/>
  <c r="AY76" i="6"/>
  <c r="AY87" i="6"/>
  <c r="AY82" i="6"/>
  <c r="AY72" i="6"/>
  <c r="AY86" i="6"/>
  <c r="AY64" i="6"/>
  <c r="AY77" i="6"/>
  <c r="AY78" i="6"/>
  <c r="AY74" i="6"/>
  <c r="AY69" i="6"/>
  <c r="AY91" i="6"/>
  <c r="AY70" i="6"/>
  <c r="AY79" i="6"/>
  <c r="AY71" i="6"/>
  <c r="AY90" i="6"/>
  <c r="AY83" i="6"/>
  <c r="AY66" i="6"/>
  <c r="AY88" i="6"/>
  <c r="AY80" i="6"/>
  <c r="AY89" i="6"/>
  <c r="AY85" i="6"/>
  <c r="AY84" i="6"/>
  <c r="AY81" i="6"/>
  <c r="AY65" i="6"/>
  <c r="AY67" i="6"/>
  <c r="AY73" i="6"/>
  <c r="AY68" i="6"/>
  <c r="AY75" i="6"/>
  <c r="J158" i="6"/>
  <c r="J138" i="6"/>
  <c r="J141" i="6"/>
  <c r="J139" i="6"/>
  <c r="J152" i="6"/>
  <c r="J157" i="6"/>
  <c r="J160" i="6"/>
  <c r="J151" i="6"/>
  <c r="J142" i="6"/>
  <c r="J137" i="6"/>
  <c r="J154" i="6"/>
  <c r="J150" i="6"/>
  <c r="J134" i="6"/>
  <c r="J145" i="6"/>
  <c r="J159" i="6"/>
  <c r="J149" i="6"/>
  <c r="J147" i="6"/>
  <c r="J140" i="6"/>
  <c r="J135" i="6"/>
  <c r="J148" i="6"/>
  <c r="J144" i="6"/>
  <c r="J113" i="6"/>
  <c r="J115" i="6"/>
  <c r="J116" i="6"/>
  <c r="J112" i="6"/>
  <c r="J107" i="6"/>
  <c r="P232" i="1"/>
  <c r="V232" i="1" s="1"/>
  <c r="P233" i="1"/>
  <c r="V233" i="1" s="1"/>
  <c r="P262" i="1"/>
  <c r="V262" i="1" s="1"/>
  <c r="AT258" i="6"/>
  <c r="AT273" i="6"/>
  <c r="AT270" i="6"/>
  <c r="AT259" i="6"/>
  <c r="AT286" i="6"/>
  <c r="AT287" i="6"/>
  <c r="AT291" i="6"/>
  <c r="AT246" i="6"/>
  <c r="AT300" i="6"/>
  <c r="AT261" i="6"/>
  <c r="AT272" i="6"/>
  <c r="AT297" i="6"/>
  <c r="AT250" i="6"/>
  <c r="AT288" i="6"/>
  <c r="AT252" i="6"/>
  <c r="AT251" i="6"/>
  <c r="AT254" i="6"/>
  <c r="AT247" i="6"/>
  <c r="AT276" i="6"/>
  <c r="AT280" i="6"/>
  <c r="AT279" i="6"/>
  <c r="AT294" i="6"/>
  <c r="AT249" i="6"/>
  <c r="AT301" i="6"/>
  <c r="AT295" i="6"/>
  <c r="AT284" i="6"/>
  <c r="AT282" i="6"/>
  <c r="AT278" i="6"/>
  <c r="AT263" i="6"/>
  <c r="AT267" i="6"/>
  <c r="AT255" i="6"/>
  <c r="AT269" i="6"/>
  <c r="AT281" i="6"/>
  <c r="AT290" i="6"/>
  <c r="AT289" i="6"/>
  <c r="AT260" i="6"/>
  <c r="AT253" i="6"/>
  <c r="AT257" i="6"/>
  <c r="AT248" i="6"/>
  <c r="AT298" i="6"/>
  <c r="AT274" i="6"/>
  <c r="AT264" i="6"/>
  <c r="AT262" i="6"/>
  <c r="AT266" i="6"/>
  <c r="AT256" i="6"/>
  <c r="AT265" i="6"/>
  <c r="AT293" i="6"/>
  <c r="AT292" i="6"/>
  <c r="AT299" i="6"/>
  <c r="AT271" i="6"/>
  <c r="AT277" i="6"/>
  <c r="AT285" i="6"/>
  <c r="AT268" i="6"/>
  <c r="AT283" i="6"/>
  <c r="AT275" i="6"/>
  <c r="AT296" i="6"/>
  <c r="AY107" i="6"/>
  <c r="AY114" i="6"/>
  <c r="AY105" i="6"/>
  <c r="AY116" i="6"/>
  <c r="AY100" i="6"/>
  <c r="AY103" i="6"/>
  <c r="AY92" i="6"/>
  <c r="AY119" i="6"/>
  <c r="AY106" i="6"/>
  <c r="AY110" i="6"/>
  <c r="AY117" i="6"/>
  <c r="AY95" i="6"/>
  <c r="AY104" i="6"/>
  <c r="AY94" i="6"/>
  <c r="AY96" i="6"/>
  <c r="AY102" i="6"/>
  <c r="AY112" i="6"/>
  <c r="AY113" i="6"/>
  <c r="AY97" i="6"/>
  <c r="AY111" i="6"/>
  <c r="AY109" i="6"/>
  <c r="AY108" i="6"/>
  <c r="AY118" i="6"/>
  <c r="AY99" i="6"/>
  <c r="AZ99" i="6" s="1"/>
  <c r="AY115" i="6"/>
  <c r="AY98" i="6"/>
  <c r="AY93" i="6"/>
  <c r="AY101" i="6"/>
  <c r="AY138" i="6"/>
  <c r="AY131" i="6"/>
  <c r="AZ131" i="6" s="1"/>
  <c r="AY121" i="6"/>
  <c r="AY132" i="6"/>
  <c r="AY141" i="6"/>
  <c r="AY142" i="6"/>
  <c r="AY127" i="6"/>
  <c r="AY139" i="6"/>
  <c r="AY123" i="6"/>
  <c r="AY128" i="6"/>
  <c r="AY140" i="6"/>
  <c r="AY129" i="6"/>
  <c r="AY135" i="6"/>
  <c r="AY126" i="6"/>
  <c r="AY122" i="6"/>
  <c r="AY125" i="6"/>
  <c r="AY120" i="6"/>
  <c r="AY124" i="6"/>
  <c r="AY137" i="6"/>
  <c r="AY147" i="6"/>
  <c r="AY145" i="6"/>
  <c r="AY146" i="6"/>
  <c r="AY136" i="6"/>
  <c r="AY133" i="6"/>
  <c r="AY143" i="6"/>
  <c r="AY134" i="6"/>
  <c r="AY144" i="6"/>
  <c r="AY130" i="6"/>
  <c r="AD146" i="1"/>
  <c r="P146" i="1"/>
  <c r="V146" i="1" s="1"/>
  <c r="P126" i="1"/>
  <c r="V126" i="1" s="1"/>
  <c r="AD126" i="1"/>
  <c r="J83" i="6"/>
  <c r="J84" i="6"/>
  <c r="J89" i="6"/>
  <c r="J79" i="6"/>
  <c r="J87" i="6"/>
  <c r="J78" i="6"/>
  <c r="J86" i="6"/>
  <c r="J80" i="6"/>
  <c r="J93" i="6"/>
  <c r="J100" i="6"/>
  <c r="J96" i="6"/>
  <c r="J102" i="6"/>
  <c r="J101" i="6"/>
  <c r="J94" i="6"/>
  <c r="J92" i="6"/>
  <c r="J82" i="6"/>
  <c r="J90" i="6"/>
  <c r="J88" i="6"/>
  <c r="J91" i="6"/>
  <c r="J85" i="6"/>
  <c r="J95" i="6"/>
  <c r="J98" i="6"/>
  <c r="J104" i="6"/>
  <c r="J105" i="6"/>
  <c r="J103" i="6"/>
  <c r="J99" i="6"/>
  <c r="J97" i="6"/>
  <c r="P235" i="1"/>
  <c r="V235" i="1" s="1"/>
  <c r="P29" i="1"/>
  <c r="D20" i="7" s="1"/>
  <c r="AD29" i="1"/>
  <c r="AD372" i="1"/>
  <c r="P379" i="1"/>
  <c r="AD366" i="1"/>
  <c r="AD371" i="1"/>
  <c r="I348" i="1"/>
  <c r="G354" i="1"/>
  <c r="BW354" i="6" s="1"/>
  <c r="I354" i="1"/>
  <c r="P363" i="1"/>
  <c r="D31" i="7" s="1"/>
  <c r="AD363" i="1"/>
  <c r="AD359" i="1"/>
  <c r="P359" i="1"/>
  <c r="V359" i="1" s="1"/>
  <c r="P376" i="1"/>
  <c r="V376" i="1" s="1"/>
  <c r="F376" i="1" s="1"/>
  <c r="AD376" i="1"/>
  <c r="P358" i="1"/>
  <c r="V358" i="1" s="1"/>
  <c r="F358" i="1" s="1"/>
  <c r="AD358" i="1"/>
  <c r="AT212" i="6"/>
  <c r="AT205" i="6"/>
  <c r="AT195" i="6"/>
  <c r="AT213" i="6"/>
  <c r="AT193" i="6"/>
  <c r="AT191" i="6"/>
  <c r="AT210" i="6"/>
  <c r="AT201" i="6"/>
  <c r="AT207" i="6"/>
  <c r="AT199" i="6"/>
  <c r="AT209" i="6"/>
  <c r="AT211" i="6"/>
  <c r="AT198" i="6"/>
  <c r="AT200" i="6"/>
  <c r="AT241" i="6"/>
  <c r="AT229" i="6"/>
  <c r="AT234" i="6"/>
  <c r="AT222" i="6"/>
  <c r="AT224" i="6"/>
  <c r="AT221" i="6"/>
  <c r="AT228" i="6"/>
  <c r="AT236" i="6"/>
  <c r="AT220" i="6"/>
  <c r="AT226" i="6"/>
  <c r="AT232" i="6"/>
  <c r="AT242" i="6"/>
  <c r="AT218" i="6"/>
  <c r="AT233" i="6"/>
  <c r="J18" i="6"/>
  <c r="J16" i="6"/>
  <c r="J19" i="6"/>
  <c r="J17" i="6"/>
  <c r="P362" i="1"/>
  <c r="AT125" i="6"/>
  <c r="AT116" i="6"/>
  <c r="AT120" i="6"/>
  <c r="AT126" i="6"/>
  <c r="AT133" i="6"/>
  <c r="AT129" i="6"/>
  <c r="AT121" i="6"/>
  <c r="AT127" i="6"/>
  <c r="AT115" i="6"/>
  <c r="AT119" i="6"/>
  <c r="AT109" i="6"/>
  <c r="AT110" i="6"/>
  <c r="AT123" i="6"/>
  <c r="AT124" i="6"/>
  <c r="AT72" i="6"/>
  <c r="AT77" i="6"/>
  <c r="AT53" i="6"/>
  <c r="AT66" i="6"/>
  <c r="AT56" i="6"/>
  <c r="AT67" i="6"/>
  <c r="AT62" i="6"/>
  <c r="AT91" i="6"/>
  <c r="AT83" i="6"/>
  <c r="AT88" i="6"/>
  <c r="AT98" i="6"/>
  <c r="AT84" i="6"/>
  <c r="AT85" i="6"/>
  <c r="AT103" i="6"/>
  <c r="AT89" i="6"/>
  <c r="AT105" i="6"/>
  <c r="AT81" i="6"/>
  <c r="AT93" i="6"/>
  <c r="AT100" i="6"/>
  <c r="AT79" i="6"/>
  <c r="AT104" i="6"/>
  <c r="AY304" i="6"/>
  <c r="AY309" i="6"/>
  <c r="AY300" i="6"/>
  <c r="AY313" i="6"/>
  <c r="AY289" i="6"/>
  <c r="AY298" i="6"/>
  <c r="AY299" i="6"/>
  <c r="AY291" i="6"/>
  <c r="AY292" i="6"/>
  <c r="AY295" i="6"/>
  <c r="AY306" i="6"/>
  <c r="AY315" i="6"/>
  <c r="AY294" i="6"/>
  <c r="AY19" i="6"/>
  <c r="AY17" i="6"/>
  <c r="AY16" i="6"/>
  <c r="AY29" i="6"/>
  <c r="AY15" i="6"/>
  <c r="AY21" i="6"/>
  <c r="AY34" i="6"/>
  <c r="AY25" i="6"/>
  <c r="AY27" i="6"/>
  <c r="AY22" i="6"/>
  <c r="AY40" i="6"/>
  <c r="AY48" i="6"/>
  <c r="AY58" i="6"/>
  <c r="AY60" i="6"/>
  <c r="AY45" i="6"/>
  <c r="AY36" i="6"/>
  <c r="AY62" i="6"/>
  <c r="AY61" i="6"/>
  <c r="AY59" i="6"/>
  <c r="AY50" i="6"/>
  <c r="AY43" i="6"/>
  <c r="AY38" i="6"/>
  <c r="AY56" i="6"/>
  <c r="AY46" i="6"/>
  <c r="AD374" i="1"/>
  <c r="P374" i="1"/>
  <c r="V374" i="1" s="1"/>
  <c r="F374" i="1" s="1"/>
  <c r="AD369" i="1"/>
  <c r="P365" i="1"/>
  <c r="V365" i="1" s="1"/>
  <c r="F365" i="1" s="1"/>
  <c r="AD365" i="1"/>
  <c r="AD361" i="1"/>
  <c r="P361" i="1"/>
  <c r="V361" i="1" s="1"/>
  <c r="F361" i="1" s="1"/>
  <c r="V317" i="1"/>
  <c r="F317" i="1" s="1"/>
  <c r="P372" i="1"/>
  <c r="V372" i="1" s="1"/>
  <c r="F372" i="1" s="1"/>
  <c r="P366" i="1"/>
  <c r="V366" i="1" s="1"/>
  <c r="F366" i="1" s="1"/>
  <c r="I366" i="1" s="1"/>
  <c r="AD377" i="1"/>
  <c r="P364" i="1"/>
  <c r="V364" i="1" s="1"/>
  <c r="F364" i="1" s="1"/>
  <c r="AD364" i="1"/>
  <c r="AD360" i="1"/>
  <c r="P360" i="1"/>
  <c r="V360" i="1" s="1"/>
  <c r="F360" i="1" s="1"/>
  <c r="AD375" i="1"/>
  <c r="AT192" i="6"/>
  <c r="AT202" i="6"/>
  <c r="AT196" i="6"/>
  <c r="AT217" i="6"/>
  <c r="AT197" i="6"/>
  <c r="AT214" i="6"/>
  <c r="AT215" i="6"/>
  <c r="AT204" i="6"/>
  <c r="AT208" i="6"/>
  <c r="AT190" i="6"/>
  <c r="AT203" i="6"/>
  <c r="AT216" i="6"/>
  <c r="AT206" i="6"/>
  <c r="AT194" i="6"/>
  <c r="AT237" i="6"/>
  <c r="AT235" i="6"/>
  <c r="AT238" i="6"/>
  <c r="AT243" i="6"/>
  <c r="AT240" i="6"/>
  <c r="AT244" i="6"/>
  <c r="AT245" i="6"/>
  <c r="AT225" i="6"/>
  <c r="AT223" i="6"/>
  <c r="AT219" i="6"/>
  <c r="AT231" i="6"/>
  <c r="AT239" i="6"/>
  <c r="AT227" i="6"/>
  <c r="G355" i="1"/>
  <c r="BW355" i="6" s="1"/>
  <c r="J21" i="6"/>
  <c r="J15" i="6"/>
  <c r="AA40" i="6"/>
  <c r="AT370" i="6" s="1"/>
  <c r="P369" i="1"/>
  <c r="P371" i="1"/>
  <c r="J24" i="6"/>
  <c r="J33" i="6"/>
  <c r="J27" i="6"/>
  <c r="J26" i="6"/>
  <c r="J31" i="6"/>
  <c r="J25" i="6"/>
  <c r="AT128" i="6"/>
  <c r="AT117" i="6"/>
  <c r="AT122" i="6"/>
  <c r="AT107" i="6"/>
  <c r="AT132" i="6"/>
  <c r="AT106" i="6"/>
  <c r="AT118" i="6"/>
  <c r="AT111" i="6"/>
  <c r="AT114" i="6"/>
  <c r="AT113" i="6"/>
  <c r="AT130" i="6"/>
  <c r="AT112" i="6"/>
  <c r="AT108" i="6"/>
  <c r="AT55" i="6"/>
  <c r="AT61" i="6"/>
  <c r="AT73" i="6"/>
  <c r="AT54" i="6"/>
  <c r="AT59" i="6"/>
  <c r="AT64" i="6"/>
  <c r="AT69" i="6"/>
  <c r="AT57" i="6"/>
  <c r="AT52" i="6"/>
  <c r="AT74" i="6"/>
  <c r="AT50" i="6"/>
  <c r="AT58" i="6"/>
  <c r="AT92" i="6"/>
  <c r="AT97" i="6"/>
  <c r="AT102" i="6"/>
  <c r="AT90" i="6"/>
  <c r="AT82" i="6"/>
  <c r="AT80" i="6"/>
  <c r="AT78" i="6"/>
  <c r="AT87" i="6"/>
  <c r="AT95" i="6"/>
  <c r="AT94" i="6"/>
  <c r="AT86" i="6"/>
  <c r="AT96" i="6"/>
  <c r="AT101" i="6"/>
  <c r="AD378" i="1"/>
  <c r="P378" i="1"/>
  <c r="V378" i="1" s="1"/>
  <c r="F378" i="1" s="1"/>
  <c r="AY312" i="6"/>
  <c r="AY308" i="6"/>
  <c r="AY303" i="6"/>
  <c r="AY297" i="6"/>
  <c r="AY293" i="6"/>
  <c r="AY311" i="6"/>
  <c r="AY301" i="6"/>
  <c r="AY302" i="6"/>
  <c r="AY310" i="6"/>
  <c r="AY305" i="6"/>
  <c r="AY314" i="6"/>
  <c r="AY296" i="6"/>
  <c r="AY307" i="6"/>
  <c r="AY288" i="6"/>
  <c r="AY290" i="6"/>
  <c r="AY32" i="6"/>
  <c r="AY28" i="6"/>
  <c r="AY31" i="6"/>
  <c r="AY18" i="6"/>
  <c r="AY30" i="6"/>
  <c r="AY20" i="6"/>
  <c r="AY26" i="6"/>
  <c r="AY23" i="6"/>
  <c r="AY33" i="6"/>
  <c r="AY35" i="6"/>
  <c r="AY37" i="6"/>
  <c r="AY63" i="6"/>
  <c r="AY53" i="6"/>
  <c r="AY44" i="6"/>
  <c r="AY42" i="6"/>
  <c r="AY51" i="6"/>
  <c r="AY47" i="6"/>
  <c r="AY55" i="6"/>
  <c r="AY57" i="6"/>
  <c r="AY41" i="6"/>
  <c r="AY54" i="6"/>
  <c r="AY49" i="6"/>
  <c r="AY52" i="6"/>
  <c r="I343" i="1"/>
  <c r="G342" i="1"/>
  <c r="BW342" i="6" s="1"/>
  <c r="I342" i="1"/>
  <c r="AA235" i="1" l="1"/>
  <c r="Z235" i="1" s="1"/>
  <c r="Y235" i="1" s="1"/>
  <c r="AA355" i="1"/>
  <c r="Z355" i="1" s="1"/>
  <c r="Y355" i="1" s="1"/>
  <c r="AA52" i="1"/>
  <c r="Z52" i="1" s="1"/>
  <c r="Y52" i="1" s="1"/>
  <c r="AA63" i="1"/>
  <c r="Z63" i="1" s="1"/>
  <c r="Y63" i="1" s="1"/>
  <c r="AA348" i="1"/>
  <c r="Z348" i="1" s="1"/>
  <c r="Y348" i="1" s="1"/>
  <c r="AA64" i="1"/>
  <c r="Z64" i="1" s="1"/>
  <c r="Y64" i="1" s="1"/>
  <c r="AA349" i="1"/>
  <c r="Z349" i="1" s="1"/>
  <c r="Y349" i="1" s="1"/>
  <c r="AA330" i="1"/>
  <c r="Z330" i="1" s="1"/>
  <c r="Y330" i="1" s="1"/>
  <c r="AA352" i="1"/>
  <c r="Z352" i="1" s="1"/>
  <c r="Y352" i="1" s="1"/>
  <c r="AA188" i="1"/>
  <c r="Z188" i="1" s="1"/>
  <c r="Y188" i="1" s="1"/>
  <c r="AA51" i="1"/>
  <c r="Z51" i="1" s="1"/>
  <c r="Y51" i="1" s="1"/>
  <c r="AA191" i="1"/>
  <c r="Z191" i="1" s="1"/>
  <c r="Y191" i="1" s="1"/>
  <c r="AA202" i="1"/>
  <c r="Z202" i="1" s="1"/>
  <c r="Y202" i="1" s="1"/>
  <c r="AD362" i="1"/>
  <c r="AA275" i="1"/>
  <c r="Z275" i="1" s="1"/>
  <c r="Y275" i="1" s="1"/>
  <c r="AA40" i="1"/>
  <c r="Z40" i="1" s="1"/>
  <c r="Y40" i="1" s="1"/>
  <c r="AD379" i="1"/>
  <c r="G373" i="1"/>
  <c r="BW373" i="6" s="1"/>
  <c r="I349" i="1"/>
  <c r="I330" i="1"/>
  <c r="G370" i="1"/>
  <c r="BW370" i="6" s="1"/>
  <c r="G352" i="1"/>
  <c r="BW352" i="6" s="1"/>
  <c r="G296" i="1"/>
  <c r="BW296" i="6" s="1"/>
  <c r="AA281" i="1"/>
  <c r="Z281" i="1" s="1"/>
  <c r="Y281" i="1" s="1"/>
  <c r="AA304" i="1"/>
  <c r="Z304" i="1" s="1"/>
  <c r="Y304" i="1" s="1"/>
  <c r="AA70" i="1"/>
  <c r="Z70" i="1" s="1"/>
  <c r="Y70" i="1" s="1"/>
  <c r="AA46" i="1"/>
  <c r="Z46" i="1" s="1"/>
  <c r="Y46" i="1" s="1"/>
  <c r="AA55" i="1"/>
  <c r="Z55" i="1" s="1"/>
  <c r="Y55" i="1" s="1"/>
  <c r="AA53" i="1"/>
  <c r="Z53" i="1" s="1"/>
  <c r="Y53" i="1" s="1"/>
  <c r="I290" i="1"/>
  <c r="G375" i="1"/>
  <c r="BW375" i="6" s="1"/>
  <c r="I338" i="1"/>
  <c r="AA239" i="1"/>
  <c r="Z239" i="1" s="1"/>
  <c r="Y239" i="1" s="1"/>
  <c r="AA290" i="1"/>
  <c r="Z290" i="1" s="1"/>
  <c r="Y290" i="1" s="1"/>
  <c r="AA328" i="1"/>
  <c r="Z328" i="1" s="1"/>
  <c r="Y328" i="1" s="1"/>
  <c r="AA324" i="1"/>
  <c r="Z324" i="1" s="1"/>
  <c r="Y324" i="1" s="1"/>
  <c r="AA76" i="1"/>
  <c r="Z76" i="1" s="1"/>
  <c r="Y76" i="1" s="1"/>
  <c r="AA41" i="1"/>
  <c r="Z41" i="1" s="1"/>
  <c r="Y41" i="1" s="1"/>
  <c r="AA373" i="1"/>
  <c r="Z373" i="1" s="1"/>
  <c r="Y373" i="1" s="1"/>
  <c r="AA245" i="1"/>
  <c r="Z245" i="1" s="1"/>
  <c r="Y245" i="1" s="1"/>
  <c r="AA67" i="1"/>
  <c r="Z67" i="1" s="1"/>
  <c r="Y67" i="1" s="1"/>
  <c r="AA296" i="1"/>
  <c r="Z296" i="1" s="1"/>
  <c r="Y296" i="1" s="1"/>
  <c r="AA192" i="1"/>
  <c r="Z192" i="1" s="1"/>
  <c r="Y192" i="1" s="1"/>
  <c r="Q313" i="15"/>
  <c r="Q253" i="15"/>
  <c r="Q154" i="15"/>
  <c r="Q101" i="15"/>
  <c r="Q236" i="15"/>
  <c r="Q366" i="15"/>
  <c r="K13" i="7"/>
  <c r="AC13" i="7"/>
  <c r="Q354" i="15"/>
  <c r="Q44" i="15"/>
  <c r="Q28" i="15"/>
  <c r="Q301" i="15"/>
  <c r="Q117" i="15"/>
  <c r="Q104" i="15"/>
  <c r="Q86" i="15"/>
  <c r="G324" i="1"/>
  <c r="BW324" i="6" s="1"/>
  <c r="G328" i="1"/>
  <c r="BW328" i="6" s="1"/>
  <c r="Q322" i="15"/>
  <c r="Q280" i="15"/>
  <c r="Q357" i="15"/>
  <c r="Q192" i="15"/>
  <c r="Q138" i="15"/>
  <c r="Q185" i="15"/>
  <c r="Q45" i="15"/>
  <c r="Q373" i="15"/>
  <c r="Q288" i="15"/>
  <c r="Q193" i="15"/>
  <c r="Q102" i="15"/>
  <c r="Q35" i="15"/>
  <c r="Q318" i="15"/>
  <c r="AA54" i="1"/>
  <c r="Z54" i="1" s="1"/>
  <c r="Y54" i="1" s="1"/>
  <c r="AA42" i="1"/>
  <c r="Z42" i="1" s="1"/>
  <c r="Y42" i="1" s="1"/>
  <c r="AA179" i="1"/>
  <c r="Z179" i="1" s="1"/>
  <c r="Y179" i="1" s="1"/>
  <c r="AA375" i="1"/>
  <c r="Z375" i="1" s="1"/>
  <c r="Y375" i="1" s="1"/>
  <c r="F316" i="1"/>
  <c r="G316" i="1" s="1"/>
  <c r="BW316" i="6" s="1"/>
  <c r="AA300" i="1"/>
  <c r="Z300" i="1" s="1"/>
  <c r="Y300" i="1" s="1"/>
  <c r="Q176" i="15"/>
  <c r="Q112" i="15"/>
  <c r="Q34" i="15"/>
  <c r="Q125" i="15"/>
  <c r="Q208" i="15"/>
  <c r="Q178" i="15"/>
  <c r="Q229" i="15"/>
  <c r="Q184" i="15"/>
  <c r="Q284" i="15"/>
  <c r="Q266" i="15"/>
  <c r="Q378" i="15"/>
  <c r="Q249" i="15"/>
  <c r="Q130" i="15"/>
  <c r="Q173" i="15"/>
  <c r="Q272" i="15"/>
  <c r="Q210" i="15"/>
  <c r="Q245" i="15"/>
  <c r="Q376" i="15"/>
  <c r="Q124" i="15"/>
  <c r="Q321" i="15"/>
  <c r="Q65" i="15"/>
  <c r="Q358" i="15"/>
  <c r="Q159" i="15"/>
  <c r="Q291" i="15"/>
  <c r="Q377" i="15"/>
  <c r="Q167" i="15"/>
  <c r="Q267" i="15"/>
  <c r="AA313" i="1"/>
  <c r="Z313" i="1" s="1"/>
  <c r="Y313" i="1" s="1"/>
  <c r="AA58" i="1"/>
  <c r="Z58" i="1" s="1"/>
  <c r="Y58" i="1" s="1"/>
  <c r="AA200" i="1"/>
  <c r="Z200" i="1" s="1"/>
  <c r="Y200" i="1" s="1"/>
  <c r="AA57" i="1"/>
  <c r="Z57" i="1" s="1"/>
  <c r="Y57" i="1" s="1"/>
  <c r="AA189" i="1"/>
  <c r="Z189" i="1" s="1"/>
  <c r="Y189" i="1" s="1"/>
  <c r="Q32" i="15"/>
  <c r="Q282" i="15"/>
  <c r="Q26" i="15"/>
  <c r="Q257" i="15"/>
  <c r="Q129" i="15"/>
  <c r="Q360" i="15"/>
  <c r="Q212" i="15"/>
  <c r="Q230" i="15"/>
  <c r="Q287" i="15"/>
  <c r="Q31" i="15"/>
  <c r="Q110" i="15"/>
  <c r="Q163" i="15"/>
  <c r="Q57" i="15"/>
  <c r="Q342" i="15"/>
  <c r="Q295" i="15"/>
  <c r="Q39" i="15"/>
  <c r="Q62" i="15"/>
  <c r="Q139" i="15"/>
  <c r="AD218" i="1"/>
  <c r="AA218" i="1" s="1"/>
  <c r="Z218" i="1" s="1"/>
  <c r="Y218" i="1" s="1"/>
  <c r="P225" i="1"/>
  <c r="V225" i="1" s="1"/>
  <c r="AA225" i="1" s="1"/>
  <c r="Z225" i="1" s="1"/>
  <c r="Y225" i="1" s="1"/>
  <c r="C65" i="7"/>
  <c r="P224" i="1"/>
  <c r="V224" i="1" s="1"/>
  <c r="AA224" i="1" s="1"/>
  <c r="Z224" i="1" s="1"/>
  <c r="Y224" i="1" s="1"/>
  <c r="AD229" i="1"/>
  <c r="AA229" i="1" s="1"/>
  <c r="Z229" i="1" s="1"/>
  <c r="Y229" i="1" s="1"/>
  <c r="C60" i="7"/>
  <c r="C61" i="7"/>
  <c r="E363" i="17"/>
  <c r="AD214" i="1"/>
  <c r="AA214" i="1" s="1"/>
  <c r="Z214" i="1" s="1"/>
  <c r="Y214" i="1" s="1"/>
  <c r="AD231" i="1"/>
  <c r="AA231" i="1" s="1"/>
  <c r="Z231" i="1" s="1"/>
  <c r="Y231" i="1" s="1"/>
  <c r="AZ169" i="6"/>
  <c r="E272" i="17"/>
  <c r="AD212" i="1"/>
  <c r="AA212" i="1" s="1"/>
  <c r="Z212" i="1" s="1"/>
  <c r="Y212" i="1" s="1"/>
  <c r="AT38" i="6"/>
  <c r="AZ38" i="6" s="1"/>
  <c r="AT49" i="6"/>
  <c r="AZ49" i="6" s="1"/>
  <c r="AT29" i="6"/>
  <c r="AZ29" i="6" s="1"/>
  <c r="O66" i="18"/>
  <c r="O16" i="18"/>
  <c r="O27" i="18"/>
  <c r="C66" i="7"/>
  <c r="O52" i="18"/>
  <c r="O19" i="18"/>
  <c r="O73" i="18"/>
  <c r="O42" i="18"/>
  <c r="O32" i="18"/>
  <c r="O23" i="18"/>
  <c r="P211" i="1"/>
  <c r="V211" i="1" s="1"/>
  <c r="AA211" i="1" s="1"/>
  <c r="Z211" i="1" s="1"/>
  <c r="Y211" i="1" s="1"/>
  <c r="AZ187" i="6"/>
  <c r="AZ166" i="6"/>
  <c r="I292" i="1"/>
  <c r="AZ171" i="6"/>
  <c r="AZ174" i="6"/>
  <c r="AZ167" i="6"/>
  <c r="AZ162" i="6"/>
  <c r="X380" i="6" s="1"/>
  <c r="X381" i="6" s="1"/>
  <c r="AZ182" i="6"/>
  <c r="AZ180" i="6"/>
  <c r="AZ172" i="6"/>
  <c r="AZ168" i="6"/>
  <c r="AD169" i="1"/>
  <c r="AA169" i="1" s="1"/>
  <c r="Z169" i="1" s="1"/>
  <c r="Y169" i="1" s="1"/>
  <c r="AA77" i="1"/>
  <c r="Z77" i="1" s="1"/>
  <c r="Y77" i="1" s="1"/>
  <c r="AA292" i="1"/>
  <c r="Z292" i="1" s="1"/>
  <c r="Y292" i="1" s="1"/>
  <c r="AA197" i="1"/>
  <c r="Z197" i="1" s="1"/>
  <c r="Y197" i="1" s="1"/>
  <c r="AD228" i="1"/>
  <c r="AA228" i="1" s="1"/>
  <c r="Z228" i="1" s="1"/>
  <c r="Y228" i="1" s="1"/>
  <c r="AD205" i="1"/>
  <c r="AA205" i="1" s="1"/>
  <c r="Z205" i="1" s="1"/>
  <c r="Y205" i="1" s="1"/>
  <c r="AA341" i="1"/>
  <c r="Z341" i="1" s="1"/>
  <c r="Y341" i="1" s="1"/>
  <c r="AA238" i="1"/>
  <c r="Z238" i="1" s="1"/>
  <c r="Y238" i="1" s="1"/>
  <c r="AA335" i="1"/>
  <c r="Z335" i="1" s="1"/>
  <c r="Y335" i="1" s="1"/>
  <c r="AA65" i="1"/>
  <c r="Z65" i="1" s="1"/>
  <c r="Y65" i="1" s="1"/>
  <c r="AA73" i="1"/>
  <c r="Z73" i="1" s="1"/>
  <c r="Y73" i="1" s="1"/>
  <c r="AA303" i="1"/>
  <c r="Z303" i="1" s="1"/>
  <c r="Y303" i="1" s="1"/>
  <c r="AA187" i="1"/>
  <c r="Z187" i="1" s="1"/>
  <c r="Y187" i="1" s="1"/>
  <c r="AA196" i="1"/>
  <c r="Z196" i="1" s="1"/>
  <c r="Y196" i="1" s="1"/>
  <c r="AA75" i="1"/>
  <c r="Z75" i="1" s="1"/>
  <c r="Y75" i="1" s="1"/>
  <c r="AA190" i="1"/>
  <c r="Z190" i="1" s="1"/>
  <c r="Y190" i="1" s="1"/>
  <c r="AD162" i="1"/>
  <c r="AA162" i="1" s="1"/>
  <c r="Z162" i="1" s="1"/>
  <c r="Y162" i="1" s="1"/>
  <c r="AA325" i="1"/>
  <c r="Z325" i="1" s="1"/>
  <c r="Y325" i="1" s="1"/>
  <c r="AA183" i="1"/>
  <c r="Z183" i="1" s="1"/>
  <c r="Y183" i="1" s="1"/>
  <c r="O37" i="18"/>
  <c r="O33" i="18"/>
  <c r="O70" i="18"/>
  <c r="O68" i="18"/>
  <c r="O18" i="18"/>
  <c r="O55" i="18"/>
  <c r="O54" i="18"/>
  <c r="O28" i="18"/>
  <c r="O64" i="18"/>
  <c r="O67" i="18"/>
  <c r="O26" i="18"/>
  <c r="O20" i="18"/>
  <c r="O62" i="18"/>
  <c r="O69" i="18"/>
  <c r="O35" i="18"/>
  <c r="O59" i="18"/>
  <c r="O36" i="18"/>
  <c r="O43" i="18"/>
  <c r="O30" i="18"/>
  <c r="G341" i="1"/>
  <c r="BW341" i="6" s="1"/>
  <c r="AZ221" i="6"/>
  <c r="AZ229" i="6"/>
  <c r="AZ213" i="6"/>
  <c r="AZ205" i="6"/>
  <c r="I335" i="1"/>
  <c r="I325" i="1"/>
  <c r="P213" i="1"/>
  <c r="V213" i="1" s="1"/>
  <c r="AA213" i="1" s="1"/>
  <c r="Z213" i="1" s="1"/>
  <c r="Y213" i="1" s="1"/>
  <c r="P208" i="1"/>
  <c r="V208" i="1" s="1"/>
  <c r="AA208" i="1" s="1"/>
  <c r="Z208" i="1" s="1"/>
  <c r="Y208" i="1" s="1"/>
  <c r="AZ188" i="6"/>
  <c r="AZ189" i="6"/>
  <c r="AZ170" i="6"/>
  <c r="AZ163" i="6"/>
  <c r="AZ175" i="6"/>
  <c r="P204" i="1"/>
  <c r="V204" i="1" s="1"/>
  <c r="AA204" i="1" s="1"/>
  <c r="Z204" i="1" s="1"/>
  <c r="Y204" i="1" s="1"/>
  <c r="AD227" i="1"/>
  <c r="AA227" i="1" s="1"/>
  <c r="Z227" i="1" s="1"/>
  <c r="Y227" i="1" s="1"/>
  <c r="AA242" i="1"/>
  <c r="Z242" i="1" s="1"/>
  <c r="Y242" i="1" s="1"/>
  <c r="AA59" i="1"/>
  <c r="Z59" i="1" s="1"/>
  <c r="Y59" i="1" s="1"/>
  <c r="AA193" i="1"/>
  <c r="Z193" i="1" s="1"/>
  <c r="Y193" i="1" s="1"/>
  <c r="AA334" i="1"/>
  <c r="Z334" i="1" s="1"/>
  <c r="Y334" i="1" s="1"/>
  <c r="AA66" i="1"/>
  <c r="Z66" i="1" s="1"/>
  <c r="Y66" i="1" s="1"/>
  <c r="AA71" i="1"/>
  <c r="Z71" i="1" s="1"/>
  <c r="Y71" i="1" s="1"/>
  <c r="AA195" i="1"/>
  <c r="Z195" i="1" s="1"/>
  <c r="Y195" i="1" s="1"/>
  <c r="AA274" i="1"/>
  <c r="Z274" i="1" s="1"/>
  <c r="Y274" i="1" s="1"/>
  <c r="AA199" i="1"/>
  <c r="Z199" i="1" s="1"/>
  <c r="Y199" i="1" s="1"/>
  <c r="AA185" i="1"/>
  <c r="Z185" i="1" s="1"/>
  <c r="Y185" i="1" s="1"/>
  <c r="AA49" i="1"/>
  <c r="Z49" i="1" s="1"/>
  <c r="Y49" i="1" s="1"/>
  <c r="AA194" i="1"/>
  <c r="Z194" i="1" s="1"/>
  <c r="Y194" i="1" s="1"/>
  <c r="AA201" i="1"/>
  <c r="Z201" i="1" s="1"/>
  <c r="Y201" i="1" s="1"/>
  <c r="AD209" i="1"/>
  <c r="AA209" i="1" s="1"/>
  <c r="Z209" i="1" s="1"/>
  <c r="Y209" i="1" s="1"/>
  <c r="O90" i="18"/>
  <c r="AA203" i="1"/>
  <c r="Z203" i="1" s="1"/>
  <c r="Y203" i="1" s="1"/>
  <c r="E241" i="17"/>
  <c r="P217" i="1"/>
  <c r="V217" i="1" s="1"/>
  <c r="AA217" i="1" s="1"/>
  <c r="Z217" i="1" s="1"/>
  <c r="Y217" i="1" s="1"/>
  <c r="AD210" i="1"/>
  <c r="AZ183" i="6"/>
  <c r="AZ184" i="6"/>
  <c r="AA345" i="1"/>
  <c r="Z345" i="1" s="1"/>
  <c r="Y345" i="1" s="1"/>
  <c r="V60" i="1"/>
  <c r="AA60" i="1" s="1"/>
  <c r="Z60" i="1" s="1"/>
  <c r="Y60" i="1" s="1"/>
  <c r="P175" i="1"/>
  <c r="V175" i="1" s="1"/>
  <c r="AA175" i="1" s="1"/>
  <c r="Z175" i="1" s="1"/>
  <c r="Y175" i="1" s="1"/>
  <c r="P226" i="1"/>
  <c r="V226" i="1" s="1"/>
  <c r="AA226" i="1" s="1"/>
  <c r="Z226" i="1" s="1"/>
  <c r="Y226" i="1" s="1"/>
  <c r="AD220" i="1"/>
  <c r="AA220" i="1" s="1"/>
  <c r="Z220" i="1" s="1"/>
  <c r="Y220" i="1" s="1"/>
  <c r="AD207" i="1"/>
  <c r="AA207" i="1" s="1"/>
  <c r="Z207" i="1" s="1"/>
  <c r="Y207" i="1" s="1"/>
  <c r="AD221" i="1"/>
  <c r="AA181" i="1"/>
  <c r="Z181" i="1" s="1"/>
  <c r="Y181" i="1" s="1"/>
  <c r="P171" i="1"/>
  <c r="V171" i="1" s="1"/>
  <c r="AA171" i="1" s="1"/>
  <c r="Z171" i="1" s="1"/>
  <c r="Y171" i="1" s="1"/>
  <c r="AZ176" i="6"/>
  <c r="Y380" i="6" s="1"/>
  <c r="Y381" i="6" s="1"/>
  <c r="AZ165" i="6"/>
  <c r="AZ185" i="6"/>
  <c r="AZ181" i="6"/>
  <c r="AZ173" i="6"/>
  <c r="AZ178" i="6"/>
  <c r="AZ164" i="6"/>
  <c r="AZ186" i="6"/>
  <c r="AZ177" i="6"/>
  <c r="AZ179" i="6"/>
  <c r="G332" i="1"/>
  <c r="BW332" i="6" s="1"/>
  <c r="I295" i="1"/>
  <c r="V302" i="1"/>
  <c r="F302" i="1" s="1"/>
  <c r="I302" i="1" s="1"/>
  <c r="I331" i="1"/>
  <c r="I334" i="1"/>
  <c r="AZ227" i="6"/>
  <c r="AZ223" i="6"/>
  <c r="AZ206" i="6"/>
  <c r="AZ215" i="6"/>
  <c r="I294" i="1"/>
  <c r="AA182" i="1"/>
  <c r="Z182" i="1" s="1"/>
  <c r="Y182" i="1" s="1"/>
  <c r="AA176" i="1"/>
  <c r="Z176" i="1" s="1"/>
  <c r="Y176" i="1" s="1"/>
  <c r="G340" i="1"/>
  <c r="BW340" i="6" s="1"/>
  <c r="I345" i="1"/>
  <c r="V180" i="1"/>
  <c r="AA180" i="1" s="1"/>
  <c r="Z180" i="1" s="1"/>
  <c r="Y180" i="1" s="1"/>
  <c r="AZ209" i="6"/>
  <c r="E210" i="17"/>
  <c r="AA332" i="1"/>
  <c r="Z332" i="1" s="1"/>
  <c r="Y332" i="1" s="1"/>
  <c r="AA72" i="1"/>
  <c r="Z72" i="1" s="1"/>
  <c r="Y72" i="1" s="1"/>
  <c r="AA294" i="1"/>
  <c r="Z294" i="1" s="1"/>
  <c r="Y294" i="1" s="1"/>
  <c r="AA295" i="1"/>
  <c r="Z295" i="1" s="1"/>
  <c r="Y295" i="1" s="1"/>
  <c r="V379" i="1"/>
  <c r="F379" i="1" s="1"/>
  <c r="AA379" i="1" s="1"/>
  <c r="Z379" i="1" s="1"/>
  <c r="Y379" i="1" s="1"/>
  <c r="D35" i="19"/>
  <c r="AZ231" i="6"/>
  <c r="AZ208" i="6"/>
  <c r="AZ211" i="6"/>
  <c r="AA48" i="1"/>
  <c r="Z48" i="1" s="1"/>
  <c r="Y48" i="1" s="1"/>
  <c r="AA340" i="1"/>
  <c r="Z340" i="1" s="1"/>
  <c r="Y340" i="1" s="1"/>
  <c r="AA339" i="1"/>
  <c r="Z339" i="1" s="1"/>
  <c r="Y339" i="1" s="1"/>
  <c r="E379" i="17"/>
  <c r="C38" i="19"/>
  <c r="O136" i="18"/>
  <c r="O295" i="18"/>
  <c r="Q351" i="15"/>
  <c r="Q223" i="15"/>
  <c r="Q95" i="15"/>
  <c r="Q228" i="15"/>
  <c r="Q238" i="15"/>
  <c r="Q355" i="15"/>
  <c r="Q227" i="15"/>
  <c r="Q99" i="15"/>
  <c r="Q121" i="15"/>
  <c r="Q264" i="15"/>
  <c r="Q180" i="15"/>
  <c r="Q214" i="15"/>
  <c r="Q359" i="15"/>
  <c r="Q231" i="15"/>
  <c r="Q103" i="15"/>
  <c r="Q196" i="15"/>
  <c r="Q190" i="15"/>
  <c r="Q331" i="15"/>
  <c r="Q203" i="15"/>
  <c r="Q75" i="15"/>
  <c r="O319" i="18"/>
  <c r="O276" i="18"/>
  <c r="O316" i="18"/>
  <c r="Q268" i="15"/>
  <c r="Q368" i="15"/>
  <c r="Q204" i="15"/>
  <c r="Q162" i="15"/>
  <c r="Q317" i="15"/>
  <c r="Q189" i="15"/>
  <c r="Q61" i="15"/>
  <c r="Q24" i="15"/>
  <c r="Q300" i="15"/>
  <c r="Q306" i="15"/>
  <c r="Q50" i="15"/>
  <c r="Q293" i="15"/>
  <c r="Q165" i="15"/>
  <c r="Q37" i="15"/>
  <c r="Q320" i="15"/>
  <c r="Q64" i="15"/>
  <c r="Q156" i="15"/>
  <c r="Q330" i="15"/>
  <c r="Q202" i="15"/>
  <c r="Q74" i="15"/>
  <c r="Q345" i="15"/>
  <c r="Q281" i="15"/>
  <c r="Q217" i="15"/>
  <c r="Q258" i="15"/>
  <c r="Q365" i="15"/>
  <c r="Q237" i="15"/>
  <c r="Q109" i="15"/>
  <c r="Q216" i="15"/>
  <c r="Q19" i="15"/>
  <c r="Q338" i="15"/>
  <c r="Q82" i="15"/>
  <c r="Q309" i="15"/>
  <c r="Q181" i="15"/>
  <c r="Q53" i="15"/>
  <c r="Q120" i="15"/>
  <c r="Q160" i="15"/>
  <c r="Q252" i="15"/>
  <c r="Q346" i="15"/>
  <c r="Q218" i="15"/>
  <c r="Q90" i="15"/>
  <c r="Q353" i="15"/>
  <c r="Q289" i="15"/>
  <c r="Q225" i="15"/>
  <c r="Q161" i="15"/>
  <c r="Q97" i="15"/>
  <c r="Q33" i="15"/>
  <c r="Q232" i="15"/>
  <c r="Q340" i="15"/>
  <c r="Q84" i="15"/>
  <c r="Q294" i="15"/>
  <c r="Q166" i="15"/>
  <c r="Q38" i="15"/>
  <c r="Q319" i="15"/>
  <c r="Q255" i="15"/>
  <c r="Q191" i="15"/>
  <c r="Q127" i="15"/>
  <c r="Q63" i="15"/>
  <c r="Q356" i="15"/>
  <c r="Q100" i="15"/>
  <c r="Q302" i="15"/>
  <c r="Q174" i="15"/>
  <c r="Q46" i="15"/>
  <c r="Q323" i="15"/>
  <c r="Q259" i="15"/>
  <c r="Q195" i="15"/>
  <c r="Q131" i="15"/>
  <c r="Q67" i="15"/>
  <c r="Q153" i="15"/>
  <c r="Q89" i="15"/>
  <c r="Q25" i="15"/>
  <c r="Q136" i="15"/>
  <c r="Q308" i="15"/>
  <c r="Q52" i="15"/>
  <c r="Q278" i="15"/>
  <c r="Q150" i="15"/>
  <c r="Q22" i="15"/>
  <c r="Q327" i="15"/>
  <c r="Q263" i="15"/>
  <c r="Q199" i="15"/>
  <c r="Q135" i="15"/>
  <c r="Q71" i="15"/>
  <c r="Q324" i="15"/>
  <c r="Q68" i="15"/>
  <c r="Q254" i="15"/>
  <c r="Q126" i="15"/>
  <c r="Q363" i="15"/>
  <c r="Q299" i="15"/>
  <c r="Q235" i="15"/>
  <c r="Q171" i="15"/>
  <c r="Q107" i="15"/>
  <c r="Q43" i="15"/>
  <c r="O186" i="18"/>
  <c r="O253" i="18"/>
  <c r="O77" i="18"/>
  <c r="O260" i="18"/>
  <c r="U10" i="15"/>
  <c r="AI182" i="15" s="1"/>
  <c r="AH182" i="15" s="1"/>
  <c r="AG182" i="15" s="1"/>
  <c r="AF182" i="15" s="1"/>
  <c r="O307" i="18"/>
  <c r="O79" i="18"/>
  <c r="O194" i="18"/>
  <c r="O293" i="18"/>
  <c r="O193" i="18"/>
  <c r="O200" i="18"/>
  <c r="AA177" i="1"/>
  <c r="Z177" i="1" s="1"/>
  <c r="Y177" i="1" s="1"/>
  <c r="AA184" i="1"/>
  <c r="Z184" i="1" s="1"/>
  <c r="Y184" i="1" s="1"/>
  <c r="AZ219" i="6"/>
  <c r="AZ204" i="6"/>
  <c r="AA380" i="6" s="1"/>
  <c r="AA381" i="6" s="1"/>
  <c r="AZ214" i="6"/>
  <c r="AZ217" i="6"/>
  <c r="AZ218" i="6"/>
  <c r="AB380" i="6" s="1"/>
  <c r="AB381" i="6" s="1"/>
  <c r="AZ220" i="6"/>
  <c r="AZ224" i="6"/>
  <c r="AZ212" i="6"/>
  <c r="AZ144" i="6"/>
  <c r="AZ161" i="6"/>
  <c r="AZ210" i="6"/>
  <c r="AD219" i="1"/>
  <c r="AA219" i="1" s="1"/>
  <c r="Z219" i="1" s="1"/>
  <c r="Y219" i="1" s="1"/>
  <c r="O337" i="18"/>
  <c r="O190" i="18"/>
  <c r="O330" i="18"/>
  <c r="O257" i="18"/>
  <c r="O130" i="18"/>
  <c r="O371" i="18"/>
  <c r="O141" i="18"/>
  <c r="O358" i="18"/>
  <c r="O174" i="18"/>
  <c r="O322" i="18"/>
  <c r="O198" i="18"/>
  <c r="O145" i="18"/>
  <c r="O75" i="18"/>
  <c r="O353" i="18"/>
  <c r="O127" i="18"/>
  <c r="O277" i="18"/>
  <c r="O251" i="18"/>
  <c r="O245" i="18"/>
  <c r="O116" i="18"/>
  <c r="O86" i="18"/>
  <c r="O313" i="18"/>
  <c r="O196" i="18"/>
  <c r="O191" i="18"/>
  <c r="O143" i="18"/>
  <c r="O184" i="18"/>
  <c r="O238" i="18"/>
  <c r="O187" i="18"/>
  <c r="O292" i="18"/>
  <c r="O367" i="18"/>
  <c r="O164" i="18"/>
  <c r="O232" i="18"/>
  <c r="O231" i="18"/>
  <c r="O366" i="18"/>
  <c r="O256" i="18"/>
  <c r="O258" i="18"/>
  <c r="O140" i="18"/>
  <c r="O374" i="18"/>
  <c r="O263" i="18"/>
  <c r="O94" i="18"/>
  <c r="O146" i="18"/>
  <c r="O92" i="18"/>
  <c r="O320" i="18"/>
  <c r="O204" i="18"/>
  <c r="O76" i="18"/>
  <c r="O223" i="18"/>
  <c r="O188" i="18"/>
  <c r="O83" i="18"/>
  <c r="O273" i="18"/>
  <c r="G323" i="1"/>
  <c r="BW323" i="6" s="1"/>
  <c r="AT39" i="6"/>
  <c r="AZ39" i="6" s="1"/>
  <c r="AZ228" i="6"/>
  <c r="AZ207" i="6"/>
  <c r="AZ347" i="6"/>
  <c r="P168" i="1"/>
  <c r="V168" i="1" s="1"/>
  <c r="AA168" i="1" s="1"/>
  <c r="Z168" i="1" s="1"/>
  <c r="Y168" i="1" s="1"/>
  <c r="O209" i="18"/>
  <c r="O181" i="18"/>
  <c r="O333" i="18"/>
  <c r="C78" i="7" s="1"/>
  <c r="O192" i="18"/>
  <c r="O338" i="18"/>
  <c r="O119" i="18"/>
  <c r="C71" i="7" s="1"/>
  <c r="O325" i="18"/>
  <c r="O115" i="18"/>
  <c r="O362" i="18"/>
  <c r="AZ303" i="6"/>
  <c r="AZ225" i="6"/>
  <c r="AZ216" i="6"/>
  <c r="AT34" i="6"/>
  <c r="AZ34" i="6" s="1"/>
  <c r="AZ226" i="6"/>
  <c r="AZ222" i="6"/>
  <c r="AT43" i="6"/>
  <c r="AZ43" i="6" s="1"/>
  <c r="AA323" i="1"/>
  <c r="Z323" i="1" s="1"/>
  <c r="Y323" i="1" s="1"/>
  <c r="AZ142" i="6"/>
  <c r="AZ230" i="6"/>
  <c r="AD163" i="1"/>
  <c r="AA163" i="1" s="1"/>
  <c r="Z163" i="1" s="1"/>
  <c r="Y163" i="1" s="1"/>
  <c r="O239" i="18"/>
  <c r="O356" i="18"/>
  <c r="O305" i="18"/>
  <c r="O225" i="18"/>
  <c r="O281" i="18"/>
  <c r="O218" i="18"/>
  <c r="O163" i="18"/>
  <c r="O154" i="18"/>
  <c r="O125" i="18"/>
  <c r="O298" i="18"/>
  <c r="O342" i="18"/>
  <c r="O280" i="18"/>
  <c r="O212" i="18"/>
  <c r="O289" i="18"/>
  <c r="O235" i="18"/>
  <c r="O160" i="18"/>
  <c r="O167" i="18"/>
  <c r="O101" i="18"/>
  <c r="O106" i="18"/>
  <c r="O139" i="18"/>
  <c r="O185" i="18"/>
  <c r="O109" i="18"/>
  <c r="O241" i="18"/>
  <c r="C75" i="7" s="1"/>
  <c r="O334" i="18"/>
  <c r="O128" i="18"/>
  <c r="O133" i="18"/>
  <c r="O255" i="18"/>
  <c r="O252" i="18"/>
  <c r="O321" i="18"/>
  <c r="O375" i="18"/>
  <c r="O98" i="18"/>
  <c r="O97" i="18"/>
  <c r="O131" i="18"/>
  <c r="O199" i="18"/>
  <c r="O270" i="18"/>
  <c r="O197" i="18"/>
  <c r="O265" i="18"/>
  <c r="O343" i="18"/>
  <c r="O346" i="18"/>
  <c r="O355" i="18"/>
  <c r="O213" i="18"/>
  <c r="O290" i="18"/>
  <c r="O236" i="18"/>
  <c r="O161" i="18"/>
  <c r="O169" i="18"/>
  <c r="O104" i="18"/>
  <c r="O108" i="18"/>
  <c r="O378" i="18"/>
  <c r="O340" i="18"/>
  <c r="O189" i="18"/>
  <c r="O195" i="18"/>
  <c r="O96" i="18"/>
  <c r="O347" i="18"/>
  <c r="O261" i="18"/>
  <c r="O262" i="18"/>
  <c r="O142" i="18"/>
  <c r="O80" i="18"/>
  <c r="O156" i="18"/>
  <c r="O352" i="18"/>
  <c r="O112" i="18"/>
  <c r="O243" i="18"/>
  <c r="O315" i="18"/>
  <c r="O93" i="18"/>
  <c r="O118" i="18"/>
  <c r="O246" i="18"/>
  <c r="O259" i="18"/>
  <c r="O310" i="18"/>
  <c r="O224" i="18"/>
  <c r="O336" i="18"/>
  <c r="O267" i="18"/>
  <c r="O137" i="18"/>
  <c r="O272" i="18"/>
  <c r="C76" i="7" s="1"/>
  <c r="O162" i="18"/>
  <c r="O214" i="18"/>
  <c r="O175" i="18"/>
  <c r="O144" i="18"/>
  <c r="AJ3" i="15"/>
  <c r="O12" i="19" s="1"/>
  <c r="O299" i="18"/>
  <c r="AJ15" i="22"/>
  <c r="AJ22" i="22"/>
  <c r="AJ31" i="22"/>
  <c r="AJ19" i="22"/>
  <c r="AJ27" i="22"/>
  <c r="AJ35" i="22"/>
  <c r="AJ41" i="22"/>
  <c r="AJ48" i="22"/>
  <c r="AJ52" i="22"/>
  <c r="AJ63" i="22"/>
  <c r="AJ44" i="22"/>
  <c r="AJ57" i="22"/>
  <c r="AJ61" i="22"/>
  <c r="AJ68" i="22"/>
  <c r="AJ75" i="22"/>
  <c r="AJ80" i="22"/>
  <c r="AJ85" i="22"/>
  <c r="AJ94" i="22"/>
  <c r="AJ101" i="22"/>
  <c r="AJ112" i="22"/>
  <c r="AJ119" i="22"/>
  <c r="AJ67" i="22"/>
  <c r="AJ78" i="22"/>
  <c r="AJ89" i="22"/>
  <c r="AJ97" i="22"/>
  <c r="AJ105" i="22"/>
  <c r="AJ115" i="22"/>
  <c r="AJ130" i="22"/>
  <c r="AJ138" i="22"/>
  <c r="AJ145" i="22"/>
  <c r="AJ152" i="22"/>
  <c r="AJ164" i="22"/>
  <c r="AJ169" i="22"/>
  <c r="AJ175" i="22"/>
  <c r="AJ113" i="22"/>
  <c r="AJ127" i="22"/>
  <c r="AJ134" i="22"/>
  <c r="AJ144" i="22"/>
  <c r="AJ23" i="22"/>
  <c r="AJ21" i="22"/>
  <c r="F7" i="22"/>
  <c r="AJ17" i="22"/>
  <c r="AJ28" i="22"/>
  <c r="AJ26" i="22"/>
  <c r="AJ24" i="22"/>
  <c r="AJ33" i="22"/>
  <c r="AJ38" i="22"/>
  <c r="AJ43" i="22"/>
  <c r="AJ50" i="22"/>
  <c r="AJ55" i="22"/>
  <c r="AJ34" i="22"/>
  <c r="AJ47" i="22"/>
  <c r="AJ59" i="22"/>
  <c r="AJ64" i="22"/>
  <c r="AJ72" i="22"/>
  <c r="AJ77" i="22"/>
  <c r="AJ83" i="22"/>
  <c r="AJ92" i="22"/>
  <c r="AJ99" i="22"/>
  <c r="AJ107" i="22"/>
  <c r="AJ117" i="22"/>
  <c r="AJ122" i="22"/>
  <c r="AJ70" i="22"/>
  <c r="AJ87" i="22"/>
  <c r="AJ91" i="22"/>
  <c r="AJ103" i="22"/>
  <c r="AJ110" i="22"/>
  <c r="AJ123" i="22"/>
  <c r="AJ135" i="22"/>
  <c r="AJ140" i="22"/>
  <c r="AJ148" i="22"/>
  <c r="AJ158" i="22"/>
  <c r="AJ167" i="22"/>
  <c r="AJ171" i="22"/>
  <c r="AJ180" i="22"/>
  <c r="AJ125" i="22"/>
  <c r="AJ131" i="22"/>
  <c r="AJ141" i="22"/>
  <c r="AJ16" i="22"/>
  <c r="AJ20" i="22"/>
  <c r="AJ37" i="22"/>
  <c r="AJ49" i="22"/>
  <c r="AJ65" i="22"/>
  <c r="AJ58" i="22"/>
  <c r="AJ71" i="22"/>
  <c r="AJ81" i="22"/>
  <c r="AJ96" i="22"/>
  <c r="AJ114" i="22"/>
  <c r="AJ69" i="22"/>
  <c r="AJ90" i="22"/>
  <c r="AJ109" i="22"/>
  <c r="AJ133" i="22"/>
  <c r="AJ147" i="22"/>
  <c r="AJ166" i="22"/>
  <c r="AJ178" i="22"/>
  <c r="AJ128" i="22"/>
  <c r="AJ146" i="22"/>
  <c r="AJ154" i="22"/>
  <c r="AJ161" i="22"/>
  <c r="AJ172" i="22"/>
  <c r="AJ179" i="22"/>
  <c r="AJ194" i="22"/>
  <c r="AJ205" i="22"/>
  <c r="AJ212" i="22"/>
  <c r="AJ216" i="22"/>
  <c r="AJ226" i="22"/>
  <c r="AJ235" i="22"/>
  <c r="AJ241" i="22"/>
  <c r="AJ248" i="22"/>
  <c r="AJ258" i="22"/>
  <c r="AJ268" i="22"/>
  <c r="AJ273" i="22"/>
  <c r="AJ279" i="22"/>
  <c r="AJ285" i="22"/>
  <c r="AJ297" i="22"/>
  <c r="AJ303" i="22"/>
  <c r="AJ183" i="22"/>
  <c r="AJ190" i="22"/>
  <c r="AJ196" i="22"/>
  <c r="AJ202" i="22"/>
  <c r="AJ208" i="22"/>
  <c r="AJ220" i="22"/>
  <c r="AJ227" i="22"/>
  <c r="AJ234" i="22"/>
  <c r="AJ243" i="22"/>
  <c r="AJ252" i="22"/>
  <c r="AJ260" i="22"/>
  <c r="AJ266" i="22"/>
  <c r="AJ278" i="22"/>
  <c r="AJ287" i="22"/>
  <c r="AJ293" i="22"/>
  <c r="AJ307" i="22"/>
  <c r="AJ316" i="22"/>
  <c r="AJ328" i="22"/>
  <c r="AJ334" i="22"/>
  <c r="AJ344" i="22"/>
  <c r="AJ351" i="22"/>
  <c r="AJ359" i="22"/>
  <c r="AJ367" i="22"/>
  <c r="AJ374" i="22"/>
  <c r="AJ308" i="22"/>
  <c r="AJ323" i="22"/>
  <c r="AJ339" i="22"/>
  <c r="AJ352" i="22"/>
  <c r="AJ376" i="22"/>
  <c r="AJ322" i="22"/>
  <c r="AJ347" i="22"/>
  <c r="AJ373" i="22"/>
  <c r="AJ315" i="22"/>
  <c r="AJ354" i="22"/>
  <c r="AJ380" i="22"/>
  <c r="AJ30" i="22"/>
  <c r="AJ25" i="22"/>
  <c r="AJ39" i="22"/>
  <c r="AJ51" i="22"/>
  <c r="AJ40" i="22"/>
  <c r="AJ60" i="22"/>
  <c r="AJ73" i="22"/>
  <c r="AJ84" i="22"/>
  <c r="AJ100" i="22"/>
  <c r="AJ118" i="22"/>
  <c r="AJ74" i="22"/>
  <c r="AJ95" i="22"/>
  <c r="AJ111" i="22"/>
  <c r="AJ136" i="22"/>
  <c r="AJ149" i="22"/>
  <c r="AJ168" i="22"/>
  <c r="AJ106" i="22"/>
  <c r="AJ132" i="22"/>
  <c r="AJ150" i="22"/>
  <c r="AJ155" i="22"/>
  <c r="AJ162" i="22"/>
  <c r="AJ173" i="22"/>
  <c r="AJ184" i="22"/>
  <c r="AJ195" i="22"/>
  <c r="AJ206" i="22"/>
  <c r="AJ213" i="22"/>
  <c r="AJ217" i="22"/>
  <c r="AJ228" i="22"/>
  <c r="AJ236" i="22"/>
  <c r="AJ244" i="22"/>
  <c r="AJ250" i="22"/>
  <c r="AJ259" i="22"/>
  <c r="AJ269" i="22"/>
  <c r="AJ274" i="22"/>
  <c r="AJ282" i="22"/>
  <c r="AJ289" i="22"/>
  <c r="AJ298" i="22"/>
  <c r="AJ304" i="22"/>
  <c r="AJ185" i="22"/>
  <c r="AJ191" i="22"/>
  <c r="AJ198" i="22"/>
  <c r="AJ203" i="22"/>
  <c r="AJ210" i="22"/>
  <c r="AJ221" i="22"/>
  <c r="AJ229" i="22"/>
  <c r="AJ237" i="22"/>
  <c r="AJ245" i="22"/>
  <c r="AJ253" i="22"/>
  <c r="AJ262" i="22"/>
  <c r="AJ267" i="22"/>
  <c r="AJ280" i="22"/>
  <c r="AJ288" i="22"/>
  <c r="AJ294" i="22"/>
  <c r="AJ309" i="22"/>
  <c r="AJ324" i="22"/>
  <c r="AJ330" i="22"/>
  <c r="AJ337" i="22"/>
  <c r="AJ345" i="22"/>
  <c r="AJ353" i="22"/>
  <c r="AJ360" i="22"/>
  <c r="AJ368" i="22"/>
  <c r="AJ375" i="22"/>
  <c r="AJ313" i="22"/>
  <c r="AJ326" i="22"/>
  <c r="AJ342" i="22"/>
  <c r="AJ364" i="22"/>
  <c r="AJ377" i="22"/>
  <c r="AJ332" i="22"/>
  <c r="AJ355" i="22"/>
  <c r="AJ379" i="22"/>
  <c r="AJ317" i="22"/>
  <c r="AJ358" i="22"/>
  <c r="AJ29" i="22"/>
  <c r="AJ42" i="22"/>
  <c r="AJ54" i="22"/>
  <c r="AJ45" i="22"/>
  <c r="AJ62" i="22"/>
  <c r="AJ76" i="22"/>
  <c r="AJ86" i="22"/>
  <c r="AJ102" i="22"/>
  <c r="AJ120" i="22"/>
  <c r="AJ82" i="22"/>
  <c r="AJ98" i="22"/>
  <c r="AJ121" i="22"/>
  <c r="AJ139" i="22"/>
  <c r="AJ156" i="22"/>
  <c r="AJ170" i="22"/>
  <c r="AJ116" i="22"/>
  <c r="AJ137" i="22"/>
  <c r="AJ151" i="22"/>
  <c r="AJ157" i="22"/>
  <c r="AJ163" i="22"/>
  <c r="AJ176" i="22"/>
  <c r="AJ186" i="22"/>
  <c r="AJ197" i="22"/>
  <c r="AJ209" i="22"/>
  <c r="AJ214" i="22"/>
  <c r="AJ224" i="22"/>
  <c r="AJ230" i="22"/>
  <c r="AJ238" i="22"/>
  <c r="AJ246" i="22"/>
  <c r="AJ254" i="22"/>
  <c r="AJ261" i="22"/>
  <c r="AJ271" i="22"/>
  <c r="AJ276" i="22"/>
  <c r="AJ283" i="22"/>
  <c r="AJ290" i="22"/>
  <c r="AJ299" i="22"/>
  <c r="AJ181" i="22"/>
  <c r="AJ188" i="22"/>
  <c r="AJ192" i="22"/>
  <c r="AJ199" i="22"/>
  <c r="AJ204" i="22"/>
  <c r="AJ218" i="22"/>
  <c r="AJ222" i="22"/>
  <c r="AJ231" i="22"/>
  <c r="AJ240" i="22"/>
  <c r="AJ249" i="22"/>
  <c r="AJ255" i="22"/>
  <c r="AJ263" i="22"/>
  <c r="AJ270" i="22"/>
  <c r="AJ281" i="22"/>
  <c r="AJ291" i="22"/>
  <c r="AJ301" i="22"/>
  <c r="AJ311" i="22"/>
  <c r="AJ325" i="22"/>
  <c r="AJ331" i="22"/>
  <c r="AJ338" i="22"/>
  <c r="AJ348" i="22"/>
  <c r="AJ356" i="22"/>
  <c r="AJ363" i="22"/>
  <c r="AJ370" i="22"/>
  <c r="AJ295" i="22"/>
  <c r="AJ318" i="22"/>
  <c r="AJ329" i="22"/>
  <c r="AJ346" i="22"/>
  <c r="AJ366" i="22"/>
  <c r="AJ305" i="22"/>
  <c r="AJ340" i="22"/>
  <c r="AJ361" i="22"/>
  <c r="AJ310" i="22"/>
  <c r="AJ320" i="22"/>
  <c r="AJ362" i="22"/>
  <c r="AL13" i="7"/>
  <c r="AJ18" i="22"/>
  <c r="AJ32" i="22"/>
  <c r="AJ36" i="22"/>
  <c r="AJ46" i="22"/>
  <c r="AJ56" i="22"/>
  <c r="AJ53" i="22"/>
  <c r="AJ66" i="22"/>
  <c r="AJ79" i="22"/>
  <c r="AJ93" i="22"/>
  <c r="AJ108" i="22"/>
  <c r="AJ124" i="22"/>
  <c r="AJ88" i="22"/>
  <c r="AJ104" i="22"/>
  <c r="AJ129" i="22"/>
  <c r="AJ143" i="22"/>
  <c r="AJ160" i="22"/>
  <c r="AJ174" i="22"/>
  <c r="AJ126" i="22"/>
  <c r="AJ142" i="22"/>
  <c r="AJ153" i="22"/>
  <c r="AJ159" i="22"/>
  <c r="AJ165" i="22"/>
  <c r="AJ177" i="22"/>
  <c r="AJ187" i="22"/>
  <c r="AJ201" i="22"/>
  <c r="AJ211" i="22"/>
  <c r="AJ215" i="22"/>
  <c r="AJ225" i="22"/>
  <c r="AJ232" i="22"/>
  <c r="AJ239" i="22"/>
  <c r="AJ247" i="22"/>
  <c r="AJ257" i="22"/>
  <c r="AJ265" i="22"/>
  <c r="AJ272" i="22"/>
  <c r="AJ277" i="22"/>
  <c r="AJ284" i="22"/>
  <c r="AJ296" i="22"/>
  <c r="AJ300" i="22"/>
  <c r="AJ182" i="22"/>
  <c r="AJ189" i="22"/>
  <c r="AJ193" i="22"/>
  <c r="AJ200" i="22"/>
  <c r="AJ207" i="22"/>
  <c r="AJ219" i="22"/>
  <c r="AJ223" i="22"/>
  <c r="AJ233" i="22"/>
  <c r="AJ242" i="22"/>
  <c r="AJ251" i="22"/>
  <c r="AJ256" i="22"/>
  <c r="AJ264" i="22"/>
  <c r="AJ275" i="22"/>
  <c r="AJ286" i="22"/>
  <c r="AJ292" i="22"/>
  <c r="AJ302" i="22"/>
  <c r="AJ312" i="22"/>
  <c r="AJ327" i="22"/>
  <c r="AJ333" i="22"/>
  <c r="AJ343" i="22"/>
  <c r="AJ350" i="22"/>
  <c r="AJ357" i="22"/>
  <c r="AJ365" i="22"/>
  <c r="AJ371" i="22"/>
  <c r="AJ306" i="22"/>
  <c r="AJ319" i="22"/>
  <c r="AJ335" i="22"/>
  <c r="AJ349" i="22"/>
  <c r="AJ369" i="22"/>
  <c r="AJ321" i="22"/>
  <c r="AJ341" i="22"/>
  <c r="AJ372" i="22"/>
  <c r="AJ314" i="22"/>
  <c r="AJ336" i="22"/>
  <c r="AJ378" i="22"/>
  <c r="O339" i="18"/>
  <c r="O47" i="18"/>
  <c r="O327" i="18"/>
  <c r="O210" i="18"/>
  <c r="C74" i="7" s="1"/>
  <c r="O203" i="18"/>
  <c r="O177" i="18"/>
  <c r="AB13" i="7"/>
  <c r="AC16" i="15"/>
  <c r="AC23" i="15"/>
  <c r="AC28" i="15"/>
  <c r="AC40" i="15"/>
  <c r="AC53" i="15"/>
  <c r="AC38" i="15"/>
  <c r="AC56" i="15"/>
  <c r="AC70" i="15"/>
  <c r="AC90" i="15"/>
  <c r="AC115" i="15"/>
  <c r="AC73" i="15"/>
  <c r="AC84" i="15"/>
  <c r="AC100" i="15"/>
  <c r="AC109" i="15"/>
  <c r="AC147" i="15"/>
  <c r="AC166" i="15"/>
  <c r="AC111" i="15"/>
  <c r="AC132" i="15"/>
  <c r="AC143" i="15"/>
  <c r="AC154" i="15"/>
  <c r="AC170" i="15"/>
  <c r="AC183" i="15"/>
  <c r="AC195" i="15"/>
  <c r="AC217" i="15"/>
  <c r="AC237" i="15"/>
  <c r="AC249" i="15"/>
  <c r="AC261" i="15"/>
  <c r="AC279" i="15"/>
  <c r="AC300" i="15"/>
  <c r="AC192" i="15"/>
  <c r="AC206" i="15"/>
  <c r="AC220" i="15"/>
  <c r="AC229" i="15"/>
  <c r="AC250" i="15"/>
  <c r="AC269" i="15"/>
  <c r="AC283" i="15"/>
  <c r="AC296" i="15"/>
  <c r="AC319" i="15"/>
  <c r="AC334" i="15"/>
  <c r="AC343" i="15"/>
  <c r="AC357" i="15"/>
  <c r="AC376" i="15"/>
  <c r="AC322" i="15"/>
  <c r="AC22" i="15"/>
  <c r="AC27" i="15"/>
  <c r="AC39" i="15"/>
  <c r="AC52" i="15"/>
  <c r="AC71" i="15"/>
  <c r="AC55" i="15"/>
  <c r="AC69" i="15"/>
  <c r="AC89" i="15"/>
  <c r="AC114" i="15"/>
  <c r="AC130" i="15"/>
  <c r="AC83" i="15"/>
  <c r="AC99" i="15"/>
  <c r="AC108" i="15"/>
  <c r="AC141" i="15"/>
  <c r="AC165" i="15"/>
  <c r="AC180" i="15"/>
  <c r="AC131" i="15"/>
  <c r="AC142" i="15"/>
  <c r="AC153" i="15"/>
  <c r="AC168" i="15"/>
  <c r="AC182" i="15"/>
  <c r="AC193" i="15"/>
  <c r="AC214" i="15"/>
  <c r="AC233" i="15"/>
  <c r="AC248" i="15"/>
  <c r="AC260" i="15"/>
  <c r="AC277" i="15"/>
  <c r="AC297" i="15"/>
  <c r="AC191" i="15"/>
  <c r="AC204" i="15"/>
  <c r="AC216" i="15"/>
  <c r="AC228" i="15"/>
  <c r="AC246" i="15"/>
  <c r="AC268" i="15"/>
  <c r="AC282" i="15"/>
  <c r="AC295" i="15"/>
  <c r="AC318" i="15"/>
  <c r="AC333" i="15"/>
  <c r="AC342" i="15"/>
  <c r="AC356" i="15"/>
  <c r="AC15" i="15"/>
  <c r="AC34" i="15"/>
  <c r="AC26" i="15"/>
  <c r="AC48" i="15"/>
  <c r="AC63" i="15"/>
  <c r="AC47" i="15"/>
  <c r="AC64" i="15"/>
  <c r="AC80" i="15"/>
  <c r="AC98" i="15"/>
  <c r="AC121" i="15"/>
  <c r="AC79" i="15"/>
  <c r="AC92" i="15"/>
  <c r="AC104" i="15"/>
  <c r="AC126" i="15"/>
  <c r="AC158" i="15"/>
  <c r="AC177" i="15"/>
  <c r="AC124" i="15"/>
  <c r="AC137" i="15"/>
  <c r="AC149" i="15"/>
  <c r="AC161" i="15"/>
  <c r="AC175" i="15"/>
  <c r="AC188" i="15"/>
  <c r="AC205" i="15"/>
  <c r="AC230" i="15"/>
  <c r="AC244" i="15"/>
  <c r="AC257" i="15"/>
  <c r="AC270" i="15"/>
  <c r="AC291" i="15"/>
  <c r="AC306" i="15"/>
  <c r="AC200" i="15"/>
  <c r="AC212" i="15"/>
  <c r="AC225" i="15"/>
  <c r="AC239" i="15"/>
  <c r="AC264" i="15"/>
  <c r="AC276" i="15"/>
  <c r="AC289" i="15"/>
  <c r="AC312" i="15"/>
  <c r="AC326" i="15"/>
  <c r="AC338" i="15"/>
  <c r="AC350" i="15"/>
  <c r="AC365" i="15"/>
  <c r="AC302" i="15"/>
  <c r="AC21" i="15"/>
  <c r="AC32" i="15"/>
  <c r="AC25" i="15"/>
  <c r="AC44" i="15"/>
  <c r="AC61" i="15"/>
  <c r="AC46" i="15"/>
  <c r="AC62" i="15"/>
  <c r="AC77" i="15"/>
  <c r="AC97" i="15"/>
  <c r="AC120" i="15"/>
  <c r="AC78" i="15"/>
  <c r="AC91" i="15"/>
  <c r="AC103" i="15"/>
  <c r="AC122" i="15"/>
  <c r="AC155" i="15"/>
  <c r="AC172" i="15"/>
  <c r="AC123" i="15"/>
  <c r="AC136" i="15"/>
  <c r="AC146" i="15"/>
  <c r="AC160" i="15"/>
  <c r="AC174" i="15"/>
  <c r="AC187" i="15"/>
  <c r="AC203" i="15"/>
  <c r="AC221" i="15"/>
  <c r="AC242" i="15"/>
  <c r="AC253" i="15"/>
  <c r="AC267" i="15"/>
  <c r="AC288" i="15"/>
  <c r="AC305" i="15"/>
  <c r="AC199" i="15"/>
  <c r="AC211" i="15"/>
  <c r="AC224" i="15"/>
  <c r="AC236" i="15"/>
  <c r="AC256" i="15"/>
  <c r="AC275" i="15"/>
  <c r="AC287" i="15"/>
  <c r="AC310" i="15"/>
  <c r="AC325" i="15"/>
  <c r="AC337" i="15"/>
  <c r="AC348" i="15"/>
  <c r="AC374" i="15"/>
  <c r="AC320" i="15"/>
  <c r="AC349" i="15"/>
  <c r="AC375" i="15"/>
  <c r="AC371" i="15"/>
  <c r="AC361" i="15"/>
  <c r="AC315" i="15"/>
  <c r="AC309" i="15"/>
  <c r="AC18" i="15"/>
  <c r="AC30" i="15"/>
  <c r="AC43" i="15"/>
  <c r="AC45" i="15"/>
  <c r="AC75" i="15"/>
  <c r="AC119" i="15"/>
  <c r="AC88" i="15"/>
  <c r="AC113" i="15"/>
  <c r="AC169" i="15"/>
  <c r="AC135" i="15"/>
  <c r="AC157" i="15"/>
  <c r="AC186" i="15"/>
  <c r="AC219" i="15"/>
  <c r="AC252" i="15"/>
  <c r="AC284" i="15"/>
  <c r="AC196" i="15"/>
  <c r="AC223" i="15"/>
  <c r="AC255" i="15"/>
  <c r="AC286" i="15"/>
  <c r="AC324" i="15"/>
  <c r="AC347" i="15"/>
  <c r="AC379" i="15"/>
  <c r="AC24" i="15"/>
  <c r="AC41" i="15"/>
  <c r="AC42" i="15"/>
  <c r="AC72" i="15"/>
  <c r="AC117" i="15"/>
  <c r="AC85" i="15"/>
  <c r="AC110" i="15"/>
  <c r="AC167" i="15"/>
  <c r="AC134" i="15"/>
  <c r="AC156" i="15"/>
  <c r="AC184" i="15"/>
  <c r="AC218" i="15"/>
  <c r="AC251" i="15"/>
  <c r="AC281" i="15"/>
  <c r="AC194" i="15"/>
  <c r="AC222" i="15"/>
  <c r="AC254" i="15"/>
  <c r="AC285" i="15"/>
  <c r="AC321" i="15"/>
  <c r="AC344" i="15"/>
  <c r="AC378" i="15"/>
  <c r="AC359" i="15"/>
  <c r="AC311" i="15"/>
  <c r="AC332" i="15"/>
  <c r="AC20" i="15"/>
  <c r="AC35" i="15"/>
  <c r="AC67" i="15"/>
  <c r="AC68" i="15"/>
  <c r="AC112" i="15"/>
  <c r="AC82" i="15"/>
  <c r="AC106" i="15"/>
  <c r="AC164" i="15"/>
  <c r="AC129" i="15"/>
  <c r="AC151" i="15"/>
  <c r="AC181" i="15"/>
  <c r="AC209" i="15"/>
  <c r="AC247" i="15"/>
  <c r="AC273" i="15"/>
  <c r="AC185" i="15"/>
  <c r="AC215" i="15"/>
  <c r="AC243" i="15"/>
  <c r="AC280" i="15"/>
  <c r="AC317" i="15"/>
  <c r="AC341" i="15"/>
  <c r="AC369" i="15"/>
  <c r="AC19" i="15"/>
  <c r="AC29" i="15"/>
  <c r="AC66" i="15"/>
  <c r="AC65" i="15"/>
  <c r="AC107" i="15"/>
  <c r="AC81" i="15"/>
  <c r="AC105" i="15"/>
  <c r="AC159" i="15"/>
  <c r="AC127" i="15"/>
  <c r="AC150" i="15"/>
  <c r="AC176" i="15"/>
  <c r="AC207" i="15"/>
  <c r="AC245" i="15"/>
  <c r="AC271" i="15"/>
  <c r="AC307" i="15"/>
  <c r="AC213" i="15"/>
  <c r="AC241" i="15"/>
  <c r="AC278" i="15"/>
  <c r="AC314" i="15"/>
  <c r="AC339" i="15"/>
  <c r="AC366" i="15"/>
  <c r="AC340" i="15"/>
  <c r="AC362" i="15"/>
  <c r="AC363" i="15"/>
  <c r="AC367" i="15"/>
  <c r="AC364" i="15"/>
  <c r="AC298" i="15"/>
  <c r="AC330" i="15"/>
  <c r="AC368" i="15"/>
  <c r="AC352" i="15"/>
  <c r="AC331" i="15"/>
  <c r="AC346" i="15"/>
  <c r="AC355" i="15"/>
  <c r="AC377" i="15"/>
  <c r="AC17" i="15"/>
  <c r="AC33" i="15"/>
  <c r="AC60" i="15"/>
  <c r="AC58" i="15"/>
  <c r="AC96" i="15"/>
  <c r="AC76" i="15"/>
  <c r="AC102" i="15"/>
  <c r="AC152" i="15"/>
  <c r="AC118" i="15"/>
  <c r="AC145" i="15"/>
  <c r="AC173" i="15"/>
  <c r="AC198" i="15"/>
  <c r="AC240" i="15"/>
  <c r="AC263" i="15"/>
  <c r="AC304" i="15"/>
  <c r="AC210" i="15"/>
  <c r="AC235" i="15"/>
  <c r="AC274" i="15"/>
  <c r="AC301" i="15"/>
  <c r="AC336" i="15"/>
  <c r="AC360" i="15"/>
  <c r="AC328" i="15"/>
  <c r="AC31" i="15"/>
  <c r="AC59" i="15"/>
  <c r="AC57" i="15"/>
  <c r="AC93" i="15"/>
  <c r="AC74" i="15"/>
  <c r="AC101" i="15"/>
  <c r="AC148" i="15"/>
  <c r="AC116" i="15"/>
  <c r="AC144" i="15"/>
  <c r="AC171" i="15"/>
  <c r="AC197" i="15"/>
  <c r="AC238" i="15"/>
  <c r="AC262" i="15"/>
  <c r="AC303" i="15"/>
  <c r="AC208" i="15"/>
  <c r="AC234" i="15"/>
  <c r="AC272" i="15"/>
  <c r="AC299" i="15"/>
  <c r="AC335" i="15"/>
  <c r="AC358" i="15"/>
  <c r="AC323" i="15"/>
  <c r="AC316" i="15"/>
  <c r="AC373" i="15"/>
  <c r="AC353" i="15"/>
  <c r="AC37" i="15"/>
  <c r="AC51" i="15"/>
  <c r="AC54" i="15"/>
  <c r="AC87" i="15"/>
  <c r="AC128" i="15"/>
  <c r="AC95" i="15"/>
  <c r="AC138" i="15"/>
  <c r="AC179" i="15"/>
  <c r="AC140" i="15"/>
  <c r="AC163" i="15"/>
  <c r="AC190" i="15"/>
  <c r="AC232" i="15"/>
  <c r="AC259" i="15"/>
  <c r="AC293" i="15"/>
  <c r="AC202" i="15"/>
  <c r="AC227" i="15"/>
  <c r="AC266" i="15"/>
  <c r="AC294" i="15"/>
  <c r="AC329" i="15"/>
  <c r="AC354" i="15"/>
  <c r="AC313" i="15"/>
  <c r="AC36" i="15"/>
  <c r="AC49" i="15"/>
  <c r="AC50" i="15"/>
  <c r="AC86" i="15"/>
  <c r="AC125" i="15"/>
  <c r="AC94" i="15"/>
  <c r="AC133" i="15"/>
  <c r="AC178" i="15"/>
  <c r="AC139" i="15"/>
  <c r="AC162" i="15"/>
  <c r="AC189" i="15"/>
  <c r="AC231" i="15"/>
  <c r="AC258" i="15"/>
  <c r="AC292" i="15"/>
  <c r="AC201" i="15"/>
  <c r="AC226" i="15"/>
  <c r="AC265" i="15"/>
  <c r="AC290" i="15"/>
  <c r="AC327" i="15"/>
  <c r="AC351" i="15"/>
  <c r="AC308" i="15"/>
  <c r="AC372" i="15"/>
  <c r="AC345" i="15"/>
  <c r="AC370" i="15"/>
  <c r="O60" i="18"/>
  <c r="C69" i="7" s="1"/>
  <c r="Q304" i="15"/>
  <c r="Q48" i="15"/>
  <c r="Q140" i="15"/>
  <c r="Q290" i="15"/>
  <c r="Q240" i="15"/>
  <c r="Q332" i="15"/>
  <c r="Q76" i="15"/>
  <c r="Q226" i="15"/>
  <c r="Q98" i="15"/>
  <c r="Q349" i="15"/>
  <c r="Q285" i="15"/>
  <c r="Q221" i="15"/>
  <c r="Q157" i="15"/>
  <c r="Q93" i="15"/>
  <c r="Q29" i="15"/>
  <c r="Q152" i="15"/>
  <c r="Q336" i="15"/>
  <c r="Q80" i="15"/>
  <c r="Q172" i="15"/>
  <c r="Q370" i="15"/>
  <c r="Q242" i="15"/>
  <c r="Q114" i="15"/>
  <c r="Q379" i="15"/>
  <c r="J15" i="7" s="1"/>
  <c r="Q325" i="15"/>
  <c r="Q261" i="15"/>
  <c r="Q197" i="15"/>
  <c r="Q133" i="15"/>
  <c r="Q69" i="15"/>
  <c r="Q312" i="15"/>
  <c r="Q56" i="15"/>
  <c r="Q256" i="15"/>
  <c r="Q128" i="15"/>
  <c r="Q348" i="15"/>
  <c r="Q220" i="15"/>
  <c r="Q92" i="15"/>
  <c r="Q362" i="15"/>
  <c r="Q298" i="15"/>
  <c r="Q234" i="15"/>
  <c r="Q170" i="15"/>
  <c r="Q106" i="15"/>
  <c r="Q42" i="15"/>
  <c r="Q361" i="15"/>
  <c r="Q329" i="15"/>
  <c r="Q297" i="15"/>
  <c r="Q265" i="15"/>
  <c r="Q233" i="15"/>
  <c r="Q201" i="15"/>
  <c r="Q169" i="15"/>
  <c r="Q194" i="15"/>
  <c r="Q66" i="15"/>
  <c r="Q333" i="15"/>
  <c r="Q269" i="15"/>
  <c r="Q205" i="15"/>
  <c r="Q141" i="15"/>
  <c r="Q77" i="15"/>
  <c r="Q344" i="15"/>
  <c r="Q88" i="15"/>
  <c r="Q144" i="15"/>
  <c r="Q364" i="15"/>
  <c r="Q108" i="15"/>
  <c r="Q274" i="15"/>
  <c r="Q146" i="15"/>
  <c r="Q15" i="15"/>
  <c r="Q341" i="15"/>
  <c r="Q277" i="15"/>
  <c r="Q213" i="15"/>
  <c r="Q149" i="15"/>
  <c r="Q85" i="15"/>
  <c r="Q21" i="15"/>
  <c r="Q248" i="15"/>
  <c r="Q352" i="15"/>
  <c r="Q224" i="15"/>
  <c r="Q96" i="15"/>
  <c r="Q316" i="15"/>
  <c r="Q188" i="15"/>
  <c r="Q60" i="15"/>
  <c r="Q314" i="15"/>
  <c r="Q250" i="15"/>
  <c r="Q186" i="15"/>
  <c r="Q122" i="15"/>
  <c r="Q58" i="15"/>
  <c r="Q369" i="15"/>
  <c r="Q337" i="15"/>
  <c r="Q305" i="15"/>
  <c r="Q273" i="15"/>
  <c r="Q241" i="15"/>
  <c r="Q209" i="15"/>
  <c r="Q177" i="15"/>
  <c r="Q145" i="15"/>
  <c r="Q113" i="15"/>
  <c r="Q81" i="15"/>
  <c r="Q49" i="15"/>
  <c r="Q16" i="15"/>
  <c r="Q296" i="15"/>
  <c r="Q168" i="15"/>
  <c r="Q40" i="15"/>
  <c r="Q276" i="15"/>
  <c r="Q148" i="15"/>
  <c r="Q20" i="15"/>
  <c r="Q326" i="15"/>
  <c r="Q262" i="15"/>
  <c r="Q198" i="15"/>
  <c r="Q134" i="15"/>
  <c r="Q70" i="15"/>
  <c r="Q367" i="15"/>
  <c r="Q335" i="15"/>
  <c r="Q303" i="15"/>
  <c r="Q271" i="15"/>
  <c r="Q239" i="15"/>
  <c r="Q207" i="15"/>
  <c r="Q175" i="15"/>
  <c r="Q143" i="15"/>
  <c r="Q111" i="15"/>
  <c r="Q79" i="15"/>
  <c r="Q47" i="15"/>
  <c r="Q17" i="15"/>
  <c r="Q292" i="15"/>
  <c r="Q164" i="15"/>
  <c r="Q36" i="15"/>
  <c r="Q334" i="15"/>
  <c r="Q270" i="15"/>
  <c r="Q206" i="15"/>
  <c r="Q142" i="15"/>
  <c r="Q78" i="15"/>
  <c r="Q371" i="15"/>
  <c r="Q339" i="15"/>
  <c r="Q307" i="15"/>
  <c r="Q275" i="15"/>
  <c r="Q243" i="15"/>
  <c r="Q211" i="15"/>
  <c r="Q179" i="15"/>
  <c r="Q147" i="15"/>
  <c r="Q115" i="15"/>
  <c r="Q83" i="15"/>
  <c r="Q51" i="15"/>
  <c r="Q18" i="15"/>
  <c r="Q137" i="15"/>
  <c r="Q105" i="15"/>
  <c r="Q73" i="15"/>
  <c r="Q41" i="15"/>
  <c r="Q328" i="15"/>
  <c r="Q200" i="15"/>
  <c r="Q72" i="15"/>
  <c r="Q372" i="15"/>
  <c r="Q244" i="15"/>
  <c r="Q116" i="15"/>
  <c r="Q374" i="15"/>
  <c r="Q310" i="15"/>
  <c r="Q246" i="15"/>
  <c r="Q182" i="15"/>
  <c r="Q118" i="15"/>
  <c r="Q54" i="15"/>
  <c r="Q375" i="15"/>
  <c r="Q343" i="15"/>
  <c r="Q311" i="15"/>
  <c r="Q279" i="15"/>
  <c r="Q247" i="15"/>
  <c r="Q215" i="15"/>
  <c r="Q183" i="15"/>
  <c r="Q151" i="15"/>
  <c r="Q119" i="15"/>
  <c r="Q87" i="15"/>
  <c r="Q55" i="15"/>
  <c r="Q23" i="15"/>
  <c r="Q260" i="15"/>
  <c r="Q132" i="15"/>
  <c r="Q350" i="15"/>
  <c r="Q286" i="15"/>
  <c r="Q222" i="15"/>
  <c r="Q158" i="15"/>
  <c r="Q94" i="15"/>
  <c r="Q30" i="15"/>
  <c r="Q347" i="15"/>
  <c r="Q315" i="15"/>
  <c r="Q283" i="15"/>
  <c r="Q251" i="15"/>
  <c r="Q219" i="15"/>
  <c r="Q187" i="15"/>
  <c r="Q155" i="15"/>
  <c r="Q123" i="15"/>
  <c r="Q91" i="15"/>
  <c r="Q59" i="15"/>
  <c r="O369" i="18"/>
  <c r="O345" i="18"/>
  <c r="O323" i="18"/>
  <c r="O269" i="18"/>
  <c r="O234" i="18"/>
  <c r="O201" i="18"/>
  <c r="O294" i="18"/>
  <c r="O271" i="18"/>
  <c r="O233" i="18"/>
  <c r="O202" i="18"/>
  <c r="O176" i="18"/>
  <c r="O135" i="18"/>
  <c r="O168" i="18"/>
  <c r="O123" i="18"/>
  <c r="O78" i="18"/>
  <c r="O103" i="18"/>
  <c r="O72" i="18"/>
  <c r="O39" i="18"/>
  <c r="O46" i="18"/>
  <c r="O22" i="18"/>
  <c r="O17" i="18"/>
  <c r="O377" i="18"/>
  <c r="O365" i="18"/>
  <c r="O324" i="18"/>
  <c r="O304" i="18"/>
  <c r="O266" i="18"/>
  <c r="O227" i="18"/>
  <c r="O206" i="18"/>
  <c r="O302" i="18"/>
  <c r="C77" i="7" s="1"/>
  <c r="O275" i="18"/>
  <c r="O249" i="18"/>
  <c r="O221" i="18"/>
  <c r="O178" i="18"/>
  <c r="O148" i="18"/>
  <c r="O182" i="18"/>
  <c r="O152" i="18"/>
  <c r="O129" i="18"/>
  <c r="O88" i="18"/>
  <c r="C70" i="7" s="1"/>
  <c r="O113" i="18"/>
  <c r="O89" i="18"/>
  <c r="O61" i="18"/>
  <c r="O49" i="18"/>
  <c r="O31" i="18"/>
  <c r="O29" i="18"/>
  <c r="C68" i="7" s="1"/>
  <c r="O122" i="18"/>
  <c r="O120" i="18"/>
  <c r="O254" i="18"/>
  <c r="O247" i="18"/>
  <c r="O308" i="18"/>
  <c r="O50" i="18"/>
  <c r="O85" i="18"/>
  <c r="O179" i="18"/>
  <c r="O296" i="18"/>
  <c r="O329" i="18"/>
  <c r="O368" i="18"/>
  <c r="O63" i="18"/>
  <c r="O105" i="18"/>
  <c r="O100" i="18"/>
  <c r="O166" i="18"/>
  <c r="O158" i="18"/>
  <c r="O230" i="18"/>
  <c r="O288" i="18"/>
  <c r="O211" i="18"/>
  <c r="O278" i="18"/>
  <c r="O312" i="18"/>
  <c r="O341" i="18"/>
  <c r="O311" i="18"/>
  <c r="O344" i="18"/>
  <c r="O25" i="18"/>
  <c r="O34" i="18"/>
  <c r="O53" i="18"/>
  <c r="O45" i="18"/>
  <c r="O82" i="18"/>
  <c r="O121" i="18"/>
  <c r="O87" i="18"/>
  <c r="O150" i="18"/>
  <c r="O114" i="18"/>
  <c r="O153" i="18"/>
  <c r="O180" i="18"/>
  <c r="C73" i="7" s="1"/>
  <c r="O215" i="18"/>
  <c r="O244" i="18"/>
  <c r="O279" i="18"/>
  <c r="O300" i="18"/>
  <c r="O220" i="18"/>
  <c r="O248" i="18"/>
  <c r="O282" i="18"/>
  <c r="O332" i="18"/>
  <c r="O354" i="18"/>
  <c r="O372" i="18"/>
  <c r="O373" i="18"/>
  <c r="O349" i="18"/>
  <c r="O268" i="18"/>
  <c r="O240" i="18"/>
  <c r="O208" i="18"/>
  <c r="O303" i="18"/>
  <c r="O283" i="18"/>
  <c r="O250" i="18"/>
  <c r="O222" i="18"/>
  <c r="O183" i="18"/>
  <c r="O151" i="18"/>
  <c r="O110" i="18"/>
  <c r="O159" i="18"/>
  <c r="O134" i="18"/>
  <c r="O95" i="18"/>
  <c r="O117" i="18"/>
  <c r="O91" i="18"/>
  <c r="O65" i="18"/>
  <c r="O56" i="18"/>
  <c r="O21" i="18"/>
  <c r="O361" i="18"/>
  <c r="O328" i="18"/>
  <c r="O359" i="18"/>
  <c r="O363" i="18"/>
  <c r="C79" i="7" s="1"/>
  <c r="O318" i="18"/>
  <c r="O229" i="18"/>
  <c r="O291" i="18"/>
  <c r="O226" i="18"/>
  <c r="O173" i="18"/>
  <c r="O157" i="18"/>
  <c r="O71" i="18"/>
  <c r="O58" i="18"/>
  <c r="O40" i="18"/>
  <c r="O364" i="18"/>
  <c r="O357" i="18"/>
  <c r="O286" i="18"/>
  <c r="O217" i="18"/>
  <c r="O297" i="18"/>
  <c r="O242" i="18"/>
  <c r="O170" i="18"/>
  <c r="O171" i="18"/>
  <c r="O107" i="18"/>
  <c r="O111" i="18"/>
  <c r="O48" i="18"/>
  <c r="O15" i="18"/>
  <c r="O99" i="18"/>
  <c r="O287" i="18"/>
  <c r="O326" i="18"/>
  <c r="O138" i="18"/>
  <c r="O216" i="18"/>
  <c r="O309" i="18"/>
  <c r="O51" i="18"/>
  <c r="O124" i="18"/>
  <c r="O172" i="18"/>
  <c r="O301" i="18"/>
  <c r="O285" i="18"/>
  <c r="O348" i="18"/>
  <c r="O350" i="18"/>
  <c r="O38" i="18"/>
  <c r="O57" i="18"/>
  <c r="O126" i="18"/>
  <c r="O155" i="18"/>
  <c r="O165" i="18"/>
  <c r="O219" i="18"/>
  <c r="O284" i="18"/>
  <c r="O228" i="18"/>
  <c r="O314" i="18"/>
  <c r="O360" i="18"/>
  <c r="O379" i="18"/>
  <c r="C39" i="19" s="1"/>
  <c r="O102" i="18"/>
  <c r="O335" i="18"/>
  <c r="O274" i="18"/>
  <c r="O44" i="18"/>
  <c r="O147" i="18"/>
  <c r="O264" i="18"/>
  <c r="O317" i="18"/>
  <c r="O41" i="18"/>
  <c r="O132" i="18"/>
  <c r="O207" i="18"/>
  <c r="O205" i="18"/>
  <c r="O351" i="18"/>
  <c r="O376" i="18"/>
  <c r="O24" i="18"/>
  <c r="O84" i="18"/>
  <c r="O306" i="18"/>
  <c r="O74" i="18"/>
  <c r="O237" i="18"/>
  <c r="O370" i="18"/>
  <c r="O149" i="18"/>
  <c r="C72" i="7" s="1"/>
  <c r="O81" i="18"/>
  <c r="O331" i="18"/>
  <c r="O9" i="23"/>
  <c r="O10" i="16"/>
  <c r="O45" i="16" s="1"/>
  <c r="E45" i="16" s="1"/>
  <c r="I13" i="7"/>
  <c r="O29" i="15"/>
  <c r="O34" i="15"/>
  <c r="E34" i="15" s="1"/>
  <c r="O38" i="15"/>
  <c r="E38" i="15" s="1"/>
  <c r="O44" i="15"/>
  <c r="E44" i="15" s="1"/>
  <c r="O53" i="15"/>
  <c r="E53" i="15" s="1"/>
  <c r="O67" i="15"/>
  <c r="E67" i="15" s="1"/>
  <c r="O63" i="15"/>
  <c r="E63" i="15" s="1"/>
  <c r="O78" i="15"/>
  <c r="E78" i="15" s="1"/>
  <c r="O100" i="15"/>
  <c r="E100" i="15" s="1"/>
  <c r="O111" i="15"/>
  <c r="E111" i="15" s="1"/>
  <c r="O127" i="15"/>
  <c r="E127" i="15" s="1"/>
  <c r="O80" i="15"/>
  <c r="E80" i="15" s="1"/>
  <c r="O93" i="15"/>
  <c r="E93" i="15" s="1"/>
  <c r="O109" i="15"/>
  <c r="E109" i="15" s="1"/>
  <c r="O132" i="15"/>
  <c r="E132" i="15" s="1"/>
  <c r="O145" i="15"/>
  <c r="E145" i="15" s="1"/>
  <c r="O161" i="15"/>
  <c r="E161" i="15" s="1"/>
  <c r="O176" i="15"/>
  <c r="E176" i="15" s="1"/>
  <c r="O129" i="15"/>
  <c r="E129" i="15" s="1"/>
  <c r="O146" i="15"/>
  <c r="E146" i="15" s="1"/>
  <c r="O162" i="15"/>
  <c r="E162" i="15" s="1"/>
  <c r="O178" i="15"/>
  <c r="E178" i="15" s="1"/>
  <c r="O199" i="15"/>
  <c r="E199" i="15" s="1"/>
  <c r="O213" i="15"/>
  <c r="E213" i="15" s="1"/>
  <c r="O229" i="15"/>
  <c r="E229" i="15" s="1"/>
  <c r="O255" i="15"/>
  <c r="E255" i="15" s="1"/>
  <c r="O266" i="15"/>
  <c r="E266" i="15" s="1"/>
  <c r="O280" i="15"/>
  <c r="E280" i="15" s="1"/>
  <c r="O294" i="15"/>
  <c r="E294" i="15" s="1"/>
  <c r="O187" i="15"/>
  <c r="E187" i="15" s="1"/>
  <c r="O33" i="15"/>
  <c r="E33" i="15" s="1"/>
  <c r="O35" i="15"/>
  <c r="E35" i="15" s="1"/>
  <c r="O61" i="15"/>
  <c r="E61" i="15" s="1"/>
  <c r="O48" i="15"/>
  <c r="E48" i="15" s="1"/>
  <c r="O87" i="15"/>
  <c r="E87" i="15" s="1"/>
  <c r="O123" i="15"/>
  <c r="E123" i="15" s="1"/>
  <c r="O125" i="15"/>
  <c r="E125" i="15" s="1"/>
  <c r="O155" i="15"/>
  <c r="E155" i="15" s="1"/>
  <c r="O121" i="15"/>
  <c r="E121" i="15" s="1"/>
  <c r="O159" i="15"/>
  <c r="E159" i="15" s="1"/>
  <c r="O194" i="15"/>
  <c r="E194" i="15" s="1"/>
  <c r="O227" i="15"/>
  <c r="E227" i="15" s="1"/>
  <c r="O264" i="15"/>
  <c r="E264" i="15" s="1"/>
  <c r="O289" i="15"/>
  <c r="E289" i="15" s="1"/>
  <c r="O191" i="15"/>
  <c r="E191" i="15" s="1"/>
  <c r="O208" i="15"/>
  <c r="E208" i="15" s="1"/>
  <c r="O222" i="15"/>
  <c r="E222" i="15" s="1"/>
  <c r="O236" i="15"/>
  <c r="E236" i="15" s="1"/>
  <c r="O245" i="15"/>
  <c r="E245" i="15" s="1"/>
  <c r="O267" i="15"/>
  <c r="E267" i="15" s="1"/>
  <c r="O288" i="15"/>
  <c r="E288" i="15" s="1"/>
  <c r="O309" i="15"/>
  <c r="E309" i="15" s="1"/>
  <c r="O330" i="15"/>
  <c r="E330" i="15" s="1"/>
  <c r="O348" i="15"/>
  <c r="E348" i="15" s="1"/>
  <c r="O367" i="15"/>
  <c r="E367" i="15" s="1"/>
  <c r="O379" i="15"/>
  <c r="O325" i="15"/>
  <c r="E325" i="15" s="1"/>
  <c r="O355" i="15"/>
  <c r="E355" i="15" s="1"/>
  <c r="O318" i="15"/>
  <c r="E318" i="15" s="1"/>
  <c r="O366" i="15"/>
  <c r="E366" i="15" s="1"/>
  <c r="O335" i="15"/>
  <c r="E335" i="15" s="1"/>
  <c r="O20" i="15"/>
  <c r="E20" i="15" s="1"/>
  <c r="O28" i="15"/>
  <c r="E28" i="15" s="1"/>
  <c r="O25" i="15"/>
  <c r="E25" i="15" s="1"/>
  <c r="O45" i="15"/>
  <c r="E45" i="15" s="1"/>
  <c r="O69" i="15"/>
  <c r="E69" i="15" s="1"/>
  <c r="O46" i="15"/>
  <c r="E46" i="15" s="1"/>
  <c r="O54" i="15"/>
  <c r="E54" i="15" s="1"/>
  <c r="O70" i="15"/>
  <c r="E70" i="15" s="1"/>
  <c r="O79" i="15"/>
  <c r="E79" i="15" s="1"/>
  <c r="O101" i="15"/>
  <c r="E101" i="15" s="1"/>
  <c r="O112" i="15"/>
  <c r="E112" i="15" s="1"/>
  <c r="O72" i="15"/>
  <c r="E72" i="15" s="1"/>
  <c r="O81" i="15"/>
  <c r="E81" i="15" s="1"/>
  <c r="O94" i="15"/>
  <c r="E94" i="15" s="1"/>
  <c r="O110" i="15"/>
  <c r="E110" i="15" s="1"/>
  <c r="O133" i="15"/>
  <c r="E133" i="15" s="1"/>
  <c r="O149" i="15"/>
  <c r="O157" i="15"/>
  <c r="E157" i="15" s="1"/>
  <c r="O167" i="15"/>
  <c r="E167" i="15" s="1"/>
  <c r="O174" i="15"/>
  <c r="E174" i="15" s="1"/>
  <c r="O184" i="15"/>
  <c r="E184" i="15" s="1"/>
  <c r="O128" i="15"/>
  <c r="E128" i="15" s="1"/>
  <c r="O134" i="15"/>
  <c r="E134" i="15" s="1"/>
  <c r="O141" i="15"/>
  <c r="E141" i="15" s="1"/>
  <c r="O150" i="15"/>
  <c r="E150" i="15" s="1"/>
  <c r="O160" i="15"/>
  <c r="E160" i="15" s="1"/>
  <c r="O169" i="15"/>
  <c r="E169" i="15" s="1"/>
  <c r="O177" i="15"/>
  <c r="E177" i="15" s="1"/>
  <c r="O183" i="15"/>
  <c r="E183" i="15" s="1"/>
  <c r="O203" i="15"/>
  <c r="E203" i="15" s="1"/>
  <c r="O220" i="15"/>
  <c r="E220" i="15" s="1"/>
  <c r="O246" i="15"/>
  <c r="E246" i="15" s="1"/>
  <c r="O259" i="15"/>
  <c r="E259" i="15" s="1"/>
  <c r="O270" i="15"/>
  <c r="E270" i="15" s="1"/>
  <c r="O285" i="15"/>
  <c r="E285" i="15" s="1"/>
  <c r="O297" i="15"/>
  <c r="E297" i="15" s="1"/>
  <c r="O190" i="15"/>
  <c r="E190" i="15" s="1"/>
  <c r="O207" i="15"/>
  <c r="E207" i="15" s="1"/>
  <c r="O221" i="15"/>
  <c r="E221" i="15" s="1"/>
  <c r="O235" i="15"/>
  <c r="E235" i="15" s="1"/>
  <c r="O244" i="15"/>
  <c r="E244" i="15" s="1"/>
  <c r="O263" i="15"/>
  <c r="E263" i="15" s="1"/>
  <c r="O284" i="15"/>
  <c r="E284" i="15" s="1"/>
  <c r="O307" i="15"/>
  <c r="E307" i="15" s="1"/>
  <c r="O328" i="15"/>
  <c r="E328" i="15" s="1"/>
  <c r="O347" i="15"/>
  <c r="E347" i="15" s="1"/>
  <c r="O362" i="15"/>
  <c r="E362" i="15" s="1"/>
  <c r="O378" i="15"/>
  <c r="E378" i="15" s="1"/>
  <c r="O324" i="15"/>
  <c r="E324" i="15" s="1"/>
  <c r="O351" i="15"/>
  <c r="E351" i="15" s="1"/>
  <c r="O314" i="15"/>
  <c r="E314" i="15" s="1"/>
  <c r="O358" i="15"/>
  <c r="E358" i="15" s="1"/>
  <c r="O331" i="15"/>
  <c r="E331" i="15" s="1"/>
  <c r="O17" i="15"/>
  <c r="E17" i="15" s="1"/>
  <c r="O56" i="15"/>
  <c r="E56" i="15" s="1"/>
  <c r="O50" i="15"/>
  <c r="E50" i="15" s="1"/>
  <c r="O92" i="15"/>
  <c r="E92" i="15" s="1"/>
  <c r="O83" i="15"/>
  <c r="E83" i="15" s="1"/>
  <c r="O98" i="15"/>
  <c r="E98" i="15" s="1"/>
  <c r="O151" i="15"/>
  <c r="E151" i="15" s="1"/>
  <c r="O182" i="15"/>
  <c r="E182" i="15" s="1"/>
  <c r="O148" i="15"/>
  <c r="E148" i="15" s="1"/>
  <c r="O180" i="15"/>
  <c r="O218" i="15"/>
  <c r="E218" i="15" s="1"/>
  <c r="O258" i="15"/>
  <c r="E258" i="15" s="1"/>
  <c r="O283" i="15"/>
  <c r="E283" i="15" s="1"/>
  <c r="O189" i="15"/>
  <c r="E189" i="15" s="1"/>
  <c r="O204" i="15"/>
  <c r="E204" i="15" s="1"/>
  <c r="O219" i="15"/>
  <c r="E219" i="15" s="1"/>
  <c r="O233" i="15"/>
  <c r="E233" i="15" s="1"/>
  <c r="O243" i="15"/>
  <c r="E243" i="15" s="1"/>
  <c r="O261" i="15"/>
  <c r="E261" i="15" s="1"/>
  <c r="O281" i="15"/>
  <c r="E281" i="15" s="1"/>
  <c r="O306" i="15"/>
  <c r="E306" i="15" s="1"/>
  <c r="O322" i="15"/>
  <c r="E322" i="15" s="1"/>
  <c r="O343" i="15"/>
  <c r="E343" i="15" s="1"/>
  <c r="O361" i="15"/>
  <c r="E361" i="15" s="1"/>
  <c r="O375" i="15"/>
  <c r="E375" i="15" s="1"/>
  <c r="O323" i="15"/>
  <c r="E323" i="15" s="1"/>
  <c r="O345" i="15"/>
  <c r="E345" i="15" s="1"/>
  <c r="O376" i="15"/>
  <c r="E376" i="15" s="1"/>
  <c r="O354" i="15"/>
  <c r="E354" i="15" s="1"/>
  <c r="O321" i="15"/>
  <c r="E321" i="15" s="1"/>
  <c r="O15" i="15"/>
  <c r="O26" i="15"/>
  <c r="E26" i="15" s="1"/>
  <c r="O37" i="15"/>
  <c r="E37" i="15" s="1"/>
  <c r="O57" i="15"/>
  <c r="E57" i="15" s="1"/>
  <c r="O40" i="15"/>
  <c r="E40" i="15" s="1"/>
  <c r="O59" i="15"/>
  <c r="E59" i="15" s="1"/>
  <c r="O85" i="15"/>
  <c r="E85" i="15" s="1"/>
  <c r="O102" i="15"/>
  <c r="E102" i="15" s="1"/>
  <c r="O118" i="15"/>
  <c r="E118" i="15" s="1"/>
  <c r="O84" i="15"/>
  <c r="E84" i="15" s="1"/>
  <c r="O97" i="15"/>
  <c r="E97" i="15" s="1"/>
  <c r="O113" i="15"/>
  <c r="E113" i="15" s="1"/>
  <c r="O136" i="15"/>
  <c r="E136" i="15" s="1"/>
  <c r="O152" i="15"/>
  <c r="E152" i="15" s="1"/>
  <c r="O200" i="15"/>
  <c r="E200" i="15" s="1"/>
  <c r="O216" i="15"/>
  <c r="E216" i="15" s="1"/>
  <c r="O234" i="15"/>
  <c r="E234" i="15" s="1"/>
  <c r="O256" i="15"/>
  <c r="E256" i="15" s="1"/>
  <c r="O268" i="15"/>
  <c r="E268" i="15" s="1"/>
  <c r="O282" i="15"/>
  <c r="E282" i="15" s="1"/>
  <c r="O295" i="15"/>
  <c r="E295" i="15" s="1"/>
  <c r="O188" i="15"/>
  <c r="E188" i="15" s="1"/>
  <c r="O202" i="15"/>
  <c r="E202" i="15" s="1"/>
  <c r="O217" i="15"/>
  <c r="E217" i="15" s="1"/>
  <c r="O232" i="15"/>
  <c r="E232" i="15" s="1"/>
  <c r="O242" i="15"/>
  <c r="E242" i="15" s="1"/>
  <c r="O257" i="15"/>
  <c r="E257" i="15" s="1"/>
  <c r="O279" i="15"/>
  <c r="E279" i="15" s="1"/>
  <c r="O30" i="16"/>
  <c r="E30" i="16" s="1"/>
  <c r="O16" i="15"/>
  <c r="E16" i="15" s="1"/>
  <c r="O22" i="15"/>
  <c r="E22" i="15" s="1"/>
  <c r="O31" i="15"/>
  <c r="E31" i="15" s="1"/>
  <c r="O41" i="15"/>
  <c r="E41" i="15" s="1"/>
  <c r="O51" i="15"/>
  <c r="E51" i="15" s="1"/>
  <c r="O58" i="15"/>
  <c r="E58" i="15" s="1"/>
  <c r="O60" i="15"/>
  <c r="O76" i="15"/>
  <c r="E76" i="15" s="1"/>
  <c r="O82" i="15"/>
  <c r="E82" i="15" s="1"/>
  <c r="O104" i="15"/>
  <c r="E104" i="15" s="1"/>
  <c r="O119" i="15"/>
  <c r="O75" i="15"/>
  <c r="E75" i="15" s="1"/>
  <c r="O90" i="15"/>
  <c r="E90" i="15" s="1"/>
  <c r="O99" i="15"/>
  <c r="E99" i="15" s="1"/>
  <c r="O116" i="15"/>
  <c r="E116" i="15" s="1"/>
  <c r="O139" i="15"/>
  <c r="E139" i="15" s="1"/>
  <c r="O153" i="15"/>
  <c r="E153" i="15" s="1"/>
  <c r="O168" i="15"/>
  <c r="E168" i="15" s="1"/>
  <c r="O114" i="15"/>
  <c r="E114" i="15" s="1"/>
  <c r="O137" i="15"/>
  <c r="E137" i="15" s="1"/>
  <c r="O156" i="15"/>
  <c r="E156" i="15" s="1"/>
  <c r="O170" i="15"/>
  <c r="E170" i="15" s="1"/>
  <c r="O185" i="15"/>
  <c r="E185" i="15" s="1"/>
  <c r="O205" i="15"/>
  <c r="E205" i="15" s="1"/>
  <c r="O225" i="15"/>
  <c r="E225" i="15" s="1"/>
  <c r="O250" i="15"/>
  <c r="E250" i="15" s="1"/>
  <c r="O260" i="15"/>
  <c r="E260" i="15" s="1"/>
  <c r="O272" i="15"/>
  <c r="O286" i="15"/>
  <c r="E286" i="15" s="1"/>
  <c r="O298" i="15"/>
  <c r="E298" i="15" s="1"/>
  <c r="O27" i="15"/>
  <c r="E27" i="15" s="1"/>
  <c r="O36" i="15"/>
  <c r="E36" i="15" s="1"/>
  <c r="O42" i="15"/>
  <c r="E42" i="15" s="1"/>
  <c r="O39" i="15"/>
  <c r="E39" i="15" s="1"/>
  <c r="O74" i="15"/>
  <c r="E74" i="15" s="1"/>
  <c r="O106" i="15"/>
  <c r="E106" i="15" s="1"/>
  <c r="O96" i="15"/>
  <c r="E96" i="15" s="1"/>
  <c r="O143" i="15"/>
  <c r="E143" i="15" s="1"/>
  <c r="O173" i="15"/>
  <c r="E173" i="15" s="1"/>
  <c r="O140" i="15"/>
  <c r="E140" i="15" s="1"/>
  <c r="O175" i="15"/>
  <c r="E175" i="15" s="1"/>
  <c r="O211" i="15"/>
  <c r="E211" i="15" s="1"/>
  <c r="O253" i="15"/>
  <c r="E253" i="15" s="1"/>
  <c r="O276" i="15"/>
  <c r="E276" i="15" s="1"/>
  <c r="O305" i="15"/>
  <c r="E305" i="15" s="1"/>
  <c r="O198" i="15"/>
  <c r="E198" i="15" s="1"/>
  <c r="O215" i="15"/>
  <c r="E215" i="15" s="1"/>
  <c r="O231" i="15"/>
  <c r="E231" i="15" s="1"/>
  <c r="O241" i="15"/>
  <c r="O252" i="15"/>
  <c r="E252" i="15" s="1"/>
  <c r="O277" i="15"/>
  <c r="E277" i="15" s="1"/>
  <c r="O299" i="15"/>
  <c r="E299" i="15" s="1"/>
  <c r="O317" i="15"/>
  <c r="E317" i="15" s="1"/>
  <c r="O341" i="15"/>
  <c r="E341" i="15" s="1"/>
  <c r="O359" i="15"/>
  <c r="E359" i="15" s="1"/>
  <c r="O373" i="15"/>
  <c r="E373" i="15" s="1"/>
  <c r="O308" i="15"/>
  <c r="E308" i="15" s="1"/>
  <c r="O334" i="15"/>
  <c r="E334" i="15" s="1"/>
  <c r="O365" i="15"/>
  <c r="E365" i="15" s="1"/>
  <c r="O346" i="15"/>
  <c r="E346" i="15" s="1"/>
  <c r="O311" i="15"/>
  <c r="E311" i="15" s="1"/>
  <c r="O19" i="15"/>
  <c r="E19" i="15" s="1"/>
  <c r="O23" i="15"/>
  <c r="E23" i="15" s="1"/>
  <c r="O30" i="15"/>
  <c r="E30" i="15" s="1"/>
  <c r="O24" i="15"/>
  <c r="E24" i="15" s="1"/>
  <c r="O64" i="15"/>
  <c r="E64" i="15" s="1"/>
  <c r="O43" i="15"/>
  <c r="E43" i="15" s="1"/>
  <c r="O49" i="15"/>
  <c r="E49" i="15" s="1"/>
  <c r="O68" i="15"/>
  <c r="E68" i="15" s="1"/>
  <c r="O73" i="15"/>
  <c r="E73" i="15" s="1"/>
  <c r="O95" i="15"/>
  <c r="E95" i="15" s="1"/>
  <c r="O105" i="15"/>
  <c r="E105" i="15" s="1"/>
  <c r="O120" i="15"/>
  <c r="E120" i="15" s="1"/>
  <c r="O77" i="15"/>
  <c r="E77" i="15" s="1"/>
  <c r="O86" i="15"/>
  <c r="E86" i="15" s="1"/>
  <c r="O107" i="15"/>
  <c r="E107" i="15" s="1"/>
  <c r="O122" i="15"/>
  <c r="E122" i="15" s="1"/>
  <c r="O142" i="15"/>
  <c r="E142" i="15" s="1"/>
  <c r="O154" i="15"/>
  <c r="E154" i="15" s="1"/>
  <c r="O165" i="15"/>
  <c r="E165" i="15" s="1"/>
  <c r="O171" i="15"/>
  <c r="E171" i="15" s="1"/>
  <c r="O181" i="15"/>
  <c r="E181" i="15" s="1"/>
  <c r="O117" i="15"/>
  <c r="E117" i="15" s="1"/>
  <c r="O130" i="15"/>
  <c r="E130" i="15" s="1"/>
  <c r="O138" i="15"/>
  <c r="E138" i="15" s="1"/>
  <c r="O147" i="15"/>
  <c r="E147" i="15" s="1"/>
  <c r="O158" i="15"/>
  <c r="E158" i="15" s="1"/>
  <c r="O163" i="15"/>
  <c r="E163" i="15" s="1"/>
  <c r="O172" i="15"/>
  <c r="E172" i="15" s="1"/>
  <c r="O179" i="15"/>
  <c r="E179" i="15" s="1"/>
  <c r="O196" i="15"/>
  <c r="E196" i="15" s="1"/>
  <c r="O212" i="15"/>
  <c r="E212" i="15" s="1"/>
  <c r="O228" i="15"/>
  <c r="E228" i="15" s="1"/>
  <c r="O254" i="15"/>
  <c r="E254" i="15" s="1"/>
  <c r="O265" i="15"/>
  <c r="E265" i="15" s="1"/>
  <c r="O278" i="15"/>
  <c r="E278" i="15" s="1"/>
  <c r="O293" i="15"/>
  <c r="E293" i="15" s="1"/>
  <c r="O186" i="15"/>
  <c r="E186" i="15" s="1"/>
  <c r="O197" i="15"/>
  <c r="E197" i="15" s="1"/>
  <c r="O214" i="15"/>
  <c r="E214" i="15" s="1"/>
  <c r="O230" i="15"/>
  <c r="E230" i="15" s="1"/>
  <c r="O240" i="15"/>
  <c r="E240" i="15" s="1"/>
  <c r="O249" i="15"/>
  <c r="E249" i="15" s="1"/>
  <c r="O274" i="15"/>
  <c r="E274" i="15" s="1"/>
  <c r="O292" i="15"/>
  <c r="E292" i="15" s="1"/>
  <c r="O316" i="15"/>
  <c r="E316" i="15" s="1"/>
  <c r="O340" i="15"/>
  <c r="E340" i="15" s="1"/>
  <c r="O353" i="15"/>
  <c r="E353" i="15" s="1"/>
  <c r="O372" i="15"/>
  <c r="E372" i="15" s="1"/>
  <c r="O304" i="15"/>
  <c r="E304" i="15" s="1"/>
  <c r="O332" i="15"/>
  <c r="E332" i="15" s="1"/>
  <c r="O363" i="15"/>
  <c r="O344" i="15"/>
  <c r="E344" i="15" s="1"/>
  <c r="O310" i="15"/>
  <c r="E310" i="15" s="1"/>
  <c r="O18" i="15"/>
  <c r="E18" i="15" s="1"/>
  <c r="O47" i="15"/>
  <c r="E47" i="15" s="1"/>
  <c r="O65" i="15"/>
  <c r="E65" i="15" s="1"/>
  <c r="O71" i="15"/>
  <c r="E71" i="15" s="1"/>
  <c r="O115" i="15"/>
  <c r="E115" i="15" s="1"/>
  <c r="O91" i="15"/>
  <c r="E91" i="15" s="1"/>
  <c r="O135" i="15"/>
  <c r="E135" i="15" s="1"/>
  <c r="O166" i="15"/>
  <c r="E166" i="15" s="1"/>
  <c r="O131" i="15"/>
  <c r="E131" i="15" s="1"/>
  <c r="O164" i="15"/>
  <c r="E164" i="15" s="1"/>
  <c r="O201" i="15"/>
  <c r="E201" i="15" s="1"/>
  <c r="O239" i="15"/>
  <c r="E239" i="15" s="1"/>
  <c r="O269" i="15"/>
  <c r="E269" i="15" s="1"/>
  <c r="O296" i="15"/>
  <c r="E296" i="15" s="1"/>
  <c r="O195" i="15"/>
  <c r="E195" i="15" s="1"/>
  <c r="O210" i="15"/>
  <c r="O224" i="15"/>
  <c r="E224" i="15" s="1"/>
  <c r="O238" i="15"/>
  <c r="E238" i="15" s="1"/>
  <c r="O248" i="15"/>
  <c r="E248" i="15" s="1"/>
  <c r="O273" i="15"/>
  <c r="E273" i="15" s="1"/>
  <c r="O291" i="15"/>
  <c r="E291" i="15" s="1"/>
  <c r="O315" i="15"/>
  <c r="E315" i="15" s="1"/>
  <c r="O336" i="15"/>
  <c r="E336" i="15" s="1"/>
  <c r="O352" i="15"/>
  <c r="E352" i="15" s="1"/>
  <c r="O370" i="15"/>
  <c r="E370" i="15" s="1"/>
  <c r="O303" i="15"/>
  <c r="E303" i="15" s="1"/>
  <c r="O329" i="15"/>
  <c r="E329" i="15" s="1"/>
  <c r="O357" i="15"/>
  <c r="E357" i="15" s="1"/>
  <c r="O337" i="15"/>
  <c r="E337" i="15" s="1"/>
  <c r="O377" i="15"/>
  <c r="E377" i="15" s="1"/>
  <c r="O364" i="15"/>
  <c r="E364" i="15" s="1"/>
  <c r="O21" i="15"/>
  <c r="E21" i="15" s="1"/>
  <c r="O32" i="15"/>
  <c r="E32" i="15" s="1"/>
  <c r="O52" i="15"/>
  <c r="E52" i="15" s="1"/>
  <c r="O62" i="15"/>
  <c r="E62" i="15" s="1"/>
  <c r="O55" i="15"/>
  <c r="E55" i="15" s="1"/>
  <c r="O66" i="15"/>
  <c r="E66" i="15" s="1"/>
  <c r="O88" i="15"/>
  <c r="O108" i="15"/>
  <c r="E108" i="15" s="1"/>
  <c r="O124" i="15"/>
  <c r="E124" i="15" s="1"/>
  <c r="O89" i="15"/>
  <c r="E89" i="15" s="1"/>
  <c r="O103" i="15"/>
  <c r="E103" i="15" s="1"/>
  <c r="O126" i="15"/>
  <c r="E126" i="15" s="1"/>
  <c r="O144" i="15"/>
  <c r="E144" i="15" s="1"/>
  <c r="O192" i="15"/>
  <c r="E192" i="15" s="1"/>
  <c r="O206" i="15"/>
  <c r="E206" i="15" s="1"/>
  <c r="O226" i="15"/>
  <c r="E226" i="15" s="1"/>
  <c r="O251" i="15"/>
  <c r="E251" i="15" s="1"/>
  <c r="O262" i="15"/>
  <c r="E262" i="15" s="1"/>
  <c r="O275" i="15"/>
  <c r="E275" i="15" s="1"/>
  <c r="O287" i="15"/>
  <c r="E287" i="15" s="1"/>
  <c r="O301" i="15"/>
  <c r="E301" i="15" s="1"/>
  <c r="O193" i="15"/>
  <c r="E193" i="15" s="1"/>
  <c r="O209" i="15"/>
  <c r="E209" i="15" s="1"/>
  <c r="O223" i="15"/>
  <c r="E223" i="15" s="1"/>
  <c r="O237" i="15"/>
  <c r="E237" i="15" s="1"/>
  <c r="O247" i="15"/>
  <c r="E247" i="15" s="1"/>
  <c r="O271" i="15"/>
  <c r="E271" i="15" s="1"/>
  <c r="O302" i="15"/>
  <c r="O320" i="15"/>
  <c r="E320" i="15" s="1"/>
  <c r="O342" i="15"/>
  <c r="E342" i="15" s="1"/>
  <c r="O360" i="15"/>
  <c r="E360" i="15" s="1"/>
  <c r="O374" i="15"/>
  <c r="E374" i="15" s="1"/>
  <c r="O312" i="15"/>
  <c r="E312" i="15" s="1"/>
  <c r="O339" i="15"/>
  <c r="E339" i="15" s="1"/>
  <c r="O369" i="15"/>
  <c r="E369" i="15" s="1"/>
  <c r="O350" i="15"/>
  <c r="E350" i="15" s="1"/>
  <c r="O319" i="15"/>
  <c r="E319" i="15" s="1"/>
  <c r="O290" i="15"/>
  <c r="E290" i="15" s="1"/>
  <c r="O313" i="15"/>
  <c r="E313" i="15" s="1"/>
  <c r="O333" i="15"/>
  <c r="O349" i="15"/>
  <c r="E349" i="15" s="1"/>
  <c r="O368" i="15"/>
  <c r="E368" i="15" s="1"/>
  <c r="O300" i="15"/>
  <c r="E300" i="15" s="1"/>
  <c r="O326" i="15"/>
  <c r="E326" i="15" s="1"/>
  <c r="O356" i="15"/>
  <c r="E356" i="15" s="1"/>
  <c r="O327" i="15"/>
  <c r="E327" i="15" s="1"/>
  <c r="O371" i="15"/>
  <c r="E371" i="15" s="1"/>
  <c r="O338" i="15"/>
  <c r="E338" i="15" s="1"/>
  <c r="J13" i="7"/>
  <c r="AC10" i="16"/>
  <c r="AC75" i="16" s="1"/>
  <c r="AC12" i="20"/>
  <c r="O11" i="20"/>
  <c r="O12" i="20"/>
  <c r="AC9" i="20"/>
  <c r="AT22" i="6"/>
  <c r="AZ22" i="6" s="1"/>
  <c r="N380" i="6" s="1"/>
  <c r="N381" i="6" s="1"/>
  <c r="AY258" i="6"/>
  <c r="AZ258" i="6" s="1"/>
  <c r="AZ134" i="6"/>
  <c r="V380" i="6" s="1"/>
  <c r="V381" i="6" s="1"/>
  <c r="AZ146" i="6"/>
  <c r="AY282" i="6"/>
  <c r="AZ282" i="6" s="1"/>
  <c r="AY266" i="6"/>
  <c r="AZ266" i="6" s="1"/>
  <c r="AY285" i="6"/>
  <c r="AZ285" i="6" s="1"/>
  <c r="AZ81" i="6"/>
  <c r="AZ85" i="6"/>
  <c r="P120" i="1"/>
  <c r="V120" i="1" s="1"/>
  <c r="AA120" i="1" s="1"/>
  <c r="Z120" i="1" s="1"/>
  <c r="Y120" i="1" s="1"/>
  <c r="P165" i="1"/>
  <c r="V165" i="1" s="1"/>
  <c r="AA165" i="1" s="1"/>
  <c r="Z165" i="1" s="1"/>
  <c r="Y165" i="1" s="1"/>
  <c r="AY251" i="6"/>
  <c r="AZ251" i="6" s="1"/>
  <c r="AY239" i="6"/>
  <c r="AZ239" i="6" s="1"/>
  <c r="AY271" i="6"/>
  <c r="AZ271" i="6" s="1"/>
  <c r="AY278" i="6"/>
  <c r="AZ278" i="6" s="1"/>
  <c r="AY281" i="6"/>
  <c r="AZ281" i="6" s="1"/>
  <c r="AY268" i="6"/>
  <c r="AZ268" i="6" s="1"/>
  <c r="AY277" i="6"/>
  <c r="AZ277" i="6" s="1"/>
  <c r="AY259" i="6"/>
  <c r="AZ259" i="6" s="1"/>
  <c r="AY255" i="6"/>
  <c r="AZ255" i="6" s="1"/>
  <c r="AY249" i="6"/>
  <c r="AZ249" i="6" s="1"/>
  <c r="AY232" i="6"/>
  <c r="AZ232" i="6" s="1"/>
  <c r="AC380" i="6" s="1"/>
  <c r="AC381" i="6" s="1"/>
  <c r="AT36" i="6"/>
  <c r="AZ36" i="6" s="1"/>
  <c r="O380" i="6" s="1"/>
  <c r="O381" i="6" s="1"/>
  <c r="AT25" i="6"/>
  <c r="AZ25" i="6" s="1"/>
  <c r="AT46" i="6"/>
  <c r="AZ46" i="6" s="1"/>
  <c r="AT35" i="6"/>
  <c r="AZ35" i="6" s="1"/>
  <c r="AZ139" i="6"/>
  <c r="AT28" i="6"/>
  <c r="AZ28" i="6" s="1"/>
  <c r="AT24" i="6"/>
  <c r="AZ24" i="6" s="1"/>
  <c r="AT26" i="6"/>
  <c r="AZ26" i="6" s="1"/>
  <c r="AT31" i="6"/>
  <c r="AZ31" i="6" s="1"/>
  <c r="P172" i="1"/>
  <c r="V172" i="1" s="1"/>
  <c r="AA172" i="1" s="1"/>
  <c r="Z172" i="1" s="1"/>
  <c r="Y172" i="1" s="1"/>
  <c r="G339" i="1"/>
  <c r="BW339" i="6" s="1"/>
  <c r="I356" i="1"/>
  <c r="G336" i="1"/>
  <c r="BW336" i="6" s="1"/>
  <c r="AY263" i="6"/>
  <c r="AZ263" i="6" s="1"/>
  <c r="AT44" i="6"/>
  <c r="AZ44" i="6" s="1"/>
  <c r="AT41" i="6"/>
  <c r="AZ41" i="6" s="1"/>
  <c r="AT32" i="6"/>
  <c r="AZ32" i="6" s="1"/>
  <c r="AY276" i="6"/>
  <c r="AZ276" i="6" s="1"/>
  <c r="AY287" i="6"/>
  <c r="AZ287" i="6" s="1"/>
  <c r="AY275" i="6"/>
  <c r="AZ275" i="6" s="1"/>
  <c r="AY274" i="6"/>
  <c r="AZ274" i="6" s="1"/>
  <c r="AF380" i="6" s="1"/>
  <c r="AF381" i="6" s="1"/>
  <c r="AT37" i="6"/>
  <c r="AZ37" i="6" s="1"/>
  <c r="AT27" i="6"/>
  <c r="AZ27" i="6" s="1"/>
  <c r="AT30" i="6"/>
  <c r="AZ30" i="6" s="1"/>
  <c r="AY265" i="6"/>
  <c r="AZ265" i="6" s="1"/>
  <c r="AT45" i="6"/>
  <c r="AZ45" i="6" s="1"/>
  <c r="AT33" i="6"/>
  <c r="AZ33" i="6" s="1"/>
  <c r="AT48" i="6"/>
  <c r="AZ48" i="6" s="1"/>
  <c r="AT47" i="6"/>
  <c r="AZ47" i="6" s="1"/>
  <c r="AT42" i="6"/>
  <c r="AZ42" i="6" s="1"/>
  <c r="AT40" i="6"/>
  <c r="AZ40" i="6" s="1"/>
  <c r="AY246" i="6"/>
  <c r="AZ246" i="6" s="1"/>
  <c r="AD380" i="6" s="1"/>
  <c r="AD381" i="6" s="1"/>
  <c r="AY244" i="6"/>
  <c r="AZ244" i="6" s="1"/>
  <c r="AY252" i="6"/>
  <c r="AZ252" i="6" s="1"/>
  <c r="AY238" i="6"/>
  <c r="AZ238" i="6" s="1"/>
  <c r="AY253" i="6"/>
  <c r="AZ253" i="6" s="1"/>
  <c r="AY234" i="6"/>
  <c r="AZ234" i="6" s="1"/>
  <c r="AY257" i="6"/>
  <c r="AZ257" i="6" s="1"/>
  <c r="P136" i="1"/>
  <c r="V136" i="1" s="1"/>
  <c r="AA136" i="1" s="1"/>
  <c r="Z136" i="1" s="1"/>
  <c r="Y136" i="1" s="1"/>
  <c r="AY267" i="6"/>
  <c r="AZ267" i="6" s="1"/>
  <c r="AY270" i="6"/>
  <c r="AZ270" i="6" s="1"/>
  <c r="AY261" i="6"/>
  <c r="AZ261" i="6" s="1"/>
  <c r="AY279" i="6"/>
  <c r="AZ279" i="6" s="1"/>
  <c r="AY284" i="6"/>
  <c r="AZ284" i="6" s="1"/>
  <c r="AY260" i="6"/>
  <c r="AZ260" i="6" s="1"/>
  <c r="AE380" i="6" s="1"/>
  <c r="AE381" i="6" s="1"/>
  <c r="AY283" i="6"/>
  <c r="AZ283" i="6" s="1"/>
  <c r="AY273" i="6"/>
  <c r="AZ273" i="6" s="1"/>
  <c r="AY286" i="6"/>
  <c r="AZ286" i="6" s="1"/>
  <c r="AY280" i="6"/>
  <c r="AZ280" i="6" s="1"/>
  <c r="AY272" i="6"/>
  <c r="AZ272" i="6" s="1"/>
  <c r="AY262" i="6"/>
  <c r="AZ262" i="6" s="1"/>
  <c r="AY269" i="6"/>
  <c r="AZ269" i="6" s="1"/>
  <c r="AY264" i="6"/>
  <c r="AZ264" i="6" s="1"/>
  <c r="AY247" i="6"/>
  <c r="AZ247" i="6" s="1"/>
  <c r="AY242" i="6"/>
  <c r="AZ242" i="6" s="1"/>
  <c r="AY241" i="6"/>
  <c r="AZ241" i="6" s="1"/>
  <c r="AY256" i="6"/>
  <c r="AZ256" i="6" s="1"/>
  <c r="AY236" i="6"/>
  <c r="AZ236" i="6" s="1"/>
  <c r="AY233" i="6"/>
  <c r="AZ233" i="6" s="1"/>
  <c r="AY235" i="6"/>
  <c r="AZ235" i="6" s="1"/>
  <c r="AY243" i="6"/>
  <c r="AZ243" i="6" s="1"/>
  <c r="AY248" i="6"/>
  <c r="AZ248" i="6" s="1"/>
  <c r="AY254" i="6"/>
  <c r="AZ254" i="6" s="1"/>
  <c r="AY250" i="6"/>
  <c r="AZ250" i="6" s="1"/>
  <c r="AY245" i="6"/>
  <c r="AZ245" i="6" s="1"/>
  <c r="AY237" i="6"/>
  <c r="AZ237" i="6" s="1"/>
  <c r="I339" i="1"/>
  <c r="AZ145" i="6"/>
  <c r="AZ153" i="6"/>
  <c r="AZ159" i="6"/>
  <c r="P122" i="1"/>
  <c r="V122" i="1" s="1"/>
  <c r="AA122" i="1" s="1"/>
  <c r="Z122" i="1" s="1"/>
  <c r="Y122" i="1" s="1"/>
  <c r="G329" i="1"/>
  <c r="BW329" i="6" s="1"/>
  <c r="I303" i="1"/>
  <c r="AZ75" i="6"/>
  <c r="AZ149" i="6"/>
  <c r="AZ156" i="6"/>
  <c r="AD129" i="1"/>
  <c r="AA336" i="1"/>
  <c r="Z336" i="1" s="1"/>
  <c r="Y336" i="1" s="1"/>
  <c r="I368" i="1"/>
  <c r="G303" i="1"/>
  <c r="BW303" i="6" s="1"/>
  <c r="G306" i="1"/>
  <c r="BW306" i="6" s="1"/>
  <c r="AA317" i="1"/>
  <c r="Z317" i="1" s="1"/>
  <c r="Y317" i="1" s="1"/>
  <c r="G321" i="1"/>
  <c r="BW321" i="6" s="1"/>
  <c r="AZ147" i="6"/>
  <c r="AA232" i="1"/>
  <c r="Z232" i="1" s="1"/>
  <c r="Y232" i="1" s="1"/>
  <c r="P119" i="1"/>
  <c r="D23" i="7" s="1"/>
  <c r="AD131" i="1"/>
  <c r="AA131" i="1" s="1"/>
  <c r="Z131" i="1" s="1"/>
  <c r="Y131" i="1" s="1"/>
  <c r="G304" i="1"/>
  <c r="BW304" i="6" s="1"/>
  <c r="I304" i="1"/>
  <c r="AA280" i="1"/>
  <c r="Z280" i="1" s="1"/>
  <c r="Y280" i="1" s="1"/>
  <c r="AA337" i="1"/>
  <c r="Z337" i="1" s="1"/>
  <c r="Y337" i="1" s="1"/>
  <c r="G313" i="1"/>
  <c r="BW313" i="6" s="1"/>
  <c r="G337" i="1"/>
  <c r="BW337" i="6" s="1"/>
  <c r="I291" i="1"/>
  <c r="AD128" i="1"/>
  <c r="P143" i="1"/>
  <c r="V143" i="1" s="1"/>
  <c r="AA143" i="1" s="1"/>
  <c r="Z143" i="1" s="1"/>
  <c r="Y143" i="1" s="1"/>
  <c r="P108" i="1"/>
  <c r="V108" i="1" s="1"/>
  <c r="AA108" i="1" s="1"/>
  <c r="Z108" i="1" s="1"/>
  <c r="Y108" i="1" s="1"/>
  <c r="AA321" i="1"/>
  <c r="Z321" i="1" s="1"/>
  <c r="Y321" i="1" s="1"/>
  <c r="AZ141" i="6"/>
  <c r="AD121" i="1"/>
  <c r="AA121" i="1" s="1"/>
  <c r="Z121" i="1" s="1"/>
  <c r="Y121" i="1" s="1"/>
  <c r="AD170" i="1"/>
  <c r="AA170" i="1" s="1"/>
  <c r="Z170" i="1" s="1"/>
  <c r="Y170" i="1" s="1"/>
  <c r="V333" i="1"/>
  <c r="F333" i="1" s="1"/>
  <c r="I333" i="1" s="1"/>
  <c r="AA309" i="1"/>
  <c r="Z309" i="1" s="1"/>
  <c r="Y309" i="1" s="1"/>
  <c r="G309" i="1"/>
  <c r="BW309" i="6" s="1"/>
  <c r="AA173" i="1"/>
  <c r="Z173" i="1" s="1"/>
  <c r="Y173" i="1" s="1"/>
  <c r="I313" i="1"/>
  <c r="AA326" i="1"/>
  <c r="Z326" i="1" s="1"/>
  <c r="Y326" i="1" s="1"/>
  <c r="AZ96" i="6"/>
  <c r="AZ97" i="6"/>
  <c r="AZ118" i="6"/>
  <c r="AZ122" i="6"/>
  <c r="AA356" i="1"/>
  <c r="Z356" i="1" s="1"/>
  <c r="Y356" i="1" s="1"/>
  <c r="AZ198" i="6"/>
  <c r="AZ193" i="6"/>
  <c r="AA318" i="1"/>
  <c r="Z318" i="1" s="1"/>
  <c r="Y318" i="1" s="1"/>
  <c r="P128" i="1"/>
  <c r="V128" i="1" s="1"/>
  <c r="P127" i="1"/>
  <c r="V127" i="1" s="1"/>
  <c r="AA127" i="1" s="1"/>
  <c r="Z127" i="1" s="1"/>
  <c r="Y127" i="1" s="1"/>
  <c r="AA279" i="1"/>
  <c r="Z279" i="1" s="1"/>
  <c r="Y279" i="1" s="1"/>
  <c r="AA329" i="1"/>
  <c r="Z329" i="1" s="1"/>
  <c r="Y329" i="1" s="1"/>
  <c r="AA291" i="1"/>
  <c r="Z291" i="1" s="1"/>
  <c r="Y291" i="1" s="1"/>
  <c r="I337" i="1"/>
  <c r="G318" i="1"/>
  <c r="BW318" i="6" s="1"/>
  <c r="P130" i="1"/>
  <c r="V130" i="1" s="1"/>
  <c r="AZ151" i="6"/>
  <c r="AZ150" i="6"/>
  <c r="AZ158" i="6"/>
  <c r="AZ160" i="6"/>
  <c r="G314" i="1"/>
  <c r="BW314" i="6" s="1"/>
  <c r="AA243" i="1"/>
  <c r="Z243" i="1" s="1"/>
  <c r="Y243" i="1" s="1"/>
  <c r="AD117" i="1"/>
  <c r="P117" i="1"/>
  <c r="V117" i="1" s="1"/>
  <c r="I351" i="1"/>
  <c r="AA306" i="1"/>
  <c r="Z306" i="1" s="1"/>
  <c r="Y306" i="1" s="1"/>
  <c r="AZ304" i="6"/>
  <c r="AZ140" i="6"/>
  <c r="P153" i="1"/>
  <c r="V153" i="1" s="1"/>
  <c r="AZ65" i="6"/>
  <c r="AZ71" i="6"/>
  <c r="AZ155" i="6"/>
  <c r="AZ157" i="6"/>
  <c r="AA314" i="1"/>
  <c r="Z314" i="1" s="1"/>
  <c r="Y314" i="1" s="1"/>
  <c r="AD125" i="1"/>
  <c r="AA125" i="1" s="1"/>
  <c r="Z125" i="1" s="1"/>
  <c r="Y125" i="1" s="1"/>
  <c r="P124" i="1"/>
  <c r="V124" i="1" s="1"/>
  <c r="AA124" i="1" s="1"/>
  <c r="Z124" i="1" s="1"/>
  <c r="Y124" i="1" s="1"/>
  <c r="P166" i="1"/>
  <c r="V166" i="1" s="1"/>
  <c r="AA166" i="1" s="1"/>
  <c r="Z166" i="1" s="1"/>
  <c r="Y166" i="1" s="1"/>
  <c r="AD164" i="1"/>
  <c r="AA164" i="1" s="1"/>
  <c r="Z164" i="1" s="1"/>
  <c r="Y164" i="1" s="1"/>
  <c r="AA285" i="1"/>
  <c r="Z285" i="1" s="1"/>
  <c r="Y285" i="1" s="1"/>
  <c r="P167" i="1"/>
  <c r="V167" i="1" s="1"/>
  <c r="AA167" i="1" s="1"/>
  <c r="Z167" i="1" s="1"/>
  <c r="Y167" i="1" s="1"/>
  <c r="AA206" i="1"/>
  <c r="Z206" i="1" s="1"/>
  <c r="Y206" i="1" s="1"/>
  <c r="AD223" i="1"/>
  <c r="AA223" i="1" s="1"/>
  <c r="Z223" i="1" s="1"/>
  <c r="Y223" i="1" s="1"/>
  <c r="AA368" i="1"/>
  <c r="Z368" i="1" s="1"/>
  <c r="Y368" i="1" s="1"/>
  <c r="G289" i="1"/>
  <c r="BW289" i="6" s="1"/>
  <c r="I289" i="1"/>
  <c r="AM11" i="7"/>
  <c r="AF15" i="7"/>
  <c r="P11" i="20"/>
  <c r="AI117" i="15"/>
  <c r="AH117" i="15" s="1"/>
  <c r="AG117" i="15" s="1"/>
  <c r="AF117" i="15" s="1"/>
  <c r="AI210" i="15"/>
  <c r="AH210" i="15" s="1"/>
  <c r="AG210" i="15" s="1"/>
  <c r="AF210" i="15" s="1"/>
  <c r="AI87" i="15"/>
  <c r="AH87" i="15" s="1"/>
  <c r="AG87" i="15" s="1"/>
  <c r="AF87" i="15" s="1"/>
  <c r="AI163" i="15"/>
  <c r="AH163" i="15" s="1"/>
  <c r="AG163" i="15" s="1"/>
  <c r="AF163" i="15" s="1"/>
  <c r="AI261" i="15"/>
  <c r="AH261" i="15" s="1"/>
  <c r="AG261" i="15" s="1"/>
  <c r="AF261" i="15" s="1"/>
  <c r="S308" i="1"/>
  <c r="R308" i="1" s="1"/>
  <c r="P308" i="1" s="1"/>
  <c r="V308" i="1" s="1"/>
  <c r="F308" i="1" s="1"/>
  <c r="I308" i="1" s="1"/>
  <c r="S320" i="1"/>
  <c r="R320" i="1" s="1"/>
  <c r="P320" i="1" s="1"/>
  <c r="V320" i="1" s="1"/>
  <c r="S287" i="1"/>
  <c r="R287" i="1" s="1"/>
  <c r="P287" i="1" s="1"/>
  <c r="V287" i="1" s="1"/>
  <c r="AA287" i="1" s="1"/>
  <c r="Z287" i="1" s="1"/>
  <c r="Y287" i="1" s="1"/>
  <c r="AG357" i="1"/>
  <c r="AF357" i="1" s="1"/>
  <c r="AD357" i="1" s="1"/>
  <c r="AA357" i="1" s="1"/>
  <c r="Z357" i="1" s="1"/>
  <c r="Y357" i="1" s="1"/>
  <c r="AK3" i="16"/>
  <c r="Q13" i="19" s="1"/>
  <c r="AI108" i="15"/>
  <c r="AH108" i="15" s="1"/>
  <c r="AG108" i="15" s="1"/>
  <c r="AF108" i="15" s="1"/>
  <c r="AI187" i="15"/>
  <c r="AH187" i="15" s="1"/>
  <c r="AG187" i="15" s="1"/>
  <c r="AF187" i="15" s="1"/>
  <c r="AD222" i="1"/>
  <c r="AA222" i="1" s="1"/>
  <c r="Z222" i="1" s="1"/>
  <c r="Y222" i="1" s="1"/>
  <c r="AM9" i="17"/>
  <c r="AK7" i="17"/>
  <c r="AK11" i="17" s="1"/>
  <c r="AK6" i="17"/>
  <c r="AK9" i="17"/>
  <c r="AK5" i="17"/>
  <c r="AM7" i="17"/>
  <c r="AM11" i="17" s="1"/>
  <c r="AK3" i="17" s="1"/>
  <c r="Q14" i="19" s="1"/>
  <c r="AM5" i="17"/>
  <c r="AA61" i="1"/>
  <c r="Z61" i="1" s="1"/>
  <c r="Y61" i="1" s="1"/>
  <c r="AG338" i="1"/>
  <c r="AF338" i="1" s="1"/>
  <c r="AD338" i="1" s="1"/>
  <c r="AA338" i="1" s="1"/>
  <c r="Z338" i="1" s="1"/>
  <c r="Y338" i="1" s="1"/>
  <c r="AG343" i="1"/>
  <c r="AF343" i="1" s="1"/>
  <c r="AD343" i="1" s="1"/>
  <c r="AA343" i="1" s="1"/>
  <c r="Z343" i="1" s="1"/>
  <c r="Y343" i="1" s="1"/>
  <c r="AG308" i="1"/>
  <c r="AF308" i="1" s="1"/>
  <c r="AD308" i="1" s="1"/>
  <c r="S284" i="1"/>
  <c r="R284" i="1" s="1"/>
  <c r="P284" i="1" s="1"/>
  <c r="V284" i="1" s="1"/>
  <c r="AA284" i="1" s="1"/>
  <c r="Z284" i="1" s="1"/>
  <c r="Y284" i="1" s="1"/>
  <c r="S305" i="1"/>
  <c r="R305" i="1" s="1"/>
  <c r="P305" i="1" s="1"/>
  <c r="V305" i="1" s="1"/>
  <c r="F305" i="1" s="1"/>
  <c r="AD322" i="1"/>
  <c r="AA322" i="1" s="1"/>
  <c r="Z322" i="1" s="1"/>
  <c r="Y322" i="1" s="1"/>
  <c r="AD307" i="1"/>
  <c r="AD286" i="1"/>
  <c r="AA286" i="1" s="1"/>
  <c r="Z286" i="1" s="1"/>
  <c r="Y286" i="1" s="1"/>
  <c r="P221" i="1"/>
  <c r="V221" i="1" s="1"/>
  <c r="AA351" i="1"/>
  <c r="Z351" i="1" s="1"/>
  <c r="Y351" i="1" s="1"/>
  <c r="AD367" i="1"/>
  <c r="AA367" i="1" s="1"/>
  <c r="Z367" i="1" s="1"/>
  <c r="Y367" i="1" s="1"/>
  <c r="AD370" i="1"/>
  <c r="AA370" i="1" s="1"/>
  <c r="Z370" i="1" s="1"/>
  <c r="Y370" i="1" s="1"/>
  <c r="AD234" i="1"/>
  <c r="AA234" i="1" s="1"/>
  <c r="Z234" i="1" s="1"/>
  <c r="Y234" i="1" s="1"/>
  <c r="AD262" i="1"/>
  <c r="AA262" i="1" s="1"/>
  <c r="Z262" i="1" s="1"/>
  <c r="Y262" i="1" s="1"/>
  <c r="P230" i="1"/>
  <c r="V230" i="1" s="1"/>
  <c r="AA230" i="1" s="1"/>
  <c r="Z230" i="1" s="1"/>
  <c r="Y230" i="1" s="1"/>
  <c r="P236" i="1"/>
  <c r="V236" i="1" s="1"/>
  <c r="AA236" i="1" s="1"/>
  <c r="Z236" i="1" s="1"/>
  <c r="Y236" i="1" s="1"/>
  <c r="P301" i="1"/>
  <c r="V301" i="1" s="1"/>
  <c r="F301" i="1" s="1"/>
  <c r="AD327" i="1"/>
  <c r="AA327" i="1" s="1"/>
  <c r="Z327" i="1" s="1"/>
  <c r="Y327" i="1" s="1"/>
  <c r="AD354" i="1"/>
  <c r="AA354" i="1" s="1"/>
  <c r="Z354" i="1" s="1"/>
  <c r="Y354" i="1" s="1"/>
  <c r="AI303" i="15"/>
  <c r="AH303" i="15" s="1"/>
  <c r="AG303" i="15" s="1"/>
  <c r="AF303" i="15" s="1"/>
  <c r="AI178" i="15"/>
  <c r="AH178" i="15" s="1"/>
  <c r="AG178" i="15" s="1"/>
  <c r="AF178" i="15" s="1"/>
  <c r="AI39" i="15"/>
  <c r="AH39" i="15" s="1"/>
  <c r="AG39" i="15" s="1"/>
  <c r="AF39" i="15" s="1"/>
  <c r="AI59" i="15"/>
  <c r="AH59" i="15" s="1"/>
  <c r="AG59" i="15" s="1"/>
  <c r="AF59" i="15" s="1"/>
  <c r="AI316" i="15"/>
  <c r="AH316" i="15" s="1"/>
  <c r="AG316" i="15" s="1"/>
  <c r="AF316" i="15" s="1"/>
  <c r="AI52" i="15"/>
  <c r="AH52" i="15" s="1"/>
  <c r="AG52" i="15" s="1"/>
  <c r="AF52" i="15" s="1"/>
  <c r="AD331" i="1"/>
  <c r="AA331" i="1" s="1"/>
  <c r="Z331" i="1" s="1"/>
  <c r="Y331" i="1" s="1"/>
  <c r="P307" i="1"/>
  <c r="V307" i="1" s="1"/>
  <c r="F307" i="1" s="1"/>
  <c r="G307" i="1" s="1"/>
  <c r="BW307" i="6" s="1"/>
  <c r="F8" i="18"/>
  <c r="AK18" i="18"/>
  <c r="P12" i="18"/>
  <c r="AK380" i="18"/>
  <c r="AK24" i="18"/>
  <c r="AK32" i="18"/>
  <c r="AK26" i="18"/>
  <c r="AK33" i="18"/>
  <c r="AK19" i="18"/>
  <c r="AK21" i="18"/>
  <c r="AK25" i="18"/>
  <c r="AK29" i="18"/>
  <c r="AK37" i="18"/>
  <c r="AK39" i="18"/>
  <c r="AK41" i="18"/>
  <c r="AK43" i="18"/>
  <c r="AK48" i="18"/>
  <c r="AK51" i="18"/>
  <c r="AK56" i="18"/>
  <c r="AK60" i="18"/>
  <c r="AK65" i="18"/>
  <c r="AK67" i="18"/>
  <c r="AK44" i="18"/>
  <c r="AK47" i="18"/>
  <c r="AK53" i="18"/>
  <c r="AK55" i="18"/>
  <c r="AK15" i="18"/>
  <c r="AK16" i="18"/>
  <c r="AK31" i="18"/>
  <c r="AK28" i="18"/>
  <c r="AK20" i="18"/>
  <c r="AK27" i="18"/>
  <c r="AK36" i="18"/>
  <c r="AK42" i="18"/>
  <c r="AK50" i="18"/>
  <c r="AK57" i="18"/>
  <c r="AK66" i="18"/>
  <c r="AK45" i="18"/>
  <c r="AK54" i="18"/>
  <c r="AK59" i="18"/>
  <c r="AK62" i="18"/>
  <c r="AK68" i="18"/>
  <c r="AK71" i="18"/>
  <c r="AK75" i="18"/>
  <c r="AK79" i="18"/>
  <c r="AK81" i="18"/>
  <c r="AK89" i="18"/>
  <c r="AK94" i="18"/>
  <c r="AK98" i="18"/>
  <c r="AK103" i="18"/>
  <c r="AK114" i="18"/>
  <c r="AK116" i="18"/>
  <c r="AK120" i="18"/>
  <c r="AK122" i="18"/>
  <c r="AK129" i="18"/>
  <c r="AK70" i="18"/>
  <c r="AK73" i="18"/>
  <c r="AK78" i="18"/>
  <c r="AK83" i="18"/>
  <c r="AK86" i="18"/>
  <c r="AK88" i="18"/>
  <c r="AK92" i="18"/>
  <c r="AK96" i="18"/>
  <c r="AK99" i="18"/>
  <c r="AK102" i="18"/>
  <c r="AK106" i="18"/>
  <c r="AK108" i="18"/>
  <c r="AK110" i="18"/>
  <c r="AK112" i="18"/>
  <c r="AK118" i="18"/>
  <c r="AK127" i="18"/>
  <c r="AK131" i="18"/>
  <c r="AK134" i="18"/>
  <c r="AK139" i="18"/>
  <c r="AK143" i="18"/>
  <c r="AK153" i="18"/>
  <c r="AK159" i="18"/>
  <c r="AK165" i="18"/>
  <c r="AK167" i="18"/>
  <c r="AK170" i="18"/>
  <c r="AK172" i="18"/>
  <c r="AK177" i="18"/>
  <c r="AK181" i="18"/>
  <c r="AK125" i="18"/>
  <c r="AK133" i="18"/>
  <c r="AK137" i="18"/>
  <c r="AK141" i="18"/>
  <c r="AK145" i="18"/>
  <c r="AK147" i="18"/>
  <c r="AK149" i="18"/>
  <c r="AK151" i="18"/>
  <c r="AK154" i="18"/>
  <c r="AK157" i="18"/>
  <c r="AK161" i="18"/>
  <c r="AK163" i="18"/>
  <c r="AK168" i="18"/>
  <c r="AK174" i="18"/>
  <c r="AK178" i="18"/>
  <c r="AK182" i="18"/>
  <c r="AK184" i="18"/>
  <c r="AK188" i="18"/>
  <c r="AK194" i="18"/>
  <c r="AK198" i="18"/>
  <c r="AK202" i="18"/>
  <c r="AK205" i="18"/>
  <c r="AK207" i="18"/>
  <c r="AK216" i="18"/>
  <c r="AK218" i="18"/>
  <c r="AK223" i="18"/>
  <c r="AK225" i="18"/>
  <c r="AK228" i="18"/>
  <c r="AK233" i="18"/>
  <c r="AK235" i="18"/>
  <c r="AK238" i="18"/>
  <c r="AK243" i="18"/>
  <c r="AK245" i="18"/>
  <c r="AK254" i="18"/>
  <c r="AK256" i="18"/>
  <c r="AK258" i="18"/>
  <c r="AK261" i="18"/>
  <c r="AK263" i="18"/>
  <c r="AK269" i="18"/>
  <c r="AK271" i="18"/>
  <c r="AK273" i="18"/>
  <c r="AK276" i="18"/>
  <c r="AK281" i="18"/>
  <c r="AK285" i="18"/>
  <c r="AK290" i="18"/>
  <c r="AK293" i="18"/>
  <c r="AK296" i="18"/>
  <c r="AK298" i="18"/>
  <c r="AK300" i="18"/>
  <c r="AK303" i="18"/>
  <c r="AK185" i="18"/>
  <c r="AK189" i="18"/>
  <c r="AK192" i="18"/>
  <c r="AK195" i="18"/>
  <c r="AK199" i="18"/>
  <c r="AK204" i="18"/>
  <c r="AK209" i="18"/>
  <c r="AK211" i="18"/>
  <c r="AK213" i="18"/>
  <c r="AK219" i="18"/>
  <c r="AK222" i="18"/>
  <c r="AK229" i="18"/>
  <c r="AK232" i="18"/>
  <c r="AK239" i="18"/>
  <c r="AK242" i="18"/>
  <c r="AK247" i="18"/>
  <c r="AK249" i="18"/>
  <c r="AK251" i="18"/>
  <c r="AK260" i="18"/>
  <c r="AK266" i="18"/>
  <c r="AK268" i="18"/>
  <c r="AK278" i="18"/>
  <c r="AK280" i="18"/>
  <c r="AK284" i="18"/>
  <c r="AK287" i="18"/>
  <c r="AK292" i="18"/>
  <c r="AK307" i="18"/>
  <c r="AK312" i="18"/>
  <c r="AK316" i="18"/>
  <c r="AK321" i="18"/>
  <c r="AK324" i="18"/>
  <c r="AK327" i="18"/>
  <c r="AK329" i="18"/>
  <c r="AK335" i="18"/>
  <c r="AK338" i="18"/>
  <c r="AK341" i="18"/>
  <c r="AK350" i="18"/>
  <c r="AK355" i="18"/>
  <c r="AK358" i="18"/>
  <c r="AK363" i="18"/>
  <c r="AK367" i="18"/>
  <c r="AK377" i="18"/>
  <c r="AK317" i="18"/>
  <c r="AK330" i="18"/>
  <c r="AK333" i="18"/>
  <c r="AK339" i="18"/>
  <c r="AK343" i="18"/>
  <c r="AK349" i="18"/>
  <c r="AK357" i="18"/>
  <c r="AK362" i="18"/>
  <c r="AK374" i="18"/>
  <c r="AK378" i="18"/>
  <c r="AK306" i="18"/>
  <c r="AK310" i="18"/>
  <c r="AK323" i="18"/>
  <c r="AK337" i="18"/>
  <c r="AK353" i="18"/>
  <c r="AK366" i="18"/>
  <c r="AK311" i="18"/>
  <c r="AK346" i="18"/>
  <c r="AK351" i="18"/>
  <c r="AK368" i="18"/>
  <c r="AK372" i="18"/>
  <c r="AK375" i="18"/>
  <c r="AK22" i="18"/>
  <c r="AK34" i="18"/>
  <c r="AK30" i="18"/>
  <c r="AK46" i="18"/>
  <c r="AK63" i="18"/>
  <c r="AK49" i="18"/>
  <c r="AK61" i="18"/>
  <c r="AK69" i="18"/>
  <c r="AK77" i="18"/>
  <c r="AK85" i="18"/>
  <c r="AK95" i="18"/>
  <c r="AK105" i="18"/>
  <c r="AK119" i="18"/>
  <c r="AK123" i="18"/>
  <c r="AK72" i="18"/>
  <c r="AK82" i="18"/>
  <c r="AK87" i="18"/>
  <c r="AK93" i="18"/>
  <c r="AK101" i="18"/>
  <c r="AK107" i="18"/>
  <c r="AK111" i="18"/>
  <c r="AK124" i="18"/>
  <c r="AK132" i="18"/>
  <c r="AK140" i="18"/>
  <c r="AK156" i="18"/>
  <c r="AK166" i="18"/>
  <c r="AK171" i="18"/>
  <c r="AK179" i="18"/>
  <c r="AK126" i="18"/>
  <c r="AK138" i="18"/>
  <c r="AK146" i="18"/>
  <c r="AK150" i="18"/>
  <c r="AK155" i="18"/>
  <c r="AK162" i="18"/>
  <c r="AK173" i="18"/>
  <c r="AK180" i="18"/>
  <c r="AK187" i="18"/>
  <c r="AK197" i="18"/>
  <c r="AK203" i="18"/>
  <c r="AK215" i="18"/>
  <c r="AK220" i="18"/>
  <c r="AK227" i="18"/>
  <c r="AK234" i="18"/>
  <c r="AK241" i="18"/>
  <c r="AK253" i="18"/>
  <c r="AK257" i="18"/>
  <c r="AK262" i="18"/>
  <c r="AK270" i="18"/>
  <c r="AK275" i="18"/>
  <c r="AK283" i="18"/>
  <c r="AK291" i="18"/>
  <c r="AK297" i="18"/>
  <c r="AK301" i="18"/>
  <c r="AK186" i="18"/>
  <c r="AK193" i="18"/>
  <c r="AK201" i="18"/>
  <c r="AK210" i="18"/>
  <c r="AK214" i="18"/>
  <c r="AK226" i="18"/>
  <c r="AK236" i="18"/>
  <c r="AK246" i="18"/>
  <c r="AK250" i="18"/>
  <c r="AK264" i="18"/>
  <c r="AK274" i="18"/>
  <c r="AK282" i="18"/>
  <c r="AK289" i="18"/>
  <c r="AK308" i="18"/>
  <c r="AK319" i="18"/>
  <c r="AK325" i="18"/>
  <c r="AK331" i="18"/>
  <c r="AK340" i="18"/>
  <c r="AK354" i="18"/>
  <c r="AK360" i="18"/>
  <c r="AK371" i="18"/>
  <c r="AK320" i="18"/>
  <c r="AK334" i="18"/>
  <c r="AK345" i="18"/>
  <c r="AK361" i="18"/>
  <c r="AK376" i="18"/>
  <c r="AK309" i="18"/>
  <c r="AK326" i="18"/>
  <c r="AK359" i="18"/>
  <c r="AK318" i="18"/>
  <c r="AK364" i="18"/>
  <c r="AK373" i="18"/>
  <c r="AK17" i="18"/>
  <c r="AK35" i="18"/>
  <c r="AK23" i="18"/>
  <c r="AK40" i="18"/>
  <c r="AK52" i="18"/>
  <c r="AK38" i="18"/>
  <c r="AK58" i="18"/>
  <c r="AK64" i="18"/>
  <c r="AK74" i="18"/>
  <c r="AK80" i="18"/>
  <c r="AK90" i="18"/>
  <c r="AK100" i="18"/>
  <c r="AK115" i="18"/>
  <c r="AK121" i="18"/>
  <c r="AK130" i="18"/>
  <c r="AK76" i="18"/>
  <c r="AK84" i="18"/>
  <c r="AK91" i="18"/>
  <c r="AK97" i="18"/>
  <c r="AK104" i="18"/>
  <c r="AK109" i="18"/>
  <c r="AK117" i="18"/>
  <c r="AK128" i="18"/>
  <c r="AK136" i="18"/>
  <c r="AK144" i="18"/>
  <c r="AK160" i="18"/>
  <c r="AK169" i="18"/>
  <c r="AK175" i="18"/>
  <c r="AK113" i="18"/>
  <c r="AK135" i="18"/>
  <c r="AK142" i="18"/>
  <c r="AK148" i="18"/>
  <c r="AK152" i="18"/>
  <c r="AK158" i="18"/>
  <c r="AK164" i="18"/>
  <c r="AK176" i="18"/>
  <c r="AK183" i="18"/>
  <c r="AK191" i="18"/>
  <c r="AK200" i="18"/>
  <c r="AK206" i="18"/>
  <c r="AK217" i="18"/>
  <c r="AK224" i="18"/>
  <c r="AK230" i="18"/>
  <c r="AK237" i="18"/>
  <c r="AK244" i="18"/>
  <c r="AK255" i="18"/>
  <c r="AK259" i="18"/>
  <c r="AK265" i="18"/>
  <c r="AK272" i="18"/>
  <c r="AK277" i="18"/>
  <c r="AK288" i="18"/>
  <c r="AK294" i="18"/>
  <c r="AK299" i="18"/>
  <c r="AK304" i="18"/>
  <c r="AK190" i="18"/>
  <c r="AK196" i="18"/>
  <c r="AK208" i="18"/>
  <c r="AK212" i="18"/>
  <c r="AK221" i="18"/>
  <c r="AK231" i="18"/>
  <c r="AK240" i="18"/>
  <c r="AK248" i="18"/>
  <c r="AK252" i="18"/>
  <c r="AK267" i="18"/>
  <c r="AK279" i="18"/>
  <c r="AK286" i="18"/>
  <c r="AK295" i="18"/>
  <c r="AK314" i="18"/>
  <c r="AK322" i="18"/>
  <c r="AK328" i="18"/>
  <c r="AK336" i="18"/>
  <c r="AK348" i="18"/>
  <c r="AK356" i="18"/>
  <c r="AK365" i="18"/>
  <c r="AK315" i="18"/>
  <c r="AK332" i="18"/>
  <c r="AK342" i="18"/>
  <c r="AK352" i="18"/>
  <c r="AK369" i="18"/>
  <c r="AK305" i="18"/>
  <c r="AK313" i="18"/>
  <c r="AK344" i="18"/>
  <c r="AK302" i="18"/>
  <c r="AK347" i="18"/>
  <c r="AK370" i="18"/>
  <c r="AK379" i="18"/>
  <c r="AG320" i="1"/>
  <c r="AF320" i="1" s="1"/>
  <c r="AD320" i="1" s="1"/>
  <c r="AG282" i="1"/>
  <c r="AF282" i="1" s="1"/>
  <c r="AD282" i="1" s="1"/>
  <c r="AA282" i="1" s="1"/>
  <c r="Z282" i="1" s="1"/>
  <c r="Y282" i="1" s="1"/>
  <c r="AG17" i="1"/>
  <c r="AH382" i="1"/>
  <c r="AH381" i="1"/>
  <c r="AH383" i="1"/>
  <c r="AD310" i="1"/>
  <c r="AA310" i="1" s="1"/>
  <c r="Z310" i="1" s="1"/>
  <c r="Y310" i="1" s="1"/>
  <c r="AD316" i="1"/>
  <c r="AD216" i="1"/>
  <c r="AA216" i="1" s="1"/>
  <c r="Z216" i="1" s="1"/>
  <c r="Y216" i="1" s="1"/>
  <c r="AD299" i="1"/>
  <c r="AA299" i="1" s="1"/>
  <c r="Z299" i="1" s="1"/>
  <c r="Y299" i="1" s="1"/>
  <c r="AI186" i="15"/>
  <c r="AH186" i="15" s="1"/>
  <c r="AG186" i="15" s="1"/>
  <c r="AF186" i="15" s="1"/>
  <c r="AI308" i="15"/>
  <c r="AH308" i="15" s="1"/>
  <c r="AG308" i="15" s="1"/>
  <c r="AF308" i="15" s="1"/>
  <c r="AI369" i="15"/>
  <c r="AH369" i="15" s="1"/>
  <c r="AG369" i="15" s="1"/>
  <c r="AF369" i="15" s="1"/>
  <c r="AD233" i="1"/>
  <c r="AA233" i="1" s="1"/>
  <c r="Z233" i="1" s="1"/>
  <c r="Y233" i="1" s="1"/>
  <c r="AI11" i="17"/>
  <c r="P10" i="17"/>
  <c r="AE11" i="17"/>
  <c r="L14" i="19"/>
  <c r="S15" i="1"/>
  <c r="T383" i="1"/>
  <c r="T382" i="1"/>
  <c r="T381" i="1"/>
  <c r="AD344" i="1"/>
  <c r="AA344" i="1" s="1"/>
  <c r="Z344" i="1" s="1"/>
  <c r="Y344" i="1" s="1"/>
  <c r="AD347" i="1"/>
  <c r="AD312" i="1"/>
  <c r="AA312" i="1" s="1"/>
  <c r="Z312" i="1" s="1"/>
  <c r="Y312" i="1" s="1"/>
  <c r="AD283" i="1"/>
  <c r="AA283" i="1" s="1"/>
  <c r="Z283" i="1" s="1"/>
  <c r="Y283" i="1" s="1"/>
  <c r="AD240" i="1"/>
  <c r="AA240" i="1" s="1"/>
  <c r="Z240" i="1" s="1"/>
  <c r="Y240" i="1" s="1"/>
  <c r="AA347" i="1"/>
  <c r="Z347" i="1" s="1"/>
  <c r="Y347" i="1" s="1"/>
  <c r="G347" i="1"/>
  <c r="BW347" i="6" s="1"/>
  <c r="I347" i="1"/>
  <c r="I327" i="1"/>
  <c r="G326" i="1"/>
  <c r="BW326" i="6" s="1"/>
  <c r="G322" i="1"/>
  <c r="BW322" i="6" s="1"/>
  <c r="AZ311" i="6"/>
  <c r="AZ240" i="6"/>
  <c r="AZ203" i="6"/>
  <c r="AZ197" i="6"/>
  <c r="AZ192" i="6"/>
  <c r="AZ143" i="6"/>
  <c r="AZ136" i="6"/>
  <c r="AD153" i="1"/>
  <c r="AZ152" i="6"/>
  <c r="P106" i="1"/>
  <c r="V106" i="1" s="1"/>
  <c r="AA106" i="1" s="1"/>
  <c r="Z106" i="1" s="1"/>
  <c r="Y106" i="1" s="1"/>
  <c r="AD110" i="1"/>
  <c r="AA110" i="1" s="1"/>
  <c r="Z110" i="1" s="1"/>
  <c r="Y110" i="1" s="1"/>
  <c r="P111" i="1"/>
  <c r="V111" i="1" s="1"/>
  <c r="AA111" i="1" s="1"/>
  <c r="Z111" i="1" s="1"/>
  <c r="Y111" i="1" s="1"/>
  <c r="K15" i="7"/>
  <c r="AE18" i="15"/>
  <c r="AE32" i="15"/>
  <c r="AE48" i="15"/>
  <c r="AE64" i="15"/>
  <c r="AE80" i="15"/>
  <c r="AE96" i="15"/>
  <c r="AE112" i="15"/>
  <c r="AE17" i="15"/>
  <c r="AE51" i="15"/>
  <c r="AE83" i="15"/>
  <c r="AE115" i="15"/>
  <c r="AE135" i="15"/>
  <c r="AE151" i="15"/>
  <c r="AE167" i="15"/>
  <c r="AE183" i="15"/>
  <c r="AE199" i="15"/>
  <c r="AE215" i="15"/>
  <c r="AE231" i="15"/>
  <c r="AE247" i="15"/>
  <c r="AE263" i="15"/>
  <c r="AE279" i="15"/>
  <c r="AE295" i="15"/>
  <c r="AE311" i="15"/>
  <c r="AE327" i="15"/>
  <c r="AE343" i="15"/>
  <c r="AE359" i="15"/>
  <c r="AE375" i="15"/>
  <c r="AE378" i="15"/>
  <c r="AE73" i="15"/>
  <c r="AE130" i="15"/>
  <c r="AE28" i="15"/>
  <c r="AE44" i="15"/>
  <c r="AE60" i="15"/>
  <c r="AE76" i="15"/>
  <c r="AE92" i="15"/>
  <c r="AE108" i="15"/>
  <c r="AE43" i="15"/>
  <c r="AE75" i="15"/>
  <c r="AE107" i="15"/>
  <c r="AE131" i="15"/>
  <c r="AE147" i="15"/>
  <c r="AE163" i="15"/>
  <c r="AE179" i="15"/>
  <c r="AE195" i="15"/>
  <c r="AE211" i="15"/>
  <c r="AE227" i="15"/>
  <c r="AE243" i="15"/>
  <c r="AE259" i="15"/>
  <c r="AE275" i="15"/>
  <c r="AE291" i="15"/>
  <c r="AE307" i="15"/>
  <c r="AE323" i="15"/>
  <c r="AE339" i="15"/>
  <c r="AE355" i="15"/>
  <c r="AE371" i="15"/>
  <c r="AE57" i="15"/>
  <c r="AE121" i="15"/>
  <c r="AE154" i="15"/>
  <c r="AE186" i="15"/>
  <c r="AE218" i="15"/>
  <c r="AE250" i="15"/>
  <c r="AE282" i="15"/>
  <c r="AE314" i="15"/>
  <c r="AE346" i="15"/>
  <c r="AE29" i="15"/>
  <c r="AE93" i="15"/>
  <c r="AE140" i="15"/>
  <c r="AE172" i="15"/>
  <c r="AE204" i="15"/>
  <c r="AE236" i="15"/>
  <c r="AE268" i="15"/>
  <c r="AE300" i="15"/>
  <c r="AE332" i="15"/>
  <c r="AE364" i="15"/>
  <c r="AE24" i="15"/>
  <c r="AE40" i="15"/>
  <c r="AE56" i="15"/>
  <c r="AE72" i="15"/>
  <c r="AE88" i="15"/>
  <c r="AE104" i="15"/>
  <c r="AE120" i="15"/>
  <c r="AE35" i="15"/>
  <c r="AE67" i="15"/>
  <c r="AE99" i="15"/>
  <c r="AE127" i="15"/>
  <c r="AE143" i="15"/>
  <c r="AE159" i="15"/>
  <c r="AE175" i="15"/>
  <c r="AE191" i="15"/>
  <c r="AE207" i="15"/>
  <c r="AE223" i="15"/>
  <c r="AE239" i="15"/>
  <c r="AE255" i="15"/>
  <c r="AE271" i="15"/>
  <c r="AE287" i="15"/>
  <c r="AE303" i="15"/>
  <c r="AE319" i="15"/>
  <c r="AE335" i="15"/>
  <c r="AE351" i="15"/>
  <c r="AE367" i="15"/>
  <c r="AE41" i="15"/>
  <c r="AE105" i="15"/>
  <c r="AE19" i="15"/>
  <c r="AE36" i="15"/>
  <c r="AE52" i="15"/>
  <c r="AE68" i="15"/>
  <c r="AE84" i="15"/>
  <c r="AE100" i="15"/>
  <c r="AE116" i="15"/>
  <c r="AE27" i="15"/>
  <c r="AE59" i="15"/>
  <c r="AE91" i="15"/>
  <c r="AE123" i="15"/>
  <c r="AE139" i="15"/>
  <c r="AE155" i="15"/>
  <c r="AE171" i="15"/>
  <c r="AE187" i="15"/>
  <c r="AE203" i="15"/>
  <c r="AE219" i="15"/>
  <c r="AE235" i="15"/>
  <c r="AE251" i="15"/>
  <c r="AE267" i="15"/>
  <c r="AE283" i="15"/>
  <c r="AE299" i="15"/>
  <c r="AE315" i="15"/>
  <c r="AE331" i="15"/>
  <c r="AE347" i="15"/>
  <c r="AE363" i="15"/>
  <c r="AE25" i="15"/>
  <c r="AE89" i="15"/>
  <c r="AE138" i="15"/>
  <c r="AE170" i="15"/>
  <c r="AE202" i="15"/>
  <c r="AE234" i="15"/>
  <c r="AE266" i="15"/>
  <c r="AE298" i="15"/>
  <c r="AE330" i="15"/>
  <c r="AE362" i="15"/>
  <c r="AE61" i="15"/>
  <c r="AE124" i="15"/>
  <c r="AE156" i="15"/>
  <c r="AE188" i="15"/>
  <c r="AE220" i="15"/>
  <c r="AE252" i="15"/>
  <c r="AE284" i="15"/>
  <c r="AE316" i="15"/>
  <c r="AE348" i="15"/>
  <c r="AE20" i="15"/>
  <c r="AE34" i="15"/>
  <c r="AE50" i="15"/>
  <c r="AE66" i="15"/>
  <c r="AE82" i="15"/>
  <c r="AE98" i="15"/>
  <c r="AE114" i="15"/>
  <c r="AE16" i="15"/>
  <c r="AE47" i="15"/>
  <c r="AE79" i="15"/>
  <c r="AE111" i="15"/>
  <c r="AE133" i="15"/>
  <c r="AE149" i="15"/>
  <c r="AE165" i="15"/>
  <c r="AE181" i="15"/>
  <c r="AE197" i="15"/>
  <c r="AE213" i="15"/>
  <c r="AE229" i="15"/>
  <c r="AE245" i="15"/>
  <c r="AE261" i="15"/>
  <c r="AE277" i="15"/>
  <c r="AE293" i="15"/>
  <c r="AE309" i="15"/>
  <c r="AE325" i="15"/>
  <c r="AE341" i="15"/>
  <c r="AE357" i="15"/>
  <c r="AE373" i="15"/>
  <c r="AE15" i="15"/>
  <c r="AE81" i="15"/>
  <c r="AE134" i="15"/>
  <c r="AE166" i="15"/>
  <c r="AE198" i="15"/>
  <c r="AE230" i="15"/>
  <c r="AE262" i="15"/>
  <c r="AE294" i="15"/>
  <c r="AE326" i="15"/>
  <c r="AE358" i="15"/>
  <c r="AE53" i="15"/>
  <c r="AE117" i="15"/>
  <c r="AE152" i="15"/>
  <c r="AE184" i="15"/>
  <c r="AE216" i="15"/>
  <c r="AE248" i="15"/>
  <c r="AE280" i="15"/>
  <c r="AE312" i="15"/>
  <c r="AE344" i="15"/>
  <c r="AE376" i="15"/>
  <c r="AE178" i="15"/>
  <c r="AE242" i="15"/>
  <c r="AE306" i="15"/>
  <c r="AE370" i="15"/>
  <c r="AE132" i="15"/>
  <c r="AE196" i="15"/>
  <c r="AE260" i="15"/>
  <c r="AE324" i="15"/>
  <c r="AE30" i="15"/>
  <c r="AE62" i="15"/>
  <c r="AE94" i="15"/>
  <c r="AE39" i="15"/>
  <c r="AE103" i="15"/>
  <c r="AE145" i="15"/>
  <c r="AE177" i="15"/>
  <c r="AE209" i="15"/>
  <c r="AE241" i="15"/>
  <c r="AE273" i="15"/>
  <c r="AE305" i="15"/>
  <c r="AE337" i="15"/>
  <c r="AE369" i="15"/>
  <c r="AE126" i="15"/>
  <c r="AE190" i="15"/>
  <c r="AE254" i="15"/>
  <c r="AE318" i="15"/>
  <c r="AE37" i="15"/>
  <c r="AE144" i="15"/>
  <c r="AE208" i="15"/>
  <c r="AE272" i="15"/>
  <c r="AE336" i="15"/>
  <c r="AE162" i="15"/>
  <c r="AE226" i="15"/>
  <c r="AE290" i="15"/>
  <c r="AE354" i="15"/>
  <c r="AE109" i="15"/>
  <c r="AE180" i="15"/>
  <c r="AE244" i="15"/>
  <c r="AE308" i="15"/>
  <c r="AE372" i="15"/>
  <c r="AE22" i="15"/>
  <c r="AE54" i="15"/>
  <c r="AE86" i="15"/>
  <c r="AE118" i="15"/>
  <c r="AE26" i="15"/>
  <c r="AE42" i="15"/>
  <c r="AE58" i="15"/>
  <c r="AE74" i="15"/>
  <c r="AE90" i="15"/>
  <c r="AE106" i="15"/>
  <c r="AE122" i="15"/>
  <c r="AE31" i="15"/>
  <c r="AE63" i="15"/>
  <c r="AE95" i="15"/>
  <c r="AE125" i="15"/>
  <c r="AE141" i="15"/>
  <c r="AE157" i="15"/>
  <c r="AE173" i="15"/>
  <c r="AE189" i="15"/>
  <c r="AE205" i="15"/>
  <c r="AE221" i="15"/>
  <c r="AE237" i="15"/>
  <c r="AE253" i="15"/>
  <c r="AE269" i="15"/>
  <c r="AE285" i="15"/>
  <c r="AE301" i="15"/>
  <c r="AE317" i="15"/>
  <c r="AE333" i="15"/>
  <c r="AE349" i="15"/>
  <c r="AE365" i="15"/>
  <c r="AE49" i="15"/>
  <c r="AE113" i="15"/>
  <c r="AE150" i="15"/>
  <c r="AE182" i="15"/>
  <c r="AE214" i="15"/>
  <c r="AE246" i="15"/>
  <c r="AE278" i="15"/>
  <c r="AE310" i="15"/>
  <c r="AE342" i="15"/>
  <c r="AE374" i="15"/>
  <c r="AE21" i="15"/>
  <c r="AE85" i="15"/>
  <c r="AE136" i="15"/>
  <c r="AE168" i="15"/>
  <c r="AE200" i="15"/>
  <c r="AE232" i="15"/>
  <c r="AE264" i="15"/>
  <c r="AE296" i="15"/>
  <c r="AE328" i="15"/>
  <c r="AE360" i="15"/>
  <c r="AE146" i="15"/>
  <c r="AE210" i="15"/>
  <c r="AE274" i="15"/>
  <c r="AE338" i="15"/>
  <c r="AE77" i="15"/>
  <c r="AE164" i="15"/>
  <c r="AE228" i="15"/>
  <c r="AE292" i="15"/>
  <c r="AE356" i="15"/>
  <c r="AE46" i="15"/>
  <c r="AE78" i="15"/>
  <c r="AE110" i="15"/>
  <c r="AE71" i="15"/>
  <c r="AE129" i="15"/>
  <c r="AE161" i="15"/>
  <c r="AE193" i="15"/>
  <c r="AE225" i="15"/>
  <c r="AE257" i="15"/>
  <c r="AE289" i="15"/>
  <c r="AE321" i="15"/>
  <c r="AE353" i="15"/>
  <c r="AE65" i="15"/>
  <c r="AE158" i="15"/>
  <c r="AE222" i="15"/>
  <c r="AE286" i="15"/>
  <c r="AE350" i="15"/>
  <c r="AE101" i="15"/>
  <c r="AE176" i="15"/>
  <c r="AE240" i="15"/>
  <c r="AE304" i="15"/>
  <c r="AE368" i="15"/>
  <c r="AE194" i="15"/>
  <c r="AE258" i="15"/>
  <c r="AE322" i="15"/>
  <c r="AE45" i="15"/>
  <c r="AE148" i="15"/>
  <c r="AE212" i="15"/>
  <c r="AE276" i="15"/>
  <c r="AE340" i="15"/>
  <c r="AE379" i="15"/>
  <c r="AE12" i="16" s="1"/>
  <c r="AE38" i="15"/>
  <c r="AE70" i="15"/>
  <c r="AE102" i="15"/>
  <c r="AE23" i="15"/>
  <c r="AE87" i="15"/>
  <c r="AE137" i="15"/>
  <c r="AE169" i="15"/>
  <c r="AE201" i="15"/>
  <c r="AE233" i="15"/>
  <c r="AE265" i="15"/>
  <c r="AE297" i="15"/>
  <c r="AE329" i="15"/>
  <c r="AE361" i="15"/>
  <c r="AE97" i="15"/>
  <c r="AE174" i="15"/>
  <c r="AE238" i="15"/>
  <c r="AE302" i="15"/>
  <c r="AE366" i="15"/>
  <c r="AE128" i="15"/>
  <c r="AE192" i="15"/>
  <c r="AE256" i="15"/>
  <c r="AE320" i="15"/>
  <c r="AE55" i="15"/>
  <c r="AE119" i="15"/>
  <c r="AE153" i="15"/>
  <c r="AE185" i="15"/>
  <c r="AE217" i="15"/>
  <c r="AE249" i="15"/>
  <c r="AE281" i="15"/>
  <c r="AE313" i="15"/>
  <c r="AE345" i="15"/>
  <c r="AE377" i="15"/>
  <c r="AE33" i="15"/>
  <c r="AE142" i="15"/>
  <c r="AE206" i="15"/>
  <c r="AE270" i="15"/>
  <c r="AE334" i="15"/>
  <c r="AE69" i="15"/>
  <c r="AE160" i="15"/>
  <c r="AE224" i="15"/>
  <c r="AE288" i="15"/>
  <c r="AE352" i="15"/>
  <c r="Q12" i="16"/>
  <c r="G312" i="1"/>
  <c r="BW312" i="6" s="1"/>
  <c r="AA244" i="1"/>
  <c r="Z244" i="1" s="1"/>
  <c r="Y244" i="1" s="1"/>
  <c r="AA74" i="1"/>
  <c r="Z74" i="1" s="1"/>
  <c r="Y74" i="1" s="1"/>
  <c r="I344" i="1"/>
  <c r="G344" i="1"/>
  <c r="BW344" i="6" s="1"/>
  <c r="AZ63" i="6"/>
  <c r="AZ23" i="6"/>
  <c r="AZ290" i="6"/>
  <c r="AZ307" i="6"/>
  <c r="AZ297" i="6"/>
  <c r="AZ308" i="6"/>
  <c r="AZ312" i="6"/>
  <c r="AZ315" i="6"/>
  <c r="AD22" i="1"/>
  <c r="AA22" i="1" s="1"/>
  <c r="Z22" i="1" s="1"/>
  <c r="Y22" i="1" s="1"/>
  <c r="AD34" i="1"/>
  <c r="AA34" i="1" s="1"/>
  <c r="Z34" i="1" s="1"/>
  <c r="Y34" i="1" s="1"/>
  <c r="P123" i="1"/>
  <c r="V123" i="1" s="1"/>
  <c r="AA123" i="1" s="1"/>
  <c r="Z123" i="1" s="1"/>
  <c r="Y123" i="1" s="1"/>
  <c r="P155" i="1"/>
  <c r="V155" i="1" s="1"/>
  <c r="AA155" i="1" s="1"/>
  <c r="Z155" i="1" s="1"/>
  <c r="Y155" i="1" s="1"/>
  <c r="AZ137" i="6"/>
  <c r="AZ135" i="6"/>
  <c r="AZ138" i="6"/>
  <c r="AA311" i="1"/>
  <c r="Z311" i="1" s="1"/>
  <c r="Y311" i="1" s="1"/>
  <c r="AD133" i="1"/>
  <c r="AA133" i="1" s="1"/>
  <c r="Z133" i="1" s="1"/>
  <c r="Y133" i="1" s="1"/>
  <c r="AZ70" i="6"/>
  <c r="AZ148" i="6"/>
  <c r="W380" i="6" s="1"/>
  <c r="W381" i="6" s="1"/>
  <c r="AZ154" i="6"/>
  <c r="V241" i="1"/>
  <c r="AA241" i="1" s="1"/>
  <c r="Z241" i="1" s="1"/>
  <c r="Y241" i="1" s="1"/>
  <c r="I311" i="1"/>
  <c r="P118" i="1"/>
  <c r="V118" i="1" s="1"/>
  <c r="AD118" i="1"/>
  <c r="AA289" i="1"/>
  <c r="Z289" i="1" s="1"/>
  <c r="AZ314" i="6"/>
  <c r="AZ310" i="6"/>
  <c r="AZ313" i="6"/>
  <c r="AZ104" i="6"/>
  <c r="AZ100" i="6"/>
  <c r="AZ123" i="6"/>
  <c r="AZ109" i="6"/>
  <c r="AZ115" i="6"/>
  <c r="AZ121" i="6"/>
  <c r="AZ120" i="6"/>
  <c r="U380" i="6" s="1"/>
  <c r="U381" i="6" s="1"/>
  <c r="P35" i="1"/>
  <c r="V35" i="1" s="1"/>
  <c r="AD132" i="1"/>
  <c r="AA132" i="1" s="1"/>
  <c r="Z132" i="1" s="1"/>
  <c r="Y132" i="1" s="1"/>
  <c r="AD130" i="1"/>
  <c r="AZ68" i="6"/>
  <c r="AZ76" i="6"/>
  <c r="I300" i="1"/>
  <c r="AZ92" i="6"/>
  <c r="S380" i="6" s="1"/>
  <c r="S381" i="6" s="1"/>
  <c r="AZ112" i="6"/>
  <c r="AZ106" i="6"/>
  <c r="T380" i="6" s="1"/>
  <c r="T381" i="6" s="1"/>
  <c r="AZ107" i="6"/>
  <c r="AZ117" i="6"/>
  <c r="AZ93" i="6"/>
  <c r="AZ105" i="6"/>
  <c r="AZ127" i="6"/>
  <c r="AD156" i="1"/>
  <c r="AA156" i="1" s="1"/>
  <c r="Z156" i="1" s="1"/>
  <c r="Y156" i="1" s="1"/>
  <c r="I297" i="1"/>
  <c r="P109" i="1"/>
  <c r="V109" i="1" s="1"/>
  <c r="AA109" i="1" s="1"/>
  <c r="Z109" i="1" s="1"/>
  <c r="Y109" i="1" s="1"/>
  <c r="M40" i="6"/>
  <c r="AT15" i="6" s="1"/>
  <c r="AZ15" i="6" s="1"/>
  <c r="P114" i="1"/>
  <c r="V114" i="1" s="1"/>
  <c r="AD114" i="1"/>
  <c r="AZ302" i="6"/>
  <c r="AH380" i="6" s="1"/>
  <c r="AH381" i="6" s="1"/>
  <c r="AZ87" i="6"/>
  <c r="AZ64" i="6"/>
  <c r="Q380" i="6" s="1"/>
  <c r="Q381" i="6" s="1"/>
  <c r="AZ196" i="6"/>
  <c r="AZ60" i="6"/>
  <c r="AZ294" i="6"/>
  <c r="AZ306" i="6"/>
  <c r="AZ292" i="6"/>
  <c r="AZ298" i="6"/>
  <c r="AZ89" i="6"/>
  <c r="AZ98" i="6"/>
  <c r="AZ83" i="6"/>
  <c r="AZ72" i="6"/>
  <c r="AZ133" i="6"/>
  <c r="AZ125" i="6"/>
  <c r="AZ195" i="6"/>
  <c r="P161" i="1"/>
  <c r="V161" i="1" s="1"/>
  <c r="AA161" i="1" s="1"/>
  <c r="Z161" i="1" s="1"/>
  <c r="Y161" i="1" s="1"/>
  <c r="P129" i="1"/>
  <c r="V129" i="1" s="1"/>
  <c r="AA277" i="1"/>
  <c r="Z277" i="1" s="1"/>
  <c r="Y277" i="1" s="1"/>
  <c r="I298" i="1"/>
  <c r="AA298" i="1"/>
  <c r="Z298" i="1" s="1"/>
  <c r="Y298" i="1" s="1"/>
  <c r="G298" i="1"/>
  <c r="BW298" i="6" s="1"/>
  <c r="AZ305" i="6"/>
  <c r="AZ94" i="6"/>
  <c r="AZ80" i="6"/>
  <c r="AZ90" i="6"/>
  <c r="AZ74" i="6"/>
  <c r="AZ108" i="6"/>
  <c r="AZ130" i="6"/>
  <c r="AZ114" i="6"/>
  <c r="AZ132" i="6"/>
  <c r="AZ128" i="6"/>
  <c r="AA372" i="1"/>
  <c r="Z372" i="1" s="1"/>
  <c r="Y372" i="1" s="1"/>
  <c r="AD35" i="1"/>
  <c r="P32" i="1"/>
  <c r="V32" i="1" s="1"/>
  <c r="AA32" i="1" s="1"/>
  <c r="Z32" i="1" s="1"/>
  <c r="Y32" i="1" s="1"/>
  <c r="G300" i="1"/>
  <c r="BW300" i="6" s="1"/>
  <c r="AA297" i="1"/>
  <c r="Z297" i="1" s="1"/>
  <c r="Y297" i="1" s="1"/>
  <c r="I367" i="1"/>
  <c r="AA237" i="1"/>
  <c r="Z237" i="1" s="1"/>
  <c r="Y237" i="1" s="1"/>
  <c r="AZ51" i="6"/>
  <c r="AZ291" i="6"/>
  <c r="AZ309" i="6"/>
  <c r="AD30" i="1"/>
  <c r="AA30" i="1" s="1"/>
  <c r="Z30" i="1" s="1"/>
  <c r="Y30" i="1" s="1"/>
  <c r="AZ288" i="6"/>
  <c r="AG380" i="6" s="1"/>
  <c r="AG381" i="6" s="1"/>
  <c r="AZ296" i="6"/>
  <c r="AZ301" i="6"/>
  <c r="P20" i="1"/>
  <c r="V20" i="1" s="1"/>
  <c r="AA20" i="1" s="1"/>
  <c r="Z20" i="1" s="1"/>
  <c r="Y20" i="1" s="1"/>
  <c r="AZ53" i="6"/>
  <c r="AZ293" i="6"/>
  <c r="AZ56" i="6"/>
  <c r="AZ62" i="6"/>
  <c r="AZ295" i="6"/>
  <c r="AZ299" i="6"/>
  <c r="AZ289" i="6"/>
  <c r="AZ300" i="6"/>
  <c r="AD23" i="1"/>
  <c r="AA23" i="1" s="1"/>
  <c r="Z23" i="1" s="1"/>
  <c r="Y23" i="1" s="1"/>
  <c r="AZ86" i="6"/>
  <c r="AZ82" i="6"/>
  <c r="AZ194" i="6"/>
  <c r="AZ79" i="6"/>
  <c r="AZ91" i="6"/>
  <c r="AZ67" i="6"/>
  <c r="AZ66" i="6"/>
  <c r="AZ77" i="6"/>
  <c r="AD28" i="1"/>
  <c r="AA28" i="1" s="1"/>
  <c r="Z28" i="1" s="1"/>
  <c r="Y28" i="1" s="1"/>
  <c r="AZ200" i="6"/>
  <c r="AZ201" i="6"/>
  <c r="AZ52" i="6"/>
  <c r="AZ101" i="6"/>
  <c r="AZ95" i="6"/>
  <c r="AZ78" i="6"/>
  <c r="R380" i="6" s="1"/>
  <c r="R381" i="6" s="1"/>
  <c r="AZ102" i="6"/>
  <c r="AZ69" i="6"/>
  <c r="AZ73" i="6"/>
  <c r="AZ113" i="6"/>
  <c r="AZ111" i="6"/>
  <c r="AZ190" i="6"/>
  <c r="Z380" i="6" s="1"/>
  <c r="Z381" i="6" s="1"/>
  <c r="AZ202" i="6"/>
  <c r="AZ103" i="6"/>
  <c r="AZ84" i="6"/>
  <c r="AZ88" i="6"/>
  <c r="AZ124" i="6"/>
  <c r="AZ110" i="6"/>
  <c r="AZ119" i="6"/>
  <c r="AZ129" i="6"/>
  <c r="AZ126" i="6"/>
  <c r="AZ116" i="6"/>
  <c r="AZ199" i="6"/>
  <c r="AZ191" i="6"/>
  <c r="I372" i="1"/>
  <c r="G366" i="1"/>
  <c r="BW366" i="6" s="1"/>
  <c r="Q11" i="20"/>
  <c r="G372" i="1"/>
  <c r="BW372" i="6" s="1"/>
  <c r="AA366" i="1"/>
  <c r="Z366" i="1" s="1"/>
  <c r="Y366" i="1" s="1"/>
  <c r="AA126" i="1"/>
  <c r="Z126" i="1" s="1"/>
  <c r="Y126" i="1" s="1"/>
  <c r="AA146" i="1"/>
  <c r="Z146" i="1" s="1"/>
  <c r="Y146" i="1" s="1"/>
  <c r="AZ54" i="6"/>
  <c r="AZ57" i="6"/>
  <c r="V363" i="1"/>
  <c r="F363" i="1" s="1"/>
  <c r="G363" i="1" s="1"/>
  <c r="BW363" i="6" s="1"/>
  <c r="AD97" i="1"/>
  <c r="P97" i="1"/>
  <c r="V97" i="1" s="1"/>
  <c r="P103" i="1"/>
  <c r="V103" i="1" s="1"/>
  <c r="AD103" i="1"/>
  <c r="AD104" i="1"/>
  <c r="P104" i="1"/>
  <c r="V104" i="1" s="1"/>
  <c r="P95" i="1"/>
  <c r="V95" i="1" s="1"/>
  <c r="AD95" i="1"/>
  <c r="P91" i="1"/>
  <c r="V91" i="1" s="1"/>
  <c r="AD91" i="1"/>
  <c r="P90" i="1"/>
  <c r="V90" i="1" s="1"/>
  <c r="AD90" i="1"/>
  <c r="P92" i="1"/>
  <c r="V92" i="1" s="1"/>
  <c r="AD92" i="1"/>
  <c r="AD101" i="1"/>
  <c r="P101" i="1"/>
  <c r="V101" i="1" s="1"/>
  <c r="P96" i="1"/>
  <c r="V96" i="1" s="1"/>
  <c r="AD96" i="1"/>
  <c r="P93" i="1"/>
  <c r="V93" i="1" s="1"/>
  <c r="AD93" i="1"/>
  <c r="AD86" i="1"/>
  <c r="P86" i="1"/>
  <c r="V86" i="1" s="1"/>
  <c r="P87" i="1"/>
  <c r="V87" i="1" s="1"/>
  <c r="AD87" i="1"/>
  <c r="AD89" i="1"/>
  <c r="P89" i="1"/>
  <c r="V89" i="1" s="1"/>
  <c r="P83" i="1"/>
  <c r="V83" i="1" s="1"/>
  <c r="AD83" i="1"/>
  <c r="P107" i="1"/>
  <c r="V107" i="1" s="1"/>
  <c r="AD107" i="1"/>
  <c r="P116" i="1"/>
  <c r="V116" i="1" s="1"/>
  <c r="AD116" i="1"/>
  <c r="P113" i="1"/>
  <c r="V113" i="1" s="1"/>
  <c r="AD113" i="1"/>
  <c r="P144" i="1"/>
  <c r="V144" i="1" s="1"/>
  <c r="AD144" i="1"/>
  <c r="AD135" i="1"/>
  <c r="P135" i="1"/>
  <c r="V135" i="1" s="1"/>
  <c r="AD147" i="1"/>
  <c r="P147" i="1"/>
  <c r="V147" i="1" s="1"/>
  <c r="AD159" i="1"/>
  <c r="P159" i="1"/>
  <c r="V159" i="1" s="1"/>
  <c r="AD134" i="1"/>
  <c r="P134" i="1"/>
  <c r="V134" i="1" s="1"/>
  <c r="P154" i="1"/>
  <c r="V154" i="1" s="1"/>
  <c r="AD154" i="1"/>
  <c r="AD142" i="1"/>
  <c r="P142" i="1"/>
  <c r="V142" i="1" s="1"/>
  <c r="P160" i="1"/>
  <c r="V160" i="1" s="1"/>
  <c r="AD160" i="1"/>
  <c r="P152" i="1"/>
  <c r="V152" i="1" s="1"/>
  <c r="AD152" i="1"/>
  <c r="AD141" i="1"/>
  <c r="P141" i="1"/>
  <c r="V141" i="1" s="1"/>
  <c r="AD158" i="1"/>
  <c r="P158" i="1"/>
  <c r="V158" i="1" s="1"/>
  <c r="AD260" i="1"/>
  <c r="P260" i="1"/>
  <c r="V260" i="1" s="1"/>
  <c r="AD269" i="1"/>
  <c r="P269" i="1"/>
  <c r="V269" i="1" s="1"/>
  <c r="AD254" i="1"/>
  <c r="P254" i="1"/>
  <c r="V254" i="1" s="1"/>
  <c r="AD259" i="1"/>
  <c r="P259" i="1"/>
  <c r="V259" i="1" s="1"/>
  <c r="P257" i="1"/>
  <c r="V257" i="1" s="1"/>
  <c r="AD257" i="1"/>
  <c r="P273" i="1"/>
  <c r="V273" i="1" s="1"/>
  <c r="AD273" i="1"/>
  <c r="AD266" i="1"/>
  <c r="P266" i="1"/>
  <c r="V266" i="1" s="1"/>
  <c r="P270" i="1"/>
  <c r="V270" i="1" s="1"/>
  <c r="AD270" i="1"/>
  <c r="AD249" i="1"/>
  <c r="P249" i="1"/>
  <c r="V249" i="1" s="1"/>
  <c r="P247" i="1"/>
  <c r="V247" i="1" s="1"/>
  <c r="AD247" i="1"/>
  <c r="P256" i="1"/>
  <c r="V256" i="1" s="1"/>
  <c r="AD256" i="1"/>
  <c r="P264" i="1"/>
  <c r="V264" i="1" s="1"/>
  <c r="AD264" i="1"/>
  <c r="AD265" i="1"/>
  <c r="P265" i="1"/>
  <c r="V265" i="1" s="1"/>
  <c r="AY341" i="6"/>
  <c r="AZ341" i="6" s="1"/>
  <c r="AY319" i="6"/>
  <c r="AZ319" i="6" s="1"/>
  <c r="AY334" i="6"/>
  <c r="AZ334" i="6" s="1"/>
  <c r="AY323" i="6"/>
  <c r="AZ323" i="6" s="1"/>
  <c r="AY326" i="6"/>
  <c r="AZ326" i="6" s="1"/>
  <c r="AY342" i="6"/>
  <c r="AZ342" i="6" s="1"/>
  <c r="AY343" i="6"/>
  <c r="AZ343" i="6" s="1"/>
  <c r="AY335" i="6"/>
  <c r="AZ335" i="6" s="1"/>
  <c r="AY320" i="6"/>
  <c r="AZ320" i="6" s="1"/>
  <c r="AY322" i="6"/>
  <c r="AZ322" i="6" s="1"/>
  <c r="AY327" i="6"/>
  <c r="AZ327" i="6" s="1"/>
  <c r="AY317" i="6"/>
  <c r="AZ317" i="6" s="1"/>
  <c r="AY318" i="6"/>
  <c r="AZ318" i="6" s="1"/>
  <c r="AY340" i="6"/>
  <c r="AZ340" i="6" s="1"/>
  <c r="AY357" i="6"/>
  <c r="AZ357" i="6" s="1"/>
  <c r="AY353" i="6"/>
  <c r="AZ353" i="6" s="1"/>
  <c r="AY355" i="6"/>
  <c r="AZ355" i="6" s="1"/>
  <c r="AY366" i="6"/>
  <c r="AY361" i="6"/>
  <c r="AY359" i="6"/>
  <c r="AY358" i="6"/>
  <c r="AY345" i="6"/>
  <c r="AZ345" i="6" s="1"/>
  <c r="AY350" i="6"/>
  <c r="AZ350" i="6" s="1"/>
  <c r="AY344" i="6"/>
  <c r="AZ344" i="6" s="1"/>
  <c r="AK380" i="6" s="1"/>
  <c r="AK381" i="6" s="1"/>
  <c r="AY362" i="6"/>
  <c r="AY349" i="6"/>
  <c r="AZ349" i="6" s="1"/>
  <c r="AY371" i="6"/>
  <c r="AY352" i="6"/>
  <c r="AZ352" i="6" s="1"/>
  <c r="AZ55" i="6"/>
  <c r="AD99" i="1"/>
  <c r="P99" i="1"/>
  <c r="V99" i="1" s="1"/>
  <c r="P105" i="1"/>
  <c r="V105" i="1" s="1"/>
  <c r="AD105" i="1"/>
  <c r="P98" i="1"/>
  <c r="V98" i="1" s="1"/>
  <c r="AD98" i="1"/>
  <c r="P85" i="1"/>
  <c r="V85" i="1" s="1"/>
  <c r="AD85" i="1"/>
  <c r="AD88" i="1"/>
  <c r="P88" i="1"/>
  <c r="D22" i="7" s="1"/>
  <c r="AD82" i="1"/>
  <c r="P82" i="1"/>
  <c r="V82" i="1" s="1"/>
  <c r="AD94" i="1"/>
  <c r="P94" i="1"/>
  <c r="V94" i="1" s="1"/>
  <c r="AD102" i="1"/>
  <c r="P102" i="1"/>
  <c r="V102" i="1" s="1"/>
  <c r="AD100" i="1"/>
  <c r="P100" i="1"/>
  <c r="V100" i="1" s="1"/>
  <c r="AD80" i="1"/>
  <c r="P80" i="1"/>
  <c r="V80" i="1" s="1"/>
  <c r="AD78" i="1"/>
  <c r="P78" i="1"/>
  <c r="V78" i="1" s="1"/>
  <c r="AD79" i="1"/>
  <c r="P79" i="1"/>
  <c r="V79" i="1" s="1"/>
  <c r="P84" i="1"/>
  <c r="V84" i="1" s="1"/>
  <c r="AD84" i="1"/>
  <c r="V210" i="1"/>
  <c r="D26" i="7"/>
  <c r="AD112" i="1"/>
  <c r="P112" i="1"/>
  <c r="V112" i="1" s="1"/>
  <c r="AD115" i="1"/>
  <c r="P115" i="1"/>
  <c r="V115" i="1" s="1"/>
  <c r="P148" i="1"/>
  <c r="V148" i="1" s="1"/>
  <c r="AD148" i="1"/>
  <c r="P140" i="1"/>
  <c r="V140" i="1" s="1"/>
  <c r="AD140" i="1"/>
  <c r="P149" i="1"/>
  <c r="AD149" i="1"/>
  <c r="AD145" i="1"/>
  <c r="P145" i="1"/>
  <c r="V145" i="1" s="1"/>
  <c r="P150" i="1"/>
  <c r="V150" i="1" s="1"/>
  <c r="AD150" i="1"/>
  <c r="AD137" i="1"/>
  <c r="P137" i="1"/>
  <c r="V137" i="1" s="1"/>
  <c r="P151" i="1"/>
  <c r="V151" i="1" s="1"/>
  <c r="AD151" i="1"/>
  <c r="AD157" i="1"/>
  <c r="P157" i="1"/>
  <c r="V157" i="1" s="1"/>
  <c r="P139" i="1"/>
  <c r="V139" i="1" s="1"/>
  <c r="AD139" i="1"/>
  <c r="AD138" i="1"/>
  <c r="P138" i="1"/>
  <c r="V138" i="1" s="1"/>
  <c r="AA55" i="6"/>
  <c r="AY373" i="6" s="1"/>
  <c r="P248" i="1"/>
  <c r="V248" i="1" s="1"/>
  <c r="AD248" i="1"/>
  <c r="AD267" i="1"/>
  <c r="P267" i="1"/>
  <c r="V267" i="1" s="1"/>
  <c r="P272" i="1"/>
  <c r="AD272" i="1"/>
  <c r="AD258" i="1"/>
  <c r="P258" i="1"/>
  <c r="V258" i="1" s="1"/>
  <c r="AD271" i="1"/>
  <c r="P271" i="1"/>
  <c r="V271" i="1" s="1"/>
  <c r="AD252" i="1"/>
  <c r="P252" i="1"/>
  <c r="V252" i="1" s="1"/>
  <c r="AD253" i="1"/>
  <c r="P253" i="1"/>
  <c r="V253" i="1" s="1"/>
  <c r="P261" i="1"/>
  <c r="V261" i="1" s="1"/>
  <c r="AD261" i="1"/>
  <c r="P250" i="1"/>
  <c r="V250" i="1" s="1"/>
  <c r="AD250" i="1"/>
  <c r="AD255" i="1"/>
  <c r="P255" i="1"/>
  <c r="V255" i="1" s="1"/>
  <c r="P263" i="1"/>
  <c r="V263" i="1" s="1"/>
  <c r="AD263" i="1"/>
  <c r="AD251" i="1"/>
  <c r="P251" i="1"/>
  <c r="V251" i="1" s="1"/>
  <c r="AD268" i="1"/>
  <c r="P268" i="1"/>
  <c r="V268" i="1" s="1"/>
  <c r="AD246" i="1"/>
  <c r="P246" i="1"/>
  <c r="V246" i="1" s="1"/>
  <c r="AA81" i="1"/>
  <c r="Z81" i="1" s="1"/>
  <c r="Y81" i="1" s="1"/>
  <c r="AY325" i="6"/>
  <c r="AZ325" i="6" s="1"/>
  <c r="AY321" i="6"/>
  <c r="AZ321" i="6" s="1"/>
  <c r="AY338" i="6"/>
  <c r="AZ338" i="6" s="1"/>
  <c r="AY331" i="6"/>
  <c r="AZ331" i="6" s="1"/>
  <c r="AY329" i="6"/>
  <c r="AZ329" i="6" s="1"/>
  <c r="AY332" i="6"/>
  <c r="AZ332" i="6" s="1"/>
  <c r="AY337" i="6"/>
  <c r="AZ337" i="6" s="1"/>
  <c r="AY324" i="6"/>
  <c r="AZ324" i="6" s="1"/>
  <c r="AY333" i="6"/>
  <c r="AZ333" i="6" s="1"/>
  <c r="AY339" i="6"/>
  <c r="AZ339" i="6" s="1"/>
  <c r="AY330" i="6"/>
  <c r="AZ330" i="6" s="1"/>
  <c r="AJ380" i="6" s="1"/>
  <c r="AJ381" i="6" s="1"/>
  <c r="AY328" i="6"/>
  <c r="AZ328" i="6" s="1"/>
  <c r="AY336" i="6"/>
  <c r="AZ336" i="6" s="1"/>
  <c r="AY316" i="6"/>
  <c r="AZ316" i="6" s="1"/>
  <c r="AI380" i="6" s="1"/>
  <c r="AI381" i="6" s="1"/>
  <c r="AY365" i="6"/>
  <c r="AY364" i="6"/>
  <c r="AY346" i="6"/>
  <c r="AZ346" i="6" s="1"/>
  <c r="AY354" i="6"/>
  <c r="AZ354" i="6" s="1"/>
  <c r="AY363" i="6"/>
  <c r="AY351" i="6"/>
  <c r="AZ351" i="6" s="1"/>
  <c r="AY348" i="6"/>
  <c r="AZ348" i="6" s="1"/>
  <c r="AY360" i="6"/>
  <c r="AY368" i="6"/>
  <c r="AY367" i="6"/>
  <c r="AY369" i="6"/>
  <c r="AY356" i="6"/>
  <c r="AZ356" i="6" s="1"/>
  <c r="AY370" i="6"/>
  <c r="AZ370" i="6" s="1"/>
  <c r="I346" i="1"/>
  <c r="AA346" i="1"/>
  <c r="Z346" i="1" s="1"/>
  <c r="Y346" i="1" s="1"/>
  <c r="G346" i="1"/>
  <c r="BW346" i="6" s="1"/>
  <c r="G364" i="1"/>
  <c r="BW364" i="6" s="1"/>
  <c r="I364" i="1"/>
  <c r="G350" i="1"/>
  <c r="BW350" i="6" s="1"/>
  <c r="AA350" i="1"/>
  <c r="Z350" i="1" s="1"/>
  <c r="Y350" i="1" s="1"/>
  <c r="I350" i="1"/>
  <c r="G365" i="1"/>
  <c r="BW365" i="6" s="1"/>
  <c r="AA365" i="1"/>
  <c r="Z365" i="1" s="1"/>
  <c r="Y365" i="1" s="1"/>
  <c r="I365" i="1"/>
  <c r="I310" i="1"/>
  <c r="G310" i="1"/>
  <c r="BW310" i="6" s="1"/>
  <c r="G288" i="1"/>
  <c r="BW288" i="6" s="1"/>
  <c r="I288" i="1"/>
  <c r="AA288" i="1"/>
  <c r="Z288" i="1" s="1"/>
  <c r="Y288" i="1" s="1"/>
  <c r="G378" i="1"/>
  <c r="BW378" i="6" s="1"/>
  <c r="AA378" i="1"/>
  <c r="Z378" i="1" s="1"/>
  <c r="Y378" i="1" s="1"/>
  <c r="I378" i="1"/>
  <c r="G353" i="1"/>
  <c r="BW353" i="6" s="1"/>
  <c r="I353" i="1"/>
  <c r="AA353" i="1"/>
  <c r="Z353" i="1" s="1"/>
  <c r="Y353" i="1" s="1"/>
  <c r="G299" i="1"/>
  <c r="BW299" i="6" s="1"/>
  <c r="I299" i="1"/>
  <c r="G357" i="1"/>
  <c r="BW357" i="6" s="1"/>
  <c r="I357" i="1"/>
  <c r="G374" i="1"/>
  <c r="BW374" i="6" s="1"/>
  <c r="AA374" i="1"/>
  <c r="Z374" i="1" s="1"/>
  <c r="Y374" i="1" s="1"/>
  <c r="I374" i="1"/>
  <c r="I376" i="1"/>
  <c r="G376" i="1"/>
  <c r="BW376" i="6" s="1"/>
  <c r="F359" i="1"/>
  <c r="AD25" i="1"/>
  <c r="P25" i="1"/>
  <c r="V25" i="1" s="1"/>
  <c r="P26" i="1"/>
  <c r="V26" i="1" s="1"/>
  <c r="AD26" i="1"/>
  <c r="P33" i="1"/>
  <c r="V33" i="1" s="1"/>
  <c r="AD33" i="1"/>
  <c r="P21" i="1"/>
  <c r="V21" i="1" s="1"/>
  <c r="AD21" i="1"/>
  <c r="G360" i="1"/>
  <c r="BW360" i="6" s="1"/>
  <c r="I360" i="1"/>
  <c r="AA360" i="1"/>
  <c r="Z360" i="1" s="1"/>
  <c r="Y360" i="1" s="1"/>
  <c r="AA364" i="1"/>
  <c r="Z364" i="1" s="1"/>
  <c r="Y364" i="1" s="1"/>
  <c r="G315" i="1"/>
  <c r="BW315" i="6" s="1"/>
  <c r="AA315" i="1"/>
  <c r="Z315" i="1" s="1"/>
  <c r="Y315" i="1" s="1"/>
  <c r="I315" i="1"/>
  <c r="AZ59" i="6"/>
  <c r="AZ58" i="6"/>
  <c r="V362" i="1"/>
  <c r="AT362" i="6"/>
  <c r="AT371" i="6"/>
  <c r="AT373" i="6"/>
  <c r="AT366" i="6"/>
  <c r="AT369" i="6"/>
  <c r="AT361" i="6"/>
  <c r="AT365" i="6"/>
  <c r="AT377" i="6"/>
  <c r="AT376" i="6"/>
  <c r="AT380" i="6"/>
  <c r="AT359" i="6"/>
  <c r="P17" i="1"/>
  <c r="V17" i="1" s="1"/>
  <c r="AD16" i="1"/>
  <c r="P16" i="1"/>
  <c r="V16" i="1" s="1"/>
  <c r="AA358" i="1"/>
  <c r="Z358" i="1" s="1"/>
  <c r="Y358" i="1" s="1"/>
  <c r="AA376" i="1"/>
  <c r="Z376" i="1" s="1"/>
  <c r="Y376" i="1" s="1"/>
  <c r="V29" i="1"/>
  <c r="AA29" i="1" s="1"/>
  <c r="Z29" i="1" s="1"/>
  <c r="Y29" i="1" s="1"/>
  <c r="AD31" i="1"/>
  <c r="P31" i="1"/>
  <c r="V31" i="1" s="1"/>
  <c r="P27" i="1"/>
  <c r="V27" i="1" s="1"/>
  <c r="AD27" i="1"/>
  <c r="AD24" i="1"/>
  <c r="P24" i="1"/>
  <c r="V24" i="1" s="1"/>
  <c r="V371" i="1"/>
  <c r="F371" i="1" s="1"/>
  <c r="V369" i="1"/>
  <c r="F369" i="1" s="1"/>
  <c r="J13" i="6"/>
  <c r="AD15" i="1"/>
  <c r="J12" i="6"/>
  <c r="V377" i="1"/>
  <c r="F377" i="1" s="1"/>
  <c r="I317" i="1"/>
  <c r="G317" i="1"/>
  <c r="BW317" i="6" s="1"/>
  <c r="I361" i="1"/>
  <c r="AA361" i="1"/>
  <c r="Z361" i="1" s="1"/>
  <c r="Y361" i="1" s="1"/>
  <c r="G361" i="1"/>
  <c r="BW361" i="6" s="1"/>
  <c r="AZ50" i="6"/>
  <c r="P380" i="6" s="1"/>
  <c r="P381" i="6" s="1"/>
  <c r="AZ61" i="6"/>
  <c r="AT372" i="6"/>
  <c r="AT363" i="6"/>
  <c r="AT374" i="6"/>
  <c r="AT367" i="6"/>
  <c r="AT358" i="6"/>
  <c r="AT364" i="6"/>
  <c r="AT378" i="6"/>
  <c r="AT375" i="6"/>
  <c r="AT368" i="6"/>
  <c r="AT379" i="6"/>
  <c r="AT360" i="6"/>
  <c r="P19" i="1"/>
  <c r="V19" i="1" s="1"/>
  <c r="AD19" i="1"/>
  <c r="AD18" i="1"/>
  <c r="P18" i="1"/>
  <c r="V18" i="1" s="1"/>
  <c r="F319" i="1"/>
  <c r="I293" i="1"/>
  <c r="AA293" i="1"/>
  <c r="Z293" i="1" s="1"/>
  <c r="Y293" i="1" s="1"/>
  <c r="G293" i="1"/>
  <c r="BW293" i="6" s="1"/>
  <c r="I358" i="1"/>
  <c r="G358" i="1"/>
  <c r="BW358" i="6" s="1"/>
  <c r="V198" i="1"/>
  <c r="AD308" i="15" l="1"/>
  <c r="AD39" i="15"/>
  <c r="AD178" i="15"/>
  <c r="AD187" i="15"/>
  <c r="AD59" i="15"/>
  <c r="AI333" i="15"/>
  <c r="AH333" i="15" s="1"/>
  <c r="AG333" i="15" s="1"/>
  <c r="AF333" i="15" s="1"/>
  <c r="AI128" i="15"/>
  <c r="AH128" i="15" s="1"/>
  <c r="AG128" i="15" s="1"/>
  <c r="AF128" i="15" s="1"/>
  <c r="AI82" i="15"/>
  <c r="AH82" i="15" s="1"/>
  <c r="AG82" i="15" s="1"/>
  <c r="AF82" i="15" s="1"/>
  <c r="AI79" i="15"/>
  <c r="AH79" i="15" s="1"/>
  <c r="AG79" i="15" s="1"/>
  <c r="AF79" i="15" s="1"/>
  <c r="AI41" i="15"/>
  <c r="AH41" i="15" s="1"/>
  <c r="AG41" i="15" s="1"/>
  <c r="AF41" i="15" s="1"/>
  <c r="AI272" i="15"/>
  <c r="AH272" i="15" s="1"/>
  <c r="AG272" i="15" s="1"/>
  <c r="AF272" i="15" s="1"/>
  <c r="AI56" i="15"/>
  <c r="AH56" i="15" s="1"/>
  <c r="AG56" i="15" s="1"/>
  <c r="AF56" i="15" s="1"/>
  <c r="AI149" i="15"/>
  <c r="AH149" i="15" s="1"/>
  <c r="AG149" i="15" s="1"/>
  <c r="AF149" i="15" s="1"/>
  <c r="AI198" i="15"/>
  <c r="AH198" i="15" s="1"/>
  <c r="AG198" i="15" s="1"/>
  <c r="AF198" i="15" s="1"/>
  <c r="AI297" i="15"/>
  <c r="AH297" i="15" s="1"/>
  <c r="AG297" i="15" s="1"/>
  <c r="AF297" i="15" s="1"/>
  <c r="AI168" i="15"/>
  <c r="AH168" i="15" s="1"/>
  <c r="AG168" i="15" s="1"/>
  <c r="AF168" i="15" s="1"/>
  <c r="AI246" i="15"/>
  <c r="AH246" i="15" s="1"/>
  <c r="AG246" i="15" s="1"/>
  <c r="AF246" i="15" s="1"/>
  <c r="AI169" i="15"/>
  <c r="AH169" i="15" s="1"/>
  <c r="AG169" i="15" s="1"/>
  <c r="AF169" i="15" s="1"/>
  <c r="AI123" i="15"/>
  <c r="AH123" i="15" s="1"/>
  <c r="AG123" i="15" s="1"/>
  <c r="AF123" i="15" s="1"/>
  <c r="AI120" i="15"/>
  <c r="AH120" i="15" s="1"/>
  <c r="AI28" i="15"/>
  <c r="AH28" i="15" s="1"/>
  <c r="AG28" i="15" s="1"/>
  <c r="AF28" i="15" s="1"/>
  <c r="AI230" i="15"/>
  <c r="AH230" i="15" s="1"/>
  <c r="AG230" i="15" s="1"/>
  <c r="AF230" i="15" s="1"/>
  <c r="AD316" i="15"/>
  <c r="O79" i="16"/>
  <c r="E79" i="16" s="1"/>
  <c r="AD182" i="15"/>
  <c r="AI307" i="15"/>
  <c r="AH307" i="15" s="1"/>
  <c r="AG307" i="15" s="1"/>
  <c r="AF307" i="15" s="1"/>
  <c r="AI257" i="15"/>
  <c r="AH257" i="15" s="1"/>
  <c r="AG257" i="15" s="1"/>
  <c r="AF257" i="15" s="1"/>
  <c r="AI325" i="15"/>
  <c r="AH325" i="15" s="1"/>
  <c r="AG325" i="15" s="1"/>
  <c r="AF325" i="15" s="1"/>
  <c r="AI191" i="15"/>
  <c r="AH191" i="15" s="1"/>
  <c r="AG191" i="15" s="1"/>
  <c r="AF191" i="15" s="1"/>
  <c r="AI126" i="15"/>
  <c r="AH126" i="15" s="1"/>
  <c r="AG126" i="15" s="1"/>
  <c r="AF126" i="15" s="1"/>
  <c r="AI294" i="15"/>
  <c r="AH294" i="15" s="1"/>
  <c r="AG294" i="15" s="1"/>
  <c r="AF294" i="15" s="1"/>
  <c r="AI245" i="15"/>
  <c r="AH245" i="15" s="1"/>
  <c r="AG245" i="15" s="1"/>
  <c r="AF245" i="15" s="1"/>
  <c r="AI235" i="15"/>
  <c r="AH235" i="15" s="1"/>
  <c r="AG235" i="15" s="1"/>
  <c r="AF235" i="15" s="1"/>
  <c r="AI64" i="15"/>
  <c r="AH64" i="15" s="1"/>
  <c r="AG64" i="15" s="1"/>
  <c r="AF64" i="15" s="1"/>
  <c r="AI237" i="15"/>
  <c r="AH237" i="15" s="1"/>
  <c r="AG237" i="15" s="1"/>
  <c r="AF237" i="15" s="1"/>
  <c r="AI349" i="15"/>
  <c r="AH349" i="15" s="1"/>
  <c r="AG349" i="15" s="1"/>
  <c r="AF349" i="15" s="1"/>
  <c r="AI35" i="15"/>
  <c r="AH35" i="15" s="1"/>
  <c r="AG35" i="15" s="1"/>
  <c r="AF35" i="15" s="1"/>
  <c r="AI295" i="15"/>
  <c r="AH295" i="15" s="1"/>
  <c r="AG295" i="15" s="1"/>
  <c r="AF295" i="15" s="1"/>
  <c r="AD295" i="15" s="1"/>
  <c r="AI220" i="15"/>
  <c r="AH220" i="15" s="1"/>
  <c r="AG220" i="15" s="1"/>
  <c r="AF220" i="15" s="1"/>
  <c r="AI338" i="15"/>
  <c r="AH338" i="15" s="1"/>
  <c r="AG338" i="15" s="1"/>
  <c r="AF338" i="15" s="1"/>
  <c r="AI366" i="15"/>
  <c r="AH366" i="15" s="1"/>
  <c r="AG366" i="15" s="1"/>
  <c r="AF366" i="15" s="1"/>
  <c r="AI100" i="15"/>
  <c r="AH100" i="15" s="1"/>
  <c r="AI54" i="15"/>
  <c r="AH54" i="15" s="1"/>
  <c r="AG54" i="15" s="1"/>
  <c r="AF54" i="15" s="1"/>
  <c r="AI40" i="15"/>
  <c r="AH40" i="15" s="1"/>
  <c r="AG40" i="15" s="1"/>
  <c r="AF40" i="15" s="1"/>
  <c r="AD40" i="15" s="1"/>
  <c r="AI227" i="15"/>
  <c r="AH227" i="15" s="1"/>
  <c r="AG227" i="15" s="1"/>
  <c r="AF227" i="15" s="1"/>
  <c r="AD227" i="15" s="1"/>
  <c r="AI119" i="15"/>
  <c r="AH119" i="15" s="1"/>
  <c r="AG119" i="15" s="1"/>
  <c r="AF119" i="15" s="1"/>
  <c r="AI226" i="15"/>
  <c r="AH226" i="15" s="1"/>
  <c r="AG226" i="15" s="1"/>
  <c r="AF226" i="15" s="1"/>
  <c r="AI309" i="15"/>
  <c r="AH309" i="15" s="1"/>
  <c r="AG309" i="15" s="1"/>
  <c r="AF309" i="15" s="1"/>
  <c r="AI363" i="15"/>
  <c r="AH363" i="15" s="1"/>
  <c r="AG363" i="15" s="1"/>
  <c r="AF363" i="15" s="1"/>
  <c r="AD363" i="15" s="1"/>
  <c r="AI115" i="15"/>
  <c r="AH115" i="15" s="1"/>
  <c r="AG115" i="15" s="1"/>
  <c r="AF115" i="15" s="1"/>
  <c r="AI25" i="15"/>
  <c r="AH25" i="15" s="1"/>
  <c r="AG25" i="15" s="1"/>
  <c r="AF25" i="15" s="1"/>
  <c r="AI201" i="15"/>
  <c r="AH201" i="15" s="1"/>
  <c r="AG201" i="15" s="1"/>
  <c r="AF201" i="15" s="1"/>
  <c r="AI101" i="15"/>
  <c r="AH101" i="15" s="1"/>
  <c r="AG101" i="15" s="1"/>
  <c r="AF101" i="15" s="1"/>
  <c r="AI343" i="15"/>
  <c r="AH343" i="15" s="1"/>
  <c r="AG343" i="15" s="1"/>
  <c r="AF343" i="15" s="1"/>
  <c r="AI244" i="15"/>
  <c r="AH244" i="15" s="1"/>
  <c r="AG244" i="15" s="1"/>
  <c r="AF244" i="15" s="1"/>
  <c r="AI370" i="15"/>
  <c r="AH370" i="15" s="1"/>
  <c r="AG370" i="15" s="1"/>
  <c r="AF370" i="15" s="1"/>
  <c r="AI34" i="15"/>
  <c r="AH34" i="15" s="1"/>
  <c r="AG34" i="15" s="1"/>
  <c r="AF34" i="15" s="1"/>
  <c r="AI38" i="15"/>
  <c r="AH38" i="15" s="1"/>
  <c r="AG38" i="15" s="1"/>
  <c r="AF38" i="15" s="1"/>
  <c r="O43" i="16"/>
  <c r="E43" i="16" s="1"/>
  <c r="O19" i="16"/>
  <c r="E19" i="16" s="1"/>
  <c r="O29" i="16"/>
  <c r="E29" i="16" s="1"/>
  <c r="O21" i="16"/>
  <c r="E21" i="16" s="1"/>
  <c r="O16" i="16"/>
  <c r="E16" i="16" s="1"/>
  <c r="O37" i="16"/>
  <c r="E37" i="16" s="1"/>
  <c r="O73" i="16"/>
  <c r="E73" i="16" s="1"/>
  <c r="O31" i="16"/>
  <c r="E31" i="16" s="1"/>
  <c r="O78" i="16"/>
  <c r="E78" i="16" s="1"/>
  <c r="O35" i="16"/>
  <c r="E35" i="16" s="1"/>
  <c r="O77" i="16"/>
  <c r="E77" i="16" s="1"/>
  <c r="AD123" i="15"/>
  <c r="Q383" i="15"/>
  <c r="O24" i="16"/>
  <c r="E24" i="16" s="1"/>
  <c r="O41" i="16"/>
  <c r="E41" i="16" s="1"/>
  <c r="O44" i="16"/>
  <c r="E44" i="16" s="1"/>
  <c r="O42" i="16"/>
  <c r="E42" i="16" s="1"/>
  <c r="O32" i="16"/>
  <c r="E32" i="16" s="1"/>
  <c r="O22" i="16"/>
  <c r="E22" i="16" s="1"/>
  <c r="O18" i="16"/>
  <c r="E18" i="16" s="1"/>
  <c r="O27" i="16"/>
  <c r="E27" i="16" s="1"/>
  <c r="O28" i="16"/>
  <c r="E28" i="16" s="1"/>
  <c r="O36" i="16"/>
  <c r="E36" i="16" s="1"/>
  <c r="O15" i="16"/>
  <c r="E15" i="16" s="1"/>
  <c r="O39" i="16"/>
  <c r="E39" i="16" s="1"/>
  <c r="O40" i="16"/>
  <c r="E40" i="16" s="1"/>
  <c r="O38" i="16"/>
  <c r="E38" i="16" s="1"/>
  <c r="O33" i="16"/>
  <c r="E33" i="16" s="1"/>
  <c r="AC30" i="16"/>
  <c r="AC41" i="16"/>
  <c r="AC36" i="16"/>
  <c r="AC38" i="16"/>
  <c r="AC34" i="16"/>
  <c r="AC24" i="16"/>
  <c r="AC15" i="16"/>
  <c r="AC17" i="16"/>
  <c r="AC18" i="16"/>
  <c r="AC27" i="16"/>
  <c r="AC42" i="16"/>
  <c r="AC26" i="16"/>
  <c r="AC28" i="16"/>
  <c r="AC39" i="16"/>
  <c r="AC25" i="16"/>
  <c r="AC29" i="16"/>
  <c r="AC35" i="16"/>
  <c r="AC16" i="16"/>
  <c r="AC22" i="16"/>
  <c r="AC21" i="16"/>
  <c r="AC37" i="16"/>
  <c r="AC43" i="16"/>
  <c r="AC31" i="16"/>
  <c r="AC20" i="16"/>
  <c r="AC32" i="16"/>
  <c r="AC19" i="16"/>
  <c r="AC45" i="16"/>
  <c r="AC44" i="16"/>
  <c r="AC40" i="16"/>
  <c r="AC33" i="16"/>
  <c r="AC23" i="16"/>
  <c r="AA82" i="1"/>
  <c r="Z82" i="1" s="1"/>
  <c r="Y82" i="1" s="1"/>
  <c r="I316" i="1"/>
  <c r="AA316" i="1"/>
  <c r="Z316" i="1" s="1"/>
  <c r="Y316" i="1" s="1"/>
  <c r="AD261" i="15"/>
  <c r="AI13" i="7"/>
  <c r="AH13" i="7"/>
  <c r="AI362" i="15"/>
  <c r="AH362" i="15" s="1"/>
  <c r="AG362" i="15" s="1"/>
  <c r="AF362" i="15" s="1"/>
  <c r="AA93" i="1"/>
  <c r="Z93" i="1" s="1"/>
  <c r="Y93" i="1" s="1"/>
  <c r="AD294" i="15"/>
  <c r="AD303" i="15"/>
  <c r="AD297" i="15"/>
  <c r="AD108" i="15"/>
  <c r="AD163" i="15"/>
  <c r="AD87" i="15"/>
  <c r="AD210" i="15"/>
  <c r="AI240" i="15"/>
  <c r="AH240" i="15" s="1"/>
  <c r="AG240" i="15" s="1"/>
  <c r="AF240" i="15" s="1"/>
  <c r="AD240" i="15" s="1"/>
  <c r="AI264" i="15"/>
  <c r="AH264" i="15" s="1"/>
  <c r="AG264" i="15" s="1"/>
  <c r="AF264" i="15" s="1"/>
  <c r="AI267" i="15"/>
  <c r="AH267" i="15" s="1"/>
  <c r="AG267" i="15" s="1"/>
  <c r="AF267" i="15" s="1"/>
  <c r="AI355" i="15"/>
  <c r="AH355" i="15" s="1"/>
  <c r="AG355" i="15" s="1"/>
  <c r="AF355" i="15" s="1"/>
  <c r="AD355" i="15" s="1"/>
  <c r="AI248" i="15"/>
  <c r="AH248" i="15" s="1"/>
  <c r="AI183" i="15"/>
  <c r="AH183" i="15" s="1"/>
  <c r="AG183" i="15" s="1"/>
  <c r="AF183" i="15" s="1"/>
  <c r="AI156" i="15"/>
  <c r="AH156" i="15" s="1"/>
  <c r="AG156" i="15" s="1"/>
  <c r="AF156" i="15" s="1"/>
  <c r="AI274" i="15"/>
  <c r="AH274" i="15" s="1"/>
  <c r="AG274" i="15" s="1"/>
  <c r="AF274" i="15" s="1"/>
  <c r="AD274" i="15" s="1"/>
  <c r="AI286" i="15"/>
  <c r="AH286" i="15" s="1"/>
  <c r="AG286" i="15" s="1"/>
  <c r="AF286" i="15" s="1"/>
  <c r="AD286" i="15" s="1"/>
  <c r="AI209" i="15"/>
  <c r="AH209" i="15" s="1"/>
  <c r="AG209" i="15" s="1"/>
  <c r="AF209" i="15" s="1"/>
  <c r="AI70" i="15"/>
  <c r="AH70" i="15" s="1"/>
  <c r="AG70" i="15" s="1"/>
  <c r="AF70" i="15" s="1"/>
  <c r="AI170" i="15"/>
  <c r="AH170" i="15" s="1"/>
  <c r="AG170" i="15" s="1"/>
  <c r="AF170" i="15" s="1"/>
  <c r="AD170" i="15" s="1"/>
  <c r="AI335" i="15"/>
  <c r="AH335" i="15" s="1"/>
  <c r="AG335" i="15" s="1"/>
  <c r="AF335" i="15" s="1"/>
  <c r="AD335" i="15" s="1"/>
  <c r="AI177" i="15"/>
  <c r="AH177" i="15" s="1"/>
  <c r="AG177" i="15" s="1"/>
  <c r="AF177" i="15" s="1"/>
  <c r="AI269" i="15"/>
  <c r="AH269" i="15" s="1"/>
  <c r="AG269" i="15" s="1"/>
  <c r="AF269" i="15" s="1"/>
  <c r="AI112" i="15"/>
  <c r="AH112" i="15" s="1"/>
  <c r="AG112" i="15" s="1"/>
  <c r="AF112" i="15" s="1"/>
  <c r="AI275" i="15"/>
  <c r="AH275" i="15" s="1"/>
  <c r="AG275" i="15" s="1"/>
  <c r="AF275" i="15" s="1"/>
  <c r="AI200" i="15"/>
  <c r="AH200" i="15" s="1"/>
  <c r="AG200" i="15" s="1"/>
  <c r="AF200" i="15" s="1"/>
  <c r="AI313" i="15"/>
  <c r="AH313" i="15" s="1"/>
  <c r="AG313" i="15" s="1"/>
  <c r="AF313" i="15" s="1"/>
  <c r="AD313" i="15" s="1"/>
  <c r="AI251" i="15"/>
  <c r="AH251" i="15" s="1"/>
  <c r="AI129" i="15"/>
  <c r="AH129" i="15" s="1"/>
  <c r="AG129" i="15" s="1"/>
  <c r="AF129" i="15" s="1"/>
  <c r="AI323" i="15"/>
  <c r="AH323" i="15" s="1"/>
  <c r="AI96" i="15"/>
  <c r="AH96" i="15" s="1"/>
  <c r="AI232" i="15"/>
  <c r="AH232" i="15" s="1"/>
  <c r="AG232" i="15" s="1"/>
  <c r="AF232" i="15" s="1"/>
  <c r="AI197" i="15"/>
  <c r="AH197" i="15" s="1"/>
  <c r="AG197" i="15" s="1"/>
  <c r="AF197" i="15" s="1"/>
  <c r="AI167" i="15"/>
  <c r="AH167" i="15" s="1"/>
  <c r="AG167" i="15" s="1"/>
  <c r="AF167" i="15" s="1"/>
  <c r="AD167" i="15" s="1"/>
  <c r="AI292" i="15"/>
  <c r="AH292" i="15" s="1"/>
  <c r="AG292" i="15" s="1"/>
  <c r="AF292" i="15" s="1"/>
  <c r="AI148" i="15"/>
  <c r="AH148" i="15" s="1"/>
  <c r="AG148" i="15" s="1"/>
  <c r="AF148" i="15" s="1"/>
  <c r="AI159" i="15"/>
  <c r="AH159" i="15" s="1"/>
  <c r="AG159" i="15" s="1"/>
  <c r="AF159" i="15" s="1"/>
  <c r="AI266" i="15"/>
  <c r="AH266" i="15" s="1"/>
  <c r="AI74" i="15"/>
  <c r="AH74" i="15" s="1"/>
  <c r="AG74" i="15" s="1"/>
  <c r="AF74" i="15" s="1"/>
  <c r="AI278" i="15"/>
  <c r="AH278" i="15" s="1"/>
  <c r="AG278" i="15" s="1"/>
  <c r="AF278" i="15" s="1"/>
  <c r="AI110" i="15"/>
  <c r="AH110" i="15" s="1"/>
  <c r="AG110" i="15" s="1"/>
  <c r="AF110" i="15" s="1"/>
  <c r="AI145" i="15"/>
  <c r="AH145" i="15" s="1"/>
  <c r="AG145" i="15" s="1"/>
  <c r="AF145" i="15" s="1"/>
  <c r="AI154" i="15"/>
  <c r="AH154" i="15" s="1"/>
  <c r="AI77" i="15"/>
  <c r="AH77" i="15" s="1"/>
  <c r="AG77" i="15" s="1"/>
  <c r="AF77" i="15" s="1"/>
  <c r="AD77" i="15" s="1"/>
  <c r="AI179" i="15"/>
  <c r="AH179" i="15" s="1"/>
  <c r="AG179" i="15" s="1"/>
  <c r="AF179" i="15" s="1"/>
  <c r="AI89" i="15"/>
  <c r="AH89" i="15" s="1"/>
  <c r="AI329" i="15"/>
  <c r="AH329" i="15" s="1"/>
  <c r="AG329" i="15" s="1"/>
  <c r="AF329" i="15" s="1"/>
  <c r="AI65" i="15"/>
  <c r="AH65" i="15" s="1"/>
  <c r="AG65" i="15" s="1"/>
  <c r="AF65" i="15" s="1"/>
  <c r="AI375" i="15"/>
  <c r="AH375" i="15" s="1"/>
  <c r="AG375" i="15" s="1"/>
  <c r="AF375" i="15" s="1"/>
  <c r="AI260" i="15"/>
  <c r="AH260" i="15" s="1"/>
  <c r="AG260" i="15" s="1"/>
  <c r="AF260" i="15" s="1"/>
  <c r="AI63" i="15"/>
  <c r="AH63" i="15" s="1"/>
  <c r="AG63" i="15" s="1"/>
  <c r="AF63" i="15" s="1"/>
  <c r="AI50" i="15"/>
  <c r="AH50" i="15" s="1"/>
  <c r="AG50" i="15" s="1"/>
  <c r="AF50" i="15" s="1"/>
  <c r="AI62" i="15"/>
  <c r="AH62" i="15" s="1"/>
  <c r="AG62" i="15" s="1"/>
  <c r="AF62" i="15" s="1"/>
  <c r="AI310" i="15"/>
  <c r="AH310" i="15" s="1"/>
  <c r="AG310" i="15" s="1"/>
  <c r="AF310" i="15" s="1"/>
  <c r="AD310" i="15" s="1"/>
  <c r="AI185" i="15"/>
  <c r="AH185" i="15" s="1"/>
  <c r="AG185" i="15" s="1"/>
  <c r="AF185" i="15" s="1"/>
  <c r="AI43" i="15"/>
  <c r="AH43" i="15" s="1"/>
  <c r="AG43" i="15" s="1"/>
  <c r="AF43" i="15" s="1"/>
  <c r="AI371" i="15"/>
  <c r="AH371" i="15" s="1"/>
  <c r="AG371" i="15" s="1"/>
  <c r="AF371" i="15" s="1"/>
  <c r="AI360" i="15"/>
  <c r="AH360" i="15" s="1"/>
  <c r="AG360" i="15" s="1"/>
  <c r="AF360" i="15" s="1"/>
  <c r="AI76" i="15"/>
  <c r="AH76" i="15" s="1"/>
  <c r="AG76" i="15" s="1"/>
  <c r="AF76" i="15" s="1"/>
  <c r="AD76" i="15" s="1"/>
  <c r="AI315" i="15"/>
  <c r="AH315" i="15" s="1"/>
  <c r="AG315" i="15" s="1"/>
  <c r="AF315" i="15" s="1"/>
  <c r="AD315" i="15" s="1"/>
  <c r="AI48" i="15"/>
  <c r="AH48" i="15" s="1"/>
  <c r="AG48" i="15" s="1"/>
  <c r="AF48" i="15" s="1"/>
  <c r="AI93" i="15"/>
  <c r="AH93" i="15" s="1"/>
  <c r="AG93" i="15" s="1"/>
  <c r="AF93" i="15" s="1"/>
  <c r="AI224" i="15"/>
  <c r="AH224" i="15" s="1"/>
  <c r="AG224" i="15" s="1"/>
  <c r="AF224" i="15" s="1"/>
  <c r="AI312" i="15"/>
  <c r="AH312" i="15" s="1"/>
  <c r="AG312" i="15" s="1"/>
  <c r="AF312" i="15" s="1"/>
  <c r="AD312" i="15" s="1"/>
  <c r="AI161" i="15"/>
  <c r="AH161" i="15" s="1"/>
  <c r="AG161" i="15" s="1"/>
  <c r="AF161" i="15" s="1"/>
  <c r="AI215" i="15"/>
  <c r="AH215" i="15" s="1"/>
  <c r="AG215" i="15" s="1"/>
  <c r="AF215" i="15" s="1"/>
  <c r="AI340" i="15"/>
  <c r="AH340" i="15" s="1"/>
  <c r="AG340" i="15" s="1"/>
  <c r="AF340" i="15" s="1"/>
  <c r="AI172" i="15"/>
  <c r="AH172" i="15" s="1"/>
  <c r="AG172" i="15" s="1"/>
  <c r="AF172" i="15" s="1"/>
  <c r="AI255" i="15"/>
  <c r="AH255" i="15" s="1"/>
  <c r="AG255" i="15" s="1"/>
  <c r="AF255" i="15" s="1"/>
  <c r="AI290" i="15"/>
  <c r="AH290" i="15" s="1"/>
  <c r="AG290" i="15" s="1"/>
  <c r="AF290" i="15" s="1"/>
  <c r="AI98" i="15"/>
  <c r="AH98" i="15" s="1"/>
  <c r="AG98" i="15" s="1"/>
  <c r="AF98" i="15" s="1"/>
  <c r="AI318" i="15"/>
  <c r="AH318" i="15" s="1"/>
  <c r="AG318" i="15" s="1"/>
  <c r="AF318" i="15" s="1"/>
  <c r="AI142" i="15"/>
  <c r="AH142" i="15" s="1"/>
  <c r="AG142" i="15" s="1"/>
  <c r="AF142" i="15" s="1"/>
  <c r="AI337" i="15"/>
  <c r="AH337" i="15" s="1"/>
  <c r="AG337" i="15" s="1"/>
  <c r="AF337" i="15" s="1"/>
  <c r="AD337" i="15" s="1"/>
  <c r="Q381" i="15"/>
  <c r="AG323" i="15"/>
  <c r="AF323" i="15" s="1"/>
  <c r="AD323" i="15" s="1"/>
  <c r="E7" i="20"/>
  <c r="O10" i="20" s="1"/>
  <c r="O57" i="20" s="1"/>
  <c r="E8" i="20"/>
  <c r="K16" i="19" s="1"/>
  <c r="AG120" i="15"/>
  <c r="AF120" i="15" s="1"/>
  <c r="AD120" i="15" s="1"/>
  <c r="O99" i="16"/>
  <c r="E99" i="16" s="1"/>
  <c r="O89" i="16"/>
  <c r="E89" i="16" s="1"/>
  <c r="Q382" i="15"/>
  <c r="U321" i="15"/>
  <c r="T321" i="15" s="1"/>
  <c r="S321" i="15" s="1"/>
  <c r="R321" i="15" s="1"/>
  <c r="P321" i="15" s="1"/>
  <c r="V321" i="15" s="1"/>
  <c r="F321" i="15" s="1"/>
  <c r="AI122" i="15"/>
  <c r="AH122" i="15" s="1"/>
  <c r="AI239" i="15"/>
  <c r="AH239" i="15" s="1"/>
  <c r="AG239" i="15" s="1"/>
  <c r="AF239" i="15" s="1"/>
  <c r="AI81" i="15"/>
  <c r="AH81" i="15" s="1"/>
  <c r="AI92" i="15"/>
  <c r="AH92" i="15" s="1"/>
  <c r="AG92" i="15" s="1"/>
  <c r="AF92" i="15" s="1"/>
  <c r="AI94" i="15"/>
  <c r="AH94" i="15" s="1"/>
  <c r="AI190" i="15"/>
  <c r="AH190" i="15" s="1"/>
  <c r="AG190" i="15" s="1"/>
  <c r="AF190" i="15" s="1"/>
  <c r="AI270" i="15"/>
  <c r="AH270" i="15" s="1"/>
  <c r="AI358" i="15"/>
  <c r="AH358" i="15" s="1"/>
  <c r="AG358" i="15" s="1"/>
  <c r="AF358" i="15" s="1"/>
  <c r="AI66" i="15"/>
  <c r="AH66" i="15" s="1"/>
  <c r="AG66" i="15" s="1"/>
  <c r="AF66" i="15" s="1"/>
  <c r="AD66" i="15" s="1"/>
  <c r="AI162" i="15"/>
  <c r="AH162" i="15" s="1"/>
  <c r="AG162" i="15" s="1"/>
  <c r="AF162" i="15" s="1"/>
  <c r="AI258" i="15"/>
  <c r="AH258" i="15" s="1"/>
  <c r="AI322" i="15"/>
  <c r="AH322" i="15" s="1"/>
  <c r="AG322" i="15" s="1"/>
  <c r="AF322" i="15" s="1"/>
  <c r="AI127" i="15"/>
  <c r="AH127" i="15" s="1"/>
  <c r="AG127" i="15" s="1"/>
  <c r="AF127" i="15" s="1"/>
  <c r="AI379" i="15"/>
  <c r="AI12" i="16" s="1"/>
  <c r="AI140" i="15"/>
  <c r="AH140" i="15" s="1"/>
  <c r="AI212" i="15"/>
  <c r="AH212" i="15" s="1"/>
  <c r="AG212" i="15" s="1"/>
  <c r="AF212" i="15" s="1"/>
  <c r="AI284" i="15"/>
  <c r="AH284" i="15" s="1"/>
  <c r="AG284" i="15" s="1"/>
  <c r="AF284" i="15" s="1"/>
  <c r="AI23" i="15"/>
  <c r="AH23" i="15" s="1"/>
  <c r="AG23" i="15" s="1"/>
  <c r="AF23" i="15" s="1"/>
  <c r="AI151" i="15"/>
  <c r="AH151" i="15" s="1"/>
  <c r="AI279" i="15"/>
  <c r="AH279" i="15" s="1"/>
  <c r="AG279" i="15" s="1"/>
  <c r="AF279" i="15" s="1"/>
  <c r="AD279" i="15" s="1"/>
  <c r="AI133" i="15"/>
  <c r="AH133" i="15" s="1"/>
  <c r="AG133" i="15" s="1"/>
  <c r="AF133" i="15" s="1"/>
  <c r="AI24" i="15"/>
  <c r="AH24" i="15" s="1"/>
  <c r="AG24" i="15" s="1"/>
  <c r="AF24" i="15" s="1"/>
  <c r="AI216" i="15"/>
  <c r="AH216" i="15" s="1"/>
  <c r="AG216" i="15" s="1"/>
  <c r="AF216" i="15" s="1"/>
  <c r="AI17" i="15"/>
  <c r="AH17" i="15" s="1"/>
  <c r="AI32" i="15"/>
  <c r="AH32" i="15" s="1"/>
  <c r="AG32" i="15" s="1"/>
  <c r="AF32" i="15" s="1"/>
  <c r="AI27" i="15"/>
  <c r="AH27" i="15" s="1"/>
  <c r="AI291" i="15"/>
  <c r="AH291" i="15" s="1"/>
  <c r="AG291" i="15" s="1"/>
  <c r="AF291" i="15" s="1"/>
  <c r="AI317" i="15"/>
  <c r="AH317" i="15" s="1"/>
  <c r="AG317" i="15" s="1"/>
  <c r="AF317" i="15" s="1"/>
  <c r="AI293" i="15"/>
  <c r="AH293" i="15" s="1"/>
  <c r="AG293" i="15" s="1"/>
  <c r="AF293" i="15" s="1"/>
  <c r="AI208" i="15"/>
  <c r="AH208" i="15" s="1"/>
  <c r="AG208" i="15" s="1"/>
  <c r="AF208" i="15" s="1"/>
  <c r="AI219" i="15"/>
  <c r="AH219" i="15" s="1"/>
  <c r="AG219" i="15" s="1"/>
  <c r="AF219" i="15" s="1"/>
  <c r="AI173" i="15"/>
  <c r="AH173" i="15" s="1"/>
  <c r="AG173" i="15" s="1"/>
  <c r="AF173" i="15" s="1"/>
  <c r="AI217" i="15"/>
  <c r="AH217" i="15" s="1"/>
  <c r="AG217" i="15" s="1"/>
  <c r="AF217" i="15" s="1"/>
  <c r="AD217" i="15" s="1"/>
  <c r="AI300" i="15"/>
  <c r="AH300" i="15" s="1"/>
  <c r="AG300" i="15" s="1"/>
  <c r="AF300" i="15" s="1"/>
  <c r="AD300" i="15" s="1"/>
  <c r="AI136" i="15"/>
  <c r="AH136" i="15" s="1"/>
  <c r="AG136" i="15" s="1"/>
  <c r="AF136" i="15" s="1"/>
  <c r="AI193" i="15"/>
  <c r="AH193" i="15" s="1"/>
  <c r="AG193" i="15" s="1"/>
  <c r="AF193" i="15" s="1"/>
  <c r="AI243" i="15"/>
  <c r="AH243" i="15" s="1"/>
  <c r="AG243" i="15" s="1"/>
  <c r="AF243" i="15" s="1"/>
  <c r="AI253" i="15"/>
  <c r="AH253" i="15" s="1"/>
  <c r="AI165" i="15"/>
  <c r="AH165" i="15" s="1"/>
  <c r="AG165" i="15" s="1"/>
  <c r="AF165" i="15" s="1"/>
  <c r="AD165" i="15" s="1"/>
  <c r="AI171" i="15"/>
  <c r="AH171" i="15" s="1"/>
  <c r="AG171" i="15" s="1"/>
  <c r="AF171" i="15" s="1"/>
  <c r="AI205" i="15"/>
  <c r="AH205" i="15" s="1"/>
  <c r="AG205" i="15" s="1"/>
  <c r="AF205" i="15" s="1"/>
  <c r="AI111" i="15"/>
  <c r="AH111" i="15" s="1"/>
  <c r="AG111" i="15" s="1"/>
  <c r="AF111" i="15" s="1"/>
  <c r="AI68" i="15"/>
  <c r="AH68" i="15" s="1"/>
  <c r="AG68" i="15" s="1"/>
  <c r="AF68" i="15" s="1"/>
  <c r="AI158" i="15"/>
  <c r="AH158" i="15" s="1"/>
  <c r="AI334" i="15"/>
  <c r="AH334" i="15" s="1"/>
  <c r="AG334" i="15" s="1"/>
  <c r="AF334" i="15" s="1"/>
  <c r="AI130" i="15"/>
  <c r="AH130" i="15" s="1"/>
  <c r="AI306" i="15"/>
  <c r="AH306" i="15" s="1"/>
  <c r="AG306" i="15" s="1"/>
  <c r="AF306" i="15" s="1"/>
  <c r="AI319" i="15"/>
  <c r="AH319" i="15" s="1"/>
  <c r="AG319" i="15" s="1"/>
  <c r="AF319" i="15" s="1"/>
  <c r="AI188" i="15"/>
  <c r="AH188" i="15" s="1"/>
  <c r="AG188" i="15" s="1"/>
  <c r="AF188" i="15" s="1"/>
  <c r="AI364" i="15"/>
  <c r="AH364" i="15" s="1"/>
  <c r="AG364" i="15" s="1"/>
  <c r="AF364" i="15" s="1"/>
  <c r="AI247" i="15"/>
  <c r="AH247" i="15" s="1"/>
  <c r="AI289" i="15"/>
  <c r="AH289" i="15" s="1"/>
  <c r="AG289" i="15" s="1"/>
  <c r="AF289" i="15" s="1"/>
  <c r="AI344" i="15"/>
  <c r="AH344" i="15" s="1"/>
  <c r="AG344" i="15" s="1"/>
  <c r="AF344" i="15" s="1"/>
  <c r="AI288" i="15"/>
  <c r="AH288" i="15" s="1"/>
  <c r="AG288" i="15" s="1"/>
  <c r="AF288" i="15" s="1"/>
  <c r="AD288" i="15" s="1"/>
  <c r="AI221" i="15"/>
  <c r="AH221" i="15" s="1"/>
  <c r="AG221" i="15" s="1"/>
  <c r="AF221" i="15" s="1"/>
  <c r="AI144" i="15"/>
  <c r="AH144" i="15" s="1"/>
  <c r="AG144" i="15" s="1"/>
  <c r="AF144" i="15" s="1"/>
  <c r="AI45" i="15"/>
  <c r="AH45" i="15" s="1"/>
  <c r="AG45" i="15" s="1"/>
  <c r="AF45" i="15" s="1"/>
  <c r="AI204" i="15"/>
  <c r="AH204" i="15" s="1"/>
  <c r="AG204" i="15" s="1"/>
  <c r="AF204" i="15" s="1"/>
  <c r="AI99" i="15"/>
  <c r="AH99" i="15" s="1"/>
  <c r="AI125" i="15"/>
  <c r="AH125" i="15" s="1"/>
  <c r="AG125" i="15" s="1"/>
  <c r="AF125" i="15" s="1"/>
  <c r="AI107" i="15"/>
  <c r="AH107" i="15" s="1"/>
  <c r="AG107" i="15" s="1"/>
  <c r="AF107" i="15" s="1"/>
  <c r="AI281" i="15"/>
  <c r="AH281" i="15" s="1"/>
  <c r="AG281" i="15" s="1"/>
  <c r="AF281" i="15" s="1"/>
  <c r="AI262" i="15"/>
  <c r="AH262" i="15" s="1"/>
  <c r="AG262" i="15" s="1"/>
  <c r="AF262" i="15" s="1"/>
  <c r="AI47" i="15"/>
  <c r="AH47" i="15" s="1"/>
  <c r="AG47" i="15" s="1"/>
  <c r="AF47" i="15" s="1"/>
  <c r="AI213" i="15"/>
  <c r="AH213" i="15" s="1"/>
  <c r="AG213" i="15" s="1"/>
  <c r="AF213" i="15" s="1"/>
  <c r="AI36" i="15"/>
  <c r="AH36" i="15" s="1"/>
  <c r="AG36" i="15" s="1"/>
  <c r="AF36" i="15" s="1"/>
  <c r="AI46" i="15"/>
  <c r="AH46" i="15" s="1"/>
  <c r="AG46" i="15" s="1"/>
  <c r="AF46" i="15" s="1"/>
  <c r="AD46" i="15" s="1"/>
  <c r="AI150" i="15"/>
  <c r="AH150" i="15" s="1"/>
  <c r="AI238" i="15"/>
  <c r="AH238" i="15" s="1"/>
  <c r="AG238" i="15" s="1"/>
  <c r="AF238" i="15" s="1"/>
  <c r="AI326" i="15"/>
  <c r="AH326" i="15" s="1"/>
  <c r="AI42" i="15"/>
  <c r="AH42" i="15" s="1"/>
  <c r="AG42" i="15" s="1"/>
  <c r="AF42" i="15" s="1"/>
  <c r="AI114" i="15"/>
  <c r="AH114" i="15" s="1"/>
  <c r="AG114" i="15" s="1"/>
  <c r="AF114" i="15" s="1"/>
  <c r="AI218" i="15"/>
  <c r="AH218" i="15" s="1"/>
  <c r="AG218" i="15" s="1"/>
  <c r="AF218" i="15" s="1"/>
  <c r="AI298" i="15"/>
  <c r="AH298" i="15" s="1"/>
  <c r="AG298" i="15" s="1"/>
  <c r="AF298" i="15" s="1"/>
  <c r="AI31" i="15"/>
  <c r="AH31" i="15" s="1"/>
  <c r="AI287" i="15"/>
  <c r="AH287" i="15" s="1"/>
  <c r="AG287" i="15" s="1"/>
  <c r="AF287" i="15" s="1"/>
  <c r="AI60" i="15"/>
  <c r="AH60" i="15" s="1"/>
  <c r="AG60" i="15" s="1"/>
  <c r="AF60" i="15" s="1"/>
  <c r="AD60" i="15" s="1"/>
  <c r="AI180" i="15"/>
  <c r="AH180" i="15" s="1"/>
  <c r="AG180" i="15" s="1"/>
  <c r="AF180" i="15" s="1"/>
  <c r="AI252" i="15"/>
  <c r="AH252" i="15" s="1"/>
  <c r="AG252" i="15" s="1"/>
  <c r="AF252" i="15" s="1"/>
  <c r="AI356" i="15"/>
  <c r="AH356" i="15" s="1"/>
  <c r="AG356" i="15" s="1"/>
  <c r="AF356" i="15" s="1"/>
  <c r="AD356" i="15" s="1"/>
  <c r="AI103" i="15"/>
  <c r="AH103" i="15" s="1"/>
  <c r="AI231" i="15"/>
  <c r="AH231" i="15" s="1"/>
  <c r="AG231" i="15" s="1"/>
  <c r="AF231" i="15" s="1"/>
  <c r="AI359" i="15"/>
  <c r="AH359" i="15" s="1"/>
  <c r="AG359" i="15" s="1"/>
  <c r="AF359" i="15" s="1"/>
  <c r="AI225" i="15"/>
  <c r="AH225" i="15" s="1"/>
  <c r="AG225" i="15" s="1"/>
  <c r="AF225" i="15" s="1"/>
  <c r="AI152" i="15"/>
  <c r="AH152" i="15" s="1"/>
  <c r="AG152" i="15" s="1"/>
  <c r="AF152" i="15" s="1"/>
  <c r="AI328" i="15"/>
  <c r="AH328" i="15" s="1"/>
  <c r="AG328" i="15" s="1"/>
  <c r="AF328" i="15" s="1"/>
  <c r="AI357" i="15"/>
  <c r="AH357" i="15" s="1"/>
  <c r="AG357" i="15" s="1"/>
  <c r="AF357" i="15" s="1"/>
  <c r="AI256" i="15"/>
  <c r="AH256" i="15" s="1"/>
  <c r="AI195" i="15"/>
  <c r="AH195" i="15" s="1"/>
  <c r="AG195" i="15" s="1"/>
  <c r="AF195" i="15" s="1"/>
  <c r="AI157" i="15"/>
  <c r="AH157" i="15" s="1"/>
  <c r="AI265" i="15"/>
  <c r="AH265" i="15" s="1"/>
  <c r="AI80" i="15"/>
  <c r="AH80" i="15" s="1"/>
  <c r="AG80" i="15" s="1"/>
  <c r="AF80" i="15" s="1"/>
  <c r="AI155" i="15"/>
  <c r="AH155" i="15" s="1"/>
  <c r="AG155" i="15" s="1"/>
  <c r="AF155" i="15" s="1"/>
  <c r="AI347" i="15"/>
  <c r="AH347" i="15" s="1"/>
  <c r="AG347" i="15" s="1"/>
  <c r="AF347" i="15" s="1"/>
  <c r="AI57" i="15"/>
  <c r="AH57" i="15" s="1"/>
  <c r="AG57" i="15" s="1"/>
  <c r="AF57" i="15" s="1"/>
  <c r="AI124" i="15"/>
  <c r="AH124" i="15" s="1"/>
  <c r="AG124" i="15" s="1"/>
  <c r="AF124" i="15" s="1"/>
  <c r="AI97" i="15"/>
  <c r="AH97" i="15" s="1"/>
  <c r="AI67" i="15"/>
  <c r="AH67" i="15" s="1"/>
  <c r="AG67" i="15" s="1"/>
  <c r="AF67" i="15" s="1"/>
  <c r="AD67" i="15" s="1"/>
  <c r="AI147" i="15"/>
  <c r="AH147" i="15" s="1"/>
  <c r="AG147" i="15" s="1"/>
  <c r="AF147" i="15" s="1"/>
  <c r="AI61" i="15"/>
  <c r="AH61" i="15" s="1"/>
  <c r="AG61" i="15" s="1"/>
  <c r="AF61" i="15" s="1"/>
  <c r="AI233" i="15"/>
  <c r="AH233" i="15" s="1"/>
  <c r="AG233" i="15" s="1"/>
  <c r="AF233" i="15" s="1"/>
  <c r="AI75" i="15"/>
  <c r="AH75" i="15" s="1"/>
  <c r="AG75" i="15" s="1"/>
  <c r="AF75" i="15" s="1"/>
  <c r="AI378" i="15"/>
  <c r="AH378" i="15" s="1"/>
  <c r="AG378" i="15" s="1"/>
  <c r="AF378" i="15" s="1"/>
  <c r="AI249" i="15"/>
  <c r="AH249" i="15" s="1"/>
  <c r="AI305" i="15"/>
  <c r="AH305" i="15" s="1"/>
  <c r="AG305" i="15" s="1"/>
  <c r="AF305" i="15" s="1"/>
  <c r="AI49" i="15"/>
  <c r="AH49" i="15" s="1"/>
  <c r="AG49" i="15" s="1"/>
  <c r="AF49" i="15" s="1"/>
  <c r="AI85" i="15"/>
  <c r="AH85" i="15" s="1"/>
  <c r="AG85" i="15" s="1"/>
  <c r="AF85" i="15" s="1"/>
  <c r="AI207" i="15"/>
  <c r="AH207" i="15" s="1"/>
  <c r="AG207" i="15" s="1"/>
  <c r="AF207" i="15" s="1"/>
  <c r="AI330" i="15"/>
  <c r="AH330" i="15" s="1"/>
  <c r="AG330" i="15" s="1"/>
  <c r="AF330" i="15" s="1"/>
  <c r="AI106" i="15"/>
  <c r="AH106" i="15" s="1"/>
  <c r="AG106" i="15" s="1"/>
  <c r="AF106" i="15" s="1"/>
  <c r="AI166" i="15"/>
  <c r="AH166" i="15" s="1"/>
  <c r="AG166" i="15" s="1"/>
  <c r="AF166" i="15" s="1"/>
  <c r="AD166" i="15" s="1"/>
  <c r="AI86" i="15"/>
  <c r="AH86" i="15" s="1"/>
  <c r="AI367" i="15"/>
  <c r="AH367" i="15" s="1"/>
  <c r="AG367" i="15" s="1"/>
  <c r="AF367" i="15" s="1"/>
  <c r="AI116" i="15"/>
  <c r="AH116" i="15" s="1"/>
  <c r="AI206" i="15"/>
  <c r="AH206" i="15" s="1"/>
  <c r="AG206" i="15" s="1"/>
  <c r="AF206" i="15" s="1"/>
  <c r="AI374" i="15"/>
  <c r="AH374" i="15" s="1"/>
  <c r="AG374" i="15" s="1"/>
  <c r="AF374" i="15" s="1"/>
  <c r="AI194" i="15"/>
  <c r="AH194" i="15" s="1"/>
  <c r="AG194" i="15" s="1"/>
  <c r="AF194" i="15" s="1"/>
  <c r="AI346" i="15"/>
  <c r="AH346" i="15" s="1"/>
  <c r="AG346" i="15" s="1"/>
  <c r="AF346" i="15" s="1"/>
  <c r="AI277" i="15"/>
  <c r="AH277" i="15" s="1"/>
  <c r="AG277" i="15" s="1"/>
  <c r="AF277" i="15" s="1"/>
  <c r="AD277" i="15" s="1"/>
  <c r="AI228" i="15"/>
  <c r="AH228" i="15" s="1"/>
  <c r="AG228" i="15" s="1"/>
  <c r="AF228" i="15" s="1"/>
  <c r="AI55" i="15"/>
  <c r="AH55" i="15" s="1"/>
  <c r="AG55" i="15" s="1"/>
  <c r="AF55" i="15" s="1"/>
  <c r="AI311" i="15"/>
  <c r="AH311" i="15" s="1"/>
  <c r="AG311" i="15" s="1"/>
  <c r="AF311" i="15" s="1"/>
  <c r="AI72" i="15"/>
  <c r="AH72" i="15" s="1"/>
  <c r="AG72" i="15" s="1"/>
  <c r="AF72" i="15" s="1"/>
  <c r="AI51" i="15"/>
  <c r="AH51" i="15" s="1"/>
  <c r="AG51" i="15" s="1"/>
  <c r="AF51" i="15" s="1"/>
  <c r="AI91" i="15"/>
  <c r="AH91" i="15" s="1"/>
  <c r="AG91" i="15" s="1"/>
  <c r="AF91" i="15" s="1"/>
  <c r="AI377" i="15"/>
  <c r="AH377" i="15" s="1"/>
  <c r="AG377" i="15" s="1"/>
  <c r="AF377" i="15" s="1"/>
  <c r="AI304" i="15"/>
  <c r="AH304" i="15" s="1"/>
  <c r="AG304" i="15" s="1"/>
  <c r="AF304" i="15" s="1"/>
  <c r="AI301" i="15"/>
  <c r="AH301" i="15" s="1"/>
  <c r="AG301" i="15" s="1"/>
  <c r="AF301" i="15" s="1"/>
  <c r="AI332" i="15"/>
  <c r="AH332" i="15" s="1"/>
  <c r="AG332" i="15" s="1"/>
  <c r="AF332" i="15" s="1"/>
  <c r="AI192" i="15"/>
  <c r="AH192" i="15" s="1"/>
  <c r="AG192" i="15" s="1"/>
  <c r="AF192" i="15" s="1"/>
  <c r="AI73" i="15"/>
  <c r="AH73" i="15" s="1"/>
  <c r="AG73" i="15" s="1"/>
  <c r="AF73" i="15" s="1"/>
  <c r="AI283" i="15"/>
  <c r="AH283" i="15" s="1"/>
  <c r="AG283" i="15" s="1"/>
  <c r="AF283" i="15" s="1"/>
  <c r="AD283" i="15" s="1"/>
  <c r="AD128" i="15"/>
  <c r="AD340" i="15"/>
  <c r="AD117" i="15"/>
  <c r="AD50" i="15"/>
  <c r="O84" i="16"/>
  <c r="E84" i="16" s="1"/>
  <c r="O101" i="16"/>
  <c r="E101" i="16" s="1"/>
  <c r="O93" i="16"/>
  <c r="E93" i="16" s="1"/>
  <c r="O104" i="16"/>
  <c r="E104" i="16" s="1"/>
  <c r="O65" i="16"/>
  <c r="E65" i="16" s="1"/>
  <c r="O86" i="16"/>
  <c r="E86" i="16" s="1"/>
  <c r="O88" i="16"/>
  <c r="E88" i="16" s="1"/>
  <c r="AJ10" i="17"/>
  <c r="AJ12" i="17" s="1"/>
  <c r="O46" i="16"/>
  <c r="E46" i="16" s="1"/>
  <c r="O52" i="16"/>
  <c r="E52" i="16" s="1"/>
  <c r="O83" i="16"/>
  <c r="E83" i="16" s="1"/>
  <c r="O48" i="16"/>
  <c r="E48" i="16" s="1"/>
  <c r="O63" i="16"/>
  <c r="E63" i="16" s="1"/>
  <c r="O64" i="16"/>
  <c r="E64" i="16" s="1"/>
  <c r="O67" i="16"/>
  <c r="E67" i="16" s="1"/>
  <c r="O106" i="16"/>
  <c r="E106" i="16" s="1"/>
  <c r="O76" i="16"/>
  <c r="E76" i="16" s="1"/>
  <c r="O82" i="16"/>
  <c r="E82" i="16" s="1"/>
  <c r="AC64" i="16"/>
  <c r="AC60" i="16"/>
  <c r="AC84" i="16"/>
  <c r="AC102" i="16"/>
  <c r="AC104" i="16"/>
  <c r="AC66" i="16"/>
  <c r="AC103" i="16"/>
  <c r="AC70" i="16"/>
  <c r="AC62" i="16"/>
  <c r="AC78" i="16"/>
  <c r="AC49" i="16"/>
  <c r="AC88" i="16"/>
  <c r="AC54" i="16"/>
  <c r="AC71" i="16"/>
  <c r="AC53" i="16"/>
  <c r="AC108" i="16"/>
  <c r="AC101" i="16"/>
  <c r="AC65" i="16"/>
  <c r="AC68" i="16"/>
  <c r="AC63" i="16"/>
  <c r="AC87" i="16"/>
  <c r="AC106" i="16"/>
  <c r="AC99" i="16"/>
  <c r="AC52" i="16"/>
  <c r="AC98" i="16"/>
  <c r="AC82" i="16"/>
  <c r="AC57" i="16"/>
  <c r="AC76" i="16"/>
  <c r="AC77" i="16"/>
  <c r="AC69" i="16"/>
  <c r="AC50" i="16"/>
  <c r="AC105" i="16"/>
  <c r="AC73" i="16"/>
  <c r="AC107" i="16"/>
  <c r="AC81" i="16"/>
  <c r="O66" i="16"/>
  <c r="E66" i="16" s="1"/>
  <c r="O103" i="16"/>
  <c r="E103" i="16" s="1"/>
  <c r="O81" i="16"/>
  <c r="E81" i="16" s="1"/>
  <c r="O57" i="16"/>
  <c r="E57" i="16" s="1"/>
  <c r="O98" i="16"/>
  <c r="E98" i="16" s="1"/>
  <c r="O110" i="16"/>
  <c r="E110" i="16" s="1"/>
  <c r="O71" i="16"/>
  <c r="E71" i="16" s="1"/>
  <c r="O92" i="16"/>
  <c r="E92" i="16" s="1"/>
  <c r="O53" i="16"/>
  <c r="E53" i="16" s="1"/>
  <c r="O85" i="16"/>
  <c r="E85" i="16" s="1"/>
  <c r="O61" i="16"/>
  <c r="E61" i="16" s="1"/>
  <c r="O54" i="16"/>
  <c r="E54" i="16" s="1"/>
  <c r="O91" i="16"/>
  <c r="E91" i="16" s="1"/>
  <c r="O72" i="16"/>
  <c r="E72" i="16" s="1"/>
  <c r="O62" i="16"/>
  <c r="E62" i="16" s="1"/>
  <c r="O75" i="16"/>
  <c r="E75" i="16" s="1"/>
  <c r="O56" i="16"/>
  <c r="E56" i="16" s="1"/>
  <c r="O97" i="16"/>
  <c r="E97" i="16" s="1"/>
  <c r="O68" i="16"/>
  <c r="E68" i="16" s="1"/>
  <c r="O59" i="16"/>
  <c r="E59" i="16" s="1"/>
  <c r="O90" i="16"/>
  <c r="E90" i="16" s="1"/>
  <c r="O105" i="16"/>
  <c r="E105" i="16" s="1"/>
  <c r="O69" i="16"/>
  <c r="E69" i="16" s="1"/>
  <c r="O80" i="16"/>
  <c r="E80" i="16" s="1"/>
  <c r="AC48" i="16"/>
  <c r="AC79" i="16"/>
  <c r="AC109" i="16"/>
  <c r="AC97" i="16"/>
  <c r="AC61" i="16"/>
  <c r="AC86" i="16"/>
  <c r="AC67" i="16"/>
  <c r="AC89" i="16"/>
  <c r="AC51" i="16"/>
  <c r="AC47" i="16"/>
  <c r="AC85" i="16"/>
  <c r="AC74" i="16"/>
  <c r="AC100" i="16"/>
  <c r="AC72" i="16"/>
  <c r="AC93" i="16"/>
  <c r="AC59" i="16"/>
  <c r="AC83" i="16"/>
  <c r="AC56" i="16"/>
  <c r="AC90" i="16"/>
  <c r="AC80" i="16"/>
  <c r="AC55" i="16"/>
  <c r="AC110" i="16"/>
  <c r="AC58" i="16"/>
  <c r="AC96" i="16"/>
  <c r="AC92" i="16"/>
  <c r="AC46" i="16"/>
  <c r="AC95" i="16"/>
  <c r="AC91" i="16"/>
  <c r="AC94" i="16"/>
  <c r="O109" i="16"/>
  <c r="E109" i="16" s="1"/>
  <c r="O26" i="16"/>
  <c r="E26" i="16" s="1"/>
  <c r="O49" i="16"/>
  <c r="E49" i="16" s="1"/>
  <c r="O94" i="16"/>
  <c r="E94" i="16" s="1"/>
  <c r="O55" i="16"/>
  <c r="E55" i="16" s="1"/>
  <c r="O108" i="16"/>
  <c r="E108" i="16" s="1"/>
  <c r="O51" i="16"/>
  <c r="E51" i="16" s="1"/>
  <c r="O87" i="16"/>
  <c r="E87" i="16" s="1"/>
  <c r="O25" i="16"/>
  <c r="E25" i="16" s="1"/>
  <c r="O102" i="16"/>
  <c r="E102" i="16" s="1"/>
  <c r="O23" i="16"/>
  <c r="E23" i="16" s="1"/>
  <c r="O50" i="16"/>
  <c r="E50" i="16" s="1"/>
  <c r="O96" i="16"/>
  <c r="E96" i="16" s="1"/>
  <c r="O17" i="16"/>
  <c r="E17" i="16" s="1"/>
  <c r="O70" i="16"/>
  <c r="E70" i="16" s="1"/>
  <c r="O107" i="16"/>
  <c r="E107" i="16" s="1"/>
  <c r="O95" i="16"/>
  <c r="E95" i="16" s="1"/>
  <c r="O34" i="16"/>
  <c r="E34" i="16" s="1"/>
  <c r="O60" i="16"/>
  <c r="E60" i="16" s="1"/>
  <c r="O100" i="16"/>
  <c r="E100" i="16" s="1"/>
  <c r="O58" i="16"/>
  <c r="E58" i="16" s="1"/>
  <c r="O20" i="16"/>
  <c r="E20" i="16" s="1"/>
  <c r="O47" i="16"/>
  <c r="E47" i="16" s="1"/>
  <c r="O74" i="16"/>
  <c r="E74" i="16" s="1"/>
  <c r="AA221" i="1"/>
  <c r="Z221" i="1" s="1"/>
  <c r="Y221" i="1" s="1"/>
  <c r="AA210" i="1"/>
  <c r="Z210" i="1" s="1"/>
  <c r="Y210" i="1" s="1"/>
  <c r="AA302" i="1"/>
  <c r="Z302" i="1" s="1"/>
  <c r="Y302" i="1" s="1"/>
  <c r="G302" i="1"/>
  <c r="BW302" i="6" s="1"/>
  <c r="G379" i="1"/>
  <c r="BW379" i="6" s="1"/>
  <c r="I379" i="1"/>
  <c r="AA84" i="1"/>
  <c r="Z84" i="1" s="1"/>
  <c r="Y84" i="1" s="1"/>
  <c r="AA90" i="1"/>
  <c r="Z90" i="1" s="1"/>
  <c r="Y90" i="1" s="1"/>
  <c r="E379" i="15"/>
  <c r="C36" i="19"/>
  <c r="AA85" i="1"/>
  <c r="Z85" i="1" s="1"/>
  <c r="Y85" i="1" s="1"/>
  <c r="AA270" i="1"/>
  <c r="Z270" i="1" s="1"/>
  <c r="Y270" i="1" s="1"/>
  <c r="AA257" i="1"/>
  <c r="Z257" i="1" s="1"/>
  <c r="Y257" i="1" s="1"/>
  <c r="U282" i="15"/>
  <c r="T282" i="15" s="1"/>
  <c r="U197" i="15"/>
  <c r="T197" i="15" s="1"/>
  <c r="S197" i="15" s="1"/>
  <c r="R197" i="15" s="1"/>
  <c r="P197" i="15" s="1"/>
  <c r="V197" i="15" s="1"/>
  <c r="F197" i="15" s="1"/>
  <c r="U349" i="15"/>
  <c r="T349" i="15" s="1"/>
  <c r="S349" i="15" s="1"/>
  <c r="R349" i="15" s="1"/>
  <c r="U75" i="15"/>
  <c r="T75" i="15" s="1"/>
  <c r="U145" i="15"/>
  <c r="T145" i="15" s="1"/>
  <c r="U73" i="15"/>
  <c r="T73" i="15" s="1"/>
  <c r="S73" i="15" s="1"/>
  <c r="R73" i="15" s="1"/>
  <c r="P73" i="15" s="1"/>
  <c r="V73" i="15" s="1"/>
  <c r="U228" i="15"/>
  <c r="T228" i="15" s="1"/>
  <c r="U26" i="15"/>
  <c r="T26" i="15" s="1"/>
  <c r="U238" i="15"/>
  <c r="T238" i="15" s="1"/>
  <c r="U104" i="15"/>
  <c r="T104" i="15" s="1"/>
  <c r="U82" i="15"/>
  <c r="T82" i="15" s="1"/>
  <c r="U294" i="15"/>
  <c r="T294" i="15" s="1"/>
  <c r="S294" i="15" s="1"/>
  <c r="R294" i="15" s="1"/>
  <c r="P294" i="15" s="1"/>
  <c r="V294" i="15" s="1"/>
  <c r="U311" i="15"/>
  <c r="T311" i="15" s="1"/>
  <c r="S311" i="15" s="1"/>
  <c r="R311" i="15" s="1"/>
  <c r="U117" i="15"/>
  <c r="T117" i="15" s="1"/>
  <c r="U212" i="15"/>
  <c r="T212" i="15" s="1"/>
  <c r="U256" i="15"/>
  <c r="T256" i="15" s="1"/>
  <c r="U67" i="15"/>
  <c r="T67" i="15" s="1"/>
  <c r="S67" i="15" s="1"/>
  <c r="R67" i="15" s="1"/>
  <c r="P67" i="15" s="1"/>
  <c r="V67" i="15" s="1"/>
  <c r="F67" i="15" s="1"/>
  <c r="H67" i="15" s="1"/>
  <c r="U164" i="15"/>
  <c r="T164" i="15" s="1"/>
  <c r="U329" i="15"/>
  <c r="T329" i="15" s="1"/>
  <c r="S329" i="15" s="1"/>
  <c r="R329" i="15" s="1"/>
  <c r="U76" i="15"/>
  <c r="T76" i="15" s="1"/>
  <c r="S76" i="15" s="1"/>
  <c r="R76" i="15" s="1"/>
  <c r="U332" i="15"/>
  <c r="T332" i="15" s="1"/>
  <c r="S332" i="15" s="1"/>
  <c r="R332" i="15" s="1"/>
  <c r="U65" i="15"/>
  <c r="T65" i="15" s="1"/>
  <c r="U47" i="15"/>
  <c r="T47" i="15" s="1"/>
  <c r="S47" i="15" s="1"/>
  <c r="R47" i="15" s="1"/>
  <c r="P47" i="15" s="1"/>
  <c r="V47" i="15" s="1"/>
  <c r="U360" i="15"/>
  <c r="T360" i="15" s="1"/>
  <c r="U275" i="15"/>
  <c r="T275" i="15" s="1"/>
  <c r="S275" i="15" s="1"/>
  <c r="R275" i="15" s="1"/>
  <c r="U159" i="15"/>
  <c r="T159" i="15" s="1"/>
  <c r="U121" i="15"/>
  <c r="T121" i="15" s="1"/>
  <c r="U303" i="15"/>
  <c r="T303" i="15" s="1"/>
  <c r="S303" i="15" s="1"/>
  <c r="R303" i="15" s="1"/>
  <c r="U193" i="15"/>
  <c r="T193" i="15" s="1"/>
  <c r="U299" i="15"/>
  <c r="T299" i="15" s="1"/>
  <c r="U172" i="15"/>
  <c r="T172" i="15" s="1"/>
  <c r="U179" i="15"/>
  <c r="T179" i="15" s="1"/>
  <c r="S179" i="15" s="1"/>
  <c r="R179" i="15" s="1"/>
  <c r="P179" i="15" s="1"/>
  <c r="V179" i="15" s="1"/>
  <c r="F179" i="15" s="1"/>
  <c r="H179" i="15" s="1"/>
  <c r="U312" i="15"/>
  <c r="T312" i="15" s="1"/>
  <c r="S312" i="15" s="1"/>
  <c r="R312" i="15" s="1"/>
  <c r="U323" i="15"/>
  <c r="T323" i="15" s="1"/>
  <c r="U16" i="15"/>
  <c r="T16" i="15" s="1"/>
  <c r="U308" i="15"/>
  <c r="T308" i="15" s="1"/>
  <c r="U245" i="15"/>
  <c r="T245" i="15" s="1"/>
  <c r="U112" i="15"/>
  <c r="T112" i="15" s="1"/>
  <c r="U93" i="15"/>
  <c r="T93" i="15" s="1"/>
  <c r="U210" i="15"/>
  <c r="T210" i="15" s="1"/>
  <c r="U346" i="15"/>
  <c r="T346" i="15" s="1"/>
  <c r="U366" i="15"/>
  <c r="T366" i="15" s="1"/>
  <c r="U42" i="15"/>
  <c r="T42" i="15" s="1"/>
  <c r="S42" i="15" s="1"/>
  <c r="R42" i="15" s="1"/>
  <c r="P42" i="15" s="1"/>
  <c r="V42" i="15" s="1"/>
  <c r="F42" i="15" s="1"/>
  <c r="H42" i="15" s="1"/>
  <c r="J42" i="15" s="1"/>
  <c r="U106" i="15"/>
  <c r="T106" i="15" s="1"/>
  <c r="U170" i="15"/>
  <c r="T170" i="15" s="1"/>
  <c r="S170" i="15" s="1"/>
  <c r="R170" i="15" s="1"/>
  <c r="P170" i="15" s="1"/>
  <c r="V170" i="15" s="1"/>
  <c r="U234" i="15"/>
  <c r="T234" i="15" s="1"/>
  <c r="S234" i="15" s="1"/>
  <c r="R234" i="15" s="1"/>
  <c r="U298" i="15"/>
  <c r="T298" i="15" s="1"/>
  <c r="S298" i="15" s="1"/>
  <c r="R298" i="15" s="1"/>
  <c r="U62" i="15"/>
  <c r="T62" i="15" s="1"/>
  <c r="S62" i="15" s="1"/>
  <c r="R62" i="15" s="1"/>
  <c r="P62" i="15" s="1"/>
  <c r="V62" i="15" s="1"/>
  <c r="F62" i="15" s="1"/>
  <c r="H62" i="15" s="1"/>
  <c r="J62" i="15" s="1"/>
  <c r="U126" i="15"/>
  <c r="T126" i="15" s="1"/>
  <c r="U190" i="15"/>
  <c r="T190" i="15" s="1"/>
  <c r="S190" i="15" s="1"/>
  <c r="R190" i="15" s="1"/>
  <c r="P190" i="15" s="1"/>
  <c r="V190" i="15" s="1"/>
  <c r="F190" i="15" s="1"/>
  <c r="G190" i="15" s="1"/>
  <c r="BX190" i="6" s="1"/>
  <c r="U254" i="15"/>
  <c r="T254" i="15" s="1"/>
  <c r="U318" i="15"/>
  <c r="T318" i="15" s="1"/>
  <c r="S318" i="15" s="1"/>
  <c r="R318" i="15" s="1"/>
  <c r="P318" i="15" s="1"/>
  <c r="V318" i="15" s="1"/>
  <c r="F318" i="15" s="1"/>
  <c r="H318" i="15" s="1"/>
  <c r="I318" i="15" s="1"/>
  <c r="U379" i="15"/>
  <c r="U141" i="15"/>
  <c r="T141" i="15" s="1"/>
  <c r="U269" i="15"/>
  <c r="T269" i="15" s="1"/>
  <c r="U91" i="15"/>
  <c r="T91" i="15" s="1"/>
  <c r="U183" i="15"/>
  <c r="T183" i="15" s="1"/>
  <c r="S183" i="15" s="1"/>
  <c r="R183" i="15" s="1"/>
  <c r="P183" i="15" s="1"/>
  <c r="V183" i="15" s="1"/>
  <c r="U56" i="15"/>
  <c r="T56" i="15" s="1"/>
  <c r="S56" i="15" s="1"/>
  <c r="R56" i="15" s="1"/>
  <c r="P56" i="15" s="1"/>
  <c r="V56" i="15" s="1"/>
  <c r="F56" i="15" s="1"/>
  <c r="G56" i="15" s="1"/>
  <c r="BX56" i="6" s="1"/>
  <c r="U120" i="15"/>
  <c r="T120" i="15" s="1"/>
  <c r="U184" i="15"/>
  <c r="T184" i="15" s="1"/>
  <c r="S184" i="15" s="1"/>
  <c r="R184" i="15" s="1"/>
  <c r="P184" i="15" s="1"/>
  <c r="V184" i="15" s="1"/>
  <c r="F184" i="15" s="1"/>
  <c r="U362" i="15"/>
  <c r="T362" i="15" s="1"/>
  <c r="U101" i="15"/>
  <c r="T101" i="15" s="1"/>
  <c r="U229" i="15"/>
  <c r="T229" i="15" s="1"/>
  <c r="S229" i="15" s="1"/>
  <c r="R229" i="15" s="1"/>
  <c r="P229" i="15" s="1"/>
  <c r="V229" i="15" s="1"/>
  <c r="F229" i="15" s="1"/>
  <c r="U357" i="15"/>
  <c r="T357" i="15" s="1"/>
  <c r="S357" i="15" s="1"/>
  <c r="R357" i="15" s="1"/>
  <c r="P357" i="15" s="1"/>
  <c r="V357" i="15" s="1"/>
  <c r="F357" i="15" s="1"/>
  <c r="G357" i="15" s="1"/>
  <c r="BX357" i="6" s="1"/>
  <c r="U167" i="15"/>
  <c r="T167" i="15" s="1"/>
  <c r="S167" i="15" s="1"/>
  <c r="R167" i="15" s="1"/>
  <c r="P167" i="15" s="1"/>
  <c r="V167" i="15" s="1"/>
  <c r="U34" i="15"/>
  <c r="T34" i="15" s="1"/>
  <c r="U98" i="15"/>
  <c r="T98" i="15" s="1"/>
  <c r="U162" i="15"/>
  <c r="T162" i="15" s="1"/>
  <c r="U226" i="15"/>
  <c r="T226" i="15" s="1"/>
  <c r="U290" i="15"/>
  <c r="T290" i="15" s="1"/>
  <c r="S290" i="15" s="1"/>
  <c r="R290" i="15" s="1"/>
  <c r="P290" i="15" s="1"/>
  <c r="V290" i="15" s="1"/>
  <c r="F290" i="15" s="1"/>
  <c r="G290" i="15" s="1"/>
  <c r="BX290" i="6" s="1"/>
  <c r="U54" i="15"/>
  <c r="T54" i="15" s="1"/>
  <c r="S54" i="15" s="1"/>
  <c r="R54" i="15" s="1"/>
  <c r="P54" i="15" s="1"/>
  <c r="V54" i="15" s="1"/>
  <c r="U118" i="15"/>
  <c r="T118" i="15" s="1"/>
  <c r="U182" i="15"/>
  <c r="T182" i="15" s="1"/>
  <c r="S182" i="15" s="1"/>
  <c r="R182" i="15" s="1"/>
  <c r="P182" i="15" s="1"/>
  <c r="V182" i="15" s="1"/>
  <c r="U246" i="15"/>
  <c r="T246" i="15" s="1"/>
  <c r="U310" i="15"/>
  <c r="T310" i="15" s="1"/>
  <c r="S310" i="15" s="1"/>
  <c r="R310" i="15" s="1"/>
  <c r="P310" i="15" s="1"/>
  <c r="V310" i="15" s="1"/>
  <c r="F310" i="15" s="1"/>
  <c r="G310" i="15" s="1"/>
  <c r="BX310" i="6" s="1"/>
  <c r="U374" i="15"/>
  <c r="T374" i="15" s="1"/>
  <c r="U125" i="15"/>
  <c r="T125" i="15" s="1"/>
  <c r="U253" i="15"/>
  <c r="T253" i="15" s="1"/>
  <c r="U27" i="15"/>
  <c r="T27" i="15" s="1"/>
  <c r="U187" i="15"/>
  <c r="T187" i="15" s="1"/>
  <c r="S187" i="15" s="1"/>
  <c r="R187" i="15" s="1"/>
  <c r="P187" i="15" s="1"/>
  <c r="V187" i="15" s="1"/>
  <c r="U347" i="15"/>
  <c r="T347" i="15" s="1"/>
  <c r="S347" i="15" s="1"/>
  <c r="R347" i="15" s="1"/>
  <c r="P347" i="15" s="1"/>
  <c r="V347" i="15" s="1"/>
  <c r="F347" i="15" s="1"/>
  <c r="U215" i="15"/>
  <c r="T215" i="15" s="1"/>
  <c r="S215" i="15" s="1"/>
  <c r="R215" i="15" s="1"/>
  <c r="P215" i="15" s="1"/>
  <c r="V215" i="15" s="1"/>
  <c r="F215" i="15" s="1"/>
  <c r="H215" i="15" s="1"/>
  <c r="I215" i="15" s="1"/>
  <c r="U343" i="15"/>
  <c r="T343" i="15" s="1"/>
  <c r="S343" i="15" s="1"/>
  <c r="R343" i="15" s="1"/>
  <c r="P343" i="15" s="1"/>
  <c r="V343" i="15" s="1"/>
  <c r="F343" i="15" s="1"/>
  <c r="G343" i="15" s="1"/>
  <c r="BX343" i="6" s="1"/>
  <c r="U64" i="15"/>
  <c r="T64" i="15" s="1"/>
  <c r="S64" i="15" s="1"/>
  <c r="R64" i="15" s="1"/>
  <c r="P64" i="15" s="1"/>
  <c r="V64" i="15" s="1"/>
  <c r="U128" i="15"/>
  <c r="T128" i="15" s="1"/>
  <c r="U122" i="15"/>
  <c r="T122" i="15" s="1"/>
  <c r="S122" i="15" s="1"/>
  <c r="R122" i="15" s="1"/>
  <c r="P122" i="15" s="1"/>
  <c r="V122" i="15" s="1"/>
  <c r="F122" i="15" s="1"/>
  <c r="U250" i="15"/>
  <c r="T250" i="15" s="1"/>
  <c r="U78" i="15"/>
  <c r="T78" i="15" s="1"/>
  <c r="U249" i="15"/>
  <c r="T249" i="15" s="1"/>
  <c r="U154" i="15"/>
  <c r="T154" i="15" s="1"/>
  <c r="U19" i="15"/>
  <c r="T19" i="15" s="1"/>
  <c r="U232" i="15"/>
  <c r="T232" i="15" s="1"/>
  <c r="U163" i="15"/>
  <c r="T163" i="15" s="1"/>
  <c r="S163" i="15" s="1"/>
  <c r="R163" i="15" s="1"/>
  <c r="P163" i="15" s="1"/>
  <c r="V163" i="15" s="1"/>
  <c r="F163" i="15" s="1"/>
  <c r="G163" i="15" s="1"/>
  <c r="BX163" i="6" s="1"/>
  <c r="U304" i="15"/>
  <c r="T304" i="15" s="1"/>
  <c r="S304" i="15" s="1"/>
  <c r="R304" i="15" s="1"/>
  <c r="U284" i="15"/>
  <c r="T284" i="15" s="1"/>
  <c r="U319" i="15"/>
  <c r="T319" i="15" s="1"/>
  <c r="U201" i="15"/>
  <c r="T201" i="15" s="1"/>
  <c r="U235" i="15"/>
  <c r="T235" i="15" s="1"/>
  <c r="U273" i="15"/>
  <c r="T273" i="15" s="1"/>
  <c r="U52" i="15"/>
  <c r="T52" i="15" s="1"/>
  <c r="U359" i="15"/>
  <c r="T359" i="15" s="1"/>
  <c r="U370" i="15"/>
  <c r="T370" i="15" s="1"/>
  <c r="U315" i="15"/>
  <c r="T315" i="15" s="1"/>
  <c r="S315" i="15" s="1"/>
  <c r="R315" i="15" s="1"/>
  <c r="U166" i="15"/>
  <c r="T166" i="15" s="1"/>
  <c r="U39" i="15"/>
  <c r="T39" i="15" s="1"/>
  <c r="U119" i="15"/>
  <c r="T119" i="15" s="1"/>
  <c r="U110" i="15"/>
  <c r="T110" i="15" s="1"/>
  <c r="K16" i="7"/>
  <c r="U74" i="15"/>
  <c r="T74" i="15" s="1"/>
  <c r="S74" i="15" s="1"/>
  <c r="R74" i="15" s="1"/>
  <c r="P74" i="15" s="1"/>
  <c r="V74" i="15" s="1"/>
  <c r="F74" i="15" s="1"/>
  <c r="U138" i="15"/>
  <c r="T138" i="15" s="1"/>
  <c r="U202" i="15"/>
  <c r="T202" i="15" s="1"/>
  <c r="S202" i="15" s="1"/>
  <c r="R202" i="15" s="1"/>
  <c r="P202" i="15" s="1"/>
  <c r="V202" i="15" s="1"/>
  <c r="F202" i="15" s="1"/>
  <c r="U266" i="15"/>
  <c r="T266" i="15" s="1"/>
  <c r="U30" i="15"/>
  <c r="T30" i="15" s="1"/>
  <c r="U94" i="15"/>
  <c r="T94" i="15" s="1"/>
  <c r="U158" i="15"/>
  <c r="T158" i="15" s="1"/>
  <c r="U222" i="15"/>
  <c r="T222" i="15" s="1"/>
  <c r="U286" i="15"/>
  <c r="T286" i="15" s="1"/>
  <c r="S286" i="15" s="1"/>
  <c r="R286" i="15" s="1"/>
  <c r="U350" i="15"/>
  <c r="T350" i="15" s="1"/>
  <c r="S350" i="15" s="1"/>
  <c r="R350" i="15" s="1"/>
  <c r="P350" i="15" s="1"/>
  <c r="V350" i="15" s="1"/>
  <c r="F350" i="15" s="1"/>
  <c r="G350" i="15" s="1"/>
  <c r="BX350" i="6" s="1"/>
  <c r="U77" i="15"/>
  <c r="T77" i="15" s="1"/>
  <c r="S77" i="15" s="1"/>
  <c r="R77" i="15" s="1"/>
  <c r="P77" i="15" s="1"/>
  <c r="V77" i="15" s="1"/>
  <c r="F77" i="15" s="1"/>
  <c r="G77" i="15" s="1"/>
  <c r="BX77" i="6" s="1"/>
  <c r="U205" i="15"/>
  <c r="T205" i="15" s="1"/>
  <c r="S205" i="15" s="1"/>
  <c r="R205" i="15" s="1"/>
  <c r="U333" i="15"/>
  <c r="T333" i="15" s="1"/>
  <c r="S333" i="15" s="1"/>
  <c r="R333" i="15" s="1"/>
  <c r="P333" i="15" s="1"/>
  <c r="V333" i="15" s="1"/>
  <c r="U55" i="15"/>
  <c r="T55" i="15" s="1"/>
  <c r="S55" i="15" s="1"/>
  <c r="R55" i="15" s="1"/>
  <c r="P55" i="15" s="1"/>
  <c r="V55" i="15" s="1"/>
  <c r="F55" i="15" s="1"/>
  <c r="H55" i="15" s="1"/>
  <c r="U24" i="15"/>
  <c r="T24" i="15" s="1"/>
  <c r="U88" i="15"/>
  <c r="T88" i="15" s="1"/>
  <c r="U330" i="15"/>
  <c r="T330" i="15" s="1"/>
  <c r="S330" i="15" s="1"/>
  <c r="R330" i="15" s="1"/>
  <c r="P330" i="15" s="1"/>
  <c r="V330" i="15" s="1"/>
  <c r="F330" i="15" s="1"/>
  <c r="G330" i="15" s="1"/>
  <c r="BX330" i="6" s="1"/>
  <c r="U165" i="15"/>
  <c r="T165" i="15" s="1"/>
  <c r="U267" i="15"/>
  <c r="T267" i="15" s="1"/>
  <c r="U66" i="15"/>
  <c r="T66" i="15" s="1"/>
  <c r="S66" i="15" s="1"/>
  <c r="R66" i="15" s="1"/>
  <c r="U194" i="15"/>
  <c r="T194" i="15" s="1"/>
  <c r="S194" i="15" s="1"/>
  <c r="R194" i="15" s="1"/>
  <c r="P194" i="15" s="1"/>
  <c r="V194" i="15" s="1"/>
  <c r="F194" i="15" s="1"/>
  <c r="U22" i="15"/>
  <c r="T22" i="15" s="1"/>
  <c r="U150" i="15"/>
  <c r="T150" i="15" s="1"/>
  <c r="U278" i="15"/>
  <c r="T278" i="15" s="1"/>
  <c r="S278" i="15" s="1"/>
  <c r="R278" i="15" s="1"/>
  <c r="P278" i="15" s="1"/>
  <c r="V278" i="15" s="1"/>
  <c r="F278" i="15" s="1"/>
  <c r="U61" i="15"/>
  <c r="T61" i="15" s="1"/>
  <c r="S61" i="15" s="1"/>
  <c r="R61" i="15" s="1"/>
  <c r="P61" i="15" s="1"/>
  <c r="V61" i="15" s="1"/>
  <c r="F61" i="15" s="1"/>
  <c r="U317" i="15"/>
  <c r="T317" i="15" s="1"/>
  <c r="S317" i="15" s="1"/>
  <c r="R317" i="15" s="1"/>
  <c r="P317" i="15" s="1"/>
  <c r="V317" i="15" s="1"/>
  <c r="F317" i="15" s="1"/>
  <c r="U251" i="15"/>
  <c r="T251" i="15" s="1"/>
  <c r="U279" i="15"/>
  <c r="T279" i="15" s="1"/>
  <c r="U96" i="15"/>
  <c r="T96" i="15" s="1"/>
  <c r="U186" i="15"/>
  <c r="T186" i="15" s="1"/>
  <c r="S186" i="15" s="1"/>
  <c r="R186" i="15" s="1"/>
  <c r="P186" i="15" s="1"/>
  <c r="V186" i="15" s="1"/>
  <c r="F186" i="15" s="1"/>
  <c r="G186" i="15" s="1"/>
  <c r="BX186" i="6" s="1"/>
  <c r="U142" i="15"/>
  <c r="T142" i="15" s="1"/>
  <c r="U270" i="15"/>
  <c r="T270" i="15" s="1"/>
  <c r="U45" i="15"/>
  <c r="T45" i="15" s="1"/>
  <c r="S45" i="15" s="1"/>
  <c r="R45" i="15" s="1"/>
  <c r="P45" i="15" s="1"/>
  <c r="V45" i="15" s="1"/>
  <c r="F45" i="15" s="1"/>
  <c r="G45" i="15" s="1"/>
  <c r="BX45" i="6" s="1"/>
  <c r="U301" i="15"/>
  <c r="T301" i="15" s="1"/>
  <c r="U375" i="15"/>
  <c r="T375" i="15" s="1"/>
  <c r="S375" i="15" s="1"/>
  <c r="R375" i="15" s="1"/>
  <c r="U136" i="15"/>
  <c r="T136" i="15" s="1"/>
  <c r="U377" i="15"/>
  <c r="T377" i="15" s="1"/>
  <c r="U261" i="15"/>
  <c r="T261" i="15" s="1"/>
  <c r="U295" i="15"/>
  <c r="T295" i="15" s="1"/>
  <c r="S295" i="15" s="1"/>
  <c r="R295" i="15" s="1"/>
  <c r="P295" i="15" s="1"/>
  <c r="V295" i="15" s="1"/>
  <c r="F295" i="15" s="1"/>
  <c r="G295" i="15" s="1"/>
  <c r="BX295" i="6" s="1"/>
  <c r="U114" i="15"/>
  <c r="T114" i="15" s="1"/>
  <c r="U242" i="15"/>
  <c r="T242" i="15" s="1"/>
  <c r="U70" i="15"/>
  <c r="T70" i="15" s="1"/>
  <c r="S70" i="15" s="1"/>
  <c r="R70" i="15" s="1"/>
  <c r="P70" i="15" s="1"/>
  <c r="V70" i="15" s="1"/>
  <c r="F70" i="15" s="1"/>
  <c r="H70" i="15" s="1"/>
  <c r="I70" i="15" s="1"/>
  <c r="U198" i="15"/>
  <c r="T198" i="15" s="1"/>
  <c r="S198" i="15" s="1"/>
  <c r="R198" i="15" s="1"/>
  <c r="P198" i="15" s="1"/>
  <c r="V198" i="15" s="1"/>
  <c r="F198" i="15" s="1"/>
  <c r="U326" i="15"/>
  <c r="T326" i="15" s="1"/>
  <c r="U157" i="15"/>
  <c r="T157" i="15" s="1"/>
  <c r="U59" i="15"/>
  <c r="T59" i="15" s="1"/>
  <c r="S59" i="15" s="1"/>
  <c r="R59" i="15" s="1"/>
  <c r="P59" i="15" s="1"/>
  <c r="V59" i="15" s="1"/>
  <c r="U23" i="15"/>
  <c r="T23" i="15" s="1"/>
  <c r="U18" i="15"/>
  <c r="T18" i="15" s="1"/>
  <c r="U144" i="15"/>
  <c r="T144" i="15" s="1"/>
  <c r="U322" i="15"/>
  <c r="T322" i="15" s="1"/>
  <c r="S322" i="15" s="1"/>
  <c r="R322" i="15" s="1"/>
  <c r="P322" i="15" s="1"/>
  <c r="V322" i="15" s="1"/>
  <c r="F322" i="15" s="1"/>
  <c r="H322" i="15" s="1"/>
  <c r="U21" i="15"/>
  <c r="T21" i="15" s="1"/>
  <c r="U149" i="15"/>
  <c r="T149" i="15" s="1"/>
  <c r="U277" i="15"/>
  <c r="T277" i="15" s="1"/>
  <c r="S277" i="15" s="1"/>
  <c r="R277" i="15" s="1"/>
  <c r="P277" i="15" s="1"/>
  <c r="V277" i="15" s="1"/>
  <c r="F277" i="15" s="1"/>
  <c r="G277" i="15" s="1"/>
  <c r="BX277" i="6" s="1"/>
  <c r="U203" i="15"/>
  <c r="T203" i="15" s="1"/>
  <c r="S203" i="15" s="1"/>
  <c r="R203" i="15" s="1"/>
  <c r="P203" i="15" s="1"/>
  <c r="V203" i="15" s="1"/>
  <c r="F203" i="15" s="1"/>
  <c r="U60" i="15"/>
  <c r="T60" i="15" s="1"/>
  <c r="S60" i="15" s="1"/>
  <c r="R60" i="15" s="1"/>
  <c r="P60" i="15" s="1"/>
  <c r="V60" i="15" s="1"/>
  <c r="U244" i="15"/>
  <c r="T244" i="15" s="1"/>
  <c r="U324" i="15"/>
  <c r="T324" i="15" s="1"/>
  <c r="S324" i="15" s="1"/>
  <c r="R324" i="15" s="1"/>
  <c r="P324" i="15" s="1"/>
  <c r="V324" i="15" s="1"/>
  <c r="F324" i="15" s="1"/>
  <c r="U171" i="15"/>
  <c r="T171" i="15" s="1"/>
  <c r="S171" i="15" s="1"/>
  <c r="R171" i="15" s="1"/>
  <c r="P171" i="15" s="1"/>
  <c r="V171" i="15" s="1"/>
  <c r="F171" i="15" s="1"/>
  <c r="U116" i="15"/>
  <c r="T116" i="15" s="1"/>
  <c r="U288" i="15"/>
  <c r="T288" i="15" s="1"/>
  <c r="S288" i="15" s="1"/>
  <c r="R288" i="15" s="1"/>
  <c r="P288" i="15" s="1"/>
  <c r="V288" i="15" s="1"/>
  <c r="F288" i="15" s="1"/>
  <c r="G288" i="15" s="1"/>
  <c r="BX288" i="6" s="1"/>
  <c r="U49" i="15"/>
  <c r="T49" i="15" s="1"/>
  <c r="S49" i="15" s="1"/>
  <c r="R49" i="15" s="1"/>
  <c r="P49" i="15" s="1"/>
  <c r="V49" i="15" s="1"/>
  <c r="F49" i="15" s="1"/>
  <c r="H49" i="15" s="1"/>
  <c r="U177" i="15"/>
  <c r="T177" i="15" s="1"/>
  <c r="S177" i="15" s="1"/>
  <c r="R177" i="15" s="1"/>
  <c r="P177" i="15" s="1"/>
  <c r="V177" i="15" s="1"/>
  <c r="F177" i="15" s="1"/>
  <c r="H177" i="15" s="1"/>
  <c r="U305" i="15"/>
  <c r="T305" i="15" s="1"/>
  <c r="S305" i="15" s="1"/>
  <c r="R305" i="15" s="1"/>
  <c r="P305" i="15" s="1"/>
  <c r="V305" i="15" s="1"/>
  <c r="F305" i="15" s="1"/>
  <c r="G305" i="15" s="1"/>
  <c r="BX305" i="6" s="1"/>
  <c r="U131" i="15"/>
  <c r="T131" i="15" s="1"/>
  <c r="S131" i="15" s="1"/>
  <c r="R131" i="15" s="1"/>
  <c r="P131" i="15" s="1"/>
  <c r="V131" i="15" s="1"/>
  <c r="F131" i="15" s="1"/>
  <c r="U15" i="15"/>
  <c r="U271" i="15"/>
  <c r="T271" i="15" s="1"/>
  <c r="U135" i="15"/>
  <c r="T135" i="15" s="1"/>
  <c r="U216" i="15"/>
  <c r="T216" i="15" s="1"/>
  <c r="U344" i="15"/>
  <c r="T344" i="15" s="1"/>
  <c r="S344" i="15" s="1"/>
  <c r="R344" i="15" s="1"/>
  <c r="P344" i="15" s="1"/>
  <c r="V344" i="15" s="1"/>
  <c r="F344" i="15" s="1"/>
  <c r="G344" i="15" s="1"/>
  <c r="BX344" i="6" s="1"/>
  <c r="U105" i="15"/>
  <c r="T105" i="15" s="1"/>
  <c r="U233" i="15"/>
  <c r="T233" i="15" s="1"/>
  <c r="S233" i="15" s="1"/>
  <c r="R233" i="15" s="1"/>
  <c r="U361" i="15"/>
  <c r="T361" i="15" s="1"/>
  <c r="S361" i="15" s="1"/>
  <c r="R361" i="15" s="1"/>
  <c r="U243" i="15"/>
  <c r="T243" i="15" s="1"/>
  <c r="U127" i="15"/>
  <c r="T127" i="15" s="1"/>
  <c r="U378" i="15"/>
  <c r="T378" i="15" s="1"/>
  <c r="U108" i="15"/>
  <c r="T108" i="15" s="1"/>
  <c r="U188" i="15"/>
  <c r="T188" i="15" s="1"/>
  <c r="S188" i="15" s="1"/>
  <c r="R188" i="15" s="1"/>
  <c r="P188" i="15" s="1"/>
  <c r="V188" i="15" s="1"/>
  <c r="F188" i="15" s="1"/>
  <c r="H188" i="15" s="1"/>
  <c r="I188" i="15" s="1"/>
  <c r="U236" i="15"/>
  <c r="T236" i="15" s="1"/>
  <c r="U292" i="15"/>
  <c r="T292" i="15" s="1"/>
  <c r="U348" i="15"/>
  <c r="T348" i="15" s="1"/>
  <c r="U199" i="15"/>
  <c r="T199" i="15" s="1"/>
  <c r="S199" i="15" s="1"/>
  <c r="R199" i="15" s="1"/>
  <c r="P199" i="15" s="1"/>
  <c r="V199" i="15" s="1"/>
  <c r="F199" i="15" s="1"/>
  <c r="U208" i="15"/>
  <c r="T208" i="15" s="1"/>
  <c r="U336" i="15"/>
  <c r="T336" i="15" s="1"/>
  <c r="S336" i="15" s="1"/>
  <c r="R336" i="15" s="1"/>
  <c r="P336" i="15" s="1"/>
  <c r="V336" i="15" s="1"/>
  <c r="F336" i="15" s="1"/>
  <c r="U97" i="15"/>
  <c r="T97" i="15" s="1"/>
  <c r="U225" i="15"/>
  <c r="T225" i="15" s="1"/>
  <c r="S225" i="15" s="1"/>
  <c r="R225" i="15" s="1"/>
  <c r="P225" i="15" s="1"/>
  <c r="V225" i="15" s="1"/>
  <c r="F225" i="15" s="1"/>
  <c r="U353" i="15"/>
  <c r="T353" i="15" s="1"/>
  <c r="S353" i="15" s="1"/>
  <c r="R353" i="15" s="1"/>
  <c r="P353" i="15" s="1"/>
  <c r="V353" i="15" s="1"/>
  <c r="F353" i="15" s="1"/>
  <c r="G353" i="15" s="1"/>
  <c r="BX353" i="6" s="1"/>
  <c r="U227" i="15"/>
  <c r="T227" i="15" s="1"/>
  <c r="U111" i="15"/>
  <c r="T111" i="15" s="1"/>
  <c r="U367" i="15"/>
  <c r="T367" i="15" s="1"/>
  <c r="U68" i="15"/>
  <c r="T68" i="15" s="1"/>
  <c r="S68" i="15" s="1"/>
  <c r="R68" i="15" s="1"/>
  <c r="P68" i="15" s="1"/>
  <c r="V68" i="15" s="1"/>
  <c r="F68" i="15" s="1"/>
  <c r="U264" i="15"/>
  <c r="T264" i="15" s="1"/>
  <c r="U25" i="15"/>
  <c r="T25" i="15" s="1"/>
  <c r="U153" i="15"/>
  <c r="T153" i="15" s="1"/>
  <c r="U281" i="15"/>
  <c r="T281" i="15" s="1"/>
  <c r="U83" i="15"/>
  <c r="T83" i="15" s="1"/>
  <c r="U339" i="15"/>
  <c r="T339" i="15" s="1"/>
  <c r="S339" i="15" s="1"/>
  <c r="R339" i="15" s="1"/>
  <c r="P339" i="15" s="1"/>
  <c r="V339" i="15" s="1"/>
  <c r="F339" i="15" s="1"/>
  <c r="G339" i="15" s="1"/>
  <c r="BX339" i="6" s="1"/>
  <c r="U223" i="15"/>
  <c r="T223" i="15" s="1"/>
  <c r="AI22" i="15"/>
  <c r="AH22" i="15" s="1"/>
  <c r="U152" i="15"/>
  <c r="T152" i="15" s="1"/>
  <c r="U37" i="15"/>
  <c r="T37" i="15" s="1"/>
  <c r="S37" i="15" s="1"/>
  <c r="R37" i="15" s="1"/>
  <c r="P37" i="15" s="1"/>
  <c r="V37" i="15" s="1"/>
  <c r="F37" i="15" s="1"/>
  <c r="H37" i="15" s="1"/>
  <c r="J37" i="15" s="1"/>
  <c r="U293" i="15"/>
  <c r="T293" i="15" s="1"/>
  <c r="U28" i="15"/>
  <c r="T28" i="15" s="1"/>
  <c r="U130" i="15"/>
  <c r="T130" i="15" s="1"/>
  <c r="U258" i="15"/>
  <c r="T258" i="15" s="1"/>
  <c r="U86" i="15"/>
  <c r="T86" i="15" s="1"/>
  <c r="U214" i="15"/>
  <c r="T214" i="15" s="1"/>
  <c r="U342" i="15"/>
  <c r="T342" i="15" s="1"/>
  <c r="U189" i="15"/>
  <c r="T189" i="15" s="1"/>
  <c r="S189" i="15" s="1"/>
  <c r="R189" i="15" s="1"/>
  <c r="P189" i="15" s="1"/>
  <c r="V189" i="15" s="1"/>
  <c r="U123" i="15"/>
  <c r="T123" i="15" s="1"/>
  <c r="U87" i="15"/>
  <c r="T87" i="15" s="1"/>
  <c r="U32" i="15"/>
  <c r="T32" i="15" s="1"/>
  <c r="U58" i="15"/>
  <c r="T58" i="15" s="1"/>
  <c r="S58" i="15" s="1"/>
  <c r="R58" i="15" s="1"/>
  <c r="P58" i="15" s="1"/>
  <c r="V58" i="15" s="1"/>
  <c r="U314" i="15"/>
  <c r="T314" i="15" s="1"/>
  <c r="S314" i="15" s="1"/>
  <c r="R314" i="15" s="1"/>
  <c r="P314" i="15" s="1"/>
  <c r="V314" i="15" s="1"/>
  <c r="U206" i="15"/>
  <c r="T206" i="15" s="1"/>
  <c r="U334" i="15"/>
  <c r="T334" i="15" s="1"/>
  <c r="S334" i="15" s="1"/>
  <c r="R334" i="15" s="1"/>
  <c r="P334" i="15" s="1"/>
  <c r="V334" i="15" s="1"/>
  <c r="F334" i="15" s="1"/>
  <c r="H334" i="15" s="1"/>
  <c r="J334" i="15" s="1"/>
  <c r="U173" i="15"/>
  <c r="T173" i="15" s="1"/>
  <c r="S173" i="15" s="1"/>
  <c r="R173" i="15" s="1"/>
  <c r="P173" i="15" s="1"/>
  <c r="V173" i="15" s="1"/>
  <c r="F173" i="15" s="1"/>
  <c r="H173" i="15" s="1"/>
  <c r="I173" i="15" s="1"/>
  <c r="U283" i="15"/>
  <c r="T283" i="15" s="1"/>
  <c r="S283" i="15" s="1"/>
  <c r="R283" i="15" s="1"/>
  <c r="P283" i="15" s="1"/>
  <c r="V283" i="15" s="1"/>
  <c r="F283" i="15" s="1"/>
  <c r="H283" i="15" s="1"/>
  <c r="J283" i="15" s="1"/>
  <c r="U72" i="15"/>
  <c r="T72" i="15" s="1"/>
  <c r="S72" i="15" s="1"/>
  <c r="R72" i="15" s="1"/>
  <c r="P72" i="15" s="1"/>
  <c r="V72" i="15" s="1"/>
  <c r="F72" i="15" s="1"/>
  <c r="H72" i="15" s="1"/>
  <c r="J72" i="15" s="1"/>
  <c r="U200" i="15"/>
  <c r="T200" i="15" s="1"/>
  <c r="S200" i="15" s="1"/>
  <c r="R200" i="15" s="1"/>
  <c r="P200" i="15" s="1"/>
  <c r="V200" i="15" s="1"/>
  <c r="F200" i="15" s="1"/>
  <c r="U133" i="15"/>
  <c r="T133" i="15" s="1"/>
  <c r="U139" i="15"/>
  <c r="T139" i="15" s="1"/>
  <c r="U50" i="15"/>
  <c r="T50" i="15" s="1"/>
  <c r="S50" i="15" s="1"/>
  <c r="R50" i="15" s="1"/>
  <c r="P50" i="15" s="1"/>
  <c r="V50" i="15" s="1"/>
  <c r="F50" i="15" s="1"/>
  <c r="U178" i="15"/>
  <c r="T178" i="15" s="1"/>
  <c r="S178" i="15" s="1"/>
  <c r="R178" i="15" s="1"/>
  <c r="P178" i="15" s="1"/>
  <c r="V178" i="15" s="1"/>
  <c r="F178" i="15" s="1"/>
  <c r="U306" i="15"/>
  <c r="T306" i="15" s="1"/>
  <c r="S306" i="15" s="1"/>
  <c r="R306" i="15" s="1"/>
  <c r="P306" i="15" s="1"/>
  <c r="V306" i="15" s="1"/>
  <c r="F306" i="15" s="1"/>
  <c r="G306" i="15" s="1"/>
  <c r="BX306" i="6" s="1"/>
  <c r="U134" i="15"/>
  <c r="T134" i="15" s="1"/>
  <c r="U262" i="15"/>
  <c r="T262" i="15" s="1"/>
  <c r="U29" i="15"/>
  <c r="T29" i="15" s="1"/>
  <c r="U285" i="15"/>
  <c r="T285" i="15" s="1"/>
  <c r="S285" i="15" s="1"/>
  <c r="R285" i="15" s="1"/>
  <c r="P285" i="15" s="1"/>
  <c r="V285" i="15" s="1"/>
  <c r="U219" i="15"/>
  <c r="T219" i="15" s="1"/>
  <c r="S219" i="15" s="1"/>
  <c r="R219" i="15" s="1"/>
  <c r="P219" i="15" s="1"/>
  <c r="V219" i="15" s="1"/>
  <c r="F219" i="15" s="1"/>
  <c r="U247" i="15"/>
  <c r="T247" i="15" s="1"/>
  <c r="U80" i="15"/>
  <c r="T80" i="15" s="1"/>
  <c r="U176" i="15"/>
  <c r="T176" i="15" s="1"/>
  <c r="S176" i="15" s="1"/>
  <c r="R176" i="15" s="1"/>
  <c r="P176" i="15" s="1"/>
  <c r="V176" i="15" s="1"/>
  <c r="F176" i="15" s="1"/>
  <c r="G176" i="15" s="1"/>
  <c r="BX176" i="6" s="1"/>
  <c r="U354" i="15"/>
  <c r="T354" i="15" s="1"/>
  <c r="S354" i="15" s="1"/>
  <c r="R354" i="15" s="1"/>
  <c r="P354" i="15" s="1"/>
  <c r="V354" i="15" s="1"/>
  <c r="F354" i="15" s="1"/>
  <c r="G354" i="15" s="1"/>
  <c r="BX354" i="6" s="1"/>
  <c r="U85" i="15"/>
  <c r="T85" i="15" s="1"/>
  <c r="U213" i="15"/>
  <c r="T213" i="15" s="1"/>
  <c r="S213" i="15" s="1"/>
  <c r="R213" i="15" s="1"/>
  <c r="U341" i="15"/>
  <c r="T341" i="15" s="1"/>
  <c r="U103" i="15"/>
  <c r="T103" i="15" s="1"/>
  <c r="U156" i="15"/>
  <c r="T156" i="15" s="1"/>
  <c r="U276" i="15"/>
  <c r="T276" i="15" s="1"/>
  <c r="S276" i="15" s="1"/>
  <c r="R276" i="15" s="1"/>
  <c r="P276" i="15" s="1"/>
  <c r="V276" i="15" s="1"/>
  <c r="F276" i="15" s="1"/>
  <c r="H276" i="15" s="1"/>
  <c r="J276" i="15" s="1"/>
  <c r="U356" i="15"/>
  <c r="T356" i="15" s="1"/>
  <c r="S356" i="15" s="1"/>
  <c r="R356" i="15" s="1"/>
  <c r="P356" i="15" s="1"/>
  <c r="V356" i="15" s="1"/>
  <c r="F356" i="15" s="1"/>
  <c r="U327" i="15"/>
  <c r="T327" i="15" s="1"/>
  <c r="U224" i="15"/>
  <c r="T224" i="15" s="1"/>
  <c r="U352" i="15"/>
  <c r="T352" i="15" s="1"/>
  <c r="S352" i="15" s="1"/>
  <c r="R352" i="15" s="1"/>
  <c r="P352" i="15" s="1"/>
  <c r="V352" i="15" s="1"/>
  <c r="F352" i="15" s="1"/>
  <c r="G352" i="15" s="1"/>
  <c r="BX352" i="6" s="1"/>
  <c r="U113" i="15"/>
  <c r="T113" i="15" s="1"/>
  <c r="U241" i="15"/>
  <c r="T241" i="15" s="1"/>
  <c r="U369" i="15"/>
  <c r="T369" i="15" s="1"/>
  <c r="U259" i="15"/>
  <c r="T259" i="15" s="1"/>
  <c r="U143" i="15"/>
  <c r="T143" i="15" s="1"/>
  <c r="U373" i="15"/>
  <c r="T373" i="15" s="1"/>
  <c r="U100" i="15"/>
  <c r="T100" i="15" s="1"/>
  <c r="U280" i="15"/>
  <c r="T280" i="15" s="1"/>
  <c r="S280" i="15" s="1"/>
  <c r="R280" i="15" s="1"/>
  <c r="P280" i="15" s="1"/>
  <c r="V280" i="15" s="1"/>
  <c r="U41" i="15"/>
  <c r="T41" i="15" s="1"/>
  <c r="S41" i="15" s="1"/>
  <c r="R41" i="15" s="1"/>
  <c r="P41" i="15" s="1"/>
  <c r="V41" i="15" s="1"/>
  <c r="F41" i="15" s="1"/>
  <c r="H41" i="15" s="1"/>
  <c r="J41" i="15" s="1"/>
  <c r="U169" i="15"/>
  <c r="T169" i="15" s="1"/>
  <c r="S169" i="15" s="1"/>
  <c r="R169" i="15" s="1"/>
  <c r="P169" i="15" s="1"/>
  <c r="V169" i="15" s="1"/>
  <c r="F169" i="15" s="1"/>
  <c r="H169" i="15" s="1"/>
  <c r="J169" i="15" s="1"/>
  <c r="U297" i="15"/>
  <c r="T297" i="15" s="1"/>
  <c r="S297" i="15" s="1"/>
  <c r="R297" i="15" s="1"/>
  <c r="P297" i="15" s="1"/>
  <c r="V297" i="15" s="1"/>
  <c r="F297" i="15" s="1"/>
  <c r="G297" i="15" s="1"/>
  <c r="BX297" i="6" s="1"/>
  <c r="U115" i="15"/>
  <c r="T115" i="15" s="1"/>
  <c r="U371" i="15"/>
  <c r="T371" i="15" s="1"/>
  <c r="S371" i="15" s="1"/>
  <c r="R371" i="15" s="1"/>
  <c r="U255" i="15"/>
  <c r="T255" i="15" s="1"/>
  <c r="U44" i="15"/>
  <c r="T44" i="15" s="1"/>
  <c r="S44" i="15" s="1"/>
  <c r="R44" i="15" s="1"/>
  <c r="P44" i="15" s="1"/>
  <c r="V44" i="15" s="1"/>
  <c r="F44" i="15" s="1"/>
  <c r="H44" i="15" s="1"/>
  <c r="J44" i="15" s="1"/>
  <c r="U140" i="15"/>
  <c r="T140" i="15" s="1"/>
  <c r="U220" i="15"/>
  <c r="T220" i="15" s="1"/>
  <c r="S220" i="15" s="1"/>
  <c r="R220" i="15" s="1"/>
  <c r="P220" i="15" s="1"/>
  <c r="V220" i="15" s="1"/>
  <c r="F220" i="15" s="1"/>
  <c r="G220" i="15" s="1"/>
  <c r="BX220" i="6" s="1"/>
  <c r="U268" i="15"/>
  <c r="T268" i="15" s="1"/>
  <c r="U316" i="15"/>
  <c r="T316" i="15" s="1"/>
  <c r="S316" i="15" s="1"/>
  <c r="R316" i="15" s="1"/>
  <c r="P316" i="15" s="1"/>
  <c r="V316" i="15" s="1"/>
  <c r="F316" i="15" s="1"/>
  <c r="G316" i="15" s="1"/>
  <c r="BX316" i="6" s="1"/>
  <c r="U43" i="15"/>
  <c r="T43" i="15" s="1"/>
  <c r="U84" i="15"/>
  <c r="T84" i="15" s="1"/>
  <c r="U272" i="15"/>
  <c r="T272" i="15" s="1"/>
  <c r="U33" i="15"/>
  <c r="T33" i="15" s="1"/>
  <c r="U161" i="15"/>
  <c r="T161" i="15" s="1"/>
  <c r="U289" i="15"/>
  <c r="T289" i="15" s="1"/>
  <c r="U99" i="15"/>
  <c r="T99" i="15" s="1"/>
  <c r="U355" i="15"/>
  <c r="T355" i="15" s="1"/>
  <c r="S355" i="15" s="1"/>
  <c r="R355" i="15" s="1"/>
  <c r="P355" i="15" s="1"/>
  <c r="V355" i="15" s="1"/>
  <c r="U239" i="15"/>
  <c r="T239" i="15" s="1"/>
  <c r="U363" i="15"/>
  <c r="T363" i="15" s="1"/>
  <c r="S363" i="15" s="1"/>
  <c r="R363" i="15" s="1"/>
  <c r="P363" i="15" s="1"/>
  <c r="D43" i="7" s="1"/>
  <c r="U196" i="15"/>
  <c r="T196" i="15" s="1"/>
  <c r="S196" i="15" s="1"/>
  <c r="R196" i="15" s="1"/>
  <c r="P196" i="15" s="1"/>
  <c r="V196" i="15" s="1"/>
  <c r="F196" i="15" s="1"/>
  <c r="H196" i="15" s="1"/>
  <c r="U328" i="15"/>
  <c r="T328" i="15" s="1"/>
  <c r="S328" i="15" s="1"/>
  <c r="R328" i="15" s="1"/>
  <c r="P328" i="15" s="1"/>
  <c r="V328" i="15" s="1"/>
  <c r="F328" i="15" s="1"/>
  <c r="G328" i="15" s="1"/>
  <c r="BX328" i="6" s="1"/>
  <c r="U89" i="15"/>
  <c r="T89" i="15" s="1"/>
  <c r="U217" i="15"/>
  <c r="T217" i="15" s="1"/>
  <c r="U345" i="15"/>
  <c r="T345" i="15" s="1"/>
  <c r="U211" i="15"/>
  <c r="T211" i="15" s="1"/>
  <c r="S211" i="15" s="1"/>
  <c r="R211" i="15" s="1"/>
  <c r="U95" i="15"/>
  <c r="T95" i="15" s="1"/>
  <c r="U351" i="15"/>
  <c r="T351" i="15" s="1"/>
  <c r="S351" i="15" s="1"/>
  <c r="R351" i="15" s="1"/>
  <c r="P351" i="15" s="1"/>
  <c r="V351" i="15" s="1"/>
  <c r="F351" i="15" s="1"/>
  <c r="G351" i="15" s="1"/>
  <c r="BX351" i="6" s="1"/>
  <c r="AI102" i="15"/>
  <c r="AH102" i="15" s="1"/>
  <c r="AI342" i="15"/>
  <c r="AH342" i="15" s="1"/>
  <c r="AG342" i="15" s="1"/>
  <c r="AF342" i="15" s="1"/>
  <c r="AD342" i="15" s="1"/>
  <c r="AI234" i="15"/>
  <c r="AH234" i="15" s="1"/>
  <c r="AG234" i="15" s="1"/>
  <c r="AF234" i="15" s="1"/>
  <c r="AD234" i="15" s="1"/>
  <c r="AI138" i="15"/>
  <c r="AH138" i="15" s="1"/>
  <c r="AI143" i="15"/>
  <c r="AH143" i="15" s="1"/>
  <c r="AG143" i="15" s="1"/>
  <c r="AF143" i="15" s="1"/>
  <c r="AI19" i="15"/>
  <c r="AH19" i="15" s="1"/>
  <c r="AG19" i="15" s="1"/>
  <c r="AF19" i="15" s="1"/>
  <c r="AI373" i="15"/>
  <c r="AH373" i="15" s="1"/>
  <c r="AG373" i="15" s="1"/>
  <c r="AF373" i="15" s="1"/>
  <c r="AI241" i="15"/>
  <c r="AH241" i="15" s="1"/>
  <c r="AI345" i="15"/>
  <c r="AH345" i="15" s="1"/>
  <c r="AG345" i="15" s="1"/>
  <c r="AF345" i="15" s="1"/>
  <c r="AI141" i="15"/>
  <c r="AH141" i="15" s="1"/>
  <c r="AI139" i="15"/>
  <c r="AH139" i="15" s="1"/>
  <c r="AI361" i="15"/>
  <c r="AH361" i="15" s="1"/>
  <c r="AI189" i="15"/>
  <c r="AH189" i="15" s="1"/>
  <c r="AG189" i="15" s="1"/>
  <c r="AF189" i="15" s="1"/>
  <c r="AI211" i="15"/>
  <c r="AH211" i="15" s="1"/>
  <c r="AI229" i="15"/>
  <c r="AH229" i="15" s="1"/>
  <c r="AI104" i="15"/>
  <c r="AH104" i="15" s="1"/>
  <c r="AI268" i="15"/>
  <c r="AH268" i="15" s="1"/>
  <c r="AG268" i="15" s="1"/>
  <c r="AF268" i="15" s="1"/>
  <c r="AI153" i="15"/>
  <c r="AH153" i="15" s="1"/>
  <c r="AI109" i="15"/>
  <c r="AH109" i="15" s="1"/>
  <c r="AG109" i="15" s="1"/>
  <c r="AF109" i="15" s="1"/>
  <c r="AI203" i="15"/>
  <c r="AH203" i="15" s="1"/>
  <c r="AG203" i="15" s="1"/>
  <c r="AF203" i="15" s="1"/>
  <c r="AD203" i="15" s="1"/>
  <c r="AI176" i="15"/>
  <c r="AH176" i="15" s="1"/>
  <c r="AG176" i="15" s="1"/>
  <c r="AF176" i="15" s="1"/>
  <c r="AI37" i="15"/>
  <c r="AH37" i="15" s="1"/>
  <c r="AG37" i="15" s="1"/>
  <c r="AF37" i="15" s="1"/>
  <c r="AI285" i="15"/>
  <c r="AH285" i="15" s="1"/>
  <c r="AG285" i="15" s="1"/>
  <c r="AF285" i="15" s="1"/>
  <c r="AD285" i="15" s="1"/>
  <c r="AI259" i="15"/>
  <c r="AH259" i="15" s="1"/>
  <c r="AI352" i="15"/>
  <c r="AH352" i="15" s="1"/>
  <c r="AG352" i="15" s="1"/>
  <c r="AF352" i="15" s="1"/>
  <c r="AI321" i="15"/>
  <c r="AH321" i="15" s="1"/>
  <c r="AG321" i="15" s="1"/>
  <c r="AF321" i="15" s="1"/>
  <c r="AI376" i="15"/>
  <c r="AH376" i="15" s="1"/>
  <c r="AG376" i="15" s="1"/>
  <c r="AF376" i="15" s="1"/>
  <c r="AI184" i="15"/>
  <c r="AH184" i="15" s="1"/>
  <c r="AG184" i="15" s="1"/>
  <c r="AF184" i="15" s="1"/>
  <c r="AI353" i="15"/>
  <c r="AH353" i="15" s="1"/>
  <c r="AG353" i="15" s="1"/>
  <c r="AF353" i="15" s="1"/>
  <c r="AD353" i="15" s="1"/>
  <c r="AI69" i="15"/>
  <c r="AH69" i="15" s="1"/>
  <c r="AG69" i="15" s="1"/>
  <c r="AF69" i="15" s="1"/>
  <c r="AD69" i="15" s="1"/>
  <c r="AI263" i="15"/>
  <c r="AH263" i="15" s="1"/>
  <c r="AI135" i="15"/>
  <c r="AH135" i="15" s="1"/>
  <c r="AI372" i="15"/>
  <c r="AH372" i="15" s="1"/>
  <c r="AG372" i="15" s="1"/>
  <c r="AF372" i="15" s="1"/>
  <c r="AI276" i="15"/>
  <c r="AH276" i="15" s="1"/>
  <c r="AG276" i="15" s="1"/>
  <c r="AF276" i="15" s="1"/>
  <c r="AI196" i="15"/>
  <c r="AH196" i="15" s="1"/>
  <c r="AG196" i="15" s="1"/>
  <c r="AF196" i="15" s="1"/>
  <c r="AI132" i="15"/>
  <c r="AH132" i="15" s="1"/>
  <c r="AI351" i="15"/>
  <c r="AH351" i="15" s="1"/>
  <c r="AG351" i="15" s="1"/>
  <c r="AF351" i="15" s="1"/>
  <c r="AD351" i="15" s="1"/>
  <c r="AI95" i="15"/>
  <c r="AH95" i="15" s="1"/>
  <c r="AG95" i="15" s="1"/>
  <c r="AF95" i="15" s="1"/>
  <c r="AI314" i="15"/>
  <c r="AH314" i="15" s="1"/>
  <c r="AG314" i="15" s="1"/>
  <c r="AF314" i="15" s="1"/>
  <c r="AD314" i="15" s="1"/>
  <c r="AI242" i="15"/>
  <c r="AH242" i="15" s="1"/>
  <c r="AG242" i="15" s="1"/>
  <c r="AF242" i="15" s="1"/>
  <c r="AI146" i="15"/>
  <c r="AH146" i="15" s="1"/>
  <c r="AG146" i="15" s="1"/>
  <c r="AF146" i="15" s="1"/>
  <c r="AI58" i="15"/>
  <c r="AH58" i="15" s="1"/>
  <c r="AG58" i="15" s="1"/>
  <c r="AF58" i="15" s="1"/>
  <c r="AD58" i="15" s="1"/>
  <c r="AI350" i="15"/>
  <c r="AH350" i="15" s="1"/>
  <c r="AG350" i="15" s="1"/>
  <c r="AF350" i="15" s="1"/>
  <c r="AI254" i="15"/>
  <c r="AH254" i="15" s="1"/>
  <c r="AI174" i="15"/>
  <c r="AH174" i="15" s="1"/>
  <c r="AG174" i="15" s="1"/>
  <c r="AF174" i="15" s="1"/>
  <c r="AI78" i="15"/>
  <c r="AH78" i="15" s="1"/>
  <c r="AI84" i="15"/>
  <c r="AH84" i="15" s="1"/>
  <c r="AI16" i="15"/>
  <c r="AH16" i="15" s="1"/>
  <c r="AI175" i="15"/>
  <c r="AH175" i="15" s="1"/>
  <c r="AG175" i="15" s="1"/>
  <c r="AF175" i="15" s="1"/>
  <c r="AD175" i="15" s="1"/>
  <c r="AI26" i="15"/>
  <c r="AH26" i="15" s="1"/>
  <c r="U287" i="15"/>
  <c r="T287" i="15" s="1"/>
  <c r="S287" i="15" s="1"/>
  <c r="R287" i="15" s="1"/>
  <c r="P287" i="15" s="1"/>
  <c r="V287" i="15" s="1"/>
  <c r="F287" i="15" s="1"/>
  <c r="G287" i="15" s="1"/>
  <c r="BX287" i="6" s="1"/>
  <c r="U147" i="15"/>
  <c r="T147" i="15" s="1"/>
  <c r="U185" i="15"/>
  <c r="T185" i="15" s="1"/>
  <c r="S185" i="15" s="1"/>
  <c r="R185" i="15" s="1"/>
  <c r="P185" i="15" s="1"/>
  <c r="V185" i="15" s="1"/>
  <c r="F185" i="15" s="1"/>
  <c r="H185" i="15" s="1"/>
  <c r="J185" i="15" s="1"/>
  <c r="U296" i="15"/>
  <c r="T296" i="15" s="1"/>
  <c r="S296" i="15" s="1"/>
  <c r="R296" i="15" s="1"/>
  <c r="U107" i="15"/>
  <c r="T107" i="15" s="1"/>
  <c r="U291" i="15"/>
  <c r="T291" i="15" s="1"/>
  <c r="U257" i="15"/>
  <c r="T257" i="15" s="1"/>
  <c r="U368" i="15"/>
  <c r="T368" i="15" s="1"/>
  <c r="U20" i="15"/>
  <c r="T20" i="15" s="1"/>
  <c r="U300" i="15"/>
  <c r="T300" i="15" s="1"/>
  <c r="S300" i="15" s="1"/>
  <c r="R300" i="15" s="1"/>
  <c r="P300" i="15" s="1"/>
  <c r="V300" i="15" s="1"/>
  <c r="U204" i="15"/>
  <c r="T204" i="15" s="1"/>
  <c r="U231" i="15"/>
  <c r="T231" i="15" s="1"/>
  <c r="U307" i="15"/>
  <c r="T307" i="15" s="1"/>
  <c r="S307" i="15" s="1"/>
  <c r="R307" i="15" s="1"/>
  <c r="P307" i="15" s="1"/>
  <c r="V307" i="15" s="1"/>
  <c r="F307" i="15" s="1"/>
  <c r="G307" i="15" s="1"/>
  <c r="BX307" i="6" s="1"/>
  <c r="U265" i="15"/>
  <c r="T265" i="15" s="1"/>
  <c r="U376" i="15"/>
  <c r="T376" i="15" s="1"/>
  <c r="U36" i="15"/>
  <c r="T36" i="15" s="1"/>
  <c r="S36" i="15" s="1"/>
  <c r="R36" i="15" s="1"/>
  <c r="P36" i="15" s="1"/>
  <c r="V36" i="15" s="1"/>
  <c r="F36" i="15" s="1"/>
  <c r="G36" i="15" s="1"/>
  <c r="BX36" i="6" s="1"/>
  <c r="U79" i="15"/>
  <c r="T79" i="15" s="1"/>
  <c r="U337" i="15"/>
  <c r="T337" i="15" s="1"/>
  <c r="S337" i="15" s="1"/>
  <c r="R337" i="15" s="1"/>
  <c r="P337" i="15" s="1"/>
  <c r="V337" i="15" s="1"/>
  <c r="F337" i="15" s="1"/>
  <c r="G337" i="15" s="1"/>
  <c r="BX337" i="6" s="1"/>
  <c r="U81" i="15"/>
  <c r="T81" i="15" s="1"/>
  <c r="U180" i="15"/>
  <c r="T180" i="15" s="1"/>
  <c r="S180" i="15" s="1"/>
  <c r="R180" i="15" s="1"/>
  <c r="P180" i="15" s="1"/>
  <c r="D37" i="7" s="1"/>
  <c r="U340" i="15"/>
  <c r="T340" i="15" s="1"/>
  <c r="U92" i="15"/>
  <c r="T92" i="15" s="1"/>
  <c r="U309" i="15"/>
  <c r="T309" i="15" s="1"/>
  <c r="U53" i="15"/>
  <c r="T53" i="15" s="1"/>
  <c r="S53" i="15" s="1"/>
  <c r="R53" i="15" s="1"/>
  <c r="P53" i="15" s="1"/>
  <c r="V53" i="15" s="1"/>
  <c r="F53" i="15" s="1"/>
  <c r="G53" i="15" s="1"/>
  <c r="BX53" i="6" s="1"/>
  <c r="U160" i="15"/>
  <c r="T160" i="15" s="1"/>
  <c r="U151" i="15"/>
  <c r="T151" i="15" s="1"/>
  <c r="U221" i="15"/>
  <c r="T221" i="15" s="1"/>
  <c r="S221" i="15" s="1"/>
  <c r="R221" i="15" s="1"/>
  <c r="U230" i="15"/>
  <c r="T230" i="15" s="1"/>
  <c r="S230" i="15" s="1"/>
  <c r="R230" i="15" s="1"/>
  <c r="P230" i="15" s="1"/>
  <c r="V230" i="15" s="1"/>
  <c r="F230" i="15" s="1"/>
  <c r="U274" i="15"/>
  <c r="T274" i="15" s="1"/>
  <c r="S274" i="15" s="1"/>
  <c r="R274" i="15" s="1"/>
  <c r="P274" i="15" s="1"/>
  <c r="V274" i="15" s="1"/>
  <c r="F274" i="15" s="1"/>
  <c r="U17" i="15"/>
  <c r="T17" i="15" s="1"/>
  <c r="U69" i="15"/>
  <c r="T69" i="15" s="1"/>
  <c r="S69" i="15" s="1"/>
  <c r="R69" i="15" s="1"/>
  <c r="U40" i="15"/>
  <c r="T40" i="15" s="1"/>
  <c r="S40" i="15" s="1"/>
  <c r="R40" i="15" s="1"/>
  <c r="P40" i="15" s="1"/>
  <c r="V40" i="15" s="1"/>
  <c r="F40" i="15" s="1"/>
  <c r="H40" i="15" s="1"/>
  <c r="I40" i="15" s="1"/>
  <c r="U109" i="15"/>
  <c r="T109" i="15" s="1"/>
  <c r="U174" i="15"/>
  <c r="T174" i="15" s="1"/>
  <c r="S174" i="15" s="1"/>
  <c r="R174" i="15" s="1"/>
  <c r="P174" i="15" s="1"/>
  <c r="V174" i="15" s="1"/>
  <c r="F174" i="15" s="1"/>
  <c r="G174" i="15" s="1"/>
  <c r="BX174" i="6" s="1"/>
  <c r="U218" i="15"/>
  <c r="T218" i="15" s="1"/>
  <c r="AI214" i="15"/>
  <c r="AH214" i="15" s="1"/>
  <c r="AI20" i="15"/>
  <c r="AH20" i="15" s="1"/>
  <c r="AI271" i="15"/>
  <c r="AH271" i="15" s="1"/>
  <c r="AI181" i="15"/>
  <c r="AH181" i="15" s="1"/>
  <c r="AI113" i="15"/>
  <c r="AH113" i="15" s="1"/>
  <c r="AI15" i="15"/>
  <c r="AI121" i="15"/>
  <c r="AH121" i="15" s="1"/>
  <c r="AG121" i="15" s="1"/>
  <c r="AF121" i="15" s="1"/>
  <c r="AI331" i="15"/>
  <c r="AH331" i="15" s="1"/>
  <c r="AI368" i="15"/>
  <c r="AH368" i="15" s="1"/>
  <c r="AG368" i="15" s="1"/>
  <c r="AF368" i="15" s="1"/>
  <c r="AI105" i="15"/>
  <c r="AH105" i="15" s="1"/>
  <c r="AI339" i="15"/>
  <c r="AH339" i="15" s="1"/>
  <c r="AI320" i="15"/>
  <c r="AH320" i="15" s="1"/>
  <c r="AG320" i="15" s="1"/>
  <c r="AF320" i="15" s="1"/>
  <c r="AI296" i="15"/>
  <c r="AH296" i="15" s="1"/>
  <c r="AG296" i="15" s="1"/>
  <c r="AF296" i="15" s="1"/>
  <c r="AI348" i="15"/>
  <c r="AH348" i="15" s="1"/>
  <c r="AG348" i="15" s="1"/>
  <c r="AF348" i="15" s="1"/>
  <c r="AI44" i="15"/>
  <c r="AH44" i="15" s="1"/>
  <c r="AG44" i="15" s="1"/>
  <c r="AF44" i="15" s="1"/>
  <c r="AD44" i="15" s="1"/>
  <c r="AI365" i="15"/>
  <c r="AH365" i="15" s="1"/>
  <c r="AI299" i="15"/>
  <c r="AH299" i="15" s="1"/>
  <c r="AI336" i="15"/>
  <c r="AH336" i="15" s="1"/>
  <c r="AG336" i="15" s="1"/>
  <c r="AF336" i="15" s="1"/>
  <c r="AD336" i="15" s="1"/>
  <c r="AI21" i="15"/>
  <c r="AH21" i="15" s="1"/>
  <c r="AI137" i="15"/>
  <c r="AH137" i="15" s="1"/>
  <c r="AI29" i="15"/>
  <c r="AH29" i="15" s="1"/>
  <c r="AG29" i="15" s="1"/>
  <c r="AF29" i="15" s="1"/>
  <c r="AI131" i="15"/>
  <c r="AH131" i="15" s="1"/>
  <c r="AG131" i="15" s="1"/>
  <c r="AF131" i="15" s="1"/>
  <c r="AI160" i="15"/>
  <c r="AH160" i="15" s="1"/>
  <c r="AI83" i="15"/>
  <c r="AH83" i="15" s="1"/>
  <c r="AI280" i="15"/>
  <c r="AH280" i="15" s="1"/>
  <c r="AG280" i="15" s="1"/>
  <c r="AF280" i="15" s="1"/>
  <c r="AD280" i="15" s="1"/>
  <c r="AI88" i="15"/>
  <c r="AH88" i="15" s="1"/>
  <c r="AG88" i="15" s="1"/>
  <c r="AF88" i="15" s="1"/>
  <c r="AI33" i="15"/>
  <c r="AH33" i="15" s="1"/>
  <c r="AI327" i="15"/>
  <c r="AH327" i="15" s="1"/>
  <c r="AG327" i="15" s="1"/>
  <c r="AF327" i="15" s="1"/>
  <c r="AI199" i="15"/>
  <c r="AH199" i="15" s="1"/>
  <c r="AG199" i="15" s="1"/>
  <c r="AF199" i="15" s="1"/>
  <c r="AI71" i="15"/>
  <c r="AH71" i="15" s="1"/>
  <c r="AG71" i="15" s="1"/>
  <c r="AF71" i="15" s="1"/>
  <c r="AI324" i="15"/>
  <c r="AH324" i="15" s="1"/>
  <c r="AG324" i="15" s="1"/>
  <c r="AF324" i="15" s="1"/>
  <c r="AD324" i="15" s="1"/>
  <c r="AI236" i="15"/>
  <c r="AH236" i="15" s="1"/>
  <c r="AG236" i="15" s="1"/>
  <c r="AF236" i="15" s="1"/>
  <c r="AI164" i="15"/>
  <c r="AH164" i="15" s="1"/>
  <c r="AG164" i="15" s="1"/>
  <c r="AF164" i="15" s="1"/>
  <c r="AI341" i="15"/>
  <c r="AH341" i="15" s="1"/>
  <c r="AI223" i="15"/>
  <c r="AH223" i="15" s="1"/>
  <c r="AG223" i="15" s="1"/>
  <c r="AF223" i="15" s="1"/>
  <c r="AI354" i="15"/>
  <c r="AH354" i="15" s="1"/>
  <c r="AI282" i="15"/>
  <c r="AH282" i="15" s="1"/>
  <c r="AG282" i="15" s="1"/>
  <c r="AF282" i="15" s="1"/>
  <c r="AD282" i="15" s="1"/>
  <c r="AI202" i="15"/>
  <c r="AH202" i="15" s="1"/>
  <c r="AG202" i="15" s="1"/>
  <c r="AF202" i="15" s="1"/>
  <c r="AD202" i="15" s="1"/>
  <c r="AI90" i="15"/>
  <c r="AH90" i="15" s="1"/>
  <c r="AI18" i="15"/>
  <c r="AH18" i="15" s="1"/>
  <c r="AG18" i="15" s="1"/>
  <c r="AF18" i="15" s="1"/>
  <c r="AI302" i="15"/>
  <c r="AH302" i="15" s="1"/>
  <c r="AG302" i="15" s="1"/>
  <c r="AF302" i="15" s="1"/>
  <c r="AI222" i="15"/>
  <c r="AH222" i="15" s="1"/>
  <c r="AG222" i="15" s="1"/>
  <c r="AF222" i="15" s="1"/>
  <c r="AD222" i="15" s="1"/>
  <c r="AI134" i="15"/>
  <c r="AH134" i="15" s="1"/>
  <c r="AI30" i="15"/>
  <c r="AH30" i="15" s="1"/>
  <c r="AG30" i="15" s="1"/>
  <c r="AF30" i="15" s="1"/>
  <c r="AI273" i="15"/>
  <c r="AH273" i="15" s="1"/>
  <c r="AI53" i="15"/>
  <c r="AH53" i="15" s="1"/>
  <c r="AG53" i="15" s="1"/>
  <c r="AF53" i="15" s="1"/>
  <c r="AD53" i="15" s="1"/>
  <c r="AI250" i="15"/>
  <c r="AH250" i="15" s="1"/>
  <c r="AI118" i="15"/>
  <c r="AH118" i="15" s="1"/>
  <c r="AG118" i="15" s="1"/>
  <c r="AF118" i="15" s="1"/>
  <c r="U31" i="15"/>
  <c r="T31" i="15" s="1"/>
  <c r="U313" i="15"/>
  <c r="T313" i="15" s="1"/>
  <c r="S313" i="15" s="1"/>
  <c r="R313" i="15" s="1"/>
  <c r="P313" i="15" s="1"/>
  <c r="V313" i="15" s="1"/>
  <c r="F313" i="15" s="1"/>
  <c r="U57" i="15"/>
  <c r="T57" i="15" s="1"/>
  <c r="S57" i="15" s="1"/>
  <c r="R57" i="15" s="1"/>
  <c r="P57" i="15" s="1"/>
  <c r="V57" i="15" s="1"/>
  <c r="U132" i="15"/>
  <c r="T132" i="15" s="1"/>
  <c r="U175" i="15"/>
  <c r="T175" i="15" s="1"/>
  <c r="S175" i="15" s="1"/>
  <c r="R175" i="15" s="1"/>
  <c r="P175" i="15" s="1"/>
  <c r="V175" i="15" s="1"/>
  <c r="F175" i="15" s="1"/>
  <c r="H175" i="15" s="1"/>
  <c r="U35" i="15"/>
  <c r="T35" i="15" s="1"/>
  <c r="U129" i="15"/>
  <c r="T129" i="15" s="1"/>
  <c r="U240" i="15"/>
  <c r="T240" i="15" s="1"/>
  <c r="U364" i="15"/>
  <c r="T364" i="15" s="1"/>
  <c r="U252" i="15"/>
  <c r="T252" i="15" s="1"/>
  <c r="U124" i="15"/>
  <c r="T124" i="15" s="1"/>
  <c r="U191" i="15"/>
  <c r="T191" i="15" s="1"/>
  <c r="S191" i="15" s="1"/>
  <c r="R191" i="15" s="1"/>
  <c r="P191" i="15" s="1"/>
  <c r="V191" i="15" s="1"/>
  <c r="F191" i="15" s="1"/>
  <c r="G191" i="15" s="1"/>
  <c r="BX191" i="6" s="1"/>
  <c r="U51" i="15"/>
  <c r="T51" i="15" s="1"/>
  <c r="U137" i="15"/>
  <c r="T137" i="15" s="1"/>
  <c r="U248" i="15"/>
  <c r="T248" i="15" s="1"/>
  <c r="U335" i="15"/>
  <c r="T335" i="15" s="1"/>
  <c r="U195" i="15"/>
  <c r="T195" i="15" s="1"/>
  <c r="S195" i="15" s="1"/>
  <c r="R195" i="15" s="1"/>
  <c r="P195" i="15" s="1"/>
  <c r="V195" i="15" s="1"/>
  <c r="F195" i="15" s="1"/>
  <c r="G195" i="15" s="1"/>
  <c r="BX195" i="6" s="1"/>
  <c r="U209" i="15"/>
  <c r="T209" i="15" s="1"/>
  <c r="S209" i="15" s="1"/>
  <c r="R209" i="15" s="1"/>
  <c r="U320" i="15"/>
  <c r="T320" i="15" s="1"/>
  <c r="S320" i="15" s="1"/>
  <c r="R320" i="15" s="1"/>
  <c r="P320" i="15" s="1"/>
  <c r="V320" i="15" s="1"/>
  <c r="F320" i="15" s="1"/>
  <c r="G320" i="15" s="1"/>
  <c r="BX320" i="6" s="1"/>
  <c r="U71" i="15"/>
  <c r="T71" i="15" s="1"/>
  <c r="S71" i="15" s="1"/>
  <c r="R71" i="15" s="1"/>
  <c r="P71" i="15" s="1"/>
  <c r="V71" i="15" s="1"/>
  <c r="F71" i="15" s="1"/>
  <c r="U260" i="15"/>
  <c r="T260" i="15" s="1"/>
  <c r="U331" i="15"/>
  <c r="T331" i="15" s="1"/>
  <c r="U181" i="15"/>
  <c r="T181" i="15" s="1"/>
  <c r="S181" i="15" s="1"/>
  <c r="R181" i="15" s="1"/>
  <c r="P181" i="15" s="1"/>
  <c r="V181" i="15" s="1"/>
  <c r="F181" i="15" s="1"/>
  <c r="H181" i="15" s="1"/>
  <c r="U338" i="15"/>
  <c r="T338" i="15" s="1"/>
  <c r="S338" i="15" s="1"/>
  <c r="R338" i="15" s="1"/>
  <c r="P338" i="15" s="1"/>
  <c r="V338" i="15" s="1"/>
  <c r="F338" i="15" s="1"/>
  <c r="U48" i="15"/>
  <c r="T48" i="15" s="1"/>
  <c r="S48" i="15" s="1"/>
  <c r="R48" i="15" s="1"/>
  <c r="P48" i="15" s="1"/>
  <c r="V48" i="15" s="1"/>
  <c r="U155" i="15"/>
  <c r="T155" i="15" s="1"/>
  <c r="U358" i="15"/>
  <c r="T358" i="15" s="1"/>
  <c r="U102" i="15"/>
  <c r="T102" i="15" s="1"/>
  <c r="U146" i="15"/>
  <c r="T146" i="15" s="1"/>
  <c r="S146" i="15" s="1"/>
  <c r="R146" i="15" s="1"/>
  <c r="U325" i="15"/>
  <c r="T325" i="15" s="1"/>
  <c r="U168" i="15"/>
  <c r="T168" i="15" s="1"/>
  <c r="S168" i="15" s="1"/>
  <c r="R168" i="15" s="1"/>
  <c r="P168" i="15" s="1"/>
  <c r="V168" i="15" s="1"/>
  <c r="U365" i="15"/>
  <c r="T365" i="15" s="1"/>
  <c r="U302" i="15"/>
  <c r="T302" i="15" s="1"/>
  <c r="S302" i="15" s="1"/>
  <c r="R302" i="15" s="1"/>
  <c r="P302" i="15" s="1"/>
  <c r="V302" i="15" s="1"/>
  <c r="U46" i="15"/>
  <c r="T46" i="15" s="1"/>
  <c r="S46" i="15" s="1"/>
  <c r="R46" i="15" s="1"/>
  <c r="P46" i="15" s="1"/>
  <c r="V46" i="15" s="1"/>
  <c r="F46" i="15" s="1"/>
  <c r="U90" i="15"/>
  <c r="T90" i="15" s="1"/>
  <c r="U237" i="15"/>
  <c r="T237" i="15" s="1"/>
  <c r="U38" i="15"/>
  <c r="T38" i="15" s="1"/>
  <c r="U192" i="15"/>
  <c r="T192" i="15" s="1"/>
  <c r="S192" i="15" s="1"/>
  <c r="R192" i="15" s="1"/>
  <c r="P192" i="15" s="1"/>
  <c r="V192" i="15" s="1"/>
  <c r="F192" i="15" s="1"/>
  <c r="U372" i="15"/>
  <c r="T372" i="15" s="1"/>
  <c r="U207" i="15"/>
  <c r="T207" i="15" s="1"/>
  <c r="U63" i="15"/>
  <c r="T63" i="15" s="1"/>
  <c r="U148" i="15"/>
  <c r="T148" i="15" s="1"/>
  <c r="U263" i="15"/>
  <c r="T263" i="15" s="1"/>
  <c r="V119" i="1"/>
  <c r="AA119" i="1" s="1"/>
  <c r="Z119" i="1" s="1"/>
  <c r="Y119" i="1" s="1"/>
  <c r="O383" i="18"/>
  <c r="F170" i="15"/>
  <c r="G170" i="15" s="1"/>
  <c r="BX170" i="6" s="1"/>
  <c r="F189" i="15"/>
  <c r="H189" i="15" s="1"/>
  <c r="J189" i="15" s="1"/>
  <c r="O382" i="18"/>
  <c r="O381" i="18"/>
  <c r="AC22" i="17"/>
  <c r="AC45" i="17"/>
  <c r="AC44" i="17"/>
  <c r="AC72" i="17"/>
  <c r="AC114" i="17"/>
  <c r="AC96" i="17"/>
  <c r="AC112" i="17"/>
  <c r="AC36" i="17"/>
  <c r="AC48" i="17"/>
  <c r="AC49" i="17"/>
  <c r="AC80" i="17"/>
  <c r="AC106" i="17"/>
  <c r="AC86" i="17"/>
  <c r="AC20" i="17"/>
  <c r="AC17" i="17"/>
  <c r="AC59" i="17"/>
  <c r="AC56" i="17"/>
  <c r="AC83" i="17"/>
  <c r="AC121" i="17"/>
  <c r="AC103" i="17"/>
  <c r="AC19" i="17"/>
  <c r="AC18" i="17"/>
  <c r="AC65" i="17"/>
  <c r="AC57" i="17"/>
  <c r="AC87" i="17"/>
  <c r="AC120" i="17"/>
  <c r="AC95" i="17"/>
  <c r="AC29" i="17"/>
  <c r="AC41" i="17"/>
  <c r="AC63" i="17"/>
  <c r="AC69" i="17"/>
  <c r="AC108" i="17"/>
  <c r="AC93" i="17"/>
  <c r="AC113" i="17"/>
  <c r="AC28" i="17"/>
  <c r="AC37" i="17"/>
  <c r="AC40" i="17"/>
  <c r="AC73" i="17"/>
  <c r="AC98" i="17"/>
  <c r="AC76" i="17"/>
  <c r="AC119" i="17"/>
  <c r="AC21" i="17"/>
  <c r="AC47" i="17"/>
  <c r="AC51" i="17"/>
  <c r="AC74" i="17"/>
  <c r="AC116" i="17"/>
  <c r="AC99" i="17"/>
  <c r="AC115" i="17"/>
  <c r="AC15" i="17"/>
  <c r="AC54" i="17"/>
  <c r="AC50" i="17"/>
  <c r="AC81" i="17"/>
  <c r="AC107" i="17"/>
  <c r="AC90" i="17"/>
  <c r="AC116" i="16"/>
  <c r="AC144" i="16"/>
  <c r="AC177" i="16"/>
  <c r="AC140" i="16"/>
  <c r="AC168" i="16"/>
  <c r="AC201" i="16"/>
  <c r="AC230" i="16"/>
  <c r="AC259" i="16"/>
  <c r="AC286" i="16"/>
  <c r="AC200" i="16"/>
  <c r="AC236" i="16"/>
  <c r="AC274" i="16"/>
  <c r="AC308" i="16"/>
  <c r="AC345" i="16"/>
  <c r="AC375" i="16"/>
  <c r="AC351" i="16"/>
  <c r="AC355" i="16"/>
  <c r="AC119" i="16"/>
  <c r="AC147" i="16"/>
  <c r="AC181" i="16"/>
  <c r="AC143" i="16"/>
  <c r="AC174" i="16"/>
  <c r="AC207" i="16"/>
  <c r="AC235" i="16"/>
  <c r="AC264" i="16"/>
  <c r="AC290" i="16"/>
  <c r="AC205" i="16"/>
  <c r="AC244" i="16"/>
  <c r="AC280" i="16"/>
  <c r="AC316" i="16"/>
  <c r="AC349" i="16"/>
  <c r="AC309" i="16"/>
  <c r="AC357" i="16"/>
  <c r="AC380" i="16"/>
  <c r="AC120" i="16"/>
  <c r="AC146" i="16"/>
  <c r="AC180" i="16"/>
  <c r="AC142" i="16"/>
  <c r="AC173" i="16"/>
  <c r="AC206" i="16"/>
  <c r="AC234" i="16"/>
  <c r="AC261" i="16"/>
  <c r="AC288" i="16"/>
  <c r="AC203" i="16"/>
  <c r="AC240" i="16"/>
  <c r="AC276" i="16"/>
  <c r="AC313" i="16"/>
  <c r="AC347" i="16"/>
  <c r="AC23" i="17"/>
  <c r="AC60" i="17"/>
  <c r="AC89" i="17"/>
  <c r="AC105" i="17"/>
  <c r="AC26" i="17"/>
  <c r="AC62" i="17"/>
  <c r="AC122" i="17"/>
  <c r="AC33" i="17"/>
  <c r="AC64" i="17"/>
  <c r="AC110" i="17"/>
  <c r="AC118" i="17"/>
  <c r="AC43" i="17"/>
  <c r="AC78" i="17"/>
  <c r="AC77" i="17"/>
  <c r="AC30" i="17"/>
  <c r="AC52" i="17"/>
  <c r="AC117" i="17"/>
  <c r="AC123" i="17"/>
  <c r="AC58" i="17"/>
  <c r="AC85" i="17"/>
  <c r="AC91" i="17"/>
  <c r="AC39" i="17"/>
  <c r="AC67" i="17"/>
  <c r="AC84" i="17"/>
  <c r="AC27" i="17"/>
  <c r="AC38" i="17"/>
  <c r="AC97" i="17"/>
  <c r="AC104" i="17"/>
  <c r="AC160" i="16"/>
  <c r="AC155" i="16"/>
  <c r="AC214" i="16"/>
  <c r="AC271" i="16"/>
  <c r="AC218" i="16"/>
  <c r="AC293" i="16"/>
  <c r="AC364" i="16"/>
  <c r="AC372" i="16"/>
  <c r="AC124" i="16"/>
  <c r="AC133" i="16"/>
  <c r="AC195" i="16"/>
  <c r="AC252" i="16"/>
  <c r="AC190" i="16"/>
  <c r="AC262" i="16"/>
  <c r="AC335" i="16"/>
  <c r="AC328" i="16"/>
  <c r="AC377" i="16"/>
  <c r="AC164" i="16"/>
  <c r="AC158" i="16"/>
  <c r="AC220" i="16"/>
  <c r="AC277" i="16"/>
  <c r="AC221" i="16"/>
  <c r="AC295" i="16"/>
  <c r="AC366" i="16"/>
  <c r="AC327" i="16"/>
  <c r="AC307" i="16"/>
  <c r="AC369" i="16"/>
  <c r="AC132" i="16"/>
  <c r="AC170" i="16"/>
  <c r="AC135" i="16"/>
  <c r="AC162" i="16"/>
  <c r="AC197" i="16"/>
  <c r="AC225" i="16"/>
  <c r="AC255" i="16"/>
  <c r="AC282" i="16"/>
  <c r="AC192" i="16"/>
  <c r="AC228" i="16"/>
  <c r="AC265" i="16"/>
  <c r="AC301" i="16"/>
  <c r="AC340" i="16"/>
  <c r="AC371" i="16"/>
  <c r="AC336" i="16"/>
  <c r="AC324" i="16"/>
  <c r="AC122" i="16"/>
  <c r="AC150" i="16"/>
  <c r="AC183" i="16"/>
  <c r="AC148" i="16"/>
  <c r="AC176" i="16"/>
  <c r="AC208" i="16"/>
  <c r="AC238" i="16"/>
  <c r="AC266" i="16"/>
  <c r="AC291" i="16"/>
  <c r="AC210" i="16"/>
  <c r="AC246" i="16"/>
  <c r="AC281" i="16"/>
  <c r="AC321" i="16"/>
  <c r="AC350" i="16"/>
  <c r="AC310" i="16"/>
  <c r="AC358" i="16"/>
  <c r="AC302" i="16"/>
  <c r="AC127" i="16"/>
  <c r="AC156" i="16"/>
  <c r="AC125" i="16"/>
  <c r="AC153" i="16"/>
  <c r="AC184" i="16"/>
  <c r="AC213" i="16"/>
  <c r="AC242" i="16"/>
  <c r="AC270" i="16"/>
  <c r="AC303" i="16"/>
  <c r="AC217" i="16"/>
  <c r="AC250" i="16"/>
  <c r="AC292" i="16"/>
  <c r="AC329" i="16"/>
  <c r="AC362" i="16"/>
  <c r="AC318" i="16"/>
  <c r="AC363" i="16"/>
  <c r="AC332" i="16"/>
  <c r="AC128" i="16"/>
  <c r="AC154" i="16"/>
  <c r="AC118" i="16"/>
  <c r="AC152" i="16"/>
  <c r="AC182" i="16"/>
  <c r="AC211" i="16"/>
  <c r="AC241" i="16"/>
  <c r="AC269" i="16"/>
  <c r="AC300" i="16"/>
  <c r="AC215" i="16"/>
  <c r="AC248" i="16"/>
  <c r="AC289" i="16"/>
  <c r="AC325" i="16"/>
  <c r="AC360" i="16"/>
  <c r="AC317" i="16"/>
  <c r="AC361" i="16"/>
  <c r="AC322" i="16"/>
  <c r="AC114" i="16"/>
  <c r="AC163" i="16"/>
  <c r="AC129" i="16"/>
  <c r="AC157" i="16"/>
  <c r="AC187" i="16"/>
  <c r="AC216" i="16"/>
  <c r="AC245" i="16"/>
  <c r="AC273" i="16"/>
  <c r="AC186" i="16"/>
  <c r="AC219" i="16"/>
  <c r="AC254" i="16"/>
  <c r="AC294" i="16"/>
  <c r="AC333" i="16"/>
  <c r="AC365" i="16"/>
  <c r="AC326" i="16"/>
  <c r="AC378" i="16"/>
  <c r="AC348" i="16"/>
  <c r="AC34" i="17"/>
  <c r="AC66" i="17"/>
  <c r="AC79" i="17"/>
  <c r="AC25" i="17"/>
  <c r="AC68" i="17"/>
  <c r="AC88" i="17"/>
  <c r="AC101" i="17"/>
  <c r="AC42" i="17"/>
  <c r="AC70" i="17"/>
  <c r="AC94" i="17"/>
  <c r="AC32" i="17"/>
  <c r="AC46" i="17"/>
  <c r="AC100" i="17"/>
  <c r="AC16" i="17"/>
  <c r="AC53" i="17"/>
  <c r="AC82" i="17"/>
  <c r="AC102" i="17"/>
  <c r="AC31" i="17"/>
  <c r="AC55" i="17"/>
  <c r="AC111" i="17"/>
  <c r="AC24" i="17"/>
  <c r="AC61" i="17"/>
  <c r="AC92" i="17"/>
  <c r="AC109" i="17"/>
  <c r="AC35" i="17"/>
  <c r="AC71" i="17"/>
  <c r="AC75" i="17"/>
  <c r="AC112" i="16"/>
  <c r="AC126" i="16"/>
  <c r="AC185" i="16"/>
  <c r="AC243" i="16"/>
  <c r="AC305" i="16"/>
  <c r="AC251" i="16"/>
  <c r="AC331" i="16"/>
  <c r="AC319" i="16"/>
  <c r="AC344" i="16"/>
  <c r="AC165" i="16"/>
  <c r="AC159" i="16"/>
  <c r="AC222" i="16"/>
  <c r="AC278" i="16"/>
  <c r="AC224" i="16"/>
  <c r="AC296" i="16"/>
  <c r="AC367" i="16"/>
  <c r="AC312" i="16"/>
  <c r="AC123" i="16"/>
  <c r="AC131" i="16"/>
  <c r="AC188" i="16"/>
  <c r="AC249" i="16"/>
  <c r="AC189" i="16"/>
  <c r="AC256" i="16"/>
  <c r="AC334" i="16"/>
  <c r="AC299" i="16"/>
  <c r="AC354" i="16"/>
  <c r="AC376" i="16"/>
  <c r="AC121" i="16"/>
  <c r="AC151" i="16"/>
  <c r="AC117" i="16"/>
  <c r="AC149" i="16"/>
  <c r="AC179" i="16"/>
  <c r="AC209" i="16"/>
  <c r="AC239" i="16"/>
  <c r="AC268" i="16"/>
  <c r="AC298" i="16"/>
  <c r="AC212" i="16"/>
  <c r="AC247" i="16"/>
  <c r="AC284" i="16"/>
  <c r="AC323" i="16"/>
  <c r="AC356" i="16"/>
  <c r="AC315" i="16"/>
  <c r="AC359" i="16"/>
  <c r="AC320" i="16"/>
  <c r="AC130" i="16"/>
  <c r="AC169" i="16"/>
  <c r="AC134" i="16"/>
  <c r="AC161" i="16"/>
  <c r="AC196" i="16"/>
  <c r="AC223" i="16"/>
  <c r="AC253" i="16"/>
  <c r="AC279" i="16"/>
  <c r="AC191" i="16"/>
  <c r="AC226" i="16"/>
  <c r="AC263" i="16"/>
  <c r="AC297" i="16"/>
  <c r="AC338" i="16"/>
  <c r="AC370" i="16"/>
  <c r="AC330" i="16"/>
  <c r="AC314" i="16"/>
  <c r="AC111" i="16"/>
  <c r="AC139" i="16"/>
  <c r="AC175" i="16"/>
  <c r="AC137" i="16"/>
  <c r="AC167" i="16"/>
  <c r="AC199" i="16"/>
  <c r="AC229" i="16"/>
  <c r="AC258" i="16"/>
  <c r="AC285" i="16"/>
  <c r="AC194" i="16"/>
  <c r="AC233" i="16"/>
  <c r="AC272" i="16"/>
  <c r="AC306" i="16"/>
  <c r="AC342" i="16"/>
  <c r="AC374" i="16"/>
  <c r="AC339" i="16"/>
  <c r="AC352" i="16"/>
  <c r="AC113" i="16"/>
  <c r="AC138" i="16"/>
  <c r="AC171" i="16"/>
  <c r="AC136" i="16"/>
  <c r="AC166" i="16"/>
  <c r="AC198" i="16"/>
  <c r="AC227" i="16"/>
  <c r="AC257" i="16"/>
  <c r="AC283" i="16"/>
  <c r="AC193" i="16"/>
  <c r="AC232" i="16"/>
  <c r="AC267" i="16"/>
  <c r="AC304" i="16"/>
  <c r="AC341" i="16"/>
  <c r="AC373" i="16"/>
  <c r="AC337" i="16"/>
  <c r="AC343" i="16"/>
  <c r="AC115" i="16"/>
  <c r="AC145" i="16"/>
  <c r="AC178" i="16"/>
  <c r="AC141" i="16"/>
  <c r="AC172" i="16"/>
  <c r="AC204" i="16"/>
  <c r="AC231" i="16"/>
  <c r="AC260" i="16"/>
  <c r="AC287" i="16"/>
  <c r="AC202" i="16"/>
  <c r="AC237" i="16"/>
  <c r="AC275" i="16"/>
  <c r="AC311" i="16"/>
  <c r="AC346" i="16"/>
  <c r="AC379" i="16"/>
  <c r="AC353" i="16"/>
  <c r="AC368" i="16"/>
  <c r="C42" i="7"/>
  <c r="E333" i="15"/>
  <c r="C41" i="7"/>
  <c r="E302" i="15"/>
  <c r="E241" i="15"/>
  <c r="C39" i="7"/>
  <c r="E119" i="15"/>
  <c r="C35" i="7"/>
  <c r="E60" i="15"/>
  <c r="C33" i="7"/>
  <c r="O382" i="15"/>
  <c r="E15" i="15"/>
  <c r="O381" i="15"/>
  <c r="O383" i="15"/>
  <c r="C32" i="7"/>
  <c r="E29" i="15"/>
  <c r="O97" i="17"/>
  <c r="E97" i="17" s="1"/>
  <c r="O117" i="17"/>
  <c r="E117" i="17" s="1"/>
  <c r="O98" i="17"/>
  <c r="E98" i="17" s="1"/>
  <c r="O67" i="17"/>
  <c r="E67" i="17" s="1"/>
  <c r="O62" i="17"/>
  <c r="E62" i="17" s="1"/>
  <c r="O29" i="17"/>
  <c r="O21" i="17"/>
  <c r="E21" i="17" s="1"/>
  <c r="O107" i="17"/>
  <c r="E107" i="17" s="1"/>
  <c r="O111" i="17"/>
  <c r="E111" i="17" s="1"/>
  <c r="O86" i="17"/>
  <c r="E86" i="17" s="1"/>
  <c r="O49" i="17"/>
  <c r="E49" i="17" s="1"/>
  <c r="O55" i="17"/>
  <c r="E55" i="17" s="1"/>
  <c r="O100" i="17"/>
  <c r="E100" i="17" s="1"/>
  <c r="O74" i="17"/>
  <c r="E74" i="17" s="1"/>
  <c r="O116" i="17"/>
  <c r="E116" i="17" s="1"/>
  <c r="O104" i="17"/>
  <c r="E104" i="17" s="1"/>
  <c r="O92" i="17"/>
  <c r="E92" i="17" s="1"/>
  <c r="O79" i="17"/>
  <c r="E79" i="17" s="1"/>
  <c r="O65" i="17"/>
  <c r="E65" i="17" s="1"/>
  <c r="O53" i="17"/>
  <c r="E53" i="17" s="1"/>
  <c r="O60" i="17"/>
  <c r="O18" i="17"/>
  <c r="E18" i="17" s="1"/>
  <c r="O19" i="17"/>
  <c r="E19" i="17" s="1"/>
  <c r="O108" i="17"/>
  <c r="E108" i="17" s="1"/>
  <c r="O118" i="17"/>
  <c r="E118" i="17" s="1"/>
  <c r="O93" i="17"/>
  <c r="E93" i="17" s="1"/>
  <c r="O54" i="17"/>
  <c r="E54" i="17" s="1"/>
  <c r="O56" i="17"/>
  <c r="E56" i="17" s="1"/>
  <c r="O17" i="17"/>
  <c r="E17" i="17" s="1"/>
  <c r="O30" i="17"/>
  <c r="E30" i="17" s="1"/>
  <c r="O37" i="17"/>
  <c r="E37" i="17" s="1"/>
  <c r="O22" i="17"/>
  <c r="E22" i="17" s="1"/>
  <c r="O87" i="17"/>
  <c r="E87" i="17" s="1"/>
  <c r="O113" i="17"/>
  <c r="E113" i="17" s="1"/>
  <c r="O90" i="17"/>
  <c r="E90" i="17" s="1"/>
  <c r="O61" i="17"/>
  <c r="E61" i="17" s="1"/>
  <c r="O50" i="17"/>
  <c r="E50" i="17" s="1"/>
  <c r="O16" i="17"/>
  <c r="E16" i="17" s="1"/>
  <c r="O13" i="7"/>
  <c r="O85" i="17"/>
  <c r="E85" i="17" s="1"/>
  <c r="O103" i="17"/>
  <c r="E103" i="17" s="1"/>
  <c r="O78" i="17"/>
  <c r="E78" i="17" s="1"/>
  <c r="O42" i="17"/>
  <c r="E42" i="17" s="1"/>
  <c r="O51" i="17"/>
  <c r="E51" i="17" s="1"/>
  <c r="O88" i="17"/>
  <c r="O38" i="17"/>
  <c r="E38" i="17" s="1"/>
  <c r="O26" i="17"/>
  <c r="E26" i="17" s="1"/>
  <c r="O119" i="17"/>
  <c r="O72" i="17"/>
  <c r="E72" i="17" s="1"/>
  <c r="O95" i="17"/>
  <c r="E95" i="17" s="1"/>
  <c r="O64" i="17"/>
  <c r="E64" i="17" s="1"/>
  <c r="O66" i="17"/>
  <c r="E66" i="17" s="1"/>
  <c r="O23" i="17"/>
  <c r="E23" i="17" s="1"/>
  <c r="O35" i="17"/>
  <c r="E35" i="17" s="1"/>
  <c r="O27" i="17"/>
  <c r="E27" i="17" s="1"/>
  <c r="O112" i="16"/>
  <c r="E112" i="16" s="1"/>
  <c r="O134" i="16"/>
  <c r="E134" i="16" s="1"/>
  <c r="O157" i="16"/>
  <c r="E157" i="16" s="1"/>
  <c r="O183" i="16"/>
  <c r="E183" i="16" s="1"/>
  <c r="O160" i="16"/>
  <c r="E160" i="16" s="1"/>
  <c r="O198" i="16"/>
  <c r="E198" i="16" s="1"/>
  <c r="O229" i="16"/>
  <c r="E229" i="16" s="1"/>
  <c r="O253" i="16"/>
  <c r="E253" i="16" s="1"/>
  <c r="O272" i="16"/>
  <c r="O185" i="16"/>
  <c r="E185" i="16" s="1"/>
  <c r="O203" i="16"/>
  <c r="E203" i="16" s="1"/>
  <c r="O222" i="16"/>
  <c r="E222" i="16" s="1"/>
  <c r="O257" i="16"/>
  <c r="E257" i="16" s="1"/>
  <c r="O283" i="16"/>
  <c r="E283" i="16" s="1"/>
  <c r="O314" i="16"/>
  <c r="E314" i="16" s="1"/>
  <c r="O343" i="16"/>
  <c r="E343" i="16" s="1"/>
  <c r="O367" i="16"/>
  <c r="E367" i="16" s="1"/>
  <c r="O303" i="16"/>
  <c r="E303" i="16" s="1"/>
  <c r="O345" i="16"/>
  <c r="E345" i="16" s="1"/>
  <c r="O130" i="16"/>
  <c r="E130" i="16" s="1"/>
  <c r="O145" i="16"/>
  <c r="E145" i="16" s="1"/>
  <c r="O168" i="16"/>
  <c r="E168" i="16" s="1"/>
  <c r="O133" i="16"/>
  <c r="E133" i="16" s="1"/>
  <c r="O180" i="16"/>
  <c r="O217" i="16"/>
  <c r="E217" i="16" s="1"/>
  <c r="O242" i="16"/>
  <c r="E242" i="16" s="1"/>
  <c r="O279" i="16"/>
  <c r="E279" i="16" s="1"/>
  <c r="O189" i="16"/>
  <c r="E189" i="16" s="1"/>
  <c r="O223" i="16"/>
  <c r="E223" i="16" s="1"/>
  <c r="O258" i="16"/>
  <c r="E258" i="16" s="1"/>
  <c r="O284" i="16"/>
  <c r="E284" i="16" s="1"/>
  <c r="O317" i="16"/>
  <c r="E317" i="16" s="1"/>
  <c r="O344" i="16"/>
  <c r="E344" i="16" s="1"/>
  <c r="O368" i="16"/>
  <c r="E368" i="16" s="1"/>
  <c r="O380" i="16"/>
  <c r="E380" i="16" s="1"/>
  <c r="O333" i="16"/>
  <c r="O124" i="16"/>
  <c r="E124" i="16" s="1"/>
  <c r="O154" i="16"/>
  <c r="E154" i="16" s="1"/>
  <c r="O179" i="16"/>
  <c r="E179" i="16" s="1"/>
  <c r="O156" i="16"/>
  <c r="E156" i="16" s="1"/>
  <c r="O195" i="16"/>
  <c r="E195" i="16" s="1"/>
  <c r="O227" i="16"/>
  <c r="E227" i="16" s="1"/>
  <c r="O292" i="16"/>
  <c r="E292" i="16" s="1"/>
  <c r="O225" i="16"/>
  <c r="E225" i="16" s="1"/>
  <c r="O259" i="16"/>
  <c r="E259" i="16" s="1"/>
  <c r="O285" i="16"/>
  <c r="E285" i="16" s="1"/>
  <c r="O318" i="16"/>
  <c r="E318" i="16" s="1"/>
  <c r="O347" i="16"/>
  <c r="E347" i="16" s="1"/>
  <c r="O372" i="16"/>
  <c r="E372" i="16" s="1"/>
  <c r="O308" i="16"/>
  <c r="E308" i="16" s="1"/>
  <c r="O365" i="16"/>
  <c r="E365" i="16" s="1"/>
  <c r="O132" i="16"/>
  <c r="E132" i="16" s="1"/>
  <c r="O149" i="16"/>
  <c r="O171" i="16"/>
  <c r="E171" i="16" s="1"/>
  <c r="O140" i="16"/>
  <c r="E140" i="16" s="1"/>
  <c r="O186" i="16"/>
  <c r="E186" i="16" s="1"/>
  <c r="O219" i="16"/>
  <c r="E219" i="16" s="1"/>
  <c r="O250" i="16"/>
  <c r="E250" i="16" s="1"/>
  <c r="O289" i="16"/>
  <c r="E289" i="16" s="1"/>
  <c r="O197" i="16"/>
  <c r="E197" i="16" s="1"/>
  <c r="O230" i="16"/>
  <c r="E230" i="16" s="1"/>
  <c r="O260" i="16"/>
  <c r="E260" i="16" s="1"/>
  <c r="O286" i="16"/>
  <c r="E286" i="16" s="1"/>
  <c r="O319" i="16"/>
  <c r="E319" i="16" s="1"/>
  <c r="O348" i="16"/>
  <c r="E348" i="16" s="1"/>
  <c r="O377" i="16"/>
  <c r="E377" i="16" s="1"/>
  <c r="O350" i="16"/>
  <c r="E350" i="16" s="1"/>
  <c r="O374" i="16"/>
  <c r="E374" i="16" s="1"/>
  <c r="O122" i="16"/>
  <c r="E122" i="16" s="1"/>
  <c r="O152" i="16"/>
  <c r="E152" i="16" s="1"/>
  <c r="O176" i="16"/>
  <c r="E176" i="16" s="1"/>
  <c r="O146" i="16"/>
  <c r="E146" i="16" s="1"/>
  <c r="O193" i="16"/>
  <c r="E193" i="16" s="1"/>
  <c r="O224" i="16"/>
  <c r="E224" i="16" s="1"/>
  <c r="O251" i="16"/>
  <c r="E251" i="16" s="1"/>
  <c r="O265" i="16"/>
  <c r="E265" i="16" s="1"/>
  <c r="O299" i="16"/>
  <c r="E299" i="16" s="1"/>
  <c r="O199" i="16"/>
  <c r="E199" i="16" s="1"/>
  <c r="O210" i="16"/>
  <c r="O246" i="16"/>
  <c r="E246" i="16" s="1"/>
  <c r="O277" i="16"/>
  <c r="E277" i="16" s="1"/>
  <c r="O309" i="16"/>
  <c r="E309" i="16" s="1"/>
  <c r="O337" i="16"/>
  <c r="E337" i="16" s="1"/>
  <c r="O359" i="16"/>
  <c r="E359" i="16" s="1"/>
  <c r="O341" i="16"/>
  <c r="E341" i="16" s="1"/>
  <c r="O320" i="16"/>
  <c r="E320" i="16" s="1"/>
  <c r="O119" i="16"/>
  <c r="O137" i="16"/>
  <c r="E137" i="16" s="1"/>
  <c r="O162" i="16"/>
  <c r="E162" i="16" s="1"/>
  <c r="O116" i="16"/>
  <c r="E116" i="16" s="1"/>
  <c r="O169" i="16"/>
  <c r="E169" i="16" s="1"/>
  <c r="O205" i="16"/>
  <c r="E205" i="16" s="1"/>
  <c r="O236" i="16"/>
  <c r="E236" i="16" s="1"/>
  <c r="O271" i="16"/>
  <c r="E271" i="16" s="1"/>
  <c r="O307" i="16"/>
  <c r="E307" i="16" s="1"/>
  <c r="O211" i="16"/>
  <c r="E211" i="16" s="1"/>
  <c r="O247" i="16"/>
  <c r="E247" i="16" s="1"/>
  <c r="O278" i="16"/>
  <c r="E278" i="16" s="1"/>
  <c r="O310" i="16"/>
  <c r="E310" i="16" s="1"/>
  <c r="O338" i="16"/>
  <c r="E338" i="16" s="1"/>
  <c r="O360" i="16"/>
  <c r="E360" i="16" s="1"/>
  <c r="O362" i="16"/>
  <c r="E362" i="16" s="1"/>
  <c r="O379" i="16"/>
  <c r="O117" i="16"/>
  <c r="E117" i="16" s="1"/>
  <c r="O136" i="16"/>
  <c r="E136" i="16" s="1"/>
  <c r="O161" i="16"/>
  <c r="E161" i="16" s="1"/>
  <c r="O113" i="16"/>
  <c r="E113" i="16" s="1"/>
  <c r="O166" i="16"/>
  <c r="E166" i="16" s="1"/>
  <c r="O202" i="16"/>
  <c r="E202" i="16" s="1"/>
  <c r="O233" i="16"/>
  <c r="E233" i="16" s="1"/>
  <c r="O296" i="16"/>
  <c r="E296" i="16" s="1"/>
  <c r="O235" i="16"/>
  <c r="E235" i="16" s="1"/>
  <c r="O267" i="16"/>
  <c r="E267" i="16" s="1"/>
  <c r="O290" i="16"/>
  <c r="E290" i="16" s="1"/>
  <c r="O327" i="16"/>
  <c r="E327" i="16" s="1"/>
  <c r="O352" i="16"/>
  <c r="E352" i="16" s="1"/>
  <c r="O315" i="16"/>
  <c r="E315" i="16" s="1"/>
  <c r="O354" i="16"/>
  <c r="E354" i="16" s="1"/>
  <c r="O375" i="16"/>
  <c r="E375" i="16" s="1"/>
  <c r="O123" i="16"/>
  <c r="E123" i="16" s="1"/>
  <c r="O153" i="16"/>
  <c r="E153" i="16" s="1"/>
  <c r="O177" i="16"/>
  <c r="E177" i="16" s="1"/>
  <c r="O147" i="16"/>
  <c r="E147" i="16" s="1"/>
  <c r="O194" i="16"/>
  <c r="E194" i="16" s="1"/>
  <c r="O226" i="16"/>
  <c r="E226" i="16" s="1"/>
  <c r="O255" i="16"/>
  <c r="E255" i="16" s="1"/>
  <c r="O295" i="16"/>
  <c r="E295" i="16" s="1"/>
  <c r="O204" i="16"/>
  <c r="E204" i="16" s="1"/>
  <c r="O237" i="16"/>
  <c r="E237" i="16" s="1"/>
  <c r="O268" i="16"/>
  <c r="E268" i="16" s="1"/>
  <c r="O291" i="16"/>
  <c r="E291" i="16" s="1"/>
  <c r="O328" i="16"/>
  <c r="E328" i="16" s="1"/>
  <c r="O353" i="16"/>
  <c r="E353" i="16" s="1"/>
  <c r="O316" i="16"/>
  <c r="E316" i="16" s="1"/>
  <c r="O371" i="16"/>
  <c r="E371" i="16" s="1"/>
  <c r="O114" i="17"/>
  <c r="E114" i="17" s="1"/>
  <c r="O80" i="17"/>
  <c r="E80" i="17" s="1"/>
  <c r="O109" i="17"/>
  <c r="E109" i="17" s="1"/>
  <c r="O82" i="17"/>
  <c r="E82" i="17" s="1"/>
  <c r="O58" i="17"/>
  <c r="E58" i="17" s="1"/>
  <c r="O45" i="17"/>
  <c r="E45" i="17" s="1"/>
  <c r="O25" i="17"/>
  <c r="E25" i="17" s="1"/>
  <c r="O122" i="17"/>
  <c r="E122" i="17" s="1"/>
  <c r="O77" i="17"/>
  <c r="E77" i="17" s="1"/>
  <c r="O96" i="17"/>
  <c r="E96" i="17" s="1"/>
  <c r="O73" i="17"/>
  <c r="E73" i="17" s="1"/>
  <c r="O68" i="17"/>
  <c r="E68" i="17" s="1"/>
  <c r="O40" i="17"/>
  <c r="E40" i="17" s="1"/>
  <c r="O83" i="17"/>
  <c r="E83" i="17" s="1"/>
  <c r="O123" i="17"/>
  <c r="E123" i="17" s="1"/>
  <c r="O112" i="17"/>
  <c r="E112" i="17" s="1"/>
  <c r="O99" i="17"/>
  <c r="E99" i="17" s="1"/>
  <c r="O89" i="17"/>
  <c r="E89" i="17" s="1"/>
  <c r="O69" i="17"/>
  <c r="E69" i="17" s="1"/>
  <c r="O59" i="17"/>
  <c r="E59" i="17" s="1"/>
  <c r="O41" i="17"/>
  <c r="E41" i="17" s="1"/>
  <c r="O44" i="17"/>
  <c r="E44" i="17" s="1"/>
  <c r="O15" i="17"/>
  <c r="O120" i="17"/>
  <c r="E120" i="17" s="1"/>
  <c r="O81" i="17"/>
  <c r="E81" i="17" s="1"/>
  <c r="O101" i="17"/>
  <c r="E101" i="17" s="1"/>
  <c r="O75" i="17"/>
  <c r="E75" i="17" s="1"/>
  <c r="O70" i="17"/>
  <c r="E70" i="17" s="1"/>
  <c r="O43" i="17"/>
  <c r="E43" i="17" s="1"/>
  <c r="O24" i="17"/>
  <c r="E24" i="17" s="1"/>
  <c r="O36" i="17"/>
  <c r="E36" i="17" s="1"/>
  <c r="O28" i="17"/>
  <c r="E28" i="17" s="1"/>
  <c r="O106" i="17"/>
  <c r="E106" i="17" s="1"/>
  <c r="O71" i="17"/>
  <c r="E71" i="17" s="1"/>
  <c r="O102" i="17"/>
  <c r="E102" i="17" s="1"/>
  <c r="O76" i="17"/>
  <c r="E76" i="17" s="1"/>
  <c r="O47" i="17"/>
  <c r="E47" i="17" s="1"/>
  <c r="O39" i="17"/>
  <c r="E39" i="17" s="1"/>
  <c r="O31" i="17"/>
  <c r="E31" i="17" s="1"/>
  <c r="O115" i="17"/>
  <c r="E115" i="17" s="1"/>
  <c r="O121" i="17"/>
  <c r="E121" i="17" s="1"/>
  <c r="O94" i="17"/>
  <c r="E94" i="17" s="1"/>
  <c r="O63" i="17"/>
  <c r="E63" i="17" s="1"/>
  <c r="O57" i="17"/>
  <c r="E57" i="17" s="1"/>
  <c r="O110" i="17"/>
  <c r="E110" i="17" s="1"/>
  <c r="O46" i="17"/>
  <c r="E46" i="17" s="1"/>
  <c r="O33" i="17"/>
  <c r="E33" i="17" s="1"/>
  <c r="AC10" i="17"/>
  <c r="O91" i="17"/>
  <c r="E91" i="17" s="1"/>
  <c r="O105" i="17"/>
  <c r="E105" i="17" s="1"/>
  <c r="O84" i="17"/>
  <c r="E84" i="17" s="1"/>
  <c r="O48" i="17"/>
  <c r="E48" i="17" s="1"/>
  <c r="O52" i="17"/>
  <c r="E52" i="17" s="1"/>
  <c r="O34" i="17"/>
  <c r="E34" i="17" s="1"/>
  <c r="O20" i="17"/>
  <c r="E20" i="17" s="1"/>
  <c r="O32" i="17"/>
  <c r="E32" i="17" s="1"/>
  <c r="O131" i="16"/>
  <c r="E131" i="16" s="1"/>
  <c r="O148" i="16"/>
  <c r="E148" i="16" s="1"/>
  <c r="O170" i="16"/>
  <c r="E170" i="16" s="1"/>
  <c r="O139" i="16"/>
  <c r="E139" i="16" s="1"/>
  <c r="O182" i="16"/>
  <c r="E182" i="16" s="1"/>
  <c r="O218" i="16"/>
  <c r="E218" i="16" s="1"/>
  <c r="O248" i="16"/>
  <c r="E248" i="16" s="1"/>
  <c r="O262" i="16"/>
  <c r="E262" i="16" s="1"/>
  <c r="O294" i="16"/>
  <c r="E294" i="16" s="1"/>
  <c r="O191" i="16"/>
  <c r="E191" i="16" s="1"/>
  <c r="O208" i="16"/>
  <c r="E208" i="16" s="1"/>
  <c r="O239" i="16"/>
  <c r="E239" i="16" s="1"/>
  <c r="O269" i="16"/>
  <c r="E269" i="16" s="1"/>
  <c r="O298" i="16"/>
  <c r="E298" i="16" s="1"/>
  <c r="O330" i="16"/>
  <c r="E330" i="16" s="1"/>
  <c r="O355" i="16"/>
  <c r="E355" i="16" s="1"/>
  <c r="O323" i="16"/>
  <c r="E323" i="16" s="1"/>
  <c r="O366" i="16"/>
  <c r="E366" i="16" s="1"/>
  <c r="O111" i="16"/>
  <c r="O125" i="16"/>
  <c r="E125" i="16" s="1"/>
  <c r="O155" i="16"/>
  <c r="E155" i="16" s="1"/>
  <c r="O181" i="16"/>
  <c r="E181" i="16" s="1"/>
  <c r="O159" i="16"/>
  <c r="E159" i="16" s="1"/>
  <c r="O196" i="16"/>
  <c r="E196" i="16" s="1"/>
  <c r="O228" i="16"/>
  <c r="E228" i="16" s="1"/>
  <c r="O261" i="16"/>
  <c r="E261" i="16" s="1"/>
  <c r="O297" i="16"/>
  <c r="E297" i="16" s="1"/>
  <c r="O207" i="16"/>
  <c r="E207" i="16" s="1"/>
  <c r="O243" i="16"/>
  <c r="E243" i="16" s="1"/>
  <c r="O270" i="16"/>
  <c r="E270" i="16" s="1"/>
  <c r="O300" i="16"/>
  <c r="E300" i="16" s="1"/>
  <c r="O334" i="16"/>
  <c r="E334" i="16" s="1"/>
  <c r="O356" i="16"/>
  <c r="E356" i="16" s="1"/>
  <c r="O324" i="16"/>
  <c r="E324" i="16" s="1"/>
  <c r="O363" i="16"/>
  <c r="O129" i="16"/>
  <c r="E129" i="16" s="1"/>
  <c r="O142" i="16"/>
  <c r="E142" i="16" s="1"/>
  <c r="O167" i="16"/>
  <c r="E167" i="16" s="1"/>
  <c r="O127" i="16"/>
  <c r="E127" i="16" s="1"/>
  <c r="O178" i="16"/>
  <c r="E178" i="16" s="1"/>
  <c r="O216" i="16"/>
  <c r="E216" i="16" s="1"/>
  <c r="O241" i="16"/>
  <c r="O302" i="16"/>
  <c r="O244" i="16"/>
  <c r="E244" i="16" s="1"/>
  <c r="O273" i="16"/>
  <c r="E273" i="16" s="1"/>
  <c r="O304" i="16"/>
  <c r="E304" i="16" s="1"/>
  <c r="O335" i="16"/>
  <c r="E335" i="16" s="1"/>
  <c r="O357" i="16"/>
  <c r="E357" i="16" s="1"/>
  <c r="O326" i="16"/>
  <c r="E326" i="16" s="1"/>
  <c r="O376" i="16"/>
  <c r="E376" i="16" s="1"/>
  <c r="O114" i="16"/>
  <c r="E114" i="16" s="1"/>
  <c r="O135" i="16"/>
  <c r="E135" i="16" s="1"/>
  <c r="O158" i="16"/>
  <c r="E158" i="16" s="1"/>
  <c r="O184" i="16"/>
  <c r="E184" i="16" s="1"/>
  <c r="O163" i="16"/>
  <c r="E163" i="16" s="1"/>
  <c r="O201" i="16"/>
  <c r="E201" i="16" s="1"/>
  <c r="O231" i="16"/>
  <c r="E231" i="16" s="1"/>
  <c r="O263" i="16"/>
  <c r="E263" i="16" s="1"/>
  <c r="O301" i="16"/>
  <c r="E301" i="16" s="1"/>
  <c r="O209" i="16"/>
  <c r="E209" i="16" s="1"/>
  <c r="O245" i="16"/>
  <c r="E245" i="16" s="1"/>
  <c r="O275" i="16"/>
  <c r="E275" i="16" s="1"/>
  <c r="O306" i="16"/>
  <c r="E306" i="16" s="1"/>
  <c r="O336" i="16"/>
  <c r="E336" i="16" s="1"/>
  <c r="O358" i="16"/>
  <c r="E358" i="16" s="1"/>
  <c r="O332" i="16"/>
  <c r="E332" i="16" s="1"/>
  <c r="O329" i="16"/>
  <c r="E329" i="16" s="1"/>
  <c r="O126" i="16"/>
  <c r="E126" i="16" s="1"/>
  <c r="O138" i="16"/>
  <c r="E138" i="16" s="1"/>
  <c r="O164" i="16"/>
  <c r="E164" i="16" s="1"/>
  <c r="O118" i="16"/>
  <c r="E118" i="16" s="1"/>
  <c r="O172" i="16"/>
  <c r="E172" i="16" s="1"/>
  <c r="O212" i="16"/>
  <c r="E212" i="16" s="1"/>
  <c r="O238" i="16"/>
  <c r="E238" i="16" s="1"/>
  <c r="O256" i="16"/>
  <c r="E256" i="16" s="1"/>
  <c r="O281" i="16"/>
  <c r="E281" i="16" s="1"/>
  <c r="O188" i="16"/>
  <c r="E188" i="16" s="1"/>
  <c r="O206" i="16"/>
  <c r="E206" i="16" s="1"/>
  <c r="O232" i="16"/>
  <c r="E232" i="16" s="1"/>
  <c r="O264" i="16"/>
  <c r="E264" i="16" s="1"/>
  <c r="O287" i="16"/>
  <c r="E287" i="16" s="1"/>
  <c r="O321" i="16"/>
  <c r="E321" i="16" s="1"/>
  <c r="O349" i="16"/>
  <c r="E349" i="16" s="1"/>
  <c r="O378" i="16"/>
  <c r="E378" i="16" s="1"/>
  <c r="O340" i="16"/>
  <c r="E340" i="16" s="1"/>
  <c r="O373" i="16"/>
  <c r="E373" i="16" s="1"/>
  <c r="O120" i="16"/>
  <c r="E120" i="16" s="1"/>
  <c r="O151" i="16"/>
  <c r="E151" i="16" s="1"/>
  <c r="O174" i="16"/>
  <c r="E174" i="16" s="1"/>
  <c r="O144" i="16"/>
  <c r="E144" i="16" s="1"/>
  <c r="O192" i="16"/>
  <c r="E192" i="16" s="1"/>
  <c r="O221" i="16"/>
  <c r="E221" i="16" s="1"/>
  <c r="O252" i="16"/>
  <c r="E252" i="16" s="1"/>
  <c r="O293" i="16"/>
  <c r="E293" i="16" s="1"/>
  <c r="O200" i="16"/>
  <c r="E200" i="16" s="1"/>
  <c r="O234" i="16"/>
  <c r="E234" i="16" s="1"/>
  <c r="O266" i="16"/>
  <c r="E266" i="16" s="1"/>
  <c r="O288" i="16"/>
  <c r="E288" i="16" s="1"/>
  <c r="O322" i="16"/>
  <c r="E322" i="16" s="1"/>
  <c r="O351" i="16"/>
  <c r="E351" i="16" s="1"/>
  <c r="O313" i="16"/>
  <c r="E313" i="16" s="1"/>
  <c r="O325" i="16"/>
  <c r="E325" i="16" s="1"/>
  <c r="O369" i="16"/>
  <c r="E369" i="16" s="1"/>
  <c r="O115" i="16"/>
  <c r="E115" i="16" s="1"/>
  <c r="O150" i="16"/>
  <c r="E150" i="16" s="1"/>
  <c r="O173" i="16"/>
  <c r="E173" i="16" s="1"/>
  <c r="O143" i="16"/>
  <c r="E143" i="16" s="1"/>
  <c r="O190" i="16"/>
  <c r="E190" i="16" s="1"/>
  <c r="O220" i="16"/>
  <c r="E220" i="16" s="1"/>
  <c r="O276" i="16"/>
  <c r="E276" i="16" s="1"/>
  <c r="O213" i="16"/>
  <c r="E213" i="16" s="1"/>
  <c r="O249" i="16"/>
  <c r="E249" i="16" s="1"/>
  <c r="O280" i="16"/>
  <c r="E280" i="16" s="1"/>
  <c r="O311" i="16"/>
  <c r="E311" i="16" s="1"/>
  <c r="O339" i="16"/>
  <c r="E339" i="16" s="1"/>
  <c r="O361" i="16"/>
  <c r="E361" i="16" s="1"/>
  <c r="O370" i="16"/>
  <c r="E370" i="16" s="1"/>
  <c r="O331" i="16"/>
  <c r="E331" i="16" s="1"/>
  <c r="O128" i="16"/>
  <c r="E128" i="16" s="1"/>
  <c r="O141" i="16"/>
  <c r="E141" i="16" s="1"/>
  <c r="O165" i="16"/>
  <c r="E165" i="16" s="1"/>
  <c r="O121" i="16"/>
  <c r="E121" i="16" s="1"/>
  <c r="O175" i="16"/>
  <c r="E175" i="16" s="1"/>
  <c r="O215" i="16"/>
  <c r="E215" i="16" s="1"/>
  <c r="O240" i="16"/>
  <c r="E240" i="16" s="1"/>
  <c r="O274" i="16"/>
  <c r="E274" i="16" s="1"/>
  <c r="O187" i="16"/>
  <c r="E187" i="16" s="1"/>
  <c r="O214" i="16"/>
  <c r="E214" i="16" s="1"/>
  <c r="O254" i="16"/>
  <c r="E254" i="16" s="1"/>
  <c r="O282" i="16"/>
  <c r="E282" i="16" s="1"/>
  <c r="O312" i="16"/>
  <c r="E312" i="16" s="1"/>
  <c r="O342" i="16"/>
  <c r="E342" i="16" s="1"/>
  <c r="O364" i="16"/>
  <c r="E364" i="16" s="1"/>
  <c r="O305" i="16"/>
  <c r="E305" i="16" s="1"/>
  <c r="O346" i="16"/>
  <c r="E346" i="16" s="1"/>
  <c r="AR13" i="7"/>
  <c r="AJ380" i="23"/>
  <c r="AJ23" i="23"/>
  <c r="AJ29" i="23"/>
  <c r="F7" i="23"/>
  <c r="AJ28" i="23"/>
  <c r="AJ36" i="23"/>
  <c r="AJ40" i="23"/>
  <c r="AJ49" i="23"/>
  <c r="AJ56" i="23"/>
  <c r="AJ37" i="23"/>
  <c r="AJ44" i="23"/>
  <c r="AJ52" i="23"/>
  <c r="AJ62" i="23"/>
  <c r="AJ66" i="23"/>
  <c r="AJ71" i="23"/>
  <c r="AJ76" i="23"/>
  <c r="AJ88" i="23"/>
  <c r="AJ100" i="23"/>
  <c r="AJ106" i="23"/>
  <c r="AJ113" i="23"/>
  <c r="AJ120" i="23"/>
  <c r="AJ126" i="23"/>
  <c r="AJ79" i="23"/>
  <c r="AJ84" i="23"/>
  <c r="AJ90" i="23"/>
  <c r="AJ96" i="23"/>
  <c r="AJ105" i="23"/>
  <c r="AJ117" i="23"/>
  <c r="AJ139" i="23"/>
  <c r="AJ149" i="23"/>
  <c r="AJ156" i="23"/>
  <c r="AJ162" i="23"/>
  <c r="AJ170" i="23"/>
  <c r="AJ177" i="23"/>
  <c r="AJ121" i="23"/>
  <c r="AJ131" i="23"/>
  <c r="AJ135" i="23"/>
  <c r="AJ142" i="23"/>
  <c r="AJ147" i="23"/>
  <c r="AJ159" i="23"/>
  <c r="AJ165" i="23"/>
  <c r="AJ176" i="23"/>
  <c r="AJ187" i="23"/>
  <c r="AJ194" i="23"/>
  <c r="AJ202" i="23"/>
  <c r="AJ214" i="23"/>
  <c r="AJ223" i="23"/>
  <c r="AJ234" i="23"/>
  <c r="AJ240" i="23"/>
  <c r="AJ254" i="23"/>
  <c r="AJ262" i="23"/>
  <c r="AJ274" i="23"/>
  <c r="AJ278" i="23"/>
  <c r="AJ285" i="23"/>
  <c r="AJ289" i="23"/>
  <c r="AJ299" i="23"/>
  <c r="AJ183" i="23"/>
  <c r="AJ191" i="23"/>
  <c r="AJ199" i="23"/>
  <c r="AJ207" i="23"/>
  <c r="AJ212" i="23"/>
  <c r="AJ219" i="23"/>
  <c r="AJ226" i="23"/>
  <c r="AJ232" i="23"/>
  <c r="AJ243" i="23"/>
  <c r="AJ247" i="23"/>
  <c r="AJ251" i="23"/>
  <c r="AJ258" i="23"/>
  <c r="AJ265" i="23"/>
  <c r="AJ271" i="23"/>
  <c r="AJ284" i="23"/>
  <c r="AJ294" i="23"/>
  <c r="AJ304" i="23"/>
  <c r="AJ317" i="23"/>
  <c r="AJ323" i="23"/>
  <c r="AJ333" i="23"/>
  <c r="AJ341" i="23"/>
  <c r="AJ354" i="23"/>
  <c r="AJ373" i="23"/>
  <c r="AJ309" i="23"/>
  <c r="AJ319" i="23"/>
  <c r="AJ331" i="23"/>
  <c r="AJ342" i="23"/>
  <c r="AJ348" i="23"/>
  <c r="AJ360" i="23"/>
  <c r="AJ367" i="23"/>
  <c r="AJ378" i="23"/>
  <c r="AJ350" i="23"/>
  <c r="AJ370" i="23"/>
  <c r="AJ312" i="23"/>
  <c r="AJ346" i="23"/>
  <c r="AJ372" i="23"/>
  <c r="AJ22" i="23"/>
  <c r="AJ27" i="23"/>
  <c r="AJ15" i="23"/>
  <c r="AJ24" i="23"/>
  <c r="AJ34" i="23"/>
  <c r="AJ38" i="23"/>
  <c r="AJ48" i="23"/>
  <c r="AJ54" i="23"/>
  <c r="AJ61" i="23"/>
  <c r="AJ43" i="23"/>
  <c r="AJ50" i="23"/>
  <c r="AJ59" i="23"/>
  <c r="AJ65" i="23"/>
  <c r="AJ70" i="23"/>
  <c r="AJ75" i="23"/>
  <c r="AJ85" i="23"/>
  <c r="AJ97" i="23"/>
  <c r="AJ104" i="23"/>
  <c r="AJ112" i="23"/>
  <c r="AJ118" i="23"/>
  <c r="AJ125" i="23"/>
  <c r="AJ77" i="23"/>
  <c r="AJ82" i="23"/>
  <c r="AJ89" i="23"/>
  <c r="AJ93" i="23"/>
  <c r="AJ103" i="23"/>
  <c r="AJ114" i="23"/>
  <c r="AJ136" i="23"/>
  <c r="AJ148" i="23"/>
  <c r="AJ155" i="23"/>
  <c r="AJ160" i="23"/>
  <c r="AJ169" i="23"/>
  <c r="AJ175" i="23"/>
  <c r="AJ119" i="23"/>
  <c r="AJ129" i="23"/>
  <c r="AJ134" i="23"/>
  <c r="AJ140" i="23"/>
  <c r="AJ146" i="23"/>
  <c r="AJ153" i="23"/>
  <c r="AJ164" i="23"/>
  <c r="AJ174" i="23"/>
  <c r="AJ185" i="23"/>
  <c r="AJ193" i="23"/>
  <c r="AJ201" i="23"/>
  <c r="AJ211" i="23"/>
  <c r="AJ220" i="23"/>
  <c r="AJ228" i="23"/>
  <c r="AJ239" i="23"/>
  <c r="AJ253" i="23"/>
  <c r="AJ261" i="23"/>
  <c r="AJ273" i="23"/>
  <c r="AJ277" i="23"/>
  <c r="AJ282" i="23"/>
  <c r="AJ288" i="23"/>
  <c r="AJ298" i="23"/>
  <c r="AJ182" i="23"/>
  <c r="AJ188" i="23"/>
  <c r="AJ197" i="23"/>
  <c r="AJ206" i="23"/>
  <c r="AJ210" i="23"/>
  <c r="AJ216" i="23"/>
  <c r="AJ225" i="23"/>
  <c r="AJ231" i="23"/>
  <c r="AJ237" i="23"/>
  <c r="AJ246" i="23"/>
  <c r="AJ250" i="23"/>
  <c r="AJ257" i="23"/>
  <c r="AJ264" i="23"/>
  <c r="AJ268" i="23"/>
  <c r="AJ283" i="23"/>
  <c r="AJ292" i="23"/>
  <c r="AJ303" i="23"/>
  <c r="AJ315" i="23"/>
  <c r="AJ322" i="23"/>
  <c r="AJ330" i="23"/>
  <c r="AJ338" i="23"/>
  <c r="AJ352" i="23"/>
  <c r="AJ365" i="23"/>
  <c r="AJ307" i="23"/>
  <c r="AJ316" i="23"/>
  <c r="AJ329" i="23"/>
  <c r="AJ339" i="23"/>
  <c r="AJ347" i="23"/>
  <c r="AJ359" i="23"/>
  <c r="AJ366" i="23"/>
  <c r="AJ377" i="23"/>
  <c r="AJ326" i="23"/>
  <c r="AJ368" i="23"/>
  <c r="AJ310" i="23"/>
  <c r="AJ340" i="23"/>
  <c r="AJ369" i="23"/>
  <c r="AJ26" i="23"/>
  <c r="AJ21" i="23"/>
  <c r="AJ35" i="23"/>
  <c r="AJ53" i="23"/>
  <c r="AJ42" i="23"/>
  <c r="AJ57" i="23"/>
  <c r="AJ69" i="23"/>
  <c r="AJ83" i="23"/>
  <c r="AJ102" i="23"/>
  <c r="AJ116" i="23"/>
  <c r="AJ74" i="23"/>
  <c r="AJ87" i="23"/>
  <c r="AJ99" i="23"/>
  <c r="AJ130" i="23"/>
  <c r="AJ154" i="23"/>
  <c r="AJ167" i="23"/>
  <c r="AJ110" i="23"/>
  <c r="AJ133" i="23"/>
  <c r="AJ145" i="23"/>
  <c r="AJ163" i="23"/>
  <c r="AJ180" i="23"/>
  <c r="AJ198" i="23"/>
  <c r="AJ218" i="23"/>
  <c r="AJ238" i="23"/>
  <c r="AJ259" i="23"/>
  <c r="AJ276" i="23"/>
  <c r="AJ287" i="23"/>
  <c r="AJ181" i="23"/>
  <c r="AJ196" i="23"/>
  <c r="AJ209" i="23"/>
  <c r="AJ222" i="23"/>
  <c r="AJ236" i="23"/>
  <c r="AJ249" i="23"/>
  <c r="AJ263" i="23"/>
  <c r="AJ280" i="23"/>
  <c r="AJ296" i="23"/>
  <c r="AJ321" i="23"/>
  <c r="AJ337" i="23"/>
  <c r="AJ361" i="23"/>
  <c r="AJ313" i="23"/>
  <c r="AJ334" i="23"/>
  <c r="AJ357" i="23"/>
  <c r="AJ374" i="23"/>
  <c r="AJ363" i="23"/>
  <c r="AJ336" i="23"/>
  <c r="AJ16" i="23"/>
  <c r="AJ25" i="23"/>
  <c r="AJ17" i="23"/>
  <c r="AJ33" i="23"/>
  <c r="AJ51" i="23"/>
  <c r="AJ39" i="23"/>
  <c r="AJ55" i="23"/>
  <c r="AJ68" i="23"/>
  <c r="AJ78" i="23"/>
  <c r="AJ101" i="23"/>
  <c r="AJ115" i="23"/>
  <c r="AJ67" i="23"/>
  <c r="AJ86" i="23"/>
  <c r="AJ98" i="23"/>
  <c r="AJ123" i="23"/>
  <c r="AJ150" i="23"/>
  <c r="AJ166" i="23"/>
  <c r="AJ178" i="23"/>
  <c r="AJ132" i="23"/>
  <c r="AJ143" i="23"/>
  <c r="AJ161" i="23"/>
  <c r="AJ179" i="23"/>
  <c r="AJ195" i="23"/>
  <c r="AJ217" i="23"/>
  <c r="AJ235" i="23"/>
  <c r="AJ255" i="23"/>
  <c r="AJ275" i="23"/>
  <c r="AJ286" i="23"/>
  <c r="AJ302" i="23"/>
  <c r="AJ192" i="23"/>
  <c r="AJ208" i="23"/>
  <c r="AJ221" i="23"/>
  <c r="AJ233" i="23"/>
  <c r="AJ248" i="23"/>
  <c r="AJ260" i="23"/>
  <c r="AJ272" i="23"/>
  <c r="AJ295" i="23"/>
  <c r="AJ318" i="23"/>
  <c r="AJ335" i="23"/>
  <c r="AJ358" i="23"/>
  <c r="AJ311" i="23"/>
  <c r="AJ332" i="23"/>
  <c r="AJ355" i="23"/>
  <c r="AJ371" i="23"/>
  <c r="AJ353" i="23"/>
  <c r="AJ320" i="23"/>
  <c r="AJ376" i="23"/>
  <c r="AJ19" i="23"/>
  <c r="AJ31" i="23"/>
  <c r="AJ20" i="23"/>
  <c r="AJ46" i="23"/>
  <c r="AJ60" i="23"/>
  <c r="AJ47" i="23"/>
  <c r="AJ64" i="23"/>
  <c r="AJ73" i="23"/>
  <c r="AJ95" i="23"/>
  <c r="AJ109" i="23"/>
  <c r="AJ124" i="23"/>
  <c r="AJ81" i="23"/>
  <c r="AJ92" i="23"/>
  <c r="AJ111" i="23"/>
  <c r="AJ144" i="23"/>
  <c r="AJ158" i="23"/>
  <c r="AJ173" i="23"/>
  <c r="AJ128" i="23"/>
  <c r="AJ138" i="23"/>
  <c r="AJ152" i="23"/>
  <c r="AJ172" i="23"/>
  <c r="AJ190" i="23"/>
  <c r="AJ205" i="23"/>
  <c r="AJ227" i="23"/>
  <c r="AJ242" i="23"/>
  <c r="AJ270" i="23"/>
  <c r="AJ281" i="23"/>
  <c r="AJ297" i="23"/>
  <c r="AJ186" i="23"/>
  <c r="AJ204" i="23"/>
  <c r="AJ215" i="23"/>
  <c r="AJ230" i="23"/>
  <c r="AJ245" i="23"/>
  <c r="AJ256" i="23"/>
  <c r="AJ267" i="23"/>
  <c r="AJ291" i="23"/>
  <c r="AJ308" i="23"/>
  <c r="AJ328" i="23"/>
  <c r="AJ349" i="23"/>
  <c r="AJ306" i="23"/>
  <c r="AJ327" i="23"/>
  <c r="AJ345" i="23"/>
  <c r="AJ364" i="23"/>
  <c r="AJ314" i="23"/>
  <c r="AJ379" i="23"/>
  <c r="AJ356" i="23"/>
  <c r="AJ18" i="23"/>
  <c r="AJ30" i="23"/>
  <c r="AJ32" i="23"/>
  <c r="AJ41" i="23"/>
  <c r="AJ58" i="23"/>
  <c r="AJ45" i="23"/>
  <c r="AJ63" i="23"/>
  <c r="AJ72" i="23"/>
  <c r="AJ94" i="23"/>
  <c r="AJ108" i="23"/>
  <c r="AJ122" i="23"/>
  <c r="AJ80" i="23"/>
  <c r="AJ91" i="23"/>
  <c r="AJ107" i="23"/>
  <c r="AJ141" i="23"/>
  <c r="AJ157" i="23"/>
  <c r="AJ171" i="23"/>
  <c r="AJ127" i="23"/>
  <c r="AJ137" i="23"/>
  <c r="AJ151" i="23"/>
  <c r="AJ168" i="23"/>
  <c r="AJ189" i="23"/>
  <c r="AJ203" i="23"/>
  <c r="AJ224" i="23"/>
  <c r="AJ241" i="23"/>
  <c r="AJ269" i="23"/>
  <c r="AJ279" i="23"/>
  <c r="AJ293" i="23"/>
  <c r="AJ184" i="23"/>
  <c r="AJ200" i="23"/>
  <c r="AJ213" i="23"/>
  <c r="AJ229" i="23"/>
  <c r="AJ244" i="23"/>
  <c r="AJ252" i="23"/>
  <c r="AJ266" i="23"/>
  <c r="AJ290" i="23"/>
  <c r="AJ305" i="23"/>
  <c r="AJ325" i="23"/>
  <c r="AJ344" i="23"/>
  <c r="AJ301" i="23"/>
  <c r="AJ324" i="23"/>
  <c r="AJ343" i="23"/>
  <c r="AJ362" i="23"/>
  <c r="AJ300" i="23"/>
  <c r="AJ375" i="23"/>
  <c r="AJ351" i="23"/>
  <c r="AC383" i="15"/>
  <c r="AC382" i="15"/>
  <c r="AC381" i="15"/>
  <c r="C34" i="7"/>
  <c r="E88" i="15"/>
  <c r="E210" i="15"/>
  <c r="C38" i="7"/>
  <c r="E363" i="15"/>
  <c r="C43" i="7"/>
  <c r="E272" i="15"/>
  <c r="C40" i="7"/>
  <c r="C37" i="7"/>
  <c r="E180" i="15"/>
  <c r="E149" i="15"/>
  <c r="C36" i="7"/>
  <c r="C44" i="7"/>
  <c r="O9" i="24"/>
  <c r="AC9" i="22"/>
  <c r="AC12" i="22"/>
  <c r="O12" i="22"/>
  <c r="O11" i="22"/>
  <c r="AD333" i="15"/>
  <c r="AD369" i="15"/>
  <c r="AD319" i="15"/>
  <c r="AD186" i="15"/>
  <c r="AA264" i="1"/>
  <c r="Z264" i="1" s="1"/>
  <c r="Y264" i="1" s="1"/>
  <c r="AA333" i="1"/>
  <c r="Z333" i="1" s="1"/>
  <c r="Y333" i="1" s="1"/>
  <c r="G333" i="1"/>
  <c r="BW333" i="6" s="1"/>
  <c r="G308" i="1"/>
  <c r="BW308" i="6" s="1"/>
  <c r="AA129" i="1"/>
  <c r="Z129" i="1" s="1"/>
  <c r="Y129" i="1" s="1"/>
  <c r="AA128" i="1"/>
  <c r="Z128" i="1" s="1"/>
  <c r="Y128" i="1" s="1"/>
  <c r="AA130" i="1"/>
  <c r="Z130" i="1" s="1"/>
  <c r="Y130" i="1" s="1"/>
  <c r="I307" i="1"/>
  <c r="AA307" i="1"/>
  <c r="Z307" i="1" s="1"/>
  <c r="Y307" i="1" s="1"/>
  <c r="AA153" i="1"/>
  <c r="Z153" i="1" s="1"/>
  <c r="Y153" i="1" s="1"/>
  <c r="K61" i="19"/>
  <c r="G61" i="19"/>
  <c r="AA308" i="1"/>
  <c r="Z308" i="1" s="1"/>
  <c r="Y308" i="1" s="1"/>
  <c r="AA117" i="1"/>
  <c r="Z117" i="1" s="1"/>
  <c r="Y117" i="1" s="1"/>
  <c r="AD49" i="15"/>
  <c r="I305" i="1"/>
  <c r="G305" i="1"/>
  <c r="BW305" i="6" s="1"/>
  <c r="AA305" i="1"/>
  <c r="Z305" i="1" s="1"/>
  <c r="Y305" i="1" s="1"/>
  <c r="F320" i="1"/>
  <c r="L61" i="19"/>
  <c r="AF17" i="1"/>
  <c r="AG383" i="1"/>
  <c r="AG382" i="1"/>
  <c r="AG381" i="1"/>
  <c r="AK5" i="18"/>
  <c r="AK9" i="18"/>
  <c r="AK7" i="18"/>
  <c r="AK11" i="18" s="1"/>
  <c r="AM5" i="18"/>
  <c r="AM7" i="18"/>
  <c r="AM11" i="18" s="1"/>
  <c r="AM9" i="18"/>
  <c r="AE11" i="18"/>
  <c r="P10" i="18"/>
  <c r="L15" i="19"/>
  <c r="AI11" i="18"/>
  <c r="I301" i="1"/>
  <c r="G301" i="1"/>
  <c r="BW301" i="6" s="1"/>
  <c r="P12" i="20"/>
  <c r="AK16" i="20"/>
  <c r="AK380" i="20"/>
  <c r="AK19" i="20"/>
  <c r="AK21" i="20"/>
  <c r="AK26" i="20"/>
  <c r="AK28" i="20"/>
  <c r="AK23" i="20"/>
  <c r="AK29" i="20"/>
  <c r="AK31" i="20"/>
  <c r="AK33" i="20"/>
  <c r="AK35" i="20"/>
  <c r="AK40" i="20"/>
  <c r="AK44" i="20"/>
  <c r="AK46" i="20"/>
  <c r="AK49" i="20"/>
  <c r="AK51" i="20"/>
  <c r="AK54" i="20"/>
  <c r="AK56" i="20"/>
  <c r="AK62" i="20"/>
  <c r="AK64" i="20"/>
  <c r="AK67" i="20"/>
  <c r="AK38" i="20"/>
  <c r="AK42" i="20"/>
  <c r="AK47" i="20"/>
  <c r="AK57" i="20"/>
  <c r="AK59" i="20"/>
  <c r="AK66" i="20"/>
  <c r="AK72" i="20"/>
  <c r="AK78" i="20"/>
  <c r="AK80" i="20"/>
  <c r="AK84" i="20"/>
  <c r="AK88" i="20"/>
  <c r="AK94" i="20"/>
  <c r="AK97" i="20"/>
  <c r="AK103" i="20"/>
  <c r="AK106" i="20"/>
  <c r="AK109" i="20"/>
  <c r="AK117" i="20"/>
  <c r="AK125" i="20"/>
  <c r="AK127" i="20"/>
  <c r="AK70" i="20"/>
  <c r="AK73" i="20"/>
  <c r="AK76" i="20"/>
  <c r="AK82" i="20"/>
  <c r="AK85" i="20"/>
  <c r="AK89" i="20"/>
  <c r="AK92" i="20"/>
  <c r="AK96" i="20"/>
  <c r="AK100" i="20"/>
  <c r="AK102" i="20"/>
  <c r="AK107" i="20"/>
  <c r="AK119" i="20"/>
  <c r="AK128" i="20"/>
  <c r="AK135" i="20"/>
  <c r="AK137" i="20"/>
  <c r="AK143" i="20"/>
  <c r="AK150" i="20"/>
  <c r="AK154" i="20"/>
  <c r="AK158" i="20"/>
  <c r="AK166" i="20"/>
  <c r="AK171" i="20"/>
  <c r="AK173" i="20"/>
  <c r="AK178" i="20"/>
  <c r="AK180" i="20"/>
  <c r="AK110" i="20"/>
  <c r="AK113" i="20"/>
  <c r="AK116" i="20"/>
  <c r="AK121" i="20"/>
  <c r="AK124" i="20"/>
  <c r="AK130" i="20"/>
  <c r="AK132" i="20"/>
  <c r="AK138" i="20"/>
  <c r="AK140" i="20"/>
  <c r="AK144" i="20"/>
  <c r="AK146" i="20"/>
  <c r="AK149" i="20"/>
  <c r="AK153" i="20"/>
  <c r="AK157" i="20"/>
  <c r="AK160" i="20"/>
  <c r="AK162" i="20"/>
  <c r="AK164" i="20"/>
  <c r="AK169" i="20"/>
  <c r="AK174" i="20"/>
  <c r="AK177" i="20"/>
  <c r="AK184" i="20"/>
  <c r="AK188" i="20"/>
  <c r="AK197" i="20"/>
  <c r="AK200" i="20"/>
  <c r="AK202" i="20"/>
  <c r="AK205" i="20"/>
  <c r="AK209" i="20"/>
  <c r="AK213" i="20"/>
  <c r="AK215" i="20"/>
  <c r="AK219" i="20"/>
  <c r="AK222" i="20"/>
  <c r="AK225" i="20"/>
  <c r="AK228" i="20"/>
  <c r="AK230" i="20"/>
  <c r="AK232" i="20"/>
  <c r="AK238" i="20"/>
  <c r="AK241" i="20"/>
  <c r="AK246" i="20"/>
  <c r="AK249" i="20"/>
  <c r="AK252" i="20"/>
  <c r="AK256" i="20"/>
  <c r="AK258" i="20"/>
  <c r="AK261" i="20"/>
  <c r="AK264" i="20"/>
  <c r="AK268" i="20"/>
  <c r="AK271" i="20"/>
  <c r="AK282" i="20"/>
  <c r="AK284" i="20"/>
  <c r="AK287" i="20"/>
  <c r="AK290" i="20"/>
  <c r="AK294" i="20"/>
  <c r="AK297" i="20"/>
  <c r="AK299" i="20"/>
  <c r="AK304" i="20"/>
  <c r="AK186" i="20"/>
  <c r="AK189" i="20"/>
  <c r="AK192" i="20"/>
  <c r="AK194" i="20"/>
  <c r="AK196" i="20"/>
  <c r="AK204" i="20"/>
  <c r="AK208" i="20"/>
  <c r="AK212" i="20"/>
  <c r="AK218" i="20"/>
  <c r="AK224" i="20"/>
  <c r="AK233" i="20"/>
  <c r="AK236" i="20"/>
  <c r="AK239" i="20"/>
  <c r="AK243" i="20"/>
  <c r="AK248" i="20"/>
  <c r="AK253" i="20"/>
  <c r="AK259" i="20"/>
  <c r="AK265" i="20"/>
  <c r="AK269" i="20"/>
  <c r="AK273" i="20"/>
  <c r="AK275" i="20"/>
  <c r="AK277" i="20"/>
  <c r="AK279" i="20"/>
  <c r="AK286" i="20"/>
  <c r="AK291" i="20"/>
  <c r="AK302" i="20"/>
  <c r="AK308" i="20"/>
  <c r="AK310" i="20"/>
  <c r="AK312" i="20"/>
  <c r="AK317" i="20"/>
  <c r="AK321" i="20"/>
  <c r="AK323" i="20"/>
  <c r="AK329" i="20"/>
  <c r="AK336" i="20"/>
  <c r="AK347" i="20"/>
  <c r="AK351" i="20"/>
  <c r="AK355" i="20"/>
  <c r="AK357" i="20"/>
  <c r="AK367" i="20"/>
  <c r="AK370" i="20"/>
  <c r="AK372" i="20"/>
  <c r="AK375" i="20"/>
  <c r="AK296" i="20"/>
  <c r="AK307" i="20"/>
  <c r="AK330" i="20"/>
  <c r="AK332" i="20"/>
  <c r="AK341" i="20"/>
  <c r="AK343" i="20"/>
  <c r="AK346" i="20"/>
  <c r="AK349" i="20"/>
  <c r="AK359" i="20"/>
  <c r="AK363" i="20"/>
  <c r="AK365" i="20"/>
  <c r="AK378" i="20"/>
  <c r="AK306" i="20"/>
  <c r="AK316" i="20"/>
  <c r="AK328" i="20"/>
  <c r="AK339" i="20"/>
  <c r="AK354" i="20"/>
  <c r="AK362" i="20"/>
  <c r="AK373" i="20"/>
  <c r="AK318" i="20"/>
  <c r="AK325" i="20"/>
  <c r="AK344" i="20"/>
  <c r="AK379" i="20"/>
  <c r="AK17" i="20"/>
  <c r="AK15" i="20"/>
  <c r="AK20" i="20"/>
  <c r="AK27" i="20"/>
  <c r="AK25" i="20"/>
  <c r="AK32" i="20"/>
  <c r="AK37" i="20"/>
  <c r="AK45" i="20"/>
  <c r="AK50" i="20"/>
  <c r="AK55" i="20"/>
  <c r="AK63" i="20"/>
  <c r="AK36" i="20"/>
  <c r="AK43" i="20"/>
  <c r="AK58" i="20"/>
  <c r="AK69" i="20"/>
  <c r="AK79" i="20"/>
  <c r="AK86" i="20"/>
  <c r="AK95" i="20"/>
  <c r="AK104" i="20"/>
  <c r="AK114" i="20"/>
  <c r="AK126" i="20"/>
  <c r="AK71" i="20"/>
  <c r="AK77" i="20"/>
  <c r="AK87" i="20"/>
  <c r="AK93" i="20"/>
  <c r="AK101" i="20"/>
  <c r="AK111" i="20"/>
  <c r="AK134" i="20"/>
  <c r="AK142" i="20"/>
  <c r="AK151" i="20"/>
  <c r="AK165" i="20"/>
  <c r="AK172" i="20"/>
  <c r="AK179" i="20"/>
  <c r="AK112" i="20"/>
  <c r="AK118" i="20"/>
  <c r="AK129" i="20"/>
  <c r="AK133" i="20"/>
  <c r="AK141" i="20"/>
  <c r="AK148" i="20"/>
  <c r="AK155" i="20"/>
  <c r="AK161" i="20"/>
  <c r="AK168" i="20"/>
  <c r="AK175" i="20"/>
  <c r="AK185" i="20"/>
  <c r="AK198" i="20"/>
  <c r="AK203" i="20"/>
  <c r="AK210" i="20"/>
  <c r="AK216" i="20"/>
  <c r="AK223" i="20"/>
  <c r="AK229" i="20"/>
  <c r="AK234" i="20"/>
  <c r="AK245" i="20"/>
  <c r="AK251" i="20"/>
  <c r="AK257" i="20"/>
  <c r="AK262" i="20"/>
  <c r="AK270" i="20"/>
  <c r="AK283" i="20"/>
  <c r="AK288" i="20"/>
  <c r="AK295" i="20"/>
  <c r="AK300" i="20"/>
  <c r="AK187" i="20"/>
  <c r="AK193" i="20"/>
  <c r="AK199" i="20"/>
  <c r="AK211" i="20"/>
  <c r="AK220" i="20"/>
  <c r="AK235" i="20"/>
  <c r="AK242" i="20"/>
  <c r="AK250" i="20"/>
  <c r="AK263" i="20"/>
  <c r="AK272" i="20"/>
  <c r="AK276" i="20"/>
  <c r="AK281" i="20"/>
  <c r="AK293" i="20"/>
  <c r="AK309" i="20"/>
  <c r="AK313" i="20"/>
  <c r="AK322" i="20"/>
  <c r="AK335" i="20"/>
  <c r="AK350" i="20"/>
  <c r="AK356" i="20"/>
  <c r="AK369" i="20"/>
  <c r="AK374" i="20"/>
  <c r="AK301" i="20"/>
  <c r="AK331" i="20"/>
  <c r="AK342" i="20"/>
  <c r="AK348" i="20"/>
  <c r="AK361" i="20"/>
  <c r="AK366" i="20"/>
  <c r="AK314" i="20"/>
  <c r="AK337" i="20"/>
  <c r="AK358" i="20"/>
  <c r="AK315" i="20"/>
  <c r="AK334" i="20"/>
  <c r="F8" i="20"/>
  <c r="AK18" i="20"/>
  <c r="AK24" i="20"/>
  <c r="AK22" i="20"/>
  <c r="AK30" i="20"/>
  <c r="AK34" i="20"/>
  <c r="AK41" i="20"/>
  <c r="AK48" i="20"/>
  <c r="AK52" i="20"/>
  <c r="AK61" i="20"/>
  <c r="AK65" i="20"/>
  <c r="AK39" i="20"/>
  <c r="AK53" i="20"/>
  <c r="AK60" i="20"/>
  <c r="AK75" i="20"/>
  <c r="AK81" i="20"/>
  <c r="AK90" i="20"/>
  <c r="AK98" i="20"/>
  <c r="AK108" i="20"/>
  <c r="AK120" i="20"/>
  <c r="AK68" i="20"/>
  <c r="AK74" i="20"/>
  <c r="AK83" i="20"/>
  <c r="AK91" i="20"/>
  <c r="AK99" i="20"/>
  <c r="AK105" i="20"/>
  <c r="AK122" i="20"/>
  <c r="AK136" i="20"/>
  <c r="AK147" i="20"/>
  <c r="AK156" i="20"/>
  <c r="AK167" i="20"/>
  <c r="AK176" i="20"/>
  <c r="AK181" i="20"/>
  <c r="AK115" i="20"/>
  <c r="AK123" i="20"/>
  <c r="AK131" i="20"/>
  <c r="AK139" i="20"/>
  <c r="AK145" i="20"/>
  <c r="AK152" i="20"/>
  <c r="AK159" i="20"/>
  <c r="AK163" i="20"/>
  <c r="AK170" i="20"/>
  <c r="AK183" i="20"/>
  <c r="AK191" i="20"/>
  <c r="AK201" i="20"/>
  <c r="AK207" i="20"/>
  <c r="AK214" i="20"/>
  <c r="AK221" i="20"/>
  <c r="AK226" i="20"/>
  <c r="AK231" i="20"/>
  <c r="AK240" i="20"/>
  <c r="AK247" i="20"/>
  <c r="AK255" i="20"/>
  <c r="AK260" i="20"/>
  <c r="AK266" i="20"/>
  <c r="AK280" i="20"/>
  <c r="AK285" i="20"/>
  <c r="AK292" i="20"/>
  <c r="AK298" i="20"/>
  <c r="AK182" i="20"/>
  <c r="AK190" i="20"/>
  <c r="AK195" i="20"/>
  <c r="AK206" i="20"/>
  <c r="AK217" i="20"/>
  <c r="AK227" i="20"/>
  <c r="AK237" i="20"/>
  <c r="AK244" i="20"/>
  <c r="AK254" i="20"/>
  <c r="AK267" i="20"/>
  <c r="AK274" i="20"/>
  <c r="AK278" i="20"/>
  <c r="AK289" i="20"/>
  <c r="AK305" i="20"/>
  <c r="AK311" i="20"/>
  <c r="AK320" i="20"/>
  <c r="AK326" i="20"/>
  <c r="AK338" i="20"/>
  <c r="AK352" i="20"/>
  <c r="AK360" i="20"/>
  <c r="AK371" i="20"/>
  <c r="AK376" i="20"/>
  <c r="AK319" i="20"/>
  <c r="AK333" i="20"/>
  <c r="AK345" i="20"/>
  <c r="AK353" i="20"/>
  <c r="AK364" i="20"/>
  <c r="AK303" i="20"/>
  <c r="AK327" i="20"/>
  <c r="AK340" i="20"/>
  <c r="AK368" i="20"/>
  <c r="AK324" i="20"/>
  <c r="AK377" i="20"/>
  <c r="P11" i="22"/>
  <c r="AL15" i="7"/>
  <c r="AS11" i="7"/>
  <c r="AD307" i="15"/>
  <c r="AD338" i="15"/>
  <c r="AD52" i="15"/>
  <c r="AD343" i="15"/>
  <c r="AA301" i="1"/>
  <c r="Z301" i="1" s="1"/>
  <c r="Y301" i="1" s="1"/>
  <c r="AD125" i="15"/>
  <c r="AD75" i="15"/>
  <c r="R15" i="1"/>
  <c r="S382" i="1"/>
  <c r="S383" i="1"/>
  <c r="S381" i="1"/>
  <c r="AA256" i="1"/>
  <c r="Z256" i="1" s="1"/>
  <c r="Y256" i="1" s="1"/>
  <c r="AA273" i="1"/>
  <c r="Z273" i="1" s="1"/>
  <c r="Y273" i="1" s="1"/>
  <c r="AA96" i="1"/>
  <c r="Z96" i="1" s="1"/>
  <c r="Y96" i="1" s="1"/>
  <c r="AE382" i="15"/>
  <c r="AE383" i="15"/>
  <c r="AE381" i="15"/>
  <c r="O15" i="7"/>
  <c r="Q10" i="16"/>
  <c r="AA35" i="1"/>
  <c r="Z35" i="1" s="1"/>
  <c r="Y35" i="1" s="1"/>
  <c r="AZ358" i="6"/>
  <c r="AL380" i="6" s="1"/>
  <c r="AL381" i="6" s="1"/>
  <c r="AZ361" i="6"/>
  <c r="AZ371" i="6"/>
  <c r="AT20" i="6"/>
  <c r="AZ20" i="6" s="1"/>
  <c r="AT21" i="6"/>
  <c r="AZ21" i="6" s="1"/>
  <c r="AT16" i="6"/>
  <c r="AZ16" i="6" s="1"/>
  <c r="AA118" i="1"/>
  <c r="Z118" i="1" s="1"/>
  <c r="Y118" i="1" s="1"/>
  <c r="AT17" i="6"/>
  <c r="AZ17" i="6" s="1"/>
  <c r="AT19" i="6"/>
  <c r="AZ19" i="6" s="1"/>
  <c r="AT18" i="6"/>
  <c r="AZ18" i="6" s="1"/>
  <c r="AZ368" i="6"/>
  <c r="AZ365" i="6"/>
  <c r="AZ369" i="6"/>
  <c r="AA144" i="1"/>
  <c r="Z144" i="1" s="1"/>
  <c r="Y144" i="1" s="1"/>
  <c r="AA114" i="1"/>
  <c r="Z114" i="1" s="1"/>
  <c r="Y114" i="1" s="1"/>
  <c r="AZ362" i="6"/>
  <c r="I363" i="1"/>
  <c r="AZ363" i="6"/>
  <c r="AZ366" i="6"/>
  <c r="AA116" i="1"/>
  <c r="Z116" i="1" s="1"/>
  <c r="Y116" i="1" s="1"/>
  <c r="AA363" i="1"/>
  <c r="Z363" i="1" s="1"/>
  <c r="Y363" i="1" s="1"/>
  <c r="AA265" i="1"/>
  <c r="Z265" i="1" s="1"/>
  <c r="Y265" i="1" s="1"/>
  <c r="AZ360" i="6"/>
  <c r="AZ364" i="6"/>
  <c r="AZ367" i="6"/>
  <c r="AZ359" i="6"/>
  <c r="AZ373" i="6"/>
  <c r="Q11" i="22"/>
  <c r="O124" i="20"/>
  <c r="AA113" i="1"/>
  <c r="Z113" i="1" s="1"/>
  <c r="Y113" i="1" s="1"/>
  <c r="AA261" i="1"/>
  <c r="Z261" i="1" s="1"/>
  <c r="Y261" i="1" s="1"/>
  <c r="AA253" i="1"/>
  <c r="Z253" i="1" s="1"/>
  <c r="Y253" i="1" s="1"/>
  <c r="AA148" i="1"/>
  <c r="Z148" i="1" s="1"/>
  <c r="Y148" i="1" s="1"/>
  <c r="AA92" i="1"/>
  <c r="Z92" i="1" s="1"/>
  <c r="Y92" i="1" s="1"/>
  <c r="AA95" i="1"/>
  <c r="Z95" i="1" s="1"/>
  <c r="Y95" i="1" s="1"/>
  <c r="AA247" i="1"/>
  <c r="Z247" i="1" s="1"/>
  <c r="Y247" i="1" s="1"/>
  <c r="AA152" i="1"/>
  <c r="Z152" i="1" s="1"/>
  <c r="Y152" i="1" s="1"/>
  <c r="AA101" i="1"/>
  <c r="Z101" i="1" s="1"/>
  <c r="Y101" i="1" s="1"/>
  <c r="AA25" i="1"/>
  <c r="Z25" i="1" s="1"/>
  <c r="Y25" i="1" s="1"/>
  <c r="V88" i="1"/>
  <c r="AA88" i="1" s="1"/>
  <c r="Z88" i="1" s="1"/>
  <c r="Y88" i="1" s="1"/>
  <c r="AA98" i="1"/>
  <c r="Z98" i="1" s="1"/>
  <c r="Y98" i="1" s="1"/>
  <c r="AA105" i="1"/>
  <c r="Z105" i="1" s="1"/>
  <c r="Y105" i="1" s="1"/>
  <c r="AA99" i="1"/>
  <c r="Z99" i="1" s="1"/>
  <c r="Y99" i="1" s="1"/>
  <c r="AA24" i="1"/>
  <c r="Z24" i="1" s="1"/>
  <c r="Y24" i="1" s="1"/>
  <c r="AA255" i="1"/>
  <c r="Z255" i="1" s="1"/>
  <c r="Y255" i="1" s="1"/>
  <c r="AA115" i="1"/>
  <c r="Z115" i="1" s="1"/>
  <c r="Y115" i="1" s="1"/>
  <c r="AA112" i="1"/>
  <c r="Z112" i="1" s="1"/>
  <c r="Y112" i="1" s="1"/>
  <c r="AA78" i="1"/>
  <c r="Z78" i="1" s="1"/>
  <c r="Y78" i="1" s="1"/>
  <c r="AA80" i="1"/>
  <c r="Z80" i="1" s="1"/>
  <c r="Y80" i="1" s="1"/>
  <c r="AA100" i="1"/>
  <c r="Z100" i="1" s="1"/>
  <c r="Y100" i="1" s="1"/>
  <c r="AA266" i="1"/>
  <c r="Z266" i="1" s="1"/>
  <c r="Y266" i="1" s="1"/>
  <c r="AA259" i="1"/>
  <c r="Z259" i="1" s="1"/>
  <c r="Y259" i="1" s="1"/>
  <c r="AA254" i="1"/>
  <c r="Z254" i="1" s="1"/>
  <c r="Y254" i="1" s="1"/>
  <c r="AA158" i="1"/>
  <c r="Z158" i="1" s="1"/>
  <c r="Y158" i="1" s="1"/>
  <c r="AA142" i="1"/>
  <c r="Z142" i="1" s="1"/>
  <c r="Y142" i="1" s="1"/>
  <c r="AA251" i="1"/>
  <c r="Z251" i="1" s="1"/>
  <c r="Y251" i="1" s="1"/>
  <c r="AA263" i="1"/>
  <c r="Z263" i="1" s="1"/>
  <c r="Y263" i="1" s="1"/>
  <c r="AA250" i="1"/>
  <c r="Z250" i="1" s="1"/>
  <c r="Y250" i="1" s="1"/>
  <c r="AA252" i="1"/>
  <c r="Z252" i="1" s="1"/>
  <c r="Y252" i="1" s="1"/>
  <c r="AA258" i="1"/>
  <c r="Z258" i="1" s="1"/>
  <c r="Y258" i="1" s="1"/>
  <c r="AA248" i="1"/>
  <c r="Z248" i="1" s="1"/>
  <c r="Y248" i="1" s="1"/>
  <c r="AA138" i="1"/>
  <c r="Z138" i="1" s="1"/>
  <c r="Y138" i="1" s="1"/>
  <c r="AA139" i="1"/>
  <c r="Z139" i="1" s="1"/>
  <c r="Y139" i="1" s="1"/>
  <c r="AA151" i="1"/>
  <c r="Z151" i="1" s="1"/>
  <c r="Y151" i="1" s="1"/>
  <c r="AA150" i="1"/>
  <c r="Z150" i="1" s="1"/>
  <c r="Y150" i="1" s="1"/>
  <c r="AA145" i="1"/>
  <c r="Z145" i="1" s="1"/>
  <c r="Y145" i="1" s="1"/>
  <c r="D24" i="7"/>
  <c r="V149" i="1"/>
  <c r="AA149" i="1" s="1"/>
  <c r="Z149" i="1" s="1"/>
  <c r="Y149" i="1" s="1"/>
  <c r="AA140" i="1"/>
  <c r="Z140" i="1" s="1"/>
  <c r="Y140" i="1" s="1"/>
  <c r="AA249" i="1"/>
  <c r="Z249" i="1" s="1"/>
  <c r="Y249" i="1" s="1"/>
  <c r="AA269" i="1"/>
  <c r="Z269" i="1" s="1"/>
  <c r="Y269" i="1" s="1"/>
  <c r="AY376" i="6"/>
  <c r="AZ376" i="6" s="1"/>
  <c r="AY372" i="6"/>
  <c r="AZ372" i="6" s="1"/>
  <c r="AM380" i="6" s="1"/>
  <c r="AM381" i="6" s="1"/>
  <c r="AY380" i="6"/>
  <c r="AZ380" i="6" s="1"/>
  <c r="AY378" i="6"/>
  <c r="AZ378" i="6" s="1"/>
  <c r="AA83" i="1"/>
  <c r="Z83" i="1" s="1"/>
  <c r="Y83" i="1" s="1"/>
  <c r="AA89" i="1"/>
  <c r="Z89" i="1" s="1"/>
  <c r="Y89" i="1" s="1"/>
  <c r="AA91" i="1"/>
  <c r="Z91" i="1" s="1"/>
  <c r="Y91" i="1" s="1"/>
  <c r="AA103" i="1"/>
  <c r="Z103" i="1" s="1"/>
  <c r="Y103" i="1" s="1"/>
  <c r="AA97" i="1"/>
  <c r="Z97" i="1" s="1"/>
  <c r="Y97" i="1" s="1"/>
  <c r="AA246" i="1"/>
  <c r="Z246" i="1" s="1"/>
  <c r="Y246" i="1" s="1"/>
  <c r="I61" i="19"/>
  <c r="AA268" i="1"/>
  <c r="Z268" i="1" s="1"/>
  <c r="Y268" i="1" s="1"/>
  <c r="AA271" i="1"/>
  <c r="Z271" i="1" s="1"/>
  <c r="Y271" i="1" s="1"/>
  <c r="D28" i="7"/>
  <c r="V272" i="1"/>
  <c r="J61" i="19" s="1"/>
  <c r="AA267" i="1"/>
  <c r="Z267" i="1" s="1"/>
  <c r="Y267" i="1" s="1"/>
  <c r="AA157" i="1"/>
  <c r="Z157" i="1" s="1"/>
  <c r="Y157" i="1" s="1"/>
  <c r="AA137" i="1"/>
  <c r="Z137" i="1" s="1"/>
  <c r="Y137" i="1" s="1"/>
  <c r="AA79" i="1"/>
  <c r="Z79" i="1" s="1"/>
  <c r="Y79" i="1" s="1"/>
  <c r="AA102" i="1"/>
  <c r="Z102" i="1" s="1"/>
  <c r="Y102" i="1" s="1"/>
  <c r="AA94" i="1"/>
  <c r="Z94" i="1" s="1"/>
  <c r="Y94" i="1" s="1"/>
  <c r="AA260" i="1"/>
  <c r="Z260" i="1" s="1"/>
  <c r="Y260" i="1" s="1"/>
  <c r="AY379" i="6"/>
  <c r="AZ379" i="6" s="1"/>
  <c r="AY375" i="6"/>
  <c r="AZ375" i="6" s="1"/>
  <c r="AY374" i="6"/>
  <c r="AZ374" i="6" s="1"/>
  <c r="AY377" i="6"/>
  <c r="AZ377" i="6" s="1"/>
  <c r="AA141" i="1"/>
  <c r="Z141" i="1" s="1"/>
  <c r="Y141" i="1" s="1"/>
  <c r="AA160" i="1"/>
  <c r="Z160" i="1" s="1"/>
  <c r="Y160" i="1" s="1"/>
  <c r="AA154" i="1"/>
  <c r="Z154" i="1" s="1"/>
  <c r="Y154" i="1" s="1"/>
  <c r="AA134" i="1"/>
  <c r="Z134" i="1" s="1"/>
  <c r="Y134" i="1" s="1"/>
  <c r="AA159" i="1"/>
  <c r="Z159" i="1" s="1"/>
  <c r="Y159" i="1" s="1"/>
  <c r="AA147" i="1"/>
  <c r="Z147" i="1" s="1"/>
  <c r="Y147" i="1" s="1"/>
  <c r="AA135" i="1"/>
  <c r="Z135" i="1" s="1"/>
  <c r="Y135" i="1" s="1"/>
  <c r="AA107" i="1"/>
  <c r="Z107" i="1" s="1"/>
  <c r="Y107" i="1" s="1"/>
  <c r="AA87" i="1"/>
  <c r="Z87" i="1" s="1"/>
  <c r="Y87" i="1" s="1"/>
  <c r="AA86" i="1"/>
  <c r="Z86" i="1" s="1"/>
  <c r="Y86" i="1" s="1"/>
  <c r="AA104" i="1"/>
  <c r="Z104" i="1" s="1"/>
  <c r="Y104" i="1" s="1"/>
  <c r="M61" i="19"/>
  <c r="AA27" i="1"/>
  <c r="Z27" i="1" s="1"/>
  <c r="Y27" i="1" s="1"/>
  <c r="AA16" i="1"/>
  <c r="Z16" i="1" s="1"/>
  <c r="Y16" i="1" s="1"/>
  <c r="AA21" i="1"/>
  <c r="Z21" i="1" s="1"/>
  <c r="Y21" i="1" s="1"/>
  <c r="AA33" i="1"/>
  <c r="Z33" i="1" s="1"/>
  <c r="Y33" i="1" s="1"/>
  <c r="AA26" i="1"/>
  <c r="Z26" i="1" s="1"/>
  <c r="Y26" i="1" s="1"/>
  <c r="I377" i="1"/>
  <c r="G377" i="1"/>
  <c r="BW377" i="6" s="1"/>
  <c r="AA377" i="1"/>
  <c r="Z377" i="1" s="1"/>
  <c r="Y377" i="1" s="1"/>
  <c r="I319" i="1"/>
  <c r="G319" i="1"/>
  <c r="BW319" i="6" s="1"/>
  <c r="AA319" i="1"/>
  <c r="AA18" i="1"/>
  <c r="Z18" i="1" s="1"/>
  <c r="Y18" i="1" s="1"/>
  <c r="F362" i="1"/>
  <c r="G359" i="1"/>
  <c r="BW359" i="6" s="1"/>
  <c r="AA359" i="1"/>
  <c r="Z359" i="1" s="1"/>
  <c r="Y359" i="1" s="1"/>
  <c r="I359" i="1"/>
  <c r="AA19" i="1"/>
  <c r="Z19" i="1" s="1"/>
  <c r="Y19" i="1" s="1"/>
  <c r="G369" i="1"/>
  <c r="BW369" i="6" s="1"/>
  <c r="AA369" i="1"/>
  <c r="Z369" i="1" s="1"/>
  <c r="Y369" i="1" s="1"/>
  <c r="I369" i="1"/>
  <c r="G371" i="1"/>
  <c r="BW371" i="6" s="1"/>
  <c r="AA371" i="1"/>
  <c r="Z371" i="1" s="1"/>
  <c r="Y371" i="1" s="1"/>
  <c r="I371" i="1"/>
  <c r="AA31" i="1"/>
  <c r="Z31" i="1" s="1"/>
  <c r="Y31" i="1" s="1"/>
  <c r="Y289" i="1"/>
  <c r="H61" i="19"/>
  <c r="AA198" i="1"/>
  <c r="AD171" i="15" l="1"/>
  <c r="AD281" i="15"/>
  <c r="AD23" i="15"/>
  <c r="AD56" i="15"/>
  <c r="AA56" i="15" s="1"/>
  <c r="Z56" i="15" s="1"/>
  <c r="Y56" i="15" s="1"/>
  <c r="AD144" i="15"/>
  <c r="AD289" i="15"/>
  <c r="AD184" i="15"/>
  <c r="AD36" i="15"/>
  <c r="AD349" i="15"/>
  <c r="AD309" i="15"/>
  <c r="O31" i="20"/>
  <c r="K40" i="19"/>
  <c r="AD364" i="15"/>
  <c r="AD111" i="15"/>
  <c r="AD228" i="15"/>
  <c r="AD24" i="15"/>
  <c r="AH379" i="15"/>
  <c r="AD180" i="15"/>
  <c r="AD183" i="15"/>
  <c r="AD204" i="15"/>
  <c r="AD61" i="15"/>
  <c r="AD162" i="15"/>
  <c r="AD322" i="15"/>
  <c r="AD230" i="15"/>
  <c r="AA230" i="15" s="1"/>
  <c r="Z230" i="15" s="1"/>
  <c r="Y230" i="15" s="1"/>
  <c r="AD215" i="15"/>
  <c r="AD101" i="15"/>
  <c r="AD82" i="15"/>
  <c r="AD169" i="15"/>
  <c r="AA169" i="15" s="1"/>
  <c r="Z169" i="15" s="1"/>
  <c r="Y169" i="15" s="1"/>
  <c r="AD28" i="15"/>
  <c r="AD79" i="15"/>
  <c r="AD246" i="15"/>
  <c r="AD291" i="15"/>
  <c r="AD276" i="15"/>
  <c r="AD325" i="15"/>
  <c r="AD357" i="15"/>
  <c r="AA178" i="15"/>
  <c r="Z178" i="15" s="1"/>
  <c r="Y178" i="15" s="1"/>
  <c r="AD64" i="15"/>
  <c r="AD370" i="15"/>
  <c r="AD93" i="15"/>
  <c r="AD149" i="15"/>
  <c r="AD41" i="15"/>
  <c r="AA41" i="15" s="1"/>
  <c r="Z41" i="15" s="1"/>
  <c r="Y41" i="15" s="1"/>
  <c r="AD198" i="15"/>
  <c r="AA198" i="15" s="1"/>
  <c r="Z198" i="15" s="1"/>
  <c r="Y198" i="15" s="1"/>
  <c r="AD272" i="15"/>
  <c r="AD168" i="15"/>
  <c r="AD172" i="15"/>
  <c r="AD245" i="15"/>
  <c r="AD126" i="15"/>
  <c r="AD200" i="15"/>
  <c r="AD38" i="15"/>
  <c r="AD318" i="15"/>
  <c r="AA318" i="15" s="1"/>
  <c r="Z318" i="15" s="1"/>
  <c r="Y318" i="15" s="1"/>
  <c r="AD260" i="15"/>
  <c r="AD255" i="15"/>
  <c r="AD292" i="15"/>
  <c r="AD159" i="15"/>
  <c r="AD232" i="15"/>
  <c r="AD148" i="15"/>
  <c r="AD112" i="15"/>
  <c r="O345" i="20"/>
  <c r="O107" i="20"/>
  <c r="O93" i="20"/>
  <c r="O100" i="20"/>
  <c r="AD119" i="15"/>
  <c r="AD115" i="15"/>
  <c r="AD201" i="15"/>
  <c r="O135" i="20"/>
  <c r="O41" i="20"/>
  <c r="O306" i="20"/>
  <c r="O48" i="20"/>
  <c r="O24" i="20"/>
  <c r="O15" i="20"/>
  <c r="O298" i="20"/>
  <c r="O240" i="20"/>
  <c r="O375" i="20"/>
  <c r="O295" i="20"/>
  <c r="O200" i="20"/>
  <c r="O228" i="20"/>
  <c r="O167" i="20"/>
  <c r="O319" i="20"/>
  <c r="O376" i="20"/>
  <c r="O327" i="20"/>
  <c r="O268" i="20"/>
  <c r="O250" i="20"/>
  <c r="O153" i="20"/>
  <c r="O335" i="20"/>
  <c r="O348" i="20"/>
  <c r="O244" i="20"/>
  <c r="C46" i="7"/>
  <c r="AD220" i="15"/>
  <c r="AA220" i="15" s="1"/>
  <c r="Z220" i="15" s="1"/>
  <c r="Y220" i="15" s="1"/>
  <c r="AD244" i="15"/>
  <c r="AD231" i="15"/>
  <c r="AD346" i="15"/>
  <c r="AD207" i="15"/>
  <c r="AD114" i="15"/>
  <c r="AD358" i="15"/>
  <c r="AD317" i="15"/>
  <c r="AA317" i="15" s="1"/>
  <c r="Z317" i="15" s="1"/>
  <c r="Y317" i="15" s="1"/>
  <c r="AD212" i="15"/>
  <c r="AD328" i="15"/>
  <c r="AA328" i="15" s="1"/>
  <c r="Z328" i="15" s="1"/>
  <c r="Y328" i="15" s="1"/>
  <c r="AD287" i="15"/>
  <c r="AA287" i="15" s="1"/>
  <c r="Z287" i="15" s="1"/>
  <c r="Y287" i="15" s="1"/>
  <c r="AD54" i="15"/>
  <c r="AD92" i="15"/>
  <c r="AD80" i="15"/>
  <c r="AD321" i="15"/>
  <c r="AA321" i="15" s="1"/>
  <c r="Z321" i="15" s="1"/>
  <c r="Y321" i="15" s="1"/>
  <c r="AD239" i="15"/>
  <c r="AD208" i="15"/>
  <c r="AD301" i="15"/>
  <c r="AD47" i="15"/>
  <c r="AD225" i="15"/>
  <c r="AA225" i="15" s="1"/>
  <c r="Z225" i="15" s="1"/>
  <c r="Y225" i="15" s="1"/>
  <c r="AD106" i="15"/>
  <c r="AD191" i="15"/>
  <c r="AA191" i="15" s="1"/>
  <c r="Z191" i="15" s="1"/>
  <c r="Y191" i="15" s="1"/>
  <c r="AD347" i="15"/>
  <c r="AA347" i="15" s="1"/>
  <c r="Z347" i="15" s="1"/>
  <c r="Y347" i="15" s="1"/>
  <c r="AD190" i="15"/>
  <c r="AA190" i="15" s="1"/>
  <c r="Z190" i="15" s="1"/>
  <c r="Y190" i="15" s="1"/>
  <c r="AD173" i="15"/>
  <c r="AA173" i="15" s="1"/>
  <c r="Z173" i="15" s="1"/>
  <c r="Y173" i="15" s="1"/>
  <c r="AD193" i="15"/>
  <c r="AD124" i="15"/>
  <c r="P349" i="15"/>
  <c r="V349" i="15" s="1"/>
  <c r="F349" i="15" s="1"/>
  <c r="H349" i="15" s="1"/>
  <c r="AD35" i="15"/>
  <c r="AD209" i="15"/>
  <c r="AD226" i="15"/>
  <c r="AD278" i="15"/>
  <c r="AA278" i="15" s="1"/>
  <c r="Z278" i="15" s="1"/>
  <c r="Y278" i="15" s="1"/>
  <c r="AD43" i="15"/>
  <c r="AD177" i="15"/>
  <c r="AA177" i="15" s="1"/>
  <c r="Z177" i="15" s="1"/>
  <c r="Y177" i="15" s="1"/>
  <c r="AD290" i="15"/>
  <c r="AA290" i="15" s="1"/>
  <c r="Z290" i="15" s="1"/>
  <c r="Y290" i="15" s="1"/>
  <c r="AD360" i="15"/>
  <c r="AD65" i="15"/>
  <c r="AD362" i="15"/>
  <c r="AD264" i="15"/>
  <c r="AD145" i="15"/>
  <c r="AD235" i="15"/>
  <c r="AG100" i="15"/>
  <c r="AF100" i="15" s="1"/>
  <c r="AD100" i="15" s="1"/>
  <c r="AD25" i="15"/>
  <c r="AD34" i="15"/>
  <c r="AD237" i="15"/>
  <c r="AD257" i="15"/>
  <c r="AD366" i="15"/>
  <c r="O361" i="20"/>
  <c r="O359" i="20"/>
  <c r="O350" i="20"/>
  <c r="O358" i="20"/>
  <c r="O340" i="20"/>
  <c r="O313" i="20"/>
  <c r="O289" i="20"/>
  <c r="O209" i="20"/>
  <c r="O276" i="20"/>
  <c r="O236" i="20"/>
  <c r="O178" i="20"/>
  <c r="O123" i="20"/>
  <c r="O84" i="20"/>
  <c r="O74" i="20"/>
  <c r="O47" i="20"/>
  <c r="O344" i="20"/>
  <c r="O310" i="20"/>
  <c r="O243" i="20"/>
  <c r="O173" i="20"/>
  <c r="O101" i="20"/>
  <c r="O21" i="20"/>
  <c r="O239" i="20"/>
  <c r="O141" i="20"/>
  <c r="O67" i="20"/>
  <c r="O378" i="20"/>
  <c r="O229" i="20"/>
  <c r="O88" i="20"/>
  <c r="AG22" i="7" s="1"/>
  <c r="O42" i="20"/>
  <c r="O347" i="20"/>
  <c r="O299" i="20"/>
  <c r="O336" i="20"/>
  <c r="O366" i="20"/>
  <c r="O323" i="20"/>
  <c r="O369" i="20"/>
  <c r="O349" i="20"/>
  <c r="O342" i="20"/>
  <c r="O338" i="20"/>
  <c r="O315" i="20"/>
  <c r="O302" i="20"/>
  <c r="AG29" i="7" s="1"/>
  <c r="O291" i="20"/>
  <c r="O279" i="20"/>
  <c r="O247" i="20"/>
  <c r="O196" i="20"/>
  <c r="O286" i="20"/>
  <c r="O259" i="20"/>
  <c r="O241" i="20"/>
  <c r="AG27" i="7" s="1"/>
  <c r="O221" i="20"/>
  <c r="O191" i="20"/>
  <c r="O164" i="20"/>
  <c r="O142" i="20"/>
  <c r="O175" i="20"/>
  <c r="O96" i="20"/>
  <c r="O119" i="20"/>
  <c r="AG23" i="7" s="1"/>
  <c r="O92" i="20"/>
  <c r="O64" i="20"/>
  <c r="O65" i="20"/>
  <c r="O16" i="20"/>
  <c r="O22" i="20"/>
  <c r="O379" i="20"/>
  <c r="C40" i="19" s="1"/>
  <c r="O355" i="20"/>
  <c r="O364" i="20"/>
  <c r="O316" i="20"/>
  <c r="O300" i="20"/>
  <c r="O160" i="20"/>
  <c r="O131" i="20"/>
  <c r="O127" i="20"/>
  <c r="O76" i="20"/>
  <c r="O58" i="20"/>
  <c r="O377" i="20"/>
  <c r="O297" i="20"/>
  <c r="O285" i="20"/>
  <c r="O189" i="20"/>
  <c r="O112" i="20"/>
  <c r="O95" i="20"/>
  <c r="O66" i="20"/>
  <c r="O23" i="20"/>
  <c r="O331" i="20"/>
  <c r="O301" i="20"/>
  <c r="O162" i="20"/>
  <c r="O130" i="20"/>
  <c r="O126" i="20"/>
  <c r="O71" i="20"/>
  <c r="O18" i="20"/>
  <c r="O62" i="20"/>
  <c r="O53" i="20"/>
  <c r="O82" i="20"/>
  <c r="O105" i="20"/>
  <c r="O72" i="20"/>
  <c r="O111" i="20"/>
  <c r="O140" i="20"/>
  <c r="O122" i="20"/>
  <c r="O201" i="20"/>
  <c r="O263" i="20"/>
  <c r="O213" i="20"/>
  <c r="O296" i="20"/>
  <c r="O307" i="20"/>
  <c r="O334" i="20"/>
  <c r="O32" i="20"/>
  <c r="O51" i="20"/>
  <c r="O44" i="20"/>
  <c r="O79" i="20"/>
  <c r="O110" i="20"/>
  <c r="O85" i="20"/>
  <c r="O146" i="20"/>
  <c r="O158" i="20"/>
  <c r="O220" i="20"/>
  <c r="O255" i="20"/>
  <c r="O192" i="20"/>
  <c r="O275" i="20"/>
  <c r="O328" i="20"/>
  <c r="O305" i="20"/>
  <c r="O326" i="20"/>
  <c r="O26" i="20"/>
  <c r="O63" i="20"/>
  <c r="O54" i="20"/>
  <c r="O90" i="20"/>
  <c r="O113" i="20"/>
  <c r="O75" i="20"/>
  <c r="O120" i="20"/>
  <c r="O150" i="20"/>
  <c r="O132" i="20"/>
  <c r="O197" i="20"/>
  <c r="O261" i="20"/>
  <c r="O212" i="20"/>
  <c r="O287" i="20"/>
  <c r="O330" i="20"/>
  <c r="O362" i="20"/>
  <c r="O372" i="20"/>
  <c r="O332" i="20"/>
  <c r="O367" i="20"/>
  <c r="O351" i="20"/>
  <c r="O329" i="20"/>
  <c r="O20" i="20"/>
  <c r="O29" i="20"/>
  <c r="AG20" i="7" s="1"/>
  <c r="O33" i="20"/>
  <c r="O36" i="20"/>
  <c r="O52" i="20"/>
  <c r="O39" i="20"/>
  <c r="O45" i="20"/>
  <c r="O68" i="20"/>
  <c r="O80" i="20"/>
  <c r="O98" i="20"/>
  <c r="O115" i="20"/>
  <c r="O70" i="20"/>
  <c r="O86" i="20"/>
  <c r="O114" i="20"/>
  <c r="O145" i="20"/>
  <c r="O180" i="20"/>
  <c r="AG25" i="7" s="1"/>
  <c r="O137" i="20"/>
  <c r="O144" i="20"/>
  <c r="O157" i="20"/>
  <c r="O169" i="20"/>
  <c r="O188" i="20"/>
  <c r="O195" i="20"/>
  <c r="O219" i="20"/>
  <c r="O224" i="20"/>
  <c r="O238" i="20"/>
  <c r="O248" i="20"/>
  <c r="O252" i="20"/>
  <c r="O270" i="20"/>
  <c r="O284" i="20"/>
  <c r="O292" i="20"/>
  <c r="O190" i="20"/>
  <c r="O207" i="20"/>
  <c r="O235" i="20"/>
  <c r="O265" i="20"/>
  <c r="O273" i="20"/>
  <c r="O25" i="20"/>
  <c r="O28" i="20"/>
  <c r="O59" i="20"/>
  <c r="O37" i="20"/>
  <c r="O49" i="20"/>
  <c r="O56" i="20"/>
  <c r="O77" i="20"/>
  <c r="O94" i="20"/>
  <c r="O103" i="20"/>
  <c r="O117" i="20"/>
  <c r="O128" i="20"/>
  <c r="O78" i="20"/>
  <c r="O99" i="20"/>
  <c r="O125" i="20"/>
  <c r="O133" i="20"/>
  <c r="O156" i="20"/>
  <c r="O176" i="20"/>
  <c r="O152" i="20"/>
  <c r="O184" i="20"/>
  <c r="O215" i="20"/>
  <c r="O246" i="20"/>
  <c r="O274" i="20"/>
  <c r="O198" i="20"/>
  <c r="O222" i="20"/>
  <c r="O258" i="20"/>
  <c r="O320" i="20"/>
  <c r="O363" i="20"/>
  <c r="AG31" i="7" s="1"/>
  <c r="O337" i="20"/>
  <c r="O370" i="20"/>
  <c r="O17" i="20"/>
  <c r="O30" i="20"/>
  <c r="O34" i="20"/>
  <c r="O35" i="20"/>
  <c r="O55" i="20"/>
  <c r="O40" i="20"/>
  <c r="O46" i="20"/>
  <c r="O73" i="20"/>
  <c r="O89" i="20"/>
  <c r="O106" i="20"/>
  <c r="O116" i="20"/>
  <c r="O83" i="20"/>
  <c r="O91" i="20"/>
  <c r="O118" i="20"/>
  <c r="O109" i="20"/>
  <c r="O147" i="20"/>
  <c r="O174" i="20"/>
  <c r="O199" i="20"/>
  <c r="O233" i="20"/>
  <c r="O249" i="20"/>
  <c r="O271" i="20"/>
  <c r="O293" i="20"/>
  <c r="O208" i="20"/>
  <c r="O267" i="20"/>
  <c r="O290" i="20"/>
  <c r="O314" i="20"/>
  <c r="O341" i="20"/>
  <c r="O360" i="20"/>
  <c r="O354" i="20"/>
  <c r="O373" i="20"/>
  <c r="O19" i="20"/>
  <c r="O27" i="20"/>
  <c r="O43" i="20"/>
  <c r="O60" i="20"/>
  <c r="AG21" i="7" s="1"/>
  <c r="O38" i="20"/>
  <c r="O50" i="20"/>
  <c r="O61" i="20"/>
  <c r="O81" i="20"/>
  <c r="O97" i="20"/>
  <c r="O104" i="20"/>
  <c r="O121" i="20"/>
  <c r="O69" i="20"/>
  <c r="O87" i="20"/>
  <c r="O102" i="20"/>
  <c r="O129" i="20"/>
  <c r="O139" i="20"/>
  <c r="O165" i="20"/>
  <c r="O108" i="20"/>
  <c r="O151" i="20"/>
  <c r="O183" i="20"/>
  <c r="O214" i="20"/>
  <c r="O234" i="20"/>
  <c r="O269" i="20"/>
  <c r="O193" i="20"/>
  <c r="O218" i="20"/>
  <c r="O254" i="20"/>
  <c r="AD275" i="15"/>
  <c r="AD197" i="15"/>
  <c r="AA197" i="15" s="1"/>
  <c r="Z197" i="15" s="1"/>
  <c r="Y197" i="15" s="1"/>
  <c r="AD72" i="15"/>
  <c r="AA72" i="15" s="1"/>
  <c r="Z72" i="15" s="1"/>
  <c r="Y72" i="15" s="1"/>
  <c r="AD367" i="15"/>
  <c r="AD188" i="15"/>
  <c r="AA188" i="15" s="1"/>
  <c r="Z188" i="15" s="1"/>
  <c r="Y188" i="15" s="1"/>
  <c r="AD334" i="15"/>
  <c r="AA334" i="15" s="1"/>
  <c r="Z334" i="15" s="1"/>
  <c r="Y334" i="15" s="1"/>
  <c r="AD155" i="15"/>
  <c r="AD306" i="15"/>
  <c r="AA306" i="15" s="1"/>
  <c r="Z306" i="15" s="1"/>
  <c r="Y306" i="15" s="1"/>
  <c r="AD42" i="15"/>
  <c r="AA42" i="15" s="1"/>
  <c r="Z42" i="15" s="1"/>
  <c r="Y42" i="15" s="1"/>
  <c r="AD205" i="15"/>
  <c r="AD238" i="15"/>
  <c r="AD71" i="15"/>
  <c r="AA71" i="15" s="1"/>
  <c r="Z71" i="15" s="1"/>
  <c r="Y71" i="15" s="1"/>
  <c r="AD345" i="15"/>
  <c r="AO13" i="7"/>
  <c r="AN13" i="7"/>
  <c r="AG13" i="7"/>
  <c r="AM10" i="7" s="1"/>
  <c r="E8" i="22" s="1"/>
  <c r="K17" i="19" s="1"/>
  <c r="K41" i="19" s="1"/>
  <c r="O149" i="20"/>
  <c r="AG24" i="7" s="1"/>
  <c r="O163" i="20"/>
  <c r="O172" i="20"/>
  <c r="O181" i="20"/>
  <c r="O138" i="20"/>
  <c r="O159" i="20"/>
  <c r="O170" i="20"/>
  <c r="O186" i="20"/>
  <c r="O211" i="20"/>
  <c r="O227" i="20"/>
  <c r="O231" i="20"/>
  <c r="O257" i="20"/>
  <c r="O266" i="20"/>
  <c r="O282" i="20"/>
  <c r="O187" i="20"/>
  <c r="O206" i="20"/>
  <c r="O217" i="20"/>
  <c r="O232" i="20"/>
  <c r="O253" i="20"/>
  <c r="O283" i="20"/>
  <c r="O311" i="20"/>
  <c r="O322" i="20"/>
  <c r="O352" i="20"/>
  <c r="O371" i="20"/>
  <c r="O324" i="20"/>
  <c r="O365" i="20"/>
  <c r="O333" i="20"/>
  <c r="AG30" i="7" s="1"/>
  <c r="O317" i="20"/>
  <c r="O346" i="20"/>
  <c r="O136" i="20"/>
  <c r="O179" i="20"/>
  <c r="O134" i="20"/>
  <c r="O143" i="20"/>
  <c r="O154" i="20"/>
  <c r="O166" i="20"/>
  <c r="O182" i="20"/>
  <c r="O194" i="20"/>
  <c r="O202" i="20"/>
  <c r="O223" i="20"/>
  <c r="O237" i="20"/>
  <c r="O242" i="20"/>
  <c r="O251" i="20"/>
  <c r="O262" i="20"/>
  <c r="O280" i="20"/>
  <c r="O288" i="20"/>
  <c r="O304" i="20"/>
  <c r="O205" i="20"/>
  <c r="O210" i="20"/>
  <c r="AG26" i="7" s="1"/>
  <c r="O260" i="20"/>
  <c r="O272" i="20"/>
  <c r="AG28" i="7" s="1"/>
  <c r="O281" i="20"/>
  <c r="O294" i="20"/>
  <c r="O312" i="20"/>
  <c r="O318" i="20"/>
  <c r="O339" i="20"/>
  <c r="O343" i="20"/>
  <c r="O357" i="20"/>
  <c r="O374" i="20"/>
  <c r="O325" i="20"/>
  <c r="O368" i="20"/>
  <c r="O356" i="20"/>
  <c r="O308" i="20"/>
  <c r="O353" i="20"/>
  <c r="O148" i="20"/>
  <c r="O161" i="20"/>
  <c r="O171" i="20"/>
  <c r="O177" i="20"/>
  <c r="O155" i="20"/>
  <c r="O168" i="20"/>
  <c r="O185" i="20"/>
  <c r="O204" i="20"/>
  <c r="O226" i="20"/>
  <c r="O230" i="20"/>
  <c r="O256" i="20"/>
  <c r="O264" i="20"/>
  <c r="O278" i="20"/>
  <c r="O303" i="20"/>
  <c r="O203" i="20"/>
  <c r="O216" i="20"/>
  <c r="O225" i="20"/>
  <c r="O245" i="20"/>
  <c r="O277" i="20"/>
  <c r="O309" i="20"/>
  <c r="O321" i="20"/>
  <c r="AD298" i="15"/>
  <c r="AD377" i="15"/>
  <c r="AD51" i="15"/>
  <c r="AD311" i="15"/>
  <c r="AD192" i="15"/>
  <c r="AA192" i="15" s="1"/>
  <c r="Z192" i="15" s="1"/>
  <c r="Y192" i="15" s="1"/>
  <c r="AI382" i="15"/>
  <c r="AG154" i="15"/>
  <c r="AF154" i="15" s="1"/>
  <c r="AD154" i="15" s="1"/>
  <c r="AG96" i="15"/>
  <c r="AF96" i="15" s="1"/>
  <c r="AD96" i="15" s="1"/>
  <c r="AG248" i="15"/>
  <c r="AF248" i="15" s="1"/>
  <c r="AD248" i="15" s="1"/>
  <c r="AD378" i="15"/>
  <c r="AD57" i="15"/>
  <c r="AD221" i="15"/>
  <c r="AD136" i="15"/>
  <c r="AD45" i="15"/>
  <c r="AA45" i="15" s="1"/>
  <c r="Z45" i="15" s="1"/>
  <c r="Y45" i="15" s="1"/>
  <c r="AD233" i="15"/>
  <c r="AD68" i="15"/>
  <c r="AA68" i="15" s="1"/>
  <c r="Z68" i="15" s="1"/>
  <c r="Y68" i="15" s="1"/>
  <c r="AD70" i="15"/>
  <c r="AA70" i="15" s="1"/>
  <c r="Z70" i="15" s="1"/>
  <c r="Y70" i="15" s="1"/>
  <c r="AD110" i="15"/>
  <c r="AD329" i="15"/>
  <c r="AD152" i="15"/>
  <c r="AI381" i="15"/>
  <c r="AD305" i="15"/>
  <c r="AA305" i="15" s="1"/>
  <c r="Z305" i="15" s="1"/>
  <c r="Y305" i="15" s="1"/>
  <c r="AD243" i="15"/>
  <c r="AD133" i="15"/>
  <c r="AD216" i="15"/>
  <c r="AD62" i="15"/>
  <c r="AA62" i="15" s="1"/>
  <c r="Z62" i="15" s="1"/>
  <c r="Y62" i="15" s="1"/>
  <c r="AD63" i="15"/>
  <c r="AD161" i="15"/>
  <c r="AD48" i="15"/>
  <c r="AD375" i="15"/>
  <c r="AD179" i="15"/>
  <c r="AA179" i="15" s="1"/>
  <c r="Z179" i="15" s="1"/>
  <c r="Y179" i="15" s="1"/>
  <c r="AD371" i="15"/>
  <c r="AD98" i="15"/>
  <c r="AD74" i="15"/>
  <c r="AA74" i="15" s="1"/>
  <c r="Z74" i="15" s="1"/>
  <c r="Y74" i="15" s="1"/>
  <c r="AD129" i="15"/>
  <c r="AD185" i="15"/>
  <c r="AA185" i="15" s="1"/>
  <c r="Z185" i="15" s="1"/>
  <c r="Y185" i="15" s="1"/>
  <c r="AD224" i="15"/>
  <c r="AD156" i="15"/>
  <c r="AD142" i="15"/>
  <c r="AD269" i="15"/>
  <c r="AD267" i="15"/>
  <c r="AG89" i="15"/>
  <c r="AF89" i="15" s="1"/>
  <c r="AD89" i="15" s="1"/>
  <c r="AG266" i="15"/>
  <c r="AF266" i="15" s="1"/>
  <c r="AD266" i="15" s="1"/>
  <c r="AG251" i="15"/>
  <c r="AF251" i="15" s="1"/>
  <c r="AD251" i="15" s="1"/>
  <c r="AG97" i="15"/>
  <c r="AF97" i="15" s="1"/>
  <c r="AD97" i="15" s="1"/>
  <c r="AG265" i="15"/>
  <c r="AF265" i="15" s="1"/>
  <c r="AD265" i="15" s="1"/>
  <c r="AG103" i="15"/>
  <c r="AF103" i="15" s="1"/>
  <c r="AD103" i="15" s="1"/>
  <c r="AG31" i="15"/>
  <c r="AF31" i="15" s="1"/>
  <c r="AD31" i="15" s="1"/>
  <c r="AG99" i="15"/>
  <c r="AF99" i="15" s="1"/>
  <c r="AD99" i="15" s="1"/>
  <c r="AG247" i="15"/>
  <c r="AF247" i="15" s="1"/>
  <c r="AD247" i="15" s="1"/>
  <c r="AG151" i="15"/>
  <c r="AF151" i="15" s="1"/>
  <c r="AD151" i="15" s="1"/>
  <c r="AG140" i="15"/>
  <c r="AF140" i="15" s="1"/>
  <c r="AD140" i="15" s="1"/>
  <c r="AG258" i="15"/>
  <c r="AF258" i="15" s="1"/>
  <c r="AD258" i="15" s="1"/>
  <c r="AG270" i="15"/>
  <c r="AF270" i="15" s="1"/>
  <c r="AD270" i="15" s="1"/>
  <c r="AG94" i="15"/>
  <c r="AF94" i="15" s="1"/>
  <c r="AD94" i="15" s="1"/>
  <c r="AG81" i="15"/>
  <c r="AF81" i="15" s="1"/>
  <c r="AD81" i="15" s="1"/>
  <c r="AG122" i="15"/>
  <c r="AF122" i="15" s="1"/>
  <c r="AD122" i="15" s="1"/>
  <c r="AA122" i="15" s="1"/>
  <c r="Z122" i="15" s="1"/>
  <c r="Y122" i="15" s="1"/>
  <c r="AD73" i="15"/>
  <c r="AD194" i="15"/>
  <c r="AA194" i="15" s="1"/>
  <c r="Z194" i="15" s="1"/>
  <c r="Y194" i="15" s="1"/>
  <c r="AD359" i="15"/>
  <c r="AD218" i="15"/>
  <c r="AD213" i="15"/>
  <c r="AD55" i="15"/>
  <c r="AA55" i="15" s="1"/>
  <c r="Z55" i="15" s="1"/>
  <c r="Y55" i="15" s="1"/>
  <c r="AD206" i="15"/>
  <c r="AD32" i="15"/>
  <c r="AD91" i="15"/>
  <c r="AD107" i="15"/>
  <c r="AD147" i="15"/>
  <c r="AD85" i="15"/>
  <c r="AD252" i="15"/>
  <c r="AD176" i="15"/>
  <c r="AA176" i="15" s="1"/>
  <c r="Z176" i="15" s="1"/>
  <c r="Y176" i="15" s="1"/>
  <c r="AD332" i="15"/>
  <c r="AD352" i="15"/>
  <c r="AA352" i="15" s="1"/>
  <c r="Z352" i="15" s="1"/>
  <c r="Y352" i="15" s="1"/>
  <c r="AD195" i="15"/>
  <c r="AA195" i="15" s="1"/>
  <c r="Z195" i="15" s="1"/>
  <c r="Y195" i="15" s="1"/>
  <c r="AD127" i="15"/>
  <c r="AD219" i="15"/>
  <c r="AA219" i="15" s="1"/>
  <c r="Z219" i="15" s="1"/>
  <c r="Y219" i="15" s="1"/>
  <c r="AD330" i="15"/>
  <c r="AA330" i="15" s="1"/>
  <c r="Z330" i="15" s="1"/>
  <c r="Y330" i="15" s="1"/>
  <c r="AD284" i="15"/>
  <c r="AD293" i="15"/>
  <c r="AD262" i="15"/>
  <c r="AD344" i="15"/>
  <c r="AA344" i="15" s="1"/>
  <c r="Z344" i="15" s="1"/>
  <c r="Y344" i="15" s="1"/>
  <c r="AG116" i="15"/>
  <c r="AF116" i="15" s="1"/>
  <c r="AD116" i="15" s="1"/>
  <c r="AG86" i="15"/>
  <c r="AF86" i="15" s="1"/>
  <c r="AD86" i="15" s="1"/>
  <c r="AG249" i="15"/>
  <c r="AF249" i="15" s="1"/>
  <c r="AD249" i="15" s="1"/>
  <c r="AG157" i="15"/>
  <c r="AF157" i="15" s="1"/>
  <c r="AD157" i="15" s="1"/>
  <c r="AG256" i="15"/>
  <c r="AF256" i="15" s="1"/>
  <c r="AD256" i="15" s="1"/>
  <c r="AG326" i="15"/>
  <c r="AF326" i="15" s="1"/>
  <c r="AD326" i="15" s="1"/>
  <c r="AG150" i="15"/>
  <c r="AF150" i="15" s="1"/>
  <c r="AD150" i="15" s="1"/>
  <c r="AG130" i="15"/>
  <c r="AF130" i="15" s="1"/>
  <c r="AD130" i="15" s="1"/>
  <c r="AG158" i="15"/>
  <c r="AF158" i="15" s="1"/>
  <c r="AD158" i="15" s="1"/>
  <c r="AG253" i="15"/>
  <c r="AF253" i="15" s="1"/>
  <c r="AD253" i="15" s="1"/>
  <c r="AG27" i="15"/>
  <c r="AF27" i="15" s="1"/>
  <c r="AD27" i="15" s="1"/>
  <c r="AD374" i="15"/>
  <c r="AD304" i="15"/>
  <c r="V180" i="15"/>
  <c r="F180" i="15" s="1"/>
  <c r="G180" i="15" s="1"/>
  <c r="BX180" i="6" s="1"/>
  <c r="AD109" i="15"/>
  <c r="AD350" i="15"/>
  <c r="AA350" i="15" s="1"/>
  <c r="Z350" i="15" s="1"/>
  <c r="Y350" i="15" s="1"/>
  <c r="AD196" i="15"/>
  <c r="AA196" i="15" s="1"/>
  <c r="Z196" i="15" s="1"/>
  <c r="Y196" i="15" s="1"/>
  <c r="H174" i="15"/>
  <c r="I174" i="15" s="1"/>
  <c r="C45" i="7"/>
  <c r="L36" i="19"/>
  <c r="L39" i="19"/>
  <c r="AK3" i="18"/>
  <c r="Q15" i="19" s="1"/>
  <c r="G55" i="15"/>
  <c r="BX55" i="6" s="1"/>
  <c r="AA215" i="15"/>
  <c r="Z215" i="15" s="1"/>
  <c r="Y215" i="15" s="1"/>
  <c r="AA357" i="15"/>
  <c r="Z357" i="15" s="1"/>
  <c r="Y357" i="15" s="1"/>
  <c r="F64" i="15"/>
  <c r="G64" i="15" s="1"/>
  <c r="BX64" i="6" s="1"/>
  <c r="AA163" i="15"/>
  <c r="Z163" i="15" s="1"/>
  <c r="Y163" i="15" s="1"/>
  <c r="D33" i="7"/>
  <c r="F57" i="15"/>
  <c r="H57" i="15" s="1"/>
  <c r="J57" i="15" s="1"/>
  <c r="H198" i="15"/>
  <c r="J198" i="15" s="1"/>
  <c r="AA283" i="15"/>
  <c r="Z283" i="15" s="1"/>
  <c r="Y283" i="15" s="1"/>
  <c r="H310" i="15"/>
  <c r="J310" i="15" s="1"/>
  <c r="G276" i="15"/>
  <c r="BX276" i="6" s="1"/>
  <c r="AA276" i="15"/>
  <c r="Z276" i="15" s="1"/>
  <c r="Y276" i="15" s="1"/>
  <c r="D42" i="7"/>
  <c r="H192" i="15"/>
  <c r="J192" i="15" s="1"/>
  <c r="I283" i="15"/>
  <c r="H352" i="15"/>
  <c r="J352" i="15" s="1"/>
  <c r="H194" i="15"/>
  <c r="I194" i="15" s="1"/>
  <c r="H287" i="15"/>
  <c r="J287" i="15" s="1"/>
  <c r="H336" i="15"/>
  <c r="I336" i="15" s="1"/>
  <c r="G336" i="15"/>
  <c r="BX336" i="6" s="1"/>
  <c r="H163" i="15"/>
  <c r="I163" i="15" s="1"/>
  <c r="H170" i="15"/>
  <c r="I170" i="15" s="1"/>
  <c r="AA77" i="15"/>
  <c r="Z77" i="15" s="1"/>
  <c r="Y77" i="15" s="1"/>
  <c r="H354" i="15"/>
  <c r="J354" i="15" s="1"/>
  <c r="F280" i="15"/>
  <c r="AA280" i="15" s="1"/>
  <c r="Z280" i="15" s="1"/>
  <c r="Y280" i="15" s="1"/>
  <c r="F182" i="15"/>
  <c r="H182" i="15" s="1"/>
  <c r="J182" i="15" s="1"/>
  <c r="I334" i="15"/>
  <c r="G192" i="15"/>
  <c r="BX192" i="6" s="1"/>
  <c r="G67" i="15"/>
  <c r="BX67" i="6" s="1"/>
  <c r="H178" i="15"/>
  <c r="I178" i="15" s="1"/>
  <c r="G169" i="15"/>
  <c r="BX169" i="6" s="1"/>
  <c r="G196" i="15"/>
  <c r="BX196" i="6" s="1"/>
  <c r="G49" i="15"/>
  <c r="BX49" i="6" s="1"/>
  <c r="H344" i="15"/>
  <c r="J344" i="15" s="1"/>
  <c r="H330" i="15"/>
  <c r="J330" i="15" s="1"/>
  <c r="G188" i="15"/>
  <c r="BX188" i="6" s="1"/>
  <c r="G283" i="15"/>
  <c r="BX283" i="6" s="1"/>
  <c r="I276" i="15"/>
  <c r="I42" i="15"/>
  <c r="F183" i="15"/>
  <c r="G183" i="15" s="1"/>
  <c r="BX183" i="6" s="1"/>
  <c r="F314" i="15"/>
  <c r="AA314" i="15" s="1"/>
  <c r="Z314" i="15" s="1"/>
  <c r="Y314" i="15" s="1"/>
  <c r="F54" i="15"/>
  <c r="G338" i="15"/>
  <c r="BX338" i="6" s="1"/>
  <c r="H338" i="15"/>
  <c r="J338" i="15" s="1"/>
  <c r="AA67" i="15"/>
  <c r="Z67" i="15" s="1"/>
  <c r="Y67" i="15" s="1"/>
  <c r="AA170" i="15"/>
  <c r="Z170" i="15" s="1"/>
  <c r="Y170" i="15" s="1"/>
  <c r="G178" i="15"/>
  <c r="BX178" i="6" s="1"/>
  <c r="G42" i="15"/>
  <c r="BX42" i="6" s="1"/>
  <c r="H77" i="15"/>
  <c r="J77" i="15" s="1"/>
  <c r="G194" i="15"/>
  <c r="BX194" i="6" s="1"/>
  <c r="G198" i="15"/>
  <c r="BX198" i="6" s="1"/>
  <c r="AA310" i="15"/>
  <c r="Z310" i="15" s="1"/>
  <c r="Y310" i="15" s="1"/>
  <c r="G334" i="15"/>
  <c r="BX334" i="6" s="1"/>
  <c r="AA49" i="15"/>
  <c r="Z49" i="15" s="1"/>
  <c r="Y49" i="15" s="1"/>
  <c r="F167" i="15"/>
  <c r="G167" i="15" s="1"/>
  <c r="BX167" i="6" s="1"/>
  <c r="F73" i="15"/>
  <c r="G73" i="15" s="1"/>
  <c r="BX73" i="6" s="1"/>
  <c r="AA351" i="15"/>
  <c r="Z351" i="15" s="1"/>
  <c r="Y351" i="15" s="1"/>
  <c r="G230" i="15"/>
  <c r="BX230" i="6" s="1"/>
  <c r="AA50" i="15"/>
  <c r="Z50" i="15" s="1"/>
  <c r="Y50" i="15" s="1"/>
  <c r="G50" i="15"/>
  <c r="BX50" i="6" s="1"/>
  <c r="G171" i="15"/>
  <c r="BX171" i="6" s="1"/>
  <c r="H171" i="15"/>
  <c r="J171" i="15" s="1"/>
  <c r="AA203" i="15"/>
  <c r="Z203" i="15" s="1"/>
  <c r="Y203" i="15" s="1"/>
  <c r="H176" i="15"/>
  <c r="J176" i="15" s="1"/>
  <c r="AA175" i="15"/>
  <c r="Z175" i="15" s="1"/>
  <c r="Y175" i="15" s="1"/>
  <c r="D41" i="7"/>
  <c r="H339" i="15"/>
  <c r="J339" i="15" s="1"/>
  <c r="H278" i="15"/>
  <c r="I278" i="15" s="1"/>
  <c r="AA297" i="15"/>
  <c r="Z297" i="15" s="1"/>
  <c r="Y297" i="15" s="1"/>
  <c r="H357" i="15"/>
  <c r="J357" i="15" s="1"/>
  <c r="H316" i="15"/>
  <c r="I316" i="15" s="1"/>
  <c r="G44" i="15"/>
  <c r="BX44" i="6" s="1"/>
  <c r="G215" i="15"/>
  <c r="BX215" i="6" s="1"/>
  <c r="G356" i="15"/>
  <c r="BX356" i="6" s="1"/>
  <c r="H356" i="15"/>
  <c r="I356" i="15" s="1"/>
  <c r="AA356" i="15"/>
  <c r="Z356" i="15" s="1"/>
  <c r="Y356" i="15" s="1"/>
  <c r="G184" i="15"/>
  <c r="BX184" i="6" s="1"/>
  <c r="AA184" i="15"/>
  <c r="Z184" i="15" s="1"/>
  <c r="Y184" i="15" s="1"/>
  <c r="H184" i="15"/>
  <c r="J184" i="15" s="1"/>
  <c r="E379" i="16"/>
  <c r="C37" i="19"/>
  <c r="G175" i="15"/>
  <c r="BX175" i="6" s="1"/>
  <c r="G197" i="15"/>
  <c r="BX197" i="6" s="1"/>
  <c r="G173" i="15"/>
  <c r="BX173" i="6" s="1"/>
  <c r="H351" i="15"/>
  <c r="J351" i="15" s="1"/>
  <c r="G177" i="15"/>
  <c r="BX177" i="6" s="1"/>
  <c r="H195" i="15"/>
  <c r="I195" i="15" s="1"/>
  <c r="G181" i="15"/>
  <c r="BX181" i="6" s="1"/>
  <c r="AA288" i="15"/>
  <c r="Z288" i="15" s="1"/>
  <c r="Y288" i="15" s="1"/>
  <c r="H350" i="15"/>
  <c r="I350" i="15" s="1"/>
  <c r="G70" i="15"/>
  <c r="BX70" i="6" s="1"/>
  <c r="H186" i="15"/>
  <c r="J186" i="15" s="1"/>
  <c r="G278" i="15"/>
  <c r="BX278" i="6" s="1"/>
  <c r="H297" i="15"/>
  <c r="I297" i="15" s="1"/>
  <c r="H337" i="15"/>
  <c r="J337" i="15" s="1"/>
  <c r="H328" i="15"/>
  <c r="I328" i="15" s="1"/>
  <c r="G41" i="15"/>
  <c r="BX41" i="6" s="1"/>
  <c r="H56" i="15"/>
  <c r="I56" i="15" s="1"/>
  <c r="AA53" i="15"/>
  <c r="Z53" i="15" s="1"/>
  <c r="Y53" i="15" s="1"/>
  <c r="H36" i="15"/>
  <c r="J36" i="15" s="1"/>
  <c r="G131" i="15"/>
  <c r="BX131" i="6" s="1"/>
  <c r="H131" i="15"/>
  <c r="J131" i="15" s="1"/>
  <c r="H122" i="15"/>
  <c r="I122" i="15" s="1"/>
  <c r="G122" i="15"/>
  <c r="BX122" i="6" s="1"/>
  <c r="G179" i="15"/>
  <c r="BX179" i="6" s="1"/>
  <c r="F294" i="15"/>
  <c r="G294" i="15" s="1"/>
  <c r="BX294" i="6" s="1"/>
  <c r="H190" i="15"/>
  <c r="J190" i="15" s="1"/>
  <c r="AA336" i="15"/>
  <c r="Z336" i="15" s="1"/>
  <c r="Y336" i="15" s="1"/>
  <c r="H288" i="15"/>
  <c r="I288" i="15" s="1"/>
  <c r="AA316" i="15"/>
  <c r="Z316" i="15" s="1"/>
  <c r="Y316" i="15" s="1"/>
  <c r="H290" i="15"/>
  <c r="J290" i="15" s="1"/>
  <c r="AA171" i="15"/>
  <c r="Z171" i="15" s="1"/>
  <c r="Y171" i="15" s="1"/>
  <c r="H220" i="15"/>
  <c r="J220" i="15" s="1"/>
  <c r="AA44" i="15"/>
  <c r="Z44" i="15" s="1"/>
  <c r="Y44" i="15" s="1"/>
  <c r="AA337" i="15"/>
  <c r="Z337" i="15" s="1"/>
  <c r="Y337" i="15" s="1"/>
  <c r="AA36" i="15"/>
  <c r="Z36" i="15" s="1"/>
  <c r="Y36" i="15" s="1"/>
  <c r="H230" i="15"/>
  <c r="I230" i="15" s="1"/>
  <c r="G62" i="15"/>
  <c r="BX62" i="6" s="1"/>
  <c r="H53" i="15"/>
  <c r="I53" i="15" s="1"/>
  <c r="AA186" i="15"/>
  <c r="Z186" i="15" s="1"/>
  <c r="Y186" i="15" s="1"/>
  <c r="AA324" i="15"/>
  <c r="Z324" i="15" s="1"/>
  <c r="Y324" i="15" s="1"/>
  <c r="F300" i="15"/>
  <c r="AA300" i="15" s="1"/>
  <c r="Z300" i="15" s="1"/>
  <c r="Y300" i="15" s="1"/>
  <c r="F285" i="15"/>
  <c r="G285" i="15" s="1"/>
  <c r="BX285" i="6" s="1"/>
  <c r="F187" i="15"/>
  <c r="G187" i="15" s="1"/>
  <c r="BX187" i="6" s="1"/>
  <c r="F168" i="15"/>
  <c r="H168" i="15" s="1"/>
  <c r="I168" i="15" s="1"/>
  <c r="F59" i="15"/>
  <c r="F58" i="15"/>
  <c r="F48" i="15"/>
  <c r="G48" i="15" s="1"/>
  <c r="BX48" i="6" s="1"/>
  <c r="F355" i="15"/>
  <c r="H355" i="15" s="1"/>
  <c r="J355" i="15" s="1"/>
  <c r="G321" i="15"/>
  <c r="BX321" i="6" s="1"/>
  <c r="H321" i="15"/>
  <c r="I321" i="15" s="1"/>
  <c r="G322" i="15"/>
  <c r="BX322" i="6" s="1"/>
  <c r="P275" i="15"/>
  <c r="V275" i="15" s="1"/>
  <c r="F275" i="15" s="1"/>
  <c r="H275" i="15" s="1"/>
  <c r="G71" i="15"/>
  <c r="BX71" i="6" s="1"/>
  <c r="H71" i="15"/>
  <c r="J71" i="15" s="1"/>
  <c r="H313" i="15"/>
  <c r="J313" i="15" s="1"/>
  <c r="AA313" i="15"/>
  <c r="Z313" i="15" s="1"/>
  <c r="Y313" i="15" s="1"/>
  <c r="G313" i="15"/>
  <c r="BX313" i="6" s="1"/>
  <c r="G274" i="15"/>
  <c r="BX274" i="6" s="1"/>
  <c r="H274" i="15"/>
  <c r="I274" i="15" s="1"/>
  <c r="AA274" i="15"/>
  <c r="Z274" i="15" s="1"/>
  <c r="Y274" i="15" s="1"/>
  <c r="S148" i="15"/>
  <c r="R148" i="15" s="1"/>
  <c r="P148" i="15" s="1"/>
  <c r="V148" i="15" s="1"/>
  <c r="F148" i="15" s="1"/>
  <c r="S207" i="15"/>
  <c r="R207" i="15" s="1"/>
  <c r="P207" i="15" s="1"/>
  <c r="V207" i="15" s="1"/>
  <c r="F207" i="15" s="1"/>
  <c r="S237" i="15"/>
  <c r="R237" i="15" s="1"/>
  <c r="P237" i="15" s="1"/>
  <c r="V237" i="15" s="1"/>
  <c r="F237" i="15" s="1"/>
  <c r="S365" i="15"/>
  <c r="R365" i="15" s="1"/>
  <c r="P365" i="15" s="1"/>
  <c r="V365" i="15" s="1"/>
  <c r="F365" i="15" s="1"/>
  <c r="S325" i="15"/>
  <c r="R325" i="15" s="1"/>
  <c r="P325" i="15" s="1"/>
  <c r="V325" i="15" s="1"/>
  <c r="F325" i="15" s="1"/>
  <c r="S102" i="15"/>
  <c r="R102" i="15" s="1"/>
  <c r="P102" i="15" s="1"/>
  <c r="S155" i="15"/>
  <c r="R155" i="15" s="1"/>
  <c r="P155" i="15" s="1"/>
  <c r="V155" i="15" s="1"/>
  <c r="F155" i="15" s="1"/>
  <c r="S331" i="15"/>
  <c r="R331" i="15" s="1"/>
  <c r="P331" i="15" s="1"/>
  <c r="V331" i="15" s="1"/>
  <c r="F331" i="15" s="1"/>
  <c r="S335" i="15"/>
  <c r="R335" i="15" s="1"/>
  <c r="P335" i="15" s="1"/>
  <c r="V335" i="15" s="1"/>
  <c r="F335" i="15" s="1"/>
  <c r="S137" i="15"/>
  <c r="R137" i="15" s="1"/>
  <c r="P137" i="15" s="1"/>
  <c r="V137" i="15" s="1"/>
  <c r="S252" i="15"/>
  <c r="R252" i="15" s="1"/>
  <c r="P252" i="15" s="1"/>
  <c r="V252" i="15" s="1"/>
  <c r="F252" i="15" s="1"/>
  <c r="S240" i="15"/>
  <c r="R240" i="15" s="1"/>
  <c r="P240" i="15" s="1"/>
  <c r="S35" i="15"/>
  <c r="R35" i="15" s="1"/>
  <c r="P35" i="15" s="1"/>
  <c r="V35" i="15" s="1"/>
  <c r="F35" i="15" s="1"/>
  <c r="S132" i="15"/>
  <c r="R132" i="15" s="1"/>
  <c r="P132" i="15" s="1"/>
  <c r="V132" i="15" s="1"/>
  <c r="F132" i="15" s="1"/>
  <c r="AG354" i="15"/>
  <c r="AF354" i="15" s="1"/>
  <c r="AD354" i="15" s="1"/>
  <c r="AA354" i="15" s="1"/>
  <c r="Z354" i="15" s="1"/>
  <c r="Y354" i="15" s="1"/>
  <c r="AG341" i="15"/>
  <c r="AF341" i="15" s="1"/>
  <c r="AD341" i="15" s="1"/>
  <c r="AG83" i="15"/>
  <c r="AF83" i="15" s="1"/>
  <c r="AD83" i="15" s="1"/>
  <c r="AG137" i="15"/>
  <c r="AF137" i="15" s="1"/>
  <c r="AD137" i="15" s="1"/>
  <c r="AG365" i="15"/>
  <c r="AF365" i="15" s="1"/>
  <c r="AD365" i="15" s="1"/>
  <c r="AG105" i="15"/>
  <c r="AF105" i="15" s="1"/>
  <c r="AD105" i="15" s="1"/>
  <c r="AG331" i="15"/>
  <c r="AF331" i="15" s="1"/>
  <c r="AD331" i="15" s="1"/>
  <c r="AH15" i="15"/>
  <c r="AG15" i="15" s="1"/>
  <c r="AF15" i="15" s="1"/>
  <c r="AI383" i="15"/>
  <c r="AG181" i="15"/>
  <c r="AF181" i="15" s="1"/>
  <c r="AD181" i="15" s="1"/>
  <c r="AA181" i="15" s="1"/>
  <c r="Z181" i="15" s="1"/>
  <c r="Y181" i="15" s="1"/>
  <c r="AG20" i="15"/>
  <c r="AF20" i="15" s="1"/>
  <c r="AD20" i="15" s="1"/>
  <c r="S218" i="15"/>
  <c r="R218" i="15" s="1"/>
  <c r="P218" i="15" s="1"/>
  <c r="V218" i="15" s="1"/>
  <c r="F218" i="15" s="1"/>
  <c r="H218" i="15" s="1"/>
  <c r="I218" i="15" s="1"/>
  <c r="S109" i="15"/>
  <c r="R109" i="15" s="1"/>
  <c r="P109" i="15" s="1"/>
  <c r="V109" i="15" s="1"/>
  <c r="F109" i="15" s="1"/>
  <c r="S160" i="15"/>
  <c r="R160" i="15" s="1"/>
  <c r="P160" i="15" s="1"/>
  <c r="V160" i="15" s="1"/>
  <c r="F160" i="15" s="1"/>
  <c r="S309" i="15"/>
  <c r="R309" i="15" s="1"/>
  <c r="P309" i="15" s="1"/>
  <c r="S340" i="15"/>
  <c r="R340" i="15" s="1"/>
  <c r="P340" i="15" s="1"/>
  <c r="V340" i="15" s="1"/>
  <c r="F340" i="15" s="1"/>
  <c r="AA340" i="15" s="1"/>
  <c r="Z340" i="15" s="1"/>
  <c r="Y340" i="15" s="1"/>
  <c r="S81" i="15"/>
  <c r="R81" i="15" s="1"/>
  <c r="P81" i="15" s="1"/>
  <c r="V81" i="15" s="1"/>
  <c r="F81" i="15" s="1"/>
  <c r="S79" i="15"/>
  <c r="R79" i="15" s="1"/>
  <c r="P79" i="15" s="1"/>
  <c r="V79" i="15" s="1"/>
  <c r="S376" i="15"/>
  <c r="R376" i="15" s="1"/>
  <c r="P376" i="15" s="1"/>
  <c r="S204" i="15"/>
  <c r="R204" i="15" s="1"/>
  <c r="P204" i="15" s="1"/>
  <c r="V204" i="15" s="1"/>
  <c r="F204" i="15" s="1"/>
  <c r="S20" i="15"/>
  <c r="R20" i="15" s="1"/>
  <c r="P20" i="15" s="1"/>
  <c r="S257" i="15"/>
  <c r="R257" i="15" s="1"/>
  <c r="P257" i="15" s="1"/>
  <c r="V257" i="15" s="1"/>
  <c r="F257" i="15" s="1"/>
  <c r="S107" i="15"/>
  <c r="R107" i="15" s="1"/>
  <c r="P107" i="15" s="1"/>
  <c r="V107" i="15" s="1"/>
  <c r="F107" i="15" s="1"/>
  <c r="AG84" i="15"/>
  <c r="AF84" i="15" s="1"/>
  <c r="AD84" i="15" s="1"/>
  <c r="AG263" i="15"/>
  <c r="AF263" i="15" s="1"/>
  <c r="AD263" i="15" s="1"/>
  <c r="AG229" i="15"/>
  <c r="AF229" i="15" s="1"/>
  <c r="AD229" i="15" s="1"/>
  <c r="AA229" i="15" s="1"/>
  <c r="Z229" i="15" s="1"/>
  <c r="Y229" i="15" s="1"/>
  <c r="AG139" i="15"/>
  <c r="AF139" i="15" s="1"/>
  <c r="AD139" i="15" s="1"/>
  <c r="AG102" i="15"/>
  <c r="AF102" i="15" s="1"/>
  <c r="AD102" i="15" s="1"/>
  <c r="S95" i="15"/>
  <c r="R95" i="15" s="1"/>
  <c r="P95" i="15" s="1"/>
  <c r="V95" i="15" s="1"/>
  <c r="F95" i="15" s="1"/>
  <c r="S345" i="15"/>
  <c r="R345" i="15" s="1"/>
  <c r="P345" i="15" s="1"/>
  <c r="V345" i="15" s="1"/>
  <c r="F345" i="15" s="1"/>
  <c r="S89" i="15"/>
  <c r="R89" i="15" s="1"/>
  <c r="P89" i="15" s="1"/>
  <c r="V89" i="15" s="1"/>
  <c r="F89" i="15" s="1"/>
  <c r="S239" i="15"/>
  <c r="R239" i="15" s="1"/>
  <c r="P239" i="15" s="1"/>
  <c r="S99" i="15"/>
  <c r="R99" i="15" s="1"/>
  <c r="P99" i="15" s="1"/>
  <c r="V99" i="15" s="1"/>
  <c r="F99" i="15" s="1"/>
  <c r="S161" i="15"/>
  <c r="R161" i="15" s="1"/>
  <c r="P161" i="15" s="1"/>
  <c r="V161" i="15" s="1"/>
  <c r="F161" i="15" s="1"/>
  <c r="S272" i="15"/>
  <c r="R272" i="15" s="1"/>
  <c r="P272" i="15" s="1"/>
  <c r="S43" i="15"/>
  <c r="R43" i="15" s="1"/>
  <c r="P43" i="15" s="1"/>
  <c r="V43" i="15" s="1"/>
  <c r="F43" i="15" s="1"/>
  <c r="S268" i="15"/>
  <c r="R268" i="15" s="1"/>
  <c r="P268" i="15" s="1"/>
  <c r="V268" i="15" s="1"/>
  <c r="F268" i="15" s="1"/>
  <c r="S140" i="15"/>
  <c r="R140" i="15" s="1"/>
  <c r="P140" i="15" s="1"/>
  <c r="V140" i="15" s="1"/>
  <c r="F140" i="15" s="1"/>
  <c r="S255" i="15"/>
  <c r="R255" i="15" s="1"/>
  <c r="P255" i="15" s="1"/>
  <c r="S115" i="15"/>
  <c r="R115" i="15" s="1"/>
  <c r="P115" i="15" s="1"/>
  <c r="V115" i="15" s="1"/>
  <c r="F115" i="15" s="1"/>
  <c r="S373" i="15"/>
  <c r="R373" i="15" s="1"/>
  <c r="P373" i="15" s="1"/>
  <c r="S259" i="15"/>
  <c r="R259" i="15" s="1"/>
  <c r="P259" i="15" s="1"/>
  <c r="V259" i="15" s="1"/>
  <c r="F259" i="15" s="1"/>
  <c r="H259" i="15" s="1"/>
  <c r="S241" i="15"/>
  <c r="R241" i="15" s="1"/>
  <c r="P241" i="15" s="1"/>
  <c r="S327" i="15"/>
  <c r="R327" i="15" s="1"/>
  <c r="P327" i="15" s="1"/>
  <c r="V327" i="15" s="1"/>
  <c r="F327" i="15" s="1"/>
  <c r="S103" i="15"/>
  <c r="R103" i="15" s="1"/>
  <c r="P103" i="15" s="1"/>
  <c r="V103" i="15" s="1"/>
  <c r="F103" i="15" s="1"/>
  <c r="S80" i="15"/>
  <c r="R80" i="15" s="1"/>
  <c r="P80" i="15" s="1"/>
  <c r="S29" i="15"/>
  <c r="R29" i="15" s="1"/>
  <c r="P29" i="15" s="1"/>
  <c r="S134" i="15"/>
  <c r="R134" i="15" s="1"/>
  <c r="P134" i="15" s="1"/>
  <c r="V134" i="15" s="1"/>
  <c r="F134" i="15" s="1"/>
  <c r="H134" i="15" s="1"/>
  <c r="S139" i="15"/>
  <c r="R139" i="15" s="1"/>
  <c r="P139" i="15" s="1"/>
  <c r="V139" i="15" s="1"/>
  <c r="F139" i="15" s="1"/>
  <c r="S32" i="15"/>
  <c r="R32" i="15" s="1"/>
  <c r="P32" i="15" s="1"/>
  <c r="V32" i="15" s="1"/>
  <c r="F32" i="15" s="1"/>
  <c r="S123" i="15"/>
  <c r="R123" i="15" s="1"/>
  <c r="P123" i="15" s="1"/>
  <c r="S342" i="15"/>
  <c r="R342" i="15" s="1"/>
  <c r="P342" i="15" s="1"/>
  <c r="V342" i="15" s="1"/>
  <c r="F342" i="15" s="1"/>
  <c r="S86" i="15"/>
  <c r="R86" i="15" s="1"/>
  <c r="P86" i="15" s="1"/>
  <c r="V86" i="15" s="1"/>
  <c r="F86" i="15" s="1"/>
  <c r="S130" i="15"/>
  <c r="R130" i="15" s="1"/>
  <c r="P130" i="15" s="1"/>
  <c r="S293" i="15"/>
  <c r="R293" i="15" s="1"/>
  <c r="P293" i="15" s="1"/>
  <c r="V293" i="15" s="1"/>
  <c r="F293" i="15" s="1"/>
  <c r="S152" i="15"/>
  <c r="R152" i="15" s="1"/>
  <c r="P152" i="15" s="1"/>
  <c r="S223" i="15"/>
  <c r="R223" i="15" s="1"/>
  <c r="P223" i="15" s="1"/>
  <c r="V223" i="15" s="1"/>
  <c r="F223" i="15" s="1"/>
  <c r="S83" i="15"/>
  <c r="R83" i="15" s="1"/>
  <c r="P83" i="15" s="1"/>
  <c r="V83" i="15" s="1"/>
  <c r="F83" i="15" s="1"/>
  <c r="H83" i="15" s="1"/>
  <c r="S153" i="15"/>
  <c r="R153" i="15" s="1"/>
  <c r="P153" i="15" s="1"/>
  <c r="V153" i="15" s="1"/>
  <c r="F153" i="15" s="1"/>
  <c r="S264" i="15"/>
  <c r="R264" i="15" s="1"/>
  <c r="P264" i="15" s="1"/>
  <c r="V264" i="15" s="1"/>
  <c r="F264" i="15" s="1"/>
  <c r="H264" i="15" s="1"/>
  <c r="S367" i="15"/>
  <c r="R367" i="15" s="1"/>
  <c r="P367" i="15" s="1"/>
  <c r="V367" i="15" s="1"/>
  <c r="F367" i="15" s="1"/>
  <c r="S227" i="15"/>
  <c r="R227" i="15" s="1"/>
  <c r="P227" i="15" s="1"/>
  <c r="S292" i="15"/>
  <c r="R292" i="15" s="1"/>
  <c r="P292" i="15" s="1"/>
  <c r="V292" i="15" s="1"/>
  <c r="F292" i="15" s="1"/>
  <c r="S378" i="15"/>
  <c r="R378" i="15" s="1"/>
  <c r="P378" i="15" s="1"/>
  <c r="S243" i="15"/>
  <c r="R243" i="15" s="1"/>
  <c r="P243" i="15" s="1"/>
  <c r="S135" i="15"/>
  <c r="R135" i="15" s="1"/>
  <c r="P135" i="15" s="1"/>
  <c r="V135" i="15" s="1"/>
  <c r="F135" i="15" s="1"/>
  <c r="T15" i="15"/>
  <c r="U381" i="15"/>
  <c r="U382" i="15"/>
  <c r="U383" i="15"/>
  <c r="S116" i="15"/>
  <c r="R116" i="15" s="1"/>
  <c r="P116" i="15" s="1"/>
  <c r="V116" i="15" s="1"/>
  <c r="F116" i="15" s="1"/>
  <c r="S21" i="15"/>
  <c r="R21" i="15" s="1"/>
  <c r="P21" i="15" s="1"/>
  <c r="S144" i="15"/>
  <c r="R144" i="15" s="1"/>
  <c r="P144" i="15" s="1"/>
  <c r="V144" i="15" s="1"/>
  <c r="F144" i="15" s="1"/>
  <c r="AA144" i="15" s="1"/>
  <c r="Z144" i="15" s="1"/>
  <c r="Y144" i="15" s="1"/>
  <c r="S23" i="15"/>
  <c r="R23" i="15" s="1"/>
  <c r="P23" i="15" s="1"/>
  <c r="V23" i="15" s="1"/>
  <c r="F23" i="15" s="1"/>
  <c r="S157" i="15"/>
  <c r="R157" i="15" s="1"/>
  <c r="P157" i="15" s="1"/>
  <c r="V157" i="15" s="1"/>
  <c r="F157" i="15" s="1"/>
  <c r="S242" i="15"/>
  <c r="R242" i="15" s="1"/>
  <c r="P242" i="15" s="1"/>
  <c r="V242" i="15" s="1"/>
  <c r="F242" i="15" s="1"/>
  <c r="S377" i="15"/>
  <c r="R377" i="15" s="1"/>
  <c r="P377" i="15" s="1"/>
  <c r="V377" i="15" s="1"/>
  <c r="F377" i="15" s="1"/>
  <c r="S142" i="15"/>
  <c r="R142" i="15" s="1"/>
  <c r="P142" i="15" s="1"/>
  <c r="S96" i="15"/>
  <c r="R96" i="15" s="1"/>
  <c r="P96" i="15" s="1"/>
  <c r="V96" i="15" s="1"/>
  <c r="F96" i="15" s="1"/>
  <c r="S251" i="15"/>
  <c r="R251" i="15" s="1"/>
  <c r="P251" i="15" s="1"/>
  <c r="V251" i="15" s="1"/>
  <c r="F251" i="15" s="1"/>
  <c r="S150" i="15"/>
  <c r="R150" i="15" s="1"/>
  <c r="P150" i="15" s="1"/>
  <c r="V150" i="15" s="1"/>
  <c r="F150" i="15" s="1"/>
  <c r="S267" i="15"/>
  <c r="R267" i="15" s="1"/>
  <c r="P267" i="15" s="1"/>
  <c r="V267" i="15" s="1"/>
  <c r="F267" i="15" s="1"/>
  <c r="S24" i="15"/>
  <c r="R24" i="15" s="1"/>
  <c r="P24" i="15" s="1"/>
  <c r="S158" i="15"/>
  <c r="R158" i="15" s="1"/>
  <c r="P158" i="15" s="1"/>
  <c r="V158" i="15" s="1"/>
  <c r="F158" i="15" s="1"/>
  <c r="S30" i="15"/>
  <c r="R30" i="15" s="1"/>
  <c r="P30" i="15" s="1"/>
  <c r="S110" i="15"/>
  <c r="R110" i="15" s="1"/>
  <c r="P110" i="15" s="1"/>
  <c r="V110" i="15" s="1"/>
  <c r="F110" i="15" s="1"/>
  <c r="S39" i="15"/>
  <c r="R39" i="15" s="1"/>
  <c r="P39" i="15" s="1"/>
  <c r="S359" i="15"/>
  <c r="R359" i="15" s="1"/>
  <c r="P359" i="15" s="1"/>
  <c r="S273" i="15"/>
  <c r="R273" i="15" s="1"/>
  <c r="P273" i="15" s="1"/>
  <c r="V273" i="15" s="1"/>
  <c r="F273" i="15" s="1"/>
  <c r="S201" i="15"/>
  <c r="R201" i="15" s="1"/>
  <c r="P201" i="15" s="1"/>
  <c r="V201" i="15" s="1"/>
  <c r="F201" i="15" s="1"/>
  <c r="S284" i="15"/>
  <c r="R284" i="15" s="1"/>
  <c r="P284" i="15" s="1"/>
  <c r="S19" i="15"/>
  <c r="R19" i="15" s="1"/>
  <c r="P19" i="15" s="1"/>
  <c r="S249" i="15"/>
  <c r="R249" i="15" s="1"/>
  <c r="P249" i="15" s="1"/>
  <c r="V249" i="15" s="1"/>
  <c r="F249" i="15" s="1"/>
  <c r="S250" i="15"/>
  <c r="R250" i="15" s="1"/>
  <c r="P250" i="15" s="1"/>
  <c r="S128" i="15"/>
  <c r="R128" i="15" s="1"/>
  <c r="P128" i="15" s="1"/>
  <c r="V128" i="15" s="1"/>
  <c r="F128" i="15" s="1"/>
  <c r="S27" i="15"/>
  <c r="R27" i="15" s="1"/>
  <c r="P27" i="15" s="1"/>
  <c r="V27" i="15" s="1"/>
  <c r="F27" i="15" s="1"/>
  <c r="S125" i="15"/>
  <c r="R125" i="15" s="1"/>
  <c r="P125" i="15" s="1"/>
  <c r="V125" i="15" s="1"/>
  <c r="F125" i="15" s="1"/>
  <c r="S226" i="15"/>
  <c r="R226" i="15" s="1"/>
  <c r="P226" i="15" s="1"/>
  <c r="V226" i="15" s="1"/>
  <c r="F226" i="15" s="1"/>
  <c r="S98" i="15"/>
  <c r="R98" i="15" s="1"/>
  <c r="P98" i="15" s="1"/>
  <c r="S362" i="15"/>
  <c r="R362" i="15" s="1"/>
  <c r="P362" i="15" s="1"/>
  <c r="S120" i="15"/>
  <c r="R120" i="15" s="1"/>
  <c r="P120" i="15" s="1"/>
  <c r="V120" i="15" s="1"/>
  <c r="F120" i="15" s="1"/>
  <c r="S269" i="15"/>
  <c r="R269" i="15" s="1"/>
  <c r="P269" i="15" s="1"/>
  <c r="V269" i="15" s="1"/>
  <c r="F269" i="15" s="1"/>
  <c r="H269" i="15" s="1"/>
  <c r="J16" i="7"/>
  <c r="P11" i="7" s="1"/>
  <c r="U11" i="16" s="1"/>
  <c r="T379" i="15"/>
  <c r="U12" i="16"/>
  <c r="S254" i="15"/>
  <c r="R254" i="15" s="1"/>
  <c r="P254" i="15" s="1"/>
  <c r="V254" i="15" s="1"/>
  <c r="F254" i="15" s="1"/>
  <c r="S126" i="15"/>
  <c r="R126" i="15" s="1"/>
  <c r="P126" i="15" s="1"/>
  <c r="V126" i="15" s="1"/>
  <c r="F126" i="15" s="1"/>
  <c r="H126" i="15" s="1"/>
  <c r="S346" i="15"/>
  <c r="R346" i="15" s="1"/>
  <c r="P346" i="15" s="1"/>
  <c r="V346" i="15" s="1"/>
  <c r="F346" i="15" s="1"/>
  <c r="S93" i="15"/>
  <c r="R93" i="15" s="1"/>
  <c r="P93" i="15" s="1"/>
  <c r="V93" i="15" s="1"/>
  <c r="F93" i="15" s="1"/>
  <c r="G93" i="15" s="1"/>
  <c r="BX93" i="6" s="1"/>
  <c r="S245" i="15"/>
  <c r="R245" i="15" s="1"/>
  <c r="P245" i="15" s="1"/>
  <c r="V245" i="15" s="1"/>
  <c r="F245" i="15" s="1"/>
  <c r="H245" i="15" s="1"/>
  <c r="S16" i="15"/>
  <c r="R16" i="15" s="1"/>
  <c r="P16" i="15" s="1"/>
  <c r="V16" i="15" s="1"/>
  <c r="F16" i="15" s="1"/>
  <c r="S172" i="15"/>
  <c r="R172" i="15" s="1"/>
  <c r="P172" i="15" s="1"/>
  <c r="V172" i="15" s="1"/>
  <c r="F172" i="15" s="1"/>
  <c r="S193" i="15"/>
  <c r="R193" i="15" s="1"/>
  <c r="P193" i="15" s="1"/>
  <c r="V193" i="15" s="1"/>
  <c r="F193" i="15" s="1"/>
  <c r="S121" i="15"/>
  <c r="R121" i="15" s="1"/>
  <c r="P121" i="15" s="1"/>
  <c r="V121" i="15" s="1"/>
  <c r="F121" i="15" s="1"/>
  <c r="S212" i="15"/>
  <c r="R212" i="15" s="1"/>
  <c r="P212" i="15" s="1"/>
  <c r="V212" i="15" s="1"/>
  <c r="F212" i="15" s="1"/>
  <c r="S82" i="15"/>
  <c r="R82" i="15" s="1"/>
  <c r="P82" i="15" s="1"/>
  <c r="V82" i="15" s="1"/>
  <c r="F82" i="15" s="1"/>
  <c r="S238" i="15"/>
  <c r="R238" i="15" s="1"/>
  <c r="P238" i="15" s="1"/>
  <c r="V238" i="15" s="1"/>
  <c r="F238" i="15" s="1"/>
  <c r="G238" i="15" s="1"/>
  <c r="BX238" i="6" s="1"/>
  <c r="P332" i="15"/>
  <c r="V332" i="15" s="1"/>
  <c r="F332" i="15" s="1"/>
  <c r="P221" i="15"/>
  <c r="V221" i="15" s="1"/>
  <c r="F221" i="15" s="1"/>
  <c r="G221" i="15" s="1"/>
  <c r="BX221" i="6" s="1"/>
  <c r="P234" i="15"/>
  <c r="V234" i="15" s="1"/>
  <c r="F234" i="15" s="1"/>
  <c r="AA234" i="15" s="1"/>
  <c r="Z234" i="15" s="1"/>
  <c r="Y234" i="15" s="1"/>
  <c r="P233" i="15"/>
  <c r="V233" i="15" s="1"/>
  <c r="F233" i="15" s="1"/>
  <c r="P146" i="15"/>
  <c r="V146" i="15" s="1"/>
  <c r="F146" i="15" s="1"/>
  <c r="G146" i="15" s="1"/>
  <c r="BX146" i="6" s="1"/>
  <c r="P296" i="15"/>
  <c r="V296" i="15" s="1"/>
  <c r="F296" i="15" s="1"/>
  <c r="H296" i="15" s="1"/>
  <c r="J296" i="15" s="1"/>
  <c r="P211" i="15"/>
  <c r="V211" i="15" s="1"/>
  <c r="F211" i="15" s="1"/>
  <c r="H211" i="15" s="1"/>
  <c r="P315" i="15"/>
  <c r="V315" i="15" s="1"/>
  <c r="F315" i="15" s="1"/>
  <c r="G315" i="15" s="1"/>
  <c r="BX315" i="6" s="1"/>
  <c r="AD18" i="15"/>
  <c r="AD29" i="15"/>
  <c r="AD88" i="15"/>
  <c r="AD19" i="15"/>
  <c r="AD30" i="15"/>
  <c r="AD118" i="15"/>
  <c r="AD296" i="15"/>
  <c r="S228" i="15"/>
  <c r="R228" i="15" s="1"/>
  <c r="P228" i="15" s="1"/>
  <c r="V228" i="15" s="1"/>
  <c r="F228" i="15" s="1"/>
  <c r="S145" i="15"/>
  <c r="R145" i="15" s="1"/>
  <c r="P145" i="15" s="1"/>
  <c r="S282" i="15"/>
  <c r="R282" i="15" s="1"/>
  <c r="P282" i="15" s="1"/>
  <c r="P76" i="15"/>
  <c r="V76" i="15" s="1"/>
  <c r="F76" i="15" s="1"/>
  <c r="AA76" i="15" s="1"/>
  <c r="Z76" i="15" s="1"/>
  <c r="Y76" i="15" s="1"/>
  <c r="P312" i="15"/>
  <c r="V312" i="15" s="1"/>
  <c r="F312" i="15" s="1"/>
  <c r="AA312" i="15" s="1"/>
  <c r="Z312" i="15" s="1"/>
  <c r="Y312" i="15" s="1"/>
  <c r="P329" i="15"/>
  <c r="V329" i="15" s="1"/>
  <c r="F329" i="15" s="1"/>
  <c r="P209" i="15"/>
  <c r="V209" i="15" s="1"/>
  <c r="F209" i="15" s="1"/>
  <c r="P371" i="15"/>
  <c r="V371" i="15" s="1"/>
  <c r="F371" i="15" s="1"/>
  <c r="P311" i="15"/>
  <c r="V311" i="15" s="1"/>
  <c r="F311" i="15" s="1"/>
  <c r="AD327" i="15"/>
  <c r="AD236" i="15"/>
  <c r="AD373" i="15"/>
  <c r="AD242" i="15"/>
  <c r="AD189" i="15"/>
  <c r="AA189" i="15" s="1"/>
  <c r="Z189" i="15" s="1"/>
  <c r="Y189" i="15" s="1"/>
  <c r="AD368" i="15"/>
  <c r="AD302" i="15"/>
  <c r="S263" i="15"/>
  <c r="R263" i="15" s="1"/>
  <c r="P263" i="15" s="1"/>
  <c r="V263" i="15" s="1"/>
  <c r="F263" i="15" s="1"/>
  <c r="S63" i="15"/>
  <c r="R63" i="15" s="1"/>
  <c r="P63" i="15" s="1"/>
  <c r="V63" i="15" s="1"/>
  <c r="F63" i="15" s="1"/>
  <c r="S372" i="15"/>
  <c r="R372" i="15" s="1"/>
  <c r="P372" i="15" s="1"/>
  <c r="V372" i="15" s="1"/>
  <c r="F372" i="15" s="1"/>
  <c r="S38" i="15"/>
  <c r="R38" i="15" s="1"/>
  <c r="P38" i="15" s="1"/>
  <c r="V38" i="15" s="1"/>
  <c r="F38" i="15" s="1"/>
  <c r="S90" i="15"/>
  <c r="R90" i="15" s="1"/>
  <c r="P90" i="15" s="1"/>
  <c r="V90" i="15" s="1"/>
  <c r="F90" i="15" s="1"/>
  <c r="S358" i="15"/>
  <c r="R358" i="15" s="1"/>
  <c r="P358" i="15" s="1"/>
  <c r="V358" i="15" s="1"/>
  <c r="S260" i="15"/>
  <c r="R260" i="15" s="1"/>
  <c r="P260" i="15" s="1"/>
  <c r="V260" i="15" s="1"/>
  <c r="F260" i="15" s="1"/>
  <c r="S248" i="15"/>
  <c r="R248" i="15" s="1"/>
  <c r="P248" i="15" s="1"/>
  <c r="V248" i="15" s="1"/>
  <c r="F248" i="15" s="1"/>
  <c r="S51" i="15"/>
  <c r="R51" i="15" s="1"/>
  <c r="P51" i="15" s="1"/>
  <c r="V51" i="15" s="1"/>
  <c r="F51" i="15" s="1"/>
  <c r="S124" i="15"/>
  <c r="R124" i="15" s="1"/>
  <c r="P124" i="15" s="1"/>
  <c r="V124" i="15" s="1"/>
  <c r="F124" i="15" s="1"/>
  <c r="S364" i="15"/>
  <c r="R364" i="15" s="1"/>
  <c r="P364" i="15" s="1"/>
  <c r="V364" i="15" s="1"/>
  <c r="F364" i="15" s="1"/>
  <c r="S129" i="15"/>
  <c r="R129" i="15" s="1"/>
  <c r="P129" i="15" s="1"/>
  <c r="V129" i="15" s="1"/>
  <c r="F129" i="15" s="1"/>
  <c r="S31" i="15"/>
  <c r="R31" i="15" s="1"/>
  <c r="P31" i="15" s="1"/>
  <c r="V31" i="15" s="1"/>
  <c r="F31" i="15" s="1"/>
  <c r="H31" i="15" s="1"/>
  <c r="AG250" i="15"/>
  <c r="AF250" i="15" s="1"/>
  <c r="AD250" i="15" s="1"/>
  <c r="AG273" i="15"/>
  <c r="AF273" i="15" s="1"/>
  <c r="AD273" i="15" s="1"/>
  <c r="AG134" i="15"/>
  <c r="AF134" i="15" s="1"/>
  <c r="AD134" i="15" s="1"/>
  <c r="AG90" i="15"/>
  <c r="AF90" i="15" s="1"/>
  <c r="AD90" i="15" s="1"/>
  <c r="AG33" i="15"/>
  <c r="AF33" i="15" s="1"/>
  <c r="AD33" i="15" s="1"/>
  <c r="AG160" i="15"/>
  <c r="AF160" i="15" s="1"/>
  <c r="AD160" i="15" s="1"/>
  <c r="AG21" i="15"/>
  <c r="AF21" i="15" s="1"/>
  <c r="AD21" i="15" s="1"/>
  <c r="AG299" i="15"/>
  <c r="AF299" i="15" s="1"/>
  <c r="AD299" i="15" s="1"/>
  <c r="AG339" i="15"/>
  <c r="AF339" i="15" s="1"/>
  <c r="AD339" i="15" s="1"/>
  <c r="AA339" i="15" s="1"/>
  <c r="Z339" i="15" s="1"/>
  <c r="Y339" i="15" s="1"/>
  <c r="AG113" i="15"/>
  <c r="AF113" i="15" s="1"/>
  <c r="AD113" i="15" s="1"/>
  <c r="AG271" i="15"/>
  <c r="AF271" i="15" s="1"/>
  <c r="AD271" i="15" s="1"/>
  <c r="AG214" i="15"/>
  <c r="AF214" i="15" s="1"/>
  <c r="AD214" i="15" s="1"/>
  <c r="S17" i="15"/>
  <c r="R17" i="15" s="1"/>
  <c r="P17" i="15" s="1"/>
  <c r="S151" i="15"/>
  <c r="R151" i="15" s="1"/>
  <c r="P151" i="15" s="1"/>
  <c r="V151" i="15" s="1"/>
  <c r="F151" i="15" s="1"/>
  <c r="S92" i="15"/>
  <c r="R92" i="15" s="1"/>
  <c r="P92" i="15" s="1"/>
  <c r="V92" i="15" s="1"/>
  <c r="F92" i="15" s="1"/>
  <c r="S265" i="15"/>
  <c r="R265" i="15" s="1"/>
  <c r="P265" i="15" s="1"/>
  <c r="V265" i="15" s="1"/>
  <c r="F265" i="15" s="1"/>
  <c r="S231" i="15"/>
  <c r="R231" i="15" s="1"/>
  <c r="P231" i="15" s="1"/>
  <c r="S368" i="15"/>
  <c r="R368" i="15" s="1"/>
  <c r="P368" i="15" s="1"/>
  <c r="V368" i="15" s="1"/>
  <c r="F368" i="15" s="1"/>
  <c r="S291" i="15"/>
  <c r="R291" i="15" s="1"/>
  <c r="P291" i="15" s="1"/>
  <c r="V291" i="15" s="1"/>
  <c r="F291" i="15" s="1"/>
  <c r="S147" i="15"/>
  <c r="R147" i="15" s="1"/>
  <c r="P147" i="15" s="1"/>
  <c r="V147" i="15" s="1"/>
  <c r="F147" i="15" s="1"/>
  <c r="AG26" i="15"/>
  <c r="AF26" i="15" s="1"/>
  <c r="AD26" i="15" s="1"/>
  <c r="AG16" i="15"/>
  <c r="AF16" i="15" s="1"/>
  <c r="AD16" i="15" s="1"/>
  <c r="AG78" i="15"/>
  <c r="AF78" i="15" s="1"/>
  <c r="AD78" i="15" s="1"/>
  <c r="AG254" i="15"/>
  <c r="AF254" i="15" s="1"/>
  <c r="AD254" i="15" s="1"/>
  <c r="AG132" i="15"/>
  <c r="AF132" i="15" s="1"/>
  <c r="AD132" i="15" s="1"/>
  <c r="AG135" i="15"/>
  <c r="AF135" i="15" s="1"/>
  <c r="AD135" i="15" s="1"/>
  <c r="AG259" i="15"/>
  <c r="AF259" i="15" s="1"/>
  <c r="AD259" i="15" s="1"/>
  <c r="AG153" i="15"/>
  <c r="AF153" i="15" s="1"/>
  <c r="AD153" i="15" s="1"/>
  <c r="AG104" i="15"/>
  <c r="AF104" i="15" s="1"/>
  <c r="AD104" i="15" s="1"/>
  <c r="AG211" i="15"/>
  <c r="AF211" i="15" s="1"/>
  <c r="AD211" i="15" s="1"/>
  <c r="AG361" i="15"/>
  <c r="AF361" i="15" s="1"/>
  <c r="AD361" i="15" s="1"/>
  <c r="AG141" i="15"/>
  <c r="AF141" i="15" s="1"/>
  <c r="AD141" i="15" s="1"/>
  <c r="AG241" i="15"/>
  <c r="AF241" i="15" s="1"/>
  <c r="AD241" i="15" s="1"/>
  <c r="AG138" i="15"/>
  <c r="AF138" i="15" s="1"/>
  <c r="AD138" i="15" s="1"/>
  <c r="S217" i="15"/>
  <c r="R217" i="15" s="1"/>
  <c r="P217" i="15" s="1"/>
  <c r="V217" i="15" s="1"/>
  <c r="F217" i="15" s="1"/>
  <c r="S289" i="15"/>
  <c r="R289" i="15" s="1"/>
  <c r="P289" i="15" s="1"/>
  <c r="S33" i="15"/>
  <c r="R33" i="15" s="1"/>
  <c r="P33" i="15" s="1"/>
  <c r="V33" i="15" s="1"/>
  <c r="F33" i="15" s="1"/>
  <c r="S84" i="15"/>
  <c r="R84" i="15" s="1"/>
  <c r="P84" i="15" s="1"/>
  <c r="V84" i="15" s="1"/>
  <c r="F84" i="15" s="1"/>
  <c r="S100" i="15"/>
  <c r="R100" i="15" s="1"/>
  <c r="P100" i="15" s="1"/>
  <c r="V100" i="15" s="1"/>
  <c r="F100" i="15" s="1"/>
  <c r="H100" i="15" s="1"/>
  <c r="S143" i="15"/>
  <c r="R143" i="15" s="1"/>
  <c r="P143" i="15" s="1"/>
  <c r="V143" i="15" s="1"/>
  <c r="F143" i="15" s="1"/>
  <c r="S369" i="15"/>
  <c r="R369" i="15" s="1"/>
  <c r="P369" i="15" s="1"/>
  <c r="V369" i="15" s="1"/>
  <c r="F369" i="15" s="1"/>
  <c r="S113" i="15"/>
  <c r="R113" i="15" s="1"/>
  <c r="P113" i="15" s="1"/>
  <c r="V113" i="15" s="1"/>
  <c r="F113" i="15" s="1"/>
  <c r="S224" i="15"/>
  <c r="R224" i="15" s="1"/>
  <c r="P224" i="15" s="1"/>
  <c r="V224" i="15" s="1"/>
  <c r="F224" i="15" s="1"/>
  <c r="G224" i="15" s="1"/>
  <c r="BX224" i="6" s="1"/>
  <c r="S156" i="15"/>
  <c r="R156" i="15" s="1"/>
  <c r="P156" i="15" s="1"/>
  <c r="V156" i="15" s="1"/>
  <c r="F156" i="15" s="1"/>
  <c r="S341" i="15"/>
  <c r="R341" i="15" s="1"/>
  <c r="P341" i="15" s="1"/>
  <c r="S85" i="15"/>
  <c r="R85" i="15" s="1"/>
  <c r="P85" i="15" s="1"/>
  <c r="V85" i="15" s="1"/>
  <c r="F85" i="15" s="1"/>
  <c r="H85" i="15" s="1"/>
  <c r="S247" i="15"/>
  <c r="R247" i="15" s="1"/>
  <c r="P247" i="15" s="1"/>
  <c r="S262" i="15"/>
  <c r="R262" i="15" s="1"/>
  <c r="P262" i="15" s="1"/>
  <c r="V262" i="15" s="1"/>
  <c r="F262" i="15" s="1"/>
  <c r="S133" i="15"/>
  <c r="R133" i="15" s="1"/>
  <c r="P133" i="15" s="1"/>
  <c r="V133" i="15" s="1"/>
  <c r="F133" i="15" s="1"/>
  <c r="S206" i="15"/>
  <c r="R206" i="15" s="1"/>
  <c r="P206" i="15" s="1"/>
  <c r="S87" i="15"/>
  <c r="R87" i="15" s="1"/>
  <c r="P87" i="15" s="1"/>
  <c r="V87" i="15" s="1"/>
  <c r="F87" i="15" s="1"/>
  <c r="G87" i="15" s="1"/>
  <c r="BX87" i="6" s="1"/>
  <c r="S214" i="15"/>
  <c r="R214" i="15" s="1"/>
  <c r="P214" i="15" s="1"/>
  <c r="S258" i="15"/>
  <c r="R258" i="15" s="1"/>
  <c r="P258" i="15" s="1"/>
  <c r="V258" i="15" s="1"/>
  <c r="F258" i="15" s="1"/>
  <c r="G258" i="15" s="1"/>
  <c r="BX258" i="6" s="1"/>
  <c r="S28" i="15"/>
  <c r="R28" i="15" s="1"/>
  <c r="P28" i="15" s="1"/>
  <c r="V28" i="15" s="1"/>
  <c r="F28" i="15" s="1"/>
  <c r="AG22" i="15"/>
  <c r="AF22" i="15" s="1"/>
  <c r="AD22" i="15" s="1"/>
  <c r="S281" i="15"/>
  <c r="R281" i="15" s="1"/>
  <c r="P281" i="15" s="1"/>
  <c r="V281" i="15" s="1"/>
  <c r="F281" i="15" s="1"/>
  <c r="S25" i="15"/>
  <c r="R25" i="15" s="1"/>
  <c r="P25" i="15" s="1"/>
  <c r="S111" i="15"/>
  <c r="R111" i="15" s="1"/>
  <c r="P111" i="15" s="1"/>
  <c r="V111" i="15" s="1"/>
  <c r="F111" i="15" s="1"/>
  <c r="S97" i="15"/>
  <c r="R97" i="15" s="1"/>
  <c r="P97" i="15" s="1"/>
  <c r="V97" i="15" s="1"/>
  <c r="F97" i="15" s="1"/>
  <c r="S208" i="15"/>
  <c r="R208" i="15" s="1"/>
  <c r="P208" i="15" s="1"/>
  <c r="V208" i="15" s="1"/>
  <c r="F208" i="15" s="1"/>
  <c r="S348" i="15"/>
  <c r="R348" i="15" s="1"/>
  <c r="P348" i="15" s="1"/>
  <c r="V348" i="15" s="1"/>
  <c r="F348" i="15" s="1"/>
  <c r="S236" i="15"/>
  <c r="R236" i="15" s="1"/>
  <c r="P236" i="15" s="1"/>
  <c r="S108" i="15"/>
  <c r="R108" i="15" s="1"/>
  <c r="P108" i="15" s="1"/>
  <c r="V108" i="15" s="1"/>
  <c r="F108" i="15" s="1"/>
  <c r="S127" i="15"/>
  <c r="R127" i="15" s="1"/>
  <c r="P127" i="15" s="1"/>
  <c r="V127" i="15" s="1"/>
  <c r="F127" i="15" s="1"/>
  <c r="S105" i="15"/>
  <c r="R105" i="15" s="1"/>
  <c r="P105" i="15" s="1"/>
  <c r="V105" i="15" s="1"/>
  <c r="S216" i="15"/>
  <c r="R216" i="15" s="1"/>
  <c r="P216" i="15" s="1"/>
  <c r="S271" i="15"/>
  <c r="R271" i="15" s="1"/>
  <c r="P271" i="15" s="1"/>
  <c r="S244" i="15"/>
  <c r="R244" i="15" s="1"/>
  <c r="P244" i="15" s="1"/>
  <c r="V244" i="15" s="1"/>
  <c r="F244" i="15" s="1"/>
  <c r="S149" i="15"/>
  <c r="R149" i="15" s="1"/>
  <c r="P149" i="15" s="1"/>
  <c r="S18" i="15"/>
  <c r="R18" i="15" s="1"/>
  <c r="P18" i="15" s="1"/>
  <c r="S326" i="15"/>
  <c r="R326" i="15" s="1"/>
  <c r="P326" i="15" s="1"/>
  <c r="V326" i="15" s="1"/>
  <c r="F326" i="15" s="1"/>
  <c r="S114" i="15"/>
  <c r="R114" i="15" s="1"/>
  <c r="P114" i="15" s="1"/>
  <c r="S261" i="15"/>
  <c r="R261" i="15" s="1"/>
  <c r="P261" i="15" s="1"/>
  <c r="V261" i="15" s="1"/>
  <c r="F261" i="15" s="1"/>
  <c r="S136" i="15"/>
  <c r="R136" i="15" s="1"/>
  <c r="P136" i="15" s="1"/>
  <c r="V136" i="15" s="1"/>
  <c r="F136" i="15" s="1"/>
  <c r="S301" i="15"/>
  <c r="R301" i="15" s="1"/>
  <c r="P301" i="15" s="1"/>
  <c r="V301" i="15" s="1"/>
  <c r="F301" i="15" s="1"/>
  <c r="S270" i="15"/>
  <c r="R270" i="15" s="1"/>
  <c r="P270" i="15" s="1"/>
  <c r="V270" i="15" s="1"/>
  <c r="F270" i="15" s="1"/>
  <c r="S279" i="15"/>
  <c r="R279" i="15" s="1"/>
  <c r="P279" i="15" s="1"/>
  <c r="V279" i="15" s="1"/>
  <c r="F279" i="15" s="1"/>
  <c r="S22" i="15"/>
  <c r="R22" i="15" s="1"/>
  <c r="P22" i="15" s="1"/>
  <c r="V22" i="15" s="1"/>
  <c r="F22" i="15" s="1"/>
  <c r="S165" i="15"/>
  <c r="R165" i="15" s="1"/>
  <c r="P165" i="15" s="1"/>
  <c r="V165" i="15" s="1"/>
  <c r="F165" i="15" s="1"/>
  <c r="S88" i="15"/>
  <c r="R88" i="15" s="1"/>
  <c r="P88" i="15" s="1"/>
  <c r="S222" i="15"/>
  <c r="R222" i="15" s="1"/>
  <c r="P222" i="15" s="1"/>
  <c r="V222" i="15" s="1"/>
  <c r="F222" i="15" s="1"/>
  <c r="S94" i="15"/>
  <c r="R94" i="15" s="1"/>
  <c r="P94" i="15" s="1"/>
  <c r="V94" i="15" s="1"/>
  <c r="F94" i="15" s="1"/>
  <c r="H94" i="15" s="1"/>
  <c r="S266" i="15"/>
  <c r="R266" i="15" s="1"/>
  <c r="P266" i="15" s="1"/>
  <c r="V266" i="15" s="1"/>
  <c r="F266" i="15" s="1"/>
  <c r="S138" i="15"/>
  <c r="R138" i="15" s="1"/>
  <c r="P138" i="15" s="1"/>
  <c r="V138" i="15" s="1"/>
  <c r="F138" i="15" s="1"/>
  <c r="S119" i="15"/>
  <c r="R119" i="15" s="1"/>
  <c r="P119" i="15" s="1"/>
  <c r="S166" i="15"/>
  <c r="R166" i="15" s="1"/>
  <c r="P166" i="15" s="1"/>
  <c r="V166" i="15" s="1"/>
  <c r="F166" i="15" s="1"/>
  <c r="G166" i="15" s="1"/>
  <c r="BX166" i="6" s="1"/>
  <c r="S370" i="15"/>
  <c r="R370" i="15" s="1"/>
  <c r="P370" i="15" s="1"/>
  <c r="V370" i="15" s="1"/>
  <c r="F370" i="15" s="1"/>
  <c r="S52" i="15"/>
  <c r="R52" i="15" s="1"/>
  <c r="P52" i="15" s="1"/>
  <c r="S235" i="15"/>
  <c r="R235" i="15" s="1"/>
  <c r="P235" i="15" s="1"/>
  <c r="V235" i="15" s="1"/>
  <c r="F235" i="15" s="1"/>
  <c r="S319" i="15"/>
  <c r="R319" i="15" s="1"/>
  <c r="P319" i="15" s="1"/>
  <c r="S232" i="15"/>
  <c r="R232" i="15" s="1"/>
  <c r="P232" i="15" s="1"/>
  <c r="V232" i="15" s="1"/>
  <c r="F232" i="15" s="1"/>
  <c r="S154" i="15"/>
  <c r="R154" i="15" s="1"/>
  <c r="P154" i="15" s="1"/>
  <c r="V154" i="15" s="1"/>
  <c r="F154" i="15" s="1"/>
  <c r="S78" i="15"/>
  <c r="R78" i="15" s="1"/>
  <c r="P78" i="15" s="1"/>
  <c r="S253" i="15"/>
  <c r="R253" i="15" s="1"/>
  <c r="P253" i="15" s="1"/>
  <c r="V253" i="15" s="1"/>
  <c r="F253" i="15" s="1"/>
  <c r="S374" i="15"/>
  <c r="R374" i="15" s="1"/>
  <c r="P374" i="15" s="1"/>
  <c r="V374" i="15" s="1"/>
  <c r="F374" i="15" s="1"/>
  <c r="S246" i="15"/>
  <c r="R246" i="15" s="1"/>
  <c r="P246" i="15" s="1"/>
  <c r="V246" i="15" s="1"/>
  <c r="F246" i="15" s="1"/>
  <c r="G246" i="15" s="1"/>
  <c r="BX246" i="6" s="1"/>
  <c r="S118" i="15"/>
  <c r="R118" i="15" s="1"/>
  <c r="P118" i="15" s="1"/>
  <c r="V118" i="15" s="1"/>
  <c r="F118" i="15" s="1"/>
  <c r="S162" i="15"/>
  <c r="R162" i="15" s="1"/>
  <c r="P162" i="15" s="1"/>
  <c r="V162" i="15" s="1"/>
  <c r="F162" i="15" s="1"/>
  <c r="S34" i="15"/>
  <c r="R34" i="15" s="1"/>
  <c r="P34" i="15" s="1"/>
  <c r="S101" i="15"/>
  <c r="R101" i="15" s="1"/>
  <c r="P101" i="15" s="1"/>
  <c r="V101" i="15" s="1"/>
  <c r="F101" i="15" s="1"/>
  <c r="G101" i="15" s="1"/>
  <c r="BX101" i="6" s="1"/>
  <c r="S91" i="15"/>
  <c r="R91" i="15" s="1"/>
  <c r="P91" i="15" s="1"/>
  <c r="S141" i="15"/>
  <c r="R141" i="15" s="1"/>
  <c r="P141" i="15" s="1"/>
  <c r="V141" i="15" s="1"/>
  <c r="F141" i="15" s="1"/>
  <c r="S106" i="15"/>
  <c r="R106" i="15" s="1"/>
  <c r="P106" i="15" s="1"/>
  <c r="V106" i="15" s="1"/>
  <c r="F106" i="15" s="1"/>
  <c r="S366" i="15"/>
  <c r="R366" i="15" s="1"/>
  <c r="P366" i="15" s="1"/>
  <c r="V366" i="15" s="1"/>
  <c r="F366" i="15" s="1"/>
  <c r="S210" i="15"/>
  <c r="R210" i="15" s="1"/>
  <c r="P210" i="15" s="1"/>
  <c r="S112" i="15"/>
  <c r="R112" i="15" s="1"/>
  <c r="P112" i="15" s="1"/>
  <c r="V112" i="15" s="1"/>
  <c r="F112" i="15" s="1"/>
  <c r="S308" i="15"/>
  <c r="R308" i="15" s="1"/>
  <c r="P308" i="15" s="1"/>
  <c r="V308" i="15" s="1"/>
  <c r="F308" i="15" s="1"/>
  <c r="S323" i="15"/>
  <c r="R323" i="15" s="1"/>
  <c r="P323" i="15" s="1"/>
  <c r="V323" i="15" s="1"/>
  <c r="F323" i="15" s="1"/>
  <c r="S299" i="15"/>
  <c r="R299" i="15" s="1"/>
  <c r="P299" i="15" s="1"/>
  <c r="V299" i="15" s="1"/>
  <c r="F299" i="15" s="1"/>
  <c r="G299" i="15" s="1"/>
  <c r="BX299" i="6" s="1"/>
  <c r="S159" i="15"/>
  <c r="R159" i="15" s="1"/>
  <c r="P159" i="15" s="1"/>
  <c r="V159" i="15" s="1"/>
  <c r="F159" i="15" s="1"/>
  <c r="AA159" i="15" s="1"/>
  <c r="Z159" i="15" s="1"/>
  <c r="Y159" i="15" s="1"/>
  <c r="S360" i="15"/>
  <c r="R360" i="15" s="1"/>
  <c r="P360" i="15" s="1"/>
  <c r="V360" i="15" s="1"/>
  <c r="F360" i="15" s="1"/>
  <c r="S65" i="15"/>
  <c r="R65" i="15" s="1"/>
  <c r="P65" i="15" s="1"/>
  <c r="V65" i="15" s="1"/>
  <c r="F65" i="15" s="1"/>
  <c r="S164" i="15"/>
  <c r="R164" i="15" s="1"/>
  <c r="P164" i="15" s="1"/>
  <c r="V164" i="15" s="1"/>
  <c r="F164" i="15" s="1"/>
  <c r="S256" i="15"/>
  <c r="R256" i="15" s="1"/>
  <c r="P256" i="15" s="1"/>
  <c r="S117" i="15"/>
  <c r="R117" i="15" s="1"/>
  <c r="P117" i="15" s="1"/>
  <c r="V117" i="15" s="1"/>
  <c r="F117" i="15" s="1"/>
  <c r="S104" i="15"/>
  <c r="R104" i="15" s="1"/>
  <c r="P104" i="15" s="1"/>
  <c r="V104" i="15" s="1"/>
  <c r="F104" i="15" s="1"/>
  <c r="S26" i="15"/>
  <c r="R26" i="15" s="1"/>
  <c r="P26" i="15" s="1"/>
  <c r="P69" i="15"/>
  <c r="V69" i="15" s="1"/>
  <c r="F69" i="15" s="1"/>
  <c r="P361" i="15"/>
  <c r="V361" i="15" s="1"/>
  <c r="F361" i="15" s="1"/>
  <c r="H361" i="15" s="1"/>
  <c r="I361" i="15" s="1"/>
  <c r="P66" i="15"/>
  <c r="V66" i="15" s="1"/>
  <c r="F66" i="15" s="1"/>
  <c r="G66" i="15" s="1"/>
  <c r="BX66" i="6" s="1"/>
  <c r="P213" i="15"/>
  <c r="V213" i="15" s="1"/>
  <c r="F213" i="15" s="1"/>
  <c r="P286" i="15"/>
  <c r="V286" i="15" s="1"/>
  <c r="F286" i="15" s="1"/>
  <c r="G286" i="15" s="1"/>
  <c r="BX286" i="6" s="1"/>
  <c r="V363" i="15"/>
  <c r="F363" i="15" s="1"/>
  <c r="AD121" i="15"/>
  <c r="AD268" i="15"/>
  <c r="AD223" i="15"/>
  <c r="AD348" i="15"/>
  <c r="AD372" i="15"/>
  <c r="AD95" i="15"/>
  <c r="AD164" i="15"/>
  <c r="S75" i="15"/>
  <c r="R75" i="15" s="1"/>
  <c r="P75" i="15" s="1"/>
  <c r="P304" i="15"/>
  <c r="V304" i="15" s="1"/>
  <c r="F304" i="15" s="1"/>
  <c r="G304" i="15" s="1"/>
  <c r="BX304" i="6" s="1"/>
  <c r="P298" i="15"/>
  <c r="V298" i="15" s="1"/>
  <c r="F298" i="15" s="1"/>
  <c r="G298" i="15" s="1"/>
  <c r="BX298" i="6" s="1"/>
  <c r="P205" i="15"/>
  <c r="V205" i="15" s="1"/>
  <c r="F205" i="15" s="1"/>
  <c r="G205" i="15" s="1"/>
  <c r="BX205" i="6" s="1"/>
  <c r="P303" i="15"/>
  <c r="V303" i="15" s="1"/>
  <c r="F303" i="15" s="1"/>
  <c r="G303" i="15" s="1"/>
  <c r="BX303" i="6" s="1"/>
  <c r="P375" i="15"/>
  <c r="V375" i="15" s="1"/>
  <c r="F375" i="15" s="1"/>
  <c r="G375" i="15" s="1"/>
  <c r="BX375" i="6" s="1"/>
  <c r="AD199" i="15"/>
  <c r="AA199" i="15" s="1"/>
  <c r="Z199" i="15" s="1"/>
  <c r="Y199" i="15" s="1"/>
  <c r="AD131" i="15"/>
  <c r="AA131" i="15" s="1"/>
  <c r="Z131" i="15" s="1"/>
  <c r="Y131" i="15" s="1"/>
  <c r="AD143" i="15"/>
  <c r="AD376" i="15"/>
  <c r="AD37" i="15"/>
  <c r="AA37" i="15" s="1"/>
  <c r="Z37" i="15" s="1"/>
  <c r="Y37" i="15" s="1"/>
  <c r="AD146" i="15"/>
  <c r="AD174" i="15"/>
  <c r="AA174" i="15" s="1"/>
  <c r="Z174" i="15" s="1"/>
  <c r="Y174" i="15" s="1"/>
  <c r="AD320" i="15"/>
  <c r="AA320" i="15" s="1"/>
  <c r="Z320" i="15" s="1"/>
  <c r="Y320" i="15" s="1"/>
  <c r="J318" i="15"/>
  <c r="H45" i="15"/>
  <c r="J45" i="15" s="1"/>
  <c r="I72" i="15"/>
  <c r="H306" i="15"/>
  <c r="I306" i="15" s="1"/>
  <c r="G189" i="15"/>
  <c r="BX189" i="6" s="1"/>
  <c r="I185" i="15"/>
  <c r="H191" i="15"/>
  <c r="J191" i="15" s="1"/>
  <c r="AA307" i="15"/>
  <c r="Z307" i="15" s="1"/>
  <c r="Y307" i="15" s="1"/>
  <c r="H305" i="15"/>
  <c r="J305" i="15" s="1"/>
  <c r="G40" i="15"/>
  <c r="BX40" i="6" s="1"/>
  <c r="AA40" i="15"/>
  <c r="Z40" i="15" s="1"/>
  <c r="Y40" i="15" s="1"/>
  <c r="H347" i="15"/>
  <c r="I347" i="15" s="1"/>
  <c r="G347" i="15"/>
  <c r="BX347" i="6" s="1"/>
  <c r="H277" i="15"/>
  <c r="J277" i="15" s="1"/>
  <c r="AA277" i="15"/>
  <c r="Z277" i="15" s="1"/>
  <c r="Y277" i="15" s="1"/>
  <c r="G317" i="15"/>
  <c r="BX317" i="6" s="1"/>
  <c r="H317" i="15"/>
  <c r="I317" i="15" s="1"/>
  <c r="F302" i="15"/>
  <c r="H302" i="15" s="1"/>
  <c r="I302" i="15" s="1"/>
  <c r="H307" i="15"/>
  <c r="J307" i="15" s="1"/>
  <c r="J322" i="15"/>
  <c r="I322" i="15"/>
  <c r="H295" i="15"/>
  <c r="J295" i="15" s="1"/>
  <c r="F60" i="15"/>
  <c r="H60" i="15" s="1"/>
  <c r="AA295" i="15"/>
  <c r="Z295" i="15" s="1"/>
  <c r="Y295" i="15" s="1"/>
  <c r="G37" i="15"/>
  <c r="BX37" i="6" s="1"/>
  <c r="H50" i="15"/>
  <c r="J50" i="15" s="1"/>
  <c r="AA343" i="15"/>
  <c r="Z343" i="15" s="1"/>
  <c r="Y343" i="15" s="1"/>
  <c r="H343" i="15"/>
  <c r="J343" i="15" s="1"/>
  <c r="AA322" i="15"/>
  <c r="Z322" i="15" s="1"/>
  <c r="Y322" i="15" s="1"/>
  <c r="H197" i="15"/>
  <c r="J197" i="15" s="1"/>
  <c r="AA338" i="15"/>
  <c r="Z338" i="15" s="1"/>
  <c r="Y338" i="15" s="1"/>
  <c r="G72" i="15"/>
  <c r="BX72" i="6" s="1"/>
  <c r="G318" i="15"/>
  <c r="BX318" i="6" s="1"/>
  <c r="G185" i="15"/>
  <c r="BX185" i="6" s="1"/>
  <c r="G61" i="15"/>
  <c r="BX61" i="6" s="1"/>
  <c r="H61" i="15"/>
  <c r="H229" i="15"/>
  <c r="G229" i="15"/>
  <c r="BX229" i="6" s="1"/>
  <c r="O9" i="25"/>
  <c r="AJ9" i="16"/>
  <c r="AJ11" i="16" s="1"/>
  <c r="H225" i="15"/>
  <c r="G225" i="15"/>
  <c r="BX225" i="6" s="1"/>
  <c r="O11" i="23"/>
  <c r="AC12" i="23"/>
  <c r="AC9" i="23"/>
  <c r="O12" i="23"/>
  <c r="E241" i="16"/>
  <c r="C51" i="7"/>
  <c r="AC10" i="18"/>
  <c r="AC301" i="18" s="1"/>
  <c r="AC170" i="17"/>
  <c r="AC163" i="17"/>
  <c r="AC231" i="17"/>
  <c r="AC273" i="17"/>
  <c r="AC201" i="17"/>
  <c r="AC261" i="17"/>
  <c r="AC297" i="17"/>
  <c r="AC374" i="17"/>
  <c r="AC363" i="17"/>
  <c r="AC143" i="17"/>
  <c r="AC139" i="17"/>
  <c r="AC209" i="17"/>
  <c r="AC304" i="17"/>
  <c r="AC239" i="17"/>
  <c r="AC339" i="17"/>
  <c r="AC358" i="17"/>
  <c r="AC172" i="17"/>
  <c r="AC179" i="17"/>
  <c r="AC235" i="17"/>
  <c r="AC292" i="17"/>
  <c r="AC207" i="17"/>
  <c r="AC271" i="17"/>
  <c r="AC326" i="17"/>
  <c r="AC309" i="17"/>
  <c r="AC322" i="17"/>
  <c r="AC151" i="17"/>
  <c r="AC156" i="17"/>
  <c r="AC226" i="17"/>
  <c r="AC186" i="17"/>
  <c r="AC251" i="17"/>
  <c r="AC355" i="17"/>
  <c r="AC313" i="17"/>
  <c r="AC178" i="17"/>
  <c r="AC168" i="17"/>
  <c r="AC234" i="17"/>
  <c r="AC290" i="17"/>
  <c r="AC205" i="17"/>
  <c r="AC264" i="17"/>
  <c r="AC325" i="17"/>
  <c r="AC379" i="17"/>
  <c r="AC372" i="17"/>
  <c r="AC149" i="17"/>
  <c r="AC150" i="17"/>
  <c r="AC215" i="17"/>
  <c r="AC308" i="17"/>
  <c r="AC245" i="17"/>
  <c r="AC354" i="17"/>
  <c r="AC378" i="17"/>
  <c r="AC169" i="17"/>
  <c r="AC165" i="17"/>
  <c r="AC232" i="17"/>
  <c r="AC278" i="17"/>
  <c r="AC204" i="17"/>
  <c r="AC263" i="17"/>
  <c r="AC324" i="17"/>
  <c r="AC377" i="17"/>
  <c r="AC370" i="17"/>
  <c r="AC145" i="17"/>
  <c r="AC144" i="17"/>
  <c r="AC213" i="17"/>
  <c r="AC306" i="17"/>
  <c r="AC242" i="17"/>
  <c r="AC352" i="17"/>
  <c r="AC369" i="17"/>
  <c r="AC337" i="17"/>
  <c r="AC159" i="17"/>
  <c r="AC196" i="17"/>
  <c r="AC364" i="17"/>
  <c r="AC148" i="17"/>
  <c r="AC146" i="17"/>
  <c r="AC222" i="17"/>
  <c r="AC258" i="17"/>
  <c r="AC194" i="17"/>
  <c r="AC249" i="17"/>
  <c r="AC289" i="17"/>
  <c r="AC357" i="17"/>
  <c r="AC348" i="17"/>
  <c r="AC133" i="17"/>
  <c r="AC177" i="17"/>
  <c r="AC187" i="17"/>
  <c r="AC270" i="17"/>
  <c r="AC219" i="17"/>
  <c r="AC319" i="17"/>
  <c r="AC310" i="17"/>
  <c r="AC155" i="17"/>
  <c r="AC153" i="17"/>
  <c r="AC227" i="17"/>
  <c r="AC272" i="17"/>
  <c r="AC200" i="17"/>
  <c r="AC260" i="17"/>
  <c r="AC295" i="17"/>
  <c r="AC368" i="17"/>
  <c r="AC356" i="17"/>
  <c r="AC142" i="17"/>
  <c r="AC132" i="17"/>
  <c r="AC191" i="17"/>
  <c r="AC284" i="17"/>
  <c r="AC230" i="17"/>
  <c r="AC338" i="17"/>
  <c r="AC331" i="17"/>
  <c r="AC160" i="17"/>
  <c r="AC152" i="17"/>
  <c r="AC224" i="17"/>
  <c r="AC269" i="17"/>
  <c r="AC197" i="17"/>
  <c r="AC259" i="17"/>
  <c r="AC294" i="17"/>
  <c r="AC366" i="17"/>
  <c r="AC353" i="17"/>
  <c r="AC137" i="17"/>
  <c r="AC128" i="17"/>
  <c r="AC189" i="17"/>
  <c r="AC277" i="17"/>
  <c r="AC229" i="17"/>
  <c r="AC329" i="17"/>
  <c r="AC320" i="17"/>
  <c r="AC141" i="17"/>
  <c r="AC147" i="17"/>
  <c r="AC223" i="17"/>
  <c r="AC265" i="17"/>
  <c r="AC195" i="17"/>
  <c r="AC252" i="17"/>
  <c r="AC332" i="17"/>
  <c r="AC323" i="17"/>
  <c r="AC136" i="17"/>
  <c r="AC188" i="17"/>
  <c r="AC228" i="17"/>
  <c r="AC312" i="17"/>
  <c r="AC39" i="18"/>
  <c r="AC66" i="18"/>
  <c r="AC58" i="18"/>
  <c r="AC70" i="18"/>
  <c r="AC41" i="18"/>
  <c r="AC16" i="18"/>
  <c r="AC61" i="18"/>
  <c r="AC73" i="18"/>
  <c r="AC59" i="18"/>
  <c r="AC33" i="18"/>
  <c r="AC40" i="18"/>
  <c r="AC281" i="18"/>
  <c r="AC21" i="18"/>
  <c r="AC53" i="18"/>
  <c r="AC19" i="18"/>
  <c r="AC54" i="18"/>
  <c r="AC23" i="18"/>
  <c r="AC55" i="18"/>
  <c r="AC28" i="18"/>
  <c r="AC62" i="18"/>
  <c r="AC25" i="18"/>
  <c r="AC56" i="18"/>
  <c r="AC72" i="18"/>
  <c r="AC32" i="18"/>
  <c r="AC63" i="18"/>
  <c r="AC43" i="18"/>
  <c r="AC20" i="18"/>
  <c r="AC65" i="18"/>
  <c r="AC36" i="18"/>
  <c r="AC34" i="18"/>
  <c r="AC42" i="18"/>
  <c r="AC130" i="17"/>
  <c r="AC124" i="17"/>
  <c r="AC206" i="17"/>
  <c r="AC244" i="17"/>
  <c r="AC302" i="17"/>
  <c r="AC233" i="17"/>
  <c r="AC283" i="17"/>
  <c r="AC341" i="17"/>
  <c r="AC333" i="17"/>
  <c r="AC318" i="17"/>
  <c r="AC166" i="17"/>
  <c r="AC171" i="17"/>
  <c r="AC262" i="17"/>
  <c r="AC211" i="17"/>
  <c r="AC291" i="17"/>
  <c r="AC371" i="17"/>
  <c r="AC131" i="17"/>
  <c r="AC140" i="17"/>
  <c r="AC220" i="17"/>
  <c r="AC257" i="17"/>
  <c r="AC307" i="17"/>
  <c r="AC248" i="17"/>
  <c r="AC288" i="17"/>
  <c r="AC351" i="17"/>
  <c r="AC346" i="17"/>
  <c r="AC125" i="17"/>
  <c r="AC176" i="17"/>
  <c r="AC185" i="17"/>
  <c r="AC268" i="17"/>
  <c r="AC218" i="17"/>
  <c r="AC315" i="17"/>
  <c r="AC376" i="17"/>
  <c r="AC135" i="17"/>
  <c r="AC138" i="17"/>
  <c r="AC217" i="17"/>
  <c r="AC253" i="17"/>
  <c r="AC305" i="17"/>
  <c r="AC247" i="17"/>
  <c r="AC287" i="17"/>
  <c r="AC349" i="17"/>
  <c r="AC344" i="17"/>
  <c r="AC359" i="17"/>
  <c r="AC174" i="17"/>
  <c r="AC180" i="17"/>
  <c r="AC267" i="17"/>
  <c r="AC214" i="17"/>
  <c r="AC314" i="17"/>
  <c r="AC375" i="17"/>
  <c r="AC129" i="17"/>
  <c r="AC134" i="17"/>
  <c r="AC208" i="17"/>
  <c r="AC250" i="17"/>
  <c r="AC303" i="17"/>
  <c r="AC240" i="17"/>
  <c r="AC285" i="17"/>
  <c r="AC342" i="17"/>
  <c r="AC340" i="17"/>
  <c r="AC345" i="17"/>
  <c r="AC173" i="17"/>
  <c r="AC175" i="17"/>
  <c r="AC266" i="17"/>
  <c r="AC212" i="17"/>
  <c r="AC296" i="17"/>
  <c r="AC373" i="17"/>
  <c r="AC280" i="17"/>
  <c r="AC158" i="17"/>
  <c r="AC246" i="17"/>
  <c r="AC274" i="17"/>
  <c r="AC317" i="17"/>
  <c r="AC182" i="17"/>
  <c r="AC192" i="17"/>
  <c r="AC236" i="17"/>
  <c r="AC298" i="17"/>
  <c r="AC210" i="17"/>
  <c r="AC275" i="17"/>
  <c r="AC327" i="17"/>
  <c r="AC311" i="17"/>
  <c r="AC335" i="17"/>
  <c r="AC154" i="17"/>
  <c r="AC157" i="17"/>
  <c r="AC237" i="17"/>
  <c r="AC190" i="17"/>
  <c r="AC256" i="17"/>
  <c r="AC362" i="17"/>
  <c r="AC360" i="17"/>
  <c r="AC183" i="17"/>
  <c r="AC202" i="17"/>
  <c r="AC243" i="17"/>
  <c r="AC301" i="17"/>
  <c r="AC225" i="17"/>
  <c r="AC282" i="17"/>
  <c r="AC336" i="17"/>
  <c r="AC330" i="17"/>
  <c r="AC316" i="17"/>
  <c r="AC162" i="17"/>
  <c r="AC167" i="17"/>
  <c r="AC255" i="17"/>
  <c r="AC203" i="17"/>
  <c r="AC286" i="17"/>
  <c r="AC367" i="17"/>
  <c r="AC127" i="17"/>
  <c r="AC184" i="17"/>
  <c r="AC199" i="17"/>
  <c r="AC241" i="17"/>
  <c r="AC300" i="17"/>
  <c r="AC221" i="17"/>
  <c r="AC281" i="17"/>
  <c r="AC334" i="17"/>
  <c r="AC328" i="17"/>
  <c r="AC347" i="17"/>
  <c r="AC161" i="17"/>
  <c r="AC164" i="17"/>
  <c r="AC254" i="17"/>
  <c r="AC198" i="17"/>
  <c r="AC279" i="17"/>
  <c r="AC365" i="17"/>
  <c r="AC343" i="17"/>
  <c r="AC181" i="17"/>
  <c r="AC193" i="17"/>
  <c r="AC238" i="17"/>
  <c r="AC299" i="17"/>
  <c r="AC216" i="17"/>
  <c r="AC293" i="17"/>
  <c r="AC361" i="17"/>
  <c r="AC350" i="17"/>
  <c r="AC126" i="17"/>
  <c r="AC276" i="17"/>
  <c r="AC321" i="17"/>
  <c r="AC17" i="18"/>
  <c r="AC44" i="18"/>
  <c r="AC221" i="18"/>
  <c r="AC18" i="18"/>
  <c r="AC46" i="18"/>
  <c r="AC15" i="18"/>
  <c r="AC47" i="18"/>
  <c r="AC141" i="18"/>
  <c r="AC24" i="18"/>
  <c r="AC49" i="18"/>
  <c r="AC108" i="18"/>
  <c r="AC35" i="18"/>
  <c r="AC60" i="18"/>
  <c r="AC38" i="18"/>
  <c r="AC71" i="18"/>
  <c r="AC258" i="18"/>
  <c r="AC45" i="18"/>
  <c r="AC181" i="18"/>
  <c r="AC26" i="18"/>
  <c r="AC67" i="18"/>
  <c r="AC149" i="18"/>
  <c r="AC48" i="18"/>
  <c r="AC92" i="18"/>
  <c r="AC27" i="18"/>
  <c r="AC68" i="18"/>
  <c r="AC273" i="18"/>
  <c r="AC57" i="18"/>
  <c r="AC186" i="18"/>
  <c r="AC29" i="18"/>
  <c r="AC37" i="18"/>
  <c r="AC156" i="18"/>
  <c r="AC22" i="18"/>
  <c r="AC50" i="18"/>
  <c r="AC110" i="18"/>
  <c r="AC30" i="18"/>
  <c r="AC51" i="18"/>
  <c r="AC122" i="18"/>
  <c r="AC298" i="18"/>
  <c r="AC31" i="18"/>
  <c r="AC64" i="18"/>
  <c r="AC223" i="18"/>
  <c r="AC52" i="18"/>
  <c r="AC69" i="18"/>
  <c r="AC251" i="18"/>
  <c r="C47" i="7"/>
  <c r="E119" i="16"/>
  <c r="E210" i="16"/>
  <c r="C50" i="7"/>
  <c r="E149" i="16"/>
  <c r="C48" i="7"/>
  <c r="E272" i="16"/>
  <c r="C52" i="7"/>
  <c r="E119" i="17"/>
  <c r="C59" i="7"/>
  <c r="C56" i="7"/>
  <c r="E29" i="17"/>
  <c r="E383" i="15"/>
  <c r="AK8" i="15"/>
  <c r="E9" i="15"/>
  <c r="E11" i="15" s="1"/>
  <c r="E381" i="15"/>
  <c r="AJ10" i="15"/>
  <c r="AJ12" i="15" s="1"/>
  <c r="AJ13" i="15" s="1"/>
  <c r="E382" i="15"/>
  <c r="AC382" i="16"/>
  <c r="AC381" i="16"/>
  <c r="AC383" i="16"/>
  <c r="AA61" i="15"/>
  <c r="Z61" i="15" s="1"/>
  <c r="Y61" i="15" s="1"/>
  <c r="G203" i="15"/>
  <c r="BX203" i="6" s="1"/>
  <c r="H203" i="15"/>
  <c r="G74" i="15"/>
  <c r="BX74" i="6" s="1"/>
  <c r="H74" i="15"/>
  <c r="AJ20" i="24"/>
  <c r="AJ30" i="24"/>
  <c r="AJ21" i="24"/>
  <c r="AJ32" i="24"/>
  <c r="AJ41" i="24"/>
  <c r="AJ48" i="24"/>
  <c r="AJ52" i="24"/>
  <c r="AJ64" i="24"/>
  <c r="AJ39" i="24"/>
  <c r="AJ45" i="24"/>
  <c r="AJ56" i="24"/>
  <c r="AJ63" i="24"/>
  <c r="AJ72" i="24"/>
  <c r="AJ78" i="24"/>
  <c r="AJ85" i="24"/>
  <c r="AJ91" i="24"/>
  <c r="AJ99" i="24"/>
  <c r="AJ104" i="24"/>
  <c r="AJ119" i="24"/>
  <c r="AJ124" i="24"/>
  <c r="AJ71" i="24"/>
  <c r="AJ82" i="24"/>
  <c r="AJ92" i="24"/>
  <c r="AJ101" i="24"/>
  <c r="AJ109" i="24"/>
  <c r="AJ117" i="24"/>
  <c r="AJ130" i="24"/>
  <c r="AJ137" i="24"/>
  <c r="AJ141" i="24"/>
  <c r="AJ151" i="24"/>
  <c r="AJ163" i="24"/>
  <c r="AJ171" i="24"/>
  <c r="AJ112" i="24"/>
  <c r="AJ128" i="24"/>
  <c r="AJ135" i="24"/>
  <c r="AJ145" i="24"/>
  <c r="AJ153" i="24"/>
  <c r="AJ157" i="24"/>
  <c r="AJ166" i="24"/>
  <c r="AJ176" i="24"/>
  <c r="AJ183" i="24"/>
  <c r="AJ195" i="24"/>
  <c r="AJ202" i="24"/>
  <c r="AJ213" i="24"/>
  <c r="AJ225" i="24"/>
  <c r="AJ237" i="24"/>
  <c r="AJ243" i="24"/>
  <c r="AJ251" i="24"/>
  <c r="AJ255" i="24"/>
  <c r="AJ262" i="24"/>
  <c r="AJ271" i="24"/>
  <c r="AJ276" i="24"/>
  <c r="AJ283" i="24"/>
  <c r="AJ291" i="24"/>
  <c r="AJ296" i="24"/>
  <c r="AJ180" i="24"/>
  <c r="AJ186" i="24"/>
  <c r="AJ191" i="24"/>
  <c r="AJ199" i="24"/>
  <c r="AJ209" i="24"/>
  <c r="AJ214" i="24"/>
  <c r="AJ220" i="24"/>
  <c r="AJ226" i="24"/>
  <c r="AJ231" i="24"/>
  <c r="AJ239" i="24"/>
  <c r="AJ246" i="24"/>
  <c r="AJ261" i="24"/>
  <c r="AJ269" i="24"/>
  <c r="AJ281" i="24"/>
  <c r="AJ287" i="24"/>
  <c r="AJ302" i="24"/>
  <c r="AJ308" i="24"/>
  <c r="AJ320" i="24"/>
  <c r="AJ326" i="24"/>
  <c r="AJ334" i="24"/>
  <c r="AJ350" i="24"/>
  <c r="AJ359" i="24"/>
  <c r="AJ371" i="24"/>
  <c r="AJ309" i="24"/>
  <c r="AJ328" i="24"/>
  <c r="AJ339" i="24"/>
  <c r="AJ357" i="24"/>
  <c r="AJ374" i="24"/>
  <c r="AJ318" i="24"/>
  <c r="AJ349" i="24"/>
  <c r="AJ360" i="24"/>
  <c r="AJ373" i="24"/>
  <c r="AJ327" i="24"/>
  <c r="AJ341" i="24"/>
  <c r="AJ378" i="24"/>
  <c r="AJ15" i="24"/>
  <c r="AJ19" i="24"/>
  <c r="AJ28" i="24"/>
  <c r="AJ18" i="24"/>
  <c r="AJ29" i="24"/>
  <c r="AJ27" i="24"/>
  <c r="AJ38" i="24"/>
  <c r="AJ47" i="24"/>
  <c r="AJ51" i="24"/>
  <c r="AJ60" i="24"/>
  <c r="AJ37" i="24"/>
  <c r="AJ43" i="24"/>
  <c r="AJ55" i="24"/>
  <c r="AJ62" i="24"/>
  <c r="AJ69" i="24"/>
  <c r="AJ76" i="24"/>
  <c r="AJ84" i="24"/>
  <c r="AJ89" i="24"/>
  <c r="AJ97" i="24"/>
  <c r="AJ103" i="24"/>
  <c r="AJ116" i="24"/>
  <c r="AJ122" i="24"/>
  <c r="AJ70" i="24"/>
  <c r="AJ80" i="24"/>
  <c r="AJ90" i="24"/>
  <c r="AJ98" i="24"/>
  <c r="AJ108" i="24"/>
  <c r="AJ114" i="24"/>
  <c r="AJ127" i="24"/>
  <c r="AJ136" i="24"/>
  <c r="AJ140" i="24"/>
  <c r="AJ150" i="24"/>
  <c r="AJ161" i="24"/>
  <c r="AJ170" i="24"/>
  <c r="AJ175" i="24"/>
  <c r="AJ126" i="24"/>
  <c r="AJ133" i="24"/>
  <c r="AJ144" i="24"/>
  <c r="AJ152" i="24"/>
  <c r="AJ156" i="24"/>
  <c r="AJ165" i="24"/>
  <c r="AJ172" i="24"/>
  <c r="AJ182" i="24"/>
  <c r="AJ193" i="24"/>
  <c r="AJ201" i="24"/>
  <c r="AJ208" i="24"/>
  <c r="AJ221" i="24"/>
  <c r="AJ235" i="24"/>
  <c r="AJ242" i="24"/>
  <c r="AJ250" i="24"/>
  <c r="AJ254" i="24"/>
  <c r="AJ260" i="24"/>
  <c r="AJ265" i="24"/>
  <c r="AJ274" i="24"/>
  <c r="AJ280" i="24"/>
  <c r="AJ290" i="24"/>
  <c r="AJ295" i="24"/>
  <c r="AJ179" i="24"/>
  <c r="AJ185" i="24"/>
  <c r="AJ190" i="24"/>
  <c r="AJ197" i="24"/>
  <c r="AJ207" i="24"/>
  <c r="AJ212" i="24"/>
  <c r="AJ218" i="24"/>
  <c r="AJ224" i="24"/>
  <c r="AJ230" i="24"/>
  <c r="AJ236" i="24"/>
  <c r="AJ245" i="24"/>
  <c r="AJ259" i="24"/>
  <c r="AJ268" i="24"/>
  <c r="AJ277" i="24"/>
  <c r="AJ285" i="24"/>
  <c r="AJ301" i="24"/>
  <c r="AJ307" i="24"/>
  <c r="AJ313" i="24"/>
  <c r="AJ325" i="24"/>
  <c r="AJ333" i="24"/>
  <c r="AJ343" i="24"/>
  <c r="AJ356" i="24"/>
  <c r="AJ370" i="24"/>
  <c r="AJ306" i="24"/>
  <c r="AJ322" i="24"/>
  <c r="AJ338" i="24"/>
  <c r="AJ351" i="24"/>
  <c r="AJ368" i="24"/>
  <c r="AJ317" i="24"/>
  <c r="AJ348" i="24"/>
  <c r="AJ358" i="24"/>
  <c r="AJ369" i="24"/>
  <c r="AJ319" i="24"/>
  <c r="AJ336" i="24"/>
  <c r="AJ372" i="24"/>
  <c r="AJ377" i="24"/>
  <c r="AJ380" i="24"/>
  <c r="AJ17" i="24"/>
  <c r="AJ23" i="24"/>
  <c r="F7" i="24"/>
  <c r="AJ26" i="24"/>
  <c r="AJ25" i="24"/>
  <c r="AJ35" i="24"/>
  <c r="AJ46" i="24"/>
  <c r="AJ50" i="24"/>
  <c r="AJ58" i="24"/>
  <c r="AJ36" i="24"/>
  <c r="AJ42" i="24"/>
  <c r="AJ54" i="24"/>
  <c r="AJ61" i="24"/>
  <c r="AJ68" i="24"/>
  <c r="AJ74" i="24"/>
  <c r="AJ81" i="24"/>
  <c r="AJ88" i="24"/>
  <c r="AJ96" i="24"/>
  <c r="AJ102" i="24"/>
  <c r="AJ113" i="24"/>
  <c r="AJ121" i="24"/>
  <c r="AJ67" i="24"/>
  <c r="AJ77" i="24"/>
  <c r="AJ86" i="24"/>
  <c r="AJ95" i="24"/>
  <c r="AJ106" i="24"/>
  <c r="AJ111" i="24"/>
  <c r="AJ125" i="24"/>
  <c r="AJ134" i="24"/>
  <c r="AJ139" i="24"/>
  <c r="AJ148" i="24"/>
  <c r="AJ159" i="24"/>
  <c r="AJ169" i="24"/>
  <c r="AJ174" i="24"/>
  <c r="AJ118" i="24"/>
  <c r="AJ131" i="24"/>
  <c r="AJ143" i="24"/>
  <c r="AJ149" i="24"/>
  <c r="AJ155" i="24"/>
  <c r="AJ162" i="24"/>
  <c r="AJ168" i="24"/>
  <c r="AJ178" i="24"/>
  <c r="AJ192" i="24"/>
  <c r="AJ200" i="24"/>
  <c r="AJ206" i="24"/>
  <c r="AJ219" i="24"/>
  <c r="AJ232" i="24"/>
  <c r="AJ240" i="24"/>
  <c r="AJ248" i="24"/>
  <c r="AJ253" i="24"/>
  <c r="AJ258" i="24"/>
  <c r="AJ264" i="24"/>
  <c r="AJ273" i="24"/>
  <c r="AJ279" i="24"/>
  <c r="AJ289" i="24"/>
  <c r="AJ293" i="24"/>
  <c r="AJ298" i="24"/>
  <c r="AJ184" i="24"/>
  <c r="AJ189" i="24"/>
  <c r="AJ196" i="24"/>
  <c r="AJ205" i="24"/>
  <c r="AJ211" i="24"/>
  <c r="AJ217" i="24"/>
  <c r="AJ223" i="24"/>
  <c r="AJ229" i="24"/>
  <c r="AJ234" i="24"/>
  <c r="AJ244" i="24"/>
  <c r="AJ256" i="24"/>
  <c r="AJ267" i="24"/>
  <c r="AJ275" i="24"/>
  <c r="AJ284" i="24"/>
  <c r="AJ300" i="24"/>
  <c r="AJ305" i="24"/>
  <c r="AJ312" i="24"/>
  <c r="AJ324" i="24"/>
  <c r="AJ331" i="24"/>
  <c r="AJ342" i="24"/>
  <c r="AJ355" i="24"/>
  <c r="AJ366" i="24"/>
  <c r="AJ303" i="24"/>
  <c r="AJ315" i="24"/>
  <c r="AJ337" i="24"/>
  <c r="AJ346" i="24"/>
  <c r="AJ365" i="24"/>
  <c r="AJ316" i="24"/>
  <c r="AJ347" i="24"/>
  <c r="AJ354" i="24"/>
  <c r="AJ367" i="24"/>
  <c r="AJ314" i="24"/>
  <c r="AJ332" i="24"/>
  <c r="AJ361" i="24"/>
  <c r="AJ375" i="24"/>
  <c r="AX13" i="7"/>
  <c r="AJ22" i="24"/>
  <c r="AJ31" i="24"/>
  <c r="AJ24" i="24"/>
  <c r="AJ16" i="24"/>
  <c r="AJ33" i="24"/>
  <c r="AJ44" i="24"/>
  <c r="AJ49" i="24"/>
  <c r="AJ57" i="24"/>
  <c r="AJ34" i="24"/>
  <c r="AJ40" i="24"/>
  <c r="AJ53" i="24"/>
  <c r="AJ59" i="24"/>
  <c r="AJ66" i="24"/>
  <c r="AJ73" i="24"/>
  <c r="AJ79" i="24"/>
  <c r="AJ87" i="24"/>
  <c r="AJ93" i="24"/>
  <c r="AJ100" i="24"/>
  <c r="AJ107" i="24"/>
  <c r="AJ120" i="24"/>
  <c r="AJ65" i="24"/>
  <c r="AJ75" i="24"/>
  <c r="AJ83" i="24"/>
  <c r="AJ94" i="24"/>
  <c r="AJ105" i="24"/>
  <c r="AJ110" i="24"/>
  <c r="AJ123" i="24"/>
  <c r="AJ132" i="24"/>
  <c r="AJ138" i="24"/>
  <c r="AJ147" i="24"/>
  <c r="AJ158" i="24"/>
  <c r="AJ164" i="24"/>
  <c r="AJ173" i="24"/>
  <c r="AJ115" i="24"/>
  <c r="AJ129" i="24"/>
  <c r="AJ142" i="24"/>
  <c r="AJ146" i="24"/>
  <c r="AJ154" i="24"/>
  <c r="AJ160" i="24"/>
  <c r="AJ167" i="24"/>
  <c r="AJ177" i="24"/>
  <c r="AJ187" i="24"/>
  <c r="AJ198" i="24"/>
  <c r="AJ203" i="24"/>
  <c r="AJ216" i="24"/>
  <c r="AJ227" i="24"/>
  <c r="AJ238" i="24"/>
  <c r="AJ247" i="24"/>
  <c r="AJ252" i="24"/>
  <c r="AJ257" i="24"/>
  <c r="AJ263" i="24"/>
  <c r="AJ272" i="24"/>
  <c r="AJ278" i="24"/>
  <c r="AJ286" i="24"/>
  <c r="AJ292" i="24"/>
  <c r="AJ297" i="24"/>
  <c r="AJ181" i="24"/>
  <c r="AJ188" i="24"/>
  <c r="AJ194" i="24"/>
  <c r="AJ204" i="24"/>
  <c r="AJ210" i="24"/>
  <c r="AJ215" i="24"/>
  <c r="AJ222" i="24"/>
  <c r="AJ228" i="24"/>
  <c r="AJ233" i="24"/>
  <c r="AJ241" i="24"/>
  <c r="AJ249" i="24"/>
  <c r="AJ266" i="24"/>
  <c r="AJ270" i="24"/>
  <c r="AJ282" i="24"/>
  <c r="AJ288" i="24"/>
  <c r="AJ304" i="24"/>
  <c r="AJ310" i="24"/>
  <c r="AJ321" i="24"/>
  <c r="AJ330" i="24"/>
  <c r="AJ340" i="24"/>
  <c r="AJ352" i="24"/>
  <c r="AJ364" i="24"/>
  <c r="AJ299" i="24"/>
  <c r="AJ311" i="24"/>
  <c r="AJ335" i="24"/>
  <c r="AJ344" i="24"/>
  <c r="AJ363" i="24"/>
  <c r="AJ376" i="24"/>
  <c r="AJ323" i="24"/>
  <c r="AJ353" i="24"/>
  <c r="AJ362" i="24"/>
  <c r="AJ294" i="24"/>
  <c r="AJ329" i="24"/>
  <c r="AJ345" i="24"/>
  <c r="AJ379" i="24"/>
  <c r="H353" i="15"/>
  <c r="H68" i="15"/>
  <c r="G68" i="15"/>
  <c r="BX68" i="6" s="1"/>
  <c r="G324" i="15"/>
  <c r="BX324" i="6" s="1"/>
  <c r="H324" i="15"/>
  <c r="E302" i="16"/>
  <c r="C53" i="7"/>
  <c r="C55" i="7"/>
  <c r="E363" i="16"/>
  <c r="E111" i="16"/>
  <c r="O382" i="16"/>
  <c r="O381" i="16"/>
  <c r="O383" i="16"/>
  <c r="E15" i="17"/>
  <c r="O383" i="17"/>
  <c r="O381" i="17"/>
  <c r="O382" i="17"/>
  <c r="C54" i="7"/>
  <c r="E333" i="16"/>
  <c r="E180" i="16"/>
  <c r="C49" i="7"/>
  <c r="E88" i="17"/>
  <c r="C58" i="7"/>
  <c r="E60" i="17"/>
  <c r="C57" i="7"/>
  <c r="AA353" i="15"/>
  <c r="Z353" i="15" s="1"/>
  <c r="Y353" i="15" s="1"/>
  <c r="I44" i="15"/>
  <c r="I41" i="15"/>
  <c r="J40" i="15"/>
  <c r="I62" i="15"/>
  <c r="J215" i="15"/>
  <c r="J188" i="15"/>
  <c r="I37" i="15"/>
  <c r="F382" i="1"/>
  <c r="J70" i="15"/>
  <c r="I189" i="15"/>
  <c r="AR15" i="7"/>
  <c r="P11" i="23"/>
  <c r="F8" i="22"/>
  <c r="AK17" i="22"/>
  <c r="AK15" i="22"/>
  <c r="AK20" i="22"/>
  <c r="AK24" i="22"/>
  <c r="AK26" i="22"/>
  <c r="AK29" i="22"/>
  <c r="AK33" i="22"/>
  <c r="AK22" i="22"/>
  <c r="AK30" i="22"/>
  <c r="AK31" i="22"/>
  <c r="AK35" i="22"/>
  <c r="AK44" i="22"/>
  <c r="AK47" i="22"/>
  <c r="AK54" i="22"/>
  <c r="AK58" i="22"/>
  <c r="AK60" i="22"/>
  <c r="AK64" i="22"/>
  <c r="AK36" i="22"/>
  <c r="AK38" i="22"/>
  <c r="AK41" i="22"/>
  <c r="AK43" i="22"/>
  <c r="AK48" i="22"/>
  <c r="AK50" i="22"/>
  <c r="AK52" i="22"/>
  <c r="AK56" i="22"/>
  <c r="AK63" i="22"/>
  <c r="AK67" i="22"/>
  <c r="AK70" i="22"/>
  <c r="AK77" i="22"/>
  <c r="AK80" i="22"/>
  <c r="AK88" i="22"/>
  <c r="AK90" i="22"/>
  <c r="AK92" i="22"/>
  <c r="AK95" i="22"/>
  <c r="AK99" i="22"/>
  <c r="AK104" i="22"/>
  <c r="AK108" i="22"/>
  <c r="AK114" i="22"/>
  <c r="AK116" i="22"/>
  <c r="AK121" i="22"/>
  <c r="AK126" i="22"/>
  <c r="AK68" i="22"/>
  <c r="AK72" i="22"/>
  <c r="AK75" i="22"/>
  <c r="AK79" i="22"/>
  <c r="AK83" i="22"/>
  <c r="AK85" i="22"/>
  <c r="AK87" i="22"/>
  <c r="AK96" i="22"/>
  <c r="AK100" i="22"/>
  <c r="AK102" i="22"/>
  <c r="AK109" i="22"/>
  <c r="AK111" i="22"/>
  <c r="AK118" i="22"/>
  <c r="AK122" i="22"/>
  <c r="AK128" i="22"/>
  <c r="AK131" i="22"/>
  <c r="AK134" i="22"/>
  <c r="AK137" i="22"/>
  <c r="AK142" i="22"/>
  <c r="AK149" i="22"/>
  <c r="AK151" i="22"/>
  <c r="AK154" i="22"/>
  <c r="AK158" i="22"/>
  <c r="AK161" i="22"/>
  <c r="AK164" i="22"/>
  <c r="AK167" i="22"/>
  <c r="AK169" i="22"/>
  <c r="AK174" i="22"/>
  <c r="AK107" i="22"/>
  <c r="AK124" i="22"/>
  <c r="AK133" i="22"/>
  <c r="AK138" i="22"/>
  <c r="AK141" i="22"/>
  <c r="AK144" i="22"/>
  <c r="AK146" i="22"/>
  <c r="AK152" i="22"/>
  <c r="AK157" i="22"/>
  <c r="AK162" i="22"/>
  <c r="AK170" i="22"/>
  <c r="AK173" i="22"/>
  <c r="AK177" i="22"/>
  <c r="AK179" i="22"/>
  <c r="AK181" i="22"/>
  <c r="AK184" i="22"/>
  <c r="AK187" i="22"/>
  <c r="AK192" i="22"/>
  <c r="AK195" i="22"/>
  <c r="AK197" i="22"/>
  <c r="AK206" i="22"/>
  <c r="AK210" i="22"/>
  <c r="AK214" i="22"/>
  <c r="AK217" i="22"/>
  <c r="AK222" i="22"/>
  <c r="AK226" i="22"/>
  <c r="AK229" i="22"/>
  <c r="AK231" i="22"/>
  <c r="AK235" i="22"/>
  <c r="AK240" i="22"/>
  <c r="AK242" i="22"/>
  <c r="AK244" i="22"/>
  <c r="AK247" i="22"/>
  <c r="AK251" i="22"/>
  <c r="AK253" i="22"/>
  <c r="AK257" i="22"/>
  <c r="AK259" i="22"/>
  <c r="AK261" i="22"/>
  <c r="AK266" i="22"/>
  <c r="AK270" i="22"/>
  <c r="AK273" i="22"/>
  <c r="AK281" i="22"/>
  <c r="AK290" i="22"/>
  <c r="AK292" i="22"/>
  <c r="AK298" i="22"/>
  <c r="AK183" i="22"/>
  <c r="AK188" i="22"/>
  <c r="AK191" i="22"/>
  <c r="AK198" i="22"/>
  <c r="AK200" i="22"/>
  <c r="AK203" i="22"/>
  <c r="AK205" i="22"/>
  <c r="AK209" i="22"/>
  <c r="AK213" i="22"/>
  <c r="AK219" i="22"/>
  <c r="AK221" i="22"/>
  <c r="AK225" i="22"/>
  <c r="AK233" i="22"/>
  <c r="AK237" i="22"/>
  <c r="AK239" i="22"/>
  <c r="AK248" i="22"/>
  <c r="AK254" i="22"/>
  <c r="AK262" i="22"/>
  <c r="AK265" i="22"/>
  <c r="AK269" i="22"/>
  <c r="AK274" i="22"/>
  <c r="AK276" i="22"/>
  <c r="AK279" i="22"/>
  <c r="AK282" i="22"/>
  <c r="AK285" i="22"/>
  <c r="AK287" i="22"/>
  <c r="AK289" i="22"/>
  <c r="AK296" i="22"/>
  <c r="AK301" i="22"/>
  <c r="AK308" i="22"/>
  <c r="AK316" i="22"/>
  <c r="AK325" i="22"/>
  <c r="AK330" i="22"/>
  <c r="AK332" i="22"/>
  <c r="AK336" i="22"/>
  <c r="AK341" i="22"/>
  <c r="AK346" i="22"/>
  <c r="AK349" i="22"/>
  <c r="AK354" i="22"/>
  <c r="AK357" i="22"/>
  <c r="AK359" i="22"/>
  <c r="AK362" i="22"/>
  <c r="AK373" i="22"/>
  <c r="AK375" i="22"/>
  <c r="AK297" i="22"/>
  <c r="AK306" i="22"/>
  <c r="AK318" i="22"/>
  <c r="AK329" i="22"/>
  <c r="AK334" i="22"/>
  <c r="AK339" i="22"/>
  <c r="AK345" i="22"/>
  <c r="AK351" i="22"/>
  <c r="AK364" i="22"/>
  <c r="AK369" i="22"/>
  <c r="AK378" i="22"/>
  <c r="AK305" i="22"/>
  <c r="AK311" i="22"/>
  <c r="AK322" i="22"/>
  <c r="AK340" i="22"/>
  <c r="AK350" i="22"/>
  <c r="AK365" i="22"/>
  <c r="AK376" i="22"/>
  <c r="AK379" i="22"/>
  <c r="AK307" i="22"/>
  <c r="AK314" i="22"/>
  <c r="AK317" i="22"/>
  <c r="AK327" i="22"/>
  <c r="AK353" i="22"/>
  <c r="AK367" i="22"/>
  <c r="AK16" i="22"/>
  <c r="AK21" i="22"/>
  <c r="AK27" i="22"/>
  <c r="AK18" i="22"/>
  <c r="AK28" i="22"/>
  <c r="AK40" i="22"/>
  <c r="AK53" i="22"/>
  <c r="AK59" i="22"/>
  <c r="AK66" i="22"/>
  <c r="AK39" i="22"/>
  <c r="AK46" i="22"/>
  <c r="AK51" i="22"/>
  <c r="AK62" i="22"/>
  <c r="AK69" i="22"/>
  <c r="AK78" i="22"/>
  <c r="AK89" i="22"/>
  <c r="AK94" i="22"/>
  <c r="AK103" i="22"/>
  <c r="AK113" i="22"/>
  <c r="AK120" i="22"/>
  <c r="AK127" i="22"/>
  <c r="AK73" i="22"/>
  <c r="AK81" i="22"/>
  <c r="AK86" i="22"/>
  <c r="AK98" i="22"/>
  <c r="AK105" i="22"/>
  <c r="AK117" i="22"/>
  <c r="AK123" i="22"/>
  <c r="AK132" i="22"/>
  <c r="AK139" i="22"/>
  <c r="AK150" i="22"/>
  <c r="AK155" i="22"/>
  <c r="AK163" i="22"/>
  <c r="AK168" i="22"/>
  <c r="AK176" i="22"/>
  <c r="AK129" i="22"/>
  <c r="AK140" i="22"/>
  <c r="AK145" i="22"/>
  <c r="AK156" i="22"/>
  <c r="AK166" i="22"/>
  <c r="AK175" i="22"/>
  <c r="AK180" i="22"/>
  <c r="AK185" i="22"/>
  <c r="AK194" i="22"/>
  <c r="AK201" i="22"/>
  <c r="AK211" i="22"/>
  <c r="AK218" i="22"/>
  <c r="AK228" i="22"/>
  <c r="AK232" i="22"/>
  <c r="AK241" i="22"/>
  <c r="AK246" i="22"/>
  <c r="AK252" i="22"/>
  <c r="AK258" i="22"/>
  <c r="AK264" i="22"/>
  <c r="AK271" i="22"/>
  <c r="AK284" i="22"/>
  <c r="AK294" i="22"/>
  <c r="AK186" i="22"/>
  <c r="AK193" i="22"/>
  <c r="AK202" i="22"/>
  <c r="AK208" i="22"/>
  <c r="AK216" i="22"/>
  <c r="AK224" i="22"/>
  <c r="AK234" i="22"/>
  <c r="AK245" i="22"/>
  <c r="AK256" i="22"/>
  <c r="AK267" i="22"/>
  <c r="AK275" i="22"/>
  <c r="AK280" i="22"/>
  <c r="AK286" i="22"/>
  <c r="AK293" i="22"/>
  <c r="AK302" i="22"/>
  <c r="AK323" i="22"/>
  <c r="AK331" i="22"/>
  <c r="AK338" i="22"/>
  <c r="AK347" i="22"/>
  <c r="AK356" i="22"/>
  <c r="AK361" i="22"/>
  <c r="AK374" i="22"/>
  <c r="AK300" i="22"/>
  <c r="AK319" i="22"/>
  <c r="AK337" i="22"/>
  <c r="AK348" i="22"/>
  <c r="AK366" i="22"/>
  <c r="AK304" i="22"/>
  <c r="AK321" i="22"/>
  <c r="AK343" i="22"/>
  <c r="AK372" i="22"/>
  <c r="AK380" i="22"/>
  <c r="AK315" i="22"/>
  <c r="AK328" i="22"/>
  <c r="AK370" i="22"/>
  <c r="P12" i="22"/>
  <c r="AK19" i="22"/>
  <c r="AK25" i="22"/>
  <c r="AK32" i="22"/>
  <c r="AK23" i="22"/>
  <c r="AK34" i="22"/>
  <c r="AK45" i="22"/>
  <c r="AK57" i="22"/>
  <c r="AK61" i="22"/>
  <c r="AK37" i="22"/>
  <c r="AK42" i="22"/>
  <c r="AK49" i="22"/>
  <c r="AK55" i="22"/>
  <c r="AK65" i="22"/>
  <c r="AK74" i="22"/>
  <c r="AK82" i="22"/>
  <c r="AK91" i="22"/>
  <c r="AK97" i="22"/>
  <c r="AK106" i="22"/>
  <c r="AK115" i="22"/>
  <c r="AK125" i="22"/>
  <c r="AK71" i="22"/>
  <c r="AK76" i="22"/>
  <c r="AK84" i="22"/>
  <c r="AK93" i="22"/>
  <c r="AK101" i="22"/>
  <c r="AK110" i="22"/>
  <c r="AK119" i="22"/>
  <c r="AK130" i="22"/>
  <c r="AK136" i="22"/>
  <c r="AK147" i="22"/>
  <c r="AK153" i="22"/>
  <c r="AK159" i="22"/>
  <c r="AK165" i="22"/>
  <c r="AK172" i="22"/>
  <c r="AK112" i="22"/>
  <c r="AK135" i="22"/>
  <c r="AK143" i="22"/>
  <c r="AK148" i="22"/>
  <c r="AK160" i="22"/>
  <c r="AK171" i="22"/>
  <c r="AK178" i="22"/>
  <c r="AK182" i="22"/>
  <c r="AK189" i="22"/>
  <c r="AK196" i="22"/>
  <c r="AK207" i="22"/>
  <c r="AK215" i="22"/>
  <c r="AK223" i="22"/>
  <c r="AK230" i="22"/>
  <c r="AK236" i="22"/>
  <c r="AK243" i="22"/>
  <c r="AK249" i="22"/>
  <c r="AK255" i="22"/>
  <c r="AK260" i="22"/>
  <c r="AK268" i="22"/>
  <c r="AK277" i="22"/>
  <c r="AK291" i="22"/>
  <c r="AK303" i="22"/>
  <c r="AK190" i="22"/>
  <c r="AK199" i="22"/>
  <c r="AK204" i="22"/>
  <c r="AK212" i="22"/>
  <c r="AK220" i="22"/>
  <c r="AK227" i="22"/>
  <c r="AK238" i="22"/>
  <c r="AK250" i="22"/>
  <c r="AK263" i="22"/>
  <c r="AK272" i="22"/>
  <c r="AK278" i="22"/>
  <c r="AK283" i="22"/>
  <c r="AK288" i="22"/>
  <c r="AK299" i="22"/>
  <c r="AK313" i="22"/>
  <c r="AK326" i="22"/>
  <c r="AK335" i="22"/>
  <c r="AK344" i="22"/>
  <c r="AK352" i="22"/>
  <c r="AK358" i="22"/>
  <c r="AK368" i="22"/>
  <c r="AK295" i="22"/>
  <c r="AK312" i="22"/>
  <c r="AK333" i="22"/>
  <c r="AK342" i="22"/>
  <c r="AK363" i="22"/>
  <c r="AK371" i="22"/>
  <c r="AK309" i="22"/>
  <c r="AK324" i="22"/>
  <c r="AK355" i="22"/>
  <c r="AK377" i="22"/>
  <c r="AK310" i="22"/>
  <c r="AK320" i="22"/>
  <c r="AK360" i="22"/>
  <c r="L16" i="19"/>
  <c r="P10" i="20"/>
  <c r="AG17" i="15"/>
  <c r="AH383" i="15"/>
  <c r="AF381" i="1"/>
  <c r="AF383" i="1"/>
  <c r="AF382" i="1"/>
  <c r="AD17" i="1"/>
  <c r="R381" i="1"/>
  <c r="R382" i="1"/>
  <c r="R383" i="1"/>
  <c r="P15" i="1"/>
  <c r="AG379" i="15"/>
  <c r="AF379" i="15" s="1"/>
  <c r="AD379" i="15" s="1"/>
  <c r="I320" i="1"/>
  <c r="H320" i="15" s="1"/>
  <c r="J320" i="15" s="1"/>
  <c r="G320" i="1"/>
  <c r="BW320" i="6" s="1"/>
  <c r="AA320" i="1"/>
  <c r="Z320" i="1" s="1"/>
  <c r="Y320" i="1" s="1"/>
  <c r="Q15" i="7"/>
  <c r="Q367" i="16"/>
  <c r="Q240" i="16"/>
  <c r="Q137" i="16"/>
  <c r="Q124" i="16"/>
  <c r="Q235" i="16"/>
  <c r="Q310" i="16"/>
  <c r="Q244" i="16"/>
  <c r="Q82" i="16"/>
  <c r="Q232" i="16"/>
  <c r="Q60" i="16"/>
  <c r="Q267" i="16"/>
  <c r="Q16" i="16"/>
  <c r="Q293" i="16"/>
  <c r="Q305" i="16"/>
  <c r="Q25" i="16"/>
  <c r="Q100" i="16"/>
  <c r="Q247" i="16"/>
  <c r="Q190" i="16"/>
  <c r="Q189" i="16"/>
  <c r="Q129" i="16"/>
  <c r="Q222" i="16"/>
  <c r="Q204" i="16"/>
  <c r="Q195" i="16"/>
  <c r="Q242" i="16"/>
  <c r="Q85" i="16"/>
  <c r="Q290" i="16"/>
  <c r="Q264" i="16"/>
  <c r="Q342" i="16"/>
  <c r="Q96" i="16"/>
  <c r="Q147" i="16"/>
  <c r="Q300" i="16"/>
  <c r="Q134" i="16"/>
  <c r="Q150" i="16"/>
  <c r="Q93" i="16"/>
  <c r="Q274" i="16"/>
  <c r="Q199" i="16"/>
  <c r="Q196" i="16"/>
  <c r="Q286" i="16"/>
  <c r="Q113" i="16"/>
  <c r="Q197" i="16"/>
  <c r="Q318" i="16"/>
  <c r="Q251" i="16"/>
  <c r="Q92" i="16"/>
  <c r="Q265" i="16"/>
  <c r="Q112" i="16"/>
  <c r="Q308" i="16"/>
  <c r="Q329" i="16"/>
  <c r="Q126" i="16"/>
  <c r="Q48" i="16"/>
  <c r="Q159" i="16"/>
  <c r="Q276" i="16"/>
  <c r="Q230" i="16"/>
  <c r="AE44" i="16"/>
  <c r="AE125" i="16"/>
  <c r="AE104" i="16"/>
  <c r="AE317" i="16"/>
  <c r="AE274" i="16"/>
  <c r="AE20" i="16"/>
  <c r="AE127" i="16"/>
  <c r="AE151" i="16"/>
  <c r="AE297" i="16"/>
  <c r="AE147" i="16"/>
  <c r="AE190" i="16"/>
  <c r="AE49" i="16"/>
  <c r="AE68" i="16"/>
  <c r="AE248" i="16"/>
  <c r="AE97" i="16"/>
  <c r="AE346" i="16"/>
  <c r="AE90" i="16"/>
  <c r="AE92" i="16"/>
  <c r="AE205" i="16"/>
  <c r="AE144" i="16"/>
  <c r="AE23" i="16"/>
  <c r="AE310" i="16"/>
  <c r="AE54" i="16"/>
  <c r="AE223" i="16"/>
  <c r="AE167" i="16"/>
  <c r="AE303" i="16"/>
  <c r="AE155" i="16"/>
  <c r="AE194" i="16"/>
  <c r="AE143" i="16"/>
  <c r="AE116" i="16"/>
  <c r="AE288" i="16"/>
  <c r="AE137" i="16"/>
  <c r="AE366" i="16"/>
  <c r="AE110" i="16"/>
  <c r="AE204" i="16"/>
  <c r="AE221" i="16"/>
  <c r="AE152" i="16"/>
  <c r="AE365" i="16"/>
  <c r="AE298" i="16"/>
  <c r="AE42" i="16"/>
  <c r="AE213" i="16"/>
  <c r="AE377" i="16"/>
  <c r="AE48" i="16"/>
  <c r="AE291" i="16"/>
  <c r="AE262" i="16"/>
  <c r="Q357" i="16"/>
  <c r="Q312" i="16"/>
  <c r="Q153" i="16"/>
  <c r="Q36" i="16"/>
  <c r="Q279" i="16"/>
  <c r="Q23" i="16"/>
  <c r="Q253" i="16"/>
  <c r="Q257" i="16"/>
  <c r="Q142" i="16"/>
  <c r="Q140" i="16"/>
  <c r="Q227" i="16"/>
  <c r="Q182" i="16"/>
  <c r="Q149" i="16"/>
  <c r="Q370" i="16"/>
  <c r="Q313" i="16"/>
  <c r="Q66" i="16"/>
  <c r="Q224" i="16"/>
  <c r="Q115" i="16"/>
  <c r="Q371" i="16"/>
  <c r="Q344" i="16"/>
  <c r="Q40" i="16"/>
  <c r="Q29" i="16"/>
  <c r="Q20" i="16"/>
  <c r="Q167" i="16"/>
  <c r="Q260" i="16"/>
  <c r="Q294" i="16"/>
  <c r="Q254" i="16"/>
  <c r="Q133" i="16"/>
  <c r="Q54" i="16"/>
  <c r="Q219" i="16"/>
  <c r="Q156" i="16"/>
  <c r="Q354" i="16"/>
  <c r="Q365" i="16"/>
  <c r="Q335" i="16"/>
  <c r="Q201" i="16"/>
  <c r="Q130" i="16"/>
  <c r="Q176" i="16"/>
  <c r="Q127" i="16"/>
  <c r="Q340" i="16"/>
  <c r="Q368" i="16"/>
  <c r="AE172" i="16"/>
  <c r="AE251" i="16"/>
  <c r="AE168" i="16"/>
  <c r="AE18" i="16"/>
  <c r="AE306" i="16"/>
  <c r="AE50" i="16"/>
  <c r="AE21" i="16"/>
  <c r="AE279" i="16"/>
  <c r="AE359" i="16"/>
  <c r="AE211" i="16"/>
  <c r="AE222" i="16"/>
  <c r="AE305" i="16"/>
  <c r="AE196" i="16"/>
  <c r="AE312" i="16"/>
  <c r="AE161" i="16"/>
  <c r="AE378" i="16"/>
  <c r="AE122" i="16"/>
  <c r="AE220" i="16"/>
  <c r="AE331" i="16"/>
  <c r="AE208" i="16"/>
  <c r="AE89" i="16"/>
  <c r="AE342" i="16"/>
  <c r="AE86" i="16"/>
  <c r="AE117" i="16"/>
  <c r="AE295" i="16"/>
  <c r="AE367" i="16"/>
  <c r="AE219" i="16"/>
  <c r="AE226" i="16"/>
  <c r="AE35" i="16"/>
  <c r="AE244" i="16"/>
  <c r="AE352" i="16"/>
  <c r="AE201" i="16"/>
  <c r="AE53" i="16"/>
  <c r="AE142" i="16"/>
  <c r="AE332" i="16"/>
  <c r="AE347" i="16"/>
  <c r="AE216" i="16"/>
  <c r="AE63" i="16"/>
  <c r="AE330" i="16"/>
  <c r="AE74" i="16"/>
  <c r="AE28" i="16"/>
  <c r="AE141" i="16"/>
  <c r="AE112" i="16"/>
  <c r="AE357" i="16"/>
  <c r="AE294" i="16"/>
  <c r="AE38" i="16"/>
  <c r="Q146" i="16"/>
  <c r="Q61" i="16"/>
  <c r="Q226" i="16"/>
  <c r="Q376" i="16"/>
  <c r="Q332" i="16"/>
  <c r="Q131" i="16"/>
  <c r="Q160" i="16"/>
  <c r="Q322" i="16"/>
  <c r="Q377" i="16"/>
  <c r="Q278" i="16"/>
  <c r="Q117" i="16"/>
  <c r="Q356" i="16"/>
  <c r="Q211" i="16"/>
  <c r="Q172" i="16"/>
  <c r="Q110" i="16"/>
  <c r="Q193" i="16"/>
  <c r="Q221" i="16"/>
  <c r="Q334" i="16"/>
  <c r="Q263" i="16"/>
  <c r="Q68" i="16"/>
  <c r="Q89" i="16"/>
  <c r="Q369" i="16"/>
  <c r="Q325" i="16"/>
  <c r="Q59" i="16"/>
  <c r="Q315" i="16"/>
  <c r="Q122" i="16"/>
  <c r="Q97" i="16"/>
  <c r="Q19" i="16"/>
  <c r="Q52" i="16"/>
  <c r="Q348" i="16"/>
  <c r="Q141" i="16"/>
  <c r="Q118" i="16"/>
  <c r="Q223" i="16"/>
  <c r="Q148" i="16"/>
  <c r="AE22" i="16"/>
  <c r="AE353" i="16"/>
  <c r="AE231" i="16"/>
  <c r="AE335" i="16"/>
  <c r="AE187" i="16"/>
  <c r="AE210" i="16"/>
  <c r="AE273" i="16"/>
  <c r="AE180" i="16"/>
  <c r="AE320" i="16"/>
  <c r="AE169" i="16"/>
  <c r="AE17" i="16"/>
  <c r="AE126" i="16"/>
  <c r="AE140" i="16"/>
  <c r="AE157" i="16"/>
  <c r="AE120" i="16"/>
  <c r="AE333" i="16"/>
  <c r="AE282" i="16"/>
  <c r="AE26" i="16"/>
  <c r="AE85" i="16"/>
  <c r="AE313" i="16"/>
  <c r="AE16" i="16"/>
  <c r="AE261" i="16"/>
  <c r="AE246" i="16"/>
  <c r="AE239" i="16"/>
  <c r="AE228" i="16"/>
  <c r="AE328" i="16"/>
  <c r="AE177" i="16"/>
  <c r="AE29" i="16"/>
  <c r="AE130" i="16"/>
  <c r="AE188" i="16"/>
  <c r="AE237" i="16"/>
  <c r="AE160" i="16"/>
  <c r="AE373" i="16"/>
  <c r="AE302" i="16"/>
  <c r="AE46" i="16"/>
  <c r="AE181" i="16"/>
  <c r="AE329" i="16"/>
  <c r="AE24" i="16"/>
  <c r="AE235" i="16"/>
  <c r="AE234" i="16"/>
  <c r="AE229" i="16"/>
  <c r="AE65" i="16"/>
  <c r="AE119" i="16"/>
  <c r="AE311" i="16"/>
  <c r="AE163" i="16"/>
  <c r="AE198" i="16"/>
  <c r="Q229" i="16"/>
  <c r="Q177" i="16"/>
  <c r="Q238" i="16"/>
  <c r="Q164" i="16"/>
  <c r="Q215" i="16"/>
  <c r="Q372" i="16"/>
  <c r="Q125" i="16"/>
  <c r="Q174" i="16"/>
  <c r="Q262" i="16"/>
  <c r="Q268" i="16"/>
  <c r="Q163" i="16"/>
  <c r="Q32" i="16"/>
  <c r="Q21" i="16"/>
  <c r="Q136" i="16"/>
  <c r="Q34" i="16"/>
  <c r="Q53" i="16"/>
  <c r="Q114" i="16"/>
  <c r="Q179" i="16"/>
  <c r="Q236" i="16"/>
  <c r="Q366" i="16"/>
  <c r="Q65" i="16"/>
  <c r="Q157" i="16"/>
  <c r="Q246" i="16"/>
  <c r="Q231" i="16"/>
  <c r="Q132" i="16"/>
  <c r="Q270" i="16"/>
  <c r="Q241" i="16"/>
  <c r="Q261" i="16"/>
  <c r="Q27" i="16"/>
  <c r="Q283" i="16"/>
  <c r="Q28" i="16"/>
  <c r="Q98" i="16"/>
  <c r="Q338" i="16"/>
  <c r="Q180" i="16"/>
  <c r="Q104" i="16"/>
  <c r="Q77" i="16"/>
  <c r="Q210" i="16"/>
  <c r="Q191" i="16"/>
  <c r="Q212" i="16"/>
  <c r="Q158" i="16"/>
  <c r="AE245" i="16"/>
  <c r="AE361" i="16"/>
  <c r="AE40" i="16"/>
  <c r="AE253" i="16"/>
  <c r="AE242" i="16"/>
  <c r="AE165" i="16"/>
  <c r="AE308" i="16"/>
  <c r="AE25" i="16"/>
  <c r="AE233" i="16"/>
  <c r="AE83" i="16"/>
  <c r="AE158" i="16"/>
  <c r="AE268" i="16"/>
  <c r="AE285" i="16"/>
  <c r="AE184" i="16"/>
  <c r="AE31" i="16"/>
  <c r="AE314" i="16"/>
  <c r="AE58" i="16"/>
  <c r="AE339" i="16"/>
  <c r="AE75" i="16"/>
  <c r="AE80" i="16"/>
  <c r="Q330" i="16"/>
  <c r="Q88" i="16"/>
  <c r="Q363" i="16"/>
  <c r="Q350" i="16"/>
  <c r="Q45" i="16"/>
  <c r="Q316" i="16"/>
  <c r="Q128" i="16"/>
  <c r="Q72" i="16"/>
  <c r="Q375" i="16"/>
  <c r="Q208" i="16"/>
  <c r="Q361" i="16"/>
  <c r="Q323" i="16"/>
  <c r="Q341" i="16"/>
  <c r="Q121" i="16"/>
  <c r="Q245" i="16"/>
  <c r="Q275" i="16"/>
  <c r="Q169" i="16"/>
  <c r="Q349" i="16"/>
  <c r="Q327" i="16"/>
  <c r="Q345" i="16"/>
  <c r="Q192" i="16"/>
  <c r="Q379" i="16"/>
  <c r="Q364" i="16"/>
  <c r="Q102" i="16"/>
  <c r="Q269" i="16"/>
  <c r="Q287" i="16"/>
  <c r="AE369" i="16"/>
  <c r="AE360" i="16"/>
  <c r="AE61" i="16"/>
  <c r="AE252" i="16"/>
  <c r="AE192" i="16"/>
  <c r="AE318" i="16"/>
  <c r="AE51" i="16"/>
  <c r="AE351" i="16"/>
  <c r="AE218" i="16"/>
  <c r="AE340" i="16"/>
  <c r="AE281" i="16"/>
  <c r="AE182" i="16"/>
  <c r="AE315" i="16"/>
  <c r="AE47" i="16"/>
  <c r="AE66" i="16"/>
  <c r="AE345" i="16"/>
  <c r="AE243" i="16"/>
  <c r="AE323" i="16"/>
  <c r="AE73" i="16"/>
  <c r="AE107" i="16"/>
  <c r="AE81" i="16"/>
  <c r="AE304" i="16"/>
  <c r="AE37" i="16"/>
  <c r="Q101" i="16"/>
  <c r="Q166" i="16"/>
  <c r="Q151" i="16"/>
  <c r="Q78" i="16"/>
  <c r="Q282" i="16"/>
  <c r="Q99" i="16"/>
  <c r="Q120" i="16"/>
  <c r="Q15" i="16"/>
  <c r="Q62" i="16"/>
  <c r="Q108" i="16"/>
  <c r="Q321" i="16"/>
  <c r="Q39" i="16"/>
  <c r="Q42" i="16"/>
  <c r="Q184" i="16"/>
  <c r="Q91" i="16"/>
  <c r="Q250" i="16"/>
  <c r="Q79" i="16"/>
  <c r="Q33" i="16"/>
  <c r="Q46" i="16"/>
  <c r="Q84" i="16"/>
  <c r="AE95" i="16"/>
  <c r="AE271" i="16"/>
  <c r="AE178" i="16"/>
  <c r="AE52" i="16"/>
  <c r="AE105" i="16"/>
  <c r="AE94" i="16"/>
  <c r="AE27" i="16"/>
  <c r="AE269" i="16"/>
  <c r="AE355" i="16"/>
  <c r="AE183" i="16"/>
  <c r="AE195" i="16"/>
  <c r="AE364" i="16"/>
  <c r="AE264" i="16"/>
  <c r="AE354" i="16"/>
  <c r="AE60" i="16"/>
  <c r="AE96" i="16"/>
  <c r="AE270" i="16"/>
  <c r="AE287" i="16"/>
  <c r="AE319" i="16"/>
  <c r="AE202" i="16"/>
  <c r="AE276" i="16"/>
  <c r="AE249" i="16"/>
  <c r="AE166" i="16"/>
  <c r="Q317" i="16"/>
  <c r="Q105" i="16"/>
  <c r="Q259" i="16"/>
  <c r="Q213" i="16"/>
  <c r="Q185" i="16"/>
  <c r="Q373" i="16"/>
  <c r="Q339" i="16"/>
  <c r="Q296" i="16"/>
  <c r="Q144" i="16"/>
  <c r="Q324" i="16"/>
  <c r="Q162" i="16"/>
  <c r="Q178" i="16"/>
  <c r="Q220" i="16"/>
  <c r="Q237" i="16"/>
  <c r="Q73" i="16"/>
  <c r="Q304" i="16"/>
  <c r="Q351" i="16"/>
  <c r="AE300" i="16"/>
  <c r="AE232" i="16"/>
  <c r="AE338" i="16"/>
  <c r="AE275" i="16"/>
  <c r="AE64" i="16"/>
  <c r="AE254" i="16"/>
  <c r="AE324" i="16"/>
  <c r="AE225" i="16"/>
  <c r="AE154" i="16"/>
  <c r="AE84" i="16"/>
  <c r="AE153" i="16"/>
  <c r="AE118" i="16"/>
  <c r="AE59" i="16"/>
  <c r="AE283" i="16"/>
  <c r="AE293" i="16"/>
  <c r="AE87" i="16"/>
  <c r="AE115" i="16"/>
  <c r="AE175" i="16"/>
  <c r="AE280" i="16"/>
  <c r="AE362" i="16"/>
  <c r="AE156" i="16"/>
  <c r="AE176" i="16"/>
  <c r="AE326" i="16"/>
  <c r="Q86" i="16"/>
  <c r="Q234" i="16"/>
  <c r="Q87" i="16"/>
  <c r="Q152" i="16"/>
  <c r="Q26" i="16"/>
  <c r="Q35" i="16"/>
  <c r="Q209" i="16"/>
  <c r="Q273" i="16"/>
  <c r="Q51" i="16"/>
  <c r="Q90" i="16"/>
  <c r="Q24" i="16"/>
  <c r="Q103" i="16"/>
  <c r="Q298" i="16"/>
  <c r="Q362" i="16"/>
  <c r="Q155" i="16"/>
  <c r="Q198" i="16"/>
  <c r="Q207" i="16"/>
  <c r="Q289" i="16"/>
  <c r="Q63" i="16"/>
  <c r="Q138" i="16"/>
  <c r="AE164" i="16"/>
  <c r="AE145" i="16"/>
  <c r="AE114" i="16"/>
  <c r="AE173" i="16"/>
  <c r="AE341" i="16"/>
  <c r="AE30" i="16"/>
  <c r="AE135" i="16"/>
  <c r="AE139" i="16"/>
  <c r="AE207" i="16"/>
  <c r="AE336" i="16"/>
  <c r="AE325" i="16"/>
  <c r="AE278" i="16"/>
  <c r="AE133" i="16"/>
  <c r="AE356" i="16"/>
  <c r="AE41" i="16"/>
  <c r="AE241" i="16"/>
  <c r="AE91" i="16"/>
  <c r="AE162" i="16"/>
  <c r="AE316" i="16"/>
  <c r="AE363" i="16"/>
  <c r="AE224" i="16"/>
  <c r="AE71" i="16"/>
  <c r="AE334" i="16"/>
  <c r="AE78" i="16"/>
  <c r="AE76" i="16"/>
  <c r="AE93" i="16"/>
  <c r="AE88" i="16"/>
  <c r="AE299" i="16"/>
  <c r="AE266" i="16"/>
  <c r="AE379" i="16"/>
  <c r="AE12" i="17" s="1"/>
  <c r="AE321" i="16"/>
  <c r="AE247" i="16"/>
  <c r="AE375" i="16"/>
  <c r="AE227" i="16"/>
  <c r="AE230" i="16"/>
  <c r="Q239" i="16"/>
  <c r="Q326" i="16"/>
  <c r="Q171" i="16"/>
  <c r="Q303" i="16"/>
  <c r="Q346" i="16"/>
  <c r="Q203" i="16"/>
  <c r="Q165" i="16"/>
  <c r="Q30" i="16"/>
  <c r="Q183" i="16"/>
  <c r="Q358" i="16"/>
  <c r="Q58" i="16"/>
  <c r="Q43" i="16"/>
  <c r="Q47" i="16"/>
  <c r="Q186" i="16"/>
  <c r="Q75" i="16"/>
  <c r="Q56" i="16"/>
  <c r="Q106" i="16"/>
  <c r="Q111" i="16"/>
  <c r="Q314" i="16"/>
  <c r="Q107" i="16"/>
  <c r="Q175" i="16"/>
  <c r="Q70" i="16"/>
  <c r="Q139" i="16"/>
  <c r="Q37" i="16"/>
  <c r="Q352" i="16"/>
  <c r="Q119" i="16"/>
  <c r="Q258" i="16"/>
  <c r="Q154" i="16"/>
  <c r="Q67" i="16"/>
  <c r="Q337" i="16"/>
  <c r="Q145" i="16"/>
  <c r="Q17" i="16"/>
  <c r="Q44" i="16"/>
  <c r="Q280" i="16"/>
  <c r="Q71" i="16"/>
  <c r="Q170" i="16"/>
  <c r="Q194" i="16"/>
  <c r="Q123" i="16"/>
  <c r="Q360" i="16"/>
  <c r="Q143" i="16"/>
  <c r="Q161" i="16"/>
  <c r="Q31" i="16"/>
  <c r="Q18" i="16"/>
  <c r="AE292" i="16"/>
  <c r="AE209" i="16"/>
  <c r="AE146" i="16"/>
  <c r="AE301" i="16"/>
  <c r="AE39" i="16"/>
  <c r="AE62" i="16"/>
  <c r="AE265" i="16"/>
  <c r="AE203" i="16"/>
  <c r="AE101" i="16"/>
  <c r="AE57" i="16"/>
  <c r="AE131" i="16"/>
  <c r="AE236" i="16"/>
  <c r="AE200" i="16"/>
  <c r="AE322" i="16"/>
  <c r="AE149" i="16"/>
  <c r="AE32" i="16"/>
  <c r="AE238" i="16"/>
  <c r="AE33" i="16"/>
  <c r="AE255" i="16"/>
  <c r="AE170" i="16"/>
  <c r="AE148" i="16"/>
  <c r="AE185" i="16"/>
  <c r="AE134" i="16"/>
  <c r="Q22" i="16"/>
  <c r="Q292" i="16"/>
  <c r="Q80" i="16"/>
  <c r="Q168" i="16"/>
  <c r="Q355" i="16"/>
  <c r="Q288" i="16"/>
  <c r="Q249" i="16"/>
  <c r="Q181" i="16"/>
  <c r="Q243" i="16"/>
  <c r="Q41" i="16"/>
  <c r="Q285" i="16"/>
  <c r="Q295" i="16"/>
  <c r="Q217" i="16"/>
  <c r="Q320" i="16"/>
  <c r="Q347" i="16"/>
  <c r="Q353" i="16"/>
  <c r="Q202" i="16"/>
  <c r="Q205" i="16"/>
  <c r="Q255" i="16"/>
  <c r="AE259" i="16"/>
  <c r="AE103" i="16"/>
  <c r="AE123" i="16"/>
  <c r="AE19" i="16"/>
  <c r="AE256" i="16"/>
  <c r="AE350" i="16"/>
  <c r="AE307" i="16"/>
  <c r="AE56" i="16"/>
  <c r="AE250" i="16"/>
  <c r="AE191" i="16"/>
  <c r="AE343" i="16"/>
  <c r="AE214" i="16"/>
  <c r="AE100" i="16"/>
  <c r="AE113" i="16"/>
  <c r="AE98" i="16"/>
  <c r="AE109" i="16"/>
  <c r="AE309" i="16"/>
  <c r="AE380" i="16"/>
  <c r="AE199" i="16"/>
  <c r="AE171" i="16"/>
  <c r="AE337" i="16"/>
  <c r="AE368" i="16"/>
  <c r="AE99" i="16"/>
  <c r="Q55" i="16"/>
  <c r="Q380" i="16"/>
  <c r="Q76" i="16"/>
  <c r="Q302" i="16"/>
  <c r="Q81" i="16"/>
  <c r="Q248" i="16"/>
  <c r="Q83" i="16"/>
  <c r="Q218" i="16"/>
  <c r="Q214" i="16"/>
  <c r="Q135" i="16"/>
  <c r="Q38" i="16"/>
  <c r="Q69" i="16"/>
  <c r="Q187" i="16"/>
  <c r="Q94" i="16"/>
  <c r="Q271" i="16"/>
  <c r="Q216" i="16"/>
  <c r="Q95" i="16"/>
  <c r="Q266" i="16"/>
  <c r="AE36" i="16"/>
  <c r="AE79" i="16"/>
  <c r="AE82" i="16"/>
  <c r="AE43" i="16"/>
  <c r="AE277" i="16"/>
  <c r="AE197" i="16"/>
  <c r="AE376" i="16"/>
  <c r="AE77" i="16"/>
  <c r="AE348" i="16"/>
  <c r="AE272" i="16"/>
  <c r="AE374" i="16"/>
  <c r="AE371" i="16"/>
  <c r="AE72" i="16"/>
  <c r="AE258" i="16"/>
  <c r="AE372" i="16"/>
  <c r="AE263" i="16"/>
  <c r="AE174" i="16"/>
  <c r="AE132" i="16"/>
  <c r="AE129" i="16"/>
  <c r="AE106" i="16"/>
  <c r="AE267" i="16"/>
  <c r="AE55" i="16"/>
  <c r="AE70" i="16"/>
  <c r="Q328" i="16"/>
  <c r="Q343" i="16"/>
  <c r="Q336" i="16"/>
  <c r="Q233" i="16"/>
  <c r="Q291" i="16"/>
  <c r="Q277" i="16"/>
  <c r="Q57" i="16"/>
  <c r="Q309" i="16"/>
  <c r="Q307" i="16"/>
  <c r="Q297" i="16"/>
  <c r="Q272" i="16"/>
  <c r="Q359" i="16"/>
  <c r="Q200" i="16"/>
  <c r="Q64" i="16"/>
  <c r="Q284" i="16"/>
  <c r="Q109" i="16"/>
  <c r="Q378" i="16"/>
  <c r="Q333" i="16"/>
  <c r="Q319" i="16"/>
  <c r="AE111" i="16"/>
  <c r="AE296" i="16"/>
  <c r="AE370" i="16"/>
  <c r="AE124" i="16"/>
  <c r="AE128" i="16"/>
  <c r="AE286" i="16"/>
  <c r="AE159" i="16"/>
  <c r="AE289" i="16"/>
  <c r="AE186" i="16"/>
  <c r="AE212" i="16"/>
  <c r="AE217" i="16"/>
  <c r="AE69" i="16"/>
  <c r="AE150" i="16"/>
  <c r="AE108" i="16"/>
  <c r="AE189" i="16"/>
  <c r="AE136" i="16"/>
  <c r="AE349" i="16"/>
  <c r="AE290" i="16"/>
  <c r="AE34" i="16"/>
  <c r="AE257" i="16"/>
  <c r="AE215" i="16"/>
  <c r="AE327" i="16"/>
  <c r="AE179" i="16"/>
  <c r="AE206" i="16"/>
  <c r="AE67" i="16"/>
  <c r="AE260" i="16"/>
  <c r="AE344" i="16"/>
  <c r="AE193" i="16"/>
  <c r="AE45" i="16"/>
  <c r="AE138" i="16"/>
  <c r="AE284" i="16"/>
  <c r="AE15" i="16"/>
  <c r="AE240" i="16"/>
  <c r="AE121" i="16"/>
  <c r="AE358" i="16"/>
  <c r="AE102" i="16"/>
  <c r="Q206" i="16"/>
  <c r="Q173" i="16"/>
  <c r="Q252" i="16"/>
  <c r="Q50" i="16"/>
  <c r="Q301" i="16"/>
  <c r="Q188" i="16"/>
  <c r="Q306" i="16"/>
  <c r="Q49" i="16"/>
  <c r="Q228" i="16"/>
  <c r="Q116" i="16"/>
  <c r="Q374" i="16"/>
  <c r="Q299" i="16"/>
  <c r="Q74" i="16"/>
  <c r="Q225" i="16"/>
  <c r="Q331" i="16"/>
  <c r="Q256" i="16"/>
  <c r="Q281" i="16"/>
  <c r="Q311" i="16"/>
  <c r="G200" i="15"/>
  <c r="BX200" i="6" s="1"/>
  <c r="AA200" i="15"/>
  <c r="Z200" i="15" s="1"/>
  <c r="Y200" i="15" s="1"/>
  <c r="H200" i="15"/>
  <c r="H46" i="15"/>
  <c r="G46" i="15"/>
  <c r="BX46" i="6" s="1"/>
  <c r="AA46" i="15"/>
  <c r="Z46" i="15" s="1"/>
  <c r="Y46" i="15" s="1"/>
  <c r="G219" i="15"/>
  <c r="BX219" i="6" s="1"/>
  <c r="H219" i="15"/>
  <c r="G202" i="15"/>
  <c r="BX202" i="6" s="1"/>
  <c r="H202" i="15"/>
  <c r="AA202" i="15"/>
  <c r="Z202" i="15" s="1"/>
  <c r="Y202" i="15" s="1"/>
  <c r="H199" i="15"/>
  <c r="G199" i="15"/>
  <c r="BX199" i="6" s="1"/>
  <c r="J49" i="15"/>
  <c r="I49" i="15"/>
  <c r="I181" i="15"/>
  <c r="J181" i="15"/>
  <c r="J196" i="15"/>
  <c r="I196" i="15"/>
  <c r="I177" i="15"/>
  <c r="J177" i="15"/>
  <c r="AT12" i="6"/>
  <c r="AT13" i="6"/>
  <c r="AM10" i="1"/>
  <c r="I169" i="15"/>
  <c r="J173" i="15"/>
  <c r="Q11" i="23"/>
  <c r="AY11" i="7"/>
  <c r="F47" i="15"/>
  <c r="H47" i="15" s="1"/>
  <c r="F333" i="15"/>
  <c r="I67" i="15"/>
  <c r="J67" i="15"/>
  <c r="I175" i="15"/>
  <c r="J175" i="15"/>
  <c r="I55" i="15"/>
  <c r="J55" i="15"/>
  <c r="I179" i="15"/>
  <c r="J179" i="15"/>
  <c r="AK10" i="1"/>
  <c r="AK12" i="1" s="1"/>
  <c r="AK13" i="1" s="1"/>
  <c r="F381" i="1"/>
  <c r="F9" i="1"/>
  <c r="F11" i="1" s="1"/>
  <c r="F383" i="1"/>
  <c r="AZ13" i="6"/>
  <c r="AZ12" i="6"/>
  <c r="AA272" i="1"/>
  <c r="Z272" i="1" s="1"/>
  <c r="Y272" i="1" s="1"/>
  <c r="AY13" i="6"/>
  <c r="AY12" i="6"/>
  <c r="AA362" i="1"/>
  <c r="Z362" i="1" s="1"/>
  <c r="Y362" i="1" s="1"/>
  <c r="G362" i="1"/>
  <c r="BW362" i="6" s="1"/>
  <c r="I362" i="1"/>
  <c r="Z319" i="1"/>
  <c r="Z198" i="1"/>
  <c r="N61" i="19"/>
  <c r="AH382" i="15" l="1"/>
  <c r="AA209" i="15"/>
  <c r="Z209" i="15" s="1"/>
  <c r="Y209" i="15" s="1"/>
  <c r="AA193" i="15"/>
  <c r="Z193" i="15" s="1"/>
  <c r="Y193" i="15" s="1"/>
  <c r="AA211" i="15"/>
  <c r="Z211" i="15" s="1"/>
  <c r="Y211" i="15" s="1"/>
  <c r="AA349" i="15"/>
  <c r="Z349" i="15" s="1"/>
  <c r="Y349" i="15" s="1"/>
  <c r="G349" i="15"/>
  <c r="BX349" i="6" s="1"/>
  <c r="AA346" i="15"/>
  <c r="Z346" i="15" s="1"/>
  <c r="Y346" i="15" s="1"/>
  <c r="AA212" i="15"/>
  <c r="Z212" i="15" s="1"/>
  <c r="Y212" i="15" s="1"/>
  <c r="O381" i="20"/>
  <c r="AA371" i="15"/>
  <c r="Z371" i="15" s="1"/>
  <c r="Y371" i="15" s="1"/>
  <c r="AA233" i="15"/>
  <c r="Z233" i="15" s="1"/>
  <c r="Y233" i="15" s="1"/>
  <c r="AA107" i="15"/>
  <c r="Z107" i="15" s="1"/>
  <c r="Y107" i="15" s="1"/>
  <c r="AA182" i="15"/>
  <c r="Z182" i="15" s="1"/>
  <c r="Y182" i="15" s="1"/>
  <c r="AD15" i="15"/>
  <c r="AH381" i="15"/>
  <c r="J321" i="15"/>
  <c r="AA213" i="15"/>
  <c r="Z213" i="15" s="1"/>
  <c r="Y213" i="15" s="1"/>
  <c r="AA311" i="15"/>
  <c r="Z311" i="15" s="1"/>
  <c r="Y311" i="15" s="1"/>
  <c r="E7" i="22"/>
  <c r="O10" i="22" s="1"/>
  <c r="O205" i="22" s="1"/>
  <c r="AT13" i="7"/>
  <c r="AU13" i="7"/>
  <c r="O382" i="20"/>
  <c r="O383" i="20"/>
  <c r="L40" i="19" s="1"/>
  <c r="I71" i="15"/>
  <c r="O214" i="22"/>
  <c r="AA329" i="15"/>
  <c r="Z329" i="15" s="1"/>
  <c r="Y329" i="15" s="1"/>
  <c r="I352" i="15"/>
  <c r="AA253" i="15"/>
  <c r="Z253" i="15" s="1"/>
  <c r="Y253" i="15" s="1"/>
  <c r="AA147" i="15"/>
  <c r="Z147" i="15" s="1"/>
  <c r="Y147" i="15" s="1"/>
  <c r="AA332" i="15"/>
  <c r="Z332" i="15" s="1"/>
  <c r="Y332" i="15" s="1"/>
  <c r="O218" i="22"/>
  <c r="AC310" i="18"/>
  <c r="AC333" i="18"/>
  <c r="AC370" i="18"/>
  <c r="O339" i="22"/>
  <c r="AC377" i="18"/>
  <c r="AC372" i="18"/>
  <c r="AC322" i="18"/>
  <c r="AC356" i="18"/>
  <c r="AC315" i="18"/>
  <c r="O195" i="22"/>
  <c r="O108" i="22"/>
  <c r="O125" i="22"/>
  <c r="O25" i="22"/>
  <c r="J174" i="15"/>
  <c r="AC262" i="18"/>
  <c r="AC111" i="18"/>
  <c r="AC249" i="18"/>
  <c r="AC161" i="18"/>
  <c r="AC291" i="18"/>
  <c r="AC166" i="18"/>
  <c r="AC379" i="18"/>
  <c r="AC277" i="18"/>
  <c r="AC224" i="18"/>
  <c r="AC375" i="18"/>
  <c r="AC140" i="18"/>
  <c r="AC247" i="18"/>
  <c r="AC219" i="18"/>
  <c r="AC367" i="18"/>
  <c r="AC179" i="18"/>
  <c r="AC220" i="18"/>
  <c r="AC292" i="18"/>
  <c r="AC294" i="18"/>
  <c r="AC349" i="18"/>
  <c r="AC99" i="18"/>
  <c r="AC348" i="18"/>
  <c r="J302" i="15"/>
  <c r="AA100" i="15"/>
  <c r="Z100" i="15" s="1"/>
  <c r="Y100" i="15" s="1"/>
  <c r="H107" i="15"/>
  <c r="J107" i="15" s="1"/>
  <c r="I171" i="15"/>
  <c r="I57" i="15"/>
  <c r="I330" i="15"/>
  <c r="H315" i="15"/>
  <c r="J315" i="15" s="1"/>
  <c r="G361" i="15"/>
  <c r="BX361" i="6" s="1"/>
  <c r="G57" i="15"/>
  <c r="BX57" i="6" s="1"/>
  <c r="J163" i="15"/>
  <c r="H294" i="15"/>
  <c r="J294" i="15" s="1"/>
  <c r="G193" i="15"/>
  <c r="BX193" i="6" s="1"/>
  <c r="G212" i="15"/>
  <c r="BX212" i="6" s="1"/>
  <c r="AA187" i="15"/>
  <c r="Z187" i="15" s="1"/>
  <c r="Y187" i="15" s="1"/>
  <c r="H314" i="15"/>
  <c r="I314" i="15" s="1"/>
  <c r="G280" i="15"/>
  <c r="BX280" i="6" s="1"/>
  <c r="AA57" i="15"/>
  <c r="Z57" i="15" s="1"/>
  <c r="Y57" i="15" s="1"/>
  <c r="AA64" i="15"/>
  <c r="Z64" i="15" s="1"/>
  <c r="Y64" i="15" s="1"/>
  <c r="H64" i="15"/>
  <c r="I64" i="15" s="1"/>
  <c r="AA264" i="15"/>
  <c r="Z264" i="15" s="1"/>
  <c r="Y264" i="15" s="1"/>
  <c r="I192" i="15"/>
  <c r="I198" i="15"/>
  <c r="I310" i="15"/>
  <c r="I287" i="15"/>
  <c r="I354" i="15"/>
  <c r="J122" i="15"/>
  <c r="H183" i="15"/>
  <c r="I183" i="15" s="1"/>
  <c r="I220" i="15"/>
  <c r="AA73" i="15"/>
  <c r="Z73" i="15" s="1"/>
  <c r="Y73" i="15" s="1"/>
  <c r="G269" i="15"/>
  <c r="BX269" i="6" s="1"/>
  <c r="F79" i="15"/>
  <c r="G79" i="15" s="1"/>
  <c r="BX79" i="6" s="1"/>
  <c r="H147" i="15"/>
  <c r="I147" i="15" s="1"/>
  <c r="J218" i="15"/>
  <c r="J336" i="15"/>
  <c r="J194" i="15"/>
  <c r="H167" i="15"/>
  <c r="J167" i="15" s="1"/>
  <c r="H280" i="15"/>
  <c r="I280" i="15" s="1"/>
  <c r="G314" i="15"/>
  <c r="BX314" i="6" s="1"/>
  <c r="G144" i="15"/>
  <c r="BX144" i="6" s="1"/>
  <c r="H93" i="15"/>
  <c r="I93" i="15" s="1"/>
  <c r="F105" i="15"/>
  <c r="AA105" i="15" s="1"/>
  <c r="Z105" i="15" s="1"/>
  <c r="Y105" i="15" s="1"/>
  <c r="I338" i="15"/>
  <c r="G107" i="15"/>
  <c r="BX107" i="6" s="1"/>
  <c r="J195" i="15"/>
  <c r="J356" i="15"/>
  <c r="I277" i="15"/>
  <c r="I290" i="15"/>
  <c r="J278" i="15"/>
  <c r="H299" i="15"/>
  <c r="J299" i="15" s="1"/>
  <c r="AA245" i="15"/>
  <c r="Z245" i="15" s="1"/>
  <c r="Y245" i="15" s="1"/>
  <c r="G126" i="15"/>
  <c r="BX126" i="6" s="1"/>
  <c r="AA275" i="15"/>
  <c r="Z275" i="15" s="1"/>
  <c r="Y275" i="15" s="1"/>
  <c r="H213" i="15"/>
  <c r="J213" i="15" s="1"/>
  <c r="AA221" i="15"/>
  <c r="Z221" i="15" s="1"/>
  <c r="Y221" i="15" s="1"/>
  <c r="H221" i="15"/>
  <c r="I221" i="15" s="1"/>
  <c r="AA48" i="15"/>
  <c r="Z48" i="15" s="1"/>
  <c r="Y48" i="15" s="1"/>
  <c r="G296" i="15"/>
  <c r="BX296" i="6" s="1"/>
  <c r="AA246" i="15"/>
  <c r="Z246" i="15" s="1"/>
  <c r="Y246" i="15" s="1"/>
  <c r="AA85" i="15"/>
  <c r="Z85" i="15" s="1"/>
  <c r="Y85" i="15" s="1"/>
  <c r="I176" i="15"/>
  <c r="I131" i="15"/>
  <c r="J170" i="15"/>
  <c r="J316" i="15"/>
  <c r="I186" i="15"/>
  <c r="J274" i="15"/>
  <c r="I182" i="15"/>
  <c r="J56" i="15"/>
  <c r="G332" i="15"/>
  <c r="BX332" i="6" s="1"/>
  <c r="G211" i="15"/>
  <c r="BX211" i="6" s="1"/>
  <c r="AA286" i="15"/>
  <c r="Z286" i="15" s="1"/>
  <c r="Y286" i="15" s="1"/>
  <c r="AA167" i="15"/>
  <c r="Z167" i="15" s="1"/>
  <c r="Y167" i="15" s="1"/>
  <c r="H300" i="15"/>
  <c r="J300" i="15" s="1"/>
  <c r="G182" i="15"/>
  <c r="BX182" i="6" s="1"/>
  <c r="G54" i="15"/>
  <c r="BX54" i="6" s="1"/>
  <c r="H54" i="15"/>
  <c r="J361" i="15"/>
  <c r="G100" i="15"/>
  <c r="BX100" i="6" s="1"/>
  <c r="H258" i="15"/>
  <c r="J258" i="15" s="1"/>
  <c r="H144" i="15"/>
  <c r="J144" i="15" s="1"/>
  <c r="AA93" i="15"/>
  <c r="Z93" i="15" s="1"/>
  <c r="Y93" i="15" s="1"/>
  <c r="AA87" i="15"/>
  <c r="Z87" i="15" s="1"/>
  <c r="Y87" i="15" s="1"/>
  <c r="J178" i="15"/>
  <c r="I190" i="15"/>
  <c r="H224" i="15"/>
  <c r="J224" i="15" s="1"/>
  <c r="I344" i="15"/>
  <c r="G209" i="15"/>
  <c r="BX209" i="6" s="1"/>
  <c r="H238" i="15"/>
  <c r="J238" i="15" s="1"/>
  <c r="G275" i="15"/>
  <c r="BX275" i="6" s="1"/>
  <c r="G245" i="15"/>
  <c r="BX245" i="6" s="1"/>
  <c r="H298" i="15"/>
  <c r="J298" i="15" s="1"/>
  <c r="H312" i="15"/>
  <c r="J312" i="15" s="1"/>
  <c r="AA238" i="15"/>
  <c r="Z238" i="15" s="1"/>
  <c r="Y238" i="15" s="1"/>
  <c r="AA183" i="15"/>
  <c r="Z183" i="15" s="1"/>
  <c r="Y183" i="15" s="1"/>
  <c r="G311" i="15"/>
  <c r="BX311" i="6" s="1"/>
  <c r="AA54" i="15"/>
  <c r="Z54" i="15" s="1"/>
  <c r="Y54" i="15" s="1"/>
  <c r="AA258" i="15"/>
  <c r="Z258" i="15" s="1"/>
  <c r="Y258" i="15" s="1"/>
  <c r="H87" i="15"/>
  <c r="I87" i="15" s="1"/>
  <c r="AA294" i="15"/>
  <c r="Z294" i="15" s="1"/>
  <c r="Y294" i="15" s="1"/>
  <c r="I351" i="15"/>
  <c r="I77" i="15"/>
  <c r="AA224" i="15"/>
  <c r="Z224" i="15" s="1"/>
  <c r="Y224" i="15" s="1"/>
  <c r="I184" i="15"/>
  <c r="I357" i="15"/>
  <c r="H311" i="15"/>
  <c r="I311" i="15" s="1"/>
  <c r="AA126" i="15"/>
  <c r="Z126" i="15" s="1"/>
  <c r="Y126" i="15" s="1"/>
  <c r="H209" i="15"/>
  <c r="I209" i="15" s="1"/>
  <c r="H193" i="15"/>
  <c r="J193" i="15" s="1"/>
  <c r="AA298" i="15"/>
  <c r="Z298" i="15" s="1"/>
  <c r="Y298" i="15" s="1"/>
  <c r="AA303" i="15"/>
  <c r="Z303" i="15" s="1"/>
  <c r="Y303" i="15" s="1"/>
  <c r="G312" i="15"/>
  <c r="BX312" i="6" s="1"/>
  <c r="H212" i="15"/>
  <c r="I212" i="15" s="1"/>
  <c r="AA315" i="15"/>
  <c r="Z315" i="15" s="1"/>
  <c r="Y315" i="15" s="1"/>
  <c r="I296" i="15"/>
  <c r="H48" i="15"/>
  <c r="H187" i="15"/>
  <c r="I187" i="15" s="1"/>
  <c r="H303" i="15"/>
  <c r="I303" i="15" s="1"/>
  <c r="H73" i="15"/>
  <c r="I73" i="15" s="1"/>
  <c r="AA299" i="15"/>
  <c r="Z299" i="15" s="1"/>
  <c r="Y299" i="15" s="1"/>
  <c r="AA296" i="15"/>
  <c r="Z296" i="15" s="1"/>
  <c r="Y296" i="15" s="1"/>
  <c r="AA83" i="15"/>
  <c r="Z83" i="15" s="1"/>
  <c r="Y83" i="15" s="1"/>
  <c r="AA94" i="15"/>
  <c r="Z94" i="15" s="1"/>
  <c r="Y94" i="15" s="1"/>
  <c r="G159" i="15"/>
  <c r="BX159" i="6" s="1"/>
  <c r="G134" i="15"/>
  <c r="BX134" i="6" s="1"/>
  <c r="J168" i="15"/>
  <c r="I339" i="15"/>
  <c r="J350" i="15"/>
  <c r="H166" i="15"/>
  <c r="J166" i="15" s="1"/>
  <c r="G218" i="15"/>
  <c r="BX218" i="6" s="1"/>
  <c r="J297" i="15"/>
  <c r="H304" i="15"/>
  <c r="I304" i="15" s="1"/>
  <c r="AA304" i="15"/>
  <c r="Z304" i="15" s="1"/>
  <c r="Y304" i="15" s="1"/>
  <c r="C12" i="19"/>
  <c r="F36" i="19"/>
  <c r="AA302" i="15"/>
  <c r="Z302" i="15" s="1"/>
  <c r="Y302" i="15" s="1"/>
  <c r="G31" i="15"/>
  <c r="BX31" i="6" s="1"/>
  <c r="H246" i="15"/>
  <c r="J246" i="15" s="1"/>
  <c r="G259" i="15"/>
  <c r="BX259" i="6" s="1"/>
  <c r="AA269" i="15"/>
  <c r="Z269" i="15" s="1"/>
  <c r="Y269" i="15" s="1"/>
  <c r="G83" i="15"/>
  <c r="BX83" i="6" s="1"/>
  <c r="AA101" i="15"/>
  <c r="Z101" i="15" s="1"/>
  <c r="Y101" i="15" s="1"/>
  <c r="G94" i="15"/>
  <c r="BX94" i="6" s="1"/>
  <c r="H159" i="15"/>
  <c r="I159" i="15" s="1"/>
  <c r="H253" i="15"/>
  <c r="I253" i="15" s="1"/>
  <c r="G85" i="15"/>
  <c r="BX85" i="6" s="1"/>
  <c r="G147" i="15"/>
  <c r="BX147" i="6" s="1"/>
  <c r="G302" i="15"/>
  <c r="BX302" i="6" s="1"/>
  <c r="J328" i="15"/>
  <c r="I36" i="15"/>
  <c r="J347" i="15"/>
  <c r="I337" i="15"/>
  <c r="J230" i="15"/>
  <c r="AA146" i="15"/>
  <c r="Z146" i="15" s="1"/>
  <c r="Y146" i="15" s="1"/>
  <c r="L37" i="19"/>
  <c r="H76" i="15"/>
  <c r="J76" i="15" s="1"/>
  <c r="H146" i="15"/>
  <c r="I146" i="15" s="1"/>
  <c r="AC330" i="18"/>
  <c r="AC308" i="18"/>
  <c r="AC204" i="18"/>
  <c r="AC196" i="18"/>
  <c r="AC136" i="18"/>
  <c r="AC77" i="18"/>
  <c r="AC369" i="18"/>
  <c r="AC328" i="18"/>
  <c r="AC305" i="18"/>
  <c r="AC167" i="18"/>
  <c r="AC75" i="18"/>
  <c r="AC353" i="18"/>
  <c r="AC245" i="18"/>
  <c r="AC231" i="18"/>
  <c r="AC170" i="18"/>
  <c r="AC118" i="18"/>
  <c r="AC338" i="18"/>
  <c r="AC232" i="18"/>
  <c r="AC143" i="18"/>
  <c r="AC339" i="18"/>
  <c r="AC208" i="18"/>
  <c r="AC100" i="18"/>
  <c r="AC197" i="18"/>
  <c r="AC98" i="18"/>
  <c r="AC341" i="18"/>
  <c r="AC265" i="18"/>
  <c r="AC80" i="18"/>
  <c r="AC274" i="18"/>
  <c r="AC112" i="18"/>
  <c r="AC334" i="18"/>
  <c r="AC205" i="18"/>
  <c r="AC88" i="18"/>
  <c r="AC191" i="18"/>
  <c r="AC91" i="18"/>
  <c r="AC376" i="18"/>
  <c r="AC243" i="18"/>
  <c r="AC129" i="18"/>
  <c r="AC246" i="18"/>
  <c r="AC151" i="18"/>
  <c r="AC290" i="18"/>
  <c r="AC162" i="18"/>
  <c r="AC366" i="18"/>
  <c r="AC276" i="18"/>
  <c r="AC107" i="18"/>
  <c r="AC225" i="18"/>
  <c r="AC284" i="18"/>
  <c r="AC171" i="18"/>
  <c r="AC254" i="18"/>
  <c r="AC285" i="18"/>
  <c r="H329" i="15"/>
  <c r="I329" i="15" s="1"/>
  <c r="G371" i="15"/>
  <c r="BX371" i="6" s="1"/>
  <c r="AA285" i="15"/>
  <c r="Z285" i="15" s="1"/>
  <c r="Y285" i="15" s="1"/>
  <c r="H234" i="15"/>
  <c r="J234" i="15" s="1"/>
  <c r="G355" i="15"/>
  <c r="BX355" i="6" s="1"/>
  <c r="G58" i="15"/>
  <c r="BX58" i="6" s="1"/>
  <c r="H58" i="15"/>
  <c r="AA58" i="15"/>
  <c r="Z58" i="15" s="1"/>
  <c r="Y58" i="15" s="1"/>
  <c r="AA31" i="15"/>
  <c r="Z31" i="15" s="1"/>
  <c r="Y31" i="15" s="1"/>
  <c r="F137" i="15"/>
  <c r="AA137" i="15" s="1"/>
  <c r="Z137" i="15" s="1"/>
  <c r="Y137" i="15" s="1"/>
  <c r="AA259" i="15"/>
  <c r="Z259" i="15" s="1"/>
  <c r="Y259" i="15" s="1"/>
  <c r="H101" i="15"/>
  <c r="J101" i="15" s="1"/>
  <c r="G264" i="15"/>
  <c r="BX264" i="6" s="1"/>
  <c r="G253" i="15"/>
  <c r="BX253" i="6" s="1"/>
  <c r="AA134" i="15"/>
  <c r="Z134" i="15" s="1"/>
  <c r="Y134" i="15" s="1"/>
  <c r="D11" i="19"/>
  <c r="E11" i="19" s="1"/>
  <c r="F11" i="19" s="1"/>
  <c r="G35" i="19"/>
  <c r="I313" i="15"/>
  <c r="I355" i="15"/>
  <c r="AA60" i="15"/>
  <c r="Z60" i="15" s="1"/>
  <c r="Y60" i="15" s="1"/>
  <c r="G60" i="15"/>
  <c r="BX60" i="6" s="1"/>
  <c r="AA218" i="15"/>
  <c r="Z218" i="15" s="1"/>
  <c r="Y218" i="15" s="1"/>
  <c r="J288" i="15"/>
  <c r="AA166" i="15"/>
  <c r="Z166" i="15" s="1"/>
  <c r="Y166" i="15" s="1"/>
  <c r="G62" i="19"/>
  <c r="J53" i="15"/>
  <c r="G76" i="15"/>
  <c r="BX76" i="6" s="1"/>
  <c r="H332" i="15"/>
  <c r="J332" i="15" s="1"/>
  <c r="G329" i="15"/>
  <c r="BX329" i="6" s="1"/>
  <c r="H286" i="15"/>
  <c r="I286" i="15" s="1"/>
  <c r="H371" i="15"/>
  <c r="H285" i="15"/>
  <c r="I285" i="15" s="1"/>
  <c r="G300" i="15"/>
  <c r="BX300" i="6" s="1"/>
  <c r="G234" i="15"/>
  <c r="BX234" i="6" s="1"/>
  <c r="AA168" i="15"/>
  <c r="Z168" i="15" s="1"/>
  <c r="Y168" i="15" s="1"/>
  <c r="AA355" i="15"/>
  <c r="Z355" i="15" s="1"/>
  <c r="Y355" i="15" s="1"/>
  <c r="G168" i="15"/>
  <c r="BX168" i="6" s="1"/>
  <c r="AA59" i="15"/>
  <c r="Z59" i="15" s="1"/>
  <c r="Y59" i="15" s="1"/>
  <c r="G59" i="15"/>
  <c r="BX59" i="6" s="1"/>
  <c r="H59" i="15"/>
  <c r="L38" i="19"/>
  <c r="G213" i="15"/>
  <c r="BX213" i="6" s="1"/>
  <c r="H205" i="15"/>
  <c r="J205" i="15" s="1"/>
  <c r="AA375" i="15"/>
  <c r="Z375" i="15" s="1"/>
  <c r="Y375" i="15" s="1"/>
  <c r="AA205" i="15"/>
  <c r="Z205" i="15" s="1"/>
  <c r="Y205" i="15" s="1"/>
  <c r="H375" i="15"/>
  <c r="I375" i="15" s="1"/>
  <c r="AA361" i="15"/>
  <c r="Z361" i="15" s="1"/>
  <c r="Y361" i="15" s="1"/>
  <c r="G104" i="15"/>
  <c r="BX104" i="6" s="1"/>
  <c r="H104" i="15"/>
  <c r="AA104" i="15"/>
  <c r="Z104" i="15" s="1"/>
  <c r="Y104" i="15" s="1"/>
  <c r="V256" i="15"/>
  <c r="F256" i="15" s="1"/>
  <c r="G65" i="15"/>
  <c r="BX65" i="6" s="1"/>
  <c r="AA65" i="15"/>
  <c r="Z65" i="15" s="1"/>
  <c r="Y65" i="15" s="1"/>
  <c r="H65" i="15"/>
  <c r="J65" i="15" s="1"/>
  <c r="AA323" i="15"/>
  <c r="Z323" i="15" s="1"/>
  <c r="Y323" i="15" s="1"/>
  <c r="G323" i="15"/>
  <c r="BX323" i="6" s="1"/>
  <c r="H323" i="15"/>
  <c r="J323" i="15" s="1"/>
  <c r="H112" i="15"/>
  <c r="G112" i="15"/>
  <c r="BX112" i="6" s="1"/>
  <c r="AA112" i="15"/>
  <c r="Z112" i="15" s="1"/>
  <c r="Y112" i="15" s="1"/>
  <c r="G366" i="15"/>
  <c r="BX366" i="6" s="1"/>
  <c r="H366" i="15"/>
  <c r="AA366" i="15"/>
  <c r="Z366" i="15" s="1"/>
  <c r="Y366" i="15" s="1"/>
  <c r="G141" i="15"/>
  <c r="BX141" i="6" s="1"/>
  <c r="AA141" i="15"/>
  <c r="Z141" i="15" s="1"/>
  <c r="Y141" i="15" s="1"/>
  <c r="H141" i="15"/>
  <c r="G162" i="15"/>
  <c r="BX162" i="6" s="1"/>
  <c r="H162" i="15"/>
  <c r="AA162" i="15"/>
  <c r="Z162" i="15" s="1"/>
  <c r="Y162" i="15" s="1"/>
  <c r="AA154" i="15"/>
  <c r="Z154" i="15" s="1"/>
  <c r="Y154" i="15" s="1"/>
  <c r="H154" i="15"/>
  <c r="G154" i="15"/>
  <c r="BX154" i="6" s="1"/>
  <c r="V319" i="15"/>
  <c r="F319" i="15" s="1"/>
  <c r="V52" i="15"/>
  <c r="C62" i="19" s="1"/>
  <c r="H138" i="15"/>
  <c r="AA138" i="15"/>
  <c r="Z138" i="15" s="1"/>
  <c r="Y138" i="15" s="1"/>
  <c r="G138" i="15"/>
  <c r="BX138" i="6" s="1"/>
  <c r="V88" i="15"/>
  <c r="D34" i="7"/>
  <c r="F88" i="15"/>
  <c r="G22" i="15"/>
  <c r="BX22" i="6" s="1"/>
  <c r="H22" i="15"/>
  <c r="AA22" i="15"/>
  <c r="Z22" i="15" s="1"/>
  <c r="Y22" i="15" s="1"/>
  <c r="AA270" i="15"/>
  <c r="Z270" i="15" s="1"/>
  <c r="Y270" i="15" s="1"/>
  <c r="H270" i="15"/>
  <c r="G270" i="15"/>
  <c r="BX270" i="6" s="1"/>
  <c r="H136" i="15"/>
  <c r="AA136" i="15"/>
  <c r="Z136" i="15" s="1"/>
  <c r="Y136" i="15" s="1"/>
  <c r="G136" i="15"/>
  <c r="BX136" i="6" s="1"/>
  <c r="V114" i="15"/>
  <c r="F114" i="15" s="1"/>
  <c r="V18" i="15"/>
  <c r="F18" i="15" s="1"/>
  <c r="G244" i="15"/>
  <c r="BX244" i="6" s="1"/>
  <c r="H244" i="15"/>
  <c r="AA244" i="15"/>
  <c r="Z244" i="15" s="1"/>
  <c r="Y244" i="15" s="1"/>
  <c r="V216" i="15"/>
  <c r="F216" i="15" s="1"/>
  <c r="G127" i="15"/>
  <c r="BX127" i="6" s="1"/>
  <c r="H127" i="15"/>
  <c r="I127" i="15" s="1"/>
  <c r="AA127" i="15"/>
  <c r="Z127" i="15" s="1"/>
  <c r="Y127" i="15" s="1"/>
  <c r="V236" i="15"/>
  <c r="F236" i="15" s="1"/>
  <c r="G208" i="15"/>
  <c r="BX208" i="6" s="1"/>
  <c r="H208" i="15"/>
  <c r="AA208" i="15"/>
  <c r="Z208" i="15" s="1"/>
  <c r="Y208" i="15" s="1"/>
  <c r="H111" i="15"/>
  <c r="G111" i="15"/>
  <c r="BX111" i="6" s="1"/>
  <c r="AA111" i="15"/>
  <c r="Z111" i="15" s="1"/>
  <c r="Y111" i="15" s="1"/>
  <c r="G281" i="15"/>
  <c r="BX281" i="6" s="1"/>
  <c r="H281" i="15"/>
  <c r="AA281" i="15"/>
  <c r="Z281" i="15" s="1"/>
  <c r="Y281" i="15" s="1"/>
  <c r="AA28" i="15"/>
  <c r="Z28" i="15" s="1"/>
  <c r="Y28" i="15" s="1"/>
  <c r="G28" i="15"/>
  <c r="BX28" i="6" s="1"/>
  <c r="H28" i="15"/>
  <c r="V214" i="15"/>
  <c r="F214" i="15" s="1"/>
  <c r="V206" i="15"/>
  <c r="F206" i="15" s="1"/>
  <c r="H262" i="15"/>
  <c r="G262" i="15"/>
  <c r="BX262" i="6" s="1"/>
  <c r="AA262" i="15"/>
  <c r="Z262" i="15" s="1"/>
  <c r="Y262" i="15" s="1"/>
  <c r="AA156" i="15"/>
  <c r="Z156" i="15" s="1"/>
  <c r="Y156" i="15" s="1"/>
  <c r="H156" i="15"/>
  <c r="G156" i="15"/>
  <c r="BX156" i="6" s="1"/>
  <c r="H113" i="15"/>
  <c r="G113" i="15"/>
  <c r="BX113" i="6" s="1"/>
  <c r="AA113" i="15"/>
  <c r="Z113" i="15" s="1"/>
  <c r="Y113" i="15" s="1"/>
  <c r="H143" i="15"/>
  <c r="AA143" i="15"/>
  <c r="Z143" i="15" s="1"/>
  <c r="Y143" i="15" s="1"/>
  <c r="G143" i="15"/>
  <c r="BX143" i="6" s="1"/>
  <c r="AA84" i="15"/>
  <c r="Z84" i="15" s="1"/>
  <c r="Y84" i="15" s="1"/>
  <c r="G84" i="15"/>
  <c r="BX84" i="6" s="1"/>
  <c r="H84" i="15"/>
  <c r="V289" i="15"/>
  <c r="F289" i="15" s="1"/>
  <c r="G368" i="15"/>
  <c r="BX368" i="6" s="1"/>
  <c r="H368" i="15"/>
  <c r="AA368" i="15"/>
  <c r="Z368" i="15" s="1"/>
  <c r="Y368" i="15" s="1"/>
  <c r="H265" i="15"/>
  <c r="AA265" i="15"/>
  <c r="Z265" i="15" s="1"/>
  <c r="Y265" i="15" s="1"/>
  <c r="G265" i="15"/>
  <c r="BX265" i="6" s="1"/>
  <c r="H151" i="15"/>
  <c r="AA151" i="15"/>
  <c r="Z151" i="15" s="1"/>
  <c r="Y151" i="15" s="1"/>
  <c r="G151" i="15"/>
  <c r="BX151" i="6" s="1"/>
  <c r="G364" i="15"/>
  <c r="BX364" i="6" s="1"/>
  <c r="H364" i="15"/>
  <c r="AA364" i="15"/>
  <c r="Z364" i="15" s="1"/>
  <c r="Y364" i="15" s="1"/>
  <c r="G51" i="15"/>
  <c r="BX51" i="6" s="1"/>
  <c r="H51" i="15"/>
  <c r="AA51" i="15"/>
  <c r="Z51" i="15" s="1"/>
  <c r="Y51" i="15" s="1"/>
  <c r="H260" i="15"/>
  <c r="AA260" i="15"/>
  <c r="Z260" i="15" s="1"/>
  <c r="Y260" i="15" s="1"/>
  <c r="G260" i="15"/>
  <c r="BX260" i="6" s="1"/>
  <c r="AA90" i="15"/>
  <c r="Z90" i="15" s="1"/>
  <c r="Y90" i="15" s="1"/>
  <c r="H90" i="15"/>
  <c r="G90" i="15"/>
  <c r="BX90" i="6" s="1"/>
  <c r="G372" i="15"/>
  <c r="BX372" i="6" s="1"/>
  <c r="H372" i="15"/>
  <c r="AA372" i="15"/>
  <c r="Z372" i="15" s="1"/>
  <c r="Y372" i="15" s="1"/>
  <c r="AA263" i="15"/>
  <c r="Z263" i="15" s="1"/>
  <c r="Y263" i="15" s="1"/>
  <c r="H263" i="15"/>
  <c r="G263" i="15"/>
  <c r="BX263" i="6" s="1"/>
  <c r="V145" i="15"/>
  <c r="F145" i="15" s="1"/>
  <c r="V362" i="15"/>
  <c r="F362" i="15" s="1"/>
  <c r="H226" i="15"/>
  <c r="AA226" i="15"/>
  <c r="Z226" i="15" s="1"/>
  <c r="Y226" i="15" s="1"/>
  <c r="G226" i="15"/>
  <c r="BX226" i="6" s="1"/>
  <c r="H27" i="15"/>
  <c r="G27" i="15"/>
  <c r="BX27" i="6" s="1"/>
  <c r="AA27" i="15"/>
  <c r="Z27" i="15" s="1"/>
  <c r="Y27" i="15" s="1"/>
  <c r="V250" i="15"/>
  <c r="F250" i="15" s="1"/>
  <c r="V19" i="15"/>
  <c r="F19" i="15" s="1"/>
  <c r="AA201" i="15"/>
  <c r="Z201" i="15" s="1"/>
  <c r="Y201" i="15" s="1"/>
  <c r="G201" i="15"/>
  <c r="BX201" i="6" s="1"/>
  <c r="H201" i="15"/>
  <c r="J201" i="15" s="1"/>
  <c r="V359" i="15"/>
  <c r="F359" i="15" s="1"/>
  <c r="H110" i="15"/>
  <c r="G110" i="15"/>
  <c r="BX110" i="6" s="1"/>
  <c r="AA110" i="15"/>
  <c r="Z110" i="15" s="1"/>
  <c r="Y110" i="15" s="1"/>
  <c r="H158" i="15"/>
  <c r="AA158" i="15"/>
  <c r="Z158" i="15" s="1"/>
  <c r="Y158" i="15" s="1"/>
  <c r="G158" i="15"/>
  <c r="BX158" i="6" s="1"/>
  <c r="AA267" i="15"/>
  <c r="Z267" i="15" s="1"/>
  <c r="Y267" i="15" s="1"/>
  <c r="H267" i="15"/>
  <c r="G267" i="15"/>
  <c r="BX267" i="6" s="1"/>
  <c r="G251" i="15"/>
  <c r="BX251" i="6" s="1"/>
  <c r="H251" i="15"/>
  <c r="AA251" i="15"/>
  <c r="Z251" i="15" s="1"/>
  <c r="Y251" i="15" s="1"/>
  <c r="V142" i="15"/>
  <c r="F142" i="15" s="1"/>
  <c r="G242" i="15"/>
  <c r="BX242" i="6" s="1"/>
  <c r="AA242" i="15"/>
  <c r="Z242" i="15" s="1"/>
  <c r="Y242" i="15" s="1"/>
  <c r="H242" i="15"/>
  <c r="H23" i="15"/>
  <c r="G23" i="15"/>
  <c r="BX23" i="6" s="1"/>
  <c r="AA23" i="15"/>
  <c r="Z23" i="15" s="1"/>
  <c r="Y23" i="15" s="1"/>
  <c r="V21" i="15"/>
  <c r="F21" i="15" s="1"/>
  <c r="G135" i="15"/>
  <c r="BX135" i="6" s="1"/>
  <c r="H135" i="15"/>
  <c r="AA135" i="15"/>
  <c r="Z135" i="15" s="1"/>
  <c r="Y135" i="15" s="1"/>
  <c r="V378" i="15"/>
  <c r="F378" i="15" s="1"/>
  <c r="V227" i="15"/>
  <c r="F227" i="15" s="1"/>
  <c r="V152" i="15"/>
  <c r="F152" i="15" s="1"/>
  <c r="V130" i="15"/>
  <c r="F130" i="15" s="1"/>
  <c r="G342" i="15"/>
  <c r="BX342" i="6" s="1"/>
  <c r="H342" i="15"/>
  <c r="AA342" i="15"/>
  <c r="Z342" i="15" s="1"/>
  <c r="Y342" i="15" s="1"/>
  <c r="G32" i="15"/>
  <c r="BX32" i="6" s="1"/>
  <c r="H32" i="15"/>
  <c r="AA32" i="15"/>
  <c r="Z32" i="15" s="1"/>
  <c r="Y32" i="15" s="1"/>
  <c r="V80" i="15"/>
  <c r="F80" i="15" s="1"/>
  <c r="G327" i="15"/>
  <c r="BX327" i="6" s="1"/>
  <c r="H327" i="15"/>
  <c r="AA327" i="15"/>
  <c r="Z327" i="15" s="1"/>
  <c r="Y327" i="15" s="1"/>
  <c r="AA115" i="15"/>
  <c r="Z115" i="15" s="1"/>
  <c r="Y115" i="15" s="1"/>
  <c r="H115" i="15"/>
  <c r="G115" i="15"/>
  <c r="BX115" i="6" s="1"/>
  <c r="H140" i="15"/>
  <c r="AA140" i="15"/>
  <c r="Z140" i="15" s="1"/>
  <c r="Y140" i="15" s="1"/>
  <c r="G140" i="15"/>
  <c r="BX140" i="6" s="1"/>
  <c r="H43" i="15"/>
  <c r="I43" i="15" s="1"/>
  <c r="AA43" i="15"/>
  <c r="Z43" i="15" s="1"/>
  <c r="Y43" i="15" s="1"/>
  <c r="G43" i="15"/>
  <c r="BX43" i="6" s="1"/>
  <c r="H161" i="15"/>
  <c r="G161" i="15"/>
  <c r="BX161" i="6" s="1"/>
  <c r="AA161" i="15"/>
  <c r="Z161" i="15" s="1"/>
  <c r="Y161" i="15" s="1"/>
  <c r="V239" i="15"/>
  <c r="F239" i="15" s="1"/>
  <c r="G345" i="15"/>
  <c r="BX345" i="6" s="1"/>
  <c r="AA345" i="15"/>
  <c r="Z345" i="15" s="1"/>
  <c r="Y345" i="15" s="1"/>
  <c r="H345" i="15"/>
  <c r="I345" i="15" s="1"/>
  <c r="G257" i="15"/>
  <c r="BX257" i="6" s="1"/>
  <c r="H257" i="15"/>
  <c r="AA257" i="15"/>
  <c r="Z257" i="15" s="1"/>
  <c r="Y257" i="15" s="1"/>
  <c r="G204" i="15"/>
  <c r="BX204" i="6" s="1"/>
  <c r="AA204" i="15"/>
  <c r="Z204" i="15" s="1"/>
  <c r="Y204" i="15" s="1"/>
  <c r="H204" i="15"/>
  <c r="J204" i="15" s="1"/>
  <c r="H340" i="15"/>
  <c r="G340" i="15"/>
  <c r="BX340" i="6" s="1"/>
  <c r="H160" i="15"/>
  <c r="G160" i="15"/>
  <c r="BX160" i="6" s="1"/>
  <c r="AA160" i="15"/>
  <c r="Z160" i="15" s="1"/>
  <c r="Y160" i="15" s="1"/>
  <c r="AA132" i="15"/>
  <c r="Z132" i="15" s="1"/>
  <c r="Y132" i="15" s="1"/>
  <c r="G132" i="15"/>
  <c r="BX132" i="6" s="1"/>
  <c r="H132" i="15"/>
  <c r="J132" i="15" s="1"/>
  <c r="V240" i="15"/>
  <c r="F240" i="15" s="1"/>
  <c r="G331" i="15"/>
  <c r="BX331" i="6" s="1"/>
  <c r="H331" i="15"/>
  <c r="AA331" i="15"/>
  <c r="Z331" i="15" s="1"/>
  <c r="Y331" i="15" s="1"/>
  <c r="V102" i="15"/>
  <c r="F102" i="15" s="1"/>
  <c r="G365" i="15"/>
  <c r="BX365" i="6" s="1"/>
  <c r="AA365" i="15"/>
  <c r="Z365" i="15" s="1"/>
  <c r="Y365" i="15" s="1"/>
  <c r="H365" i="15"/>
  <c r="J365" i="15" s="1"/>
  <c r="G207" i="15"/>
  <c r="BX207" i="6" s="1"/>
  <c r="H207" i="15"/>
  <c r="AA207" i="15"/>
  <c r="Z207" i="15" s="1"/>
  <c r="Y207" i="15" s="1"/>
  <c r="G363" i="15"/>
  <c r="BX363" i="6" s="1"/>
  <c r="AA363" i="15"/>
  <c r="Z363" i="15" s="1"/>
  <c r="Y363" i="15" s="1"/>
  <c r="H363" i="15"/>
  <c r="I363" i="15" s="1"/>
  <c r="V26" i="15"/>
  <c r="F26" i="15" s="1"/>
  <c r="G117" i="15"/>
  <c r="BX117" i="6" s="1"/>
  <c r="H117" i="15"/>
  <c r="AA117" i="15"/>
  <c r="Z117" i="15" s="1"/>
  <c r="Y117" i="15" s="1"/>
  <c r="G164" i="15"/>
  <c r="BX164" i="6" s="1"/>
  <c r="H164" i="15"/>
  <c r="AA164" i="15"/>
  <c r="Z164" i="15" s="1"/>
  <c r="Y164" i="15" s="1"/>
  <c r="AA360" i="15"/>
  <c r="Z360" i="15" s="1"/>
  <c r="Y360" i="15" s="1"/>
  <c r="G360" i="15"/>
  <c r="BX360" i="6" s="1"/>
  <c r="H360" i="15"/>
  <c r="J360" i="15" s="1"/>
  <c r="G308" i="15"/>
  <c r="BX308" i="6" s="1"/>
  <c r="H308" i="15"/>
  <c r="J308" i="15" s="1"/>
  <c r="AA308" i="15"/>
  <c r="Z308" i="15" s="1"/>
  <c r="Y308" i="15" s="1"/>
  <c r="V210" i="15"/>
  <c r="D38" i="7"/>
  <c r="F210" i="15"/>
  <c r="H106" i="15"/>
  <c r="G106" i="15"/>
  <c r="BX106" i="6" s="1"/>
  <c r="AA106" i="15"/>
  <c r="Z106" i="15" s="1"/>
  <c r="Y106" i="15" s="1"/>
  <c r="V91" i="15"/>
  <c r="F91" i="15" s="1"/>
  <c r="V34" i="15"/>
  <c r="F34" i="15" s="1"/>
  <c r="H118" i="15"/>
  <c r="AA118" i="15"/>
  <c r="Z118" i="15" s="1"/>
  <c r="Y118" i="15" s="1"/>
  <c r="G118" i="15"/>
  <c r="BX118" i="6" s="1"/>
  <c r="G374" i="15"/>
  <c r="BX374" i="6" s="1"/>
  <c r="H374" i="15"/>
  <c r="AA374" i="15"/>
  <c r="Z374" i="15" s="1"/>
  <c r="Y374" i="15" s="1"/>
  <c r="V78" i="15"/>
  <c r="F78" i="15" s="1"/>
  <c r="G232" i="15"/>
  <c r="BX232" i="6" s="1"/>
  <c r="H232" i="15"/>
  <c r="AA232" i="15"/>
  <c r="Z232" i="15" s="1"/>
  <c r="Y232" i="15" s="1"/>
  <c r="AA235" i="15"/>
  <c r="Z235" i="15" s="1"/>
  <c r="Y235" i="15" s="1"/>
  <c r="H235" i="15"/>
  <c r="J235" i="15" s="1"/>
  <c r="G235" i="15"/>
  <c r="BX235" i="6" s="1"/>
  <c r="G370" i="15"/>
  <c r="BX370" i="6" s="1"/>
  <c r="H370" i="15"/>
  <c r="AA370" i="15"/>
  <c r="Z370" i="15" s="1"/>
  <c r="Y370" i="15" s="1"/>
  <c r="V119" i="15"/>
  <c r="D35" i="7"/>
  <c r="F119" i="15"/>
  <c r="H266" i="15"/>
  <c r="G266" i="15"/>
  <c r="BX266" i="6" s="1"/>
  <c r="AA266" i="15"/>
  <c r="Z266" i="15" s="1"/>
  <c r="Y266" i="15" s="1"/>
  <c r="H222" i="15"/>
  <c r="G222" i="15"/>
  <c r="BX222" i="6" s="1"/>
  <c r="AA222" i="15"/>
  <c r="Z222" i="15" s="1"/>
  <c r="Y222" i="15" s="1"/>
  <c r="H165" i="15"/>
  <c r="AA165" i="15"/>
  <c r="Z165" i="15" s="1"/>
  <c r="Y165" i="15" s="1"/>
  <c r="G165" i="15"/>
  <c r="BX165" i="6" s="1"/>
  <c r="H279" i="15"/>
  <c r="G279" i="15"/>
  <c r="BX279" i="6" s="1"/>
  <c r="AA279" i="15"/>
  <c r="Z279" i="15" s="1"/>
  <c r="Y279" i="15" s="1"/>
  <c r="G301" i="15"/>
  <c r="BX301" i="6" s="1"/>
  <c r="AA301" i="15"/>
  <c r="Z301" i="15" s="1"/>
  <c r="Y301" i="15" s="1"/>
  <c r="H301" i="15"/>
  <c r="G261" i="15"/>
  <c r="BX261" i="6" s="1"/>
  <c r="H261" i="15"/>
  <c r="AA261" i="15"/>
  <c r="Z261" i="15" s="1"/>
  <c r="Y261" i="15" s="1"/>
  <c r="G326" i="15"/>
  <c r="BX326" i="6" s="1"/>
  <c r="H326" i="15"/>
  <c r="AA326" i="15"/>
  <c r="Z326" i="15" s="1"/>
  <c r="Y326" i="15" s="1"/>
  <c r="V149" i="15"/>
  <c r="D36" i="7"/>
  <c r="F149" i="15"/>
  <c r="V271" i="15"/>
  <c r="F271" i="15" s="1"/>
  <c r="AA108" i="15"/>
  <c r="Z108" i="15" s="1"/>
  <c r="Y108" i="15" s="1"/>
  <c r="H108" i="15"/>
  <c r="J108" i="15" s="1"/>
  <c r="G108" i="15"/>
  <c r="BX108" i="6" s="1"/>
  <c r="G348" i="15"/>
  <c r="BX348" i="6" s="1"/>
  <c r="H348" i="15"/>
  <c r="AA348" i="15"/>
  <c r="Z348" i="15" s="1"/>
  <c r="Y348" i="15" s="1"/>
  <c r="AA97" i="15"/>
  <c r="Z97" i="15" s="1"/>
  <c r="Y97" i="15" s="1"/>
  <c r="H97" i="15"/>
  <c r="G97" i="15"/>
  <c r="BX97" i="6" s="1"/>
  <c r="V25" i="15"/>
  <c r="F25" i="15" s="1"/>
  <c r="G133" i="15"/>
  <c r="BX133" i="6" s="1"/>
  <c r="H133" i="15"/>
  <c r="AA133" i="15"/>
  <c r="Z133" i="15" s="1"/>
  <c r="Y133" i="15" s="1"/>
  <c r="V247" i="15"/>
  <c r="F247" i="15" s="1"/>
  <c r="V341" i="15"/>
  <c r="F341" i="15" s="1"/>
  <c r="G369" i="15"/>
  <c r="BX369" i="6" s="1"/>
  <c r="H369" i="15"/>
  <c r="AA369" i="15"/>
  <c r="Z369" i="15" s="1"/>
  <c r="Y369" i="15" s="1"/>
  <c r="G33" i="15"/>
  <c r="BX33" i="6" s="1"/>
  <c r="AA33" i="15"/>
  <c r="Z33" i="15" s="1"/>
  <c r="Y33" i="15" s="1"/>
  <c r="H33" i="15"/>
  <c r="I33" i="15" s="1"/>
  <c r="AA217" i="15"/>
  <c r="Z217" i="15" s="1"/>
  <c r="Y217" i="15" s="1"/>
  <c r="H217" i="15"/>
  <c r="G217" i="15"/>
  <c r="BX217" i="6" s="1"/>
  <c r="H291" i="15"/>
  <c r="G291" i="15"/>
  <c r="BX291" i="6" s="1"/>
  <c r="AA291" i="15"/>
  <c r="Z291" i="15" s="1"/>
  <c r="Y291" i="15" s="1"/>
  <c r="V231" i="15"/>
  <c r="F231" i="15" s="1"/>
  <c r="H92" i="15"/>
  <c r="G92" i="15"/>
  <c r="BX92" i="6" s="1"/>
  <c r="AA92" i="15"/>
  <c r="Z92" i="15" s="1"/>
  <c r="Y92" i="15" s="1"/>
  <c r="V17" i="15"/>
  <c r="F17" i="15" s="1"/>
  <c r="AA129" i="15"/>
  <c r="Z129" i="15" s="1"/>
  <c r="Y129" i="15" s="1"/>
  <c r="H129" i="15"/>
  <c r="I129" i="15" s="1"/>
  <c r="G129" i="15"/>
  <c r="BX129" i="6" s="1"/>
  <c r="G124" i="15"/>
  <c r="BX124" i="6" s="1"/>
  <c r="H124" i="15"/>
  <c r="AA124" i="15"/>
  <c r="Z124" i="15" s="1"/>
  <c r="Y124" i="15" s="1"/>
  <c r="G248" i="15"/>
  <c r="BX248" i="6" s="1"/>
  <c r="H248" i="15"/>
  <c r="AA248" i="15"/>
  <c r="Z248" i="15" s="1"/>
  <c r="Y248" i="15" s="1"/>
  <c r="F358" i="15"/>
  <c r="H38" i="15"/>
  <c r="G38" i="15"/>
  <c r="BX38" i="6" s="1"/>
  <c r="AA38" i="15"/>
  <c r="Z38" i="15" s="1"/>
  <c r="Y38" i="15" s="1"/>
  <c r="G63" i="15"/>
  <c r="BX63" i="6" s="1"/>
  <c r="H63" i="15"/>
  <c r="AA63" i="15"/>
  <c r="Z63" i="15" s="1"/>
  <c r="Y63" i="15" s="1"/>
  <c r="V282" i="15"/>
  <c r="F282" i="15" s="1"/>
  <c r="G228" i="15"/>
  <c r="BX228" i="6" s="1"/>
  <c r="H228" i="15"/>
  <c r="AA228" i="15"/>
  <c r="Z228" i="15" s="1"/>
  <c r="Y228" i="15" s="1"/>
  <c r="H120" i="15"/>
  <c r="AA120" i="15"/>
  <c r="Z120" i="15" s="1"/>
  <c r="Y120" i="15" s="1"/>
  <c r="G120" i="15"/>
  <c r="BX120" i="6" s="1"/>
  <c r="V98" i="15"/>
  <c r="F98" i="15" s="1"/>
  <c r="H125" i="15"/>
  <c r="G125" i="15"/>
  <c r="BX125" i="6" s="1"/>
  <c r="AA125" i="15"/>
  <c r="Z125" i="15" s="1"/>
  <c r="Y125" i="15" s="1"/>
  <c r="H128" i="15"/>
  <c r="I128" i="15" s="1"/>
  <c r="G128" i="15"/>
  <c r="BX128" i="6" s="1"/>
  <c r="AA128" i="15"/>
  <c r="Z128" i="15" s="1"/>
  <c r="Y128" i="15" s="1"/>
  <c r="G249" i="15"/>
  <c r="BX249" i="6" s="1"/>
  <c r="H249" i="15"/>
  <c r="AA249" i="15"/>
  <c r="Z249" i="15" s="1"/>
  <c r="Y249" i="15" s="1"/>
  <c r="V284" i="15"/>
  <c r="F284" i="15" s="1"/>
  <c r="H273" i="15"/>
  <c r="AA273" i="15"/>
  <c r="Z273" i="15" s="1"/>
  <c r="Y273" i="15" s="1"/>
  <c r="G273" i="15"/>
  <c r="BX273" i="6" s="1"/>
  <c r="V39" i="15"/>
  <c r="F39" i="15" s="1"/>
  <c r="V30" i="15"/>
  <c r="F30" i="15" s="1"/>
  <c r="V24" i="15"/>
  <c r="F24" i="15" s="1"/>
  <c r="G150" i="15"/>
  <c r="BX150" i="6" s="1"/>
  <c r="AA150" i="15"/>
  <c r="Z150" i="15" s="1"/>
  <c r="Y150" i="15" s="1"/>
  <c r="H150" i="15"/>
  <c r="AA96" i="15"/>
  <c r="Z96" i="15" s="1"/>
  <c r="Y96" i="15" s="1"/>
  <c r="H96" i="15"/>
  <c r="G96" i="15"/>
  <c r="BX96" i="6" s="1"/>
  <c r="G377" i="15"/>
  <c r="BX377" i="6" s="1"/>
  <c r="AA377" i="15"/>
  <c r="Z377" i="15" s="1"/>
  <c r="Y377" i="15" s="1"/>
  <c r="H377" i="15"/>
  <c r="H157" i="15"/>
  <c r="G157" i="15"/>
  <c r="BX157" i="6" s="1"/>
  <c r="AA157" i="15"/>
  <c r="Z157" i="15" s="1"/>
  <c r="Y157" i="15" s="1"/>
  <c r="G116" i="15"/>
  <c r="BX116" i="6" s="1"/>
  <c r="H116" i="15"/>
  <c r="AA116" i="15"/>
  <c r="Z116" i="15" s="1"/>
  <c r="Y116" i="15" s="1"/>
  <c r="V243" i="15"/>
  <c r="F243" i="15" s="1"/>
  <c r="G292" i="15"/>
  <c r="BX292" i="6" s="1"/>
  <c r="H292" i="15"/>
  <c r="AA292" i="15"/>
  <c r="Z292" i="15" s="1"/>
  <c r="Y292" i="15" s="1"/>
  <c r="G367" i="15"/>
  <c r="BX367" i="6" s="1"/>
  <c r="AA367" i="15"/>
  <c r="Z367" i="15" s="1"/>
  <c r="Y367" i="15" s="1"/>
  <c r="H367" i="15"/>
  <c r="G153" i="15"/>
  <c r="BX153" i="6" s="1"/>
  <c r="H153" i="15"/>
  <c r="AA153" i="15"/>
  <c r="Z153" i="15" s="1"/>
  <c r="Y153" i="15" s="1"/>
  <c r="G223" i="15"/>
  <c r="BX223" i="6" s="1"/>
  <c r="H223" i="15"/>
  <c r="AA223" i="15"/>
  <c r="Z223" i="15" s="1"/>
  <c r="Y223" i="15" s="1"/>
  <c r="G293" i="15"/>
  <c r="BX293" i="6" s="1"/>
  <c r="H293" i="15"/>
  <c r="AA293" i="15"/>
  <c r="Z293" i="15" s="1"/>
  <c r="Y293" i="15" s="1"/>
  <c r="G86" i="15"/>
  <c r="BX86" i="6" s="1"/>
  <c r="H86" i="15"/>
  <c r="AA86" i="15"/>
  <c r="Z86" i="15" s="1"/>
  <c r="Y86" i="15" s="1"/>
  <c r="V123" i="15"/>
  <c r="F123" i="15" s="1"/>
  <c r="G139" i="15"/>
  <c r="BX139" i="6" s="1"/>
  <c r="H139" i="15"/>
  <c r="AA139" i="15"/>
  <c r="Z139" i="15" s="1"/>
  <c r="Y139" i="15" s="1"/>
  <c r="V29" i="15"/>
  <c r="D32" i="7"/>
  <c r="F29" i="15"/>
  <c r="AA103" i="15"/>
  <c r="Z103" i="15" s="1"/>
  <c r="Y103" i="15" s="1"/>
  <c r="G103" i="15"/>
  <c r="BX103" i="6" s="1"/>
  <c r="H103" i="15"/>
  <c r="D39" i="7"/>
  <c r="V241" i="15"/>
  <c r="F241" i="15" s="1"/>
  <c r="V373" i="15"/>
  <c r="V255" i="15"/>
  <c r="F255" i="15" s="1"/>
  <c r="AA268" i="15"/>
  <c r="Z268" i="15" s="1"/>
  <c r="Y268" i="15" s="1"/>
  <c r="H268" i="15"/>
  <c r="G268" i="15"/>
  <c r="BX268" i="6" s="1"/>
  <c r="V272" i="15"/>
  <c r="F272" i="15" s="1"/>
  <c r="D40" i="7"/>
  <c r="G99" i="15"/>
  <c r="BX99" i="6" s="1"/>
  <c r="H99" i="15"/>
  <c r="AA99" i="15"/>
  <c r="Z99" i="15" s="1"/>
  <c r="Y99" i="15" s="1"/>
  <c r="G89" i="15"/>
  <c r="BX89" i="6" s="1"/>
  <c r="AA89" i="15"/>
  <c r="Z89" i="15" s="1"/>
  <c r="Y89" i="15" s="1"/>
  <c r="H89" i="15"/>
  <c r="H95" i="15"/>
  <c r="AA95" i="15"/>
  <c r="Z95" i="15" s="1"/>
  <c r="Y95" i="15" s="1"/>
  <c r="G95" i="15"/>
  <c r="BX95" i="6" s="1"/>
  <c r="V20" i="15"/>
  <c r="F20" i="15" s="1"/>
  <c r="V376" i="15"/>
  <c r="F376" i="15" s="1"/>
  <c r="H81" i="15"/>
  <c r="G81" i="15"/>
  <c r="BX81" i="6" s="1"/>
  <c r="AA81" i="15"/>
  <c r="Z81" i="15" s="1"/>
  <c r="Y81" i="15" s="1"/>
  <c r="V309" i="15"/>
  <c r="F309" i="15" s="1"/>
  <c r="G109" i="15"/>
  <c r="BX109" i="6" s="1"/>
  <c r="H109" i="15"/>
  <c r="AA109" i="15"/>
  <c r="Z109" i="15" s="1"/>
  <c r="Y109" i="15" s="1"/>
  <c r="H35" i="15"/>
  <c r="AA35" i="15"/>
  <c r="Z35" i="15" s="1"/>
  <c r="Y35" i="15" s="1"/>
  <c r="G35" i="15"/>
  <c r="BX35" i="6" s="1"/>
  <c r="H252" i="15"/>
  <c r="G252" i="15"/>
  <c r="BX252" i="6" s="1"/>
  <c r="AA252" i="15"/>
  <c r="Z252" i="15" s="1"/>
  <c r="Y252" i="15" s="1"/>
  <c r="H335" i="15"/>
  <c r="AA335" i="15"/>
  <c r="Z335" i="15" s="1"/>
  <c r="Y335" i="15" s="1"/>
  <c r="G335" i="15"/>
  <c r="BX335" i="6" s="1"/>
  <c r="G155" i="15"/>
  <c r="BX155" i="6" s="1"/>
  <c r="AA155" i="15"/>
  <c r="Z155" i="15" s="1"/>
  <c r="Y155" i="15" s="1"/>
  <c r="H155" i="15"/>
  <c r="H325" i="15"/>
  <c r="G325" i="15"/>
  <c r="BX325" i="6" s="1"/>
  <c r="AA325" i="15"/>
  <c r="Z325" i="15" s="1"/>
  <c r="Y325" i="15" s="1"/>
  <c r="G237" i="15"/>
  <c r="BX237" i="6" s="1"/>
  <c r="AA237" i="15"/>
  <c r="Z237" i="15" s="1"/>
  <c r="Y237" i="15" s="1"/>
  <c r="H237" i="15"/>
  <c r="G148" i="15"/>
  <c r="BX148" i="6" s="1"/>
  <c r="AA148" i="15"/>
  <c r="Z148" i="15" s="1"/>
  <c r="Y148" i="15" s="1"/>
  <c r="H148" i="15"/>
  <c r="J148" i="15" s="1"/>
  <c r="S379" i="15"/>
  <c r="R379" i="15" s="1"/>
  <c r="P379" i="15" s="1"/>
  <c r="V75" i="15"/>
  <c r="AA66" i="15"/>
  <c r="Z66" i="15" s="1"/>
  <c r="Y66" i="15" s="1"/>
  <c r="H66" i="15"/>
  <c r="G69" i="15"/>
  <c r="BX69" i="6" s="1"/>
  <c r="H69" i="15"/>
  <c r="AA69" i="15"/>
  <c r="Z69" i="15" s="1"/>
  <c r="Y69" i="15" s="1"/>
  <c r="H233" i="15"/>
  <c r="G233" i="15"/>
  <c r="BX233" i="6" s="1"/>
  <c r="G82" i="15"/>
  <c r="BX82" i="6" s="1"/>
  <c r="H82" i="15"/>
  <c r="AA82" i="15"/>
  <c r="Z82" i="15" s="1"/>
  <c r="Y82" i="15" s="1"/>
  <c r="G121" i="15"/>
  <c r="BX121" i="6" s="1"/>
  <c r="AA121" i="15"/>
  <c r="Z121" i="15" s="1"/>
  <c r="Y121" i="15" s="1"/>
  <c r="H121" i="15"/>
  <c r="H172" i="15"/>
  <c r="AA172" i="15"/>
  <c r="Z172" i="15" s="1"/>
  <c r="Y172" i="15" s="1"/>
  <c r="G172" i="15"/>
  <c r="BX172" i="6" s="1"/>
  <c r="AA16" i="15"/>
  <c r="Z16" i="15" s="1"/>
  <c r="Y16" i="15" s="1"/>
  <c r="G16" i="15"/>
  <c r="BX16" i="6" s="1"/>
  <c r="H16" i="15"/>
  <c r="G346" i="15"/>
  <c r="BX346" i="6" s="1"/>
  <c r="H346" i="15"/>
  <c r="AA254" i="15"/>
  <c r="Z254" i="15" s="1"/>
  <c r="Y254" i="15" s="1"/>
  <c r="H254" i="15"/>
  <c r="G254" i="15"/>
  <c r="BX254" i="6" s="1"/>
  <c r="O16" i="7"/>
  <c r="U10" i="16"/>
  <c r="S15" i="15"/>
  <c r="T383" i="15"/>
  <c r="T382" i="15"/>
  <c r="T381" i="15"/>
  <c r="J306" i="15"/>
  <c r="I45" i="15"/>
  <c r="AC114" i="18"/>
  <c r="AC113" i="18"/>
  <c r="AC358" i="18"/>
  <c r="AC148" i="18"/>
  <c r="AC357" i="18"/>
  <c r="AC182" i="18"/>
  <c r="AC239" i="18"/>
  <c r="AC96" i="18"/>
  <c r="AC345" i="18"/>
  <c r="AC86" i="18"/>
  <c r="AC313" i="18"/>
  <c r="AC155" i="18"/>
  <c r="AC261" i="18"/>
  <c r="AC215" i="18"/>
  <c r="AC361" i="18"/>
  <c r="AC177" i="18"/>
  <c r="AC217" i="18"/>
  <c r="AC295" i="18"/>
  <c r="AC332" i="18"/>
  <c r="AC120" i="18"/>
  <c r="AC235" i="18"/>
  <c r="AC352" i="18"/>
  <c r="AC142" i="18"/>
  <c r="AC85" i="18"/>
  <c r="I307" i="15"/>
  <c r="AA180" i="15"/>
  <c r="Z180" i="15" s="1"/>
  <c r="Y180" i="15" s="1"/>
  <c r="I50" i="15"/>
  <c r="I197" i="15"/>
  <c r="I191" i="15"/>
  <c r="I305" i="15"/>
  <c r="H180" i="15"/>
  <c r="I180" i="15" s="1"/>
  <c r="I295" i="15"/>
  <c r="J317" i="15"/>
  <c r="I343" i="15"/>
  <c r="AC174" i="18"/>
  <c r="AC227" i="18"/>
  <c r="AC252" i="18"/>
  <c r="AC187" i="18"/>
  <c r="AC214" i="18"/>
  <c r="AC260" i="18"/>
  <c r="AC152" i="18"/>
  <c r="AC144" i="18"/>
  <c r="AC123" i="18"/>
  <c r="AC359" i="18"/>
  <c r="AC154" i="18"/>
  <c r="AC317" i="18"/>
  <c r="AC127" i="18"/>
  <c r="AC184" i="18"/>
  <c r="AC342" i="18"/>
  <c r="AC150" i="18"/>
  <c r="AC244" i="18"/>
  <c r="AC128" i="18"/>
  <c r="AC242" i="18"/>
  <c r="AC368" i="18"/>
  <c r="AC89" i="18"/>
  <c r="AC190" i="18"/>
  <c r="AC87" i="18"/>
  <c r="AC201" i="18"/>
  <c r="AC331" i="18"/>
  <c r="AC132" i="18"/>
  <c r="AC287" i="18"/>
  <c r="AC102" i="18"/>
  <c r="AC280" i="18"/>
  <c r="AC374" i="18"/>
  <c r="AC203" i="18"/>
  <c r="AC321" i="18"/>
  <c r="AC163" i="18"/>
  <c r="AC236" i="18"/>
  <c r="AC303" i="18"/>
  <c r="AC126" i="18"/>
  <c r="AC209" i="18"/>
  <c r="AC226" i="18"/>
  <c r="AC323" i="18"/>
  <c r="AC116" i="18"/>
  <c r="AC165" i="18"/>
  <c r="AC229" i="18"/>
  <c r="AC237" i="18"/>
  <c r="AC350" i="18"/>
  <c r="AC74" i="18"/>
  <c r="AC164" i="18"/>
  <c r="AC299" i="18"/>
  <c r="AC326" i="18"/>
  <c r="AC362" i="18"/>
  <c r="AC135" i="18"/>
  <c r="AC194" i="18"/>
  <c r="AC199" i="18"/>
  <c r="AC306" i="18"/>
  <c r="AC318" i="18"/>
  <c r="AC90" i="18"/>
  <c r="AC180" i="18"/>
  <c r="AC241" i="18"/>
  <c r="AC270" i="18"/>
  <c r="AC329" i="18"/>
  <c r="AC79" i="18"/>
  <c r="AC139" i="18"/>
  <c r="AC264" i="18"/>
  <c r="AC271" i="18"/>
  <c r="AC340" i="18"/>
  <c r="AC94" i="18"/>
  <c r="AC185" i="18"/>
  <c r="AC193" i="18"/>
  <c r="AC373" i="18"/>
  <c r="AC97" i="18"/>
  <c r="AC153" i="18"/>
  <c r="AC206" i="18"/>
  <c r="AC222" i="18"/>
  <c r="AC336" i="18"/>
  <c r="AC363" i="18"/>
  <c r="AC95" i="18"/>
  <c r="AC115" i="18"/>
  <c r="AC248" i="18"/>
  <c r="AC275" i="18"/>
  <c r="AC337" i="18"/>
  <c r="AC84" i="18"/>
  <c r="AC146" i="18"/>
  <c r="AC269" i="18"/>
  <c r="AC279" i="18"/>
  <c r="AC354" i="18"/>
  <c r="AC133" i="18"/>
  <c r="AC211" i="18"/>
  <c r="AC250" i="18"/>
  <c r="AC172" i="18"/>
  <c r="AC343" i="18"/>
  <c r="AC213" i="18"/>
  <c r="AC371" i="18"/>
  <c r="AC278" i="18"/>
  <c r="AC93" i="18"/>
  <c r="AC283" i="18"/>
  <c r="AC117" i="18"/>
  <c r="AC316" i="18"/>
  <c r="AC200" i="18"/>
  <c r="AC355" i="18"/>
  <c r="AC169" i="18"/>
  <c r="AC263" i="18"/>
  <c r="AC121" i="18"/>
  <c r="AC255" i="18"/>
  <c r="AC82" i="18"/>
  <c r="AC168" i="18"/>
  <c r="AC183" i="18"/>
  <c r="AC347" i="18"/>
  <c r="AC378" i="18"/>
  <c r="AC81" i="18"/>
  <c r="AC137" i="18"/>
  <c r="AC198" i="18"/>
  <c r="AC207" i="18"/>
  <c r="AC309" i="18"/>
  <c r="AC335" i="18"/>
  <c r="AC78" i="18"/>
  <c r="AC175" i="18"/>
  <c r="AC228" i="18"/>
  <c r="AC257" i="18"/>
  <c r="AC312" i="18"/>
  <c r="AC130" i="18"/>
  <c r="AC256" i="18"/>
  <c r="AC266" i="18"/>
  <c r="AC314" i="18"/>
  <c r="AC103" i="18"/>
  <c r="AC188" i="18"/>
  <c r="AC202" i="18"/>
  <c r="AC297" i="18"/>
  <c r="AC104" i="18"/>
  <c r="AC158" i="18"/>
  <c r="AC210" i="18"/>
  <c r="AC230" i="18"/>
  <c r="AC344" i="18"/>
  <c r="AC119" i="18"/>
  <c r="AC145" i="18"/>
  <c r="AC282" i="18"/>
  <c r="AC311" i="18"/>
  <c r="AC320" i="18"/>
  <c r="AC125" i="18"/>
  <c r="AC178" i="18"/>
  <c r="AC304" i="18"/>
  <c r="AC293" i="18"/>
  <c r="AC325" i="18"/>
  <c r="AC147" i="18"/>
  <c r="AC216" i="18"/>
  <c r="AC238" i="18"/>
  <c r="AC351" i="18"/>
  <c r="AC124" i="18"/>
  <c r="AC173" i="18"/>
  <c r="AC240" i="18"/>
  <c r="AC253" i="18"/>
  <c r="AC364" i="18"/>
  <c r="AC159" i="18"/>
  <c r="AC296" i="18"/>
  <c r="AC319" i="18"/>
  <c r="AC360" i="18"/>
  <c r="AC131" i="18"/>
  <c r="AC189" i="18"/>
  <c r="AC195" i="18"/>
  <c r="AC302" i="18"/>
  <c r="AC307" i="18"/>
  <c r="AC83" i="18"/>
  <c r="AC176" i="18"/>
  <c r="AC234" i="18"/>
  <c r="AC267" i="18"/>
  <c r="AC324" i="18"/>
  <c r="AC76" i="18"/>
  <c r="AC134" i="18"/>
  <c r="AC259" i="18"/>
  <c r="AC268" i="18"/>
  <c r="AC327" i="18"/>
  <c r="AC105" i="18"/>
  <c r="AC192" i="18"/>
  <c r="AC218" i="18"/>
  <c r="AC300" i="18"/>
  <c r="AC109" i="18"/>
  <c r="AC160" i="18"/>
  <c r="AC212" i="18"/>
  <c r="AC233" i="18"/>
  <c r="AC346" i="18"/>
  <c r="AC101" i="18"/>
  <c r="AC138" i="18"/>
  <c r="AC272" i="18"/>
  <c r="AC289" i="18"/>
  <c r="AC365" i="18"/>
  <c r="AC106" i="18"/>
  <c r="AC157" i="18"/>
  <c r="AC286" i="18"/>
  <c r="AC288" i="18"/>
  <c r="AJ9" i="17"/>
  <c r="AJ11" i="17" s="1"/>
  <c r="AJ13" i="17" s="1"/>
  <c r="E9" i="17"/>
  <c r="E11" i="17" s="1"/>
  <c r="E382" i="17"/>
  <c r="E383" i="17"/>
  <c r="E381" i="17"/>
  <c r="AK8" i="17"/>
  <c r="AK8" i="16"/>
  <c r="E382" i="16"/>
  <c r="E9" i="16"/>
  <c r="E11" i="16" s="1"/>
  <c r="AJ10" i="16"/>
  <c r="AJ12" i="16" s="1"/>
  <c r="AJ13" i="16" s="1"/>
  <c r="E383" i="16"/>
  <c r="E381" i="16"/>
  <c r="J68" i="15"/>
  <c r="I68" i="15"/>
  <c r="O11" i="24"/>
  <c r="AC12" i="24"/>
  <c r="AC9" i="24"/>
  <c r="O12" i="24"/>
  <c r="I245" i="15"/>
  <c r="J245" i="15"/>
  <c r="AJ17" i="25"/>
  <c r="AJ20" i="25"/>
  <c r="AJ30" i="25"/>
  <c r="AJ22" i="25"/>
  <c r="AJ25" i="25"/>
  <c r="AJ33" i="25"/>
  <c r="AJ42" i="25"/>
  <c r="AJ55" i="25"/>
  <c r="AJ37" i="25"/>
  <c r="AJ41" i="25"/>
  <c r="AJ46" i="25"/>
  <c r="AJ52" i="25"/>
  <c r="AJ60" i="25"/>
  <c r="AJ65" i="25"/>
  <c r="AJ75" i="25"/>
  <c r="AJ80" i="25"/>
  <c r="AJ86" i="25"/>
  <c r="AJ99" i="25"/>
  <c r="AJ110" i="25"/>
  <c r="AJ66" i="25"/>
  <c r="AJ72" i="25"/>
  <c r="AJ85" i="25"/>
  <c r="AJ90" i="25"/>
  <c r="AJ97" i="25"/>
  <c r="AJ106" i="25"/>
  <c r="AJ112" i="25"/>
  <c r="AJ128" i="25"/>
  <c r="AJ138" i="25"/>
  <c r="AJ144" i="25"/>
  <c r="AJ157" i="25"/>
  <c r="AJ162" i="25"/>
  <c r="AJ166" i="25"/>
  <c r="AJ104" i="25"/>
  <c r="AJ116" i="25"/>
  <c r="AJ123" i="25"/>
  <c r="AJ131" i="25"/>
  <c r="AJ137" i="25"/>
  <c r="AJ147" i="25"/>
  <c r="AJ151" i="25"/>
  <c r="AJ159" i="25"/>
  <c r="AJ172" i="25"/>
  <c r="AJ177" i="25"/>
  <c r="AJ186" i="25"/>
  <c r="AJ193" i="25"/>
  <c r="AJ199" i="25"/>
  <c r="AJ204" i="25"/>
  <c r="AJ217" i="25"/>
  <c r="AJ221" i="25"/>
  <c r="AJ228" i="25"/>
  <c r="AJ233" i="25"/>
  <c r="AJ238" i="25"/>
  <c r="AJ244" i="25"/>
  <c r="AJ255" i="25"/>
  <c r="AJ263" i="25"/>
  <c r="AJ271" i="25"/>
  <c r="AJ277" i="25"/>
  <c r="AJ284" i="25"/>
  <c r="AJ289" i="25"/>
  <c r="AJ178" i="25"/>
  <c r="AJ185" i="25"/>
  <c r="AJ194" i="25"/>
  <c r="AJ206" i="25"/>
  <c r="AJ212" i="25"/>
  <c r="AJ222" i="25"/>
  <c r="AJ234" i="25"/>
  <c r="AJ247" i="25"/>
  <c r="AJ251" i="25"/>
  <c r="AJ260" i="25"/>
  <c r="AJ269" i="25"/>
  <c r="AJ279" i="25"/>
  <c r="AJ290" i="25"/>
  <c r="AJ307" i="25"/>
  <c r="AJ312" i="25"/>
  <c r="AJ321" i="25"/>
  <c r="AJ325" i="25"/>
  <c r="AJ331" i="25"/>
  <c r="AJ337" i="25"/>
  <c r="AJ341" i="25"/>
  <c r="AJ352" i="25"/>
  <c r="AJ357" i="25"/>
  <c r="AJ363" i="25"/>
  <c r="AJ371" i="25"/>
  <c r="AJ299" i="25"/>
  <c r="AJ313" i="25"/>
  <c r="AJ334" i="25"/>
  <c r="AJ350" i="25"/>
  <c r="AJ366" i="25"/>
  <c r="AJ296" i="25"/>
  <c r="AJ344" i="25"/>
  <c r="AJ376" i="25"/>
  <c r="AJ316" i="25"/>
  <c r="AJ379" i="25"/>
  <c r="AJ380" i="25"/>
  <c r="AJ24" i="25"/>
  <c r="AJ23" i="25"/>
  <c r="AJ18" i="25"/>
  <c r="AJ32" i="25"/>
  <c r="AJ36" i="25"/>
  <c r="AJ53" i="25"/>
  <c r="AJ63" i="25"/>
  <c r="AJ40" i="25"/>
  <c r="AJ45" i="25"/>
  <c r="AJ51" i="25"/>
  <c r="AJ59" i="25"/>
  <c r="AJ64" i="25"/>
  <c r="AJ74" i="25"/>
  <c r="AJ79" i="25"/>
  <c r="AJ84" i="25"/>
  <c r="AJ96" i="25"/>
  <c r="AJ103" i="25"/>
  <c r="AJ122" i="25"/>
  <c r="AJ71" i="25"/>
  <c r="AJ81" i="25"/>
  <c r="AJ89" i="25"/>
  <c r="AJ95" i="25"/>
  <c r="AJ105" i="25"/>
  <c r="AJ111" i="25"/>
  <c r="AJ125" i="25"/>
  <c r="AJ133" i="25"/>
  <c r="AJ143" i="25"/>
  <c r="AJ155" i="25"/>
  <c r="AJ161" i="25"/>
  <c r="AJ165" i="25"/>
  <c r="AJ174" i="25"/>
  <c r="AJ115" i="25"/>
  <c r="AJ120" i="25"/>
  <c r="AJ129" i="25"/>
  <c r="AJ136" i="25"/>
  <c r="AJ146" i="25"/>
  <c r="AJ150" i="25"/>
  <c r="AJ156" i="25"/>
  <c r="AJ170" i="25"/>
  <c r="AJ176" i="25"/>
  <c r="AJ184" i="25"/>
  <c r="AJ189" i="25"/>
  <c r="AJ197" i="25"/>
  <c r="AJ202" i="25"/>
  <c r="AJ216" i="25"/>
  <c r="AJ220" i="25"/>
  <c r="AJ227" i="25"/>
  <c r="AJ232" i="25"/>
  <c r="AJ237" i="25"/>
  <c r="AJ242" i="25"/>
  <c r="AJ254" i="25"/>
  <c r="AJ262" i="25"/>
  <c r="AJ268" i="25"/>
  <c r="AJ276" i="25"/>
  <c r="AJ282" i="25"/>
  <c r="AJ288" i="25"/>
  <c r="AJ301" i="25"/>
  <c r="AJ182" i="25"/>
  <c r="AJ192" i="25"/>
  <c r="AJ205" i="25"/>
  <c r="AJ211" i="25"/>
  <c r="AJ215" i="25"/>
  <c r="AJ230" i="25"/>
  <c r="AJ245" i="25"/>
  <c r="AJ250" i="25"/>
  <c r="AJ259" i="25"/>
  <c r="AJ266" i="25"/>
  <c r="AJ275" i="25"/>
  <c r="AJ285" i="25"/>
  <c r="AJ302" i="25"/>
  <c r="AJ310" i="25"/>
  <c r="AJ319" i="25"/>
  <c r="AJ324" i="25"/>
  <c r="AJ329" i="25"/>
  <c r="AJ336" i="25"/>
  <c r="AJ340" i="25"/>
  <c r="AJ346" i="25"/>
  <c r="AJ356" i="25"/>
  <c r="AJ362" i="25"/>
  <c r="AJ370" i="25"/>
  <c r="AJ293" i="25"/>
  <c r="AJ311" i="25"/>
  <c r="AJ326" i="25"/>
  <c r="AJ349" i="25"/>
  <c r="AJ360" i="25"/>
  <c r="AJ374" i="25"/>
  <c r="AJ320" i="25"/>
  <c r="AJ367" i="25"/>
  <c r="AJ305" i="25"/>
  <c r="AJ365" i="25"/>
  <c r="BD13" i="7"/>
  <c r="AJ26" i="25"/>
  <c r="AJ15" i="25"/>
  <c r="AJ28" i="25"/>
  <c r="F7" i="25"/>
  <c r="AJ31" i="25"/>
  <c r="AJ35" i="25"/>
  <c r="AJ50" i="25"/>
  <c r="AJ58" i="25"/>
  <c r="AJ39" i="25"/>
  <c r="AJ44" i="25"/>
  <c r="AJ49" i="25"/>
  <c r="AJ57" i="25"/>
  <c r="AJ62" i="25"/>
  <c r="AJ69" i="25"/>
  <c r="AJ78" i="25"/>
  <c r="AJ83" i="25"/>
  <c r="AJ94" i="25"/>
  <c r="AJ102" i="25"/>
  <c r="AJ121" i="25"/>
  <c r="AJ70" i="25"/>
  <c r="AJ77" i="25"/>
  <c r="AJ88" i="25"/>
  <c r="AJ92" i="25"/>
  <c r="AJ101" i="25"/>
  <c r="AJ109" i="25"/>
  <c r="AJ124" i="25"/>
  <c r="AJ132" i="25"/>
  <c r="AJ142" i="25"/>
  <c r="AJ152" i="25"/>
  <c r="AJ160" i="25"/>
  <c r="AJ164" i="25"/>
  <c r="AJ171" i="25"/>
  <c r="AJ113" i="25"/>
  <c r="AJ119" i="25"/>
  <c r="AJ127" i="25"/>
  <c r="AJ135" i="25"/>
  <c r="AJ140" i="25"/>
  <c r="AJ149" i="25"/>
  <c r="AJ154" i="25"/>
  <c r="AJ168" i="25"/>
  <c r="AJ175" i="25"/>
  <c r="AJ183" i="25"/>
  <c r="AJ188" i="25"/>
  <c r="AJ196" i="25"/>
  <c r="AJ201" i="25"/>
  <c r="AJ210" i="25"/>
  <c r="AJ219" i="25"/>
  <c r="AJ226" i="25"/>
  <c r="AJ231" i="25"/>
  <c r="AJ236" i="25"/>
  <c r="AJ240" i="25"/>
  <c r="AJ252" i="25"/>
  <c r="AJ258" i="25"/>
  <c r="AJ267" i="25"/>
  <c r="AJ274" i="25"/>
  <c r="AJ280" i="25"/>
  <c r="AJ287" i="25"/>
  <c r="AJ300" i="25"/>
  <c r="AJ180" i="25"/>
  <c r="AJ191" i="25"/>
  <c r="AJ203" i="25"/>
  <c r="AJ209" i="25"/>
  <c r="AJ214" i="25"/>
  <c r="AJ225" i="25"/>
  <c r="AJ243" i="25"/>
  <c r="AJ249" i="25"/>
  <c r="AJ257" i="25"/>
  <c r="AJ265" i="25"/>
  <c r="AJ272" i="25"/>
  <c r="AJ283" i="25"/>
  <c r="AJ295" i="25"/>
  <c r="AJ309" i="25"/>
  <c r="AJ315" i="25"/>
  <c r="AJ323" i="25"/>
  <c r="AJ328" i="25"/>
  <c r="AJ333" i="25"/>
  <c r="AJ339" i="25"/>
  <c r="AJ345" i="25"/>
  <c r="AJ355" i="25"/>
  <c r="AJ359" i="25"/>
  <c r="AJ368" i="25"/>
  <c r="AJ292" i="25"/>
  <c r="AJ304" i="25"/>
  <c r="AJ318" i="25"/>
  <c r="AJ348" i="25"/>
  <c r="AJ354" i="25"/>
  <c r="AJ373" i="25"/>
  <c r="AJ306" i="25"/>
  <c r="AJ361" i="25"/>
  <c r="AJ297" i="25"/>
  <c r="AJ342" i="25"/>
  <c r="AJ377" i="25"/>
  <c r="AJ19" i="25"/>
  <c r="AJ29" i="25"/>
  <c r="AJ21" i="25"/>
  <c r="AJ16" i="25"/>
  <c r="AJ27" i="25"/>
  <c r="AJ34" i="25"/>
  <c r="AJ47" i="25"/>
  <c r="AJ56" i="25"/>
  <c r="AJ38" i="25"/>
  <c r="AJ43" i="25"/>
  <c r="AJ48" i="25"/>
  <c r="AJ54" i="25"/>
  <c r="AJ61" i="25"/>
  <c r="AJ67" i="25"/>
  <c r="AJ76" i="25"/>
  <c r="AJ82" i="25"/>
  <c r="AJ93" i="25"/>
  <c r="AJ100" i="25"/>
  <c r="AJ117" i="25"/>
  <c r="AJ68" i="25"/>
  <c r="AJ73" i="25"/>
  <c r="AJ87" i="25"/>
  <c r="AJ91" i="25"/>
  <c r="AJ98" i="25"/>
  <c r="AJ108" i="25"/>
  <c r="AJ114" i="25"/>
  <c r="AJ130" i="25"/>
  <c r="AJ141" i="25"/>
  <c r="AJ145" i="25"/>
  <c r="AJ158" i="25"/>
  <c r="AJ163" i="25"/>
  <c r="AJ169" i="25"/>
  <c r="AJ107" i="25"/>
  <c r="AJ118" i="25"/>
  <c r="AJ126" i="25"/>
  <c r="AJ134" i="25"/>
  <c r="AJ139" i="25"/>
  <c r="AJ148" i="25"/>
  <c r="AJ153" i="25"/>
  <c r="AJ167" i="25"/>
  <c r="AJ173" i="25"/>
  <c r="AJ181" i="25"/>
  <c r="AJ187" i="25"/>
  <c r="AJ195" i="25"/>
  <c r="AJ200" i="25"/>
  <c r="AJ208" i="25"/>
  <c r="AJ218" i="25"/>
  <c r="AJ224" i="25"/>
  <c r="AJ229" i="25"/>
  <c r="AJ235" i="25"/>
  <c r="AJ239" i="25"/>
  <c r="AJ246" i="25"/>
  <c r="AJ256" i="25"/>
  <c r="AJ264" i="25"/>
  <c r="AJ273" i="25"/>
  <c r="AJ278" i="25"/>
  <c r="AJ286" i="25"/>
  <c r="AJ294" i="25"/>
  <c r="AJ179" i="25"/>
  <c r="AJ190" i="25"/>
  <c r="AJ198" i="25"/>
  <c r="AJ207" i="25"/>
  <c r="AJ213" i="25"/>
  <c r="AJ223" i="25"/>
  <c r="AJ241" i="25"/>
  <c r="AJ248" i="25"/>
  <c r="AJ253" i="25"/>
  <c r="AJ261" i="25"/>
  <c r="AJ270" i="25"/>
  <c r="AJ281" i="25"/>
  <c r="AJ291" i="25"/>
  <c r="AJ308" i="25"/>
  <c r="AJ314" i="25"/>
  <c r="AJ322" i="25"/>
  <c r="AJ327" i="25"/>
  <c r="AJ332" i="25"/>
  <c r="AJ338" i="25"/>
  <c r="AJ343" i="25"/>
  <c r="AJ353" i="25"/>
  <c r="AJ358" i="25"/>
  <c r="AJ364" i="25"/>
  <c r="AJ372" i="25"/>
  <c r="AJ303" i="25"/>
  <c r="AJ317" i="25"/>
  <c r="AJ335" i="25"/>
  <c r="AJ351" i="25"/>
  <c r="AJ369" i="25"/>
  <c r="AJ298" i="25"/>
  <c r="AJ347" i="25"/>
  <c r="AJ378" i="25"/>
  <c r="AJ330" i="25"/>
  <c r="AJ375" i="25"/>
  <c r="I211" i="15"/>
  <c r="J211" i="15"/>
  <c r="I61" i="15"/>
  <c r="J61" i="15"/>
  <c r="J126" i="15"/>
  <c r="I126" i="15"/>
  <c r="I324" i="15"/>
  <c r="J324" i="15"/>
  <c r="J353" i="15"/>
  <c r="I353" i="15"/>
  <c r="I275" i="15"/>
  <c r="J275" i="15"/>
  <c r="I74" i="15"/>
  <c r="J74" i="15"/>
  <c r="I203" i="15"/>
  <c r="J203" i="15"/>
  <c r="AC381" i="17"/>
  <c r="AC382" i="17"/>
  <c r="AC383" i="17"/>
  <c r="AC10" i="20"/>
  <c r="AC213" i="20" s="1"/>
  <c r="AC29" i="20"/>
  <c r="AC41" i="20"/>
  <c r="AC67" i="20"/>
  <c r="AC75" i="20"/>
  <c r="AC112" i="20"/>
  <c r="AC92" i="20"/>
  <c r="AC115" i="20"/>
  <c r="AC152" i="20"/>
  <c r="AC30" i="20"/>
  <c r="AC53" i="20"/>
  <c r="AC66" i="20"/>
  <c r="AC102" i="20"/>
  <c r="AC73" i="20"/>
  <c r="AC100" i="20"/>
  <c r="AC24" i="20"/>
  <c r="AC16" i="20"/>
  <c r="AC48" i="20"/>
  <c r="AC55" i="20"/>
  <c r="AC87" i="20"/>
  <c r="AC71" i="20"/>
  <c r="AC103" i="20"/>
  <c r="AC128" i="20"/>
  <c r="AC20" i="20"/>
  <c r="AC35" i="20"/>
  <c r="AC43" i="20"/>
  <c r="AC83" i="20"/>
  <c r="AC118" i="20"/>
  <c r="AC82" i="20"/>
  <c r="AC116" i="20"/>
  <c r="AC107" i="20"/>
  <c r="AC19" i="20"/>
  <c r="AC38" i="20"/>
  <c r="AC56" i="20"/>
  <c r="AC62" i="20"/>
  <c r="AC99" i="20"/>
  <c r="AC80" i="20"/>
  <c r="AC109" i="20"/>
  <c r="AC18" i="20"/>
  <c r="AC46" i="20"/>
  <c r="AC59" i="20"/>
  <c r="AC91" i="20"/>
  <c r="AC129" i="20"/>
  <c r="AC94" i="20"/>
  <c r="AC126" i="20"/>
  <c r="AC133" i="20"/>
  <c r="AC21" i="20"/>
  <c r="AC31" i="20"/>
  <c r="AC42" i="20"/>
  <c r="AC47" i="20"/>
  <c r="AC84" i="20"/>
  <c r="AC120" i="20"/>
  <c r="AC97" i="20"/>
  <c r="AC117" i="20"/>
  <c r="AC119" i="20"/>
  <c r="AC32" i="20"/>
  <c r="AC61" i="20"/>
  <c r="AC72" i="20"/>
  <c r="AC111" i="20"/>
  <c r="AC76" i="20"/>
  <c r="AC104" i="20"/>
  <c r="AC25" i="20"/>
  <c r="AC37" i="20"/>
  <c r="AC50" i="20"/>
  <c r="AC58" i="20"/>
  <c r="AC93" i="20"/>
  <c r="AC74" i="20"/>
  <c r="AC105" i="20"/>
  <c r="AC130" i="20"/>
  <c r="AC26" i="20"/>
  <c r="AC40" i="20"/>
  <c r="AC52" i="20"/>
  <c r="AC85" i="20"/>
  <c r="AC122" i="20"/>
  <c r="AC89" i="20"/>
  <c r="AC121" i="20"/>
  <c r="AC127" i="20"/>
  <c r="AC23" i="20"/>
  <c r="AC39" i="20"/>
  <c r="AC65" i="20"/>
  <c r="AC70" i="20"/>
  <c r="AC108" i="20"/>
  <c r="AC81" i="20"/>
  <c r="AC113" i="20"/>
  <c r="AC22" i="20"/>
  <c r="AC49" i="20"/>
  <c r="AC63" i="20"/>
  <c r="AC101" i="20"/>
  <c r="AC69" i="20"/>
  <c r="AC95" i="20"/>
  <c r="AC277" i="20"/>
  <c r="AC17" i="20"/>
  <c r="AC33" i="20"/>
  <c r="AC45" i="20"/>
  <c r="AC51" i="20"/>
  <c r="AC86" i="20"/>
  <c r="AC68" i="20"/>
  <c r="AC98" i="20"/>
  <c r="AC132" i="20"/>
  <c r="AC125" i="20"/>
  <c r="AC242" i="20"/>
  <c r="AC15" i="20"/>
  <c r="AC34" i="20"/>
  <c r="AC64" i="20"/>
  <c r="AC78" i="20"/>
  <c r="AC114" i="20"/>
  <c r="AC79" i="20"/>
  <c r="AC110" i="20"/>
  <c r="AC295" i="20"/>
  <c r="AC27" i="20"/>
  <c r="AC36" i="20"/>
  <c r="AC54" i="20"/>
  <c r="AC60" i="20"/>
  <c r="AC96" i="20"/>
  <c r="AC77" i="20"/>
  <c r="AC106" i="20"/>
  <c r="AC252" i="20"/>
  <c r="AC28" i="20"/>
  <c r="AC44" i="20"/>
  <c r="AC57" i="20"/>
  <c r="AC88" i="20"/>
  <c r="AC123" i="20"/>
  <c r="AC90" i="20"/>
  <c r="AC124" i="20"/>
  <c r="AC131" i="20"/>
  <c r="J225" i="15"/>
  <c r="I225" i="15"/>
  <c r="I349" i="15"/>
  <c r="J349" i="15"/>
  <c r="J229" i="15"/>
  <c r="I229" i="15"/>
  <c r="I320" i="15"/>
  <c r="G381" i="1"/>
  <c r="V15" i="1"/>
  <c r="P383" i="1"/>
  <c r="P382" i="1"/>
  <c r="P381" i="1"/>
  <c r="AD383" i="1"/>
  <c r="AD382" i="1"/>
  <c r="AD381" i="1"/>
  <c r="AA17" i="1"/>
  <c r="Z17" i="1" s="1"/>
  <c r="Y17" i="1" s="1"/>
  <c r="AF17" i="15"/>
  <c r="AG383" i="15"/>
  <c r="AG381" i="15"/>
  <c r="AG382" i="15"/>
  <c r="AM7" i="22"/>
  <c r="AM11" i="22" s="1"/>
  <c r="AK7" i="22"/>
  <c r="AK11" i="22" s="1"/>
  <c r="AK9" i="22"/>
  <c r="AM5" i="22"/>
  <c r="AM9" i="22"/>
  <c r="AK5" i="22"/>
  <c r="L17" i="19"/>
  <c r="AI11" i="22"/>
  <c r="P10" i="22"/>
  <c r="AE11" i="22"/>
  <c r="AK15" i="23"/>
  <c r="AK17" i="23"/>
  <c r="AK21" i="23"/>
  <c r="AK28" i="23"/>
  <c r="AK380" i="23"/>
  <c r="AK25" i="23"/>
  <c r="AK18" i="23"/>
  <c r="AK23" i="23"/>
  <c r="AK27" i="23"/>
  <c r="AK30" i="23"/>
  <c r="AK33" i="23"/>
  <c r="AK36" i="23"/>
  <c r="AK39" i="23"/>
  <c r="AK43" i="23"/>
  <c r="AK46" i="23"/>
  <c r="AK48" i="23"/>
  <c r="AK50" i="23"/>
  <c r="AK55" i="23"/>
  <c r="AK59" i="23"/>
  <c r="AK63" i="23"/>
  <c r="AK65" i="23"/>
  <c r="AK38" i="23"/>
  <c r="AK41" i="23"/>
  <c r="AK51" i="23"/>
  <c r="AK54" i="23"/>
  <c r="AK57" i="23"/>
  <c r="AK61" i="23"/>
  <c r="AK72" i="23"/>
  <c r="AK74" i="23"/>
  <c r="AK78" i="23"/>
  <c r="AK80" i="23"/>
  <c r="AK85" i="23"/>
  <c r="AK89" i="23"/>
  <c r="AK92" i="23"/>
  <c r="AK96" i="23"/>
  <c r="AK99" i="23"/>
  <c r="AK103" i="23"/>
  <c r="AK107" i="23"/>
  <c r="AK110" i="23"/>
  <c r="AK117" i="23"/>
  <c r="AK124" i="23"/>
  <c r="AK126" i="23"/>
  <c r="AK68" i="23"/>
  <c r="AK70" i="23"/>
  <c r="AK75" i="23"/>
  <c r="AK81" i="23"/>
  <c r="AK84" i="23"/>
  <c r="AK88" i="23"/>
  <c r="AK94" i="23"/>
  <c r="AK97" i="23"/>
  <c r="AK102" i="23"/>
  <c r="AK109" i="23"/>
  <c r="AK112" i="23"/>
  <c r="AK115" i="23"/>
  <c r="AK118" i="23"/>
  <c r="AK128" i="23"/>
  <c r="AK132" i="23"/>
  <c r="AK135" i="23"/>
  <c r="AK138" i="23"/>
  <c r="AK140" i="23"/>
  <c r="AK149" i="23"/>
  <c r="AK152" i="23"/>
  <c r="AK159" i="23"/>
  <c r="AK163" i="23"/>
  <c r="AK166" i="23"/>
  <c r="AK169" i="23"/>
  <c r="AK172" i="23"/>
  <c r="AK106" i="23"/>
  <c r="AK121" i="23"/>
  <c r="AK127" i="23"/>
  <c r="AK131" i="23"/>
  <c r="AK136" i="23"/>
  <c r="AK142" i="23"/>
  <c r="AK145" i="23"/>
  <c r="AK147" i="23"/>
  <c r="AK150" i="23"/>
  <c r="AK154" i="23"/>
  <c r="AK157" i="23"/>
  <c r="AK161" i="23"/>
  <c r="AK164" i="23"/>
  <c r="AK170" i="23"/>
  <c r="AK175" i="23"/>
  <c r="AK177" i="23"/>
  <c r="AK179" i="23"/>
  <c r="AK182" i="23"/>
  <c r="AK184" i="23"/>
  <c r="AK186" i="23"/>
  <c r="AK188" i="23"/>
  <c r="AK194" i="23"/>
  <c r="AK199" i="23"/>
  <c r="AK205" i="23"/>
  <c r="AK207" i="23"/>
  <c r="AK209" i="23"/>
  <c r="AK211" i="23"/>
  <c r="AK215" i="23"/>
  <c r="AK221" i="23"/>
  <c r="AK225" i="23"/>
  <c r="AK229" i="23"/>
  <c r="AK231" i="23"/>
  <c r="AK235" i="23"/>
  <c r="AK240" i="23"/>
  <c r="AK247" i="23"/>
  <c r="AK250" i="23"/>
  <c r="AK252" i="23"/>
  <c r="AK256" i="23"/>
  <c r="AK262" i="23"/>
  <c r="AK265" i="23"/>
  <c r="AK268" i="23"/>
  <c r="AK270" i="23"/>
  <c r="AK274" i="23"/>
  <c r="AK278" i="23"/>
  <c r="AK284" i="23"/>
  <c r="AK288" i="23"/>
  <c r="AK292" i="23"/>
  <c r="AK294" i="23"/>
  <c r="AK296" i="23"/>
  <c r="AK298" i="23"/>
  <c r="AK301" i="23"/>
  <c r="AK303" i="23"/>
  <c r="AK189" i="23"/>
  <c r="AK192" i="23"/>
  <c r="AK195" i="23"/>
  <c r="AK198" i="23"/>
  <c r="AK201" i="23"/>
  <c r="AK204" i="23"/>
  <c r="AK214" i="23"/>
  <c r="AK218" i="23"/>
  <c r="AK220" i="23"/>
  <c r="AK224" i="23"/>
  <c r="AK228" i="23"/>
  <c r="AK234" i="23"/>
  <c r="AK237" i="23"/>
  <c r="AK241" i="23"/>
  <c r="AK243" i="23"/>
  <c r="AK246" i="23"/>
  <c r="AK253" i="23"/>
  <c r="AK258" i="23"/>
  <c r="AK260" i="23"/>
  <c r="AK264" i="23"/>
  <c r="AK271" i="23"/>
  <c r="AK276" i="23"/>
  <c r="AK279" i="23"/>
  <c r="AK281" i="23"/>
  <c r="AK285" i="23"/>
  <c r="AK289" i="23"/>
  <c r="AK306" i="23"/>
  <c r="AK309" i="23"/>
  <c r="AK311" i="23"/>
  <c r="AK313" i="23"/>
  <c r="AK316" i="23"/>
  <c r="AK320" i="23"/>
  <c r="AK326" i="23"/>
  <c r="AK329" i="23"/>
  <c r="AK333" i="23"/>
  <c r="AK335" i="23"/>
  <c r="AK339" i="23"/>
  <c r="AK343" i="23"/>
  <c r="AK346" i="23"/>
  <c r="AK348" i="23"/>
  <c r="AK350" i="23"/>
  <c r="AK352" i="23"/>
  <c r="AK357" i="23"/>
  <c r="AK360" i="23"/>
  <c r="AK367" i="23"/>
  <c r="AK370" i="23"/>
  <c r="AK372" i="23"/>
  <c r="AK304" i="23"/>
  <c r="AK308" i="23"/>
  <c r="AK321" i="23"/>
  <c r="AK324" i="23"/>
  <c r="AK331" i="23"/>
  <c r="AK342" i="23"/>
  <c r="AK358" i="23"/>
  <c r="AK362" i="23"/>
  <c r="AK373" i="23"/>
  <c r="AK300" i="23"/>
  <c r="AK328" i="23"/>
  <c r="AK363" i="23"/>
  <c r="AK375" i="23"/>
  <c r="AK378" i="23"/>
  <c r="AK317" i="23"/>
  <c r="AK341" i="23"/>
  <c r="AK356" i="23"/>
  <c r="AK379" i="23"/>
  <c r="P12" i="23"/>
  <c r="AK20" i="23"/>
  <c r="AK32" i="23"/>
  <c r="F8" i="23"/>
  <c r="AK26" i="23"/>
  <c r="AK31" i="23"/>
  <c r="AK37" i="23"/>
  <c r="AK45" i="23"/>
  <c r="AK49" i="23"/>
  <c r="AK58" i="23"/>
  <c r="AK64" i="23"/>
  <c r="AK40" i="23"/>
  <c r="AK53" i="23"/>
  <c r="AK60" i="23"/>
  <c r="AK73" i="23"/>
  <c r="AK79" i="23"/>
  <c r="AK86" i="23"/>
  <c r="AK93" i="23"/>
  <c r="AK100" i="23"/>
  <c r="AK108" i="23"/>
  <c r="AK119" i="23"/>
  <c r="AK66" i="23"/>
  <c r="AK71" i="23"/>
  <c r="AK82" i="23"/>
  <c r="AK90" i="23"/>
  <c r="AK101" i="23"/>
  <c r="AK111" i="23"/>
  <c r="AK116" i="23"/>
  <c r="AK129" i="23"/>
  <c r="AK137" i="23"/>
  <c r="AK143" i="23"/>
  <c r="AK155" i="23"/>
  <c r="AK165" i="23"/>
  <c r="AK171" i="23"/>
  <c r="AK120" i="23"/>
  <c r="AK130" i="23"/>
  <c r="AK141" i="23"/>
  <c r="AK146" i="23"/>
  <c r="AK153" i="23"/>
  <c r="AK158" i="23"/>
  <c r="AK167" i="23"/>
  <c r="AK176" i="23"/>
  <c r="AK181" i="23"/>
  <c r="AK185" i="23"/>
  <c r="AK191" i="23"/>
  <c r="AK202" i="23"/>
  <c r="AK208" i="23"/>
  <c r="AK212" i="23"/>
  <c r="AK222" i="23"/>
  <c r="AK230" i="23"/>
  <c r="AK238" i="23"/>
  <c r="AK249" i="23"/>
  <c r="AK255" i="23"/>
  <c r="AK263" i="23"/>
  <c r="AK269" i="23"/>
  <c r="AK275" i="23"/>
  <c r="AK287" i="23"/>
  <c r="AK293" i="23"/>
  <c r="AK297" i="23"/>
  <c r="AK302" i="23"/>
  <c r="AK190" i="23"/>
  <c r="AK196" i="23"/>
  <c r="AK203" i="23"/>
  <c r="AK216" i="23"/>
  <c r="AK223" i="23"/>
  <c r="AK233" i="23"/>
  <c r="AK239" i="23"/>
  <c r="AK244" i="23"/>
  <c r="AK254" i="23"/>
  <c r="AK261" i="23"/>
  <c r="AK273" i="23"/>
  <c r="AK280" i="23"/>
  <c r="AK286" i="23"/>
  <c r="AK307" i="23"/>
  <c r="AK312" i="23"/>
  <c r="AK319" i="23"/>
  <c r="AK327" i="23"/>
  <c r="AK334" i="23"/>
  <c r="AK340" i="23"/>
  <c r="AK347" i="23"/>
  <c r="AK351" i="23"/>
  <c r="AK359" i="23"/>
  <c r="AK369" i="23"/>
  <c r="AK374" i="23"/>
  <c r="AK318" i="23"/>
  <c r="AK330" i="23"/>
  <c r="AK344" i="23"/>
  <c r="AK364" i="23"/>
  <c r="AK325" i="23"/>
  <c r="AK368" i="23"/>
  <c r="AK315" i="23"/>
  <c r="AK354" i="23"/>
  <c r="AK16" i="23"/>
  <c r="AK24" i="23"/>
  <c r="AK19" i="23"/>
  <c r="AK22" i="23"/>
  <c r="AK29" i="23"/>
  <c r="AK35" i="23"/>
  <c r="AK42" i="23"/>
  <c r="AK47" i="23"/>
  <c r="AK52" i="23"/>
  <c r="AK62" i="23"/>
  <c r="AK34" i="23"/>
  <c r="AK44" i="23"/>
  <c r="AK56" i="23"/>
  <c r="AK67" i="23"/>
  <c r="AK76" i="23"/>
  <c r="AK83" i="23"/>
  <c r="AK91" i="23"/>
  <c r="AK98" i="23"/>
  <c r="AK105" i="23"/>
  <c r="AK114" i="23"/>
  <c r="AK125" i="23"/>
  <c r="AK69" i="23"/>
  <c r="AK77" i="23"/>
  <c r="AK87" i="23"/>
  <c r="AK95" i="23"/>
  <c r="AK104" i="23"/>
  <c r="AK113" i="23"/>
  <c r="AK123" i="23"/>
  <c r="AK134" i="23"/>
  <c r="AK139" i="23"/>
  <c r="AK151" i="23"/>
  <c r="AK160" i="23"/>
  <c r="AK168" i="23"/>
  <c r="AK174" i="23"/>
  <c r="AK122" i="23"/>
  <c r="AK133" i="23"/>
  <c r="AK144" i="23"/>
  <c r="AK148" i="23"/>
  <c r="AK156" i="23"/>
  <c r="AK162" i="23"/>
  <c r="AK173" i="23"/>
  <c r="AK178" i="23"/>
  <c r="AK183" i="23"/>
  <c r="AK187" i="23"/>
  <c r="AK197" i="23"/>
  <c r="AK206" i="23"/>
  <c r="AK210" i="23"/>
  <c r="AK217" i="23"/>
  <c r="AK227" i="23"/>
  <c r="AK232" i="23"/>
  <c r="AK245" i="23"/>
  <c r="AK251" i="23"/>
  <c r="AK257" i="23"/>
  <c r="AK266" i="23"/>
  <c r="AK272" i="23"/>
  <c r="AK283" i="23"/>
  <c r="AK291" i="23"/>
  <c r="AK295" i="23"/>
  <c r="AK299" i="23"/>
  <c r="AK180" i="23"/>
  <c r="AK193" i="23"/>
  <c r="AK200" i="23"/>
  <c r="AK213" i="23"/>
  <c r="AK219" i="23"/>
  <c r="AK226" i="23"/>
  <c r="AK236" i="23"/>
  <c r="AK242" i="23"/>
  <c r="AK248" i="23"/>
  <c r="AK259" i="23"/>
  <c r="AK267" i="23"/>
  <c r="AK277" i="23"/>
  <c r="AK282" i="23"/>
  <c r="AK290" i="23"/>
  <c r="AK310" i="23"/>
  <c r="AK314" i="23"/>
  <c r="AK323" i="23"/>
  <c r="AK332" i="23"/>
  <c r="AK336" i="23"/>
  <c r="AK345" i="23"/>
  <c r="AK349" i="23"/>
  <c r="AK355" i="23"/>
  <c r="AK366" i="23"/>
  <c r="AK371" i="23"/>
  <c r="AK305" i="23"/>
  <c r="AK322" i="23"/>
  <c r="AK337" i="23"/>
  <c r="AK361" i="23"/>
  <c r="AK376" i="23"/>
  <c r="AK353" i="23"/>
  <c r="AK377" i="23"/>
  <c r="AK338" i="23"/>
  <c r="AK365" i="23"/>
  <c r="AX15" i="7"/>
  <c r="P11" i="24"/>
  <c r="P15" i="7"/>
  <c r="Q12" i="17"/>
  <c r="AE381" i="16"/>
  <c r="AE382" i="16"/>
  <c r="AE383" i="16"/>
  <c r="Q381" i="16"/>
  <c r="Q383" i="16"/>
  <c r="Q382" i="16"/>
  <c r="G47" i="15"/>
  <c r="BX47" i="6" s="1"/>
  <c r="I46" i="15"/>
  <c r="J46" i="15"/>
  <c r="J60" i="15"/>
  <c r="I60" i="15"/>
  <c r="I199" i="15"/>
  <c r="J199" i="15"/>
  <c r="J202" i="15"/>
  <c r="I202" i="15"/>
  <c r="J219" i="15"/>
  <c r="I219" i="15"/>
  <c r="I200" i="15"/>
  <c r="J200" i="15"/>
  <c r="AB9" i="1"/>
  <c r="AL10" i="1"/>
  <c r="G11" i="19"/>
  <c r="J35" i="19" s="1"/>
  <c r="G383" i="1"/>
  <c r="G12" i="1" s="1"/>
  <c r="E7" i="7" s="1"/>
  <c r="AA47" i="15"/>
  <c r="Z47" i="15" s="1"/>
  <c r="Y47" i="15" s="1"/>
  <c r="BE11" i="7"/>
  <c r="Q11" i="25" s="1"/>
  <c r="Q11" i="24"/>
  <c r="I383" i="1"/>
  <c r="J47" i="15"/>
  <c r="I47" i="15"/>
  <c r="G333" i="15"/>
  <c r="BX333" i="6" s="1"/>
  <c r="AA333" i="15"/>
  <c r="Z333" i="15" s="1"/>
  <c r="Y333" i="15" s="1"/>
  <c r="H333" i="15"/>
  <c r="I381" i="1"/>
  <c r="I382" i="1"/>
  <c r="J83" i="15"/>
  <c r="I83" i="15"/>
  <c r="J94" i="15"/>
  <c r="I94" i="15"/>
  <c r="J264" i="15"/>
  <c r="I264" i="15"/>
  <c r="I85" i="15"/>
  <c r="J85" i="15"/>
  <c r="J134" i="15"/>
  <c r="I134" i="15"/>
  <c r="G382" i="1"/>
  <c r="I100" i="15"/>
  <c r="J100" i="15"/>
  <c r="I259" i="15"/>
  <c r="J259" i="15"/>
  <c r="J269" i="15"/>
  <c r="I269" i="15"/>
  <c r="Y319" i="1"/>
  <c r="AL6" i="1" s="1"/>
  <c r="AL8" i="1"/>
  <c r="J31" i="15"/>
  <c r="I31" i="15"/>
  <c r="Y198" i="1"/>
  <c r="O268" i="22" l="1"/>
  <c r="O230" i="22"/>
  <c r="O61" i="22"/>
  <c r="O183" i="22"/>
  <c r="O150" i="22"/>
  <c r="O307" i="22"/>
  <c r="O271" i="22"/>
  <c r="O245" i="22"/>
  <c r="O175" i="22"/>
  <c r="O347" i="22"/>
  <c r="O272" i="22"/>
  <c r="AG40" i="7" s="1"/>
  <c r="O304" i="22"/>
  <c r="O177" i="22"/>
  <c r="O341" i="22"/>
  <c r="O332" i="22"/>
  <c r="O263" i="22"/>
  <c r="O173" i="22"/>
  <c r="O31" i="22"/>
  <c r="O321" i="22"/>
  <c r="O224" i="22"/>
  <c r="O193" i="22"/>
  <c r="O32" i="22"/>
  <c r="O97" i="22"/>
  <c r="O160" i="22"/>
  <c r="O40" i="22"/>
  <c r="O95" i="22"/>
  <c r="O358" i="22"/>
  <c r="O210" i="22"/>
  <c r="AG38" i="7" s="1"/>
  <c r="O144" i="22"/>
  <c r="O65" i="22"/>
  <c r="O253" i="22"/>
  <c r="O156" i="22"/>
  <c r="O113" i="22"/>
  <c r="O287" i="22"/>
  <c r="O35" i="22"/>
  <c r="O235" i="22"/>
  <c r="O313" i="22"/>
  <c r="O129" i="22"/>
  <c r="O283" i="22"/>
  <c r="O353" i="22"/>
  <c r="O109" i="22"/>
  <c r="O194" i="22"/>
  <c r="O37" i="22"/>
  <c r="O111" i="22"/>
  <c r="O202" i="22"/>
  <c r="O308" i="22"/>
  <c r="O221" i="22"/>
  <c r="O104" i="22"/>
  <c r="O310" i="22"/>
  <c r="O142" i="22"/>
  <c r="O21" i="22"/>
  <c r="O298" i="22"/>
  <c r="O376" i="22"/>
  <c r="O71" i="22"/>
  <c r="O128" i="22"/>
  <c r="O206" i="22"/>
  <c r="O342" i="22"/>
  <c r="O171" i="22"/>
  <c r="O249" i="22"/>
  <c r="O356" i="22"/>
  <c r="O354" i="22"/>
  <c r="O371" i="22"/>
  <c r="O52" i="22"/>
  <c r="O241" i="22"/>
  <c r="AG39" i="7" s="1"/>
  <c r="O329" i="22"/>
  <c r="O138" i="22"/>
  <c r="O285" i="22"/>
  <c r="O365" i="22"/>
  <c r="O122" i="22"/>
  <c r="O200" i="22"/>
  <c r="O39" i="22"/>
  <c r="O133" i="22"/>
  <c r="O204" i="22"/>
  <c r="O340" i="22"/>
  <c r="O30" i="22"/>
  <c r="O105" i="22"/>
  <c r="O146" i="22"/>
  <c r="O186" i="22"/>
  <c r="O317" i="22"/>
  <c r="O34" i="22"/>
  <c r="O107" i="22"/>
  <c r="O178" i="22"/>
  <c r="O223" i="22"/>
  <c r="O196" i="22"/>
  <c r="O294" i="22"/>
  <c r="O377" i="22"/>
  <c r="O44" i="22"/>
  <c r="O135" i="22"/>
  <c r="O240" i="22"/>
  <c r="O264" i="22"/>
  <c r="O318" i="22"/>
  <c r="O62" i="22"/>
  <c r="O130" i="22"/>
  <c r="O176" i="22"/>
  <c r="O284" i="22"/>
  <c r="O251" i="22"/>
  <c r="O357" i="22"/>
  <c r="O244" i="22"/>
  <c r="O282" i="22"/>
  <c r="O172" i="22"/>
  <c r="O126" i="22"/>
  <c r="O60" i="22"/>
  <c r="AG33" i="7" s="1"/>
  <c r="O306" i="22"/>
  <c r="O262" i="22"/>
  <c r="O228" i="22"/>
  <c r="O120" i="22"/>
  <c r="O63" i="22"/>
  <c r="O361" i="22"/>
  <c r="O270" i="22"/>
  <c r="O201" i="22"/>
  <c r="O76" i="22"/>
  <c r="O315" i="22"/>
  <c r="O157" i="22"/>
  <c r="O90" i="22"/>
  <c r="O232" i="22"/>
  <c r="O96" i="22"/>
  <c r="O54" i="22"/>
  <c r="O351" i="22"/>
  <c r="O273" i="22"/>
  <c r="O93" i="22"/>
  <c r="O18" i="22"/>
  <c r="O190" i="22"/>
  <c r="O168" i="22"/>
  <c r="O348" i="22"/>
  <c r="O134" i="22"/>
  <c r="O309" i="22"/>
  <c r="O278" i="22"/>
  <c r="J33" i="15"/>
  <c r="I360" i="15"/>
  <c r="O43" i="22"/>
  <c r="O117" i="22"/>
  <c r="O45" i="22"/>
  <c r="O68" i="22"/>
  <c r="O29" i="22"/>
  <c r="AG32" i="7" s="1"/>
  <c r="O50" i="22"/>
  <c r="O86" i="22"/>
  <c r="O83" i="22"/>
  <c r="O69" i="22"/>
  <c r="O67" i="22"/>
  <c r="O118" i="22"/>
  <c r="O296" i="22"/>
  <c r="O293" i="22"/>
  <c r="O286" i="22"/>
  <c r="O136" i="22"/>
  <c r="O140" i="22"/>
  <c r="O247" i="22"/>
  <c r="O163" i="22"/>
  <c r="O187" i="22"/>
  <c r="O152" i="22"/>
  <c r="O267" i="22"/>
  <c r="O213" i="22"/>
  <c r="AM13" i="7"/>
  <c r="O374" i="22"/>
  <c r="O297" i="22"/>
  <c r="O148" i="22"/>
  <c r="O366" i="22"/>
  <c r="O261" i="22"/>
  <c r="O70" i="22"/>
  <c r="O323" i="22"/>
  <c r="O233" i="22"/>
  <c r="O114" i="22"/>
  <c r="O343" i="22"/>
  <c r="O161" i="22"/>
  <c r="O27" i="22"/>
  <c r="O234" i="22"/>
  <c r="O46" i="22"/>
  <c r="O91" i="22"/>
  <c r="O185" i="22"/>
  <c r="O19" i="22"/>
  <c r="O81" i="22"/>
  <c r="O344" i="22"/>
  <c r="O237" i="22"/>
  <c r="O274" i="22"/>
  <c r="O159" i="22"/>
  <c r="O106" i="22"/>
  <c r="O49" i="22"/>
  <c r="O364" i="22"/>
  <c r="O256" i="22"/>
  <c r="O209" i="22"/>
  <c r="O100" i="22"/>
  <c r="O55" i="22"/>
  <c r="O355" i="22"/>
  <c r="O288" i="22"/>
  <c r="O189" i="22"/>
  <c r="O216" i="22"/>
  <c r="O170" i="22"/>
  <c r="O99" i="22"/>
  <c r="O24" i="22"/>
  <c r="O363" i="22"/>
  <c r="AG43" i="7" s="1"/>
  <c r="O303" i="22"/>
  <c r="O131" i="22"/>
  <c r="O92" i="22"/>
  <c r="O346" i="22"/>
  <c r="O334" i="22"/>
  <c r="O188" i="22"/>
  <c r="O169" i="22"/>
  <c r="O16" i="22"/>
  <c r="O301" i="22"/>
  <c r="O89" i="22"/>
  <c r="O338" i="22"/>
  <c r="O265" i="22"/>
  <c r="O78" i="22"/>
  <c r="O326" i="22"/>
  <c r="O199" i="22"/>
  <c r="O17" i="22"/>
  <c r="O56" i="22"/>
  <c r="O94" i="22"/>
  <c r="O103" i="22"/>
  <c r="O141" i="22"/>
  <c r="O227" i="22"/>
  <c r="O181" i="22"/>
  <c r="O258" i="22"/>
  <c r="O368" i="22"/>
  <c r="O379" i="22"/>
  <c r="C41" i="19" s="1"/>
  <c r="O26" i="22"/>
  <c r="O58" i="22"/>
  <c r="O102" i="22"/>
  <c r="O116" i="22"/>
  <c r="O174" i="22"/>
  <c r="O165" i="22"/>
  <c r="O219" i="22"/>
  <c r="O279" i="22"/>
  <c r="O191" i="22"/>
  <c r="O239" i="22"/>
  <c r="O292" i="22"/>
  <c r="O33" i="22"/>
  <c r="O112" i="22"/>
  <c r="O151" i="22"/>
  <c r="O198" i="22"/>
  <c r="O330" i="22"/>
  <c r="O38" i="22"/>
  <c r="O110" i="22"/>
  <c r="O121" i="22"/>
  <c r="O226" i="22"/>
  <c r="O203" i="22"/>
  <c r="O311" i="22"/>
  <c r="O335" i="22"/>
  <c r="O53" i="22"/>
  <c r="O145" i="22"/>
  <c r="O250" i="22"/>
  <c r="O275" i="22"/>
  <c r="O345" i="22"/>
  <c r="O66" i="22"/>
  <c r="O139" i="22"/>
  <c r="O182" i="22"/>
  <c r="O295" i="22"/>
  <c r="O260" i="22"/>
  <c r="O312" i="22"/>
  <c r="O370" i="22"/>
  <c r="O352" i="22"/>
  <c r="O41" i="22"/>
  <c r="O79" i="22"/>
  <c r="O87" i="22"/>
  <c r="O180" i="22"/>
  <c r="AG37" i="7" s="1"/>
  <c r="O192" i="22"/>
  <c r="O277" i="22"/>
  <c r="O242" i="22"/>
  <c r="O320" i="22"/>
  <c r="O372" i="22"/>
  <c r="O22" i="22"/>
  <c r="O59" i="22"/>
  <c r="O84" i="22"/>
  <c r="O124" i="22"/>
  <c r="O166" i="22"/>
  <c r="O147" i="22"/>
  <c r="O211" i="22"/>
  <c r="O257" i="22"/>
  <c r="O300" i="22"/>
  <c r="O225" i="22"/>
  <c r="O280" i="22"/>
  <c r="O336" i="22"/>
  <c r="O314" i="22"/>
  <c r="O349" i="22"/>
  <c r="O42" i="22"/>
  <c r="O80" i="22"/>
  <c r="O88" i="22"/>
  <c r="AG34" i="7" s="1"/>
  <c r="O115" i="22"/>
  <c r="O197" i="22"/>
  <c r="O289" i="22"/>
  <c r="O243" i="22"/>
  <c r="O327" i="22"/>
  <c r="O378" i="22"/>
  <c r="O28" i="22"/>
  <c r="O64" i="22"/>
  <c r="O85" i="22"/>
  <c r="O72" i="22"/>
  <c r="O167" i="22"/>
  <c r="O149" i="22"/>
  <c r="AG36" i="7" s="1"/>
  <c r="O212" i="22"/>
  <c r="O259" i="22"/>
  <c r="O302" i="22"/>
  <c r="AG41" i="7" s="1"/>
  <c r="O229" i="22"/>
  <c r="O281" i="22"/>
  <c r="O337" i="22"/>
  <c r="O322" i="22"/>
  <c r="O369" i="22"/>
  <c r="O222" i="22"/>
  <c r="O299" i="22"/>
  <c r="O254" i="22"/>
  <c r="O207" i="22"/>
  <c r="O143" i="22"/>
  <c r="O162" i="22"/>
  <c r="O123" i="22"/>
  <c r="O77" i="22"/>
  <c r="O57" i="22"/>
  <c r="O15" i="22"/>
  <c r="O362" i="22"/>
  <c r="O316" i="22"/>
  <c r="O238" i="22"/>
  <c r="O276" i="22"/>
  <c r="O184" i="22"/>
  <c r="O164" i="22"/>
  <c r="O82" i="22"/>
  <c r="O73" i="22"/>
  <c r="O36" i="22"/>
  <c r="O333" i="22"/>
  <c r="AG42" i="7" s="1"/>
  <c r="O375" i="22"/>
  <c r="O331" i="22"/>
  <c r="O220" i="22"/>
  <c r="O248" i="22"/>
  <c r="O137" i="22"/>
  <c r="O119" i="22"/>
  <c r="AG35" i="7" s="1"/>
  <c r="O51" i="22"/>
  <c r="O360" i="22"/>
  <c r="O231" i="22"/>
  <c r="O179" i="22"/>
  <c r="O74" i="22"/>
  <c r="O23" i="22"/>
  <c r="O246" i="22"/>
  <c r="O153" i="22"/>
  <c r="O380" i="22"/>
  <c r="O350" i="22"/>
  <c r="O215" i="22"/>
  <c r="O305" i="22"/>
  <c r="O98" i="22"/>
  <c r="O255" i="22"/>
  <c r="O47" i="22"/>
  <c r="O158" i="22"/>
  <c r="O236" i="22"/>
  <c r="O20" i="22"/>
  <c r="O132" i="22"/>
  <c r="O367" i="22"/>
  <c r="O101" i="22"/>
  <c r="O217" i="22"/>
  <c r="O291" i="22"/>
  <c r="O290" i="22"/>
  <c r="O324" i="22"/>
  <c r="O155" i="22"/>
  <c r="O127" i="22"/>
  <c r="O48" i="22"/>
  <c r="O208" i="22"/>
  <c r="O154" i="22"/>
  <c r="O75" i="22"/>
  <c r="O269" i="22"/>
  <c r="O328" i="22"/>
  <c r="O373" i="22"/>
  <c r="O266" i="22"/>
  <c r="O325" i="22"/>
  <c r="O359" i="22"/>
  <c r="O319" i="22"/>
  <c r="O252" i="22"/>
  <c r="AZ13" i="7"/>
  <c r="U158" i="16"/>
  <c r="T158" i="16" s="1"/>
  <c r="S158" i="16" s="1"/>
  <c r="R158" i="16" s="1"/>
  <c r="W2" i="7"/>
  <c r="BA13" i="7"/>
  <c r="AS10" i="7"/>
  <c r="E7" i="23" s="1"/>
  <c r="O10" i="23" s="1"/>
  <c r="O74" i="23" s="1"/>
  <c r="J314" i="15"/>
  <c r="AC375" i="20"/>
  <c r="J87" i="15"/>
  <c r="AC235" i="20"/>
  <c r="AC236" i="20"/>
  <c r="AC332" i="20"/>
  <c r="AC168" i="20"/>
  <c r="AC379" i="20"/>
  <c r="AC136" i="20"/>
  <c r="AC215" i="20"/>
  <c r="AC306" i="20"/>
  <c r="AC225" i="20"/>
  <c r="AC246" i="20"/>
  <c r="AC368" i="20"/>
  <c r="AC245" i="20"/>
  <c r="AC285" i="20"/>
  <c r="AC149" i="20"/>
  <c r="AC359" i="20"/>
  <c r="AC219" i="20"/>
  <c r="AC360" i="20"/>
  <c r="AC281" i="20"/>
  <c r="AC341" i="20"/>
  <c r="AC147" i="20"/>
  <c r="AC343" i="20"/>
  <c r="AC204" i="20"/>
  <c r="AC200" i="20"/>
  <c r="AC237" i="20"/>
  <c r="AC142" i="20"/>
  <c r="AC221" i="20"/>
  <c r="AC196" i="20"/>
  <c r="AC138" i="20"/>
  <c r="AC377" i="20"/>
  <c r="AC348" i="20"/>
  <c r="AC167" i="20"/>
  <c r="AC159" i="20"/>
  <c r="AC376" i="20"/>
  <c r="AC365" i="20"/>
  <c r="AC230" i="20"/>
  <c r="AC238" i="20"/>
  <c r="I144" i="15"/>
  <c r="I107" i="15"/>
  <c r="I294" i="15"/>
  <c r="I315" i="15"/>
  <c r="I201" i="15"/>
  <c r="AC340" i="20"/>
  <c r="AC305" i="20"/>
  <c r="AC186" i="20"/>
  <c r="AC165" i="20"/>
  <c r="AC158" i="20"/>
  <c r="AC357" i="20"/>
  <c r="AC303" i="20"/>
  <c r="AC197" i="20"/>
  <c r="AC176" i="20"/>
  <c r="AC356" i="20"/>
  <c r="AC234" i="20"/>
  <c r="AC216" i="20"/>
  <c r="AC151" i="20"/>
  <c r="AC374" i="20"/>
  <c r="AC288" i="20"/>
  <c r="AC185" i="20"/>
  <c r="AC156" i="20"/>
  <c r="AC157" i="20"/>
  <c r="AC347" i="20"/>
  <c r="AC228" i="20"/>
  <c r="AC209" i="20"/>
  <c r="AC134" i="20"/>
  <c r="AC350" i="20"/>
  <c r="AC210" i="20"/>
  <c r="AC334" i="20"/>
  <c r="AC205" i="20"/>
  <c r="AC227" i="20"/>
  <c r="AC323" i="20"/>
  <c r="AC180" i="20"/>
  <c r="AC324" i="20"/>
  <c r="AC192" i="20"/>
  <c r="AC352" i="20"/>
  <c r="AC189" i="20"/>
  <c r="AC304" i="20"/>
  <c r="AC179" i="20"/>
  <c r="AC363" i="20"/>
  <c r="AC222" i="20"/>
  <c r="AC248" i="20"/>
  <c r="AC353" i="20"/>
  <c r="AC211" i="20"/>
  <c r="AC351" i="20"/>
  <c r="I299" i="15"/>
  <c r="H79" i="15"/>
  <c r="I79" i="15" s="1"/>
  <c r="J212" i="15"/>
  <c r="J183" i="15"/>
  <c r="H105" i="15"/>
  <c r="I105" i="15" s="1"/>
  <c r="AA79" i="15"/>
  <c r="Z79" i="15" s="1"/>
  <c r="Y79" i="15" s="1"/>
  <c r="I213" i="15"/>
  <c r="I238" i="15"/>
  <c r="J221" i="15"/>
  <c r="J329" i="15"/>
  <c r="I298" i="15"/>
  <c r="I167" i="15"/>
  <c r="J147" i="15"/>
  <c r="G137" i="15"/>
  <c r="BX137" i="6" s="1"/>
  <c r="I101" i="15"/>
  <c r="I204" i="15"/>
  <c r="J64" i="15"/>
  <c r="I76" i="15"/>
  <c r="J93" i="15"/>
  <c r="I258" i="15"/>
  <c r="I323" i="15"/>
  <c r="J311" i="15"/>
  <c r="G105" i="15"/>
  <c r="BX105" i="6" s="1"/>
  <c r="I312" i="15"/>
  <c r="I193" i="15"/>
  <c r="J280" i="15"/>
  <c r="J253" i="15"/>
  <c r="I224" i="15"/>
  <c r="J209" i="15"/>
  <c r="I300" i="15"/>
  <c r="J303" i="15"/>
  <c r="I166" i="15"/>
  <c r="I65" i="15"/>
  <c r="I332" i="15"/>
  <c r="J146" i="15"/>
  <c r="J285" i="15"/>
  <c r="I54" i="15"/>
  <c r="J54" i="15"/>
  <c r="J159" i="15"/>
  <c r="I246" i="15"/>
  <c r="J345" i="15"/>
  <c r="I308" i="15"/>
  <c r="J304" i="15"/>
  <c r="I234" i="15"/>
  <c r="I205" i="15"/>
  <c r="J73" i="15"/>
  <c r="J187" i="15"/>
  <c r="J48" i="15"/>
  <c r="I48" i="15"/>
  <c r="H137" i="15"/>
  <c r="I137" i="15" s="1"/>
  <c r="J127" i="15"/>
  <c r="J375" i="15"/>
  <c r="I365" i="15"/>
  <c r="I132" i="15"/>
  <c r="J363" i="15"/>
  <c r="J286" i="15"/>
  <c r="AC175" i="20"/>
  <c r="AC190" i="20"/>
  <c r="AC280" i="20"/>
  <c r="AC202" i="20"/>
  <c r="AC262" i="20"/>
  <c r="AC319" i="20"/>
  <c r="AC298" i="20"/>
  <c r="AC342" i="20"/>
  <c r="AC173" i="20"/>
  <c r="AC177" i="20"/>
  <c r="AC247" i="20"/>
  <c r="AC199" i="20"/>
  <c r="AC255" i="20"/>
  <c r="AC310" i="20"/>
  <c r="AC318" i="20"/>
  <c r="AC369" i="20"/>
  <c r="AC137" i="20"/>
  <c r="AC195" i="20"/>
  <c r="AC290" i="20"/>
  <c r="AC224" i="20"/>
  <c r="AC269" i="20"/>
  <c r="AC329" i="20"/>
  <c r="AC317" i="20"/>
  <c r="AC198" i="20"/>
  <c r="AC265" i="20"/>
  <c r="AC218" i="20"/>
  <c r="AC264" i="20"/>
  <c r="AC333" i="20"/>
  <c r="AC331" i="20"/>
  <c r="AC330" i="20"/>
  <c r="AC143" i="20"/>
  <c r="AC140" i="20"/>
  <c r="AC208" i="20"/>
  <c r="AC299" i="20"/>
  <c r="AC231" i="20"/>
  <c r="AC275" i="20"/>
  <c r="AC346" i="20"/>
  <c r="AC338" i="20"/>
  <c r="AC207" i="20"/>
  <c r="AC279" i="20"/>
  <c r="AC226" i="20"/>
  <c r="AC274" i="20"/>
  <c r="AC344" i="20"/>
  <c r="AC358" i="20"/>
  <c r="AC153" i="20"/>
  <c r="AC150" i="20"/>
  <c r="AC217" i="20"/>
  <c r="AC183" i="20"/>
  <c r="AC240" i="20"/>
  <c r="AC286" i="20"/>
  <c r="AC355" i="20"/>
  <c r="AC372" i="20"/>
  <c r="AC144" i="20"/>
  <c r="AC146" i="20"/>
  <c r="AC212" i="20"/>
  <c r="AC291" i="20"/>
  <c r="AC233" i="20"/>
  <c r="AC282" i="20"/>
  <c r="AC354" i="20"/>
  <c r="AC371" i="20"/>
  <c r="AC162" i="20"/>
  <c r="AC172" i="20"/>
  <c r="AC243" i="20"/>
  <c r="AC194" i="20"/>
  <c r="AC250" i="20"/>
  <c r="AC301" i="20"/>
  <c r="AC366" i="20"/>
  <c r="AC316" i="20"/>
  <c r="AC155" i="20"/>
  <c r="AC163" i="20"/>
  <c r="AC232" i="20"/>
  <c r="AC184" i="20"/>
  <c r="AC241" i="20"/>
  <c r="AC300" i="20"/>
  <c r="AC367" i="20"/>
  <c r="AC327" i="20"/>
  <c r="AC170" i="20"/>
  <c r="AC187" i="20"/>
  <c r="AC260" i="20"/>
  <c r="AC201" i="20"/>
  <c r="AC261" i="20"/>
  <c r="AC308" i="20"/>
  <c r="AC345" i="20"/>
  <c r="AC349" i="20"/>
  <c r="AC336" i="20"/>
  <c r="AC271" i="20"/>
  <c r="AC223" i="20"/>
  <c r="AC273" i="20"/>
  <c r="AC206" i="20"/>
  <c r="AC335" i="20"/>
  <c r="AC337" i="20"/>
  <c r="AC272" i="20"/>
  <c r="AC229" i="20"/>
  <c r="AC296" i="20"/>
  <c r="AC203" i="20"/>
  <c r="AC135" i="20"/>
  <c r="AC141" i="20"/>
  <c r="AC378" i="20"/>
  <c r="AC328" i="20"/>
  <c r="AC325" i="20"/>
  <c r="AC259" i="20"/>
  <c r="AC214" i="20"/>
  <c r="AC258" i="20"/>
  <c r="AC181" i="20"/>
  <c r="AC178" i="20"/>
  <c r="AC314" i="20"/>
  <c r="AC326" i="20"/>
  <c r="AC268" i="20"/>
  <c r="AC220" i="20"/>
  <c r="AC287" i="20"/>
  <c r="AC193" i="20"/>
  <c r="AC364" i="20"/>
  <c r="AC315" i="20"/>
  <c r="AC307" i="20"/>
  <c r="AC251" i="20"/>
  <c r="AC191" i="20"/>
  <c r="AC244" i="20"/>
  <c r="AC171" i="20"/>
  <c r="AC164" i="20"/>
  <c r="AC320" i="20"/>
  <c r="AC373" i="20"/>
  <c r="AC276" i="20"/>
  <c r="AC302" i="20"/>
  <c r="AC145" i="20"/>
  <c r="AC339" i="20"/>
  <c r="AC266" i="20"/>
  <c r="AC267" i="20"/>
  <c r="AC322" i="20"/>
  <c r="AC270" i="20"/>
  <c r="AC294" i="20"/>
  <c r="AC321" i="20"/>
  <c r="AC256" i="20"/>
  <c r="AC254" i="20"/>
  <c r="AC174" i="20"/>
  <c r="AC311" i="20"/>
  <c r="AC263" i="20"/>
  <c r="AC283" i="20"/>
  <c r="AC313" i="20"/>
  <c r="AC249" i="20"/>
  <c r="AC239" i="20"/>
  <c r="AC370" i="20"/>
  <c r="AC257" i="20"/>
  <c r="AC253" i="20"/>
  <c r="AC169" i="20"/>
  <c r="AC309" i="20"/>
  <c r="AC293" i="20"/>
  <c r="AC297" i="20"/>
  <c r="AC161" i="20"/>
  <c r="AC154" i="20"/>
  <c r="AC312" i="20"/>
  <c r="AC292" i="20"/>
  <c r="AC188" i="20"/>
  <c r="AC166" i="20"/>
  <c r="AC160" i="20"/>
  <c r="AC362" i="20"/>
  <c r="AC278" i="20"/>
  <c r="AC289" i="20"/>
  <c r="AC139" i="20"/>
  <c r="AC361" i="20"/>
  <c r="AC284" i="20"/>
  <c r="AC182" i="20"/>
  <c r="AC148" i="20"/>
  <c r="J367" i="15"/>
  <c r="I367" i="15"/>
  <c r="I340" i="15"/>
  <c r="J340" i="15"/>
  <c r="C13" i="19"/>
  <c r="F37" i="19"/>
  <c r="V379" i="15"/>
  <c r="F379" i="15" s="1"/>
  <c r="G379" i="15" s="1"/>
  <c r="BX379" i="6" s="1"/>
  <c r="D36" i="19"/>
  <c r="I371" i="15"/>
  <c r="J371" i="15"/>
  <c r="J58" i="15"/>
  <c r="I58" i="15"/>
  <c r="J180" i="15"/>
  <c r="J43" i="15"/>
  <c r="I108" i="15"/>
  <c r="J59" i="15"/>
  <c r="I59" i="15"/>
  <c r="C14" i="19"/>
  <c r="F38" i="19"/>
  <c r="J129" i="15"/>
  <c r="J128" i="15"/>
  <c r="U90" i="16"/>
  <c r="T90" i="16" s="1"/>
  <c r="S90" i="16" s="1"/>
  <c r="R90" i="16" s="1"/>
  <c r="U45" i="16"/>
  <c r="T45" i="16" s="1"/>
  <c r="S45" i="16" s="1"/>
  <c r="R45" i="16" s="1"/>
  <c r="U157" i="16"/>
  <c r="T157" i="16" s="1"/>
  <c r="S157" i="16" s="1"/>
  <c r="R157" i="16" s="1"/>
  <c r="U349" i="16"/>
  <c r="T349" i="16" s="1"/>
  <c r="S349" i="16" s="1"/>
  <c r="R349" i="16" s="1"/>
  <c r="U222" i="16"/>
  <c r="T222" i="16" s="1"/>
  <c r="S222" i="16" s="1"/>
  <c r="R222" i="16" s="1"/>
  <c r="U76" i="16"/>
  <c r="T76" i="16" s="1"/>
  <c r="S76" i="16" s="1"/>
  <c r="R76" i="16" s="1"/>
  <c r="U25" i="16"/>
  <c r="T25" i="16" s="1"/>
  <c r="S25" i="16" s="1"/>
  <c r="R25" i="16" s="1"/>
  <c r="U333" i="16"/>
  <c r="T333" i="16" s="1"/>
  <c r="S333" i="16" s="1"/>
  <c r="R333" i="16" s="1"/>
  <c r="U199" i="16"/>
  <c r="T199" i="16" s="1"/>
  <c r="S199" i="16" s="1"/>
  <c r="R199" i="16" s="1"/>
  <c r="U365" i="16"/>
  <c r="T365" i="16" s="1"/>
  <c r="S365" i="16" s="1"/>
  <c r="R365" i="16" s="1"/>
  <c r="U36" i="16"/>
  <c r="T36" i="16" s="1"/>
  <c r="S36" i="16" s="1"/>
  <c r="R36" i="16" s="1"/>
  <c r="U308" i="16"/>
  <c r="T308" i="16" s="1"/>
  <c r="S308" i="16" s="1"/>
  <c r="R308" i="16" s="1"/>
  <c r="P308" i="16" s="1"/>
  <c r="V308" i="16" s="1"/>
  <c r="F308" i="16" s="1"/>
  <c r="U266" i="16"/>
  <c r="T266" i="16" s="1"/>
  <c r="S266" i="16" s="1"/>
  <c r="R266" i="16" s="1"/>
  <c r="U290" i="16"/>
  <c r="T290" i="16" s="1"/>
  <c r="S290" i="16" s="1"/>
  <c r="R290" i="16" s="1"/>
  <c r="U46" i="16"/>
  <c r="T46" i="16" s="1"/>
  <c r="S46" i="16" s="1"/>
  <c r="R46" i="16" s="1"/>
  <c r="U31" i="16"/>
  <c r="T31" i="16" s="1"/>
  <c r="S31" i="16" s="1"/>
  <c r="R31" i="16" s="1"/>
  <c r="U267" i="16"/>
  <c r="T267" i="16" s="1"/>
  <c r="S267" i="16" s="1"/>
  <c r="R267" i="16" s="1"/>
  <c r="U60" i="16"/>
  <c r="T60" i="16" s="1"/>
  <c r="S60" i="16" s="1"/>
  <c r="R60" i="16" s="1"/>
  <c r="U159" i="16"/>
  <c r="T159" i="16" s="1"/>
  <c r="S159" i="16" s="1"/>
  <c r="R159" i="16" s="1"/>
  <c r="U109" i="16"/>
  <c r="T109" i="16" s="1"/>
  <c r="S109" i="16" s="1"/>
  <c r="R109" i="16" s="1"/>
  <c r="U283" i="16"/>
  <c r="T283" i="16" s="1"/>
  <c r="S283" i="16" s="1"/>
  <c r="R283" i="16" s="1"/>
  <c r="U377" i="16"/>
  <c r="T377" i="16" s="1"/>
  <c r="S377" i="16" s="1"/>
  <c r="R377" i="16" s="1"/>
  <c r="U311" i="16"/>
  <c r="T311" i="16" s="1"/>
  <c r="S311" i="16" s="1"/>
  <c r="R311" i="16" s="1"/>
  <c r="P311" i="16" s="1"/>
  <c r="V311" i="16" s="1"/>
  <c r="F311" i="16" s="1"/>
  <c r="U207" i="16"/>
  <c r="T207" i="16" s="1"/>
  <c r="S207" i="16" s="1"/>
  <c r="R207" i="16" s="1"/>
  <c r="U247" i="16"/>
  <c r="T247" i="16" s="1"/>
  <c r="S247" i="16" s="1"/>
  <c r="R247" i="16" s="1"/>
  <c r="U348" i="16"/>
  <c r="T348" i="16" s="1"/>
  <c r="S348" i="16" s="1"/>
  <c r="R348" i="16" s="1"/>
  <c r="U143" i="16"/>
  <c r="T143" i="16" s="1"/>
  <c r="S143" i="16" s="1"/>
  <c r="R143" i="16" s="1"/>
  <c r="U226" i="16"/>
  <c r="T226" i="16" s="1"/>
  <c r="S226" i="16" s="1"/>
  <c r="R226" i="16" s="1"/>
  <c r="P226" i="16" s="1"/>
  <c r="V226" i="16" s="1"/>
  <c r="F226" i="16" s="1"/>
  <c r="U64" i="16"/>
  <c r="T64" i="16" s="1"/>
  <c r="S64" i="16" s="1"/>
  <c r="R64" i="16" s="1"/>
  <c r="U327" i="16"/>
  <c r="T327" i="16" s="1"/>
  <c r="S327" i="16" s="1"/>
  <c r="R327" i="16" s="1"/>
  <c r="U26" i="16"/>
  <c r="T26" i="16" s="1"/>
  <c r="S26" i="16" s="1"/>
  <c r="R26" i="16" s="1"/>
  <c r="U164" i="16"/>
  <c r="T164" i="16" s="1"/>
  <c r="S164" i="16" s="1"/>
  <c r="R164" i="16" s="1"/>
  <c r="P164" i="16" s="1"/>
  <c r="V164" i="16" s="1"/>
  <c r="F164" i="16" s="1"/>
  <c r="U177" i="16"/>
  <c r="T177" i="16" s="1"/>
  <c r="S177" i="16" s="1"/>
  <c r="R177" i="16" s="1"/>
  <c r="U203" i="16"/>
  <c r="T203" i="16" s="1"/>
  <c r="S203" i="16" s="1"/>
  <c r="R203" i="16" s="1"/>
  <c r="U102" i="16"/>
  <c r="T102" i="16" s="1"/>
  <c r="S102" i="16" s="1"/>
  <c r="R102" i="16" s="1"/>
  <c r="U182" i="16"/>
  <c r="T182" i="16" s="1"/>
  <c r="S182" i="16" s="1"/>
  <c r="R182" i="16" s="1"/>
  <c r="U275" i="16"/>
  <c r="T275" i="16" s="1"/>
  <c r="S275" i="16" s="1"/>
  <c r="R275" i="16" s="1"/>
  <c r="U298" i="16"/>
  <c r="T298" i="16" s="1"/>
  <c r="S298" i="16" s="1"/>
  <c r="R298" i="16" s="1"/>
  <c r="U180" i="16"/>
  <c r="T180" i="16" s="1"/>
  <c r="S180" i="16" s="1"/>
  <c r="R180" i="16" s="1"/>
  <c r="P180" i="16" s="1"/>
  <c r="U95" i="16"/>
  <c r="T95" i="16" s="1"/>
  <c r="S95" i="16" s="1"/>
  <c r="R95" i="16" s="1"/>
  <c r="P95" i="16" s="1"/>
  <c r="U360" i="16"/>
  <c r="T360" i="16" s="1"/>
  <c r="S360" i="16" s="1"/>
  <c r="R360" i="16" s="1"/>
  <c r="U166" i="16"/>
  <c r="T166" i="16" s="1"/>
  <c r="S166" i="16" s="1"/>
  <c r="R166" i="16" s="1"/>
  <c r="U110" i="16"/>
  <c r="T110" i="16" s="1"/>
  <c r="S110" i="16" s="1"/>
  <c r="R110" i="16" s="1"/>
  <c r="U246" i="16"/>
  <c r="T246" i="16" s="1"/>
  <c r="S246" i="16" s="1"/>
  <c r="R246" i="16" s="1"/>
  <c r="U51" i="16"/>
  <c r="T51" i="16" s="1"/>
  <c r="S51" i="16" s="1"/>
  <c r="R51" i="16" s="1"/>
  <c r="U104" i="16"/>
  <c r="T104" i="16" s="1"/>
  <c r="S104" i="16" s="1"/>
  <c r="R104" i="16" s="1"/>
  <c r="U353" i="16"/>
  <c r="T353" i="16" s="1"/>
  <c r="S353" i="16" s="1"/>
  <c r="R353" i="16" s="1"/>
  <c r="U130" i="16"/>
  <c r="T130" i="16" s="1"/>
  <c r="S130" i="16" s="1"/>
  <c r="R130" i="16" s="1"/>
  <c r="P130" i="16" s="1"/>
  <c r="U249" i="16"/>
  <c r="T249" i="16" s="1"/>
  <c r="S249" i="16" s="1"/>
  <c r="R249" i="16" s="1"/>
  <c r="U314" i="16"/>
  <c r="T314" i="16" s="1"/>
  <c r="S314" i="16" s="1"/>
  <c r="R314" i="16" s="1"/>
  <c r="U149" i="16"/>
  <c r="T149" i="16" s="1"/>
  <c r="S149" i="16" s="1"/>
  <c r="R149" i="16" s="1"/>
  <c r="U257" i="16"/>
  <c r="T257" i="16" s="1"/>
  <c r="S257" i="16" s="1"/>
  <c r="R257" i="16" s="1"/>
  <c r="U78" i="16"/>
  <c r="T78" i="16" s="1"/>
  <c r="S78" i="16" s="1"/>
  <c r="R78" i="16" s="1"/>
  <c r="U244" i="16"/>
  <c r="T244" i="16" s="1"/>
  <c r="S244" i="16" s="1"/>
  <c r="R244" i="16" s="1"/>
  <c r="U16" i="16"/>
  <c r="T16" i="16" s="1"/>
  <c r="S16" i="16" s="1"/>
  <c r="R16" i="16" s="1"/>
  <c r="U338" i="16"/>
  <c r="T338" i="16" s="1"/>
  <c r="S338" i="16" s="1"/>
  <c r="R338" i="16" s="1"/>
  <c r="P338" i="16" s="1"/>
  <c r="V338" i="16" s="1"/>
  <c r="F338" i="16" s="1"/>
  <c r="U253" i="16"/>
  <c r="T253" i="16" s="1"/>
  <c r="S253" i="16" s="1"/>
  <c r="R253" i="16" s="1"/>
  <c r="U198" i="16"/>
  <c r="T198" i="16" s="1"/>
  <c r="S198" i="16" s="1"/>
  <c r="R198" i="16" s="1"/>
  <c r="U62" i="16"/>
  <c r="T62" i="16" s="1"/>
  <c r="S62" i="16" s="1"/>
  <c r="R62" i="16" s="1"/>
  <c r="U150" i="16"/>
  <c r="T150" i="16" s="1"/>
  <c r="S150" i="16" s="1"/>
  <c r="R150" i="16" s="1"/>
  <c r="U168" i="16"/>
  <c r="T168" i="16" s="1"/>
  <c r="S168" i="16" s="1"/>
  <c r="R168" i="16" s="1"/>
  <c r="U281" i="16"/>
  <c r="T281" i="16" s="1"/>
  <c r="S281" i="16" s="1"/>
  <c r="R281" i="16" s="1"/>
  <c r="U375" i="16"/>
  <c r="T375" i="16" s="1"/>
  <c r="S375" i="16" s="1"/>
  <c r="R375" i="16" s="1"/>
  <c r="P375" i="16" s="1"/>
  <c r="V375" i="16" s="1"/>
  <c r="F375" i="16" s="1"/>
  <c r="U108" i="16"/>
  <c r="T108" i="16" s="1"/>
  <c r="S108" i="16" s="1"/>
  <c r="R108" i="16" s="1"/>
  <c r="U99" i="16"/>
  <c r="T99" i="16" s="1"/>
  <c r="S99" i="16" s="1"/>
  <c r="R99" i="16" s="1"/>
  <c r="U366" i="16"/>
  <c r="T366" i="16" s="1"/>
  <c r="S366" i="16" s="1"/>
  <c r="R366" i="16" s="1"/>
  <c r="U259" i="16"/>
  <c r="T259" i="16" s="1"/>
  <c r="S259" i="16" s="1"/>
  <c r="R259" i="16" s="1"/>
  <c r="U135" i="16"/>
  <c r="T135" i="16" s="1"/>
  <c r="S135" i="16" s="1"/>
  <c r="R135" i="16" s="1"/>
  <c r="U237" i="16"/>
  <c r="T237" i="16" s="1"/>
  <c r="S237" i="16" s="1"/>
  <c r="R237" i="16" s="1"/>
  <c r="U263" i="16"/>
  <c r="T263" i="16" s="1"/>
  <c r="S263" i="16" s="1"/>
  <c r="R263" i="16" s="1"/>
  <c r="U288" i="16"/>
  <c r="T288" i="16" s="1"/>
  <c r="S288" i="16" s="1"/>
  <c r="R288" i="16" s="1"/>
  <c r="U369" i="16"/>
  <c r="T369" i="16" s="1"/>
  <c r="S369" i="16" s="1"/>
  <c r="R369" i="16" s="1"/>
  <c r="U291" i="16"/>
  <c r="T291" i="16" s="1"/>
  <c r="S291" i="16" s="1"/>
  <c r="R291" i="16" s="1"/>
  <c r="U15" i="16"/>
  <c r="T15" i="16" s="1"/>
  <c r="U195" i="16"/>
  <c r="T195" i="16" s="1"/>
  <c r="S195" i="16" s="1"/>
  <c r="R195" i="16" s="1"/>
  <c r="U172" i="16"/>
  <c r="T172" i="16" s="1"/>
  <c r="S172" i="16" s="1"/>
  <c r="R172" i="16" s="1"/>
  <c r="U59" i="16"/>
  <c r="T59" i="16" s="1"/>
  <c r="S59" i="16" s="1"/>
  <c r="R59" i="16" s="1"/>
  <c r="P59" i="16" s="1"/>
  <c r="V59" i="16" s="1"/>
  <c r="F59" i="16" s="1"/>
  <c r="U242" i="16"/>
  <c r="T242" i="16" s="1"/>
  <c r="S242" i="16" s="1"/>
  <c r="R242" i="16" s="1"/>
  <c r="P242" i="16" s="1"/>
  <c r="V242" i="16" s="1"/>
  <c r="F242" i="16" s="1"/>
  <c r="U269" i="16"/>
  <c r="T269" i="16" s="1"/>
  <c r="S269" i="16" s="1"/>
  <c r="R269" i="16" s="1"/>
  <c r="P269" i="16" s="1"/>
  <c r="V269" i="16" s="1"/>
  <c r="F269" i="16" s="1"/>
  <c r="G269" i="16" s="1"/>
  <c r="BY269" i="6" s="1"/>
  <c r="D62" i="19"/>
  <c r="F52" i="15"/>
  <c r="G52" i="15" s="1"/>
  <c r="BX52" i="6" s="1"/>
  <c r="I235" i="15"/>
  <c r="I148" i="15"/>
  <c r="G309" i="15"/>
  <c r="BX309" i="6" s="1"/>
  <c r="AA309" i="15"/>
  <c r="Z309" i="15" s="1"/>
  <c r="Y309" i="15" s="1"/>
  <c r="H309" i="15"/>
  <c r="H123" i="15"/>
  <c r="G123" i="15"/>
  <c r="BX123" i="6" s="1"/>
  <c r="AA123" i="15"/>
  <c r="Z123" i="15" s="1"/>
  <c r="Y123" i="15" s="1"/>
  <c r="H284" i="15"/>
  <c r="AA284" i="15"/>
  <c r="Z284" i="15" s="1"/>
  <c r="Y284" i="15" s="1"/>
  <c r="G284" i="15"/>
  <c r="BX284" i="6" s="1"/>
  <c r="G17" i="15"/>
  <c r="BX17" i="6" s="1"/>
  <c r="H17" i="15"/>
  <c r="H102" i="15"/>
  <c r="AA102" i="15"/>
  <c r="Z102" i="15" s="1"/>
  <c r="Y102" i="15" s="1"/>
  <c r="G102" i="15"/>
  <c r="BX102" i="6" s="1"/>
  <c r="G21" i="15"/>
  <c r="BX21" i="6" s="1"/>
  <c r="H21" i="15"/>
  <c r="AA21" i="15"/>
  <c r="Z21" i="15" s="1"/>
  <c r="Y21" i="15" s="1"/>
  <c r="G359" i="15"/>
  <c r="BX359" i="6" s="1"/>
  <c r="AA359" i="15"/>
  <c r="Z359" i="15" s="1"/>
  <c r="Y359" i="15" s="1"/>
  <c r="H359" i="15"/>
  <c r="H216" i="15"/>
  <c r="G216" i="15"/>
  <c r="BX216" i="6" s="1"/>
  <c r="AA216" i="15"/>
  <c r="Z216" i="15" s="1"/>
  <c r="Y216" i="15" s="1"/>
  <c r="G255" i="15"/>
  <c r="BX255" i="6" s="1"/>
  <c r="H255" i="15"/>
  <c r="AA255" i="15"/>
  <c r="Z255" i="15" s="1"/>
  <c r="Y255" i="15" s="1"/>
  <c r="AA241" i="15"/>
  <c r="Z241" i="15" s="1"/>
  <c r="Y241" i="15" s="1"/>
  <c r="G241" i="15"/>
  <c r="BX241" i="6" s="1"/>
  <c r="H241" i="15"/>
  <c r="H243" i="15"/>
  <c r="AA243" i="15"/>
  <c r="Z243" i="15" s="1"/>
  <c r="Y243" i="15" s="1"/>
  <c r="G243" i="15"/>
  <c r="BX243" i="6" s="1"/>
  <c r="AA25" i="15"/>
  <c r="Z25" i="15" s="1"/>
  <c r="Y25" i="15" s="1"/>
  <c r="G25" i="15"/>
  <c r="BX25" i="6" s="1"/>
  <c r="H25" i="15"/>
  <c r="G239" i="15"/>
  <c r="BX239" i="6" s="1"/>
  <c r="H239" i="15"/>
  <c r="AA239" i="15"/>
  <c r="Z239" i="15" s="1"/>
  <c r="Y239" i="15" s="1"/>
  <c r="AA142" i="15"/>
  <c r="Z142" i="15" s="1"/>
  <c r="Y142" i="15" s="1"/>
  <c r="G142" i="15"/>
  <c r="BX142" i="6" s="1"/>
  <c r="H142" i="15"/>
  <c r="G289" i="15"/>
  <c r="BX289" i="6" s="1"/>
  <c r="H289" i="15"/>
  <c r="AA289" i="15"/>
  <c r="Z289" i="15" s="1"/>
  <c r="Y289" i="15" s="1"/>
  <c r="G319" i="15"/>
  <c r="BX319" i="6" s="1"/>
  <c r="AA319" i="15"/>
  <c r="Z319" i="15" s="1"/>
  <c r="Y319" i="15" s="1"/>
  <c r="H319" i="15"/>
  <c r="Q16" i="7"/>
  <c r="AI158" i="16"/>
  <c r="AH158" i="16" s="1"/>
  <c r="AG158" i="16" s="1"/>
  <c r="AF158" i="16" s="1"/>
  <c r="AD158" i="16" s="1"/>
  <c r="AI225" i="16"/>
  <c r="AH225" i="16" s="1"/>
  <c r="AI276" i="16"/>
  <c r="AH276" i="16" s="1"/>
  <c r="AI246" i="16"/>
  <c r="AH246" i="16" s="1"/>
  <c r="AI88" i="16"/>
  <c r="AH88" i="16" s="1"/>
  <c r="AI286" i="16"/>
  <c r="AH286" i="16" s="1"/>
  <c r="AI51" i="16"/>
  <c r="AH51" i="16" s="1"/>
  <c r="AI228" i="16"/>
  <c r="AH228" i="16" s="1"/>
  <c r="AI215" i="16"/>
  <c r="AH215" i="16" s="1"/>
  <c r="AI258" i="16"/>
  <c r="AH258" i="16" s="1"/>
  <c r="AI160" i="16"/>
  <c r="AH160" i="16" s="1"/>
  <c r="AI233" i="16"/>
  <c r="AH233" i="16" s="1"/>
  <c r="AG233" i="16" s="1"/>
  <c r="AF233" i="16" s="1"/>
  <c r="AD233" i="16" s="1"/>
  <c r="AI96" i="16"/>
  <c r="AH96" i="16" s="1"/>
  <c r="AG96" i="16" s="1"/>
  <c r="AF96" i="16" s="1"/>
  <c r="AD96" i="16" s="1"/>
  <c r="AI304" i="16"/>
  <c r="AH304" i="16" s="1"/>
  <c r="AI179" i="16"/>
  <c r="AH179" i="16" s="1"/>
  <c r="AI69" i="16"/>
  <c r="AH69" i="16" s="1"/>
  <c r="AI343" i="16"/>
  <c r="AH343" i="16" s="1"/>
  <c r="AI296" i="16"/>
  <c r="AH296" i="16" s="1"/>
  <c r="AI332" i="16"/>
  <c r="AH332" i="16" s="1"/>
  <c r="AG332" i="16" s="1"/>
  <c r="AF332" i="16" s="1"/>
  <c r="AD332" i="16" s="1"/>
  <c r="AI98" i="16"/>
  <c r="AH98" i="16" s="1"/>
  <c r="AI140" i="16"/>
  <c r="AH140" i="16" s="1"/>
  <c r="AG140" i="16" s="1"/>
  <c r="AF140" i="16" s="1"/>
  <c r="AD140" i="16" s="1"/>
  <c r="AI62" i="16"/>
  <c r="AH62" i="16" s="1"/>
  <c r="AI177" i="16"/>
  <c r="AH177" i="16" s="1"/>
  <c r="AI212" i="16"/>
  <c r="AH212" i="16" s="1"/>
  <c r="AI214" i="16"/>
  <c r="AH214" i="16" s="1"/>
  <c r="AI330" i="16"/>
  <c r="AH330" i="16" s="1"/>
  <c r="AI292" i="16"/>
  <c r="AH292" i="16" s="1"/>
  <c r="AI217" i="16"/>
  <c r="AH217" i="16" s="1"/>
  <c r="AI198" i="16"/>
  <c r="AH198" i="16" s="1"/>
  <c r="AI295" i="16"/>
  <c r="AH295" i="16" s="1"/>
  <c r="AI208" i="16"/>
  <c r="AH208" i="16" s="1"/>
  <c r="AI265" i="16"/>
  <c r="AH265" i="16" s="1"/>
  <c r="AI104" i="16"/>
  <c r="AH104" i="16" s="1"/>
  <c r="AI171" i="16"/>
  <c r="AH171" i="16" s="1"/>
  <c r="AI294" i="16"/>
  <c r="AH294" i="16" s="1"/>
  <c r="AI154" i="16"/>
  <c r="AH154" i="16" s="1"/>
  <c r="AI196" i="16"/>
  <c r="AH196" i="16" s="1"/>
  <c r="AI223" i="16"/>
  <c r="AH223" i="16" s="1"/>
  <c r="AI222" i="16"/>
  <c r="AH222" i="16" s="1"/>
  <c r="AI316" i="16"/>
  <c r="AH316" i="16" s="1"/>
  <c r="AI257" i="16"/>
  <c r="AH257" i="16" s="1"/>
  <c r="AI242" i="16"/>
  <c r="AH242" i="16" s="1"/>
  <c r="AI17" i="16"/>
  <c r="AH17" i="16" s="1"/>
  <c r="AI275" i="16"/>
  <c r="AH275" i="16" s="1"/>
  <c r="AI310" i="16"/>
  <c r="AH310" i="16" s="1"/>
  <c r="AI117" i="16"/>
  <c r="AH117" i="16" s="1"/>
  <c r="AI344" i="16"/>
  <c r="AH344" i="16" s="1"/>
  <c r="AI261" i="16"/>
  <c r="AH261" i="16" s="1"/>
  <c r="AI164" i="16"/>
  <c r="AH164" i="16" s="1"/>
  <c r="AI334" i="16"/>
  <c r="AH334" i="16" s="1"/>
  <c r="AI313" i="16"/>
  <c r="AH313" i="16" s="1"/>
  <c r="AI27" i="16"/>
  <c r="AH27" i="16" s="1"/>
  <c r="AI77" i="16"/>
  <c r="AH77" i="16" s="1"/>
  <c r="AI205" i="16"/>
  <c r="AH205" i="16" s="1"/>
  <c r="AI365" i="16"/>
  <c r="AH365" i="16" s="1"/>
  <c r="AI248" i="16"/>
  <c r="AH248" i="16" s="1"/>
  <c r="AI335" i="16"/>
  <c r="AH335" i="16" s="1"/>
  <c r="AI113" i="16"/>
  <c r="AH113" i="16" s="1"/>
  <c r="AI328" i="16"/>
  <c r="AH328" i="16" s="1"/>
  <c r="AI86" i="16"/>
  <c r="AH86" i="16" s="1"/>
  <c r="AI74" i="16"/>
  <c r="AH74" i="16" s="1"/>
  <c r="AI152" i="16"/>
  <c r="AH152" i="16" s="1"/>
  <c r="AI89" i="16"/>
  <c r="AH89" i="16" s="1"/>
  <c r="AI379" i="16"/>
  <c r="AI231" i="16"/>
  <c r="AH231" i="16" s="1"/>
  <c r="AI80" i="16"/>
  <c r="AH80" i="16" s="1"/>
  <c r="AI201" i="16"/>
  <c r="AH201" i="16" s="1"/>
  <c r="AI290" i="16"/>
  <c r="AH290" i="16" s="1"/>
  <c r="AI139" i="16"/>
  <c r="AH139" i="16" s="1"/>
  <c r="AI230" i="16"/>
  <c r="AH230" i="16" s="1"/>
  <c r="AI58" i="16"/>
  <c r="AH58" i="16" s="1"/>
  <c r="AI376" i="16"/>
  <c r="AH376" i="16" s="1"/>
  <c r="AI175" i="16"/>
  <c r="AH175" i="16" s="1"/>
  <c r="AI126" i="16"/>
  <c r="AH126" i="16" s="1"/>
  <c r="AI124" i="16"/>
  <c r="AH124" i="16" s="1"/>
  <c r="AI209" i="16"/>
  <c r="AH209" i="16" s="1"/>
  <c r="AI210" i="16"/>
  <c r="AH210" i="16" s="1"/>
  <c r="AI340" i="16"/>
  <c r="AH340" i="16" s="1"/>
  <c r="AI259" i="16"/>
  <c r="AH259" i="16" s="1"/>
  <c r="AI278" i="16"/>
  <c r="AH278" i="16" s="1"/>
  <c r="AI85" i="16"/>
  <c r="AH85" i="16" s="1"/>
  <c r="AI216" i="16"/>
  <c r="AH216" i="16" s="1"/>
  <c r="AI229" i="16"/>
  <c r="AH229" i="16" s="1"/>
  <c r="AI36" i="16"/>
  <c r="AH36" i="16" s="1"/>
  <c r="AI270" i="16"/>
  <c r="AH270" i="16" s="1"/>
  <c r="AI281" i="16"/>
  <c r="AH281" i="16" s="1"/>
  <c r="AI308" i="16"/>
  <c r="AH308" i="16" s="1"/>
  <c r="AI29" i="16"/>
  <c r="AH29" i="16" s="1"/>
  <c r="AI157" i="16"/>
  <c r="AH157" i="16" s="1"/>
  <c r="AI285" i="16"/>
  <c r="AH285" i="16" s="1"/>
  <c r="AI346" i="16"/>
  <c r="AH346" i="16" s="1"/>
  <c r="AI63" i="16"/>
  <c r="AH63" i="16" s="1"/>
  <c r="AI48" i="16"/>
  <c r="AH48" i="16" s="1"/>
  <c r="AI353" i="16"/>
  <c r="AH353" i="16" s="1"/>
  <c r="AI115" i="16"/>
  <c r="AH115" i="16" s="1"/>
  <c r="AI256" i="16"/>
  <c r="AH256" i="16" s="1"/>
  <c r="AI103" i="16"/>
  <c r="AH103" i="16" s="1"/>
  <c r="AI33" i="16"/>
  <c r="AH33" i="16" s="1"/>
  <c r="AI307" i="16"/>
  <c r="AH307" i="16" s="1"/>
  <c r="AI197" i="16"/>
  <c r="AH197" i="16" s="1"/>
  <c r="AI206" i="16"/>
  <c r="AH206" i="16" s="1"/>
  <c r="AI91" i="16"/>
  <c r="AH91" i="16" s="1"/>
  <c r="AI263" i="16"/>
  <c r="AH263" i="16" s="1"/>
  <c r="AI354" i="16"/>
  <c r="AH354" i="16" s="1"/>
  <c r="AG354" i="16" s="1"/>
  <c r="AF354" i="16" s="1"/>
  <c r="AD354" i="16" s="1"/>
  <c r="AI268" i="16"/>
  <c r="AH268" i="16" s="1"/>
  <c r="AG268" i="16" s="1"/>
  <c r="AF268" i="16" s="1"/>
  <c r="AD268" i="16" s="1"/>
  <c r="AI161" i="16"/>
  <c r="AH161" i="16" s="1"/>
  <c r="AI118" i="16"/>
  <c r="AH118" i="16" s="1"/>
  <c r="AI42" i="16"/>
  <c r="AH42" i="16" s="1"/>
  <c r="AI144" i="16"/>
  <c r="AH144" i="16" s="1"/>
  <c r="AI219" i="16"/>
  <c r="AH219" i="16" s="1"/>
  <c r="AG219" i="16" s="1"/>
  <c r="AF219" i="16" s="1"/>
  <c r="AD219" i="16" s="1"/>
  <c r="AI46" i="16"/>
  <c r="AH46" i="16" s="1"/>
  <c r="AG46" i="16" s="1"/>
  <c r="AF46" i="16" s="1"/>
  <c r="AD46" i="16" s="1"/>
  <c r="AI116" i="16"/>
  <c r="AH116" i="16" s="1"/>
  <c r="AI19" i="16"/>
  <c r="AH19" i="16" s="1"/>
  <c r="AI318" i="16"/>
  <c r="AH318" i="16" s="1"/>
  <c r="AI305" i="16"/>
  <c r="AH305" i="16" s="1"/>
  <c r="AI99" i="16"/>
  <c r="AH99" i="16" s="1"/>
  <c r="AI192" i="16"/>
  <c r="AH192" i="16" s="1"/>
  <c r="AI71" i="16"/>
  <c r="AH71" i="16" s="1"/>
  <c r="AI183" i="16"/>
  <c r="AH183" i="16" s="1"/>
  <c r="AI194" i="16"/>
  <c r="AH194" i="16" s="1"/>
  <c r="AI288" i="16"/>
  <c r="AH288" i="16" s="1"/>
  <c r="AI359" i="16"/>
  <c r="AH359" i="16" s="1"/>
  <c r="AI220" i="16"/>
  <c r="AH220" i="16" s="1"/>
  <c r="AI329" i="16"/>
  <c r="AH329" i="16" s="1"/>
  <c r="AI360" i="16"/>
  <c r="AH360" i="16" s="1"/>
  <c r="AI267" i="16"/>
  <c r="AH267" i="16" s="1"/>
  <c r="AI224" i="16"/>
  <c r="AH224" i="16" s="1"/>
  <c r="AG224" i="16" s="1"/>
  <c r="AF224" i="16" s="1"/>
  <c r="AD224" i="16" s="1"/>
  <c r="AI282" i="16"/>
  <c r="AH282" i="16" s="1"/>
  <c r="AI31" i="16"/>
  <c r="AH31" i="16" s="1"/>
  <c r="AI287" i="16"/>
  <c r="AH287" i="16" s="1"/>
  <c r="AI350" i="16"/>
  <c r="AH350" i="16" s="1"/>
  <c r="AI65" i="16"/>
  <c r="AH65" i="16" s="1"/>
  <c r="AI321" i="16"/>
  <c r="AH321" i="16" s="1"/>
  <c r="AI370" i="16"/>
  <c r="AH370" i="16" s="1"/>
  <c r="AI339" i="16"/>
  <c r="AH339" i="16" s="1"/>
  <c r="AI245" i="16"/>
  <c r="AH245" i="16" s="1"/>
  <c r="AI325" i="16"/>
  <c r="AH325" i="16" s="1"/>
  <c r="AI28" i="16"/>
  <c r="AH28" i="16" s="1"/>
  <c r="AI155" i="16"/>
  <c r="AH155" i="16" s="1"/>
  <c r="AI237" i="16"/>
  <c r="AH237" i="16" s="1"/>
  <c r="AI132" i="16"/>
  <c r="AH132" i="16" s="1"/>
  <c r="AI241" i="16"/>
  <c r="AH241" i="16" s="1"/>
  <c r="AI342" i="16"/>
  <c r="AH342" i="16" s="1"/>
  <c r="AI55" i="16"/>
  <c r="AH55" i="16" s="1"/>
  <c r="AI32" i="16"/>
  <c r="AH32" i="16" s="1"/>
  <c r="AI92" i="16"/>
  <c r="AH92" i="16" s="1"/>
  <c r="AI232" i="16"/>
  <c r="AH232" i="16" s="1"/>
  <c r="AI358" i="16"/>
  <c r="AH358" i="16" s="1"/>
  <c r="AI260" i="16"/>
  <c r="AH260" i="16" s="1"/>
  <c r="AI254" i="16"/>
  <c r="AH254" i="16" s="1"/>
  <c r="AI273" i="16"/>
  <c r="AH273" i="16" s="1"/>
  <c r="AI67" i="16"/>
  <c r="AH67" i="16" s="1"/>
  <c r="AI64" i="16"/>
  <c r="AH64" i="16" s="1"/>
  <c r="AI356" i="16"/>
  <c r="AH356" i="16" s="1"/>
  <c r="AI119" i="16"/>
  <c r="AH119" i="16" s="1"/>
  <c r="AI66" i="16"/>
  <c r="AH66" i="16" s="1"/>
  <c r="AI61" i="16"/>
  <c r="AH61" i="16" s="1"/>
  <c r="AI349" i="16"/>
  <c r="AH349" i="16" s="1"/>
  <c r="AI148" i="16"/>
  <c r="AH148" i="16" s="1"/>
  <c r="AI182" i="16"/>
  <c r="AH182" i="16" s="1"/>
  <c r="AI266" i="16"/>
  <c r="AH266" i="16" s="1"/>
  <c r="AI24" i="16"/>
  <c r="AH24" i="16" s="1"/>
  <c r="AI185" i="16"/>
  <c r="AH185" i="16" s="1"/>
  <c r="AI45" i="16"/>
  <c r="AH45" i="16" s="1"/>
  <c r="AI301" i="16"/>
  <c r="AH301" i="16" s="1"/>
  <c r="AI207" i="16"/>
  <c r="AH207" i="16" s="1"/>
  <c r="AI274" i="16"/>
  <c r="AH274" i="16" s="1"/>
  <c r="AI149" i="16"/>
  <c r="AH149" i="16" s="1"/>
  <c r="AI20" i="16"/>
  <c r="AH20" i="16" s="1"/>
  <c r="AI167" i="16"/>
  <c r="AH167" i="16" s="1"/>
  <c r="AI137" i="16"/>
  <c r="AH137" i="16" s="1"/>
  <c r="AI43" i="16"/>
  <c r="AH43" i="16" s="1"/>
  <c r="AI333" i="16"/>
  <c r="AH333" i="16" s="1"/>
  <c r="AI111" i="16"/>
  <c r="AH111" i="16" s="1"/>
  <c r="AI240" i="16"/>
  <c r="AH240" i="16" s="1"/>
  <c r="AI82" i="16"/>
  <c r="AH82" i="16" s="1"/>
  <c r="AI195" i="16"/>
  <c r="AH195" i="16" s="1"/>
  <c r="AI236" i="16"/>
  <c r="AH236" i="16" s="1"/>
  <c r="AI101" i="16"/>
  <c r="AH101" i="16" s="1"/>
  <c r="AI375" i="16"/>
  <c r="AH375" i="16" s="1"/>
  <c r="AI52" i="16"/>
  <c r="AH52" i="16" s="1"/>
  <c r="AI125" i="16"/>
  <c r="AH125" i="16" s="1"/>
  <c r="AI218" i="16"/>
  <c r="AH218" i="16" s="1"/>
  <c r="AI191" i="16"/>
  <c r="AH191" i="16" s="1"/>
  <c r="AI188" i="16"/>
  <c r="AH188" i="16" s="1"/>
  <c r="AI178" i="16"/>
  <c r="AH178" i="16" s="1"/>
  <c r="AI243" i="16"/>
  <c r="AH243" i="16" s="1"/>
  <c r="AI53" i="16"/>
  <c r="AH53" i="16" s="1"/>
  <c r="AI324" i="16"/>
  <c r="AH324" i="16" s="1"/>
  <c r="AI289" i="16"/>
  <c r="AH289" i="16" s="1"/>
  <c r="AI374" i="16"/>
  <c r="AH374" i="16" s="1"/>
  <c r="AI298" i="16"/>
  <c r="AH298" i="16" s="1"/>
  <c r="AI284" i="16"/>
  <c r="AH284" i="16" s="1"/>
  <c r="AI283" i="16"/>
  <c r="AH283" i="16" s="1"/>
  <c r="AI302" i="16"/>
  <c r="AH302" i="16" s="1"/>
  <c r="AI75" i="16"/>
  <c r="AH75" i="16" s="1"/>
  <c r="AG75" i="16" s="1"/>
  <c r="AF75" i="16" s="1"/>
  <c r="AD75" i="16" s="1"/>
  <c r="AI127" i="16"/>
  <c r="AH127" i="16" s="1"/>
  <c r="AI50" i="16"/>
  <c r="AH50" i="16" s="1"/>
  <c r="AI172" i="16"/>
  <c r="AH172" i="16" s="1"/>
  <c r="AI280" i="16"/>
  <c r="AH280" i="16" s="1"/>
  <c r="AI121" i="16"/>
  <c r="AH121" i="16" s="1"/>
  <c r="AI134" i="16"/>
  <c r="AH134" i="16" s="1"/>
  <c r="AI336" i="16"/>
  <c r="AH336" i="16" s="1"/>
  <c r="AG336" i="16" s="1"/>
  <c r="AF336" i="16" s="1"/>
  <c r="AD336" i="16" s="1"/>
  <c r="AI203" i="16"/>
  <c r="AH203" i="16" s="1"/>
  <c r="AI143" i="16"/>
  <c r="AH143" i="16" s="1"/>
  <c r="AI368" i="16"/>
  <c r="AH368" i="16" s="1"/>
  <c r="AI146" i="16"/>
  <c r="AH146" i="16" s="1"/>
  <c r="AI227" i="16"/>
  <c r="AH227" i="16" s="1"/>
  <c r="AI364" i="16"/>
  <c r="AH364" i="16" s="1"/>
  <c r="AI165" i="16"/>
  <c r="AH165" i="16" s="1"/>
  <c r="AI142" i="16"/>
  <c r="AH142" i="16" s="1"/>
  <c r="AI59" i="16"/>
  <c r="AH59" i="16" s="1"/>
  <c r="AI204" i="16"/>
  <c r="AH204" i="16" s="1"/>
  <c r="AI174" i="16"/>
  <c r="AH174" i="16" s="1"/>
  <c r="AI73" i="16"/>
  <c r="AH73" i="16" s="1"/>
  <c r="AI34" i="16"/>
  <c r="AH34" i="16" s="1"/>
  <c r="AI372" i="16"/>
  <c r="AH372" i="16" s="1"/>
  <c r="AI363" i="16"/>
  <c r="AH363" i="16" s="1"/>
  <c r="AI317" i="16"/>
  <c r="AH317" i="16" s="1"/>
  <c r="AI56" i="16"/>
  <c r="AH56" i="16" s="1"/>
  <c r="AI95" i="16"/>
  <c r="AH95" i="16" s="1"/>
  <c r="AI351" i="16"/>
  <c r="AH351" i="16" s="1"/>
  <c r="AI176" i="16"/>
  <c r="AH176" i="16" s="1"/>
  <c r="AI129" i="16"/>
  <c r="AH129" i="16" s="1"/>
  <c r="AI15" i="16"/>
  <c r="AI264" i="16"/>
  <c r="AH264" i="16" s="1"/>
  <c r="AI147" i="16"/>
  <c r="AH147" i="16" s="1"/>
  <c r="AI54" i="16"/>
  <c r="AH54" i="16" s="1"/>
  <c r="AI44" i="16"/>
  <c r="AH44" i="16" s="1"/>
  <c r="AI373" i="16"/>
  <c r="AH373" i="16" s="1"/>
  <c r="AI21" i="16"/>
  <c r="AH21" i="16" s="1"/>
  <c r="AI170" i="16"/>
  <c r="AH170" i="16" s="1"/>
  <c r="AI279" i="16"/>
  <c r="AH279" i="16" s="1"/>
  <c r="AI57" i="16"/>
  <c r="AH57" i="16" s="1"/>
  <c r="AI40" i="16"/>
  <c r="AH40" i="16" s="1"/>
  <c r="AI347" i="16"/>
  <c r="AH347" i="16" s="1"/>
  <c r="AI141" i="16"/>
  <c r="AH141" i="16" s="1"/>
  <c r="AI269" i="16"/>
  <c r="AH269" i="16" s="1"/>
  <c r="AI250" i="16"/>
  <c r="AH250" i="16" s="1"/>
  <c r="AI79" i="16"/>
  <c r="AH79" i="16" s="1"/>
  <c r="AI112" i="16"/>
  <c r="AH112" i="16" s="1"/>
  <c r="AI369" i="16"/>
  <c r="AH369" i="16" s="1"/>
  <c r="AI163" i="16"/>
  <c r="AH163" i="16" s="1"/>
  <c r="AI108" i="16"/>
  <c r="AH108" i="16" s="1"/>
  <c r="AI37" i="16"/>
  <c r="AH37" i="16" s="1"/>
  <c r="AI311" i="16"/>
  <c r="AH311" i="16" s="1"/>
  <c r="AI168" i="16"/>
  <c r="AH168" i="16" s="1"/>
  <c r="AI76" i="16"/>
  <c r="AH76" i="16" s="1"/>
  <c r="AI110" i="16"/>
  <c r="AH110" i="16" s="1"/>
  <c r="AI348" i="16"/>
  <c r="AH348" i="16" s="1"/>
  <c r="AI361" i="16"/>
  <c r="AH361" i="16" s="1"/>
  <c r="AI244" i="16"/>
  <c r="AH244" i="16" s="1"/>
  <c r="AG244" i="16" s="1"/>
  <c r="AF244" i="16" s="1"/>
  <c r="AD244" i="16" s="1"/>
  <c r="AI299" i="16"/>
  <c r="AH299" i="16" s="1"/>
  <c r="AI352" i="16"/>
  <c r="AH352" i="16" s="1"/>
  <c r="AI314" i="16"/>
  <c r="AH314" i="16" s="1"/>
  <c r="AI47" i="16"/>
  <c r="AH47" i="16" s="1"/>
  <c r="AI303" i="16"/>
  <c r="AH303" i="16" s="1"/>
  <c r="AI380" i="16"/>
  <c r="AH380" i="16" s="1"/>
  <c r="AI81" i="16"/>
  <c r="AH81" i="16" s="1"/>
  <c r="AI337" i="16"/>
  <c r="AH337" i="16" s="1"/>
  <c r="AI200" i="16"/>
  <c r="AH200" i="16" s="1"/>
  <c r="AI131" i="16"/>
  <c r="AH131" i="16" s="1"/>
  <c r="AI22" i="16"/>
  <c r="AH22" i="16" s="1"/>
  <c r="AI320" i="16"/>
  <c r="AH320" i="16" s="1"/>
  <c r="AI341" i="16"/>
  <c r="AH341" i="16" s="1"/>
  <c r="AI135" i="16"/>
  <c r="AH135" i="16" s="1"/>
  <c r="AI106" i="16"/>
  <c r="AH106" i="16" s="1"/>
  <c r="AI247" i="16"/>
  <c r="AH247" i="16" s="1"/>
  <c r="AI25" i="16"/>
  <c r="AH25" i="16" s="1"/>
  <c r="AI322" i="16"/>
  <c r="AH322" i="16" s="1"/>
  <c r="AI315" i="16"/>
  <c r="AH315" i="16" s="1"/>
  <c r="AI93" i="16"/>
  <c r="AH93" i="16" s="1"/>
  <c r="AI221" i="16"/>
  <c r="AH221" i="16" s="1"/>
  <c r="AI90" i="16"/>
  <c r="AH90" i="16" s="1"/>
  <c r="AI68" i="16"/>
  <c r="AH68" i="16" s="1"/>
  <c r="AI319" i="16"/>
  <c r="AH319" i="16" s="1"/>
  <c r="AI97" i="16"/>
  <c r="AH97" i="16" s="1"/>
  <c r="AI136" i="16"/>
  <c r="AH136" i="16" s="1"/>
  <c r="AI371" i="16"/>
  <c r="AH371" i="16" s="1"/>
  <c r="AI309" i="16"/>
  <c r="AH309" i="16" s="1"/>
  <c r="AI255" i="16"/>
  <c r="AH255" i="16" s="1"/>
  <c r="AI306" i="16"/>
  <c r="AH306" i="16" s="1"/>
  <c r="AI181" i="16"/>
  <c r="AH181" i="16" s="1"/>
  <c r="AI23" i="16"/>
  <c r="AH23" i="16" s="1"/>
  <c r="AI249" i="16"/>
  <c r="AH249" i="16" s="1"/>
  <c r="AI262" i="16"/>
  <c r="AH262" i="16" s="1"/>
  <c r="AI41" i="16"/>
  <c r="AH41" i="16" s="1"/>
  <c r="AI331" i="16"/>
  <c r="AH331" i="16" s="1"/>
  <c r="AG331" i="16" s="1"/>
  <c r="AF331" i="16" s="1"/>
  <c r="AD331" i="16" s="1"/>
  <c r="AI30" i="16"/>
  <c r="AH30" i="16" s="1"/>
  <c r="AI16" i="16"/>
  <c r="AH16" i="16" s="1"/>
  <c r="AI138" i="16"/>
  <c r="AH138" i="16" s="1"/>
  <c r="AI87" i="16"/>
  <c r="AH87" i="16" s="1"/>
  <c r="AI377" i="16"/>
  <c r="AH377" i="16" s="1"/>
  <c r="AI326" i="16"/>
  <c r="AH326" i="16" s="1"/>
  <c r="AI105" i="16"/>
  <c r="AH105" i="16" s="1"/>
  <c r="AI166" i="16"/>
  <c r="AH166" i="16" s="1"/>
  <c r="AI271" i="16"/>
  <c r="AH271" i="16" s="1"/>
  <c r="AI49" i="16"/>
  <c r="AH49" i="16" s="1"/>
  <c r="AI72" i="16"/>
  <c r="AH72" i="16" s="1"/>
  <c r="AI355" i="16"/>
  <c r="AH355" i="16" s="1"/>
  <c r="AI277" i="16"/>
  <c r="AH277" i="16" s="1"/>
  <c r="AI234" i="16"/>
  <c r="AH234" i="16" s="1"/>
  <c r="AI156" i="16"/>
  <c r="AH156" i="16" s="1"/>
  <c r="AI251" i="16"/>
  <c r="AH251" i="16" s="1"/>
  <c r="AI199" i="16"/>
  <c r="AH199" i="16" s="1"/>
  <c r="AI366" i="16"/>
  <c r="AH366" i="16" s="1"/>
  <c r="AI169" i="16"/>
  <c r="AH169" i="16" s="1"/>
  <c r="AI226" i="16"/>
  <c r="AH226" i="16" s="1"/>
  <c r="AI107" i="16"/>
  <c r="AH107" i="16" s="1"/>
  <c r="AI102" i="16"/>
  <c r="AH102" i="16" s="1"/>
  <c r="AI26" i="16"/>
  <c r="AH26" i="16" s="1"/>
  <c r="AI312" i="16"/>
  <c r="AH312" i="16" s="1"/>
  <c r="AI159" i="16"/>
  <c r="AH159" i="16" s="1"/>
  <c r="AI94" i="16"/>
  <c r="AH94" i="16" s="1"/>
  <c r="AI60" i="16"/>
  <c r="AH60" i="16" s="1"/>
  <c r="AI193" i="16"/>
  <c r="AH193" i="16" s="1"/>
  <c r="AI114" i="16"/>
  <c r="AH114" i="16" s="1"/>
  <c r="AI83" i="16"/>
  <c r="AH83" i="16" s="1"/>
  <c r="AI128" i="16"/>
  <c r="AH128" i="16" s="1"/>
  <c r="AI39" i="16"/>
  <c r="AH39" i="16" s="1"/>
  <c r="AI151" i="16"/>
  <c r="AH151" i="16" s="1"/>
  <c r="AI130" i="16"/>
  <c r="AH130" i="16" s="1"/>
  <c r="AI109" i="16"/>
  <c r="AH109" i="16" s="1"/>
  <c r="AI122" i="16"/>
  <c r="AH122" i="16" s="1"/>
  <c r="AI190" i="16"/>
  <c r="AH190" i="16" s="1"/>
  <c r="AI35" i="16"/>
  <c r="AH35" i="16" s="1"/>
  <c r="AI100" i="16"/>
  <c r="AH100" i="16" s="1"/>
  <c r="AI345" i="16"/>
  <c r="AH345" i="16" s="1"/>
  <c r="AI327" i="16"/>
  <c r="AH327" i="16" s="1"/>
  <c r="AI297" i="16"/>
  <c r="AH297" i="16" s="1"/>
  <c r="AI235" i="16"/>
  <c r="AH235" i="16" s="1"/>
  <c r="AI186" i="16"/>
  <c r="AH186" i="16" s="1"/>
  <c r="AI239" i="16"/>
  <c r="AH239" i="16" s="1"/>
  <c r="AI18" i="16"/>
  <c r="AH18" i="16" s="1"/>
  <c r="AI338" i="16"/>
  <c r="AH338" i="16" s="1"/>
  <c r="AI323" i="16"/>
  <c r="AH323" i="16" s="1"/>
  <c r="AI213" i="16"/>
  <c r="AH213" i="16" s="1"/>
  <c r="AI293" i="16"/>
  <c r="AH293" i="16" s="1"/>
  <c r="AI272" i="16"/>
  <c r="AH272" i="16" s="1"/>
  <c r="AI123" i="16"/>
  <c r="AH123" i="16" s="1"/>
  <c r="AI189" i="16"/>
  <c r="AH189" i="16" s="1"/>
  <c r="AI184" i="16"/>
  <c r="AH184" i="16" s="1"/>
  <c r="AI211" i="16"/>
  <c r="AH211" i="16" s="1"/>
  <c r="AI300" i="16"/>
  <c r="AH300" i="16" s="1"/>
  <c r="AI133" i="16"/>
  <c r="AH133" i="16" s="1"/>
  <c r="AI78" i="16"/>
  <c r="AH78" i="16" s="1"/>
  <c r="AI180" i="16"/>
  <c r="AH180" i="16" s="1"/>
  <c r="AI173" i="16"/>
  <c r="AH173" i="16" s="1"/>
  <c r="AI378" i="16"/>
  <c r="AH378" i="16" s="1"/>
  <c r="AI252" i="16"/>
  <c r="AH252" i="16" s="1"/>
  <c r="AI291" i="16"/>
  <c r="AH291" i="16" s="1"/>
  <c r="AI357" i="16"/>
  <c r="AH357" i="16" s="1"/>
  <c r="AI187" i="16"/>
  <c r="AH187" i="16" s="1"/>
  <c r="AI238" i="16"/>
  <c r="AH238" i="16" s="1"/>
  <c r="AI162" i="16"/>
  <c r="AH162" i="16" s="1"/>
  <c r="AG162" i="16" s="1"/>
  <c r="AF162" i="16" s="1"/>
  <c r="AD162" i="16" s="1"/>
  <c r="AI38" i="16"/>
  <c r="AH38" i="16" s="1"/>
  <c r="AI120" i="16"/>
  <c r="AH120" i="16" s="1"/>
  <c r="AI367" i="16"/>
  <c r="AH367" i="16" s="1"/>
  <c r="AI145" i="16"/>
  <c r="AH145" i="16" s="1"/>
  <c r="AI84" i="16"/>
  <c r="AH84" i="16" s="1"/>
  <c r="AI150" i="16"/>
  <c r="AH150" i="16" s="1"/>
  <c r="AI202" i="16"/>
  <c r="AH202" i="16" s="1"/>
  <c r="AI362" i="16"/>
  <c r="AH362" i="16" s="1"/>
  <c r="AI153" i="16"/>
  <c r="AH153" i="16" s="1"/>
  <c r="AI70" i="16"/>
  <c r="AH70" i="16" s="1"/>
  <c r="AI253" i="16"/>
  <c r="AH253" i="16" s="1"/>
  <c r="U50" i="16"/>
  <c r="T50" i="16" s="1"/>
  <c r="U361" i="16"/>
  <c r="T361" i="16" s="1"/>
  <c r="U79" i="16"/>
  <c r="T79" i="16" s="1"/>
  <c r="U65" i="16"/>
  <c r="T65" i="16" s="1"/>
  <c r="U44" i="16"/>
  <c r="T44" i="16" s="1"/>
  <c r="U85" i="16"/>
  <c r="T85" i="16" s="1"/>
  <c r="U316" i="16"/>
  <c r="T316" i="16" s="1"/>
  <c r="U27" i="16"/>
  <c r="T27" i="16" s="1"/>
  <c r="U299" i="16"/>
  <c r="T299" i="16" s="1"/>
  <c r="U37" i="16"/>
  <c r="T37" i="16" s="1"/>
  <c r="U358" i="16"/>
  <c r="T358" i="16" s="1"/>
  <c r="U202" i="16"/>
  <c r="T202" i="16" s="1"/>
  <c r="U302" i="16"/>
  <c r="T302" i="16" s="1"/>
  <c r="U346" i="16"/>
  <c r="T346" i="16" s="1"/>
  <c r="U131" i="16"/>
  <c r="T131" i="16" s="1"/>
  <c r="U273" i="16"/>
  <c r="T273" i="16" s="1"/>
  <c r="U98" i="16"/>
  <c r="T98" i="16" s="1"/>
  <c r="U175" i="16"/>
  <c r="T175" i="16" s="1"/>
  <c r="U88" i="16"/>
  <c r="T88" i="16" s="1"/>
  <c r="U262" i="16"/>
  <c r="T262" i="16" s="1"/>
  <c r="U173" i="16"/>
  <c r="T173" i="16" s="1"/>
  <c r="U126" i="16"/>
  <c r="T126" i="16" s="1"/>
  <c r="U42" i="16"/>
  <c r="T42" i="16" s="1"/>
  <c r="U214" i="16"/>
  <c r="T214" i="16" s="1"/>
  <c r="U154" i="16"/>
  <c r="T154" i="16" s="1"/>
  <c r="U231" i="16"/>
  <c r="T231" i="16" s="1"/>
  <c r="U224" i="16"/>
  <c r="T224" i="16" s="1"/>
  <c r="U141" i="16"/>
  <c r="T141" i="16" s="1"/>
  <c r="U205" i="16"/>
  <c r="T205" i="16" s="1"/>
  <c r="U119" i="16"/>
  <c r="T119" i="16" s="1"/>
  <c r="U66" i="16"/>
  <c r="T66" i="16" s="1"/>
  <c r="U112" i="16"/>
  <c r="T112" i="16" s="1"/>
  <c r="U363" i="16"/>
  <c r="T363" i="16" s="1"/>
  <c r="U83" i="16"/>
  <c r="T83" i="16" s="1"/>
  <c r="U193" i="16"/>
  <c r="T193" i="16" s="1"/>
  <c r="U156" i="16"/>
  <c r="T156" i="16" s="1"/>
  <c r="U339" i="16"/>
  <c r="T339" i="16" s="1"/>
  <c r="U113" i="16"/>
  <c r="T113" i="16" s="1"/>
  <c r="U373" i="16"/>
  <c r="T373" i="16" s="1"/>
  <c r="U19" i="16"/>
  <c r="T19" i="16" s="1"/>
  <c r="U105" i="16"/>
  <c r="T105" i="16" s="1"/>
  <c r="U178" i="16"/>
  <c r="T178" i="16" s="1"/>
  <c r="U372" i="16"/>
  <c r="T372" i="16" s="1"/>
  <c r="U219" i="16"/>
  <c r="T219" i="16" s="1"/>
  <c r="U148" i="16"/>
  <c r="T148" i="16" s="1"/>
  <c r="U162" i="16"/>
  <c r="T162" i="16" s="1"/>
  <c r="U68" i="16"/>
  <c r="T68" i="16" s="1"/>
  <c r="U371" i="16"/>
  <c r="T371" i="16" s="1"/>
  <c r="U285" i="16"/>
  <c r="T285" i="16" s="1"/>
  <c r="U232" i="16"/>
  <c r="T232" i="16" s="1"/>
  <c r="U61" i="16"/>
  <c r="T61" i="16" s="1"/>
  <c r="U120" i="16"/>
  <c r="T120" i="16" s="1"/>
  <c r="U265" i="16"/>
  <c r="T265" i="16" s="1"/>
  <c r="U84" i="16"/>
  <c r="T84" i="16" s="1"/>
  <c r="U189" i="16"/>
  <c r="T189" i="16" s="1"/>
  <c r="U284" i="16"/>
  <c r="T284" i="16" s="1"/>
  <c r="U181" i="16"/>
  <c r="T181" i="16" s="1"/>
  <c r="U357" i="16"/>
  <c r="T357" i="16" s="1"/>
  <c r="U307" i="16"/>
  <c r="T307" i="16" s="1"/>
  <c r="U124" i="16"/>
  <c r="T124" i="16" s="1"/>
  <c r="U129" i="16"/>
  <c r="T129" i="16" s="1"/>
  <c r="U210" i="16"/>
  <c r="T210" i="16" s="1"/>
  <c r="U200" i="16"/>
  <c r="T200" i="16" s="1"/>
  <c r="U169" i="16"/>
  <c r="T169" i="16" s="1"/>
  <c r="U58" i="16"/>
  <c r="T58" i="16" s="1"/>
  <c r="U329" i="16"/>
  <c r="T329" i="16" s="1"/>
  <c r="U152" i="16"/>
  <c r="T152" i="16" s="1"/>
  <c r="U125" i="16"/>
  <c r="T125" i="16" s="1"/>
  <c r="U264" i="16"/>
  <c r="T264" i="16" s="1"/>
  <c r="U137" i="16"/>
  <c r="T137" i="16" s="1"/>
  <c r="U213" i="16"/>
  <c r="T213" i="16" s="1"/>
  <c r="U347" i="16"/>
  <c r="T347" i="16" s="1"/>
  <c r="S347" i="16" s="1"/>
  <c r="R347" i="16" s="1"/>
  <c r="P347" i="16" s="1"/>
  <c r="V347" i="16" s="1"/>
  <c r="F347" i="16" s="1"/>
  <c r="U352" i="16"/>
  <c r="T352" i="16" s="1"/>
  <c r="U48" i="16"/>
  <c r="T48" i="16" s="1"/>
  <c r="U160" i="16"/>
  <c r="T160" i="16" s="1"/>
  <c r="U196" i="16"/>
  <c r="T196" i="16" s="1"/>
  <c r="U116" i="16"/>
  <c r="T116" i="16" s="1"/>
  <c r="U354" i="16"/>
  <c r="T354" i="16" s="1"/>
  <c r="U332" i="16"/>
  <c r="T332" i="16" s="1"/>
  <c r="U161" i="16"/>
  <c r="T161" i="16" s="1"/>
  <c r="U163" i="16"/>
  <c r="T163" i="16" s="1"/>
  <c r="U378" i="16"/>
  <c r="T378" i="16" s="1"/>
  <c r="U318" i="16"/>
  <c r="T318" i="16" s="1"/>
  <c r="U234" i="16"/>
  <c r="T234" i="16" s="1"/>
  <c r="U67" i="16"/>
  <c r="T67" i="16" s="1"/>
  <c r="U49" i="16"/>
  <c r="T49" i="16" s="1"/>
  <c r="U241" i="16"/>
  <c r="T241" i="16" s="1"/>
  <c r="U127" i="16"/>
  <c r="T127" i="16" s="1"/>
  <c r="U315" i="16"/>
  <c r="T315" i="16" s="1"/>
  <c r="U256" i="16"/>
  <c r="T256" i="16" s="1"/>
  <c r="U370" i="16"/>
  <c r="T370" i="16" s="1"/>
  <c r="U81" i="16"/>
  <c r="T81" i="16" s="1"/>
  <c r="U63" i="16"/>
  <c r="T63" i="16" s="1"/>
  <c r="U260" i="16"/>
  <c r="T260" i="16" s="1"/>
  <c r="U343" i="16"/>
  <c r="T343" i="16" s="1"/>
  <c r="U55" i="16"/>
  <c r="T55" i="16" s="1"/>
  <c r="U206" i="16"/>
  <c r="T206" i="16" s="1"/>
  <c r="U287" i="16"/>
  <c r="T287" i="16" s="1"/>
  <c r="U32" i="16"/>
  <c r="T32" i="16" s="1"/>
  <c r="U268" i="16"/>
  <c r="T268" i="16" s="1"/>
  <c r="U33" i="16"/>
  <c r="T33" i="16" s="1"/>
  <c r="U255" i="16"/>
  <c r="T255" i="16" s="1"/>
  <c r="U139" i="16"/>
  <c r="T139" i="16" s="1"/>
  <c r="U286" i="16"/>
  <c r="T286" i="16" s="1"/>
  <c r="U362" i="16"/>
  <c r="T362" i="16" s="1"/>
  <c r="U368" i="16"/>
  <c r="T368" i="16" s="1"/>
  <c r="S368" i="16" s="1"/>
  <c r="R368" i="16" s="1"/>
  <c r="P368" i="16" s="1"/>
  <c r="V368" i="16" s="1"/>
  <c r="F368" i="16" s="1"/>
  <c r="G368" i="16" s="1"/>
  <c r="BY368" i="6" s="1"/>
  <c r="U356" i="16"/>
  <c r="T356" i="16" s="1"/>
  <c r="S356" i="16" s="1"/>
  <c r="R356" i="16" s="1"/>
  <c r="P356" i="16" s="1"/>
  <c r="U153" i="16"/>
  <c r="T153" i="16" s="1"/>
  <c r="U345" i="16"/>
  <c r="T345" i="16" s="1"/>
  <c r="U114" i="16"/>
  <c r="T114" i="16" s="1"/>
  <c r="U194" i="16"/>
  <c r="T194" i="16" s="1"/>
  <c r="U43" i="16"/>
  <c r="T43" i="16" s="1"/>
  <c r="U331" i="16"/>
  <c r="T331" i="16" s="1"/>
  <c r="U342" i="16"/>
  <c r="T342" i="16" s="1"/>
  <c r="U170" i="16"/>
  <c r="T170" i="16" s="1"/>
  <c r="U254" i="16"/>
  <c r="T254" i="16" s="1"/>
  <c r="U313" i="16"/>
  <c r="T313" i="16" s="1"/>
  <c r="U35" i="16"/>
  <c r="T35" i="16" s="1"/>
  <c r="U277" i="16"/>
  <c r="T277" i="16" s="1"/>
  <c r="U204" i="16"/>
  <c r="T204" i="16" s="1"/>
  <c r="U197" i="16"/>
  <c r="T197" i="16" s="1"/>
  <c r="U212" i="16"/>
  <c r="T212" i="16" s="1"/>
  <c r="U310" i="16"/>
  <c r="T310" i="16" s="1"/>
  <c r="U301" i="16"/>
  <c r="T301" i="16" s="1"/>
  <c r="U174" i="16"/>
  <c r="T174" i="16" s="1"/>
  <c r="U74" i="16"/>
  <c r="T74" i="16" s="1"/>
  <c r="U230" i="16"/>
  <c r="T230" i="16" s="1"/>
  <c r="U218" i="16"/>
  <c r="T218" i="16" s="1"/>
  <c r="U359" i="16"/>
  <c r="T359" i="16" s="1"/>
  <c r="U374" i="16"/>
  <c r="T374" i="16" s="1"/>
  <c r="U238" i="16"/>
  <c r="T238" i="16" s="1"/>
  <c r="U294" i="16"/>
  <c r="T294" i="16" s="1"/>
  <c r="U330" i="16"/>
  <c r="T330" i="16" s="1"/>
  <c r="U151" i="16"/>
  <c r="T151" i="16" s="1"/>
  <c r="U261" i="16"/>
  <c r="T261" i="16" s="1"/>
  <c r="U217" i="16"/>
  <c r="T217" i="16" s="1"/>
  <c r="U52" i="16"/>
  <c r="T52" i="16" s="1"/>
  <c r="U145" i="16"/>
  <c r="T145" i="16" s="1"/>
  <c r="U111" i="16"/>
  <c r="T111" i="16" s="1"/>
  <c r="U188" i="16"/>
  <c r="T188" i="16" s="1"/>
  <c r="U323" i="16"/>
  <c r="T323" i="16" s="1"/>
  <c r="U235" i="16"/>
  <c r="T235" i="16" s="1"/>
  <c r="U147" i="16"/>
  <c r="T147" i="16" s="1"/>
  <c r="U293" i="16"/>
  <c r="T293" i="16" s="1"/>
  <c r="U53" i="16"/>
  <c r="T53" i="16" s="1"/>
  <c r="U21" i="16"/>
  <c r="T21" i="16" s="1"/>
  <c r="U140" i="16"/>
  <c r="T140" i="16" s="1"/>
  <c r="U132" i="16"/>
  <c r="T132" i="16" s="1"/>
  <c r="U340" i="16"/>
  <c r="T340" i="16" s="1"/>
  <c r="U144" i="16"/>
  <c r="T144" i="16" s="1"/>
  <c r="U155" i="16"/>
  <c r="T155" i="16" s="1"/>
  <c r="U336" i="16"/>
  <c r="T336" i="16" s="1"/>
  <c r="U215" i="16"/>
  <c r="T215" i="16" s="1"/>
  <c r="U128" i="16"/>
  <c r="T128" i="16" s="1"/>
  <c r="U312" i="16"/>
  <c r="T312" i="16" s="1"/>
  <c r="U86" i="16"/>
  <c r="T86" i="16" s="1"/>
  <c r="U167" i="16"/>
  <c r="T167" i="16" s="1"/>
  <c r="U297" i="16"/>
  <c r="T297" i="16" s="1"/>
  <c r="U71" i="16"/>
  <c r="T71" i="16" s="1"/>
  <c r="U134" i="16"/>
  <c r="T134" i="16" s="1"/>
  <c r="U344" i="16"/>
  <c r="T344" i="16" s="1"/>
  <c r="U367" i="16"/>
  <c r="T367" i="16" s="1"/>
  <c r="U320" i="16"/>
  <c r="T320" i="16" s="1"/>
  <c r="U187" i="16"/>
  <c r="T187" i="16" s="1"/>
  <c r="U380" i="16"/>
  <c r="T380" i="16" s="1"/>
  <c r="U165" i="16"/>
  <c r="T165" i="16" s="1"/>
  <c r="U115" i="16"/>
  <c r="T115" i="16" s="1"/>
  <c r="U171" i="16"/>
  <c r="T171" i="16" s="1"/>
  <c r="U227" i="16"/>
  <c r="T227" i="16" s="1"/>
  <c r="U92" i="16"/>
  <c r="T92" i="16" s="1"/>
  <c r="U300" i="16"/>
  <c r="T300" i="16" s="1"/>
  <c r="U87" i="16"/>
  <c r="T87" i="16" s="1"/>
  <c r="U225" i="16"/>
  <c r="T225" i="16" s="1"/>
  <c r="U40" i="16"/>
  <c r="T40" i="16" s="1"/>
  <c r="U270" i="16"/>
  <c r="T270" i="16" s="1"/>
  <c r="U245" i="16"/>
  <c r="T245" i="16" s="1"/>
  <c r="U305" i="16"/>
  <c r="T305" i="16" s="1"/>
  <c r="U179" i="16"/>
  <c r="T179" i="16" s="1"/>
  <c r="U101" i="16"/>
  <c r="T101" i="16" s="1"/>
  <c r="U355" i="16"/>
  <c r="T355" i="16" s="1"/>
  <c r="U220" i="16"/>
  <c r="T220" i="16" s="1"/>
  <c r="U271" i="16"/>
  <c r="T271" i="16" s="1"/>
  <c r="U379" i="16"/>
  <c r="J172" i="15"/>
  <c r="I172" i="15"/>
  <c r="I233" i="15"/>
  <c r="J233" i="15"/>
  <c r="I69" i="15"/>
  <c r="J69" i="15"/>
  <c r="I66" i="15"/>
  <c r="J66" i="15"/>
  <c r="F75" i="15"/>
  <c r="J325" i="15"/>
  <c r="I325" i="15"/>
  <c r="I335" i="15"/>
  <c r="J335" i="15"/>
  <c r="I35" i="15"/>
  <c r="J35" i="15"/>
  <c r="I109" i="15"/>
  <c r="J109" i="15"/>
  <c r="I81" i="15"/>
  <c r="J81" i="15"/>
  <c r="J89" i="15"/>
  <c r="I89" i="15"/>
  <c r="I99" i="15"/>
  <c r="J99" i="15"/>
  <c r="H272" i="15"/>
  <c r="AA272" i="15"/>
  <c r="Z272" i="15" s="1"/>
  <c r="Y272" i="15" s="1"/>
  <c r="G272" i="15"/>
  <c r="BX272" i="6" s="1"/>
  <c r="I268" i="15"/>
  <c r="J268" i="15"/>
  <c r="F373" i="15"/>
  <c r="AA29" i="15"/>
  <c r="Z29" i="15" s="1"/>
  <c r="Y29" i="15" s="1"/>
  <c r="G29" i="15"/>
  <c r="BX29" i="6" s="1"/>
  <c r="H29" i="15"/>
  <c r="I139" i="15"/>
  <c r="J139" i="15"/>
  <c r="J293" i="15"/>
  <c r="I293" i="15"/>
  <c r="J153" i="15"/>
  <c r="I153" i="15"/>
  <c r="J292" i="15"/>
  <c r="I292" i="15"/>
  <c r="I377" i="15"/>
  <c r="J377" i="15"/>
  <c r="I96" i="15"/>
  <c r="J96" i="15"/>
  <c r="J150" i="15"/>
  <c r="I150" i="15"/>
  <c r="I125" i="15"/>
  <c r="J125" i="15"/>
  <c r="I63" i="15"/>
  <c r="J63" i="15"/>
  <c r="I38" i="15"/>
  <c r="J38" i="15"/>
  <c r="H358" i="15"/>
  <c r="G358" i="15"/>
  <c r="BX358" i="6" s="1"/>
  <c r="AA358" i="15"/>
  <c r="Z358" i="15" s="1"/>
  <c r="Y358" i="15" s="1"/>
  <c r="J248" i="15"/>
  <c r="I248" i="15"/>
  <c r="J92" i="15"/>
  <c r="I92" i="15"/>
  <c r="J133" i="15"/>
  <c r="I133" i="15"/>
  <c r="I348" i="15"/>
  <c r="J348" i="15"/>
  <c r="J62" i="19"/>
  <c r="I261" i="15"/>
  <c r="J261" i="15"/>
  <c r="J301" i="15"/>
  <c r="I301" i="15"/>
  <c r="J165" i="15"/>
  <c r="I165" i="15"/>
  <c r="J266" i="15"/>
  <c r="I266" i="15"/>
  <c r="J374" i="15"/>
  <c r="I374" i="15"/>
  <c r="J118" i="15"/>
  <c r="I118" i="15"/>
  <c r="G210" i="15"/>
  <c r="BX210" i="6" s="1"/>
  <c r="AA210" i="15"/>
  <c r="Z210" i="15" s="1"/>
  <c r="Y210" i="15" s="1"/>
  <c r="H210" i="15"/>
  <c r="I164" i="15"/>
  <c r="J164" i="15"/>
  <c r="P158" i="16"/>
  <c r="V158" i="16" s="1"/>
  <c r="F158" i="16" s="1"/>
  <c r="J160" i="15"/>
  <c r="I160" i="15"/>
  <c r="I161" i="15"/>
  <c r="J161" i="15"/>
  <c r="J140" i="15"/>
  <c r="I140" i="15"/>
  <c r="J115" i="15"/>
  <c r="I115" i="15"/>
  <c r="J32" i="15"/>
  <c r="I32" i="15"/>
  <c r="I62" i="19"/>
  <c r="J135" i="15"/>
  <c r="I135" i="15"/>
  <c r="I23" i="15"/>
  <c r="J23" i="15"/>
  <c r="J267" i="15"/>
  <c r="I267" i="15"/>
  <c r="J158" i="15"/>
  <c r="I158" i="15"/>
  <c r="I226" i="15"/>
  <c r="J226" i="15"/>
  <c r="J263" i="15"/>
  <c r="I263" i="15"/>
  <c r="I90" i="15"/>
  <c r="J90" i="15"/>
  <c r="I260" i="15"/>
  <c r="J260" i="15"/>
  <c r="I51" i="15"/>
  <c r="J51" i="15"/>
  <c r="J265" i="15"/>
  <c r="I265" i="15"/>
  <c r="J368" i="15"/>
  <c r="I368" i="15"/>
  <c r="J84" i="15"/>
  <c r="I84" i="15"/>
  <c r="J113" i="15"/>
  <c r="I113" i="15"/>
  <c r="I156" i="15"/>
  <c r="J156" i="15"/>
  <c r="I262" i="15"/>
  <c r="J262" i="15"/>
  <c r="H62" i="19"/>
  <c r="E62" i="19"/>
  <c r="I22" i="15"/>
  <c r="J22" i="15"/>
  <c r="AA88" i="15"/>
  <c r="Z88" i="15" s="1"/>
  <c r="Y88" i="15" s="1"/>
  <c r="H88" i="15"/>
  <c r="G88" i="15"/>
  <c r="BX88" i="6" s="1"/>
  <c r="I162" i="15"/>
  <c r="J162" i="15"/>
  <c r="I141" i="15"/>
  <c r="J141" i="15"/>
  <c r="I366" i="15"/>
  <c r="J366" i="15"/>
  <c r="J112" i="15"/>
  <c r="I112" i="15"/>
  <c r="J104" i="15"/>
  <c r="I104" i="15"/>
  <c r="P16" i="16"/>
  <c r="V16" i="16" s="1"/>
  <c r="F16" i="16" s="1"/>
  <c r="G16" i="16" s="1"/>
  <c r="BY16" i="6" s="1"/>
  <c r="P288" i="16"/>
  <c r="V288" i="16" s="1"/>
  <c r="F288" i="16" s="1"/>
  <c r="S383" i="15"/>
  <c r="S382" i="15"/>
  <c r="S381" i="15"/>
  <c r="R15" i="15"/>
  <c r="U250" i="16"/>
  <c r="T250" i="16" s="1"/>
  <c r="U73" i="16"/>
  <c r="T73" i="16" s="1"/>
  <c r="U24" i="16"/>
  <c r="T24" i="16" s="1"/>
  <c r="U239" i="16"/>
  <c r="T239" i="16" s="1"/>
  <c r="U136" i="16"/>
  <c r="T136" i="16" s="1"/>
  <c r="U221" i="16"/>
  <c r="T221" i="16" s="1"/>
  <c r="U243" i="16"/>
  <c r="T243" i="16" s="1"/>
  <c r="U324" i="16"/>
  <c r="T324" i="16" s="1"/>
  <c r="U100" i="16"/>
  <c r="T100" i="16" s="1"/>
  <c r="U176" i="16"/>
  <c r="T176" i="16" s="1"/>
  <c r="U89" i="16"/>
  <c r="T89" i="16" s="1"/>
  <c r="U20" i="16"/>
  <c r="T20" i="16" s="1"/>
  <c r="U82" i="16"/>
  <c r="T82" i="16" s="1"/>
  <c r="U292" i="16"/>
  <c r="T292" i="16" s="1"/>
  <c r="U274" i="16"/>
  <c r="T274" i="16" s="1"/>
  <c r="U96" i="16"/>
  <c r="T96" i="16" s="1"/>
  <c r="U121" i="16"/>
  <c r="T121" i="16" s="1"/>
  <c r="U282" i="16"/>
  <c r="T282" i="16" s="1"/>
  <c r="U278" i="16"/>
  <c r="T278" i="16" s="1"/>
  <c r="U106" i="16"/>
  <c r="T106" i="16" s="1"/>
  <c r="U190" i="16"/>
  <c r="T190" i="16" s="1"/>
  <c r="U57" i="16"/>
  <c r="T57" i="16" s="1"/>
  <c r="U326" i="16"/>
  <c r="T326" i="16" s="1"/>
  <c r="U216" i="16"/>
  <c r="T216" i="16" s="1"/>
  <c r="U303" i="16"/>
  <c r="T303" i="16" s="1"/>
  <c r="U77" i="16"/>
  <c r="T77" i="16" s="1"/>
  <c r="U133" i="16"/>
  <c r="T133" i="16" s="1"/>
  <c r="U91" i="16"/>
  <c r="T91" i="16" s="1"/>
  <c r="U276" i="16"/>
  <c r="T276" i="16" s="1"/>
  <c r="U337" i="16"/>
  <c r="T337" i="16" s="1"/>
  <c r="U322" i="16"/>
  <c r="T322" i="16" s="1"/>
  <c r="U208" i="16"/>
  <c r="T208" i="16" s="1"/>
  <c r="S208" i="16" s="1"/>
  <c r="R208" i="16" s="1"/>
  <c r="P208" i="16" s="1"/>
  <c r="U334" i="16"/>
  <c r="T334" i="16" s="1"/>
  <c r="U93" i="16"/>
  <c r="T93" i="16" s="1"/>
  <c r="U72" i="16"/>
  <c r="T72" i="16" s="1"/>
  <c r="U47" i="16"/>
  <c r="T47" i="16" s="1"/>
  <c r="U289" i="16"/>
  <c r="T289" i="16" s="1"/>
  <c r="U29" i="16"/>
  <c r="T29" i="16" s="1"/>
  <c r="U186" i="16"/>
  <c r="T186" i="16" s="1"/>
  <c r="U94" i="16"/>
  <c r="T94" i="16" s="1"/>
  <c r="U295" i="16"/>
  <c r="T295" i="16" s="1"/>
  <c r="U18" i="16"/>
  <c r="T18" i="16" s="1"/>
  <c r="U258" i="16"/>
  <c r="T258" i="16" s="1"/>
  <c r="S258" i="16" s="1"/>
  <c r="R258" i="16" s="1"/>
  <c r="P258" i="16" s="1"/>
  <c r="V258" i="16" s="1"/>
  <c r="F258" i="16" s="1"/>
  <c r="U223" i="16"/>
  <c r="T223" i="16" s="1"/>
  <c r="U341" i="16"/>
  <c r="T341" i="16" s="1"/>
  <c r="U236" i="16"/>
  <c r="T236" i="16" s="1"/>
  <c r="U321" i="16"/>
  <c r="T321" i="16" s="1"/>
  <c r="U191" i="16"/>
  <c r="T191" i="16" s="1"/>
  <c r="U142" i="16"/>
  <c r="T142" i="16" s="1"/>
  <c r="U306" i="16"/>
  <c r="T306" i="16" s="1"/>
  <c r="S306" i="16" s="1"/>
  <c r="R306" i="16" s="1"/>
  <c r="P306" i="16" s="1"/>
  <c r="V306" i="16" s="1"/>
  <c r="F306" i="16" s="1"/>
  <c r="U185" i="16"/>
  <c r="T185" i="16" s="1"/>
  <c r="U138" i="16"/>
  <c r="T138" i="16" s="1"/>
  <c r="U75" i="16"/>
  <c r="T75" i="16" s="1"/>
  <c r="U209" i="16"/>
  <c r="T209" i="16" s="1"/>
  <c r="U304" i="16"/>
  <c r="T304" i="16" s="1"/>
  <c r="U228" i="16"/>
  <c r="T228" i="16" s="1"/>
  <c r="U183" i="16"/>
  <c r="T183" i="16" s="1"/>
  <c r="U325" i="16"/>
  <c r="T325" i="16" s="1"/>
  <c r="U34" i="16"/>
  <c r="T34" i="16" s="1"/>
  <c r="U56" i="16"/>
  <c r="T56" i="16" s="1"/>
  <c r="U22" i="16"/>
  <c r="T22" i="16" s="1"/>
  <c r="U328" i="16"/>
  <c r="T328" i="16" s="1"/>
  <c r="U41" i="16"/>
  <c r="T41" i="16" s="1"/>
  <c r="U280" i="16"/>
  <c r="T280" i="16" s="1"/>
  <c r="U70" i="16"/>
  <c r="T70" i="16" s="1"/>
  <c r="U122" i="16"/>
  <c r="T122" i="16" s="1"/>
  <c r="U30" i="16"/>
  <c r="T30" i="16" s="1"/>
  <c r="U39" i="16"/>
  <c r="T39" i="16" s="1"/>
  <c r="U146" i="16"/>
  <c r="T146" i="16" s="1"/>
  <c r="S146" i="16" s="1"/>
  <c r="R146" i="16" s="1"/>
  <c r="P146" i="16" s="1"/>
  <c r="V146" i="16" s="1"/>
  <c r="F146" i="16" s="1"/>
  <c r="U192" i="16"/>
  <c r="T192" i="16" s="1"/>
  <c r="U251" i="16"/>
  <c r="T251" i="16" s="1"/>
  <c r="U279" i="16"/>
  <c r="T279" i="16" s="1"/>
  <c r="U17" i="16"/>
  <c r="T17" i="16" s="1"/>
  <c r="U123" i="16"/>
  <c r="T123" i="16" s="1"/>
  <c r="U335" i="16"/>
  <c r="T335" i="16" s="1"/>
  <c r="U252" i="16"/>
  <c r="T252" i="16" s="1"/>
  <c r="U117" i="16"/>
  <c r="T117" i="16" s="1"/>
  <c r="U229" i="16"/>
  <c r="T229" i="16" s="1"/>
  <c r="U211" i="16"/>
  <c r="T211" i="16" s="1"/>
  <c r="U28" i="16"/>
  <c r="T28" i="16" s="1"/>
  <c r="U309" i="16"/>
  <c r="T309" i="16" s="1"/>
  <c r="U350" i="16"/>
  <c r="T350" i="16" s="1"/>
  <c r="U107" i="16"/>
  <c r="T107" i="16" s="1"/>
  <c r="U240" i="16"/>
  <c r="T240" i="16" s="1"/>
  <c r="U69" i="16"/>
  <c r="T69" i="16" s="1"/>
  <c r="U54" i="16"/>
  <c r="T54" i="16" s="1"/>
  <c r="U248" i="16"/>
  <c r="T248" i="16" s="1"/>
  <c r="U317" i="16"/>
  <c r="T317" i="16" s="1"/>
  <c r="U296" i="16"/>
  <c r="T296" i="16" s="1"/>
  <c r="U201" i="16"/>
  <c r="T201" i="16" s="1"/>
  <c r="U97" i="16"/>
  <c r="T97" i="16" s="1"/>
  <c r="U80" i="16"/>
  <c r="T80" i="16" s="1"/>
  <c r="U351" i="16"/>
  <c r="T351" i="16" s="1"/>
  <c r="U364" i="16"/>
  <c r="T364" i="16" s="1"/>
  <c r="U319" i="16"/>
  <c r="T319" i="16" s="1"/>
  <c r="U272" i="16"/>
  <c r="T272" i="16" s="1"/>
  <c r="U118" i="16"/>
  <c r="T118" i="16" s="1"/>
  <c r="U376" i="16"/>
  <c r="T376" i="16" s="1"/>
  <c r="U233" i="16"/>
  <c r="T233" i="16" s="1"/>
  <c r="U103" i="16"/>
  <c r="T103" i="16" s="1"/>
  <c r="U38" i="16"/>
  <c r="T38" i="16" s="1"/>
  <c r="U184" i="16"/>
  <c r="T184" i="16" s="1"/>
  <c r="U23" i="16"/>
  <c r="T23" i="16" s="1"/>
  <c r="J254" i="15"/>
  <c r="I254" i="15"/>
  <c r="J346" i="15"/>
  <c r="I346" i="15"/>
  <c r="I16" i="15"/>
  <c r="J16" i="15"/>
  <c r="I121" i="15"/>
  <c r="J121" i="15"/>
  <c r="J82" i="15"/>
  <c r="I82" i="15"/>
  <c r="I237" i="15"/>
  <c r="J237" i="15"/>
  <c r="I155" i="15"/>
  <c r="J155" i="15"/>
  <c r="J252" i="15"/>
  <c r="I252" i="15"/>
  <c r="H376" i="15"/>
  <c r="AA376" i="15"/>
  <c r="Z376" i="15" s="1"/>
  <c r="Y376" i="15" s="1"/>
  <c r="G376" i="15"/>
  <c r="BX376" i="6" s="1"/>
  <c r="H20" i="15"/>
  <c r="AA20" i="15"/>
  <c r="Z20" i="15" s="1"/>
  <c r="Y20" i="15" s="1"/>
  <c r="G20" i="15"/>
  <c r="BX20" i="6" s="1"/>
  <c r="I95" i="15"/>
  <c r="J95" i="15"/>
  <c r="I103" i="15"/>
  <c r="J103" i="15"/>
  <c r="I86" i="15"/>
  <c r="J86" i="15"/>
  <c r="J223" i="15"/>
  <c r="I223" i="15"/>
  <c r="I116" i="15"/>
  <c r="J116" i="15"/>
  <c r="J157" i="15"/>
  <c r="I157" i="15"/>
  <c r="AA24" i="15"/>
  <c r="Z24" i="15" s="1"/>
  <c r="Y24" i="15" s="1"/>
  <c r="H24" i="15"/>
  <c r="G24" i="15"/>
  <c r="BX24" i="6" s="1"/>
  <c r="H30" i="15"/>
  <c r="AA30" i="15"/>
  <c r="Z30" i="15" s="1"/>
  <c r="Y30" i="15" s="1"/>
  <c r="G30" i="15"/>
  <c r="BX30" i="6" s="1"/>
  <c r="G39" i="15"/>
  <c r="BX39" i="6" s="1"/>
  <c r="H39" i="15"/>
  <c r="AA39" i="15"/>
  <c r="Z39" i="15" s="1"/>
  <c r="Y39" i="15" s="1"/>
  <c r="I273" i="15"/>
  <c r="J273" i="15"/>
  <c r="I249" i="15"/>
  <c r="J249" i="15"/>
  <c r="AA98" i="15"/>
  <c r="Z98" i="15" s="1"/>
  <c r="Y98" i="15" s="1"/>
  <c r="G98" i="15"/>
  <c r="BX98" i="6" s="1"/>
  <c r="H98" i="15"/>
  <c r="I120" i="15"/>
  <c r="J120" i="15"/>
  <c r="J228" i="15"/>
  <c r="I228" i="15"/>
  <c r="G282" i="15"/>
  <c r="BX282" i="6" s="1"/>
  <c r="H282" i="15"/>
  <c r="AA282" i="15"/>
  <c r="Z282" i="15" s="1"/>
  <c r="Y282" i="15" s="1"/>
  <c r="I124" i="15"/>
  <c r="J124" i="15"/>
  <c r="G231" i="15"/>
  <c r="BX231" i="6" s="1"/>
  <c r="H231" i="15"/>
  <c r="AA231" i="15"/>
  <c r="Z231" i="15" s="1"/>
  <c r="Y231" i="15" s="1"/>
  <c r="I291" i="15"/>
  <c r="J291" i="15"/>
  <c r="J217" i="15"/>
  <c r="I217" i="15"/>
  <c r="I369" i="15"/>
  <c r="J369" i="15"/>
  <c r="H341" i="15"/>
  <c r="G341" i="15"/>
  <c r="BX341" i="6" s="1"/>
  <c r="AA341" i="15"/>
  <c r="Z341" i="15" s="1"/>
  <c r="Y341" i="15" s="1"/>
  <c r="AA247" i="15"/>
  <c r="Z247" i="15" s="1"/>
  <c r="Y247" i="15" s="1"/>
  <c r="H247" i="15"/>
  <c r="G247" i="15"/>
  <c r="BX247" i="6" s="1"/>
  <c r="I97" i="15"/>
  <c r="J97" i="15"/>
  <c r="AA271" i="15"/>
  <c r="Z271" i="15" s="1"/>
  <c r="Y271" i="15" s="1"/>
  <c r="H271" i="15"/>
  <c r="G271" i="15"/>
  <c r="BX271" i="6" s="1"/>
  <c r="H149" i="15"/>
  <c r="G149" i="15"/>
  <c r="BX149" i="6" s="1"/>
  <c r="AA149" i="15"/>
  <c r="Z149" i="15" s="1"/>
  <c r="Y149" i="15" s="1"/>
  <c r="I326" i="15"/>
  <c r="J326" i="15"/>
  <c r="J279" i="15"/>
  <c r="I279" i="15"/>
  <c r="I222" i="15"/>
  <c r="J222" i="15"/>
  <c r="H119" i="15"/>
  <c r="G119" i="15"/>
  <c r="BX119" i="6" s="1"/>
  <c r="AA119" i="15"/>
  <c r="Z119" i="15" s="1"/>
  <c r="Y119" i="15" s="1"/>
  <c r="J370" i="15"/>
  <c r="I370" i="15"/>
  <c r="I232" i="15"/>
  <c r="J232" i="15"/>
  <c r="AA78" i="15"/>
  <c r="Z78" i="15" s="1"/>
  <c r="Y78" i="15" s="1"/>
  <c r="H78" i="15"/>
  <c r="G78" i="15"/>
  <c r="BX78" i="6" s="1"/>
  <c r="AA34" i="15"/>
  <c r="Z34" i="15" s="1"/>
  <c r="Y34" i="15" s="1"/>
  <c r="H34" i="15"/>
  <c r="G34" i="15"/>
  <c r="BX34" i="6" s="1"/>
  <c r="G91" i="15"/>
  <c r="BX91" i="6" s="1"/>
  <c r="H91" i="15"/>
  <c r="AA91" i="15"/>
  <c r="Z91" i="15" s="1"/>
  <c r="Y91" i="15" s="1"/>
  <c r="J106" i="15"/>
  <c r="I106" i="15"/>
  <c r="J117" i="15"/>
  <c r="I117" i="15"/>
  <c r="AA26" i="15"/>
  <c r="Z26" i="15" s="1"/>
  <c r="Y26" i="15" s="1"/>
  <c r="G26" i="15"/>
  <c r="BX26" i="6" s="1"/>
  <c r="H26" i="15"/>
  <c r="P195" i="16"/>
  <c r="V195" i="16" s="1"/>
  <c r="F195" i="16" s="1"/>
  <c r="I207" i="15"/>
  <c r="J207" i="15"/>
  <c r="J331" i="15"/>
  <c r="I331" i="15"/>
  <c r="G240" i="15"/>
  <c r="BX240" i="6" s="1"/>
  <c r="H240" i="15"/>
  <c r="AA240" i="15"/>
  <c r="Z240" i="15" s="1"/>
  <c r="Y240" i="15" s="1"/>
  <c r="I257" i="15"/>
  <c r="J257" i="15"/>
  <c r="J327" i="15"/>
  <c r="I327" i="15"/>
  <c r="AA80" i="15"/>
  <c r="Z80" i="15" s="1"/>
  <c r="Y80" i="15" s="1"/>
  <c r="G80" i="15"/>
  <c r="BX80" i="6" s="1"/>
  <c r="H80" i="15"/>
  <c r="I342" i="15"/>
  <c r="J342" i="15"/>
  <c r="G130" i="15"/>
  <c r="BX130" i="6" s="1"/>
  <c r="H130" i="15"/>
  <c r="AA130" i="15"/>
  <c r="Z130" i="15" s="1"/>
  <c r="Y130" i="15" s="1"/>
  <c r="G152" i="15"/>
  <c r="BX152" i="6" s="1"/>
  <c r="H152" i="15"/>
  <c r="AA152" i="15"/>
  <c r="Z152" i="15" s="1"/>
  <c r="Y152" i="15" s="1"/>
  <c r="AA227" i="15"/>
  <c r="Z227" i="15" s="1"/>
  <c r="Y227" i="15" s="1"/>
  <c r="H227" i="15"/>
  <c r="G227" i="15"/>
  <c r="BX227" i="6" s="1"/>
  <c r="G378" i="15"/>
  <c r="BX378" i="6" s="1"/>
  <c r="H378" i="15"/>
  <c r="AA378" i="15"/>
  <c r="Z378" i="15" s="1"/>
  <c r="Y378" i="15" s="1"/>
  <c r="I242" i="15"/>
  <c r="J242" i="15"/>
  <c r="F62" i="19"/>
  <c r="J251" i="15"/>
  <c r="I251" i="15"/>
  <c r="I110" i="15"/>
  <c r="J110" i="15"/>
  <c r="G19" i="15"/>
  <c r="BX19" i="6" s="1"/>
  <c r="AA19" i="15"/>
  <c r="Z19" i="15" s="1"/>
  <c r="Y19" i="15" s="1"/>
  <c r="H19" i="15"/>
  <c r="G250" i="15"/>
  <c r="BX250" i="6" s="1"/>
  <c r="H250" i="15"/>
  <c r="AA250" i="15"/>
  <c r="Z250" i="15" s="1"/>
  <c r="Y250" i="15" s="1"/>
  <c r="I27" i="15"/>
  <c r="J27" i="15"/>
  <c r="G362" i="15"/>
  <c r="BX362" i="6" s="1"/>
  <c r="AA362" i="15"/>
  <c r="Z362" i="15" s="1"/>
  <c r="Y362" i="15" s="1"/>
  <c r="AA145" i="15"/>
  <c r="Z145" i="15" s="1"/>
  <c r="Y145" i="15" s="1"/>
  <c r="G145" i="15"/>
  <c r="BX145" i="6" s="1"/>
  <c r="H145" i="15"/>
  <c r="I372" i="15"/>
  <c r="J372" i="15"/>
  <c r="J364" i="15"/>
  <c r="I364" i="15"/>
  <c r="J151" i="15"/>
  <c r="I151" i="15"/>
  <c r="K62" i="19"/>
  <c r="I143" i="15"/>
  <c r="J143" i="15"/>
  <c r="H206" i="15"/>
  <c r="G206" i="15"/>
  <c r="BX206" i="6" s="1"/>
  <c r="AA206" i="15"/>
  <c r="Z206" i="15" s="1"/>
  <c r="Y206" i="15" s="1"/>
  <c r="H214" i="15"/>
  <c r="G214" i="15"/>
  <c r="BX214" i="6" s="1"/>
  <c r="AA214" i="15"/>
  <c r="Z214" i="15" s="1"/>
  <c r="Y214" i="15" s="1"/>
  <c r="J28" i="15"/>
  <c r="I28" i="15"/>
  <c r="J281" i="15"/>
  <c r="I281" i="15"/>
  <c r="J111" i="15"/>
  <c r="I111" i="15"/>
  <c r="J208" i="15"/>
  <c r="I208" i="15"/>
  <c r="G236" i="15"/>
  <c r="BX236" i="6" s="1"/>
  <c r="H236" i="15"/>
  <c r="AA236" i="15"/>
  <c r="Z236" i="15" s="1"/>
  <c r="Y236" i="15" s="1"/>
  <c r="J244" i="15"/>
  <c r="I244" i="15"/>
  <c r="G18" i="15"/>
  <c r="BX18" i="6" s="1"/>
  <c r="H18" i="15"/>
  <c r="AA18" i="15"/>
  <c r="Z18" i="15" s="1"/>
  <c r="Y18" i="15" s="1"/>
  <c r="AA114" i="15"/>
  <c r="Z114" i="15" s="1"/>
  <c r="Y114" i="15" s="1"/>
  <c r="G114" i="15"/>
  <c r="BX114" i="6" s="1"/>
  <c r="H114" i="15"/>
  <c r="I136" i="15"/>
  <c r="J136" i="15"/>
  <c r="J270" i="15"/>
  <c r="I270" i="15"/>
  <c r="I138" i="15"/>
  <c r="J138" i="15"/>
  <c r="L62" i="19"/>
  <c r="I154" i="15"/>
  <c r="J154" i="15"/>
  <c r="AA256" i="15"/>
  <c r="Z256" i="15" s="1"/>
  <c r="Y256" i="15" s="1"/>
  <c r="H256" i="15"/>
  <c r="G256" i="15"/>
  <c r="BX256" i="6" s="1"/>
  <c r="P199" i="16"/>
  <c r="V199" i="16" s="1"/>
  <c r="F199" i="16" s="1"/>
  <c r="G199" i="16" s="1"/>
  <c r="BY199" i="6" s="1"/>
  <c r="H362" i="15"/>
  <c r="AC381" i="18"/>
  <c r="AC383" i="18"/>
  <c r="AC382" i="18"/>
  <c r="AC30" i="22"/>
  <c r="AC20" i="22"/>
  <c r="AC26" i="22"/>
  <c r="AC59" i="22"/>
  <c r="AC61" i="22"/>
  <c r="AC81" i="22"/>
  <c r="AC55" i="22"/>
  <c r="AC34" i="22"/>
  <c r="AC16" i="22"/>
  <c r="AC63" i="22"/>
  <c r="AC56" i="22"/>
  <c r="AC19" i="22"/>
  <c r="AC86" i="22"/>
  <c r="AC70" i="22"/>
  <c r="AC38" i="22"/>
  <c r="AC117" i="22"/>
  <c r="AC130" i="22"/>
  <c r="AC27" i="22"/>
  <c r="AC126" i="22"/>
  <c r="AC47" i="22"/>
  <c r="AC118" i="22"/>
  <c r="AC116" i="22"/>
  <c r="AC109" i="22"/>
  <c r="AC115" i="22"/>
  <c r="AC65" i="22"/>
  <c r="AC101" i="22"/>
  <c r="AC41" i="22"/>
  <c r="AC107" i="22"/>
  <c r="AC25" i="22"/>
  <c r="AC106" i="22"/>
  <c r="AC62" i="22"/>
  <c r="AC102" i="22"/>
  <c r="AC17" i="22"/>
  <c r="AC95" i="22"/>
  <c r="AC111" i="22"/>
  <c r="AC108" i="22"/>
  <c r="AC10" i="22"/>
  <c r="AC241" i="22" s="1"/>
  <c r="AC96" i="22"/>
  <c r="AC21" i="22"/>
  <c r="AC90" i="22"/>
  <c r="AC46" i="22"/>
  <c r="AC89" i="22"/>
  <c r="AC82" i="22"/>
  <c r="AC78" i="22"/>
  <c r="AC44" i="22"/>
  <c r="AC35" i="22"/>
  <c r="AC84" i="22"/>
  <c r="AC32" i="22"/>
  <c r="AC127" i="22"/>
  <c r="AC124" i="22"/>
  <c r="AC125" i="22"/>
  <c r="AC54" i="22"/>
  <c r="AC85" i="22"/>
  <c r="AC134" i="22"/>
  <c r="AC50" i="22"/>
  <c r="AC132" i="22"/>
  <c r="AC51" i="22"/>
  <c r="AC73" i="22"/>
  <c r="AC29" i="22"/>
  <c r="AC67" i="22"/>
  <c r="AC123" i="22"/>
  <c r="AC75" i="22"/>
  <c r="AC33" i="22"/>
  <c r="AC69" i="22"/>
  <c r="AC80" i="22"/>
  <c r="AC129" i="22"/>
  <c r="AC68" i="22"/>
  <c r="AC105" i="22"/>
  <c r="AC83" i="22"/>
  <c r="AC57" i="22"/>
  <c r="AC79" i="22"/>
  <c r="AC74" i="22"/>
  <c r="AC40" i="22"/>
  <c r="AC22" i="22"/>
  <c r="AC42" i="22"/>
  <c r="AC112" i="22"/>
  <c r="AC60" i="22"/>
  <c r="AC31" i="22"/>
  <c r="AC43" i="22"/>
  <c r="AC71" i="22"/>
  <c r="AC110" i="22"/>
  <c r="AC23" i="22"/>
  <c r="AC100" i="22"/>
  <c r="AC15" i="22"/>
  <c r="AC121" i="22"/>
  <c r="AC119" i="22"/>
  <c r="AC37" i="22"/>
  <c r="AC113" i="22"/>
  <c r="AC103" i="22"/>
  <c r="AC52" i="22"/>
  <c r="AC94" i="22"/>
  <c r="AC66" i="22"/>
  <c r="AC104" i="22"/>
  <c r="AC58" i="22"/>
  <c r="AC88" i="22"/>
  <c r="AC91" i="22"/>
  <c r="AC49" i="22"/>
  <c r="AC92" i="22"/>
  <c r="AC72" i="22"/>
  <c r="AC36" i="22"/>
  <c r="AC77" i="22"/>
  <c r="AC53" i="22"/>
  <c r="AC93" i="22"/>
  <c r="AC98" i="22"/>
  <c r="AC128" i="22"/>
  <c r="AC64" i="22"/>
  <c r="AC99" i="22"/>
  <c r="AC45" i="22"/>
  <c r="AC39" i="22"/>
  <c r="AC122" i="22"/>
  <c r="AC24" i="22"/>
  <c r="AC133" i="22"/>
  <c r="AC97" i="22"/>
  <c r="AC87" i="22"/>
  <c r="AC76" i="22"/>
  <c r="AC18" i="22"/>
  <c r="AC114" i="22"/>
  <c r="AC120" i="22"/>
  <c r="AC28" i="22"/>
  <c r="AC131" i="22"/>
  <c r="AC48" i="22"/>
  <c r="AC12" i="25"/>
  <c r="O12" i="25"/>
  <c r="AC9" i="25"/>
  <c r="O11" i="25"/>
  <c r="AK3" i="22"/>
  <c r="Q17" i="19" s="1"/>
  <c r="F8" i="24"/>
  <c r="AK18" i="24"/>
  <c r="AK24" i="24"/>
  <c r="AK26" i="24"/>
  <c r="AK29" i="24"/>
  <c r="AK20" i="24"/>
  <c r="AK30" i="24"/>
  <c r="AK17" i="24"/>
  <c r="AK23" i="24"/>
  <c r="AK31" i="24"/>
  <c r="AK34" i="24"/>
  <c r="AK37" i="24"/>
  <c r="AK39" i="24"/>
  <c r="AK42" i="24"/>
  <c r="AK45" i="24"/>
  <c r="AK54" i="24"/>
  <c r="AK56" i="24"/>
  <c r="AK61" i="24"/>
  <c r="AK64" i="24"/>
  <c r="AK35" i="24"/>
  <c r="AK44" i="24"/>
  <c r="AK47" i="24"/>
  <c r="AK49" i="24"/>
  <c r="AK51" i="24"/>
  <c r="AK57" i="24"/>
  <c r="AK60" i="24"/>
  <c r="AK65" i="24"/>
  <c r="AK70" i="24"/>
  <c r="AK76" i="24"/>
  <c r="AK80" i="24"/>
  <c r="AK82" i="24"/>
  <c r="AK84" i="24"/>
  <c r="AK86" i="24"/>
  <c r="AK90" i="24"/>
  <c r="AK96" i="24"/>
  <c r="AK98" i="24"/>
  <c r="AK101" i="24"/>
  <c r="AK104" i="24"/>
  <c r="AK107" i="24"/>
  <c r="AK110" i="24"/>
  <c r="AK112" i="24"/>
  <c r="AK114" i="24"/>
  <c r="AK116" i="24"/>
  <c r="AK119" i="24"/>
  <c r="AK126" i="24"/>
  <c r="AK68" i="24"/>
  <c r="AK72" i="24"/>
  <c r="AK74" i="24"/>
  <c r="AK78" i="24"/>
  <c r="AK87" i="24"/>
  <c r="AK91" i="24"/>
  <c r="AK93" i="24"/>
  <c r="AK99" i="24"/>
  <c r="AK106" i="24"/>
  <c r="AK120" i="24"/>
  <c r="AK123" i="24"/>
  <c r="AK128" i="24"/>
  <c r="AK130" i="24"/>
  <c r="AK135" i="24"/>
  <c r="AK137" i="24"/>
  <c r="AK142" i="24"/>
  <c r="AK145" i="24"/>
  <c r="AK150" i="24"/>
  <c r="AK153" i="24"/>
  <c r="AK156" i="24"/>
  <c r="AK176" i="24"/>
  <c r="AK121" i="24"/>
  <c r="AK132" i="24"/>
  <c r="AK134" i="24"/>
  <c r="AK140" i="24"/>
  <c r="AK144" i="24"/>
  <c r="AK148" i="24"/>
  <c r="AK151" i="24"/>
  <c r="AK157" i="24"/>
  <c r="AK160" i="24"/>
  <c r="AK162" i="24"/>
  <c r="AK164" i="24"/>
  <c r="AK166" i="24"/>
  <c r="AK168" i="24"/>
  <c r="AK170" i="24"/>
  <c r="AK172" i="24"/>
  <c r="AK174" i="24"/>
  <c r="AK177" i="24"/>
  <c r="AK179" i="24"/>
  <c r="AK183" i="24"/>
  <c r="AK188" i="24"/>
  <c r="AK192" i="24"/>
  <c r="AK196" i="24"/>
  <c r="AK207" i="24"/>
  <c r="AK209" i="24"/>
  <c r="AK213" i="24"/>
  <c r="AK220" i="24"/>
  <c r="AK225" i="24"/>
  <c r="AK232" i="24"/>
  <c r="AK234" i="24"/>
  <c r="AK16" i="24"/>
  <c r="AK21" i="24"/>
  <c r="AK27" i="24"/>
  <c r="AK22" i="24"/>
  <c r="AK19" i="24"/>
  <c r="AK33" i="24"/>
  <c r="AK38" i="24"/>
  <c r="AK43" i="24"/>
  <c r="AK55" i="24"/>
  <c r="AK62" i="24"/>
  <c r="AK40" i="24"/>
  <c r="AK48" i="24"/>
  <c r="AK52" i="24"/>
  <c r="AK63" i="24"/>
  <c r="AK71" i="24"/>
  <c r="AK81" i="24"/>
  <c r="AK85" i="24"/>
  <c r="AK94" i="24"/>
  <c r="AK100" i="24"/>
  <c r="AK105" i="24"/>
  <c r="AK111" i="24"/>
  <c r="AK115" i="24"/>
  <c r="AK125" i="24"/>
  <c r="AK69" i="24"/>
  <c r="AK75" i="24"/>
  <c r="AK88" i="24"/>
  <c r="AK95" i="24"/>
  <c r="AK108" i="24"/>
  <c r="AK127" i="24"/>
  <c r="AK131" i="24"/>
  <c r="AK138" i="24"/>
  <c r="AK146" i="24"/>
  <c r="AK155" i="24"/>
  <c r="AK118" i="24"/>
  <c r="AK133" i="24"/>
  <c r="AK141" i="24"/>
  <c r="AK149" i="24"/>
  <c r="AK158" i="24"/>
  <c r="AK163" i="24"/>
  <c r="AK167" i="24"/>
  <c r="AK171" i="24"/>
  <c r="AK175" i="24"/>
  <c r="AK182" i="24"/>
  <c r="AK190" i="24"/>
  <c r="AK203" i="24"/>
  <c r="AK211" i="24"/>
  <c r="AK221" i="24"/>
  <c r="AK233" i="24"/>
  <c r="AK240" i="24"/>
  <c r="AK245" i="24"/>
  <c r="AK250" i="24"/>
  <c r="AK254" i="24"/>
  <c r="AK256" i="24"/>
  <c r="AK259" i="24"/>
  <c r="AK262" i="24"/>
  <c r="AK264" i="24"/>
  <c r="AK268" i="24"/>
  <c r="AK273" i="24"/>
  <c r="AK276" i="24"/>
  <c r="AK281" i="24"/>
  <c r="AK285" i="24"/>
  <c r="AK287" i="24"/>
  <c r="AK289" i="24"/>
  <c r="AK291" i="24"/>
  <c r="AK293" i="24"/>
  <c r="AK296" i="24"/>
  <c r="AK298" i="24"/>
  <c r="AK302" i="24"/>
  <c r="AK181" i="24"/>
  <c r="AK186" i="24"/>
  <c r="AK189" i="24"/>
  <c r="AK193" i="24"/>
  <c r="AK197" i="24"/>
  <c r="AK199" i="24"/>
  <c r="AK201" i="24"/>
  <c r="AK204" i="24"/>
  <c r="AK206" i="24"/>
  <c r="AK212" i="24"/>
  <c r="AK216" i="24"/>
  <c r="AK218" i="24"/>
  <c r="AK222" i="24"/>
  <c r="AK224" i="24"/>
  <c r="AK227" i="24"/>
  <c r="AK229" i="24"/>
  <c r="AK235" i="24"/>
  <c r="AK238" i="24"/>
  <c r="AK242" i="24"/>
  <c r="AK244" i="24"/>
  <c r="AK247" i="24"/>
  <c r="AK251" i="24"/>
  <c r="AK258" i="24"/>
  <c r="AK265" i="24"/>
  <c r="AK270" i="24"/>
  <c r="AK272" i="24"/>
  <c r="AK277" i="24"/>
  <c r="AK280" i="24"/>
  <c r="AK283" i="24"/>
  <c r="AK300" i="24"/>
  <c r="AK307" i="24"/>
  <c r="AK309" i="24"/>
  <c r="AK314" i="24"/>
  <c r="AK317" i="24"/>
  <c r="AK320" i="24"/>
  <c r="AK327" i="24"/>
  <c r="AK330" i="24"/>
  <c r="AK334" i="24"/>
  <c r="AK336" i="24"/>
  <c r="AK344" i="24"/>
  <c r="AK349" i="24"/>
  <c r="AK352" i="24"/>
  <c r="AK359" i="24"/>
  <c r="AK362" i="24"/>
  <c r="AK366" i="24"/>
  <c r="AK368" i="24"/>
  <c r="AK371" i="24"/>
  <c r="AK373" i="24"/>
  <c r="AK303" i="24"/>
  <c r="AK306" i="24"/>
  <c r="AK312" i="24"/>
  <c r="AK321" i="24"/>
  <c r="AK328" i="24"/>
  <c r="AK338" i="24"/>
  <c r="AK342" i="24"/>
  <c r="AK346" i="24"/>
  <c r="AK355" i="24"/>
  <c r="AK363" i="24"/>
  <c r="AK376" i="24"/>
  <c r="AK325" i="24"/>
  <c r="AK347" i="24"/>
  <c r="AK353" i="24"/>
  <c r="AK358" i="24"/>
  <c r="AK369" i="24"/>
  <c r="AK379" i="24"/>
  <c r="AK319" i="24"/>
  <c r="AK332" i="24"/>
  <c r="AK374" i="24"/>
  <c r="AK375" i="24"/>
  <c r="AK380" i="24"/>
  <c r="AK25" i="24"/>
  <c r="AK15" i="24"/>
  <c r="P12" i="24"/>
  <c r="AK28" i="24"/>
  <c r="AK36" i="24"/>
  <c r="AK41" i="24"/>
  <c r="AK53" i="24"/>
  <c r="AK59" i="24"/>
  <c r="AK32" i="24"/>
  <c r="AK46" i="24"/>
  <c r="AK50" i="24"/>
  <c r="AK58" i="24"/>
  <c r="AK67" i="24"/>
  <c r="AK77" i="24"/>
  <c r="AK83" i="24"/>
  <c r="AK89" i="24"/>
  <c r="AK97" i="24"/>
  <c r="AK103" i="24"/>
  <c r="AK109" i="24"/>
  <c r="AK113" i="24"/>
  <c r="AK117" i="24"/>
  <c r="AK66" i="24"/>
  <c r="AK73" i="24"/>
  <c r="AK79" i="24"/>
  <c r="AK92" i="24"/>
  <c r="AK102" i="24"/>
  <c r="AK122" i="24"/>
  <c r="AK129" i="24"/>
  <c r="AK136" i="24"/>
  <c r="AK143" i="24"/>
  <c r="AK152" i="24"/>
  <c r="AK159" i="24"/>
  <c r="AK124" i="24"/>
  <c r="AK139" i="24"/>
  <c r="AK147" i="24"/>
  <c r="AK154" i="24"/>
  <c r="AK161" i="24"/>
  <c r="AK165" i="24"/>
  <c r="AK169" i="24"/>
  <c r="AK173" i="24"/>
  <c r="AK178" i="24"/>
  <c r="AK184" i="24"/>
  <c r="AK194" i="24"/>
  <c r="AK208" i="24"/>
  <c r="AK214" i="24"/>
  <c r="AK230" i="24"/>
  <c r="AK237" i="24"/>
  <c r="AK241" i="24"/>
  <c r="AK248" i="24"/>
  <c r="AK253" i="24"/>
  <c r="AK255" i="24"/>
  <c r="AK257" i="24"/>
  <c r="AK260" i="24"/>
  <c r="AK263" i="24"/>
  <c r="AK267" i="24"/>
  <c r="AK269" i="24"/>
  <c r="AK274" i="24"/>
  <c r="AK279" i="24"/>
  <c r="AK284" i="24"/>
  <c r="AK286" i="24"/>
  <c r="AK288" i="24"/>
  <c r="AK290" i="24"/>
  <c r="AK292" i="24"/>
  <c r="AK294" i="24"/>
  <c r="AK297" i="24"/>
  <c r="AK301" i="24"/>
  <c r="AK180" i="24"/>
  <c r="AK185" i="24"/>
  <c r="AK187" i="24"/>
  <c r="AK191" i="24"/>
  <c r="AK195" i="24"/>
  <c r="AK198" i="24"/>
  <c r="AK200" i="24"/>
  <c r="AK202" i="24"/>
  <c r="AK205" i="24"/>
  <c r="AK210" i="24"/>
  <c r="AK215" i="24"/>
  <c r="AK217" i="24"/>
  <c r="AK219" i="24"/>
  <c r="AK223" i="24"/>
  <c r="AK226" i="24"/>
  <c r="AK228" i="24"/>
  <c r="AK231" i="24"/>
  <c r="AK236" i="24"/>
  <c r="AK239" i="24"/>
  <c r="AK243" i="24"/>
  <c r="AK246" i="24"/>
  <c r="AK249" i="24"/>
  <c r="AK252" i="24"/>
  <c r="AK261" i="24"/>
  <c r="AK266" i="24"/>
  <c r="AK271" i="24"/>
  <c r="AK275" i="24"/>
  <c r="AK278" i="24"/>
  <c r="AK282" i="24"/>
  <c r="AK295" i="24"/>
  <c r="AK305" i="24"/>
  <c r="AK308" i="24"/>
  <c r="AK311" i="24"/>
  <c r="AK316" i="24"/>
  <c r="AK318" i="24"/>
  <c r="AK323" i="24"/>
  <c r="AK329" i="24"/>
  <c r="AK331" i="24"/>
  <c r="AK335" i="24"/>
  <c r="AK341" i="24"/>
  <c r="AK345" i="24"/>
  <c r="AK351" i="24"/>
  <c r="AK356" i="24"/>
  <c r="AK361" i="24"/>
  <c r="AK365" i="24"/>
  <c r="AK367" i="24"/>
  <c r="AK370" i="24"/>
  <c r="AK372" i="24"/>
  <c r="AK299" i="24"/>
  <c r="AK304" i="24"/>
  <c r="AK310" i="24"/>
  <c r="AK315" i="24"/>
  <c r="AK322" i="24"/>
  <c r="AK337" i="24"/>
  <c r="AK339" i="24"/>
  <c r="AK343" i="24"/>
  <c r="AK350" i="24"/>
  <c r="AK357" i="24"/>
  <c r="AK364" i="24"/>
  <c r="AK324" i="24"/>
  <c r="AK333" i="24"/>
  <c r="AK348" i="24"/>
  <c r="AK354" i="24"/>
  <c r="AK360" i="24"/>
  <c r="AK377" i="24"/>
  <c r="AK313" i="24"/>
  <c r="AK326" i="24"/>
  <c r="AK340" i="24"/>
  <c r="AK378" i="24"/>
  <c r="BD15" i="7"/>
  <c r="P11" i="25"/>
  <c r="P10" i="23"/>
  <c r="L18" i="19"/>
  <c r="AF381" i="15"/>
  <c r="AF382" i="15"/>
  <c r="AD17" i="15"/>
  <c r="AF383" i="15"/>
  <c r="AA15" i="1"/>
  <c r="V381" i="1"/>
  <c r="V382" i="1"/>
  <c r="V383" i="1"/>
  <c r="U15" i="7"/>
  <c r="Q10" i="17"/>
  <c r="A7" i="6"/>
  <c r="J333" i="15"/>
  <c r="I333" i="15"/>
  <c r="AL12" i="1"/>
  <c r="AJ4" i="1" s="1"/>
  <c r="P11" i="19" s="1"/>
  <c r="M12" i="19" s="1"/>
  <c r="P46" i="16" l="1"/>
  <c r="V46" i="16" s="1"/>
  <c r="F46" i="16" s="1"/>
  <c r="G46" i="16" s="1"/>
  <c r="BY46" i="6" s="1"/>
  <c r="P99" i="16"/>
  <c r="V99" i="16" s="1"/>
  <c r="F99" i="16" s="1"/>
  <c r="G99" i="16" s="1"/>
  <c r="BY99" i="6" s="1"/>
  <c r="P62" i="16"/>
  <c r="V62" i="16" s="1"/>
  <c r="F62" i="16" s="1"/>
  <c r="P157" i="16"/>
  <c r="V157" i="16" s="1"/>
  <c r="F157" i="16" s="1"/>
  <c r="H157" i="16" s="1"/>
  <c r="P168" i="16"/>
  <c r="V168" i="16" s="1"/>
  <c r="F168" i="16" s="1"/>
  <c r="P64" i="16"/>
  <c r="V64" i="16" s="1"/>
  <c r="F64" i="16" s="1"/>
  <c r="G64" i="16" s="1"/>
  <c r="BY64" i="6" s="1"/>
  <c r="P177" i="16"/>
  <c r="V177" i="16" s="1"/>
  <c r="F177" i="16" s="1"/>
  <c r="P267" i="16"/>
  <c r="V267" i="16" s="1"/>
  <c r="F267" i="16" s="1"/>
  <c r="G267" i="16" s="1"/>
  <c r="BY267" i="6" s="1"/>
  <c r="P51" i="16"/>
  <c r="V51" i="16" s="1"/>
  <c r="F51" i="16" s="1"/>
  <c r="P159" i="16"/>
  <c r="V159" i="16" s="1"/>
  <c r="F159" i="16" s="1"/>
  <c r="H159" i="16" s="1"/>
  <c r="I159" i="16" s="1"/>
  <c r="P90" i="16"/>
  <c r="V90" i="16" s="1"/>
  <c r="F90" i="16" s="1"/>
  <c r="P247" i="16"/>
  <c r="V247" i="16" s="1"/>
  <c r="F247" i="16" s="1"/>
  <c r="G247" i="16" s="1"/>
  <c r="BY247" i="6" s="1"/>
  <c r="O93" i="23"/>
  <c r="O103" i="23"/>
  <c r="O25" i="23"/>
  <c r="P327" i="16"/>
  <c r="V327" i="16" s="1"/>
  <c r="F327" i="16" s="1"/>
  <c r="H327" i="16" s="1"/>
  <c r="P333" i="16"/>
  <c r="P314" i="16"/>
  <c r="V314" i="16" s="1"/>
  <c r="F314" i="16" s="1"/>
  <c r="H314" i="16" s="1"/>
  <c r="P366" i="16"/>
  <c r="V366" i="16" s="1"/>
  <c r="F366" i="16" s="1"/>
  <c r="G366" i="16" s="1"/>
  <c r="BY366" i="6" s="1"/>
  <c r="P369" i="16"/>
  <c r="V369" i="16" s="1"/>
  <c r="F369" i="16" s="1"/>
  <c r="H369" i="16" s="1"/>
  <c r="P104" i="16"/>
  <c r="V104" i="16" s="1"/>
  <c r="F104" i="16" s="1"/>
  <c r="H104" i="16" s="1"/>
  <c r="O111" i="23"/>
  <c r="O130" i="23"/>
  <c r="O28" i="23"/>
  <c r="O100" i="23"/>
  <c r="O116" i="23"/>
  <c r="O123" i="23"/>
  <c r="O43" i="23"/>
  <c r="O192" i="23"/>
  <c r="O314" i="23"/>
  <c r="O263" i="23"/>
  <c r="O371" i="23"/>
  <c r="O210" i="23"/>
  <c r="AG50" i="7" s="1"/>
  <c r="O239" i="23"/>
  <c r="O228" i="23"/>
  <c r="O331" i="23"/>
  <c r="O359" i="23"/>
  <c r="O213" i="23"/>
  <c r="O178" i="23"/>
  <c r="O46" i="23"/>
  <c r="O21" i="23"/>
  <c r="O382" i="22"/>
  <c r="O70" i="23"/>
  <c r="O354" i="23"/>
  <c r="O279" i="23"/>
  <c r="O99" i="23"/>
  <c r="O18" i="23"/>
  <c r="O257" i="23"/>
  <c r="O15" i="23"/>
  <c r="O114" i="23"/>
  <c r="O259" i="23"/>
  <c r="O62" i="23"/>
  <c r="O190" i="23"/>
  <c r="O337" i="23"/>
  <c r="O104" i="23"/>
  <c r="O246" i="23"/>
  <c r="O67" i="23"/>
  <c r="O231" i="23"/>
  <c r="O138" i="23"/>
  <c r="O23" i="23"/>
  <c r="O121" i="23"/>
  <c r="O312" i="23"/>
  <c r="O84" i="23"/>
  <c r="O251" i="23"/>
  <c r="O119" i="23"/>
  <c r="AG47" i="7" s="1"/>
  <c r="O29" i="23"/>
  <c r="AG44" i="7" s="1"/>
  <c r="P207" i="16"/>
  <c r="V207" i="16" s="1"/>
  <c r="F207" i="16" s="1"/>
  <c r="H207" i="16" s="1"/>
  <c r="P377" i="16"/>
  <c r="V377" i="16" s="1"/>
  <c r="F377" i="16" s="1"/>
  <c r="H377" i="16" s="1"/>
  <c r="P60" i="16"/>
  <c r="V60" i="16" s="1"/>
  <c r="F60" i="16" s="1"/>
  <c r="P150" i="16"/>
  <c r="V150" i="16" s="1"/>
  <c r="F150" i="16" s="1"/>
  <c r="H150" i="16" s="1"/>
  <c r="O55" i="23"/>
  <c r="O69" i="23"/>
  <c r="O377" i="23"/>
  <c r="O110" i="23"/>
  <c r="O87" i="23"/>
  <c r="O176" i="23"/>
  <c r="O53" i="23"/>
  <c r="O51" i="23"/>
  <c r="O179" i="23"/>
  <c r="O184" i="23"/>
  <c r="O255" i="23"/>
  <c r="O348" i="23"/>
  <c r="O167" i="23"/>
  <c r="O247" i="23"/>
  <c r="O36" i="23"/>
  <c r="O169" i="23"/>
  <c r="O322" i="23"/>
  <c r="O65" i="23"/>
  <c r="O165" i="23"/>
  <c r="O305" i="23"/>
  <c r="O125" i="23"/>
  <c r="O240" i="23"/>
  <c r="O336" i="23"/>
  <c r="O364" i="23"/>
  <c r="O35" i="23"/>
  <c r="O101" i="23"/>
  <c r="O174" i="23"/>
  <c r="O199" i="23"/>
  <c r="O310" i="23"/>
  <c r="O24" i="23"/>
  <c r="O66" i="23"/>
  <c r="O115" i="23"/>
  <c r="O241" i="23"/>
  <c r="AG51" i="7" s="1"/>
  <c r="O269" i="23"/>
  <c r="O311" i="23"/>
  <c r="O38" i="23"/>
  <c r="O105" i="23"/>
  <c r="O227" i="23"/>
  <c r="O351" i="23"/>
  <c r="O63" i="23"/>
  <c r="O132" i="23"/>
  <c r="O214" i="23"/>
  <c r="O370" i="23"/>
  <c r="O261" i="23"/>
  <c r="O95" i="23"/>
  <c r="O37" i="23"/>
  <c r="O328" i="23"/>
  <c r="O187" i="23"/>
  <c r="O109" i="23"/>
  <c r="O27" i="23"/>
  <c r="O256" i="23"/>
  <c r="O175" i="23"/>
  <c r="O85" i="23"/>
  <c r="O309" i="23"/>
  <c r="O245" i="23"/>
  <c r="O117" i="23"/>
  <c r="O16" i="23"/>
  <c r="O319" i="23"/>
  <c r="O254" i="23"/>
  <c r="O297" i="23"/>
  <c r="O229" i="23"/>
  <c r="O73" i="23"/>
  <c r="O249" i="23"/>
  <c r="O102" i="23"/>
  <c r="O329" i="23"/>
  <c r="O86" i="23"/>
  <c r="O31" i="23"/>
  <c r="O171" i="23"/>
  <c r="O108" i="23"/>
  <c r="O133" i="23"/>
  <c r="O45" i="23"/>
  <c r="O221" i="23"/>
  <c r="O19" i="23"/>
  <c r="O76" i="23"/>
  <c r="O204" i="23"/>
  <c r="O268" i="23"/>
  <c r="O381" i="22"/>
  <c r="O383" i="22"/>
  <c r="O44" i="23"/>
  <c r="O80" i="23"/>
  <c r="O147" i="23"/>
  <c r="O302" i="23"/>
  <c r="AG53" i="7" s="1"/>
  <c r="O290" i="23"/>
  <c r="O17" i="23"/>
  <c r="O97" i="23"/>
  <c r="O162" i="23"/>
  <c r="O217" i="23"/>
  <c r="O233" i="23"/>
  <c r="O372" i="23"/>
  <c r="O373" i="23"/>
  <c r="O94" i="23"/>
  <c r="O107" i="23"/>
  <c r="O258" i="23"/>
  <c r="O252" i="23"/>
  <c r="O345" i="23"/>
  <c r="O60" i="23"/>
  <c r="AG45" i="7" s="1"/>
  <c r="O129" i="23"/>
  <c r="O189" i="23"/>
  <c r="O212" i="23"/>
  <c r="O317" i="23"/>
  <c r="O361" i="23"/>
  <c r="O308" i="23"/>
  <c r="O362" i="23"/>
  <c r="O32" i="23"/>
  <c r="O59" i="23"/>
  <c r="O122" i="23"/>
  <c r="O150" i="23"/>
  <c r="O140" i="23"/>
  <c r="O223" i="23"/>
  <c r="O298" i="23"/>
  <c r="O244" i="23"/>
  <c r="O276" i="23"/>
  <c r="O326" i="23"/>
  <c r="O374" i="23"/>
  <c r="O56" i="23"/>
  <c r="O88" i="23"/>
  <c r="AG46" i="7" s="1"/>
  <c r="O91" i="23"/>
  <c r="O157" i="23"/>
  <c r="O160" i="23"/>
  <c r="O211" i="23"/>
  <c r="O277" i="23"/>
  <c r="O230" i="23"/>
  <c r="O320" i="23"/>
  <c r="O368" i="23"/>
  <c r="O367" i="23"/>
  <c r="O42" i="23"/>
  <c r="O68" i="23"/>
  <c r="O78" i="23"/>
  <c r="O166" i="23"/>
  <c r="O145" i="23"/>
  <c r="O301" i="23"/>
  <c r="O281" i="23"/>
  <c r="O20" i="23"/>
  <c r="O33" i="23"/>
  <c r="O96" i="23"/>
  <c r="O92" i="23"/>
  <c r="O158" i="23"/>
  <c r="O161" i="23"/>
  <c r="O278" i="23"/>
  <c r="O321" i="23"/>
  <c r="O316" i="23"/>
  <c r="O222" i="23"/>
  <c r="O197" i="23"/>
  <c r="O141" i="23"/>
  <c r="O71" i="23"/>
  <c r="O75" i="23"/>
  <c r="O40" i="23"/>
  <c r="O327" i="23"/>
  <c r="O264" i="23"/>
  <c r="O285" i="23"/>
  <c r="O131" i="23"/>
  <c r="O81" i="23"/>
  <c r="O72" i="23"/>
  <c r="O48" i="23"/>
  <c r="O360" i="23"/>
  <c r="O333" i="23"/>
  <c r="AG54" i="7" s="1"/>
  <c r="O203" i="23"/>
  <c r="O185" i="23"/>
  <c r="O127" i="23"/>
  <c r="O120" i="23"/>
  <c r="O57" i="23"/>
  <c r="O22" i="23"/>
  <c r="O304" i="23"/>
  <c r="O188" i="23"/>
  <c r="O164" i="23"/>
  <c r="O98" i="23"/>
  <c r="O89" i="23"/>
  <c r="O61" i="23"/>
  <c r="AS13" i="7"/>
  <c r="O186" i="23"/>
  <c r="O34" i="23"/>
  <c r="O128" i="23"/>
  <c r="O353" i="23"/>
  <c r="O118" i="23"/>
  <c r="O366" i="23"/>
  <c r="O155" i="23"/>
  <c r="O294" i="23"/>
  <c r="O49" i="23"/>
  <c r="O82" i="23"/>
  <c r="O236" i="23"/>
  <c r="O295" i="23"/>
  <c r="O47" i="23"/>
  <c r="O106" i="23"/>
  <c r="O196" i="23"/>
  <c r="O347" i="23"/>
  <c r="O77" i="23"/>
  <c r="O163" i="23"/>
  <c r="O300" i="23"/>
  <c r="O50" i="23"/>
  <c r="O124" i="23"/>
  <c r="O238" i="23"/>
  <c r="O303" i="23"/>
  <c r="O318" i="23"/>
  <c r="O149" i="23"/>
  <c r="AG48" i="7" s="1"/>
  <c r="O283" i="23"/>
  <c r="O112" i="23"/>
  <c r="O265" i="23"/>
  <c r="O198" i="23"/>
  <c r="O54" i="23"/>
  <c r="O335" i="23"/>
  <c r="O83" i="23"/>
  <c r="O369" i="23"/>
  <c r="O64" i="23"/>
  <c r="O341" i="23"/>
  <c r="O126" i="23"/>
  <c r="O207" i="23"/>
  <c r="O191" i="23"/>
  <c r="BF13" i="7"/>
  <c r="BG13" i="7"/>
  <c r="O90" i="23"/>
  <c r="O52" i="23"/>
  <c r="O349" i="23"/>
  <c r="O365" i="23"/>
  <c r="O334" i="23"/>
  <c r="O340" i="23"/>
  <c r="O286" i="23"/>
  <c r="O151" i="23"/>
  <c r="O216" i="23"/>
  <c r="O142" i="23"/>
  <c r="O332" i="23"/>
  <c r="O224" i="23"/>
  <c r="O144" i="23"/>
  <c r="O343" i="23"/>
  <c r="O287" i="23"/>
  <c r="O363" i="23"/>
  <c r="AG55" i="7" s="1"/>
  <c r="O153" i="23"/>
  <c r="O219" i="23"/>
  <c r="O313" i="23"/>
  <c r="O137" i="23"/>
  <c r="O282" i="23"/>
  <c r="O355" i="23"/>
  <c r="O330" i="23"/>
  <c r="O201" i="23"/>
  <c r="O180" i="23"/>
  <c r="AG49" i="7" s="1"/>
  <c r="O306" i="23"/>
  <c r="O250" i="23"/>
  <c r="O243" i="23"/>
  <c r="O177" i="23"/>
  <c r="O375" i="23"/>
  <c r="O299" i="23"/>
  <c r="O253" i="23"/>
  <c r="O235" i="23"/>
  <c r="O170" i="23"/>
  <c r="O292" i="23"/>
  <c r="O183" i="23"/>
  <c r="O159" i="23"/>
  <c r="O339" i="23"/>
  <c r="O323" i="23"/>
  <c r="O206" i="23"/>
  <c r="O272" i="23"/>
  <c r="AG52" i="7" s="1"/>
  <c r="O139" i="23"/>
  <c r="O280" i="23"/>
  <c r="O209" i="23"/>
  <c r="O148" i="23"/>
  <c r="O135" i="23"/>
  <c r="O205" i="23"/>
  <c r="O289" i="23"/>
  <c r="O218" i="23"/>
  <c r="O270" i="23"/>
  <c r="O350" i="23"/>
  <c r="O357" i="23"/>
  <c r="O154" i="23"/>
  <c r="O152" i="23"/>
  <c r="O202" i="23"/>
  <c r="O274" i="23"/>
  <c r="O226" i="23"/>
  <c r="O293" i="23"/>
  <c r="O358" i="23"/>
  <c r="O378" i="23"/>
  <c r="O344" i="23"/>
  <c r="O173" i="23"/>
  <c r="O156" i="23"/>
  <c r="O232" i="23"/>
  <c r="O182" i="23"/>
  <c r="O248" i="23"/>
  <c r="O291" i="23"/>
  <c r="O356" i="23"/>
  <c r="O168" i="23"/>
  <c r="O172" i="23"/>
  <c r="O234" i="23"/>
  <c r="O195" i="23"/>
  <c r="O237" i="23"/>
  <c r="O379" i="23"/>
  <c r="C42" i="19" s="1"/>
  <c r="O346" i="23"/>
  <c r="O338" i="23"/>
  <c r="O273" i="23"/>
  <c r="O220" i="23"/>
  <c r="O242" i="23"/>
  <c r="O193" i="23"/>
  <c r="O307" i="23"/>
  <c r="O315" i="23"/>
  <c r="O260" i="23"/>
  <c r="O208" i="23"/>
  <c r="O271" i="23"/>
  <c r="O181" i="23"/>
  <c r="O376" i="23"/>
  <c r="O325" i="23"/>
  <c r="M62" i="19"/>
  <c r="O146" i="23"/>
  <c r="O266" i="23"/>
  <c r="O113" i="23"/>
  <c r="O58" i="23"/>
  <c r="AY10" i="7"/>
  <c r="E7" i="24" s="1"/>
  <c r="O10" i="24" s="1"/>
  <c r="O340" i="24" s="1"/>
  <c r="O288" i="23"/>
  <c r="O342" i="23"/>
  <c r="O136" i="23"/>
  <c r="O352" i="23"/>
  <c r="O225" i="23"/>
  <c r="O262" i="23"/>
  <c r="O275" i="23"/>
  <c r="O284" i="23"/>
  <c r="AC349" i="22"/>
  <c r="AC292" i="22"/>
  <c r="AC191" i="22"/>
  <c r="AC244" i="22"/>
  <c r="AC368" i="22"/>
  <c r="AC205" i="22"/>
  <c r="AC287" i="22"/>
  <c r="O41" i="23"/>
  <c r="O79" i="23"/>
  <c r="AC288" i="22"/>
  <c r="P135" i="16"/>
  <c r="V135" i="16" s="1"/>
  <c r="F135" i="16" s="1"/>
  <c r="H135" i="16" s="1"/>
  <c r="P244" i="16"/>
  <c r="V244" i="16" s="1"/>
  <c r="F244" i="16" s="1"/>
  <c r="G244" i="16" s="1"/>
  <c r="BY244" i="6" s="1"/>
  <c r="P31" i="16"/>
  <c r="V31" i="16" s="1"/>
  <c r="F31" i="16" s="1"/>
  <c r="H31" i="16" s="1"/>
  <c r="P76" i="16"/>
  <c r="V76" i="16" s="1"/>
  <c r="F76" i="16" s="1"/>
  <c r="H76" i="16" s="1"/>
  <c r="O134" i="23"/>
  <c r="E8" i="23"/>
  <c r="K18" i="19" s="1"/>
  <c r="K42" i="19" s="1"/>
  <c r="O39" i="23"/>
  <c r="O194" i="23"/>
  <c r="O324" i="23"/>
  <c r="O143" i="23"/>
  <c r="O267" i="23"/>
  <c r="O26" i="23"/>
  <c r="O296" i="23"/>
  <c r="O215" i="23"/>
  <c r="O30" i="23"/>
  <c r="O200" i="23"/>
  <c r="P298" i="16"/>
  <c r="V298" i="16" s="1"/>
  <c r="F298" i="16" s="1"/>
  <c r="G298" i="16" s="1"/>
  <c r="BY298" i="6" s="1"/>
  <c r="P263" i="16"/>
  <c r="V263" i="16" s="1"/>
  <c r="F263" i="16" s="1"/>
  <c r="H263" i="16" s="1"/>
  <c r="P182" i="16"/>
  <c r="V182" i="16" s="1"/>
  <c r="F182" i="16" s="1"/>
  <c r="H182" i="16" s="1"/>
  <c r="O310" i="24"/>
  <c r="P108" i="16"/>
  <c r="V108" i="16" s="1"/>
  <c r="F108" i="16" s="1"/>
  <c r="G108" i="16" s="1"/>
  <c r="BY108" i="6" s="1"/>
  <c r="P45" i="16"/>
  <c r="V45" i="16" s="1"/>
  <c r="F45" i="16" s="1"/>
  <c r="H45" i="16" s="1"/>
  <c r="P281" i="16"/>
  <c r="V281" i="16" s="1"/>
  <c r="F281" i="16" s="1"/>
  <c r="H281" i="16" s="1"/>
  <c r="P198" i="16"/>
  <c r="V198" i="16" s="1"/>
  <c r="F198" i="16" s="1"/>
  <c r="H198" i="16" s="1"/>
  <c r="P349" i="16"/>
  <c r="V349" i="16" s="1"/>
  <c r="F349" i="16" s="1"/>
  <c r="H349" i="16" s="1"/>
  <c r="J349" i="16" s="1"/>
  <c r="P172" i="16"/>
  <c r="V172" i="16" s="1"/>
  <c r="F172" i="16" s="1"/>
  <c r="G172" i="16" s="1"/>
  <c r="BY172" i="6" s="1"/>
  <c r="P203" i="16"/>
  <c r="V203" i="16" s="1"/>
  <c r="F203" i="16" s="1"/>
  <c r="H203" i="16" s="1"/>
  <c r="I203" i="16" s="1"/>
  <c r="P166" i="16"/>
  <c r="V166" i="16" s="1"/>
  <c r="F166" i="16" s="1"/>
  <c r="H166" i="16" s="1"/>
  <c r="J166" i="16" s="1"/>
  <c r="P246" i="16"/>
  <c r="V246" i="16" s="1"/>
  <c r="F246" i="16" s="1"/>
  <c r="H246" i="16" s="1"/>
  <c r="P365" i="16"/>
  <c r="V365" i="16" s="1"/>
  <c r="F365" i="16" s="1"/>
  <c r="G365" i="16" s="1"/>
  <c r="BY365" i="6" s="1"/>
  <c r="P290" i="16"/>
  <c r="V290" i="16" s="1"/>
  <c r="F290" i="16" s="1"/>
  <c r="H290" i="16" s="1"/>
  <c r="I290" i="16" s="1"/>
  <c r="P109" i="16"/>
  <c r="V109" i="16" s="1"/>
  <c r="F109" i="16" s="1"/>
  <c r="H109" i="16" s="1"/>
  <c r="P348" i="16"/>
  <c r="V348" i="16" s="1"/>
  <c r="F348" i="16" s="1"/>
  <c r="H348" i="16" s="1"/>
  <c r="P257" i="16"/>
  <c r="V257" i="16" s="1"/>
  <c r="F257" i="16" s="1"/>
  <c r="G257" i="16" s="1"/>
  <c r="BY257" i="6" s="1"/>
  <c r="P266" i="16"/>
  <c r="V266" i="16" s="1"/>
  <c r="F266" i="16" s="1"/>
  <c r="H266" i="16" s="1"/>
  <c r="P353" i="16"/>
  <c r="V353" i="16" s="1"/>
  <c r="F353" i="16" s="1"/>
  <c r="H353" i="16" s="1"/>
  <c r="J353" i="16" s="1"/>
  <c r="P143" i="16"/>
  <c r="V143" i="16" s="1"/>
  <c r="F143" i="16" s="1"/>
  <c r="H143" i="16" s="1"/>
  <c r="P259" i="16"/>
  <c r="V259" i="16" s="1"/>
  <c r="F259" i="16" s="1"/>
  <c r="H259" i="16" s="1"/>
  <c r="J259" i="16" s="1"/>
  <c r="P78" i="16"/>
  <c r="V78" i="16" s="1"/>
  <c r="F78" i="16" s="1"/>
  <c r="G78" i="16" s="1"/>
  <c r="BY78" i="6" s="1"/>
  <c r="P149" i="16"/>
  <c r="D48" i="7" s="1"/>
  <c r="P360" i="16"/>
  <c r="V360" i="16" s="1"/>
  <c r="F360" i="16" s="1"/>
  <c r="H360" i="16" s="1"/>
  <c r="P102" i="16"/>
  <c r="V102" i="16" s="1"/>
  <c r="F102" i="16" s="1"/>
  <c r="G102" i="16" s="1"/>
  <c r="BY102" i="6" s="1"/>
  <c r="P36" i="16"/>
  <c r="V36" i="16" s="1"/>
  <c r="F36" i="16" s="1"/>
  <c r="H36" i="16" s="1"/>
  <c r="P25" i="16"/>
  <c r="V25" i="16" s="1"/>
  <c r="F25" i="16" s="1"/>
  <c r="G25" i="16" s="1"/>
  <c r="BY25" i="6" s="1"/>
  <c r="P291" i="16"/>
  <c r="V291" i="16" s="1"/>
  <c r="F291" i="16" s="1"/>
  <c r="G291" i="16" s="1"/>
  <c r="BY291" i="6" s="1"/>
  <c r="P26" i="16"/>
  <c r="V26" i="16" s="1"/>
  <c r="F26" i="16" s="1"/>
  <c r="G26" i="16" s="1"/>
  <c r="BY26" i="6" s="1"/>
  <c r="P110" i="16"/>
  <c r="V110" i="16" s="1"/>
  <c r="F110" i="16" s="1"/>
  <c r="H110" i="16" s="1"/>
  <c r="P253" i="16"/>
  <c r="V253" i="16" s="1"/>
  <c r="F253" i="16" s="1"/>
  <c r="P249" i="16"/>
  <c r="V249" i="16" s="1"/>
  <c r="F249" i="16" s="1"/>
  <c r="H249" i="16" s="1"/>
  <c r="P237" i="16"/>
  <c r="V237" i="16" s="1"/>
  <c r="F237" i="16" s="1"/>
  <c r="G237" i="16" s="1"/>
  <c r="BY237" i="6" s="1"/>
  <c r="P275" i="16"/>
  <c r="V275" i="16" s="1"/>
  <c r="F275" i="16" s="1"/>
  <c r="G275" i="16" s="1"/>
  <c r="BY275" i="6" s="1"/>
  <c r="P283" i="16"/>
  <c r="V283" i="16" s="1"/>
  <c r="F283" i="16" s="1"/>
  <c r="G283" i="16" s="1"/>
  <c r="BY283" i="6" s="1"/>
  <c r="P222" i="16"/>
  <c r="V222" i="16" s="1"/>
  <c r="F222" i="16" s="1"/>
  <c r="H222" i="16" s="1"/>
  <c r="AC299" i="22"/>
  <c r="AC272" i="22"/>
  <c r="AC228" i="22"/>
  <c r="AC357" i="22"/>
  <c r="AC242" i="22"/>
  <c r="AC201" i="22"/>
  <c r="AC327" i="22"/>
  <c r="AC209" i="22"/>
  <c r="AC138" i="22"/>
  <c r="AC273" i="22"/>
  <c r="AC282" i="22"/>
  <c r="AC371" i="22"/>
  <c r="AC163" i="22"/>
  <c r="AC380" i="22"/>
  <c r="AC225" i="22"/>
  <c r="AC204" i="22"/>
  <c r="AC306" i="22"/>
  <c r="AC267" i="22"/>
  <c r="AC308" i="22"/>
  <c r="AC230" i="22"/>
  <c r="AC372" i="22"/>
  <c r="AC214" i="22"/>
  <c r="AC313" i="22"/>
  <c r="AC344" i="22"/>
  <c r="AC240" i="22"/>
  <c r="AC276" i="22"/>
  <c r="AC265" i="22"/>
  <c r="AC149" i="22"/>
  <c r="AC295" i="22"/>
  <c r="AC252" i="22"/>
  <c r="AC259" i="22"/>
  <c r="AC144" i="22"/>
  <c r="AC234" i="22"/>
  <c r="AC154" i="22"/>
  <c r="AC302" i="22"/>
  <c r="AC262" i="22"/>
  <c r="AC182" i="22"/>
  <c r="AC310" i="22"/>
  <c r="AC148" i="22"/>
  <c r="AC147" i="22"/>
  <c r="AC348" i="22"/>
  <c r="AC342" i="22"/>
  <c r="AC383" i="20"/>
  <c r="J79" i="15"/>
  <c r="J105" i="15"/>
  <c r="AC382" i="20"/>
  <c r="AC381" i="20"/>
  <c r="H269" i="16"/>
  <c r="I269" i="16" s="1"/>
  <c r="AA52" i="15"/>
  <c r="Z52" i="15" s="1"/>
  <c r="Y52" i="15" s="1"/>
  <c r="H52" i="15"/>
  <c r="J52" i="15" s="1"/>
  <c r="J137" i="15"/>
  <c r="H379" i="15"/>
  <c r="I379" i="15" s="1"/>
  <c r="H16" i="16"/>
  <c r="J16" i="16" s="1"/>
  <c r="H368" i="16"/>
  <c r="I368" i="16" s="1"/>
  <c r="AA379" i="15"/>
  <c r="Z379" i="15" s="1"/>
  <c r="Y379" i="15" s="1"/>
  <c r="AA46" i="16"/>
  <c r="Z46" i="16" s="1"/>
  <c r="Y46" i="16" s="1"/>
  <c r="H46" i="16"/>
  <c r="J46" i="16" s="1"/>
  <c r="V95" i="16"/>
  <c r="F95" i="16" s="1"/>
  <c r="D49" i="7"/>
  <c r="V180" i="16"/>
  <c r="F180" i="16" s="1"/>
  <c r="G180" i="16" s="1"/>
  <c r="BY180" i="6" s="1"/>
  <c r="AC188" i="22"/>
  <c r="AC346" i="22"/>
  <c r="AC250" i="22"/>
  <c r="AC284" i="22"/>
  <c r="AC366" i="22"/>
  <c r="AC304" i="22"/>
  <c r="AC183" i="22"/>
  <c r="AC358" i="22"/>
  <c r="AC160" i="22"/>
  <c r="AC152" i="22"/>
  <c r="AC161" i="22"/>
  <c r="AC278" i="22"/>
  <c r="AC281" i="22"/>
  <c r="AC232" i="22"/>
  <c r="AC180" i="22"/>
  <c r="AC165" i="22"/>
  <c r="AC215" i="22"/>
  <c r="AC279" i="22"/>
  <c r="AC312" i="22"/>
  <c r="AC141" i="22"/>
  <c r="AC251" i="22"/>
  <c r="AC363" i="22"/>
  <c r="AC145" i="22"/>
  <c r="AC268" i="22"/>
  <c r="AC135" i="22"/>
  <c r="AC189" i="22"/>
  <c r="AC190" i="22"/>
  <c r="AC298" i="22"/>
  <c r="AC247" i="22"/>
  <c r="AC211" i="22"/>
  <c r="AC235" i="22"/>
  <c r="AC213" i="22"/>
  <c r="AC280" i="22"/>
  <c r="AC248" i="22"/>
  <c r="AC153" i="22"/>
  <c r="V130" i="16"/>
  <c r="F130" i="16" s="1"/>
  <c r="G130" i="16" s="1"/>
  <c r="BY130" i="6" s="1"/>
  <c r="I259" i="16"/>
  <c r="H242" i="16"/>
  <c r="G242" i="16"/>
  <c r="BY242" i="6" s="1"/>
  <c r="H375" i="16"/>
  <c r="G375" i="16"/>
  <c r="BY375" i="6" s="1"/>
  <c r="G338" i="16"/>
  <c r="BY338" i="6" s="1"/>
  <c r="H338" i="16"/>
  <c r="G311" i="16"/>
  <c r="BY311" i="6" s="1"/>
  <c r="H311" i="16"/>
  <c r="G59" i="16"/>
  <c r="BY59" i="6" s="1"/>
  <c r="H59" i="16"/>
  <c r="H308" i="16"/>
  <c r="G308" i="16"/>
  <c r="BY308" i="6" s="1"/>
  <c r="G164" i="16"/>
  <c r="BY164" i="6" s="1"/>
  <c r="H164" i="16"/>
  <c r="H226" i="16"/>
  <c r="G226" i="16"/>
  <c r="BY226" i="6" s="1"/>
  <c r="J159" i="16"/>
  <c r="AC352" i="22"/>
  <c r="AC229" i="22"/>
  <c r="AC322" i="22"/>
  <c r="AC168" i="22"/>
  <c r="AC173" i="22"/>
  <c r="AC197" i="22"/>
  <c r="AC350" i="22"/>
  <c r="AC291" i="22"/>
  <c r="AC328" i="22"/>
  <c r="AC249" i="22"/>
  <c r="AC332" i="22"/>
  <c r="AC258" i="22"/>
  <c r="AC337" i="22"/>
  <c r="AC289" i="22"/>
  <c r="AC193" i="22"/>
  <c r="AC224" i="22"/>
  <c r="AC195" i="22"/>
  <c r="AC301" i="22"/>
  <c r="AC206" i="22"/>
  <c r="AC331" i="22"/>
  <c r="AC177" i="22"/>
  <c r="AC334" i="22"/>
  <c r="AC158" i="22"/>
  <c r="AC253" i="22"/>
  <c r="AC261" i="22"/>
  <c r="AC219" i="22"/>
  <c r="AC223" i="22"/>
  <c r="AC283" i="22"/>
  <c r="AC257" i="22"/>
  <c r="AC208" i="22"/>
  <c r="AC340" i="22"/>
  <c r="AC359" i="22"/>
  <c r="AC233" i="22"/>
  <c r="J362" i="15"/>
  <c r="I362" i="15"/>
  <c r="G168" i="16"/>
  <c r="BY168" i="6" s="1"/>
  <c r="H168" i="16"/>
  <c r="G207" i="16"/>
  <c r="BY207" i="6" s="1"/>
  <c r="I236" i="15"/>
  <c r="J236" i="15"/>
  <c r="I214" i="15"/>
  <c r="J214" i="15"/>
  <c r="J378" i="15"/>
  <c r="I378" i="15"/>
  <c r="I152" i="15"/>
  <c r="J152" i="15"/>
  <c r="V333" i="16"/>
  <c r="F333" i="16" s="1"/>
  <c r="D54" i="7"/>
  <c r="J34" i="15"/>
  <c r="I34" i="15"/>
  <c r="J149" i="15"/>
  <c r="I149" i="15"/>
  <c r="I271" i="15"/>
  <c r="J271" i="15"/>
  <c r="I282" i="15"/>
  <c r="J282" i="15"/>
  <c r="I98" i="15"/>
  <c r="J98" i="15"/>
  <c r="I39" i="15"/>
  <c r="J39" i="15"/>
  <c r="J30" i="15"/>
  <c r="I30" i="15"/>
  <c r="I24" i="15"/>
  <c r="J24" i="15"/>
  <c r="I20" i="15"/>
  <c r="J20" i="15"/>
  <c r="S23" i="16"/>
  <c r="R23" i="16" s="1"/>
  <c r="P23" i="16" s="1"/>
  <c r="V23" i="16" s="1"/>
  <c r="F23" i="16" s="1"/>
  <c r="S38" i="16"/>
  <c r="R38" i="16" s="1"/>
  <c r="P38" i="16" s="1"/>
  <c r="V38" i="16" s="1"/>
  <c r="F38" i="16" s="1"/>
  <c r="S233" i="16"/>
  <c r="R233" i="16" s="1"/>
  <c r="P233" i="16" s="1"/>
  <c r="V233" i="16" s="1"/>
  <c r="F233" i="16" s="1"/>
  <c r="S118" i="16"/>
  <c r="R118" i="16" s="1"/>
  <c r="P118" i="16" s="1"/>
  <c r="V118" i="16" s="1"/>
  <c r="F118" i="16" s="1"/>
  <c r="S319" i="16"/>
  <c r="R319" i="16" s="1"/>
  <c r="P319" i="16" s="1"/>
  <c r="V319" i="16" s="1"/>
  <c r="F319" i="16" s="1"/>
  <c r="S351" i="16"/>
  <c r="R351" i="16" s="1"/>
  <c r="P351" i="16" s="1"/>
  <c r="V351" i="16" s="1"/>
  <c r="F351" i="16" s="1"/>
  <c r="S97" i="16"/>
  <c r="R97" i="16" s="1"/>
  <c r="P97" i="16" s="1"/>
  <c r="V97" i="16" s="1"/>
  <c r="F97" i="16" s="1"/>
  <c r="S296" i="16"/>
  <c r="R296" i="16" s="1"/>
  <c r="P296" i="16" s="1"/>
  <c r="V296" i="16" s="1"/>
  <c r="F296" i="16" s="1"/>
  <c r="S248" i="16"/>
  <c r="R248" i="16" s="1"/>
  <c r="P248" i="16" s="1"/>
  <c r="V248" i="16" s="1"/>
  <c r="F248" i="16" s="1"/>
  <c r="S69" i="16"/>
  <c r="R69" i="16" s="1"/>
  <c r="P69" i="16" s="1"/>
  <c r="V69" i="16" s="1"/>
  <c r="F69" i="16" s="1"/>
  <c r="S107" i="16"/>
  <c r="R107" i="16" s="1"/>
  <c r="P107" i="16" s="1"/>
  <c r="V107" i="16" s="1"/>
  <c r="F107" i="16" s="1"/>
  <c r="S309" i="16"/>
  <c r="R309" i="16" s="1"/>
  <c r="P309" i="16" s="1"/>
  <c r="V309" i="16" s="1"/>
  <c r="F309" i="16" s="1"/>
  <c r="S211" i="16"/>
  <c r="R211" i="16" s="1"/>
  <c r="P211" i="16" s="1"/>
  <c r="V211" i="16" s="1"/>
  <c r="F211" i="16" s="1"/>
  <c r="S117" i="16"/>
  <c r="R117" i="16" s="1"/>
  <c r="P117" i="16" s="1"/>
  <c r="V117" i="16" s="1"/>
  <c r="F117" i="16" s="1"/>
  <c r="S335" i="16"/>
  <c r="R335" i="16" s="1"/>
  <c r="P335" i="16" s="1"/>
  <c r="V335" i="16" s="1"/>
  <c r="F335" i="16" s="1"/>
  <c r="S17" i="16"/>
  <c r="R17" i="16" s="1"/>
  <c r="P17" i="16" s="1"/>
  <c r="V17" i="16" s="1"/>
  <c r="F17" i="16" s="1"/>
  <c r="S251" i="16"/>
  <c r="R251" i="16" s="1"/>
  <c r="P251" i="16" s="1"/>
  <c r="V251" i="16" s="1"/>
  <c r="F251" i="16" s="1"/>
  <c r="G146" i="16"/>
  <c r="BY146" i="6" s="1"/>
  <c r="S30" i="16"/>
  <c r="R30" i="16" s="1"/>
  <c r="P30" i="16" s="1"/>
  <c r="V30" i="16" s="1"/>
  <c r="F30" i="16" s="1"/>
  <c r="S70" i="16"/>
  <c r="R70" i="16" s="1"/>
  <c r="P70" i="16" s="1"/>
  <c r="V70" i="16" s="1"/>
  <c r="F70" i="16" s="1"/>
  <c r="S41" i="16"/>
  <c r="R41" i="16" s="1"/>
  <c r="P41" i="16" s="1"/>
  <c r="V41" i="16" s="1"/>
  <c r="F41" i="16" s="1"/>
  <c r="S22" i="16"/>
  <c r="R22" i="16" s="1"/>
  <c r="P22" i="16" s="1"/>
  <c r="V22" i="16" s="1"/>
  <c r="F22" i="16" s="1"/>
  <c r="S34" i="16"/>
  <c r="R34" i="16" s="1"/>
  <c r="P34" i="16" s="1"/>
  <c r="V34" i="16" s="1"/>
  <c r="F34" i="16" s="1"/>
  <c r="S183" i="16"/>
  <c r="R183" i="16" s="1"/>
  <c r="P183" i="16" s="1"/>
  <c r="V183" i="16" s="1"/>
  <c r="F183" i="16" s="1"/>
  <c r="S304" i="16"/>
  <c r="R304" i="16" s="1"/>
  <c r="P304" i="16" s="1"/>
  <c r="V304" i="16" s="1"/>
  <c r="F304" i="16" s="1"/>
  <c r="S75" i="16"/>
  <c r="R75" i="16" s="1"/>
  <c r="P75" i="16" s="1"/>
  <c r="V75" i="16" s="1"/>
  <c r="S185" i="16"/>
  <c r="R185" i="16" s="1"/>
  <c r="P185" i="16" s="1"/>
  <c r="V185" i="16" s="1"/>
  <c r="F185" i="16" s="1"/>
  <c r="S142" i="16"/>
  <c r="R142" i="16" s="1"/>
  <c r="P142" i="16" s="1"/>
  <c r="V142" i="16" s="1"/>
  <c r="F142" i="16" s="1"/>
  <c r="G142" i="16" s="1"/>
  <c r="BY142" i="6" s="1"/>
  <c r="S321" i="16"/>
  <c r="R321" i="16" s="1"/>
  <c r="P321" i="16" s="1"/>
  <c r="V321" i="16" s="1"/>
  <c r="F321" i="16" s="1"/>
  <c r="S341" i="16"/>
  <c r="R341" i="16" s="1"/>
  <c r="P341" i="16" s="1"/>
  <c r="V341" i="16" s="1"/>
  <c r="F341" i="16" s="1"/>
  <c r="G258" i="16"/>
  <c r="BY258" i="6" s="1"/>
  <c r="S295" i="16"/>
  <c r="R295" i="16" s="1"/>
  <c r="P295" i="16" s="1"/>
  <c r="V295" i="16" s="1"/>
  <c r="F295" i="16" s="1"/>
  <c r="S186" i="16"/>
  <c r="R186" i="16" s="1"/>
  <c r="P186" i="16" s="1"/>
  <c r="V186" i="16" s="1"/>
  <c r="F186" i="16" s="1"/>
  <c r="S289" i="16"/>
  <c r="R289" i="16" s="1"/>
  <c r="P289" i="16" s="1"/>
  <c r="V289" i="16" s="1"/>
  <c r="S72" i="16"/>
  <c r="R72" i="16" s="1"/>
  <c r="P72" i="16" s="1"/>
  <c r="V72" i="16" s="1"/>
  <c r="F72" i="16" s="1"/>
  <c r="S334" i="16"/>
  <c r="R334" i="16" s="1"/>
  <c r="P334" i="16" s="1"/>
  <c r="V334" i="16" s="1"/>
  <c r="F334" i="16" s="1"/>
  <c r="S322" i="16"/>
  <c r="R322" i="16" s="1"/>
  <c r="P322" i="16" s="1"/>
  <c r="V322" i="16" s="1"/>
  <c r="F322" i="16" s="1"/>
  <c r="S276" i="16"/>
  <c r="R276" i="16" s="1"/>
  <c r="P276" i="16" s="1"/>
  <c r="V276" i="16" s="1"/>
  <c r="F276" i="16" s="1"/>
  <c r="S133" i="16"/>
  <c r="R133" i="16" s="1"/>
  <c r="P133" i="16" s="1"/>
  <c r="V133" i="16" s="1"/>
  <c r="F133" i="16" s="1"/>
  <c r="S303" i="16"/>
  <c r="R303" i="16" s="1"/>
  <c r="P303" i="16" s="1"/>
  <c r="V303" i="16" s="1"/>
  <c r="F303" i="16" s="1"/>
  <c r="S326" i="16"/>
  <c r="R326" i="16" s="1"/>
  <c r="P326" i="16" s="1"/>
  <c r="V326" i="16" s="1"/>
  <c r="F326" i="16" s="1"/>
  <c r="S190" i="16"/>
  <c r="R190" i="16" s="1"/>
  <c r="P190" i="16" s="1"/>
  <c r="V190" i="16" s="1"/>
  <c r="F190" i="16" s="1"/>
  <c r="S278" i="16"/>
  <c r="R278" i="16" s="1"/>
  <c r="P278" i="16" s="1"/>
  <c r="V278" i="16" s="1"/>
  <c r="F278" i="16" s="1"/>
  <c r="S121" i="16"/>
  <c r="R121" i="16" s="1"/>
  <c r="P121" i="16" s="1"/>
  <c r="V121" i="16" s="1"/>
  <c r="F121" i="16" s="1"/>
  <c r="S274" i="16"/>
  <c r="R274" i="16" s="1"/>
  <c r="P274" i="16" s="1"/>
  <c r="V274" i="16" s="1"/>
  <c r="F274" i="16" s="1"/>
  <c r="S82" i="16"/>
  <c r="R82" i="16" s="1"/>
  <c r="P82" i="16" s="1"/>
  <c r="V82" i="16" s="1"/>
  <c r="F82" i="16" s="1"/>
  <c r="S89" i="16"/>
  <c r="R89" i="16" s="1"/>
  <c r="P89" i="16" s="1"/>
  <c r="V89" i="16" s="1"/>
  <c r="F89" i="16" s="1"/>
  <c r="S100" i="16"/>
  <c r="R100" i="16" s="1"/>
  <c r="P100" i="16" s="1"/>
  <c r="V100" i="16" s="1"/>
  <c r="F100" i="16" s="1"/>
  <c r="S243" i="16"/>
  <c r="R243" i="16" s="1"/>
  <c r="P243" i="16" s="1"/>
  <c r="V243" i="16" s="1"/>
  <c r="F243" i="16" s="1"/>
  <c r="S136" i="16"/>
  <c r="R136" i="16" s="1"/>
  <c r="P136" i="16" s="1"/>
  <c r="V136" i="16" s="1"/>
  <c r="S24" i="16"/>
  <c r="R24" i="16" s="1"/>
  <c r="P24" i="16" s="1"/>
  <c r="V24" i="16" s="1"/>
  <c r="F24" i="16" s="1"/>
  <c r="S250" i="16"/>
  <c r="R250" i="16" s="1"/>
  <c r="P250" i="16" s="1"/>
  <c r="V250" i="16" s="1"/>
  <c r="F250" i="16" s="1"/>
  <c r="U381" i="16"/>
  <c r="S15" i="16"/>
  <c r="J210" i="15"/>
  <c r="I210" i="15"/>
  <c r="I358" i="15"/>
  <c r="J358" i="15"/>
  <c r="AA373" i="15"/>
  <c r="Z373" i="15" s="1"/>
  <c r="Y373" i="15" s="1"/>
  <c r="H373" i="15"/>
  <c r="G373" i="15"/>
  <c r="BX373" i="6" s="1"/>
  <c r="G75" i="15"/>
  <c r="BX75" i="6" s="1"/>
  <c r="H75" i="15"/>
  <c r="AA75" i="15"/>
  <c r="Z75" i="15" s="1"/>
  <c r="Y75" i="15" s="1"/>
  <c r="S271" i="16"/>
  <c r="R271" i="16" s="1"/>
  <c r="P271" i="16" s="1"/>
  <c r="V271" i="16" s="1"/>
  <c r="F271" i="16" s="1"/>
  <c r="S355" i="16"/>
  <c r="R355" i="16" s="1"/>
  <c r="P355" i="16" s="1"/>
  <c r="V355" i="16" s="1"/>
  <c r="F355" i="16" s="1"/>
  <c r="S179" i="16"/>
  <c r="R179" i="16" s="1"/>
  <c r="P179" i="16" s="1"/>
  <c r="V179" i="16" s="1"/>
  <c r="F179" i="16" s="1"/>
  <c r="S245" i="16"/>
  <c r="R245" i="16" s="1"/>
  <c r="P245" i="16" s="1"/>
  <c r="V245" i="16" s="1"/>
  <c r="F245" i="16" s="1"/>
  <c r="S40" i="16"/>
  <c r="R40" i="16" s="1"/>
  <c r="P40" i="16" s="1"/>
  <c r="V40" i="16" s="1"/>
  <c r="F40" i="16" s="1"/>
  <c r="S87" i="16"/>
  <c r="R87" i="16" s="1"/>
  <c r="P87" i="16" s="1"/>
  <c r="V87" i="16" s="1"/>
  <c r="F87" i="16" s="1"/>
  <c r="S92" i="16"/>
  <c r="R92" i="16" s="1"/>
  <c r="P92" i="16" s="1"/>
  <c r="V92" i="16" s="1"/>
  <c r="F92" i="16" s="1"/>
  <c r="S171" i="16"/>
  <c r="R171" i="16" s="1"/>
  <c r="P171" i="16" s="1"/>
  <c r="V171" i="16" s="1"/>
  <c r="F171" i="16" s="1"/>
  <c r="S165" i="16"/>
  <c r="R165" i="16" s="1"/>
  <c r="P165" i="16" s="1"/>
  <c r="V165" i="16" s="1"/>
  <c r="F165" i="16" s="1"/>
  <c r="S187" i="16"/>
  <c r="R187" i="16" s="1"/>
  <c r="P187" i="16" s="1"/>
  <c r="V187" i="16" s="1"/>
  <c r="F187" i="16" s="1"/>
  <c r="S367" i="16"/>
  <c r="R367" i="16" s="1"/>
  <c r="P367" i="16" s="1"/>
  <c r="V367" i="16" s="1"/>
  <c r="F367" i="16" s="1"/>
  <c r="S134" i="16"/>
  <c r="R134" i="16" s="1"/>
  <c r="P134" i="16" s="1"/>
  <c r="V134" i="16" s="1"/>
  <c r="F134" i="16" s="1"/>
  <c r="S297" i="16"/>
  <c r="R297" i="16" s="1"/>
  <c r="P297" i="16" s="1"/>
  <c r="V297" i="16" s="1"/>
  <c r="F297" i="16" s="1"/>
  <c r="S86" i="16"/>
  <c r="R86" i="16" s="1"/>
  <c r="P86" i="16" s="1"/>
  <c r="V86" i="16" s="1"/>
  <c r="F86" i="16" s="1"/>
  <c r="S128" i="16"/>
  <c r="R128" i="16" s="1"/>
  <c r="P128" i="16" s="1"/>
  <c r="V128" i="16" s="1"/>
  <c r="F128" i="16" s="1"/>
  <c r="S336" i="16"/>
  <c r="R336" i="16" s="1"/>
  <c r="P336" i="16" s="1"/>
  <c r="V336" i="16" s="1"/>
  <c r="F336" i="16" s="1"/>
  <c r="S144" i="16"/>
  <c r="R144" i="16" s="1"/>
  <c r="P144" i="16" s="1"/>
  <c r="V144" i="16" s="1"/>
  <c r="F144" i="16" s="1"/>
  <c r="S132" i="16"/>
  <c r="R132" i="16" s="1"/>
  <c r="P132" i="16" s="1"/>
  <c r="V132" i="16" s="1"/>
  <c r="F132" i="16" s="1"/>
  <c r="S21" i="16"/>
  <c r="R21" i="16" s="1"/>
  <c r="P21" i="16" s="1"/>
  <c r="V21" i="16" s="1"/>
  <c r="F21" i="16" s="1"/>
  <c r="S293" i="16"/>
  <c r="R293" i="16" s="1"/>
  <c r="P293" i="16" s="1"/>
  <c r="V293" i="16" s="1"/>
  <c r="F293" i="16" s="1"/>
  <c r="S235" i="16"/>
  <c r="R235" i="16" s="1"/>
  <c r="P235" i="16" s="1"/>
  <c r="V235" i="16" s="1"/>
  <c r="F235" i="16" s="1"/>
  <c r="S188" i="16"/>
  <c r="R188" i="16" s="1"/>
  <c r="P188" i="16" s="1"/>
  <c r="V188" i="16" s="1"/>
  <c r="F188" i="16" s="1"/>
  <c r="S145" i="16"/>
  <c r="R145" i="16" s="1"/>
  <c r="P145" i="16" s="1"/>
  <c r="V145" i="16" s="1"/>
  <c r="F145" i="16" s="1"/>
  <c r="S217" i="16"/>
  <c r="R217" i="16" s="1"/>
  <c r="P217" i="16" s="1"/>
  <c r="V217" i="16" s="1"/>
  <c r="F217" i="16" s="1"/>
  <c r="S151" i="16"/>
  <c r="R151" i="16" s="1"/>
  <c r="P151" i="16" s="1"/>
  <c r="V151" i="16" s="1"/>
  <c r="F151" i="16" s="1"/>
  <c r="S294" i="16"/>
  <c r="R294" i="16" s="1"/>
  <c r="P294" i="16" s="1"/>
  <c r="V294" i="16" s="1"/>
  <c r="F294" i="16" s="1"/>
  <c r="S374" i="16"/>
  <c r="R374" i="16" s="1"/>
  <c r="P374" i="16" s="1"/>
  <c r="V374" i="16" s="1"/>
  <c r="F374" i="16" s="1"/>
  <c r="S218" i="16"/>
  <c r="R218" i="16" s="1"/>
  <c r="P218" i="16" s="1"/>
  <c r="V218" i="16" s="1"/>
  <c r="F218" i="16" s="1"/>
  <c r="S74" i="16"/>
  <c r="R74" i="16" s="1"/>
  <c r="P74" i="16" s="1"/>
  <c r="V74" i="16" s="1"/>
  <c r="F74" i="16" s="1"/>
  <c r="S301" i="16"/>
  <c r="R301" i="16" s="1"/>
  <c r="P301" i="16" s="1"/>
  <c r="V301" i="16" s="1"/>
  <c r="F301" i="16" s="1"/>
  <c r="S212" i="16"/>
  <c r="R212" i="16" s="1"/>
  <c r="P212" i="16" s="1"/>
  <c r="V212" i="16" s="1"/>
  <c r="F212" i="16" s="1"/>
  <c r="S204" i="16"/>
  <c r="R204" i="16" s="1"/>
  <c r="P204" i="16" s="1"/>
  <c r="V204" i="16" s="1"/>
  <c r="F204" i="16" s="1"/>
  <c r="S35" i="16"/>
  <c r="R35" i="16" s="1"/>
  <c r="P35" i="16" s="1"/>
  <c r="V35" i="16" s="1"/>
  <c r="F35" i="16" s="1"/>
  <c r="S254" i="16"/>
  <c r="R254" i="16" s="1"/>
  <c r="P254" i="16" s="1"/>
  <c r="V254" i="16" s="1"/>
  <c r="F254" i="16" s="1"/>
  <c r="S342" i="16"/>
  <c r="R342" i="16" s="1"/>
  <c r="P342" i="16" s="1"/>
  <c r="V342" i="16" s="1"/>
  <c r="F342" i="16" s="1"/>
  <c r="S43" i="16"/>
  <c r="R43" i="16" s="1"/>
  <c r="P43" i="16" s="1"/>
  <c r="V43" i="16" s="1"/>
  <c r="F43" i="16" s="1"/>
  <c r="S114" i="16"/>
  <c r="R114" i="16" s="1"/>
  <c r="P114" i="16" s="1"/>
  <c r="V114" i="16" s="1"/>
  <c r="F114" i="16" s="1"/>
  <c r="S153" i="16"/>
  <c r="R153" i="16" s="1"/>
  <c r="P153" i="16" s="1"/>
  <c r="V153" i="16" s="1"/>
  <c r="F153" i="16" s="1"/>
  <c r="S286" i="16"/>
  <c r="R286" i="16" s="1"/>
  <c r="P286" i="16" s="1"/>
  <c r="V286" i="16" s="1"/>
  <c r="F286" i="16" s="1"/>
  <c r="S255" i="16"/>
  <c r="R255" i="16" s="1"/>
  <c r="P255" i="16" s="1"/>
  <c r="V255" i="16" s="1"/>
  <c r="F255" i="16" s="1"/>
  <c r="S268" i="16"/>
  <c r="R268" i="16" s="1"/>
  <c r="P268" i="16" s="1"/>
  <c r="S287" i="16"/>
  <c r="R287" i="16" s="1"/>
  <c r="P287" i="16" s="1"/>
  <c r="V287" i="16" s="1"/>
  <c r="F287" i="16" s="1"/>
  <c r="S55" i="16"/>
  <c r="R55" i="16" s="1"/>
  <c r="P55" i="16" s="1"/>
  <c r="V55" i="16" s="1"/>
  <c r="F55" i="16" s="1"/>
  <c r="S260" i="16"/>
  <c r="R260" i="16" s="1"/>
  <c r="P260" i="16" s="1"/>
  <c r="V260" i="16" s="1"/>
  <c r="S81" i="16"/>
  <c r="R81" i="16" s="1"/>
  <c r="P81" i="16" s="1"/>
  <c r="V81" i="16" s="1"/>
  <c r="F81" i="16" s="1"/>
  <c r="S256" i="16"/>
  <c r="R256" i="16" s="1"/>
  <c r="P256" i="16" s="1"/>
  <c r="V256" i="16" s="1"/>
  <c r="F256" i="16" s="1"/>
  <c r="S127" i="16"/>
  <c r="R127" i="16" s="1"/>
  <c r="P127" i="16" s="1"/>
  <c r="V127" i="16" s="1"/>
  <c r="F127" i="16" s="1"/>
  <c r="S49" i="16"/>
  <c r="R49" i="16" s="1"/>
  <c r="P49" i="16" s="1"/>
  <c r="V49" i="16" s="1"/>
  <c r="F49" i="16" s="1"/>
  <c r="S234" i="16"/>
  <c r="R234" i="16" s="1"/>
  <c r="P234" i="16" s="1"/>
  <c r="V234" i="16" s="1"/>
  <c r="F234" i="16" s="1"/>
  <c r="S378" i="16"/>
  <c r="R378" i="16" s="1"/>
  <c r="P378" i="16" s="1"/>
  <c r="V378" i="16" s="1"/>
  <c r="F378" i="16" s="1"/>
  <c r="G378" i="16" s="1"/>
  <c r="BY378" i="6" s="1"/>
  <c r="S161" i="16"/>
  <c r="R161" i="16" s="1"/>
  <c r="P161" i="16" s="1"/>
  <c r="V161" i="16" s="1"/>
  <c r="F161" i="16" s="1"/>
  <c r="S354" i="16"/>
  <c r="R354" i="16" s="1"/>
  <c r="P354" i="16" s="1"/>
  <c r="V354" i="16" s="1"/>
  <c r="F354" i="16" s="1"/>
  <c r="S196" i="16"/>
  <c r="R196" i="16" s="1"/>
  <c r="P196" i="16" s="1"/>
  <c r="V196" i="16" s="1"/>
  <c r="F196" i="16" s="1"/>
  <c r="S48" i="16"/>
  <c r="R48" i="16" s="1"/>
  <c r="P48" i="16" s="1"/>
  <c r="V48" i="16" s="1"/>
  <c r="F48" i="16" s="1"/>
  <c r="G347" i="16"/>
  <c r="BY347" i="6" s="1"/>
  <c r="H347" i="16"/>
  <c r="S137" i="16"/>
  <c r="R137" i="16" s="1"/>
  <c r="P137" i="16" s="1"/>
  <c r="V137" i="16" s="1"/>
  <c r="F137" i="16" s="1"/>
  <c r="S125" i="16"/>
  <c r="R125" i="16" s="1"/>
  <c r="P125" i="16" s="1"/>
  <c r="V125" i="16" s="1"/>
  <c r="F125" i="16" s="1"/>
  <c r="S329" i="16"/>
  <c r="R329" i="16" s="1"/>
  <c r="P329" i="16" s="1"/>
  <c r="V329" i="16" s="1"/>
  <c r="F329" i="16" s="1"/>
  <c r="S169" i="16"/>
  <c r="R169" i="16" s="1"/>
  <c r="P169" i="16" s="1"/>
  <c r="V169" i="16" s="1"/>
  <c r="F169" i="16" s="1"/>
  <c r="S210" i="16"/>
  <c r="R210" i="16" s="1"/>
  <c r="P210" i="16" s="1"/>
  <c r="S124" i="16"/>
  <c r="R124" i="16" s="1"/>
  <c r="P124" i="16" s="1"/>
  <c r="V124" i="16" s="1"/>
  <c r="F124" i="16" s="1"/>
  <c r="S357" i="16"/>
  <c r="R357" i="16" s="1"/>
  <c r="P357" i="16" s="1"/>
  <c r="V357" i="16" s="1"/>
  <c r="F357" i="16" s="1"/>
  <c r="S284" i="16"/>
  <c r="R284" i="16" s="1"/>
  <c r="P284" i="16" s="1"/>
  <c r="V284" i="16" s="1"/>
  <c r="F284" i="16" s="1"/>
  <c r="S84" i="16"/>
  <c r="R84" i="16" s="1"/>
  <c r="P84" i="16" s="1"/>
  <c r="V84" i="16" s="1"/>
  <c r="F84" i="16" s="1"/>
  <c r="S120" i="16"/>
  <c r="R120" i="16" s="1"/>
  <c r="P120" i="16" s="1"/>
  <c r="V120" i="16" s="1"/>
  <c r="F120" i="16" s="1"/>
  <c r="S232" i="16"/>
  <c r="R232" i="16" s="1"/>
  <c r="P232" i="16" s="1"/>
  <c r="V232" i="16" s="1"/>
  <c r="F232" i="16" s="1"/>
  <c r="S371" i="16"/>
  <c r="R371" i="16" s="1"/>
  <c r="P371" i="16" s="1"/>
  <c r="V371" i="16" s="1"/>
  <c r="F371" i="16" s="1"/>
  <c r="S162" i="16"/>
  <c r="R162" i="16" s="1"/>
  <c r="P162" i="16" s="1"/>
  <c r="V162" i="16" s="1"/>
  <c r="F162" i="16" s="1"/>
  <c r="S219" i="16"/>
  <c r="R219" i="16" s="1"/>
  <c r="P219" i="16" s="1"/>
  <c r="V219" i="16" s="1"/>
  <c r="F219" i="16" s="1"/>
  <c r="S178" i="16"/>
  <c r="R178" i="16" s="1"/>
  <c r="P178" i="16" s="1"/>
  <c r="V178" i="16" s="1"/>
  <c r="F178" i="16" s="1"/>
  <c r="S19" i="16"/>
  <c r="R19" i="16" s="1"/>
  <c r="P19" i="16" s="1"/>
  <c r="V19" i="16" s="1"/>
  <c r="F19" i="16" s="1"/>
  <c r="S113" i="16"/>
  <c r="R113" i="16" s="1"/>
  <c r="P113" i="16" s="1"/>
  <c r="V113" i="16" s="1"/>
  <c r="F113" i="16" s="1"/>
  <c r="S156" i="16"/>
  <c r="R156" i="16" s="1"/>
  <c r="P156" i="16" s="1"/>
  <c r="V156" i="16" s="1"/>
  <c r="F156" i="16" s="1"/>
  <c r="S83" i="16"/>
  <c r="R83" i="16" s="1"/>
  <c r="P83" i="16" s="1"/>
  <c r="V83" i="16" s="1"/>
  <c r="F83" i="16" s="1"/>
  <c r="S112" i="16"/>
  <c r="R112" i="16" s="1"/>
  <c r="P112" i="16" s="1"/>
  <c r="V112" i="16" s="1"/>
  <c r="F112" i="16" s="1"/>
  <c r="S119" i="16"/>
  <c r="R119" i="16" s="1"/>
  <c r="P119" i="16" s="1"/>
  <c r="S141" i="16"/>
  <c r="R141" i="16" s="1"/>
  <c r="P141" i="16" s="1"/>
  <c r="V141" i="16" s="1"/>
  <c r="F141" i="16" s="1"/>
  <c r="S231" i="16"/>
  <c r="R231" i="16" s="1"/>
  <c r="P231" i="16" s="1"/>
  <c r="V231" i="16" s="1"/>
  <c r="F231" i="16" s="1"/>
  <c r="S214" i="16"/>
  <c r="R214" i="16" s="1"/>
  <c r="P214" i="16" s="1"/>
  <c r="V214" i="16" s="1"/>
  <c r="F214" i="16" s="1"/>
  <c r="S126" i="16"/>
  <c r="R126" i="16" s="1"/>
  <c r="P126" i="16" s="1"/>
  <c r="V126" i="16" s="1"/>
  <c r="F126" i="16" s="1"/>
  <c r="S262" i="16"/>
  <c r="R262" i="16" s="1"/>
  <c r="P262" i="16" s="1"/>
  <c r="V262" i="16" s="1"/>
  <c r="F262" i="16" s="1"/>
  <c r="S175" i="16"/>
  <c r="R175" i="16" s="1"/>
  <c r="P175" i="16" s="1"/>
  <c r="V175" i="16" s="1"/>
  <c r="F175" i="16" s="1"/>
  <c r="S273" i="16"/>
  <c r="R273" i="16" s="1"/>
  <c r="P273" i="16" s="1"/>
  <c r="V273" i="16" s="1"/>
  <c r="F273" i="16" s="1"/>
  <c r="S346" i="16"/>
  <c r="R346" i="16" s="1"/>
  <c r="P346" i="16" s="1"/>
  <c r="V346" i="16" s="1"/>
  <c r="F346" i="16" s="1"/>
  <c r="S202" i="16"/>
  <c r="R202" i="16" s="1"/>
  <c r="P202" i="16" s="1"/>
  <c r="V202" i="16" s="1"/>
  <c r="F202" i="16" s="1"/>
  <c r="S37" i="16"/>
  <c r="R37" i="16" s="1"/>
  <c r="P37" i="16" s="1"/>
  <c r="V37" i="16" s="1"/>
  <c r="F37" i="16" s="1"/>
  <c r="S27" i="16"/>
  <c r="R27" i="16" s="1"/>
  <c r="P27" i="16" s="1"/>
  <c r="V27" i="16" s="1"/>
  <c r="F27" i="16" s="1"/>
  <c r="S85" i="16"/>
  <c r="R85" i="16" s="1"/>
  <c r="P85" i="16" s="1"/>
  <c r="V85" i="16" s="1"/>
  <c r="F85" i="16" s="1"/>
  <c r="S65" i="16"/>
  <c r="R65" i="16" s="1"/>
  <c r="P65" i="16" s="1"/>
  <c r="V65" i="16" s="1"/>
  <c r="F65" i="16" s="1"/>
  <c r="S361" i="16"/>
  <c r="R361" i="16" s="1"/>
  <c r="P361" i="16" s="1"/>
  <c r="V361" i="16" s="1"/>
  <c r="F361" i="16" s="1"/>
  <c r="AG253" i="16"/>
  <c r="AF253" i="16" s="1"/>
  <c r="AD253" i="16" s="1"/>
  <c r="AG153" i="16"/>
  <c r="AF153" i="16" s="1"/>
  <c r="AD153" i="16" s="1"/>
  <c r="AG202" i="16"/>
  <c r="AF202" i="16" s="1"/>
  <c r="AD202" i="16" s="1"/>
  <c r="AG84" i="16"/>
  <c r="AF84" i="16" s="1"/>
  <c r="AD84" i="16" s="1"/>
  <c r="AG367" i="16"/>
  <c r="AF367" i="16" s="1"/>
  <c r="AD367" i="16" s="1"/>
  <c r="AG38" i="16"/>
  <c r="AF38" i="16" s="1"/>
  <c r="AD38" i="16" s="1"/>
  <c r="AG238" i="16"/>
  <c r="AF238" i="16" s="1"/>
  <c r="AD238" i="16" s="1"/>
  <c r="AG357" i="16"/>
  <c r="AF357" i="16" s="1"/>
  <c r="AD357" i="16" s="1"/>
  <c r="AG252" i="16"/>
  <c r="AF252" i="16" s="1"/>
  <c r="AD252" i="16" s="1"/>
  <c r="AG173" i="16"/>
  <c r="AF173" i="16" s="1"/>
  <c r="AD173" i="16" s="1"/>
  <c r="AG78" i="16"/>
  <c r="AF78" i="16" s="1"/>
  <c r="AD78" i="16" s="1"/>
  <c r="AG300" i="16"/>
  <c r="AF300" i="16" s="1"/>
  <c r="AD300" i="16" s="1"/>
  <c r="AG184" i="16"/>
  <c r="AF184" i="16" s="1"/>
  <c r="AD184" i="16" s="1"/>
  <c r="AG123" i="16"/>
  <c r="AF123" i="16" s="1"/>
  <c r="AD123" i="16" s="1"/>
  <c r="AG293" i="16"/>
  <c r="AF293" i="16" s="1"/>
  <c r="AD293" i="16" s="1"/>
  <c r="AG323" i="16"/>
  <c r="AF323" i="16" s="1"/>
  <c r="AD323" i="16" s="1"/>
  <c r="AG18" i="16"/>
  <c r="AF18" i="16" s="1"/>
  <c r="AD18" i="16" s="1"/>
  <c r="AG186" i="16"/>
  <c r="AF186" i="16" s="1"/>
  <c r="AD186" i="16" s="1"/>
  <c r="AG297" i="16"/>
  <c r="AF297" i="16" s="1"/>
  <c r="AD297" i="16" s="1"/>
  <c r="AG345" i="16"/>
  <c r="AF345" i="16" s="1"/>
  <c r="AD345" i="16" s="1"/>
  <c r="AG35" i="16"/>
  <c r="AF35" i="16" s="1"/>
  <c r="AD35" i="16" s="1"/>
  <c r="AG122" i="16"/>
  <c r="AF122" i="16" s="1"/>
  <c r="AD122" i="16" s="1"/>
  <c r="AG130" i="16"/>
  <c r="AF130" i="16" s="1"/>
  <c r="AD130" i="16" s="1"/>
  <c r="AG39" i="16"/>
  <c r="AF39" i="16" s="1"/>
  <c r="AD39" i="16" s="1"/>
  <c r="AG83" i="16"/>
  <c r="AF83" i="16" s="1"/>
  <c r="AD83" i="16" s="1"/>
  <c r="AG193" i="16"/>
  <c r="AF193" i="16" s="1"/>
  <c r="AD193" i="16" s="1"/>
  <c r="AG94" i="16"/>
  <c r="AF94" i="16" s="1"/>
  <c r="AD94" i="16" s="1"/>
  <c r="AG312" i="16"/>
  <c r="AF312" i="16" s="1"/>
  <c r="AD312" i="16" s="1"/>
  <c r="AG102" i="16"/>
  <c r="AF102" i="16" s="1"/>
  <c r="AD102" i="16" s="1"/>
  <c r="AG226" i="16"/>
  <c r="AF226" i="16" s="1"/>
  <c r="AD226" i="16" s="1"/>
  <c r="AA226" i="16" s="1"/>
  <c r="Z226" i="16" s="1"/>
  <c r="Y226" i="16" s="1"/>
  <c r="AG366" i="16"/>
  <c r="AF366" i="16" s="1"/>
  <c r="AD366" i="16" s="1"/>
  <c r="AA366" i="16" s="1"/>
  <c r="Z366" i="16" s="1"/>
  <c r="Y366" i="16" s="1"/>
  <c r="AG251" i="16"/>
  <c r="AF251" i="16" s="1"/>
  <c r="AD251" i="16" s="1"/>
  <c r="AG234" i="16"/>
  <c r="AF234" i="16" s="1"/>
  <c r="AD234" i="16" s="1"/>
  <c r="AG355" i="16"/>
  <c r="AF355" i="16" s="1"/>
  <c r="AD355" i="16" s="1"/>
  <c r="AG49" i="16"/>
  <c r="AF49" i="16" s="1"/>
  <c r="AD49" i="16" s="1"/>
  <c r="AG166" i="16"/>
  <c r="AF166" i="16" s="1"/>
  <c r="AD166" i="16" s="1"/>
  <c r="AG326" i="16"/>
  <c r="AF326" i="16" s="1"/>
  <c r="AD326" i="16" s="1"/>
  <c r="AG87" i="16"/>
  <c r="AF87" i="16" s="1"/>
  <c r="AD87" i="16" s="1"/>
  <c r="AG16" i="16"/>
  <c r="AF16" i="16" s="1"/>
  <c r="AD16" i="16" s="1"/>
  <c r="AA16" i="16" s="1"/>
  <c r="Z16" i="16" s="1"/>
  <c r="Y16" i="16" s="1"/>
  <c r="AG262" i="16"/>
  <c r="AF262" i="16" s="1"/>
  <c r="AD262" i="16" s="1"/>
  <c r="AG23" i="16"/>
  <c r="AF23" i="16" s="1"/>
  <c r="AD23" i="16" s="1"/>
  <c r="AG306" i="16"/>
  <c r="AF306" i="16" s="1"/>
  <c r="AD306" i="16" s="1"/>
  <c r="AA306" i="16" s="1"/>
  <c r="Z306" i="16" s="1"/>
  <c r="Y306" i="16" s="1"/>
  <c r="AG309" i="16"/>
  <c r="AF309" i="16" s="1"/>
  <c r="AD309" i="16" s="1"/>
  <c r="AG136" i="16"/>
  <c r="AF136" i="16" s="1"/>
  <c r="AD136" i="16" s="1"/>
  <c r="AG319" i="16"/>
  <c r="AF319" i="16" s="1"/>
  <c r="AD319" i="16" s="1"/>
  <c r="AG90" i="16"/>
  <c r="AF90" i="16" s="1"/>
  <c r="AD90" i="16" s="1"/>
  <c r="AA90" i="16" s="1"/>
  <c r="Z90" i="16" s="1"/>
  <c r="Y90" i="16" s="1"/>
  <c r="AG93" i="16"/>
  <c r="AF93" i="16" s="1"/>
  <c r="AD93" i="16" s="1"/>
  <c r="AG322" i="16"/>
  <c r="AF322" i="16" s="1"/>
  <c r="AD322" i="16" s="1"/>
  <c r="AG247" i="16"/>
  <c r="AF247" i="16" s="1"/>
  <c r="AD247" i="16" s="1"/>
  <c r="AG135" i="16"/>
  <c r="AF135" i="16" s="1"/>
  <c r="AD135" i="16" s="1"/>
  <c r="AG320" i="16"/>
  <c r="AF320" i="16" s="1"/>
  <c r="AD320" i="16" s="1"/>
  <c r="AG131" i="16"/>
  <c r="AF131" i="16" s="1"/>
  <c r="AD131" i="16" s="1"/>
  <c r="AG337" i="16"/>
  <c r="AF337" i="16" s="1"/>
  <c r="AD337" i="16" s="1"/>
  <c r="AG380" i="16"/>
  <c r="AF380" i="16" s="1"/>
  <c r="AD380" i="16" s="1"/>
  <c r="AG47" i="16"/>
  <c r="AF47" i="16" s="1"/>
  <c r="AD47" i="16" s="1"/>
  <c r="AG352" i="16"/>
  <c r="AF352" i="16" s="1"/>
  <c r="AD352" i="16" s="1"/>
  <c r="AG348" i="16"/>
  <c r="AF348" i="16" s="1"/>
  <c r="AD348" i="16" s="1"/>
  <c r="AG76" i="16"/>
  <c r="AF76" i="16" s="1"/>
  <c r="AD76" i="16" s="1"/>
  <c r="AG311" i="16"/>
  <c r="AF311" i="16" s="1"/>
  <c r="AD311" i="16" s="1"/>
  <c r="AA311" i="16" s="1"/>
  <c r="Z311" i="16" s="1"/>
  <c r="Y311" i="16" s="1"/>
  <c r="AG108" i="16"/>
  <c r="AF108" i="16" s="1"/>
  <c r="AD108" i="16" s="1"/>
  <c r="AG369" i="16"/>
  <c r="AF369" i="16" s="1"/>
  <c r="AD369" i="16" s="1"/>
  <c r="AG79" i="16"/>
  <c r="AF79" i="16" s="1"/>
  <c r="AD79" i="16" s="1"/>
  <c r="AG269" i="16"/>
  <c r="AF269" i="16" s="1"/>
  <c r="AD269" i="16" s="1"/>
  <c r="AA269" i="16" s="1"/>
  <c r="Z269" i="16" s="1"/>
  <c r="Y269" i="16" s="1"/>
  <c r="AG347" i="16"/>
  <c r="AF347" i="16" s="1"/>
  <c r="AD347" i="16" s="1"/>
  <c r="AA347" i="16" s="1"/>
  <c r="Z347" i="16" s="1"/>
  <c r="Y347" i="16" s="1"/>
  <c r="AG57" i="16"/>
  <c r="AF57" i="16" s="1"/>
  <c r="AD57" i="16" s="1"/>
  <c r="AG170" i="16"/>
  <c r="AF170" i="16" s="1"/>
  <c r="AD170" i="16" s="1"/>
  <c r="AG373" i="16"/>
  <c r="AF373" i="16" s="1"/>
  <c r="AD373" i="16" s="1"/>
  <c r="AG54" i="16"/>
  <c r="AF54" i="16" s="1"/>
  <c r="AD54" i="16" s="1"/>
  <c r="AG264" i="16"/>
  <c r="AF264" i="16" s="1"/>
  <c r="AD264" i="16" s="1"/>
  <c r="AG129" i="16"/>
  <c r="AF129" i="16" s="1"/>
  <c r="AD129" i="16" s="1"/>
  <c r="AG351" i="16"/>
  <c r="AF351" i="16" s="1"/>
  <c r="AD351" i="16" s="1"/>
  <c r="AG56" i="16"/>
  <c r="AF56" i="16" s="1"/>
  <c r="AD56" i="16" s="1"/>
  <c r="AG363" i="16"/>
  <c r="AF363" i="16" s="1"/>
  <c r="AD363" i="16" s="1"/>
  <c r="AG34" i="16"/>
  <c r="AF34" i="16" s="1"/>
  <c r="AD34" i="16" s="1"/>
  <c r="AG174" i="16"/>
  <c r="AF174" i="16" s="1"/>
  <c r="AD174" i="16" s="1"/>
  <c r="AG59" i="16"/>
  <c r="AF59" i="16" s="1"/>
  <c r="AD59" i="16" s="1"/>
  <c r="AA59" i="16" s="1"/>
  <c r="Z59" i="16" s="1"/>
  <c r="Y59" i="16" s="1"/>
  <c r="AG165" i="16"/>
  <c r="AF165" i="16" s="1"/>
  <c r="AD165" i="16" s="1"/>
  <c r="AG227" i="16"/>
  <c r="AF227" i="16" s="1"/>
  <c r="AD227" i="16" s="1"/>
  <c r="AG368" i="16"/>
  <c r="AF368" i="16" s="1"/>
  <c r="AD368" i="16" s="1"/>
  <c r="AA368" i="16" s="1"/>
  <c r="Z368" i="16" s="1"/>
  <c r="Y368" i="16" s="1"/>
  <c r="AG203" i="16"/>
  <c r="AF203" i="16" s="1"/>
  <c r="AD203" i="16" s="1"/>
  <c r="AG134" i="16"/>
  <c r="AF134" i="16" s="1"/>
  <c r="AD134" i="16" s="1"/>
  <c r="AG280" i="16"/>
  <c r="AF280" i="16" s="1"/>
  <c r="AD280" i="16" s="1"/>
  <c r="AG50" i="16"/>
  <c r="AF50" i="16" s="1"/>
  <c r="AD50" i="16" s="1"/>
  <c r="AG283" i="16"/>
  <c r="AF283" i="16" s="1"/>
  <c r="AD283" i="16" s="1"/>
  <c r="AG298" i="16"/>
  <c r="AF298" i="16" s="1"/>
  <c r="AD298" i="16" s="1"/>
  <c r="AG289" i="16"/>
  <c r="AF289" i="16" s="1"/>
  <c r="AD289" i="16" s="1"/>
  <c r="AG53" i="16"/>
  <c r="AF53" i="16" s="1"/>
  <c r="AD53" i="16" s="1"/>
  <c r="AG178" i="16"/>
  <c r="AF178" i="16" s="1"/>
  <c r="AD178" i="16" s="1"/>
  <c r="AG191" i="16"/>
  <c r="AF191" i="16" s="1"/>
  <c r="AD191" i="16" s="1"/>
  <c r="AG125" i="16"/>
  <c r="AF125" i="16" s="1"/>
  <c r="AD125" i="16" s="1"/>
  <c r="AG375" i="16"/>
  <c r="AF375" i="16" s="1"/>
  <c r="AD375" i="16" s="1"/>
  <c r="AA375" i="16" s="1"/>
  <c r="Z375" i="16" s="1"/>
  <c r="Y375" i="16" s="1"/>
  <c r="AG236" i="16"/>
  <c r="AF236" i="16" s="1"/>
  <c r="AD236" i="16" s="1"/>
  <c r="AG82" i="16"/>
  <c r="AF82" i="16" s="1"/>
  <c r="AD82" i="16" s="1"/>
  <c r="AG111" i="16"/>
  <c r="AF111" i="16" s="1"/>
  <c r="AD111" i="16" s="1"/>
  <c r="AG43" i="16"/>
  <c r="AF43" i="16" s="1"/>
  <c r="AD43" i="16" s="1"/>
  <c r="AG167" i="16"/>
  <c r="AF167" i="16" s="1"/>
  <c r="AD167" i="16" s="1"/>
  <c r="AG149" i="16"/>
  <c r="AF149" i="16" s="1"/>
  <c r="AD149" i="16" s="1"/>
  <c r="AG207" i="16"/>
  <c r="AF207" i="16" s="1"/>
  <c r="AD207" i="16" s="1"/>
  <c r="AG45" i="16"/>
  <c r="AF45" i="16" s="1"/>
  <c r="AD45" i="16" s="1"/>
  <c r="AG24" i="16"/>
  <c r="AF24" i="16" s="1"/>
  <c r="AD24" i="16" s="1"/>
  <c r="AG182" i="16"/>
  <c r="AF182" i="16" s="1"/>
  <c r="AD182" i="16" s="1"/>
  <c r="AG349" i="16"/>
  <c r="AF349" i="16" s="1"/>
  <c r="AD349" i="16" s="1"/>
  <c r="AG66" i="16"/>
  <c r="AF66" i="16" s="1"/>
  <c r="AD66" i="16" s="1"/>
  <c r="AG356" i="16"/>
  <c r="AF356" i="16" s="1"/>
  <c r="AD356" i="16" s="1"/>
  <c r="AG67" i="16"/>
  <c r="AF67" i="16" s="1"/>
  <c r="AD67" i="16" s="1"/>
  <c r="AG254" i="16"/>
  <c r="AF254" i="16" s="1"/>
  <c r="AD254" i="16" s="1"/>
  <c r="AG358" i="16"/>
  <c r="AF358" i="16" s="1"/>
  <c r="AD358" i="16" s="1"/>
  <c r="AG92" i="16"/>
  <c r="AF92" i="16" s="1"/>
  <c r="AD92" i="16" s="1"/>
  <c r="AG55" i="16"/>
  <c r="AF55" i="16" s="1"/>
  <c r="AD55" i="16" s="1"/>
  <c r="AG241" i="16"/>
  <c r="AF241" i="16" s="1"/>
  <c r="AD241" i="16" s="1"/>
  <c r="AG237" i="16"/>
  <c r="AF237" i="16" s="1"/>
  <c r="AD237" i="16" s="1"/>
  <c r="AG28" i="16"/>
  <c r="AF28" i="16" s="1"/>
  <c r="AD28" i="16" s="1"/>
  <c r="AG245" i="16"/>
  <c r="AF245" i="16" s="1"/>
  <c r="AD245" i="16" s="1"/>
  <c r="AG370" i="16"/>
  <c r="AF370" i="16" s="1"/>
  <c r="AD370" i="16" s="1"/>
  <c r="AG65" i="16"/>
  <c r="AF65" i="16" s="1"/>
  <c r="AD65" i="16" s="1"/>
  <c r="AG287" i="16"/>
  <c r="AF287" i="16" s="1"/>
  <c r="AD287" i="16" s="1"/>
  <c r="AG282" i="16"/>
  <c r="AF282" i="16" s="1"/>
  <c r="AD282" i="16" s="1"/>
  <c r="AG267" i="16"/>
  <c r="AF267" i="16" s="1"/>
  <c r="AD267" i="16" s="1"/>
  <c r="AG329" i="16"/>
  <c r="AF329" i="16" s="1"/>
  <c r="AD329" i="16" s="1"/>
  <c r="AG359" i="16"/>
  <c r="AF359" i="16" s="1"/>
  <c r="AD359" i="16" s="1"/>
  <c r="AG194" i="16"/>
  <c r="AF194" i="16" s="1"/>
  <c r="AD194" i="16" s="1"/>
  <c r="AG71" i="16"/>
  <c r="AF71" i="16" s="1"/>
  <c r="AD71" i="16" s="1"/>
  <c r="AG99" i="16"/>
  <c r="AF99" i="16" s="1"/>
  <c r="AD99" i="16" s="1"/>
  <c r="AA99" i="16" s="1"/>
  <c r="Z99" i="16" s="1"/>
  <c r="Y99" i="16" s="1"/>
  <c r="AG318" i="16"/>
  <c r="AF318" i="16" s="1"/>
  <c r="AD318" i="16" s="1"/>
  <c r="AG116" i="16"/>
  <c r="AF116" i="16" s="1"/>
  <c r="AD116" i="16" s="1"/>
  <c r="AG42" i="16"/>
  <c r="AF42" i="16" s="1"/>
  <c r="AD42" i="16" s="1"/>
  <c r="AG161" i="16"/>
  <c r="AF161" i="16" s="1"/>
  <c r="AD161" i="16" s="1"/>
  <c r="AG91" i="16"/>
  <c r="AF91" i="16" s="1"/>
  <c r="AD91" i="16" s="1"/>
  <c r="AG197" i="16"/>
  <c r="AF197" i="16" s="1"/>
  <c r="AD197" i="16" s="1"/>
  <c r="AG33" i="16"/>
  <c r="AF33" i="16" s="1"/>
  <c r="AD33" i="16" s="1"/>
  <c r="AG256" i="16"/>
  <c r="AF256" i="16" s="1"/>
  <c r="AD256" i="16" s="1"/>
  <c r="AG353" i="16"/>
  <c r="AF353" i="16" s="1"/>
  <c r="AD353" i="16" s="1"/>
  <c r="AG63" i="16"/>
  <c r="AF63" i="16" s="1"/>
  <c r="AD63" i="16" s="1"/>
  <c r="AG285" i="16"/>
  <c r="AF285" i="16" s="1"/>
  <c r="AD285" i="16" s="1"/>
  <c r="AG29" i="16"/>
  <c r="AF29" i="16" s="1"/>
  <c r="AD29" i="16" s="1"/>
  <c r="AG281" i="16"/>
  <c r="AF281" i="16" s="1"/>
  <c r="AD281" i="16" s="1"/>
  <c r="AG36" i="16"/>
  <c r="AF36" i="16" s="1"/>
  <c r="AD36" i="16" s="1"/>
  <c r="AG216" i="16"/>
  <c r="AF216" i="16" s="1"/>
  <c r="AD216" i="16" s="1"/>
  <c r="AG278" i="16"/>
  <c r="AF278" i="16" s="1"/>
  <c r="AD278" i="16" s="1"/>
  <c r="AG340" i="16"/>
  <c r="AF340" i="16" s="1"/>
  <c r="AD340" i="16" s="1"/>
  <c r="AG209" i="16"/>
  <c r="AF209" i="16" s="1"/>
  <c r="AD209" i="16" s="1"/>
  <c r="AG126" i="16"/>
  <c r="AF126" i="16" s="1"/>
  <c r="AD126" i="16" s="1"/>
  <c r="AG376" i="16"/>
  <c r="AF376" i="16" s="1"/>
  <c r="AD376" i="16" s="1"/>
  <c r="AG230" i="16"/>
  <c r="AF230" i="16" s="1"/>
  <c r="AD230" i="16" s="1"/>
  <c r="AG290" i="16"/>
  <c r="AF290" i="16" s="1"/>
  <c r="AD290" i="16" s="1"/>
  <c r="AG80" i="16"/>
  <c r="AF80" i="16" s="1"/>
  <c r="AD80" i="16" s="1"/>
  <c r="AI12" i="17"/>
  <c r="AH379" i="16"/>
  <c r="AG379" i="16" s="1"/>
  <c r="AF379" i="16" s="1"/>
  <c r="AD379" i="16" s="1"/>
  <c r="AG152" i="16"/>
  <c r="AF152" i="16" s="1"/>
  <c r="AD152" i="16" s="1"/>
  <c r="AG86" i="16"/>
  <c r="AF86" i="16" s="1"/>
  <c r="AD86" i="16" s="1"/>
  <c r="AG113" i="16"/>
  <c r="AF113" i="16" s="1"/>
  <c r="AD113" i="16" s="1"/>
  <c r="AG248" i="16"/>
  <c r="AF248" i="16" s="1"/>
  <c r="AD248" i="16" s="1"/>
  <c r="AG205" i="16"/>
  <c r="AF205" i="16" s="1"/>
  <c r="AD205" i="16" s="1"/>
  <c r="AG27" i="16"/>
  <c r="AF27" i="16" s="1"/>
  <c r="AD27" i="16" s="1"/>
  <c r="AG334" i="16"/>
  <c r="AF334" i="16" s="1"/>
  <c r="AD334" i="16" s="1"/>
  <c r="AG261" i="16"/>
  <c r="AF261" i="16" s="1"/>
  <c r="AD261" i="16" s="1"/>
  <c r="AG117" i="16"/>
  <c r="AF117" i="16" s="1"/>
  <c r="AD117" i="16" s="1"/>
  <c r="AG275" i="16"/>
  <c r="AF275" i="16" s="1"/>
  <c r="AD275" i="16" s="1"/>
  <c r="AG242" i="16"/>
  <c r="AF242" i="16" s="1"/>
  <c r="AD242" i="16" s="1"/>
  <c r="AA242" i="16" s="1"/>
  <c r="Z242" i="16" s="1"/>
  <c r="Y242" i="16" s="1"/>
  <c r="AG316" i="16"/>
  <c r="AF316" i="16" s="1"/>
  <c r="AD316" i="16" s="1"/>
  <c r="AG223" i="16"/>
  <c r="AF223" i="16" s="1"/>
  <c r="AD223" i="16" s="1"/>
  <c r="AG154" i="16"/>
  <c r="AF154" i="16" s="1"/>
  <c r="AD154" i="16" s="1"/>
  <c r="AG171" i="16"/>
  <c r="AF171" i="16" s="1"/>
  <c r="AD171" i="16" s="1"/>
  <c r="AG265" i="16"/>
  <c r="AF265" i="16" s="1"/>
  <c r="AD265" i="16" s="1"/>
  <c r="AG295" i="16"/>
  <c r="AF295" i="16" s="1"/>
  <c r="AD295" i="16" s="1"/>
  <c r="AG217" i="16"/>
  <c r="AF217" i="16" s="1"/>
  <c r="AD217" i="16" s="1"/>
  <c r="AG330" i="16"/>
  <c r="AF330" i="16" s="1"/>
  <c r="AD330" i="16" s="1"/>
  <c r="AG212" i="16"/>
  <c r="AF212" i="16" s="1"/>
  <c r="AD212" i="16" s="1"/>
  <c r="AG62" i="16"/>
  <c r="AF62" i="16" s="1"/>
  <c r="AD62" i="16" s="1"/>
  <c r="AA62" i="16" s="1"/>
  <c r="Z62" i="16" s="1"/>
  <c r="Y62" i="16" s="1"/>
  <c r="AG98" i="16"/>
  <c r="AF98" i="16" s="1"/>
  <c r="AD98" i="16" s="1"/>
  <c r="AG296" i="16"/>
  <c r="AF296" i="16" s="1"/>
  <c r="AD296" i="16" s="1"/>
  <c r="AG69" i="16"/>
  <c r="AF69" i="16" s="1"/>
  <c r="AD69" i="16" s="1"/>
  <c r="AG304" i="16"/>
  <c r="AF304" i="16" s="1"/>
  <c r="AD304" i="16" s="1"/>
  <c r="AG258" i="16"/>
  <c r="AF258" i="16" s="1"/>
  <c r="AD258" i="16" s="1"/>
  <c r="AA258" i="16" s="1"/>
  <c r="Z258" i="16" s="1"/>
  <c r="Y258" i="16" s="1"/>
  <c r="AG228" i="16"/>
  <c r="AF228" i="16" s="1"/>
  <c r="AD228" i="16" s="1"/>
  <c r="AG286" i="16"/>
  <c r="AF286" i="16" s="1"/>
  <c r="AD286" i="16" s="1"/>
  <c r="AG246" i="16"/>
  <c r="AF246" i="16" s="1"/>
  <c r="AD246" i="16" s="1"/>
  <c r="AG225" i="16"/>
  <c r="AF225" i="16" s="1"/>
  <c r="AD225" i="16" s="1"/>
  <c r="I243" i="15"/>
  <c r="J243" i="15"/>
  <c r="I359" i="15"/>
  <c r="J359" i="15"/>
  <c r="I21" i="15"/>
  <c r="J21" i="15"/>
  <c r="I102" i="15"/>
  <c r="J102" i="15"/>
  <c r="J123" i="15"/>
  <c r="I123" i="15"/>
  <c r="J309" i="15"/>
  <c r="I309" i="15"/>
  <c r="AC246" i="22"/>
  <c r="AC373" i="22"/>
  <c r="AC260" i="22"/>
  <c r="AC269" i="22"/>
  <c r="AC367" i="22"/>
  <c r="AC274" i="22"/>
  <c r="AC185" i="22"/>
  <c r="AC341" i="22"/>
  <c r="AC300" i="22"/>
  <c r="AC226" i="22"/>
  <c r="AC151" i="22"/>
  <c r="AC370" i="22"/>
  <c r="AC187" i="22"/>
  <c r="AC316" i="22"/>
  <c r="AC237" i="22"/>
  <c r="AC374" i="22"/>
  <c r="AC286" i="22"/>
  <c r="AC320" i="22"/>
  <c r="AC264" i="22"/>
  <c r="AC360" i="22"/>
  <c r="AC218" i="22"/>
  <c r="AC167" i="22"/>
  <c r="AC231" i="22"/>
  <c r="AC343" i="22"/>
  <c r="AC162" i="22"/>
  <c r="AC170" i="22"/>
  <c r="AC285" i="22"/>
  <c r="AC169" i="22"/>
  <c r="AC254" i="22"/>
  <c r="AC179" i="22"/>
  <c r="AC293" i="22"/>
  <c r="AC333" i="22"/>
  <c r="AC243" i="22"/>
  <c r="AC356" i="22"/>
  <c r="AC238" i="22"/>
  <c r="AC271" i="22"/>
  <c r="AC325" i="22"/>
  <c r="AC361" i="22"/>
  <c r="AC339" i="22"/>
  <c r="AC172" i="22"/>
  <c r="AC174" i="22"/>
  <c r="AC139" i="22"/>
  <c r="AC303" i="22"/>
  <c r="AC200" i="22"/>
  <c r="AC263" i="22"/>
  <c r="AC137" i="22"/>
  <c r="AC323" i="22"/>
  <c r="AC266" i="22"/>
  <c r="AC378" i="22"/>
  <c r="AC194" i="22"/>
  <c r="AC296" i="22"/>
  <c r="AC210" i="22"/>
  <c r="AC309" i="22"/>
  <c r="AC277" i="22"/>
  <c r="AC143" i="22"/>
  <c r="AC227" i="22"/>
  <c r="AC196" i="22"/>
  <c r="AC307" i="22"/>
  <c r="AC315" i="22"/>
  <c r="AC345" i="22"/>
  <c r="AC355" i="22"/>
  <c r="AC321" i="22"/>
  <c r="AC318" i="22"/>
  <c r="AC256" i="22"/>
  <c r="AC199" i="22"/>
  <c r="AC255" i="22"/>
  <c r="AC365" i="22"/>
  <c r="AC192" i="22"/>
  <c r="AC376" i="22"/>
  <c r="AC212" i="22"/>
  <c r="AC222" i="22"/>
  <c r="AC338" i="22"/>
  <c r="AC336" i="22"/>
  <c r="AC184" i="22"/>
  <c r="AC353" i="22"/>
  <c r="AC270" i="22"/>
  <c r="AC369" i="22"/>
  <c r="AC186" i="22"/>
  <c r="AC324" i="22"/>
  <c r="AC159" i="22"/>
  <c r="AC362" i="22"/>
  <c r="AC220" i="22"/>
  <c r="AC329" i="22"/>
  <c r="AC203" i="22"/>
  <c r="AC305" i="22"/>
  <c r="AC157" i="22"/>
  <c r="AC155" i="22"/>
  <c r="AC176" i="22"/>
  <c r="AC217" i="22"/>
  <c r="AC379" i="22"/>
  <c r="AC377" i="22"/>
  <c r="AC221" i="22"/>
  <c r="AC156" i="22"/>
  <c r="AC294" i="22"/>
  <c r="AC239" i="22"/>
  <c r="AC335" i="22"/>
  <c r="AC178" i="22"/>
  <c r="AC297" i="22"/>
  <c r="AC175" i="22"/>
  <c r="AC236" i="22"/>
  <c r="AC330" i="22"/>
  <c r="AC171" i="22"/>
  <c r="AC364" i="22"/>
  <c r="AC181" i="22"/>
  <c r="AC166" i="22"/>
  <c r="AC311" i="22"/>
  <c r="AC275" i="22"/>
  <c r="AC146" i="22"/>
  <c r="AC140" i="22"/>
  <c r="AC317" i="22"/>
  <c r="AC202" i="22"/>
  <c r="AC354" i="22"/>
  <c r="AC142" i="22"/>
  <c r="AC314" i="22"/>
  <c r="AC150" i="22"/>
  <c r="AC319" i="22"/>
  <c r="AC164" i="22"/>
  <c r="AC245" i="22"/>
  <c r="AC207" i="22"/>
  <c r="AC351" i="22"/>
  <c r="AC375" i="22"/>
  <c r="AC290" i="22"/>
  <c r="AC326" i="22"/>
  <c r="AC136" i="22"/>
  <c r="AC347" i="22"/>
  <c r="AC216" i="22"/>
  <c r="AC198" i="22"/>
  <c r="J256" i="15"/>
  <c r="I256" i="15"/>
  <c r="I114" i="15"/>
  <c r="J114" i="15"/>
  <c r="I18" i="15"/>
  <c r="J18" i="15"/>
  <c r="I206" i="15"/>
  <c r="J206" i="15"/>
  <c r="J145" i="15"/>
  <c r="I145" i="15"/>
  <c r="I250" i="15"/>
  <c r="J250" i="15"/>
  <c r="J19" i="15"/>
  <c r="I19" i="15"/>
  <c r="J227" i="15"/>
  <c r="I227" i="15"/>
  <c r="J130" i="15"/>
  <c r="I130" i="15"/>
  <c r="I80" i="15"/>
  <c r="J80" i="15"/>
  <c r="I240" i="15"/>
  <c r="J240" i="15"/>
  <c r="H177" i="16"/>
  <c r="G177" i="16"/>
  <c r="BY177" i="6" s="1"/>
  <c r="H195" i="16"/>
  <c r="G195" i="16"/>
  <c r="BY195" i="6" s="1"/>
  <c r="H267" i="16"/>
  <c r="J26" i="15"/>
  <c r="I26" i="15"/>
  <c r="I91" i="15"/>
  <c r="J91" i="15"/>
  <c r="I78" i="15"/>
  <c r="J78" i="15"/>
  <c r="I119" i="15"/>
  <c r="J119" i="15"/>
  <c r="I247" i="15"/>
  <c r="J247" i="15"/>
  <c r="I341" i="15"/>
  <c r="J341" i="15"/>
  <c r="I231" i="15"/>
  <c r="J231" i="15"/>
  <c r="J376" i="15"/>
  <c r="I376" i="15"/>
  <c r="S184" i="16"/>
  <c r="R184" i="16" s="1"/>
  <c r="P184" i="16" s="1"/>
  <c r="V184" i="16" s="1"/>
  <c r="F184" i="16" s="1"/>
  <c r="S103" i="16"/>
  <c r="R103" i="16" s="1"/>
  <c r="P103" i="16" s="1"/>
  <c r="V103" i="16" s="1"/>
  <c r="F103" i="16" s="1"/>
  <c r="S376" i="16"/>
  <c r="R376" i="16" s="1"/>
  <c r="P376" i="16" s="1"/>
  <c r="V376" i="16" s="1"/>
  <c r="F376" i="16" s="1"/>
  <c r="S272" i="16"/>
  <c r="R272" i="16" s="1"/>
  <c r="P272" i="16" s="1"/>
  <c r="S364" i="16"/>
  <c r="R364" i="16" s="1"/>
  <c r="P364" i="16" s="1"/>
  <c r="V364" i="16" s="1"/>
  <c r="F364" i="16" s="1"/>
  <c r="S80" i="16"/>
  <c r="R80" i="16" s="1"/>
  <c r="P80" i="16" s="1"/>
  <c r="V80" i="16" s="1"/>
  <c r="F80" i="16" s="1"/>
  <c r="S201" i="16"/>
  <c r="R201" i="16" s="1"/>
  <c r="P201" i="16" s="1"/>
  <c r="V201" i="16" s="1"/>
  <c r="F201" i="16" s="1"/>
  <c r="S317" i="16"/>
  <c r="R317" i="16" s="1"/>
  <c r="P317" i="16" s="1"/>
  <c r="V317" i="16" s="1"/>
  <c r="F317" i="16" s="1"/>
  <c r="S54" i="16"/>
  <c r="R54" i="16" s="1"/>
  <c r="P54" i="16" s="1"/>
  <c r="V54" i="16" s="1"/>
  <c r="F54" i="16" s="1"/>
  <c r="S240" i="16"/>
  <c r="R240" i="16" s="1"/>
  <c r="P240" i="16" s="1"/>
  <c r="V240" i="16" s="1"/>
  <c r="F240" i="16" s="1"/>
  <c r="S350" i="16"/>
  <c r="R350" i="16" s="1"/>
  <c r="P350" i="16" s="1"/>
  <c r="V350" i="16" s="1"/>
  <c r="S28" i="16"/>
  <c r="R28" i="16" s="1"/>
  <c r="P28" i="16" s="1"/>
  <c r="V28" i="16" s="1"/>
  <c r="F28" i="16" s="1"/>
  <c r="S229" i="16"/>
  <c r="R229" i="16" s="1"/>
  <c r="P229" i="16" s="1"/>
  <c r="V229" i="16" s="1"/>
  <c r="F229" i="16" s="1"/>
  <c r="S252" i="16"/>
  <c r="R252" i="16" s="1"/>
  <c r="P252" i="16" s="1"/>
  <c r="V252" i="16" s="1"/>
  <c r="F252" i="16" s="1"/>
  <c r="S123" i="16"/>
  <c r="R123" i="16" s="1"/>
  <c r="P123" i="16" s="1"/>
  <c r="V123" i="16" s="1"/>
  <c r="F123" i="16" s="1"/>
  <c r="S279" i="16"/>
  <c r="R279" i="16" s="1"/>
  <c r="P279" i="16" s="1"/>
  <c r="V279" i="16" s="1"/>
  <c r="F279" i="16" s="1"/>
  <c r="S192" i="16"/>
  <c r="R192" i="16" s="1"/>
  <c r="P192" i="16" s="1"/>
  <c r="V192" i="16" s="1"/>
  <c r="F192" i="16" s="1"/>
  <c r="S39" i="16"/>
  <c r="R39" i="16" s="1"/>
  <c r="P39" i="16" s="1"/>
  <c r="V39" i="16" s="1"/>
  <c r="F39" i="16" s="1"/>
  <c r="S122" i="16"/>
  <c r="R122" i="16" s="1"/>
  <c r="P122" i="16" s="1"/>
  <c r="V122" i="16" s="1"/>
  <c r="F122" i="16" s="1"/>
  <c r="S280" i="16"/>
  <c r="R280" i="16" s="1"/>
  <c r="P280" i="16" s="1"/>
  <c r="V280" i="16" s="1"/>
  <c r="F280" i="16" s="1"/>
  <c r="S328" i="16"/>
  <c r="R328" i="16" s="1"/>
  <c r="P328" i="16" s="1"/>
  <c r="V328" i="16" s="1"/>
  <c r="F328" i="16" s="1"/>
  <c r="S56" i="16"/>
  <c r="R56" i="16" s="1"/>
  <c r="P56" i="16" s="1"/>
  <c r="V56" i="16" s="1"/>
  <c r="F56" i="16" s="1"/>
  <c r="S325" i="16"/>
  <c r="R325" i="16" s="1"/>
  <c r="P325" i="16" s="1"/>
  <c r="V325" i="16" s="1"/>
  <c r="F325" i="16" s="1"/>
  <c r="S228" i="16"/>
  <c r="R228" i="16" s="1"/>
  <c r="P228" i="16" s="1"/>
  <c r="V228" i="16" s="1"/>
  <c r="S209" i="16"/>
  <c r="R209" i="16" s="1"/>
  <c r="P209" i="16" s="1"/>
  <c r="V209" i="16" s="1"/>
  <c r="F209" i="16" s="1"/>
  <c r="S138" i="16"/>
  <c r="R138" i="16" s="1"/>
  <c r="P138" i="16" s="1"/>
  <c r="V138" i="16" s="1"/>
  <c r="F138" i="16" s="1"/>
  <c r="H306" i="16"/>
  <c r="G306" i="16"/>
  <c r="BY306" i="6" s="1"/>
  <c r="S191" i="16"/>
  <c r="R191" i="16" s="1"/>
  <c r="P191" i="16" s="1"/>
  <c r="V191" i="16" s="1"/>
  <c r="F191" i="16" s="1"/>
  <c r="S236" i="16"/>
  <c r="R236" i="16" s="1"/>
  <c r="P236" i="16" s="1"/>
  <c r="V236" i="16" s="1"/>
  <c r="F236" i="16" s="1"/>
  <c r="S223" i="16"/>
  <c r="R223" i="16" s="1"/>
  <c r="P223" i="16" s="1"/>
  <c r="V223" i="16" s="1"/>
  <c r="F223" i="16" s="1"/>
  <c r="S18" i="16"/>
  <c r="R18" i="16" s="1"/>
  <c r="P18" i="16" s="1"/>
  <c r="V18" i="16" s="1"/>
  <c r="F18" i="16" s="1"/>
  <c r="G18" i="16" s="1"/>
  <c r="BY18" i="6" s="1"/>
  <c r="S94" i="16"/>
  <c r="R94" i="16" s="1"/>
  <c r="P94" i="16" s="1"/>
  <c r="V94" i="16" s="1"/>
  <c r="F94" i="16" s="1"/>
  <c r="S29" i="16"/>
  <c r="R29" i="16" s="1"/>
  <c r="P29" i="16" s="1"/>
  <c r="S47" i="16"/>
  <c r="R47" i="16" s="1"/>
  <c r="P47" i="16" s="1"/>
  <c r="V47" i="16" s="1"/>
  <c r="S93" i="16"/>
  <c r="R93" i="16" s="1"/>
  <c r="P93" i="16" s="1"/>
  <c r="V93" i="16" s="1"/>
  <c r="F93" i="16" s="1"/>
  <c r="V208" i="16"/>
  <c r="F208" i="16" s="1"/>
  <c r="S337" i="16"/>
  <c r="R337" i="16" s="1"/>
  <c r="P337" i="16" s="1"/>
  <c r="V337" i="16" s="1"/>
  <c r="F337" i="16" s="1"/>
  <c r="S91" i="16"/>
  <c r="R91" i="16" s="1"/>
  <c r="P91" i="16" s="1"/>
  <c r="V91" i="16" s="1"/>
  <c r="F91" i="16" s="1"/>
  <c r="S77" i="16"/>
  <c r="R77" i="16" s="1"/>
  <c r="P77" i="16" s="1"/>
  <c r="V77" i="16" s="1"/>
  <c r="F77" i="16" s="1"/>
  <c r="S216" i="16"/>
  <c r="R216" i="16" s="1"/>
  <c r="P216" i="16" s="1"/>
  <c r="V216" i="16" s="1"/>
  <c r="F216" i="16" s="1"/>
  <c r="S57" i="16"/>
  <c r="R57" i="16" s="1"/>
  <c r="P57" i="16" s="1"/>
  <c r="V57" i="16" s="1"/>
  <c r="F57" i="16" s="1"/>
  <c r="S106" i="16"/>
  <c r="R106" i="16" s="1"/>
  <c r="P106" i="16" s="1"/>
  <c r="V106" i="16" s="1"/>
  <c r="S282" i="16"/>
  <c r="R282" i="16" s="1"/>
  <c r="P282" i="16" s="1"/>
  <c r="V282" i="16" s="1"/>
  <c r="F282" i="16" s="1"/>
  <c r="S96" i="16"/>
  <c r="R96" i="16" s="1"/>
  <c r="P96" i="16" s="1"/>
  <c r="V96" i="16" s="1"/>
  <c r="F96" i="16" s="1"/>
  <c r="S292" i="16"/>
  <c r="R292" i="16" s="1"/>
  <c r="P292" i="16" s="1"/>
  <c r="V292" i="16" s="1"/>
  <c r="F292" i="16" s="1"/>
  <c r="S20" i="16"/>
  <c r="R20" i="16" s="1"/>
  <c r="P20" i="16" s="1"/>
  <c r="V20" i="16" s="1"/>
  <c r="F20" i="16" s="1"/>
  <c r="S176" i="16"/>
  <c r="R176" i="16" s="1"/>
  <c r="P176" i="16" s="1"/>
  <c r="S324" i="16"/>
  <c r="R324" i="16" s="1"/>
  <c r="P324" i="16" s="1"/>
  <c r="V324" i="16" s="1"/>
  <c r="F324" i="16" s="1"/>
  <c r="S221" i="16"/>
  <c r="R221" i="16" s="1"/>
  <c r="P221" i="16" s="1"/>
  <c r="V221" i="16" s="1"/>
  <c r="F221" i="16" s="1"/>
  <c r="S239" i="16"/>
  <c r="R239" i="16" s="1"/>
  <c r="P239" i="16" s="1"/>
  <c r="V239" i="16" s="1"/>
  <c r="F239" i="16" s="1"/>
  <c r="S73" i="16"/>
  <c r="R73" i="16" s="1"/>
  <c r="P73" i="16" s="1"/>
  <c r="V73" i="16" s="1"/>
  <c r="F73" i="16" s="1"/>
  <c r="U382" i="16"/>
  <c r="U383" i="16"/>
  <c r="R382" i="15"/>
  <c r="R383" i="15"/>
  <c r="R381" i="15"/>
  <c r="P15" i="15"/>
  <c r="H146" i="16"/>
  <c r="H288" i="16"/>
  <c r="G288" i="16"/>
  <c r="BY288" i="6" s="1"/>
  <c r="G51" i="16"/>
  <c r="BY51" i="6" s="1"/>
  <c r="H51" i="16"/>
  <c r="H99" i="16"/>
  <c r="G104" i="16"/>
  <c r="BY104" i="6" s="1"/>
  <c r="J88" i="15"/>
  <c r="I88" i="15"/>
  <c r="H90" i="16"/>
  <c r="G90" i="16"/>
  <c r="BY90" i="6" s="1"/>
  <c r="G62" i="16"/>
  <c r="BY62" i="6" s="1"/>
  <c r="H62" i="16"/>
  <c r="G158" i="16"/>
  <c r="BY158" i="6" s="1"/>
  <c r="AA158" i="16"/>
  <c r="Z158" i="16" s="1"/>
  <c r="Y158" i="16" s="1"/>
  <c r="H158" i="16"/>
  <c r="G157" i="16"/>
  <c r="BY157" i="6" s="1"/>
  <c r="I29" i="15"/>
  <c r="J29" i="15"/>
  <c r="I272" i="15"/>
  <c r="J272" i="15"/>
  <c r="P16" i="7"/>
  <c r="V11" i="7" s="1"/>
  <c r="U11" i="17" s="1"/>
  <c r="T379" i="16"/>
  <c r="S379" i="16" s="1"/>
  <c r="R379" i="16" s="1"/>
  <c r="P379" i="16" s="1"/>
  <c r="U12" i="17"/>
  <c r="S220" i="16"/>
  <c r="R220" i="16" s="1"/>
  <c r="P220" i="16" s="1"/>
  <c r="V220" i="16" s="1"/>
  <c r="F220" i="16" s="1"/>
  <c r="S101" i="16"/>
  <c r="R101" i="16" s="1"/>
  <c r="P101" i="16" s="1"/>
  <c r="V101" i="16" s="1"/>
  <c r="F101" i="16" s="1"/>
  <c r="S305" i="16"/>
  <c r="R305" i="16" s="1"/>
  <c r="P305" i="16" s="1"/>
  <c r="V305" i="16" s="1"/>
  <c r="F305" i="16" s="1"/>
  <c r="S270" i="16"/>
  <c r="R270" i="16" s="1"/>
  <c r="P270" i="16" s="1"/>
  <c r="V270" i="16" s="1"/>
  <c r="F270" i="16" s="1"/>
  <c r="S225" i="16"/>
  <c r="R225" i="16" s="1"/>
  <c r="P225" i="16" s="1"/>
  <c r="V225" i="16" s="1"/>
  <c r="F225" i="16" s="1"/>
  <c r="S300" i="16"/>
  <c r="R300" i="16" s="1"/>
  <c r="P300" i="16" s="1"/>
  <c r="V300" i="16" s="1"/>
  <c r="F300" i="16" s="1"/>
  <c r="S227" i="16"/>
  <c r="R227" i="16" s="1"/>
  <c r="P227" i="16" s="1"/>
  <c r="V227" i="16" s="1"/>
  <c r="F227" i="16" s="1"/>
  <c r="S115" i="16"/>
  <c r="R115" i="16" s="1"/>
  <c r="P115" i="16" s="1"/>
  <c r="V115" i="16" s="1"/>
  <c r="F115" i="16" s="1"/>
  <c r="S380" i="16"/>
  <c r="R380" i="16" s="1"/>
  <c r="P380" i="16" s="1"/>
  <c r="V380" i="16" s="1"/>
  <c r="F380" i="16" s="1"/>
  <c r="S320" i="16"/>
  <c r="R320" i="16" s="1"/>
  <c r="P320" i="16" s="1"/>
  <c r="S344" i="16"/>
  <c r="R344" i="16" s="1"/>
  <c r="P344" i="16" s="1"/>
  <c r="V344" i="16" s="1"/>
  <c r="F344" i="16" s="1"/>
  <c r="S71" i="16"/>
  <c r="R71" i="16" s="1"/>
  <c r="P71" i="16" s="1"/>
  <c r="V71" i="16" s="1"/>
  <c r="F71" i="16" s="1"/>
  <c r="S167" i="16"/>
  <c r="R167" i="16" s="1"/>
  <c r="P167" i="16" s="1"/>
  <c r="V167" i="16" s="1"/>
  <c r="S312" i="16"/>
  <c r="R312" i="16" s="1"/>
  <c r="P312" i="16" s="1"/>
  <c r="V312" i="16" s="1"/>
  <c r="F312" i="16" s="1"/>
  <c r="S215" i="16"/>
  <c r="R215" i="16" s="1"/>
  <c r="P215" i="16" s="1"/>
  <c r="V215" i="16" s="1"/>
  <c r="F215" i="16" s="1"/>
  <c r="S155" i="16"/>
  <c r="R155" i="16" s="1"/>
  <c r="P155" i="16" s="1"/>
  <c r="V155" i="16" s="1"/>
  <c r="F155" i="16" s="1"/>
  <c r="S340" i="16"/>
  <c r="R340" i="16" s="1"/>
  <c r="P340" i="16" s="1"/>
  <c r="V340" i="16" s="1"/>
  <c r="F340" i="16" s="1"/>
  <c r="S140" i="16"/>
  <c r="R140" i="16" s="1"/>
  <c r="P140" i="16" s="1"/>
  <c r="V140" i="16" s="1"/>
  <c r="F140" i="16" s="1"/>
  <c r="S53" i="16"/>
  <c r="R53" i="16" s="1"/>
  <c r="P53" i="16" s="1"/>
  <c r="V53" i="16" s="1"/>
  <c r="F53" i="16" s="1"/>
  <c r="S147" i="16"/>
  <c r="R147" i="16" s="1"/>
  <c r="P147" i="16" s="1"/>
  <c r="V147" i="16" s="1"/>
  <c r="F147" i="16" s="1"/>
  <c r="S323" i="16"/>
  <c r="R323" i="16" s="1"/>
  <c r="P323" i="16" s="1"/>
  <c r="V323" i="16" s="1"/>
  <c r="F323" i="16" s="1"/>
  <c r="S111" i="16"/>
  <c r="R111" i="16" s="1"/>
  <c r="P111" i="16" s="1"/>
  <c r="V111" i="16" s="1"/>
  <c r="F111" i="16" s="1"/>
  <c r="S52" i="16"/>
  <c r="R52" i="16" s="1"/>
  <c r="P52" i="16" s="1"/>
  <c r="V52" i="16" s="1"/>
  <c r="F52" i="16" s="1"/>
  <c r="S261" i="16"/>
  <c r="R261" i="16" s="1"/>
  <c r="P261" i="16" s="1"/>
  <c r="V261" i="16" s="1"/>
  <c r="F261" i="16" s="1"/>
  <c r="S330" i="16"/>
  <c r="R330" i="16" s="1"/>
  <c r="P330" i="16" s="1"/>
  <c r="V330" i="16" s="1"/>
  <c r="F330" i="16" s="1"/>
  <c r="S238" i="16"/>
  <c r="R238" i="16" s="1"/>
  <c r="P238" i="16" s="1"/>
  <c r="V238" i="16" s="1"/>
  <c r="F238" i="16" s="1"/>
  <c r="S359" i="16"/>
  <c r="R359" i="16" s="1"/>
  <c r="P359" i="16" s="1"/>
  <c r="V359" i="16" s="1"/>
  <c r="F359" i="16" s="1"/>
  <c r="S230" i="16"/>
  <c r="R230" i="16" s="1"/>
  <c r="P230" i="16" s="1"/>
  <c r="V230" i="16" s="1"/>
  <c r="F230" i="16" s="1"/>
  <c r="S174" i="16"/>
  <c r="R174" i="16" s="1"/>
  <c r="P174" i="16" s="1"/>
  <c r="V174" i="16" s="1"/>
  <c r="F174" i="16" s="1"/>
  <c r="S310" i="16"/>
  <c r="R310" i="16" s="1"/>
  <c r="P310" i="16" s="1"/>
  <c r="V310" i="16" s="1"/>
  <c r="F310" i="16" s="1"/>
  <c r="S197" i="16"/>
  <c r="R197" i="16" s="1"/>
  <c r="P197" i="16" s="1"/>
  <c r="S277" i="16"/>
  <c r="R277" i="16" s="1"/>
  <c r="P277" i="16" s="1"/>
  <c r="V277" i="16" s="1"/>
  <c r="F277" i="16" s="1"/>
  <c r="S313" i="16"/>
  <c r="R313" i="16" s="1"/>
  <c r="P313" i="16" s="1"/>
  <c r="V313" i="16" s="1"/>
  <c r="F313" i="16" s="1"/>
  <c r="S170" i="16"/>
  <c r="R170" i="16" s="1"/>
  <c r="P170" i="16" s="1"/>
  <c r="V170" i="16" s="1"/>
  <c r="F170" i="16" s="1"/>
  <c r="S331" i="16"/>
  <c r="R331" i="16" s="1"/>
  <c r="P331" i="16" s="1"/>
  <c r="V331" i="16" s="1"/>
  <c r="F331" i="16" s="1"/>
  <c r="S194" i="16"/>
  <c r="R194" i="16" s="1"/>
  <c r="P194" i="16" s="1"/>
  <c r="V194" i="16" s="1"/>
  <c r="F194" i="16" s="1"/>
  <c r="S345" i="16"/>
  <c r="R345" i="16" s="1"/>
  <c r="P345" i="16" s="1"/>
  <c r="V345" i="16" s="1"/>
  <c r="F345" i="16" s="1"/>
  <c r="V356" i="16"/>
  <c r="F356" i="16" s="1"/>
  <c r="S362" i="16"/>
  <c r="R362" i="16" s="1"/>
  <c r="P362" i="16" s="1"/>
  <c r="V362" i="16" s="1"/>
  <c r="F362" i="16" s="1"/>
  <c r="S139" i="16"/>
  <c r="R139" i="16" s="1"/>
  <c r="P139" i="16" s="1"/>
  <c r="V139" i="16" s="1"/>
  <c r="F139" i="16" s="1"/>
  <c r="S33" i="16"/>
  <c r="R33" i="16" s="1"/>
  <c r="P33" i="16" s="1"/>
  <c r="V33" i="16" s="1"/>
  <c r="F33" i="16" s="1"/>
  <c r="S32" i="16"/>
  <c r="R32" i="16" s="1"/>
  <c r="P32" i="16" s="1"/>
  <c r="V32" i="16" s="1"/>
  <c r="F32" i="16" s="1"/>
  <c r="S206" i="16"/>
  <c r="R206" i="16" s="1"/>
  <c r="P206" i="16" s="1"/>
  <c r="V206" i="16" s="1"/>
  <c r="F206" i="16" s="1"/>
  <c r="S343" i="16"/>
  <c r="R343" i="16" s="1"/>
  <c r="P343" i="16" s="1"/>
  <c r="V343" i="16" s="1"/>
  <c r="F343" i="16" s="1"/>
  <c r="S63" i="16"/>
  <c r="R63" i="16" s="1"/>
  <c r="P63" i="16" s="1"/>
  <c r="V63" i="16" s="1"/>
  <c r="F63" i="16" s="1"/>
  <c r="S370" i="16"/>
  <c r="R370" i="16" s="1"/>
  <c r="P370" i="16" s="1"/>
  <c r="V370" i="16" s="1"/>
  <c r="F370" i="16" s="1"/>
  <c r="S315" i="16"/>
  <c r="R315" i="16" s="1"/>
  <c r="P315" i="16" s="1"/>
  <c r="V315" i="16" s="1"/>
  <c r="F315" i="16" s="1"/>
  <c r="S241" i="16"/>
  <c r="R241" i="16" s="1"/>
  <c r="P241" i="16" s="1"/>
  <c r="S67" i="16"/>
  <c r="R67" i="16" s="1"/>
  <c r="P67" i="16" s="1"/>
  <c r="V67" i="16" s="1"/>
  <c r="F67" i="16" s="1"/>
  <c r="S318" i="16"/>
  <c r="R318" i="16" s="1"/>
  <c r="P318" i="16" s="1"/>
  <c r="V318" i="16" s="1"/>
  <c r="F318" i="16" s="1"/>
  <c r="S163" i="16"/>
  <c r="R163" i="16" s="1"/>
  <c r="P163" i="16" s="1"/>
  <c r="V163" i="16" s="1"/>
  <c r="F163" i="16" s="1"/>
  <c r="S332" i="16"/>
  <c r="R332" i="16" s="1"/>
  <c r="P332" i="16" s="1"/>
  <c r="V332" i="16" s="1"/>
  <c r="F332" i="16" s="1"/>
  <c r="S116" i="16"/>
  <c r="R116" i="16" s="1"/>
  <c r="P116" i="16" s="1"/>
  <c r="V116" i="16" s="1"/>
  <c r="F116" i="16" s="1"/>
  <c r="S160" i="16"/>
  <c r="R160" i="16" s="1"/>
  <c r="P160" i="16" s="1"/>
  <c r="V160" i="16" s="1"/>
  <c r="F160" i="16" s="1"/>
  <c r="S352" i="16"/>
  <c r="R352" i="16" s="1"/>
  <c r="P352" i="16" s="1"/>
  <c r="V352" i="16" s="1"/>
  <c r="F352" i="16" s="1"/>
  <c r="S213" i="16"/>
  <c r="R213" i="16" s="1"/>
  <c r="P213" i="16" s="1"/>
  <c r="V213" i="16" s="1"/>
  <c r="F213" i="16" s="1"/>
  <c r="S264" i="16"/>
  <c r="R264" i="16" s="1"/>
  <c r="P264" i="16" s="1"/>
  <c r="V264" i="16" s="1"/>
  <c r="F264" i="16" s="1"/>
  <c r="S152" i="16"/>
  <c r="R152" i="16" s="1"/>
  <c r="P152" i="16" s="1"/>
  <c r="V152" i="16" s="1"/>
  <c r="F152" i="16" s="1"/>
  <c r="S58" i="16"/>
  <c r="R58" i="16" s="1"/>
  <c r="P58" i="16" s="1"/>
  <c r="V58" i="16" s="1"/>
  <c r="F58" i="16" s="1"/>
  <c r="S200" i="16"/>
  <c r="R200" i="16" s="1"/>
  <c r="P200" i="16" s="1"/>
  <c r="V200" i="16" s="1"/>
  <c r="F200" i="16" s="1"/>
  <c r="S129" i="16"/>
  <c r="R129" i="16" s="1"/>
  <c r="P129" i="16" s="1"/>
  <c r="V129" i="16" s="1"/>
  <c r="F129" i="16" s="1"/>
  <c r="S307" i="16"/>
  <c r="R307" i="16" s="1"/>
  <c r="P307" i="16" s="1"/>
  <c r="V307" i="16" s="1"/>
  <c r="F307" i="16" s="1"/>
  <c r="S181" i="16"/>
  <c r="R181" i="16" s="1"/>
  <c r="P181" i="16" s="1"/>
  <c r="V181" i="16" s="1"/>
  <c r="F181" i="16" s="1"/>
  <c r="S189" i="16"/>
  <c r="R189" i="16" s="1"/>
  <c r="P189" i="16" s="1"/>
  <c r="V189" i="16" s="1"/>
  <c r="F189" i="16" s="1"/>
  <c r="S265" i="16"/>
  <c r="R265" i="16" s="1"/>
  <c r="P265" i="16" s="1"/>
  <c r="V265" i="16" s="1"/>
  <c r="F265" i="16" s="1"/>
  <c r="S61" i="16"/>
  <c r="R61" i="16" s="1"/>
  <c r="P61" i="16" s="1"/>
  <c r="V61" i="16" s="1"/>
  <c r="F61" i="16" s="1"/>
  <c r="S285" i="16"/>
  <c r="R285" i="16" s="1"/>
  <c r="P285" i="16" s="1"/>
  <c r="V285" i="16" s="1"/>
  <c r="F285" i="16" s="1"/>
  <c r="S68" i="16"/>
  <c r="R68" i="16" s="1"/>
  <c r="P68" i="16" s="1"/>
  <c r="V68" i="16" s="1"/>
  <c r="F68" i="16" s="1"/>
  <c r="S148" i="16"/>
  <c r="R148" i="16" s="1"/>
  <c r="P148" i="16" s="1"/>
  <c r="V148" i="16" s="1"/>
  <c r="F148" i="16" s="1"/>
  <c r="S372" i="16"/>
  <c r="R372" i="16" s="1"/>
  <c r="P372" i="16" s="1"/>
  <c r="V372" i="16" s="1"/>
  <c r="F372" i="16" s="1"/>
  <c r="S105" i="16"/>
  <c r="R105" i="16" s="1"/>
  <c r="P105" i="16" s="1"/>
  <c r="V105" i="16" s="1"/>
  <c r="F105" i="16" s="1"/>
  <c r="H105" i="16" s="1"/>
  <c r="S373" i="16"/>
  <c r="R373" i="16" s="1"/>
  <c r="P373" i="16" s="1"/>
  <c r="V373" i="16" s="1"/>
  <c r="F373" i="16" s="1"/>
  <c r="S339" i="16"/>
  <c r="R339" i="16" s="1"/>
  <c r="P339" i="16" s="1"/>
  <c r="V339" i="16" s="1"/>
  <c r="F339" i="16" s="1"/>
  <c r="S193" i="16"/>
  <c r="R193" i="16" s="1"/>
  <c r="P193" i="16" s="1"/>
  <c r="V193" i="16" s="1"/>
  <c r="F193" i="16" s="1"/>
  <c r="S363" i="16"/>
  <c r="R363" i="16" s="1"/>
  <c r="P363" i="16" s="1"/>
  <c r="S66" i="16"/>
  <c r="R66" i="16" s="1"/>
  <c r="P66" i="16" s="1"/>
  <c r="V66" i="16" s="1"/>
  <c r="F66" i="16" s="1"/>
  <c r="S205" i="16"/>
  <c r="R205" i="16" s="1"/>
  <c r="P205" i="16" s="1"/>
  <c r="V205" i="16" s="1"/>
  <c r="F205" i="16" s="1"/>
  <c r="S224" i="16"/>
  <c r="R224" i="16" s="1"/>
  <c r="P224" i="16" s="1"/>
  <c r="V224" i="16" s="1"/>
  <c r="F224" i="16" s="1"/>
  <c r="S154" i="16"/>
  <c r="R154" i="16" s="1"/>
  <c r="P154" i="16" s="1"/>
  <c r="V154" i="16" s="1"/>
  <c r="F154" i="16" s="1"/>
  <c r="S42" i="16"/>
  <c r="R42" i="16" s="1"/>
  <c r="P42" i="16" s="1"/>
  <c r="V42" i="16" s="1"/>
  <c r="F42" i="16" s="1"/>
  <c r="S173" i="16"/>
  <c r="R173" i="16" s="1"/>
  <c r="P173" i="16" s="1"/>
  <c r="V173" i="16" s="1"/>
  <c r="F173" i="16" s="1"/>
  <c r="S88" i="16"/>
  <c r="R88" i="16" s="1"/>
  <c r="P88" i="16" s="1"/>
  <c r="S98" i="16"/>
  <c r="R98" i="16" s="1"/>
  <c r="P98" i="16" s="1"/>
  <c r="V98" i="16" s="1"/>
  <c r="F98" i="16" s="1"/>
  <c r="S131" i="16"/>
  <c r="R131" i="16" s="1"/>
  <c r="P131" i="16" s="1"/>
  <c r="V131" i="16" s="1"/>
  <c r="F131" i="16" s="1"/>
  <c r="S302" i="16"/>
  <c r="R302" i="16" s="1"/>
  <c r="P302" i="16" s="1"/>
  <c r="S358" i="16"/>
  <c r="R358" i="16" s="1"/>
  <c r="P358" i="16" s="1"/>
  <c r="V358" i="16" s="1"/>
  <c r="F358" i="16" s="1"/>
  <c r="S299" i="16"/>
  <c r="R299" i="16" s="1"/>
  <c r="P299" i="16" s="1"/>
  <c r="V299" i="16" s="1"/>
  <c r="F299" i="16" s="1"/>
  <c r="S316" i="16"/>
  <c r="R316" i="16" s="1"/>
  <c r="P316" i="16" s="1"/>
  <c r="V316" i="16" s="1"/>
  <c r="F316" i="16" s="1"/>
  <c r="S44" i="16"/>
  <c r="R44" i="16" s="1"/>
  <c r="P44" i="16" s="1"/>
  <c r="V44" i="16" s="1"/>
  <c r="F44" i="16" s="1"/>
  <c r="S79" i="16"/>
  <c r="R79" i="16" s="1"/>
  <c r="P79" i="16" s="1"/>
  <c r="V79" i="16" s="1"/>
  <c r="F79" i="16" s="1"/>
  <c r="S50" i="16"/>
  <c r="R50" i="16" s="1"/>
  <c r="P50" i="16" s="1"/>
  <c r="V50" i="16" s="1"/>
  <c r="F50" i="16" s="1"/>
  <c r="AG70" i="16"/>
  <c r="AF70" i="16" s="1"/>
  <c r="AD70" i="16" s="1"/>
  <c r="AG362" i="16"/>
  <c r="AF362" i="16" s="1"/>
  <c r="AD362" i="16" s="1"/>
  <c r="AG150" i="16"/>
  <c r="AF150" i="16" s="1"/>
  <c r="AD150" i="16" s="1"/>
  <c r="AG145" i="16"/>
  <c r="AF145" i="16" s="1"/>
  <c r="AD145" i="16" s="1"/>
  <c r="AG120" i="16"/>
  <c r="AF120" i="16" s="1"/>
  <c r="AD120" i="16" s="1"/>
  <c r="AG187" i="16"/>
  <c r="AF187" i="16" s="1"/>
  <c r="AD187" i="16" s="1"/>
  <c r="AG291" i="16"/>
  <c r="AF291" i="16" s="1"/>
  <c r="AD291" i="16" s="1"/>
  <c r="AG378" i="16"/>
  <c r="AF378" i="16" s="1"/>
  <c r="AD378" i="16" s="1"/>
  <c r="AG180" i="16"/>
  <c r="AF180" i="16" s="1"/>
  <c r="AD180" i="16" s="1"/>
  <c r="AG133" i="16"/>
  <c r="AF133" i="16" s="1"/>
  <c r="AD133" i="16" s="1"/>
  <c r="AG211" i="16"/>
  <c r="AF211" i="16" s="1"/>
  <c r="AD211" i="16" s="1"/>
  <c r="AG189" i="16"/>
  <c r="AF189" i="16" s="1"/>
  <c r="AD189" i="16" s="1"/>
  <c r="AG272" i="16"/>
  <c r="AF272" i="16" s="1"/>
  <c r="AD272" i="16" s="1"/>
  <c r="AG213" i="16"/>
  <c r="AF213" i="16" s="1"/>
  <c r="AD213" i="16" s="1"/>
  <c r="AG338" i="16"/>
  <c r="AF338" i="16" s="1"/>
  <c r="AD338" i="16" s="1"/>
  <c r="AA338" i="16" s="1"/>
  <c r="Z338" i="16" s="1"/>
  <c r="Y338" i="16" s="1"/>
  <c r="AG239" i="16"/>
  <c r="AF239" i="16" s="1"/>
  <c r="AD239" i="16" s="1"/>
  <c r="AG235" i="16"/>
  <c r="AF235" i="16" s="1"/>
  <c r="AD235" i="16" s="1"/>
  <c r="AG327" i="16"/>
  <c r="AF327" i="16" s="1"/>
  <c r="AD327" i="16" s="1"/>
  <c r="AG100" i="16"/>
  <c r="AF100" i="16" s="1"/>
  <c r="AD100" i="16" s="1"/>
  <c r="AG190" i="16"/>
  <c r="AF190" i="16" s="1"/>
  <c r="AD190" i="16" s="1"/>
  <c r="AG109" i="16"/>
  <c r="AF109" i="16" s="1"/>
  <c r="AD109" i="16" s="1"/>
  <c r="AG151" i="16"/>
  <c r="AF151" i="16" s="1"/>
  <c r="AD151" i="16" s="1"/>
  <c r="AG128" i="16"/>
  <c r="AF128" i="16" s="1"/>
  <c r="AD128" i="16" s="1"/>
  <c r="AG114" i="16"/>
  <c r="AF114" i="16" s="1"/>
  <c r="AD114" i="16" s="1"/>
  <c r="AG60" i="16"/>
  <c r="AF60" i="16" s="1"/>
  <c r="AD60" i="16" s="1"/>
  <c r="AG159" i="16"/>
  <c r="AF159" i="16" s="1"/>
  <c r="AD159" i="16" s="1"/>
  <c r="AG26" i="16"/>
  <c r="AF26" i="16" s="1"/>
  <c r="AD26" i="16" s="1"/>
  <c r="AG107" i="16"/>
  <c r="AF107" i="16" s="1"/>
  <c r="AD107" i="16" s="1"/>
  <c r="AG169" i="16"/>
  <c r="AF169" i="16" s="1"/>
  <c r="AD169" i="16" s="1"/>
  <c r="AG199" i="16"/>
  <c r="AF199" i="16" s="1"/>
  <c r="AD199" i="16" s="1"/>
  <c r="AA199" i="16" s="1"/>
  <c r="Z199" i="16" s="1"/>
  <c r="Y199" i="16" s="1"/>
  <c r="AG156" i="16"/>
  <c r="AF156" i="16" s="1"/>
  <c r="AD156" i="16" s="1"/>
  <c r="AG277" i="16"/>
  <c r="AF277" i="16" s="1"/>
  <c r="AD277" i="16" s="1"/>
  <c r="AG72" i="16"/>
  <c r="AF72" i="16" s="1"/>
  <c r="AD72" i="16" s="1"/>
  <c r="AG271" i="16"/>
  <c r="AF271" i="16" s="1"/>
  <c r="AD271" i="16" s="1"/>
  <c r="AG105" i="16"/>
  <c r="AF105" i="16" s="1"/>
  <c r="AD105" i="16" s="1"/>
  <c r="AG377" i="16"/>
  <c r="AF377" i="16" s="1"/>
  <c r="AD377" i="16" s="1"/>
  <c r="AG138" i="16"/>
  <c r="AF138" i="16" s="1"/>
  <c r="AD138" i="16" s="1"/>
  <c r="AG30" i="16"/>
  <c r="AF30" i="16" s="1"/>
  <c r="AD30" i="16" s="1"/>
  <c r="AG41" i="16"/>
  <c r="AF41" i="16" s="1"/>
  <c r="AD41" i="16" s="1"/>
  <c r="AG249" i="16"/>
  <c r="AF249" i="16" s="1"/>
  <c r="AD249" i="16" s="1"/>
  <c r="AG181" i="16"/>
  <c r="AF181" i="16" s="1"/>
  <c r="AD181" i="16" s="1"/>
  <c r="AG255" i="16"/>
  <c r="AF255" i="16" s="1"/>
  <c r="AD255" i="16" s="1"/>
  <c r="AG371" i="16"/>
  <c r="AF371" i="16" s="1"/>
  <c r="AD371" i="16" s="1"/>
  <c r="AG97" i="16"/>
  <c r="AF97" i="16" s="1"/>
  <c r="AD97" i="16" s="1"/>
  <c r="AG68" i="16"/>
  <c r="AF68" i="16" s="1"/>
  <c r="AD68" i="16" s="1"/>
  <c r="AA68" i="16" s="1"/>
  <c r="Z68" i="16" s="1"/>
  <c r="Y68" i="16" s="1"/>
  <c r="AG221" i="16"/>
  <c r="AF221" i="16" s="1"/>
  <c r="AD221" i="16" s="1"/>
  <c r="AG315" i="16"/>
  <c r="AF315" i="16" s="1"/>
  <c r="AD315" i="16" s="1"/>
  <c r="AG25" i="16"/>
  <c r="AF25" i="16" s="1"/>
  <c r="AD25" i="16" s="1"/>
  <c r="AG106" i="16"/>
  <c r="AF106" i="16" s="1"/>
  <c r="AD106" i="16" s="1"/>
  <c r="AG341" i="16"/>
  <c r="AF341" i="16" s="1"/>
  <c r="AD341" i="16" s="1"/>
  <c r="AG22" i="16"/>
  <c r="AF22" i="16" s="1"/>
  <c r="AD22" i="16" s="1"/>
  <c r="AG200" i="16"/>
  <c r="AF200" i="16" s="1"/>
  <c r="AD200" i="16" s="1"/>
  <c r="AG81" i="16"/>
  <c r="AF81" i="16" s="1"/>
  <c r="AD81" i="16" s="1"/>
  <c r="AG303" i="16"/>
  <c r="AF303" i="16" s="1"/>
  <c r="AD303" i="16" s="1"/>
  <c r="AG314" i="16"/>
  <c r="AF314" i="16" s="1"/>
  <c r="AD314" i="16" s="1"/>
  <c r="AG299" i="16"/>
  <c r="AF299" i="16" s="1"/>
  <c r="AD299" i="16" s="1"/>
  <c r="AG361" i="16"/>
  <c r="AF361" i="16" s="1"/>
  <c r="AD361" i="16" s="1"/>
  <c r="AG110" i="16"/>
  <c r="AF110" i="16" s="1"/>
  <c r="AD110" i="16" s="1"/>
  <c r="AG168" i="16"/>
  <c r="AF168" i="16" s="1"/>
  <c r="AD168" i="16" s="1"/>
  <c r="AA168" i="16" s="1"/>
  <c r="Z168" i="16" s="1"/>
  <c r="Y168" i="16" s="1"/>
  <c r="AG37" i="16"/>
  <c r="AF37" i="16" s="1"/>
  <c r="AD37" i="16" s="1"/>
  <c r="AG163" i="16"/>
  <c r="AF163" i="16" s="1"/>
  <c r="AD163" i="16" s="1"/>
  <c r="AG112" i="16"/>
  <c r="AF112" i="16" s="1"/>
  <c r="AD112" i="16" s="1"/>
  <c r="AG250" i="16"/>
  <c r="AF250" i="16" s="1"/>
  <c r="AD250" i="16" s="1"/>
  <c r="AG141" i="16"/>
  <c r="AF141" i="16" s="1"/>
  <c r="AD141" i="16" s="1"/>
  <c r="AG40" i="16"/>
  <c r="AF40" i="16" s="1"/>
  <c r="AD40" i="16" s="1"/>
  <c r="AG279" i="16"/>
  <c r="AF279" i="16" s="1"/>
  <c r="AD279" i="16" s="1"/>
  <c r="AG21" i="16"/>
  <c r="AF21" i="16" s="1"/>
  <c r="AD21" i="16" s="1"/>
  <c r="AG44" i="16"/>
  <c r="AF44" i="16" s="1"/>
  <c r="AD44" i="16" s="1"/>
  <c r="AA44" i="16" s="1"/>
  <c r="Z44" i="16" s="1"/>
  <c r="Y44" i="16" s="1"/>
  <c r="AG147" i="16"/>
  <c r="AF147" i="16" s="1"/>
  <c r="AD147" i="16" s="1"/>
  <c r="AI381" i="16"/>
  <c r="AI383" i="16"/>
  <c r="AH15" i="16"/>
  <c r="AI382" i="16"/>
  <c r="AG176" i="16"/>
  <c r="AF176" i="16" s="1"/>
  <c r="AD176" i="16" s="1"/>
  <c r="AG95" i="16"/>
  <c r="AF95" i="16" s="1"/>
  <c r="AD95" i="16" s="1"/>
  <c r="AG317" i="16"/>
  <c r="AF317" i="16" s="1"/>
  <c r="AD317" i="16" s="1"/>
  <c r="AG372" i="16"/>
  <c r="AF372" i="16" s="1"/>
  <c r="AD372" i="16" s="1"/>
  <c r="AG73" i="16"/>
  <c r="AF73" i="16" s="1"/>
  <c r="AD73" i="16" s="1"/>
  <c r="AG204" i="16"/>
  <c r="AF204" i="16" s="1"/>
  <c r="AD204" i="16" s="1"/>
  <c r="AG142" i="16"/>
  <c r="AF142" i="16" s="1"/>
  <c r="AD142" i="16" s="1"/>
  <c r="AG364" i="16"/>
  <c r="AF364" i="16" s="1"/>
  <c r="AD364" i="16" s="1"/>
  <c r="AG146" i="16"/>
  <c r="AF146" i="16" s="1"/>
  <c r="AD146" i="16" s="1"/>
  <c r="AA146" i="16" s="1"/>
  <c r="Z146" i="16" s="1"/>
  <c r="Y146" i="16" s="1"/>
  <c r="AG143" i="16"/>
  <c r="AF143" i="16" s="1"/>
  <c r="AD143" i="16" s="1"/>
  <c r="AG121" i="16"/>
  <c r="AF121" i="16" s="1"/>
  <c r="AD121" i="16" s="1"/>
  <c r="AG172" i="16"/>
  <c r="AF172" i="16" s="1"/>
  <c r="AD172" i="16" s="1"/>
  <c r="AG127" i="16"/>
  <c r="AF127" i="16" s="1"/>
  <c r="AD127" i="16" s="1"/>
  <c r="AG302" i="16"/>
  <c r="AF302" i="16" s="1"/>
  <c r="AD302" i="16" s="1"/>
  <c r="AG284" i="16"/>
  <c r="AF284" i="16" s="1"/>
  <c r="AD284" i="16" s="1"/>
  <c r="AG374" i="16"/>
  <c r="AF374" i="16" s="1"/>
  <c r="AD374" i="16" s="1"/>
  <c r="AG324" i="16"/>
  <c r="AF324" i="16" s="1"/>
  <c r="AD324" i="16" s="1"/>
  <c r="AG243" i="16"/>
  <c r="AF243" i="16" s="1"/>
  <c r="AD243" i="16" s="1"/>
  <c r="AG188" i="16"/>
  <c r="AF188" i="16" s="1"/>
  <c r="AD188" i="16" s="1"/>
  <c r="AG218" i="16"/>
  <c r="AF218" i="16" s="1"/>
  <c r="AD218" i="16" s="1"/>
  <c r="AG52" i="16"/>
  <c r="AF52" i="16" s="1"/>
  <c r="AD52" i="16" s="1"/>
  <c r="AG101" i="16"/>
  <c r="AF101" i="16" s="1"/>
  <c r="AD101" i="16" s="1"/>
  <c r="AG195" i="16"/>
  <c r="AF195" i="16" s="1"/>
  <c r="AD195" i="16" s="1"/>
  <c r="AA195" i="16" s="1"/>
  <c r="Z195" i="16" s="1"/>
  <c r="Y195" i="16" s="1"/>
  <c r="AG240" i="16"/>
  <c r="AF240" i="16" s="1"/>
  <c r="AD240" i="16" s="1"/>
  <c r="AG333" i="16"/>
  <c r="AF333" i="16" s="1"/>
  <c r="AD333" i="16" s="1"/>
  <c r="AG137" i="16"/>
  <c r="AF137" i="16" s="1"/>
  <c r="AD137" i="16" s="1"/>
  <c r="AG20" i="16"/>
  <c r="AF20" i="16" s="1"/>
  <c r="AD20" i="16" s="1"/>
  <c r="AG274" i="16"/>
  <c r="AF274" i="16" s="1"/>
  <c r="AD274" i="16" s="1"/>
  <c r="AG301" i="16"/>
  <c r="AF301" i="16" s="1"/>
  <c r="AD301" i="16" s="1"/>
  <c r="AG185" i="16"/>
  <c r="AF185" i="16" s="1"/>
  <c r="AD185" i="16" s="1"/>
  <c r="AG266" i="16"/>
  <c r="AF266" i="16" s="1"/>
  <c r="AD266" i="16" s="1"/>
  <c r="AG148" i="16"/>
  <c r="AF148" i="16" s="1"/>
  <c r="AD148" i="16" s="1"/>
  <c r="AG61" i="16"/>
  <c r="AF61" i="16" s="1"/>
  <c r="AD61" i="16" s="1"/>
  <c r="AG119" i="16"/>
  <c r="AF119" i="16" s="1"/>
  <c r="AD119" i="16" s="1"/>
  <c r="AG64" i="16"/>
  <c r="AF64" i="16" s="1"/>
  <c r="AD64" i="16" s="1"/>
  <c r="AG273" i="16"/>
  <c r="AF273" i="16" s="1"/>
  <c r="AD273" i="16" s="1"/>
  <c r="AG260" i="16"/>
  <c r="AF260" i="16" s="1"/>
  <c r="AD260" i="16" s="1"/>
  <c r="AG232" i="16"/>
  <c r="AF232" i="16" s="1"/>
  <c r="AD232" i="16" s="1"/>
  <c r="AG32" i="16"/>
  <c r="AF32" i="16" s="1"/>
  <c r="AD32" i="16" s="1"/>
  <c r="AG342" i="16"/>
  <c r="AF342" i="16" s="1"/>
  <c r="AD342" i="16" s="1"/>
  <c r="AG132" i="16"/>
  <c r="AF132" i="16" s="1"/>
  <c r="AD132" i="16" s="1"/>
  <c r="AG155" i="16"/>
  <c r="AF155" i="16" s="1"/>
  <c r="AD155" i="16" s="1"/>
  <c r="AG325" i="16"/>
  <c r="AF325" i="16" s="1"/>
  <c r="AD325" i="16" s="1"/>
  <c r="AG339" i="16"/>
  <c r="AF339" i="16" s="1"/>
  <c r="AD339" i="16" s="1"/>
  <c r="AG321" i="16"/>
  <c r="AF321" i="16" s="1"/>
  <c r="AD321" i="16" s="1"/>
  <c r="AG350" i="16"/>
  <c r="AF350" i="16" s="1"/>
  <c r="AD350" i="16" s="1"/>
  <c r="AG31" i="16"/>
  <c r="AF31" i="16" s="1"/>
  <c r="AD31" i="16" s="1"/>
  <c r="AG360" i="16"/>
  <c r="AF360" i="16" s="1"/>
  <c r="AD360" i="16" s="1"/>
  <c r="AG220" i="16"/>
  <c r="AF220" i="16" s="1"/>
  <c r="AD220" i="16" s="1"/>
  <c r="AG288" i="16"/>
  <c r="AF288" i="16" s="1"/>
  <c r="AD288" i="16" s="1"/>
  <c r="AA288" i="16" s="1"/>
  <c r="Z288" i="16" s="1"/>
  <c r="Y288" i="16" s="1"/>
  <c r="AG183" i="16"/>
  <c r="AF183" i="16" s="1"/>
  <c r="AD183" i="16" s="1"/>
  <c r="AG192" i="16"/>
  <c r="AF192" i="16" s="1"/>
  <c r="AD192" i="16" s="1"/>
  <c r="AG305" i="16"/>
  <c r="AF305" i="16" s="1"/>
  <c r="AD305" i="16" s="1"/>
  <c r="AG19" i="16"/>
  <c r="AF19" i="16" s="1"/>
  <c r="AD19" i="16" s="1"/>
  <c r="AG144" i="16"/>
  <c r="AF144" i="16" s="1"/>
  <c r="AD144" i="16" s="1"/>
  <c r="AG118" i="16"/>
  <c r="AF118" i="16" s="1"/>
  <c r="AD118" i="16" s="1"/>
  <c r="AG263" i="16"/>
  <c r="AF263" i="16" s="1"/>
  <c r="AD263" i="16" s="1"/>
  <c r="AG206" i="16"/>
  <c r="AF206" i="16" s="1"/>
  <c r="AD206" i="16" s="1"/>
  <c r="AG307" i="16"/>
  <c r="AF307" i="16" s="1"/>
  <c r="AD307" i="16" s="1"/>
  <c r="AG103" i="16"/>
  <c r="AF103" i="16" s="1"/>
  <c r="AD103" i="16" s="1"/>
  <c r="AG115" i="16"/>
  <c r="AF115" i="16" s="1"/>
  <c r="AD115" i="16" s="1"/>
  <c r="AG48" i="16"/>
  <c r="AF48" i="16" s="1"/>
  <c r="AD48" i="16" s="1"/>
  <c r="AG346" i="16"/>
  <c r="AF346" i="16" s="1"/>
  <c r="AD346" i="16" s="1"/>
  <c r="AG157" i="16"/>
  <c r="AF157" i="16" s="1"/>
  <c r="AD157" i="16" s="1"/>
  <c r="AA157" i="16" s="1"/>
  <c r="Z157" i="16" s="1"/>
  <c r="Y157" i="16" s="1"/>
  <c r="AG308" i="16"/>
  <c r="AF308" i="16" s="1"/>
  <c r="AD308" i="16" s="1"/>
  <c r="AA308" i="16" s="1"/>
  <c r="Z308" i="16" s="1"/>
  <c r="Y308" i="16" s="1"/>
  <c r="AG270" i="16"/>
  <c r="AF270" i="16" s="1"/>
  <c r="AD270" i="16" s="1"/>
  <c r="AG229" i="16"/>
  <c r="AF229" i="16" s="1"/>
  <c r="AD229" i="16" s="1"/>
  <c r="AG85" i="16"/>
  <c r="AF85" i="16" s="1"/>
  <c r="AD85" i="16" s="1"/>
  <c r="AG259" i="16"/>
  <c r="AF259" i="16" s="1"/>
  <c r="AD259" i="16" s="1"/>
  <c r="AG210" i="16"/>
  <c r="AF210" i="16" s="1"/>
  <c r="AD210" i="16" s="1"/>
  <c r="AG124" i="16"/>
  <c r="AF124" i="16" s="1"/>
  <c r="AD124" i="16" s="1"/>
  <c r="AG175" i="16"/>
  <c r="AF175" i="16" s="1"/>
  <c r="AD175" i="16" s="1"/>
  <c r="AG58" i="16"/>
  <c r="AF58" i="16" s="1"/>
  <c r="AD58" i="16" s="1"/>
  <c r="AG139" i="16"/>
  <c r="AF139" i="16" s="1"/>
  <c r="AD139" i="16" s="1"/>
  <c r="AG201" i="16"/>
  <c r="AF201" i="16" s="1"/>
  <c r="AD201" i="16" s="1"/>
  <c r="AG231" i="16"/>
  <c r="AF231" i="16" s="1"/>
  <c r="AD231" i="16" s="1"/>
  <c r="AG89" i="16"/>
  <c r="AF89" i="16" s="1"/>
  <c r="AD89" i="16" s="1"/>
  <c r="AG74" i="16"/>
  <c r="AF74" i="16" s="1"/>
  <c r="AD74" i="16" s="1"/>
  <c r="AG328" i="16"/>
  <c r="AF328" i="16" s="1"/>
  <c r="AD328" i="16" s="1"/>
  <c r="AG335" i="16"/>
  <c r="AF335" i="16" s="1"/>
  <c r="AD335" i="16" s="1"/>
  <c r="AG365" i="16"/>
  <c r="AF365" i="16" s="1"/>
  <c r="AD365" i="16" s="1"/>
  <c r="AG77" i="16"/>
  <c r="AF77" i="16" s="1"/>
  <c r="AD77" i="16" s="1"/>
  <c r="AG313" i="16"/>
  <c r="AF313" i="16" s="1"/>
  <c r="AD313" i="16" s="1"/>
  <c r="AG164" i="16"/>
  <c r="AF164" i="16" s="1"/>
  <c r="AD164" i="16" s="1"/>
  <c r="AA164" i="16" s="1"/>
  <c r="Z164" i="16" s="1"/>
  <c r="Y164" i="16" s="1"/>
  <c r="AG344" i="16"/>
  <c r="AF344" i="16" s="1"/>
  <c r="AD344" i="16" s="1"/>
  <c r="AG310" i="16"/>
  <c r="AF310" i="16" s="1"/>
  <c r="AD310" i="16" s="1"/>
  <c r="AG17" i="16"/>
  <c r="AF17" i="16" s="1"/>
  <c r="AD17" i="16" s="1"/>
  <c r="AG257" i="16"/>
  <c r="AF257" i="16" s="1"/>
  <c r="AD257" i="16" s="1"/>
  <c r="AG222" i="16"/>
  <c r="AF222" i="16" s="1"/>
  <c r="AD222" i="16" s="1"/>
  <c r="AG196" i="16"/>
  <c r="AF196" i="16" s="1"/>
  <c r="AD196" i="16" s="1"/>
  <c r="AG294" i="16"/>
  <c r="AF294" i="16" s="1"/>
  <c r="AD294" i="16" s="1"/>
  <c r="AG104" i="16"/>
  <c r="AF104" i="16" s="1"/>
  <c r="AD104" i="16" s="1"/>
  <c r="AG208" i="16"/>
  <c r="AF208" i="16" s="1"/>
  <c r="AD208" i="16" s="1"/>
  <c r="AG198" i="16"/>
  <c r="AF198" i="16" s="1"/>
  <c r="AD198" i="16" s="1"/>
  <c r="AG292" i="16"/>
  <c r="AF292" i="16" s="1"/>
  <c r="AD292" i="16" s="1"/>
  <c r="AG214" i="16"/>
  <c r="AF214" i="16" s="1"/>
  <c r="AD214" i="16" s="1"/>
  <c r="AG177" i="16"/>
  <c r="AF177" i="16" s="1"/>
  <c r="AD177" i="16" s="1"/>
  <c r="AA177" i="16" s="1"/>
  <c r="Z177" i="16" s="1"/>
  <c r="Y177" i="16" s="1"/>
  <c r="AG343" i="16"/>
  <c r="AF343" i="16" s="1"/>
  <c r="AD343" i="16" s="1"/>
  <c r="AG179" i="16"/>
  <c r="AF179" i="16" s="1"/>
  <c r="AD179" i="16" s="1"/>
  <c r="AG160" i="16"/>
  <c r="AF160" i="16" s="1"/>
  <c r="AD160" i="16" s="1"/>
  <c r="AG215" i="16"/>
  <c r="AF215" i="16" s="1"/>
  <c r="AD215" i="16" s="1"/>
  <c r="AG51" i="16"/>
  <c r="AF51" i="16" s="1"/>
  <c r="AD51" i="16" s="1"/>
  <c r="AA51" i="16" s="1"/>
  <c r="Z51" i="16" s="1"/>
  <c r="Y51" i="16" s="1"/>
  <c r="AG88" i="16"/>
  <c r="AF88" i="16" s="1"/>
  <c r="AD88" i="16" s="1"/>
  <c r="AG276" i="16"/>
  <c r="AF276" i="16" s="1"/>
  <c r="AD276" i="16" s="1"/>
  <c r="J319" i="15"/>
  <c r="I319" i="15"/>
  <c r="I289" i="15"/>
  <c r="J289" i="15"/>
  <c r="J142" i="15"/>
  <c r="I142" i="15"/>
  <c r="I239" i="15"/>
  <c r="J239" i="15"/>
  <c r="J25" i="15"/>
  <c r="I25" i="15"/>
  <c r="I241" i="15"/>
  <c r="J241" i="15"/>
  <c r="J255" i="15"/>
  <c r="I255" i="15"/>
  <c r="I216" i="15"/>
  <c r="J216" i="15"/>
  <c r="J17" i="15"/>
  <c r="I17" i="15"/>
  <c r="J284" i="15"/>
  <c r="I284" i="15"/>
  <c r="H199" i="16"/>
  <c r="H258" i="16"/>
  <c r="AC27" i="23"/>
  <c r="AC112" i="23"/>
  <c r="AC23" i="23"/>
  <c r="AC26" i="23"/>
  <c r="AC33" i="23"/>
  <c r="AC131" i="23"/>
  <c r="AC95" i="23"/>
  <c r="AC118" i="23"/>
  <c r="AC86" i="23"/>
  <c r="AC89" i="23"/>
  <c r="AC55" i="23"/>
  <c r="AC111" i="23"/>
  <c r="AC81" i="23"/>
  <c r="AC42" i="23"/>
  <c r="AC129" i="23"/>
  <c r="AC98" i="23"/>
  <c r="AC63" i="23"/>
  <c r="AC15" i="23"/>
  <c r="AC124" i="23"/>
  <c r="AC79" i="23"/>
  <c r="AC31" i="23"/>
  <c r="AC61" i="23"/>
  <c r="AC73" i="23"/>
  <c r="AC32" i="23"/>
  <c r="AC18" i="23"/>
  <c r="AC44" i="23"/>
  <c r="AC84" i="23"/>
  <c r="AC38" i="23"/>
  <c r="AC72" i="23"/>
  <c r="AC46" i="23"/>
  <c r="AC108" i="23"/>
  <c r="AC21" i="23"/>
  <c r="AC82" i="23"/>
  <c r="AC80" i="23"/>
  <c r="AC116" i="23"/>
  <c r="AC94" i="23"/>
  <c r="AC16" i="23"/>
  <c r="AC29" i="23"/>
  <c r="AC41" i="23"/>
  <c r="AC74" i="23"/>
  <c r="AC67" i="23"/>
  <c r="AC17" i="23"/>
  <c r="AC105" i="23"/>
  <c r="AC109" i="23"/>
  <c r="AC47" i="23"/>
  <c r="AC75" i="23"/>
  <c r="AC49" i="23"/>
  <c r="AC45" i="23"/>
  <c r="AC128" i="23"/>
  <c r="AC90" i="23"/>
  <c r="AC36" i="23"/>
  <c r="AC127" i="23"/>
  <c r="AC62" i="23"/>
  <c r="AC100" i="23"/>
  <c r="AC51" i="23"/>
  <c r="AC133" i="23"/>
  <c r="AC99" i="23"/>
  <c r="AC37" i="23"/>
  <c r="AC70" i="23"/>
  <c r="AC40" i="23"/>
  <c r="AC103" i="23"/>
  <c r="AC20" i="23"/>
  <c r="AC130" i="23"/>
  <c r="AC50" i="23"/>
  <c r="AC60" i="23"/>
  <c r="AC101" i="23"/>
  <c r="AC121" i="23"/>
  <c r="AC96" i="23"/>
  <c r="AC19" i="23"/>
  <c r="AC113" i="23"/>
  <c r="AC119" i="23"/>
  <c r="AC48" i="23"/>
  <c r="AC120" i="23"/>
  <c r="AC87" i="23"/>
  <c r="AC56" i="23"/>
  <c r="AC76" i="23"/>
  <c r="AC43" i="23"/>
  <c r="AC97" i="23"/>
  <c r="AC92" i="23"/>
  <c r="AC132" i="23"/>
  <c r="AC25" i="23"/>
  <c r="AC110" i="23"/>
  <c r="AC115" i="23"/>
  <c r="AC66" i="23"/>
  <c r="AC53" i="23"/>
  <c r="AC122" i="23"/>
  <c r="AC24" i="23"/>
  <c r="AC57" i="23"/>
  <c r="AC93" i="23"/>
  <c r="AC91" i="23"/>
  <c r="AC126" i="23"/>
  <c r="AC125" i="23"/>
  <c r="AC77" i="23"/>
  <c r="AC71" i="23"/>
  <c r="AC22" i="23"/>
  <c r="AC114" i="23"/>
  <c r="AC117" i="23"/>
  <c r="AC54" i="23"/>
  <c r="AC85" i="23"/>
  <c r="AC30" i="23"/>
  <c r="AC58" i="23"/>
  <c r="AC65" i="23"/>
  <c r="AC83" i="23"/>
  <c r="AC123" i="23"/>
  <c r="AC104" i="23"/>
  <c r="AC34" i="23"/>
  <c r="AC68" i="23"/>
  <c r="AC64" i="23"/>
  <c r="AC102" i="23"/>
  <c r="AC78" i="23"/>
  <c r="AC28" i="23"/>
  <c r="AC107" i="23"/>
  <c r="AC88" i="23"/>
  <c r="AC35" i="23"/>
  <c r="AC59" i="23"/>
  <c r="AC69" i="23"/>
  <c r="AC106" i="23"/>
  <c r="AC39" i="23"/>
  <c r="AC52" i="23"/>
  <c r="Z15" i="1"/>
  <c r="AL9" i="1"/>
  <c r="AA382" i="1"/>
  <c r="AA9" i="1"/>
  <c r="AA383" i="1"/>
  <c r="AM8" i="1"/>
  <c r="AA381" i="1"/>
  <c r="AA17" i="15"/>
  <c r="Z17" i="15" s="1"/>
  <c r="Y17" i="15" s="1"/>
  <c r="AD383" i="15"/>
  <c r="AD381" i="15"/>
  <c r="AD382" i="15"/>
  <c r="BL11" i="7"/>
  <c r="BJ15" i="7"/>
  <c r="BK11" i="7"/>
  <c r="AK9" i="24"/>
  <c r="AM9" i="24"/>
  <c r="AK5" i="24"/>
  <c r="AM7" i="24"/>
  <c r="AM11" i="24" s="1"/>
  <c r="AM5" i="24"/>
  <c r="AK7" i="24"/>
  <c r="AK11" i="24" s="1"/>
  <c r="L19" i="19"/>
  <c r="AI11" i="24"/>
  <c r="AE11" i="24"/>
  <c r="P10" i="24"/>
  <c r="AK380" i="25"/>
  <c r="AK18" i="25"/>
  <c r="AK22" i="25"/>
  <c r="AK27" i="25"/>
  <c r="AK16" i="25"/>
  <c r="AK17" i="25"/>
  <c r="AK26" i="25"/>
  <c r="AK19" i="25"/>
  <c r="AK23" i="25"/>
  <c r="AK30" i="25"/>
  <c r="AK34" i="25"/>
  <c r="AK38" i="25"/>
  <c r="AK40" i="25"/>
  <c r="AK45" i="25"/>
  <c r="AK47" i="25"/>
  <c r="AK50" i="25"/>
  <c r="AK55" i="25"/>
  <c r="AK60" i="25"/>
  <c r="AK31" i="25"/>
  <c r="AK35" i="25"/>
  <c r="AK41" i="25"/>
  <c r="AK43" i="25"/>
  <c r="AK51" i="25"/>
  <c r="AK53" i="25"/>
  <c r="AK58" i="25"/>
  <c r="AK61" i="25"/>
  <c r="AK63" i="25"/>
  <c r="AK68" i="25"/>
  <c r="AK71" i="25"/>
  <c r="AK74" i="25"/>
  <c r="AK77" i="25"/>
  <c r="AK81" i="25"/>
  <c r="AK83" i="25"/>
  <c r="AK86" i="25"/>
  <c r="AK89" i="25"/>
  <c r="AK92" i="25"/>
  <c r="AK95" i="25"/>
  <c r="AK101" i="25"/>
  <c r="AK106" i="25"/>
  <c r="AK108" i="25"/>
  <c r="AK113" i="25"/>
  <c r="AK115" i="25"/>
  <c r="AK117" i="25"/>
  <c r="AK121" i="25"/>
  <c r="AK124" i="25"/>
  <c r="AK67" i="25"/>
  <c r="AK72" i="25"/>
  <c r="AK78" i="25"/>
  <c r="AK85" i="25"/>
  <c r="AK91" i="25"/>
  <c r="AK96" i="25"/>
  <c r="AK99" i="25"/>
  <c r="AK102" i="25"/>
  <c r="AK110" i="25"/>
  <c r="AK125" i="25"/>
  <c r="AK131" i="25"/>
  <c r="AK134" i="25"/>
  <c r="AK137" i="25"/>
  <c r="AK139" i="25"/>
  <c r="AK141" i="25"/>
  <c r="AK147" i="25"/>
  <c r="AK151" i="25"/>
  <c r="AK157" i="25"/>
  <c r="AK159" i="25"/>
  <c r="AK164" i="25"/>
  <c r="AK167" i="25"/>
  <c r="AK169" i="25"/>
  <c r="AK171" i="25"/>
  <c r="AK173" i="25"/>
  <c r="AK176" i="25"/>
  <c r="AK105" i="25"/>
  <c r="AK119" i="25"/>
  <c r="AK126" i="25"/>
  <c r="AK129" i="25"/>
  <c r="AK132" i="25"/>
  <c r="AK142" i="25"/>
  <c r="AK144" i="25"/>
  <c r="AK148" i="25"/>
  <c r="AK152" i="25"/>
  <c r="AK154" i="25"/>
  <c r="AK160" i="25"/>
  <c r="AK162" i="25"/>
  <c r="AK174" i="25"/>
  <c r="AK182" i="25"/>
  <c r="AK185" i="25"/>
  <c r="AK189" i="25"/>
  <c r="AK193" i="25"/>
  <c r="AK198" i="25"/>
  <c r="AK201" i="25"/>
  <c r="AK203" i="25"/>
  <c r="AK208" i="25"/>
  <c r="AK212" i="25"/>
  <c r="AK222" i="25"/>
  <c r="AK225" i="25"/>
  <c r="AK229" i="25"/>
  <c r="AK233" i="25"/>
  <c r="AK237" i="25"/>
  <c r="AK241" i="25"/>
  <c r="AK244" i="25"/>
  <c r="AK247" i="25"/>
  <c r="AK249" i="25"/>
  <c r="AK252" i="25"/>
  <c r="AK256" i="25"/>
  <c r="AK259" i="25"/>
  <c r="AK262" i="25"/>
  <c r="AK272" i="25"/>
  <c r="AK276" i="25"/>
  <c r="AK281" i="25"/>
  <c r="AK291" i="25"/>
  <c r="AK295" i="25"/>
  <c r="AK299" i="25"/>
  <c r="AK178" i="25"/>
  <c r="AK180" i="25"/>
  <c r="AK183" i="25"/>
  <c r="AK187" i="25"/>
  <c r="AK192" i="25"/>
  <c r="AK195" i="25"/>
  <c r="AK200" i="25"/>
  <c r="AK205" i="25"/>
  <c r="AK209" i="25"/>
  <c r="AK214" i="25"/>
  <c r="AK216" i="25"/>
  <c r="AK218" i="25"/>
  <c r="AK220" i="25"/>
  <c r="AK223" i="25"/>
  <c r="AK228" i="25"/>
  <c r="AK232" i="25"/>
  <c r="AK236" i="25"/>
  <c r="AK240" i="25"/>
  <c r="AK245" i="25"/>
  <c r="AK254" i="25"/>
  <c r="AK258" i="25"/>
  <c r="AK263" i="25"/>
  <c r="AK265" i="25"/>
  <c r="AK268" i="25"/>
  <c r="AK270" i="25"/>
  <c r="AK274" i="25"/>
  <c r="AK277" i="25"/>
  <c r="AK279" i="25"/>
  <c r="AK283" i="25"/>
  <c r="AK286" i="25"/>
  <c r="AK288" i="25"/>
  <c r="AK290" i="25"/>
  <c r="AK302" i="25"/>
  <c r="AK305" i="25"/>
  <c r="AK307" i="25"/>
  <c r="AK313" i="25"/>
  <c r="AK318" i="25"/>
  <c r="AK325" i="25"/>
  <c r="AK333" i="25"/>
  <c r="AK336" i="25"/>
  <c r="AK340" i="25"/>
  <c r="AK344" i="25"/>
  <c r="AK348" i="25"/>
  <c r="AK354" i="25"/>
  <c r="AK356" i="25"/>
  <c r="AK358" i="25"/>
  <c r="AK361" i="25"/>
  <c r="AK364" i="25"/>
  <c r="AK369" i="25"/>
  <c r="AK292" i="25"/>
  <c r="AK304" i="25"/>
  <c r="AK310" i="25"/>
  <c r="AK317" i="25"/>
  <c r="AK324" i="25"/>
  <c r="AK335" i="25"/>
  <c r="AK338" i="25"/>
  <c r="AK350" i="25"/>
  <c r="AK353" i="25"/>
  <c r="AK368" i="25"/>
  <c r="AK374" i="25"/>
  <c r="AK296" i="25"/>
  <c r="AK319" i="25"/>
  <c r="AK328" i="25"/>
  <c r="AK331" i="25"/>
  <c r="AK341" i="25"/>
  <c r="AK360" i="25"/>
  <c r="AK372" i="25"/>
  <c r="AK377" i="25"/>
  <c r="AK308" i="25"/>
  <c r="AK321" i="25"/>
  <c r="AK343" i="25"/>
  <c r="AK365" i="25"/>
  <c r="AK373" i="25"/>
  <c r="F8" i="25"/>
  <c r="AK21" i="25"/>
  <c r="AK25" i="25"/>
  <c r="AK28" i="25"/>
  <c r="P12" i="25"/>
  <c r="AK24" i="25"/>
  <c r="AK15" i="25"/>
  <c r="AK20" i="25"/>
  <c r="AK29" i="25"/>
  <c r="AK32" i="25"/>
  <c r="AK36" i="25"/>
  <c r="AK39" i="25"/>
  <c r="AK44" i="25"/>
  <c r="AK46" i="25"/>
  <c r="AK48" i="25"/>
  <c r="AK54" i="25"/>
  <c r="AK57" i="25"/>
  <c r="AK64" i="25"/>
  <c r="AK33" i="25"/>
  <c r="AK37" i="25"/>
  <c r="AK42" i="25"/>
  <c r="AK49" i="25"/>
  <c r="AK52" i="25"/>
  <c r="AK56" i="25"/>
  <c r="AK59" i="25"/>
  <c r="AK62" i="25"/>
  <c r="AK66" i="25"/>
  <c r="AK70" i="25"/>
  <c r="AK73" i="25"/>
  <c r="AK76" i="25"/>
  <c r="AK80" i="25"/>
  <c r="AK82" i="25"/>
  <c r="AK84" i="25"/>
  <c r="AK88" i="25"/>
  <c r="AK90" i="25"/>
  <c r="AK94" i="25"/>
  <c r="AK97" i="25"/>
  <c r="AK103" i="25"/>
  <c r="AK107" i="25"/>
  <c r="AK111" i="25"/>
  <c r="AK114" i="25"/>
  <c r="AK116" i="25"/>
  <c r="AK120" i="25"/>
  <c r="AK123" i="25"/>
  <c r="AK65" i="25"/>
  <c r="AK69" i="25"/>
  <c r="AK75" i="25"/>
  <c r="AK79" i="25"/>
  <c r="AK87" i="25"/>
  <c r="AK93" i="25"/>
  <c r="AK98" i="25"/>
  <c r="AK100" i="25"/>
  <c r="AK109" i="25"/>
  <c r="AK118" i="25"/>
  <c r="AK127" i="25"/>
  <c r="AK133" i="25"/>
  <c r="AK135" i="25"/>
  <c r="AK138" i="25"/>
  <c r="AK140" i="25"/>
  <c r="AK146" i="25"/>
  <c r="AK150" i="25"/>
  <c r="AK156" i="25"/>
  <c r="AK158" i="25"/>
  <c r="AK163" i="25"/>
  <c r="AK165" i="25"/>
  <c r="AK168" i="25"/>
  <c r="AK170" i="25"/>
  <c r="AK172" i="25"/>
  <c r="AK175" i="25"/>
  <c r="AK104" i="25"/>
  <c r="AK112" i="25"/>
  <c r="AK122" i="25"/>
  <c r="AK128" i="25"/>
  <c r="AK130" i="25"/>
  <c r="AK136" i="25"/>
  <c r="AK143" i="25"/>
  <c r="AK145" i="25"/>
  <c r="AK149" i="25"/>
  <c r="AK153" i="25"/>
  <c r="AK155" i="25"/>
  <c r="AK161" i="25"/>
  <c r="AK166" i="25"/>
  <c r="AK177" i="25"/>
  <c r="AK184" i="25"/>
  <c r="AK188" i="25"/>
  <c r="AK190" i="25"/>
  <c r="AK197" i="25"/>
  <c r="AK199" i="25"/>
  <c r="AK202" i="25"/>
  <c r="AK206" i="25"/>
  <c r="AK211" i="25"/>
  <c r="AK213" i="25"/>
  <c r="AK224" i="25"/>
  <c r="AK226" i="25"/>
  <c r="AK231" i="25"/>
  <c r="AK234" i="25"/>
  <c r="AK239" i="25"/>
  <c r="AK243" i="25"/>
  <c r="AK246" i="25"/>
  <c r="AK248" i="25"/>
  <c r="AK251" i="25"/>
  <c r="AK253" i="25"/>
  <c r="AK257" i="25"/>
  <c r="AK261" i="25"/>
  <c r="AK267" i="25"/>
  <c r="AK273" i="25"/>
  <c r="AK280" i="25"/>
  <c r="AK284" i="25"/>
  <c r="AK293" i="25"/>
  <c r="AK298" i="25"/>
  <c r="AK301" i="25"/>
  <c r="AK179" i="25"/>
  <c r="AK181" i="25"/>
  <c r="AK186" i="25"/>
  <c r="AK191" i="25"/>
  <c r="AK194" i="25"/>
  <c r="AK196" i="25"/>
  <c r="AK204" i="25"/>
  <c r="AK207" i="25"/>
  <c r="AK210" i="25"/>
  <c r="AK215" i="25"/>
  <c r="AK217" i="25"/>
  <c r="AK219" i="25"/>
  <c r="AK221" i="25"/>
  <c r="AK227" i="25"/>
  <c r="AK230" i="25"/>
  <c r="AK235" i="25"/>
  <c r="AK238" i="25"/>
  <c r="AK242" i="25"/>
  <c r="AK250" i="25"/>
  <c r="AK255" i="25"/>
  <c r="AK260" i="25"/>
  <c r="AK264" i="25"/>
  <c r="AK266" i="25"/>
  <c r="AK269" i="25"/>
  <c r="AK271" i="25"/>
  <c r="AK275" i="25"/>
  <c r="AK278" i="25"/>
  <c r="AK282" i="25"/>
  <c r="AK285" i="25"/>
  <c r="AK287" i="25"/>
  <c r="AK289" i="25"/>
  <c r="AK294" i="25"/>
  <c r="AK303" i="25"/>
  <c r="AK306" i="25"/>
  <c r="AK311" i="25"/>
  <c r="AK316" i="25"/>
  <c r="AK320" i="25"/>
  <c r="AK327" i="25"/>
  <c r="AK334" i="25"/>
  <c r="AK339" i="25"/>
  <c r="AK342" i="25"/>
  <c r="AK347" i="25"/>
  <c r="AK349" i="25"/>
  <c r="AK355" i="25"/>
  <c r="AK357" i="25"/>
  <c r="AK359" i="25"/>
  <c r="AK362" i="25"/>
  <c r="AK367" i="25"/>
  <c r="AK371" i="25"/>
  <c r="AK300" i="25"/>
  <c r="AK309" i="25"/>
  <c r="AK315" i="25"/>
  <c r="AK322" i="25"/>
  <c r="AK326" i="25"/>
  <c r="AK337" i="25"/>
  <c r="AK346" i="25"/>
  <c r="AK352" i="25"/>
  <c r="AK363" i="25"/>
  <c r="AK370" i="25"/>
  <c r="AK375" i="25"/>
  <c r="AK314" i="25"/>
  <c r="AK323" i="25"/>
  <c r="AK329" i="25"/>
  <c r="AK332" i="25"/>
  <c r="AK351" i="25"/>
  <c r="AK366" i="25"/>
  <c r="AK376" i="25"/>
  <c r="AK297" i="25"/>
  <c r="AK312" i="25"/>
  <c r="AK330" i="25"/>
  <c r="AK345" i="25"/>
  <c r="AK378" i="25"/>
  <c r="AK379" i="25"/>
  <c r="Q69" i="17"/>
  <c r="Q89" i="17"/>
  <c r="Q180" i="17"/>
  <c r="Q18" i="17"/>
  <c r="Q282" i="17"/>
  <c r="Q193" i="17"/>
  <c r="Q44" i="17"/>
  <c r="Q115" i="17"/>
  <c r="Q109" i="17"/>
  <c r="Q340" i="17"/>
  <c r="Q232" i="17"/>
  <c r="Q298" i="17"/>
  <c r="Q338" i="17"/>
  <c r="Q269" i="17"/>
  <c r="Q120" i="17"/>
  <c r="Q221" i="17"/>
  <c r="Q283" i="17"/>
  <c r="Q273" i="17"/>
  <c r="Q101" i="17"/>
  <c r="Q207" i="17"/>
  <c r="Q41" i="17"/>
  <c r="Q111" i="17"/>
  <c r="Q119" i="17"/>
  <c r="Q117" i="17"/>
  <c r="Q204" i="17"/>
  <c r="Q297" i="17"/>
  <c r="Q22" i="17"/>
  <c r="Q31" i="17"/>
  <c r="Q334" i="17"/>
  <c r="Q356" i="17"/>
  <c r="Q175" i="17"/>
  <c r="Q141" i="17"/>
  <c r="Q184" i="17"/>
  <c r="Q39" i="17"/>
  <c r="Q73" i="17"/>
  <c r="Q179" i="17"/>
  <c r="Q337" i="17"/>
  <c r="Q122" i="17"/>
  <c r="Q34" i="17"/>
  <c r="Q358" i="17"/>
  <c r="Q291" i="17"/>
  <c r="Q378" i="17"/>
  <c r="Q218" i="17"/>
  <c r="Q365" i="17"/>
  <c r="Q131" i="17"/>
  <c r="Q353" i="17"/>
  <c r="Q54" i="17"/>
  <c r="Q98" i="17"/>
  <c r="Q209" i="17"/>
  <c r="Q275" i="17"/>
  <c r="Q349" i="17"/>
  <c r="Q132" i="17"/>
  <c r="Q379" i="17"/>
  <c r="Q330" i="17"/>
  <c r="Q242" i="17"/>
  <c r="Q154" i="17"/>
  <c r="Q78" i="17"/>
  <c r="Q100" i="17"/>
  <c r="Q243" i="17"/>
  <c r="Q27" i="17"/>
  <c r="Q321" i="17"/>
  <c r="Q214" i="17"/>
  <c r="Q350" i="17"/>
  <c r="Q114" i="17"/>
  <c r="Q55" i="17"/>
  <c r="Q165" i="17"/>
  <c r="Q233" i="17"/>
  <c r="Q58" i="17"/>
  <c r="Q71" i="17"/>
  <c r="Q208" i="17"/>
  <c r="Q61" i="17"/>
  <c r="Q329" i="17"/>
  <c r="Q326" i="17"/>
  <c r="Q49" i="17"/>
  <c r="Q332" i="17"/>
  <c r="Q201" i="17"/>
  <c r="Q95" i="17"/>
  <c r="Q20" i="17"/>
  <c r="Q151" i="17"/>
  <c r="Q286" i="17"/>
  <c r="Q301" i="17"/>
  <c r="Q217" i="17"/>
  <c r="Q84" i="17"/>
  <c r="Q351" i="17"/>
  <c r="Q302" i="17"/>
  <c r="Q210" i="17"/>
  <c r="Q347" i="17"/>
  <c r="Q255" i="17"/>
  <c r="Q309" i="17"/>
  <c r="Q26" i="17"/>
  <c r="Q304" i="17"/>
  <c r="Q136" i="17"/>
  <c r="W15" i="7"/>
  <c r="AE356" i="17"/>
  <c r="AE129" i="17"/>
  <c r="AE72" i="17"/>
  <c r="AE55" i="17"/>
  <c r="AE254" i="17"/>
  <c r="AE291" i="17"/>
  <c r="AE188" i="17"/>
  <c r="AE273" i="17"/>
  <c r="AE253" i="17"/>
  <c r="AE293" i="17"/>
  <c r="AE170" i="17"/>
  <c r="AE77" i="17"/>
  <c r="AE20" i="17"/>
  <c r="AE248" i="17"/>
  <c r="AE159" i="17"/>
  <c r="AE358" i="17"/>
  <c r="AE102" i="17"/>
  <c r="AE235" i="17"/>
  <c r="AE137" i="17"/>
  <c r="AE80" i="17"/>
  <c r="AE75" i="17"/>
  <c r="AE274" i="17"/>
  <c r="AE15" i="17"/>
  <c r="AE324" i="17"/>
  <c r="AE97" i="17"/>
  <c r="AE40" i="17"/>
  <c r="AE39" i="17"/>
  <c r="AE238" i="17"/>
  <c r="AE225" i="17"/>
  <c r="AE156" i="17"/>
  <c r="AE209" i="17"/>
  <c r="AE221" i="17"/>
  <c r="AE263" i="17"/>
  <c r="AE154" i="17"/>
  <c r="AE45" i="17"/>
  <c r="AE345" i="17"/>
  <c r="AE216" i="17"/>
  <c r="AE143" i="17"/>
  <c r="AE342" i="17"/>
  <c r="AE86" i="17"/>
  <c r="AE364" i="17"/>
  <c r="AE105" i="17"/>
  <c r="AE48" i="17"/>
  <c r="AE59" i="17"/>
  <c r="AE258" i="17"/>
  <c r="AE241" i="17"/>
  <c r="AE164" i="17"/>
  <c r="AE227" i="17"/>
  <c r="AE229" i="17"/>
  <c r="AE269" i="17"/>
  <c r="AE158" i="17"/>
  <c r="AE53" i="17"/>
  <c r="AE361" i="17"/>
  <c r="AE224" i="17"/>
  <c r="AE131" i="17"/>
  <c r="AE330" i="17"/>
  <c r="AE74" i="17"/>
  <c r="AE340" i="17"/>
  <c r="AE113" i="17"/>
  <c r="AE56" i="17"/>
  <c r="AE63" i="17"/>
  <c r="AE262" i="17"/>
  <c r="AE323" i="17"/>
  <c r="AE204" i="17"/>
  <c r="AE243" i="17"/>
  <c r="AE271" i="17"/>
  <c r="AE311" i="17"/>
  <c r="AE178" i="17"/>
  <c r="AE61" i="17"/>
  <c r="AE379" i="17"/>
  <c r="AE232" i="17"/>
  <c r="AE135" i="17"/>
  <c r="AE334" i="17"/>
  <c r="AE78" i="17"/>
  <c r="AE348" i="17"/>
  <c r="AE121" i="17"/>
  <c r="AE64" i="17"/>
  <c r="AE51" i="17"/>
  <c r="AE250" i="17"/>
  <c r="AE275" i="17"/>
  <c r="AE180" i="17"/>
  <c r="AE259" i="17"/>
  <c r="AE279" i="17"/>
  <c r="AE317" i="17"/>
  <c r="AE182" i="17"/>
  <c r="AE101" i="17"/>
  <c r="AE44" i="17"/>
  <c r="AE240" i="17"/>
  <c r="AE155" i="17"/>
  <c r="AE354" i="17"/>
  <c r="AE98" i="17"/>
  <c r="AE29" i="17"/>
  <c r="AE315" i="17"/>
  <c r="AE200" i="17"/>
  <c r="AE119" i="17"/>
  <c r="AE318" i="17"/>
  <c r="AE62" i="17"/>
  <c r="AE316" i="17"/>
  <c r="AE89" i="17"/>
  <c r="AE32" i="17"/>
  <c r="AE35" i="17"/>
  <c r="AE234" i="17"/>
  <c r="AE211" i="17"/>
  <c r="AE148" i="17"/>
  <c r="AE376" i="17"/>
  <c r="AE245" i="17"/>
  <c r="AE285" i="17"/>
  <c r="AE166" i="17"/>
  <c r="AE69" i="17"/>
  <c r="AE329" i="17"/>
  <c r="AE208" i="17"/>
  <c r="AE139" i="17"/>
  <c r="AE338" i="17"/>
  <c r="AE82" i="17"/>
  <c r="AE347" i="17"/>
  <c r="AE249" i="17"/>
  <c r="AE168" i="17"/>
  <c r="AE103" i="17"/>
  <c r="AE302" i="17"/>
  <c r="AE46" i="17"/>
  <c r="AE284" i="17"/>
  <c r="AE57" i="17"/>
  <c r="AE349" i="17"/>
  <c r="AE18" i="17"/>
  <c r="AE218" i="17"/>
  <c r="AE173" i="17"/>
  <c r="AE116" i="17"/>
  <c r="AE344" i="17"/>
  <c r="AE215" i="17"/>
  <c r="AE255" i="17"/>
  <c r="AE150" i="17"/>
  <c r="AE37" i="17"/>
  <c r="AE265" i="17"/>
  <c r="AE176" i="17"/>
  <c r="AE123" i="17"/>
  <c r="AE322" i="17"/>
  <c r="AE66" i="17"/>
  <c r="AE292" i="17"/>
  <c r="AE65" i="17"/>
  <c r="AE357" i="17"/>
  <c r="AE23" i="17"/>
  <c r="AE222" i="17"/>
  <c r="AE181" i="17"/>
  <c r="AE124" i="17"/>
  <c r="AE352" i="17"/>
  <c r="AE197" i="17"/>
  <c r="AE231" i="17"/>
  <c r="AE138" i="17"/>
  <c r="AE377" i="17"/>
  <c r="AE283" i="17"/>
  <c r="AE184" i="17"/>
  <c r="AE127" i="17"/>
  <c r="AE326" i="17"/>
  <c r="AE70" i="17"/>
  <c r="AE332" i="17"/>
  <c r="AE73" i="17"/>
  <c r="AE19" i="17"/>
  <c r="AE43" i="17"/>
  <c r="AE242" i="17"/>
  <c r="AE191" i="17"/>
  <c r="AE132" i="17"/>
  <c r="AE360" i="17"/>
  <c r="AE201" i="17"/>
  <c r="AE237" i="17"/>
  <c r="AE142" i="17"/>
  <c r="AE21" i="17"/>
  <c r="AE299" i="17"/>
  <c r="AE192" i="17"/>
  <c r="AE115" i="17"/>
  <c r="AE314" i="17"/>
  <c r="AE58" i="17"/>
  <c r="AE308" i="17"/>
  <c r="AE81" i="17"/>
  <c r="AE24" i="17"/>
  <c r="AE47" i="17"/>
  <c r="AE246" i="17"/>
  <c r="AE257" i="17"/>
  <c r="AE172" i="17"/>
  <c r="AE368" i="17"/>
  <c r="AE239" i="17"/>
  <c r="AE277" i="17"/>
  <c r="AE162" i="17"/>
  <c r="Q177" i="17"/>
  <c r="Q46" i="17"/>
  <c r="Q374" i="17"/>
  <c r="Q124" i="17"/>
  <c r="Q299" i="17"/>
  <c r="Q134" i="17"/>
  <c r="Q228" i="17"/>
  <c r="Q310" i="17"/>
  <c r="Q318" i="17"/>
  <c r="Q135" i="17"/>
  <c r="Q121" i="17"/>
  <c r="Q224" i="17"/>
  <c r="Q150" i="17"/>
  <c r="Q37" i="17"/>
  <c r="Q107" i="17"/>
  <c r="Q245" i="17"/>
  <c r="Q259" i="17"/>
  <c r="Q293" i="17"/>
  <c r="Q36" i="17"/>
  <c r="Q174" i="17"/>
  <c r="Q91" i="17"/>
  <c r="Q199" i="17"/>
  <c r="Q287" i="17"/>
  <c r="Q52" i="17"/>
  <c r="Q339" i="17"/>
  <c r="Q336" i="17"/>
  <c r="Q186" i="17"/>
  <c r="Q237" i="17"/>
  <c r="Q112" i="17"/>
  <c r="Q270" i="17"/>
  <c r="Q241" i="17"/>
  <c r="Q183" i="17"/>
  <c r="Q145" i="17"/>
  <c r="Q205" i="17"/>
  <c r="Q65" i="17"/>
  <c r="Q172" i="17"/>
  <c r="Q23" i="17"/>
  <c r="Q146" i="17"/>
  <c r="Q152" i="17"/>
  <c r="Q315" i="17"/>
  <c r="Q149" i="17"/>
  <c r="Q370" i="17"/>
  <c r="Q308" i="17"/>
  <c r="Q130" i="17"/>
  <c r="Q170" i="17"/>
  <c r="Q86" i="17"/>
  <c r="Q266" i="17"/>
  <c r="Q361" i="17"/>
  <c r="Q96" i="17"/>
  <c r="Q123" i="17"/>
  <c r="Q285" i="17"/>
  <c r="Q45" i="17"/>
  <c r="Q198" i="17"/>
  <c r="Q38" i="17"/>
  <c r="Q110" i="17"/>
  <c r="Q240" i="17"/>
  <c r="Q195" i="17"/>
  <c r="Q79" i="17"/>
  <c r="Q280" i="17"/>
  <c r="Q25" i="17"/>
  <c r="Q328" i="17"/>
  <c r="Q271" i="17"/>
  <c r="Q305" i="17"/>
  <c r="Q142" i="17"/>
  <c r="Q274" i="17"/>
  <c r="Q377" i="17"/>
  <c r="Q128" i="17"/>
  <c r="Q139" i="17"/>
  <c r="Q253" i="17"/>
  <c r="Q53" i="17"/>
  <c r="Q190" i="17"/>
  <c r="Q82" i="17"/>
  <c r="Q261" i="17"/>
  <c r="Q192" i="17"/>
  <c r="Q327" i="17"/>
  <c r="Q137" i="17"/>
  <c r="Q28" i="17"/>
  <c r="Q167" i="17"/>
  <c r="Q239" i="17"/>
  <c r="Q289" i="17"/>
  <c r="Q203" i="17"/>
  <c r="Q294" i="17"/>
  <c r="Q277" i="17"/>
  <c r="Q196" i="17"/>
  <c r="Q67" i="17"/>
  <c r="Q319" i="17"/>
  <c r="Q94" i="17"/>
  <c r="Q166" i="17"/>
  <c r="Q307" i="17"/>
  <c r="Q164" i="17"/>
  <c r="Q64" i="17"/>
  <c r="Q43" i="17"/>
  <c r="Q292" i="17"/>
  <c r="Q32" i="17"/>
  <c r="Q140" i="17"/>
  <c r="Q246" i="17"/>
  <c r="Q247" i="17"/>
  <c r="Q187" i="17"/>
  <c r="Q102" i="17"/>
  <c r="Q40" i="17"/>
  <c r="Q33" i="17"/>
  <c r="Q127" i="17"/>
  <c r="Q364" i="17"/>
  <c r="Q300" i="17"/>
  <c r="Q295" i="17"/>
  <c r="Q320" i="17"/>
  <c r="Q250" i="17"/>
  <c r="Q200" i="17"/>
  <c r="Q236" i="17"/>
  <c r="Q335" i="17"/>
  <c r="Q213" i="17"/>
  <c r="Q248" i="17"/>
  <c r="Q116" i="17"/>
  <c r="Q182" i="17"/>
  <c r="Q346" i="17"/>
  <c r="Q230" i="17"/>
  <c r="Q171" i="17"/>
  <c r="Q153" i="17"/>
  <c r="Q144" i="17"/>
  <c r="Q223" i="17"/>
  <c r="Q19" i="17"/>
  <c r="Q323" i="17"/>
  <c r="Q229" i="17"/>
  <c r="Q156" i="17"/>
  <c r="Q162" i="17"/>
  <c r="Q48" i="17"/>
  <c r="Q254" i="17"/>
  <c r="Q265" i="17"/>
  <c r="Q284" i="17"/>
  <c r="Q161" i="17"/>
  <c r="Q113" i="17"/>
  <c r="Q212" i="17"/>
  <c r="Q371" i="17"/>
  <c r="Q62" i="17"/>
  <c r="Q80" i="17"/>
  <c r="Q262" i="17"/>
  <c r="Q322" i="17"/>
  <c r="Q268" i="17"/>
  <c r="Q169" i="17"/>
  <c r="Q72" i="17"/>
  <c r="Q63" i="17"/>
  <c r="Q85" i="17"/>
  <c r="Q296" i="17"/>
  <c r="Q311" i="17"/>
  <c r="Q74" i="17"/>
  <c r="Q226" i="17"/>
  <c r="Q363" i="17"/>
  <c r="Q317" i="17"/>
  <c r="Q376" i="17"/>
  <c r="Q90" i="17"/>
  <c r="Q163" i="17"/>
  <c r="Q160" i="17"/>
  <c r="Q133" i="17"/>
  <c r="Q81" i="17"/>
  <c r="Q88" i="17"/>
  <c r="Q276" i="17"/>
  <c r="Q249" i="17"/>
  <c r="Q288" i="17"/>
  <c r="Q157" i="17"/>
  <c r="Q16" i="17"/>
  <c r="Q155" i="17"/>
  <c r="Q106" i="17"/>
  <c r="Q357" i="17"/>
  <c r="Q159" i="17"/>
  <c r="Q15" i="17"/>
  <c r="Q314" i="17"/>
  <c r="Q264" i="17"/>
  <c r="Q129" i="17"/>
  <c r="Q366" i="17"/>
  <c r="Q176" i="17"/>
  <c r="Q202" i="17"/>
  <c r="Q355" i="17"/>
  <c r="Q333" i="17"/>
  <c r="Q342" i="17"/>
  <c r="Q324" i="17"/>
  <c r="Q368" i="17"/>
  <c r="Q68" i="17"/>
  <c r="Q211" i="17"/>
  <c r="Q59" i="17"/>
  <c r="Q263" i="17"/>
  <c r="Q278" i="17"/>
  <c r="Q345" i="17"/>
  <c r="AE157" i="17"/>
  <c r="AE100" i="17"/>
  <c r="AE328" i="17"/>
  <c r="AE183" i="17"/>
  <c r="AE205" i="17"/>
  <c r="AE126" i="17"/>
  <c r="AE331" i="17"/>
  <c r="AE233" i="17"/>
  <c r="AE160" i="17"/>
  <c r="AE99" i="17"/>
  <c r="AE298" i="17"/>
  <c r="AE42" i="17"/>
  <c r="AE276" i="17"/>
  <c r="AE49" i="17"/>
  <c r="AE373" i="17"/>
  <c r="AE31" i="17"/>
  <c r="AE230" i="17"/>
  <c r="AE199" i="17"/>
  <c r="AE140" i="17"/>
  <c r="AE336" i="17"/>
  <c r="AE207" i="17"/>
  <c r="AE247" i="17"/>
  <c r="AE146" i="17"/>
  <c r="AE125" i="17"/>
  <c r="AE68" i="17"/>
  <c r="AE296" i="17"/>
  <c r="AE167" i="17"/>
  <c r="AE366" i="17"/>
  <c r="AE110" i="17"/>
  <c r="AE267" i="17"/>
  <c r="AE187" i="17"/>
  <c r="AE128" i="17"/>
  <c r="AE83" i="17"/>
  <c r="AE282" i="17"/>
  <c r="AE26" i="17"/>
  <c r="AE244" i="17"/>
  <c r="AE17" i="17"/>
  <c r="AE341" i="17"/>
  <c r="AE16" i="17"/>
  <c r="AE214" i="17"/>
  <c r="AE165" i="17"/>
  <c r="AE108" i="17"/>
  <c r="AE304" i="17"/>
  <c r="AE189" i="17"/>
  <c r="AE213" i="17"/>
  <c r="AE130" i="17"/>
  <c r="AE281" i="17"/>
  <c r="AE195" i="17"/>
  <c r="AE136" i="17"/>
  <c r="AE87" i="17"/>
  <c r="AE286" i="17"/>
  <c r="AE30" i="17"/>
  <c r="AE252" i="17"/>
  <c r="AE25" i="17"/>
  <c r="AE319" i="17"/>
  <c r="AE359" i="17"/>
  <c r="AE202" i="17"/>
  <c r="AE141" i="17"/>
  <c r="AE84" i="17"/>
  <c r="AE312" i="17"/>
  <c r="AE193" i="17"/>
  <c r="AE223" i="17"/>
  <c r="AE134" i="17"/>
  <c r="AE363" i="17"/>
  <c r="AE203" i="17"/>
  <c r="AE144" i="17"/>
  <c r="AE107" i="17"/>
  <c r="AE306" i="17"/>
  <c r="AE50" i="17"/>
  <c r="AE260" i="17"/>
  <c r="AE33" i="17"/>
  <c r="AE327" i="17"/>
  <c r="AE367" i="17"/>
  <c r="AE206" i="17"/>
  <c r="AE149" i="17"/>
  <c r="AE92" i="17"/>
  <c r="AE320" i="17"/>
  <c r="AE179" i="17"/>
  <c r="AE378" i="17"/>
  <c r="AE122" i="17"/>
  <c r="AE313" i="17"/>
  <c r="AE219" i="17"/>
  <c r="AE152" i="17"/>
  <c r="AE111" i="17"/>
  <c r="AE310" i="17"/>
  <c r="AE54" i="17"/>
  <c r="AE300" i="17"/>
  <c r="AE41" i="17"/>
  <c r="AE365" i="17"/>
  <c r="AE27" i="17"/>
  <c r="AE226" i="17"/>
  <c r="AE369" i="17"/>
  <c r="AE228" i="17"/>
  <c r="AE355" i="17"/>
  <c r="AE295" i="17"/>
  <c r="AE335" i="17"/>
  <c r="AE190" i="17"/>
  <c r="AE117" i="17"/>
  <c r="AE60" i="17"/>
  <c r="AE288" i="17"/>
  <c r="AE163" i="17"/>
  <c r="AE362" i="17"/>
  <c r="AE106" i="17"/>
  <c r="AE251" i="17"/>
  <c r="AE177" i="17"/>
  <c r="AE120" i="17"/>
  <c r="AE95" i="17"/>
  <c r="AE294" i="17"/>
  <c r="AE38" i="17"/>
  <c r="AE268" i="17"/>
  <c r="AE371" i="17"/>
  <c r="AE333" i="17"/>
  <c r="AE375" i="17"/>
  <c r="AE210" i="17"/>
  <c r="AE307" i="17"/>
  <c r="AE196" i="17"/>
  <c r="AE289" i="17"/>
  <c r="AE261" i="17"/>
  <c r="AE301" i="17"/>
  <c r="AE174" i="17"/>
  <c r="AE85" i="17"/>
  <c r="AE28" i="17"/>
  <c r="AE256" i="17"/>
  <c r="AE147" i="17"/>
  <c r="AE346" i="17"/>
  <c r="AE90" i="17"/>
  <c r="AE372" i="17"/>
  <c r="AE145" i="17"/>
  <c r="AE88" i="17"/>
  <c r="AE79" i="17"/>
  <c r="AE278" i="17"/>
  <c r="AE22" i="17"/>
  <c r="AE236" i="17"/>
  <c r="AE305" i="17"/>
  <c r="AE303" i="17"/>
  <c r="AE343" i="17"/>
  <c r="AE194" i="17"/>
  <c r="AE93" i="17"/>
  <c r="AE36" i="17"/>
  <c r="AE264" i="17"/>
  <c r="AE151" i="17"/>
  <c r="AE350" i="17"/>
  <c r="AE94" i="17"/>
  <c r="AE185" i="17"/>
  <c r="AE153" i="17"/>
  <c r="AE96" i="17"/>
  <c r="AE67" i="17"/>
  <c r="AE266" i="17"/>
  <c r="AE337" i="17"/>
  <c r="AE212" i="17"/>
  <c r="AE321" i="17"/>
  <c r="AE309" i="17"/>
  <c r="AE351" i="17"/>
  <c r="AE198" i="17"/>
  <c r="AE133" i="17"/>
  <c r="AE76" i="17"/>
  <c r="AE272" i="17"/>
  <c r="AE171" i="17"/>
  <c r="AE370" i="17"/>
  <c r="AE114" i="17"/>
  <c r="AE217" i="17"/>
  <c r="AE161" i="17"/>
  <c r="AE104" i="17"/>
  <c r="AE71" i="17"/>
  <c r="AE270" i="17"/>
  <c r="AE353" i="17"/>
  <c r="AE220" i="17"/>
  <c r="AE339" i="17"/>
  <c r="AE287" i="17"/>
  <c r="AE325" i="17"/>
  <c r="AE186" i="17"/>
  <c r="AE109" i="17"/>
  <c r="AE52" i="17"/>
  <c r="AE280" i="17"/>
  <c r="AE175" i="17"/>
  <c r="AE374" i="17"/>
  <c r="AE118" i="17"/>
  <c r="AE297" i="17"/>
  <c r="AE169" i="17"/>
  <c r="AE112" i="17"/>
  <c r="AE91" i="17"/>
  <c r="AE290" i="17"/>
  <c r="AE34" i="17"/>
  <c r="Q252" i="17"/>
  <c r="Q238" i="17"/>
  <c r="Q375" i="17"/>
  <c r="Q373" i="17"/>
  <c r="Q225" i="17"/>
  <c r="Q35" i="17"/>
  <c r="Q360" i="17"/>
  <c r="Q235" i="17"/>
  <c r="Q303" i="17"/>
  <c r="Q60" i="17"/>
  <c r="Q343" i="17"/>
  <c r="Q352" i="17"/>
  <c r="Q206" i="17"/>
  <c r="Q316" i="17"/>
  <c r="Q188" i="17"/>
  <c r="Q290" i="17"/>
  <c r="Q194" i="17"/>
  <c r="Q331" i="17"/>
  <c r="Q191" i="17"/>
  <c r="Q178" i="17"/>
  <c r="Q29" i="17"/>
  <c r="Q272" i="17"/>
  <c r="Q143" i="17"/>
  <c r="Q125" i="17"/>
  <c r="Q216" i="17"/>
  <c r="Q50" i="17"/>
  <c r="Q57" i="17"/>
  <c r="Q147" i="17"/>
  <c r="Q369" i="17"/>
  <c r="Q118" i="17"/>
  <c r="Q70" i="17"/>
  <c r="Q257" i="17"/>
  <c r="Q354" i="17"/>
  <c r="Q227" i="17"/>
  <c r="Q306" i="17"/>
  <c r="Q344" i="17"/>
  <c r="Q220" i="17"/>
  <c r="Q75" i="17"/>
  <c r="Q348" i="17"/>
  <c r="Q21" i="17"/>
  <c r="Q222" i="17"/>
  <c r="Q231" i="17"/>
  <c r="Q281" i="17"/>
  <c r="Q256" i="17"/>
  <c r="Q359" i="17"/>
  <c r="Q105" i="17"/>
  <c r="Q92" i="17"/>
  <c r="Q103" i="17"/>
  <c r="Q341" i="17"/>
  <c r="Q56" i="17"/>
  <c r="Q267" i="17"/>
  <c r="Q173" i="17"/>
  <c r="Q313" i="17"/>
  <c r="Q260" i="17"/>
  <c r="Q66" i="17"/>
  <c r="Q138" i="17"/>
  <c r="Q104" i="17"/>
  <c r="Q93" i="17"/>
  <c r="Q215" i="17"/>
  <c r="Q83" i="17"/>
  <c r="Q219" i="17"/>
  <c r="Q76" i="17"/>
  <c r="Q367" i="17"/>
  <c r="Q97" i="17"/>
  <c r="Q108" i="17"/>
  <c r="Q87" i="17"/>
  <c r="Q325" i="17"/>
  <c r="Q24" i="17"/>
  <c r="Q251" i="17"/>
  <c r="Q181" i="17"/>
  <c r="Q185" i="17"/>
  <c r="Q244" i="17"/>
  <c r="Q51" i="17"/>
  <c r="Q372" i="17"/>
  <c r="Q42" i="17"/>
  <c r="Q234" i="17"/>
  <c r="Q279" i="17"/>
  <c r="Q17" i="17"/>
  <c r="Q312" i="17"/>
  <c r="Q126" i="17"/>
  <c r="Q77" i="17"/>
  <c r="Q148" i="17"/>
  <c r="Q47" i="17"/>
  <c r="Q197" i="17"/>
  <c r="Q168" i="17"/>
  <c r="Q99" i="17"/>
  <c r="Q158" i="17"/>
  <c r="Q362" i="17"/>
  <c r="Q30" i="17"/>
  <c r="Q189" i="17"/>
  <c r="Q258" i="17"/>
  <c r="H64" i="16" l="1"/>
  <c r="AA267" i="16"/>
  <c r="Z267" i="16" s="1"/>
  <c r="Y267" i="16" s="1"/>
  <c r="AA64" i="16"/>
  <c r="Z64" i="16" s="1"/>
  <c r="Y64" i="16" s="1"/>
  <c r="AA159" i="16"/>
  <c r="Z159" i="16" s="1"/>
  <c r="Y159" i="16" s="1"/>
  <c r="AA327" i="16"/>
  <c r="Z327" i="16" s="1"/>
  <c r="Y327" i="16" s="1"/>
  <c r="G159" i="16"/>
  <c r="BY159" i="6" s="1"/>
  <c r="H247" i="16"/>
  <c r="G314" i="16"/>
  <c r="BY314" i="6" s="1"/>
  <c r="G369" i="16"/>
  <c r="BY369" i="6" s="1"/>
  <c r="G327" i="16"/>
  <c r="BY327" i="6" s="1"/>
  <c r="AA314" i="16"/>
  <c r="Z314" i="16" s="1"/>
  <c r="Y314" i="16" s="1"/>
  <c r="AA369" i="16"/>
  <c r="Z369" i="16" s="1"/>
  <c r="Y369" i="16" s="1"/>
  <c r="AA247" i="16"/>
  <c r="Z247" i="16" s="1"/>
  <c r="Y247" i="16" s="1"/>
  <c r="H366" i="16"/>
  <c r="I366" i="16" s="1"/>
  <c r="AA104" i="16"/>
  <c r="Z104" i="16" s="1"/>
  <c r="Y104" i="16" s="1"/>
  <c r="O163" i="24"/>
  <c r="O262" i="24"/>
  <c r="O207" i="24"/>
  <c r="O228" i="24"/>
  <c r="D45" i="7"/>
  <c r="G198" i="16"/>
  <c r="BY198" i="6" s="1"/>
  <c r="O205" i="24"/>
  <c r="O230" i="24"/>
  <c r="O278" i="24"/>
  <c r="O204" i="24"/>
  <c r="AA207" i="16"/>
  <c r="Z207" i="16" s="1"/>
  <c r="Y207" i="16" s="1"/>
  <c r="O238" i="24"/>
  <c r="O366" i="24"/>
  <c r="O318" i="24"/>
  <c r="O347" i="24"/>
  <c r="O309" i="24"/>
  <c r="O306" i="24"/>
  <c r="O159" i="24"/>
  <c r="O161" i="24"/>
  <c r="AA377" i="16"/>
  <c r="Z377" i="16" s="1"/>
  <c r="Y377" i="16" s="1"/>
  <c r="I349" i="16"/>
  <c r="O199" i="24"/>
  <c r="O280" i="24"/>
  <c r="O285" i="24"/>
  <c r="O357" i="24"/>
  <c r="O236" i="24"/>
  <c r="O155" i="24"/>
  <c r="O193" i="24"/>
  <c r="O156" i="24"/>
  <c r="O294" i="24"/>
  <c r="O189" i="24"/>
  <c r="O277" i="24"/>
  <c r="O197" i="24"/>
  <c r="O373" i="24"/>
  <c r="O237" i="24"/>
  <c r="O365" i="24"/>
  <c r="O276" i="24"/>
  <c r="O311" i="24"/>
  <c r="O153" i="24"/>
  <c r="O135" i="24"/>
  <c r="O148" i="24"/>
  <c r="O173" i="24"/>
  <c r="H298" i="16"/>
  <c r="I298" i="16" s="1"/>
  <c r="H283" i="16"/>
  <c r="J283" i="16" s="1"/>
  <c r="O152" i="24"/>
  <c r="O216" i="24"/>
  <c r="O255" i="24"/>
  <c r="O293" i="24"/>
  <c r="O245" i="24"/>
  <c r="O333" i="24"/>
  <c r="AG66" i="7" s="1"/>
  <c r="O358" i="24"/>
  <c r="O138" i="24"/>
  <c r="O287" i="24"/>
  <c r="O316" i="24"/>
  <c r="O335" i="24"/>
  <c r="O187" i="24"/>
  <c r="O273" i="24"/>
  <c r="O264" i="24"/>
  <c r="O300" i="24"/>
  <c r="O188" i="24"/>
  <c r="O217" i="24"/>
  <c r="O371" i="24"/>
  <c r="O158" i="24"/>
  <c r="O233" i="24"/>
  <c r="O194" i="24"/>
  <c r="O350" i="24"/>
  <c r="O160" i="24"/>
  <c r="O275" i="24"/>
  <c r="O304" i="24"/>
  <c r="O375" i="24"/>
  <c r="O196" i="24"/>
  <c r="O279" i="24"/>
  <c r="O284" i="24"/>
  <c r="O337" i="24"/>
  <c r="O198" i="24"/>
  <c r="O231" i="24"/>
  <c r="O314" i="24"/>
  <c r="O191" i="24"/>
  <c r="O263" i="24"/>
  <c r="O214" i="24"/>
  <c r="O239" i="24"/>
  <c r="G150" i="16"/>
  <c r="BY150" i="6" s="1"/>
  <c r="G377" i="16"/>
  <c r="BY377" i="6" s="1"/>
  <c r="G31" i="16"/>
  <c r="BY31" i="6" s="1"/>
  <c r="O171" i="24"/>
  <c r="O283" i="24"/>
  <c r="O302" i="24"/>
  <c r="AG65" i="7" s="1"/>
  <c r="O224" i="24"/>
  <c r="O343" i="24"/>
  <c r="O223" i="24"/>
  <c r="O332" i="24"/>
  <c r="O242" i="24"/>
  <c r="O368" i="24"/>
  <c r="O208" i="24"/>
  <c r="O323" i="24"/>
  <c r="O201" i="24"/>
  <c r="O312" i="24"/>
  <c r="O164" i="24"/>
  <c r="L41" i="19"/>
  <c r="O296" i="24"/>
  <c r="AA150" i="16"/>
  <c r="Z150" i="16" s="1"/>
  <c r="Y150" i="16" s="1"/>
  <c r="O378" i="24"/>
  <c r="O286" i="24"/>
  <c r="O331" i="24"/>
  <c r="O203" i="24"/>
  <c r="O305" i="24"/>
  <c r="G182" i="16"/>
  <c r="BY182" i="6" s="1"/>
  <c r="G45" i="16"/>
  <c r="BY45" i="6" s="1"/>
  <c r="AA166" i="16"/>
  <c r="Z166" i="16" s="1"/>
  <c r="Y166" i="16" s="1"/>
  <c r="G109" i="16"/>
  <c r="BY109" i="6" s="1"/>
  <c r="H244" i="16"/>
  <c r="J244" i="16" s="1"/>
  <c r="AA198" i="16"/>
  <c r="Z198" i="16" s="1"/>
  <c r="Y198" i="16" s="1"/>
  <c r="AA257" i="16"/>
  <c r="Z257" i="16" s="1"/>
  <c r="Y257" i="16" s="1"/>
  <c r="AA172" i="16"/>
  <c r="Z172" i="16" s="1"/>
  <c r="Y172" i="16" s="1"/>
  <c r="AA109" i="16"/>
  <c r="Z109" i="16" s="1"/>
  <c r="Y109" i="16" s="1"/>
  <c r="G76" i="16"/>
  <c r="BY76" i="6" s="1"/>
  <c r="H365" i="16"/>
  <c r="I365" i="16" s="1"/>
  <c r="H172" i="16"/>
  <c r="J172" i="16" s="1"/>
  <c r="AA237" i="16"/>
  <c r="Z237" i="16" s="1"/>
  <c r="Y237" i="16" s="1"/>
  <c r="AA102" i="16"/>
  <c r="Z102" i="16" s="1"/>
  <c r="Y102" i="16" s="1"/>
  <c r="H257" i="16"/>
  <c r="J257" i="16" s="1"/>
  <c r="H237" i="16"/>
  <c r="I237" i="16" s="1"/>
  <c r="O313" i="24"/>
  <c r="O165" i="24"/>
  <c r="G349" i="16"/>
  <c r="BY349" i="6" s="1"/>
  <c r="G143" i="16"/>
  <c r="BY143" i="6" s="1"/>
  <c r="AA182" i="16"/>
  <c r="Z182" i="16" s="1"/>
  <c r="Y182" i="16" s="1"/>
  <c r="AA298" i="16"/>
  <c r="Z298" i="16" s="1"/>
  <c r="Y298" i="16" s="1"/>
  <c r="G246" i="16"/>
  <c r="BY246" i="6" s="1"/>
  <c r="G135" i="16"/>
  <c r="BY135" i="6" s="1"/>
  <c r="O297" i="24"/>
  <c r="AA31" i="16"/>
  <c r="Z31" i="16" s="1"/>
  <c r="Y31" i="16" s="1"/>
  <c r="AA135" i="16"/>
  <c r="Z135" i="16" s="1"/>
  <c r="Y135" i="16" s="1"/>
  <c r="O329" i="24"/>
  <c r="O261" i="24"/>
  <c r="O221" i="24"/>
  <c r="O175" i="24"/>
  <c r="O317" i="24"/>
  <c r="O225" i="24"/>
  <c r="O249" i="24"/>
  <c r="O142" i="24"/>
  <c r="O327" i="24"/>
  <c r="O250" i="24"/>
  <c r="O210" i="24"/>
  <c r="AG62" i="7" s="1"/>
  <c r="O174" i="24"/>
  <c r="O307" i="24"/>
  <c r="O220" i="24"/>
  <c r="O243" i="24"/>
  <c r="O137" i="24"/>
  <c r="O344" i="24"/>
  <c r="O330" i="24"/>
  <c r="O295" i="24"/>
  <c r="O162" i="24"/>
  <c r="O379" i="24"/>
  <c r="C43" i="19" s="1"/>
  <c r="O308" i="24"/>
  <c r="O282" i="24"/>
  <c r="O200" i="24"/>
  <c r="O169" i="24"/>
  <c r="O348" i="24"/>
  <c r="O298" i="24"/>
  <c r="O166" i="24"/>
  <c r="O374" i="24"/>
  <c r="O259" i="24"/>
  <c r="O272" i="24"/>
  <c r="AG64" i="7" s="1"/>
  <c r="O179" i="24"/>
  <c r="O349" i="24"/>
  <c r="O355" i="24"/>
  <c r="O267" i="24"/>
  <c r="O186" i="24"/>
  <c r="O232" i="24"/>
  <c r="O176" i="24"/>
  <c r="O339" i="24"/>
  <c r="O353" i="24"/>
  <c r="O326" i="24"/>
  <c r="O244" i="24"/>
  <c r="O292" i="24"/>
  <c r="O254" i="24"/>
  <c r="O215" i="24"/>
  <c r="O149" i="24"/>
  <c r="AG60" i="7" s="1"/>
  <c r="O140" i="24"/>
  <c r="O345" i="24"/>
  <c r="O352" i="24"/>
  <c r="O266" i="24"/>
  <c r="O184" i="24"/>
  <c r="O229" i="24"/>
  <c r="O170" i="24"/>
  <c r="O328" i="24"/>
  <c r="O336" i="24"/>
  <c r="O325" i="24"/>
  <c r="O241" i="24"/>
  <c r="AG63" i="7" s="1"/>
  <c r="O291" i="24"/>
  <c r="O253" i="24"/>
  <c r="O213" i="24"/>
  <c r="O146" i="24"/>
  <c r="O139" i="24"/>
  <c r="O341" i="24"/>
  <c r="O351" i="24"/>
  <c r="O265" i="24"/>
  <c r="O181" i="24"/>
  <c r="O227" i="24"/>
  <c r="O168" i="24"/>
  <c r="O322" i="24"/>
  <c r="O324" i="24"/>
  <c r="O321" i="24"/>
  <c r="O234" i="24"/>
  <c r="O290" i="24"/>
  <c r="O252" i="24"/>
  <c r="O209" i="24"/>
  <c r="O144" i="24"/>
  <c r="O136" i="24"/>
  <c r="O354" i="24"/>
  <c r="O356" i="24"/>
  <c r="O268" i="24"/>
  <c r="O192" i="24"/>
  <c r="O235" i="24"/>
  <c r="O178" i="24"/>
  <c r="O167" i="24"/>
  <c r="O346" i="24"/>
  <c r="E8" i="24"/>
  <c r="K19" i="19" s="1"/>
  <c r="K43" i="19" s="1"/>
  <c r="O141" i="24"/>
  <c r="O26" i="24"/>
  <c r="O22" i="24"/>
  <c r="O51" i="24"/>
  <c r="O62" i="24"/>
  <c r="O91" i="24"/>
  <c r="O78" i="24"/>
  <c r="O108" i="24"/>
  <c r="O143" i="24"/>
  <c r="O251" i="24"/>
  <c r="O226" i="24"/>
  <c r="O319" i="24"/>
  <c r="O28" i="24"/>
  <c r="O41" i="24"/>
  <c r="O53" i="24"/>
  <c r="O73" i="24"/>
  <c r="O101" i="24"/>
  <c r="O70" i="24"/>
  <c r="O112" i="24"/>
  <c r="O177" i="24"/>
  <c r="O128" i="24"/>
  <c r="O258" i="24"/>
  <c r="O288" i="24"/>
  <c r="O303" i="24"/>
  <c r="O25" i="24"/>
  <c r="O47" i="24"/>
  <c r="O40" i="24"/>
  <c r="O84" i="24"/>
  <c r="O124" i="24"/>
  <c r="O145" i="24"/>
  <c r="O154" i="24"/>
  <c r="O260" i="24"/>
  <c r="O246" i="24"/>
  <c r="O360" i="24"/>
  <c r="O19" i="24"/>
  <c r="O44" i="24"/>
  <c r="O54" i="24"/>
  <c r="O74" i="24"/>
  <c r="O102" i="24"/>
  <c r="O71" i="24"/>
  <c r="O115" i="24"/>
  <c r="O105" i="24"/>
  <c r="O129" i="24"/>
  <c r="O240" i="24"/>
  <c r="O269" i="24"/>
  <c r="O359" i="24"/>
  <c r="O31" i="24"/>
  <c r="O34" i="24"/>
  <c r="O58" i="24"/>
  <c r="O66" i="24"/>
  <c r="O100" i="24"/>
  <c r="O83" i="24"/>
  <c r="O114" i="24"/>
  <c r="O219" i="24"/>
  <c r="O301" i="24"/>
  <c r="O338" i="24"/>
  <c r="O377" i="24"/>
  <c r="O37" i="24"/>
  <c r="O43" i="24"/>
  <c r="O69" i="24"/>
  <c r="O96" i="24"/>
  <c r="O122" i="24"/>
  <c r="O94" i="24"/>
  <c r="O134" i="24"/>
  <c r="O119" i="24"/>
  <c r="AG59" i="7" s="1"/>
  <c r="O182" i="24"/>
  <c r="O202" i="24"/>
  <c r="O364" i="24"/>
  <c r="O21" i="24"/>
  <c r="O20" i="24"/>
  <c r="O49" i="24"/>
  <c r="O61" i="24"/>
  <c r="O90" i="24"/>
  <c r="O75" i="24"/>
  <c r="O151" i="24"/>
  <c r="O116" i="24"/>
  <c r="O222" i="24"/>
  <c r="O190" i="24"/>
  <c r="O342" i="24"/>
  <c r="O17" i="24"/>
  <c r="O38" i="24"/>
  <c r="O50" i="24"/>
  <c r="O72" i="24"/>
  <c r="O97" i="24"/>
  <c r="O67" i="24"/>
  <c r="AY13" i="7"/>
  <c r="BE10" i="7" s="1"/>
  <c r="O23" i="24"/>
  <c r="O46" i="24"/>
  <c r="O39" i="24"/>
  <c r="O81" i="24"/>
  <c r="O123" i="24"/>
  <c r="O92" i="24"/>
  <c r="O131" i="24"/>
  <c r="O206" i="24"/>
  <c r="O289" i="24"/>
  <c r="O320" i="24"/>
  <c r="O315" i="24"/>
  <c r="O29" i="24"/>
  <c r="AG56" i="7" s="1"/>
  <c r="O36" i="24"/>
  <c r="O59" i="24"/>
  <c r="O88" i="24"/>
  <c r="AG58" i="7" s="1"/>
  <c r="O107" i="24"/>
  <c r="O89" i="24"/>
  <c r="O127" i="24"/>
  <c r="O113" i="24"/>
  <c r="O185" i="24"/>
  <c r="O212" i="24"/>
  <c r="O370" i="24"/>
  <c r="O30" i="24"/>
  <c r="O32" i="24"/>
  <c r="O52" i="24"/>
  <c r="O63" i="24"/>
  <c r="O99" i="24"/>
  <c r="O82" i="24"/>
  <c r="O110" i="24"/>
  <c r="O218" i="24"/>
  <c r="O299" i="24"/>
  <c r="O334" i="24"/>
  <c r="O363" i="24"/>
  <c r="AG67" i="7" s="1"/>
  <c r="O35" i="24"/>
  <c r="O42" i="24"/>
  <c r="O68" i="24"/>
  <c r="O95" i="24"/>
  <c r="O120" i="24"/>
  <c r="O93" i="24"/>
  <c r="O130" i="24"/>
  <c r="O117" i="24"/>
  <c r="O180" i="24"/>
  <c r="AG61" i="7" s="1"/>
  <c r="O195" i="24"/>
  <c r="O361" i="24"/>
  <c r="O15" i="24"/>
  <c r="O27" i="24"/>
  <c r="O48" i="24"/>
  <c r="O57" i="24"/>
  <c r="O85" i="24"/>
  <c r="O65" i="24"/>
  <c r="O150" i="24"/>
  <c r="O157" i="24"/>
  <c r="O270" i="24"/>
  <c r="O248" i="24"/>
  <c r="O362" i="24"/>
  <c r="O18" i="24"/>
  <c r="O60" i="24"/>
  <c r="AG57" i="7" s="1"/>
  <c r="O55" i="24"/>
  <c r="O79" i="24"/>
  <c r="O103" i="24"/>
  <c r="O77" i="24"/>
  <c r="O121" i="24"/>
  <c r="O109" i="24"/>
  <c r="O132" i="24"/>
  <c r="O247" i="24"/>
  <c r="O274" i="24"/>
  <c r="O372" i="24"/>
  <c r="O16" i="24"/>
  <c r="O45" i="24"/>
  <c r="O64" i="24"/>
  <c r="O76" i="24"/>
  <c r="O118" i="24"/>
  <c r="O86" i="24"/>
  <c r="O106" i="24"/>
  <c r="O172" i="24"/>
  <c r="O271" i="24"/>
  <c r="O256" i="24"/>
  <c r="O369" i="24"/>
  <c r="O24" i="24"/>
  <c r="O33" i="24"/>
  <c r="O56" i="24"/>
  <c r="O87" i="24"/>
  <c r="O104" i="24"/>
  <c r="O80" i="24"/>
  <c r="O126" i="24"/>
  <c r="O111" i="24"/>
  <c r="O133" i="24"/>
  <c r="O257" i="24"/>
  <c r="O281" i="24"/>
  <c r="O376" i="24"/>
  <c r="O98" i="24"/>
  <c r="O147" i="24"/>
  <c r="O125" i="24"/>
  <c r="O183" i="24"/>
  <c r="O211" i="24"/>
  <c r="O367" i="24"/>
  <c r="AC10" i="23"/>
  <c r="AC80" i="24" s="1"/>
  <c r="G203" i="16"/>
  <c r="BY203" i="6" s="1"/>
  <c r="AA275" i="16"/>
  <c r="Z275" i="16" s="1"/>
  <c r="Y275" i="16" s="1"/>
  <c r="AA76" i="16"/>
  <c r="Z76" i="16" s="1"/>
  <c r="Y76" i="16" s="1"/>
  <c r="H108" i="16"/>
  <c r="I108" i="16" s="1"/>
  <c r="I76" i="16"/>
  <c r="J76" i="16"/>
  <c r="AA360" i="16"/>
  <c r="Z360" i="16" s="1"/>
  <c r="Y360" i="16" s="1"/>
  <c r="AA143" i="16"/>
  <c r="Z143" i="16" s="1"/>
  <c r="Y143" i="16" s="1"/>
  <c r="AA291" i="16"/>
  <c r="Z291" i="16" s="1"/>
  <c r="Y291" i="16" s="1"/>
  <c r="G263" i="16"/>
  <c r="BY263" i="6" s="1"/>
  <c r="H275" i="16"/>
  <c r="J275" i="16" s="1"/>
  <c r="G281" i="16"/>
  <c r="BY281" i="6" s="1"/>
  <c r="G266" i="16"/>
  <c r="BY266" i="6" s="1"/>
  <c r="AA246" i="16"/>
  <c r="Z246" i="16" s="1"/>
  <c r="Y246" i="16" s="1"/>
  <c r="AA290" i="16"/>
  <c r="Z290" i="16" s="1"/>
  <c r="Y290" i="16" s="1"/>
  <c r="AA348" i="16"/>
  <c r="Z348" i="16" s="1"/>
  <c r="Y348" i="16" s="1"/>
  <c r="G222" i="16"/>
  <c r="BY222" i="6" s="1"/>
  <c r="G348" i="16"/>
  <c r="BY348" i="6" s="1"/>
  <c r="G249" i="16"/>
  <c r="BY249" i="6" s="1"/>
  <c r="G110" i="16"/>
  <c r="BY110" i="6" s="1"/>
  <c r="H291" i="16"/>
  <c r="I291" i="16" s="1"/>
  <c r="AA244" i="16"/>
  <c r="Z244" i="16" s="1"/>
  <c r="Y244" i="16" s="1"/>
  <c r="G36" i="16"/>
  <c r="BY36" i="6" s="1"/>
  <c r="G360" i="16"/>
  <c r="BY360" i="6" s="1"/>
  <c r="J203" i="16"/>
  <c r="O381" i="23"/>
  <c r="I166" i="16"/>
  <c r="O383" i="23"/>
  <c r="O382" i="23"/>
  <c r="J290" i="16"/>
  <c r="AA259" i="16"/>
  <c r="Z259" i="16" s="1"/>
  <c r="Y259" i="16" s="1"/>
  <c r="AA263" i="16"/>
  <c r="Z263" i="16" s="1"/>
  <c r="Y263" i="16" s="1"/>
  <c r="AA324" i="16"/>
  <c r="Z324" i="16" s="1"/>
  <c r="Y324" i="16" s="1"/>
  <c r="AA25" i="16"/>
  <c r="Z25" i="16" s="1"/>
  <c r="Y25" i="16" s="1"/>
  <c r="V149" i="16"/>
  <c r="F149" i="16" s="1"/>
  <c r="H149" i="16" s="1"/>
  <c r="G353" i="16"/>
  <c r="BY353" i="6" s="1"/>
  <c r="AA281" i="16"/>
  <c r="Z281" i="16" s="1"/>
  <c r="Y281" i="16" s="1"/>
  <c r="AA349" i="16"/>
  <c r="Z349" i="16" s="1"/>
  <c r="Y349" i="16" s="1"/>
  <c r="AA203" i="16"/>
  <c r="Z203" i="16" s="1"/>
  <c r="Y203" i="16" s="1"/>
  <c r="AA108" i="16"/>
  <c r="Z108" i="16" s="1"/>
  <c r="Y108" i="16" s="1"/>
  <c r="I353" i="16"/>
  <c r="G290" i="16"/>
  <c r="BY290" i="6" s="1"/>
  <c r="AA222" i="16"/>
  <c r="Z222" i="16" s="1"/>
  <c r="Y222" i="16" s="1"/>
  <c r="AA365" i="16"/>
  <c r="Z365" i="16" s="1"/>
  <c r="Y365" i="16" s="1"/>
  <c r="AA266" i="16"/>
  <c r="Z266" i="16" s="1"/>
  <c r="Y266" i="16" s="1"/>
  <c r="AA110" i="16"/>
  <c r="Z110" i="16" s="1"/>
  <c r="Y110" i="16" s="1"/>
  <c r="AA249" i="16"/>
  <c r="Z249" i="16" s="1"/>
  <c r="Y249" i="16" s="1"/>
  <c r="H78" i="16"/>
  <c r="I78" i="16" s="1"/>
  <c r="AA36" i="16"/>
  <c r="Z36" i="16" s="1"/>
  <c r="Y36" i="16" s="1"/>
  <c r="AA45" i="16"/>
  <c r="Z45" i="16" s="1"/>
  <c r="Y45" i="16" s="1"/>
  <c r="AA78" i="16"/>
  <c r="Z78" i="16" s="1"/>
  <c r="Y78" i="16" s="1"/>
  <c r="G166" i="16"/>
  <c r="BY166" i="6" s="1"/>
  <c r="H25" i="16"/>
  <c r="I25" i="16" s="1"/>
  <c r="AA26" i="16"/>
  <c r="Z26" i="16" s="1"/>
  <c r="Y26" i="16" s="1"/>
  <c r="H26" i="16"/>
  <c r="J26" i="16" s="1"/>
  <c r="G259" i="16"/>
  <c r="BY259" i="6" s="1"/>
  <c r="H102" i="16"/>
  <c r="I102" i="16" s="1"/>
  <c r="AA353" i="16"/>
  <c r="Z353" i="16" s="1"/>
  <c r="Y353" i="16" s="1"/>
  <c r="AA283" i="16"/>
  <c r="Z283" i="16" s="1"/>
  <c r="Y283" i="16" s="1"/>
  <c r="AC326" i="23"/>
  <c r="J269" i="16"/>
  <c r="AA130" i="16"/>
  <c r="Z130" i="16" s="1"/>
  <c r="Y130" i="16" s="1"/>
  <c r="I52" i="15"/>
  <c r="H52" i="16" s="1"/>
  <c r="H180" i="16"/>
  <c r="J180" i="16" s="1"/>
  <c r="I16" i="16"/>
  <c r="I46" i="16"/>
  <c r="H142" i="16"/>
  <c r="J142" i="16" s="1"/>
  <c r="J379" i="15"/>
  <c r="H130" i="16"/>
  <c r="I130" i="16" s="1"/>
  <c r="J368" i="16"/>
  <c r="AA180" i="16"/>
  <c r="Z180" i="16" s="1"/>
  <c r="Y180" i="16" s="1"/>
  <c r="AA95" i="16"/>
  <c r="Z95" i="16" s="1"/>
  <c r="Y95" i="16" s="1"/>
  <c r="AA142" i="16"/>
  <c r="Z142" i="16" s="1"/>
  <c r="Y142" i="16" s="1"/>
  <c r="V379" i="16"/>
  <c r="F379" i="16" s="1"/>
  <c r="AA379" i="16" s="1"/>
  <c r="Z379" i="16" s="1"/>
  <c r="Y379" i="16" s="1"/>
  <c r="D37" i="19"/>
  <c r="AA83" i="16"/>
  <c r="Z83" i="16" s="1"/>
  <c r="Y83" i="16" s="1"/>
  <c r="AA181" i="16"/>
  <c r="Z181" i="16" s="1"/>
  <c r="Y181" i="16" s="1"/>
  <c r="AC344" i="23"/>
  <c r="AC383" i="22"/>
  <c r="AA250" i="16"/>
  <c r="Z250" i="16" s="1"/>
  <c r="Y250" i="16" s="1"/>
  <c r="AA72" i="16"/>
  <c r="Z72" i="16" s="1"/>
  <c r="Y72" i="16" s="1"/>
  <c r="AA211" i="16"/>
  <c r="Z211" i="16" s="1"/>
  <c r="Y211" i="16" s="1"/>
  <c r="AA32" i="16"/>
  <c r="Z32" i="16" s="1"/>
  <c r="Y32" i="16" s="1"/>
  <c r="AA213" i="16"/>
  <c r="Z213" i="16" s="1"/>
  <c r="Y213" i="16" s="1"/>
  <c r="H309" i="16"/>
  <c r="J309" i="16" s="1"/>
  <c r="H243" i="16"/>
  <c r="I243" i="16" s="1"/>
  <c r="H95" i="16"/>
  <c r="G95" i="16"/>
  <c r="BY95" i="6" s="1"/>
  <c r="AA251" i="16"/>
  <c r="Z251" i="16" s="1"/>
  <c r="Y251" i="16" s="1"/>
  <c r="AC382" i="22"/>
  <c r="G138" i="16"/>
  <c r="BY138" i="6" s="1"/>
  <c r="H138" i="16"/>
  <c r="AA138" i="16"/>
  <c r="Z138" i="16" s="1"/>
  <c r="Y138" i="16" s="1"/>
  <c r="F228" i="16"/>
  <c r="H56" i="16"/>
  <c r="AA56" i="16"/>
  <c r="Z56" i="16" s="1"/>
  <c r="Y56" i="16" s="1"/>
  <c r="G56" i="16"/>
  <c r="BY56" i="6" s="1"/>
  <c r="H280" i="16"/>
  <c r="G280" i="16"/>
  <c r="BY280" i="6" s="1"/>
  <c r="AA280" i="16"/>
  <c r="Z280" i="16" s="1"/>
  <c r="Y280" i="16" s="1"/>
  <c r="AA39" i="16"/>
  <c r="Z39" i="16" s="1"/>
  <c r="Y39" i="16" s="1"/>
  <c r="G39" i="16"/>
  <c r="BY39" i="6" s="1"/>
  <c r="H39" i="16"/>
  <c r="G279" i="16"/>
  <c r="BY279" i="6" s="1"/>
  <c r="H279" i="16"/>
  <c r="G252" i="16"/>
  <c r="BY252" i="6" s="1"/>
  <c r="H252" i="16"/>
  <c r="AA252" i="16"/>
  <c r="Z252" i="16" s="1"/>
  <c r="Y252" i="16" s="1"/>
  <c r="H28" i="16"/>
  <c r="G28" i="16"/>
  <c r="BY28" i="6" s="1"/>
  <c r="AA28" i="16"/>
  <c r="Z28" i="16" s="1"/>
  <c r="Y28" i="16" s="1"/>
  <c r="G240" i="16"/>
  <c r="BY240" i="6" s="1"/>
  <c r="AA240" i="16"/>
  <c r="Z240" i="16" s="1"/>
  <c r="Y240" i="16" s="1"/>
  <c r="H240" i="16"/>
  <c r="AA317" i="16"/>
  <c r="Z317" i="16" s="1"/>
  <c r="Y317" i="16" s="1"/>
  <c r="H317" i="16"/>
  <c r="G317" i="16"/>
  <c r="BY317" i="6" s="1"/>
  <c r="AA80" i="16"/>
  <c r="Z80" i="16" s="1"/>
  <c r="Y80" i="16" s="1"/>
  <c r="G80" i="16"/>
  <c r="BY80" i="6" s="1"/>
  <c r="V272" i="16"/>
  <c r="F272" i="16" s="1"/>
  <c r="D52" i="7"/>
  <c r="G103" i="16"/>
  <c r="BY103" i="6" s="1"/>
  <c r="AA103" i="16"/>
  <c r="Z103" i="16" s="1"/>
  <c r="Y103" i="16" s="1"/>
  <c r="H103" i="16"/>
  <c r="AA196" i="16"/>
  <c r="Z196" i="16" s="1"/>
  <c r="Y196" i="16" s="1"/>
  <c r="G196" i="16"/>
  <c r="BY196" i="6" s="1"/>
  <c r="H196" i="16"/>
  <c r="G161" i="16"/>
  <c r="BY161" i="6" s="1"/>
  <c r="AA161" i="16"/>
  <c r="Z161" i="16" s="1"/>
  <c r="Y161" i="16" s="1"/>
  <c r="H161" i="16"/>
  <c r="G234" i="16"/>
  <c r="BY234" i="6" s="1"/>
  <c r="AA234" i="16"/>
  <c r="Z234" i="16" s="1"/>
  <c r="Y234" i="16" s="1"/>
  <c r="H234" i="16"/>
  <c r="H127" i="16"/>
  <c r="G127" i="16"/>
  <c r="BY127" i="6" s="1"/>
  <c r="G81" i="16"/>
  <c r="BY81" i="6" s="1"/>
  <c r="H81" i="16"/>
  <c r="AA81" i="16"/>
  <c r="Z81" i="16" s="1"/>
  <c r="Y81" i="16" s="1"/>
  <c r="AA55" i="16"/>
  <c r="Z55" i="16" s="1"/>
  <c r="Y55" i="16" s="1"/>
  <c r="G55" i="16"/>
  <c r="BY55" i="6" s="1"/>
  <c r="H55" i="16"/>
  <c r="V268" i="16"/>
  <c r="F268" i="16" s="1"/>
  <c r="AA286" i="16"/>
  <c r="Z286" i="16" s="1"/>
  <c r="Y286" i="16" s="1"/>
  <c r="G286" i="16"/>
  <c r="BY286" i="6" s="1"/>
  <c r="H286" i="16"/>
  <c r="AA114" i="16"/>
  <c r="Z114" i="16" s="1"/>
  <c r="Y114" i="16" s="1"/>
  <c r="G114" i="16"/>
  <c r="BY114" i="6" s="1"/>
  <c r="AA342" i="16"/>
  <c r="Z342" i="16" s="1"/>
  <c r="Y342" i="16" s="1"/>
  <c r="G342" i="16"/>
  <c r="BY342" i="6" s="1"/>
  <c r="H342" i="16"/>
  <c r="G35" i="16"/>
  <c r="BY35" i="6" s="1"/>
  <c r="AA35" i="16"/>
  <c r="Z35" i="16" s="1"/>
  <c r="Y35" i="16" s="1"/>
  <c r="H35" i="16"/>
  <c r="G212" i="16"/>
  <c r="BY212" i="6" s="1"/>
  <c r="AA212" i="16"/>
  <c r="Z212" i="16" s="1"/>
  <c r="Y212" i="16" s="1"/>
  <c r="H212" i="16"/>
  <c r="G74" i="16"/>
  <c r="BY74" i="6" s="1"/>
  <c r="AA74" i="16"/>
  <c r="Z74" i="16" s="1"/>
  <c r="Y74" i="16" s="1"/>
  <c r="H74" i="16"/>
  <c r="G374" i="16"/>
  <c r="BY374" i="6" s="1"/>
  <c r="AA374" i="16"/>
  <c r="Z374" i="16" s="1"/>
  <c r="Y374" i="16" s="1"/>
  <c r="H374" i="16"/>
  <c r="G151" i="16"/>
  <c r="BY151" i="6" s="1"/>
  <c r="AA151" i="16"/>
  <c r="Z151" i="16" s="1"/>
  <c r="Y151" i="16" s="1"/>
  <c r="H151" i="16"/>
  <c r="AA145" i="16"/>
  <c r="Z145" i="16" s="1"/>
  <c r="Y145" i="16" s="1"/>
  <c r="G145" i="16"/>
  <c r="BY145" i="6" s="1"/>
  <c r="H145" i="16"/>
  <c r="AA235" i="16"/>
  <c r="Z235" i="16" s="1"/>
  <c r="Y235" i="16" s="1"/>
  <c r="G235" i="16"/>
  <c r="BY235" i="6" s="1"/>
  <c r="H235" i="16"/>
  <c r="AA21" i="16"/>
  <c r="Z21" i="16" s="1"/>
  <c r="Y21" i="16" s="1"/>
  <c r="G21" i="16"/>
  <c r="BY21" i="6" s="1"/>
  <c r="AA144" i="16"/>
  <c r="Z144" i="16" s="1"/>
  <c r="Y144" i="16" s="1"/>
  <c r="G144" i="16"/>
  <c r="BY144" i="6" s="1"/>
  <c r="H144" i="16"/>
  <c r="G128" i="16"/>
  <c r="BY128" i="6" s="1"/>
  <c r="AA128" i="16"/>
  <c r="Z128" i="16" s="1"/>
  <c r="Y128" i="16" s="1"/>
  <c r="H128" i="16"/>
  <c r="G297" i="16"/>
  <c r="BY297" i="6" s="1"/>
  <c r="H297" i="16"/>
  <c r="G367" i="16"/>
  <c r="BY367" i="6" s="1"/>
  <c r="H367" i="16"/>
  <c r="G165" i="16"/>
  <c r="BY165" i="6" s="1"/>
  <c r="AA165" i="16"/>
  <c r="Z165" i="16" s="1"/>
  <c r="Y165" i="16" s="1"/>
  <c r="H165" i="16"/>
  <c r="H92" i="16"/>
  <c r="AA92" i="16"/>
  <c r="Z92" i="16" s="1"/>
  <c r="Y92" i="16" s="1"/>
  <c r="G92" i="16"/>
  <c r="BY92" i="6" s="1"/>
  <c r="G40" i="16"/>
  <c r="BY40" i="6" s="1"/>
  <c r="H40" i="16"/>
  <c r="AA40" i="16"/>
  <c r="Z40" i="16" s="1"/>
  <c r="Y40" i="16" s="1"/>
  <c r="H179" i="16"/>
  <c r="AA179" i="16"/>
  <c r="Z179" i="16" s="1"/>
  <c r="Y179" i="16" s="1"/>
  <c r="G179" i="16"/>
  <c r="BY179" i="6" s="1"/>
  <c r="G271" i="16"/>
  <c r="BY271" i="6" s="1"/>
  <c r="AA271" i="16"/>
  <c r="Z271" i="16" s="1"/>
  <c r="Y271" i="16" s="1"/>
  <c r="H271" i="16"/>
  <c r="J105" i="16"/>
  <c r="I105" i="16"/>
  <c r="AA209" i="16"/>
  <c r="Z209" i="16" s="1"/>
  <c r="Y209" i="16" s="1"/>
  <c r="G209" i="16"/>
  <c r="BY209" i="6" s="1"/>
  <c r="H209" i="16"/>
  <c r="H325" i="16"/>
  <c r="AA325" i="16"/>
  <c r="Z325" i="16" s="1"/>
  <c r="Y325" i="16" s="1"/>
  <c r="G325" i="16"/>
  <c r="BY325" i="6" s="1"/>
  <c r="AA328" i="16"/>
  <c r="Z328" i="16" s="1"/>
  <c r="Y328" i="16" s="1"/>
  <c r="G328" i="16"/>
  <c r="BY328" i="6" s="1"/>
  <c r="H328" i="16"/>
  <c r="H122" i="16"/>
  <c r="G122" i="16"/>
  <c r="BY122" i="6" s="1"/>
  <c r="AA122" i="16"/>
  <c r="Z122" i="16" s="1"/>
  <c r="Y122" i="16" s="1"/>
  <c r="G192" i="16"/>
  <c r="BY192" i="6" s="1"/>
  <c r="H192" i="16"/>
  <c r="G123" i="16"/>
  <c r="BY123" i="6" s="1"/>
  <c r="H123" i="16"/>
  <c r="AA123" i="16"/>
  <c r="Z123" i="16" s="1"/>
  <c r="Y123" i="16" s="1"/>
  <c r="AA229" i="16"/>
  <c r="Z229" i="16" s="1"/>
  <c r="Y229" i="16" s="1"/>
  <c r="G229" i="16"/>
  <c r="BY229" i="6" s="1"/>
  <c r="H229" i="16"/>
  <c r="F350" i="16"/>
  <c r="H54" i="16"/>
  <c r="G54" i="16"/>
  <c r="BY54" i="6" s="1"/>
  <c r="G201" i="16"/>
  <c r="BY201" i="6" s="1"/>
  <c r="AA201" i="16"/>
  <c r="Z201" i="16" s="1"/>
  <c r="Y201" i="16" s="1"/>
  <c r="H201" i="16"/>
  <c r="G364" i="16"/>
  <c r="BY364" i="6" s="1"/>
  <c r="H364" i="16"/>
  <c r="G376" i="16"/>
  <c r="BY376" i="6" s="1"/>
  <c r="H376" i="16"/>
  <c r="AA376" i="16"/>
  <c r="Z376" i="16" s="1"/>
  <c r="Y376" i="16" s="1"/>
  <c r="G184" i="16"/>
  <c r="BY184" i="6" s="1"/>
  <c r="H184" i="16"/>
  <c r="H48" i="16"/>
  <c r="G48" i="16"/>
  <c r="BY48" i="6" s="1"/>
  <c r="AA48" i="16"/>
  <c r="Z48" i="16" s="1"/>
  <c r="Y48" i="16" s="1"/>
  <c r="G354" i="16"/>
  <c r="BY354" i="6" s="1"/>
  <c r="H354" i="16"/>
  <c r="AA354" i="16"/>
  <c r="Z354" i="16" s="1"/>
  <c r="Y354" i="16" s="1"/>
  <c r="H49" i="16"/>
  <c r="G49" i="16"/>
  <c r="BY49" i="6" s="1"/>
  <c r="AA49" i="16"/>
  <c r="Z49" i="16" s="1"/>
  <c r="Y49" i="16" s="1"/>
  <c r="H256" i="16"/>
  <c r="G256" i="16"/>
  <c r="BY256" i="6" s="1"/>
  <c r="AA256" i="16"/>
  <c r="Z256" i="16" s="1"/>
  <c r="Y256" i="16" s="1"/>
  <c r="F260" i="16"/>
  <c r="H287" i="16"/>
  <c r="G287" i="16"/>
  <c r="BY287" i="6" s="1"/>
  <c r="AA287" i="16"/>
  <c r="Z287" i="16" s="1"/>
  <c r="Y287" i="16" s="1"/>
  <c r="G255" i="16"/>
  <c r="BY255" i="6" s="1"/>
  <c r="H255" i="16"/>
  <c r="AA255" i="16"/>
  <c r="Z255" i="16" s="1"/>
  <c r="Y255" i="16" s="1"/>
  <c r="G153" i="16"/>
  <c r="BY153" i="6" s="1"/>
  <c r="AA153" i="16"/>
  <c r="Z153" i="16" s="1"/>
  <c r="Y153" i="16" s="1"/>
  <c r="H153" i="16"/>
  <c r="AA43" i="16"/>
  <c r="Z43" i="16" s="1"/>
  <c r="Y43" i="16" s="1"/>
  <c r="G43" i="16"/>
  <c r="BY43" i="6" s="1"/>
  <c r="H43" i="16"/>
  <c r="H254" i="16"/>
  <c r="AA254" i="16"/>
  <c r="Z254" i="16" s="1"/>
  <c r="Y254" i="16" s="1"/>
  <c r="G254" i="16"/>
  <c r="BY254" i="6" s="1"/>
  <c r="G204" i="16"/>
  <c r="BY204" i="6" s="1"/>
  <c r="AA204" i="16"/>
  <c r="Z204" i="16" s="1"/>
  <c r="Y204" i="16" s="1"/>
  <c r="H204" i="16"/>
  <c r="H301" i="16"/>
  <c r="AA301" i="16"/>
  <c r="Z301" i="16" s="1"/>
  <c r="Y301" i="16" s="1"/>
  <c r="G301" i="16"/>
  <c r="BY301" i="6" s="1"/>
  <c r="H218" i="16"/>
  <c r="G218" i="16"/>
  <c r="BY218" i="6" s="1"/>
  <c r="AA218" i="16"/>
  <c r="Z218" i="16" s="1"/>
  <c r="Y218" i="16" s="1"/>
  <c r="G294" i="16"/>
  <c r="BY294" i="6" s="1"/>
  <c r="AA294" i="16"/>
  <c r="Z294" i="16" s="1"/>
  <c r="Y294" i="16" s="1"/>
  <c r="H294" i="16"/>
  <c r="AA217" i="16"/>
  <c r="Z217" i="16" s="1"/>
  <c r="Y217" i="16" s="1"/>
  <c r="G217" i="16"/>
  <c r="BY217" i="6" s="1"/>
  <c r="H217" i="16"/>
  <c r="G188" i="16"/>
  <c r="BY188" i="6" s="1"/>
  <c r="H188" i="16"/>
  <c r="AA188" i="16"/>
  <c r="Z188" i="16" s="1"/>
  <c r="Y188" i="16" s="1"/>
  <c r="G293" i="16"/>
  <c r="BY293" i="6" s="1"/>
  <c r="H293" i="16"/>
  <c r="G132" i="16"/>
  <c r="BY132" i="6" s="1"/>
  <c r="H132" i="16"/>
  <c r="AA132" i="16"/>
  <c r="Z132" i="16" s="1"/>
  <c r="Y132" i="16" s="1"/>
  <c r="G336" i="16"/>
  <c r="BY336" i="6" s="1"/>
  <c r="H336" i="16"/>
  <c r="AA336" i="16"/>
  <c r="Z336" i="16" s="1"/>
  <c r="Y336" i="16" s="1"/>
  <c r="G86" i="16"/>
  <c r="BY86" i="6" s="1"/>
  <c r="AA86" i="16"/>
  <c r="Z86" i="16" s="1"/>
  <c r="Y86" i="16" s="1"/>
  <c r="H86" i="16"/>
  <c r="G134" i="16"/>
  <c r="BY134" i="6" s="1"/>
  <c r="AA134" i="16"/>
  <c r="Z134" i="16" s="1"/>
  <c r="Y134" i="16" s="1"/>
  <c r="H134" i="16"/>
  <c r="H187" i="16"/>
  <c r="AA187" i="16"/>
  <c r="Z187" i="16" s="1"/>
  <c r="Y187" i="16" s="1"/>
  <c r="G187" i="16"/>
  <c r="BY187" i="6" s="1"/>
  <c r="G171" i="16"/>
  <c r="BY171" i="6" s="1"/>
  <c r="H171" i="16"/>
  <c r="G87" i="16"/>
  <c r="BY87" i="6" s="1"/>
  <c r="AA87" i="16"/>
  <c r="Z87" i="16" s="1"/>
  <c r="Y87" i="16" s="1"/>
  <c r="H87" i="16"/>
  <c r="AA245" i="16"/>
  <c r="Z245" i="16" s="1"/>
  <c r="Y245" i="16" s="1"/>
  <c r="G245" i="16"/>
  <c r="BY245" i="6" s="1"/>
  <c r="H245" i="16"/>
  <c r="G355" i="16"/>
  <c r="BY355" i="6" s="1"/>
  <c r="H355" i="16"/>
  <c r="AA355" i="16"/>
  <c r="Z355" i="16" s="1"/>
  <c r="Y355" i="16" s="1"/>
  <c r="AC381" i="22"/>
  <c r="J258" i="16"/>
  <c r="I258" i="16"/>
  <c r="J199" i="16"/>
  <c r="I199" i="16"/>
  <c r="AH383" i="16"/>
  <c r="AH382" i="16"/>
  <c r="AG15" i="16"/>
  <c r="AH381" i="16"/>
  <c r="I150" i="16"/>
  <c r="J150" i="16"/>
  <c r="I182" i="16"/>
  <c r="J182" i="16"/>
  <c r="J157" i="16"/>
  <c r="I157" i="16"/>
  <c r="I158" i="16"/>
  <c r="J158" i="16"/>
  <c r="I90" i="16"/>
  <c r="J90" i="16"/>
  <c r="J263" i="16"/>
  <c r="I263" i="16"/>
  <c r="J104" i="16"/>
  <c r="I104" i="16"/>
  <c r="J99" i="16"/>
  <c r="I99" i="16"/>
  <c r="I51" i="16"/>
  <c r="J51" i="16"/>
  <c r="I288" i="16"/>
  <c r="J288" i="16"/>
  <c r="I146" i="16"/>
  <c r="J146" i="16"/>
  <c r="I306" i="16"/>
  <c r="J306" i="16"/>
  <c r="I267" i="16"/>
  <c r="J267" i="16"/>
  <c r="J281" i="16"/>
  <c r="I281" i="16"/>
  <c r="H80" i="16"/>
  <c r="H206" i="16"/>
  <c r="H18" i="16"/>
  <c r="H114" i="16"/>
  <c r="H60" i="16"/>
  <c r="AA60" i="16"/>
  <c r="Z60" i="16" s="1"/>
  <c r="Y60" i="16" s="1"/>
  <c r="G60" i="16"/>
  <c r="BY60" i="6" s="1"/>
  <c r="J143" i="16"/>
  <c r="I143" i="16"/>
  <c r="I266" i="16"/>
  <c r="J266" i="16"/>
  <c r="J31" i="16"/>
  <c r="I31" i="16"/>
  <c r="J373" i="15"/>
  <c r="I373" i="15"/>
  <c r="H373" i="16" s="1"/>
  <c r="I283" i="16"/>
  <c r="I109" i="16"/>
  <c r="J109" i="16"/>
  <c r="I110" i="16"/>
  <c r="J110" i="16"/>
  <c r="T381" i="16"/>
  <c r="T382" i="16"/>
  <c r="H20" i="16"/>
  <c r="H24" i="16"/>
  <c r="I36" i="16"/>
  <c r="J36" i="16"/>
  <c r="I369" i="16"/>
  <c r="J369" i="16"/>
  <c r="J366" i="16"/>
  <c r="G333" i="16"/>
  <c r="BY333" i="6" s="1"/>
  <c r="AA333" i="16"/>
  <c r="Z333" i="16" s="1"/>
  <c r="Y333" i="16" s="1"/>
  <c r="H214" i="16"/>
  <c r="I327" i="16"/>
  <c r="J327" i="16"/>
  <c r="J207" i="16"/>
  <c r="I207" i="16"/>
  <c r="H362" i="16"/>
  <c r="H333" i="16"/>
  <c r="I226" i="16"/>
  <c r="J226" i="16"/>
  <c r="I308" i="16"/>
  <c r="J308" i="16"/>
  <c r="J59" i="16"/>
  <c r="I59" i="16"/>
  <c r="I311" i="16"/>
  <c r="J311" i="16"/>
  <c r="I246" i="16"/>
  <c r="J246" i="16"/>
  <c r="AA192" i="16"/>
  <c r="Z192" i="16" s="1"/>
  <c r="Y192" i="16" s="1"/>
  <c r="AA127" i="16"/>
  <c r="Z127" i="16" s="1"/>
  <c r="Y127" i="16" s="1"/>
  <c r="AA364" i="16"/>
  <c r="Z364" i="16" s="1"/>
  <c r="Y364" i="16" s="1"/>
  <c r="AA279" i="16"/>
  <c r="Z279" i="16" s="1"/>
  <c r="Y279" i="16" s="1"/>
  <c r="AA378" i="16"/>
  <c r="Z378" i="16" s="1"/>
  <c r="Y378" i="16" s="1"/>
  <c r="G50" i="16"/>
  <c r="BY50" i="6" s="1"/>
  <c r="H50" i="16"/>
  <c r="AA79" i="16"/>
  <c r="Z79" i="16" s="1"/>
  <c r="Y79" i="16" s="1"/>
  <c r="G79" i="16"/>
  <c r="BY79" i="6" s="1"/>
  <c r="G44" i="16"/>
  <c r="BY44" i="6" s="1"/>
  <c r="H44" i="16"/>
  <c r="H316" i="16"/>
  <c r="G316" i="16"/>
  <c r="BY316" i="6" s="1"/>
  <c r="AA316" i="16"/>
  <c r="Z316" i="16" s="1"/>
  <c r="Y316" i="16" s="1"/>
  <c r="AA299" i="16"/>
  <c r="Z299" i="16" s="1"/>
  <c r="Y299" i="16" s="1"/>
  <c r="G299" i="16"/>
  <c r="BY299" i="6" s="1"/>
  <c r="H299" i="16"/>
  <c r="G358" i="16"/>
  <c r="BY358" i="6" s="1"/>
  <c r="AA358" i="16"/>
  <c r="Z358" i="16" s="1"/>
  <c r="Y358" i="16" s="1"/>
  <c r="H358" i="16"/>
  <c r="D53" i="7"/>
  <c r="V302" i="16"/>
  <c r="F302" i="16" s="1"/>
  <c r="H131" i="16"/>
  <c r="AA131" i="16"/>
  <c r="Z131" i="16" s="1"/>
  <c r="Y131" i="16" s="1"/>
  <c r="G131" i="16"/>
  <c r="BY131" i="6" s="1"/>
  <c r="H98" i="16"/>
  <c r="AA98" i="16"/>
  <c r="Z98" i="16" s="1"/>
  <c r="Y98" i="16" s="1"/>
  <c r="G98" i="16"/>
  <c r="BY98" i="6" s="1"/>
  <c r="D46" i="7"/>
  <c r="V88" i="16"/>
  <c r="F88" i="16" s="1"/>
  <c r="H173" i="16"/>
  <c r="G173" i="16"/>
  <c r="BY173" i="6" s="1"/>
  <c r="AA173" i="16"/>
  <c r="Z173" i="16" s="1"/>
  <c r="Y173" i="16" s="1"/>
  <c r="H42" i="16"/>
  <c r="G42" i="16"/>
  <c r="BY42" i="6" s="1"/>
  <c r="AA42" i="16"/>
  <c r="Z42" i="16" s="1"/>
  <c r="Y42" i="16" s="1"/>
  <c r="G154" i="16"/>
  <c r="BY154" i="6" s="1"/>
  <c r="H154" i="16"/>
  <c r="AA154" i="16"/>
  <c r="Z154" i="16" s="1"/>
  <c r="Y154" i="16" s="1"/>
  <c r="G224" i="16"/>
  <c r="BY224" i="6" s="1"/>
  <c r="AA224" i="16"/>
  <c r="Z224" i="16" s="1"/>
  <c r="Y224" i="16" s="1"/>
  <c r="H224" i="16"/>
  <c r="AA205" i="16"/>
  <c r="Z205" i="16" s="1"/>
  <c r="Y205" i="16" s="1"/>
  <c r="G205" i="16"/>
  <c r="BY205" i="6" s="1"/>
  <c r="H205" i="16"/>
  <c r="G66" i="16"/>
  <c r="BY66" i="6" s="1"/>
  <c r="AA66" i="16"/>
  <c r="Z66" i="16" s="1"/>
  <c r="Y66" i="16" s="1"/>
  <c r="H66" i="16"/>
  <c r="D55" i="7"/>
  <c r="V363" i="16"/>
  <c r="F363" i="16" s="1"/>
  <c r="G193" i="16"/>
  <c r="BY193" i="6" s="1"/>
  <c r="AA193" i="16"/>
  <c r="Z193" i="16" s="1"/>
  <c r="Y193" i="16" s="1"/>
  <c r="H193" i="16"/>
  <c r="AA339" i="16"/>
  <c r="Z339" i="16" s="1"/>
  <c r="Y339" i="16" s="1"/>
  <c r="G339" i="16"/>
  <c r="BY339" i="6" s="1"/>
  <c r="H339" i="16"/>
  <c r="AA373" i="16"/>
  <c r="Z373" i="16" s="1"/>
  <c r="Y373" i="16" s="1"/>
  <c r="G373" i="16"/>
  <c r="BY373" i="6" s="1"/>
  <c r="AA105" i="16"/>
  <c r="Z105" i="16" s="1"/>
  <c r="Y105" i="16" s="1"/>
  <c r="G105" i="16"/>
  <c r="BY105" i="6" s="1"/>
  <c r="H372" i="16"/>
  <c r="AA372" i="16"/>
  <c r="Z372" i="16" s="1"/>
  <c r="Y372" i="16" s="1"/>
  <c r="G372" i="16"/>
  <c r="BY372" i="6" s="1"/>
  <c r="AA148" i="16"/>
  <c r="Z148" i="16" s="1"/>
  <c r="Y148" i="16" s="1"/>
  <c r="G148" i="16"/>
  <c r="BY148" i="6" s="1"/>
  <c r="H148" i="16"/>
  <c r="G68" i="16"/>
  <c r="BY68" i="6" s="1"/>
  <c r="H68" i="16"/>
  <c r="AA285" i="16"/>
  <c r="Z285" i="16" s="1"/>
  <c r="Y285" i="16" s="1"/>
  <c r="G285" i="16"/>
  <c r="BY285" i="6" s="1"/>
  <c r="H285" i="16"/>
  <c r="AA61" i="16"/>
  <c r="Z61" i="16" s="1"/>
  <c r="Y61" i="16" s="1"/>
  <c r="G61" i="16"/>
  <c r="BY61" i="6" s="1"/>
  <c r="H61" i="16"/>
  <c r="H265" i="16"/>
  <c r="AA265" i="16"/>
  <c r="Z265" i="16" s="1"/>
  <c r="Y265" i="16" s="1"/>
  <c r="G265" i="16"/>
  <c r="BY265" i="6" s="1"/>
  <c r="H189" i="16"/>
  <c r="AA189" i="16"/>
  <c r="Z189" i="16" s="1"/>
  <c r="Y189" i="16" s="1"/>
  <c r="G189" i="16"/>
  <c r="BY189" i="6" s="1"/>
  <c r="H181" i="16"/>
  <c r="G181" i="16"/>
  <c r="BY181" i="6" s="1"/>
  <c r="G307" i="16"/>
  <c r="BY307" i="6" s="1"/>
  <c r="AA307" i="16"/>
  <c r="Z307" i="16" s="1"/>
  <c r="Y307" i="16" s="1"/>
  <c r="H307" i="16"/>
  <c r="G129" i="16"/>
  <c r="BY129" i="6" s="1"/>
  <c r="AA129" i="16"/>
  <c r="Z129" i="16" s="1"/>
  <c r="Y129" i="16" s="1"/>
  <c r="H129" i="16"/>
  <c r="AA200" i="16"/>
  <c r="Z200" i="16" s="1"/>
  <c r="Y200" i="16" s="1"/>
  <c r="G200" i="16"/>
  <c r="BY200" i="6" s="1"/>
  <c r="H200" i="16"/>
  <c r="G58" i="16"/>
  <c r="BY58" i="6" s="1"/>
  <c r="AA58" i="16"/>
  <c r="Z58" i="16" s="1"/>
  <c r="Y58" i="16" s="1"/>
  <c r="H58" i="16"/>
  <c r="H152" i="16"/>
  <c r="G152" i="16"/>
  <c r="BY152" i="6" s="1"/>
  <c r="AA152" i="16"/>
  <c r="Z152" i="16" s="1"/>
  <c r="Y152" i="16" s="1"/>
  <c r="AA264" i="16"/>
  <c r="Z264" i="16" s="1"/>
  <c r="Y264" i="16" s="1"/>
  <c r="G264" i="16"/>
  <c r="BY264" i="6" s="1"/>
  <c r="H264" i="16"/>
  <c r="H213" i="16"/>
  <c r="G213" i="16"/>
  <c r="BY213" i="6" s="1"/>
  <c r="G352" i="16"/>
  <c r="BY352" i="6" s="1"/>
  <c r="H352" i="16"/>
  <c r="AA352" i="16"/>
  <c r="Z352" i="16" s="1"/>
  <c r="Y352" i="16" s="1"/>
  <c r="H160" i="16"/>
  <c r="G160" i="16"/>
  <c r="BY160" i="6" s="1"/>
  <c r="AA160" i="16"/>
  <c r="Z160" i="16" s="1"/>
  <c r="Y160" i="16" s="1"/>
  <c r="G116" i="16"/>
  <c r="BY116" i="6" s="1"/>
  <c r="AA116" i="16"/>
  <c r="Z116" i="16" s="1"/>
  <c r="Y116" i="16" s="1"/>
  <c r="H116" i="16"/>
  <c r="AA332" i="16"/>
  <c r="Z332" i="16" s="1"/>
  <c r="Y332" i="16" s="1"/>
  <c r="G332" i="16"/>
  <c r="BY332" i="6" s="1"/>
  <c r="H332" i="16"/>
  <c r="G163" i="16"/>
  <c r="BY163" i="6" s="1"/>
  <c r="H163" i="16"/>
  <c r="AA163" i="16"/>
  <c r="Z163" i="16" s="1"/>
  <c r="Y163" i="16" s="1"/>
  <c r="G318" i="16"/>
  <c r="BY318" i="6" s="1"/>
  <c r="AA318" i="16"/>
  <c r="Z318" i="16" s="1"/>
  <c r="Y318" i="16" s="1"/>
  <c r="H318" i="16"/>
  <c r="H67" i="16"/>
  <c r="G67" i="16"/>
  <c r="BY67" i="6" s="1"/>
  <c r="AA67" i="16"/>
  <c r="Z67" i="16" s="1"/>
  <c r="Y67" i="16" s="1"/>
  <c r="D51" i="7"/>
  <c r="V241" i="16"/>
  <c r="F241" i="16" s="1"/>
  <c r="G315" i="16"/>
  <c r="BY315" i="6" s="1"/>
  <c r="AA315" i="16"/>
  <c r="Z315" i="16" s="1"/>
  <c r="Y315" i="16" s="1"/>
  <c r="H315" i="16"/>
  <c r="AA370" i="16"/>
  <c r="Z370" i="16" s="1"/>
  <c r="Y370" i="16" s="1"/>
  <c r="G370" i="16"/>
  <c r="BY370" i="6" s="1"/>
  <c r="H370" i="16"/>
  <c r="AA63" i="16"/>
  <c r="Z63" i="16" s="1"/>
  <c r="Y63" i="16" s="1"/>
  <c r="H63" i="16"/>
  <c r="G63" i="16"/>
  <c r="BY63" i="6" s="1"/>
  <c r="G343" i="16"/>
  <c r="BY343" i="6" s="1"/>
  <c r="AA343" i="16"/>
  <c r="Z343" i="16" s="1"/>
  <c r="Y343" i="16" s="1"/>
  <c r="H343" i="16"/>
  <c r="G206" i="16"/>
  <c r="BY206" i="6" s="1"/>
  <c r="AA206" i="16"/>
  <c r="Z206" i="16" s="1"/>
  <c r="Y206" i="16" s="1"/>
  <c r="G32" i="16"/>
  <c r="BY32" i="6" s="1"/>
  <c r="H32" i="16"/>
  <c r="H33" i="16"/>
  <c r="G33" i="16"/>
  <c r="BY33" i="6" s="1"/>
  <c r="AA33" i="16"/>
  <c r="Z33" i="16" s="1"/>
  <c r="Y33" i="16" s="1"/>
  <c r="G139" i="16"/>
  <c r="BY139" i="6" s="1"/>
  <c r="H139" i="16"/>
  <c r="AA139" i="16"/>
  <c r="Z139" i="16" s="1"/>
  <c r="Y139" i="16" s="1"/>
  <c r="G362" i="16"/>
  <c r="BY362" i="6" s="1"/>
  <c r="AA362" i="16"/>
  <c r="Z362" i="16" s="1"/>
  <c r="Y362" i="16" s="1"/>
  <c r="H356" i="16"/>
  <c r="G356" i="16"/>
  <c r="BY356" i="6" s="1"/>
  <c r="AA356" i="16"/>
  <c r="Z356" i="16" s="1"/>
  <c r="Y356" i="16" s="1"/>
  <c r="G345" i="16"/>
  <c r="BY345" i="6" s="1"/>
  <c r="AA345" i="16"/>
  <c r="Z345" i="16" s="1"/>
  <c r="Y345" i="16" s="1"/>
  <c r="H345" i="16"/>
  <c r="G194" i="16"/>
  <c r="BY194" i="6" s="1"/>
  <c r="H194" i="16"/>
  <c r="AA194" i="16"/>
  <c r="Z194" i="16" s="1"/>
  <c r="Y194" i="16" s="1"/>
  <c r="AA331" i="16"/>
  <c r="Z331" i="16" s="1"/>
  <c r="Y331" i="16" s="1"/>
  <c r="H331" i="16"/>
  <c r="G331" i="16"/>
  <c r="BY331" i="6" s="1"/>
  <c r="G170" i="16"/>
  <c r="BY170" i="6" s="1"/>
  <c r="H170" i="16"/>
  <c r="AA170" i="16"/>
  <c r="Z170" i="16" s="1"/>
  <c r="Y170" i="16" s="1"/>
  <c r="H313" i="16"/>
  <c r="G313" i="16"/>
  <c r="BY313" i="6" s="1"/>
  <c r="AA313" i="16"/>
  <c r="Z313" i="16" s="1"/>
  <c r="Y313" i="16" s="1"/>
  <c r="G277" i="16"/>
  <c r="BY277" i="6" s="1"/>
  <c r="AA277" i="16"/>
  <c r="Z277" i="16" s="1"/>
  <c r="Y277" i="16" s="1"/>
  <c r="H277" i="16"/>
  <c r="V197" i="16"/>
  <c r="F197" i="16" s="1"/>
  <c r="H310" i="16"/>
  <c r="AA310" i="16"/>
  <c r="Z310" i="16" s="1"/>
  <c r="Y310" i="16" s="1"/>
  <c r="G310" i="16"/>
  <c r="BY310" i="6" s="1"/>
  <c r="G174" i="16"/>
  <c r="BY174" i="6" s="1"/>
  <c r="AA174" i="16"/>
  <c r="Z174" i="16" s="1"/>
  <c r="Y174" i="16" s="1"/>
  <c r="H174" i="16"/>
  <c r="G230" i="16"/>
  <c r="BY230" i="6" s="1"/>
  <c r="AA230" i="16"/>
  <c r="Z230" i="16" s="1"/>
  <c r="Y230" i="16" s="1"/>
  <c r="H230" i="16"/>
  <c r="G359" i="16"/>
  <c r="BY359" i="6" s="1"/>
  <c r="H359" i="16"/>
  <c r="AA359" i="16"/>
  <c r="Z359" i="16" s="1"/>
  <c r="Y359" i="16" s="1"/>
  <c r="AA238" i="16"/>
  <c r="Z238" i="16" s="1"/>
  <c r="Y238" i="16" s="1"/>
  <c r="G238" i="16"/>
  <c r="BY238" i="6" s="1"/>
  <c r="H238" i="16"/>
  <c r="G330" i="16"/>
  <c r="BY330" i="6" s="1"/>
  <c r="AA330" i="16"/>
  <c r="Z330" i="16" s="1"/>
  <c r="Y330" i="16" s="1"/>
  <c r="H330" i="16"/>
  <c r="H261" i="16"/>
  <c r="G261" i="16"/>
  <c r="BY261" i="6" s="1"/>
  <c r="AA261" i="16"/>
  <c r="Z261" i="16" s="1"/>
  <c r="Y261" i="16" s="1"/>
  <c r="G52" i="16"/>
  <c r="BY52" i="6" s="1"/>
  <c r="AA52" i="16"/>
  <c r="Z52" i="16" s="1"/>
  <c r="Y52" i="16" s="1"/>
  <c r="AA111" i="16"/>
  <c r="Z111" i="16" s="1"/>
  <c r="Y111" i="16" s="1"/>
  <c r="H111" i="16"/>
  <c r="G111" i="16"/>
  <c r="BY111" i="6" s="1"/>
  <c r="G323" i="16"/>
  <c r="BY323" i="6" s="1"/>
  <c r="AA323" i="16"/>
  <c r="Z323" i="16" s="1"/>
  <c r="Y323" i="16" s="1"/>
  <c r="H323" i="16"/>
  <c r="G147" i="16"/>
  <c r="BY147" i="6" s="1"/>
  <c r="AA147" i="16"/>
  <c r="Z147" i="16" s="1"/>
  <c r="Y147" i="16" s="1"/>
  <c r="H147" i="16"/>
  <c r="G53" i="16"/>
  <c r="BY53" i="6" s="1"/>
  <c r="AA53" i="16"/>
  <c r="Z53" i="16" s="1"/>
  <c r="Y53" i="16" s="1"/>
  <c r="H53" i="16"/>
  <c r="G140" i="16"/>
  <c r="BY140" i="6" s="1"/>
  <c r="AA140" i="16"/>
  <c r="Z140" i="16" s="1"/>
  <c r="Y140" i="16" s="1"/>
  <c r="H140" i="16"/>
  <c r="G340" i="16"/>
  <c r="BY340" i="6" s="1"/>
  <c r="AA340" i="16"/>
  <c r="Z340" i="16" s="1"/>
  <c r="Y340" i="16" s="1"/>
  <c r="H340" i="16"/>
  <c r="G155" i="16"/>
  <c r="BY155" i="6" s="1"/>
  <c r="AA155" i="16"/>
  <c r="Z155" i="16" s="1"/>
  <c r="Y155" i="16" s="1"/>
  <c r="H155" i="16"/>
  <c r="H215" i="16"/>
  <c r="G215" i="16"/>
  <c r="BY215" i="6" s="1"/>
  <c r="AA215" i="16"/>
  <c r="Z215" i="16" s="1"/>
  <c r="Y215" i="16" s="1"/>
  <c r="AA312" i="16"/>
  <c r="Z312" i="16" s="1"/>
  <c r="Y312" i="16" s="1"/>
  <c r="G312" i="16"/>
  <c r="BY312" i="6" s="1"/>
  <c r="H312" i="16"/>
  <c r="F167" i="16"/>
  <c r="G71" i="16"/>
  <c r="BY71" i="6" s="1"/>
  <c r="AA71" i="16"/>
  <c r="Z71" i="16" s="1"/>
  <c r="Y71" i="16" s="1"/>
  <c r="H71" i="16"/>
  <c r="AA344" i="16"/>
  <c r="Z344" i="16" s="1"/>
  <c r="Y344" i="16" s="1"/>
  <c r="H344" i="16"/>
  <c r="G344" i="16"/>
  <c r="BY344" i="6" s="1"/>
  <c r="V320" i="16"/>
  <c r="L63" i="19" s="1"/>
  <c r="G380" i="16"/>
  <c r="BY380" i="6" s="1"/>
  <c r="AA380" i="16"/>
  <c r="Z380" i="16" s="1"/>
  <c r="Y380" i="16" s="1"/>
  <c r="H380" i="16"/>
  <c r="G115" i="16"/>
  <c r="BY115" i="6" s="1"/>
  <c r="AA115" i="16"/>
  <c r="Z115" i="16" s="1"/>
  <c r="Y115" i="16" s="1"/>
  <c r="H115" i="16"/>
  <c r="G227" i="16"/>
  <c r="BY227" i="6" s="1"/>
  <c r="AA227" i="16"/>
  <c r="Z227" i="16" s="1"/>
  <c r="Y227" i="16" s="1"/>
  <c r="G300" i="16"/>
  <c r="BY300" i="6" s="1"/>
  <c r="AA300" i="16"/>
  <c r="Z300" i="16" s="1"/>
  <c r="Y300" i="16" s="1"/>
  <c r="H300" i="16"/>
  <c r="G225" i="16"/>
  <c r="BY225" i="6" s="1"/>
  <c r="AA225" i="16"/>
  <c r="Z225" i="16" s="1"/>
  <c r="Y225" i="16" s="1"/>
  <c r="H225" i="16"/>
  <c r="G270" i="16"/>
  <c r="BY270" i="6" s="1"/>
  <c r="H270" i="16"/>
  <c r="AA270" i="16"/>
  <c r="Z270" i="16" s="1"/>
  <c r="Y270" i="16" s="1"/>
  <c r="G305" i="16"/>
  <c r="BY305" i="6" s="1"/>
  <c r="AA305" i="16"/>
  <c r="Z305" i="16" s="1"/>
  <c r="Y305" i="16" s="1"/>
  <c r="H305" i="16"/>
  <c r="G101" i="16"/>
  <c r="BY101" i="6" s="1"/>
  <c r="AA101" i="16"/>
  <c r="Z101" i="16" s="1"/>
  <c r="Y101" i="16" s="1"/>
  <c r="H101" i="16"/>
  <c r="G220" i="16"/>
  <c r="BY220" i="6" s="1"/>
  <c r="AA220" i="16"/>
  <c r="Z220" i="16" s="1"/>
  <c r="Y220" i="16" s="1"/>
  <c r="H220" i="16"/>
  <c r="U16" i="7"/>
  <c r="U10" i="17"/>
  <c r="J62" i="16"/>
  <c r="I62" i="16"/>
  <c r="P382" i="15"/>
  <c r="P381" i="15"/>
  <c r="V15" i="15"/>
  <c r="P383" i="15"/>
  <c r="G73" i="16"/>
  <c r="BY73" i="6" s="1"/>
  <c r="AA73" i="16"/>
  <c r="Z73" i="16" s="1"/>
  <c r="Y73" i="16" s="1"/>
  <c r="H73" i="16"/>
  <c r="G239" i="16"/>
  <c r="BY239" i="6" s="1"/>
  <c r="AA239" i="16"/>
  <c r="Z239" i="16" s="1"/>
  <c r="Y239" i="16" s="1"/>
  <c r="H239" i="16"/>
  <c r="H221" i="16"/>
  <c r="AA221" i="16"/>
  <c r="Z221" i="16" s="1"/>
  <c r="Y221" i="16" s="1"/>
  <c r="G221" i="16"/>
  <c r="BY221" i="6" s="1"/>
  <c r="G324" i="16"/>
  <c r="BY324" i="6" s="1"/>
  <c r="H324" i="16"/>
  <c r="V176" i="16"/>
  <c r="G63" i="19" s="1"/>
  <c r="G20" i="16"/>
  <c r="BY20" i="6" s="1"/>
  <c r="AA20" i="16"/>
  <c r="Z20" i="16" s="1"/>
  <c r="Y20" i="16" s="1"/>
  <c r="H292" i="16"/>
  <c r="G292" i="16"/>
  <c r="BY292" i="6" s="1"/>
  <c r="AA292" i="16"/>
  <c r="Z292" i="16" s="1"/>
  <c r="Y292" i="16" s="1"/>
  <c r="G96" i="16"/>
  <c r="BY96" i="6" s="1"/>
  <c r="H96" i="16"/>
  <c r="AA96" i="16"/>
  <c r="Z96" i="16" s="1"/>
  <c r="Y96" i="16" s="1"/>
  <c r="AA282" i="16"/>
  <c r="Z282" i="16" s="1"/>
  <c r="Y282" i="16" s="1"/>
  <c r="G282" i="16"/>
  <c r="BY282" i="6" s="1"/>
  <c r="H282" i="16"/>
  <c r="F106" i="16"/>
  <c r="H57" i="16"/>
  <c r="G57" i="16"/>
  <c r="BY57" i="6" s="1"/>
  <c r="AA57" i="16"/>
  <c r="Z57" i="16" s="1"/>
  <c r="Y57" i="16" s="1"/>
  <c r="G216" i="16"/>
  <c r="BY216" i="6" s="1"/>
  <c r="H216" i="16"/>
  <c r="AA216" i="16"/>
  <c r="Z216" i="16" s="1"/>
  <c r="Y216" i="16" s="1"/>
  <c r="G77" i="16"/>
  <c r="BY77" i="6" s="1"/>
  <c r="AA77" i="16"/>
  <c r="Z77" i="16" s="1"/>
  <c r="Y77" i="16" s="1"/>
  <c r="H77" i="16"/>
  <c r="H91" i="16"/>
  <c r="AA91" i="16"/>
  <c r="Z91" i="16" s="1"/>
  <c r="Y91" i="16" s="1"/>
  <c r="G91" i="16"/>
  <c r="BY91" i="6" s="1"/>
  <c r="H337" i="16"/>
  <c r="G337" i="16"/>
  <c r="BY337" i="6" s="1"/>
  <c r="AA337" i="16"/>
  <c r="Z337" i="16" s="1"/>
  <c r="Y337" i="16" s="1"/>
  <c r="H208" i="16"/>
  <c r="G208" i="16"/>
  <c r="BY208" i="6" s="1"/>
  <c r="AA208" i="16"/>
  <c r="Z208" i="16" s="1"/>
  <c r="Y208" i="16" s="1"/>
  <c r="G93" i="16"/>
  <c r="BY93" i="6" s="1"/>
  <c r="AA93" i="16"/>
  <c r="Z93" i="16" s="1"/>
  <c r="Y93" i="16" s="1"/>
  <c r="H93" i="16"/>
  <c r="F47" i="16"/>
  <c r="C63" i="19"/>
  <c r="V29" i="16"/>
  <c r="F29" i="16" s="1"/>
  <c r="D44" i="7"/>
  <c r="AA94" i="16"/>
  <c r="Z94" i="16" s="1"/>
  <c r="Y94" i="16" s="1"/>
  <c r="G94" i="16"/>
  <c r="BY94" i="6" s="1"/>
  <c r="H94" i="16"/>
  <c r="AA223" i="16"/>
  <c r="Z223" i="16" s="1"/>
  <c r="Y223" i="16" s="1"/>
  <c r="H223" i="16"/>
  <c r="G223" i="16"/>
  <c r="BY223" i="6" s="1"/>
  <c r="H236" i="16"/>
  <c r="G236" i="16"/>
  <c r="BY236" i="6" s="1"/>
  <c r="AA236" i="16"/>
  <c r="Z236" i="16" s="1"/>
  <c r="Y236" i="16" s="1"/>
  <c r="G191" i="16"/>
  <c r="BY191" i="6" s="1"/>
  <c r="H191" i="16"/>
  <c r="I247" i="16"/>
  <c r="J247" i="16"/>
  <c r="I195" i="16"/>
  <c r="J195" i="16"/>
  <c r="I177" i="16"/>
  <c r="J177" i="16"/>
  <c r="J314" i="16"/>
  <c r="I314" i="16"/>
  <c r="I64" i="16"/>
  <c r="J64" i="16"/>
  <c r="H227" i="16"/>
  <c r="J45" i="16"/>
  <c r="I45" i="16"/>
  <c r="H21" i="16"/>
  <c r="AA171" i="16"/>
  <c r="Z171" i="16" s="1"/>
  <c r="Y171" i="16" s="1"/>
  <c r="AA191" i="16"/>
  <c r="Z191" i="16" s="1"/>
  <c r="Y191" i="16" s="1"/>
  <c r="AA50" i="16"/>
  <c r="Z50" i="16" s="1"/>
  <c r="Y50" i="16" s="1"/>
  <c r="AA54" i="16"/>
  <c r="Z54" i="16" s="1"/>
  <c r="Y54" i="16" s="1"/>
  <c r="AA297" i="16"/>
  <c r="Z297" i="16" s="1"/>
  <c r="Y297" i="16" s="1"/>
  <c r="AA18" i="16"/>
  <c r="Z18" i="16" s="1"/>
  <c r="Y18" i="16" s="1"/>
  <c r="AA293" i="16"/>
  <c r="Z293" i="16" s="1"/>
  <c r="Y293" i="16" s="1"/>
  <c r="AA184" i="16"/>
  <c r="Z184" i="16" s="1"/>
  <c r="Y184" i="16" s="1"/>
  <c r="AA367" i="16"/>
  <c r="Z367" i="16" s="1"/>
  <c r="Y367" i="16" s="1"/>
  <c r="G361" i="16"/>
  <c r="BY361" i="6" s="1"/>
  <c r="AA361" i="16"/>
  <c r="Z361" i="16" s="1"/>
  <c r="Y361" i="16" s="1"/>
  <c r="H361" i="16"/>
  <c r="AA65" i="16"/>
  <c r="Z65" i="16" s="1"/>
  <c r="Y65" i="16" s="1"/>
  <c r="G65" i="16"/>
  <c r="BY65" i="6" s="1"/>
  <c r="H65" i="16"/>
  <c r="G85" i="16"/>
  <c r="BY85" i="6" s="1"/>
  <c r="AA85" i="16"/>
  <c r="Z85" i="16" s="1"/>
  <c r="Y85" i="16" s="1"/>
  <c r="H85" i="16"/>
  <c r="AA27" i="16"/>
  <c r="Z27" i="16" s="1"/>
  <c r="Y27" i="16" s="1"/>
  <c r="H27" i="16"/>
  <c r="G27" i="16"/>
  <c r="BY27" i="6" s="1"/>
  <c r="G37" i="16"/>
  <c r="BY37" i="6" s="1"/>
  <c r="AA37" i="16"/>
  <c r="Z37" i="16" s="1"/>
  <c r="Y37" i="16" s="1"/>
  <c r="H37" i="16"/>
  <c r="AA202" i="16"/>
  <c r="Z202" i="16" s="1"/>
  <c r="Y202" i="16" s="1"/>
  <c r="G202" i="16"/>
  <c r="BY202" i="6" s="1"/>
  <c r="H202" i="16"/>
  <c r="G346" i="16"/>
  <c r="BY346" i="6" s="1"/>
  <c r="AA346" i="16"/>
  <c r="Z346" i="16" s="1"/>
  <c r="Y346" i="16" s="1"/>
  <c r="H346" i="16"/>
  <c r="H273" i="16"/>
  <c r="G273" i="16"/>
  <c r="BY273" i="6" s="1"/>
  <c r="AA273" i="16"/>
  <c r="Z273" i="16" s="1"/>
  <c r="Y273" i="16" s="1"/>
  <c r="H175" i="16"/>
  <c r="G175" i="16"/>
  <c r="BY175" i="6" s="1"/>
  <c r="AA175" i="16"/>
  <c r="Z175" i="16" s="1"/>
  <c r="Y175" i="16" s="1"/>
  <c r="AA262" i="16"/>
  <c r="Z262" i="16" s="1"/>
  <c r="Y262" i="16" s="1"/>
  <c r="G262" i="16"/>
  <c r="BY262" i="6" s="1"/>
  <c r="H262" i="16"/>
  <c r="AA126" i="16"/>
  <c r="Z126" i="16" s="1"/>
  <c r="Y126" i="16" s="1"/>
  <c r="G126" i="16"/>
  <c r="BY126" i="6" s="1"/>
  <c r="H126" i="16"/>
  <c r="AA214" i="16"/>
  <c r="Z214" i="16" s="1"/>
  <c r="Y214" i="16" s="1"/>
  <c r="G214" i="16"/>
  <c r="BY214" i="6" s="1"/>
  <c r="G231" i="16"/>
  <c r="BY231" i="6" s="1"/>
  <c r="H231" i="16"/>
  <c r="AA231" i="16"/>
  <c r="Z231" i="16" s="1"/>
  <c r="Y231" i="16" s="1"/>
  <c r="H141" i="16"/>
  <c r="AA141" i="16"/>
  <c r="Z141" i="16" s="1"/>
  <c r="Y141" i="16" s="1"/>
  <c r="G141" i="16"/>
  <c r="BY141" i="6" s="1"/>
  <c r="V119" i="16"/>
  <c r="F119" i="16" s="1"/>
  <c r="D47" i="7"/>
  <c r="H112" i="16"/>
  <c r="G112" i="16"/>
  <c r="BY112" i="6" s="1"/>
  <c r="AA112" i="16"/>
  <c r="Z112" i="16" s="1"/>
  <c r="Y112" i="16" s="1"/>
  <c r="G83" i="16"/>
  <c r="BY83" i="6" s="1"/>
  <c r="H83" i="16"/>
  <c r="G156" i="16"/>
  <c r="BY156" i="6" s="1"/>
  <c r="H156" i="16"/>
  <c r="AA156" i="16"/>
  <c r="Z156" i="16" s="1"/>
  <c r="Y156" i="16" s="1"/>
  <c r="G113" i="16"/>
  <c r="BY113" i="6" s="1"/>
  <c r="H113" i="16"/>
  <c r="AA113" i="16"/>
  <c r="Z113" i="16" s="1"/>
  <c r="Y113" i="16" s="1"/>
  <c r="G19" i="16"/>
  <c r="BY19" i="6" s="1"/>
  <c r="H19" i="16"/>
  <c r="AA19" i="16"/>
  <c r="Z19" i="16" s="1"/>
  <c r="Y19" i="16" s="1"/>
  <c r="H178" i="16"/>
  <c r="G178" i="16"/>
  <c r="BY178" i="6" s="1"/>
  <c r="AA178" i="16"/>
  <c r="Z178" i="16" s="1"/>
  <c r="Y178" i="16" s="1"/>
  <c r="G219" i="16"/>
  <c r="BY219" i="6" s="1"/>
  <c r="AA219" i="16"/>
  <c r="Z219" i="16" s="1"/>
  <c r="Y219" i="16" s="1"/>
  <c r="H219" i="16"/>
  <c r="G162" i="16"/>
  <c r="BY162" i="6" s="1"/>
  <c r="H162" i="16"/>
  <c r="AA162" i="16"/>
  <c r="Z162" i="16" s="1"/>
  <c r="Y162" i="16" s="1"/>
  <c r="G371" i="16"/>
  <c r="BY371" i="6" s="1"/>
  <c r="H371" i="16"/>
  <c r="AA371" i="16"/>
  <c r="Z371" i="16" s="1"/>
  <c r="Y371" i="16" s="1"/>
  <c r="G232" i="16"/>
  <c r="BY232" i="6" s="1"/>
  <c r="AA232" i="16"/>
  <c r="Z232" i="16" s="1"/>
  <c r="Y232" i="16" s="1"/>
  <c r="H232" i="16"/>
  <c r="AA120" i="16"/>
  <c r="Z120" i="16" s="1"/>
  <c r="Y120" i="16" s="1"/>
  <c r="H120" i="16"/>
  <c r="G120" i="16"/>
  <c r="BY120" i="6" s="1"/>
  <c r="H84" i="16"/>
  <c r="AA84" i="16"/>
  <c r="Z84" i="16" s="1"/>
  <c r="Y84" i="16" s="1"/>
  <c r="G84" i="16"/>
  <c r="BY84" i="6" s="1"/>
  <c r="G284" i="16"/>
  <c r="BY284" i="6" s="1"/>
  <c r="H284" i="16"/>
  <c r="AA284" i="16"/>
  <c r="Z284" i="16" s="1"/>
  <c r="Y284" i="16" s="1"/>
  <c r="G357" i="16"/>
  <c r="BY357" i="6" s="1"/>
  <c r="AA357" i="16"/>
  <c r="Z357" i="16" s="1"/>
  <c r="Y357" i="16" s="1"/>
  <c r="H357" i="16"/>
  <c r="H124" i="16"/>
  <c r="AA124" i="16"/>
  <c r="Z124" i="16" s="1"/>
  <c r="Y124" i="16" s="1"/>
  <c r="G124" i="16"/>
  <c r="BY124" i="6" s="1"/>
  <c r="V210" i="16"/>
  <c r="D50" i="7"/>
  <c r="F210" i="16"/>
  <c r="G169" i="16"/>
  <c r="BY169" i="6" s="1"/>
  <c r="AA169" i="16"/>
  <c r="Z169" i="16" s="1"/>
  <c r="Y169" i="16" s="1"/>
  <c r="H169" i="16"/>
  <c r="G329" i="16"/>
  <c r="BY329" i="6" s="1"/>
  <c r="AA329" i="16"/>
  <c r="Z329" i="16" s="1"/>
  <c r="Y329" i="16" s="1"/>
  <c r="H329" i="16"/>
  <c r="G125" i="16"/>
  <c r="BY125" i="6" s="1"/>
  <c r="H125" i="16"/>
  <c r="AA125" i="16"/>
  <c r="Z125" i="16" s="1"/>
  <c r="Y125" i="16" s="1"/>
  <c r="G137" i="16"/>
  <c r="BY137" i="6" s="1"/>
  <c r="AA137" i="16"/>
  <c r="Z137" i="16" s="1"/>
  <c r="Y137" i="16" s="1"/>
  <c r="I347" i="16"/>
  <c r="J347" i="16"/>
  <c r="J75" i="15"/>
  <c r="I75" i="15"/>
  <c r="I222" i="16"/>
  <c r="J222" i="16"/>
  <c r="I348" i="16"/>
  <c r="J348" i="16"/>
  <c r="I249" i="16"/>
  <c r="J249" i="16"/>
  <c r="H253" i="16"/>
  <c r="G253" i="16"/>
  <c r="BY253" i="6" s="1"/>
  <c r="AA253" i="16"/>
  <c r="Z253" i="16" s="1"/>
  <c r="Y253" i="16" s="1"/>
  <c r="T383" i="16"/>
  <c r="S382" i="16"/>
  <c r="R15" i="16"/>
  <c r="S383" i="16"/>
  <c r="S381" i="16"/>
  <c r="G250" i="16"/>
  <c r="BY250" i="6" s="1"/>
  <c r="H250" i="16"/>
  <c r="G24" i="16"/>
  <c r="BY24" i="6" s="1"/>
  <c r="AA24" i="16"/>
  <c r="Z24" i="16" s="1"/>
  <c r="Y24" i="16" s="1"/>
  <c r="F136" i="16"/>
  <c r="G243" i="16"/>
  <c r="BY243" i="6" s="1"/>
  <c r="AA243" i="16"/>
  <c r="Z243" i="16" s="1"/>
  <c r="Y243" i="16" s="1"/>
  <c r="G100" i="16"/>
  <c r="BY100" i="6" s="1"/>
  <c r="AA100" i="16"/>
  <c r="Z100" i="16" s="1"/>
  <c r="Y100" i="16" s="1"/>
  <c r="H100" i="16"/>
  <c r="H89" i="16"/>
  <c r="AA89" i="16"/>
  <c r="Z89" i="16" s="1"/>
  <c r="Y89" i="16" s="1"/>
  <c r="G89" i="16"/>
  <c r="BY89" i="6" s="1"/>
  <c r="G82" i="16"/>
  <c r="BY82" i="6" s="1"/>
  <c r="H82" i="16"/>
  <c r="AA82" i="16"/>
  <c r="Z82" i="16" s="1"/>
  <c r="Y82" i="16" s="1"/>
  <c r="H274" i="16"/>
  <c r="G274" i="16"/>
  <c r="BY274" i="6" s="1"/>
  <c r="AA274" i="16"/>
  <c r="Z274" i="16" s="1"/>
  <c r="Y274" i="16" s="1"/>
  <c r="AA121" i="16"/>
  <c r="Z121" i="16" s="1"/>
  <c r="Y121" i="16" s="1"/>
  <c r="G121" i="16"/>
  <c r="BY121" i="6" s="1"/>
  <c r="H121" i="16"/>
  <c r="AA278" i="16"/>
  <c r="Z278" i="16" s="1"/>
  <c r="Y278" i="16" s="1"/>
  <c r="G278" i="16"/>
  <c r="BY278" i="6" s="1"/>
  <c r="H278" i="16"/>
  <c r="G190" i="16"/>
  <c r="BY190" i="6" s="1"/>
  <c r="H190" i="16"/>
  <c r="AA190" i="16"/>
  <c r="Z190" i="16" s="1"/>
  <c r="Y190" i="16" s="1"/>
  <c r="G326" i="16"/>
  <c r="BY326" i="6" s="1"/>
  <c r="H326" i="16"/>
  <c r="AA326" i="16"/>
  <c r="Z326" i="16" s="1"/>
  <c r="Y326" i="16" s="1"/>
  <c r="AA303" i="16"/>
  <c r="Z303" i="16" s="1"/>
  <c r="Y303" i="16" s="1"/>
  <c r="G303" i="16"/>
  <c r="BY303" i="6" s="1"/>
  <c r="H303" i="16"/>
  <c r="H133" i="16"/>
  <c r="G133" i="16"/>
  <c r="BY133" i="6" s="1"/>
  <c r="AA133" i="16"/>
  <c r="Z133" i="16" s="1"/>
  <c r="Y133" i="16" s="1"/>
  <c r="H276" i="16"/>
  <c r="G276" i="16"/>
  <c r="BY276" i="6" s="1"/>
  <c r="AA276" i="16"/>
  <c r="Z276" i="16" s="1"/>
  <c r="Y276" i="16" s="1"/>
  <c r="G322" i="16"/>
  <c r="BY322" i="6" s="1"/>
  <c r="AA322" i="16"/>
  <c r="Z322" i="16" s="1"/>
  <c r="Y322" i="16" s="1"/>
  <c r="H322" i="16"/>
  <c r="H334" i="16"/>
  <c r="AA334" i="16"/>
  <c r="Z334" i="16" s="1"/>
  <c r="Y334" i="16" s="1"/>
  <c r="G334" i="16"/>
  <c r="BY334" i="6" s="1"/>
  <c r="G72" i="16"/>
  <c r="BY72" i="6" s="1"/>
  <c r="H72" i="16"/>
  <c r="F289" i="16"/>
  <c r="G186" i="16"/>
  <c r="BY186" i="6" s="1"/>
  <c r="AA186" i="16"/>
  <c r="Z186" i="16" s="1"/>
  <c r="Y186" i="16" s="1"/>
  <c r="H186" i="16"/>
  <c r="G295" i="16"/>
  <c r="BY295" i="6" s="1"/>
  <c r="AA295" i="16"/>
  <c r="Z295" i="16" s="1"/>
  <c r="Y295" i="16" s="1"/>
  <c r="H295" i="16"/>
  <c r="G341" i="16"/>
  <c r="BY341" i="6" s="1"/>
  <c r="AA341" i="16"/>
  <c r="Z341" i="16" s="1"/>
  <c r="Y341" i="16" s="1"/>
  <c r="H341" i="16"/>
  <c r="AA321" i="16"/>
  <c r="Z321" i="16" s="1"/>
  <c r="Y321" i="16" s="1"/>
  <c r="G321" i="16"/>
  <c r="BY321" i="6" s="1"/>
  <c r="H321" i="16"/>
  <c r="AA185" i="16"/>
  <c r="Z185" i="16" s="1"/>
  <c r="Y185" i="16" s="1"/>
  <c r="G185" i="16"/>
  <c r="BY185" i="6" s="1"/>
  <c r="H185" i="16"/>
  <c r="F75" i="16"/>
  <c r="AA304" i="16"/>
  <c r="Z304" i="16" s="1"/>
  <c r="Y304" i="16" s="1"/>
  <c r="G304" i="16"/>
  <c r="BY304" i="6" s="1"/>
  <c r="H304" i="16"/>
  <c r="G183" i="16"/>
  <c r="BY183" i="6" s="1"/>
  <c r="AA183" i="16"/>
  <c r="Z183" i="16" s="1"/>
  <c r="Y183" i="16" s="1"/>
  <c r="H183" i="16"/>
  <c r="G34" i="16"/>
  <c r="BY34" i="6" s="1"/>
  <c r="AA34" i="16"/>
  <c r="Z34" i="16" s="1"/>
  <c r="Y34" i="16" s="1"/>
  <c r="H22" i="16"/>
  <c r="AA22" i="16"/>
  <c r="Z22" i="16" s="1"/>
  <c r="Y22" i="16" s="1"/>
  <c r="G22" i="16"/>
  <c r="BY22" i="6" s="1"/>
  <c r="G41" i="16"/>
  <c r="BY41" i="6" s="1"/>
  <c r="AA41" i="16"/>
  <c r="Z41" i="16" s="1"/>
  <c r="Y41" i="16" s="1"/>
  <c r="H41" i="16"/>
  <c r="G70" i="16"/>
  <c r="BY70" i="6" s="1"/>
  <c r="AA70" i="16"/>
  <c r="Z70" i="16" s="1"/>
  <c r="Y70" i="16" s="1"/>
  <c r="H70" i="16"/>
  <c r="G30" i="16"/>
  <c r="BY30" i="6" s="1"/>
  <c r="AA30" i="16"/>
  <c r="Z30" i="16" s="1"/>
  <c r="Y30" i="16" s="1"/>
  <c r="H30" i="16"/>
  <c r="H251" i="16"/>
  <c r="G251" i="16"/>
  <c r="BY251" i="6" s="1"/>
  <c r="AA17" i="16"/>
  <c r="Z17" i="16" s="1"/>
  <c r="Y17" i="16" s="1"/>
  <c r="H17" i="16"/>
  <c r="G17" i="16"/>
  <c r="BY17" i="6" s="1"/>
  <c r="AA335" i="16"/>
  <c r="Z335" i="16" s="1"/>
  <c r="Y335" i="16" s="1"/>
  <c r="G335" i="16"/>
  <c r="BY335" i="6" s="1"/>
  <c r="H335" i="16"/>
  <c r="G117" i="16"/>
  <c r="BY117" i="6" s="1"/>
  <c r="H117" i="16"/>
  <c r="AA117" i="16"/>
  <c r="Z117" i="16" s="1"/>
  <c r="Y117" i="16" s="1"/>
  <c r="G211" i="16"/>
  <c r="BY211" i="6" s="1"/>
  <c r="H211" i="16"/>
  <c r="G309" i="16"/>
  <c r="BY309" i="6" s="1"/>
  <c r="AA309" i="16"/>
  <c r="Z309" i="16" s="1"/>
  <c r="Y309" i="16" s="1"/>
  <c r="G107" i="16"/>
  <c r="BY107" i="6" s="1"/>
  <c r="AA107" i="16"/>
  <c r="Z107" i="16" s="1"/>
  <c r="Y107" i="16" s="1"/>
  <c r="H107" i="16"/>
  <c r="AA69" i="16"/>
  <c r="Z69" i="16" s="1"/>
  <c r="Y69" i="16" s="1"/>
  <c r="G69" i="16"/>
  <c r="BY69" i="6" s="1"/>
  <c r="H69" i="16"/>
  <c r="G248" i="16"/>
  <c r="BY248" i="6" s="1"/>
  <c r="H248" i="16"/>
  <c r="AA248" i="16"/>
  <c r="Z248" i="16" s="1"/>
  <c r="Y248" i="16" s="1"/>
  <c r="AA296" i="16"/>
  <c r="Z296" i="16" s="1"/>
  <c r="Y296" i="16" s="1"/>
  <c r="H296" i="16"/>
  <c r="G296" i="16"/>
  <c r="BY296" i="6" s="1"/>
  <c r="H97" i="16"/>
  <c r="AA97" i="16"/>
  <c r="Z97" i="16" s="1"/>
  <c r="Y97" i="16" s="1"/>
  <c r="G97" i="16"/>
  <c r="BY97" i="6" s="1"/>
  <c r="H351" i="16"/>
  <c r="AA351" i="16"/>
  <c r="Z351" i="16" s="1"/>
  <c r="Y351" i="16" s="1"/>
  <c r="G351" i="16"/>
  <c r="BY351" i="6" s="1"/>
  <c r="G319" i="16"/>
  <c r="BY319" i="6" s="1"/>
  <c r="AA319" i="16"/>
  <c r="Z319" i="16" s="1"/>
  <c r="Y319" i="16" s="1"/>
  <c r="H319" i="16"/>
  <c r="G118" i="16"/>
  <c r="BY118" i="6" s="1"/>
  <c r="AA118" i="16"/>
  <c r="Z118" i="16" s="1"/>
  <c r="Y118" i="16" s="1"/>
  <c r="H118" i="16"/>
  <c r="G233" i="16"/>
  <c r="BY233" i="6" s="1"/>
  <c r="AA233" i="16"/>
  <c r="Z233" i="16" s="1"/>
  <c r="Y233" i="16" s="1"/>
  <c r="H233" i="16"/>
  <c r="G38" i="16"/>
  <c r="BY38" i="6" s="1"/>
  <c r="AA38" i="16"/>
  <c r="Z38" i="16" s="1"/>
  <c r="Y38" i="16" s="1"/>
  <c r="H38" i="16"/>
  <c r="G23" i="16"/>
  <c r="BY23" i="6" s="1"/>
  <c r="H23" i="16"/>
  <c r="AA23" i="16"/>
  <c r="Z23" i="16" s="1"/>
  <c r="Y23" i="16" s="1"/>
  <c r="H34" i="16"/>
  <c r="I198" i="16"/>
  <c r="J198" i="16"/>
  <c r="J360" i="16"/>
  <c r="I360" i="16"/>
  <c r="H378" i="16"/>
  <c r="I377" i="16"/>
  <c r="J377" i="16"/>
  <c r="I168" i="16"/>
  <c r="J168" i="16"/>
  <c r="I135" i="16"/>
  <c r="J135" i="16"/>
  <c r="H79" i="16"/>
  <c r="H137" i="16"/>
  <c r="J164" i="16"/>
  <c r="I164" i="16"/>
  <c r="I338" i="16"/>
  <c r="J338" i="16"/>
  <c r="I375" i="16"/>
  <c r="J375" i="16"/>
  <c r="J242" i="16"/>
  <c r="I242" i="16"/>
  <c r="AC25" i="24"/>
  <c r="L20" i="19"/>
  <c r="P10" i="25"/>
  <c r="AK3" i="24"/>
  <c r="Q19" i="19" s="1"/>
  <c r="Y15" i="1"/>
  <c r="AL7" i="1"/>
  <c r="AL11" i="1" s="1"/>
  <c r="Z383" i="1"/>
  <c r="Z382" i="1"/>
  <c r="Z9" i="1"/>
  <c r="Z381" i="1"/>
  <c r="BP15" i="7"/>
  <c r="BR11" i="7"/>
  <c r="BQ11" i="7"/>
  <c r="Q381" i="17"/>
  <c r="Q382" i="17"/>
  <c r="Q383" i="17"/>
  <c r="AE382" i="17"/>
  <c r="AE381" i="17"/>
  <c r="AE383" i="17"/>
  <c r="AE12" i="18"/>
  <c r="Q12" i="18"/>
  <c r="V15" i="7"/>
  <c r="AC100" i="24" l="1"/>
  <c r="AC121" i="24"/>
  <c r="AC46" i="24"/>
  <c r="AC75" i="24"/>
  <c r="AC129" i="24"/>
  <c r="AC88" i="24"/>
  <c r="AC24" i="24"/>
  <c r="AC109" i="24"/>
  <c r="AC74" i="24"/>
  <c r="AC29" i="24"/>
  <c r="AC43" i="24"/>
  <c r="AC15" i="24"/>
  <c r="AC126" i="24"/>
  <c r="AC56" i="24"/>
  <c r="AC349" i="23"/>
  <c r="AC283" i="23"/>
  <c r="AC107" i="24"/>
  <c r="AC65" i="24"/>
  <c r="AC28" i="24"/>
  <c r="AC73" i="24"/>
  <c r="AC66" i="24"/>
  <c r="AC44" i="24"/>
  <c r="AC87" i="24"/>
  <c r="AC42" i="24"/>
  <c r="AC57" i="24"/>
  <c r="AC120" i="24"/>
  <c r="AC19" i="24"/>
  <c r="AC125" i="24"/>
  <c r="AC49" i="24"/>
  <c r="AC48" i="24"/>
  <c r="AC299" i="23"/>
  <c r="AC205" i="23"/>
  <c r="AC309" i="23"/>
  <c r="AC331" i="23"/>
  <c r="AC312" i="23"/>
  <c r="AC334" i="23"/>
  <c r="AC345" i="23"/>
  <c r="AC245" i="23"/>
  <c r="AC141" i="23"/>
  <c r="AC315" i="23"/>
  <c r="AC259" i="23"/>
  <c r="AC379" i="23"/>
  <c r="AC335" i="23"/>
  <c r="AC177" i="23"/>
  <c r="AC280" i="23"/>
  <c r="AC181" i="23"/>
  <c r="AC279" i="23"/>
  <c r="AC255" i="23"/>
  <c r="AC208" i="23"/>
  <c r="AC186" i="23"/>
  <c r="AC310" i="23"/>
  <c r="AC220" i="23"/>
  <c r="AC248" i="23"/>
  <c r="AC329" i="23"/>
  <c r="AC313" i="23"/>
  <c r="AC199" i="23"/>
  <c r="AC364" i="23"/>
  <c r="AC287" i="23"/>
  <c r="AC252" i="23"/>
  <c r="AC350" i="23"/>
  <c r="AC233" i="23"/>
  <c r="AC278" i="23"/>
  <c r="AC314" i="23"/>
  <c r="AC288" i="23"/>
  <c r="AC301" i="23"/>
  <c r="AC180" i="23"/>
  <c r="AC84" i="24"/>
  <c r="AC62" i="24"/>
  <c r="AC97" i="24"/>
  <c r="AC85" i="24"/>
  <c r="AC45" i="24"/>
  <c r="AC79" i="24"/>
  <c r="AC71" i="24"/>
  <c r="AC68" i="24"/>
  <c r="AC131" i="24"/>
  <c r="AC130" i="24"/>
  <c r="AC52" i="24"/>
  <c r="AC35" i="24"/>
  <c r="AC38" i="24"/>
  <c r="AC61" i="24"/>
  <c r="AC36" i="24"/>
  <c r="AC94" i="24"/>
  <c r="AC16" i="24"/>
  <c r="AC110" i="24"/>
  <c r="AC58" i="24"/>
  <c r="AC18" i="24"/>
  <c r="AC63" i="24"/>
  <c r="AC69" i="24"/>
  <c r="AC77" i="24"/>
  <c r="AC123" i="24"/>
  <c r="AC67" i="24"/>
  <c r="AC20" i="24"/>
  <c r="AC99" i="24"/>
  <c r="AC86" i="24"/>
  <c r="AC372" i="23"/>
  <c r="AC171" i="23"/>
  <c r="AC232" i="23"/>
  <c r="AC170" i="23"/>
  <c r="AC339" i="23"/>
  <c r="AC289" i="23"/>
  <c r="AC365" i="23"/>
  <c r="AC143" i="23"/>
  <c r="AC182" i="23"/>
  <c r="AC231" i="23"/>
  <c r="AC167" i="23"/>
  <c r="AC192" i="23"/>
  <c r="AC319" i="23"/>
  <c r="AC328" i="23"/>
  <c r="AC150" i="23"/>
  <c r="AC163" i="23"/>
  <c r="AC165" i="23"/>
  <c r="AC346" i="23"/>
  <c r="AC159" i="23"/>
  <c r="AC160" i="23"/>
  <c r="AC162" i="23"/>
  <c r="AC342" i="23"/>
  <c r="AC361" i="23"/>
  <c r="AC229" i="23"/>
  <c r="AC191" i="23"/>
  <c r="AC156" i="23"/>
  <c r="AC201" i="23"/>
  <c r="AC145" i="23"/>
  <c r="AC203" i="23"/>
  <c r="AC272" i="23"/>
  <c r="AC274" i="23"/>
  <c r="AC294" i="23"/>
  <c r="AC193" i="23"/>
  <c r="AC348" i="23"/>
  <c r="AC362" i="23"/>
  <c r="AC215" i="23"/>
  <c r="AC277" i="23"/>
  <c r="AC137" i="23"/>
  <c r="AC305" i="23"/>
  <c r="AC323" i="23"/>
  <c r="AC81" i="24"/>
  <c r="AC27" i="24"/>
  <c r="AC54" i="24"/>
  <c r="AC105" i="24"/>
  <c r="AC96" i="24"/>
  <c r="AC31" i="24"/>
  <c r="AC78" i="24"/>
  <c r="AC26" i="24"/>
  <c r="AC128" i="24"/>
  <c r="AC111" i="24"/>
  <c r="AC108" i="24"/>
  <c r="AC53" i="24"/>
  <c r="AC39" i="24"/>
  <c r="AC51" i="24"/>
  <c r="AC40" i="24"/>
  <c r="AC30" i="24"/>
  <c r="AC64" i="24"/>
  <c r="AC47" i="24"/>
  <c r="AC32" i="24"/>
  <c r="AC116" i="24"/>
  <c r="AC118" i="24"/>
  <c r="AC119" i="24"/>
  <c r="AC22" i="24"/>
  <c r="AC92" i="24"/>
  <c r="AC122" i="24"/>
  <c r="AC72" i="24"/>
  <c r="AC95" i="24"/>
  <c r="AC104" i="24"/>
  <c r="AC106" i="24"/>
  <c r="AC89" i="24"/>
  <c r="AC55" i="24"/>
  <c r="AC93" i="24"/>
  <c r="AC90" i="24"/>
  <c r="AC127" i="24"/>
  <c r="AC37" i="24"/>
  <c r="AC114" i="24"/>
  <c r="AC50" i="24"/>
  <c r="AC124" i="24"/>
  <c r="AC113" i="24"/>
  <c r="AC101" i="24"/>
  <c r="AC102" i="24"/>
  <c r="AC82" i="24"/>
  <c r="AC70" i="24"/>
  <c r="AC34" i="24"/>
  <c r="AC17" i="24"/>
  <c r="AC60" i="24"/>
  <c r="AC33" i="24"/>
  <c r="AC115" i="24"/>
  <c r="AC133" i="24"/>
  <c r="AC132" i="24"/>
  <c r="AC117" i="24"/>
  <c r="AC112" i="24"/>
  <c r="AC83" i="24"/>
  <c r="AC21" i="24"/>
  <c r="AC76" i="24"/>
  <c r="AC23" i="24"/>
  <c r="I244" i="16"/>
  <c r="J298" i="16"/>
  <c r="AC336" i="23"/>
  <c r="AC235" i="23"/>
  <c r="AC320" i="23"/>
  <c r="AC322" i="23"/>
  <c r="AC357" i="23"/>
  <c r="AC176" i="23"/>
  <c r="AC378" i="23"/>
  <c r="AC366" i="23"/>
  <c r="AC267" i="23"/>
  <c r="AC236" i="23"/>
  <c r="AC297" i="23"/>
  <c r="AC204" i="23"/>
  <c r="AC149" i="23"/>
  <c r="AC359" i="23"/>
  <c r="AC371" i="23"/>
  <c r="AC140" i="23"/>
  <c r="AC300" i="23"/>
  <c r="AC266" i="23"/>
  <c r="AC347" i="23"/>
  <c r="AC202" i="23"/>
  <c r="AC207" i="23"/>
  <c r="AC147" i="23"/>
  <c r="AC291" i="23"/>
  <c r="AC250" i="23"/>
  <c r="AC136" i="23"/>
  <c r="AC228" i="23"/>
  <c r="AC260" i="23"/>
  <c r="AC343" i="23"/>
  <c r="AC341" i="23"/>
  <c r="AC373" i="23"/>
  <c r="AC221" i="23"/>
  <c r="AC377" i="23"/>
  <c r="AC369" i="23"/>
  <c r="AC269" i="23"/>
  <c r="AC166" i="23"/>
  <c r="AC197" i="23"/>
  <c r="AC337" i="23"/>
  <c r="AC351" i="23"/>
  <c r="AC214" i="23"/>
  <c r="AC183" i="23"/>
  <c r="AC302" i="23"/>
  <c r="AC240" i="23"/>
  <c r="AC276" i="23"/>
  <c r="AC296" i="23"/>
  <c r="AC216" i="23"/>
  <c r="AC258" i="23"/>
  <c r="AC303" i="23"/>
  <c r="AC241" i="23"/>
  <c r="AC370" i="23"/>
  <c r="AC187" i="23"/>
  <c r="AC325" i="23"/>
  <c r="AC213" i="23"/>
  <c r="AC264" i="23"/>
  <c r="AC375" i="23"/>
  <c r="AC188" i="23"/>
  <c r="AC134" i="23"/>
  <c r="AC155" i="23"/>
  <c r="AC293" i="23"/>
  <c r="AC368" i="23"/>
  <c r="AC360" i="23"/>
  <c r="AC354" i="23"/>
  <c r="AC306" i="23"/>
  <c r="AC327" i="23"/>
  <c r="AC242" i="23"/>
  <c r="AC190" i="23"/>
  <c r="AC230" i="23"/>
  <c r="AC247" i="23"/>
  <c r="AC184" i="23"/>
  <c r="AC158" i="23"/>
  <c r="AC161" i="23"/>
  <c r="AC148" i="23"/>
  <c r="AC318" i="23"/>
  <c r="AC290" i="23"/>
  <c r="AC317" i="23"/>
  <c r="AC196" i="23"/>
  <c r="AC281" i="23"/>
  <c r="AC282" i="23"/>
  <c r="AC257" i="23"/>
  <c r="AC292" i="23"/>
  <c r="AC376" i="23"/>
  <c r="AC103" i="24"/>
  <c r="AC41" i="24"/>
  <c r="AC91" i="24"/>
  <c r="AC98" i="24"/>
  <c r="AC59" i="24"/>
  <c r="J108" i="16"/>
  <c r="I257" i="16"/>
  <c r="I172" i="16"/>
  <c r="J237" i="16"/>
  <c r="F63" i="19"/>
  <c r="J25" i="16"/>
  <c r="I26" i="16"/>
  <c r="J102" i="16"/>
  <c r="J365" i="16"/>
  <c r="W16" i="7"/>
  <c r="I275" i="16"/>
  <c r="O382" i="24"/>
  <c r="AC10" i="24"/>
  <c r="AC135" i="24" s="1"/>
  <c r="AC194" i="23"/>
  <c r="AC249" i="23"/>
  <c r="AC173" i="23"/>
  <c r="AC152" i="23"/>
  <c r="AC262" i="23"/>
  <c r="AC285" i="23"/>
  <c r="AC251" i="23"/>
  <c r="AC169" i="23"/>
  <c r="AC284" i="23"/>
  <c r="AC219" i="23"/>
  <c r="AC340" i="23"/>
  <c r="AC151" i="23"/>
  <c r="AC356" i="23"/>
  <c r="AC226" i="23"/>
  <c r="AC217" i="23"/>
  <c r="AC224" i="23"/>
  <c r="AC261" i="23"/>
  <c r="AC244" i="23"/>
  <c r="AC308" i="23"/>
  <c r="AC355" i="23"/>
  <c r="AC146" i="23"/>
  <c r="AC222" i="23"/>
  <c r="AC144" i="23"/>
  <c r="AC135" i="23"/>
  <c r="AC178" i="23"/>
  <c r="AC153" i="23"/>
  <c r="AC237" i="23"/>
  <c r="AC157" i="23"/>
  <c r="AC253" i="23"/>
  <c r="AC210" i="23"/>
  <c r="AC142" i="23"/>
  <c r="AC185" i="23"/>
  <c r="AC172" i="23"/>
  <c r="AC311" i="23"/>
  <c r="AC195" i="23"/>
  <c r="AC223" i="23"/>
  <c r="AC225" i="23"/>
  <c r="AC298" i="23"/>
  <c r="AC189" i="23"/>
  <c r="AC175" i="23"/>
  <c r="AC179" i="23"/>
  <c r="AC321" i="23"/>
  <c r="AC234" i="23"/>
  <c r="AC358" i="23"/>
  <c r="AC338" i="23"/>
  <c r="AC363" i="23"/>
  <c r="AC330" i="23"/>
  <c r="AC367" i="23"/>
  <c r="AC324" i="23"/>
  <c r="AC238" i="23"/>
  <c r="AC168" i="23"/>
  <c r="AC227" i="23"/>
  <c r="AC304" i="23"/>
  <c r="AC200" i="23"/>
  <c r="AC256" i="23"/>
  <c r="AC374" i="23"/>
  <c r="AC243" i="23"/>
  <c r="AC254" i="23"/>
  <c r="AC332" i="23"/>
  <c r="AC198" i="23"/>
  <c r="AC271" i="23"/>
  <c r="AC352" i="23"/>
  <c r="AC265" i="23"/>
  <c r="AC316" i="23"/>
  <c r="AC263" i="23"/>
  <c r="AC275" i="23"/>
  <c r="AC139" i="23"/>
  <c r="AC333" i="23"/>
  <c r="AC353" i="23"/>
  <c r="AC268" i="23"/>
  <c r="AC154" i="23"/>
  <c r="AC174" i="23"/>
  <c r="AC206" i="23"/>
  <c r="AC270" i="23"/>
  <c r="AC286" i="23"/>
  <c r="AC218" i="23"/>
  <c r="AC209" i="23"/>
  <c r="AC307" i="23"/>
  <c r="AC211" i="23"/>
  <c r="AC138" i="23"/>
  <c r="AC273" i="23"/>
  <c r="AC239" i="23"/>
  <c r="AC295" i="23"/>
  <c r="AC246" i="23"/>
  <c r="O381" i="24"/>
  <c r="J291" i="16"/>
  <c r="O383" i="24"/>
  <c r="L43" i="19" s="1"/>
  <c r="I142" i="16"/>
  <c r="E8" i="25"/>
  <c r="K20" i="19" s="1"/>
  <c r="K44" i="19" s="1"/>
  <c r="E7" i="25"/>
  <c r="O10" i="25" s="1"/>
  <c r="AC212" i="23"/>
  <c r="AC164" i="23"/>
  <c r="AA149" i="16"/>
  <c r="Z149" i="16" s="1"/>
  <c r="Y149" i="16" s="1"/>
  <c r="L42" i="19"/>
  <c r="G149" i="16"/>
  <c r="BY149" i="6" s="1"/>
  <c r="J78" i="16"/>
  <c r="I180" i="16"/>
  <c r="K63" i="19"/>
  <c r="J130" i="16"/>
  <c r="I309" i="16"/>
  <c r="J243" i="16"/>
  <c r="G379" i="16"/>
  <c r="BY379" i="6" s="1"/>
  <c r="D63" i="19"/>
  <c r="H379" i="16"/>
  <c r="I379" i="16" s="1"/>
  <c r="J63" i="19"/>
  <c r="J95" i="16"/>
  <c r="I95" i="16"/>
  <c r="F320" i="16"/>
  <c r="AA320" i="16" s="1"/>
  <c r="Z320" i="16" s="1"/>
  <c r="Y320" i="16" s="1"/>
  <c r="G268" i="16"/>
  <c r="BY268" i="6" s="1"/>
  <c r="AA268" i="16"/>
  <c r="Z268" i="16" s="1"/>
  <c r="Y268" i="16" s="1"/>
  <c r="H268" i="16"/>
  <c r="J137" i="16"/>
  <c r="I137" i="16"/>
  <c r="J378" i="16"/>
  <c r="I378" i="16"/>
  <c r="J233" i="16"/>
  <c r="I233" i="16"/>
  <c r="I319" i="16"/>
  <c r="J319" i="16"/>
  <c r="J97" i="16"/>
  <c r="I97" i="16"/>
  <c r="J296" i="16"/>
  <c r="I296" i="16"/>
  <c r="J107" i="16"/>
  <c r="I107" i="16"/>
  <c r="J117" i="16"/>
  <c r="I117" i="16"/>
  <c r="I335" i="16"/>
  <c r="J335" i="16"/>
  <c r="I17" i="16"/>
  <c r="J17" i="16"/>
  <c r="J30" i="16"/>
  <c r="I30" i="16"/>
  <c r="J41" i="16"/>
  <c r="I41" i="16"/>
  <c r="I183" i="16"/>
  <c r="J183" i="16"/>
  <c r="I185" i="16"/>
  <c r="J185" i="16"/>
  <c r="I341" i="16"/>
  <c r="J341" i="16"/>
  <c r="J186" i="16"/>
  <c r="I186" i="16"/>
  <c r="G289" i="16"/>
  <c r="BY289" i="6" s="1"/>
  <c r="AA289" i="16"/>
  <c r="Z289" i="16" s="1"/>
  <c r="Y289" i="16" s="1"/>
  <c r="H289" i="16"/>
  <c r="J322" i="16"/>
  <c r="I322" i="16"/>
  <c r="I133" i="16"/>
  <c r="J133" i="16"/>
  <c r="I190" i="16"/>
  <c r="J190" i="16"/>
  <c r="J278" i="16"/>
  <c r="I278" i="16"/>
  <c r="J274" i="16"/>
  <c r="I274" i="16"/>
  <c r="I82" i="16"/>
  <c r="J82" i="16"/>
  <c r="J89" i="16"/>
  <c r="I89" i="16"/>
  <c r="J250" i="16"/>
  <c r="I250" i="16"/>
  <c r="R381" i="16"/>
  <c r="P15" i="16"/>
  <c r="R382" i="16"/>
  <c r="R383" i="16"/>
  <c r="I169" i="16"/>
  <c r="J169" i="16"/>
  <c r="I124" i="16"/>
  <c r="J124" i="16"/>
  <c r="J162" i="16"/>
  <c r="I162" i="16"/>
  <c r="I219" i="16"/>
  <c r="J219" i="16"/>
  <c r="I113" i="16"/>
  <c r="J113" i="16"/>
  <c r="J141" i="16"/>
  <c r="I141" i="16"/>
  <c r="J231" i="16"/>
  <c r="I231" i="16"/>
  <c r="J126" i="16"/>
  <c r="I126" i="16"/>
  <c r="J175" i="16"/>
  <c r="I175" i="16"/>
  <c r="J346" i="16"/>
  <c r="I346" i="16"/>
  <c r="J37" i="16"/>
  <c r="I37" i="16"/>
  <c r="J27" i="16"/>
  <c r="I27" i="16"/>
  <c r="I85" i="16"/>
  <c r="J85" i="16"/>
  <c r="I361" i="16"/>
  <c r="J361" i="16"/>
  <c r="J21" i="16"/>
  <c r="I21" i="16"/>
  <c r="J227" i="16"/>
  <c r="I227" i="16"/>
  <c r="I93" i="16"/>
  <c r="J93" i="16"/>
  <c r="I337" i="16"/>
  <c r="J337" i="16"/>
  <c r="J77" i="16"/>
  <c r="I77" i="16"/>
  <c r="J216" i="16"/>
  <c r="I216" i="16"/>
  <c r="I57" i="16"/>
  <c r="J57" i="16"/>
  <c r="G106" i="16"/>
  <c r="BY106" i="6" s="1"/>
  <c r="AA106" i="16"/>
  <c r="Z106" i="16" s="1"/>
  <c r="Y106" i="16" s="1"/>
  <c r="H106" i="16"/>
  <c r="F176" i="16"/>
  <c r="I324" i="16"/>
  <c r="J324" i="16"/>
  <c r="I221" i="16"/>
  <c r="J221" i="16"/>
  <c r="I73" i="16"/>
  <c r="J73" i="16"/>
  <c r="F15" i="15"/>
  <c r="V380" i="15"/>
  <c r="V383" i="15" s="1"/>
  <c r="B62" i="19"/>
  <c r="N62" i="19" s="1"/>
  <c r="V382" i="15"/>
  <c r="U253" i="17"/>
  <c r="T253" i="17" s="1"/>
  <c r="U194" i="17"/>
  <c r="T194" i="17" s="1"/>
  <c r="U92" i="17"/>
  <c r="T92" i="17" s="1"/>
  <c r="U166" i="17"/>
  <c r="T166" i="17" s="1"/>
  <c r="U116" i="17"/>
  <c r="T116" i="17" s="1"/>
  <c r="U261" i="17"/>
  <c r="T261" i="17" s="1"/>
  <c r="U345" i="17"/>
  <c r="T345" i="17" s="1"/>
  <c r="U107" i="17"/>
  <c r="T107" i="17" s="1"/>
  <c r="U295" i="17"/>
  <c r="T295" i="17" s="1"/>
  <c r="U333" i="17"/>
  <c r="T333" i="17" s="1"/>
  <c r="U330" i="17"/>
  <c r="T330" i="17" s="1"/>
  <c r="U312" i="17"/>
  <c r="T312" i="17" s="1"/>
  <c r="U356" i="17"/>
  <c r="T356" i="17" s="1"/>
  <c r="U67" i="17"/>
  <c r="T67" i="17" s="1"/>
  <c r="U79" i="17"/>
  <c r="T79" i="17" s="1"/>
  <c r="U68" i="17"/>
  <c r="T68" i="17" s="1"/>
  <c r="U172" i="17"/>
  <c r="T172" i="17" s="1"/>
  <c r="U232" i="17"/>
  <c r="T232" i="17" s="1"/>
  <c r="U239" i="17"/>
  <c r="T239" i="17" s="1"/>
  <c r="U95" i="17"/>
  <c r="T95" i="17" s="1"/>
  <c r="U364" i="17"/>
  <c r="T364" i="17" s="1"/>
  <c r="U72" i="17"/>
  <c r="T72" i="17" s="1"/>
  <c r="U285" i="17"/>
  <c r="T285" i="17" s="1"/>
  <c r="U347" i="17"/>
  <c r="T347" i="17" s="1"/>
  <c r="U142" i="17"/>
  <c r="T142" i="17" s="1"/>
  <c r="U97" i="17"/>
  <c r="T97" i="17" s="1"/>
  <c r="U140" i="17"/>
  <c r="T140" i="17" s="1"/>
  <c r="U267" i="17"/>
  <c r="T267" i="17" s="1"/>
  <c r="U69" i="17"/>
  <c r="T69" i="17" s="1"/>
  <c r="U376" i="17"/>
  <c r="T376" i="17" s="1"/>
  <c r="U226" i="17"/>
  <c r="T226" i="17" s="1"/>
  <c r="U39" i="17"/>
  <c r="T39" i="17" s="1"/>
  <c r="U96" i="17"/>
  <c r="T96" i="17" s="1"/>
  <c r="U339" i="17"/>
  <c r="T339" i="17" s="1"/>
  <c r="U301" i="17"/>
  <c r="T301" i="17" s="1"/>
  <c r="U357" i="17"/>
  <c r="T357" i="17" s="1"/>
  <c r="U332" i="17"/>
  <c r="T332" i="17" s="1"/>
  <c r="U141" i="17"/>
  <c r="T141" i="17" s="1"/>
  <c r="U149" i="17"/>
  <c r="T149" i="17" s="1"/>
  <c r="U265" i="17"/>
  <c r="T265" i="17" s="1"/>
  <c r="U359" i="17"/>
  <c r="T359" i="17" s="1"/>
  <c r="U283" i="17"/>
  <c r="T283" i="17" s="1"/>
  <c r="U132" i="17"/>
  <c r="T132" i="17" s="1"/>
  <c r="U297" i="17"/>
  <c r="T297" i="17" s="1"/>
  <c r="U311" i="17"/>
  <c r="T311" i="17" s="1"/>
  <c r="U221" i="17"/>
  <c r="T221" i="17" s="1"/>
  <c r="U192" i="17"/>
  <c r="T192" i="17" s="1"/>
  <c r="U237" i="17"/>
  <c r="T237" i="17" s="1"/>
  <c r="U319" i="17"/>
  <c r="T319" i="17" s="1"/>
  <c r="U249" i="17"/>
  <c r="T249" i="17" s="1"/>
  <c r="U289" i="17"/>
  <c r="T289" i="17" s="1"/>
  <c r="U42" i="17"/>
  <c r="T42" i="17" s="1"/>
  <c r="U302" i="17"/>
  <c r="T302" i="17" s="1"/>
  <c r="U31" i="17"/>
  <c r="T31" i="17" s="1"/>
  <c r="U303" i="17"/>
  <c r="T303" i="17" s="1"/>
  <c r="U284" i="17"/>
  <c r="T284" i="17" s="1"/>
  <c r="U169" i="17"/>
  <c r="T169" i="17" s="1"/>
  <c r="U331" i="17"/>
  <c r="T331" i="17" s="1"/>
  <c r="U165" i="17"/>
  <c r="T165" i="17" s="1"/>
  <c r="U153" i="17"/>
  <c r="T153" i="17" s="1"/>
  <c r="U310" i="17"/>
  <c r="T310" i="17" s="1"/>
  <c r="U138" i="17"/>
  <c r="T138" i="17" s="1"/>
  <c r="U105" i="17"/>
  <c r="T105" i="17" s="1"/>
  <c r="U199" i="17"/>
  <c r="T199" i="17" s="1"/>
  <c r="U334" i="17"/>
  <c r="T334" i="17" s="1"/>
  <c r="U53" i="17"/>
  <c r="T53" i="17" s="1"/>
  <c r="U89" i="17"/>
  <c r="T89" i="17" s="1"/>
  <c r="U151" i="17"/>
  <c r="T151" i="17" s="1"/>
  <c r="U29" i="17"/>
  <c r="T29" i="17" s="1"/>
  <c r="S29" i="17" s="1"/>
  <c r="R29" i="17" s="1"/>
  <c r="P29" i="17" s="1"/>
  <c r="U143" i="17"/>
  <c r="T143" i="17" s="1"/>
  <c r="U186" i="17"/>
  <c r="T186" i="17" s="1"/>
  <c r="U318" i="17"/>
  <c r="T318" i="17" s="1"/>
  <c r="U123" i="17"/>
  <c r="T123" i="17" s="1"/>
  <c r="U191" i="17"/>
  <c r="T191" i="17" s="1"/>
  <c r="U259" i="17"/>
  <c r="T259" i="17" s="1"/>
  <c r="U113" i="17"/>
  <c r="T113" i="17" s="1"/>
  <c r="U85" i="17"/>
  <c r="T85" i="17" s="1"/>
  <c r="U317" i="17"/>
  <c r="T317" i="17" s="1"/>
  <c r="U351" i="17"/>
  <c r="T351" i="17" s="1"/>
  <c r="U136" i="17"/>
  <c r="T136" i="17" s="1"/>
  <c r="U225" i="17"/>
  <c r="T225" i="17" s="1"/>
  <c r="U298" i="17"/>
  <c r="T298" i="17" s="1"/>
  <c r="U273" i="17"/>
  <c r="T273" i="17" s="1"/>
  <c r="U65" i="17"/>
  <c r="T65" i="17" s="1"/>
  <c r="U371" i="17"/>
  <c r="T371" i="17" s="1"/>
  <c r="U370" i="17"/>
  <c r="T370" i="17" s="1"/>
  <c r="U71" i="17"/>
  <c r="T71" i="17" s="1"/>
  <c r="U352" i="17"/>
  <c r="T352" i="17" s="1"/>
  <c r="U48" i="17"/>
  <c r="T48" i="17" s="1"/>
  <c r="U274" i="17"/>
  <c r="T274" i="17" s="1"/>
  <c r="U256" i="17"/>
  <c r="T256" i="17" s="1"/>
  <c r="U187" i="17"/>
  <c r="T187" i="17" s="1"/>
  <c r="U276" i="17"/>
  <c r="T276" i="17" s="1"/>
  <c r="U203" i="17"/>
  <c r="T203" i="17" s="1"/>
  <c r="U208" i="17"/>
  <c r="T208" i="17" s="1"/>
  <c r="U175" i="17"/>
  <c r="T175" i="17" s="1"/>
  <c r="U292" i="17"/>
  <c r="T292" i="17" s="1"/>
  <c r="U35" i="17"/>
  <c r="T35" i="17" s="1"/>
  <c r="U308" i="17"/>
  <c r="T308" i="17" s="1"/>
  <c r="U179" i="17"/>
  <c r="T179" i="17" s="1"/>
  <c r="U252" i="17"/>
  <c r="T252" i="17" s="1"/>
  <c r="U260" i="17"/>
  <c r="T260" i="17" s="1"/>
  <c r="U119" i="17"/>
  <c r="T119" i="17" s="1"/>
  <c r="U152" i="17"/>
  <c r="T152" i="17" s="1"/>
  <c r="U18" i="17"/>
  <c r="T18" i="17" s="1"/>
  <c r="U218" i="17"/>
  <c r="T218" i="17" s="1"/>
  <c r="U350" i="17"/>
  <c r="T350" i="17" s="1"/>
  <c r="U326" i="17"/>
  <c r="T326" i="17" s="1"/>
  <c r="U178" i="17"/>
  <c r="T178" i="17" s="1"/>
  <c r="U86" i="17"/>
  <c r="T86" i="17" s="1"/>
  <c r="U28" i="17"/>
  <c r="T28" i="17" s="1"/>
  <c r="U147" i="17"/>
  <c r="T147" i="17" s="1"/>
  <c r="U82" i="17"/>
  <c r="T82" i="17" s="1"/>
  <c r="U128" i="17"/>
  <c r="T128" i="17" s="1"/>
  <c r="U19" i="17"/>
  <c r="T19" i="17" s="1"/>
  <c r="U305" i="17"/>
  <c r="T305" i="17" s="1"/>
  <c r="U118" i="17"/>
  <c r="T118" i="17" s="1"/>
  <c r="U163" i="17"/>
  <c r="T163" i="17" s="1"/>
  <c r="U91" i="17"/>
  <c r="T91" i="17" s="1"/>
  <c r="U325" i="17"/>
  <c r="T325" i="17" s="1"/>
  <c r="U204" i="17"/>
  <c r="T204" i="17" s="1"/>
  <c r="U235" i="17"/>
  <c r="T235" i="17" s="1"/>
  <c r="U104" i="17"/>
  <c r="T104" i="17" s="1"/>
  <c r="U180" i="17"/>
  <c r="T180" i="17" s="1"/>
  <c r="U117" i="17"/>
  <c r="T117" i="17" s="1"/>
  <c r="U124" i="17"/>
  <c r="T124" i="17" s="1"/>
  <c r="U126" i="17"/>
  <c r="T126" i="17" s="1"/>
  <c r="U131" i="17"/>
  <c r="T131" i="17" s="1"/>
  <c r="U335" i="17"/>
  <c r="T335" i="17" s="1"/>
  <c r="U196" i="17"/>
  <c r="T196" i="17" s="1"/>
  <c r="U300" i="17"/>
  <c r="T300" i="17" s="1"/>
  <c r="U296" i="17"/>
  <c r="T296" i="17" s="1"/>
  <c r="U20" i="17"/>
  <c r="T20" i="17" s="1"/>
  <c r="U216" i="17"/>
  <c r="T216" i="17" s="1"/>
  <c r="U134" i="17"/>
  <c r="T134" i="17" s="1"/>
  <c r="U200" i="17"/>
  <c r="T200" i="17" s="1"/>
  <c r="U251" i="17"/>
  <c r="T251" i="17" s="1"/>
  <c r="U111" i="17"/>
  <c r="T111" i="17" s="1"/>
  <c r="U17" i="17"/>
  <c r="T17" i="17" s="1"/>
  <c r="U161" i="17"/>
  <c r="T161" i="17" s="1"/>
  <c r="U268" i="17"/>
  <c r="T268" i="17" s="1"/>
  <c r="U58" i="17"/>
  <c r="T58" i="17" s="1"/>
  <c r="U133" i="17"/>
  <c r="T133" i="17" s="1"/>
  <c r="U154" i="17"/>
  <c r="T154" i="17" s="1"/>
  <c r="U321" i="17"/>
  <c r="T321" i="17" s="1"/>
  <c r="U103" i="17"/>
  <c r="T103" i="17" s="1"/>
  <c r="U77" i="17"/>
  <c r="T77" i="17" s="1"/>
  <c r="U176" i="17"/>
  <c r="T176" i="17" s="1"/>
  <c r="U244" i="17"/>
  <c r="T244" i="17" s="1"/>
  <c r="U100" i="17"/>
  <c r="T100" i="17" s="1"/>
  <c r="U230" i="17"/>
  <c r="T230" i="17" s="1"/>
  <c r="U269" i="17"/>
  <c r="T269" i="17" s="1"/>
  <c r="U213" i="17"/>
  <c r="T213" i="17" s="1"/>
  <c r="U329" i="17"/>
  <c r="T329" i="17" s="1"/>
  <c r="U40" i="17"/>
  <c r="T40" i="17" s="1"/>
  <c r="U320" i="17"/>
  <c r="T320" i="17" s="1"/>
  <c r="U30" i="17"/>
  <c r="T30" i="17" s="1"/>
  <c r="U361" i="17"/>
  <c r="T361" i="17" s="1"/>
  <c r="U343" i="17"/>
  <c r="T343" i="17" s="1"/>
  <c r="U120" i="17"/>
  <c r="T120" i="17" s="1"/>
  <c r="U22" i="17"/>
  <c r="T22" i="17" s="1"/>
  <c r="U365" i="17"/>
  <c r="T365" i="17" s="1"/>
  <c r="U280" i="17"/>
  <c r="T280" i="17" s="1"/>
  <c r="U313" i="17"/>
  <c r="T313" i="17" s="1"/>
  <c r="U220" i="17"/>
  <c r="T220" i="17" s="1"/>
  <c r="U170" i="17"/>
  <c r="T170" i="17" s="1"/>
  <c r="U248" i="17"/>
  <c r="T248" i="17" s="1"/>
  <c r="U159" i="17"/>
  <c r="T159" i="17" s="1"/>
  <c r="U81" i="17"/>
  <c r="T81" i="17" s="1"/>
  <c r="U182" i="17"/>
  <c r="T182" i="17" s="1"/>
  <c r="U108" i="17"/>
  <c r="T108" i="17" s="1"/>
  <c r="U288" i="17"/>
  <c r="T288" i="17" s="1"/>
  <c r="U229" i="17"/>
  <c r="T229" i="17" s="1"/>
  <c r="U281" i="17"/>
  <c r="T281" i="17" s="1"/>
  <c r="U363" i="17"/>
  <c r="T363" i="17" s="1"/>
  <c r="U266" i="17"/>
  <c r="T266" i="17" s="1"/>
  <c r="U137" i="17"/>
  <c r="T137" i="17" s="1"/>
  <c r="U263" i="17"/>
  <c r="T263" i="17" s="1"/>
  <c r="U322" i="17"/>
  <c r="T322" i="17" s="1"/>
  <c r="U181" i="17"/>
  <c r="T181" i="17" s="1"/>
  <c r="U121" i="17"/>
  <c r="T121" i="17" s="1"/>
  <c r="U215" i="17"/>
  <c r="T215" i="17" s="1"/>
  <c r="U130" i="17"/>
  <c r="T130" i="17" s="1"/>
  <c r="I220" i="16"/>
  <c r="J220" i="16"/>
  <c r="J305" i="16"/>
  <c r="I305" i="16"/>
  <c r="I270" i="16"/>
  <c r="J270" i="16"/>
  <c r="J225" i="16"/>
  <c r="I225" i="16"/>
  <c r="I115" i="16"/>
  <c r="J115" i="16"/>
  <c r="J312" i="16"/>
  <c r="I312" i="16"/>
  <c r="I155" i="16"/>
  <c r="J155" i="16"/>
  <c r="J140" i="16"/>
  <c r="I140" i="16"/>
  <c r="I147" i="16"/>
  <c r="J147" i="16"/>
  <c r="J261" i="16"/>
  <c r="I261" i="16"/>
  <c r="I238" i="16"/>
  <c r="J238" i="16"/>
  <c r="I359" i="16"/>
  <c r="J359" i="16"/>
  <c r="J230" i="16"/>
  <c r="I230" i="16"/>
  <c r="J310" i="16"/>
  <c r="I310" i="16"/>
  <c r="H63" i="19"/>
  <c r="J313" i="16"/>
  <c r="I313" i="16"/>
  <c r="J170" i="16"/>
  <c r="I170" i="16"/>
  <c r="I194" i="16"/>
  <c r="J194" i="16"/>
  <c r="I345" i="16"/>
  <c r="J345" i="16"/>
  <c r="J32" i="16"/>
  <c r="I32" i="16"/>
  <c r="J343" i="16"/>
  <c r="I343" i="16"/>
  <c r="J63" i="16"/>
  <c r="I63" i="16"/>
  <c r="I370" i="16"/>
  <c r="J370" i="16"/>
  <c r="H241" i="16"/>
  <c r="AA241" i="16"/>
  <c r="Z241" i="16" s="1"/>
  <c r="Y241" i="16" s="1"/>
  <c r="G241" i="16"/>
  <c r="BY241" i="6" s="1"/>
  <c r="I67" i="16"/>
  <c r="J67" i="16"/>
  <c r="J116" i="16"/>
  <c r="I116" i="16"/>
  <c r="I213" i="16"/>
  <c r="J213" i="16"/>
  <c r="J152" i="16"/>
  <c r="I152" i="16"/>
  <c r="J200" i="16"/>
  <c r="I200" i="16"/>
  <c r="J307" i="16"/>
  <c r="I307" i="16"/>
  <c r="I181" i="16"/>
  <c r="J181" i="16"/>
  <c r="J265" i="16"/>
  <c r="I265" i="16"/>
  <c r="J285" i="16"/>
  <c r="I285" i="16"/>
  <c r="I372" i="16"/>
  <c r="J372" i="16"/>
  <c r="J193" i="16"/>
  <c r="I193" i="16"/>
  <c r="I205" i="16"/>
  <c r="J205" i="16"/>
  <c r="I173" i="16"/>
  <c r="J173" i="16"/>
  <c r="I131" i="16"/>
  <c r="J131" i="16"/>
  <c r="J299" i="16"/>
  <c r="I299" i="16"/>
  <c r="J44" i="16"/>
  <c r="I44" i="16"/>
  <c r="J50" i="16"/>
  <c r="I50" i="16"/>
  <c r="J333" i="16"/>
  <c r="I333" i="16"/>
  <c r="J214" i="16"/>
  <c r="I214" i="16"/>
  <c r="J20" i="16"/>
  <c r="I20" i="16"/>
  <c r="AI57" i="17"/>
  <c r="AH57" i="17" s="1"/>
  <c r="AI175" i="17"/>
  <c r="AH175" i="17" s="1"/>
  <c r="AI364" i="17"/>
  <c r="AH364" i="17" s="1"/>
  <c r="AI228" i="17"/>
  <c r="AH228" i="17" s="1"/>
  <c r="AI358" i="17"/>
  <c r="AH358" i="17" s="1"/>
  <c r="AI65" i="17"/>
  <c r="AH65" i="17" s="1"/>
  <c r="AI337" i="17"/>
  <c r="AH337" i="17" s="1"/>
  <c r="AI322" i="17"/>
  <c r="AH322" i="17" s="1"/>
  <c r="AI174" i="17"/>
  <c r="AH174" i="17" s="1"/>
  <c r="AI169" i="17"/>
  <c r="AH169" i="17" s="1"/>
  <c r="AI254" i="17"/>
  <c r="AH254" i="17" s="1"/>
  <c r="AI335" i="17"/>
  <c r="AH335" i="17" s="1"/>
  <c r="AI131" i="17"/>
  <c r="AH131" i="17" s="1"/>
  <c r="AI46" i="17"/>
  <c r="AH46" i="17" s="1"/>
  <c r="AI206" i="17"/>
  <c r="AH206" i="17" s="1"/>
  <c r="AI198" i="17"/>
  <c r="AH198" i="17" s="1"/>
  <c r="AI154" i="17"/>
  <c r="AH154" i="17" s="1"/>
  <c r="AI34" i="17"/>
  <c r="AH34" i="17" s="1"/>
  <c r="AI287" i="17"/>
  <c r="AH287" i="17" s="1"/>
  <c r="AI15" i="17"/>
  <c r="AI238" i="17"/>
  <c r="AH238" i="17" s="1"/>
  <c r="AI360" i="17"/>
  <c r="AH360" i="17" s="1"/>
  <c r="AI347" i="17"/>
  <c r="AH347" i="17" s="1"/>
  <c r="AI239" i="17"/>
  <c r="AH239" i="17" s="1"/>
  <c r="AI142" i="17"/>
  <c r="AH142" i="17" s="1"/>
  <c r="AI213" i="17"/>
  <c r="AH213" i="17" s="1"/>
  <c r="AI353" i="17"/>
  <c r="AH353" i="17" s="1"/>
  <c r="AI181" i="17"/>
  <c r="AH181" i="17" s="1"/>
  <c r="AI178" i="17"/>
  <c r="AH178" i="17" s="1"/>
  <c r="AI256" i="17"/>
  <c r="AH256" i="17" s="1"/>
  <c r="AI125" i="17"/>
  <c r="AH125" i="17" s="1"/>
  <c r="AI319" i="17"/>
  <c r="AH319" i="17" s="1"/>
  <c r="AI28" i="17"/>
  <c r="AH28" i="17" s="1"/>
  <c r="AI36" i="17"/>
  <c r="AH36" i="17" s="1"/>
  <c r="AI237" i="17"/>
  <c r="AH237" i="17" s="1"/>
  <c r="AI303" i="17"/>
  <c r="AH303" i="17" s="1"/>
  <c r="AI291" i="17"/>
  <c r="AH291" i="17" s="1"/>
  <c r="AI98" i="17"/>
  <c r="AH98" i="17" s="1"/>
  <c r="AI299" i="17"/>
  <c r="AH299" i="17" s="1"/>
  <c r="AI80" i="17"/>
  <c r="AH80" i="17" s="1"/>
  <c r="AI222" i="17"/>
  <c r="AH222" i="17" s="1"/>
  <c r="AI312" i="17"/>
  <c r="AH312" i="17" s="1"/>
  <c r="AI64" i="17"/>
  <c r="AH64" i="17" s="1"/>
  <c r="AI261" i="17"/>
  <c r="AH261" i="17" s="1"/>
  <c r="AI251" i="17"/>
  <c r="AH251" i="17" s="1"/>
  <c r="AI151" i="17"/>
  <c r="AH151" i="17" s="1"/>
  <c r="AI306" i="17"/>
  <c r="AH306" i="17" s="1"/>
  <c r="AI342" i="17"/>
  <c r="AH342" i="17" s="1"/>
  <c r="AI44" i="17"/>
  <c r="AH44" i="17" s="1"/>
  <c r="AI258" i="17"/>
  <c r="AH258" i="17" s="1"/>
  <c r="AI129" i="17"/>
  <c r="AH129" i="17" s="1"/>
  <c r="AI130" i="17"/>
  <c r="AH130" i="17" s="1"/>
  <c r="AI136" i="17"/>
  <c r="AH136" i="17" s="1"/>
  <c r="AI171" i="17"/>
  <c r="AH171" i="17" s="1"/>
  <c r="AI53" i="17"/>
  <c r="AH53" i="17" s="1"/>
  <c r="AI163" i="17"/>
  <c r="AH163" i="17" s="1"/>
  <c r="AI317" i="17"/>
  <c r="AH317" i="17" s="1"/>
  <c r="AI63" i="17"/>
  <c r="AH63" i="17" s="1"/>
  <c r="AI288" i="17"/>
  <c r="AH288" i="17" s="1"/>
  <c r="AI226" i="17"/>
  <c r="AH226" i="17" s="1"/>
  <c r="AI345" i="17"/>
  <c r="AH345" i="17" s="1"/>
  <c r="AI90" i="17"/>
  <c r="AH90" i="17" s="1"/>
  <c r="AI138" i="17"/>
  <c r="AH138" i="17" s="1"/>
  <c r="AI208" i="17"/>
  <c r="AH208" i="17" s="1"/>
  <c r="AI230" i="17"/>
  <c r="AH230" i="17" s="1"/>
  <c r="AI315" i="17"/>
  <c r="AH315" i="17" s="1"/>
  <c r="AI307" i="17"/>
  <c r="AH307" i="17" s="1"/>
  <c r="AI23" i="17"/>
  <c r="AH23" i="17" s="1"/>
  <c r="AI100" i="17"/>
  <c r="AH100" i="17" s="1"/>
  <c r="AI296" i="17"/>
  <c r="AH296" i="17" s="1"/>
  <c r="AI316" i="17"/>
  <c r="AH316" i="17" s="1"/>
  <c r="AI246" i="17"/>
  <c r="AH246" i="17" s="1"/>
  <c r="AI262" i="17"/>
  <c r="AH262" i="17" s="1"/>
  <c r="AI356" i="17"/>
  <c r="AH356" i="17" s="1"/>
  <c r="AI244" i="17"/>
  <c r="AH244" i="17" s="1"/>
  <c r="AI112" i="17"/>
  <c r="AH112" i="17" s="1"/>
  <c r="AI128" i="17"/>
  <c r="AH128" i="17" s="1"/>
  <c r="AI323" i="17"/>
  <c r="AH323" i="17" s="1"/>
  <c r="AI227" i="17"/>
  <c r="AH227" i="17" s="1"/>
  <c r="AI149" i="17"/>
  <c r="AH149" i="17" s="1"/>
  <c r="AI346" i="17"/>
  <c r="AH346" i="17" s="1"/>
  <c r="AI102" i="17"/>
  <c r="AH102" i="17" s="1"/>
  <c r="AI88" i="17"/>
  <c r="AH88" i="17" s="1"/>
  <c r="AI32" i="17"/>
  <c r="AH32" i="17" s="1"/>
  <c r="AI191" i="17"/>
  <c r="AH191" i="17" s="1"/>
  <c r="AI276" i="17"/>
  <c r="AH276" i="17" s="1"/>
  <c r="AI121" i="17"/>
  <c r="AH121" i="17" s="1"/>
  <c r="AI95" i="17"/>
  <c r="AH95" i="17" s="1"/>
  <c r="AI284" i="17"/>
  <c r="AH284" i="17" s="1"/>
  <c r="AI55" i="17"/>
  <c r="AH55" i="17" s="1"/>
  <c r="AI62" i="17"/>
  <c r="AH62" i="17" s="1"/>
  <c r="AI134" i="17"/>
  <c r="AH134" i="17" s="1"/>
  <c r="AI156" i="17"/>
  <c r="AH156" i="17" s="1"/>
  <c r="AI116" i="17"/>
  <c r="AH116" i="17" s="1"/>
  <c r="AI220" i="17"/>
  <c r="AH220" i="17" s="1"/>
  <c r="AI161" i="17"/>
  <c r="AH161" i="17" s="1"/>
  <c r="AI221" i="17"/>
  <c r="AH221" i="17" s="1"/>
  <c r="AI38" i="17"/>
  <c r="AH38" i="17" s="1"/>
  <c r="AI264" i="17"/>
  <c r="AH264" i="17" s="1"/>
  <c r="AI202" i="17"/>
  <c r="AH202" i="17" s="1"/>
  <c r="AI52" i="17"/>
  <c r="AH52" i="17" s="1"/>
  <c r="AI305" i="17"/>
  <c r="AH305" i="17" s="1"/>
  <c r="AI185" i="17"/>
  <c r="AH185" i="17" s="1"/>
  <c r="AI103" i="17"/>
  <c r="AH103" i="17" s="1"/>
  <c r="AI200" i="17"/>
  <c r="AH200" i="17" s="1"/>
  <c r="AI285" i="17"/>
  <c r="AH285" i="17" s="1"/>
  <c r="AI58" i="17"/>
  <c r="AH58" i="17" s="1"/>
  <c r="AI281" i="17"/>
  <c r="AH281" i="17" s="1"/>
  <c r="AI368" i="17"/>
  <c r="AH368" i="17" s="1"/>
  <c r="AI119" i="17"/>
  <c r="AH119" i="17" s="1"/>
  <c r="AI286" i="17"/>
  <c r="AH286" i="17" s="1"/>
  <c r="AI378" i="17"/>
  <c r="AH378" i="17" s="1"/>
  <c r="AI155" i="17"/>
  <c r="AH155" i="17" s="1"/>
  <c r="AI343" i="17"/>
  <c r="AH343" i="17" s="1"/>
  <c r="AI231" i="17"/>
  <c r="AH231" i="17" s="1"/>
  <c r="AI372" i="17"/>
  <c r="AH372" i="17" s="1"/>
  <c r="AI212" i="17"/>
  <c r="AH212" i="17" s="1"/>
  <c r="AI160" i="17"/>
  <c r="AH160" i="17" s="1"/>
  <c r="AI332" i="17"/>
  <c r="AH332" i="17" s="1"/>
  <c r="AI282" i="17"/>
  <c r="AH282" i="17" s="1"/>
  <c r="AI85" i="17"/>
  <c r="AH85" i="17" s="1"/>
  <c r="AI355" i="17"/>
  <c r="AH355" i="17" s="1"/>
  <c r="AI132" i="17"/>
  <c r="AH132" i="17" s="1"/>
  <c r="AI35" i="17"/>
  <c r="AH35" i="17" s="1"/>
  <c r="AI141" i="17"/>
  <c r="AH141" i="17" s="1"/>
  <c r="AI361" i="17"/>
  <c r="AH361" i="17" s="1"/>
  <c r="AI111" i="17"/>
  <c r="AH111" i="17" s="1"/>
  <c r="AI183" i="17"/>
  <c r="AH183" i="17" s="1"/>
  <c r="AI302" i="17"/>
  <c r="AH302" i="17" s="1"/>
  <c r="AI49" i="17"/>
  <c r="AH49" i="17" s="1"/>
  <c r="AI225" i="17"/>
  <c r="AH225" i="17" s="1"/>
  <c r="AI47" i="17"/>
  <c r="AH47" i="17" s="1"/>
  <c r="AI144" i="17"/>
  <c r="AH144" i="17" s="1"/>
  <c r="AI20" i="17"/>
  <c r="AH20" i="17" s="1"/>
  <c r="AI290" i="17"/>
  <c r="AH290" i="17" s="1"/>
  <c r="AI338" i="17"/>
  <c r="AH338" i="17" s="1"/>
  <c r="AI159" i="17"/>
  <c r="AH159" i="17" s="1"/>
  <c r="AI29" i="17"/>
  <c r="AH29" i="17" s="1"/>
  <c r="AI196" i="17"/>
  <c r="AH196" i="17" s="1"/>
  <c r="AI109" i="17"/>
  <c r="AH109" i="17" s="1"/>
  <c r="AI207" i="17"/>
  <c r="AH207" i="17" s="1"/>
  <c r="AI25" i="17"/>
  <c r="AH25" i="17" s="1"/>
  <c r="AI59" i="17"/>
  <c r="AH59" i="17" s="1"/>
  <c r="AI300" i="17"/>
  <c r="AH300" i="17" s="1"/>
  <c r="AI190" i="17"/>
  <c r="AH190" i="17" s="1"/>
  <c r="AI37" i="17"/>
  <c r="AH37" i="17" s="1"/>
  <c r="AI72" i="17"/>
  <c r="AH72" i="17" s="1"/>
  <c r="AI265" i="17"/>
  <c r="AH265" i="17" s="1"/>
  <c r="AI123" i="17"/>
  <c r="AH123" i="17" s="1"/>
  <c r="AI327" i="17"/>
  <c r="AH327" i="17" s="1"/>
  <c r="AI376" i="17"/>
  <c r="AH376" i="17" s="1"/>
  <c r="AI172" i="17"/>
  <c r="AH172" i="17" s="1"/>
  <c r="AI27" i="17"/>
  <c r="AH27" i="17" s="1"/>
  <c r="AI370" i="17"/>
  <c r="AH370" i="17" s="1"/>
  <c r="AI143" i="17"/>
  <c r="AH143" i="17" s="1"/>
  <c r="AI173" i="17"/>
  <c r="AH173" i="17" s="1"/>
  <c r="AI277" i="17"/>
  <c r="AH277" i="17" s="1"/>
  <c r="AI218" i="17"/>
  <c r="AH218" i="17" s="1"/>
  <c r="AI318" i="17"/>
  <c r="AH318" i="17" s="1"/>
  <c r="AI233" i="17"/>
  <c r="AH233" i="17" s="1"/>
  <c r="AI77" i="17"/>
  <c r="AH77" i="17" s="1"/>
  <c r="AI166" i="17"/>
  <c r="AH166" i="17" s="1"/>
  <c r="AI309" i="17"/>
  <c r="AH309" i="17" s="1"/>
  <c r="AI43" i="17"/>
  <c r="AH43" i="17" s="1"/>
  <c r="AI16" i="17"/>
  <c r="AH16" i="17" s="1"/>
  <c r="AI271" i="17"/>
  <c r="AH271" i="17" s="1"/>
  <c r="AI126" i="17"/>
  <c r="AH126" i="17" s="1"/>
  <c r="AI297" i="17"/>
  <c r="AH297" i="17" s="1"/>
  <c r="AI133" i="17"/>
  <c r="AH133" i="17" s="1"/>
  <c r="AI86" i="17"/>
  <c r="AH86" i="17" s="1"/>
  <c r="AI108" i="17"/>
  <c r="AH108" i="17" s="1"/>
  <c r="AI30" i="17"/>
  <c r="AH30" i="17" s="1"/>
  <c r="AI250" i="17"/>
  <c r="AH250" i="17" s="1"/>
  <c r="AI164" i="17"/>
  <c r="AH164" i="17" s="1"/>
  <c r="AI324" i="17"/>
  <c r="AH324" i="17" s="1"/>
  <c r="AI56" i="17"/>
  <c r="AH56" i="17" s="1"/>
  <c r="AI91" i="17"/>
  <c r="AH91" i="17" s="1"/>
  <c r="AI292" i="17"/>
  <c r="AH292" i="17" s="1"/>
  <c r="AI187" i="17"/>
  <c r="AH187" i="17" s="1"/>
  <c r="AI279" i="17"/>
  <c r="AH279" i="17" s="1"/>
  <c r="AI263" i="17"/>
  <c r="AH263" i="17" s="1"/>
  <c r="AI203" i="17"/>
  <c r="AH203" i="17" s="1"/>
  <c r="I60" i="16"/>
  <c r="J60" i="16"/>
  <c r="I18" i="16"/>
  <c r="J18" i="16"/>
  <c r="J80" i="16"/>
  <c r="I80" i="16"/>
  <c r="AG381" i="16"/>
  <c r="AG382" i="16"/>
  <c r="AG383" i="16"/>
  <c r="AF15" i="16"/>
  <c r="J355" i="16"/>
  <c r="I355" i="16"/>
  <c r="J245" i="16"/>
  <c r="I245" i="16"/>
  <c r="J171" i="16"/>
  <c r="I171" i="16"/>
  <c r="J187" i="16"/>
  <c r="I187" i="16"/>
  <c r="I86" i="16"/>
  <c r="J86" i="16"/>
  <c r="J336" i="16"/>
  <c r="I336" i="16"/>
  <c r="I188" i="16"/>
  <c r="J188" i="16"/>
  <c r="I217" i="16"/>
  <c r="J217" i="16"/>
  <c r="I218" i="16"/>
  <c r="J218" i="16"/>
  <c r="I204" i="16"/>
  <c r="J204" i="16"/>
  <c r="I43" i="16"/>
  <c r="J43" i="16"/>
  <c r="J256" i="16"/>
  <c r="I256" i="16"/>
  <c r="J184" i="16"/>
  <c r="I184" i="16"/>
  <c r="M63" i="19"/>
  <c r="I229" i="16"/>
  <c r="J229" i="16"/>
  <c r="I123" i="16"/>
  <c r="J123" i="16"/>
  <c r="J192" i="16"/>
  <c r="I192" i="16"/>
  <c r="J122" i="16"/>
  <c r="I122" i="16"/>
  <c r="J325" i="16"/>
  <c r="I325" i="16"/>
  <c r="I271" i="16"/>
  <c r="J271" i="16"/>
  <c r="I165" i="16"/>
  <c r="J165" i="16"/>
  <c r="I144" i="16"/>
  <c r="J144" i="16"/>
  <c r="J145" i="16"/>
  <c r="I145" i="16"/>
  <c r="J374" i="16"/>
  <c r="I374" i="16"/>
  <c r="J212" i="16"/>
  <c r="I212" i="16"/>
  <c r="J342" i="16"/>
  <c r="I342" i="16"/>
  <c r="I55" i="16"/>
  <c r="J55" i="16"/>
  <c r="J81" i="16"/>
  <c r="I81" i="16"/>
  <c r="J234" i="16"/>
  <c r="I234" i="16"/>
  <c r="J196" i="16"/>
  <c r="I196" i="16"/>
  <c r="J28" i="16"/>
  <c r="I28" i="16"/>
  <c r="I252" i="16"/>
  <c r="J252" i="16"/>
  <c r="J279" i="16"/>
  <c r="I279" i="16"/>
  <c r="I39" i="16"/>
  <c r="J39" i="16"/>
  <c r="I56" i="16"/>
  <c r="J56" i="16"/>
  <c r="G228" i="16"/>
  <c r="BY228" i="6" s="1"/>
  <c r="AA228" i="16"/>
  <c r="Z228" i="16" s="1"/>
  <c r="Y228" i="16" s="1"/>
  <c r="H228" i="16"/>
  <c r="J138" i="16"/>
  <c r="I138" i="16"/>
  <c r="J79" i="16"/>
  <c r="I79" i="16"/>
  <c r="J34" i="16"/>
  <c r="I34" i="16"/>
  <c r="J23" i="16"/>
  <c r="I23" i="16"/>
  <c r="I38" i="16"/>
  <c r="J38" i="16"/>
  <c r="J118" i="16"/>
  <c r="I118" i="16"/>
  <c r="I351" i="16"/>
  <c r="J351" i="16"/>
  <c r="I248" i="16"/>
  <c r="J248" i="16"/>
  <c r="I69" i="16"/>
  <c r="J69" i="16"/>
  <c r="J211" i="16"/>
  <c r="I211" i="16"/>
  <c r="I251" i="16"/>
  <c r="J251" i="16"/>
  <c r="J70" i="16"/>
  <c r="I70" i="16"/>
  <c r="I22" i="16"/>
  <c r="J22" i="16"/>
  <c r="J304" i="16"/>
  <c r="I304" i="16"/>
  <c r="G75" i="16"/>
  <c r="BY75" i="6" s="1"/>
  <c r="AA75" i="16"/>
  <c r="Z75" i="16" s="1"/>
  <c r="Y75" i="16" s="1"/>
  <c r="H75" i="16"/>
  <c r="J321" i="16"/>
  <c r="I321" i="16"/>
  <c r="J295" i="16"/>
  <c r="I295" i="16"/>
  <c r="I72" i="16"/>
  <c r="J72" i="16"/>
  <c r="I334" i="16"/>
  <c r="J334" i="16"/>
  <c r="I276" i="16"/>
  <c r="J276" i="16"/>
  <c r="J303" i="16"/>
  <c r="I303" i="16"/>
  <c r="I326" i="16"/>
  <c r="J326" i="16"/>
  <c r="J121" i="16"/>
  <c r="I121" i="16"/>
  <c r="I100" i="16"/>
  <c r="J100" i="16"/>
  <c r="G136" i="16"/>
  <c r="BY136" i="6" s="1"/>
  <c r="H136" i="16"/>
  <c r="AA136" i="16"/>
  <c r="Z136" i="16" s="1"/>
  <c r="Y136" i="16" s="1"/>
  <c r="I253" i="16"/>
  <c r="J253" i="16"/>
  <c r="J125" i="16"/>
  <c r="I125" i="16"/>
  <c r="I329" i="16"/>
  <c r="J329" i="16"/>
  <c r="H210" i="16"/>
  <c r="G210" i="16"/>
  <c r="BY210" i="6" s="1"/>
  <c r="AA210" i="16"/>
  <c r="Z210" i="16" s="1"/>
  <c r="Y210" i="16" s="1"/>
  <c r="J357" i="16"/>
  <c r="I357" i="16"/>
  <c r="J284" i="16"/>
  <c r="I284" i="16"/>
  <c r="J84" i="16"/>
  <c r="I84" i="16"/>
  <c r="J120" i="16"/>
  <c r="I120" i="16"/>
  <c r="I232" i="16"/>
  <c r="J232" i="16"/>
  <c r="I371" i="16"/>
  <c r="J371" i="16"/>
  <c r="I178" i="16"/>
  <c r="J178" i="16"/>
  <c r="I19" i="16"/>
  <c r="J19" i="16"/>
  <c r="J156" i="16"/>
  <c r="I156" i="16"/>
  <c r="I83" i="16"/>
  <c r="J83" i="16"/>
  <c r="I112" i="16"/>
  <c r="J112" i="16"/>
  <c r="G119" i="16"/>
  <c r="BY119" i="6" s="1"/>
  <c r="H119" i="16"/>
  <c r="AA119" i="16"/>
  <c r="J262" i="16"/>
  <c r="I262" i="16"/>
  <c r="J273" i="16"/>
  <c r="I273" i="16"/>
  <c r="I202" i="16"/>
  <c r="J202" i="16"/>
  <c r="J65" i="16"/>
  <c r="I65" i="16"/>
  <c r="J149" i="16"/>
  <c r="I149" i="16"/>
  <c r="I191" i="16"/>
  <c r="J191" i="16"/>
  <c r="J236" i="16"/>
  <c r="I236" i="16"/>
  <c r="J223" i="16"/>
  <c r="I223" i="16"/>
  <c r="I94" i="16"/>
  <c r="J94" i="16"/>
  <c r="G29" i="16"/>
  <c r="BY29" i="6" s="1"/>
  <c r="AA29" i="16"/>
  <c r="Z29" i="16" s="1"/>
  <c r="Y29" i="16" s="1"/>
  <c r="H29" i="16"/>
  <c r="AA47" i="16"/>
  <c r="Z47" i="16" s="1"/>
  <c r="Y47" i="16" s="1"/>
  <c r="G47" i="16"/>
  <c r="BY47" i="6" s="1"/>
  <c r="H47" i="16"/>
  <c r="I208" i="16"/>
  <c r="J208" i="16"/>
  <c r="J91" i="16"/>
  <c r="I91" i="16"/>
  <c r="E63" i="19"/>
  <c r="I282" i="16"/>
  <c r="J282" i="16"/>
  <c r="I96" i="16"/>
  <c r="J96" i="16"/>
  <c r="I292" i="16"/>
  <c r="J292" i="16"/>
  <c r="J239" i="16"/>
  <c r="I239" i="16"/>
  <c r="U271" i="17"/>
  <c r="T271" i="17" s="1"/>
  <c r="U314" i="17"/>
  <c r="T314" i="17" s="1"/>
  <c r="U63" i="17"/>
  <c r="T63" i="17" s="1"/>
  <c r="U84" i="17"/>
  <c r="T84" i="17" s="1"/>
  <c r="U24" i="17"/>
  <c r="T24" i="17" s="1"/>
  <c r="U323" i="17"/>
  <c r="T323" i="17" s="1"/>
  <c r="U155" i="17"/>
  <c r="T155" i="17" s="1"/>
  <c r="U341" i="17"/>
  <c r="T341" i="17" s="1"/>
  <c r="U316" i="17"/>
  <c r="T316" i="17" s="1"/>
  <c r="U354" i="17"/>
  <c r="T354" i="17" s="1"/>
  <c r="U15" i="17"/>
  <c r="U348" i="17"/>
  <c r="T348" i="17" s="1"/>
  <c r="U37" i="17"/>
  <c r="T37" i="17" s="1"/>
  <c r="U59" i="17"/>
  <c r="T59" i="17" s="1"/>
  <c r="U193" i="17"/>
  <c r="T193" i="17" s="1"/>
  <c r="U112" i="17"/>
  <c r="T112" i="17" s="1"/>
  <c r="U41" i="17"/>
  <c r="T41" i="17" s="1"/>
  <c r="U135" i="17"/>
  <c r="T135" i="17" s="1"/>
  <c r="U250" i="17"/>
  <c r="T250" i="17" s="1"/>
  <c r="U304" i="17"/>
  <c r="T304" i="17" s="1"/>
  <c r="U338" i="17"/>
  <c r="T338" i="17" s="1"/>
  <c r="U23" i="17"/>
  <c r="T23" i="17" s="1"/>
  <c r="U212" i="17"/>
  <c r="T212" i="17" s="1"/>
  <c r="U282" i="17"/>
  <c r="T282" i="17" s="1"/>
  <c r="U32" i="17"/>
  <c r="T32" i="17" s="1"/>
  <c r="U336" i="17"/>
  <c r="T336" i="17" s="1"/>
  <c r="U26" i="17"/>
  <c r="T26" i="17" s="1"/>
  <c r="U62" i="17"/>
  <c r="T62" i="17" s="1"/>
  <c r="U99" i="17"/>
  <c r="T99" i="17" s="1"/>
  <c r="U206" i="17"/>
  <c r="T206" i="17" s="1"/>
  <c r="U307" i="17"/>
  <c r="T307" i="17" s="1"/>
  <c r="U27" i="17"/>
  <c r="T27" i="17" s="1"/>
  <c r="U158" i="17"/>
  <c r="T158" i="17" s="1"/>
  <c r="U183" i="17"/>
  <c r="T183" i="17" s="1"/>
  <c r="U162" i="17"/>
  <c r="T162" i="17" s="1"/>
  <c r="U272" i="17"/>
  <c r="T272" i="17" s="1"/>
  <c r="U189" i="17"/>
  <c r="T189" i="17" s="1"/>
  <c r="U287" i="17"/>
  <c r="T287" i="17" s="1"/>
  <c r="U115" i="17"/>
  <c r="T115" i="17" s="1"/>
  <c r="U242" i="17"/>
  <c r="T242" i="17" s="1"/>
  <c r="U157" i="17"/>
  <c r="T157" i="17" s="1"/>
  <c r="U43" i="17"/>
  <c r="T43" i="17" s="1"/>
  <c r="U211" i="17"/>
  <c r="T211" i="17" s="1"/>
  <c r="U146" i="17"/>
  <c r="T146" i="17" s="1"/>
  <c r="U366" i="17"/>
  <c r="T366" i="17" s="1"/>
  <c r="U258" i="17"/>
  <c r="T258" i="17" s="1"/>
  <c r="U219" i="17"/>
  <c r="T219" i="17" s="1"/>
  <c r="U246" i="17"/>
  <c r="T246" i="17" s="1"/>
  <c r="U355" i="17"/>
  <c r="T355" i="17" s="1"/>
  <c r="U346" i="17"/>
  <c r="T346" i="17" s="1"/>
  <c r="U36" i="17"/>
  <c r="T36" i="17" s="1"/>
  <c r="U102" i="17"/>
  <c r="T102" i="17" s="1"/>
  <c r="U122" i="17"/>
  <c r="T122" i="17" s="1"/>
  <c r="U360" i="17"/>
  <c r="T360" i="17" s="1"/>
  <c r="U207" i="17"/>
  <c r="T207" i="17" s="1"/>
  <c r="U245" i="17"/>
  <c r="T245" i="17" s="1"/>
  <c r="U60" i="17"/>
  <c r="T60" i="17" s="1"/>
  <c r="U254" i="17"/>
  <c r="T254" i="17" s="1"/>
  <c r="U227" i="17"/>
  <c r="T227" i="17" s="1"/>
  <c r="U369" i="17"/>
  <c r="T369" i="17" s="1"/>
  <c r="U324" i="17"/>
  <c r="T324" i="17" s="1"/>
  <c r="U70" i="17"/>
  <c r="T70" i="17" s="1"/>
  <c r="U50" i="17"/>
  <c r="T50" i="17" s="1"/>
  <c r="U93" i="17"/>
  <c r="T93" i="17" s="1"/>
  <c r="U98" i="17"/>
  <c r="T98" i="17" s="1"/>
  <c r="U262" i="17"/>
  <c r="T262" i="17" s="1"/>
  <c r="U264" i="17"/>
  <c r="T264" i="17" s="1"/>
  <c r="U340" i="17"/>
  <c r="T340" i="17" s="1"/>
  <c r="U125" i="17"/>
  <c r="T125" i="17" s="1"/>
  <c r="U56" i="17"/>
  <c r="T56" i="17" s="1"/>
  <c r="U353" i="17"/>
  <c r="T353" i="17" s="1"/>
  <c r="U38" i="17"/>
  <c r="T38" i="17" s="1"/>
  <c r="U45" i="17"/>
  <c r="T45" i="17" s="1"/>
  <c r="U197" i="17"/>
  <c r="T197" i="17" s="1"/>
  <c r="U217" i="17"/>
  <c r="T217" i="17" s="1"/>
  <c r="U156" i="17"/>
  <c r="T156" i="17" s="1"/>
  <c r="U231" i="17"/>
  <c r="T231" i="17" s="1"/>
  <c r="U205" i="17"/>
  <c r="T205" i="17" s="1"/>
  <c r="U74" i="17"/>
  <c r="T74" i="17" s="1"/>
  <c r="U270" i="17"/>
  <c r="T270" i="17" s="1"/>
  <c r="U228" i="17"/>
  <c r="T228" i="17" s="1"/>
  <c r="U358" i="17"/>
  <c r="T358" i="17" s="1"/>
  <c r="U52" i="17"/>
  <c r="T52" i="17" s="1"/>
  <c r="U277" i="17"/>
  <c r="T277" i="17" s="1"/>
  <c r="U44" i="17"/>
  <c r="T44" i="17" s="1"/>
  <c r="U168" i="17"/>
  <c r="T168" i="17" s="1"/>
  <c r="U46" i="17"/>
  <c r="T46" i="17" s="1"/>
  <c r="U286" i="17"/>
  <c r="T286" i="17" s="1"/>
  <c r="U236" i="17"/>
  <c r="T236" i="17" s="1"/>
  <c r="U375" i="17"/>
  <c r="T375" i="17" s="1"/>
  <c r="U342" i="17"/>
  <c r="T342" i="17" s="1"/>
  <c r="U278" i="17"/>
  <c r="T278" i="17" s="1"/>
  <c r="U372" i="17"/>
  <c r="T372" i="17" s="1"/>
  <c r="U34" i="17"/>
  <c r="T34" i="17" s="1"/>
  <c r="U377" i="17"/>
  <c r="T377" i="17" s="1"/>
  <c r="U75" i="17"/>
  <c r="T75" i="17" s="1"/>
  <c r="U362" i="17"/>
  <c r="T362" i="17" s="1"/>
  <c r="U349" i="17"/>
  <c r="T349" i="17" s="1"/>
  <c r="U344" i="17"/>
  <c r="T344" i="17" s="1"/>
  <c r="U379" i="17"/>
  <c r="U299" i="17"/>
  <c r="T299" i="17" s="1"/>
  <c r="U83" i="17"/>
  <c r="T83" i="17" s="1"/>
  <c r="U109" i="17"/>
  <c r="T109" i="17" s="1"/>
  <c r="U293" i="17"/>
  <c r="T293" i="17" s="1"/>
  <c r="U76" i="17"/>
  <c r="T76" i="17" s="1"/>
  <c r="U224" i="17"/>
  <c r="T224" i="17" s="1"/>
  <c r="U21" i="17"/>
  <c r="T21" i="17" s="1"/>
  <c r="U201" i="17"/>
  <c r="T201" i="17" s="1"/>
  <c r="U327" i="17"/>
  <c r="T327" i="17" s="1"/>
  <c r="U241" i="17"/>
  <c r="T241" i="17" s="1"/>
  <c r="U309" i="17"/>
  <c r="T309" i="17" s="1"/>
  <c r="U233" i="17"/>
  <c r="T233" i="17" s="1"/>
  <c r="U279" i="17"/>
  <c r="T279" i="17" s="1"/>
  <c r="U214" i="17"/>
  <c r="T214" i="17" s="1"/>
  <c r="U49" i="17"/>
  <c r="T49" i="17" s="1"/>
  <c r="U173" i="17"/>
  <c r="T173" i="17" s="1"/>
  <c r="U255" i="17"/>
  <c r="T255" i="17" s="1"/>
  <c r="U185" i="17"/>
  <c r="T185" i="17" s="1"/>
  <c r="U290" i="17"/>
  <c r="T290" i="17" s="1"/>
  <c r="U144" i="17"/>
  <c r="T144" i="17" s="1"/>
  <c r="U64" i="17"/>
  <c r="T64" i="17" s="1"/>
  <c r="U94" i="17"/>
  <c r="T94" i="17" s="1"/>
  <c r="U315" i="17"/>
  <c r="T315" i="17" s="1"/>
  <c r="U129" i="17"/>
  <c r="T129" i="17" s="1"/>
  <c r="U25" i="17"/>
  <c r="T25" i="17" s="1"/>
  <c r="U374" i="17"/>
  <c r="T374" i="17" s="1"/>
  <c r="U101" i="17"/>
  <c r="T101" i="17" s="1"/>
  <c r="U47" i="17"/>
  <c r="T47" i="17" s="1"/>
  <c r="U54" i="17"/>
  <c r="T54" i="17" s="1"/>
  <c r="U240" i="17"/>
  <c r="T240" i="17" s="1"/>
  <c r="U73" i="17"/>
  <c r="T73" i="17" s="1"/>
  <c r="U167" i="17"/>
  <c r="T167" i="17" s="1"/>
  <c r="U78" i="17"/>
  <c r="T78" i="17" s="1"/>
  <c r="U202" i="17"/>
  <c r="T202" i="17" s="1"/>
  <c r="U57" i="17"/>
  <c r="T57" i="17" s="1"/>
  <c r="U87" i="17"/>
  <c r="T87" i="17" s="1"/>
  <c r="U188" i="17"/>
  <c r="T188" i="17" s="1"/>
  <c r="U177" i="17"/>
  <c r="T177" i="17" s="1"/>
  <c r="U160" i="17"/>
  <c r="T160" i="17" s="1"/>
  <c r="U234" i="17"/>
  <c r="T234" i="17" s="1"/>
  <c r="U337" i="17"/>
  <c r="T337" i="17" s="1"/>
  <c r="U190" i="17"/>
  <c r="T190" i="17" s="1"/>
  <c r="U195" i="17"/>
  <c r="T195" i="17" s="1"/>
  <c r="U66" i="17"/>
  <c r="T66" i="17" s="1"/>
  <c r="U368" i="17"/>
  <c r="T368" i="17" s="1"/>
  <c r="U61" i="17"/>
  <c r="T61" i="17" s="1"/>
  <c r="U223" i="17"/>
  <c r="T223" i="17" s="1"/>
  <c r="U247" i="17"/>
  <c r="T247" i="17" s="1"/>
  <c r="U33" i="17"/>
  <c r="T33" i="17" s="1"/>
  <c r="U106" i="17"/>
  <c r="T106" i="17" s="1"/>
  <c r="U148" i="17"/>
  <c r="T148" i="17" s="1"/>
  <c r="U88" i="17"/>
  <c r="T88" i="17" s="1"/>
  <c r="U243" i="17"/>
  <c r="T243" i="17" s="1"/>
  <c r="U306" i="17"/>
  <c r="T306" i="17" s="1"/>
  <c r="U238" i="17"/>
  <c r="T238" i="17" s="1"/>
  <c r="U171" i="17"/>
  <c r="T171" i="17" s="1"/>
  <c r="U275" i="17"/>
  <c r="T275" i="17" s="1"/>
  <c r="U210" i="17"/>
  <c r="T210" i="17" s="1"/>
  <c r="U209" i="17"/>
  <c r="T209" i="17" s="1"/>
  <c r="U367" i="17"/>
  <c r="T367" i="17" s="1"/>
  <c r="U90" i="17"/>
  <c r="T90" i="17" s="1"/>
  <c r="U139" i="17"/>
  <c r="T139" i="17" s="1"/>
  <c r="U80" i="17"/>
  <c r="T80" i="17" s="1"/>
  <c r="U174" i="17"/>
  <c r="T174" i="17" s="1"/>
  <c r="U164" i="17"/>
  <c r="T164" i="17" s="1"/>
  <c r="U294" i="17"/>
  <c r="T294" i="17" s="1"/>
  <c r="U378" i="17"/>
  <c r="T378" i="17" s="1"/>
  <c r="U51" i="17"/>
  <c r="T51" i="17" s="1"/>
  <c r="U184" i="17"/>
  <c r="T184" i="17" s="1"/>
  <c r="U373" i="17"/>
  <c r="T373" i="17" s="1"/>
  <c r="U55" i="17"/>
  <c r="T55" i="17" s="1"/>
  <c r="U127" i="17"/>
  <c r="T127" i="17" s="1"/>
  <c r="U291" i="17"/>
  <c r="T291" i="17" s="1"/>
  <c r="U150" i="17"/>
  <c r="T150" i="17" s="1"/>
  <c r="U222" i="17"/>
  <c r="T222" i="17" s="1"/>
  <c r="U198" i="17"/>
  <c r="T198" i="17" s="1"/>
  <c r="U114" i="17"/>
  <c r="T114" i="17" s="1"/>
  <c r="U110" i="17"/>
  <c r="T110" i="17" s="1"/>
  <c r="U257" i="17"/>
  <c r="T257" i="17" s="1"/>
  <c r="U16" i="17"/>
  <c r="T16" i="17" s="1"/>
  <c r="U328" i="17"/>
  <c r="T328" i="17" s="1"/>
  <c r="U145" i="17"/>
  <c r="T145" i="17" s="1"/>
  <c r="J101" i="16"/>
  <c r="I101" i="16"/>
  <c r="I300" i="16"/>
  <c r="J300" i="16"/>
  <c r="J380" i="16"/>
  <c r="I380" i="16"/>
  <c r="H380" i="17" s="1"/>
  <c r="J344" i="16"/>
  <c r="I344" i="16"/>
  <c r="I71" i="16"/>
  <c r="J71" i="16"/>
  <c r="G167" i="16"/>
  <c r="BY167" i="6" s="1"/>
  <c r="AA167" i="16"/>
  <c r="Z167" i="16" s="1"/>
  <c r="Y167" i="16" s="1"/>
  <c r="H167" i="16"/>
  <c r="J215" i="16"/>
  <c r="I215" i="16"/>
  <c r="I340" i="16"/>
  <c r="J340" i="16"/>
  <c r="J53" i="16"/>
  <c r="I53" i="16"/>
  <c r="J323" i="16"/>
  <c r="I323" i="16"/>
  <c r="I111" i="16"/>
  <c r="J111" i="16"/>
  <c r="I52" i="16"/>
  <c r="J52" i="16"/>
  <c r="J330" i="16"/>
  <c r="I330" i="16"/>
  <c r="J174" i="16"/>
  <c r="I174" i="16"/>
  <c r="AA197" i="16"/>
  <c r="Z197" i="16" s="1"/>
  <c r="Y197" i="16" s="1"/>
  <c r="H197" i="16"/>
  <c r="G197" i="16"/>
  <c r="BY197" i="6" s="1"/>
  <c r="I277" i="16"/>
  <c r="J277" i="16"/>
  <c r="I331" i="16"/>
  <c r="J331" i="16"/>
  <c r="I356" i="16"/>
  <c r="J356" i="16"/>
  <c r="I139" i="16"/>
  <c r="J139" i="16"/>
  <c r="J33" i="16"/>
  <c r="I33" i="16"/>
  <c r="I315" i="16"/>
  <c r="J315" i="16"/>
  <c r="I318" i="16"/>
  <c r="J318" i="16"/>
  <c r="J163" i="16"/>
  <c r="I163" i="16"/>
  <c r="I332" i="16"/>
  <c r="J332" i="16"/>
  <c r="J160" i="16"/>
  <c r="I160" i="16"/>
  <c r="I352" i="16"/>
  <c r="J352" i="16"/>
  <c r="I264" i="16"/>
  <c r="J264" i="16"/>
  <c r="I58" i="16"/>
  <c r="J58" i="16"/>
  <c r="J129" i="16"/>
  <c r="I129" i="16"/>
  <c r="J189" i="16"/>
  <c r="I189" i="16"/>
  <c r="J61" i="16"/>
  <c r="I61" i="16"/>
  <c r="I68" i="16"/>
  <c r="J68" i="16"/>
  <c r="I148" i="16"/>
  <c r="J148" i="16"/>
  <c r="J339" i="16"/>
  <c r="I339" i="16"/>
  <c r="AA363" i="16"/>
  <c r="Z363" i="16" s="1"/>
  <c r="Y363" i="16" s="1"/>
  <c r="H363" i="16"/>
  <c r="G363" i="16"/>
  <c r="BY363" i="6" s="1"/>
  <c r="I66" i="16"/>
  <c r="J66" i="16"/>
  <c r="I224" i="16"/>
  <c r="J224" i="16"/>
  <c r="J154" i="16"/>
  <c r="I154" i="16"/>
  <c r="J42" i="16"/>
  <c r="I42" i="16"/>
  <c r="AA88" i="16"/>
  <c r="Z88" i="16" s="1"/>
  <c r="Y88" i="16" s="1"/>
  <c r="G88" i="16"/>
  <c r="BY88" i="6" s="1"/>
  <c r="H88" i="16"/>
  <c r="J98" i="16"/>
  <c r="I98" i="16"/>
  <c r="H302" i="16"/>
  <c r="G302" i="16"/>
  <c r="BY302" i="6" s="1"/>
  <c r="AA302" i="16"/>
  <c r="Z302" i="16" s="1"/>
  <c r="Y302" i="16" s="1"/>
  <c r="J358" i="16"/>
  <c r="I358" i="16"/>
  <c r="I316" i="16"/>
  <c r="J316" i="16"/>
  <c r="I362" i="16"/>
  <c r="J362" i="16"/>
  <c r="I24" i="16"/>
  <c r="J24" i="16"/>
  <c r="J373" i="16"/>
  <c r="I373" i="16"/>
  <c r="AI352" i="17"/>
  <c r="AH352" i="17" s="1"/>
  <c r="AI349" i="17"/>
  <c r="AH349" i="17" s="1"/>
  <c r="AI18" i="17"/>
  <c r="AH18" i="17" s="1"/>
  <c r="AI22" i="17"/>
  <c r="AH22" i="17" s="1"/>
  <c r="AI371" i="17"/>
  <c r="AH371" i="17" s="1"/>
  <c r="AI247" i="17"/>
  <c r="AH247" i="17" s="1"/>
  <c r="AI245" i="17"/>
  <c r="AH245" i="17" s="1"/>
  <c r="AI79" i="17"/>
  <c r="AH79" i="17" s="1"/>
  <c r="AI259" i="17"/>
  <c r="AH259" i="17" s="1"/>
  <c r="AI269" i="17"/>
  <c r="AH269" i="17" s="1"/>
  <c r="AI214" i="17"/>
  <c r="AH214" i="17" s="1"/>
  <c r="AI266" i="17"/>
  <c r="AH266" i="17" s="1"/>
  <c r="AI68" i="17"/>
  <c r="AH68" i="17" s="1"/>
  <c r="AI267" i="17"/>
  <c r="AH267" i="17" s="1"/>
  <c r="AI351" i="17"/>
  <c r="AH351" i="17" s="1"/>
  <c r="AI147" i="17"/>
  <c r="AH147" i="17" s="1"/>
  <c r="AI153" i="17"/>
  <c r="AH153" i="17" s="1"/>
  <c r="AI253" i="17"/>
  <c r="AH253" i="17" s="1"/>
  <c r="AI105" i="17"/>
  <c r="AH105" i="17" s="1"/>
  <c r="AI162" i="17"/>
  <c r="AH162" i="17" s="1"/>
  <c r="AI289" i="17"/>
  <c r="AH289" i="17" s="1"/>
  <c r="AI118" i="17"/>
  <c r="AH118" i="17" s="1"/>
  <c r="AI270" i="17"/>
  <c r="AH270" i="17" s="1"/>
  <c r="AI107" i="17"/>
  <c r="AH107" i="17" s="1"/>
  <c r="AI205" i="17"/>
  <c r="AH205" i="17" s="1"/>
  <c r="AI199" i="17"/>
  <c r="AH199" i="17" s="1"/>
  <c r="AI152" i="17"/>
  <c r="AH152" i="17" s="1"/>
  <c r="AI367" i="17"/>
  <c r="AH367" i="17" s="1"/>
  <c r="AI137" i="17"/>
  <c r="AH137" i="17" s="1"/>
  <c r="AI365" i="17"/>
  <c r="AH365" i="17" s="1"/>
  <c r="AI294" i="17"/>
  <c r="AH294" i="17" s="1"/>
  <c r="AI83" i="17"/>
  <c r="AH83" i="17" s="1"/>
  <c r="AI274" i="17"/>
  <c r="AH274" i="17" s="1"/>
  <c r="AI325" i="17"/>
  <c r="AH325" i="17" s="1"/>
  <c r="AI379" i="17"/>
  <c r="AI140" i="17"/>
  <c r="AH140" i="17" s="1"/>
  <c r="AI311" i="17"/>
  <c r="AH311" i="17" s="1"/>
  <c r="AI257" i="17"/>
  <c r="AH257" i="17" s="1"/>
  <c r="AI19" i="17"/>
  <c r="AH19" i="17" s="1"/>
  <c r="AI304" i="17"/>
  <c r="AH304" i="17" s="1"/>
  <c r="AI189" i="17"/>
  <c r="AH189" i="17" s="1"/>
  <c r="AI186" i="17"/>
  <c r="AH186" i="17" s="1"/>
  <c r="AI217" i="17"/>
  <c r="AH217" i="17" s="1"/>
  <c r="AI326" i="17"/>
  <c r="AH326" i="17" s="1"/>
  <c r="AI76" i="17"/>
  <c r="AH76" i="17" s="1"/>
  <c r="AI179" i="17"/>
  <c r="AH179" i="17" s="1"/>
  <c r="AI293" i="17"/>
  <c r="AH293" i="17" s="1"/>
  <c r="AI84" i="17"/>
  <c r="AH84" i="17" s="1"/>
  <c r="AI81" i="17"/>
  <c r="AH81" i="17" s="1"/>
  <c r="AI210" i="17"/>
  <c r="AH210" i="17" s="1"/>
  <c r="AI31" i="17"/>
  <c r="AH31" i="17" s="1"/>
  <c r="AI334" i="17"/>
  <c r="AH334" i="17" s="1"/>
  <c r="AI54" i="17"/>
  <c r="AH54" i="17" s="1"/>
  <c r="AI223" i="17"/>
  <c r="AH223" i="17" s="1"/>
  <c r="AI249" i="17"/>
  <c r="AH249" i="17" s="1"/>
  <c r="AI122" i="17"/>
  <c r="AH122" i="17" s="1"/>
  <c r="AI232" i="17"/>
  <c r="AH232" i="17" s="1"/>
  <c r="AI219" i="17"/>
  <c r="AH219" i="17" s="1"/>
  <c r="AI115" i="17"/>
  <c r="AH115" i="17" s="1"/>
  <c r="AI215" i="17"/>
  <c r="AH215" i="17" s="1"/>
  <c r="AI229" i="17"/>
  <c r="AH229" i="17" s="1"/>
  <c r="AI295" i="17"/>
  <c r="AH295" i="17" s="1"/>
  <c r="AI124" i="17"/>
  <c r="AH124" i="17" s="1"/>
  <c r="AI139" i="17"/>
  <c r="AH139" i="17" s="1"/>
  <c r="AI74" i="17"/>
  <c r="AH74" i="17" s="1"/>
  <c r="AI340" i="17"/>
  <c r="AH340" i="17" s="1"/>
  <c r="AI255" i="17"/>
  <c r="AH255" i="17" s="1"/>
  <c r="AI331" i="17"/>
  <c r="AH331" i="17" s="1"/>
  <c r="AI211" i="17"/>
  <c r="AH211" i="17" s="1"/>
  <c r="AI67" i="17"/>
  <c r="AH67" i="17" s="1"/>
  <c r="AI93" i="17"/>
  <c r="AH93" i="17" s="1"/>
  <c r="AI341" i="17"/>
  <c r="AH341" i="17" s="1"/>
  <c r="AI99" i="17"/>
  <c r="AH99" i="17" s="1"/>
  <c r="AI195" i="17"/>
  <c r="AH195" i="17" s="1"/>
  <c r="AI120" i="17"/>
  <c r="AH120" i="17" s="1"/>
  <c r="AI92" i="17"/>
  <c r="AH92" i="17" s="1"/>
  <c r="AI280" i="17"/>
  <c r="AH280" i="17" s="1"/>
  <c r="AI110" i="17"/>
  <c r="AH110" i="17" s="1"/>
  <c r="AI339" i="17"/>
  <c r="AH339" i="17" s="1"/>
  <c r="AI374" i="17"/>
  <c r="AH374" i="17" s="1"/>
  <c r="AI252" i="17"/>
  <c r="AH252" i="17" s="1"/>
  <c r="AI104" i="17"/>
  <c r="AH104" i="17" s="1"/>
  <c r="AI357" i="17"/>
  <c r="AH357" i="17" s="1"/>
  <c r="AI87" i="17"/>
  <c r="AH87" i="17" s="1"/>
  <c r="AI243" i="17"/>
  <c r="AH243" i="17" s="1"/>
  <c r="AI283" i="17"/>
  <c r="AH283" i="17" s="1"/>
  <c r="AI204" i="17"/>
  <c r="AH204" i="17" s="1"/>
  <c r="AI235" i="17"/>
  <c r="AH235" i="17" s="1"/>
  <c r="AI375" i="17"/>
  <c r="AH375" i="17" s="1"/>
  <c r="AI248" i="17"/>
  <c r="AH248" i="17" s="1"/>
  <c r="AI193" i="17"/>
  <c r="AH193" i="17" s="1"/>
  <c r="AI333" i="17"/>
  <c r="AH333" i="17" s="1"/>
  <c r="AI197" i="17"/>
  <c r="AH197" i="17" s="1"/>
  <c r="AI192" i="17"/>
  <c r="AH192" i="17" s="1"/>
  <c r="AI114" i="17"/>
  <c r="AH114" i="17" s="1"/>
  <c r="AI366" i="17"/>
  <c r="AH366" i="17" s="1"/>
  <c r="AI272" i="17"/>
  <c r="AH272" i="17" s="1"/>
  <c r="AI24" i="17"/>
  <c r="AH24" i="17" s="1"/>
  <c r="AI354" i="17"/>
  <c r="AH354" i="17" s="1"/>
  <c r="AI363" i="17"/>
  <c r="AH363" i="17" s="1"/>
  <c r="AI336" i="17"/>
  <c r="AH336" i="17" s="1"/>
  <c r="AI167" i="17"/>
  <c r="AH167" i="17" s="1"/>
  <c r="AI73" i="17"/>
  <c r="AH73" i="17" s="1"/>
  <c r="AI298" i="17"/>
  <c r="AH298" i="17" s="1"/>
  <c r="AI241" i="17"/>
  <c r="AH241" i="17" s="1"/>
  <c r="AI373" i="17"/>
  <c r="AH373" i="17" s="1"/>
  <c r="AI350" i="17"/>
  <c r="AH350" i="17" s="1"/>
  <c r="AI66" i="17"/>
  <c r="AH66" i="17" s="1"/>
  <c r="AI26" i="17"/>
  <c r="AH26" i="17" s="1"/>
  <c r="AI106" i="17"/>
  <c r="AH106" i="17" s="1"/>
  <c r="AI310" i="17"/>
  <c r="AH310" i="17" s="1"/>
  <c r="AI268" i="17"/>
  <c r="AH268" i="17" s="1"/>
  <c r="AI359" i="17"/>
  <c r="AH359" i="17" s="1"/>
  <c r="AI329" i="17"/>
  <c r="AH329" i="17" s="1"/>
  <c r="AI101" i="17"/>
  <c r="AH101" i="17" s="1"/>
  <c r="AI369" i="17"/>
  <c r="AH369" i="17" s="1"/>
  <c r="AI117" i="17"/>
  <c r="AH117" i="17" s="1"/>
  <c r="AI127" i="17"/>
  <c r="AH127" i="17" s="1"/>
  <c r="AI344" i="17"/>
  <c r="AH344" i="17" s="1"/>
  <c r="AI40" i="17"/>
  <c r="AH40" i="17" s="1"/>
  <c r="AI188" i="17"/>
  <c r="AH188" i="17" s="1"/>
  <c r="AI75" i="17"/>
  <c r="AH75" i="17" s="1"/>
  <c r="AI176" i="17"/>
  <c r="AH176" i="17" s="1"/>
  <c r="AI96" i="17"/>
  <c r="AH96" i="17" s="1"/>
  <c r="AI275" i="17"/>
  <c r="AH275" i="17" s="1"/>
  <c r="AI234" i="17"/>
  <c r="AH234" i="17" s="1"/>
  <c r="AI180" i="17"/>
  <c r="AH180" i="17" s="1"/>
  <c r="AI321" i="17"/>
  <c r="AH321" i="17" s="1"/>
  <c r="AI194" i="17"/>
  <c r="AH194" i="17" s="1"/>
  <c r="AI320" i="17"/>
  <c r="AH320" i="17" s="1"/>
  <c r="AI21" i="17"/>
  <c r="AH21" i="17" s="1"/>
  <c r="AI301" i="17"/>
  <c r="AH301" i="17" s="1"/>
  <c r="AI17" i="17"/>
  <c r="AH17" i="17" s="1"/>
  <c r="AI242" i="17"/>
  <c r="AH242" i="17" s="1"/>
  <c r="AI278" i="17"/>
  <c r="AH278" i="17" s="1"/>
  <c r="AI201" i="17"/>
  <c r="AH201" i="17" s="1"/>
  <c r="AI41" i="17"/>
  <c r="AH41" i="17" s="1"/>
  <c r="AI135" i="17"/>
  <c r="AH135" i="17" s="1"/>
  <c r="AI273" i="17"/>
  <c r="AH273" i="17" s="1"/>
  <c r="AI33" i="17"/>
  <c r="AH33" i="17" s="1"/>
  <c r="AI313" i="17"/>
  <c r="AH313" i="17" s="1"/>
  <c r="AI170" i="17"/>
  <c r="AH170" i="17" s="1"/>
  <c r="AI71" i="17"/>
  <c r="AH71" i="17" s="1"/>
  <c r="AI209" i="17"/>
  <c r="AH209" i="17" s="1"/>
  <c r="AI328" i="17"/>
  <c r="AH328" i="17" s="1"/>
  <c r="AI260" i="17"/>
  <c r="AH260" i="17" s="1"/>
  <c r="AI184" i="17"/>
  <c r="AH184" i="17" s="1"/>
  <c r="AI314" i="17"/>
  <c r="AH314" i="17" s="1"/>
  <c r="AI94" i="17"/>
  <c r="AH94" i="17" s="1"/>
  <c r="AI157" i="17"/>
  <c r="AH157" i="17" s="1"/>
  <c r="AI158" i="17"/>
  <c r="AH158" i="17" s="1"/>
  <c r="AI82" i="17"/>
  <c r="AH82" i="17" s="1"/>
  <c r="AI113" i="17"/>
  <c r="AH113" i="17" s="1"/>
  <c r="AI148" i="17"/>
  <c r="AH148" i="17" s="1"/>
  <c r="AI42" i="17"/>
  <c r="AH42" i="17" s="1"/>
  <c r="AI362" i="17"/>
  <c r="AH362" i="17" s="1"/>
  <c r="AI97" i="17"/>
  <c r="AH97" i="17" s="1"/>
  <c r="AI177" i="17"/>
  <c r="AH177" i="17" s="1"/>
  <c r="AI39" i="17"/>
  <c r="AH39" i="17" s="1"/>
  <c r="AI308" i="17"/>
  <c r="AH308" i="17" s="1"/>
  <c r="AI69" i="17"/>
  <c r="AH69" i="17" s="1"/>
  <c r="AI48" i="17"/>
  <c r="AH48" i="17" s="1"/>
  <c r="AI224" i="17"/>
  <c r="AH224" i="17" s="1"/>
  <c r="AI146" i="17"/>
  <c r="AH146" i="17" s="1"/>
  <c r="AI216" i="17"/>
  <c r="AH216" i="17" s="1"/>
  <c r="AI78" i="17"/>
  <c r="AH78" i="17" s="1"/>
  <c r="AI240" i="17"/>
  <c r="AH240" i="17" s="1"/>
  <c r="AI150" i="17"/>
  <c r="AH150" i="17" s="1"/>
  <c r="AI145" i="17"/>
  <c r="AH145" i="17" s="1"/>
  <c r="AI50" i="17"/>
  <c r="AH50" i="17" s="1"/>
  <c r="AI348" i="17"/>
  <c r="AH348" i="17" s="1"/>
  <c r="AI182" i="17"/>
  <c r="AH182" i="17" s="1"/>
  <c r="AI377" i="17"/>
  <c r="AH377" i="17" s="1"/>
  <c r="AI236" i="17"/>
  <c r="AH236" i="17" s="1"/>
  <c r="AI61" i="17"/>
  <c r="AH61" i="17" s="1"/>
  <c r="AI45" i="17"/>
  <c r="AH45" i="17" s="1"/>
  <c r="AI89" i="17"/>
  <c r="AH89" i="17" s="1"/>
  <c r="AI70" i="17"/>
  <c r="AH70" i="17" s="1"/>
  <c r="AI168" i="17"/>
  <c r="AH168" i="17" s="1"/>
  <c r="AI51" i="17"/>
  <c r="AH51" i="17" s="1"/>
  <c r="AI165" i="17"/>
  <c r="AH165" i="17" s="1"/>
  <c r="AI60" i="17"/>
  <c r="AH60" i="17" s="1"/>
  <c r="AI330" i="17"/>
  <c r="AH330" i="17" s="1"/>
  <c r="J114" i="16"/>
  <c r="I114" i="16"/>
  <c r="J206" i="16"/>
  <c r="I206" i="16"/>
  <c r="I87" i="16"/>
  <c r="J87" i="16"/>
  <c r="J134" i="16"/>
  <c r="I134" i="16"/>
  <c r="J132" i="16"/>
  <c r="I132" i="16"/>
  <c r="I293" i="16"/>
  <c r="J293" i="16"/>
  <c r="I294" i="16"/>
  <c r="J294" i="16"/>
  <c r="I301" i="16"/>
  <c r="J301" i="16"/>
  <c r="I254" i="16"/>
  <c r="J254" i="16"/>
  <c r="I153" i="16"/>
  <c r="J153" i="16"/>
  <c r="I255" i="16"/>
  <c r="J255" i="16"/>
  <c r="J287" i="16"/>
  <c r="I287" i="16"/>
  <c r="H260" i="16"/>
  <c r="G260" i="16"/>
  <c r="BY260" i="6" s="1"/>
  <c r="AA260" i="16"/>
  <c r="Z260" i="16" s="1"/>
  <c r="Y260" i="16" s="1"/>
  <c r="I49" i="16"/>
  <c r="J49" i="16"/>
  <c r="I354" i="16"/>
  <c r="J354" i="16"/>
  <c r="J48" i="16"/>
  <c r="I48" i="16"/>
  <c r="I376" i="16"/>
  <c r="J376" i="16"/>
  <c r="I364" i="16"/>
  <c r="J364" i="16"/>
  <c r="J201" i="16"/>
  <c r="I201" i="16"/>
  <c r="I54" i="16"/>
  <c r="J54" i="16"/>
  <c r="H350" i="16"/>
  <c r="AA350" i="16"/>
  <c r="Z350" i="16" s="1"/>
  <c r="Y350" i="16" s="1"/>
  <c r="G350" i="16"/>
  <c r="BY350" i="6" s="1"/>
  <c r="J328" i="16"/>
  <c r="I328" i="16"/>
  <c r="J209" i="16"/>
  <c r="I209" i="16"/>
  <c r="I179" i="16"/>
  <c r="J179" i="16"/>
  <c r="J40" i="16"/>
  <c r="I40" i="16"/>
  <c r="I92" i="16"/>
  <c r="J92" i="16"/>
  <c r="J367" i="16"/>
  <c r="I367" i="16"/>
  <c r="I297" i="16"/>
  <c r="J297" i="16"/>
  <c r="J128" i="16"/>
  <c r="I128" i="16"/>
  <c r="J235" i="16"/>
  <c r="I235" i="16"/>
  <c r="J151" i="16"/>
  <c r="I151" i="16"/>
  <c r="J74" i="16"/>
  <c r="I74" i="16"/>
  <c r="I35" i="16"/>
  <c r="J35" i="16"/>
  <c r="J286" i="16"/>
  <c r="I286" i="16"/>
  <c r="I127" i="16"/>
  <c r="J127" i="16"/>
  <c r="J161" i="16"/>
  <c r="I161" i="16"/>
  <c r="I103" i="16"/>
  <c r="J103" i="16"/>
  <c r="H272" i="16"/>
  <c r="G272" i="16"/>
  <c r="BY272" i="6" s="1"/>
  <c r="AA272" i="16"/>
  <c r="Z272" i="16" s="1"/>
  <c r="Y272" i="16" s="1"/>
  <c r="I317" i="16"/>
  <c r="J317" i="16"/>
  <c r="I240" i="16"/>
  <c r="J240" i="16"/>
  <c r="I280" i="16"/>
  <c r="J280" i="16"/>
  <c r="I63" i="19"/>
  <c r="Y383" i="1"/>
  <c r="AM6" i="1"/>
  <c r="AM12" i="1" s="1"/>
  <c r="Y381" i="1"/>
  <c r="X9" i="1"/>
  <c r="AL5" i="1"/>
  <c r="Y382" i="1"/>
  <c r="BV15" i="7"/>
  <c r="BX11" i="7"/>
  <c r="BW11" i="7"/>
  <c r="AJ3" i="1"/>
  <c r="O11" i="19" s="1"/>
  <c r="AL13" i="1"/>
  <c r="AA15" i="7"/>
  <c r="Q10" i="18"/>
  <c r="Q226" i="18" s="1"/>
  <c r="AC120" i="25" l="1"/>
  <c r="AC33" i="25"/>
  <c r="AC203" i="24"/>
  <c r="AC292" i="24"/>
  <c r="AC65" i="25"/>
  <c r="AC41" i="25"/>
  <c r="AC208" i="24"/>
  <c r="AC375" i="24"/>
  <c r="AC275" i="24"/>
  <c r="AC148" i="24"/>
  <c r="AC267" i="24"/>
  <c r="AC29" i="25"/>
  <c r="AC27" i="25"/>
  <c r="AC71" i="25"/>
  <c r="AC72" i="25"/>
  <c r="G320" i="16"/>
  <c r="BY320" i="6" s="1"/>
  <c r="AC45" i="25"/>
  <c r="AC96" i="25"/>
  <c r="AC43" i="25"/>
  <c r="AC26" i="25"/>
  <c r="AC113" i="25"/>
  <c r="AC115" i="25"/>
  <c r="AC83" i="25"/>
  <c r="AC81" i="25"/>
  <c r="AC166" i="24"/>
  <c r="AC141" i="24"/>
  <c r="AC152" i="24"/>
  <c r="AC350" i="24"/>
  <c r="AC207" i="24"/>
  <c r="AC161" i="24"/>
  <c r="AC367" i="24"/>
  <c r="AC170" i="24"/>
  <c r="AC303" i="24"/>
  <c r="AC222" i="24"/>
  <c r="AC244" i="24"/>
  <c r="AC226" i="24"/>
  <c r="AC212" i="24"/>
  <c r="AC169" i="24"/>
  <c r="AC328" i="24"/>
  <c r="AC282" i="24"/>
  <c r="AC296" i="24"/>
  <c r="AC341" i="24"/>
  <c r="AC137" i="24"/>
  <c r="AC283" i="24"/>
  <c r="AC187" i="24"/>
  <c r="AC277" i="24"/>
  <c r="AC286" i="24"/>
  <c r="AE242" i="18"/>
  <c r="AC64" i="25"/>
  <c r="AC125" i="25"/>
  <c r="AC67" i="25"/>
  <c r="AC97" i="25"/>
  <c r="AC22" i="25"/>
  <c r="AC95" i="25"/>
  <c r="AC19" i="25"/>
  <c r="AC57" i="25"/>
  <c r="AC49" i="25"/>
  <c r="AC24" i="25"/>
  <c r="AC103" i="25"/>
  <c r="AC79" i="25"/>
  <c r="AC126" i="25"/>
  <c r="AC99" i="25"/>
  <c r="AC46" i="25"/>
  <c r="AC90" i="25"/>
  <c r="AC25" i="25"/>
  <c r="AC310" i="24"/>
  <c r="AC314" i="24"/>
  <c r="AC154" i="24"/>
  <c r="AC279" i="24"/>
  <c r="AC190" i="24"/>
  <c r="AC241" i="24"/>
  <c r="AC158" i="24"/>
  <c r="AC185" i="24"/>
  <c r="AC214" i="24"/>
  <c r="AC361" i="24"/>
  <c r="AC264" i="24"/>
  <c r="AC165" i="24"/>
  <c r="AC243" i="24"/>
  <c r="AC259" i="24"/>
  <c r="AC276" i="24"/>
  <c r="AC300" i="24"/>
  <c r="AC223" i="24"/>
  <c r="AC159" i="24"/>
  <c r="AC326" i="24"/>
  <c r="AC179" i="24"/>
  <c r="AC197" i="24"/>
  <c r="AC247" i="24"/>
  <c r="AC196" i="24"/>
  <c r="AC372" i="24"/>
  <c r="AC336" i="24"/>
  <c r="AC153" i="24"/>
  <c r="AC323" i="24"/>
  <c r="AC319" i="24"/>
  <c r="AC240" i="24"/>
  <c r="AC149" i="24"/>
  <c r="AC376" i="24"/>
  <c r="AC188" i="24"/>
  <c r="AC322" i="24"/>
  <c r="AC155" i="24"/>
  <c r="AC199" i="24"/>
  <c r="AC290" i="24"/>
  <c r="AC288" i="24"/>
  <c r="AC363" i="24"/>
  <c r="AC191" i="24"/>
  <c r="AC280" i="24"/>
  <c r="AC176" i="24"/>
  <c r="AC304" i="24"/>
  <c r="AC358" i="24"/>
  <c r="AC370" i="24"/>
  <c r="AC338" i="24"/>
  <c r="AC136" i="24"/>
  <c r="AC346" i="24"/>
  <c r="AC293" i="24"/>
  <c r="AC362" i="24"/>
  <c r="AC321" i="24"/>
  <c r="AC150" i="24"/>
  <c r="AC278" i="24"/>
  <c r="AC200" i="24"/>
  <c r="AC142" i="24"/>
  <c r="AC340" i="24"/>
  <c r="AC271" i="24"/>
  <c r="AC178" i="24"/>
  <c r="AC206" i="24"/>
  <c r="AC270" i="24"/>
  <c r="AC318" i="24"/>
  <c r="AC347" i="24"/>
  <c r="AC368" i="24"/>
  <c r="AC140" i="24"/>
  <c r="AC246" i="24"/>
  <c r="AC294" i="24"/>
  <c r="AC201" i="24"/>
  <c r="AC269" i="24"/>
  <c r="AC228" i="24"/>
  <c r="AC177" i="24"/>
  <c r="AC145" i="24"/>
  <c r="AC209" i="24"/>
  <c r="AC268" i="24"/>
  <c r="AC174" i="24"/>
  <c r="AC377" i="24"/>
  <c r="AC138" i="24"/>
  <c r="AC151" i="24"/>
  <c r="AC134" i="24"/>
  <c r="AC297" i="24"/>
  <c r="AC315" i="24"/>
  <c r="AC193" i="24"/>
  <c r="AC260" i="24"/>
  <c r="AC309" i="24"/>
  <c r="AC320" i="24"/>
  <c r="AC355" i="24"/>
  <c r="AC371" i="24"/>
  <c r="AC167" i="24"/>
  <c r="AC379" i="24"/>
  <c r="AC234" i="24"/>
  <c r="AC373" i="24"/>
  <c r="AC360" i="24"/>
  <c r="AC202" i="24"/>
  <c r="AC249" i="24"/>
  <c r="AC204" i="24"/>
  <c r="AC281" i="24"/>
  <c r="AC258" i="24"/>
  <c r="AC189" i="24"/>
  <c r="AC192" i="24"/>
  <c r="AC273" i="24"/>
  <c r="AC213" i="24"/>
  <c r="AC250" i="24"/>
  <c r="AC324" i="24"/>
  <c r="AC255" i="24"/>
  <c r="AC239" i="24"/>
  <c r="AC184" i="24"/>
  <c r="AC173" i="24"/>
  <c r="AC139" i="24"/>
  <c r="AC343" i="24"/>
  <c r="AC334" i="24"/>
  <c r="AC331" i="24"/>
  <c r="AC339" i="24"/>
  <c r="AC317" i="24"/>
  <c r="AC254" i="24"/>
  <c r="AC316" i="24"/>
  <c r="AC217" i="24"/>
  <c r="AC157" i="24"/>
  <c r="AC302" i="24"/>
  <c r="AC211" i="24"/>
  <c r="AC218" i="24"/>
  <c r="AC325" i="24"/>
  <c r="AC289" i="24"/>
  <c r="AC357" i="24"/>
  <c r="AC295" i="24"/>
  <c r="AC168" i="24"/>
  <c r="AC156" i="24"/>
  <c r="AC236" i="24"/>
  <c r="AC215" i="24"/>
  <c r="AC291" i="24"/>
  <c r="AC344" i="24"/>
  <c r="AC335" i="24"/>
  <c r="AC311" i="24"/>
  <c r="AC252" i="24"/>
  <c r="AC219" i="24"/>
  <c r="AC342" i="24"/>
  <c r="AC333" i="24"/>
  <c r="AC359" i="24"/>
  <c r="AC332" i="24"/>
  <c r="AC287" i="24"/>
  <c r="AC262" i="24"/>
  <c r="AC351" i="24"/>
  <c r="AC366" i="24"/>
  <c r="AC301" i="24"/>
  <c r="AC232" i="24"/>
  <c r="AC353" i="24"/>
  <c r="AC163" i="24"/>
  <c r="AC233" i="24"/>
  <c r="AC364" i="24"/>
  <c r="AC265" i="24"/>
  <c r="AC329" i="24"/>
  <c r="AC256" i="24"/>
  <c r="AC298" i="24"/>
  <c r="AC330" i="24"/>
  <c r="AC272" i="24"/>
  <c r="AC378" i="24"/>
  <c r="AC182" i="24"/>
  <c r="AC374" i="24"/>
  <c r="AC257" i="24"/>
  <c r="AC261" i="24"/>
  <c r="AC308" i="24"/>
  <c r="AC128" i="25"/>
  <c r="AC131" i="25"/>
  <c r="AC78" i="25"/>
  <c r="AC20" i="25"/>
  <c r="AC91" i="25"/>
  <c r="AC59" i="25"/>
  <c r="AC69" i="25"/>
  <c r="AC100" i="25"/>
  <c r="AC16" i="25"/>
  <c r="AC58" i="25"/>
  <c r="AC75" i="25"/>
  <c r="AC40" i="25"/>
  <c r="AC35" i="25"/>
  <c r="AC106" i="25"/>
  <c r="AC17" i="25"/>
  <c r="AC118" i="25"/>
  <c r="AC56" i="25"/>
  <c r="AC21" i="25"/>
  <c r="AC44" i="25"/>
  <c r="AC133" i="25"/>
  <c r="AC70" i="25"/>
  <c r="AC28" i="25"/>
  <c r="AC38" i="25"/>
  <c r="AC34" i="25"/>
  <c r="AC105" i="25"/>
  <c r="AC107" i="25"/>
  <c r="AC61" i="25"/>
  <c r="AC68" i="25"/>
  <c r="AC37" i="25"/>
  <c r="AC111" i="25"/>
  <c r="AC48" i="25"/>
  <c r="AC80" i="25"/>
  <c r="AC119" i="25"/>
  <c r="AC36" i="25"/>
  <c r="AC39" i="25"/>
  <c r="AC52" i="25"/>
  <c r="AC54" i="25"/>
  <c r="AC62" i="25"/>
  <c r="AC116" i="25"/>
  <c r="AC73" i="25"/>
  <c r="AC15" i="25"/>
  <c r="AC123" i="25"/>
  <c r="AC31" i="25"/>
  <c r="AC50" i="25"/>
  <c r="AC130" i="25"/>
  <c r="AC132" i="25"/>
  <c r="AC93" i="25"/>
  <c r="AC92" i="25"/>
  <c r="AC18" i="25"/>
  <c r="AC122" i="25"/>
  <c r="AC66" i="25"/>
  <c r="AC89" i="25"/>
  <c r="AC102" i="25"/>
  <c r="AC84" i="25"/>
  <c r="AC30" i="25"/>
  <c r="AC51" i="25"/>
  <c r="AC76" i="25"/>
  <c r="AC63" i="25"/>
  <c r="AC32" i="25"/>
  <c r="AC98" i="25"/>
  <c r="AC108" i="25"/>
  <c r="AC109" i="25"/>
  <c r="AC60" i="25"/>
  <c r="AC117" i="25"/>
  <c r="AC42" i="25"/>
  <c r="AC87" i="25"/>
  <c r="AC47" i="25"/>
  <c r="AC23" i="25"/>
  <c r="AC127" i="25"/>
  <c r="AC121" i="25"/>
  <c r="AC74" i="25"/>
  <c r="AC55" i="25"/>
  <c r="AC101" i="25"/>
  <c r="AC110" i="25"/>
  <c r="AC94" i="25"/>
  <c r="AC88" i="25"/>
  <c r="AC53" i="25"/>
  <c r="AC114" i="25"/>
  <c r="AC124" i="25"/>
  <c r="AC112" i="25"/>
  <c r="AC82" i="25"/>
  <c r="AC85" i="25"/>
  <c r="AC129" i="25"/>
  <c r="AC77" i="25"/>
  <c r="AC86" i="25"/>
  <c r="AC104" i="25"/>
  <c r="AC198" i="24"/>
  <c r="AC172" i="24"/>
  <c r="AC274" i="24"/>
  <c r="AC263" i="24"/>
  <c r="AC175" i="24"/>
  <c r="AC307" i="24"/>
  <c r="AC337" i="24"/>
  <c r="AC195" i="24"/>
  <c r="AC284" i="24"/>
  <c r="AC235" i="24"/>
  <c r="AC186" i="24"/>
  <c r="AC266" i="24"/>
  <c r="AC143" i="24"/>
  <c r="AC160" i="24"/>
  <c r="AC245" i="24"/>
  <c r="AC146" i="24"/>
  <c r="AC327" i="24"/>
  <c r="AC216" i="24"/>
  <c r="AC181" i="24"/>
  <c r="AC349" i="24"/>
  <c r="AC237" i="24"/>
  <c r="AC348" i="24"/>
  <c r="AC205" i="24"/>
  <c r="AC220" i="24"/>
  <c r="AC183" i="24"/>
  <c r="AC230" i="24"/>
  <c r="AC299" i="24"/>
  <c r="AC354" i="24"/>
  <c r="AC242" i="24"/>
  <c r="AC248" i="24"/>
  <c r="AC312" i="24"/>
  <c r="AC306" i="24"/>
  <c r="AC224" i="24"/>
  <c r="AC147" i="24"/>
  <c r="AC144" i="24"/>
  <c r="AC229" i="24"/>
  <c r="AC210" i="24"/>
  <c r="AC162" i="24"/>
  <c r="AC180" i="24"/>
  <c r="AC369" i="24"/>
  <c r="AC345" i="24"/>
  <c r="AC231" i="24"/>
  <c r="AC238" i="24"/>
  <c r="AC305" i="24"/>
  <c r="AC352" i="24"/>
  <c r="AC313" i="24"/>
  <c r="AC253" i="24"/>
  <c r="AC225" i="24"/>
  <c r="AC164" i="24"/>
  <c r="AC227" i="24"/>
  <c r="AC365" i="24"/>
  <c r="AC251" i="24"/>
  <c r="AC221" i="24"/>
  <c r="AC194" i="24"/>
  <c r="AC356" i="24"/>
  <c r="AC285" i="24"/>
  <c r="AC171" i="24"/>
  <c r="AC382" i="23"/>
  <c r="AC383" i="23"/>
  <c r="AC381" i="23"/>
  <c r="AC10" i="25"/>
  <c r="AC320" i="25" s="1"/>
  <c r="O15" i="25"/>
  <c r="O76" i="25"/>
  <c r="O300" i="25"/>
  <c r="O26" i="25"/>
  <c r="O66" i="25"/>
  <c r="O106" i="25"/>
  <c r="O314" i="25"/>
  <c r="O63" i="25"/>
  <c r="O119" i="25"/>
  <c r="AG71" i="7" s="1"/>
  <c r="O229" i="25"/>
  <c r="O29" i="25"/>
  <c r="AG68" i="7" s="1"/>
  <c r="O70" i="25"/>
  <c r="O108" i="25"/>
  <c r="O297" i="25"/>
  <c r="O20" i="25"/>
  <c r="O38" i="25"/>
  <c r="O93" i="25"/>
  <c r="O132" i="25"/>
  <c r="O221" i="25"/>
  <c r="O353" i="25"/>
  <c r="O28" i="25"/>
  <c r="O69" i="25"/>
  <c r="O77" i="25"/>
  <c r="O153" i="25"/>
  <c r="O299" i="25"/>
  <c r="O42" i="25"/>
  <c r="O55" i="25"/>
  <c r="O83" i="25"/>
  <c r="O199" i="25"/>
  <c r="O327" i="25"/>
  <c r="O19" i="25"/>
  <c r="O61" i="25"/>
  <c r="O72" i="25"/>
  <c r="O120" i="25"/>
  <c r="O242" i="25"/>
  <c r="O318" i="25"/>
  <c r="O58" i="25"/>
  <c r="O101" i="25"/>
  <c r="O371" i="25"/>
  <c r="O52" i="25"/>
  <c r="O104" i="25"/>
  <c r="O161" i="25"/>
  <c r="O23" i="25"/>
  <c r="O84" i="25"/>
  <c r="O114" i="25"/>
  <c r="O366" i="25"/>
  <c r="O57" i="25"/>
  <c r="O113" i="25"/>
  <c r="O236" i="25"/>
  <c r="O369" i="25"/>
  <c r="O43" i="25"/>
  <c r="O67" i="25"/>
  <c r="O97" i="25"/>
  <c r="O168" i="25"/>
  <c r="O249" i="25"/>
  <c r="O376" i="25"/>
  <c r="O45" i="25"/>
  <c r="O121" i="25"/>
  <c r="O92" i="25"/>
  <c r="O281" i="25"/>
  <c r="O18" i="25"/>
  <c r="O34" i="25"/>
  <c r="O88" i="25"/>
  <c r="AG70" i="7" s="1"/>
  <c r="O128" i="25"/>
  <c r="O207" i="25"/>
  <c r="O348" i="25"/>
  <c r="O56" i="25"/>
  <c r="O105" i="25"/>
  <c r="O89" i="25"/>
  <c r="O126" i="25"/>
  <c r="O231" i="25"/>
  <c r="O288" i="25"/>
  <c r="O295" i="25"/>
  <c r="O233" i="25"/>
  <c r="O341" i="25"/>
  <c r="O214" i="25"/>
  <c r="O365" i="25"/>
  <c r="O268" i="25"/>
  <c r="O319" i="25"/>
  <c r="O261" i="25"/>
  <c r="O310" i="25"/>
  <c r="O306" i="25"/>
  <c r="O196" i="25"/>
  <c r="O209" i="25"/>
  <c r="O155" i="25"/>
  <c r="O347" i="25"/>
  <c r="O298" i="25"/>
  <c r="O267" i="25"/>
  <c r="O177" i="25"/>
  <c r="O354" i="25"/>
  <c r="O244" i="25"/>
  <c r="O271" i="25"/>
  <c r="O134" i="25"/>
  <c r="O350" i="25"/>
  <c r="O328" i="25"/>
  <c r="O212" i="25"/>
  <c r="O200" i="25"/>
  <c r="O349" i="25"/>
  <c r="O243" i="25"/>
  <c r="O167" i="25"/>
  <c r="O323" i="25"/>
  <c r="O189" i="25"/>
  <c r="O215" i="25"/>
  <c r="O359" i="25"/>
  <c r="O226" i="25"/>
  <c r="BE13" i="7"/>
  <c r="O374" i="25"/>
  <c r="O363" i="25"/>
  <c r="AG79" i="7" s="1"/>
  <c r="O253" i="25"/>
  <c r="O185" i="25"/>
  <c r="O272" i="25"/>
  <c r="AG76" i="7" s="1"/>
  <c r="O181" i="25"/>
  <c r="O135" i="25"/>
  <c r="O138" i="25"/>
  <c r="O78" i="25"/>
  <c r="O82" i="25"/>
  <c r="O31" i="25"/>
  <c r="O378" i="25"/>
  <c r="O330" i="25"/>
  <c r="O339" i="25"/>
  <c r="O284" i="25"/>
  <c r="O238" i="25"/>
  <c r="O255" i="25"/>
  <c r="O216" i="25"/>
  <c r="O159" i="25"/>
  <c r="O143" i="25"/>
  <c r="O103" i="25"/>
  <c r="O48" i="25"/>
  <c r="O22" i="25"/>
  <c r="O313" i="25"/>
  <c r="O331" i="25"/>
  <c r="O230" i="25"/>
  <c r="O287" i="25"/>
  <c r="O237" i="25"/>
  <c r="O170" i="25"/>
  <c r="O117" i="25"/>
  <c r="O115" i="25"/>
  <c r="O71" i="25"/>
  <c r="O60" i="25"/>
  <c r="AG69" i="7" s="1"/>
  <c r="O30" i="25"/>
  <c r="O317" i="25"/>
  <c r="O361" i="25"/>
  <c r="O322" i="25"/>
  <c r="O260" i="25"/>
  <c r="O182" i="25"/>
  <c r="O228" i="25"/>
  <c r="O188" i="25"/>
  <c r="O111" i="25"/>
  <c r="O116" i="25"/>
  <c r="O80" i="25"/>
  <c r="O62" i="25"/>
  <c r="O17" i="25"/>
  <c r="O301" i="25"/>
  <c r="O315" i="25"/>
  <c r="O225" i="25"/>
  <c r="O276" i="25"/>
  <c r="O332" i="25"/>
  <c r="O171" i="25"/>
  <c r="O265" i="25"/>
  <c r="O146" i="25"/>
  <c r="O204" i="25"/>
  <c r="O165" i="25"/>
  <c r="O308" i="25"/>
  <c r="O178" i="25"/>
  <c r="O203" i="25"/>
  <c r="O283" i="25"/>
  <c r="O186" i="25"/>
  <c r="O325" i="25"/>
  <c r="O291" i="25"/>
  <c r="O278" i="25"/>
  <c r="O141" i="25"/>
  <c r="O333" i="25"/>
  <c r="AG78" i="7" s="1"/>
  <c r="O352" i="25"/>
  <c r="O248" i="25"/>
  <c r="O220" i="25"/>
  <c r="O162" i="25"/>
  <c r="O356" i="25"/>
  <c r="O184" i="25"/>
  <c r="O180" i="25"/>
  <c r="AG73" i="7" s="1"/>
  <c r="O137" i="25"/>
  <c r="O305" i="25"/>
  <c r="O266" i="25"/>
  <c r="O239" i="25"/>
  <c r="O147" i="25"/>
  <c r="O355" i="25"/>
  <c r="O286" i="25"/>
  <c r="O334" i="25"/>
  <c r="O194" i="25"/>
  <c r="O373" i="25"/>
  <c r="O235" i="25"/>
  <c r="O251" i="25"/>
  <c r="O174" i="25"/>
  <c r="O357" i="25"/>
  <c r="O302" i="25"/>
  <c r="AG77" i="7" s="1"/>
  <c r="O205" i="25"/>
  <c r="O282" i="25"/>
  <c r="O224" i="25"/>
  <c r="O154" i="25"/>
  <c r="O166" i="25"/>
  <c r="O95" i="25"/>
  <c r="O122" i="25"/>
  <c r="O46" i="25"/>
  <c r="O16" i="25"/>
  <c r="O294" i="25"/>
  <c r="O360" i="25"/>
  <c r="O321" i="25"/>
  <c r="O259" i="25"/>
  <c r="O179" i="25"/>
  <c r="O227" i="25"/>
  <c r="O187" i="25"/>
  <c r="O109" i="25"/>
  <c r="O107" i="25"/>
  <c r="O79" i="25"/>
  <c r="O59" i="25"/>
  <c r="O311" i="25"/>
  <c r="O372" i="25"/>
  <c r="O270" i="25"/>
  <c r="O192" i="25"/>
  <c r="O277" i="25"/>
  <c r="O208" i="25"/>
  <c r="O140" i="25"/>
  <c r="O152" i="25"/>
  <c r="O86" i="25"/>
  <c r="O100" i="25"/>
  <c r="O53" i="25"/>
  <c r="O379" i="25"/>
  <c r="C44" i="19" s="1"/>
  <c r="C33" i="19" s="1"/>
  <c r="O340" i="25"/>
  <c r="O345" i="25"/>
  <c r="O285" i="25"/>
  <c r="O241" i="25"/>
  <c r="AG75" i="7" s="1"/>
  <c r="O258" i="25"/>
  <c r="O217" i="25"/>
  <c r="O163" i="25"/>
  <c r="O150" i="25"/>
  <c r="O112" i="25"/>
  <c r="O49" i="25"/>
  <c r="O33" i="25"/>
  <c r="O307" i="25"/>
  <c r="O368" i="25"/>
  <c r="O257" i="25"/>
  <c r="O191" i="25"/>
  <c r="O197" i="25"/>
  <c r="O148" i="25"/>
  <c r="O99" i="25"/>
  <c r="O303" i="25"/>
  <c r="O346" i="25"/>
  <c r="O246" i="25"/>
  <c r="O218" i="25"/>
  <c r="O157" i="25"/>
  <c r="O50" i="25"/>
  <c r="O304" i="25"/>
  <c r="O256" i="25"/>
  <c r="O273" i="25"/>
  <c r="O136" i="25"/>
  <c r="O81" i="25"/>
  <c r="O37" i="25"/>
  <c r="O320" i="25"/>
  <c r="O275" i="25"/>
  <c r="O254" i="25"/>
  <c r="O156" i="25"/>
  <c r="O102" i="25"/>
  <c r="O41" i="25"/>
  <c r="O54" i="25"/>
  <c r="O68" i="25"/>
  <c r="O158" i="25"/>
  <c r="O176" i="25"/>
  <c r="O219" i="25"/>
  <c r="O264" i="25"/>
  <c r="O247" i="25"/>
  <c r="O296" i="25"/>
  <c r="O351" i="25"/>
  <c r="O344" i="25"/>
  <c r="O326" i="25"/>
  <c r="O36" i="25"/>
  <c r="O110" i="25"/>
  <c r="O90" i="25"/>
  <c r="O160" i="25"/>
  <c r="O144" i="25"/>
  <c r="O210" i="25"/>
  <c r="AG74" i="7" s="1"/>
  <c r="O279" i="25"/>
  <c r="O202" i="25"/>
  <c r="O293" i="25"/>
  <c r="O312" i="25"/>
  <c r="O336" i="25"/>
  <c r="O51" i="25"/>
  <c r="O75" i="25"/>
  <c r="O98" i="25"/>
  <c r="O169" i="25"/>
  <c r="O183" i="25"/>
  <c r="O222" i="25"/>
  <c r="O269" i="25"/>
  <c r="O250" i="25"/>
  <c r="O309" i="25"/>
  <c r="O358" i="25"/>
  <c r="O367" i="25"/>
  <c r="O377" i="25"/>
  <c r="O44" i="25"/>
  <c r="O118" i="25"/>
  <c r="O91" i="25"/>
  <c r="O164" i="25"/>
  <c r="O149" i="25"/>
  <c r="AG72" i="7" s="1"/>
  <c r="O211" i="25"/>
  <c r="O280" i="25"/>
  <c r="O139" i="25"/>
  <c r="O85" i="25"/>
  <c r="O47" i="25"/>
  <c r="O342" i="25"/>
  <c r="O292" i="25"/>
  <c r="O263" i="25"/>
  <c r="O175" i="25"/>
  <c r="O124" i="25"/>
  <c r="O35" i="25"/>
  <c r="O364" i="25"/>
  <c r="O190" i="25"/>
  <c r="O193" i="25"/>
  <c r="O145" i="25"/>
  <c r="O96" i="25"/>
  <c r="O375" i="25"/>
  <c r="O338" i="25"/>
  <c r="O223" i="25"/>
  <c r="O206" i="25"/>
  <c r="O142" i="25"/>
  <c r="O40" i="25"/>
  <c r="O24" i="25"/>
  <c r="O32" i="25"/>
  <c r="O87" i="25"/>
  <c r="O125" i="25"/>
  <c r="O129" i="25"/>
  <c r="O195" i="25"/>
  <c r="O232" i="25"/>
  <c r="O198" i="25"/>
  <c r="O262" i="25"/>
  <c r="O324" i="25"/>
  <c r="O370" i="25"/>
  <c r="O337" i="25"/>
  <c r="O25" i="25"/>
  <c r="O64" i="25"/>
  <c r="O73" i="25"/>
  <c r="O123" i="25"/>
  <c r="O127" i="25"/>
  <c r="O172" i="25"/>
  <c r="O245" i="25"/>
  <c r="O289" i="25"/>
  <c r="O234" i="25"/>
  <c r="O343" i="25"/>
  <c r="O335" i="25"/>
  <c r="O27" i="25"/>
  <c r="O39" i="25"/>
  <c r="O94" i="25"/>
  <c r="O133" i="25"/>
  <c r="O151" i="25"/>
  <c r="O201" i="25"/>
  <c r="O240" i="25"/>
  <c r="O213" i="25"/>
  <c r="O274" i="25"/>
  <c r="O329" i="25"/>
  <c r="O316" i="25"/>
  <c r="O362" i="25"/>
  <c r="O21" i="25"/>
  <c r="O65" i="25"/>
  <c r="O74" i="25"/>
  <c r="O130" i="25"/>
  <c r="O131" i="25"/>
  <c r="O173" i="25"/>
  <c r="O252" i="25"/>
  <c r="O290" i="25"/>
  <c r="AE341" i="18"/>
  <c r="AC227" i="25"/>
  <c r="J379" i="16"/>
  <c r="H320" i="16"/>
  <c r="J320" i="16" s="1"/>
  <c r="AE358" i="18"/>
  <c r="AE104" i="18"/>
  <c r="AC281" i="25"/>
  <c r="AE223" i="18"/>
  <c r="AE348" i="18"/>
  <c r="AE221" i="18"/>
  <c r="Q99" i="18"/>
  <c r="AE166" i="18"/>
  <c r="AE319" i="18"/>
  <c r="AE252" i="18"/>
  <c r="AE145" i="18"/>
  <c r="AE64" i="18"/>
  <c r="AE33" i="18"/>
  <c r="AE47" i="18"/>
  <c r="Q228" i="18"/>
  <c r="Q284" i="18"/>
  <c r="V381" i="15"/>
  <c r="AE357" i="18"/>
  <c r="AE23" i="18"/>
  <c r="AE49" i="18"/>
  <c r="AE116" i="18"/>
  <c r="AE253" i="18"/>
  <c r="AE328" i="18"/>
  <c r="AE44" i="18"/>
  <c r="AE321" i="18"/>
  <c r="AE29" i="18"/>
  <c r="AE199" i="18"/>
  <c r="AE368" i="18"/>
  <c r="AE100" i="18"/>
  <c r="AE345" i="18"/>
  <c r="AE53" i="18"/>
  <c r="Q275" i="18"/>
  <c r="Q376" i="18"/>
  <c r="Q362" i="18"/>
  <c r="Q269" i="18"/>
  <c r="I272" i="16"/>
  <c r="J272" i="16"/>
  <c r="J260" i="16"/>
  <c r="I260" i="16"/>
  <c r="AG60" i="17"/>
  <c r="AF60" i="17" s="1"/>
  <c r="AD60" i="17" s="1"/>
  <c r="AG51" i="17"/>
  <c r="AF51" i="17" s="1"/>
  <c r="AD51" i="17" s="1"/>
  <c r="AG70" i="17"/>
  <c r="AF70" i="17" s="1"/>
  <c r="AD70" i="17" s="1"/>
  <c r="AG45" i="17"/>
  <c r="AF45" i="17" s="1"/>
  <c r="AD45" i="17" s="1"/>
  <c r="AG236" i="17"/>
  <c r="AF236" i="17" s="1"/>
  <c r="AD236" i="17" s="1"/>
  <c r="AG182" i="17"/>
  <c r="AF182" i="17" s="1"/>
  <c r="AD182" i="17" s="1"/>
  <c r="AG50" i="17"/>
  <c r="AF50" i="17" s="1"/>
  <c r="AD50" i="17" s="1"/>
  <c r="AG150" i="17"/>
  <c r="AF150" i="17" s="1"/>
  <c r="AD150" i="17" s="1"/>
  <c r="AG78" i="17"/>
  <c r="AF78" i="17" s="1"/>
  <c r="AD78" i="17" s="1"/>
  <c r="AG146" i="17"/>
  <c r="AF146" i="17" s="1"/>
  <c r="AD146" i="17" s="1"/>
  <c r="AG48" i="17"/>
  <c r="AF48" i="17" s="1"/>
  <c r="AD48" i="17" s="1"/>
  <c r="AG308" i="17"/>
  <c r="AF308" i="17" s="1"/>
  <c r="AD308" i="17" s="1"/>
  <c r="AG177" i="17"/>
  <c r="AF177" i="17" s="1"/>
  <c r="AD177" i="17" s="1"/>
  <c r="AG362" i="17"/>
  <c r="AF362" i="17" s="1"/>
  <c r="AD362" i="17" s="1"/>
  <c r="AG148" i="17"/>
  <c r="AF148" i="17" s="1"/>
  <c r="AD148" i="17" s="1"/>
  <c r="AG82" i="17"/>
  <c r="AF82" i="17" s="1"/>
  <c r="AD82" i="17" s="1"/>
  <c r="AG157" i="17"/>
  <c r="AF157" i="17" s="1"/>
  <c r="AD157" i="17" s="1"/>
  <c r="AG314" i="17"/>
  <c r="AF314" i="17" s="1"/>
  <c r="AD314" i="17" s="1"/>
  <c r="AG260" i="17"/>
  <c r="AF260" i="17" s="1"/>
  <c r="AD260" i="17" s="1"/>
  <c r="AG209" i="17"/>
  <c r="AF209" i="17" s="1"/>
  <c r="AD209" i="17" s="1"/>
  <c r="AG170" i="17"/>
  <c r="AF170" i="17" s="1"/>
  <c r="AD170" i="17" s="1"/>
  <c r="AG33" i="17"/>
  <c r="AF33" i="17" s="1"/>
  <c r="AD33" i="17" s="1"/>
  <c r="AG135" i="17"/>
  <c r="AF135" i="17" s="1"/>
  <c r="AD135" i="17" s="1"/>
  <c r="AG201" i="17"/>
  <c r="AF201" i="17" s="1"/>
  <c r="AD201" i="17" s="1"/>
  <c r="AG242" i="17"/>
  <c r="AF242" i="17" s="1"/>
  <c r="AD242" i="17" s="1"/>
  <c r="AG301" i="17"/>
  <c r="AF301" i="17" s="1"/>
  <c r="AD301" i="17" s="1"/>
  <c r="AG320" i="17"/>
  <c r="AF320" i="17" s="1"/>
  <c r="AD320" i="17" s="1"/>
  <c r="AG321" i="17"/>
  <c r="AF321" i="17" s="1"/>
  <c r="AD321" i="17" s="1"/>
  <c r="AG234" i="17"/>
  <c r="AF234" i="17" s="1"/>
  <c r="AD234" i="17" s="1"/>
  <c r="AG96" i="17"/>
  <c r="AF96" i="17" s="1"/>
  <c r="AD96" i="17" s="1"/>
  <c r="AG75" i="17"/>
  <c r="AF75" i="17" s="1"/>
  <c r="AD75" i="17" s="1"/>
  <c r="AG40" i="17"/>
  <c r="AF40" i="17" s="1"/>
  <c r="AD40" i="17" s="1"/>
  <c r="AG127" i="17"/>
  <c r="AF127" i="17" s="1"/>
  <c r="AD127" i="17" s="1"/>
  <c r="AG369" i="17"/>
  <c r="AF369" i="17" s="1"/>
  <c r="AD369" i="17" s="1"/>
  <c r="AG329" i="17"/>
  <c r="AF329" i="17" s="1"/>
  <c r="AD329" i="17" s="1"/>
  <c r="AG268" i="17"/>
  <c r="AF268" i="17" s="1"/>
  <c r="AD268" i="17" s="1"/>
  <c r="AG106" i="17"/>
  <c r="AF106" i="17" s="1"/>
  <c r="AD106" i="17" s="1"/>
  <c r="AG66" i="17"/>
  <c r="AF66" i="17" s="1"/>
  <c r="AD66" i="17" s="1"/>
  <c r="AG373" i="17"/>
  <c r="AF373" i="17" s="1"/>
  <c r="AD373" i="17" s="1"/>
  <c r="AG298" i="17"/>
  <c r="AF298" i="17" s="1"/>
  <c r="AD298" i="17" s="1"/>
  <c r="AG167" i="17"/>
  <c r="AF167" i="17" s="1"/>
  <c r="AD167" i="17" s="1"/>
  <c r="AG363" i="17"/>
  <c r="AF363" i="17" s="1"/>
  <c r="AD363" i="17" s="1"/>
  <c r="AG24" i="17"/>
  <c r="AF24" i="17" s="1"/>
  <c r="AD24" i="17" s="1"/>
  <c r="AG366" i="17"/>
  <c r="AF366" i="17" s="1"/>
  <c r="AD366" i="17" s="1"/>
  <c r="AG192" i="17"/>
  <c r="AF192" i="17" s="1"/>
  <c r="AD192" i="17" s="1"/>
  <c r="AG333" i="17"/>
  <c r="AF333" i="17" s="1"/>
  <c r="AD333" i="17" s="1"/>
  <c r="AG248" i="17"/>
  <c r="AF248" i="17" s="1"/>
  <c r="AD248" i="17" s="1"/>
  <c r="AG235" i="17"/>
  <c r="AF235" i="17" s="1"/>
  <c r="AD235" i="17" s="1"/>
  <c r="AG283" i="17"/>
  <c r="AF283" i="17" s="1"/>
  <c r="AD283" i="17" s="1"/>
  <c r="AG87" i="17"/>
  <c r="AF87" i="17" s="1"/>
  <c r="AD87" i="17" s="1"/>
  <c r="AG104" i="17"/>
  <c r="AF104" i="17" s="1"/>
  <c r="AD104" i="17" s="1"/>
  <c r="AG374" i="17"/>
  <c r="AF374" i="17" s="1"/>
  <c r="AD374" i="17" s="1"/>
  <c r="AG110" i="17"/>
  <c r="AF110" i="17" s="1"/>
  <c r="AD110" i="17" s="1"/>
  <c r="AG92" i="17"/>
  <c r="AF92" i="17" s="1"/>
  <c r="AD92" i="17" s="1"/>
  <c r="AG195" i="17"/>
  <c r="AF195" i="17" s="1"/>
  <c r="AD195" i="17" s="1"/>
  <c r="AG341" i="17"/>
  <c r="AF341" i="17" s="1"/>
  <c r="AD341" i="17" s="1"/>
  <c r="AG67" i="17"/>
  <c r="AF67" i="17" s="1"/>
  <c r="AD67" i="17" s="1"/>
  <c r="AG331" i="17"/>
  <c r="AF331" i="17" s="1"/>
  <c r="AD331" i="17" s="1"/>
  <c r="AG340" i="17"/>
  <c r="AF340" i="17" s="1"/>
  <c r="AD340" i="17" s="1"/>
  <c r="AG139" i="17"/>
  <c r="AF139" i="17" s="1"/>
  <c r="AD139" i="17" s="1"/>
  <c r="AG295" i="17"/>
  <c r="AF295" i="17" s="1"/>
  <c r="AD295" i="17" s="1"/>
  <c r="AG215" i="17"/>
  <c r="AF215" i="17" s="1"/>
  <c r="AD215" i="17" s="1"/>
  <c r="AG219" i="17"/>
  <c r="AF219" i="17" s="1"/>
  <c r="AD219" i="17" s="1"/>
  <c r="AG122" i="17"/>
  <c r="AF122" i="17" s="1"/>
  <c r="AD122" i="17" s="1"/>
  <c r="AG223" i="17"/>
  <c r="AF223" i="17" s="1"/>
  <c r="AD223" i="17" s="1"/>
  <c r="AG334" i="17"/>
  <c r="AF334" i="17" s="1"/>
  <c r="AD334" i="17" s="1"/>
  <c r="AG210" i="17"/>
  <c r="AF210" i="17" s="1"/>
  <c r="AD210" i="17" s="1"/>
  <c r="AG84" i="17"/>
  <c r="AF84" i="17" s="1"/>
  <c r="AD84" i="17" s="1"/>
  <c r="AG179" i="17"/>
  <c r="AF179" i="17" s="1"/>
  <c r="AD179" i="17" s="1"/>
  <c r="AG326" i="17"/>
  <c r="AF326" i="17" s="1"/>
  <c r="AD326" i="17" s="1"/>
  <c r="AG186" i="17"/>
  <c r="AF186" i="17" s="1"/>
  <c r="AD186" i="17" s="1"/>
  <c r="AG304" i="17"/>
  <c r="AF304" i="17" s="1"/>
  <c r="AD304" i="17" s="1"/>
  <c r="AG257" i="17"/>
  <c r="AF257" i="17" s="1"/>
  <c r="AD257" i="17" s="1"/>
  <c r="AG140" i="17"/>
  <c r="AF140" i="17" s="1"/>
  <c r="AD140" i="17" s="1"/>
  <c r="AG325" i="17"/>
  <c r="AF325" i="17" s="1"/>
  <c r="AD325" i="17" s="1"/>
  <c r="AG83" i="17"/>
  <c r="AF83" i="17" s="1"/>
  <c r="AD83" i="17" s="1"/>
  <c r="AG365" i="17"/>
  <c r="AF365" i="17" s="1"/>
  <c r="AD365" i="17" s="1"/>
  <c r="AG367" i="17"/>
  <c r="AF367" i="17" s="1"/>
  <c r="AD367" i="17" s="1"/>
  <c r="AG199" i="17"/>
  <c r="AF199" i="17" s="1"/>
  <c r="AD199" i="17" s="1"/>
  <c r="AG107" i="17"/>
  <c r="AF107" i="17" s="1"/>
  <c r="AD107" i="17" s="1"/>
  <c r="AG118" i="17"/>
  <c r="AF118" i="17" s="1"/>
  <c r="AD118" i="17" s="1"/>
  <c r="AG162" i="17"/>
  <c r="AF162" i="17" s="1"/>
  <c r="AD162" i="17" s="1"/>
  <c r="AG253" i="17"/>
  <c r="AF253" i="17" s="1"/>
  <c r="AD253" i="17" s="1"/>
  <c r="AG147" i="17"/>
  <c r="AF147" i="17" s="1"/>
  <c r="AD147" i="17" s="1"/>
  <c r="AG267" i="17"/>
  <c r="AF267" i="17" s="1"/>
  <c r="AD267" i="17" s="1"/>
  <c r="AG266" i="17"/>
  <c r="AF266" i="17" s="1"/>
  <c r="AD266" i="17" s="1"/>
  <c r="AG269" i="17"/>
  <c r="AF269" i="17" s="1"/>
  <c r="AD269" i="17" s="1"/>
  <c r="AG79" i="17"/>
  <c r="AF79" i="17" s="1"/>
  <c r="AD79" i="17" s="1"/>
  <c r="AG247" i="17"/>
  <c r="AF247" i="17" s="1"/>
  <c r="AD247" i="17" s="1"/>
  <c r="AG22" i="17"/>
  <c r="AF22" i="17" s="1"/>
  <c r="AD22" i="17" s="1"/>
  <c r="AG349" i="17"/>
  <c r="AF349" i="17" s="1"/>
  <c r="AD349" i="17" s="1"/>
  <c r="I302" i="16"/>
  <c r="J302" i="16"/>
  <c r="I197" i="16"/>
  <c r="J197" i="16"/>
  <c r="J167" i="16"/>
  <c r="I167" i="16"/>
  <c r="S328" i="17"/>
  <c r="R328" i="17" s="1"/>
  <c r="P328" i="17" s="1"/>
  <c r="V328" i="17" s="1"/>
  <c r="F328" i="17" s="1"/>
  <c r="S257" i="17"/>
  <c r="R257" i="17" s="1"/>
  <c r="P257" i="17" s="1"/>
  <c r="V257" i="17" s="1"/>
  <c r="F257" i="17" s="1"/>
  <c r="S114" i="17"/>
  <c r="R114" i="17" s="1"/>
  <c r="P114" i="17" s="1"/>
  <c r="V114" i="17" s="1"/>
  <c r="F114" i="17" s="1"/>
  <c r="S222" i="17"/>
  <c r="R222" i="17" s="1"/>
  <c r="P222" i="17" s="1"/>
  <c r="V222" i="17" s="1"/>
  <c r="F222" i="17" s="1"/>
  <c r="S291" i="17"/>
  <c r="R291" i="17" s="1"/>
  <c r="P291" i="17" s="1"/>
  <c r="V291" i="17" s="1"/>
  <c r="F291" i="17" s="1"/>
  <c r="S55" i="17"/>
  <c r="R55" i="17" s="1"/>
  <c r="P55" i="17" s="1"/>
  <c r="V55" i="17" s="1"/>
  <c r="F55" i="17" s="1"/>
  <c r="S184" i="17"/>
  <c r="R184" i="17" s="1"/>
  <c r="P184" i="17" s="1"/>
  <c r="V184" i="17" s="1"/>
  <c r="F184" i="17" s="1"/>
  <c r="S378" i="17"/>
  <c r="R378" i="17" s="1"/>
  <c r="P378" i="17" s="1"/>
  <c r="V378" i="17" s="1"/>
  <c r="F378" i="17" s="1"/>
  <c r="S164" i="17"/>
  <c r="R164" i="17" s="1"/>
  <c r="P164" i="17" s="1"/>
  <c r="V164" i="17" s="1"/>
  <c r="F164" i="17" s="1"/>
  <c r="S80" i="17"/>
  <c r="R80" i="17" s="1"/>
  <c r="P80" i="17" s="1"/>
  <c r="S90" i="17"/>
  <c r="R90" i="17" s="1"/>
  <c r="P90" i="17" s="1"/>
  <c r="V90" i="17" s="1"/>
  <c r="F90" i="17" s="1"/>
  <c r="S209" i="17"/>
  <c r="R209" i="17" s="1"/>
  <c r="P209" i="17" s="1"/>
  <c r="V209" i="17" s="1"/>
  <c r="F209" i="17" s="1"/>
  <c r="S275" i="17"/>
  <c r="R275" i="17" s="1"/>
  <c r="P275" i="17" s="1"/>
  <c r="V275" i="17" s="1"/>
  <c r="F275" i="17" s="1"/>
  <c r="S238" i="17"/>
  <c r="R238" i="17" s="1"/>
  <c r="P238" i="17" s="1"/>
  <c r="V238" i="17" s="1"/>
  <c r="F238" i="17" s="1"/>
  <c r="S243" i="17"/>
  <c r="R243" i="17" s="1"/>
  <c r="P243" i="17" s="1"/>
  <c r="V243" i="17" s="1"/>
  <c r="F243" i="17" s="1"/>
  <c r="S148" i="17"/>
  <c r="R148" i="17" s="1"/>
  <c r="P148" i="17" s="1"/>
  <c r="S33" i="17"/>
  <c r="R33" i="17" s="1"/>
  <c r="P33" i="17" s="1"/>
  <c r="V33" i="17" s="1"/>
  <c r="F33" i="17" s="1"/>
  <c r="S223" i="17"/>
  <c r="R223" i="17" s="1"/>
  <c r="P223" i="17" s="1"/>
  <c r="V223" i="17" s="1"/>
  <c r="F223" i="17" s="1"/>
  <c r="S368" i="17"/>
  <c r="R368" i="17" s="1"/>
  <c r="P368" i="17" s="1"/>
  <c r="V368" i="17" s="1"/>
  <c r="F368" i="17" s="1"/>
  <c r="S195" i="17"/>
  <c r="R195" i="17" s="1"/>
  <c r="P195" i="17" s="1"/>
  <c r="V195" i="17" s="1"/>
  <c r="F195" i="17" s="1"/>
  <c r="S337" i="17"/>
  <c r="R337" i="17" s="1"/>
  <c r="P337" i="17" s="1"/>
  <c r="V337" i="17" s="1"/>
  <c r="F337" i="17" s="1"/>
  <c r="S160" i="17"/>
  <c r="R160" i="17" s="1"/>
  <c r="P160" i="17" s="1"/>
  <c r="V160" i="17" s="1"/>
  <c r="F160" i="17" s="1"/>
  <c r="S188" i="17"/>
  <c r="R188" i="17" s="1"/>
  <c r="P188" i="17" s="1"/>
  <c r="V188" i="17" s="1"/>
  <c r="F188" i="17" s="1"/>
  <c r="S57" i="17"/>
  <c r="R57" i="17" s="1"/>
  <c r="P57" i="17" s="1"/>
  <c r="V57" i="17" s="1"/>
  <c r="F57" i="17" s="1"/>
  <c r="S78" i="17"/>
  <c r="R78" i="17" s="1"/>
  <c r="P78" i="17" s="1"/>
  <c r="V78" i="17" s="1"/>
  <c r="F78" i="17" s="1"/>
  <c r="S73" i="17"/>
  <c r="R73" i="17" s="1"/>
  <c r="P73" i="17" s="1"/>
  <c r="V73" i="17" s="1"/>
  <c r="F73" i="17" s="1"/>
  <c r="S54" i="17"/>
  <c r="R54" i="17" s="1"/>
  <c r="P54" i="17" s="1"/>
  <c r="V54" i="17" s="1"/>
  <c r="F54" i="17" s="1"/>
  <c r="S101" i="17"/>
  <c r="R101" i="17" s="1"/>
  <c r="P101" i="17" s="1"/>
  <c r="V101" i="17" s="1"/>
  <c r="F101" i="17" s="1"/>
  <c r="S25" i="17"/>
  <c r="R25" i="17" s="1"/>
  <c r="P25" i="17" s="1"/>
  <c r="V25" i="17" s="1"/>
  <c r="F25" i="17" s="1"/>
  <c r="S315" i="17"/>
  <c r="R315" i="17" s="1"/>
  <c r="P315" i="17" s="1"/>
  <c r="V315" i="17" s="1"/>
  <c r="F315" i="17" s="1"/>
  <c r="S64" i="17"/>
  <c r="R64" i="17" s="1"/>
  <c r="P64" i="17" s="1"/>
  <c r="V64" i="17" s="1"/>
  <c r="F64" i="17" s="1"/>
  <c r="S290" i="17"/>
  <c r="R290" i="17" s="1"/>
  <c r="P290" i="17" s="1"/>
  <c r="V290" i="17" s="1"/>
  <c r="F290" i="17" s="1"/>
  <c r="S255" i="17"/>
  <c r="R255" i="17" s="1"/>
  <c r="P255" i="17" s="1"/>
  <c r="V255" i="17" s="1"/>
  <c r="F255" i="17" s="1"/>
  <c r="S49" i="17"/>
  <c r="R49" i="17" s="1"/>
  <c r="P49" i="17" s="1"/>
  <c r="V49" i="17" s="1"/>
  <c r="F49" i="17" s="1"/>
  <c r="S279" i="17"/>
  <c r="R279" i="17" s="1"/>
  <c r="P279" i="17" s="1"/>
  <c r="V279" i="17" s="1"/>
  <c r="F279" i="17" s="1"/>
  <c r="S309" i="17"/>
  <c r="R309" i="17" s="1"/>
  <c r="P309" i="17" s="1"/>
  <c r="V309" i="17" s="1"/>
  <c r="F309" i="17" s="1"/>
  <c r="S327" i="17"/>
  <c r="R327" i="17" s="1"/>
  <c r="P327" i="17" s="1"/>
  <c r="V327" i="17" s="1"/>
  <c r="F327" i="17" s="1"/>
  <c r="S21" i="17"/>
  <c r="R21" i="17" s="1"/>
  <c r="P21" i="17" s="1"/>
  <c r="S76" i="17"/>
  <c r="R76" i="17" s="1"/>
  <c r="P76" i="17" s="1"/>
  <c r="V76" i="17" s="1"/>
  <c r="F76" i="17" s="1"/>
  <c r="S109" i="17"/>
  <c r="R109" i="17" s="1"/>
  <c r="P109" i="17" s="1"/>
  <c r="V109" i="17" s="1"/>
  <c r="F109" i="17" s="1"/>
  <c r="S299" i="17"/>
  <c r="R299" i="17" s="1"/>
  <c r="P299" i="17" s="1"/>
  <c r="V299" i="17" s="1"/>
  <c r="F299" i="17" s="1"/>
  <c r="S344" i="17"/>
  <c r="R344" i="17" s="1"/>
  <c r="P344" i="17" s="1"/>
  <c r="V344" i="17" s="1"/>
  <c r="F344" i="17" s="1"/>
  <c r="S362" i="17"/>
  <c r="R362" i="17" s="1"/>
  <c r="P362" i="17" s="1"/>
  <c r="S377" i="17"/>
  <c r="R377" i="17" s="1"/>
  <c r="P377" i="17" s="1"/>
  <c r="V377" i="17" s="1"/>
  <c r="F377" i="17" s="1"/>
  <c r="S372" i="17"/>
  <c r="R372" i="17" s="1"/>
  <c r="P372" i="17" s="1"/>
  <c r="V372" i="17" s="1"/>
  <c r="F372" i="17" s="1"/>
  <c r="S342" i="17"/>
  <c r="R342" i="17" s="1"/>
  <c r="P342" i="17" s="1"/>
  <c r="V342" i="17" s="1"/>
  <c r="F342" i="17" s="1"/>
  <c r="S236" i="17"/>
  <c r="R236" i="17" s="1"/>
  <c r="P236" i="17" s="1"/>
  <c r="V236" i="17" s="1"/>
  <c r="F236" i="17" s="1"/>
  <c r="S46" i="17"/>
  <c r="R46" i="17" s="1"/>
  <c r="P46" i="17" s="1"/>
  <c r="V46" i="17" s="1"/>
  <c r="S44" i="17"/>
  <c r="R44" i="17" s="1"/>
  <c r="P44" i="17" s="1"/>
  <c r="V44" i="17" s="1"/>
  <c r="F44" i="17" s="1"/>
  <c r="S52" i="17"/>
  <c r="R52" i="17" s="1"/>
  <c r="P52" i="17" s="1"/>
  <c r="V52" i="17" s="1"/>
  <c r="F52" i="17" s="1"/>
  <c r="S228" i="17"/>
  <c r="R228" i="17" s="1"/>
  <c r="P228" i="17" s="1"/>
  <c r="V228" i="17" s="1"/>
  <c r="F228" i="17" s="1"/>
  <c r="S74" i="17"/>
  <c r="R74" i="17" s="1"/>
  <c r="P74" i="17" s="1"/>
  <c r="V74" i="17" s="1"/>
  <c r="S231" i="17"/>
  <c r="R231" i="17" s="1"/>
  <c r="P231" i="17" s="1"/>
  <c r="V231" i="17" s="1"/>
  <c r="F231" i="17" s="1"/>
  <c r="S217" i="17"/>
  <c r="R217" i="17" s="1"/>
  <c r="P217" i="17" s="1"/>
  <c r="V217" i="17" s="1"/>
  <c r="F217" i="17" s="1"/>
  <c r="S45" i="17"/>
  <c r="R45" i="17" s="1"/>
  <c r="P45" i="17" s="1"/>
  <c r="V45" i="17" s="1"/>
  <c r="F45" i="17" s="1"/>
  <c r="S353" i="17"/>
  <c r="R353" i="17" s="1"/>
  <c r="P353" i="17" s="1"/>
  <c r="V353" i="17" s="1"/>
  <c r="F353" i="17" s="1"/>
  <c r="S125" i="17"/>
  <c r="R125" i="17" s="1"/>
  <c r="P125" i="17" s="1"/>
  <c r="V125" i="17" s="1"/>
  <c r="F125" i="17" s="1"/>
  <c r="S264" i="17"/>
  <c r="R264" i="17" s="1"/>
  <c r="P264" i="17" s="1"/>
  <c r="V264" i="17" s="1"/>
  <c r="F264" i="17" s="1"/>
  <c r="S98" i="17"/>
  <c r="R98" i="17" s="1"/>
  <c r="P98" i="17" s="1"/>
  <c r="V98" i="17" s="1"/>
  <c r="F98" i="17" s="1"/>
  <c r="S50" i="17"/>
  <c r="R50" i="17" s="1"/>
  <c r="P50" i="17" s="1"/>
  <c r="V50" i="17" s="1"/>
  <c r="F50" i="17" s="1"/>
  <c r="S324" i="17"/>
  <c r="R324" i="17" s="1"/>
  <c r="P324" i="17" s="1"/>
  <c r="S227" i="17"/>
  <c r="R227" i="17" s="1"/>
  <c r="P227" i="17" s="1"/>
  <c r="S60" i="17"/>
  <c r="R60" i="17" s="1"/>
  <c r="P60" i="17" s="1"/>
  <c r="S207" i="17"/>
  <c r="R207" i="17" s="1"/>
  <c r="P207" i="17" s="1"/>
  <c r="V207" i="17" s="1"/>
  <c r="F207" i="17" s="1"/>
  <c r="S122" i="17"/>
  <c r="R122" i="17" s="1"/>
  <c r="P122" i="17" s="1"/>
  <c r="V122" i="17" s="1"/>
  <c r="F122" i="17" s="1"/>
  <c r="S36" i="17"/>
  <c r="R36" i="17" s="1"/>
  <c r="P36" i="17" s="1"/>
  <c r="V36" i="17" s="1"/>
  <c r="F36" i="17" s="1"/>
  <c r="S355" i="17"/>
  <c r="R355" i="17" s="1"/>
  <c r="P355" i="17" s="1"/>
  <c r="V355" i="17" s="1"/>
  <c r="F355" i="17" s="1"/>
  <c r="S219" i="17"/>
  <c r="R219" i="17" s="1"/>
  <c r="P219" i="17" s="1"/>
  <c r="V219" i="17" s="1"/>
  <c r="F219" i="17" s="1"/>
  <c r="S366" i="17"/>
  <c r="R366" i="17" s="1"/>
  <c r="P366" i="17" s="1"/>
  <c r="V366" i="17" s="1"/>
  <c r="F366" i="17" s="1"/>
  <c r="S211" i="17"/>
  <c r="R211" i="17" s="1"/>
  <c r="P211" i="17" s="1"/>
  <c r="V211" i="17" s="1"/>
  <c r="F211" i="17" s="1"/>
  <c r="S157" i="17"/>
  <c r="R157" i="17" s="1"/>
  <c r="P157" i="17" s="1"/>
  <c r="V157" i="17" s="1"/>
  <c r="F157" i="17" s="1"/>
  <c r="S115" i="17"/>
  <c r="R115" i="17" s="1"/>
  <c r="P115" i="17" s="1"/>
  <c r="V115" i="17" s="1"/>
  <c r="F115" i="17" s="1"/>
  <c r="S189" i="17"/>
  <c r="R189" i="17" s="1"/>
  <c r="P189" i="17" s="1"/>
  <c r="V189" i="17" s="1"/>
  <c r="F189" i="17" s="1"/>
  <c r="S162" i="17"/>
  <c r="R162" i="17" s="1"/>
  <c r="P162" i="17" s="1"/>
  <c r="V162" i="17" s="1"/>
  <c r="F162" i="17" s="1"/>
  <c r="S158" i="17"/>
  <c r="R158" i="17" s="1"/>
  <c r="P158" i="17" s="1"/>
  <c r="V158" i="17" s="1"/>
  <c r="F158" i="17" s="1"/>
  <c r="S307" i="17"/>
  <c r="R307" i="17" s="1"/>
  <c r="P307" i="17" s="1"/>
  <c r="V307" i="17" s="1"/>
  <c r="F307" i="17" s="1"/>
  <c r="S99" i="17"/>
  <c r="R99" i="17" s="1"/>
  <c r="P99" i="17" s="1"/>
  <c r="V99" i="17" s="1"/>
  <c r="F99" i="17" s="1"/>
  <c r="S26" i="17"/>
  <c r="R26" i="17" s="1"/>
  <c r="P26" i="17" s="1"/>
  <c r="V26" i="17" s="1"/>
  <c r="F26" i="17" s="1"/>
  <c r="S32" i="17"/>
  <c r="R32" i="17" s="1"/>
  <c r="P32" i="17" s="1"/>
  <c r="V32" i="17" s="1"/>
  <c r="F32" i="17" s="1"/>
  <c r="S212" i="17"/>
  <c r="R212" i="17" s="1"/>
  <c r="P212" i="17" s="1"/>
  <c r="V212" i="17" s="1"/>
  <c r="F212" i="17" s="1"/>
  <c r="S338" i="17"/>
  <c r="R338" i="17" s="1"/>
  <c r="P338" i="17" s="1"/>
  <c r="V338" i="17" s="1"/>
  <c r="F338" i="17" s="1"/>
  <c r="S250" i="17"/>
  <c r="R250" i="17" s="1"/>
  <c r="P250" i="17" s="1"/>
  <c r="V250" i="17" s="1"/>
  <c r="F250" i="17" s="1"/>
  <c r="S41" i="17"/>
  <c r="R41" i="17" s="1"/>
  <c r="P41" i="17" s="1"/>
  <c r="V41" i="17" s="1"/>
  <c r="F41" i="17" s="1"/>
  <c r="S193" i="17"/>
  <c r="R193" i="17" s="1"/>
  <c r="P193" i="17" s="1"/>
  <c r="V193" i="17" s="1"/>
  <c r="F193" i="17" s="1"/>
  <c r="S37" i="17"/>
  <c r="R37" i="17" s="1"/>
  <c r="P37" i="17" s="1"/>
  <c r="V37" i="17" s="1"/>
  <c r="F37" i="17" s="1"/>
  <c r="T15" i="17"/>
  <c r="U382" i="17"/>
  <c r="U383" i="17"/>
  <c r="U381" i="17"/>
  <c r="S316" i="17"/>
  <c r="R316" i="17" s="1"/>
  <c r="P316" i="17" s="1"/>
  <c r="V316" i="17" s="1"/>
  <c r="F316" i="17" s="1"/>
  <c r="S155" i="17"/>
  <c r="R155" i="17" s="1"/>
  <c r="P155" i="17" s="1"/>
  <c r="V155" i="17" s="1"/>
  <c r="F155" i="17" s="1"/>
  <c r="S24" i="17"/>
  <c r="R24" i="17" s="1"/>
  <c r="P24" i="17" s="1"/>
  <c r="V24" i="17" s="1"/>
  <c r="F24" i="17" s="1"/>
  <c r="S63" i="17"/>
  <c r="R63" i="17" s="1"/>
  <c r="P63" i="17" s="1"/>
  <c r="V63" i="17" s="1"/>
  <c r="F63" i="17" s="1"/>
  <c r="S271" i="17"/>
  <c r="R271" i="17" s="1"/>
  <c r="P271" i="17" s="1"/>
  <c r="V271" i="17" s="1"/>
  <c r="F271" i="17" s="1"/>
  <c r="I47" i="16"/>
  <c r="J47" i="16"/>
  <c r="Z119" i="16"/>
  <c r="J228" i="16"/>
  <c r="I228" i="16"/>
  <c r="AD15" i="16"/>
  <c r="AF381" i="16"/>
  <c r="AF383" i="16"/>
  <c r="AF382" i="16"/>
  <c r="AG203" i="17"/>
  <c r="AF203" i="17" s="1"/>
  <c r="AD203" i="17" s="1"/>
  <c r="AG279" i="17"/>
  <c r="AF279" i="17" s="1"/>
  <c r="AD279" i="17" s="1"/>
  <c r="AG292" i="17"/>
  <c r="AF292" i="17" s="1"/>
  <c r="AD292" i="17" s="1"/>
  <c r="AG56" i="17"/>
  <c r="AF56" i="17" s="1"/>
  <c r="AD56" i="17" s="1"/>
  <c r="AG164" i="17"/>
  <c r="AF164" i="17" s="1"/>
  <c r="AD164" i="17" s="1"/>
  <c r="AG30" i="17"/>
  <c r="AF30" i="17" s="1"/>
  <c r="AD30" i="17" s="1"/>
  <c r="AG86" i="17"/>
  <c r="AF86" i="17" s="1"/>
  <c r="AD86" i="17" s="1"/>
  <c r="AG297" i="17"/>
  <c r="AF297" i="17" s="1"/>
  <c r="AD297" i="17" s="1"/>
  <c r="AG271" i="17"/>
  <c r="AF271" i="17" s="1"/>
  <c r="AD271" i="17" s="1"/>
  <c r="AG43" i="17"/>
  <c r="AF43" i="17" s="1"/>
  <c r="AD43" i="17" s="1"/>
  <c r="AG166" i="17"/>
  <c r="AF166" i="17" s="1"/>
  <c r="AD166" i="17" s="1"/>
  <c r="AG233" i="17"/>
  <c r="AF233" i="17" s="1"/>
  <c r="AD233" i="17" s="1"/>
  <c r="AG218" i="17"/>
  <c r="AF218" i="17" s="1"/>
  <c r="AD218" i="17" s="1"/>
  <c r="AG173" i="17"/>
  <c r="AF173" i="17" s="1"/>
  <c r="AD173" i="17" s="1"/>
  <c r="AG370" i="17"/>
  <c r="AF370" i="17" s="1"/>
  <c r="AD370" i="17" s="1"/>
  <c r="AG172" i="17"/>
  <c r="AF172" i="17" s="1"/>
  <c r="AD172" i="17" s="1"/>
  <c r="AG327" i="17"/>
  <c r="AF327" i="17" s="1"/>
  <c r="AD327" i="17" s="1"/>
  <c r="AG265" i="17"/>
  <c r="AF265" i="17" s="1"/>
  <c r="AD265" i="17" s="1"/>
  <c r="AG37" i="17"/>
  <c r="AF37" i="17" s="1"/>
  <c r="AD37" i="17" s="1"/>
  <c r="AG300" i="17"/>
  <c r="AF300" i="17" s="1"/>
  <c r="AD300" i="17" s="1"/>
  <c r="AG25" i="17"/>
  <c r="AF25" i="17" s="1"/>
  <c r="AD25" i="17" s="1"/>
  <c r="AG109" i="17"/>
  <c r="AF109" i="17" s="1"/>
  <c r="AD109" i="17" s="1"/>
  <c r="AG29" i="17"/>
  <c r="AF29" i="17" s="1"/>
  <c r="AD29" i="17" s="1"/>
  <c r="AG338" i="17"/>
  <c r="AF338" i="17" s="1"/>
  <c r="AD338" i="17" s="1"/>
  <c r="AG20" i="17"/>
  <c r="AF20" i="17" s="1"/>
  <c r="AD20" i="17" s="1"/>
  <c r="AG47" i="17"/>
  <c r="AF47" i="17" s="1"/>
  <c r="AD47" i="17" s="1"/>
  <c r="AG49" i="17"/>
  <c r="AF49" i="17" s="1"/>
  <c r="AD49" i="17" s="1"/>
  <c r="AG183" i="17"/>
  <c r="AF183" i="17" s="1"/>
  <c r="AD183" i="17" s="1"/>
  <c r="AG361" i="17"/>
  <c r="AF361" i="17" s="1"/>
  <c r="AD361" i="17" s="1"/>
  <c r="AG35" i="17"/>
  <c r="AF35" i="17" s="1"/>
  <c r="AD35" i="17" s="1"/>
  <c r="AG355" i="17"/>
  <c r="AF355" i="17" s="1"/>
  <c r="AD355" i="17" s="1"/>
  <c r="AG282" i="17"/>
  <c r="AF282" i="17" s="1"/>
  <c r="AD282" i="17" s="1"/>
  <c r="AG160" i="17"/>
  <c r="AF160" i="17" s="1"/>
  <c r="AD160" i="17" s="1"/>
  <c r="AG372" i="17"/>
  <c r="AF372" i="17" s="1"/>
  <c r="AD372" i="17" s="1"/>
  <c r="AG343" i="17"/>
  <c r="AF343" i="17" s="1"/>
  <c r="AD343" i="17" s="1"/>
  <c r="AG378" i="17"/>
  <c r="AF378" i="17" s="1"/>
  <c r="AD378" i="17" s="1"/>
  <c r="AG119" i="17"/>
  <c r="AF119" i="17" s="1"/>
  <c r="AD119" i="17" s="1"/>
  <c r="AG281" i="17"/>
  <c r="AF281" i="17" s="1"/>
  <c r="AD281" i="17" s="1"/>
  <c r="AG285" i="17"/>
  <c r="AF285" i="17" s="1"/>
  <c r="AD285" i="17" s="1"/>
  <c r="AG103" i="17"/>
  <c r="AF103" i="17" s="1"/>
  <c r="AD103" i="17" s="1"/>
  <c r="AG305" i="17"/>
  <c r="AF305" i="17" s="1"/>
  <c r="AD305" i="17" s="1"/>
  <c r="AG202" i="17"/>
  <c r="AF202" i="17" s="1"/>
  <c r="AD202" i="17" s="1"/>
  <c r="AG38" i="17"/>
  <c r="AF38" i="17" s="1"/>
  <c r="AD38" i="17" s="1"/>
  <c r="AG161" i="17"/>
  <c r="AF161" i="17" s="1"/>
  <c r="AD161" i="17" s="1"/>
  <c r="AG116" i="17"/>
  <c r="AF116" i="17" s="1"/>
  <c r="AD116" i="17" s="1"/>
  <c r="AG134" i="17"/>
  <c r="AF134" i="17" s="1"/>
  <c r="AD134" i="17" s="1"/>
  <c r="AG55" i="17"/>
  <c r="AF55" i="17" s="1"/>
  <c r="AD55" i="17" s="1"/>
  <c r="AG95" i="17"/>
  <c r="AF95" i="17" s="1"/>
  <c r="AD95" i="17" s="1"/>
  <c r="AG276" i="17"/>
  <c r="AF276" i="17" s="1"/>
  <c r="AD276" i="17" s="1"/>
  <c r="AG32" i="17"/>
  <c r="AF32" i="17" s="1"/>
  <c r="AD32" i="17" s="1"/>
  <c r="AG102" i="17"/>
  <c r="AF102" i="17" s="1"/>
  <c r="AD102" i="17" s="1"/>
  <c r="AG149" i="17"/>
  <c r="AF149" i="17" s="1"/>
  <c r="AD149" i="17" s="1"/>
  <c r="AG323" i="17"/>
  <c r="AF323" i="17" s="1"/>
  <c r="AD323" i="17" s="1"/>
  <c r="AG112" i="17"/>
  <c r="AF112" i="17" s="1"/>
  <c r="AD112" i="17" s="1"/>
  <c r="AG356" i="17"/>
  <c r="AF356" i="17" s="1"/>
  <c r="AD356" i="17" s="1"/>
  <c r="AG246" i="17"/>
  <c r="AF246" i="17" s="1"/>
  <c r="AD246" i="17" s="1"/>
  <c r="AG296" i="17"/>
  <c r="AF296" i="17" s="1"/>
  <c r="AD296" i="17" s="1"/>
  <c r="AG23" i="17"/>
  <c r="AF23" i="17" s="1"/>
  <c r="AD23" i="17" s="1"/>
  <c r="AG315" i="17"/>
  <c r="AF315" i="17" s="1"/>
  <c r="AD315" i="17" s="1"/>
  <c r="AG208" i="17"/>
  <c r="AF208" i="17" s="1"/>
  <c r="AD208" i="17" s="1"/>
  <c r="AG90" i="17"/>
  <c r="AF90" i="17" s="1"/>
  <c r="AD90" i="17" s="1"/>
  <c r="AG226" i="17"/>
  <c r="AF226" i="17" s="1"/>
  <c r="AD226" i="17" s="1"/>
  <c r="AG63" i="17"/>
  <c r="AF63" i="17" s="1"/>
  <c r="AD63" i="17" s="1"/>
  <c r="AG163" i="17"/>
  <c r="AF163" i="17" s="1"/>
  <c r="AD163" i="17" s="1"/>
  <c r="AG171" i="17"/>
  <c r="AF171" i="17" s="1"/>
  <c r="AD171" i="17" s="1"/>
  <c r="AG130" i="17"/>
  <c r="AF130" i="17" s="1"/>
  <c r="AD130" i="17" s="1"/>
  <c r="AG258" i="17"/>
  <c r="AF258" i="17" s="1"/>
  <c r="AD258" i="17" s="1"/>
  <c r="AG342" i="17"/>
  <c r="AF342" i="17" s="1"/>
  <c r="AD342" i="17" s="1"/>
  <c r="AG151" i="17"/>
  <c r="AF151" i="17" s="1"/>
  <c r="AD151" i="17" s="1"/>
  <c r="AG261" i="17"/>
  <c r="AF261" i="17" s="1"/>
  <c r="AD261" i="17" s="1"/>
  <c r="AG312" i="17"/>
  <c r="AF312" i="17" s="1"/>
  <c r="AD312" i="17" s="1"/>
  <c r="AG80" i="17"/>
  <c r="AF80" i="17" s="1"/>
  <c r="AD80" i="17" s="1"/>
  <c r="AG98" i="17"/>
  <c r="AF98" i="17" s="1"/>
  <c r="AD98" i="17" s="1"/>
  <c r="AG303" i="17"/>
  <c r="AF303" i="17" s="1"/>
  <c r="AD303" i="17" s="1"/>
  <c r="AG36" i="17"/>
  <c r="AF36" i="17" s="1"/>
  <c r="AD36" i="17" s="1"/>
  <c r="AG319" i="17"/>
  <c r="AF319" i="17" s="1"/>
  <c r="AD319" i="17" s="1"/>
  <c r="AG256" i="17"/>
  <c r="AF256" i="17" s="1"/>
  <c r="AD256" i="17" s="1"/>
  <c r="AG181" i="17"/>
  <c r="AF181" i="17" s="1"/>
  <c r="AD181" i="17" s="1"/>
  <c r="AG213" i="17"/>
  <c r="AF213" i="17" s="1"/>
  <c r="AD213" i="17" s="1"/>
  <c r="AG239" i="17"/>
  <c r="AF239" i="17" s="1"/>
  <c r="AD239" i="17" s="1"/>
  <c r="AG360" i="17"/>
  <c r="AF360" i="17" s="1"/>
  <c r="AD360" i="17" s="1"/>
  <c r="AI381" i="17"/>
  <c r="AH15" i="17"/>
  <c r="AI382" i="17"/>
  <c r="AI383" i="17"/>
  <c r="AG34" i="17"/>
  <c r="AF34" i="17" s="1"/>
  <c r="AD34" i="17" s="1"/>
  <c r="AG198" i="17"/>
  <c r="AF198" i="17" s="1"/>
  <c r="AD198" i="17" s="1"/>
  <c r="AG46" i="17"/>
  <c r="AF46" i="17" s="1"/>
  <c r="AD46" i="17" s="1"/>
  <c r="AG335" i="17"/>
  <c r="AF335" i="17" s="1"/>
  <c r="AD335" i="17" s="1"/>
  <c r="AG169" i="17"/>
  <c r="AF169" i="17" s="1"/>
  <c r="AD169" i="17" s="1"/>
  <c r="AG322" i="17"/>
  <c r="AF322" i="17" s="1"/>
  <c r="AD322" i="17" s="1"/>
  <c r="AG65" i="17"/>
  <c r="AF65" i="17" s="1"/>
  <c r="AD65" i="17" s="1"/>
  <c r="AG228" i="17"/>
  <c r="AF228" i="17" s="1"/>
  <c r="AD228" i="17" s="1"/>
  <c r="AG175" i="17"/>
  <c r="AF175" i="17" s="1"/>
  <c r="AD175" i="17" s="1"/>
  <c r="I241" i="16"/>
  <c r="J241" i="16"/>
  <c r="S215" i="17"/>
  <c r="R215" i="17" s="1"/>
  <c r="P215" i="17" s="1"/>
  <c r="V215" i="17" s="1"/>
  <c r="F215" i="17" s="1"/>
  <c r="S181" i="17"/>
  <c r="R181" i="17" s="1"/>
  <c r="P181" i="17" s="1"/>
  <c r="V181" i="17" s="1"/>
  <c r="F181" i="17" s="1"/>
  <c r="S263" i="17"/>
  <c r="R263" i="17" s="1"/>
  <c r="P263" i="17" s="1"/>
  <c r="V263" i="17" s="1"/>
  <c r="F263" i="17" s="1"/>
  <c r="S266" i="17"/>
  <c r="R266" i="17" s="1"/>
  <c r="P266" i="17" s="1"/>
  <c r="V266" i="17" s="1"/>
  <c r="F266" i="17" s="1"/>
  <c r="S281" i="17"/>
  <c r="R281" i="17" s="1"/>
  <c r="P281" i="17" s="1"/>
  <c r="V281" i="17" s="1"/>
  <c r="F281" i="17" s="1"/>
  <c r="S288" i="17"/>
  <c r="R288" i="17" s="1"/>
  <c r="P288" i="17" s="1"/>
  <c r="V288" i="17" s="1"/>
  <c r="S182" i="17"/>
  <c r="R182" i="17" s="1"/>
  <c r="P182" i="17" s="1"/>
  <c r="V182" i="17" s="1"/>
  <c r="F182" i="17" s="1"/>
  <c r="S159" i="17"/>
  <c r="R159" i="17" s="1"/>
  <c r="P159" i="17" s="1"/>
  <c r="V159" i="17" s="1"/>
  <c r="F159" i="17" s="1"/>
  <c r="S170" i="17"/>
  <c r="R170" i="17" s="1"/>
  <c r="P170" i="17" s="1"/>
  <c r="V170" i="17" s="1"/>
  <c r="F170" i="17" s="1"/>
  <c r="S313" i="17"/>
  <c r="R313" i="17" s="1"/>
  <c r="P313" i="17" s="1"/>
  <c r="V313" i="17" s="1"/>
  <c r="F313" i="17" s="1"/>
  <c r="S365" i="17"/>
  <c r="R365" i="17" s="1"/>
  <c r="P365" i="17" s="1"/>
  <c r="V365" i="17" s="1"/>
  <c r="F365" i="17" s="1"/>
  <c r="S120" i="17"/>
  <c r="R120" i="17" s="1"/>
  <c r="P120" i="17" s="1"/>
  <c r="V120" i="17" s="1"/>
  <c r="F120" i="17" s="1"/>
  <c r="S361" i="17"/>
  <c r="R361" i="17" s="1"/>
  <c r="P361" i="17" s="1"/>
  <c r="V361" i="17" s="1"/>
  <c r="F361" i="17" s="1"/>
  <c r="S320" i="17"/>
  <c r="R320" i="17" s="1"/>
  <c r="P320" i="17" s="1"/>
  <c r="V320" i="17" s="1"/>
  <c r="F320" i="17" s="1"/>
  <c r="S329" i="17"/>
  <c r="R329" i="17" s="1"/>
  <c r="P329" i="17" s="1"/>
  <c r="V329" i="17" s="1"/>
  <c r="F329" i="17" s="1"/>
  <c r="S269" i="17"/>
  <c r="R269" i="17" s="1"/>
  <c r="P269" i="17" s="1"/>
  <c r="V269" i="17" s="1"/>
  <c r="F269" i="17" s="1"/>
  <c r="S100" i="17"/>
  <c r="R100" i="17" s="1"/>
  <c r="P100" i="17" s="1"/>
  <c r="V100" i="17" s="1"/>
  <c r="F100" i="17" s="1"/>
  <c r="S176" i="17"/>
  <c r="R176" i="17" s="1"/>
  <c r="P176" i="17" s="1"/>
  <c r="V176" i="17" s="1"/>
  <c r="F176" i="17" s="1"/>
  <c r="S103" i="17"/>
  <c r="R103" i="17" s="1"/>
  <c r="P103" i="17" s="1"/>
  <c r="V103" i="17" s="1"/>
  <c r="F103" i="17" s="1"/>
  <c r="S154" i="17"/>
  <c r="R154" i="17" s="1"/>
  <c r="P154" i="17" s="1"/>
  <c r="V154" i="17" s="1"/>
  <c r="F154" i="17" s="1"/>
  <c r="S58" i="17"/>
  <c r="R58" i="17" s="1"/>
  <c r="P58" i="17" s="1"/>
  <c r="V58" i="17" s="1"/>
  <c r="F58" i="17" s="1"/>
  <c r="S161" i="17"/>
  <c r="R161" i="17" s="1"/>
  <c r="P161" i="17" s="1"/>
  <c r="V161" i="17" s="1"/>
  <c r="F161" i="17" s="1"/>
  <c r="S111" i="17"/>
  <c r="R111" i="17" s="1"/>
  <c r="P111" i="17" s="1"/>
  <c r="V111" i="17" s="1"/>
  <c r="F111" i="17" s="1"/>
  <c r="S200" i="17"/>
  <c r="R200" i="17" s="1"/>
  <c r="P200" i="17" s="1"/>
  <c r="V200" i="17" s="1"/>
  <c r="F200" i="17" s="1"/>
  <c r="S216" i="17"/>
  <c r="R216" i="17" s="1"/>
  <c r="P216" i="17" s="1"/>
  <c r="V216" i="17" s="1"/>
  <c r="F216" i="17" s="1"/>
  <c r="S296" i="17"/>
  <c r="R296" i="17" s="1"/>
  <c r="P296" i="17" s="1"/>
  <c r="V296" i="17" s="1"/>
  <c r="F296" i="17" s="1"/>
  <c r="S196" i="17"/>
  <c r="R196" i="17" s="1"/>
  <c r="P196" i="17" s="1"/>
  <c r="S131" i="17"/>
  <c r="R131" i="17" s="1"/>
  <c r="P131" i="17" s="1"/>
  <c r="V131" i="17" s="1"/>
  <c r="F131" i="17" s="1"/>
  <c r="S124" i="17"/>
  <c r="R124" i="17" s="1"/>
  <c r="P124" i="17" s="1"/>
  <c r="V124" i="17" s="1"/>
  <c r="F124" i="17" s="1"/>
  <c r="S180" i="17"/>
  <c r="R180" i="17" s="1"/>
  <c r="P180" i="17" s="1"/>
  <c r="S235" i="17"/>
  <c r="R235" i="17" s="1"/>
  <c r="P235" i="17" s="1"/>
  <c r="V235" i="17" s="1"/>
  <c r="F235" i="17" s="1"/>
  <c r="S325" i="17"/>
  <c r="R325" i="17" s="1"/>
  <c r="P325" i="17" s="1"/>
  <c r="V325" i="17" s="1"/>
  <c r="F325" i="17" s="1"/>
  <c r="S163" i="17"/>
  <c r="R163" i="17" s="1"/>
  <c r="P163" i="17" s="1"/>
  <c r="V163" i="17" s="1"/>
  <c r="F163" i="17" s="1"/>
  <c r="S305" i="17"/>
  <c r="R305" i="17" s="1"/>
  <c r="P305" i="17" s="1"/>
  <c r="V305" i="17" s="1"/>
  <c r="F305" i="17" s="1"/>
  <c r="S128" i="17"/>
  <c r="R128" i="17" s="1"/>
  <c r="P128" i="17" s="1"/>
  <c r="V128" i="17" s="1"/>
  <c r="F128" i="17" s="1"/>
  <c r="S147" i="17"/>
  <c r="R147" i="17" s="1"/>
  <c r="P147" i="17" s="1"/>
  <c r="V147" i="17" s="1"/>
  <c r="F147" i="17" s="1"/>
  <c r="S86" i="17"/>
  <c r="R86" i="17" s="1"/>
  <c r="P86" i="17" s="1"/>
  <c r="S326" i="17"/>
  <c r="R326" i="17" s="1"/>
  <c r="P326" i="17" s="1"/>
  <c r="S218" i="17"/>
  <c r="R218" i="17" s="1"/>
  <c r="P218" i="17" s="1"/>
  <c r="V218" i="17" s="1"/>
  <c r="F218" i="17" s="1"/>
  <c r="S152" i="17"/>
  <c r="R152" i="17" s="1"/>
  <c r="P152" i="17" s="1"/>
  <c r="V152" i="17" s="1"/>
  <c r="F152" i="17" s="1"/>
  <c r="S260" i="17"/>
  <c r="R260" i="17" s="1"/>
  <c r="P260" i="17" s="1"/>
  <c r="V260" i="17" s="1"/>
  <c r="F260" i="17" s="1"/>
  <c r="S179" i="17"/>
  <c r="R179" i="17" s="1"/>
  <c r="P179" i="17" s="1"/>
  <c r="V179" i="17" s="1"/>
  <c r="F179" i="17" s="1"/>
  <c r="S35" i="17"/>
  <c r="R35" i="17" s="1"/>
  <c r="P35" i="17" s="1"/>
  <c r="V35" i="17" s="1"/>
  <c r="F35" i="17" s="1"/>
  <c r="S175" i="17"/>
  <c r="R175" i="17" s="1"/>
  <c r="P175" i="17" s="1"/>
  <c r="V175" i="17" s="1"/>
  <c r="F175" i="17" s="1"/>
  <c r="S203" i="17"/>
  <c r="R203" i="17" s="1"/>
  <c r="P203" i="17" s="1"/>
  <c r="V203" i="17" s="1"/>
  <c r="F203" i="17" s="1"/>
  <c r="S187" i="17"/>
  <c r="R187" i="17" s="1"/>
  <c r="P187" i="17" s="1"/>
  <c r="V187" i="17" s="1"/>
  <c r="F187" i="17" s="1"/>
  <c r="S274" i="17"/>
  <c r="R274" i="17" s="1"/>
  <c r="P274" i="17" s="1"/>
  <c r="V274" i="17" s="1"/>
  <c r="F274" i="17" s="1"/>
  <c r="S352" i="17"/>
  <c r="R352" i="17" s="1"/>
  <c r="P352" i="17" s="1"/>
  <c r="V352" i="17" s="1"/>
  <c r="F352" i="17" s="1"/>
  <c r="S370" i="17"/>
  <c r="R370" i="17" s="1"/>
  <c r="P370" i="17" s="1"/>
  <c r="V370" i="17" s="1"/>
  <c r="F370" i="17" s="1"/>
  <c r="S65" i="17"/>
  <c r="R65" i="17" s="1"/>
  <c r="P65" i="17" s="1"/>
  <c r="V65" i="17" s="1"/>
  <c r="F65" i="17" s="1"/>
  <c r="S298" i="17"/>
  <c r="R298" i="17" s="1"/>
  <c r="P298" i="17" s="1"/>
  <c r="V298" i="17" s="1"/>
  <c r="F298" i="17" s="1"/>
  <c r="S136" i="17"/>
  <c r="R136" i="17" s="1"/>
  <c r="P136" i="17" s="1"/>
  <c r="V136" i="17" s="1"/>
  <c r="F136" i="17" s="1"/>
  <c r="S317" i="17"/>
  <c r="R317" i="17" s="1"/>
  <c r="P317" i="17" s="1"/>
  <c r="V317" i="17" s="1"/>
  <c r="F317" i="17" s="1"/>
  <c r="S113" i="17"/>
  <c r="R113" i="17" s="1"/>
  <c r="P113" i="17" s="1"/>
  <c r="S191" i="17"/>
  <c r="R191" i="17" s="1"/>
  <c r="P191" i="17" s="1"/>
  <c r="V191" i="17" s="1"/>
  <c r="F191" i="17" s="1"/>
  <c r="S318" i="17"/>
  <c r="R318" i="17" s="1"/>
  <c r="P318" i="17" s="1"/>
  <c r="V318" i="17" s="1"/>
  <c r="F318" i="17" s="1"/>
  <c r="S143" i="17"/>
  <c r="R143" i="17" s="1"/>
  <c r="P143" i="17" s="1"/>
  <c r="V143" i="17" s="1"/>
  <c r="F143" i="17" s="1"/>
  <c r="S151" i="17"/>
  <c r="R151" i="17" s="1"/>
  <c r="P151" i="17" s="1"/>
  <c r="V151" i="17" s="1"/>
  <c r="F151" i="17" s="1"/>
  <c r="S53" i="17"/>
  <c r="R53" i="17" s="1"/>
  <c r="P53" i="17" s="1"/>
  <c r="V53" i="17" s="1"/>
  <c r="F53" i="17" s="1"/>
  <c r="S199" i="17"/>
  <c r="R199" i="17" s="1"/>
  <c r="P199" i="17" s="1"/>
  <c r="V199" i="17" s="1"/>
  <c r="F199" i="17" s="1"/>
  <c r="S138" i="17"/>
  <c r="R138" i="17" s="1"/>
  <c r="P138" i="17" s="1"/>
  <c r="V138" i="17" s="1"/>
  <c r="F138" i="17" s="1"/>
  <c r="S153" i="17"/>
  <c r="R153" i="17" s="1"/>
  <c r="P153" i="17" s="1"/>
  <c r="V153" i="17" s="1"/>
  <c r="F153" i="17" s="1"/>
  <c r="S331" i="17"/>
  <c r="R331" i="17" s="1"/>
  <c r="P331" i="17" s="1"/>
  <c r="V331" i="17" s="1"/>
  <c r="F331" i="17" s="1"/>
  <c r="S284" i="17"/>
  <c r="R284" i="17" s="1"/>
  <c r="P284" i="17" s="1"/>
  <c r="V284" i="17" s="1"/>
  <c r="F284" i="17" s="1"/>
  <c r="S31" i="17"/>
  <c r="R31" i="17" s="1"/>
  <c r="P31" i="17" s="1"/>
  <c r="V31" i="17" s="1"/>
  <c r="F31" i="17" s="1"/>
  <c r="S42" i="17"/>
  <c r="R42" i="17" s="1"/>
  <c r="P42" i="17" s="1"/>
  <c r="V42" i="17" s="1"/>
  <c r="F42" i="17" s="1"/>
  <c r="S249" i="17"/>
  <c r="R249" i="17" s="1"/>
  <c r="P249" i="17" s="1"/>
  <c r="V249" i="17" s="1"/>
  <c r="F249" i="17" s="1"/>
  <c r="S237" i="17"/>
  <c r="R237" i="17" s="1"/>
  <c r="P237" i="17" s="1"/>
  <c r="V237" i="17" s="1"/>
  <c r="F237" i="17" s="1"/>
  <c r="S221" i="17"/>
  <c r="R221" i="17" s="1"/>
  <c r="P221" i="17" s="1"/>
  <c r="V221" i="17" s="1"/>
  <c r="F221" i="17" s="1"/>
  <c r="S297" i="17"/>
  <c r="R297" i="17" s="1"/>
  <c r="P297" i="17" s="1"/>
  <c r="V297" i="17" s="1"/>
  <c r="F297" i="17" s="1"/>
  <c r="S283" i="17"/>
  <c r="R283" i="17" s="1"/>
  <c r="P283" i="17" s="1"/>
  <c r="V283" i="17" s="1"/>
  <c r="F283" i="17" s="1"/>
  <c r="S265" i="17"/>
  <c r="R265" i="17" s="1"/>
  <c r="P265" i="17" s="1"/>
  <c r="V265" i="17" s="1"/>
  <c r="F265" i="17" s="1"/>
  <c r="S141" i="17"/>
  <c r="R141" i="17" s="1"/>
  <c r="P141" i="17" s="1"/>
  <c r="V141" i="17" s="1"/>
  <c r="F141" i="17" s="1"/>
  <c r="S357" i="17"/>
  <c r="R357" i="17" s="1"/>
  <c r="P357" i="17" s="1"/>
  <c r="V357" i="17" s="1"/>
  <c r="F357" i="17" s="1"/>
  <c r="S339" i="17"/>
  <c r="R339" i="17" s="1"/>
  <c r="P339" i="17" s="1"/>
  <c r="V339" i="17" s="1"/>
  <c r="F339" i="17" s="1"/>
  <c r="S39" i="17"/>
  <c r="R39" i="17" s="1"/>
  <c r="P39" i="17" s="1"/>
  <c r="V39" i="17" s="1"/>
  <c r="F39" i="17" s="1"/>
  <c r="S376" i="17"/>
  <c r="R376" i="17" s="1"/>
  <c r="P376" i="17" s="1"/>
  <c r="V376" i="17" s="1"/>
  <c r="F376" i="17" s="1"/>
  <c r="S267" i="17"/>
  <c r="R267" i="17" s="1"/>
  <c r="P267" i="17" s="1"/>
  <c r="V267" i="17" s="1"/>
  <c r="F267" i="17" s="1"/>
  <c r="S97" i="17"/>
  <c r="R97" i="17" s="1"/>
  <c r="P97" i="17" s="1"/>
  <c r="V97" i="17" s="1"/>
  <c r="F97" i="17" s="1"/>
  <c r="S347" i="17"/>
  <c r="R347" i="17" s="1"/>
  <c r="P347" i="17" s="1"/>
  <c r="V347" i="17" s="1"/>
  <c r="F347" i="17" s="1"/>
  <c r="S72" i="17"/>
  <c r="R72" i="17" s="1"/>
  <c r="P72" i="17" s="1"/>
  <c r="V72" i="17" s="1"/>
  <c r="F72" i="17" s="1"/>
  <c r="S95" i="17"/>
  <c r="R95" i="17" s="1"/>
  <c r="P95" i="17" s="1"/>
  <c r="V95" i="17" s="1"/>
  <c r="F95" i="17" s="1"/>
  <c r="S232" i="17"/>
  <c r="R232" i="17" s="1"/>
  <c r="P232" i="17" s="1"/>
  <c r="V232" i="17" s="1"/>
  <c r="F232" i="17" s="1"/>
  <c r="S68" i="17"/>
  <c r="R68" i="17" s="1"/>
  <c r="P68" i="17" s="1"/>
  <c r="V68" i="17" s="1"/>
  <c r="F68" i="17" s="1"/>
  <c r="S67" i="17"/>
  <c r="R67" i="17" s="1"/>
  <c r="P67" i="17" s="1"/>
  <c r="V67" i="17" s="1"/>
  <c r="F67" i="17" s="1"/>
  <c r="S312" i="17"/>
  <c r="R312" i="17" s="1"/>
  <c r="P312" i="17" s="1"/>
  <c r="V312" i="17" s="1"/>
  <c r="F312" i="17" s="1"/>
  <c r="S333" i="17"/>
  <c r="R333" i="17" s="1"/>
  <c r="P333" i="17" s="1"/>
  <c r="S107" i="17"/>
  <c r="R107" i="17" s="1"/>
  <c r="P107" i="17" s="1"/>
  <c r="V107" i="17" s="1"/>
  <c r="F107" i="17" s="1"/>
  <c r="S261" i="17"/>
  <c r="R261" i="17" s="1"/>
  <c r="P261" i="17" s="1"/>
  <c r="S166" i="17"/>
  <c r="R166" i="17" s="1"/>
  <c r="P166" i="17" s="1"/>
  <c r="V166" i="17" s="1"/>
  <c r="S194" i="17"/>
  <c r="R194" i="17" s="1"/>
  <c r="P194" i="17" s="1"/>
  <c r="V194" i="17" s="1"/>
  <c r="F194" i="17" s="1"/>
  <c r="AA176" i="16"/>
  <c r="Z176" i="16" s="1"/>
  <c r="Y176" i="16" s="1"/>
  <c r="G176" i="16"/>
  <c r="BY176" i="6" s="1"/>
  <c r="H176" i="16"/>
  <c r="P383" i="16"/>
  <c r="P382" i="16"/>
  <c r="P381" i="16"/>
  <c r="V15" i="16"/>
  <c r="J289" i="16"/>
  <c r="I289" i="16"/>
  <c r="I350" i="16"/>
  <c r="J350" i="16"/>
  <c r="AG330" i="17"/>
  <c r="AF330" i="17" s="1"/>
  <c r="AD330" i="17" s="1"/>
  <c r="AG165" i="17"/>
  <c r="AF165" i="17" s="1"/>
  <c r="AD165" i="17" s="1"/>
  <c r="AG168" i="17"/>
  <c r="AF168" i="17" s="1"/>
  <c r="AD168" i="17" s="1"/>
  <c r="AG89" i="17"/>
  <c r="AF89" i="17" s="1"/>
  <c r="AD89" i="17" s="1"/>
  <c r="AG61" i="17"/>
  <c r="AF61" i="17" s="1"/>
  <c r="AD61" i="17" s="1"/>
  <c r="AG377" i="17"/>
  <c r="AF377" i="17" s="1"/>
  <c r="AD377" i="17" s="1"/>
  <c r="AG348" i="17"/>
  <c r="AF348" i="17" s="1"/>
  <c r="AD348" i="17" s="1"/>
  <c r="AG145" i="17"/>
  <c r="AF145" i="17" s="1"/>
  <c r="AD145" i="17" s="1"/>
  <c r="AG240" i="17"/>
  <c r="AF240" i="17" s="1"/>
  <c r="AD240" i="17" s="1"/>
  <c r="AG216" i="17"/>
  <c r="AF216" i="17" s="1"/>
  <c r="AD216" i="17" s="1"/>
  <c r="AG224" i="17"/>
  <c r="AF224" i="17" s="1"/>
  <c r="AD224" i="17" s="1"/>
  <c r="AG69" i="17"/>
  <c r="AF69" i="17" s="1"/>
  <c r="AD69" i="17" s="1"/>
  <c r="AG39" i="17"/>
  <c r="AF39" i="17" s="1"/>
  <c r="AD39" i="17" s="1"/>
  <c r="AG97" i="17"/>
  <c r="AF97" i="17" s="1"/>
  <c r="AD97" i="17" s="1"/>
  <c r="AG42" i="17"/>
  <c r="AF42" i="17" s="1"/>
  <c r="AD42" i="17" s="1"/>
  <c r="AG113" i="17"/>
  <c r="AF113" i="17" s="1"/>
  <c r="AD113" i="17" s="1"/>
  <c r="AG158" i="17"/>
  <c r="AF158" i="17" s="1"/>
  <c r="AD158" i="17" s="1"/>
  <c r="AG94" i="17"/>
  <c r="AF94" i="17" s="1"/>
  <c r="AD94" i="17" s="1"/>
  <c r="AG184" i="17"/>
  <c r="AF184" i="17" s="1"/>
  <c r="AD184" i="17" s="1"/>
  <c r="AG328" i="17"/>
  <c r="AF328" i="17" s="1"/>
  <c r="AD328" i="17" s="1"/>
  <c r="AG71" i="17"/>
  <c r="AF71" i="17" s="1"/>
  <c r="AD71" i="17" s="1"/>
  <c r="AG313" i="17"/>
  <c r="AF313" i="17" s="1"/>
  <c r="AD313" i="17" s="1"/>
  <c r="AG273" i="17"/>
  <c r="AF273" i="17" s="1"/>
  <c r="AD273" i="17" s="1"/>
  <c r="AG41" i="17"/>
  <c r="AF41" i="17" s="1"/>
  <c r="AD41" i="17" s="1"/>
  <c r="AG278" i="17"/>
  <c r="AF278" i="17" s="1"/>
  <c r="AD278" i="17" s="1"/>
  <c r="AG17" i="17"/>
  <c r="AF17" i="17" s="1"/>
  <c r="AD17" i="17" s="1"/>
  <c r="AG21" i="17"/>
  <c r="AF21" i="17" s="1"/>
  <c r="AD21" i="17" s="1"/>
  <c r="AG194" i="17"/>
  <c r="AF194" i="17" s="1"/>
  <c r="AD194" i="17" s="1"/>
  <c r="AG180" i="17"/>
  <c r="AF180" i="17" s="1"/>
  <c r="AD180" i="17" s="1"/>
  <c r="AG275" i="17"/>
  <c r="AF275" i="17" s="1"/>
  <c r="AD275" i="17" s="1"/>
  <c r="AG176" i="17"/>
  <c r="AF176" i="17" s="1"/>
  <c r="AD176" i="17" s="1"/>
  <c r="AG188" i="17"/>
  <c r="AF188" i="17" s="1"/>
  <c r="AD188" i="17" s="1"/>
  <c r="AG344" i="17"/>
  <c r="AF344" i="17" s="1"/>
  <c r="AD344" i="17" s="1"/>
  <c r="AG117" i="17"/>
  <c r="AF117" i="17" s="1"/>
  <c r="AD117" i="17" s="1"/>
  <c r="AG101" i="17"/>
  <c r="AF101" i="17" s="1"/>
  <c r="AD101" i="17" s="1"/>
  <c r="AG359" i="17"/>
  <c r="AF359" i="17" s="1"/>
  <c r="AD359" i="17" s="1"/>
  <c r="AG310" i="17"/>
  <c r="AF310" i="17" s="1"/>
  <c r="AD310" i="17" s="1"/>
  <c r="AG26" i="17"/>
  <c r="AF26" i="17" s="1"/>
  <c r="AD26" i="17" s="1"/>
  <c r="AG350" i="17"/>
  <c r="AF350" i="17" s="1"/>
  <c r="AD350" i="17" s="1"/>
  <c r="AG241" i="17"/>
  <c r="AF241" i="17" s="1"/>
  <c r="AD241" i="17" s="1"/>
  <c r="AG73" i="17"/>
  <c r="AF73" i="17" s="1"/>
  <c r="AD73" i="17" s="1"/>
  <c r="AA73" i="17" s="1"/>
  <c r="Z73" i="17" s="1"/>
  <c r="Y73" i="17" s="1"/>
  <c r="AG336" i="17"/>
  <c r="AF336" i="17" s="1"/>
  <c r="AD336" i="17" s="1"/>
  <c r="AG354" i="17"/>
  <c r="AF354" i="17" s="1"/>
  <c r="AD354" i="17" s="1"/>
  <c r="AG272" i="17"/>
  <c r="AF272" i="17" s="1"/>
  <c r="AD272" i="17" s="1"/>
  <c r="AG114" i="17"/>
  <c r="AF114" i="17" s="1"/>
  <c r="AD114" i="17" s="1"/>
  <c r="AG197" i="17"/>
  <c r="AF197" i="17" s="1"/>
  <c r="AD197" i="17" s="1"/>
  <c r="AG193" i="17"/>
  <c r="AF193" i="17" s="1"/>
  <c r="AD193" i="17" s="1"/>
  <c r="AA193" i="17" s="1"/>
  <c r="Z193" i="17" s="1"/>
  <c r="Y193" i="17" s="1"/>
  <c r="AG375" i="17"/>
  <c r="AF375" i="17" s="1"/>
  <c r="AD375" i="17" s="1"/>
  <c r="AG204" i="17"/>
  <c r="AF204" i="17" s="1"/>
  <c r="AD204" i="17" s="1"/>
  <c r="AG243" i="17"/>
  <c r="AF243" i="17" s="1"/>
  <c r="AD243" i="17" s="1"/>
  <c r="AG357" i="17"/>
  <c r="AF357" i="17" s="1"/>
  <c r="AD357" i="17" s="1"/>
  <c r="AG252" i="17"/>
  <c r="AF252" i="17" s="1"/>
  <c r="AD252" i="17" s="1"/>
  <c r="AG339" i="17"/>
  <c r="AF339" i="17" s="1"/>
  <c r="AD339" i="17" s="1"/>
  <c r="AG280" i="17"/>
  <c r="AF280" i="17" s="1"/>
  <c r="AD280" i="17" s="1"/>
  <c r="AG120" i="17"/>
  <c r="AF120" i="17" s="1"/>
  <c r="AD120" i="17" s="1"/>
  <c r="AG99" i="17"/>
  <c r="AF99" i="17" s="1"/>
  <c r="AD99" i="17" s="1"/>
  <c r="AG93" i="17"/>
  <c r="AF93" i="17" s="1"/>
  <c r="AD93" i="17" s="1"/>
  <c r="AG211" i="17"/>
  <c r="AF211" i="17" s="1"/>
  <c r="AD211" i="17" s="1"/>
  <c r="AG255" i="17"/>
  <c r="AF255" i="17" s="1"/>
  <c r="AD255" i="17" s="1"/>
  <c r="AG74" i="17"/>
  <c r="AF74" i="17" s="1"/>
  <c r="AD74" i="17" s="1"/>
  <c r="AG124" i="17"/>
  <c r="AF124" i="17" s="1"/>
  <c r="AD124" i="17" s="1"/>
  <c r="AG229" i="17"/>
  <c r="AF229" i="17" s="1"/>
  <c r="AD229" i="17" s="1"/>
  <c r="AG115" i="17"/>
  <c r="AF115" i="17" s="1"/>
  <c r="AD115" i="17" s="1"/>
  <c r="AG232" i="17"/>
  <c r="AF232" i="17" s="1"/>
  <c r="AD232" i="17" s="1"/>
  <c r="AG249" i="17"/>
  <c r="AF249" i="17" s="1"/>
  <c r="AD249" i="17" s="1"/>
  <c r="AG54" i="17"/>
  <c r="AF54" i="17" s="1"/>
  <c r="AD54" i="17" s="1"/>
  <c r="AG31" i="17"/>
  <c r="AF31" i="17" s="1"/>
  <c r="AD31" i="17" s="1"/>
  <c r="AG81" i="17"/>
  <c r="AF81" i="17" s="1"/>
  <c r="AD81" i="17" s="1"/>
  <c r="AG293" i="17"/>
  <c r="AF293" i="17" s="1"/>
  <c r="AD293" i="17" s="1"/>
  <c r="AG76" i="17"/>
  <c r="AF76" i="17" s="1"/>
  <c r="AD76" i="17" s="1"/>
  <c r="AG217" i="17"/>
  <c r="AF217" i="17" s="1"/>
  <c r="AD217" i="17" s="1"/>
  <c r="AG189" i="17"/>
  <c r="AF189" i="17" s="1"/>
  <c r="AD189" i="17" s="1"/>
  <c r="AG19" i="17"/>
  <c r="AF19" i="17" s="1"/>
  <c r="AD19" i="17" s="1"/>
  <c r="AG311" i="17"/>
  <c r="AF311" i="17" s="1"/>
  <c r="AD311" i="17" s="1"/>
  <c r="AI12" i="18"/>
  <c r="AH379" i="17"/>
  <c r="AG274" i="17"/>
  <c r="AF274" i="17" s="1"/>
  <c r="AD274" i="17" s="1"/>
  <c r="AG294" i="17"/>
  <c r="AF294" i="17" s="1"/>
  <c r="AD294" i="17" s="1"/>
  <c r="AG137" i="17"/>
  <c r="AF137" i="17" s="1"/>
  <c r="AD137" i="17" s="1"/>
  <c r="AG152" i="17"/>
  <c r="AF152" i="17" s="1"/>
  <c r="AD152" i="17" s="1"/>
  <c r="AG205" i="17"/>
  <c r="AF205" i="17" s="1"/>
  <c r="AD205" i="17" s="1"/>
  <c r="AG270" i="17"/>
  <c r="AF270" i="17" s="1"/>
  <c r="AD270" i="17" s="1"/>
  <c r="AG289" i="17"/>
  <c r="AF289" i="17" s="1"/>
  <c r="AD289" i="17" s="1"/>
  <c r="AG105" i="17"/>
  <c r="AF105" i="17" s="1"/>
  <c r="AD105" i="17" s="1"/>
  <c r="AG153" i="17"/>
  <c r="AF153" i="17" s="1"/>
  <c r="AD153" i="17" s="1"/>
  <c r="AG351" i="17"/>
  <c r="AF351" i="17" s="1"/>
  <c r="AD351" i="17" s="1"/>
  <c r="AG68" i="17"/>
  <c r="AF68" i="17" s="1"/>
  <c r="AD68" i="17" s="1"/>
  <c r="AG214" i="17"/>
  <c r="AF214" i="17" s="1"/>
  <c r="AD214" i="17" s="1"/>
  <c r="AG259" i="17"/>
  <c r="AF259" i="17" s="1"/>
  <c r="AD259" i="17" s="1"/>
  <c r="AG245" i="17"/>
  <c r="AF245" i="17" s="1"/>
  <c r="AD245" i="17" s="1"/>
  <c r="AG371" i="17"/>
  <c r="AF371" i="17" s="1"/>
  <c r="AD371" i="17" s="1"/>
  <c r="AG18" i="17"/>
  <c r="AF18" i="17" s="1"/>
  <c r="AD18" i="17" s="1"/>
  <c r="AG352" i="17"/>
  <c r="AF352" i="17" s="1"/>
  <c r="AD352" i="17" s="1"/>
  <c r="J88" i="16"/>
  <c r="I88" i="16"/>
  <c r="I363" i="16"/>
  <c r="J363" i="16"/>
  <c r="I380" i="17"/>
  <c r="H380" i="18" s="1"/>
  <c r="J380" i="17"/>
  <c r="S145" i="17"/>
  <c r="R145" i="17" s="1"/>
  <c r="P145" i="17" s="1"/>
  <c r="S16" i="17"/>
  <c r="R16" i="17" s="1"/>
  <c r="P16" i="17" s="1"/>
  <c r="V16" i="17" s="1"/>
  <c r="F16" i="17" s="1"/>
  <c r="S110" i="17"/>
  <c r="R110" i="17" s="1"/>
  <c r="P110" i="17" s="1"/>
  <c r="V110" i="17" s="1"/>
  <c r="F110" i="17" s="1"/>
  <c r="S198" i="17"/>
  <c r="R198" i="17" s="1"/>
  <c r="P198" i="17" s="1"/>
  <c r="V198" i="17" s="1"/>
  <c r="F198" i="17" s="1"/>
  <c r="S150" i="17"/>
  <c r="R150" i="17" s="1"/>
  <c r="P150" i="17" s="1"/>
  <c r="V150" i="17" s="1"/>
  <c r="F150" i="17" s="1"/>
  <c r="S127" i="17"/>
  <c r="R127" i="17" s="1"/>
  <c r="P127" i="17" s="1"/>
  <c r="V127" i="17" s="1"/>
  <c r="F127" i="17" s="1"/>
  <c r="S373" i="17"/>
  <c r="R373" i="17" s="1"/>
  <c r="P373" i="17" s="1"/>
  <c r="V373" i="17" s="1"/>
  <c r="F373" i="17" s="1"/>
  <c r="S51" i="17"/>
  <c r="R51" i="17" s="1"/>
  <c r="P51" i="17" s="1"/>
  <c r="V51" i="17" s="1"/>
  <c r="F51" i="17" s="1"/>
  <c r="S294" i="17"/>
  <c r="R294" i="17" s="1"/>
  <c r="P294" i="17" s="1"/>
  <c r="V294" i="17" s="1"/>
  <c r="F294" i="17" s="1"/>
  <c r="S174" i="17"/>
  <c r="R174" i="17" s="1"/>
  <c r="P174" i="17" s="1"/>
  <c r="S139" i="17"/>
  <c r="R139" i="17" s="1"/>
  <c r="P139" i="17" s="1"/>
  <c r="V139" i="17" s="1"/>
  <c r="F139" i="17" s="1"/>
  <c r="S367" i="17"/>
  <c r="R367" i="17" s="1"/>
  <c r="P367" i="17" s="1"/>
  <c r="V367" i="17" s="1"/>
  <c r="F367" i="17" s="1"/>
  <c r="S210" i="17"/>
  <c r="R210" i="17" s="1"/>
  <c r="P210" i="17" s="1"/>
  <c r="S171" i="17"/>
  <c r="R171" i="17" s="1"/>
  <c r="P171" i="17" s="1"/>
  <c r="V171" i="17" s="1"/>
  <c r="F171" i="17" s="1"/>
  <c r="S306" i="17"/>
  <c r="R306" i="17" s="1"/>
  <c r="P306" i="17" s="1"/>
  <c r="V306" i="17" s="1"/>
  <c r="F306" i="17" s="1"/>
  <c r="S88" i="17"/>
  <c r="R88" i="17" s="1"/>
  <c r="P88" i="17" s="1"/>
  <c r="S106" i="17"/>
  <c r="R106" i="17" s="1"/>
  <c r="P106" i="17" s="1"/>
  <c r="V106" i="17" s="1"/>
  <c r="F106" i="17" s="1"/>
  <c r="S247" i="17"/>
  <c r="R247" i="17" s="1"/>
  <c r="P247" i="17" s="1"/>
  <c r="V247" i="17" s="1"/>
  <c r="F247" i="17" s="1"/>
  <c r="S61" i="17"/>
  <c r="R61" i="17" s="1"/>
  <c r="P61" i="17" s="1"/>
  <c r="V61" i="17" s="1"/>
  <c r="F61" i="17" s="1"/>
  <c r="S66" i="17"/>
  <c r="R66" i="17" s="1"/>
  <c r="P66" i="17" s="1"/>
  <c r="V66" i="17" s="1"/>
  <c r="F66" i="17" s="1"/>
  <c r="S190" i="17"/>
  <c r="R190" i="17" s="1"/>
  <c r="P190" i="17" s="1"/>
  <c r="V190" i="17" s="1"/>
  <c r="F190" i="17" s="1"/>
  <c r="S234" i="17"/>
  <c r="R234" i="17" s="1"/>
  <c r="P234" i="17" s="1"/>
  <c r="V234" i="17" s="1"/>
  <c r="F234" i="17" s="1"/>
  <c r="S177" i="17"/>
  <c r="R177" i="17" s="1"/>
  <c r="P177" i="17" s="1"/>
  <c r="V177" i="17" s="1"/>
  <c r="F177" i="17" s="1"/>
  <c r="S87" i="17"/>
  <c r="R87" i="17" s="1"/>
  <c r="P87" i="17" s="1"/>
  <c r="V87" i="17" s="1"/>
  <c r="F87" i="17" s="1"/>
  <c r="S202" i="17"/>
  <c r="R202" i="17" s="1"/>
  <c r="P202" i="17" s="1"/>
  <c r="V202" i="17" s="1"/>
  <c r="F202" i="17" s="1"/>
  <c r="S167" i="17"/>
  <c r="R167" i="17" s="1"/>
  <c r="P167" i="17" s="1"/>
  <c r="V167" i="17" s="1"/>
  <c r="F167" i="17" s="1"/>
  <c r="S240" i="17"/>
  <c r="R240" i="17" s="1"/>
  <c r="P240" i="17" s="1"/>
  <c r="V240" i="17" s="1"/>
  <c r="F240" i="17" s="1"/>
  <c r="S47" i="17"/>
  <c r="R47" i="17" s="1"/>
  <c r="P47" i="17" s="1"/>
  <c r="S374" i="17"/>
  <c r="R374" i="17" s="1"/>
  <c r="P374" i="17" s="1"/>
  <c r="V374" i="17" s="1"/>
  <c r="F374" i="17" s="1"/>
  <c r="S129" i="17"/>
  <c r="R129" i="17" s="1"/>
  <c r="P129" i="17" s="1"/>
  <c r="V129" i="17" s="1"/>
  <c r="F129" i="17" s="1"/>
  <c r="S94" i="17"/>
  <c r="R94" i="17" s="1"/>
  <c r="P94" i="17" s="1"/>
  <c r="V94" i="17" s="1"/>
  <c r="F94" i="17" s="1"/>
  <c r="S144" i="17"/>
  <c r="R144" i="17" s="1"/>
  <c r="P144" i="17" s="1"/>
  <c r="V144" i="17" s="1"/>
  <c r="F144" i="17" s="1"/>
  <c r="S185" i="17"/>
  <c r="R185" i="17" s="1"/>
  <c r="P185" i="17" s="1"/>
  <c r="V185" i="17" s="1"/>
  <c r="F185" i="17" s="1"/>
  <c r="S173" i="17"/>
  <c r="R173" i="17" s="1"/>
  <c r="P173" i="17" s="1"/>
  <c r="V173" i="17" s="1"/>
  <c r="F173" i="17" s="1"/>
  <c r="S214" i="17"/>
  <c r="R214" i="17" s="1"/>
  <c r="P214" i="17" s="1"/>
  <c r="V214" i="17" s="1"/>
  <c r="F214" i="17" s="1"/>
  <c r="S233" i="17"/>
  <c r="R233" i="17" s="1"/>
  <c r="P233" i="17" s="1"/>
  <c r="V233" i="17" s="1"/>
  <c r="F233" i="17" s="1"/>
  <c r="S241" i="17"/>
  <c r="R241" i="17" s="1"/>
  <c r="P241" i="17" s="1"/>
  <c r="S201" i="17"/>
  <c r="R201" i="17" s="1"/>
  <c r="P201" i="17" s="1"/>
  <c r="V201" i="17" s="1"/>
  <c r="F201" i="17" s="1"/>
  <c r="S224" i="17"/>
  <c r="R224" i="17" s="1"/>
  <c r="P224" i="17" s="1"/>
  <c r="V224" i="17" s="1"/>
  <c r="F224" i="17" s="1"/>
  <c r="S293" i="17"/>
  <c r="R293" i="17" s="1"/>
  <c r="P293" i="17" s="1"/>
  <c r="V293" i="17" s="1"/>
  <c r="F293" i="17" s="1"/>
  <c r="S83" i="17"/>
  <c r="R83" i="17" s="1"/>
  <c r="P83" i="17" s="1"/>
  <c r="V83" i="17" s="1"/>
  <c r="F83" i="17" s="1"/>
  <c r="V16" i="7"/>
  <c r="AB11" i="7" s="1"/>
  <c r="U11" i="18" s="1"/>
  <c r="U12" i="18"/>
  <c r="T379" i="17"/>
  <c r="S379" i="17" s="1"/>
  <c r="R379" i="17" s="1"/>
  <c r="P379" i="17" s="1"/>
  <c r="S349" i="17"/>
  <c r="R349" i="17" s="1"/>
  <c r="P349" i="17" s="1"/>
  <c r="S75" i="17"/>
  <c r="R75" i="17" s="1"/>
  <c r="P75" i="17" s="1"/>
  <c r="V75" i="17" s="1"/>
  <c r="F75" i="17" s="1"/>
  <c r="S34" i="17"/>
  <c r="R34" i="17" s="1"/>
  <c r="P34" i="17" s="1"/>
  <c r="V34" i="17" s="1"/>
  <c r="F34" i="17" s="1"/>
  <c r="S278" i="17"/>
  <c r="R278" i="17" s="1"/>
  <c r="P278" i="17" s="1"/>
  <c r="V278" i="17" s="1"/>
  <c r="F278" i="17" s="1"/>
  <c r="S375" i="17"/>
  <c r="R375" i="17" s="1"/>
  <c r="P375" i="17" s="1"/>
  <c r="V375" i="17" s="1"/>
  <c r="F375" i="17" s="1"/>
  <c r="S286" i="17"/>
  <c r="R286" i="17" s="1"/>
  <c r="P286" i="17" s="1"/>
  <c r="V286" i="17" s="1"/>
  <c r="F286" i="17" s="1"/>
  <c r="S168" i="17"/>
  <c r="R168" i="17" s="1"/>
  <c r="P168" i="17" s="1"/>
  <c r="V168" i="17" s="1"/>
  <c r="F168" i="17" s="1"/>
  <c r="S277" i="17"/>
  <c r="R277" i="17" s="1"/>
  <c r="P277" i="17" s="1"/>
  <c r="V277" i="17" s="1"/>
  <c r="F277" i="17" s="1"/>
  <c r="S358" i="17"/>
  <c r="R358" i="17" s="1"/>
  <c r="P358" i="17" s="1"/>
  <c r="V358" i="17" s="1"/>
  <c r="F358" i="17" s="1"/>
  <c r="S270" i="17"/>
  <c r="R270" i="17" s="1"/>
  <c r="P270" i="17" s="1"/>
  <c r="V270" i="17" s="1"/>
  <c r="F270" i="17" s="1"/>
  <c r="S205" i="17"/>
  <c r="R205" i="17" s="1"/>
  <c r="P205" i="17" s="1"/>
  <c r="V205" i="17" s="1"/>
  <c r="F205" i="17" s="1"/>
  <c r="S156" i="17"/>
  <c r="R156" i="17" s="1"/>
  <c r="P156" i="17" s="1"/>
  <c r="V156" i="17" s="1"/>
  <c r="F156" i="17" s="1"/>
  <c r="S197" i="17"/>
  <c r="R197" i="17" s="1"/>
  <c r="P197" i="17" s="1"/>
  <c r="V197" i="17" s="1"/>
  <c r="F197" i="17" s="1"/>
  <c r="S38" i="17"/>
  <c r="R38" i="17" s="1"/>
  <c r="P38" i="17" s="1"/>
  <c r="V38" i="17" s="1"/>
  <c r="F38" i="17" s="1"/>
  <c r="S56" i="17"/>
  <c r="R56" i="17" s="1"/>
  <c r="P56" i="17" s="1"/>
  <c r="V56" i="17" s="1"/>
  <c r="F56" i="17" s="1"/>
  <c r="S340" i="17"/>
  <c r="R340" i="17" s="1"/>
  <c r="P340" i="17" s="1"/>
  <c r="V340" i="17" s="1"/>
  <c r="F340" i="17" s="1"/>
  <c r="S262" i="17"/>
  <c r="R262" i="17" s="1"/>
  <c r="P262" i="17" s="1"/>
  <c r="V262" i="17" s="1"/>
  <c r="F262" i="17" s="1"/>
  <c r="S93" i="17"/>
  <c r="R93" i="17" s="1"/>
  <c r="P93" i="17" s="1"/>
  <c r="V93" i="17" s="1"/>
  <c r="F93" i="17" s="1"/>
  <c r="S70" i="17"/>
  <c r="R70" i="17" s="1"/>
  <c r="P70" i="17" s="1"/>
  <c r="V70" i="17" s="1"/>
  <c r="F70" i="17" s="1"/>
  <c r="S369" i="17"/>
  <c r="R369" i="17" s="1"/>
  <c r="P369" i="17" s="1"/>
  <c r="V369" i="17" s="1"/>
  <c r="F369" i="17" s="1"/>
  <c r="S254" i="17"/>
  <c r="R254" i="17" s="1"/>
  <c r="P254" i="17" s="1"/>
  <c r="V254" i="17" s="1"/>
  <c r="F254" i="17" s="1"/>
  <c r="S245" i="17"/>
  <c r="R245" i="17" s="1"/>
  <c r="P245" i="17" s="1"/>
  <c r="V245" i="17" s="1"/>
  <c r="F245" i="17" s="1"/>
  <c r="S360" i="17"/>
  <c r="R360" i="17" s="1"/>
  <c r="P360" i="17" s="1"/>
  <c r="V360" i="17" s="1"/>
  <c r="F360" i="17" s="1"/>
  <c r="S102" i="17"/>
  <c r="R102" i="17" s="1"/>
  <c r="P102" i="17" s="1"/>
  <c r="V102" i="17" s="1"/>
  <c r="F102" i="17" s="1"/>
  <c r="S346" i="17"/>
  <c r="R346" i="17" s="1"/>
  <c r="P346" i="17" s="1"/>
  <c r="V346" i="17" s="1"/>
  <c r="F346" i="17" s="1"/>
  <c r="S246" i="17"/>
  <c r="R246" i="17" s="1"/>
  <c r="P246" i="17" s="1"/>
  <c r="V246" i="17" s="1"/>
  <c r="F246" i="17" s="1"/>
  <c r="S258" i="17"/>
  <c r="R258" i="17" s="1"/>
  <c r="P258" i="17" s="1"/>
  <c r="S146" i="17"/>
  <c r="R146" i="17" s="1"/>
  <c r="P146" i="17" s="1"/>
  <c r="V146" i="17" s="1"/>
  <c r="F146" i="17" s="1"/>
  <c r="S43" i="17"/>
  <c r="R43" i="17" s="1"/>
  <c r="P43" i="17" s="1"/>
  <c r="V43" i="17" s="1"/>
  <c r="F43" i="17" s="1"/>
  <c r="S242" i="17"/>
  <c r="R242" i="17" s="1"/>
  <c r="P242" i="17" s="1"/>
  <c r="V242" i="17" s="1"/>
  <c r="F242" i="17" s="1"/>
  <c r="S287" i="17"/>
  <c r="R287" i="17" s="1"/>
  <c r="P287" i="17" s="1"/>
  <c r="V287" i="17" s="1"/>
  <c r="F287" i="17" s="1"/>
  <c r="S272" i="17"/>
  <c r="R272" i="17" s="1"/>
  <c r="P272" i="17" s="1"/>
  <c r="S183" i="17"/>
  <c r="R183" i="17" s="1"/>
  <c r="P183" i="17" s="1"/>
  <c r="V183" i="17" s="1"/>
  <c r="F183" i="17" s="1"/>
  <c r="S27" i="17"/>
  <c r="R27" i="17" s="1"/>
  <c r="P27" i="17" s="1"/>
  <c r="V27" i="17" s="1"/>
  <c r="F27" i="17" s="1"/>
  <c r="S206" i="17"/>
  <c r="R206" i="17" s="1"/>
  <c r="P206" i="17" s="1"/>
  <c r="V206" i="17" s="1"/>
  <c r="F206" i="17" s="1"/>
  <c r="S62" i="17"/>
  <c r="R62" i="17" s="1"/>
  <c r="P62" i="17" s="1"/>
  <c r="V62" i="17" s="1"/>
  <c r="F62" i="17" s="1"/>
  <c r="S336" i="17"/>
  <c r="R336" i="17" s="1"/>
  <c r="P336" i="17" s="1"/>
  <c r="V336" i="17" s="1"/>
  <c r="F336" i="17" s="1"/>
  <c r="S282" i="17"/>
  <c r="R282" i="17" s="1"/>
  <c r="P282" i="17" s="1"/>
  <c r="V282" i="17" s="1"/>
  <c r="F282" i="17" s="1"/>
  <c r="S23" i="17"/>
  <c r="R23" i="17" s="1"/>
  <c r="P23" i="17" s="1"/>
  <c r="V23" i="17" s="1"/>
  <c r="F23" i="17" s="1"/>
  <c r="S304" i="17"/>
  <c r="R304" i="17" s="1"/>
  <c r="P304" i="17" s="1"/>
  <c r="V304" i="17" s="1"/>
  <c r="F304" i="17" s="1"/>
  <c r="S135" i="17"/>
  <c r="R135" i="17" s="1"/>
  <c r="P135" i="17" s="1"/>
  <c r="S112" i="17"/>
  <c r="R112" i="17" s="1"/>
  <c r="P112" i="17" s="1"/>
  <c r="S59" i="17"/>
  <c r="R59" i="17" s="1"/>
  <c r="P59" i="17" s="1"/>
  <c r="V59" i="17" s="1"/>
  <c r="F59" i="17" s="1"/>
  <c r="S348" i="17"/>
  <c r="R348" i="17" s="1"/>
  <c r="P348" i="17" s="1"/>
  <c r="V348" i="17" s="1"/>
  <c r="F348" i="17" s="1"/>
  <c r="S354" i="17"/>
  <c r="R354" i="17" s="1"/>
  <c r="P354" i="17" s="1"/>
  <c r="V354" i="17" s="1"/>
  <c r="F354" i="17" s="1"/>
  <c r="S341" i="17"/>
  <c r="R341" i="17" s="1"/>
  <c r="P341" i="17" s="1"/>
  <c r="V341" i="17" s="1"/>
  <c r="F341" i="17" s="1"/>
  <c r="S323" i="17"/>
  <c r="R323" i="17" s="1"/>
  <c r="P323" i="17" s="1"/>
  <c r="V323" i="17" s="1"/>
  <c r="F323" i="17" s="1"/>
  <c r="S84" i="17"/>
  <c r="R84" i="17" s="1"/>
  <c r="P84" i="17" s="1"/>
  <c r="V84" i="17" s="1"/>
  <c r="F84" i="17" s="1"/>
  <c r="S314" i="17"/>
  <c r="R314" i="17" s="1"/>
  <c r="P314" i="17" s="1"/>
  <c r="V314" i="17" s="1"/>
  <c r="F314" i="17" s="1"/>
  <c r="I29" i="16"/>
  <c r="J29" i="16"/>
  <c r="J119" i="16"/>
  <c r="I119" i="16"/>
  <c r="J210" i="16"/>
  <c r="I210" i="16"/>
  <c r="I136" i="16"/>
  <c r="J136" i="16"/>
  <c r="J75" i="16"/>
  <c r="I75" i="16"/>
  <c r="AG263" i="17"/>
  <c r="AF263" i="17" s="1"/>
  <c r="AD263" i="17" s="1"/>
  <c r="AG187" i="17"/>
  <c r="AF187" i="17" s="1"/>
  <c r="AD187" i="17" s="1"/>
  <c r="AG91" i="17"/>
  <c r="AF91" i="17" s="1"/>
  <c r="AD91" i="17" s="1"/>
  <c r="AG324" i="17"/>
  <c r="AF324" i="17" s="1"/>
  <c r="AD324" i="17" s="1"/>
  <c r="AG250" i="17"/>
  <c r="AF250" i="17" s="1"/>
  <c r="AD250" i="17" s="1"/>
  <c r="AG108" i="17"/>
  <c r="AF108" i="17" s="1"/>
  <c r="AD108" i="17" s="1"/>
  <c r="AG133" i="17"/>
  <c r="AF133" i="17" s="1"/>
  <c r="AD133" i="17" s="1"/>
  <c r="AG126" i="17"/>
  <c r="AF126" i="17" s="1"/>
  <c r="AD126" i="17" s="1"/>
  <c r="AG16" i="17"/>
  <c r="AF16" i="17" s="1"/>
  <c r="AD16" i="17" s="1"/>
  <c r="AG309" i="17"/>
  <c r="AF309" i="17" s="1"/>
  <c r="AD309" i="17" s="1"/>
  <c r="AG77" i="17"/>
  <c r="AF77" i="17" s="1"/>
  <c r="AD77" i="17" s="1"/>
  <c r="AG318" i="17"/>
  <c r="AF318" i="17" s="1"/>
  <c r="AD318" i="17" s="1"/>
  <c r="AG277" i="17"/>
  <c r="AF277" i="17" s="1"/>
  <c r="AD277" i="17" s="1"/>
  <c r="AG143" i="17"/>
  <c r="AF143" i="17" s="1"/>
  <c r="AD143" i="17" s="1"/>
  <c r="AG27" i="17"/>
  <c r="AF27" i="17" s="1"/>
  <c r="AD27" i="17" s="1"/>
  <c r="AG376" i="17"/>
  <c r="AF376" i="17" s="1"/>
  <c r="AD376" i="17" s="1"/>
  <c r="AG123" i="17"/>
  <c r="AF123" i="17" s="1"/>
  <c r="AD123" i="17" s="1"/>
  <c r="AG72" i="17"/>
  <c r="AF72" i="17" s="1"/>
  <c r="AD72" i="17" s="1"/>
  <c r="AG190" i="17"/>
  <c r="AF190" i="17" s="1"/>
  <c r="AD190" i="17" s="1"/>
  <c r="AG59" i="17"/>
  <c r="AF59" i="17" s="1"/>
  <c r="AD59" i="17" s="1"/>
  <c r="AG207" i="17"/>
  <c r="AF207" i="17" s="1"/>
  <c r="AD207" i="17" s="1"/>
  <c r="AG196" i="17"/>
  <c r="AF196" i="17" s="1"/>
  <c r="AD196" i="17" s="1"/>
  <c r="AG159" i="17"/>
  <c r="AF159" i="17" s="1"/>
  <c r="AD159" i="17" s="1"/>
  <c r="AG290" i="17"/>
  <c r="AF290" i="17" s="1"/>
  <c r="AD290" i="17" s="1"/>
  <c r="AG144" i="17"/>
  <c r="AF144" i="17" s="1"/>
  <c r="AD144" i="17" s="1"/>
  <c r="AG225" i="17"/>
  <c r="AF225" i="17" s="1"/>
  <c r="AD225" i="17" s="1"/>
  <c r="AG302" i="17"/>
  <c r="AF302" i="17" s="1"/>
  <c r="AD302" i="17" s="1"/>
  <c r="AG111" i="17"/>
  <c r="AF111" i="17" s="1"/>
  <c r="AD111" i="17" s="1"/>
  <c r="AG141" i="17"/>
  <c r="AF141" i="17" s="1"/>
  <c r="AD141" i="17" s="1"/>
  <c r="AG132" i="17"/>
  <c r="AF132" i="17" s="1"/>
  <c r="AD132" i="17" s="1"/>
  <c r="AG85" i="17"/>
  <c r="AF85" i="17" s="1"/>
  <c r="AD85" i="17" s="1"/>
  <c r="AG332" i="17"/>
  <c r="AF332" i="17" s="1"/>
  <c r="AD332" i="17" s="1"/>
  <c r="AG212" i="17"/>
  <c r="AF212" i="17" s="1"/>
  <c r="AD212" i="17" s="1"/>
  <c r="AG231" i="17"/>
  <c r="AF231" i="17" s="1"/>
  <c r="AD231" i="17" s="1"/>
  <c r="AG155" i="17"/>
  <c r="AF155" i="17" s="1"/>
  <c r="AD155" i="17" s="1"/>
  <c r="AG286" i="17"/>
  <c r="AF286" i="17" s="1"/>
  <c r="AD286" i="17" s="1"/>
  <c r="AG368" i="17"/>
  <c r="AF368" i="17" s="1"/>
  <c r="AD368" i="17" s="1"/>
  <c r="AG58" i="17"/>
  <c r="AF58" i="17" s="1"/>
  <c r="AD58" i="17" s="1"/>
  <c r="AG200" i="17"/>
  <c r="AF200" i="17" s="1"/>
  <c r="AD200" i="17" s="1"/>
  <c r="AG185" i="17"/>
  <c r="AF185" i="17" s="1"/>
  <c r="AD185" i="17" s="1"/>
  <c r="AG52" i="17"/>
  <c r="AF52" i="17" s="1"/>
  <c r="AD52" i="17" s="1"/>
  <c r="AG264" i="17"/>
  <c r="AF264" i="17" s="1"/>
  <c r="AD264" i="17" s="1"/>
  <c r="AG221" i="17"/>
  <c r="AF221" i="17" s="1"/>
  <c r="AD221" i="17" s="1"/>
  <c r="AG220" i="17"/>
  <c r="AF220" i="17" s="1"/>
  <c r="AD220" i="17" s="1"/>
  <c r="AG156" i="17"/>
  <c r="AF156" i="17" s="1"/>
  <c r="AD156" i="17" s="1"/>
  <c r="AG62" i="17"/>
  <c r="AF62" i="17" s="1"/>
  <c r="AD62" i="17" s="1"/>
  <c r="AG284" i="17"/>
  <c r="AF284" i="17" s="1"/>
  <c r="AD284" i="17" s="1"/>
  <c r="AG121" i="17"/>
  <c r="AF121" i="17" s="1"/>
  <c r="AD121" i="17" s="1"/>
  <c r="AG191" i="17"/>
  <c r="AF191" i="17" s="1"/>
  <c r="AD191" i="17" s="1"/>
  <c r="AG88" i="17"/>
  <c r="AF88" i="17" s="1"/>
  <c r="AD88" i="17" s="1"/>
  <c r="AG346" i="17"/>
  <c r="AF346" i="17" s="1"/>
  <c r="AD346" i="17" s="1"/>
  <c r="AG227" i="17"/>
  <c r="AF227" i="17" s="1"/>
  <c r="AD227" i="17" s="1"/>
  <c r="AG128" i="17"/>
  <c r="AF128" i="17" s="1"/>
  <c r="AD128" i="17" s="1"/>
  <c r="AG244" i="17"/>
  <c r="AF244" i="17" s="1"/>
  <c r="AD244" i="17" s="1"/>
  <c r="AG262" i="17"/>
  <c r="AF262" i="17" s="1"/>
  <c r="AD262" i="17" s="1"/>
  <c r="AG316" i="17"/>
  <c r="AF316" i="17" s="1"/>
  <c r="AD316" i="17" s="1"/>
  <c r="AG100" i="17"/>
  <c r="AF100" i="17" s="1"/>
  <c r="AD100" i="17" s="1"/>
  <c r="AG307" i="17"/>
  <c r="AF307" i="17" s="1"/>
  <c r="AD307" i="17" s="1"/>
  <c r="AG230" i="17"/>
  <c r="AF230" i="17" s="1"/>
  <c r="AD230" i="17" s="1"/>
  <c r="AG138" i="17"/>
  <c r="AF138" i="17" s="1"/>
  <c r="AD138" i="17" s="1"/>
  <c r="AG345" i="17"/>
  <c r="AF345" i="17" s="1"/>
  <c r="AD345" i="17" s="1"/>
  <c r="AG288" i="17"/>
  <c r="AF288" i="17" s="1"/>
  <c r="AD288" i="17" s="1"/>
  <c r="AG317" i="17"/>
  <c r="AF317" i="17" s="1"/>
  <c r="AD317" i="17" s="1"/>
  <c r="AG53" i="17"/>
  <c r="AF53" i="17" s="1"/>
  <c r="AD53" i="17" s="1"/>
  <c r="AG136" i="17"/>
  <c r="AF136" i="17" s="1"/>
  <c r="AD136" i="17" s="1"/>
  <c r="AG129" i="17"/>
  <c r="AF129" i="17" s="1"/>
  <c r="AD129" i="17" s="1"/>
  <c r="AG44" i="17"/>
  <c r="AF44" i="17" s="1"/>
  <c r="AD44" i="17" s="1"/>
  <c r="AG306" i="17"/>
  <c r="AF306" i="17" s="1"/>
  <c r="AD306" i="17" s="1"/>
  <c r="AG251" i="17"/>
  <c r="AF251" i="17" s="1"/>
  <c r="AD251" i="17" s="1"/>
  <c r="AG64" i="17"/>
  <c r="AF64" i="17" s="1"/>
  <c r="AD64" i="17" s="1"/>
  <c r="AG222" i="17"/>
  <c r="AF222" i="17" s="1"/>
  <c r="AD222" i="17" s="1"/>
  <c r="AG299" i="17"/>
  <c r="AF299" i="17" s="1"/>
  <c r="AD299" i="17" s="1"/>
  <c r="AG291" i="17"/>
  <c r="AF291" i="17" s="1"/>
  <c r="AD291" i="17" s="1"/>
  <c r="AG237" i="17"/>
  <c r="AF237" i="17" s="1"/>
  <c r="AD237" i="17" s="1"/>
  <c r="AG28" i="17"/>
  <c r="AF28" i="17" s="1"/>
  <c r="AD28" i="17" s="1"/>
  <c r="AG125" i="17"/>
  <c r="AF125" i="17" s="1"/>
  <c r="AD125" i="17" s="1"/>
  <c r="AG178" i="17"/>
  <c r="AF178" i="17" s="1"/>
  <c r="AD178" i="17" s="1"/>
  <c r="AG353" i="17"/>
  <c r="AF353" i="17" s="1"/>
  <c r="AD353" i="17" s="1"/>
  <c r="AG142" i="17"/>
  <c r="AF142" i="17" s="1"/>
  <c r="AD142" i="17" s="1"/>
  <c r="AG347" i="17"/>
  <c r="AF347" i="17" s="1"/>
  <c r="AD347" i="17" s="1"/>
  <c r="AG238" i="17"/>
  <c r="AF238" i="17" s="1"/>
  <c r="AD238" i="17" s="1"/>
  <c r="AG287" i="17"/>
  <c r="AF287" i="17" s="1"/>
  <c r="AD287" i="17" s="1"/>
  <c r="AG154" i="17"/>
  <c r="AF154" i="17" s="1"/>
  <c r="AD154" i="17" s="1"/>
  <c r="AG206" i="17"/>
  <c r="AF206" i="17" s="1"/>
  <c r="AD206" i="17" s="1"/>
  <c r="AG131" i="17"/>
  <c r="AF131" i="17" s="1"/>
  <c r="AD131" i="17" s="1"/>
  <c r="AG254" i="17"/>
  <c r="AF254" i="17" s="1"/>
  <c r="AD254" i="17" s="1"/>
  <c r="AG174" i="17"/>
  <c r="AF174" i="17" s="1"/>
  <c r="AD174" i="17" s="1"/>
  <c r="AG337" i="17"/>
  <c r="AF337" i="17" s="1"/>
  <c r="AD337" i="17" s="1"/>
  <c r="AG358" i="17"/>
  <c r="AF358" i="17" s="1"/>
  <c r="AD358" i="17" s="1"/>
  <c r="AG364" i="17"/>
  <c r="AF364" i="17" s="1"/>
  <c r="AD364" i="17" s="1"/>
  <c r="AG57" i="17"/>
  <c r="AF57" i="17" s="1"/>
  <c r="AD57" i="17" s="1"/>
  <c r="S130" i="17"/>
  <c r="R130" i="17" s="1"/>
  <c r="P130" i="17" s="1"/>
  <c r="V130" i="17" s="1"/>
  <c r="F130" i="17" s="1"/>
  <c r="S121" i="17"/>
  <c r="R121" i="17" s="1"/>
  <c r="P121" i="17" s="1"/>
  <c r="V121" i="17" s="1"/>
  <c r="F121" i="17" s="1"/>
  <c r="S322" i="17"/>
  <c r="R322" i="17" s="1"/>
  <c r="P322" i="17" s="1"/>
  <c r="V322" i="17" s="1"/>
  <c r="F322" i="17" s="1"/>
  <c r="S137" i="17"/>
  <c r="R137" i="17" s="1"/>
  <c r="P137" i="17" s="1"/>
  <c r="V137" i="17" s="1"/>
  <c r="F137" i="17" s="1"/>
  <c r="S363" i="17"/>
  <c r="R363" i="17" s="1"/>
  <c r="P363" i="17" s="1"/>
  <c r="S229" i="17"/>
  <c r="R229" i="17" s="1"/>
  <c r="P229" i="17" s="1"/>
  <c r="V229" i="17" s="1"/>
  <c r="F229" i="17" s="1"/>
  <c r="S108" i="17"/>
  <c r="R108" i="17" s="1"/>
  <c r="P108" i="17" s="1"/>
  <c r="V108" i="17" s="1"/>
  <c r="F108" i="17" s="1"/>
  <c r="S81" i="17"/>
  <c r="R81" i="17" s="1"/>
  <c r="P81" i="17" s="1"/>
  <c r="V81" i="17" s="1"/>
  <c r="F81" i="17" s="1"/>
  <c r="S248" i="17"/>
  <c r="R248" i="17" s="1"/>
  <c r="P248" i="17" s="1"/>
  <c r="V248" i="17" s="1"/>
  <c r="F248" i="17" s="1"/>
  <c r="S220" i="17"/>
  <c r="R220" i="17" s="1"/>
  <c r="P220" i="17" s="1"/>
  <c r="V220" i="17" s="1"/>
  <c r="F220" i="17" s="1"/>
  <c r="S280" i="17"/>
  <c r="R280" i="17" s="1"/>
  <c r="P280" i="17" s="1"/>
  <c r="V280" i="17" s="1"/>
  <c r="F280" i="17" s="1"/>
  <c r="S22" i="17"/>
  <c r="R22" i="17" s="1"/>
  <c r="P22" i="17" s="1"/>
  <c r="V22" i="17" s="1"/>
  <c r="F22" i="17" s="1"/>
  <c r="S343" i="17"/>
  <c r="R343" i="17" s="1"/>
  <c r="P343" i="17" s="1"/>
  <c r="V343" i="17" s="1"/>
  <c r="F343" i="17" s="1"/>
  <c r="S30" i="17"/>
  <c r="R30" i="17" s="1"/>
  <c r="P30" i="17" s="1"/>
  <c r="V30" i="17" s="1"/>
  <c r="F30" i="17" s="1"/>
  <c r="S40" i="17"/>
  <c r="R40" i="17" s="1"/>
  <c r="P40" i="17" s="1"/>
  <c r="V40" i="17" s="1"/>
  <c r="F40" i="17" s="1"/>
  <c r="S213" i="17"/>
  <c r="R213" i="17" s="1"/>
  <c r="P213" i="17" s="1"/>
  <c r="V213" i="17" s="1"/>
  <c r="F213" i="17" s="1"/>
  <c r="S230" i="17"/>
  <c r="R230" i="17" s="1"/>
  <c r="P230" i="17" s="1"/>
  <c r="V230" i="17" s="1"/>
  <c r="F230" i="17" s="1"/>
  <c r="S244" i="17"/>
  <c r="R244" i="17" s="1"/>
  <c r="P244" i="17" s="1"/>
  <c r="V244" i="17" s="1"/>
  <c r="F244" i="17" s="1"/>
  <c r="S77" i="17"/>
  <c r="R77" i="17" s="1"/>
  <c r="P77" i="17" s="1"/>
  <c r="V77" i="17" s="1"/>
  <c r="F77" i="17" s="1"/>
  <c r="S321" i="17"/>
  <c r="R321" i="17" s="1"/>
  <c r="P321" i="17" s="1"/>
  <c r="V321" i="17" s="1"/>
  <c r="F321" i="17" s="1"/>
  <c r="S133" i="17"/>
  <c r="R133" i="17" s="1"/>
  <c r="P133" i="17" s="1"/>
  <c r="V133" i="17" s="1"/>
  <c r="F133" i="17" s="1"/>
  <c r="S268" i="17"/>
  <c r="R268" i="17" s="1"/>
  <c r="P268" i="17" s="1"/>
  <c r="V268" i="17" s="1"/>
  <c r="F268" i="17" s="1"/>
  <c r="S17" i="17"/>
  <c r="R17" i="17" s="1"/>
  <c r="P17" i="17" s="1"/>
  <c r="V17" i="17" s="1"/>
  <c r="F17" i="17" s="1"/>
  <c r="S251" i="17"/>
  <c r="R251" i="17" s="1"/>
  <c r="P251" i="17" s="1"/>
  <c r="V251" i="17" s="1"/>
  <c r="F251" i="17" s="1"/>
  <c r="S134" i="17"/>
  <c r="R134" i="17" s="1"/>
  <c r="P134" i="17" s="1"/>
  <c r="V134" i="17" s="1"/>
  <c r="F134" i="17" s="1"/>
  <c r="S20" i="17"/>
  <c r="R20" i="17" s="1"/>
  <c r="P20" i="17" s="1"/>
  <c r="V20" i="17" s="1"/>
  <c r="F20" i="17" s="1"/>
  <c r="S300" i="17"/>
  <c r="R300" i="17" s="1"/>
  <c r="P300" i="17" s="1"/>
  <c r="V300" i="17" s="1"/>
  <c r="F300" i="17" s="1"/>
  <c r="S335" i="17"/>
  <c r="R335" i="17" s="1"/>
  <c r="P335" i="17" s="1"/>
  <c r="V335" i="17" s="1"/>
  <c r="F335" i="17" s="1"/>
  <c r="S126" i="17"/>
  <c r="R126" i="17" s="1"/>
  <c r="P126" i="17" s="1"/>
  <c r="V126" i="17" s="1"/>
  <c r="F126" i="17" s="1"/>
  <c r="S117" i="17"/>
  <c r="R117" i="17" s="1"/>
  <c r="P117" i="17" s="1"/>
  <c r="V117" i="17" s="1"/>
  <c r="F117" i="17" s="1"/>
  <c r="S104" i="17"/>
  <c r="R104" i="17" s="1"/>
  <c r="P104" i="17" s="1"/>
  <c r="V104" i="17" s="1"/>
  <c r="F104" i="17" s="1"/>
  <c r="S204" i="17"/>
  <c r="R204" i="17" s="1"/>
  <c r="P204" i="17" s="1"/>
  <c r="V204" i="17" s="1"/>
  <c r="F204" i="17" s="1"/>
  <c r="S91" i="17"/>
  <c r="R91" i="17" s="1"/>
  <c r="P91" i="17" s="1"/>
  <c r="V91" i="17" s="1"/>
  <c r="F91" i="17" s="1"/>
  <c r="S118" i="17"/>
  <c r="R118" i="17" s="1"/>
  <c r="P118" i="17" s="1"/>
  <c r="V118" i="17" s="1"/>
  <c r="F118" i="17" s="1"/>
  <c r="S19" i="17"/>
  <c r="R19" i="17" s="1"/>
  <c r="P19" i="17" s="1"/>
  <c r="S82" i="17"/>
  <c r="R82" i="17" s="1"/>
  <c r="P82" i="17" s="1"/>
  <c r="V82" i="17" s="1"/>
  <c r="F82" i="17" s="1"/>
  <c r="S28" i="17"/>
  <c r="R28" i="17" s="1"/>
  <c r="P28" i="17" s="1"/>
  <c r="V28" i="17" s="1"/>
  <c r="F28" i="17" s="1"/>
  <c r="S178" i="17"/>
  <c r="R178" i="17" s="1"/>
  <c r="P178" i="17" s="1"/>
  <c r="V178" i="17" s="1"/>
  <c r="F178" i="17" s="1"/>
  <c r="S350" i="17"/>
  <c r="R350" i="17" s="1"/>
  <c r="P350" i="17" s="1"/>
  <c r="V350" i="17" s="1"/>
  <c r="F350" i="17" s="1"/>
  <c r="S18" i="17"/>
  <c r="R18" i="17" s="1"/>
  <c r="P18" i="17" s="1"/>
  <c r="S119" i="17"/>
  <c r="R119" i="17" s="1"/>
  <c r="P119" i="17" s="1"/>
  <c r="S252" i="17"/>
  <c r="R252" i="17" s="1"/>
  <c r="P252" i="17" s="1"/>
  <c r="V252" i="17" s="1"/>
  <c r="F252" i="17" s="1"/>
  <c r="S308" i="17"/>
  <c r="R308" i="17" s="1"/>
  <c r="P308" i="17" s="1"/>
  <c r="V308" i="17" s="1"/>
  <c r="F308" i="17" s="1"/>
  <c r="S292" i="17"/>
  <c r="R292" i="17" s="1"/>
  <c r="P292" i="17" s="1"/>
  <c r="V292" i="17" s="1"/>
  <c r="F292" i="17" s="1"/>
  <c r="S208" i="17"/>
  <c r="R208" i="17" s="1"/>
  <c r="P208" i="17" s="1"/>
  <c r="V208" i="17" s="1"/>
  <c r="F208" i="17" s="1"/>
  <c r="S276" i="17"/>
  <c r="R276" i="17" s="1"/>
  <c r="P276" i="17" s="1"/>
  <c r="V276" i="17" s="1"/>
  <c r="F276" i="17" s="1"/>
  <c r="S256" i="17"/>
  <c r="R256" i="17" s="1"/>
  <c r="P256" i="17" s="1"/>
  <c r="V256" i="17" s="1"/>
  <c r="F256" i="17" s="1"/>
  <c r="S48" i="17"/>
  <c r="R48" i="17" s="1"/>
  <c r="P48" i="17" s="1"/>
  <c r="V48" i="17" s="1"/>
  <c r="F48" i="17" s="1"/>
  <c r="S71" i="17"/>
  <c r="R71" i="17" s="1"/>
  <c r="P71" i="17" s="1"/>
  <c r="V71" i="17" s="1"/>
  <c r="F71" i="17" s="1"/>
  <c r="S371" i="17"/>
  <c r="R371" i="17" s="1"/>
  <c r="P371" i="17" s="1"/>
  <c r="V371" i="17" s="1"/>
  <c r="F371" i="17" s="1"/>
  <c r="S273" i="17"/>
  <c r="R273" i="17" s="1"/>
  <c r="P273" i="17" s="1"/>
  <c r="V273" i="17" s="1"/>
  <c r="F273" i="17" s="1"/>
  <c r="S225" i="17"/>
  <c r="R225" i="17" s="1"/>
  <c r="P225" i="17" s="1"/>
  <c r="V225" i="17" s="1"/>
  <c r="F225" i="17" s="1"/>
  <c r="S351" i="17"/>
  <c r="R351" i="17" s="1"/>
  <c r="P351" i="17" s="1"/>
  <c r="V351" i="17" s="1"/>
  <c r="F351" i="17" s="1"/>
  <c r="S85" i="17"/>
  <c r="R85" i="17" s="1"/>
  <c r="P85" i="17" s="1"/>
  <c r="V85" i="17" s="1"/>
  <c r="F85" i="17" s="1"/>
  <c r="S259" i="17"/>
  <c r="R259" i="17" s="1"/>
  <c r="P259" i="17" s="1"/>
  <c r="V259" i="17" s="1"/>
  <c r="F259" i="17" s="1"/>
  <c r="S123" i="17"/>
  <c r="R123" i="17" s="1"/>
  <c r="P123" i="17" s="1"/>
  <c r="V123" i="17" s="1"/>
  <c r="F123" i="17" s="1"/>
  <c r="S186" i="17"/>
  <c r="R186" i="17" s="1"/>
  <c r="P186" i="17" s="1"/>
  <c r="V186" i="17" s="1"/>
  <c r="F186" i="17" s="1"/>
  <c r="V29" i="17"/>
  <c r="F29" i="17" s="1"/>
  <c r="D56" i="7"/>
  <c r="S89" i="17"/>
  <c r="R89" i="17" s="1"/>
  <c r="P89" i="17" s="1"/>
  <c r="V89" i="17" s="1"/>
  <c r="F89" i="17" s="1"/>
  <c r="S334" i="17"/>
  <c r="R334" i="17" s="1"/>
  <c r="P334" i="17" s="1"/>
  <c r="V334" i="17" s="1"/>
  <c r="F334" i="17" s="1"/>
  <c r="S105" i="17"/>
  <c r="R105" i="17" s="1"/>
  <c r="P105" i="17" s="1"/>
  <c r="S310" i="17"/>
  <c r="R310" i="17" s="1"/>
  <c r="P310" i="17" s="1"/>
  <c r="V310" i="17" s="1"/>
  <c r="F310" i="17" s="1"/>
  <c r="S165" i="17"/>
  <c r="R165" i="17" s="1"/>
  <c r="P165" i="17" s="1"/>
  <c r="V165" i="17" s="1"/>
  <c r="F165" i="17" s="1"/>
  <c r="S169" i="17"/>
  <c r="R169" i="17" s="1"/>
  <c r="P169" i="17" s="1"/>
  <c r="V169" i="17" s="1"/>
  <c r="F169" i="17" s="1"/>
  <c r="S303" i="17"/>
  <c r="R303" i="17" s="1"/>
  <c r="P303" i="17" s="1"/>
  <c r="V303" i="17" s="1"/>
  <c r="F303" i="17" s="1"/>
  <c r="S302" i="17"/>
  <c r="R302" i="17" s="1"/>
  <c r="P302" i="17" s="1"/>
  <c r="S289" i="17"/>
  <c r="R289" i="17" s="1"/>
  <c r="P289" i="17" s="1"/>
  <c r="V289" i="17" s="1"/>
  <c r="F289" i="17" s="1"/>
  <c r="S319" i="17"/>
  <c r="R319" i="17" s="1"/>
  <c r="P319" i="17" s="1"/>
  <c r="V319" i="17" s="1"/>
  <c r="S192" i="17"/>
  <c r="R192" i="17" s="1"/>
  <c r="P192" i="17" s="1"/>
  <c r="V192" i="17" s="1"/>
  <c r="F192" i="17" s="1"/>
  <c r="S311" i="17"/>
  <c r="R311" i="17" s="1"/>
  <c r="P311" i="17" s="1"/>
  <c r="V311" i="17" s="1"/>
  <c r="F311" i="17" s="1"/>
  <c r="S132" i="17"/>
  <c r="R132" i="17" s="1"/>
  <c r="P132" i="17" s="1"/>
  <c r="V132" i="17" s="1"/>
  <c r="F132" i="17" s="1"/>
  <c r="S359" i="17"/>
  <c r="R359" i="17" s="1"/>
  <c r="P359" i="17" s="1"/>
  <c r="V359" i="17" s="1"/>
  <c r="F359" i="17" s="1"/>
  <c r="S149" i="17"/>
  <c r="R149" i="17" s="1"/>
  <c r="P149" i="17" s="1"/>
  <c r="S332" i="17"/>
  <c r="R332" i="17" s="1"/>
  <c r="P332" i="17" s="1"/>
  <c r="V332" i="17" s="1"/>
  <c r="F332" i="17" s="1"/>
  <c r="S301" i="17"/>
  <c r="R301" i="17" s="1"/>
  <c r="P301" i="17" s="1"/>
  <c r="V301" i="17" s="1"/>
  <c r="F301" i="17" s="1"/>
  <c r="S96" i="17"/>
  <c r="R96" i="17" s="1"/>
  <c r="P96" i="17" s="1"/>
  <c r="V96" i="17" s="1"/>
  <c r="F96" i="17" s="1"/>
  <c r="S226" i="17"/>
  <c r="R226" i="17" s="1"/>
  <c r="P226" i="17" s="1"/>
  <c r="V226" i="17" s="1"/>
  <c r="F226" i="17" s="1"/>
  <c r="S69" i="17"/>
  <c r="R69" i="17" s="1"/>
  <c r="P69" i="17" s="1"/>
  <c r="V69" i="17" s="1"/>
  <c r="F69" i="17" s="1"/>
  <c r="S140" i="17"/>
  <c r="R140" i="17" s="1"/>
  <c r="P140" i="17" s="1"/>
  <c r="V140" i="17" s="1"/>
  <c r="F140" i="17" s="1"/>
  <c r="S142" i="17"/>
  <c r="R142" i="17" s="1"/>
  <c r="P142" i="17" s="1"/>
  <c r="S285" i="17"/>
  <c r="R285" i="17" s="1"/>
  <c r="P285" i="17" s="1"/>
  <c r="V285" i="17" s="1"/>
  <c r="F285" i="17" s="1"/>
  <c r="S364" i="17"/>
  <c r="R364" i="17" s="1"/>
  <c r="P364" i="17" s="1"/>
  <c r="S239" i="17"/>
  <c r="R239" i="17" s="1"/>
  <c r="P239" i="17" s="1"/>
  <c r="V239" i="17" s="1"/>
  <c r="F239" i="17" s="1"/>
  <c r="S172" i="17"/>
  <c r="R172" i="17" s="1"/>
  <c r="P172" i="17" s="1"/>
  <c r="V172" i="17" s="1"/>
  <c r="F172" i="17" s="1"/>
  <c r="S79" i="17"/>
  <c r="R79" i="17" s="1"/>
  <c r="P79" i="17" s="1"/>
  <c r="V79" i="17" s="1"/>
  <c r="F79" i="17" s="1"/>
  <c r="S356" i="17"/>
  <c r="R356" i="17" s="1"/>
  <c r="P356" i="17" s="1"/>
  <c r="S330" i="17"/>
  <c r="R330" i="17" s="1"/>
  <c r="P330" i="17" s="1"/>
  <c r="V330" i="17" s="1"/>
  <c r="F330" i="17" s="1"/>
  <c r="S295" i="17"/>
  <c r="R295" i="17" s="1"/>
  <c r="P295" i="17" s="1"/>
  <c r="V295" i="17" s="1"/>
  <c r="F295" i="17" s="1"/>
  <c r="S345" i="17"/>
  <c r="R345" i="17" s="1"/>
  <c r="P345" i="17" s="1"/>
  <c r="V345" i="17" s="1"/>
  <c r="F345" i="17" s="1"/>
  <c r="S116" i="17"/>
  <c r="R116" i="17" s="1"/>
  <c r="P116" i="17" s="1"/>
  <c r="V116" i="17" s="1"/>
  <c r="F116" i="17" s="1"/>
  <c r="S92" i="17"/>
  <c r="R92" i="17" s="1"/>
  <c r="P92" i="17" s="1"/>
  <c r="V92" i="17" s="1"/>
  <c r="F92" i="17" s="1"/>
  <c r="S253" i="17"/>
  <c r="R253" i="17" s="1"/>
  <c r="P253" i="17" s="1"/>
  <c r="V253" i="17" s="1"/>
  <c r="F253" i="17" s="1"/>
  <c r="AA15" i="15"/>
  <c r="AM10" i="15"/>
  <c r="F381" i="15"/>
  <c r="AK10" i="15"/>
  <c r="AK12" i="15" s="1"/>
  <c r="AK13" i="15" s="1"/>
  <c r="F382" i="15"/>
  <c r="H15" i="15"/>
  <c r="F9" i="15"/>
  <c r="G15" i="15"/>
  <c r="BX15" i="6" s="1"/>
  <c r="F383" i="15"/>
  <c r="J106" i="16"/>
  <c r="I106" i="16"/>
  <c r="I268" i="16"/>
  <c r="J268" i="16"/>
  <c r="Q349" i="18"/>
  <c r="Q128" i="18"/>
  <c r="Q112" i="18"/>
  <c r="Q239" i="18"/>
  <c r="Q83" i="18"/>
  <c r="Q316" i="18"/>
  <c r="Q342" i="18"/>
  <c r="Q216" i="18"/>
  <c r="Q259" i="18"/>
  <c r="Q61" i="18"/>
  <c r="Q192" i="18"/>
  <c r="Q124" i="18"/>
  <c r="Q170" i="18"/>
  <c r="Q204" i="18"/>
  <c r="Q159" i="18"/>
  <c r="AE363" i="18"/>
  <c r="AE324" i="18"/>
  <c r="AE122" i="18"/>
  <c r="AE302" i="18"/>
  <c r="AE187" i="18"/>
  <c r="AE24" i="18"/>
  <c r="AE143" i="18"/>
  <c r="AE121" i="18"/>
  <c r="AE176" i="18"/>
  <c r="AE283" i="18"/>
  <c r="AE54" i="18"/>
  <c r="AE162" i="18"/>
  <c r="AE209" i="18"/>
  <c r="AE147" i="18"/>
  <c r="AE212" i="18"/>
  <c r="AE78" i="18"/>
  <c r="AE170" i="18"/>
  <c r="AE265" i="18"/>
  <c r="AE167" i="18"/>
  <c r="AE216" i="18"/>
  <c r="AE134" i="18"/>
  <c r="AE210" i="18"/>
  <c r="AE289" i="18"/>
  <c r="AE207" i="18"/>
  <c r="AE236" i="18"/>
  <c r="AE158" i="18"/>
  <c r="AE282" i="18"/>
  <c r="AE343" i="18"/>
  <c r="Q378" i="18"/>
  <c r="Q57" i="18"/>
  <c r="Q53" i="18"/>
  <c r="Q59" i="18"/>
  <c r="Q62" i="18"/>
  <c r="Q27" i="18"/>
  <c r="Q15" i="18"/>
  <c r="Q24" i="18"/>
  <c r="Q343" i="18"/>
  <c r="Q177" i="18"/>
  <c r="Q34" i="18"/>
  <c r="Q364" i="18"/>
  <c r="Q130" i="18"/>
  <c r="Q95" i="18"/>
  <c r="Q146" i="18"/>
  <c r="Q273" i="18"/>
  <c r="Q276" i="18"/>
  <c r="Q219" i="18"/>
  <c r="Q82" i="18"/>
  <c r="Q71" i="18"/>
  <c r="Q125" i="18"/>
  <c r="Q252" i="18"/>
  <c r="Q136" i="18"/>
  <c r="D62" i="18"/>
  <c r="E62" i="18" s="1"/>
  <c r="D61" i="18"/>
  <c r="E61" i="18" s="1"/>
  <c r="AE225" i="18"/>
  <c r="AE95" i="18"/>
  <c r="AE68" i="18"/>
  <c r="AE27" i="18"/>
  <c r="AE171" i="18"/>
  <c r="AE128" i="18"/>
  <c r="AE161" i="18"/>
  <c r="AE235" i="18"/>
  <c r="AE204" i="18"/>
  <c r="AE323" i="18"/>
  <c r="AE311" i="18"/>
  <c r="AE280" i="18"/>
  <c r="AE94" i="18"/>
  <c r="AE66" i="18"/>
  <c r="AE372" i="18"/>
  <c r="AE262" i="18"/>
  <c r="AE218" i="18"/>
  <c r="AE117" i="18"/>
  <c r="AE21" i="18"/>
  <c r="AE338" i="18"/>
  <c r="AE281" i="18"/>
  <c r="AE361" i="18"/>
  <c r="AE190" i="18"/>
  <c r="AE77" i="18"/>
  <c r="AE314" i="18"/>
  <c r="AE71" i="18"/>
  <c r="AE379" i="18"/>
  <c r="AE12" i="20" s="1"/>
  <c r="AE120" i="18"/>
  <c r="AE243" i="18"/>
  <c r="AE309" i="18"/>
  <c r="AE272" i="18"/>
  <c r="AE19" i="18"/>
  <c r="AE246" i="18"/>
  <c r="AE101" i="18"/>
  <c r="AE354" i="18"/>
  <c r="AE107" i="18"/>
  <c r="AE35" i="18"/>
  <c r="AE140" i="18"/>
  <c r="AE247" i="18"/>
  <c r="AE331" i="18"/>
  <c r="AE308" i="18"/>
  <c r="AE90" i="18"/>
  <c r="AE270" i="18"/>
  <c r="AE157" i="18"/>
  <c r="AE362" i="18"/>
  <c r="AE127" i="18"/>
  <c r="AE89" i="18"/>
  <c r="AE160" i="18"/>
  <c r="AE267" i="18"/>
  <c r="AE22" i="18"/>
  <c r="AE312" i="18"/>
  <c r="AE130" i="18"/>
  <c r="AE326" i="18"/>
  <c r="AE179" i="18"/>
  <c r="AE28" i="18"/>
  <c r="AE131" i="18"/>
  <c r="Q260" i="18"/>
  <c r="Q153" i="18"/>
  <c r="Q267" i="18"/>
  <c r="Q134" i="18"/>
  <c r="Q257" i="18"/>
  <c r="Q79" i="18"/>
  <c r="Q132" i="18"/>
  <c r="Q196" i="18"/>
  <c r="Q246" i="18"/>
  <c r="Q162" i="18"/>
  <c r="Q234" i="18"/>
  <c r="Q300" i="18"/>
  <c r="Q184" i="18"/>
  <c r="Q43" i="18"/>
  <c r="Q313" i="18"/>
  <c r="Q108" i="18"/>
  <c r="Q256" i="18"/>
  <c r="Q47" i="18"/>
  <c r="Q322" i="18"/>
  <c r="Q356" i="18"/>
  <c r="Q87" i="18"/>
  <c r="Q212" i="18"/>
  <c r="Q214" i="18"/>
  <c r="Q107" i="18"/>
  <c r="Q323" i="18"/>
  <c r="Q266" i="18"/>
  <c r="Q77" i="18"/>
  <c r="Q74" i="18"/>
  <c r="Q290" i="18"/>
  <c r="Q222" i="18"/>
  <c r="Q172" i="18"/>
  <c r="Q111" i="18"/>
  <c r="Q75" i="18"/>
  <c r="Q271" i="18"/>
  <c r="Q329" i="18"/>
  <c r="Q165" i="18"/>
  <c r="Q81" i="18"/>
  <c r="Q315" i="18"/>
  <c r="Q65" i="18"/>
  <c r="Q50" i="18"/>
  <c r="Q243" i="18"/>
  <c r="Q175" i="18"/>
  <c r="Q92" i="18"/>
  <c r="Q109" i="18"/>
  <c r="Q138" i="18"/>
  <c r="J11" i="19"/>
  <c r="AA11" i="1"/>
  <c r="AA5" i="1" s="1"/>
  <c r="I11" i="19" s="1"/>
  <c r="I35" i="19" s="1"/>
  <c r="Z11" i="1"/>
  <c r="Z5" i="1" s="1"/>
  <c r="H11" i="19" s="1"/>
  <c r="H35" i="19" s="1"/>
  <c r="AM13" i="1"/>
  <c r="AK4" i="1"/>
  <c r="R11" i="19" s="1"/>
  <c r="N12" i="19" s="1"/>
  <c r="Y11" i="1"/>
  <c r="D47" i="18"/>
  <c r="E47" i="18" s="1"/>
  <c r="D159" i="18"/>
  <c r="E159" i="18" s="1"/>
  <c r="D269" i="18"/>
  <c r="E269" i="18" s="1"/>
  <c r="D275" i="18"/>
  <c r="E275" i="18" s="1"/>
  <c r="W128" i="18"/>
  <c r="W239" i="18"/>
  <c r="W170" i="18"/>
  <c r="W184" i="18"/>
  <c r="D226" i="18"/>
  <c r="E226" i="18" s="1"/>
  <c r="W226" i="18"/>
  <c r="W228" i="18"/>
  <c r="D228" i="18"/>
  <c r="E228" i="18" s="1"/>
  <c r="W99" i="18"/>
  <c r="D99" i="18"/>
  <c r="E99" i="18" s="1"/>
  <c r="D83" i="18"/>
  <c r="E83" i="18" s="1"/>
  <c r="W83" i="18"/>
  <c r="D259" i="18"/>
  <c r="E259" i="18" s="1"/>
  <c r="W259" i="18"/>
  <c r="W192" i="18"/>
  <c r="D192" i="18"/>
  <c r="E192" i="18" s="1"/>
  <c r="D284" i="18"/>
  <c r="E284" i="18" s="1"/>
  <c r="W284" i="18"/>
  <c r="D216" i="18"/>
  <c r="E216" i="18" s="1"/>
  <c r="W216" i="18"/>
  <c r="W124" i="18"/>
  <c r="D124" i="18"/>
  <c r="E124" i="18" s="1"/>
  <c r="D204" i="18"/>
  <c r="E204" i="18" s="1"/>
  <c r="W204" i="18"/>
  <c r="AC15" i="7"/>
  <c r="Q265" i="18"/>
  <c r="Q137" i="18"/>
  <c r="Q291" i="18"/>
  <c r="Q341" i="18"/>
  <c r="Q102" i="18"/>
  <c r="Q334" i="18"/>
  <c r="Q340" i="18"/>
  <c r="Q295" i="18"/>
  <c r="Q148" i="18"/>
  <c r="Q264" i="18"/>
  <c r="Q282" i="18"/>
  <c r="Q115" i="18"/>
  <c r="Q258" i="18"/>
  <c r="Q168" i="18"/>
  <c r="Q106" i="18"/>
  <c r="Q127" i="18"/>
  <c r="Q371" i="18"/>
  <c r="Q101" i="18"/>
  <c r="Q122" i="18"/>
  <c r="Q63" i="18"/>
  <c r="Q283" i="18"/>
  <c r="Q157" i="18"/>
  <c r="Q37" i="18"/>
  <c r="Q297" i="18"/>
  <c r="Q169" i="18"/>
  <c r="Q355" i="18"/>
  <c r="Q373" i="18"/>
  <c r="Q207" i="18"/>
  <c r="Q270" i="18"/>
  <c r="Q308" i="18"/>
  <c r="Q359" i="18"/>
  <c r="Q20" i="18"/>
  <c r="Q232" i="18"/>
  <c r="Q218" i="18"/>
  <c r="Q179" i="18"/>
  <c r="Q76" i="18"/>
  <c r="Q40" i="18"/>
  <c r="Q209" i="18"/>
  <c r="Q174" i="18"/>
  <c r="Q46" i="18"/>
  <c r="Q104" i="18"/>
  <c r="Q26" i="18"/>
  <c r="Q262" i="18"/>
  <c r="Q350" i="18"/>
  <c r="Q93" i="18"/>
  <c r="Q336" i="18"/>
  <c r="Q160" i="18"/>
  <c r="Q16" i="18"/>
  <c r="Q114" i="18"/>
  <c r="Q21" i="18"/>
  <c r="Q135" i="18"/>
  <c r="Q225" i="18"/>
  <c r="Q97" i="18"/>
  <c r="Q211" i="18"/>
  <c r="Q301" i="18"/>
  <c r="Q173" i="18"/>
  <c r="Q379" i="18"/>
  <c r="Q64" i="18"/>
  <c r="Q197" i="18"/>
  <c r="Q94" i="18"/>
  <c r="Q145" i="18"/>
  <c r="Q344" i="18"/>
  <c r="Q67" i="18"/>
  <c r="Q311" i="18"/>
  <c r="Q202" i="18"/>
  <c r="Q255" i="18"/>
  <c r="Q183" i="18"/>
  <c r="Q113" i="18"/>
  <c r="Q233" i="18"/>
  <c r="Q105" i="18"/>
  <c r="Q227" i="18"/>
  <c r="Q309" i="18"/>
  <c r="Q181" i="18"/>
  <c r="Q363" i="18"/>
  <c r="Q372" i="18"/>
  <c r="Q231" i="18"/>
  <c r="Q230" i="18"/>
  <c r="Q296" i="18"/>
  <c r="Q346" i="18"/>
  <c r="Q51" i="18"/>
  <c r="Q375" i="18"/>
  <c r="Q240" i="18"/>
  <c r="Q131" i="18"/>
  <c r="Q44" i="18"/>
  <c r="Q84" i="18"/>
  <c r="Q166" i="18"/>
  <c r="Q281" i="18"/>
  <c r="Q199" i="18"/>
  <c r="Q126" i="18"/>
  <c r="Q191" i="18"/>
  <c r="Q303" i="18"/>
  <c r="Q90" i="18"/>
  <c r="Q32" i="18"/>
  <c r="Q143" i="18"/>
  <c r="Q213" i="18"/>
  <c r="Q85" i="18"/>
  <c r="Q158" i="18"/>
  <c r="Q289" i="18"/>
  <c r="Q161" i="18"/>
  <c r="Q339" i="18"/>
  <c r="Q365" i="18"/>
  <c r="Q223" i="18"/>
  <c r="Q254" i="18"/>
  <c r="Q121" i="18"/>
  <c r="Q325" i="18"/>
  <c r="Q366" i="18"/>
  <c r="Q263" i="18"/>
  <c r="Q285" i="18"/>
  <c r="Q203" i="18"/>
  <c r="Q25" i="18"/>
  <c r="Q42" i="18"/>
  <c r="Q250" i="18"/>
  <c r="Q186" i="18"/>
  <c r="Q241" i="18"/>
  <c r="Q154" i="18"/>
  <c r="Q41" i="18"/>
  <c r="Q17" i="18"/>
  <c r="Q245" i="18"/>
  <c r="Q117" i="18"/>
  <c r="Q235" i="18"/>
  <c r="Q321" i="18"/>
  <c r="Q22" i="18"/>
  <c r="Q358" i="18"/>
  <c r="Q360" i="18"/>
  <c r="Q287" i="18"/>
  <c r="Q190" i="18"/>
  <c r="Q54" i="18"/>
  <c r="Q368" i="18"/>
  <c r="Q238" i="18"/>
  <c r="Q370" i="18"/>
  <c r="Q221" i="18"/>
  <c r="Q39" i="18"/>
  <c r="Q220" i="18"/>
  <c r="Q369" i="18"/>
  <c r="Q60" i="18"/>
  <c r="Q314" i="18"/>
  <c r="Q164" i="18"/>
  <c r="Q201" i="18"/>
  <c r="Q73" i="18"/>
  <c r="Q142" i="18"/>
  <c r="Q277" i="18"/>
  <c r="Q149" i="18"/>
  <c r="Q299" i="18"/>
  <c r="Q353" i="18"/>
  <c r="Q150" i="18"/>
  <c r="Q294" i="18"/>
  <c r="Q328" i="18"/>
  <c r="Q351" i="18"/>
  <c r="Q68" i="18"/>
  <c r="Q247" i="18"/>
  <c r="Q304" i="18"/>
  <c r="Q36" i="18"/>
  <c r="Q242" i="18"/>
  <c r="Q66" i="18"/>
  <c r="Q330" i="18"/>
  <c r="Q348" i="18"/>
  <c r="Q80" i="18"/>
  <c r="Q119" i="18"/>
  <c r="Q319" i="18"/>
  <c r="Q167" i="18"/>
  <c r="Q361" i="18"/>
  <c r="Q215" i="18"/>
  <c r="Q278" i="18"/>
  <c r="Q320" i="18"/>
  <c r="Q335" i="18"/>
  <c r="Q100" i="18"/>
  <c r="Q244" i="18"/>
  <c r="Q274" i="18"/>
  <c r="Q139" i="18"/>
  <c r="Q152" i="18"/>
  <c r="Q23" i="18"/>
  <c r="Q185" i="18"/>
  <c r="Q78" i="18"/>
  <c r="Q133" i="18"/>
  <c r="Q337" i="18"/>
  <c r="Q326" i="18"/>
  <c r="Q327" i="18"/>
  <c r="Q357" i="18"/>
  <c r="Q89" i="18"/>
  <c r="Q317" i="18"/>
  <c r="Q147" i="18"/>
  <c r="Q120" i="18"/>
  <c r="Q310" i="18"/>
  <c r="AE232" i="18"/>
  <c r="AE298" i="18"/>
  <c r="AE263" i="18"/>
  <c r="AE374" i="18"/>
  <c r="AE229" i="18"/>
  <c r="AE93" i="18"/>
  <c r="AE156" i="18"/>
  <c r="AE146" i="18"/>
  <c r="AE185" i="18"/>
  <c r="AE206" i="18"/>
  <c r="AE65" i="18"/>
  <c r="AE336" i="18"/>
  <c r="AE80" i="18"/>
  <c r="AE26" i="18"/>
  <c r="AE123" i="18"/>
  <c r="AE70" i="18"/>
  <c r="AE297" i="18"/>
  <c r="AE276" i="18"/>
  <c r="AE20" i="18"/>
  <c r="AE307" i="18"/>
  <c r="AE45" i="18"/>
  <c r="AE269" i="18"/>
  <c r="AE133" i="18"/>
  <c r="AE184" i="18"/>
  <c r="AE202" i="18"/>
  <c r="AE215" i="18"/>
  <c r="AE278" i="18"/>
  <c r="AE137" i="18"/>
  <c r="AE364" i="18"/>
  <c r="AE108" i="18"/>
  <c r="AE50" i="18"/>
  <c r="AE135" i="18"/>
  <c r="AE110" i="18"/>
  <c r="AE335" i="18"/>
  <c r="AE288" i="18"/>
  <c r="AE32" i="18"/>
  <c r="AE337" i="18"/>
  <c r="AE75" i="18"/>
  <c r="AE339" i="18"/>
  <c r="AE203" i="18"/>
  <c r="AE228" i="18"/>
  <c r="AE290" i="18"/>
  <c r="AE259" i="18"/>
  <c r="AE318" i="18"/>
  <c r="AE175" i="18"/>
  <c r="AE39" i="18"/>
  <c r="AE136" i="18"/>
  <c r="AE106" i="18"/>
  <c r="AE163" i="18"/>
  <c r="AE182" i="18"/>
  <c r="AE43" i="18"/>
  <c r="AE316" i="18"/>
  <c r="AE60" i="18"/>
  <c r="AE349" i="18"/>
  <c r="AE87" i="18"/>
  <c r="AE377" i="18"/>
  <c r="AE241" i="18"/>
  <c r="AE240" i="18"/>
  <c r="AE346" i="18"/>
  <c r="AE287" i="18"/>
  <c r="AE25" i="18"/>
  <c r="AE245" i="18"/>
  <c r="AE109" i="18"/>
  <c r="AE180" i="18"/>
  <c r="AE194" i="18"/>
  <c r="AE211" i="18"/>
  <c r="AE222" i="18"/>
  <c r="AE81" i="18"/>
  <c r="AE344" i="18"/>
  <c r="AE88" i="18"/>
  <c r="AE375" i="18"/>
  <c r="AE115" i="18"/>
  <c r="AE86" i="18"/>
  <c r="AE313" i="18"/>
  <c r="AE268" i="18"/>
  <c r="AE370" i="18"/>
  <c r="AE299" i="18"/>
  <c r="AE37" i="18"/>
  <c r="AE285" i="18"/>
  <c r="AE149" i="18"/>
  <c r="AE192" i="18"/>
  <c r="AE250" i="18"/>
  <c r="AE239" i="18"/>
  <c r="AE294" i="18"/>
  <c r="AE153" i="18"/>
  <c r="AE17" i="18"/>
  <c r="AE132" i="18"/>
  <c r="AE98" i="18"/>
  <c r="AE159" i="18"/>
  <c r="AE126" i="18"/>
  <c r="AE351" i="18"/>
  <c r="AE296" i="18"/>
  <c r="AE40" i="18"/>
  <c r="AE329" i="18"/>
  <c r="AE67" i="18"/>
  <c r="AE355" i="18"/>
  <c r="AE217" i="18"/>
  <c r="AE220" i="18"/>
  <c r="AE274" i="18"/>
  <c r="AE251" i="18"/>
  <c r="AE334" i="18"/>
  <c r="AE191" i="18"/>
  <c r="AE55" i="18"/>
  <c r="AE144" i="18"/>
  <c r="AE154" i="18"/>
  <c r="AE189" i="18"/>
  <c r="AE198" i="18"/>
  <c r="AE59" i="18"/>
  <c r="AE340" i="18"/>
  <c r="AE84" i="18"/>
  <c r="AE373" i="18"/>
  <c r="AE111" i="18"/>
  <c r="AE30" i="18"/>
  <c r="AE257" i="18"/>
  <c r="AE248" i="18"/>
  <c r="AE330" i="18"/>
  <c r="AE279" i="18"/>
  <c r="AE18" i="18"/>
  <c r="AE261" i="18"/>
  <c r="AE125" i="18"/>
  <c r="AE172" i="18"/>
  <c r="AE178" i="18"/>
  <c r="AE201" i="18"/>
  <c r="AE238" i="18"/>
  <c r="AE97" i="18"/>
  <c r="AE352" i="18"/>
  <c r="AE96" i="18"/>
  <c r="AE58" i="18"/>
  <c r="AE139" i="18"/>
  <c r="AE102" i="18"/>
  <c r="AE327" i="18"/>
  <c r="AE292" i="18"/>
  <c r="AE36" i="18"/>
  <c r="AE325" i="18"/>
  <c r="AE61" i="18"/>
  <c r="AE301" i="18"/>
  <c r="AE165" i="18"/>
  <c r="AE200" i="18"/>
  <c r="AE234" i="18"/>
  <c r="AE231" i="18"/>
  <c r="AE310" i="18"/>
  <c r="W112" i="18"/>
  <c r="AE113" i="18"/>
  <c r="AE254" i="18"/>
  <c r="AE227" i="18"/>
  <c r="AE226" i="18"/>
  <c r="AE196" i="18"/>
  <c r="AE141" i="18"/>
  <c r="AE277" i="18"/>
  <c r="AE41" i="18"/>
  <c r="AE303" i="18"/>
  <c r="AE378" i="18"/>
  <c r="AE256" i="18"/>
  <c r="AE273" i="18"/>
  <c r="AE46" i="18"/>
  <c r="AE103" i="18"/>
  <c r="AE365" i="18"/>
  <c r="AE76" i="18"/>
  <c r="AE332" i="18"/>
  <c r="AE73" i="18"/>
  <c r="AE214" i="18"/>
  <c r="AE181" i="18"/>
  <c r="AE138" i="18"/>
  <c r="AE152" i="18"/>
  <c r="AE69" i="18"/>
  <c r="AE205" i="18"/>
  <c r="AE350" i="18"/>
  <c r="AE275" i="18"/>
  <c r="AE322" i="18"/>
  <c r="AE244" i="18"/>
  <c r="AE233" i="18"/>
  <c r="AE371" i="18"/>
  <c r="AE91" i="18"/>
  <c r="AE353" i="18"/>
  <c r="AE48" i="18"/>
  <c r="AE304" i="18"/>
  <c r="AE367" i="18"/>
  <c r="AE142" i="18"/>
  <c r="AE151" i="18"/>
  <c r="AE82" i="18"/>
  <c r="AE124" i="18"/>
  <c r="AE31" i="18"/>
  <c r="AE169" i="18"/>
  <c r="AE99" i="18"/>
  <c r="AE72" i="18"/>
  <c r="AE51" i="18"/>
  <c r="AE193" i="18"/>
  <c r="AE164" i="18"/>
  <c r="AE213" i="18"/>
  <c r="AE271" i="18"/>
  <c r="AE224" i="18"/>
  <c r="AE347" i="18"/>
  <c r="AE333" i="18"/>
  <c r="AE300" i="18"/>
  <c r="AE150" i="18"/>
  <c r="AE74" i="18"/>
  <c r="AE376" i="18"/>
  <c r="AE286" i="18"/>
  <c r="AE258" i="18"/>
  <c r="AE173" i="18"/>
  <c r="AE57" i="18"/>
  <c r="AE15" i="18"/>
  <c r="AE305" i="18"/>
  <c r="AE119" i="18"/>
  <c r="AE92" i="18"/>
  <c r="AE105" i="18"/>
  <c r="AE197" i="18"/>
  <c r="AE168" i="18"/>
  <c r="AE237" i="18"/>
  <c r="AE291" i="18"/>
  <c r="AE260" i="18"/>
  <c r="AE38" i="18"/>
  <c r="AE369" i="18"/>
  <c r="AE320" i="18"/>
  <c r="AE174" i="18"/>
  <c r="AE114" i="18"/>
  <c r="AE63" i="18"/>
  <c r="AE342" i="18"/>
  <c r="AE266" i="18"/>
  <c r="AE195" i="18"/>
  <c r="AE79" i="18"/>
  <c r="AE52" i="18"/>
  <c r="AE359" i="18"/>
  <c r="AE155" i="18"/>
  <c r="AE112" i="18"/>
  <c r="AE129" i="18"/>
  <c r="AE219" i="18"/>
  <c r="AE188" i="18"/>
  <c r="AE293" i="18"/>
  <c r="AE295" i="18"/>
  <c r="AE264" i="18"/>
  <c r="AE62" i="18"/>
  <c r="AE34" i="18"/>
  <c r="AE356" i="18"/>
  <c r="AE230" i="18"/>
  <c r="AE186" i="18"/>
  <c r="AE85" i="18"/>
  <c r="AE366" i="18"/>
  <c r="AE306" i="18"/>
  <c r="AE249" i="18"/>
  <c r="AE83" i="18"/>
  <c r="AE56" i="18"/>
  <c r="AE16" i="18"/>
  <c r="AE177" i="18"/>
  <c r="AE148" i="18"/>
  <c r="AE183" i="18"/>
  <c r="AE255" i="18"/>
  <c r="AE208" i="18"/>
  <c r="AE317" i="18"/>
  <c r="AE315" i="18"/>
  <c r="AE284" i="18"/>
  <c r="AE118" i="18"/>
  <c r="AE42" i="18"/>
  <c r="AE360" i="18"/>
  <c r="Q55" i="18"/>
  <c r="Q331" i="18"/>
  <c r="Q302" i="18"/>
  <c r="Q86" i="18"/>
  <c r="Q261" i="18"/>
  <c r="Q318" i="18"/>
  <c r="Q333" i="18"/>
  <c r="Q129" i="18"/>
  <c r="Q30" i="18"/>
  <c r="Q178" i="18"/>
  <c r="Q96" i="18"/>
  <c r="Q253" i="18"/>
  <c r="Q56" i="18"/>
  <c r="Q180" i="18"/>
  <c r="Q171" i="18"/>
  <c r="Q367" i="18"/>
  <c r="Q377" i="18"/>
  <c r="Q45" i="18"/>
  <c r="Q31" i="18"/>
  <c r="Q163" i="18"/>
  <c r="Q224" i="18"/>
  <c r="Q354" i="18"/>
  <c r="Q182" i="18"/>
  <c r="Q19" i="18"/>
  <c r="Q195" i="18"/>
  <c r="Q49" i="18"/>
  <c r="Q292" i="18"/>
  <c r="Q374" i="18"/>
  <c r="Q151" i="18"/>
  <c r="Q98" i="18"/>
  <c r="Q176" i="18"/>
  <c r="Q298" i="18"/>
  <c r="Q116" i="18"/>
  <c r="Q332" i="18"/>
  <c r="Q248" i="18"/>
  <c r="Q312" i="18"/>
  <c r="Q229" i="18"/>
  <c r="Q198" i="18"/>
  <c r="Q38" i="18"/>
  <c r="Q249" i="18"/>
  <c r="Q88" i="18"/>
  <c r="Q210" i="18"/>
  <c r="Q35" i="18"/>
  <c r="Q288" i="18"/>
  <c r="Q279" i="18"/>
  <c r="Q345" i="18"/>
  <c r="Q286" i="18"/>
  <c r="Q293" i="18"/>
  <c r="Q324" i="18"/>
  <c r="Q144" i="18"/>
  <c r="Q52" i="18"/>
  <c r="Q187" i="18"/>
  <c r="Q205" i="18"/>
  <c r="Q48" i="18"/>
  <c r="Q156" i="18"/>
  <c r="Q91" i="18"/>
  <c r="Q268" i="18"/>
  <c r="Q29" i="18"/>
  <c r="Q189" i="18"/>
  <c r="Q272" i="18"/>
  <c r="Q307" i="18"/>
  <c r="Q69" i="18"/>
  <c r="Q58" i="18"/>
  <c r="Q200" i="18"/>
  <c r="Q338" i="18"/>
  <c r="Q206" i="18"/>
  <c r="Q352" i="18"/>
  <c r="Q118" i="18"/>
  <c r="Q306" i="18"/>
  <c r="Q70" i="18"/>
  <c r="Q194" i="18"/>
  <c r="Q280" i="18"/>
  <c r="Q103" i="18"/>
  <c r="Q188" i="18"/>
  <c r="Q141" i="18"/>
  <c r="Q110" i="18"/>
  <c r="Q193" i="18"/>
  <c r="Q72" i="18"/>
  <c r="Q140" i="18"/>
  <c r="Q217" i="18"/>
  <c r="Q347" i="18"/>
  <c r="Q208" i="18"/>
  <c r="Q305" i="18"/>
  <c r="Q18" i="18"/>
  <c r="Q123" i="18"/>
  <c r="Q251" i="18"/>
  <c r="Q237" i="18"/>
  <c r="Q33" i="18"/>
  <c r="Q28" i="18"/>
  <c r="Q155" i="18"/>
  <c r="Q236" i="18"/>
  <c r="AC271" i="25" l="1"/>
  <c r="AC358" i="25"/>
  <c r="AC367" i="25"/>
  <c r="AC319" i="25"/>
  <c r="AC306" i="25"/>
  <c r="AC333" i="25"/>
  <c r="AC147" i="25"/>
  <c r="AC192" i="25"/>
  <c r="AC348" i="25"/>
  <c r="AC315" i="25"/>
  <c r="AC353" i="25"/>
  <c r="AC283" i="25"/>
  <c r="AC323" i="25"/>
  <c r="AC177" i="25"/>
  <c r="AC290" i="25"/>
  <c r="AC356" i="25"/>
  <c r="AC214" i="25"/>
  <c r="AC304" i="25"/>
  <c r="AC355" i="25"/>
  <c r="AC209" i="25"/>
  <c r="AC300" i="25"/>
  <c r="AC359" i="25"/>
  <c r="AC363" i="25"/>
  <c r="AC301" i="25"/>
  <c r="AC171" i="25"/>
  <c r="AC324" i="25"/>
  <c r="AC168" i="25"/>
  <c r="AC275" i="25"/>
  <c r="AC260" i="25"/>
  <c r="AC331" i="25"/>
  <c r="AC344" i="25"/>
  <c r="AC224" i="25"/>
  <c r="AC294" i="25"/>
  <c r="AC351" i="25"/>
  <c r="AC292" i="25"/>
  <c r="AC222" i="25"/>
  <c r="AC150" i="25"/>
  <c r="AC360" i="25"/>
  <c r="AC321" i="25"/>
  <c r="AC343" i="25"/>
  <c r="AC221" i="25"/>
  <c r="AC314" i="25"/>
  <c r="AC194" i="25"/>
  <c r="AC172" i="25"/>
  <c r="AC286" i="25"/>
  <c r="AC199" i="25"/>
  <c r="AC183" i="25"/>
  <c r="AC376" i="25"/>
  <c r="AC374" i="25"/>
  <c r="AC164" i="25"/>
  <c r="AC308" i="25"/>
  <c r="AC193" i="25"/>
  <c r="AC310" i="25"/>
  <c r="AC179" i="25"/>
  <c r="AC337" i="25"/>
  <c r="AC236" i="25"/>
  <c r="AC338" i="25"/>
  <c r="AC311" i="25"/>
  <c r="AC258" i="25"/>
  <c r="AC153" i="25"/>
  <c r="AC373" i="25"/>
  <c r="AC366" i="25"/>
  <c r="AC307" i="25"/>
  <c r="AC203" i="25"/>
  <c r="AC284" i="25"/>
  <c r="AC252" i="25"/>
  <c r="AC330" i="25"/>
  <c r="AC157" i="25"/>
  <c r="AC375" i="25"/>
  <c r="AC266" i="25"/>
  <c r="AC135" i="25"/>
  <c r="AC217" i="25"/>
  <c r="AC332" i="25"/>
  <c r="AC326" i="25"/>
  <c r="AC325" i="25"/>
  <c r="AC205" i="25"/>
  <c r="AC256" i="25"/>
  <c r="AC368" i="25"/>
  <c r="AC309" i="25"/>
  <c r="AC237" i="25"/>
  <c r="AC268" i="25"/>
  <c r="AC139" i="25"/>
  <c r="AC254" i="25"/>
  <c r="AC218" i="25"/>
  <c r="AC377" i="25"/>
  <c r="AC235" i="25"/>
  <c r="AC339" i="25"/>
  <c r="AC190" i="25"/>
  <c r="AC352" i="25"/>
  <c r="AC198" i="25"/>
  <c r="AC215" i="25"/>
  <c r="AC263" i="25"/>
  <c r="AC296" i="25"/>
  <c r="AC255" i="25"/>
  <c r="AC267" i="25"/>
  <c r="AC166" i="25"/>
  <c r="AC327" i="25"/>
  <c r="AC145" i="25"/>
  <c r="AC350" i="25"/>
  <c r="AC261" i="25"/>
  <c r="AC349" i="25"/>
  <c r="AC226" i="25"/>
  <c r="AC240" i="25"/>
  <c r="AC336" i="25"/>
  <c r="AC334" i="25"/>
  <c r="AC175" i="25"/>
  <c r="AC189" i="25"/>
  <c r="AC295" i="25"/>
  <c r="AC340" i="25"/>
  <c r="AC273" i="25"/>
  <c r="AC277" i="25"/>
  <c r="AC264" i="25"/>
  <c r="AC317" i="25"/>
  <c r="AC239" i="25"/>
  <c r="AC248" i="25"/>
  <c r="AC329" i="25"/>
  <c r="AC272" i="25"/>
  <c r="AC289" i="25"/>
  <c r="AC371" i="25"/>
  <c r="AC182" i="25"/>
  <c r="AC381" i="24"/>
  <c r="AC383" i="24"/>
  <c r="AC312" i="25"/>
  <c r="AC146" i="25"/>
  <c r="AC165" i="25"/>
  <c r="AC167" i="25"/>
  <c r="AC241" i="25"/>
  <c r="AC187" i="25"/>
  <c r="AC230" i="25"/>
  <c r="AC251" i="25"/>
  <c r="AC160" i="25"/>
  <c r="AC280" i="25"/>
  <c r="AC357" i="25"/>
  <c r="AC142" i="25"/>
  <c r="AC211" i="25"/>
  <c r="AC293" i="25"/>
  <c r="AC174" i="25"/>
  <c r="AC178" i="25"/>
  <c r="AC253" i="25"/>
  <c r="AC197" i="25"/>
  <c r="AC369" i="25"/>
  <c r="AC279" i="25"/>
  <c r="AC216" i="25"/>
  <c r="AC347" i="25"/>
  <c r="AC302" i="25"/>
  <c r="AC364" i="25"/>
  <c r="AC202" i="25"/>
  <c r="AC365" i="25"/>
  <c r="AC313" i="25"/>
  <c r="AC265" i="25"/>
  <c r="AC201" i="25"/>
  <c r="AC345" i="25"/>
  <c r="AC238" i="25"/>
  <c r="AC181" i="25"/>
  <c r="AC225" i="25"/>
  <c r="AC361" i="25"/>
  <c r="AC220" i="25"/>
  <c r="AC188" i="25"/>
  <c r="AC138" i="25"/>
  <c r="AC234" i="25"/>
  <c r="AC249" i="25"/>
  <c r="AC299" i="25"/>
  <c r="AC210" i="25"/>
  <c r="AC176" i="25"/>
  <c r="AC257" i="25"/>
  <c r="AC140" i="25"/>
  <c r="AC207" i="25"/>
  <c r="AC298" i="25"/>
  <c r="AC346" i="25"/>
  <c r="AC141" i="25"/>
  <c r="AC282" i="25"/>
  <c r="AC382" i="24"/>
  <c r="AC247" i="25"/>
  <c r="AC297" i="25"/>
  <c r="AC208" i="25"/>
  <c r="AC173" i="25"/>
  <c r="AC274" i="25"/>
  <c r="AC318" i="25"/>
  <c r="AC285" i="25"/>
  <c r="AC362" i="25"/>
  <c r="AC303" i="25"/>
  <c r="AC228" i="25"/>
  <c r="AC291" i="25"/>
  <c r="AC354" i="25"/>
  <c r="AC276" i="25"/>
  <c r="AC144" i="25"/>
  <c r="AC233" i="25"/>
  <c r="AC185" i="25"/>
  <c r="AC156" i="25"/>
  <c r="AC162" i="25"/>
  <c r="AC316" i="25"/>
  <c r="AC149" i="25"/>
  <c r="AC322" i="25"/>
  <c r="AC379" i="25"/>
  <c r="AC242" i="25"/>
  <c r="AC287" i="25"/>
  <c r="AC244" i="25"/>
  <c r="AC184" i="25"/>
  <c r="AC243" i="25"/>
  <c r="AC161" i="25"/>
  <c r="AC229" i="25"/>
  <c r="AC270" i="25"/>
  <c r="AC143" i="25"/>
  <c r="AC378" i="25"/>
  <c r="AC328" i="25"/>
  <c r="AC204" i="25"/>
  <c r="AC191" i="25"/>
  <c r="AC335" i="25"/>
  <c r="AC288" i="25"/>
  <c r="AC232" i="25"/>
  <c r="AC159" i="25"/>
  <c r="AC169" i="25"/>
  <c r="AC269" i="25"/>
  <c r="AC154" i="25"/>
  <c r="AC195" i="25"/>
  <c r="AC305" i="25"/>
  <c r="AC231" i="25"/>
  <c r="AC206" i="25"/>
  <c r="AC180" i="25"/>
  <c r="AC200" i="25"/>
  <c r="AC148" i="25"/>
  <c r="AC219" i="25"/>
  <c r="AC259" i="25"/>
  <c r="AC163" i="25"/>
  <c r="AC196" i="25"/>
  <c r="AC155" i="25"/>
  <c r="AC151" i="25"/>
  <c r="AC170" i="25"/>
  <c r="AC152" i="25"/>
  <c r="AC246" i="25"/>
  <c r="AC250" i="25"/>
  <c r="AC370" i="25"/>
  <c r="AC137" i="25"/>
  <c r="AC223" i="25"/>
  <c r="AC158" i="25"/>
  <c r="AC186" i="25"/>
  <c r="AC245" i="25"/>
  <c r="AC372" i="25"/>
  <c r="AC278" i="25"/>
  <c r="AC136" i="25"/>
  <c r="AC341" i="25"/>
  <c r="AC134" i="25"/>
  <c r="AC342" i="25"/>
  <c r="AC262" i="25"/>
  <c r="AC213" i="25"/>
  <c r="AC212" i="25"/>
  <c r="O381" i="25"/>
  <c r="O383" i="25"/>
  <c r="O382" i="25"/>
  <c r="I320" i="16"/>
  <c r="H320" i="17" s="1"/>
  <c r="V379" i="17"/>
  <c r="F379" i="17" s="1"/>
  <c r="G379" i="17" s="1"/>
  <c r="BZ379" i="6" s="1"/>
  <c r="D38" i="19"/>
  <c r="AA58" i="17"/>
  <c r="Z58" i="17" s="1"/>
  <c r="Y58" i="17" s="1"/>
  <c r="AA132" i="17"/>
  <c r="Z132" i="17" s="1"/>
  <c r="Y132" i="17" s="1"/>
  <c r="AA253" i="17"/>
  <c r="Z253" i="17" s="1"/>
  <c r="Y253" i="17" s="1"/>
  <c r="G253" i="17"/>
  <c r="BZ253" i="6" s="1"/>
  <c r="H253" i="17"/>
  <c r="G116" i="17"/>
  <c r="BZ116" i="6" s="1"/>
  <c r="H116" i="17"/>
  <c r="AA116" i="17"/>
  <c r="Z116" i="17" s="1"/>
  <c r="Y116" i="17" s="1"/>
  <c r="AA295" i="17"/>
  <c r="Z295" i="17" s="1"/>
  <c r="Y295" i="17" s="1"/>
  <c r="G295" i="17"/>
  <c r="BZ295" i="6" s="1"/>
  <c r="H295" i="17"/>
  <c r="V356" i="17"/>
  <c r="F356" i="17" s="1"/>
  <c r="AA172" i="17"/>
  <c r="Z172" i="17" s="1"/>
  <c r="Y172" i="17" s="1"/>
  <c r="H172" i="17"/>
  <c r="G172" i="17"/>
  <c r="BZ172" i="6" s="1"/>
  <c r="V364" i="17"/>
  <c r="F364" i="17" s="1"/>
  <c r="V142" i="17"/>
  <c r="F142" i="17" s="1"/>
  <c r="AA69" i="17"/>
  <c r="Z69" i="17" s="1"/>
  <c r="Y69" i="17" s="1"/>
  <c r="H69" i="17"/>
  <c r="G69" i="17"/>
  <c r="BZ69" i="6" s="1"/>
  <c r="AA96" i="17"/>
  <c r="Z96" i="17" s="1"/>
  <c r="Y96" i="17" s="1"/>
  <c r="G96" i="17"/>
  <c r="BZ96" i="6" s="1"/>
  <c r="H96" i="17"/>
  <c r="G332" i="17"/>
  <c r="BZ332" i="6" s="1"/>
  <c r="AA332" i="17"/>
  <c r="Z332" i="17" s="1"/>
  <c r="Y332" i="17" s="1"/>
  <c r="H332" i="17"/>
  <c r="G359" i="17"/>
  <c r="BZ359" i="6" s="1"/>
  <c r="H359" i="17"/>
  <c r="AA359" i="17"/>
  <c r="Z359" i="17" s="1"/>
  <c r="Y359" i="17" s="1"/>
  <c r="G311" i="17"/>
  <c r="BZ311" i="6" s="1"/>
  <c r="AA311" i="17"/>
  <c r="Z311" i="17" s="1"/>
  <c r="Y311" i="17" s="1"/>
  <c r="H311" i="17"/>
  <c r="F319" i="17"/>
  <c r="V302" i="17"/>
  <c r="F302" i="17" s="1"/>
  <c r="D65" i="7"/>
  <c r="AA169" i="17"/>
  <c r="Z169" i="17" s="1"/>
  <c r="Y169" i="17" s="1"/>
  <c r="H169" i="17"/>
  <c r="G169" i="17"/>
  <c r="BZ169" i="6" s="1"/>
  <c r="H310" i="17"/>
  <c r="AA310" i="17"/>
  <c r="Z310" i="17" s="1"/>
  <c r="Y310" i="17" s="1"/>
  <c r="G310" i="17"/>
  <c r="BZ310" i="6" s="1"/>
  <c r="G334" i="17"/>
  <c r="BZ334" i="6" s="1"/>
  <c r="H334" i="17"/>
  <c r="AA334" i="17"/>
  <c r="Z334" i="17" s="1"/>
  <c r="Y334" i="17" s="1"/>
  <c r="AA186" i="17"/>
  <c r="Z186" i="17" s="1"/>
  <c r="Y186" i="17" s="1"/>
  <c r="G186" i="17"/>
  <c r="BZ186" i="6" s="1"/>
  <c r="H186" i="17"/>
  <c r="G259" i="17"/>
  <c r="BZ259" i="6" s="1"/>
  <c r="H259" i="17"/>
  <c r="AA259" i="17"/>
  <c r="Z259" i="17" s="1"/>
  <c r="Y259" i="17" s="1"/>
  <c r="H351" i="17"/>
  <c r="G351" i="17"/>
  <c r="BZ351" i="6" s="1"/>
  <c r="AA351" i="17"/>
  <c r="Z351" i="17" s="1"/>
  <c r="Y351" i="17" s="1"/>
  <c r="G273" i="17"/>
  <c r="BZ273" i="6" s="1"/>
  <c r="H273" i="17"/>
  <c r="AA273" i="17"/>
  <c r="Z273" i="17" s="1"/>
  <c r="Y273" i="17" s="1"/>
  <c r="G71" i="17"/>
  <c r="BZ71" i="6" s="1"/>
  <c r="H71" i="17"/>
  <c r="AA71" i="17"/>
  <c r="Z71" i="17" s="1"/>
  <c r="Y71" i="17" s="1"/>
  <c r="G256" i="17"/>
  <c r="BZ256" i="6" s="1"/>
  <c r="AA256" i="17"/>
  <c r="Z256" i="17" s="1"/>
  <c r="Y256" i="17" s="1"/>
  <c r="H256" i="17"/>
  <c r="G208" i="17"/>
  <c r="BZ208" i="6" s="1"/>
  <c r="H208" i="17"/>
  <c r="G308" i="17"/>
  <c r="BZ308" i="6" s="1"/>
  <c r="AA308" i="17"/>
  <c r="Z308" i="17" s="1"/>
  <c r="Y308" i="17" s="1"/>
  <c r="H308" i="17"/>
  <c r="V119" i="17"/>
  <c r="F119" i="17" s="1"/>
  <c r="D59" i="7"/>
  <c r="G350" i="17"/>
  <c r="BZ350" i="6" s="1"/>
  <c r="H350" i="17"/>
  <c r="AA350" i="17"/>
  <c r="Z350" i="17" s="1"/>
  <c r="Y350" i="17" s="1"/>
  <c r="H28" i="17"/>
  <c r="G28" i="17"/>
  <c r="BZ28" i="6" s="1"/>
  <c r="AA28" i="17"/>
  <c r="Z28" i="17" s="1"/>
  <c r="Y28" i="17" s="1"/>
  <c r="V19" i="17"/>
  <c r="F19" i="17" s="1"/>
  <c r="G91" i="17"/>
  <c r="BZ91" i="6" s="1"/>
  <c r="AA91" i="17"/>
  <c r="Z91" i="17" s="1"/>
  <c r="Y91" i="17" s="1"/>
  <c r="H91" i="17"/>
  <c r="G104" i="17"/>
  <c r="BZ104" i="6" s="1"/>
  <c r="AA104" i="17"/>
  <c r="Z104" i="17" s="1"/>
  <c r="Y104" i="17" s="1"/>
  <c r="H104" i="17"/>
  <c r="H126" i="17"/>
  <c r="G126" i="17"/>
  <c r="BZ126" i="6" s="1"/>
  <c r="AA126" i="17"/>
  <c r="Z126" i="17" s="1"/>
  <c r="Y126" i="17" s="1"/>
  <c r="H300" i="17"/>
  <c r="AA300" i="17"/>
  <c r="Z300" i="17" s="1"/>
  <c r="Y300" i="17" s="1"/>
  <c r="G300" i="17"/>
  <c r="BZ300" i="6" s="1"/>
  <c r="H134" i="17"/>
  <c r="G134" i="17"/>
  <c r="BZ134" i="6" s="1"/>
  <c r="AA134" i="17"/>
  <c r="Z134" i="17" s="1"/>
  <c r="Y134" i="17" s="1"/>
  <c r="H17" i="17"/>
  <c r="AA17" i="17"/>
  <c r="Z17" i="17" s="1"/>
  <c r="Y17" i="17" s="1"/>
  <c r="G17" i="17"/>
  <c r="BZ17" i="6" s="1"/>
  <c r="G133" i="17"/>
  <c r="BZ133" i="6" s="1"/>
  <c r="H133" i="17"/>
  <c r="AA133" i="17"/>
  <c r="Z133" i="17" s="1"/>
  <c r="Y133" i="17" s="1"/>
  <c r="AA77" i="17"/>
  <c r="Z77" i="17" s="1"/>
  <c r="Y77" i="17" s="1"/>
  <c r="G77" i="17"/>
  <c r="BZ77" i="6" s="1"/>
  <c r="H77" i="17"/>
  <c r="G230" i="17"/>
  <c r="BZ230" i="6" s="1"/>
  <c r="AA230" i="17"/>
  <c r="Z230" i="17" s="1"/>
  <c r="Y230" i="17" s="1"/>
  <c r="H230" i="17"/>
  <c r="G40" i="17"/>
  <c r="BZ40" i="6" s="1"/>
  <c r="AA40" i="17"/>
  <c r="Z40" i="17" s="1"/>
  <c r="Y40" i="17" s="1"/>
  <c r="H40" i="17"/>
  <c r="G343" i="17"/>
  <c r="BZ343" i="6" s="1"/>
  <c r="H343" i="17"/>
  <c r="AA343" i="17"/>
  <c r="Z343" i="17" s="1"/>
  <c r="Y343" i="17" s="1"/>
  <c r="H280" i="17"/>
  <c r="AA280" i="17"/>
  <c r="Z280" i="17" s="1"/>
  <c r="Y280" i="17" s="1"/>
  <c r="G280" i="17"/>
  <c r="BZ280" i="6" s="1"/>
  <c r="AA248" i="17"/>
  <c r="Z248" i="17" s="1"/>
  <c r="Y248" i="17" s="1"/>
  <c r="G248" i="17"/>
  <c r="BZ248" i="6" s="1"/>
  <c r="H248" i="17"/>
  <c r="H108" i="17"/>
  <c r="G108" i="17"/>
  <c r="BZ108" i="6" s="1"/>
  <c r="AA108" i="17"/>
  <c r="Z108" i="17" s="1"/>
  <c r="Y108" i="17" s="1"/>
  <c r="D67" i="7"/>
  <c r="V363" i="17"/>
  <c r="F363" i="17" s="1"/>
  <c r="H322" i="17"/>
  <c r="G322" i="17"/>
  <c r="BZ322" i="6" s="1"/>
  <c r="AA322" i="17"/>
  <c r="Z322" i="17" s="1"/>
  <c r="Y322" i="17" s="1"/>
  <c r="G130" i="17"/>
  <c r="BZ130" i="6" s="1"/>
  <c r="H130" i="17"/>
  <c r="AA130" i="17"/>
  <c r="Z130" i="17" s="1"/>
  <c r="Y130" i="17" s="1"/>
  <c r="AA314" i="17"/>
  <c r="Z314" i="17" s="1"/>
  <c r="Y314" i="17" s="1"/>
  <c r="G314" i="17"/>
  <c r="BZ314" i="6" s="1"/>
  <c r="H314" i="17"/>
  <c r="H323" i="17"/>
  <c r="G323" i="17"/>
  <c r="BZ323" i="6" s="1"/>
  <c r="AA323" i="17"/>
  <c r="Z323" i="17" s="1"/>
  <c r="Y323" i="17" s="1"/>
  <c r="AA354" i="17"/>
  <c r="Z354" i="17" s="1"/>
  <c r="Y354" i="17" s="1"/>
  <c r="H354" i="17"/>
  <c r="G354" i="17"/>
  <c r="BZ354" i="6" s="1"/>
  <c r="G59" i="17"/>
  <c r="BZ59" i="6" s="1"/>
  <c r="AA59" i="17"/>
  <c r="Z59" i="17" s="1"/>
  <c r="Y59" i="17" s="1"/>
  <c r="H59" i="17"/>
  <c r="V135" i="17"/>
  <c r="F135" i="17" s="1"/>
  <c r="G23" i="17"/>
  <c r="BZ23" i="6" s="1"/>
  <c r="H23" i="17"/>
  <c r="AA23" i="17"/>
  <c r="Z23" i="17" s="1"/>
  <c r="Y23" i="17" s="1"/>
  <c r="AA336" i="17"/>
  <c r="Z336" i="17" s="1"/>
  <c r="Y336" i="17" s="1"/>
  <c r="G336" i="17"/>
  <c r="BZ336" i="6" s="1"/>
  <c r="H336" i="17"/>
  <c r="G206" i="17"/>
  <c r="BZ206" i="6" s="1"/>
  <c r="H206" i="17"/>
  <c r="AA206" i="17"/>
  <c r="Z206" i="17" s="1"/>
  <c r="Y206" i="17" s="1"/>
  <c r="H183" i="17"/>
  <c r="G183" i="17"/>
  <c r="BZ183" i="6" s="1"/>
  <c r="AA183" i="17"/>
  <c r="Z183" i="17" s="1"/>
  <c r="Y183" i="17" s="1"/>
  <c r="AA287" i="17"/>
  <c r="Z287" i="17" s="1"/>
  <c r="Y287" i="17" s="1"/>
  <c r="H287" i="17"/>
  <c r="G287" i="17"/>
  <c r="BZ287" i="6" s="1"/>
  <c r="AA43" i="17"/>
  <c r="Z43" i="17" s="1"/>
  <c r="Y43" i="17" s="1"/>
  <c r="H43" i="17"/>
  <c r="G43" i="17"/>
  <c r="BZ43" i="6" s="1"/>
  <c r="V258" i="17"/>
  <c r="F258" i="17" s="1"/>
  <c r="G346" i="17"/>
  <c r="BZ346" i="6" s="1"/>
  <c r="H346" i="17"/>
  <c r="H360" i="17"/>
  <c r="G360" i="17"/>
  <c r="BZ360" i="6" s="1"/>
  <c r="AA360" i="17"/>
  <c r="Z360" i="17" s="1"/>
  <c r="Y360" i="17" s="1"/>
  <c r="G254" i="17"/>
  <c r="BZ254" i="6" s="1"/>
  <c r="AA254" i="17"/>
  <c r="Z254" i="17" s="1"/>
  <c r="Y254" i="17" s="1"/>
  <c r="H254" i="17"/>
  <c r="AA70" i="17"/>
  <c r="Z70" i="17" s="1"/>
  <c r="Y70" i="17" s="1"/>
  <c r="G70" i="17"/>
  <c r="BZ70" i="6" s="1"/>
  <c r="H70" i="17"/>
  <c r="AA262" i="17"/>
  <c r="Z262" i="17" s="1"/>
  <c r="Y262" i="17" s="1"/>
  <c r="G262" i="17"/>
  <c r="BZ262" i="6" s="1"/>
  <c r="H262" i="17"/>
  <c r="G56" i="17"/>
  <c r="BZ56" i="6" s="1"/>
  <c r="H56" i="17"/>
  <c r="AA56" i="17"/>
  <c r="Z56" i="17" s="1"/>
  <c r="Y56" i="17" s="1"/>
  <c r="AA197" i="17"/>
  <c r="Z197" i="17" s="1"/>
  <c r="Y197" i="17" s="1"/>
  <c r="G197" i="17"/>
  <c r="BZ197" i="6" s="1"/>
  <c r="H197" i="17"/>
  <c r="G205" i="17"/>
  <c r="BZ205" i="6" s="1"/>
  <c r="AA205" i="17"/>
  <c r="Z205" i="17" s="1"/>
  <c r="Y205" i="17" s="1"/>
  <c r="H205" i="17"/>
  <c r="G358" i="17"/>
  <c r="BZ358" i="6" s="1"/>
  <c r="AA358" i="17"/>
  <c r="Z358" i="17" s="1"/>
  <c r="Y358" i="17" s="1"/>
  <c r="H358" i="17"/>
  <c r="G168" i="17"/>
  <c r="BZ168" i="6" s="1"/>
  <c r="AA168" i="17"/>
  <c r="Z168" i="17" s="1"/>
  <c r="Y168" i="17" s="1"/>
  <c r="H168" i="17"/>
  <c r="G375" i="17"/>
  <c r="BZ375" i="6" s="1"/>
  <c r="H375" i="17"/>
  <c r="AA375" i="17"/>
  <c r="Z375" i="17" s="1"/>
  <c r="Y375" i="17" s="1"/>
  <c r="G34" i="17"/>
  <c r="BZ34" i="6" s="1"/>
  <c r="H34" i="17"/>
  <c r="AA34" i="17"/>
  <c r="Z34" i="17" s="1"/>
  <c r="Y34" i="17" s="1"/>
  <c r="V349" i="17"/>
  <c r="F166" i="17"/>
  <c r="H107" i="17"/>
  <c r="AA107" i="17"/>
  <c r="Z107" i="17" s="1"/>
  <c r="Y107" i="17" s="1"/>
  <c r="G107" i="17"/>
  <c r="BZ107" i="6" s="1"/>
  <c r="G312" i="17"/>
  <c r="BZ312" i="6" s="1"/>
  <c r="H312" i="17"/>
  <c r="AA312" i="17"/>
  <c r="Z312" i="17" s="1"/>
  <c r="Y312" i="17" s="1"/>
  <c r="G68" i="17"/>
  <c r="BZ68" i="6" s="1"/>
  <c r="H68" i="17"/>
  <c r="AA68" i="17"/>
  <c r="Z68" i="17" s="1"/>
  <c r="Y68" i="17" s="1"/>
  <c r="AA95" i="17"/>
  <c r="Z95" i="17" s="1"/>
  <c r="Y95" i="17" s="1"/>
  <c r="G95" i="17"/>
  <c r="BZ95" i="6" s="1"/>
  <c r="H95" i="17"/>
  <c r="AA347" i="17"/>
  <c r="Z347" i="17" s="1"/>
  <c r="Y347" i="17" s="1"/>
  <c r="G347" i="17"/>
  <c r="BZ347" i="6" s="1"/>
  <c r="H347" i="17"/>
  <c r="G267" i="17"/>
  <c r="BZ267" i="6" s="1"/>
  <c r="H267" i="17"/>
  <c r="AA267" i="17"/>
  <c r="Z267" i="17" s="1"/>
  <c r="Y267" i="17" s="1"/>
  <c r="G39" i="17"/>
  <c r="BZ39" i="6" s="1"/>
  <c r="H39" i="17"/>
  <c r="AA39" i="17"/>
  <c r="Z39" i="17" s="1"/>
  <c r="Y39" i="17" s="1"/>
  <c r="H357" i="17"/>
  <c r="AA357" i="17"/>
  <c r="Z357" i="17" s="1"/>
  <c r="Y357" i="17" s="1"/>
  <c r="G357" i="17"/>
  <c r="BZ357" i="6" s="1"/>
  <c r="G265" i="17"/>
  <c r="BZ265" i="6" s="1"/>
  <c r="H265" i="17"/>
  <c r="AA265" i="17"/>
  <c r="Z265" i="17" s="1"/>
  <c r="Y265" i="17" s="1"/>
  <c r="H297" i="17"/>
  <c r="G297" i="17"/>
  <c r="BZ297" i="6" s="1"/>
  <c r="AA297" i="17"/>
  <c r="Z297" i="17" s="1"/>
  <c r="Y297" i="17" s="1"/>
  <c r="H237" i="17"/>
  <c r="AA237" i="17"/>
  <c r="Z237" i="17" s="1"/>
  <c r="Y237" i="17" s="1"/>
  <c r="G237" i="17"/>
  <c r="BZ237" i="6" s="1"/>
  <c r="G42" i="17"/>
  <c r="BZ42" i="6" s="1"/>
  <c r="AA42" i="17"/>
  <c r="Z42" i="17" s="1"/>
  <c r="Y42" i="17" s="1"/>
  <c r="H42" i="17"/>
  <c r="AA284" i="17"/>
  <c r="Z284" i="17" s="1"/>
  <c r="Y284" i="17" s="1"/>
  <c r="G284" i="17"/>
  <c r="BZ284" i="6" s="1"/>
  <c r="H284" i="17"/>
  <c r="G153" i="17"/>
  <c r="BZ153" i="6" s="1"/>
  <c r="H153" i="17"/>
  <c r="AA153" i="17"/>
  <c r="Z153" i="17" s="1"/>
  <c r="Y153" i="17" s="1"/>
  <c r="H199" i="17"/>
  <c r="AA199" i="17"/>
  <c r="Z199" i="17" s="1"/>
  <c r="Y199" i="17" s="1"/>
  <c r="G199" i="17"/>
  <c r="BZ199" i="6" s="1"/>
  <c r="G151" i="17"/>
  <c r="BZ151" i="6" s="1"/>
  <c r="H151" i="17"/>
  <c r="AA151" i="17"/>
  <c r="Z151" i="17" s="1"/>
  <c r="Y151" i="17" s="1"/>
  <c r="H318" i="17"/>
  <c r="G318" i="17"/>
  <c r="BZ318" i="6" s="1"/>
  <c r="AA318" i="17"/>
  <c r="Z318" i="17" s="1"/>
  <c r="Y318" i="17" s="1"/>
  <c r="V113" i="17"/>
  <c r="F113" i="17" s="1"/>
  <c r="G136" i="17"/>
  <c r="BZ136" i="6" s="1"/>
  <c r="AA136" i="17"/>
  <c r="Z136" i="17" s="1"/>
  <c r="Y136" i="17" s="1"/>
  <c r="H136" i="17"/>
  <c r="G65" i="17"/>
  <c r="BZ65" i="6" s="1"/>
  <c r="AA65" i="17"/>
  <c r="Z65" i="17" s="1"/>
  <c r="Y65" i="17" s="1"/>
  <c r="H65" i="17"/>
  <c r="AA352" i="17"/>
  <c r="Z352" i="17" s="1"/>
  <c r="Y352" i="17" s="1"/>
  <c r="G352" i="17"/>
  <c r="BZ352" i="6" s="1"/>
  <c r="H352" i="17"/>
  <c r="G187" i="17"/>
  <c r="BZ187" i="6" s="1"/>
  <c r="AA187" i="17"/>
  <c r="Z187" i="17" s="1"/>
  <c r="Y187" i="17" s="1"/>
  <c r="H187" i="17"/>
  <c r="H175" i="17"/>
  <c r="AA175" i="17"/>
  <c r="Z175" i="17" s="1"/>
  <c r="Y175" i="17" s="1"/>
  <c r="G175" i="17"/>
  <c r="BZ175" i="6" s="1"/>
  <c r="H179" i="17"/>
  <c r="G179" i="17"/>
  <c r="BZ179" i="6" s="1"/>
  <c r="AA179" i="17"/>
  <c r="Z179" i="17" s="1"/>
  <c r="Y179" i="17" s="1"/>
  <c r="G152" i="17"/>
  <c r="BZ152" i="6" s="1"/>
  <c r="AA152" i="17"/>
  <c r="Z152" i="17" s="1"/>
  <c r="Y152" i="17" s="1"/>
  <c r="H152" i="17"/>
  <c r="V326" i="17"/>
  <c r="F326" i="17" s="1"/>
  <c r="G147" i="17"/>
  <c r="BZ147" i="6" s="1"/>
  <c r="H147" i="17"/>
  <c r="AA147" i="17"/>
  <c r="Z147" i="17" s="1"/>
  <c r="Y147" i="17" s="1"/>
  <c r="AA305" i="17"/>
  <c r="Z305" i="17" s="1"/>
  <c r="Y305" i="17" s="1"/>
  <c r="G305" i="17"/>
  <c r="BZ305" i="6" s="1"/>
  <c r="H305" i="17"/>
  <c r="AA325" i="17"/>
  <c r="Z325" i="17" s="1"/>
  <c r="Y325" i="17" s="1"/>
  <c r="H325" i="17"/>
  <c r="G325" i="17"/>
  <c r="BZ325" i="6" s="1"/>
  <c r="V180" i="17"/>
  <c r="F180" i="17" s="1"/>
  <c r="D61" i="7"/>
  <c r="AA131" i="17"/>
  <c r="Z131" i="17" s="1"/>
  <c r="Y131" i="17" s="1"/>
  <c r="G131" i="17"/>
  <c r="BZ131" i="6" s="1"/>
  <c r="H131" i="17"/>
  <c r="AA296" i="17"/>
  <c r="Z296" i="17" s="1"/>
  <c r="Y296" i="17" s="1"/>
  <c r="G296" i="17"/>
  <c r="BZ296" i="6" s="1"/>
  <c r="H296" i="17"/>
  <c r="AA200" i="17"/>
  <c r="Z200" i="17" s="1"/>
  <c r="Y200" i="17" s="1"/>
  <c r="G200" i="17"/>
  <c r="BZ200" i="6" s="1"/>
  <c r="H200" i="17"/>
  <c r="G161" i="17"/>
  <c r="BZ161" i="6" s="1"/>
  <c r="H161" i="17"/>
  <c r="H154" i="17"/>
  <c r="G154" i="17"/>
  <c r="BZ154" i="6" s="1"/>
  <c r="AA154" i="17"/>
  <c r="Z154" i="17" s="1"/>
  <c r="Y154" i="17" s="1"/>
  <c r="G176" i="17"/>
  <c r="BZ176" i="6" s="1"/>
  <c r="AA176" i="17"/>
  <c r="Z176" i="17" s="1"/>
  <c r="Y176" i="17" s="1"/>
  <c r="H269" i="17"/>
  <c r="AA269" i="17"/>
  <c r="Z269" i="17" s="1"/>
  <c r="Y269" i="17" s="1"/>
  <c r="G269" i="17"/>
  <c r="BZ269" i="6" s="1"/>
  <c r="AA320" i="17"/>
  <c r="Z320" i="17" s="1"/>
  <c r="Y320" i="17" s="1"/>
  <c r="G320" i="17"/>
  <c r="BZ320" i="6" s="1"/>
  <c r="G120" i="17"/>
  <c r="BZ120" i="6" s="1"/>
  <c r="H120" i="17"/>
  <c r="AA120" i="17"/>
  <c r="Z120" i="17" s="1"/>
  <c r="Y120" i="17" s="1"/>
  <c r="G313" i="17"/>
  <c r="BZ313" i="6" s="1"/>
  <c r="AA313" i="17"/>
  <c r="Z313" i="17" s="1"/>
  <c r="Y313" i="17" s="1"/>
  <c r="H313" i="17"/>
  <c r="G159" i="17"/>
  <c r="BZ159" i="6" s="1"/>
  <c r="H159" i="17"/>
  <c r="AA159" i="17"/>
  <c r="Z159" i="17" s="1"/>
  <c r="Y159" i="17" s="1"/>
  <c r="F288" i="17"/>
  <c r="G266" i="17"/>
  <c r="BZ266" i="6" s="1"/>
  <c r="H266" i="17"/>
  <c r="AA266" i="17"/>
  <c r="Z266" i="17" s="1"/>
  <c r="Y266" i="17" s="1"/>
  <c r="H181" i="17"/>
  <c r="G181" i="17"/>
  <c r="BZ181" i="6" s="1"/>
  <c r="AA181" i="17"/>
  <c r="Z181" i="17" s="1"/>
  <c r="Y181" i="17" s="1"/>
  <c r="AA208" i="17"/>
  <c r="Z208" i="17" s="1"/>
  <c r="Y208" i="17" s="1"/>
  <c r="AA161" i="17"/>
  <c r="Z161" i="17" s="1"/>
  <c r="Y161" i="17" s="1"/>
  <c r="G63" i="17"/>
  <c r="BZ63" i="6" s="1"/>
  <c r="AA63" i="17"/>
  <c r="Z63" i="17" s="1"/>
  <c r="Y63" i="17" s="1"/>
  <c r="H63" i="17"/>
  <c r="G155" i="17"/>
  <c r="BZ155" i="6" s="1"/>
  <c r="H155" i="17"/>
  <c r="AA155" i="17"/>
  <c r="Z155" i="17" s="1"/>
  <c r="Y155" i="17" s="1"/>
  <c r="G92" i="17"/>
  <c r="BZ92" i="6" s="1"/>
  <c r="AA92" i="17"/>
  <c r="Z92" i="17" s="1"/>
  <c r="Y92" i="17" s="1"/>
  <c r="H92" i="17"/>
  <c r="H345" i="17"/>
  <c r="G345" i="17"/>
  <c r="BZ345" i="6" s="1"/>
  <c r="AA345" i="17"/>
  <c r="Z345" i="17" s="1"/>
  <c r="Y345" i="17" s="1"/>
  <c r="H330" i="17"/>
  <c r="G330" i="17"/>
  <c r="BZ330" i="6" s="1"/>
  <c r="AA330" i="17"/>
  <c r="Z330" i="17" s="1"/>
  <c r="Y330" i="17" s="1"/>
  <c r="G79" i="17"/>
  <c r="BZ79" i="6" s="1"/>
  <c r="H79" i="17"/>
  <c r="AA79" i="17"/>
  <c r="Z79" i="17" s="1"/>
  <c r="Y79" i="17" s="1"/>
  <c r="G239" i="17"/>
  <c r="BZ239" i="6" s="1"/>
  <c r="AA239" i="17"/>
  <c r="Z239" i="17" s="1"/>
  <c r="Y239" i="17" s="1"/>
  <c r="H239" i="17"/>
  <c r="H285" i="17"/>
  <c r="G285" i="17"/>
  <c r="BZ285" i="6" s="1"/>
  <c r="AA285" i="17"/>
  <c r="Z285" i="17" s="1"/>
  <c r="Y285" i="17" s="1"/>
  <c r="AA140" i="17"/>
  <c r="Z140" i="17" s="1"/>
  <c r="Y140" i="17" s="1"/>
  <c r="G140" i="17"/>
  <c r="BZ140" i="6" s="1"/>
  <c r="H140" i="17"/>
  <c r="AA226" i="17"/>
  <c r="Z226" i="17" s="1"/>
  <c r="Y226" i="17" s="1"/>
  <c r="G226" i="17"/>
  <c r="BZ226" i="6" s="1"/>
  <c r="H226" i="17"/>
  <c r="AA301" i="17"/>
  <c r="Z301" i="17" s="1"/>
  <c r="Y301" i="17" s="1"/>
  <c r="G301" i="17"/>
  <c r="BZ301" i="6" s="1"/>
  <c r="H301" i="17"/>
  <c r="D60" i="7"/>
  <c r="V149" i="17"/>
  <c r="F149" i="17" s="1"/>
  <c r="G132" i="17"/>
  <c r="BZ132" i="6" s="1"/>
  <c r="H132" i="17"/>
  <c r="G192" i="17"/>
  <c r="BZ192" i="6" s="1"/>
  <c r="H192" i="17"/>
  <c r="AA192" i="17"/>
  <c r="Z192" i="17" s="1"/>
  <c r="Y192" i="17" s="1"/>
  <c r="H289" i="17"/>
  <c r="G289" i="17"/>
  <c r="BZ289" i="6" s="1"/>
  <c r="AA289" i="17"/>
  <c r="Z289" i="17" s="1"/>
  <c r="Y289" i="17" s="1"/>
  <c r="G303" i="17"/>
  <c r="BZ303" i="6" s="1"/>
  <c r="H303" i="17"/>
  <c r="AA303" i="17"/>
  <c r="Z303" i="17" s="1"/>
  <c r="Y303" i="17" s="1"/>
  <c r="G165" i="17"/>
  <c r="BZ165" i="6" s="1"/>
  <c r="AA165" i="17"/>
  <c r="Z165" i="17" s="1"/>
  <c r="Y165" i="17" s="1"/>
  <c r="H165" i="17"/>
  <c r="V105" i="17"/>
  <c r="F105" i="17" s="1"/>
  <c r="G89" i="17"/>
  <c r="BZ89" i="6" s="1"/>
  <c r="H89" i="17"/>
  <c r="AA89" i="17"/>
  <c r="Z89" i="17" s="1"/>
  <c r="Y89" i="17" s="1"/>
  <c r="H123" i="17"/>
  <c r="G123" i="17"/>
  <c r="BZ123" i="6" s="1"/>
  <c r="AA123" i="17"/>
  <c r="Z123" i="17" s="1"/>
  <c r="Y123" i="17" s="1"/>
  <c r="G85" i="17"/>
  <c r="BZ85" i="6" s="1"/>
  <c r="AA85" i="17"/>
  <c r="Z85" i="17" s="1"/>
  <c r="Y85" i="17" s="1"/>
  <c r="H85" i="17"/>
  <c r="G225" i="17"/>
  <c r="BZ225" i="6" s="1"/>
  <c r="AA225" i="17"/>
  <c r="Z225" i="17" s="1"/>
  <c r="Y225" i="17" s="1"/>
  <c r="H225" i="17"/>
  <c r="AA371" i="17"/>
  <c r="Z371" i="17" s="1"/>
  <c r="Y371" i="17" s="1"/>
  <c r="G371" i="17"/>
  <c r="BZ371" i="6" s="1"/>
  <c r="H371" i="17"/>
  <c r="AA48" i="17"/>
  <c r="Z48" i="17" s="1"/>
  <c r="Y48" i="17" s="1"/>
  <c r="H48" i="17"/>
  <c r="G48" i="17"/>
  <c r="BZ48" i="6" s="1"/>
  <c r="AA276" i="17"/>
  <c r="Z276" i="17" s="1"/>
  <c r="Y276" i="17" s="1"/>
  <c r="H276" i="17"/>
  <c r="G276" i="17"/>
  <c r="BZ276" i="6" s="1"/>
  <c r="AA292" i="17"/>
  <c r="Z292" i="17" s="1"/>
  <c r="Y292" i="17" s="1"/>
  <c r="G292" i="17"/>
  <c r="BZ292" i="6" s="1"/>
  <c r="H292" i="17"/>
  <c r="G252" i="17"/>
  <c r="BZ252" i="6" s="1"/>
  <c r="AA252" i="17"/>
  <c r="Z252" i="17" s="1"/>
  <c r="Y252" i="17" s="1"/>
  <c r="H252" i="17"/>
  <c r="V18" i="17"/>
  <c r="F18" i="17" s="1"/>
  <c r="AA178" i="17"/>
  <c r="Z178" i="17" s="1"/>
  <c r="Y178" i="17" s="1"/>
  <c r="G178" i="17"/>
  <c r="BZ178" i="6" s="1"/>
  <c r="H178" i="17"/>
  <c r="G82" i="17"/>
  <c r="BZ82" i="6" s="1"/>
  <c r="AA82" i="17"/>
  <c r="Z82" i="17" s="1"/>
  <c r="Y82" i="17" s="1"/>
  <c r="H82" i="17"/>
  <c r="AA118" i="17"/>
  <c r="Z118" i="17" s="1"/>
  <c r="Y118" i="17" s="1"/>
  <c r="H118" i="17"/>
  <c r="G118" i="17"/>
  <c r="BZ118" i="6" s="1"/>
  <c r="AA204" i="17"/>
  <c r="Z204" i="17" s="1"/>
  <c r="Y204" i="17" s="1"/>
  <c r="G204" i="17"/>
  <c r="BZ204" i="6" s="1"/>
  <c r="H204" i="17"/>
  <c r="H117" i="17"/>
  <c r="G117" i="17"/>
  <c r="BZ117" i="6" s="1"/>
  <c r="AA117" i="17"/>
  <c r="Z117" i="17" s="1"/>
  <c r="Y117" i="17" s="1"/>
  <c r="H335" i="17"/>
  <c r="G335" i="17"/>
  <c r="BZ335" i="6" s="1"/>
  <c r="AA335" i="17"/>
  <c r="Z335" i="17" s="1"/>
  <c r="Y335" i="17" s="1"/>
  <c r="H20" i="17"/>
  <c r="G20" i="17"/>
  <c r="BZ20" i="6" s="1"/>
  <c r="AA20" i="17"/>
  <c r="Z20" i="17" s="1"/>
  <c r="Y20" i="17" s="1"/>
  <c r="H251" i="17"/>
  <c r="G251" i="17"/>
  <c r="BZ251" i="6" s="1"/>
  <c r="AA251" i="17"/>
  <c r="Z251" i="17" s="1"/>
  <c r="Y251" i="17" s="1"/>
  <c r="AA268" i="17"/>
  <c r="Z268" i="17" s="1"/>
  <c r="Y268" i="17" s="1"/>
  <c r="H268" i="17"/>
  <c r="G268" i="17"/>
  <c r="BZ268" i="6" s="1"/>
  <c r="AA321" i="17"/>
  <c r="Z321" i="17" s="1"/>
  <c r="Y321" i="17" s="1"/>
  <c r="G321" i="17"/>
  <c r="BZ321" i="6" s="1"/>
  <c r="H321" i="17"/>
  <c r="AA244" i="17"/>
  <c r="Z244" i="17" s="1"/>
  <c r="Y244" i="17" s="1"/>
  <c r="H244" i="17"/>
  <c r="G244" i="17"/>
  <c r="BZ244" i="6" s="1"/>
  <c r="AA213" i="17"/>
  <c r="Z213" i="17" s="1"/>
  <c r="Y213" i="17" s="1"/>
  <c r="G213" i="17"/>
  <c r="BZ213" i="6" s="1"/>
  <c r="H213" i="17"/>
  <c r="G30" i="17"/>
  <c r="BZ30" i="6" s="1"/>
  <c r="AA30" i="17"/>
  <c r="Z30" i="17" s="1"/>
  <c r="Y30" i="17" s="1"/>
  <c r="H30" i="17"/>
  <c r="H22" i="17"/>
  <c r="G22" i="17"/>
  <c r="BZ22" i="6" s="1"/>
  <c r="AA22" i="17"/>
  <c r="Z22" i="17" s="1"/>
  <c r="Y22" i="17" s="1"/>
  <c r="AA220" i="17"/>
  <c r="Z220" i="17" s="1"/>
  <c r="Y220" i="17" s="1"/>
  <c r="G220" i="17"/>
  <c r="BZ220" i="6" s="1"/>
  <c r="H220" i="17"/>
  <c r="H81" i="17"/>
  <c r="G81" i="17"/>
  <c r="BZ81" i="6" s="1"/>
  <c r="AA81" i="17"/>
  <c r="Z81" i="17" s="1"/>
  <c r="Y81" i="17" s="1"/>
  <c r="AA229" i="17"/>
  <c r="Z229" i="17" s="1"/>
  <c r="Y229" i="17" s="1"/>
  <c r="G229" i="17"/>
  <c r="BZ229" i="6" s="1"/>
  <c r="H229" i="17"/>
  <c r="G137" i="17"/>
  <c r="BZ137" i="6" s="1"/>
  <c r="H137" i="17"/>
  <c r="AA137" i="17"/>
  <c r="Z137" i="17" s="1"/>
  <c r="Y137" i="17" s="1"/>
  <c r="H121" i="17"/>
  <c r="G121" i="17"/>
  <c r="BZ121" i="6" s="1"/>
  <c r="AA121" i="17"/>
  <c r="Z121" i="17" s="1"/>
  <c r="Y121" i="17" s="1"/>
  <c r="AA346" i="17"/>
  <c r="Z346" i="17" s="1"/>
  <c r="Y346" i="17" s="1"/>
  <c r="H84" i="17"/>
  <c r="AA84" i="17"/>
  <c r="Z84" i="17" s="1"/>
  <c r="Y84" i="17" s="1"/>
  <c r="G84" i="17"/>
  <c r="BZ84" i="6" s="1"/>
  <c r="AA341" i="17"/>
  <c r="Z341" i="17" s="1"/>
  <c r="Y341" i="17" s="1"/>
  <c r="G341" i="17"/>
  <c r="BZ341" i="6" s="1"/>
  <c r="H341" i="17"/>
  <c r="H348" i="17"/>
  <c r="AA348" i="17"/>
  <c r="Z348" i="17" s="1"/>
  <c r="Y348" i="17" s="1"/>
  <c r="G348" i="17"/>
  <c r="BZ348" i="6" s="1"/>
  <c r="V112" i="17"/>
  <c r="F112" i="17" s="1"/>
  <c r="G304" i="17"/>
  <c r="BZ304" i="6" s="1"/>
  <c r="AA304" i="17"/>
  <c r="Z304" i="17" s="1"/>
  <c r="Y304" i="17" s="1"/>
  <c r="H304" i="17"/>
  <c r="AA282" i="17"/>
  <c r="Z282" i="17" s="1"/>
  <c r="Y282" i="17" s="1"/>
  <c r="H282" i="17"/>
  <c r="G282" i="17"/>
  <c r="BZ282" i="6" s="1"/>
  <c r="G62" i="17"/>
  <c r="BZ62" i="6" s="1"/>
  <c r="H62" i="17"/>
  <c r="AA62" i="17"/>
  <c r="Z62" i="17" s="1"/>
  <c r="Y62" i="17" s="1"/>
  <c r="G27" i="17"/>
  <c r="BZ27" i="6" s="1"/>
  <c r="AA27" i="17"/>
  <c r="Z27" i="17" s="1"/>
  <c r="Y27" i="17" s="1"/>
  <c r="H27" i="17"/>
  <c r="V272" i="17"/>
  <c r="F272" i="17" s="1"/>
  <c r="D64" i="7"/>
  <c r="H242" i="17"/>
  <c r="G242" i="17"/>
  <c r="BZ242" i="6" s="1"/>
  <c r="AA242" i="17"/>
  <c r="Z242" i="17" s="1"/>
  <c r="Y242" i="17" s="1"/>
  <c r="H146" i="17"/>
  <c r="G146" i="17"/>
  <c r="BZ146" i="6" s="1"/>
  <c r="AA146" i="17"/>
  <c r="Z146" i="17" s="1"/>
  <c r="Y146" i="17" s="1"/>
  <c r="AA246" i="17"/>
  <c r="Z246" i="17" s="1"/>
  <c r="Y246" i="17" s="1"/>
  <c r="H246" i="17"/>
  <c r="G246" i="17"/>
  <c r="BZ246" i="6" s="1"/>
  <c r="G102" i="17"/>
  <c r="BZ102" i="6" s="1"/>
  <c r="H102" i="17"/>
  <c r="AA102" i="17"/>
  <c r="Z102" i="17" s="1"/>
  <c r="Y102" i="17" s="1"/>
  <c r="G245" i="17"/>
  <c r="BZ245" i="6" s="1"/>
  <c r="AA245" i="17"/>
  <c r="Z245" i="17" s="1"/>
  <c r="Y245" i="17" s="1"/>
  <c r="H245" i="17"/>
  <c r="G369" i="17"/>
  <c r="BZ369" i="6" s="1"/>
  <c r="H369" i="17"/>
  <c r="AA369" i="17"/>
  <c r="Z369" i="17" s="1"/>
  <c r="Y369" i="17" s="1"/>
  <c r="H93" i="17"/>
  <c r="G93" i="17"/>
  <c r="BZ93" i="6" s="1"/>
  <c r="AA93" i="17"/>
  <c r="Z93" i="17" s="1"/>
  <c r="Y93" i="17" s="1"/>
  <c r="G340" i="17"/>
  <c r="BZ340" i="6" s="1"/>
  <c r="H340" i="17"/>
  <c r="AA340" i="17"/>
  <c r="Z340" i="17" s="1"/>
  <c r="Y340" i="17" s="1"/>
  <c r="G38" i="17"/>
  <c r="BZ38" i="6" s="1"/>
  <c r="AA38" i="17"/>
  <c r="Z38" i="17" s="1"/>
  <c r="Y38" i="17" s="1"/>
  <c r="H38" i="17"/>
  <c r="H156" i="17"/>
  <c r="AA156" i="17"/>
  <c r="Z156" i="17" s="1"/>
  <c r="Y156" i="17" s="1"/>
  <c r="G156" i="17"/>
  <c r="BZ156" i="6" s="1"/>
  <c r="G270" i="17"/>
  <c r="BZ270" i="6" s="1"/>
  <c r="AA270" i="17"/>
  <c r="Z270" i="17" s="1"/>
  <c r="Y270" i="17" s="1"/>
  <c r="H270" i="17"/>
  <c r="G277" i="17"/>
  <c r="BZ277" i="6" s="1"/>
  <c r="H277" i="17"/>
  <c r="AA277" i="17"/>
  <c r="Z277" i="17" s="1"/>
  <c r="Y277" i="17" s="1"/>
  <c r="H286" i="17"/>
  <c r="AA286" i="17"/>
  <c r="Z286" i="17" s="1"/>
  <c r="Y286" i="17" s="1"/>
  <c r="G286" i="17"/>
  <c r="BZ286" i="6" s="1"/>
  <c r="AA278" i="17"/>
  <c r="Z278" i="17" s="1"/>
  <c r="Y278" i="17" s="1"/>
  <c r="H278" i="17"/>
  <c r="G278" i="17"/>
  <c r="BZ278" i="6" s="1"/>
  <c r="H75" i="17"/>
  <c r="G75" i="17"/>
  <c r="BZ75" i="6" s="1"/>
  <c r="AA75" i="17"/>
  <c r="Z75" i="17" s="1"/>
  <c r="Y75" i="17" s="1"/>
  <c r="AA194" i="17"/>
  <c r="Z194" i="17" s="1"/>
  <c r="Y194" i="17" s="1"/>
  <c r="H194" i="17"/>
  <c r="G194" i="17"/>
  <c r="BZ194" i="6" s="1"/>
  <c r="V261" i="17"/>
  <c r="F261" i="17" s="1"/>
  <c r="D66" i="7"/>
  <c r="V333" i="17"/>
  <c r="F333" i="17" s="1"/>
  <c r="H67" i="17"/>
  <c r="G67" i="17"/>
  <c r="BZ67" i="6" s="1"/>
  <c r="AA67" i="17"/>
  <c r="Z67" i="17" s="1"/>
  <c r="Y67" i="17" s="1"/>
  <c r="G232" i="17"/>
  <c r="BZ232" i="6" s="1"/>
  <c r="AA232" i="17"/>
  <c r="Z232" i="17" s="1"/>
  <c r="Y232" i="17" s="1"/>
  <c r="H232" i="17"/>
  <c r="G72" i="17"/>
  <c r="BZ72" i="6" s="1"/>
  <c r="AA72" i="17"/>
  <c r="Z72" i="17" s="1"/>
  <c r="Y72" i="17" s="1"/>
  <c r="H72" i="17"/>
  <c r="H97" i="17"/>
  <c r="G97" i="17"/>
  <c r="BZ97" i="6" s="1"/>
  <c r="AA97" i="17"/>
  <c r="Z97" i="17" s="1"/>
  <c r="Y97" i="17" s="1"/>
  <c r="H376" i="17"/>
  <c r="G376" i="17"/>
  <c r="BZ376" i="6" s="1"/>
  <c r="AA376" i="17"/>
  <c r="Z376" i="17" s="1"/>
  <c r="Y376" i="17" s="1"/>
  <c r="H339" i="17"/>
  <c r="AA339" i="17"/>
  <c r="Z339" i="17" s="1"/>
  <c r="Y339" i="17" s="1"/>
  <c r="G339" i="17"/>
  <c r="BZ339" i="6" s="1"/>
  <c r="G141" i="17"/>
  <c r="BZ141" i="6" s="1"/>
  <c r="H141" i="17"/>
  <c r="AA141" i="17"/>
  <c r="Z141" i="17" s="1"/>
  <c r="Y141" i="17" s="1"/>
  <c r="AA283" i="17"/>
  <c r="Z283" i="17" s="1"/>
  <c r="Y283" i="17" s="1"/>
  <c r="G283" i="17"/>
  <c r="BZ283" i="6" s="1"/>
  <c r="H283" i="17"/>
  <c r="H221" i="17"/>
  <c r="G221" i="17"/>
  <c r="BZ221" i="6" s="1"/>
  <c r="AA221" i="17"/>
  <c r="Z221" i="17" s="1"/>
  <c r="Y221" i="17" s="1"/>
  <c r="H249" i="17"/>
  <c r="AA249" i="17"/>
  <c r="Z249" i="17" s="1"/>
  <c r="Y249" i="17" s="1"/>
  <c r="G249" i="17"/>
  <c r="BZ249" i="6" s="1"/>
  <c r="G31" i="17"/>
  <c r="BZ31" i="6" s="1"/>
  <c r="H31" i="17"/>
  <c r="AA31" i="17"/>
  <c r="Z31" i="17" s="1"/>
  <c r="Y31" i="17" s="1"/>
  <c r="G331" i="17"/>
  <c r="BZ331" i="6" s="1"/>
  <c r="H331" i="17"/>
  <c r="AA331" i="17"/>
  <c r="Z331" i="17" s="1"/>
  <c r="Y331" i="17" s="1"/>
  <c r="AA138" i="17"/>
  <c r="Z138" i="17" s="1"/>
  <c r="Y138" i="17" s="1"/>
  <c r="G138" i="17"/>
  <c r="BZ138" i="6" s="1"/>
  <c r="H138" i="17"/>
  <c r="AA53" i="17"/>
  <c r="Z53" i="17" s="1"/>
  <c r="Y53" i="17" s="1"/>
  <c r="G53" i="17"/>
  <c r="BZ53" i="6" s="1"/>
  <c r="H53" i="17"/>
  <c r="AA143" i="17"/>
  <c r="Z143" i="17" s="1"/>
  <c r="Y143" i="17" s="1"/>
  <c r="H143" i="17"/>
  <c r="G143" i="17"/>
  <c r="BZ143" i="6" s="1"/>
  <c r="G191" i="17"/>
  <c r="BZ191" i="6" s="1"/>
  <c r="H191" i="17"/>
  <c r="AA191" i="17"/>
  <c r="Z191" i="17" s="1"/>
  <c r="Y191" i="17" s="1"/>
  <c r="H317" i="17"/>
  <c r="G317" i="17"/>
  <c r="BZ317" i="6" s="1"/>
  <c r="AA317" i="17"/>
  <c r="Z317" i="17" s="1"/>
  <c r="Y317" i="17" s="1"/>
  <c r="H298" i="17"/>
  <c r="AA298" i="17"/>
  <c r="Z298" i="17" s="1"/>
  <c r="Y298" i="17" s="1"/>
  <c r="G298" i="17"/>
  <c r="BZ298" i="6" s="1"/>
  <c r="G370" i="17"/>
  <c r="BZ370" i="6" s="1"/>
  <c r="H370" i="17"/>
  <c r="AA370" i="17"/>
  <c r="Z370" i="17" s="1"/>
  <c r="Y370" i="17" s="1"/>
  <c r="H274" i="17"/>
  <c r="G274" i="17"/>
  <c r="BZ274" i="6" s="1"/>
  <c r="AA274" i="17"/>
  <c r="Z274" i="17" s="1"/>
  <c r="Y274" i="17" s="1"/>
  <c r="G203" i="17"/>
  <c r="BZ203" i="6" s="1"/>
  <c r="H203" i="17"/>
  <c r="AA35" i="17"/>
  <c r="Z35" i="17" s="1"/>
  <c r="Y35" i="17" s="1"/>
  <c r="G35" i="17"/>
  <c r="BZ35" i="6" s="1"/>
  <c r="H35" i="17"/>
  <c r="H260" i="17"/>
  <c r="G260" i="17"/>
  <c r="BZ260" i="6" s="1"/>
  <c r="AA260" i="17"/>
  <c r="Z260" i="17" s="1"/>
  <c r="Y260" i="17" s="1"/>
  <c r="G218" i="17"/>
  <c r="BZ218" i="6" s="1"/>
  <c r="H218" i="17"/>
  <c r="AA218" i="17"/>
  <c r="Z218" i="17" s="1"/>
  <c r="Y218" i="17" s="1"/>
  <c r="V86" i="17"/>
  <c r="F86" i="17" s="1"/>
  <c r="G128" i="17"/>
  <c r="BZ128" i="6" s="1"/>
  <c r="AA128" i="17"/>
  <c r="Z128" i="17" s="1"/>
  <c r="Y128" i="17" s="1"/>
  <c r="H128" i="17"/>
  <c r="G163" i="17"/>
  <c r="BZ163" i="6" s="1"/>
  <c r="H163" i="17"/>
  <c r="AA163" i="17"/>
  <c r="Z163" i="17" s="1"/>
  <c r="Y163" i="17" s="1"/>
  <c r="G235" i="17"/>
  <c r="BZ235" i="6" s="1"/>
  <c r="H235" i="17"/>
  <c r="AA235" i="17"/>
  <c r="Z235" i="17" s="1"/>
  <c r="Y235" i="17" s="1"/>
  <c r="G124" i="17"/>
  <c r="BZ124" i="6" s="1"/>
  <c r="AA124" i="17"/>
  <c r="Z124" i="17" s="1"/>
  <c r="Y124" i="17" s="1"/>
  <c r="H124" i="17"/>
  <c r="V196" i="17"/>
  <c r="AA216" i="17"/>
  <c r="Z216" i="17" s="1"/>
  <c r="Y216" i="17" s="1"/>
  <c r="H216" i="17"/>
  <c r="G216" i="17"/>
  <c r="BZ216" i="6" s="1"/>
  <c r="G111" i="17"/>
  <c r="BZ111" i="6" s="1"/>
  <c r="AA111" i="17"/>
  <c r="Z111" i="17" s="1"/>
  <c r="Y111" i="17" s="1"/>
  <c r="H111" i="17"/>
  <c r="H58" i="17"/>
  <c r="G58" i="17"/>
  <c r="BZ58" i="6" s="1"/>
  <c r="AA103" i="17"/>
  <c r="Z103" i="17" s="1"/>
  <c r="Y103" i="17" s="1"/>
  <c r="G103" i="17"/>
  <c r="BZ103" i="6" s="1"/>
  <c r="H103" i="17"/>
  <c r="H100" i="17"/>
  <c r="AA100" i="17"/>
  <c r="Z100" i="17" s="1"/>
  <c r="Y100" i="17" s="1"/>
  <c r="G100" i="17"/>
  <c r="BZ100" i="6" s="1"/>
  <c r="G329" i="17"/>
  <c r="BZ329" i="6" s="1"/>
  <c r="H329" i="17"/>
  <c r="AA329" i="17"/>
  <c r="Z329" i="17" s="1"/>
  <c r="Y329" i="17" s="1"/>
  <c r="G361" i="17"/>
  <c r="BZ361" i="6" s="1"/>
  <c r="H361" i="17"/>
  <c r="AA361" i="17"/>
  <c r="Z361" i="17" s="1"/>
  <c r="Y361" i="17" s="1"/>
  <c r="AA365" i="17"/>
  <c r="Z365" i="17" s="1"/>
  <c r="Y365" i="17" s="1"/>
  <c r="G365" i="17"/>
  <c r="BZ365" i="6" s="1"/>
  <c r="H365" i="17"/>
  <c r="H170" i="17"/>
  <c r="AA170" i="17"/>
  <c r="Z170" i="17" s="1"/>
  <c r="Y170" i="17" s="1"/>
  <c r="G170" i="17"/>
  <c r="BZ170" i="6" s="1"/>
  <c r="G182" i="17"/>
  <c r="BZ182" i="6" s="1"/>
  <c r="AA182" i="17"/>
  <c r="Z182" i="17" s="1"/>
  <c r="Y182" i="17" s="1"/>
  <c r="H182" i="17"/>
  <c r="H281" i="17"/>
  <c r="G281" i="17"/>
  <c r="BZ281" i="6" s="1"/>
  <c r="AA281" i="17"/>
  <c r="Z281" i="17" s="1"/>
  <c r="Y281" i="17" s="1"/>
  <c r="H263" i="17"/>
  <c r="AA263" i="17"/>
  <c r="Z263" i="17" s="1"/>
  <c r="Y263" i="17" s="1"/>
  <c r="G263" i="17"/>
  <c r="BZ263" i="6" s="1"/>
  <c r="AA215" i="17"/>
  <c r="Z215" i="17" s="1"/>
  <c r="Y215" i="17" s="1"/>
  <c r="G215" i="17"/>
  <c r="BZ215" i="6" s="1"/>
  <c r="H215" i="17"/>
  <c r="AA203" i="17"/>
  <c r="Z203" i="17" s="1"/>
  <c r="Y203" i="17" s="1"/>
  <c r="H271" i="17"/>
  <c r="G271" i="17"/>
  <c r="BZ271" i="6" s="1"/>
  <c r="AA271" i="17"/>
  <c r="Z271" i="17" s="1"/>
  <c r="Y271" i="17" s="1"/>
  <c r="G24" i="17"/>
  <c r="BZ24" i="6" s="1"/>
  <c r="H24" i="17"/>
  <c r="AA24" i="17"/>
  <c r="Z24" i="17" s="1"/>
  <c r="Y24" i="17" s="1"/>
  <c r="G316" i="17"/>
  <c r="BZ316" i="6" s="1"/>
  <c r="AA316" i="17"/>
  <c r="Z316" i="17" s="1"/>
  <c r="Y316" i="17" s="1"/>
  <c r="H316" i="17"/>
  <c r="G12" i="19"/>
  <c r="AB9" i="15"/>
  <c r="F11" i="15"/>
  <c r="AA383" i="15"/>
  <c r="Z15" i="15"/>
  <c r="AM8" i="15"/>
  <c r="AL10" i="15"/>
  <c r="AA381" i="15"/>
  <c r="AA9" i="15"/>
  <c r="AA382" i="15"/>
  <c r="AA29" i="17"/>
  <c r="Z29" i="17" s="1"/>
  <c r="Y29" i="17" s="1"/>
  <c r="G29" i="17"/>
  <c r="BZ29" i="6" s="1"/>
  <c r="H29" i="17"/>
  <c r="AA16" i="7"/>
  <c r="AA83" i="17"/>
  <c r="Z83" i="17" s="1"/>
  <c r="Y83" i="17" s="1"/>
  <c r="G83" i="17"/>
  <c r="BZ83" i="6" s="1"/>
  <c r="H83" i="17"/>
  <c r="G293" i="17"/>
  <c r="BZ293" i="6" s="1"/>
  <c r="H293" i="17"/>
  <c r="AA293" i="17"/>
  <c r="Z293" i="17" s="1"/>
  <c r="Y293" i="17" s="1"/>
  <c r="AA224" i="17"/>
  <c r="Z224" i="17" s="1"/>
  <c r="Y224" i="17" s="1"/>
  <c r="G224" i="17"/>
  <c r="BZ224" i="6" s="1"/>
  <c r="H224" i="17"/>
  <c r="H201" i="17"/>
  <c r="G201" i="17"/>
  <c r="BZ201" i="6" s="1"/>
  <c r="AA201" i="17"/>
  <c r="Z201" i="17" s="1"/>
  <c r="Y201" i="17" s="1"/>
  <c r="D63" i="7"/>
  <c r="V241" i="17"/>
  <c r="F241" i="17" s="1"/>
  <c r="AA233" i="17"/>
  <c r="Z233" i="17" s="1"/>
  <c r="Y233" i="17" s="1"/>
  <c r="G233" i="17"/>
  <c r="BZ233" i="6" s="1"/>
  <c r="H233" i="17"/>
  <c r="G214" i="17"/>
  <c r="BZ214" i="6" s="1"/>
  <c r="H214" i="17"/>
  <c r="AA214" i="17"/>
  <c r="Z214" i="17" s="1"/>
  <c r="Y214" i="17" s="1"/>
  <c r="G173" i="17"/>
  <c r="BZ173" i="6" s="1"/>
  <c r="H173" i="17"/>
  <c r="AA173" i="17"/>
  <c r="Z173" i="17" s="1"/>
  <c r="Y173" i="17" s="1"/>
  <c r="G185" i="17"/>
  <c r="BZ185" i="6" s="1"/>
  <c r="H185" i="17"/>
  <c r="AA185" i="17"/>
  <c r="Z185" i="17" s="1"/>
  <c r="Y185" i="17" s="1"/>
  <c r="AA144" i="17"/>
  <c r="Z144" i="17" s="1"/>
  <c r="Y144" i="17" s="1"/>
  <c r="H144" i="17"/>
  <c r="G144" i="17"/>
  <c r="BZ144" i="6" s="1"/>
  <c r="G94" i="17"/>
  <c r="BZ94" i="6" s="1"/>
  <c r="H94" i="17"/>
  <c r="AA94" i="17"/>
  <c r="Z94" i="17" s="1"/>
  <c r="Y94" i="17" s="1"/>
  <c r="G129" i="17"/>
  <c r="BZ129" i="6" s="1"/>
  <c r="AA129" i="17"/>
  <c r="Z129" i="17" s="1"/>
  <c r="Y129" i="17" s="1"/>
  <c r="H129" i="17"/>
  <c r="H374" i="17"/>
  <c r="G374" i="17"/>
  <c r="BZ374" i="6" s="1"/>
  <c r="AA374" i="17"/>
  <c r="Z374" i="17" s="1"/>
  <c r="Y374" i="17" s="1"/>
  <c r="V47" i="17"/>
  <c r="F47" i="17" s="1"/>
  <c r="G240" i="17"/>
  <c r="BZ240" i="6" s="1"/>
  <c r="H240" i="17"/>
  <c r="AA240" i="17"/>
  <c r="Z240" i="17" s="1"/>
  <c r="Y240" i="17" s="1"/>
  <c r="G167" i="17"/>
  <c r="BZ167" i="6" s="1"/>
  <c r="AA167" i="17"/>
  <c r="Z167" i="17" s="1"/>
  <c r="Y167" i="17" s="1"/>
  <c r="H167" i="17"/>
  <c r="AA202" i="17"/>
  <c r="Z202" i="17" s="1"/>
  <c r="Y202" i="17" s="1"/>
  <c r="G202" i="17"/>
  <c r="BZ202" i="6" s="1"/>
  <c r="H202" i="17"/>
  <c r="H87" i="17"/>
  <c r="AA87" i="17"/>
  <c r="Z87" i="17" s="1"/>
  <c r="Y87" i="17" s="1"/>
  <c r="G87" i="17"/>
  <c r="BZ87" i="6" s="1"/>
  <c r="AA177" i="17"/>
  <c r="Z177" i="17" s="1"/>
  <c r="Y177" i="17" s="1"/>
  <c r="H177" i="17"/>
  <c r="G177" i="17"/>
  <c r="BZ177" i="6" s="1"/>
  <c r="AA234" i="17"/>
  <c r="Z234" i="17" s="1"/>
  <c r="Y234" i="17" s="1"/>
  <c r="H234" i="17"/>
  <c r="G234" i="17"/>
  <c r="BZ234" i="6" s="1"/>
  <c r="AA190" i="17"/>
  <c r="Z190" i="17" s="1"/>
  <c r="Y190" i="17" s="1"/>
  <c r="G190" i="17"/>
  <c r="BZ190" i="6" s="1"/>
  <c r="H190" i="17"/>
  <c r="AA66" i="17"/>
  <c r="Z66" i="17" s="1"/>
  <c r="Y66" i="17" s="1"/>
  <c r="G66" i="17"/>
  <c r="BZ66" i="6" s="1"/>
  <c r="H66" i="17"/>
  <c r="AA61" i="17"/>
  <c r="Z61" i="17" s="1"/>
  <c r="Y61" i="17" s="1"/>
  <c r="H61" i="17"/>
  <c r="G61" i="17"/>
  <c r="BZ61" i="6" s="1"/>
  <c r="G247" i="17"/>
  <c r="BZ247" i="6" s="1"/>
  <c r="AA247" i="17"/>
  <c r="Z247" i="17" s="1"/>
  <c r="Y247" i="17" s="1"/>
  <c r="H247" i="17"/>
  <c r="H106" i="17"/>
  <c r="G106" i="17"/>
  <c r="BZ106" i="6" s="1"/>
  <c r="AA106" i="17"/>
  <c r="Z106" i="17" s="1"/>
  <c r="Y106" i="17" s="1"/>
  <c r="V88" i="17"/>
  <c r="F88" i="17" s="1"/>
  <c r="D58" i="7"/>
  <c r="G306" i="17"/>
  <c r="BZ306" i="6" s="1"/>
  <c r="H306" i="17"/>
  <c r="AA306" i="17"/>
  <c r="Z306" i="17" s="1"/>
  <c r="Y306" i="17" s="1"/>
  <c r="AA171" i="17"/>
  <c r="Z171" i="17" s="1"/>
  <c r="Y171" i="17" s="1"/>
  <c r="G171" i="17"/>
  <c r="BZ171" i="6" s="1"/>
  <c r="H171" i="17"/>
  <c r="V210" i="17"/>
  <c r="F210" i="17" s="1"/>
  <c r="D62" i="7"/>
  <c r="AA367" i="17"/>
  <c r="Z367" i="17" s="1"/>
  <c r="Y367" i="17" s="1"/>
  <c r="G367" i="17"/>
  <c r="BZ367" i="6" s="1"/>
  <c r="H367" i="17"/>
  <c r="H139" i="17"/>
  <c r="G139" i="17"/>
  <c r="BZ139" i="6" s="1"/>
  <c r="AA139" i="17"/>
  <c r="Z139" i="17" s="1"/>
  <c r="Y139" i="17" s="1"/>
  <c r="V174" i="17"/>
  <c r="AA294" i="17"/>
  <c r="Z294" i="17" s="1"/>
  <c r="Y294" i="17" s="1"/>
  <c r="H294" i="17"/>
  <c r="G294" i="17"/>
  <c r="BZ294" i="6" s="1"/>
  <c r="AA51" i="17"/>
  <c r="Z51" i="17" s="1"/>
  <c r="Y51" i="17" s="1"/>
  <c r="H51" i="17"/>
  <c r="G51" i="17"/>
  <c r="BZ51" i="6" s="1"/>
  <c r="H373" i="17"/>
  <c r="G373" i="17"/>
  <c r="BZ373" i="6" s="1"/>
  <c r="AA373" i="17"/>
  <c r="Z373" i="17" s="1"/>
  <c r="Y373" i="17" s="1"/>
  <c r="AA127" i="17"/>
  <c r="Z127" i="17" s="1"/>
  <c r="Y127" i="17" s="1"/>
  <c r="G127" i="17"/>
  <c r="BZ127" i="6" s="1"/>
  <c r="H127" i="17"/>
  <c r="H150" i="17"/>
  <c r="AA150" i="17"/>
  <c r="Z150" i="17" s="1"/>
  <c r="Y150" i="17" s="1"/>
  <c r="G150" i="17"/>
  <c r="BZ150" i="6" s="1"/>
  <c r="H198" i="17"/>
  <c r="AA198" i="17"/>
  <c r="Z198" i="17" s="1"/>
  <c r="Y198" i="17" s="1"/>
  <c r="G198" i="17"/>
  <c r="BZ198" i="6" s="1"/>
  <c r="H110" i="17"/>
  <c r="G110" i="17"/>
  <c r="BZ110" i="6" s="1"/>
  <c r="AA110" i="17"/>
  <c r="Z110" i="17" s="1"/>
  <c r="Y110" i="17" s="1"/>
  <c r="H16" i="17"/>
  <c r="G16" i="17"/>
  <c r="BZ16" i="6" s="1"/>
  <c r="AA16" i="17"/>
  <c r="Z16" i="17" s="1"/>
  <c r="Y16" i="17" s="1"/>
  <c r="V145" i="17"/>
  <c r="F145" i="17" s="1"/>
  <c r="AG379" i="17"/>
  <c r="AF379" i="17" s="1"/>
  <c r="AD379" i="17" s="1"/>
  <c r="F15" i="16"/>
  <c r="AA15" i="16" s="1"/>
  <c r="AL10" i="16" s="1"/>
  <c r="B63" i="19"/>
  <c r="N63" i="19" s="1"/>
  <c r="V383" i="16"/>
  <c r="V382" i="16"/>
  <c r="V381" i="16"/>
  <c r="J176" i="16"/>
  <c r="I176" i="16"/>
  <c r="H176" i="17" s="1"/>
  <c r="AD383" i="16"/>
  <c r="AD382" i="16"/>
  <c r="AD381" i="16"/>
  <c r="Y119" i="16"/>
  <c r="AA37" i="17"/>
  <c r="Z37" i="17" s="1"/>
  <c r="Y37" i="17" s="1"/>
  <c r="H37" i="17"/>
  <c r="G37" i="17"/>
  <c r="BZ37" i="6" s="1"/>
  <c r="H193" i="17"/>
  <c r="G193" i="17"/>
  <c r="BZ193" i="6" s="1"/>
  <c r="G41" i="17"/>
  <c r="BZ41" i="6" s="1"/>
  <c r="AA41" i="17"/>
  <c r="Z41" i="17" s="1"/>
  <c r="Y41" i="17" s="1"/>
  <c r="H41" i="17"/>
  <c r="G250" i="17"/>
  <c r="BZ250" i="6" s="1"/>
  <c r="AA250" i="17"/>
  <c r="Z250" i="17" s="1"/>
  <c r="Y250" i="17" s="1"/>
  <c r="H250" i="17"/>
  <c r="G338" i="17"/>
  <c r="BZ338" i="6" s="1"/>
  <c r="AA338" i="17"/>
  <c r="Z338" i="17" s="1"/>
  <c r="Y338" i="17" s="1"/>
  <c r="H338" i="17"/>
  <c r="H212" i="17"/>
  <c r="G212" i="17"/>
  <c r="BZ212" i="6" s="1"/>
  <c r="AA212" i="17"/>
  <c r="Z212" i="17" s="1"/>
  <c r="Y212" i="17" s="1"/>
  <c r="H32" i="17"/>
  <c r="G32" i="17"/>
  <c r="BZ32" i="6" s="1"/>
  <c r="AA32" i="17"/>
  <c r="Z32" i="17" s="1"/>
  <c r="Y32" i="17" s="1"/>
  <c r="H26" i="17"/>
  <c r="AA26" i="17"/>
  <c r="Z26" i="17" s="1"/>
  <c r="Y26" i="17" s="1"/>
  <c r="G26" i="17"/>
  <c r="BZ26" i="6" s="1"/>
  <c r="G99" i="17"/>
  <c r="BZ99" i="6" s="1"/>
  <c r="AA99" i="17"/>
  <c r="Z99" i="17" s="1"/>
  <c r="Y99" i="17" s="1"/>
  <c r="H99" i="17"/>
  <c r="H307" i="17"/>
  <c r="G307" i="17"/>
  <c r="BZ307" i="6" s="1"/>
  <c r="AA307" i="17"/>
  <c r="Z307" i="17" s="1"/>
  <c r="Y307" i="17" s="1"/>
  <c r="H158" i="17"/>
  <c r="AA158" i="17"/>
  <c r="Z158" i="17" s="1"/>
  <c r="Y158" i="17" s="1"/>
  <c r="G158" i="17"/>
  <c r="BZ158" i="6" s="1"/>
  <c r="AA162" i="17"/>
  <c r="Z162" i="17" s="1"/>
  <c r="Y162" i="17" s="1"/>
  <c r="G162" i="17"/>
  <c r="BZ162" i="6" s="1"/>
  <c r="H162" i="17"/>
  <c r="H189" i="17"/>
  <c r="G189" i="17"/>
  <c r="BZ189" i="6" s="1"/>
  <c r="AA189" i="17"/>
  <c r="Z189" i="17" s="1"/>
  <c r="Y189" i="17" s="1"/>
  <c r="G115" i="17"/>
  <c r="BZ115" i="6" s="1"/>
  <c r="H115" i="17"/>
  <c r="AA115" i="17"/>
  <c r="Z115" i="17" s="1"/>
  <c r="Y115" i="17" s="1"/>
  <c r="AA157" i="17"/>
  <c r="Z157" i="17" s="1"/>
  <c r="Y157" i="17" s="1"/>
  <c r="H157" i="17"/>
  <c r="G157" i="17"/>
  <c r="BZ157" i="6" s="1"/>
  <c r="AA211" i="17"/>
  <c r="Z211" i="17" s="1"/>
  <c r="Y211" i="17" s="1"/>
  <c r="G211" i="17"/>
  <c r="BZ211" i="6" s="1"/>
  <c r="H211" i="17"/>
  <c r="G366" i="17"/>
  <c r="BZ366" i="6" s="1"/>
  <c r="H366" i="17"/>
  <c r="AA366" i="17"/>
  <c r="Z366" i="17" s="1"/>
  <c r="Y366" i="17" s="1"/>
  <c r="G219" i="17"/>
  <c r="BZ219" i="6" s="1"/>
  <c r="H219" i="17"/>
  <c r="AA219" i="17"/>
  <c r="Z219" i="17" s="1"/>
  <c r="Y219" i="17" s="1"/>
  <c r="H355" i="17"/>
  <c r="G355" i="17"/>
  <c r="BZ355" i="6" s="1"/>
  <c r="AA355" i="17"/>
  <c r="Z355" i="17" s="1"/>
  <c r="Y355" i="17" s="1"/>
  <c r="G36" i="17"/>
  <c r="BZ36" i="6" s="1"/>
  <c r="AA36" i="17"/>
  <c r="Z36" i="17" s="1"/>
  <c r="Y36" i="17" s="1"/>
  <c r="H36" i="17"/>
  <c r="G122" i="17"/>
  <c r="BZ122" i="6" s="1"/>
  <c r="H122" i="17"/>
  <c r="AA122" i="17"/>
  <c r="Z122" i="17" s="1"/>
  <c r="Y122" i="17" s="1"/>
  <c r="AA207" i="17"/>
  <c r="Z207" i="17" s="1"/>
  <c r="Y207" i="17" s="1"/>
  <c r="H207" i="17"/>
  <c r="G207" i="17"/>
  <c r="BZ207" i="6" s="1"/>
  <c r="D57" i="7"/>
  <c r="V60" i="17"/>
  <c r="F60" i="17" s="1"/>
  <c r="V227" i="17"/>
  <c r="V324" i="17"/>
  <c r="F324" i="17" s="1"/>
  <c r="G50" i="17"/>
  <c r="BZ50" i="6" s="1"/>
  <c r="AA50" i="17"/>
  <c r="Z50" i="17" s="1"/>
  <c r="Y50" i="17" s="1"/>
  <c r="H50" i="17"/>
  <c r="G98" i="17"/>
  <c r="BZ98" i="6" s="1"/>
  <c r="AA98" i="17"/>
  <c r="Z98" i="17" s="1"/>
  <c r="Y98" i="17" s="1"/>
  <c r="H98" i="17"/>
  <c r="G264" i="17"/>
  <c r="BZ264" i="6" s="1"/>
  <c r="H264" i="17"/>
  <c r="AA264" i="17"/>
  <c r="Z264" i="17" s="1"/>
  <c r="Y264" i="17" s="1"/>
  <c r="G125" i="17"/>
  <c r="BZ125" i="6" s="1"/>
  <c r="H125" i="17"/>
  <c r="AA125" i="17"/>
  <c r="Z125" i="17" s="1"/>
  <c r="Y125" i="17" s="1"/>
  <c r="AA353" i="17"/>
  <c r="Z353" i="17" s="1"/>
  <c r="Y353" i="17" s="1"/>
  <c r="G353" i="17"/>
  <c r="BZ353" i="6" s="1"/>
  <c r="H353" i="17"/>
  <c r="G45" i="17"/>
  <c r="BZ45" i="6" s="1"/>
  <c r="H45" i="17"/>
  <c r="AA45" i="17"/>
  <c r="Z45" i="17" s="1"/>
  <c r="Y45" i="17" s="1"/>
  <c r="AA217" i="17"/>
  <c r="Z217" i="17" s="1"/>
  <c r="Y217" i="17" s="1"/>
  <c r="G217" i="17"/>
  <c r="BZ217" i="6" s="1"/>
  <c r="H217" i="17"/>
  <c r="H231" i="17"/>
  <c r="G231" i="17"/>
  <c r="BZ231" i="6" s="1"/>
  <c r="AA231" i="17"/>
  <c r="Z231" i="17" s="1"/>
  <c r="Y231" i="17" s="1"/>
  <c r="F74" i="17"/>
  <c r="H228" i="17"/>
  <c r="G228" i="17"/>
  <c r="BZ228" i="6" s="1"/>
  <c r="AA228" i="17"/>
  <c r="Z228" i="17" s="1"/>
  <c r="Y228" i="17" s="1"/>
  <c r="G52" i="17"/>
  <c r="BZ52" i="6" s="1"/>
  <c r="AA52" i="17"/>
  <c r="Z52" i="17" s="1"/>
  <c r="Y52" i="17" s="1"/>
  <c r="H52" i="17"/>
  <c r="G44" i="17"/>
  <c r="BZ44" i="6" s="1"/>
  <c r="H44" i="17"/>
  <c r="AA44" i="17"/>
  <c r="Z44" i="17" s="1"/>
  <c r="Y44" i="17" s="1"/>
  <c r="F46" i="17"/>
  <c r="AA236" i="17"/>
  <c r="Z236" i="17" s="1"/>
  <c r="Y236" i="17" s="1"/>
  <c r="H236" i="17"/>
  <c r="G236" i="17"/>
  <c r="BZ236" i="6" s="1"/>
  <c r="G342" i="17"/>
  <c r="BZ342" i="6" s="1"/>
  <c r="H342" i="17"/>
  <c r="AA342" i="17"/>
  <c r="Z342" i="17" s="1"/>
  <c r="Y342" i="17" s="1"/>
  <c r="G372" i="17"/>
  <c r="BZ372" i="6" s="1"/>
  <c r="AA372" i="17"/>
  <c r="Z372" i="17" s="1"/>
  <c r="Y372" i="17" s="1"/>
  <c r="H372" i="17"/>
  <c r="H377" i="17"/>
  <c r="G377" i="17"/>
  <c r="BZ377" i="6" s="1"/>
  <c r="AA377" i="17"/>
  <c r="Z377" i="17" s="1"/>
  <c r="Y377" i="17" s="1"/>
  <c r="V362" i="17"/>
  <c r="F362" i="17" s="1"/>
  <c r="G344" i="17"/>
  <c r="BZ344" i="6" s="1"/>
  <c r="AA344" i="17"/>
  <c r="Z344" i="17" s="1"/>
  <c r="Y344" i="17" s="1"/>
  <c r="H344" i="17"/>
  <c r="AA299" i="17"/>
  <c r="Z299" i="17" s="1"/>
  <c r="Y299" i="17" s="1"/>
  <c r="H299" i="17"/>
  <c r="G299" i="17"/>
  <c r="BZ299" i="6" s="1"/>
  <c r="H109" i="17"/>
  <c r="G109" i="17"/>
  <c r="BZ109" i="6" s="1"/>
  <c r="AA109" i="17"/>
  <c r="Z109" i="17" s="1"/>
  <c r="Y109" i="17" s="1"/>
  <c r="AA76" i="17"/>
  <c r="Z76" i="17" s="1"/>
  <c r="Y76" i="17" s="1"/>
  <c r="H76" i="17"/>
  <c r="G76" i="17"/>
  <c r="BZ76" i="6" s="1"/>
  <c r="V21" i="17"/>
  <c r="F21" i="17" s="1"/>
  <c r="G327" i="17"/>
  <c r="BZ327" i="6" s="1"/>
  <c r="AA327" i="17"/>
  <c r="Z327" i="17" s="1"/>
  <c r="Y327" i="17" s="1"/>
  <c r="H327" i="17"/>
  <c r="G309" i="17"/>
  <c r="BZ309" i="6" s="1"/>
  <c r="H309" i="17"/>
  <c r="AA309" i="17"/>
  <c r="Z309" i="17" s="1"/>
  <c r="Y309" i="17" s="1"/>
  <c r="AA279" i="17"/>
  <c r="Z279" i="17" s="1"/>
  <c r="Y279" i="17" s="1"/>
  <c r="H279" i="17"/>
  <c r="G279" i="17"/>
  <c r="BZ279" i="6" s="1"/>
  <c r="G49" i="17"/>
  <c r="BZ49" i="6" s="1"/>
  <c r="H49" i="17"/>
  <c r="AA49" i="17"/>
  <c r="Z49" i="17" s="1"/>
  <c r="Y49" i="17" s="1"/>
  <c r="AA255" i="17"/>
  <c r="Z255" i="17" s="1"/>
  <c r="Y255" i="17" s="1"/>
  <c r="G255" i="17"/>
  <c r="BZ255" i="6" s="1"/>
  <c r="H255" i="17"/>
  <c r="H290" i="17"/>
  <c r="AA290" i="17"/>
  <c r="Z290" i="17" s="1"/>
  <c r="Y290" i="17" s="1"/>
  <c r="G290" i="17"/>
  <c r="BZ290" i="6" s="1"/>
  <c r="G64" i="17"/>
  <c r="BZ64" i="6" s="1"/>
  <c r="H64" i="17"/>
  <c r="AA64" i="17"/>
  <c r="Z64" i="17" s="1"/>
  <c r="Y64" i="17" s="1"/>
  <c r="AA315" i="17"/>
  <c r="Z315" i="17" s="1"/>
  <c r="Y315" i="17" s="1"/>
  <c r="G315" i="17"/>
  <c r="BZ315" i="6" s="1"/>
  <c r="H315" i="17"/>
  <c r="G25" i="17"/>
  <c r="BZ25" i="6" s="1"/>
  <c r="H25" i="17"/>
  <c r="AA25" i="17"/>
  <c r="Z25" i="17" s="1"/>
  <c r="Y25" i="17" s="1"/>
  <c r="G101" i="17"/>
  <c r="BZ101" i="6" s="1"/>
  <c r="AA101" i="17"/>
  <c r="Z101" i="17" s="1"/>
  <c r="Y101" i="17" s="1"/>
  <c r="H101" i="17"/>
  <c r="G54" i="17"/>
  <c r="BZ54" i="6" s="1"/>
  <c r="AA54" i="17"/>
  <c r="Z54" i="17" s="1"/>
  <c r="Y54" i="17" s="1"/>
  <c r="H54" i="17"/>
  <c r="H73" i="17"/>
  <c r="G73" i="17"/>
  <c r="BZ73" i="6" s="1"/>
  <c r="G78" i="17"/>
  <c r="BZ78" i="6" s="1"/>
  <c r="H78" i="17"/>
  <c r="H57" i="17"/>
  <c r="AA57" i="17"/>
  <c r="Z57" i="17" s="1"/>
  <c r="Y57" i="17" s="1"/>
  <c r="G57" i="17"/>
  <c r="BZ57" i="6" s="1"/>
  <c r="H188" i="17"/>
  <c r="AA188" i="17"/>
  <c r="Z188" i="17" s="1"/>
  <c r="Y188" i="17" s="1"/>
  <c r="G188" i="17"/>
  <c r="BZ188" i="6" s="1"/>
  <c r="G160" i="17"/>
  <c r="BZ160" i="6" s="1"/>
  <c r="H160" i="17"/>
  <c r="AA160" i="17"/>
  <c r="Z160" i="17" s="1"/>
  <c r="Y160" i="17" s="1"/>
  <c r="G337" i="17"/>
  <c r="BZ337" i="6" s="1"/>
  <c r="AA337" i="17"/>
  <c r="Z337" i="17" s="1"/>
  <c r="Y337" i="17" s="1"/>
  <c r="H337" i="17"/>
  <c r="AA195" i="17"/>
  <c r="Z195" i="17" s="1"/>
  <c r="Y195" i="17" s="1"/>
  <c r="H195" i="17"/>
  <c r="G195" i="17"/>
  <c r="BZ195" i="6" s="1"/>
  <c r="AA368" i="17"/>
  <c r="Z368" i="17" s="1"/>
  <c r="Y368" i="17" s="1"/>
  <c r="G368" i="17"/>
  <c r="BZ368" i="6" s="1"/>
  <c r="H368" i="17"/>
  <c r="H223" i="17"/>
  <c r="AA223" i="17"/>
  <c r="Z223" i="17" s="1"/>
  <c r="Y223" i="17" s="1"/>
  <c r="G223" i="17"/>
  <c r="BZ223" i="6" s="1"/>
  <c r="H33" i="17"/>
  <c r="G33" i="17"/>
  <c r="BZ33" i="6" s="1"/>
  <c r="AA33" i="17"/>
  <c r="Z33" i="17" s="1"/>
  <c r="Y33" i="17" s="1"/>
  <c r="V148" i="17"/>
  <c r="F148" i="17" s="1"/>
  <c r="AA243" i="17"/>
  <c r="Z243" i="17" s="1"/>
  <c r="Y243" i="17" s="1"/>
  <c r="H243" i="17"/>
  <c r="G243" i="17"/>
  <c r="BZ243" i="6" s="1"/>
  <c r="AA238" i="17"/>
  <c r="Z238" i="17" s="1"/>
  <c r="Y238" i="17" s="1"/>
  <c r="G238" i="17"/>
  <c r="BZ238" i="6" s="1"/>
  <c r="H238" i="17"/>
  <c r="AA275" i="17"/>
  <c r="Z275" i="17" s="1"/>
  <c r="Y275" i="17" s="1"/>
  <c r="G275" i="17"/>
  <c r="BZ275" i="6" s="1"/>
  <c r="H275" i="17"/>
  <c r="G209" i="17"/>
  <c r="BZ209" i="6" s="1"/>
  <c r="AA209" i="17"/>
  <c r="Z209" i="17" s="1"/>
  <c r="Y209" i="17" s="1"/>
  <c r="H209" i="17"/>
  <c r="H90" i="17"/>
  <c r="G90" i="17"/>
  <c r="BZ90" i="6" s="1"/>
  <c r="AA90" i="17"/>
  <c r="Z90" i="17" s="1"/>
  <c r="Y90" i="17" s="1"/>
  <c r="V80" i="17"/>
  <c r="F80" i="17" s="1"/>
  <c r="H164" i="17"/>
  <c r="G164" i="17"/>
  <c r="BZ164" i="6" s="1"/>
  <c r="AA164" i="17"/>
  <c r="Z164" i="17" s="1"/>
  <c r="Y164" i="17" s="1"/>
  <c r="H378" i="17"/>
  <c r="G378" i="17"/>
  <c r="BZ378" i="6" s="1"/>
  <c r="AA378" i="17"/>
  <c r="Z378" i="17" s="1"/>
  <c r="Y378" i="17" s="1"/>
  <c r="H184" i="17"/>
  <c r="G184" i="17"/>
  <c r="BZ184" i="6" s="1"/>
  <c r="AA184" i="17"/>
  <c r="Z184" i="17" s="1"/>
  <c r="Y184" i="17" s="1"/>
  <c r="H55" i="17"/>
  <c r="AA55" i="17"/>
  <c r="Z55" i="17" s="1"/>
  <c r="Y55" i="17" s="1"/>
  <c r="G55" i="17"/>
  <c r="BZ55" i="6" s="1"/>
  <c r="G291" i="17"/>
  <c r="BZ291" i="6" s="1"/>
  <c r="AA291" i="17"/>
  <c r="Z291" i="17" s="1"/>
  <c r="Y291" i="17" s="1"/>
  <c r="H291" i="17"/>
  <c r="G222" i="17"/>
  <c r="BZ222" i="6" s="1"/>
  <c r="AA222" i="17"/>
  <c r="Z222" i="17" s="1"/>
  <c r="Y222" i="17" s="1"/>
  <c r="H222" i="17"/>
  <c r="G114" i="17"/>
  <c r="BZ114" i="6" s="1"/>
  <c r="AA114" i="17"/>
  <c r="Z114" i="17" s="1"/>
  <c r="Y114" i="17" s="1"/>
  <c r="H114" i="17"/>
  <c r="G257" i="17"/>
  <c r="BZ257" i="6" s="1"/>
  <c r="AA257" i="17"/>
  <c r="Z257" i="17" s="1"/>
  <c r="Y257" i="17" s="1"/>
  <c r="H257" i="17"/>
  <c r="H328" i="17"/>
  <c r="AA328" i="17"/>
  <c r="Z328" i="17" s="1"/>
  <c r="Y328" i="17" s="1"/>
  <c r="G328" i="17"/>
  <c r="BZ328" i="6" s="1"/>
  <c r="AA78" i="17"/>
  <c r="Z78" i="17" s="1"/>
  <c r="Y78" i="17" s="1"/>
  <c r="G383" i="15"/>
  <c r="G12" i="15" s="1"/>
  <c r="G381" i="15"/>
  <c r="G382" i="15"/>
  <c r="I15" i="15"/>
  <c r="J15" i="15"/>
  <c r="U10" i="18"/>
  <c r="AI60" i="18" s="1"/>
  <c r="AH60" i="18" s="1"/>
  <c r="AG60" i="18" s="1"/>
  <c r="AF60" i="18" s="1"/>
  <c r="I380" i="18"/>
  <c r="J380" i="18"/>
  <c r="C380" i="6" s="1"/>
  <c r="AI327" i="18"/>
  <c r="AH327" i="18" s="1"/>
  <c r="AG327" i="18" s="1"/>
  <c r="AF327" i="18" s="1"/>
  <c r="AI101" i="18"/>
  <c r="AH101" i="18" s="1"/>
  <c r="AG101" i="18" s="1"/>
  <c r="AF101" i="18" s="1"/>
  <c r="AI206" i="18"/>
  <c r="AH206" i="18" s="1"/>
  <c r="AG206" i="18" s="1"/>
  <c r="AF206" i="18" s="1"/>
  <c r="AI269" i="18"/>
  <c r="AH269" i="18" s="1"/>
  <c r="AG269" i="18" s="1"/>
  <c r="AF269" i="18" s="1"/>
  <c r="AI302" i="18"/>
  <c r="AH302" i="18" s="1"/>
  <c r="AG302" i="18" s="1"/>
  <c r="AF302" i="18" s="1"/>
  <c r="AI353" i="18"/>
  <c r="AH353" i="18" s="1"/>
  <c r="AG353" i="18" s="1"/>
  <c r="AF353" i="18" s="1"/>
  <c r="AI53" i="18"/>
  <c r="AH53" i="18" s="1"/>
  <c r="AI27" i="18"/>
  <c r="AH27" i="18" s="1"/>
  <c r="AG27" i="18" s="1"/>
  <c r="AF27" i="18" s="1"/>
  <c r="AI97" i="18"/>
  <c r="AH97" i="18" s="1"/>
  <c r="AG97" i="18" s="1"/>
  <c r="AF97" i="18" s="1"/>
  <c r="AI330" i="18"/>
  <c r="AH330" i="18" s="1"/>
  <c r="AG330" i="18" s="1"/>
  <c r="AF330" i="18" s="1"/>
  <c r="AI231" i="18"/>
  <c r="AH231" i="18" s="1"/>
  <c r="AG231" i="18" s="1"/>
  <c r="AF231" i="18" s="1"/>
  <c r="AI191" i="18"/>
  <c r="AH191" i="18" s="1"/>
  <c r="AG191" i="18" s="1"/>
  <c r="AF191" i="18" s="1"/>
  <c r="AI357" i="18"/>
  <c r="AH357" i="18" s="1"/>
  <c r="AI334" i="18"/>
  <c r="AH334" i="18" s="1"/>
  <c r="AG334" i="18" s="1"/>
  <c r="AF334" i="18" s="1"/>
  <c r="AI140" i="18"/>
  <c r="AH140" i="18" s="1"/>
  <c r="AG140" i="18" s="1"/>
  <c r="AF140" i="18" s="1"/>
  <c r="AI190" i="18"/>
  <c r="AH190" i="18" s="1"/>
  <c r="AG190" i="18" s="1"/>
  <c r="AF190" i="18" s="1"/>
  <c r="AI337" i="18"/>
  <c r="AH337" i="18" s="1"/>
  <c r="AG337" i="18" s="1"/>
  <c r="AF337" i="18" s="1"/>
  <c r="AI355" i="18"/>
  <c r="AH355" i="18" s="1"/>
  <c r="AG355" i="18" s="1"/>
  <c r="AF355" i="18" s="1"/>
  <c r="AI56" i="18"/>
  <c r="AH56" i="18" s="1"/>
  <c r="AG56" i="18" s="1"/>
  <c r="AF56" i="18" s="1"/>
  <c r="AI90" i="18"/>
  <c r="AH90" i="18" s="1"/>
  <c r="AG90" i="18" s="1"/>
  <c r="AF90" i="18" s="1"/>
  <c r="AI261" i="18"/>
  <c r="AH261" i="18" s="1"/>
  <c r="AG261" i="18" s="1"/>
  <c r="AF261" i="18" s="1"/>
  <c r="AI311" i="18"/>
  <c r="AH311" i="18" s="1"/>
  <c r="AG311" i="18" s="1"/>
  <c r="AF311" i="18" s="1"/>
  <c r="AI79" i="18"/>
  <c r="AH79" i="18" s="1"/>
  <c r="AG79" i="18" s="1"/>
  <c r="AF79" i="18" s="1"/>
  <c r="AI117" i="18"/>
  <c r="AH117" i="18" s="1"/>
  <c r="AG117" i="18" s="1"/>
  <c r="AF117" i="18" s="1"/>
  <c r="AI80" i="18"/>
  <c r="AH80" i="18" s="1"/>
  <c r="AG80" i="18" s="1"/>
  <c r="AF80" i="18" s="1"/>
  <c r="AI204" i="18"/>
  <c r="AH204" i="18" s="1"/>
  <c r="AG204" i="18" s="1"/>
  <c r="AF204" i="18" s="1"/>
  <c r="AI94" i="18"/>
  <c r="AH94" i="18" s="1"/>
  <c r="AG94" i="18" s="1"/>
  <c r="AF94" i="18" s="1"/>
  <c r="AI370" i="18"/>
  <c r="AH370" i="18" s="1"/>
  <c r="AG370" i="18" s="1"/>
  <c r="AF370" i="18" s="1"/>
  <c r="AI213" i="18"/>
  <c r="AH213" i="18" s="1"/>
  <c r="AG213" i="18" s="1"/>
  <c r="AF213" i="18" s="1"/>
  <c r="AI232" i="18"/>
  <c r="AH232" i="18" s="1"/>
  <c r="AG232" i="18" s="1"/>
  <c r="AF232" i="18" s="1"/>
  <c r="AI262" i="18"/>
  <c r="AH262" i="18" s="1"/>
  <c r="AG262" i="18" s="1"/>
  <c r="AF262" i="18" s="1"/>
  <c r="AI48" i="18"/>
  <c r="AH48" i="18" s="1"/>
  <c r="AG48" i="18" s="1"/>
  <c r="AF48" i="18" s="1"/>
  <c r="AI214" i="18"/>
  <c r="AH214" i="18" s="1"/>
  <c r="AG214" i="18" s="1"/>
  <c r="AF214" i="18" s="1"/>
  <c r="AI301" i="18"/>
  <c r="AH301" i="18" s="1"/>
  <c r="AG301" i="18" s="1"/>
  <c r="AF301" i="18" s="1"/>
  <c r="AI283" i="18"/>
  <c r="AH283" i="18" s="1"/>
  <c r="AG283" i="18" s="1"/>
  <c r="AF283" i="18" s="1"/>
  <c r="AI263" i="18"/>
  <c r="AH263" i="18" s="1"/>
  <c r="AG263" i="18" s="1"/>
  <c r="AF263" i="18" s="1"/>
  <c r="AI65" i="18"/>
  <c r="AH65" i="18" s="1"/>
  <c r="AG65" i="18" s="1"/>
  <c r="AF65" i="18" s="1"/>
  <c r="AH383" i="17"/>
  <c r="AH382" i="17"/>
  <c r="AH381" i="17"/>
  <c r="AG15" i="17"/>
  <c r="T382" i="17"/>
  <c r="S15" i="17"/>
  <c r="T381" i="17"/>
  <c r="T383" i="17"/>
  <c r="W130" i="18"/>
  <c r="W260" i="18"/>
  <c r="W256" i="18"/>
  <c r="D27" i="18"/>
  <c r="E27" i="18" s="1"/>
  <c r="D24" i="18"/>
  <c r="E24" i="18" s="1"/>
  <c r="D165" i="18"/>
  <c r="E165" i="18" s="1"/>
  <c r="D74" i="18"/>
  <c r="E74" i="18" s="1"/>
  <c r="W71" i="18"/>
  <c r="D177" i="18"/>
  <c r="E177" i="18" s="1"/>
  <c r="W108" i="18"/>
  <c r="W111" i="18"/>
  <c r="D43" i="18"/>
  <c r="E43" i="18" s="1"/>
  <c r="D252" i="18"/>
  <c r="E252" i="18" s="1"/>
  <c r="W273" i="18"/>
  <c r="D59" i="18"/>
  <c r="E59" i="18" s="1"/>
  <c r="D107" i="18"/>
  <c r="E107" i="18" s="1"/>
  <c r="W134" i="18"/>
  <c r="D65" i="18"/>
  <c r="E65" i="18" s="1"/>
  <c r="W243" i="18"/>
  <c r="D95" i="18"/>
  <c r="E95" i="18" s="1"/>
  <c r="W271" i="18"/>
  <c r="W109" i="18"/>
  <c r="D266" i="18"/>
  <c r="E266" i="18" s="1"/>
  <c r="W212" i="18"/>
  <c r="W79" i="18"/>
  <c r="D153" i="18"/>
  <c r="E153" i="18" s="1"/>
  <c r="W57" i="18"/>
  <c r="D87" i="18"/>
  <c r="E87" i="18" s="1"/>
  <c r="W75" i="18"/>
  <c r="D132" i="18"/>
  <c r="E132" i="18" s="1"/>
  <c r="D146" i="18"/>
  <c r="E146" i="18" s="1"/>
  <c r="W34" i="18"/>
  <c r="D77" i="18"/>
  <c r="E77" i="18" s="1"/>
  <c r="W214" i="18"/>
  <c r="D257" i="18"/>
  <c r="E257" i="18" s="1"/>
  <c r="W267" i="18"/>
  <c r="D138" i="18"/>
  <c r="E138" i="18" s="1"/>
  <c r="W172" i="18"/>
  <c r="W125" i="18"/>
  <c r="W246" i="18"/>
  <c r="W92" i="18"/>
  <c r="W276" i="18"/>
  <c r="D53" i="18"/>
  <c r="E53" i="18" s="1"/>
  <c r="W136" i="18"/>
  <c r="W219" i="18"/>
  <c r="D219" i="18"/>
  <c r="E219" i="18" s="1"/>
  <c r="D82" i="18"/>
  <c r="E82" i="18" s="1"/>
  <c r="W82" i="18"/>
  <c r="W174" i="18"/>
  <c r="W50" i="18"/>
  <c r="W175" i="18"/>
  <c r="D175" i="18"/>
  <c r="E175" i="18" s="1"/>
  <c r="D222" i="18"/>
  <c r="E222" i="18" s="1"/>
  <c r="W222" i="18"/>
  <c r="D162" i="18"/>
  <c r="E162" i="18" s="1"/>
  <c r="W162" i="18"/>
  <c r="D81" i="18"/>
  <c r="E81" i="18" s="1"/>
  <c r="W81" i="18"/>
  <c r="W234" i="18"/>
  <c r="D234" i="18"/>
  <c r="E234" i="18" s="1"/>
  <c r="D155" i="18"/>
  <c r="E155" i="18" s="1"/>
  <c r="W155" i="18"/>
  <c r="D33" i="18"/>
  <c r="E33" i="18" s="1"/>
  <c r="W33" i="18"/>
  <c r="W251" i="18"/>
  <c r="D251" i="18"/>
  <c r="E251" i="18" s="1"/>
  <c r="W18" i="18"/>
  <c r="D18" i="18"/>
  <c r="E18" i="18" s="1"/>
  <c r="D208" i="18"/>
  <c r="E208" i="18" s="1"/>
  <c r="W208" i="18"/>
  <c r="D217" i="18"/>
  <c r="E217" i="18" s="1"/>
  <c r="W217" i="18"/>
  <c r="W72" i="18"/>
  <c r="D72" i="18"/>
  <c r="E72" i="18" s="1"/>
  <c r="D110" i="18"/>
  <c r="E110" i="18" s="1"/>
  <c r="W110" i="18"/>
  <c r="W188" i="18"/>
  <c r="D188" i="18"/>
  <c r="E188" i="18" s="1"/>
  <c r="D280" i="18"/>
  <c r="E280" i="18" s="1"/>
  <c r="W280" i="18"/>
  <c r="W70" i="18"/>
  <c r="D70" i="18"/>
  <c r="E70" i="18" s="1"/>
  <c r="W118" i="18"/>
  <c r="D118" i="18"/>
  <c r="E118" i="18" s="1"/>
  <c r="W206" i="18"/>
  <c r="D206" i="18"/>
  <c r="E206" i="18" s="1"/>
  <c r="D200" i="18"/>
  <c r="E200" i="18" s="1"/>
  <c r="W200" i="18"/>
  <c r="D69" i="18"/>
  <c r="E69" i="18" s="1"/>
  <c r="W69" i="18"/>
  <c r="W91" i="18"/>
  <c r="D91" i="18"/>
  <c r="E91" i="18" s="1"/>
  <c r="D48" i="18"/>
  <c r="E48" i="18" s="1"/>
  <c r="W48" i="18"/>
  <c r="D187" i="18"/>
  <c r="E187" i="18" s="1"/>
  <c r="W187" i="18"/>
  <c r="D144" i="18"/>
  <c r="E144" i="18" s="1"/>
  <c r="W144" i="18"/>
  <c r="D249" i="18"/>
  <c r="E249" i="18" s="1"/>
  <c r="W249" i="18"/>
  <c r="D198" i="18"/>
  <c r="E198" i="18" s="1"/>
  <c r="W198" i="18"/>
  <c r="D98" i="18"/>
  <c r="E98" i="18" s="1"/>
  <c r="W98" i="18"/>
  <c r="D49" i="18"/>
  <c r="E49" i="18" s="1"/>
  <c r="W49" i="18"/>
  <c r="D19" i="18"/>
  <c r="E19" i="18" s="1"/>
  <c r="W19" i="18"/>
  <c r="W163" i="18"/>
  <c r="D163" i="18"/>
  <c r="E163" i="18" s="1"/>
  <c r="W45" i="18"/>
  <c r="D45" i="18"/>
  <c r="E45" i="18" s="1"/>
  <c r="W253" i="18"/>
  <c r="D253" i="18"/>
  <c r="E253" i="18" s="1"/>
  <c r="W178" i="18"/>
  <c r="D178" i="18"/>
  <c r="E178" i="18" s="1"/>
  <c r="D129" i="18"/>
  <c r="E129" i="18" s="1"/>
  <c r="W129" i="18"/>
  <c r="D86" i="18"/>
  <c r="E86" i="18" s="1"/>
  <c r="W86" i="18"/>
  <c r="AE382" i="18"/>
  <c r="AE381" i="18"/>
  <c r="AE383" i="18"/>
  <c r="D120" i="18"/>
  <c r="E120" i="18" s="1"/>
  <c r="W120" i="18"/>
  <c r="D133" i="18"/>
  <c r="E133" i="18" s="1"/>
  <c r="W133" i="18"/>
  <c r="D185" i="18"/>
  <c r="E185" i="18" s="1"/>
  <c r="W185" i="18"/>
  <c r="D152" i="18"/>
  <c r="E152" i="18" s="1"/>
  <c r="W152" i="18"/>
  <c r="W274" i="18"/>
  <c r="D274" i="18"/>
  <c r="E274" i="18" s="1"/>
  <c r="W100" i="18"/>
  <c r="D100" i="18"/>
  <c r="E100" i="18" s="1"/>
  <c r="D215" i="18"/>
  <c r="E215" i="18" s="1"/>
  <c r="W215" i="18"/>
  <c r="D167" i="18"/>
  <c r="E167" i="18" s="1"/>
  <c r="W167" i="18"/>
  <c r="W66" i="18"/>
  <c r="D66" i="18"/>
  <c r="E66" i="18" s="1"/>
  <c r="W36" i="18"/>
  <c r="D36" i="18"/>
  <c r="E36" i="18" s="1"/>
  <c r="W247" i="18"/>
  <c r="D247" i="18"/>
  <c r="E247" i="18" s="1"/>
  <c r="W142" i="18"/>
  <c r="D142" i="18"/>
  <c r="E142" i="18" s="1"/>
  <c r="D201" i="18"/>
  <c r="E201" i="18" s="1"/>
  <c r="W201" i="18"/>
  <c r="D39" i="18"/>
  <c r="E39" i="18" s="1"/>
  <c r="W39" i="18"/>
  <c r="D190" i="18"/>
  <c r="E190" i="18" s="1"/>
  <c r="W190" i="18"/>
  <c r="D22" i="18"/>
  <c r="E22" i="18" s="1"/>
  <c r="W22" i="18"/>
  <c r="W235" i="18"/>
  <c r="D235" i="18"/>
  <c r="E235" i="18" s="1"/>
  <c r="W245" i="18"/>
  <c r="D245" i="18"/>
  <c r="E245" i="18" s="1"/>
  <c r="D41" i="18"/>
  <c r="E41" i="18" s="1"/>
  <c r="W41" i="18"/>
  <c r="W250" i="18"/>
  <c r="D250" i="18"/>
  <c r="E250" i="18" s="1"/>
  <c r="D25" i="18"/>
  <c r="E25" i="18" s="1"/>
  <c r="W25" i="18"/>
  <c r="W285" i="18"/>
  <c r="D285" i="18"/>
  <c r="E285" i="18" s="1"/>
  <c r="W121" i="18"/>
  <c r="D121" i="18"/>
  <c r="E121" i="18" s="1"/>
  <c r="D223" i="18"/>
  <c r="E223" i="18" s="1"/>
  <c r="W223" i="18"/>
  <c r="D85" i="18"/>
  <c r="E85" i="18" s="1"/>
  <c r="W85" i="18"/>
  <c r="W143" i="18"/>
  <c r="D143" i="18"/>
  <c r="E143" i="18" s="1"/>
  <c r="W90" i="18"/>
  <c r="D90" i="18"/>
  <c r="E90" i="18" s="1"/>
  <c r="W191" i="18"/>
  <c r="D191" i="18"/>
  <c r="E191" i="18" s="1"/>
  <c r="D199" i="18"/>
  <c r="E199" i="18" s="1"/>
  <c r="W199" i="18"/>
  <c r="D166" i="18"/>
  <c r="E166" i="18" s="1"/>
  <c r="W166" i="18"/>
  <c r="D44" i="18"/>
  <c r="E44" i="18" s="1"/>
  <c r="W44" i="18"/>
  <c r="D240" i="18"/>
  <c r="E240" i="18" s="1"/>
  <c r="W240" i="18"/>
  <c r="W51" i="18"/>
  <c r="D51" i="18"/>
  <c r="E51" i="18" s="1"/>
  <c r="D231" i="18"/>
  <c r="E231" i="18" s="1"/>
  <c r="W231" i="18"/>
  <c r="D105" i="18"/>
  <c r="E105" i="18" s="1"/>
  <c r="W105" i="18"/>
  <c r="W113" i="18"/>
  <c r="D113" i="18"/>
  <c r="E113" i="18" s="1"/>
  <c r="W255" i="18"/>
  <c r="D255" i="18"/>
  <c r="E255" i="18" s="1"/>
  <c r="D94" i="18"/>
  <c r="E94" i="18" s="1"/>
  <c r="W94" i="18"/>
  <c r="W64" i="18"/>
  <c r="D64" i="18"/>
  <c r="E64" i="18" s="1"/>
  <c r="D173" i="18"/>
  <c r="E173" i="18" s="1"/>
  <c r="W173" i="18"/>
  <c r="D211" i="18"/>
  <c r="E211" i="18" s="1"/>
  <c r="W211" i="18"/>
  <c r="D225" i="18"/>
  <c r="E225" i="18" s="1"/>
  <c r="W225" i="18"/>
  <c r="D21" i="18"/>
  <c r="E21" i="18" s="1"/>
  <c r="W21" i="18"/>
  <c r="W16" i="18"/>
  <c r="D16" i="18"/>
  <c r="E16" i="18" s="1"/>
  <c r="W26" i="18"/>
  <c r="D26" i="18"/>
  <c r="E26" i="18" s="1"/>
  <c r="D209" i="18"/>
  <c r="E209" i="18" s="1"/>
  <c r="W209" i="18"/>
  <c r="D76" i="18"/>
  <c r="E76" i="18" s="1"/>
  <c r="W76" i="18"/>
  <c r="D218" i="18"/>
  <c r="E218" i="18" s="1"/>
  <c r="W218" i="18"/>
  <c r="D20" i="18"/>
  <c r="E20" i="18" s="1"/>
  <c r="W20" i="18"/>
  <c r="W207" i="18"/>
  <c r="D207" i="18"/>
  <c r="E207" i="18" s="1"/>
  <c r="D157" i="18"/>
  <c r="E157" i="18" s="1"/>
  <c r="W157" i="18"/>
  <c r="W63" i="18"/>
  <c r="D63" i="18"/>
  <c r="E63" i="18" s="1"/>
  <c r="D101" i="18"/>
  <c r="E101" i="18" s="1"/>
  <c r="W101" i="18"/>
  <c r="W127" i="18"/>
  <c r="D127" i="18"/>
  <c r="E127" i="18" s="1"/>
  <c r="W168" i="18"/>
  <c r="D168" i="18"/>
  <c r="E168" i="18" s="1"/>
  <c r="D115" i="18"/>
  <c r="E115" i="18" s="1"/>
  <c r="W115" i="18"/>
  <c r="D264" i="18"/>
  <c r="E264" i="18" s="1"/>
  <c r="W264" i="18"/>
  <c r="W137" i="18"/>
  <c r="D137" i="18"/>
  <c r="E137" i="18" s="1"/>
  <c r="Q381" i="18"/>
  <c r="W236" i="18"/>
  <c r="D236" i="18"/>
  <c r="E236" i="18" s="1"/>
  <c r="W28" i="18"/>
  <c r="D28" i="18"/>
  <c r="E28" i="18" s="1"/>
  <c r="W237" i="18"/>
  <c r="D237" i="18"/>
  <c r="E237" i="18" s="1"/>
  <c r="W123" i="18"/>
  <c r="D123" i="18"/>
  <c r="E123" i="18" s="1"/>
  <c r="W140" i="18"/>
  <c r="D140" i="18"/>
  <c r="E140" i="18" s="1"/>
  <c r="W193" i="18"/>
  <c r="D193" i="18"/>
  <c r="E193" i="18" s="1"/>
  <c r="D141" i="18"/>
  <c r="E141" i="18" s="1"/>
  <c r="W141" i="18"/>
  <c r="W103" i="18"/>
  <c r="D103" i="18"/>
  <c r="E103" i="18" s="1"/>
  <c r="D194" i="18"/>
  <c r="E194" i="18" s="1"/>
  <c r="W194" i="18"/>
  <c r="W58" i="18"/>
  <c r="D58" i="18"/>
  <c r="E58" i="18" s="1"/>
  <c r="D189" i="18"/>
  <c r="E189" i="18" s="1"/>
  <c r="W189" i="18"/>
  <c r="W268" i="18"/>
  <c r="D268" i="18"/>
  <c r="E268" i="18" s="1"/>
  <c r="W156" i="18"/>
  <c r="D156" i="18"/>
  <c r="E156" i="18" s="1"/>
  <c r="D205" i="18"/>
  <c r="E205" i="18" s="1"/>
  <c r="W205" i="18"/>
  <c r="W52" i="18"/>
  <c r="D52" i="18"/>
  <c r="E52" i="18" s="1"/>
  <c r="W286" i="18"/>
  <c r="D286" i="18"/>
  <c r="E286" i="18" s="1"/>
  <c r="D279" i="18"/>
  <c r="E279" i="18" s="1"/>
  <c r="W279" i="18"/>
  <c r="W35" i="18"/>
  <c r="D35" i="18"/>
  <c r="E35" i="18" s="1"/>
  <c r="D38" i="18"/>
  <c r="E38" i="18" s="1"/>
  <c r="W38" i="18"/>
  <c r="W229" i="18"/>
  <c r="D229" i="18"/>
  <c r="E229" i="18" s="1"/>
  <c r="W248" i="18"/>
  <c r="D248" i="18"/>
  <c r="E248" i="18" s="1"/>
  <c r="W116" i="18"/>
  <c r="D116" i="18"/>
  <c r="E116" i="18" s="1"/>
  <c r="W176" i="18"/>
  <c r="D176" i="18"/>
  <c r="E176" i="18" s="1"/>
  <c r="W151" i="18"/>
  <c r="D151" i="18"/>
  <c r="E151" i="18" s="1"/>
  <c r="W195" i="18"/>
  <c r="D195" i="18"/>
  <c r="E195" i="18" s="1"/>
  <c r="W182" i="18"/>
  <c r="D182" i="18"/>
  <c r="E182" i="18" s="1"/>
  <c r="W224" i="18"/>
  <c r="D224" i="18"/>
  <c r="E224" i="18" s="1"/>
  <c r="W31" i="18"/>
  <c r="D31" i="18"/>
  <c r="E31" i="18" s="1"/>
  <c r="D171" i="18"/>
  <c r="E171" i="18" s="1"/>
  <c r="W171" i="18"/>
  <c r="W56" i="18"/>
  <c r="D56" i="18"/>
  <c r="E56" i="18" s="1"/>
  <c r="D96" i="18"/>
  <c r="E96" i="18" s="1"/>
  <c r="W96" i="18"/>
  <c r="D30" i="18"/>
  <c r="E30" i="18" s="1"/>
  <c r="W30" i="18"/>
  <c r="W261" i="18"/>
  <c r="D261" i="18"/>
  <c r="E261" i="18" s="1"/>
  <c r="W55" i="18"/>
  <c r="D55" i="18"/>
  <c r="E55" i="18" s="1"/>
  <c r="W147" i="18"/>
  <c r="D147" i="18"/>
  <c r="E147" i="18" s="1"/>
  <c r="D89" i="18"/>
  <c r="E89" i="18" s="1"/>
  <c r="W89" i="18"/>
  <c r="W78" i="18"/>
  <c r="D78" i="18"/>
  <c r="E78" i="18" s="1"/>
  <c r="D23" i="18"/>
  <c r="E23" i="18" s="1"/>
  <c r="W23" i="18"/>
  <c r="D139" i="18"/>
  <c r="E139" i="18" s="1"/>
  <c r="W139" i="18"/>
  <c r="W244" i="18"/>
  <c r="D244" i="18"/>
  <c r="E244" i="18" s="1"/>
  <c r="D278" i="18"/>
  <c r="E278" i="18" s="1"/>
  <c r="W278" i="18"/>
  <c r="W80" i="18"/>
  <c r="D80" i="18"/>
  <c r="E80" i="18" s="1"/>
  <c r="W242" i="18"/>
  <c r="D242" i="18"/>
  <c r="E242" i="18" s="1"/>
  <c r="D68" i="18"/>
  <c r="E68" i="18" s="1"/>
  <c r="W68" i="18"/>
  <c r="D150" i="18"/>
  <c r="E150" i="18" s="1"/>
  <c r="W150" i="18"/>
  <c r="D277" i="18"/>
  <c r="E277" i="18" s="1"/>
  <c r="W277" i="18"/>
  <c r="D73" i="18"/>
  <c r="E73" i="18" s="1"/>
  <c r="W73" i="18"/>
  <c r="D164" i="18"/>
  <c r="E164" i="18" s="1"/>
  <c r="W164" i="18"/>
  <c r="D220" i="18"/>
  <c r="E220" i="18" s="1"/>
  <c r="W220" i="18"/>
  <c r="D221" i="18"/>
  <c r="E221" i="18" s="1"/>
  <c r="W221" i="18"/>
  <c r="W238" i="18"/>
  <c r="D238" i="18"/>
  <c r="E238" i="18" s="1"/>
  <c r="W54" i="18"/>
  <c r="D54" i="18"/>
  <c r="E54" i="18" s="1"/>
  <c r="D287" i="18"/>
  <c r="E287" i="18" s="1"/>
  <c r="W287" i="18"/>
  <c r="D117" i="18"/>
  <c r="E117" i="18" s="1"/>
  <c r="W117" i="18"/>
  <c r="W17" i="18"/>
  <c r="D17" i="18"/>
  <c r="E17" i="18" s="1"/>
  <c r="D154" i="18"/>
  <c r="E154" i="18" s="1"/>
  <c r="W154" i="18"/>
  <c r="D186" i="18"/>
  <c r="E186" i="18" s="1"/>
  <c r="W186" i="18"/>
  <c r="D42" i="18"/>
  <c r="E42" i="18" s="1"/>
  <c r="W42" i="18"/>
  <c r="D203" i="18"/>
  <c r="E203" i="18" s="1"/>
  <c r="W203" i="18"/>
  <c r="D263" i="18"/>
  <c r="E263" i="18" s="1"/>
  <c r="W263" i="18"/>
  <c r="W254" i="18"/>
  <c r="D254" i="18"/>
  <c r="E254" i="18" s="1"/>
  <c r="D161" i="18"/>
  <c r="E161" i="18" s="1"/>
  <c r="W161" i="18"/>
  <c r="D158" i="18"/>
  <c r="E158" i="18" s="1"/>
  <c r="W158" i="18"/>
  <c r="D213" i="18"/>
  <c r="E213" i="18" s="1"/>
  <c r="W213" i="18"/>
  <c r="W32" i="18"/>
  <c r="D32" i="18"/>
  <c r="E32" i="18" s="1"/>
  <c r="W126" i="18"/>
  <c r="D126" i="18"/>
  <c r="E126" i="18" s="1"/>
  <c r="D281" i="18"/>
  <c r="E281" i="18" s="1"/>
  <c r="W281" i="18"/>
  <c r="W84" i="18"/>
  <c r="D84" i="18"/>
  <c r="E84" i="18" s="1"/>
  <c r="W131" i="18"/>
  <c r="D131" i="18"/>
  <c r="E131" i="18" s="1"/>
  <c r="D230" i="18"/>
  <c r="E230" i="18" s="1"/>
  <c r="W230" i="18"/>
  <c r="W181" i="18"/>
  <c r="D181" i="18"/>
  <c r="E181" i="18" s="1"/>
  <c r="D233" i="18"/>
  <c r="E233" i="18" s="1"/>
  <c r="W233" i="18"/>
  <c r="W183" i="18"/>
  <c r="D183" i="18"/>
  <c r="E183" i="18" s="1"/>
  <c r="W202" i="18"/>
  <c r="D202" i="18"/>
  <c r="E202" i="18" s="1"/>
  <c r="D67" i="18"/>
  <c r="E67" i="18" s="1"/>
  <c r="W67" i="18"/>
  <c r="W145" i="18"/>
  <c r="D145" i="18"/>
  <c r="E145" i="18" s="1"/>
  <c r="D197" i="18"/>
  <c r="E197" i="18" s="1"/>
  <c r="W197" i="18"/>
  <c r="Q12" i="20"/>
  <c r="AB15" i="7"/>
  <c r="W97" i="18"/>
  <c r="D97" i="18"/>
  <c r="E97" i="18" s="1"/>
  <c r="D114" i="18"/>
  <c r="E114" i="18" s="1"/>
  <c r="W114" i="18"/>
  <c r="D160" i="18"/>
  <c r="E160" i="18" s="1"/>
  <c r="W160" i="18"/>
  <c r="W93" i="18"/>
  <c r="D93" i="18"/>
  <c r="E93" i="18" s="1"/>
  <c r="W262" i="18"/>
  <c r="D262" i="18"/>
  <c r="E262" i="18" s="1"/>
  <c r="W104" i="18"/>
  <c r="D104" i="18"/>
  <c r="E104" i="18" s="1"/>
  <c r="D40" i="18"/>
  <c r="E40" i="18" s="1"/>
  <c r="W40" i="18"/>
  <c r="D179" i="18"/>
  <c r="E179" i="18" s="1"/>
  <c r="W179" i="18"/>
  <c r="D232" i="18"/>
  <c r="E232" i="18" s="1"/>
  <c r="W232" i="18"/>
  <c r="D270" i="18"/>
  <c r="E270" i="18" s="1"/>
  <c r="W270" i="18"/>
  <c r="W169" i="18"/>
  <c r="D169" i="18"/>
  <c r="E169" i="18" s="1"/>
  <c r="W37" i="18"/>
  <c r="D37" i="18"/>
  <c r="E37" i="18" s="1"/>
  <c r="W283" i="18"/>
  <c r="D283" i="18"/>
  <c r="E283" i="18" s="1"/>
  <c r="W122" i="18"/>
  <c r="D122" i="18"/>
  <c r="E122" i="18" s="1"/>
  <c r="W106" i="18"/>
  <c r="D106" i="18"/>
  <c r="E106" i="18" s="1"/>
  <c r="W282" i="18"/>
  <c r="D282" i="18"/>
  <c r="E282" i="18" s="1"/>
  <c r="W148" i="18"/>
  <c r="D148" i="18"/>
  <c r="E148" i="18" s="1"/>
  <c r="W102" i="18"/>
  <c r="D102" i="18"/>
  <c r="E102" i="18" s="1"/>
  <c r="D265" i="18"/>
  <c r="E265" i="18" s="1"/>
  <c r="W265" i="18"/>
  <c r="Q382" i="18"/>
  <c r="Q383" i="18"/>
  <c r="W196" i="18"/>
  <c r="D196" i="18"/>
  <c r="E196" i="18" s="1"/>
  <c r="AI233" i="18" l="1"/>
  <c r="AH233" i="18" s="1"/>
  <c r="AI328" i="18"/>
  <c r="AH328" i="18" s="1"/>
  <c r="AI281" i="18"/>
  <c r="AH281" i="18" s="1"/>
  <c r="AG281" i="18" s="1"/>
  <c r="AF281" i="18" s="1"/>
  <c r="AI215" i="18"/>
  <c r="AH215" i="18" s="1"/>
  <c r="AG215" i="18" s="1"/>
  <c r="AF215" i="18" s="1"/>
  <c r="AI160" i="18"/>
  <c r="AH160" i="18" s="1"/>
  <c r="AG160" i="18" s="1"/>
  <c r="AF160" i="18" s="1"/>
  <c r="AI271" i="18"/>
  <c r="AH271" i="18" s="1"/>
  <c r="AG271" i="18" s="1"/>
  <c r="AF271" i="18" s="1"/>
  <c r="AI162" i="18"/>
  <c r="AH162" i="18" s="1"/>
  <c r="AI225" i="18"/>
  <c r="AH225" i="18" s="1"/>
  <c r="AG225" i="18" s="1"/>
  <c r="AF225" i="18" s="1"/>
  <c r="AI174" i="18"/>
  <c r="AH174" i="18" s="1"/>
  <c r="AG174" i="18" s="1"/>
  <c r="AF174" i="18" s="1"/>
  <c r="AI364" i="18"/>
  <c r="AH364" i="18" s="1"/>
  <c r="AG364" i="18" s="1"/>
  <c r="AF364" i="18" s="1"/>
  <c r="AI299" i="18"/>
  <c r="AH299" i="18" s="1"/>
  <c r="AG299" i="18" s="1"/>
  <c r="AF299" i="18" s="1"/>
  <c r="AI37" i="18"/>
  <c r="AH37" i="18" s="1"/>
  <c r="AG37" i="18" s="1"/>
  <c r="AF37" i="18" s="1"/>
  <c r="AI267" i="18"/>
  <c r="AH267" i="18" s="1"/>
  <c r="AI368" i="18"/>
  <c r="AH368" i="18" s="1"/>
  <c r="AI196" i="18"/>
  <c r="AH196" i="18" s="1"/>
  <c r="AI179" i="18"/>
  <c r="AH179" i="18" s="1"/>
  <c r="AG179" i="18" s="1"/>
  <c r="AF179" i="18" s="1"/>
  <c r="AI242" i="18"/>
  <c r="AH242" i="18" s="1"/>
  <c r="AI73" i="18"/>
  <c r="AH73" i="18" s="1"/>
  <c r="AG73" i="18" s="1"/>
  <c r="AF73" i="18" s="1"/>
  <c r="AI33" i="18"/>
  <c r="AH33" i="18" s="1"/>
  <c r="AG33" i="18" s="1"/>
  <c r="AF33" i="18" s="1"/>
  <c r="AD33" i="18" s="1"/>
  <c r="AI131" i="18"/>
  <c r="AH131" i="18" s="1"/>
  <c r="AG131" i="18" s="1"/>
  <c r="AF131" i="18" s="1"/>
  <c r="AI293" i="18"/>
  <c r="AH293" i="18" s="1"/>
  <c r="AI147" i="18"/>
  <c r="AH147" i="18" s="1"/>
  <c r="AG147" i="18" s="1"/>
  <c r="AF147" i="18" s="1"/>
  <c r="AI240" i="18"/>
  <c r="AH240" i="18" s="1"/>
  <c r="AG240" i="18" s="1"/>
  <c r="AF240" i="18" s="1"/>
  <c r="AI259" i="18"/>
  <c r="AH259" i="18" s="1"/>
  <c r="AG259" i="18" s="1"/>
  <c r="AF259" i="18" s="1"/>
  <c r="AI172" i="18"/>
  <c r="AH172" i="18" s="1"/>
  <c r="AG172" i="18" s="1"/>
  <c r="AF172" i="18" s="1"/>
  <c r="AI118" i="18"/>
  <c r="AH118" i="18" s="1"/>
  <c r="AG118" i="18" s="1"/>
  <c r="AF118" i="18" s="1"/>
  <c r="AI346" i="18"/>
  <c r="AH346" i="18" s="1"/>
  <c r="AG346" i="18" s="1"/>
  <c r="AF346" i="18" s="1"/>
  <c r="AI326" i="18"/>
  <c r="AH326" i="18" s="1"/>
  <c r="AG326" i="18" s="1"/>
  <c r="AF326" i="18" s="1"/>
  <c r="AI228" i="18"/>
  <c r="AH228" i="18" s="1"/>
  <c r="AG228" i="18" s="1"/>
  <c r="AF228" i="18" s="1"/>
  <c r="AI319" i="18"/>
  <c r="AH319" i="18" s="1"/>
  <c r="AI247" i="18"/>
  <c r="AH247" i="18" s="1"/>
  <c r="AI130" i="18"/>
  <c r="AH130" i="18" s="1"/>
  <c r="AG130" i="18" s="1"/>
  <c r="AF130" i="18" s="1"/>
  <c r="AI192" i="18"/>
  <c r="AH192" i="18" s="1"/>
  <c r="AI350" i="18"/>
  <c r="AH350" i="18" s="1"/>
  <c r="AG350" i="18" s="1"/>
  <c r="AF350" i="18" s="1"/>
  <c r="AI317" i="18"/>
  <c r="AH317" i="18" s="1"/>
  <c r="AI333" i="18"/>
  <c r="AH333" i="18" s="1"/>
  <c r="AG333" i="18" s="1"/>
  <c r="AF333" i="18" s="1"/>
  <c r="AI325" i="18"/>
  <c r="AH325" i="18" s="1"/>
  <c r="AI120" i="18"/>
  <c r="AH120" i="18" s="1"/>
  <c r="AG120" i="18" s="1"/>
  <c r="AF120" i="18" s="1"/>
  <c r="AI109" i="18"/>
  <c r="AH109" i="18" s="1"/>
  <c r="AI157" i="18"/>
  <c r="AH157" i="18" s="1"/>
  <c r="AG157" i="18" s="1"/>
  <c r="AF157" i="18" s="1"/>
  <c r="AI47" i="18"/>
  <c r="AH47" i="18" s="1"/>
  <c r="AG47" i="18" s="1"/>
  <c r="AF47" i="18" s="1"/>
  <c r="AD47" i="18" s="1"/>
  <c r="AI229" i="18"/>
  <c r="AH229" i="18" s="1"/>
  <c r="AG229" i="18" s="1"/>
  <c r="AF229" i="18" s="1"/>
  <c r="AI102" i="18"/>
  <c r="AH102" i="18" s="1"/>
  <c r="AG102" i="18" s="1"/>
  <c r="AF102" i="18" s="1"/>
  <c r="AI187" i="18"/>
  <c r="AH187" i="18" s="1"/>
  <c r="AG187" i="18" s="1"/>
  <c r="AF187" i="18" s="1"/>
  <c r="AI55" i="18"/>
  <c r="AH55" i="18" s="1"/>
  <c r="AG55" i="18" s="1"/>
  <c r="AF55" i="18" s="1"/>
  <c r="AI92" i="18"/>
  <c r="AH92" i="18" s="1"/>
  <c r="AG92" i="18" s="1"/>
  <c r="AF92" i="18" s="1"/>
  <c r="AI161" i="18"/>
  <c r="AH161" i="18" s="1"/>
  <c r="AG161" i="18" s="1"/>
  <c r="AF161" i="18" s="1"/>
  <c r="AI195" i="18"/>
  <c r="AH195" i="18" s="1"/>
  <c r="AG195" i="18" s="1"/>
  <c r="AF195" i="18" s="1"/>
  <c r="AI32" i="18"/>
  <c r="AH32" i="18" s="1"/>
  <c r="AI209" i="18"/>
  <c r="AH209" i="18" s="1"/>
  <c r="AG209" i="18" s="1"/>
  <c r="AF209" i="18" s="1"/>
  <c r="AI320" i="18"/>
  <c r="AH320" i="18" s="1"/>
  <c r="AG320" i="18" s="1"/>
  <c r="AF320" i="18" s="1"/>
  <c r="AI234" i="18"/>
  <c r="AH234" i="18" s="1"/>
  <c r="AG234" i="18" s="1"/>
  <c r="AF234" i="18" s="1"/>
  <c r="AI243" i="18"/>
  <c r="AH243" i="18" s="1"/>
  <c r="AG243" i="18" s="1"/>
  <c r="AF243" i="18" s="1"/>
  <c r="AI40" i="18"/>
  <c r="AH40" i="18" s="1"/>
  <c r="AG40" i="18" s="1"/>
  <c r="AF40" i="18" s="1"/>
  <c r="AI128" i="18"/>
  <c r="AH128" i="18" s="1"/>
  <c r="AI359" i="18"/>
  <c r="AH359" i="18" s="1"/>
  <c r="AG359" i="18" s="1"/>
  <c r="AF359" i="18" s="1"/>
  <c r="AI167" i="18"/>
  <c r="AH167" i="18" s="1"/>
  <c r="AI287" i="18"/>
  <c r="AH287" i="18" s="1"/>
  <c r="AG287" i="18" s="1"/>
  <c r="AF287" i="18" s="1"/>
  <c r="AI280" i="18"/>
  <c r="AH280" i="18" s="1"/>
  <c r="AI77" i="18"/>
  <c r="AH77" i="18" s="1"/>
  <c r="AG77" i="18" s="1"/>
  <c r="AF77" i="18" s="1"/>
  <c r="AI121" i="18"/>
  <c r="AH121" i="18" s="1"/>
  <c r="AG121" i="18" s="1"/>
  <c r="AF121" i="18" s="1"/>
  <c r="AI42" i="18"/>
  <c r="AH42" i="18" s="1"/>
  <c r="AG42" i="18" s="1"/>
  <c r="AF42" i="18" s="1"/>
  <c r="AI193" i="18"/>
  <c r="AH193" i="18" s="1"/>
  <c r="AI220" i="18"/>
  <c r="AH220" i="18" s="1"/>
  <c r="AG220" i="18" s="1"/>
  <c r="AF220" i="18" s="1"/>
  <c r="AI377" i="18"/>
  <c r="AH377" i="18" s="1"/>
  <c r="AI110" i="18"/>
  <c r="AH110" i="18" s="1"/>
  <c r="AG110" i="18" s="1"/>
  <c r="AF110" i="18" s="1"/>
  <c r="AI331" i="18"/>
  <c r="AH331" i="18" s="1"/>
  <c r="AG331" i="18" s="1"/>
  <c r="AF331" i="18" s="1"/>
  <c r="AI188" i="18"/>
  <c r="AH188" i="18" s="1"/>
  <c r="AG188" i="18" s="1"/>
  <c r="AF188" i="18" s="1"/>
  <c r="AI298" i="18"/>
  <c r="AH298" i="18" s="1"/>
  <c r="AI139" i="18"/>
  <c r="AH139" i="18" s="1"/>
  <c r="AG139" i="18" s="1"/>
  <c r="AF139" i="18" s="1"/>
  <c r="AI15" i="18"/>
  <c r="AH15" i="18" s="1"/>
  <c r="AI21" i="18"/>
  <c r="AH21" i="18" s="1"/>
  <c r="AG21" i="18" s="1"/>
  <c r="AF21" i="18" s="1"/>
  <c r="AI127" i="18"/>
  <c r="AH127" i="18" s="1"/>
  <c r="AI266" i="18"/>
  <c r="AH266" i="18" s="1"/>
  <c r="AG266" i="18" s="1"/>
  <c r="AF266" i="18" s="1"/>
  <c r="AI278" i="18"/>
  <c r="AH278" i="18" s="1"/>
  <c r="AI276" i="18"/>
  <c r="AH276" i="18" s="1"/>
  <c r="AG276" i="18" s="1"/>
  <c r="AF276" i="18" s="1"/>
  <c r="AI197" i="18"/>
  <c r="AH197" i="18" s="1"/>
  <c r="AI305" i="18"/>
  <c r="AH305" i="18" s="1"/>
  <c r="AG305" i="18" s="1"/>
  <c r="AF305" i="18" s="1"/>
  <c r="AI352" i="18"/>
  <c r="AH352" i="18" s="1"/>
  <c r="AI227" i="18"/>
  <c r="AH227" i="18" s="1"/>
  <c r="AG227" i="18" s="1"/>
  <c r="AF227" i="18" s="1"/>
  <c r="AI71" i="18"/>
  <c r="AH71" i="18" s="1"/>
  <c r="AG71" i="18" s="1"/>
  <c r="AF71" i="18" s="1"/>
  <c r="AI114" i="18"/>
  <c r="AH114" i="18" s="1"/>
  <c r="AG114" i="18" s="1"/>
  <c r="AF114" i="18" s="1"/>
  <c r="AI115" i="18"/>
  <c r="AH115" i="18" s="1"/>
  <c r="AI132" i="18"/>
  <c r="AH132" i="18" s="1"/>
  <c r="AG132" i="18" s="1"/>
  <c r="AF132" i="18" s="1"/>
  <c r="AI112" i="18"/>
  <c r="AH112" i="18" s="1"/>
  <c r="AG112" i="18" s="1"/>
  <c r="AF112" i="18" s="1"/>
  <c r="AI303" i="18"/>
  <c r="AH303" i="18" s="1"/>
  <c r="AG303" i="18" s="1"/>
  <c r="AF303" i="18" s="1"/>
  <c r="AI43" i="18"/>
  <c r="AH43" i="18" s="1"/>
  <c r="AI344" i="18"/>
  <c r="AH344" i="18" s="1"/>
  <c r="AG344" i="18" s="1"/>
  <c r="AF344" i="18" s="1"/>
  <c r="AI153" i="18"/>
  <c r="AH153" i="18" s="1"/>
  <c r="AG153" i="18" s="1"/>
  <c r="AF153" i="18" s="1"/>
  <c r="AI72" i="18"/>
  <c r="AH72" i="18" s="1"/>
  <c r="AG72" i="18" s="1"/>
  <c r="AF72" i="18" s="1"/>
  <c r="AI308" i="18"/>
  <c r="AH308" i="18" s="1"/>
  <c r="AG308" i="18" s="1"/>
  <c r="AF308" i="18" s="1"/>
  <c r="AI67" i="18"/>
  <c r="AH67" i="18" s="1"/>
  <c r="AG67" i="18" s="1"/>
  <c r="AF67" i="18" s="1"/>
  <c r="AI237" i="18"/>
  <c r="AH237" i="18" s="1"/>
  <c r="AI64" i="18"/>
  <c r="AH64" i="18" s="1"/>
  <c r="AI238" i="18"/>
  <c r="AH238" i="18" s="1"/>
  <c r="AG238" i="18" s="1"/>
  <c r="AF238" i="18" s="1"/>
  <c r="AI309" i="18"/>
  <c r="AH309" i="18" s="1"/>
  <c r="AG309" i="18" s="1"/>
  <c r="AF309" i="18" s="1"/>
  <c r="AI16" i="18"/>
  <c r="AH16" i="18" s="1"/>
  <c r="AI149" i="18"/>
  <c r="AH149" i="18" s="1"/>
  <c r="AG149" i="18" s="1"/>
  <c r="AF149" i="18" s="1"/>
  <c r="AI88" i="18"/>
  <c r="AH88" i="18" s="1"/>
  <c r="AG88" i="18" s="1"/>
  <c r="AF88" i="18" s="1"/>
  <c r="AI25" i="18"/>
  <c r="AH25" i="18" s="1"/>
  <c r="AG25" i="18" s="1"/>
  <c r="AF25" i="18" s="1"/>
  <c r="AI369" i="18"/>
  <c r="AH369" i="18" s="1"/>
  <c r="AG369" i="18" s="1"/>
  <c r="AF369" i="18" s="1"/>
  <c r="AI158" i="18"/>
  <c r="AH158" i="18" s="1"/>
  <c r="AG158" i="18" s="1"/>
  <c r="AF158" i="18" s="1"/>
  <c r="AI154" i="18"/>
  <c r="AH154" i="18" s="1"/>
  <c r="AI85" i="18"/>
  <c r="AH85" i="18" s="1"/>
  <c r="AG85" i="18" s="1"/>
  <c r="AF85" i="18" s="1"/>
  <c r="AI251" i="18"/>
  <c r="AH251" i="18" s="1"/>
  <c r="AI290" i="18"/>
  <c r="AH290" i="18" s="1"/>
  <c r="AG290" i="18" s="1"/>
  <c r="AF290" i="18" s="1"/>
  <c r="AI119" i="18"/>
  <c r="AH119" i="18" s="1"/>
  <c r="AI366" i="18"/>
  <c r="AH366" i="18" s="1"/>
  <c r="AG366" i="18" s="1"/>
  <c r="AF366" i="18" s="1"/>
  <c r="AI315" i="18"/>
  <c r="AH315" i="18" s="1"/>
  <c r="AI194" i="18"/>
  <c r="AH194" i="18" s="1"/>
  <c r="AG194" i="18" s="1"/>
  <c r="AF194" i="18" s="1"/>
  <c r="AI358" i="18"/>
  <c r="AH358" i="18" s="1"/>
  <c r="AG358" i="18" s="1"/>
  <c r="AF358" i="18" s="1"/>
  <c r="AD358" i="18" s="1"/>
  <c r="AI175" i="18"/>
  <c r="AH175" i="18" s="1"/>
  <c r="AG175" i="18" s="1"/>
  <c r="AF175" i="18" s="1"/>
  <c r="AI29" i="18"/>
  <c r="AH29" i="18" s="1"/>
  <c r="AG29" i="18" s="1"/>
  <c r="AF29" i="18" s="1"/>
  <c r="AD29" i="18" s="1"/>
  <c r="AI66" i="18"/>
  <c r="AH66" i="18" s="1"/>
  <c r="AG66" i="18" s="1"/>
  <c r="AF66" i="18" s="1"/>
  <c r="AI255" i="18"/>
  <c r="AH255" i="18" s="1"/>
  <c r="AG255" i="18" s="1"/>
  <c r="AF255" i="18" s="1"/>
  <c r="AI216" i="18"/>
  <c r="AH216" i="18" s="1"/>
  <c r="AG216" i="18" s="1"/>
  <c r="AF216" i="18" s="1"/>
  <c r="AI45" i="18"/>
  <c r="AH45" i="18" s="1"/>
  <c r="AG45" i="18" s="1"/>
  <c r="AF45" i="18" s="1"/>
  <c r="AI89" i="18"/>
  <c r="AH89" i="18" s="1"/>
  <c r="AG89" i="18" s="1"/>
  <c r="AF89" i="18" s="1"/>
  <c r="AI144" i="18"/>
  <c r="AH144" i="18" s="1"/>
  <c r="AG144" i="18" s="1"/>
  <c r="AF144" i="18" s="1"/>
  <c r="AI122" i="18"/>
  <c r="AH122" i="18" s="1"/>
  <c r="AG122" i="18" s="1"/>
  <c r="AF122" i="18" s="1"/>
  <c r="AI170" i="18"/>
  <c r="AH170" i="18" s="1"/>
  <c r="AG170" i="18" s="1"/>
  <c r="AF170" i="18" s="1"/>
  <c r="AI52" i="18"/>
  <c r="AH52" i="18" s="1"/>
  <c r="AG52" i="18" s="1"/>
  <c r="AF52" i="18" s="1"/>
  <c r="AI285" i="18"/>
  <c r="AH285" i="18" s="1"/>
  <c r="AI275" i="18"/>
  <c r="AH275" i="18" s="1"/>
  <c r="AG275" i="18" s="1"/>
  <c r="AF275" i="18" s="1"/>
  <c r="AI318" i="18"/>
  <c r="AH318" i="18" s="1"/>
  <c r="AG318" i="18" s="1"/>
  <c r="AF318" i="18" s="1"/>
  <c r="AI145" i="18"/>
  <c r="AH145" i="18" s="1"/>
  <c r="AI349" i="18"/>
  <c r="AH349" i="18" s="1"/>
  <c r="AI224" i="18"/>
  <c r="AH224" i="18" s="1"/>
  <c r="AG224" i="18" s="1"/>
  <c r="AF224" i="18" s="1"/>
  <c r="AI356" i="18"/>
  <c r="AH356" i="18" s="1"/>
  <c r="AG356" i="18" s="1"/>
  <c r="AF356" i="18" s="1"/>
  <c r="AI198" i="18"/>
  <c r="AH198" i="18" s="1"/>
  <c r="AG198" i="18" s="1"/>
  <c r="AF198" i="18" s="1"/>
  <c r="AI74" i="18"/>
  <c r="AH74" i="18" s="1"/>
  <c r="AG74" i="18" s="1"/>
  <c r="AF74" i="18" s="1"/>
  <c r="AI186" i="18"/>
  <c r="AH186" i="18" s="1"/>
  <c r="AG186" i="18" s="1"/>
  <c r="AF186" i="18" s="1"/>
  <c r="AI103" i="18"/>
  <c r="AH103" i="18" s="1"/>
  <c r="AG103" i="18" s="1"/>
  <c r="AF103" i="18" s="1"/>
  <c r="AI258" i="18"/>
  <c r="AH258" i="18" s="1"/>
  <c r="AG258" i="18" s="1"/>
  <c r="AF258" i="18" s="1"/>
  <c r="AI18" i="18"/>
  <c r="AH18" i="18" s="1"/>
  <c r="AG18" i="18" s="1"/>
  <c r="AF18" i="18" s="1"/>
  <c r="AI371" i="18"/>
  <c r="AH371" i="18" s="1"/>
  <c r="AG371" i="18" s="1"/>
  <c r="AF371" i="18" s="1"/>
  <c r="AI19" i="18"/>
  <c r="AH19" i="18" s="1"/>
  <c r="AI268" i="18"/>
  <c r="AH268" i="18" s="1"/>
  <c r="AG268" i="18" s="1"/>
  <c r="AF268" i="18" s="1"/>
  <c r="AI332" i="18"/>
  <c r="AH332" i="18" s="1"/>
  <c r="AI270" i="18"/>
  <c r="AH270" i="18" s="1"/>
  <c r="AG270" i="18" s="1"/>
  <c r="AF270" i="18" s="1"/>
  <c r="AC382" i="25"/>
  <c r="U346" i="18"/>
  <c r="T346" i="18" s="1"/>
  <c r="S346" i="18" s="1"/>
  <c r="R346" i="18" s="1"/>
  <c r="P346" i="18" s="1"/>
  <c r="V346" i="18" s="1"/>
  <c r="L44" i="19"/>
  <c r="AC383" i="25"/>
  <c r="AC381" i="25"/>
  <c r="AI245" i="18"/>
  <c r="AH245" i="18" s="1"/>
  <c r="AG245" i="18" s="1"/>
  <c r="AF245" i="18" s="1"/>
  <c r="J36" i="19"/>
  <c r="H379" i="17"/>
  <c r="J379" i="17" s="1"/>
  <c r="AA379" i="17"/>
  <c r="Z379" i="17" s="1"/>
  <c r="Y379" i="17" s="1"/>
  <c r="G64" i="19"/>
  <c r="AI292" i="18"/>
  <c r="AH292" i="18" s="1"/>
  <c r="AG292" i="18" s="1"/>
  <c r="AF292" i="18" s="1"/>
  <c r="AI291" i="18"/>
  <c r="AH291" i="18" s="1"/>
  <c r="AG291" i="18" s="1"/>
  <c r="AF291" i="18" s="1"/>
  <c r="AI210" i="18"/>
  <c r="AH210" i="18" s="1"/>
  <c r="AG210" i="18" s="1"/>
  <c r="AF210" i="18" s="1"/>
  <c r="I64" i="19"/>
  <c r="D12" i="19"/>
  <c r="G36" i="19"/>
  <c r="F174" i="17"/>
  <c r="G174" i="17" s="1"/>
  <c r="BZ174" i="6" s="1"/>
  <c r="K64" i="19"/>
  <c r="F227" i="17"/>
  <c r="G227" i="17" s="1"/>
  <c r="BZ227" i="6" s="1"/>
  <c r="H64" i="19"/>
  <c r="H80" i="17"/>
  <c r="G80" i="17"/>
  <c r="BZ80" i="6" s="1"/>
  <c r="AA80" i="17"/>
  <c r="Z80" i="17" s="1"/>
  <c r="Y80" i="17" s="1"/>
  <c r="G362" i="17"/>
  <c r="BZ362" i="6" s="1"/>
  <c r="H362" i="17"/>
  <c r="AA362" i="17"/>
  <c r="Z362" i="17" s="1"/>
  <c r="Y362" i="17" s="1"/>
  <c r="AA18" i="17"/>
  <c r="Z18" i="17" s="1"/>
  <c r="Y18" i="17" s="1"/>
  <c r="H18" i="17"/>
  <c r="G18" i="17"/>
  <c r="BZ18" i="6" s="1"/>
  <c r="H326" i="17"/>
  <c r="G326" i="17"/>
  <c r="BZ326" i="6" s="1"/>
  <c r="AA326" i="17"/>
  <c r="Z326" i="17" s="1"/>
  <c r="Y326" i="17" s="1"/>
  <c r="G142" i="17"/>
  <c r="BZ142" i="6" s="1"/>
  <c r="AA142" i="17"/>
  <c r="Z142" i="17" s="1"/>
  <c r="Y142" i="17" s="1"/>
  <c r="H142" i="17"/>
  <c r="G21" i="17"/>
  <c r="BZ21" i="6" s="1"/>
  <c r="H21" i="17"/>
  <c r="AA21" i="17"/>
  <c r="Z21" i="17" s="1"/>
  <c r="Y21" i="17" s="1"/>
  <c r="AA47" i="17"/>
  <c r="Z47" i="17" s="1"/>
  <c r="Y47" i="17" s="1"/>
  <c r="G47" i="17"/>
  <c r="BZ47" i="6" s="1"/>
  <c r="H47" i="17"/>
  <c r="G86" i="17"/>
  <c r="BZ86" i="6" s="1"/>
  <c r="AA86" i="17"/>
  <c r="Z86" i="17" s="1"/>
  <c r="Y86" i="17" s="1"/>
  <c r="H86" i="17"/>
  <c r="H364" i="17"/>
  <c r="G364" i="17"/>
  <c r="BZ364" i="6" s="1"/>
  <c r="AA364" i="17"/>
  <c r="Z364" i="17" s="1"/>
  <c r="Y364" i="17" s="1"/>
  <c r="AG368" i="18"/>
  <c r="AF368" i="18" s="1"/>
  <c r="AD368" i="18" s="1"/>
  <c r="AG242" i="18"/>
  <c r="AF242" i="18" s="1"/>
  <c r="AD242" i="18" s="1"/>
  <c r="AG357" i="18"/>
  <c r="AF357" i="18" s="1"/>
  <c r="AD357" i="18" s="1"/>
  <c r="AG53" i="18"/>
  <c r="AF53" i="18" s="1"/>
  <c r="AD53" i="18" s="1"/>
  <c r="AD72" i="18"/>
  <c r="AD213" i="18"/>
  <c r="AD333" i="18"/>
  <c r="AD92" i="18"/>
  <c r="AD369" i="18"/>
  <c r="AD79" i="18"/>
  <c r="AD112" i="18"/>
  <c r="AD85" i="18"/>
  <c r="AD42" i="18"/>
  <c r="I328" i="17"/>
  <c r="J328" i="17"/>
  <c r="J114" i="17"/>
  <c r="I114" i="17"/>
  <c r="J291" i="17"/>
  <c r="I291" i="17"/>
  <c r="J184" i="17"/>
  <c r="I184" i="17"/>
  <c r="J164" i="17"/>
  <c r="I164" i="17"/>
  <c r="I209" i="17"/>
  <c r="J209" i="17"/>
  <c r="I238" i="17"/>
  <c r="J238" i="17"/>
  <c r="J243" i="17"/>
  <c r="I243" i="17"/>
  <c r="G148" i="17"/>
  <c r="BZ148" i="6" s="1"/>
  <c r="AA148" i="17"/>
  <c r="Z148" i="17" s="1"/>
  <c r="Y148" i="17" s="1"/>
  <c r="H148" i="17"/>
  <c r="I33" i="17"/>
  <c r="J33" i="17"/>
  <c r="J368" i="17"/>
  <c r="I368" i="17"/>
  <c r="J195" i="17"/>
  <c r="I195" i="17"/>
  <c r="J337" i="17"/>
  <c r="I337" i="17"/>
  <c r="I160" i="17"/>
  <c r="J160" i="17"/>
  <c r="J188" i="17"/>
  <c r="I188" i="17"/>
  <c r="J78" i="17"/>
  <c r="I78" i="17"/>
  <c r="J54" i="17"/>
  <c r="I54" i="17"/>
  <c r="I255" i="17"/>
  <c r="J255" i="17"/>
  <c r="I49" i="17"/>
  <c r="J49" i="17"/>
  <c r="I309" i="17"/>
  <c r="J309" i="17"/>
  <c r="I327" i="17"/>
  <c r="J327" i="17"/>
  <c r="J76" i="17"/>
  <c r="I76" i="17"/>
  <c r="I109" i="17"/>
  <c r="J109" i="17"/>
  <c r="I299" i="17"/>
  <c r="J299" i="17"/>
  <c r="J344" i="17"/>
  <c r="I344" i="17"/>
  <c r="J372" i="17"/>
  <c r="I372" i="17"/>
  <c r="I342" i="17"/>
  <c r="J342" i="17"/>
  <c r="AA46" i="17"/>
  <c r="Z46" i="17" s="1"/>
  <c r="Y46" i="17" s="1"/>
  <c r="H46" i="17"/>
  <c r="G46" i="17"/>
  <c r="BZ46" i="6" s="1"/>
  <c r="I44" i="17"/>
  <c r="J44" i="17"/>
  <c r="J52" i="17"/>
  <c r="I52" i="17"/>
  <c r="D64" i="19"/>
  <c r="J231" i="17"/>
  <c r="I231" i="17"/>
  <c r="I264" i="17"/>
  <c r="J264" i="17"/>
  <c r="J98" i="17"/>
  <c r="I98" i="17"/>
  <c r="G324" i="17"/>
  <c r="BZ324" i="6" s="1"/>
  <c r="AA324" i="17"/>
  <c r="Z324" i="17" s="1"/>
  <c r="Y324" i="17" s="1"/>
  <c r="H324" i="17"/>
  <c r="AA60" i="17"/>
  <c r="Z60" i="17" s="1"/>
  <c r="Y60" i="17" s="1"/>
  <c r="G60" i="17"/>
  <c r="BZ60" i="6" s="1"/>
  <c r="H60" i="17"/>
  <c r="I122" i="17"/>
  <c r="J122" i="17"/>
  <c r="I36" i="17"/>
  <c r="J36" i="17"/>
  <c r="J366" i="17"/>
  <c r="I366" i="17"/>
  <c r="J211" i="17"/>
  <c r="I211" i="17"/>
  <c r="I157" i="17"/>
  <c r="J157" i="17"/>
  <c r="I162" i="17"/>
  <c r="J162" i="17"/>
  <c r="J307" i="17"/>
  <c r="I307" i="17"/>
  <c r="I26" i="17"/>
  <c r="J26" i="17"/>
  <c r="I212" i="17"/>
  <c r="J212" i="17"/>
  <c r="J250" i="17"/>
  <c r="I250" i="17"/>
  <c r="AL9" i="16"/>
  <c r="AA9" i="16"/>
  <c r="AA383" i="16"/>
  <c r="AA382" i="16"/>
  <c r="Z15" i="16"/>
  <c r="AL8" i="16" s="1"/>
  <c r="AA381" i="16"/>
  <c r="AM8" i="16"/>
  <c r="G145" i="17"/>
  <c r="BZ145" i="6" s="1"/>
  <c r="H145" i="17"/>
  <c r="AA145" i="17"/>
  <c r="Z145" i="17" s="1"/>
  <c r="Y145" i="17" s="1"/>
  <c r="J16" i="17"/>
  <c r="I16" i="17"/>
  <c r="J198" i="17"/>
  <c r="I198" i="17"/>
  <c r="I294" i="17"/>
  <c r="J294" i="17"/>
  <c r="J171" i="17"/>
  <c r="I171" i="17"/>
  <c r="I202" i="17"/>
  <c r="J202" i="17"/>
  <c r="J129" i="17"/>
  <c r="I129" i="17"/>
  <c r="I94" i="17"/>
  <c r="J94" i="17"/>
  <c r="I224" i="17"/>
  <c r="J224" i="17"/>
  <c r="U59" i="18"/>
  <c r="T59" i="18" s="1"/>
  <c r="U352" i="18"/>
  <c r="T352" i="18" s="1"/>
  <c r="U236" i="18"/>
  <c r="T236" i="18" s="1"/>
  <c r="U314" i="18"/>
  <c r="T314" i="18" s="1"/>
  <c r="U226" i="18"/>
  <c r="T226" i="18" s="1"/>
  <c r="U254" i="18"/>
  <c r="T254" i="18" s="1"/>
  <c r="U94" i="18"/>
  <c r="T94" i="18" s="1"/>
  <c r="U140" i="18"/>
  <c r="T140" i="18" s="1"/>
  <c r="U170" i="18"/>
  <c r="T170" i="18" s="1"/>
  <c r="U320" i="18"/>
  <c r="T320" i="18" s="1"/>
  <c r="U106" i="18"/>
  <c r="T106" i="18" s="1"/>
  <c r="U81" i="18"/>
  <c r="T81" i="18" s="1"/>
  <c r="U110" i="18"/>
  <c r="T110" i="18" s="1"/>
  <c r="U33" i="18"/>
  <c r="T33" i="18" s="1"/>
  <c r="U22" i="18"/>
  <c r="T22" i="18" s="1"/>
  <c r="U378" i="18"/>
  <c r="T378" i="18" s="1"/>
  <c r="U71" i="18"/>
  <c r="T71" i="18" s="1"/>
  <c r="U357" i="18"/>
  <c r="T357" i="18" s="1"/>
  <c r="U134" i="18"/>
  <c r="T134" i="18" s="1"/>
  <c r="U72" i="18"/>
  <c r="T72" i="18" s="1"/>
  <c r="U191" i="18"/>
  <c r="T191" i="18" s="1"/>
  <c r="U180" i="18"/>
  <c r="T180" i="18" s="1"/>
  <c r="U299" i="18"/>
  <c r="T299" i="18" s="1"/>
  <c r="U55" i="18"/>
  <c r="T55" i="18" s="1"/>
  <c r="U340" i="18"/>
  <c r="T340" i="18" s="1"/>
  <c r="U19" i="18"/>
  <c r="T19" i="18" s="1"/>
  <c r="U245" i="18"/>
  <c r="T245" i="18" s="1"/>
  <c r="U112" i="18"/>
  <c r="T112" i="18" s="1"/>
  <c r="U175" i="18"/>
  <c r="T175" i="18" s="1"/>
  <c r="U127" i="18"/>
  <c r="T127" i="18" s="1"/>
  <c r="U17" i="18"/>
  <c r="T17" i="18" s="1"/>
  <c r="U291" i="18"/>
  <c r="T291" i="18" s="1"/>
  <c r="U366" i="18"/>
  <c r="T366" i="18" s="1"/>
  <c r="U305" i="18"/>
  <c r="T305" i="18" s="1"/>
  <c r="U292" i="18"/>
  <c r="T292" i="18" s="1"/>
  <c r="U61" i="18"/>
  <c r="T61" i="18" s="1"/>
  <c r="U307" i="18"/>
  <c r="T307" i="18" s="1"/>
  <c r="U53" i="18"/>
  <c r="T53" i="18" s="1"/>
  <c r="U95" i="18"/>
  <c r="T95" i="18" s="1"/>
  <c r="U82" i="18"/>
  <c r="T82" i="18" s="1"/>
  <c r="U65" i="18"/>
  <c r="T65" i="18" s="1"/>
  <c r="U324" i="18"/>
  <c r="T324" i="18" s="1"/>
  <c r="U310" i="18"/>
  <c r="T310" i="18" s="1"/>
  <c r="U270" i="18"/>
  <c r="T270" i="18" s="1"/>
  <c r="U126" i="18"/>
  <c r="T126" i="18" s="1"/>
  <c r="U129" i="18"/>
  <c r="T129" i="18" s="1"/>
  <c r="U98" i="18"/>
  <c r="T98" i="18" s="1"/>
  <c r="U145" i="18"/>
  <c r="T145" i="18" s="1"/>
  <c r="U237" i="18"/>
  <c r="T237" i="18" s="1"/>
  <c r="U315" i="18"/>
  <c r="T315" i="18" s="1"/>
  <c r="U190" i="18"/>
  <c r="T190" i="18" s="1"/>
  <c r="U297" i="18"/>
  <c r="T297" i="18" s="1"/>
  <c r="U90" i="18"/>
  <c r="T90" i="18" s="1"/>
  <c r="U259" i="18"/>
  <c r="T259" i="18" s="1"/>
  <c r="U370" i="18"/>
  <c r="T370" i="18" s="1"/>
  <c r="U40" i="18"/>
  <c r="T40" i="18" s="1"/>
  <c r="U336" i="18"/>
  <c r="T336" i="18" s="1"/>
  <c r="U256" i="18"/>
  <c r="T256" i="18" s="1"/>
  <c r="U122" i="18"/>
  <c r="T122" i="18" s="1"/>
  <c r="U151" i="18"/>
  <c r="T151" i="18" s="1"/>
  <c r="U199" i="18"/>
  <c r="T199" i="18" s="1"/>
  <c r="U355" i="18"/>
  <c r="T355" i="18" s="1"/>
  <c r="U164" i="18"/>
  <c r="T164" i="18" s="1"/>
  <c r="U149" i="18"/>
  <c r="T149" i="18" s="1"/>
  <c r="U242" i="18"/>
  <c r="T242" i="18" s="1"/>
  <c r="U67" i="18"/>
  <c r="T67" i="18" s="1"/>
  <c r="U238" i="18"/>
  <c r="T238" i="18" s="1"/>
  <c r="U214" i="18"/>
  <c r="T214" i="18" s="1"/>
  <c r="U195" i="18"/>
  <c r="T195" i="18" s="1"/>
  <c r="U317" i="18"/>
  <c r="T317" i="18" s="1"/>
  <c r="U73" i="18"/>
  <c r="T73" i="18" s="1"/>
  <c r="U117" i="18"/>
  <c r="T117" i="18" s="1"/>
  <c r="U223" i="18"/>
  <c r="T223" i="18" s="1"/>
  <c r="U143" i="18"/>
  <c r="T143" i="18" s="1"/>
  <c r="U362" i="18"/>
  <c r="T362" i="18" s="1"/>
  <c r="U152" i="18"/>
  <c r="T152" i="18" s="1"/>
  <c r="U353" i="18"/>
  <c r="T353" i="18" s="1"/>
  <c r="U347" i="18"/>
  <c r="T347" i="18" s="1"/>
  <c r="U160" i="18"/>
  <c r="T160" i="18" s="1"/>
  <c r="U69" i="18"/>
  <c r="T69" i="18" s="1"/>
  <c r="U376" i="18"/>
  <c r="T376" i="18" s="1"/>
  <c r="U337" i="18"/>
  <c r="T337" i="18" s="1"/>
  <c r="U271" i="18"/>
  <c r="T271" i="18" s="1"/>
  <c r="U194" i="18"/>
  <c r="T194" i="18" s="1"/>
  <c r="U158" i="18"/>
  <c r="T158" i="18" s="1"/>
  <c r="U204" i="18"/>
  <c r="T204" i="18" s="1"/>
  <c r="U274" i="18"/>
  <c r="T274" i="18" s="1"/>
  <c r="U80" i="18"/>
  <c r="T80" i="18" s="1"/>
  <c r="U365" i="18"/>
  <c r="T365" i="18" s="1"/>
  <c r="U293" i="18"/>
  <c r="T293" i="18" s="1"/>
  <c r="U135" i="18"/>
  <c r="T135" i="18" s="1"/>
  <c r="U45" i="18"/>
  <c r="T45" i="18" s="1"/>
  <c r="U51" i="18"/>
  <c r="T51" i="18" s="1"/>
  <c r="U124" i="18"/>
  <c r="T124" i="18" s="1"/>
  <c r="U132" i="18"/>
  <c r="T132" i="18" s="1"/>
  <c r="U43" i="18"/>
  <c r="T43" i="18" s="1"/>
  <c r="U63" i="18"/>
  <c r="T63" i="18" s="1"/>
  <c r="U235" i="18"/>
  <c r="T235" i="18" s="1"/>
  <c r="U359" i="18"/>
  <c r="T359" i="18" s="1"/>
  <c r="U260" i="18"/>
  <c r="T260" i="18" s="1"/>
  <c r="U278" i="18"/>
  <c r="T278" i="18" s="1"/>
  <c r="U300" i="18"/>
  <c r="T300" i="18" s="1"/>
  <c r="J29" i="17"/>
  <c r="I29" i="17"/>
  <c r="AD170" i="18"/>
  <c r="AD204" i="18"/>
  <c r="AD281" i="18"/>
  <c r="J365" i="17"/>
  <c r="I365" i="17"/>
  <c r="I361" i="17"/>
  <c r="J361" i="17"/>
  <c r="J103" i="17"/>
  <c r="I103" i="17"/>
  <c r="I163" i="17"/>
  <c r="J163" i="17"/>
  <c r="J218" i="17"/>
  <c r="I218" i="17"/>
  <c r="I274" i="17"/>
  <c r="J274" i="17"/>
  <c r="J298" i="17"/>
  <c r="I298" i="17"/>
  <c r="I31" i="17"/>
  <c r="J31" i="17"/>
  <c r="I97" i="17"/>
  <c r="J97" i="17"/>
  <c r="AA333" i="17"/>
  <c r="Z333" i="17" s="1"/>
  <c r="Y333" i="17" s="1"/>
  <c r="G333" i="17"/>
  <c r="BZ333" i="6" s="1"/>
  <c r="H333" i="17"/>
  <c r="J156" i="17"/>
  <c r="I156" i="17"/>
  <c r="I27" i="17"/>
  <c r="J27" i="17"/>
  <c r="G112" i="17"/>
  <c r="BZ112" i="6" s="1"/>
  <c r="H112" i="17"/>
  <c r="AA112" i="17"/>
  <c r="Z112" i="17" s="1"/>
  <c r="Y112" i="17" s="1"/>
  <c r="J348" i="17"/>
  <c r="I348" i="17"/>
  <c r="J220" i="17"/>
  <c r="I220" i="17"/>
  <c r="I30" i="17"/>
  <c r="J30" i="17"/>
  <c r="I178" i="17"/>
  <c r="J178" i="17"/>
  <c r="J292" i="17"/>
  <c r="I292" i="17"/>
  <c r="J225" i="17"/>
  <c r="I225" i="17"/>
  <c r="J123" i="17"/>
  <c r="I123" i="17"/>
  <c r="I89" i="17"/>
  <c r="J89" i="17"/>
  <c r="I165" i="17"/>
  <c r="J165" i="17"/>
  <c r="J303" i="17"/>
  <c r="I303" i="17"/>
  <c r="I289" i="17"/>
  <c r="J289" i="17"/>
  <c r="H149" i="17"/>
  <c r="AA149" i="17"/>
  <c r="Z149" i="17" s="1"/>
  <c r="Y149" i="17" s="1"/>
  <c r="G149" i="17"/>
  <c r="BZ149" i="6" s="1"/>
  <c r="I301" i="17"/>
  <c r="J301" i="17"/>
  <c r="J239" i="17"/>
  <c r="I239" i="17"/>
  <c r="I79" i="17"/>
  <c r="J79" i="17"/>
  <c r="J330" i="17"/>
  <c r="I330" i="17"/>
  <c r="J92" i="17"/>
  <c r="I92" i="17"/>
  <c r="AD89" i="18"/>
  <c r="J154" i="17"/>
  <c r="I154" i="17"/>
  <c r="I296" i="17"/>
  <c r="J296" i="17"/>
  <c r="I179" i="17"/>
  <c r="J179" i="17"/>
  <c r="I187" i="17"/>
  <c r="J187" i="17"/>
  <c r="I65" i="17"/>
  <c r="J65" i="17"/>
  <c r="AA113" i="17"/>
  <c r="Z113" i="17" s="1"/>
  <c r="Y113" i="17" s="1"/>
  <c r="G113" i="17"/>
  <c r="BZ113" i="6" s="1"/>
  <c r="H113" i="17"/>
  <c r="I318" i="17"/>
  <c r="J318" i="17"/>
  <c r="I151" i="17"/>
  <c r="J151" i="17"/>
  <c r="I199" i="17"/>
  <c r="J199" i="17"/>
  <c r="I153" i="17"/>
  <c r="J153" i="17"/>
  <c r="I284" i="17"/>
  <c r="J284" i="17"/>
  <c r="J237" i="17"/>
  <c r="I237" i="17"/>
  <c r="J267" i="17"/>
  <c r="I267" i="17"/>
  <c r="I347" i="17"/>
  <c r="J347" i="17"/>
  <c r="I312" i="17"/>
  <c r="J312" i="17"/>
  <c r="I107" i="17"/>
  <c r="J107" i="17"/>
  <c r="H166" i="17"/>
  <c r="G166" i="17"/>
  <c r="BZ166" i="6" s="1"/>
  <c r="AA166" i="17"/>
  <c r="Z166" i="17" s="1"/>
  <c r="Y166" i="17" s="1"/>
  <c r="M64" i="19"/>
  <c r="J34" i="17"/>
  <c r="I34" i="17"/>
  <c r="J358" i="17"/>
  <c r="I358" i="17"/>
  <c r="I197" i="17"/>
  <c r="J197" i="17"/>
  <c r="I56" i="17"/>
  <c r="J56" i="17"/>
  <c r="J262" i="17"/>
  <c r="I262" i="17"/>
  <c r="J254" i="17"/>
  <c r="I254" i="17"/>
  <c r="J346" i="17"/>
  <c r="I346" i="17"/>
  <c r="AA258" i="17"/>
  <c r="Z258" i="17" s="1"/>
  <c r="Y258" i="17" s="1"/>
  <c r="G258" i="17"/>
  <c r="BZ258" i="6" s="1"/>
  <c r="H258" i="17"/>
  <c r="J287" i="17"/>
  <c r="I287" i="17"/>
  <c r="I183" i="17"/>
  <c r="J183" i="17"/>
  <c r="J206" i="17"/>
  <c r="I206" i="17"/>
  <c r="I336" i="17"/>
  <c r="J336" i="17"/>
  <c r="I23" i="17"/>
  <c r="J23" i="17"/>
  <c r="AA135" i="17"/>
  <c r="Z135" i="17" s="1"/>
  <c r="G135" i="17"/>
  <c r="BZ135" i="6" s="1"/>
  <c r="H135" i="17"/>
  <c r="I59" i="17"/>
  <c r="J59" i="17"/>
  <c r="I354" i="17"/>
  <c r="J354" i="17"/>
  <c r="J323" i="17"/>
  <c r="I323" i="17"/>
  <c r="AA363" i="17"/>
  <c r="Z363" i="17" s="1"/>
  <c r="Y363" i="17" s="1"/>
  <c r="G363" i="17"/>
  <c r="BZ363" i="6" s="1"/>
  <c r="H363" i="17"/>
  <c r="J108" i="17"/>
  <c r="I108" i="17"/>
  <c r="J280" i="17"/>
  <c r="I280" i="17"/>
  <c r="J343" i="17"/>
  <c r="I343" i="17"/>
  <c r="I40" i="17"/>
  <c r="J40" i="17"/>
  <c r="J77" i="17"/>
  <c r="I77" i="17"/>
  <c r="J133" i="17"/>
  <c r="I133" i="17"/>
  <c r="I17" i="17"/>
  <c r="J17" i="17"/>
  <c r="I300" i="17"/>
  <c r="J300" i="17"/>
  <c r="J104" i="17"/>
  <c r="I104" i="17"/>
  <c r="G19" i="17"/>
  <c r="BZ19" i="6" s="1"/>
  <c r="AA19" i="17"/>
  <c r="Z19" i="17" s="1"/>
  <c r="Y19" i="17" s="1"/>
  <c r="H19" i="17"/>
  <c r="I28" i="17"/>
  <c r="J28" i="17"/>
  <c r="I350" i="17"/>
  <c r="J350" i="17"/>
  <c r="I308" i="17"/>
  <c r="J308" i="17"/>
  <c r="J273" i="17"/>
  <c r="I273" i="17"/>
  <c r="J351" i="17"/>
  <c r="I351" i="17"/>
  <c r="I259" i="17"/>
  <c r="J259" i="17"/>
  <c r="J186" i="17"/>
  <c r="I186" i="17"/>
  <c r="J334" i="17"/>
  <c r="I334" i="17"/>
  <c r="I310" i="17"/>
  <c r="J310" i="17"/>
  <c r="J169" i="17"/>
  <c r="I169" i="17"/>
  <c r="L64" i="19"/>
  <c r="J311" i="17"/>
  <c r="I311" i="17"/>
  <c r="I359" i="17"/>
  <c r="J359" i="17"/>
  <c r="I332" i="17"/>
  <c r="J332" i="17"/>
  <c r="I172" i="17"/>
  <c r="J172" i="17"/>
  <c r="H356" i="17"/>
  <c r="G356" i="17"/>
  <c r="BZ356" i="6" s="1"/>
  <c r="AA356" i="17"/>
  <c r="Z356" i="17" s="1"/>
  <c r="Y356" i="17" s="1"/>
  <c r="J295" i="17"/>
  <c r="I295" i="17"/>
  <c r="I116" i="17"/>
  <c r="J116" i="17"/>
  <c r="J253" i="17"/>
  <c r="I253" i="17"/>
  <c r="AD318" i="18"/>
  <c r="AD287" i="18"/>
  <c r="AD370" i="18"/>
  <c r="AD149" i="18"/>
  <c r="AD355" i="18"/>
  <c r="AD330" i="18"/>
  <c r="AD301" i="18"/>
  <c r="AD231" i="18"/>
  <c r="AD353" i="18"/>
  <c r="AD271" i="18"/>
  <c r="AD114" i="18"/>
  <c r="AD195" i="18"/>
  <c r="AD188" i="18"/>
  <c r="AD186" i="18"/>
  <c r="AD118" i="18"/>
  <c r="S381" i="17"/>
  <c r="S383" i="17"/>
  <c r="S382" i="17"/>
  <c r="R15" i="17"/>
  <c r="AG328" i="18"/>
  <c r="AF328" i="18" s="1"/>
  <c r="AD328" i="18" s="1"/>
  <c r="AG145" i="18"/>
  <c r="AF145" i="18" s="1"/>
  <c r="AD145" i="18" s="1"/>
  <c r="AG64" i="18"/>
  <c r="AF64" i="18" s="1"/>
  <c r="AD64" i="18" s="1"/>
  <c r="AG319" i="18"/>
  <c r="AF319" i="18" s="1"/>
  <c r="AD319" i="18" s="1"/>
  <c r="U89" i="18"/>
  <c r="T89" i="18" s="1"/>
  <c r="AC16" i="7"/>
  <c r="I383" i="15"/>
  <c r="I382" i="15"/>
  <c r="I381" i="15"/>
  <c r="AD283" i="18"/>
  <c r="AD147" i="18"/>
  <c r="AD158" i="18"/>
  <c r="AD27" i="18"/>
  <c r="AD262" i="18"/>
  <c r="AD77" i="18"/>
  <c r="AD120" i="18"/>
  <c r="AD331" i="18"/>
  <c r="AD157" i="18"/>
  <c r="AD160" i="18"/>
  <c r="AD130" i="18"/>
  <c r="AD131" i="18"/>
  <c r="AD232" i="18"/>
  <c r="AD229" i="18"/>
  <c r="AD80" i="18"/>
  <c r="AD45" i="18"/>
  <c r="AD364" i="18"/>
  <c r="AD110" i="18"/>
  <c r="AD337" i="18"/>
  <c r="AD228" i="18"/>
  <c r="AD175" i="18"/>
  <c r="AD60" i="18"/>
  <c r="AD25" i="18"/>
  <c r="AD194" i="18"/>
  <c r="AD344" i="18"/>
  <c r="AD299" i="18"/>
  <c r="AD40" i="18"/>
  <c r="AD334" i="18"/>
  <c r="AD172" i="18"/>
  <c r="AD97" i="18"/>
  <c r="AD139" i="18"/>
  <c r="AD227" i="18"/>
  <c r="AD214" i="18"/>
  <c r="I127" i="17"/>
  <c r="J127" i="17"/>
  <c r="J139" i="17"/>
  <c r="I139" i="17"/>
  <c r="J306" i="17"/>
  <c r="I306" i="17"/>
  <c r="I106" i="17"/>
  <c r="J106" i="17"/>
  <c r="J190" i="17"/>
  <c r="I190" i="17"/>
  <c r="J234" i="17"/>
  <c r="I234" i="17"/>
  <c r="I185" i="17"/>
  <c r="J185" i="17"/>
  <c r="I214" i="17"/>
  <c r="J214" i="17"/>
  <c r="I233" i="17"/>
  <c r="J233" i="17"/>
  <c r="J293" i="17"/>
  <c r="I293" i="17"/>
  <c r="J83" i="17"/>
  <c r="I83" i="17"/>
  <c r="U147" i="18"/>
  <c r="T147" i="18" s="1"/>
  <c r="U344" i="18"/>
  <c r="T344" i="18" s="1"/>
  <c r="U171" i="18"/>
  <c r="T171" i="18" s="1"/>
  <c r="U20" i="18"/>
  <c r="T20" i="18" s="1"/>
  <c r="U295" i="18"/>
  <c r="T295" i="18" s="1"/>
  <c r="U296" i="18"/>
  <c r="T296" i="18" s="1"/>
  <c r="U257" i="18"/>
  <c r="T257" i="18" s="1"/>
  <c r="U173" i="18"/>
  <c r="T173" i="18" s="1"/>
  <c r="U58" i="18"/>
  <c r="T58" i="18" s="1"/>
  <c r="U39" i="18"/>
  <c r="T39" i="18" s="1"/>
  <c r="U197" i="18"/>
  <c r="T197" i="18" s="1"/>
  <c r="U224" i="18"/>
  <c r="T224" i="18" s="1"/>
  <c r="U76" i="18"/>
  <c r="T76" i="18" s="1"/>
  <c r="U189" i="18"/>
  <c r="T189" i="18" s="1"/>
  <c r="U66" i="18"/>
  <c r="T66" i="18" s="1"/>
  <c r="U30" i="18"/>
  <c r="T30" i="18" s="1"/>
  <c r="U379" i="18"/>
  <c r="U115" i="18"/>
  <c r="T115" i="18" s="1"/>
  <c r="U261" i="18"/>
  <c r="T261" i="18" s="1"/>
  <c r="U241" i="18"/>
  <c r="T241" i="18" s="1"/>
  <c r="U244" i="18"/>
  <c r="T244" i="18" s="1"/>
  <c r="U319" i="18"/>
  <c r="T319" i="18" s="1"/>
  <c r="U301" i="18"/>
  <c r="T301" i="18" s="1"/>
  <c r="U102" i="18"/>
  <c r="T102" i="18" s="1"/>
  <c r="U229" i="18"/>
  <c r="T229" i="18" s="1"/>
  <c r="U342" i="18"/>
  <c r="T342" i="18" s="1"/>
  <c r="U269" i="18"/>
  <c r="T269" i="18" s="1"/>
  <c r="U163" i="18"/>
  <c r="T163" i="18" s="1"/>
  <c r="U24" i="18"/>
  <c r="T24" i="18" s="1"/>
  <c r="U275" i="18"/>
  <c r="T275" i="18" s="1"/>
  <c r="U97" i="18"/>
  <c r="T97" i="18" s="1"/>
  <c r="U371" i="18"/>
  <c r="T371" i="18" s="1"/>
  <c r="U369" i="18"/>
  <c r="T369" i="18" s="1"/>
  <c r="U246" i="18"/>
  <c r="T246" i="18" s="1"/>
  <c r="U276" i="18"/>
  <c r="T276" i="18" s="1"/>
  <c r="U150" i="18"/>
  <c r="T150" i="18" s="1"/>
  <c r="U104" i="18"/>
  <c r="T104" i="18" s="1"/>
  <c r="U286" i="18"/>
  <c r="T286" i="18" s="1"/>
  <c r="U264" i="18"/>
  <c r="T264" i="18" s="1"/>
  <c r="U289" i="18"/>
  <c r="T289" i="18" s="1"/>
  <c r="U279" i="18"/>
  <c r="T279" i="18" s="1"/>
  <c r="U322" i="18"/>
  <c r="T322" i="18" s="1"/>
  <c r="U298" i="18"/>
  <c r="T298" i="18" s="1"/>
  <c r="U375" i="18"/>
  <c r="T375" i="18" s="1"/>
  <c r="U57" i="18"/>
  <c r="T57" i="18" s="1"/>
  <c r="U144" i="18"/>
  <c r="T144" i="18" s="1"/>
  <c r="U168" i="18"/>
  <c r="T168" i="18" s="1"/>
  <c r="U87" i="18"/>
  <c r="T87" i="18" s="1"/>
  <c r="U186" i="18"/>
  <c r="T186" i="18" s="1"/>
  <c r="U268" i="18"/>
  <c r="T268" i="18" s="1"/>
  <c r="U167" i="18"/>
  <c r="T167" i="18" s="1"/>
  <c r="U234" i="18"/>
  <c r="T234" i="18" s="1"/>
  <c r="U325" i="18"/>
  <c r="T325" i="18" s="1"/>
  <c r="U27" i="18"/>
  <c r="T27" i="18" s="1"/>
  <c r="U349" i="18"/>
  <c r="T349" i="18" s="1"/>
  <c r="U334" i="18"/>
  <c r="T334" i="18" s="1"/>
  <c r="U138" i="18"/>
  <c r="T138" i="18" s="1"/>
  <c r="U316" i="18"/>
  <c r="T316" i="18" s="1"/>
  <c r="U216" i="18"/>
  <c r="T216" i="18" s="1"/>
  <c r="U272" i="18"/>
  <c r="T272" i="18" s="1"/>
  <c r="U108" i="18"/>
  <c r="T108" i="18" s="1"/>
  <c r="U109" i="18"/>
  <c r="T109" i="18" s="1"/>
  <c r="U351" i="18"/>
  <c r="T351" i="18" s="1"/>
  <c r="U212" i="18"/>
  <c r="T212" i="18" s="1"/>
  <c r="U137" i="18"/>
  <c r="T137" i="18" s="1"/>
  <c r="U255" i="18"/>
  <c r="T255" i="18" s="1"/>
  <c r="U225" i="18"/>
  <c r="T225" i="18" s="1"/>
  <c r="U113" i="18"/>
  <c r="T113" i="18" s="1"/>
  <c r="U350" i="18"/>
  <c r="T350" i="18" s="1"/>
  <c r="U328" i="18"/>
  <c r="T328" i="18" s="1"/>
  <c r="U38" i="18"/>
  <c r="T38" i="18" s="1"/>
  <c r="U36" i="18"/>
  <c r="T36" i="18" s="1"/>
  <c r="U210" i="18"/>
  <c r="T210" i="18" s="1"/>
  <c r="U193" i="18"/>
  <c r="T193" i="18" s="1"/>
  <c r="U372" i="18"/>
  <c r="T372" i="18" s="1"/>
  <c r="U169" i="18"/>
  <c r="T169" i="18" s="1"/>
  <c r="U265" i="18"/>
  <c r="T265" i="18" s="1"/>
  <c r="U42" i="18"/>
  <c r="T42" i="18" s="1"/>
  <c r="U377" i="18"/>
  <c r="T377" i="18" s="1"/>
  <c r="Z383" i="15"/>
  <c r="Z9" i="15"/>
  <c r="Z381" i="15"/>
  <c r="AL8" i="15"/>
  <c r="Z382" i="15"/>
  <c r="Y15" i="15"/>
  <c r="AD187" i="18"/>
  <c r="AD209" i="18"/>
  <c r="AD225" i="18"/>
  <c r="AD94" i="18"/>
  <c r="J263" i="17"/>
  <c r="I263" i="17"/>
  <c r="I182" i="17"/>
  <c r="J182" i="17"/>
  <c r="I58" i="17"/>
  <c r="J58" i="17"/>
  <c r="I128" i="17"/>
  <c r="J128" i="17"/>
  <c r="J260" i="17"/>
  <c r="I260" i="17"/>
  <c r="I203" i="17"/>
  <c r="J203" i="17"/>
  <c r="J370" i="17"/>
  <c r="I370" i="17"/>
  <c r="J143" i="17"/>
  <c r="I143" i="17"/>
  <c r="J53" i="17"/>
  <c r="I53" i="17"/>
  <c r="I249" i="17"/>
  <c r="J249" i="17"/>
  <c r="J283" i="17"/>
  <c r="I283" i="17"/>
  <c r="J141" i="17"/>
  <c r="I141" i="17"/>
  <c r="I339" i="17"/>
  <c r="J339" i="17"/>
  <c r="I232" i="17"/>
  <c r="J232" i="17"/>
  <c r="G261" i="17"/>
  <c r="BZ261" i="6" s="1"/>
  <c r="H261" i="17"/>
  <c r="AA261" i="17"/>
  <c r="Z261" i="17" s="1"/>
  <c r="Y261" i="17" s="1"/>
  <c r="J246" i="17"/>
  <c r="I246" i="17"/>
  <c r="J146" i="17"/>
  <c r="I146" i="17"/>
  <c r="J62" i="17"/>
  <c r="I62" i="17"/>
  <c r="I84" i="17"/>
  <c r="J84" i="17"/>
  <c r="J121" i="17"/>
  <c r="I121" i="17"/>
  <c r="I137" i="17"/>
  <c r="J137" i="17"/>
  <c r="J229" i="17"/>
  <c r="I229" i="17"/>
  <c r="I20" i="17"/>
  <c r="J20" i="17"/>
  <c r="I117" i="17"/>
  <c r="J117" i="17"/>
  <c r="J276" i="17"/>
  <c r="I276" i="17"/>
  <c r="G105" i="17"/>
  <c r="BZ105" i="6" s="1"/>
  <c r="AA105" i="17"/>
  <c r="Z105" i="17" s="1"/>
  <c r="Y105" i="17" s="1"/>
  <c r="H105" i="17"/>
  <c r="I192" i="17"/>
  <c r="J192" i="17"/>
  <c r="J132" i="17"/>
  <c r="I132" i="17"/>
  <c r="I140" i="17"/>
  <c r="J140" i="17"/>
  <c r="AD270" i="18"/>
  <c r="J181" i="17"/>
  <c r="I181" i="17"/>
  <c r="I266" i="17"/>
  <c r="J266" i="17"/>
  <c r="I269" i="17"/>
  <c r="J269" i="17"/>
  <c r="J176" i="17"/>
  <c r="I176" i="17"/>
  <c r="AG382" i="17"/>
  <c r="AG381" i="17"/>
  <c r="AG383" i="17"/>
  <c r="AF15" i="17"/>
  <c r="AI321" i="18"/>
  <c r="AH321" i="18" s="1"/>
  <c r="AI171" i="18"/>
  <c r="AH171" i="18" s="1"/>
  <c r="AI189" i="18"/>
  <c r="AH189" i="18" s="1"/>
  <c r="AI310" i="18"/>
  <c r="AH310" i="18" s="1"/>
  <c r="AI113" i="18"/>
  <c r="AH113" i="18" s="1"/>
  <c r="AI284" i="18"/>
  <c r="AH284" i="18" s="1"/>
  <c r="AI254" i="18"/>
  <c r="AH254" i="18" s="1"/>
  <c r="AI354" i="18"/>
  <c r="AH354" i="18" s="1"/>
  <c r="AI211" i="18"/>
  <c r="AH211" i="18" s="1"/>
  <c r="AI282" i="18"/>
  <c r="AH282" i="18" s="1"/>
  <c r="AI39" i="18"/>
  <c r="AH39" i="18" s="1"/>
  <c r="AI166" i="18"/>
  <c r="AH166" i="18" s="1"/>
  <c r="AI26" i="18"/>
  <c r="AH26" i="18" s="1"/>
  <c r="AI41" i="18"/>
  <c r="AH41" i="18" s="1"/>
  <c r="AI248" i="18"/>
  <c r="AH248" i="18" s="1"/>
  <c r="AI136" i="18"/>
  <c r="AH136" i="18" s="1"/>
  <c r="AI91" i="18"/>
  <c r="AH91" i="18" s="1"/>
  <c r="AI185" i="18"/>
  <c r="AH185" i="18" s="1"/>
  <c r="AI141" i="18"/>
  <c r="AH141" i="18" s="1"/>
  <c r="AI23" i="18"/>
  <c r="AH23" i="18" s="1"/>
  <c r="AI351" i="18"/>
  <c r="AH351" i="18" s="1"/>
  <c r="AI124" i="18"/>
  <c r="AH124" i="18" s="1"/>
  <c r="AI379" i="18"/>
  <c r="AI78" i="18"/>
  <c r="AH78" i="18" s="1"/>
  <c r="AI288" i="18"/>
  <c r="AH288" i="18" s="1"/>
  <c r="AI82" i="18"/>
  <c r="AH82" i="18" s="1"/>
  <c r="AI241" i="18"/>
  <c r="AH241" i="18" s="1"/>
  <c r="AI133" i="18"/>
  <c r="AH133" i="18" s="1"/>
  <c r="AI148" i="18"/>
  <c r="AH148" i="18" s="1"/>
  <c r="AI59" i="18"/>
  <c r="AH59" i="18" s="1"/>
  <c r="AI138" i="18"/>
  <c r="AH138" i="18" s="1"/>
  <c r="AI63" i="18"/>
  <c r="AH63" i="18" s="1"/>
  <c r="AI230" i="18"/>
  <c r="AH230" i="18" s="1"/>
  <c r="AI373" i="18"/>
  <c r="AH373" i="18" s="1"/>
  <c r="AI123" i="18"/>
  <c r="AH123" i="18" s="1"/>
  <c r="AI297" i="18"/>
  <c r="AH297" i="18" s="1"/>
  <c r="AI38" i="18"/>
  <c r="AH38" i="18" s="1"/>
  <c r="AI75" i="18"/>
  <c r="AH75" i="18" s="1"/>
  <c r="AI347" i="18"/>
  <c r="AH347" i="18" s="1"/>
  <c r="AI313" i="18"/>
  <c r="AH313" i="18" s="1"/>
  <c r="AI365" i="18"/>
  <c r="AH365" i="18" s="1"/>
  <c r="AI279" i="18"/>
  <c r="AH279" i="18" s="1"/>
  <c r="AI342" i="18"/>
  <c r="AH342" i="18" s="1"/>
  <c r="AI235" i="18"/>
  <c r="AH235" i="18" s="1"/>
  <c r="AI367" i="18"/>
  <c r="AH367" i="18" s="1"/>
  <c r="AI361" i="18"/>
  <c r="AH361" i="18" s="1"/>
  <c r="AI274" i="18"/>
  <c r="AH274" i="18" s="1"/>
  <c r="AI294" i="18"/>
  <c r="AH294" i="18" s="1"/>
  <c r="AI221" i="18"/>
  <c r="AH221" i="18" s="1"/>
  <c r="AI203" i="18"/>
  <c r="AH203" i="18" s="1"/>
  <c r="AI177" i="18"/>
  <c r="AH177" i="18" s="1"/>
  <c r="AI46" i="18"/>
  <c r="AH46" i="18" s="1"/>
  <c r="AI69" i="18"/>
  <c r="AH69" i="18" s="1"/>
  <c r="AI345" i="18"/>
  <c r="AH345" i="18" s="1"/>
  <c r="AI20" i="18"/>
  <c r="AH20" i="18" s="1"/>
  <c r="AI178" i="18"/>
  <c r="AH178" i="18" s="1"/>
  <c r="AI208" i="18"/>
  <c r="AH208" i="18" s="1"/>
  <c r="AI343" i="18"/>
  <c r="AH343" i="18" s="1"/>
  <c r="AI339" i="18"/>
  <c r="AH339" i="18" s="1"/>
  <c r="AI108" i="18"/>
  <c r="AH108" i="18" s="1"/>
  <c r="AI378" i="18"/>
  <c r="AH378" i="18" s="1"/>
  <c r="AI164" i="18"/>
  <c r="AH164" i="18" s="1"/>
  <c r="AI295" i="18"/>
  <c r="AH295" i="18" s="1"/>
  <c r="AI163" i="18"/>
  <c r="AH163" i="18" s="1"/>
  <c r="AI316" i="18"/>
  <c r="AH316" i="18" s="1"/>
  <c r="AI17" i="18"/>
  <c r="AH17" i="18" s="1"/>
  <c r="AI168" i="18"/>
  <c r="AH168" i="18" s="1"/>
  <c r="AI107" i="18"/>
  <c r="AH107" i="18" s="1"/>
  <c r="AI169" i="18"/>
  <c r="AH169" i="18" s="1"/>
  <c r="AI125" i="18"/>
  <c r="AH125" i="18" s="1"/>
  <c r="AI135" i="18"/>
  <c r="AH135" i="18" s="1"/>
  <c r="AI54" i="18"/>
  <c r="AH54" i="18" s="1"/>
  <c r="AI264" i="18"/>
  <c r="AH264" i="18" s="1"/>
  <c r="AI81" i="18"/>
  <c r="AH81" i="18" s="1"/>
  <c r="AI219" i="18"/>
  <c r="AH219" i="18" s="1"/>
  <c r="AI156" i="18"/>
  <c r="AH156" i="18" s="1"/>
  <c r="AI249" i="18"/>
  <c r="AH249" i="18" s="1"/>
  <c r="AI205" i="18"/>
  <c r="AH205" i="18" s="1"/>
  <c r="AI151" i="18"/>
  <c r="AH151" i="18" s="1"/>
  <c r="AI86" i="18"/>
  <c r="AH86" i="18" s="1"/>
  <c r="AI277" i="18"/>
  <c r="AH277" i="18" s="1"/>
  <c r="AI111" i="18"/>
  <c r="AH111" i="18" s="1"/>
  <c r="AI116" i="18"/>
  <c r="AH116" i="18" s="1"/>
  <c r="AI323" i="18"/>
  <c r="AH323" i="18" s="1"/>
  <c r="AI296" i="18"/>
  <c r="AH296" i="18" s="1"/>
  <c r="AI252" i="18"/>
  <c r="AH252" i="18" s="1"/>
  <c r="AI322" i="18"/>
  <c r="AH322" i="18" s="1"/>
  <c r="AI314" i="18"/>
  <c r="AH314" i="18" s="1"/>
  <c r="AI68" i="18"/>
  <c r="AH68" i="18" s="1"/>
  <c r="AI183" i="18"/>
  <c r="AH183" i="18" s="1"/>
  <c r="AI51" i="18"/>
  <c r="AH51" i="18" s="1"/>
  <c r="AI348" i="18"/>
  <c r="AH348" i="18" s="1"/>
  <c r="AI50" i="18"/>
  <c r="AH50" i="18" s="1"/>
  <c r="AI289" i="18"/>
  <c r="AH289" i="18" s="1"/>
  <c r="AI244" i="18"/>
  <c r="AH244" i="18" s="1"/>
  <c r="AI106" i="18"/>
  <c r="AH106" i="18" s="1"/>
  <c r="AI100" i="18"/>
  <c r="AH100" i="18" s="1"/>
  <c r="AI99" i="18"/>
  <c r="AH99" i="18" s="1"/>
  <c r="AI96" i="18"/>
  <c r="AH96" i="18" s="1"/>
  <c r="AI273" i="18"/>
  <c r="AH273" i="18" s="1"/>
  <c r="AI165" i="18"/>
  <c r="AH165" i="18" s="1"/>
  <c r="AI212" i="18"/>
  <c r="AH212" i="18" s="1"/>
  <c r="AI150" i="18"/>
  <c r="AH150" i="18" s="1"/>
  <c r="AI202" i="18"/>
  <c r="AH202" i="18" s="1"/>
  <c r="AI95" i="18"/>
  <c r="AH95" i="18" s="1"/>
  <c r="AI222" i="18"/>
  <c r="AH222" i="18" s="1"/>
  <c r="AI218" i="18"/>
  <c r="AH218" i="18" s="1"/>
  <c r="AI341" i="18"/>
  <c r="AH341" i="18" s="1"/>
  <c r="AI374" i="18"/>
  <c r="AH374" i="18" s="1"/>
  <c r="AI207" i="18"/>
  <c r="AH207" i="18" s="1"/>
  <c r="AI324" i="18"/>
  <c r="AH324" i="18" s="1"/>
  <c r="AI134" i="18"/>
  <c r="AH134" i="18" s="1"/>
  <c r="AI307" i="18"/>
  <c r="AH307" i="18" s="1"/>
  <c r="AI34" i="18"/>
  <c r="AH34" i="18" s="1"/>
  <c r="AI256" i="18"/>
  <c r="AH256" i="18" s="1"/>
  <c r="AI104" i="18"/>
  <c r="AH104" i="18" s="1"/>
  <c r="AI201" i="18"/>
  <c r="AH201" i="18" s="1"/>
  <c r="AI312" i="18"/>
  <c r="AH312" i="18" s="1"/>
  <c r="AI129" i="18"/>
  <c r="AH129" i="18" s="1"/>
  <c r="AI286" i="18"/>
  <c r="AH286" i="18" s="1"/>
  <c r="AI30" i="18"/>
  <c r="AH30" i="18" s="1"/>
  <c r="AI58" i="18"/>
  <c r="AH58" i="18" s="1"/>
  <c r="AI98" i="18"/>
  <c r="AH98" i="18" s="1"/>
  <c r="AI57" i="18"/>
  <c r="AH57" i="18" s="1"/>
  <c r="AI300" i="18"/>
  <c r="AH300" i="18" s="1"/>
  <c r="AI152" i="18"/>
  <c r="AH152" i="18" s="1"/>
  <c r="AI223" i="18"/>
  <c r="AH223" i="18" s="1"/>
  <c r="AI265" i="18"/>
  <c r="AH265" i="18" s="1"/>
  <c r="AI176" i="18"/>
  <c r="AH176" i="18" s="1"/>
  <c r="AI105" i="18"/>
  <c r="AH105" i="18" s="1"/>
  <c r="AI61" i="18"/>
  <c r="AH61" i="18" s="1"/>
  <c r="AI376" i="18"/>
  <c r="AH376" i="18" s="1"/>
  <c r="AI335" i="18"/>
  <c r="AH335" i="18" s="1"/>
  <c r="AI200" i="18"/>
  <c r="AH200" i="18" s="1"/>
  <c r="AI49" i="18"/>
  <c r="AH49" i="18" s="1"/>
  <c r="AI155" i="18"/>
  <c r="AH155" i="18" s="1"/>
  <c r="AI28" i="18"/>
  <c r="AH28" i="18" s="1"/>
  <c r="AI217" i="18"/>
  <c r="AH217" i="18" s="1"/>
  <c r="AI126" i="18"/>
  <c r="AH126" i="18" s="1"/>
  <c r="AI173" i="18"/>
  <c r="AH173" i="18" s="1"/>
  <c r="AI226" i="18"/>
  <c r="AH226" i="18" s="1"/>
  <c r="AI87" i="18"/>
  <c r="AH87" i="18" s="1"/>
  <c r="AI83" i="18"/>
  <c r="AH83" i="18" s="1"/>
  <c r="AI22" i="18"/>
  <c r="AH22" i="18" s="1"/>
  <c r="AI360" i="18"/>
  <c r="AH360" i="18" s="1"/>
  <c r="AI363" i="18"/>
  <c r="AH363" i="18" s="1"/>
  <c r="AI329" i="18"/>
  <c r="AH329" i="18" s="1"/>
  <c r="AI146" i="18"/>
  <c r="AH146" i="18" s="1"/>
  <c r="AI199" i="18"/>
  <c r="AH199" i="18" s="1"/>
  <c r="AI182" i="18"/>
  <c r="AH182" i="18" s="1"/>
  <c r="AI257" i="18"/>
  <c r="AH257" i="18" s="1"/>
  <c r="AI181" i="18"/>
  <c r="AH181" i="18" s="1"/>
  <c r="AI180" i="18"/>
  <c r="AH180" i="18" s="1"/>
  <c r="AI246" i="18"/>
  <c r="AH246" i="18" s="1"/>
  <c r="AI362" i="18"/>
  <c r="AH362" i="18" s="1"/>
  <c r="AI143" i="18"/>
  <c r="AH143" i="18" s="1"/>
  <c r="AI250" i="18"/>
  <c r="AH250" i="18" s="1"/>
  <c r="AI260" i="18"/>
  <c r="AH260" i="18" s="1"/>
  <c r="AI272" i="18"/>
  <c r="AH272" i="18" s="1"/>
  <c r="AI375" i="18"/>
  <c r="AH375" i="18" s="1"/>
  <c r="AI340" i="18"/>
  <c r="AH340" i="18" s="1"/>
  <c r="AI44" i="18"/>
  <c r="AH44" i="18" s="1"/>
  <c r="AI24" i="18"/>
  <c r="AH24" i="18" s="1"/>
  <c r="AI159" i="18"/>
  <c r="AH159" i="18" s="1"/>
  <c r="AI372" i="18"/>
  <c r="AH372" i="18" s="1"/>
  <c r="AI142" i="18"/>
  <c r="AH142" i="18" s="1"/>
  <c r="AI338" i="18"/>
  <c r="AH338" i="18" s="1"/>
  <c r="AI76" i="18"/>
  <c r="AH76" i="18" s="1"/>
  <c r="AI84" i="18"/>
  <c r="AH84" i="18" s="1"/>
  <c r="AI306" i="18"/>
  <c r="AH306" i="18" s="1"/>
  <c r="AI336" i="18"/>
  <c r="AH336" i="18" s="1"/>
  <c r="AI70" i="18"/>
  <c r="AH70" i="18" s="1"/>
  <c r="AI62" i="18"/>
  <c r="AH62" i="18" s="1"/>
  <c r="AI236" i="18"/>
  <c r="AH236" i="18" s="1"/>
  <c r="AI31" i="18"/>
  <c r="AH31" i="18" s="1"/>
  <c r="AI36" i="18"/>
  <c r="AH36" i="18" s="1"/>
  <c r="AI35" i="18"/>
  <c r="AH35" i="18" s="1"/>
  <c r="AI253" i="18"/>
  <c r="AH253" i="18" s="1"/>
  <c r="AI304" i="18"/>
  <c r="AH304" i="18" s="1"/>
  <c r="AI137" i="18"/>
  <c r="AH137" i="18" s="1"/>
  <c r="AI93" i="18"/>
  <c r="AH93" i="18" s="1"/>
  <c r="AI184" i="18"/>
  <c r="AH184" i="18" s="1"/>
  <c r="AI239" i="18"/>
  <c r="AH239" i="18" s="1"/>
  <c r="B380" i="6"/>
  <c r="BA380" i="6" s="1"/>
  <c r="H380" i="20"/>
  <c r="J383" i="15"/>
  <c r="J382" i="15"/>
  <c r="J381" i="15"/>
  <c r="K7" i="7"/>
  <c r="B7" i="6"/>
  <c r="AD302" i="18"/>
  <c r="AD121" i="18"/>
  <c r="AD216" i="18"/>
  <c r="AD66" i="18"/>
  <c r="AD117" i="18"/>
  <c r="AD71" i="18"/>
  <c r="AD309" i="18"/>
  <c r="AD101" i="18"/>
  <c r="AD140" i="18"/>
  <c r="AD90" i="18"/>
  <c r="AD179" i="18"/>
  <c r="AD263" i="18"/>
  <c r="AD65" i="18"/>
  <c r="AD259" i="18"/>
  <c r="AD268" i="18"/>
  <c r="AD132" i="18"/>
  <c r="AD67" i="18"/>
  <c r="AD198" i="18"/>
  <c r="AD261" i="18"/>
  <c r="AD327" i="18"/>
  <c r="AD234" i="18"/>
  <c r="AD303" i="18"/>
  <c r="AD350" i="18"/>
  <c r="AD48" i="18"/>
  <c r="AD224" i="18"/>
  <c r="AD258" i="18"/>
  <c r="AD305" i="18"/>
  <c r="AD174" i="18"/>
  <c r="AD266" i="18"/>
  <c r="AD359" i="18"/>
  <c r="I257" i="17"/>
  <c r="J257" i="17"/>
  <c r="J222" i="17"/>
  <c r="I222" i="17"/>
  <c r="I55" i="17"/>
  <c r="J55" i="17"/>
  <c r="I378" i="17"/>
  <c r="J378" i="17"/>
  <c r="J90" i="17"/>
  <c r="I90" i="17"/>
  <c r="J275" i="17"/>
  <c r="I275" i="17"/>
  <c r="J223" i="17"/>
  <c r="I223" i="17"/>
  <c r="I57" i="17"/>
  <c r="J57" i="17"/>
  <c r="I73" i="17"/>
  <c r="J73" i="17"/>
  <c r="I101" i="17"/>
  <c r="J101" i="17"/>
  <c r="I25" i="17"/>
  <c r="J25" i="17"/>
  <c r="I315" i="17"/>
  <c r="J315" i="17"/>
  <c r="J64" i="17"/>
  <c r="I64" i="17"/>
  <c r="I290" i="17"/>
  <c r="J290" i="17"/>
  <c r="J279" i="17"/>
  <c r="I279" i="17"/>
  <c r="I377" i="17"/>
  <c r="J377" i="17"/>
  <c r="J236" i="17"/>
  <c r="I236" i="17"/>
  <c r="C64" i="19"/>
  <c r="I228" i="17"/>
  <c r="J228" i="17"/>
  <c r="AA74" i="17"/>
  <c r="Z74" i="17" s="1"/>
  <c r="Y74" i="17" s="1"/>
  <c r="G74" i="17"/>
  <c r="BZ74" i="6" s="1"/>
  <c r="H74" i="17"/>
  <c r="I217" i="17"/>
  <c r="J217" i="17"/>
  <c r="J45" i="17"/>
  <c r="I45" i="17"/>
  <c r="J353" i="17"/>
  <c r="I353" i="17"/>
  <c r="J125" i="17"/>
  <c r="I125" i="17"/>
  <c r="J50" i="17"/>
  <c r="I50" i="17"/>
  <c r="I207" i="17"/>
  <c r="J207" i="17"/>
  <c r="J355" i="17"/>
  <c r="I355" i="17"/>
  <c r="J219" i="17"/>
  <c r="I219" i="17"/>
  <c r="J115" i="17"/>
  <c r="I115" i="17"/>
  <c r="J189" i="17"/>
  <c r="I189" i="17"/>
  <c r="J158" i="17"/>
  <c r="I158" i="17"/>
  <c r="J99" i="17"/>
  <c r="I99" i="17"/>
  <c r="I32" i="17"/>
  <c r="J32" i="17"/>
  <c r="I338" i="17"/>
  <c r="J338" i="17"/>
  <c r="J41" i="17"/>
  <c r="I41" i="17"/>
  <c r="J193" i="17"/>
  <c r="I193" i="17"/>
  <c r="I37" i="17"/>
  <c r="J37" i="17"/>
  <c r="AK10" i="16"/>
  <c r="AK12" i="16" s="1"/>
  <c r="AK13" i="16" s="1"/>
  <c r="G15" i="16"/>
  <c r="BY15" i="6" s="1"/>
  <c r="F383" i="16"/>
  <c r="F381" i="16"/>
  <c r="AM10" i="16"/>
  <c r="F9" i="16"/>
  <c r="F382" i="16"/>
  <c r="H15" i="16"/>
  <c r="J110" i="17"/>
  <c r="I110" i="17"/>
  <c r="J150" i="17"/>
  <c r="I150" i="17"/>
  <c r="I373" i="17"/>
  <c r="J373" i="17"/>
  <c r="J51" i="17"/>
  <c r="I51" i="17"/>
  <c r="J367" i="17"/>
  <c r="I367" i="17"/>
  <c r="AA210" i="17"/>
  <c r="Z210" i="17" s="1"/>
  <c r="Y210" i="17" s="1"/>
  <c r="G210" i="17"/>
  <c r="BZ210" i="6" s="1"/>
  <c r="H210" i="17"/>
  <c r="H88" i="17"/>
  <c r="AA88" i="17"/>
  <c r="Z88" i="17" s="1"/>
  <c r="Y88" i="17" s="1"/>
  <c r="G88" i="17"/>
  <c r="BZ88" i="6" s="1"/>
  <c r="J247" i="17"/>
  <c r="I247" i="17"/>
  <c r="J61" i="17"/>
  <c r="I61" i="17"/>
  <c r="J66" i="17"/>
  <c r="I66" i="17"/>
  <c r="I177" i="17"/>
  <c r="J177" i="17"/>
  <c r="J87" i="17"/>
  <c r="I87" i="17"/>
  <c r="J167" i="17"/>
  <c r="I167" i="17"/>
  <c r="J240" i="17"/>
  <c r="I240" i="17"/>
  <c r="I374" i="17"/>
  <c r="J374" i="17"/>
  <c r="J144" i="17"/>
  <c r="I144" i="17"/>
  <c r="J173" i="17"/>
  <c r="I173" i="17"/>
  <c r="AA241" i="17"/>
  <c r="Z241" i="17" s="1"/>
  <c r="Y241" i="17" s="1"/>
  <c r="G241" i="17"/>
  <c r="BZ241" i="6" s="1"/>
  <c r="H241" i="17"/>
  <c r="I201" i="17"/>
  <c r="J201" i="17"/>
  <c r="U345" i="18"/>
  <c r="T345" i="18" s="1"/>
  <c r="U273" i="18"/>
  <c r="T273" i="18" s="1"/>
  <c r="U79" i="18"/>
  <c r="T79" i="18" s="1"/>
  <c r="U83" i="18"/>
  <c r="T83" i="18" s="1"/>
  <c r="U312" i="18"/>
  <c r="T312" i="18" s="1"/>
  <c r="U182" i="18"/>
  <c r="T182" i="18" s="1"/>
  <c r="U155" i="18"/>
  <c r="T155" i="18" s="1"/>
  <c r="U282" i="18"/>
  <c r="T282" i="18" s="1"/>
  <c r="U332" i="18"/>
  <c r="T332" i="18" s="1"/>
  <c r="U343" i="18"/>
  <c r="T343" i="18" s="1"/>
  <c r="U266" i="18"/>
  <c r="T266" i="18" s="1"/>
  <c r="U215" i="18"/>
  <c r="T215" i="18" s="1"/>
  <c r="U232" i="18"/>
  <c r="T232" i="18" s="1"/>
  <c r="U15" i="18"/>
  <c r="U219" i="18"/>
  <c r="T219" i="18" s="1"/>
  <c r="U105" i="18"/>
  <c r="T105" i="18" s="1"/>
  <c r="U203" i="18"/>
  <c r="T203" i="18" s="1"/>
  <c r="U335" i="18"/>
  <c r="T335" i="18" s="1"/>
  <c r="U187" i="18"/>
  <c r="T187" i="18" s="1"/>
  <c r="U62" i="18"/>
  <c r="T62" i="18" s="1"/>
  <c r="U41" i="18"/>
  <c r="T41" i="18" s="1"/>
  <c r="U26" i="18"/>
  <c r="T26" i="18" s="1"/>
  <c r="U119" i="18"/>
  <c r="T119" i="18" s="1"/>
  <c r="U358" i="18"/>
  <c r="T358" i="18" s="1"/>
  <c r="U313" i="18"/>
  <c r="T313" i="18" s="1"/>
  <c r="U16" i="18"/>
  <c r="T16" i="18" s="1"/>
  <c r="U35" i="18"/>
  <c r="T35" i="18" s="1"/>
  <c r="U154" i="18"/>
  <c r="T154" i="18" s="1"/>
  <c r="U23" i="18"/>
  <c r="T23" i="18" s="1"/>
  <c r="U136" i="18"/>
  <c r="T136" i="18" s="1"/>
  <c r="U354" i="18"/>
  <c r="T354" i="18" s="1"/>
  <c r="U318" i="18"/>
  <c r="T318" i="18" s="1"/>
  <c r="U50" i="18"/>
  <c r="T50" i="18" s="1"/>
  <c r="U21" i="18"/>
  <c r="T21" i="18" s="1"/>
  <c r="U172" i="18"/>
  <c r="T172" i="18" s="1"/>
  <c r="U202" i="18"/>
  <c r="T202" i="18" s="1"/>
  <c r="U368" i="18"/>
  <c r="T368" i="18" s="1"/>
  <c r="U114" i="18"/>
  <c r="T114" i="18" s="1"/>
  <c r="U220" i="18"/>
  <c r="T220" i="18" s="1"/>
  <c r="U253" i="18"/>
  <c r="T253" i="18" s="1"/>
  <c r="U303" i="18"/>
  <c r="T303" i="18" s="1"/>
  <c r="U231" i="18"/>
  <c r="T231" i="18" s="1"/>
  <c r="U100" i="18"/>
  <c r="T100" i="18" s="1"/>
  <c r="U103" i="18"/>
  <c r="T103" i="18" s="1"/>
  <c r="U47" i="18"/>
  <c r="T47" i="18" s="1"/>
  <c r="U125" i="18"/>
  <c r="T125" i="18" s="1"/>
  <c r="U92" i="18"/>
  <c r="T92" i="18" s="1"/>
  <c r="U329" i="18"/>
  <c r="T329" i="18" s="1"/>
  <c r="U208" i="18"/>
  <c r="T208" i="18" s="1"/>
  <c r="U74" i="18"/>
  <c r="T74" i="18" s="1"/>
  <c r="U44" i="18"/>
  <c r="T44" i="18" s="1"/>
  <c r="U213" i="18"/>
  <c r="T213" i="18" s="1"/>
  <c r="U64" i="18"/>
  <c r="T64" i="18" s="1"/>
  <c r="U338" i="18"/>
  <c r="T338" i="18" s="1"/>
  <c r="U221" i="18"/>
  <c r="T221" i="18" s="1"/>
  <c r="U363" i="18"/>
  <c r="T363" i="18" s="1"/>
  <c r="U131" i="18"/>
  <c r="T131" i="18" s="1"/>
  <c r="U198" i="18"/>
  <c r="T198" i="18" s="1"/>
  <c r="U206" i="18"/>
  <c r="T206" i="18" s="1"/>
  <c r="U356" i="18"/>
  <c r="T356" i="18" s="1"/>
  <c r="U178" i="18"/>
  <c r="T178" i="18" s="1"/>
  <c r="U85" i="18"/>
  <c r="T85" i="18" s="1"/>
  <c r="U121" i="18"/>
  <c r="T121" i="18" s="1"/>
  <c r="U28" i="18"/>
  <c r="T28" i="18" s="1"/>
  <c r="U248" i="18"/>
  <c r="T248" i="18" s="1"/>
  <c r="U192" i="18"/>
  <c r="T192" i="18" s="1"/>
  <c r="U233" i="18"/>
  <c r="T233" i="18" s="1"/>
  <c r="U141" i="18"/>
  <c r="T141" i="18" s="1"/>
  <c r="U146" i="18"/>
  <c r="T146" i="18" s="1"/>
  <c r="U252" i="18"/>
  <c r="T252" i="18" s="1"/>
  <c r="U285" i="18"/>
  <c r="T285" i="18" s="1"/>
  <c r="U367" i="18"/>
  <c r="T367" i="18" s="1"/>
  <c r="U263" i="18"/>
  <c r="T263" i="18" s="1"/>
  <c r="U196" i="18"/>
  <c r="T196" i="18" s="1"/>
  <c r="U333" i="18"/>
  <c r="T333" i="18" s="1"/>
  <c r="U183" i="18"/>
  <c r="T183" i="18" s="1"/>
  <c r="U34" i="18"/>
  <c r="T34" i="18" s="1"/>
  <c r="U262" i="18"/>
  <c r="T262" i="18" s="1"/>
  <c r="U240" i="18"/>
  <c r="T240" i="18" s="1"/>
  <c r="U323" i="18"/>
  <c r="T323" i="18" s="1"/>
  <c r="U280" i="18"/>
  <c r="T280" i="18" s="1"/>
  <c r="U46" i="18"/>
  <c r="T46" i="18" s="1"/>
  <c r="U60" i="18"/>
  <c r="T60" i="18" s="1"/>
  <c r="U32" i="18"/>
  <c r="T32" i="18" s="1"/>
  <c r="U153" i="18"/>
  <c r="T153" i="18" s="1"/>
  <c r="U184" i="18"/>
  <c r="T184" i="18" s="1"/>
  <c r="U258" i="18"/>
  <c r="T258" i="18" s="1"/>
  <c r="U304" i="18"/>
  <c r="T304" i="18" s="1"/>
  <c r="U267" i="18"/>
  <c r="T267" i="18" s="1"/>
  <c r="U284" i="18"/>
  <c r="T284" i="18" s="1"/>
  <c r="U249" i="18"/>
  <c r="T249" i="18" s="1"/>
  <c r="U364" i="18"/>
  <c r="T364" i="18" s="1"/>
  <c r="U327" i="18"/>
  <c r="T327" i="18" s="1"/>
  <c r="U330" i="18"/>
  <c r="T330" i="18" s="1"/>
  <c r="U179" i="18"/>
  <c r="T179" i="18" s="1"/>
  <c r="U251" i="18"/>
  <c r="T251" i="18" s="1"/>
  <c r="U52" i="18"/>
  <c r="T52" i="18" s="1"/>
  <c r="U306" i="18"/>
  <c r="T306" i="18" s="1"/>
  <c r="U78" i="18"/>
  <c r="T78" i="18" s="1"/>
  <c r="U348" i="18"/>
  <c r="T348" i="18" s="1"/>
  <c r="U166" i="18"/>
  <c r="T166" i="18" s="1"/>
  <c r="U48" i="18"/>
  <c r="T48" i="18" s="1"/>
  <c r="U308" i="18"/>
  <c r="T308" i="18" s="1"/>
  <c r="U205" i="18"/>
  <c r="T205" i="18" s="1"/>
  <c r="U107" i="18"/>
  <c r="T107" i="18" s="1"/>
  <c r="U181" i="18"/>
  <c r="T181" i="18" s="1"/>
  <c r="U93" i="18"/>
  <c r="T93" i="18" s="1"/>
  <c r="U228" i="18"/>
  <c r="T228" i="18" s="1"/>
  <c r="U177" i="18"/>
  <c r="T177" i="18" s="1"/>
  <c r="U230" i="18"/>
  <c r="T230" i="18" s="1"/>
  <c r="U68" i="18"/>
  <c r="T68" i="18" s="1"/>
  <c r="U341" i="18"/>
  <c r="T341" i="18" s="1"/>
  <c r="U222" i="18"/>
  <c r="T222" i="18" s="1"/>
  <c r="U281" i="18"/>
  <c r="T281" i="18" s="1"/>
  <c r="U331" i="18"/>
  <c r="T331" i="18" s="1"/>
  <c r="U290" i="18"/>
  <c r="T290" i="18" s="1"/>
  <c r="U156" i="18"/>
  <c r="T156" i="18" s="1"/>
  <c r="U56" i="18"/>
  <c r="T56" i="18" s="1"/>
  <c r="U133" i="18"/>
  <c r="T133" i="18" s="1"/>
  <c r="U374" i="18"/>
  <c r="T374" i="18" s="1"/>
  <c r="U218" i="18"/>
  <c r="T218" i="18" s="1"/>
  <c r="U200" i="18"/>
  <c r="T200" i="18" s="1"/>
  <c r="U165" i="18"/>
  <c r="T165" i="18" s="1"/>
  <c r="U321" i="18"/>
  <c r="T321" i="18" s="1"/>
  <c r="U201" i="18"/>
  <c r="T201" i="18" s="1"/>
  <c r="U287" i="18"/>
  <c r="T287" i="18" s="1"/>
  <c r="U49" i="18"/>
  <c r="T49" i="18" s="1"/>
  <c r="U37" i="18"/>
  <c r="T37" i="18" s="1"/>
  <c r="U360" i="18"/>
  <c r="T360" i="18" s="1"/>
  <c r="U54" i="18"/>
  <c r="T54" i="18" s="1"/>
  <c r="U84" i="18"/>
  <c r="T84" i="18" s="1"/>
  <c r="U207" i="18"/>
  <c r="T207" i="18" s="1"/>
  <c r="U31" i="18"/>
  <c r="T31" i="18" s="1"/>
  <c r="U239" i="18"/>
  <c r="T239" i="18" s="1"/>
  <c r="U339" i="18"/>
  <c r="T339" i="18" s="1"/>
  <c r="U128" i="18"/>
  <c r="T128" i="18" s="1"/>
  <c r="U120" i="18"/>
  <c r="T120" i="18" s="1"/>
  <c r="U277" i="18"/>
  <c r="T277" i="18" s="1"/>
  <c r="U227" i="18"/>
  <c r="T227" i="18" s="1"/>
  <c r="U88" i="18"/>
  <c r="T88" i="18" s="1"/>
  <c r="U311" i="18"/>
  <c r="T311" i="18" s="1"/>
  <c r="U162" i="18"/>
  <c r="T162" i="18" s="1"/>
  <c r="U294" i="18"/>
  <c r="T294" i="18" s="1"/>
  <c r="U288" i="18"/>
  <c r="T288" i="18" s="1"/>
  <c r="U25" i="18"/>
  <c r="T25" i="18" s="1"/>
  <c r="U75" i="18"/>
  <c r="T75" i="18" s="1"/>
  <c r="U174" i="18"/>
  <c r="T174" i="18" s="1"/>
  <c r="U188" i="18"/>
  <c r="T188" i="18" s="1"/>
  <c r="U96" i="18"/>
  <c r="T96" i="18" s="1"/>
  <c r="U217" i="18"/>
  <c r="T217" i="18" s="1"/>
  <c r="U373" i="18"/>
  <c r="T373" i="18" s="1"/>
  <c r="U176" i="18"/>
  <c r="T176" i="18" s="1"/>
  <c r="U77" i="18"/>
  <c r="T77" i="18" s="1"/>
  <c r="U29" i="18"/>
  <c r="T29" i="18" s="1"/>
  <c r="U361" i="18"/>
  <c r="T361" i="18" s="1"/>
  <c r="U209" i="18"/>
  <c r="T209" i="18" s="1"/>
  <c r="U302" i="18"/>
  <c r="T302" i="18" s="1"/>
  <c r="U326" i="18"/>
  <c r="T326" i="18" s="1"/>
  <c r="U185" i="18"/>
  <c r="T185" i="18" s="1"/>
  <c r="U130" i="18"/>
  <c r="T130" i="18" s="1"/>
  <c r="U211" i="18"/>
  <c r="T211" i="18" s="1"/>
  <c r="U91" i="18"/>
  <c r="T91" i="18" s="1"/>
  <c r="U139" i="18"/>
  <c r="T139" i="18" s="1"/>
  <c r="U161" i="18"/>
  <c r="T161" i="18" s="1"/>
  <c r="U86" i="18"/>
  <c r="T86" i="18" s="1"/>
  <c r="U99" i="18"/>
  <c r="T99" i="18" s="1"/>
  <c r="U309" i="18"/>
  <c r="T309" i="18" s="1"/>
  <c r="U247" i="18"/>
  <c r="T247" i="18" s="1"/>
  <c r="U118" i="18"/>
  <c r="T118" i="18" s="1"/>
  <c r="U18" i="18"/>
  <c r="T18" i="18" s="1"/>
  <c r="U101" i="18"/>
  <c r="T101" i="18" s="1"/>
  <c r="U123" i="18"/>
  <c r="T123" i="18" s="1"/>
  <c r="U283" i="18"/>
  <c r="T283" i="18" s="1"/>
  <c r="U111" i="18"/>
  <c r="T111" i="18" s="1"/>
  <c r="U142" i="18"/>
  <c r="T142" i="18" s="1"/>
  <c r="U116" i="18"/>
  <c r="T116" i="18" s="1"/>
  <c r="U250" i="18"/>
  <c r="T250" i="18" s="1"/>
  <c r="U159" i="18"/>
  <c r="T159" i="18" s="1"/>
  <c r="U243" i="18"/>
  <c r="T243" i="18" s="1"/>
  <c r="U157" i="18"/>
  <c r="T157" i="18" s="1"/>
  <c r="U70" i="18"/>
  <c r="T70" i="18" s="1"/>
  <c r="U148" i="18"/>
  <c r="T148" i="18" s="1"/>
  <c r="AD122" i="18"/>
  <c r="AD161" i="18"/>
  <c r="AD311" i="18"/>
  <c r="AD21" i="18"/>
  <c r="AD190" i="18"/>
  <c r="AD243" i="18"/>
  <c r="I316" i="17"/>
  <c r="J316" i="17"/>
  <c r="I24" i="17"/>
  <c r="J24" i="17"/>
  <c r="I271" i="17"/>
  <c r="J271" i="17"/>
  <c r="I215" i="17"/>
  <c r="J215" i="17"/>
  <c r="I281" i="17"/>
  <c r="J281" i="17"/>
  <c r="J170" i="17"/>
  <c r="I170" i="17"/>
  <c r="J329" i="17"/>
  <c r="I329" i="17"/>
  <c r="J100" i="17"/>
  <c r="I100" i="17"/>
  <c r="I111" i="17"/>
  <c r="J111" i="17"/>
  <c r="I216" i="17"/>
  <c r="J216" i="17"/>
  <c r="F196" i="17"/>
  <c r="J124" i="17"/>
  <c r="I124" i="17"/>
  <c r="J235" i="17"/>
  <c r="I235" i="17"/>
  <c r="J35" i="17"/>
  <c r="I35" i="17"/>
  <c r="I317" i="17"/>
  <c r="J317" i="17"/>
  <c r="I191" i="17"/>
  <c r="J191" i="17"/>
  <c r="I138" i="17"/>
  <c r="J138" i="17"/>
  <c r="J331" i="17"/>
  <c r="I331" i="17"/>
  <c r="I221" i="17"/>
  <c r="J221" i="17"/>
  <c r="I376" i="17"/>
  <c r="J376" i="17"/>
  <c r="I72" i="17"/>
  <c r="J72" i="17"/>
  <c r="J67" i="17"/>
  <c r="I67" i="17"/>
  <c r="I194" i="17"/>
  <c r="J194" i="17"/>
  <c r="I75" i="17"/>
  <c r="J75" i="17"/>
  <c r="I278" i="17"/>
  <c r="J278" i="17"/>
  <c r="J286" i="17"/>
  <c r="I286" i="17"/>
  <c r="J277" i="17"/>
  <c r="I277" i="17"/>
  <c r="J270" i="17"/>
  <c r="I270" i="17"/>
  <c r="J38" i="17"/>
  <c r="I38" i="17"/>
  <c r="I340" i="17"/>
  <c r="J340" i="17"/>
  <c r="I93" i="17"/>
  <c r="J93" i="17"/>
  <c r="I369" i="17"/>
  <c r="J369" i="17"/>
  <c r="J245" i="17"/>
  <c r="I245" i="17"/>
  <c r="J102" i="17"/>
  <c r="I102" i="17"/>
  <c r="I242" i="17"/>
  <c r="J242" i="17"/>
  <c r="H272" i="17"/>
  <c r="G272" i="17"/>
  <c r="BZ272" i="6" s="1"/>
  <c r="AA272" i="17"/>
  <c r="Z272" i="17" s="1"/>
  <c r="Y272" i="17" s="1"/>
  <c r="I282" i="17"/>
  <c r="J282" i="17"/>
  <c r="J304" i="17"/>
  <c r="I304" i="17"/>
  <c r="J341" i="17"/>
  <c r="I341" i="17"/>
  <c r="J81" i="17"/>
  <c r="I81" i="17"/>
  <c r="J22" i="17"/>
  <c r="I22" i="17"/>
  <c r="I213" i="17"/>
  <c r="J213" i="17"/>
  <c r="I244" i="17"/>
  <c r="J244" i="17"/>
  <c r="J321" i="17"/>
  <c r="I321" i="17"/>
  <c r="I268" i="17"/>
  <c r="J268" i="17"/>
  <c r="I251" i="17"/>
  <c r="J251" i="17"/>
  <c r="I335" i="17"/>
  <c r="J335" i="17"/>
  <c r="I204" i="17"/>
  <c r="J204" i="17"/>
  <c r="I118" i="17"/>
  <c r="J118" i="17"/>
  <c r="J82" i="17"/>
  <c r="I82" i="17"/>
  <c r="I252" i="17"/>
  <c r="J252" i="17"/>
  <c r="I48" i="17"/>
  <c r="J48" i="17"/>
  <c r="J371" i="17"/>
  <c r="I371" i="17"/>
  <c r="J85" i="17"/>
  <c r="I85" i="17"/>
  <c r="E64" i="19"/>
  <c r="J226" i="17"/>
  <c r="I226" i="17"/>
  <c r="J285" i="17"/>
  <c r="I285" i="17"/>
  <c r="J345" i="17"/>
  <c r="I345" i="17"/>
  <c r="AD308" i="18"/>
  <c r="AD326" i="18"/>
  <c r="I155" i="17"/>
  <c r="J155" i="17"/>
  <c r="J63" i="17"/>
  <c r="I63" i="17"/>
  <c r="H288" i="17"/>
  <c r="AA288" i="17"/>
  <c r="Z288" i="17" s="1"/>
  <c r="Y288" i="17" s="1"/>
  <c r="G288" i="17"/>
  <c r="BZ288" i="6" s="1"/>
  <c r="J159" i="17"/>
  <c r="I159" i="17"/>
  <c r="I313" i="17"/>
  <c r="J313" i="17"/>
  <c r="J120" i="17"/>
  <c r="I120" i="17"/>
  <c r="J320" i="17"/>
  <c r="I320" i="17"/>
  <c r="J161" i="17"/>
  <c r="I161" i="17"/>
  <c r="I200" i="17"/>
  <c r="J200" i="17"/>
  <c r="I131" i="17"/>
  <c r="J131" i="17"/>
  <c r="AA180" i="17"/>
  <c r="Z180" i="17" s="1"/>
  <c r="Y180" i="17" s="1"/>
  <c r="G180" i="17"/>
  <c r="BZ180" i="6" s="1"/>
  <c r="H180" i="17"/>
  <c r="I325" i="17"/>
  <c r="J325" i="17"/>
  <c r="I305" i="17"/>
  <c r="J305" i="17"/>
  <c r="J147" i="17"/>
  <c r="I147" i="17"/>
  <c r="I152" i="17"/>
  <c r="J152" i="17"/>
  <c r="J175" i="17"/>
  <c r="I175" i="17"/>
  <c r="J352" i="17"/>
  <c r="I352" i="17"/>
  <c r="J136" i="17"/>
  <c r="I136" i="17"/>
  <c r="J42" i="17"/>
  <c r="I42" i="17"/>
  <c r="J297" i="17"/>
  <c r="I297" i="17"/>
  <c r="J265" i="17"/>
  <c r="I265" i="17"/>
  <c r="I357" i="17"/>
  <c r="J357" i="17"/>
  <c r="J39" i="17"/>
  <c r="I39" i="17"/>
  <c r="J95" i="17"/>
  <c r="I95" i="17"/>
  <c r="I68" i="17"/>
  <c r="J68" i="17"/>
  <c r="F349" i="17"/>
  <c r="J375" i="17"/>
  <c r="I375" i="17"/>
  <c r="J168" i="17"/>
  <c r="I168" i="17"/>
  <c r="I205" i="17"/>
  <c r="J205" i="17"/>
  <c r="J70" i="17"/>
  <c r="I70" i="17"/>
  <c r="I360" i="17"/>
  <c r="J360" i="17"/>
  <c r="J64" i="19"/>
  <c r="J43" i="17"/>
  <c r="I43" i="17"/>
  <c r="F64" i="19"/>
  <c r="J314" i="17"/>
  <c r="I314" i="17"/>
  <c r="J130" i="17"/>
  <c r="I130" i="17"/>
  <c r="I322" i="17"/>
  <c r="J322" i="17"/>
  <c r="J248" i="17"/>
  <c r="I248" i="17"/>
  <c r="I230" i="17"/>
  <c r="J230" i="17"/>
  <c r="J134" i="17"/>
  <c r="I134" i="17"/>
  <c r="I126" i="17"/>
  <c r="J126" i="17"/>
  <c r="J91" i="17"/>
  <c r="I91" i="17"/>
  <c r="AA119" i="17"/>
  <c r="Z119" i="17" s="1"/>
  <c r="Y119" i="17" s="1"/>
  <c r="H119" i="17"/>
  <c r="G119" i="17"/>
  <c r="BZ119" i="6" s="1"/>
  <c r="J208" i="17"/>
  <c r="I208" i="17"/>
  <c r="I256" i="17"/>
  <c r="J256" i="17"/>
  <c r="I71" i="17"/>
  <c r="J71" i="17"/>
  <c r="H302" i="17"/>
  <c r="AA302" i="17"/>
  <c r="Z302" i="17" s="1"/>
  <c r="Y302" i="17" s="1"/>
  <c r="G302" i="17"/>
  <c r="BZ302" i="6" s="1"/>
  <c r="AA319" i="17"/>
  <c r="Z319" i="17" s="1"/>
  <c r="Y319" i="17" s="1"/>
  <c r="H319" i="17"/>
  <c r="G319" i="17"/>
  <c r="BZ319" i="6" s="1"/>
  <c r="J96" i="17"/>
  <c r="I96" i="17"/>
  <c r="I69" i="17"/>
  <c r="J69" i="17"/>
  <c r="AD206" i="18"/>
  <c r="AD276" i="18"/>
  <c r="AD269" i="18"/>
  <c r="AD215" i="18"/>
  <c r="AD290" i="18"/>
  <c r="AD245" i="18"/>
  <c r="AD37" i="18"/>
  <c r="AD220" i="18"/>
  <c r="AD191" i="18"/>
  <c r="AD102" i="18"/>
  <c r="AD73" i="18"/>
  <c r="AD275" i="18"/>
  <c r="AD371" i="18"/>
  <c r="AD291" i="18"/>
  <c r="AD52" i="18"/>
  <c r="AD366" i="18"/>
  <c r="AD56" i="18"/>
  <c r="W258" i="18"/>
  <c r="D258" i="18"/>
  <c r="E258" i="18" s="1"/>
  <c r="W135" i="18"/>
  <c r="D135" i="18"/>
  <c r="E135" i="18" s="1"/>
  <c r="W227" i="18"/>
  <c r="D227" i="18"/>
  <c r="E227" i="18" s="1"/>
  <c r="W60" i="18"/>
  <c r="D60" i="18"/>
  <c r="E60" i="18" s="1"/>
  <c r="W46" i="18"/>
  <c r="D46" i="18"/>
  <c r="E46" i="18" s="1"/>
  <c r="W241" i="18"/>
  <c r="D241" i="18"/>
  <c r="E241" i="18" s="1"/>
  <c r="D149" i="18"/>
  <c r="E149" i="18" s="1"/>
  <c r="W149" i="18"/>
  <c r="D210" i="18"/>
  <c r="E210" i="18" s="1"/>
  <c r="W210" i="18"/>
  <c r="Q10" i="20"/>
  <c r="AG15" i="7"/>
  <c r="Q303" i="20"/>
  <c r="Q327" i="20"/>
  <c r="Q127" i="20"/>
  <c r="Q335" i="20"/>
  <c r="Q123" i="20"/>
  <c r="Q262" i="20"/>
  <c r="Q72" i="20"/>
  <c r="Q257" i="20"/>
  <c r="Q61" i="20"/>
  <c r="Q276" i="20"/>
  <c r="Q64" i="20"/>
  <c r="Q26" i="20"/>
  <c r="Q150" i="20"/>
  <c r="Q277" i="20"/>
  <c r="Q197" i="20"/>
  <c r="Q366" i="20"/>
  <c r="Q31" i="20"/>
  <c r="Q178" i="20"/>
  <c r="Q344" i="20"/>
  <c r="Q345" i="20"/>
  <c r="Q128" i="20"/>
  <c r="Q124" i="20"/>
  <c r="Q186" i="20"/>
  <c r="Q347" i="20"/>
  <c r="Q159" i="20"/>
  <c r="Q315" i="20"/>
  <c r="Q282" i="20"/>
  <c r="Q357" i="20"/>
  <c r="Q307" i="20"/>
  <c r="Q77" i="20"/>
  <c r="Q35" i="20"/>
  <c r="Q310" i="20"/>
  <c r="Q171" i="20"/>
  <c r="Q332" i="20"/>
  <c r="Q121" i="20"/>
  <c r="Q21" i="20"/>
  <c r="Q248" i="20"/>
  <c r="Q98" i="20"/>
  <c r="Q108" i="20"/>
  <c r="Q249" i="20"/>
  <c r="Q311" i="20"/>
  <c r="Q258" i="20"/>
  <c r="Q135" i="20"/>
  <c r="Q346" i="20"/>
  <c r="Q147" i="20"/>
  <c r="Q267" i="20"/>
  <c r="Q270" i="20"/>
  <c r="Q56" i="20"/>
  <c r="Q42" i="20"/>
  <c r="Q134" i="20"/>
  <c r="Q22" i="20"/>
  <c r="Q183" i="20"/>
  <c r="Q306" i="20"/>
  <c r="Q340" i="20"/>
  <c r="Q339" i="20"/>
  <c r="Q227" i="20"/>
  <c r="Q300" i="20"/>
  <c r="Q89" i="20"/>
  <c r="Q53" i="20"/>
  <c r="Q216" i="20"/>
  <c r="Q241" i="20"/>
  <c r="Q172" i="20"/>
  <c r="Q355" i="20"/>
  <c r="Q283" i="20"/>
  <c r="Q67" i="20"/>
  <c r="Q278" i="20"/>
  <c r="Q139" i="20"/>
  <c r="Q365" i="20"/>
  <c r="Q364" i="20"/>
  <c r="Q137" i="20"/>
  <c r="Q302" i="20"/>
  <c r="Q211" i="20"/>
  <c r="Q95" i="20"/>
  <c r="Q264" i="20"/>
  <c r="Q43" i="20"/>
  <c r="Q36" i="20"/>
  <c r="Q218" i="20"/>
  <c r="Q76" i="20"/>
  <c r="Q228" i="20"/>
  <c r="Q130" i="20"/>
  <c r="Q116" i="20"/>
  <c r="Q122" i="20"/>
  <c r="Q343" i="20"/>
  <c r="Q359" i="20"/>
  <c r="Q247" i="20"/>
  <c r="Q148" i="20"/>
  <c r="Q217" i="20"/>
  <c r="Q212" i="20"/>
  <c r="Q102" i="20"/>
  <c r="Q99" i="20"/>
  <c r="Q268" i="20"/>
  <c r="Q39" i="20"/>
  <c r="Q44" i="20"/>
  <c r="Q222" i="20"/>
  <c r="Q66" i="20"/>
  <c r="Q213" i="20"/>
  <c r="Q126" i="20"/>
  <c r="Q152" i="20"/>
  <c r="Q305" i="20"/>
  <c r="Q271" i="20"/>
  <c r="Q155" i="20"/>
  <c r="Q299" i="20"/>
  <c r="Q294" i="20"/>
  <c r="Q87" i="20"/>
  <c r="Q51" i="20"/>
  <c r="Q210" i="20"/>
  <c r="D29" i="18"/>
  <c r="E29" i="18" s="1"/>
  <c r="W29" i="18"/>
  <c r="W272" i="18"/>
  <c r="D272" i="18"/>
  <c r="E272" i="18" s="1"/>
  <c r="Q214" i="20" l="1"/>
  <c r="Q75" i="20"/>
  <c r="Q333" i="20"/>
  <c r="Q169" i="20"/>
  <c r="Q336" i="20"/>
  <c r="Q296" i="20"/>
  <c r="Q85" i="20"/>
  <c r="Q250" i="20"/>
  <c r="Q57" i="20"/>
  <c r="Q292" i="20"/>
  <c r="Q97" i="20"/>
  <c r="Q45" i="20"/>
  <c r="Q224" i="20"/>
  <c r="Q225" i="20"/>
  <c r="Q90" i="20"/>
  <c r="Q104" i="20"/>
  <c r="Q30" i="20"/>
  <c r="Q246" i="20"/>
  <c r="Q18" i="20"/>
  <c r="Q107" i="20"/>
  <c r="Q195" i="20"/>
  <c r="Q349" i="20"/>
  <c r="Q362" i="20"/>
  <c r="Q153" i="20"/>
  <c r="Q318" i="20"/>
  <c r="Q275" i="20"/>
  <c r="Q111" i="20"/>
  <c r="Q280" i="20"/>
  <c r="Q27" i="20"/>
  <c r="Q68" i="20"/>
  <c r="Q234" i="20"/>
  <c r="Q16" i="20"/>
  <c r="Q260" i="20"/>
  <c r="Q60" i="20"/>
  <c r="Q34" i="20"/>
  <c r="Q158" i="20"/>
  <c r="Q289" i="20"/>
  <c r="Q322" i="20"/>
  <c r="Q354" i="20"/>
  <c r="Q199" i="20"/>
  <c r="Q281" i="20"/>
  <c r="Q110" i="20"/>
  <c r="Q350" i="20"/>
  <c r="Q115" i="20"/>
  <c r="Q284" i="20"/>
  <c r="Q23" i="20"/>
  <c r="Q73" i="20"/>
  <c r="Q238" i="20"/>
  <c r="Q69" i="20"/>
  <c r="Q114" i="20"/>
  <c r="Q190" i="20"/>
  <c r="Q120" i="20"/>
  <c r="Q273" i="20"/>
  <c r="Q206" i="20"/>
  <c r="Q187" i="20"/>
  <c r="Q378" i="20"/>
  <c r="Q326" i="20"/>
  <c r="Q119" i="20"/>
  <c r="Q17" i="20"/>
  <c r="Q242" i="20"/>
  <c r="Q52" i="20"/>
  <c r="Q272" i="20"/>
  <c r="Q243" i="20"/>
  <c r="Q145" i="20"/>
  <c r="Q373" i="20"/>
  <c r="Q65" i="20"/>
  <c r="Q82" i="20"/>
  <c r="Q200" i="20"/>
  <c r="Q112" i="20"/>
  <c r="Q265" i="20"/>
  <c r="Q154" i="20"/>
  <c r="Q207" i="20"/>
  <c r="Q337" i="20"/>
  <c r="Q338" i="20"/>
  <c r="Q165" i="20"/>
  <c r="Q330" i="20"/>
  <c r="Q323" i="20"/>
  <c r="Q146" i="20"/>
  <c r="Q96" i="20"/>
  <c r="Q38" i="20"/>
  <c r="Q325" i="20"/>
  <c r="Q173" i="20"/>
  <c r="Q166" i="20"/>
  <c r="Q93" i="20"/>
  <c r="Q304" i="20"/>
  <c r="Q352" i="20"/>
  <c r="Q177" i="20"/>
  <c r="Q341" i="20"/>
  <c r="Q50" i="20"/>
  <c r="Q202" i="20"/>
  <c r="Q142" i="20"/>
  <c r="Q144" i="20"/>
  <c r="Q297" i="20"/>
  <c r="Q255" i="20"/>
  <c r="Q191" i="20"/>
  <c r="Q353" i="20"/>
  <c r="Q370" i="20"/>
  <c r="Q149" i="20"/>
  <c r="Q314" i="20"/>
  <c r="Q259" i="20"/>
  <c r="Q253" i="20"/>
  <c r="Q160" i="20"/>
  <c r="Q287" i="20"/>
  <c r="Q361" i="20"/>
  <c r="Q141" i="20"/>
  <c r="Q46" i="20"/>
  <c r="Q125" i="20"/>
  <c r="Q377" i="20"/>
  <c r="Q342" i="20"/>
  <c r="Q192" i="20"/>
  <c r="Q285" i="20"/>
  <c r="Q92" i="20"/>
  <c r="Q237" i="20"/>
  <c r="Q78" i="20"/>
  <c r="Q176" i="20"/>
  <c r="Q329" i="20"/>
  <c r="Q319" i="20"/>
  <c r="Q175" i="20"/>
  <c r="Q369" i="20"/>
  <c r="Q356" i="20"/>
  <c r="Q133" i="20"/>
  <c r="Q298" i="20"/>
  <c r="Q170" i="20"/>
  <c r="Q317" i="20"/>
  <c r="Q193" i="20"/>
  <c r="Q374" i="20"/>
  <c r="Q320" i="20"/>
  <c r="Q109" i="20"/>
  <c r="Q162" i="20"/>
  <c r="Q240" i="20"/>
  <c r="Q29" i="20"/>
  <c r="Q113" i="20"/>
  <c r="Q308" i="20"/>
  <c r="Q49" i="20"/>
  <c r="Q32" i="20"/>
  <c r="AG332" i="18"/>
  <c r="AF332" i="18" s="1"/>
  <c r="AD332" i="18" s="1"/>
  <c r="AG19" i="18"/>
  <c r="AF19" i="18" s="1"/>
  <c r="AD19" i="18" s="1"/>
  <c r="AG349" i="18"/>
  <c r="AF349" i="18" s="1"/>
  <c r="AD349" i="18" s="1"/>
  <c r="AG285" i="18"/>
  <c r="AF285" i="18" s="1"/>
  <c r="AD285" i="18" s="1"/>
  <c r="AG315" i="18"/>
  <c r="AF315" i="18" s="1"/>
  <c r="AD315" i="18" s="1"/>
  <c r="AG119" i="18"/>
  <c r="AF119" i="18" s="1"/>
  <c r="AD119" i="18" s="1"/>
  <c r="AG251" i="18"/>
  <c r="AF251" i="18" s="1"/>
  <c r="AD251" i="18" s="1"/>
  <c r="AG154" i="18"/>
  <c r="AF154" i="18" s="1"/>
  <c r="AD154" i="18" s="1"/>
  <c r="AG16" i="18"/>
  <c r="AF16" i="18" s="1"/>
  <c r="AD16" i="18" s="1"/>
  <c r="AG237" i="18"/>
  <c r="AF237" i="18" s="1"/>
  <c r="AD237" i="18" s="1"/>
  <c r="AG43" i="18"/>
  <c r="AF43" i="18" s="1"/>
  <c r="AD43" i="18" s="1"/>
  <c r="AG115" i="18"/>
  <c r="AF115" i="18" s="1"/>
  <c r="AD115" i="18" s="1"/>
  <c r="AG352" i="18"/>
  <c r="AF352" i="18" s="1"/>
  <c r="AD352" i="18" s="1"/>
  <c r="AG197" i="18"/>
  <c r="AF197" i="18" s="1"/>
  <c r="AD197" i="18" s="1"/>
  <c r="AG278" i="18"/>
  <c r="AF278" i="18" s="1"/>
  <c r="AD278" i="18" s="1"/>
  <c r="AG127" i="18"/>
  <c r="AF127" i="18" s="1"/>
  <c r="AD127" i="18" s="1"/>
  <c r="AG298" i="18"/>
  <c r="AF298" i="18" s="1"/>
  <c r="AD298" i="18" s="1"/>
  <c r="AG377" i="18"/>
  <c r="AF377" i="18" s="1"/>
  <c r="AD377" i="18" s="1"/>
  <c r="AG193" i="18"/>
  <c r="AF193" i="18" s="1"/>
  <c r="AD193" i="18" s="1"/>
  <c r="AG280" i="18"/>
  <c r="AF280" i="18" s="1"/>
  <c r="AD280" i="18" s="1"/>
  <c r="AG167" i="18"/>
  <c r="AF167" i="18" s="1"/>
  <c r="AD167" i="18" s="1"/>
  <c r="AG128" i="18"/>
  <c r="AF128" i="18" s="1"/>
  <c r="AD128" i="18" s="1"/>
  <c r="AG32" i="18"/>
  <c r="AF32" i="18" s="1"/>
  <c r="AD32" i="18" s="1"/>
  <c r="AG109" i="18"/>
  <c r="AF109" i="18" s="1"/>
  <c r="AD109" i="18" s="1"/>
  <c r="AG325" i="18"/>
  <c r="AF325" i="18" s="1"/>
  <c r="AD325" i="18" s="1"/>
  <c r="AG317" i="18"/>
  <c r="AF317" i="18" s="1"/>
  <c r="AD317" i="18" s="1"/>
  <c r="AG192" i="18"/>
  <c r="AF192" i="18" s="1"/>
  <c r="AD192" i="18" s="1"/>
  <c r="AG247" i="18"/>
  <c r="AF247" i="18" s="1"/>
  <c r="AD247" i="18" s="1"/>
  <c r="AG293" i="18"/>
  <c r="AF293" i="18" s="1"/>
  <c r="AD293" i="18" s="1"/>
  <c r="AG196" i="18"/>
  <c r="AF196" i="18" s="1"/>
  <c r="AD196" i="18" s="1"/>
  <c r="AG267" i="18"/>
  <c r="AF267" i="18" s="1"/>
  <c r="AD267" i="18" s="1"/>
  <c r="AG162" i="18"/>
  <c r="AF162" i="18" s="1"/>
  <c r="AD162" i="18" s="1"/>
  <c r="AG233" i="18"/>
  <c r="AF233" i="18" s="1"/>
  <c r="AD233" i="18" s="1"/>
  <c r="Q20" i="20"/>
  <c r="Q256" i="20"/>
  <c r="Q106" i="20"/>
  <c r="Q129" i="20"/>
  <c r="Q324" i="20"/>
  <c r="Q41" i="20"/>
  <c r="Q266" i="20"/>
  <c r="Q101" i="20"/>
  <c r="Q251" i="20"/>
  <c r="Q312" i="20"/>
  <c r="Q143" i="20"/>
  <c r="Q368" i="20"/>
  <c r="Q363" i="20"/>
  <c r="Q185" i="20"/>
  <c r="Q263" i="20"/>
  <c r="Q301" i="20"/>
  <c r="Q156" i="20"/>
  <c r="Q19" i="20"/>
  <c r="Q58" i="20"/>
  <c r="Q118" i="20"/>
  <c r="Q293" i="20"/>
  <c r="Q189" i="20"/>
  <c r="Q376" i="20"/>
  <c r="Q205" i="20"/>
  <c r="Q261" i="20"/>
  <c r="Q182" i="20"/>
  <c r="Q63" i="20"/>
  <c r="Q48" i="20"/>
  <c r="Q360" i="20"/>
  <c r="Q367" i="20"/>
  <c r="Q181" i="20"/>
  <c r="Q279" i="20"/>
  <c r="Q309" i="20"/>
  <c r="Q164" i="20"/>
  <c r="Q86" i="20"/>
  <c r="Q233" i="20"/>
  <c r="Q80" i="20"/>
  <c r="Q220" i="20"/>
  <c r="Q179" i="20"/>
  <c r="Q235" i="20"/>
  <c r="Q71" i="20"/>
  <c r="Q274" i="20"/>
  <c r="Q151" i="20"/>
  <c r="Q295" i="20"/>
  <c r="Q70" i="20"/>
  <c r="Q88" i="20"/>
  <c r="Q24" i="20"/>
  <c r="Q254" i="20"/>
  <c r="Q198" i="20"/>
  <c r="Q131" i="20"/>
  <c r="Q231" i="20"/>
  <c r="Q167" i="20"/>
  <c r="Q290" i="20"/>
  <c r="Q372" i="20"/>
  <c r="Q313" i="20"/>
  <c r="Q140" i="20"/>
  <c r="Q209" i="20"/>
  <c r="Q232" i="20"/>
  <c r="Q37" i="20"/>
  <c r="Q105" i="20"/>
  <c r="Q316" i="20"/>
  <c r="Q203" i="20"/>
  <c r="Q371" i="20"/>
  <c r="Q219" i="20"/>
  <c r="Q375" i="20"/>
  <c r="Q180" i="20"/>
  <c r="Q174" i="20"/>
  <c r="Q196" i="20"/>
  <c r="Q59" i="20"/>
  <c r="Q79" i="20"/>
  <c r="Q286" i="20"/>
  <c r="Q331" i="20"/>
  <c r="Q163" i="20"/>
  <c r="Q348" i="20"/>
  <c r="Q103" i="20"/>
  <c r="Q226" i="20"/>
  <c r="Q288" i="20"/>
  <c r="Q161" i="20"/>
  <c r="Q25" i="20"/>
  <c r="Q117" i="20"/>
  <c r="Q328" i="20"/>
  <c r="Q358" i="20"/>
  <c r="Q201" i="20"/>
  <c r="Q269" i="20"/>
  <c r="Q221" i="20"/>
  <c r="Q223" i="20"/>
  <c r="Q157" i="20"/>
  <c r="Q136" i="20"/>
  <c r="Q230" i="20"/>
  <c r="Q91" i="20"/>
  <c r="Q351" i="20"/>
  <c r="Q215" i="20"/>
  <c r="Q132" i="20"/>
  <c r="Q194" i="20"/>
  <c r="Q236" i="20"/>
  <c r="Q33" i="20"/>
  <c r="Q81" i="20"/>
  <c r="Q208" i="20"/>
  <c r="Q239" i="20"/>
  <c r="Q40" i="20"/>
  <c r="Q74" i="20"/>
  <c r="Q334" i="20"/>
  <c r="Q138" i="20"/>
  <c r="Q379" i="20"/>
  <c r="Q12" i="22" s="1"/>
  <c r="Q188" i="20"/>
  <c r="AD356" i="18"/>
  <c r="AD320" i="18"/>
  <c r="AD74" i="18"/>
  <c r="AD103" i="18"/>
  <c r="AD18" i="18"/>
  <c r="AD88" i="18"/>
  <c r="AD240" i="18"/>
  <c r="AD255" i="18"/>
  <c r="AD55" i="18"/>
  <c r="AD346" i="18"/>
  <c r="AD153" i="18"/>
  <c r="AD238" i="18"/>
  <c r="AD144" i="18"/>
  <c r="H227" i="17"/>
  <c r="I227" i="17" s="1"/>
  <c r="I379" i="17"/>
  <c r="E12" i="19"/>
  <c r="AD210" i="18"/>
  <c r="AD292" i="18"/>
  <c r="AA174" i="17"/>
  <c r="Z174" i="17" s="1"/>
  <c r="Y174" i="17" s="1"/>
  <c r="AA227" i="17"/>
  <c r="Z227" i="17" s="1"/>
  <c r="Y227" i="17" s="1"/>
  <c r="H174" i="17"/>
  <c r="J174" i="17" s="1"/>
  <c r="Q321" i="20"/>
  <c r="AE11" i="20"/>
  <c r="Q47" i="20"/>
  <c r="Q229" i="20"/>
  <c r="D346" i="18"/>
  <c r="E346" i="18" s="1"/>
  <c r="F346" i="18" s="1"/>
  <c r="W346" i="18"/>
  <c r="I180" i="17"/>
  <c r="J180" i="17"/>
  <c r="J272" i="17"/>
  <c r="I272" i="17"/>
  <c r="S148" i="18"/>
  <c r="R148" i="18" s="1"/>
  <c r="P148" i="18" s="1"/>
  <c r="S157" i="18"/>
  <c r="R157" i="18" s="1"/>
  <c r="P157" i="18" s="1"/>
  <c r="S159" i="18"/>
  <c r="R159" i="18" s="1"/>
  <c r="P159" i="18" s="1"/>
  <c r="S116" i="18"/>
  <c r="R116" i="18" s="1"/>
  <c r="P116" i="18" s="1"/>
  <c r="S111" i="18"/>
  <c r="R111" i="18" s="1"/>
  <c r="P111" i="18" s="1"/>
  <c r="V111" i="18" s="1"/>
  <c r="D111" i="18" s="1"/>
  <c r="E111" i="18" s="1"/>
  <c r="F111" i="18" s="1"/>
  <c r="S123" i="18"/>
  <c r="R123" i="18" s="1"/>
  <c r="P123" i="18" s="1"/>
  <c r="S18" i="18"/>
  <c r="R18" i="18" s="1"/>
  <c r="P18" i="18" s="1"/>
  <c r="S247" i="18"/>
  <c r="R247" i="18" s="1"/>
  <c r="P247" i="18" s="1"/>
  <c r="S99" i="18"/>
  <c r="R99" i="18" s="1"/>
  <c r="P99" i="18" s="1"/>
  <c r="S161" i="18"/>
  <c r="R161" i="18" s="1"/>
  <c r="P161" i="18" s="1"/>
  <c r="S91" i="18"/>
  <c r="R91" i="18" s="1"/>
  <c r="P91" i="18" s="1"/>
  <c r="S130" i="18"/>
  <c r="R130" i="18" s="1"/>
  <c r="P130" i="18" s="1"/>
  <c r="V130" i="18" s="1"/>
  <c r="D130" i="18" s="1"/>
  <c r="E130" i="18" s="1"/>
  <c r="F130" i="18" s="1"/>
  <c r="S326" i="18"/>
  <c r="R326" i="18" s="1"/>
  <c r="P326" i="18" s="1"/>
  <c r="V326" i="18" s="1"/>
  <c r="S209" i="18"/>
  <c r="R209" i="18" s="1"/>
  <c r="P209" i="18" s="1"/>
  <c r="S29" i="18"/>
  <c r="R29" i="18" s="1"/>
  <c r="P29" i="18" s="1"/>
  <c r="S176" i="18"/>
  <c r="R176" i="18" s="1"/>
  <c r="P176" i="18" s="1"/>
  <c r="S217" i="18"/>
  <c r="R217" i="18" s="1"/>
  <c r="P217" i="18" s="1"/>
  <c r="S188" i="18"/>
  <c r="R188" i="18" s="1"/>
  <c r="P188" i="18" s="1"/>
  <c r="S75" i="18"/>
  <c r="R75" i="18" s="1"/>
  <c r="P75" i="18" s="1"/>
  <c r="V75" i="18" s="1"/>
  <c r="D75" i="18" s="1"/>
  <c r="E75" i="18" s="1"/>
  <c r="F75" i="18" s="1"/>
  <c r="S288" i="18"/>
  <c r="R288" i="18" s="1"/>
  <c r="P288" i="18" s="1"/>
  <c r="V288" i="18" s="1"/>
  <c r="S162" i="18"/>
  <c r="R162" i="18" s="1"/>
  <c r="P162" i="18" s="1"/>
  <c r="S88" i="18"/>
  <c r="R88" i="18" s="1"/>
  <c r="P88" i="18" s="1"/>
  <c r="S277" i="18"/>
  <c r="R277" i="18" s="1"/>
  <c r="P277" i="18" s="1"/>
  <c r="S128" i="18"/>
  <c r="R128" i="18" s="1"/>
  <c r="P128" i="18" s="1"/>
  <c r="V128" i="18" s="1"/>
  <c r="D128" i="18" s="1"/>
  <c r="E128" i="18" s="1"/>
  <c r="F128" i="18" s="1"/>
  <c r="S239" i="18"/>
  <c r="R239" i="18" s="1"/>
  <c r="P239" i="18" s="1"/>
  <c r="V239" i="18" s="1"/>
  <c r="D239" i="18" s="1"/>
  <c r="E239" i="18" s="1"/>
  <c r="F239" i="18" s="1"/>
  <c r="S207" i="18"/>
  <c r="R207" i="18" s="1"/>
  <c r="P207" i="18" s="1"/>
  <c r="S54" i="18"/>
  <c r="R54" i="18" s="1"/>
  <c r="P54" i="18" s="1"/>
  <c r="S37" i="18"/>
  <c r="R37" i="18" s="1"/>
  <c r="P37" i="18" s="1"/>
  <c r="S287" i="18"/>
  <c r="R287" i="18" s="1"/>
  <c r="P287" i="18" s="1"/>
  <c r="S321" i="18"/>
  <c r="R321" i="18" s="1"/>
  <c r="P321" i="18" s="1"/>
  <c r="V321" i="18" s="1"/>
  <c r="S200" i="18"/>
  <c r="R200" i="18" s="1"/>
  <c r="P200" i="18" s="1"/>
  <c r="S374" i="18"/>
  <c r="R374" i="18" s="1"/>
  <c r="P374" i="18" s="1"/>
  <c r="V374" i="18" s="1"/>
  <c r="S56" i="18"/>
  <c r="R56" i="18" s="1"/>
  <c r="P56" i="18" s="1"/>
  <c r="S290" i="18"/>
  <c r="R290" i="18" s="1"/>
  <c r="P290" i="18" s="1"/>
  <c r="V290" i="18" s="1"/>
  <c r="S281" i="18"/>
  <c r="R281" i="18" s="1"/>
  <c r="P281" i="18" s="1"/>
  <c r="S341" i="18"/>
  <c r="R341" i="18" s="1"/>
  <c r="P341" i="18" s="1"/>
  <c r="V341" i="18" s="1"/>
  <c r="S230" i="18"/>
  <c r="R230" i="18" s="1"/>
  <c r="P230" i="18" s="1"/>
  <c r="S228" i="18"/>
  <c r="R228" i="18" s="1"/>
  <c r="P228" i="18" s="1"/>
  <c r="S181" i="18"/>
  <c r="R181" i="18" s="1"/>
  <c r="P181" i="18" s="1"/>
  <c r="S205" i="18"/>
  <c r="R205" i="18" s="1"/>
  <c r="P205" i="18" s="1"/>
  <c r="S48" i="18"/>
  <c r="R48" i="18" s="1"/>
  <c r="P48" i="18" s="1"/>
  <c r="S348" i="18"/>
  <c r="R348" i="18" s="1"/>
  <c r="P348" i="18" s="1"/>
  <c r="V348" i="18" s="1"/>
  <c r="S306" i="18"/>
  <c r="R306" i="18" s="1"/>
  <c r="P306" i="18" s="1"/>
  <c r="V306" i="18" s="1"/>
  <c r="S251" i="18"/>
  <c r="R251" i="18" s="1"/>
  <c r="P251" i="18" s="1"/>
  <c r="S330" i="18"/>
  <c r="R330" i="18" s="1"/>
  <c r="P330" i="18" s="1"/>
  <c r="V330" i="18" s="1"/>
  <c r="S364" i="18"/>
  <c r="R364" i="18" s="1"/>
  <c r="P364" i="18" s="1"/>
  <c r="V364" i="18" s="1"/>
  <c r="S284" i="18"/>
  <c r="R284" i="18" s="1"/>
  <c r="P284" i="18" s="1"/>
  <c r="S304" i="18"/>
  <c r="R304" i="18" s="1"/>
  <c r="P304" i="18" s="1"/>
  <c r="V304" i="18" s="1"/>
  <c r="S184" i="18"/>
  <c r="R184" i="18" s="1"/>
  <c r="P184" i="18" s="1"/>
  <c r="V184" i="18" s="1"/>
  <c r="D184" i="18" s="1"/>
  <c r="E184" i="18" s="1"/>
  <c r="F184" i="18" s="1"/>
  <c r="S32" i="18"/>
  <c r="R32" i="18" s="1"/>
  <c r="P32" i="18" s="1"/>
  <c r="S46" i="18"/>
  <c r="R46" i="18" s="1"/>
  <c r="P46" i="18" s="1"/>
  <c r="S323" i="18"/>
  <c r="R323" i="18" s="1"/>
  <c r="P323" i="18" s="1"/>
  <c r="V323" i="18" s="1"/>
  <c r="S262" i="18"/>
  <c r="R262" i="18" s="1"/>
  <c r="P262" i="18" s="1"/>
  <c r="S183" i="18"/>
  <c r="R183" i="18" s="1"/>
  <c r="P183" i="18" s="1"/>
  <c r="S196" i="18"/>
  <c r="R196" i="18" s="1"/>
  <c r="P196" i="18" s="1"/>
  <c r="S367" i="18"/>
  <c r="R367" i="18" s="1"/>
  <c r="P367" i="18" s="1"/>
  <c r="V367" i="18" s="1"/>
  <c r="S252" i="18"/>
  <c r="R252" i="18" s="1"/>
  <c r="P252" i="18" s="1"/>
  <c r="S141" i="18"/>
  <c r="R141" i="18" s="1"/>
  <c r="P141" i="18" s="1"/>
  <c r="S192" i="18"/>
  <c r="R192" i="18" s="1"/>
  <c r="P192" i="18" s="1"/>
  <c r="S28" i="18"/>
  <c r="R28" i="18" s="1"/>
  <c r="P28" i="18" s="1"/>
  <c r="S85" i="18"/>
  <c r="R85" i="18" s="1"/>
  <c r="P85" i="18" s="1"/>
  <c r="S356" i="18"/>
  <c r="R356" i="18" s="1"/>
  <c r="P356" i="18" s="1"/>
  <c r="V356" i="18" s="1"/>
  <c r="S198" i="18"/>
  <c r="R198" i="18" s="1"/>
  <c r="P198" i="18" s="1"/>
  <c r="S363" i="18"/>
  <c r="R363" i="18" s="1"/>
  <c r="P363" i="18" s="1"/>
  <c r="S338" i="18"/>
  <c r="R338" i="18" s="1"/>
  <c r="P338" i="18" s="1"/>
  <c r="V338" i="18" s="1"/>
  <c r="S213" i="18"/>
  <c r="R213" i="18" s="1"/>
  <c r="P213" i="18" s="1"/>
  <c r="S74" i="18"/>
  <c r="R74" i="18" s="1"/>
  <c r="P74" i="18" s="1"/>
  <c r="S329" i="18"/>
  <c r="R329" i="18" s="1"/>
  <c r="P329" i="18" s="1"/>
  <c r="V329" i="18" s="1"/>
  <c r="S125" i="18"/>
  <c r="R125" i="18" s="1"/>
  <c r="P125" i="18" s="1"/>
  <c r="V125" i="18" s="1"/>
  <c r="D125" i="18" s="1"/>
  <c r="E125" i="18" s="1"/>
  <c r="F125" i="18" s="1"/>
  <c r="S103" i="18"/>
  <c r="R103" i="18" s="1"/>
  <c r="P103" i="18" s="1"/>
  <c r="S231" i="18"/>
  <c r="R231" i="18" s="1"/>
  <c r="P231" i="18" s="1"/>
  <c r="S253" i="18"/>
  <c r="R253" i="18" s="1"/>
  <c r="P253" i="18" s="1"/>
  <c r="S114" i="18"/>
  <c r="R114" i="18" s="1"/>
  <c r="P114" i="18" s="1"/>
  <c r="S202" i="18"/>
  <c r="R202" i="18" s="1"/>
  <c r="P202" i="18" s="1"/>
  <c r="S21" i="18"/>
  <c r="R21" i="18" s="1"/>
  <c r="P21" i="18" s="1"/>
  <c r="S318" i="18"/>
  <c r="R318" i="18" s="1"/>
  <c r="P318" i="18" s="1"/>
  <c r="V318" i="18" s="1"/>
  <c r="S136" i="18"/>
  <c r="R136" i="18" s="1"/>
  <c r="P136" i="18" s="1"/>
  <c r="V136" i="18" s="1"/>
  <c r="D136" i="18" s="1"/>
  <c r="E136" i="18" s="1"/>
  <c r="F136" i="18" s="1"/>
  <c r="S154" i="18"/>
  <c r="R154" i="18" s="1"/>
  <c r="P154" i="18" s="1"/>
  <c r="S16" i="18"/>
  <c r="R16" i="18" s="1"/>
  <c r="P16" i="18" s="1"/>
  <c r="S358" i="18"/>
  <c r="R358" i="18" s="1"/>
  <c r="P358" i="18" s="1"/>
  <c r="V358" i="18" s="1"/>
  <c r="S26" i="18"/>
  <c r="R26" i="18" s="1"/>
  <c r="P26" i="18" s="1"/>
  <c r="S62" i="18"/>
  <c r="R62" i="18" s="1"/>
  <c r="P62" i="18" s="1"/>
  <c r="S335" i="18"/>
  <c r="R335" i="18" s="1"/>
  <c r="P335" i="18" s="1"/>
  <c r="V335" i="18" s="1"/>
  <c r="S105" i="18"/>
  <c r="R105" i="18" s="1"/>
  <c r="P105" i="18" s="1"/>
  <c r="T15" i="18"/>
  <c r="U383" i="18"/>
  <c r="U382" i="18"/>
  <c r="U381" i="18"/>
  <c r="S215" i="18"/>
  <c r="R215" i="18" s="1"/>
  <c r="P215" i="18" s="1"/>
  <c r="S343" i="18"/>
  <c r="R343" i="18" s="1"/>
  <c r="P343" i="18" s="1"/>
  <c r="V343" i="18" s="1"/>
  <c r="S282" i="18"/>
  <c r="R282" i="18" s="1"/>
  <c r="P282" i="18" s="1"/>
  <c r="S182" i="18"/>
  <c r="R182" i="18" s="1"/>
  <c r="P182" i="18" s="1"/>
  <c r="S83" i="18"/>
  <c r="R83" i="18" s="1"/>
  <c r="P83" i="18" s="1"/>
  <c r="S273" i="18"/>
  <c r="R273" i="18" s="1"/>
  <c r="P273" i="18" s="1"/>
  <c r="V273" i="18" s="1"/>
  <c r="D273" i="18" s="1"/>
  <c r="E273" i="18" s="1"/>
  <c r="F273" i="18" s="1"/>
  <c r="J241" i="17"/>
  <c r="I241" i="17"/>
  <c r="J210" i="17"/>
  <c r="I210" i="17"/>
  <c r="I74" i="17"/>
  <c r="J74" i="17"/>
  <c r="AG184" i="18"/>
  <c r="AF184" i="18" s="1"/>
  <c r="AD184" i="18" s="1"/>
  <c r="AG137" i="18"/>
  <c r="AF137" i="18" s="1"/>
  <c r="AD137" i="18" s="1"/>
  <c r="AG253" i="18"/>
  <c r="AF253" i="18" s="1"/>
  <c r="AD253" i="18" s="1"/>
  <c r="AG36" i="18"/>
  <c r="AF36" i="18" s="1"/>
  <c r="AD36" i="18" s="1"/>
  <c r="AG236" i="18"/>
  <c r="AF236" i="18" s="1"/>
  <c r="AD236" i="18" s="1"/>
  <c r="AG70" i="18"/>
  <c r="AF70" i="18" s="1"/>
  <c r="AD70" i="18" s="1"/>
  <c r="AG306" i="18"/>
  <c r="AF306" i="18" s="1"/>
  <c r="AD306" i="18" s="1"/>
  <c r="AG76" i="18"/>
  <c r="AF76" i="18" s="1"/>
  <c r="AD76" i="18" s="1"/>
  <c r="AG142" i="18"/>
  <c r="AF142" i="18" s="1"/>
  <c r="AD142" i="18" s="1"/>
  <c r="AG159" i="18"/>
  <c r="AF159" i="18" s="1"/>
  <c r="AD159" i="18" s="1"/>
  <c r="AG44" i="18"/>
  <c r="AF44" i="18" s="1"/>
  <c r="AD44" i="18" s="1"/>
  <c r="AG375" i="18"/>
  <c r="AF375" i="18" s="1"/>
  <c r="AD375" i="18" s="1"/>
  <c r="AG260" i="18"/>
  <c r="AF260" i="18" s="1"/>
  <c r="AD260" i="18" s="1"/>
  <c r="AG143" i="18"/>
  <c r="AF143" i="18" s="1"/>
  <c r="AD143" i="18" s="1"/>
  <c r="AG246" i="18"/>
  <c r="AF246" i="18" s="1"/>
  <c r="AD246" i="18" s="1"/>
  <c r="AG181" i="18"/>
  <c r="AF181" i="18" s="1"/>
  <c r="AD181" i="18" s="1"/>
  <c r="AG182" i="18"/>
  <c r="AF182" i="18" s="1"/>
  <c r="AD182" i="18" s="1"/>
  <c r="AG146" i="18"/>
  <c r="AF146" i="18" s="1"/>
  <c r="AD146" i="18" s="1"/>
  <c r="AG363" i="18"/>
  <c r="AF363" i="18" s="1"/>
  <c r="AD363" i="18" s="1"/>
  <c r="AG22" i="18"/>
  <c r="AF22" i="18" s="1"/>
  <c r="AD22" i="18" s="1"/>
  <c r="AG87" i="18"/>
  <c r="AF87" i="18" s="1"/>
  <c r="AD87" i="18" s="1"/>
  <c r="AG173" i="18"/>
  <c r="AF173" i="18" s="1"/>
  <c r="AD173" i="18" s="1"/>
  <c r="AG217" i="18"/>
  <c r="AF217" i="18" s="1"/>
  <c r="AD217" i="18" s="1"/>
  <c r="AG155" i="18"/>
  <c r="AF155" i="18" s="1"/>
  <c r="AD155" i="18" s="1"/>
  <c r="AG200" i="18"/>
  <c r="AF200" i="18" s="1"/>
  <c r="AD200" i="18" s="1"/>
  <c r="AG376" i="18"/>
  <c r="AF376" i="18" s="1"/>
  <c r="AD376" i="18" s="1"/>
  <c r="AG105" i="18"/>
  <c r="AF105" i="18" s="1"/>
  <c r="AD105" i="18" s="1"/>
  <c r="AG265" i="18"/>
  <c r="AF265" i="18" s="1"/>
  <c r="AD265" i="18" s="1"/>
  <c r="AG152" i="18"/>
  <c r="AF152" i="18" s="1"/>
  <c r="AD152" i="18" s="1"/>
  <c r="AG57" i="18"/>
  <c r="AF57" i="18" s="1"/>
  <c r="AD57" i="18" s="1"/>
  <c r="AG58" i="18"/>
  <c r="AF58" i="18" s="1"/>
  <c r="AD58" i="18" s="1"/>
  <c r="AG286" i="18"/>
  <c r="AF286" i="18" s="1"/>
  <c r="AD286" i="18" s="1"/>
  <c r="AG312" i="18"/>
  <c r="AF312" i="18" s="1"/>
  <c r="AD312" i="18" s="1"/>
  <c r="AG104" i="18"/>
  <c r="AF104" i="18" s="1"/>
  <c r="AD104" i="18" s="1"/>
  <c r="AG34" i="18"/>
  <c r="AF34" i="18" s="1"/>
  <c r="AD34" i="18" s="1"/>
  <c r="AG134" i="18"/>
  <c r="AF134" i="18" s="1"/>
  <c r="AD134" i="18" s="1"/>
  <c r="AG207" i="18"/>
  <c r="AF207" i="18" s="1"/>
  <c r="AD207" i="18" s="1"/>
  <c r="AG341" i="18"/>
  <c r="AF341" i="18" s="1"/>
  <c r="AD341" i="18" s="1"/>
  <c r="AG222" i="18"/>
  <c r="AF222" i="18" s="1"/>
  <c r="AD222" i="18" s="1"/>
  <c r="AG202" i="18"/>
  <c r="AF202" i="18" s="1"/>
  <c r="AD202" i="18" s="1"/>
  <c r="AG212" i="18"/>
  <c r="AF212" i="18" s="1"/>
  <c r="AD212" i="18" s="1"/>
  <c r="AG273" i="18"/>
  <c r="AF273" i="18" s="1"/>
  <c r="AD273" i="18" s="1"/>
  <c r="AG99" i="18"/>
  <c r="AF99" i="18" s="1"/>
  <c r="AD99" i="18" s="1"/>
  <c r="AG106" i="18"/>
  <c r="AF106" i="18" s="1"/>
  <c r="AD106" i="18" s="1"/>
  <c r="AG289" i="18"/>
  <c r="AF289" i="18" s="1"/>
  <c r="AD289" i="18" s="1"/>
  <c r="AG348" i="18"/>
  <c r="AF348" i="18" s="1"/>
  <c r="AD348" i="18" s="1"/>
  <c r="AG183" i="18"/>
  <c r="AF183" i="18" s="1"/>
  <c r="AD183" i="18" s="1"/>
  <c r="AG314" i="18"/>
  <c r="AF314" i="18" s="1"/>
  <c r="AD314" i="18" s="1"/>
  <c r="AG252" i="18"/>
  <c r="AF252" i="18" s="1"/>
  <c r="AD252" i="18" s="1"/>
  <c r="AG323" i="18"/>
  <c r="AF323" i="18" s="1"/>
  <c r="AD323" i="18" s="1"/>
  <c r="AG111" i="18"/>
  <c r="AF111" i="18" s="1"/>
  <c r="AD111" i="18" s="1"/>
  <c r="AG86" i="18"/>
  <c r="AF86" i="18" s="1"/>
  <c r="AD86" i="18" s="1"/>
  <c r="AG205" i="18"/>
  <c r="AF205" i="18" s="1"/>
  <c r="AD205" i="18" s="1"/>
  <c r="AG156" i="18"/>
  <c r="AF156" i="18" s="1"/>
  <c r="AD156" i="18" s="1"/>
  <c r="AG81" i="18"/>
  <c r="AF81" i="18" s="1"/>
  <c r="AD81" i="18" s="1"/>
  <c r="AG54" i="18"/>
  <c r="AF54" i="18" s="1"/>
  <c r="AD54" i="18" s="1"/>
  <c r="AG125" i="18"/>
  <c r="AF125" i="18" s="1"/>
  <c r="AD125" i="18" s="1"/>
  <c r="AG107" i="18"/>
  <c r="AF107" i="18" s="1"/>
  <c r="AD107" i="18" s="1"/>
  <c r="AG17" i="18"/>
  <c r="AF17" i="18" s="1"/>
  <c r="AD17" i="18" s="1"/>
  <c r="AG163" i="18"/>
  <c r="AF163" i="18" s="1"/>
  <c r="AD163" i="18" s="1"/>
  <c r="AG164" i="18"/>
  <c r="AF164" i="18" s="1"/>
  <c r="AD164" i="18" s="1"/>
  <c r="AG108" i="18"/>
  <c r="AF108" i="18" s="1"/>
  <c r="AD108" i="18" s="1"/>
  <c r="AG343" i="18"/>
  <c r="AF343" i="18" s="1"/>
  <c r="AD343" i="18" s="1"/>
  <c r="AG178" i="18"/>
  <c r="AF178" i="18" s="1"/>
  <c r="AD178" i="18" s="1"/>
  <c r="AG345" i="18"/>
  <c r="AF345" i="18" s="1"/>
  <c r="AD345" i="18" s="1"/>
  <c r="AG46" i="18"/>
  <c r="AF46" i="18" s="1"/>
  <c r="AD46" i="18" s="1"/>
  <c r="AG203" i="18"/>
  <c r="AF203" i="18" s="1"/>
  <c r="AD203" i="18" s="1"/>
  <c r="AG294" i="18"/>
  <c r="AF294" i="18" s="1"/>
  <c r="AD294" i="18" s="1"/>
  <c r="AG361" i="18"/>
  <c r="AF361" i="18" s="1"/>
  <c r="AD361" i="18" s="1"/>
  <c r="AG235" i="18"/>
  <c r="AF235" i="18" s="1"/>
  <c r="AD235" i="18" s="1"/>
  <c r="AG279" i="18"/>
  <c r="AF279" i="18" s="1"/>
  <c r="AD279" i="18" s="1"/>
  <c r="AG313" i="18"/>
  <c r="AF313" i="18" s="1"/>
  <c r="AD313" i="18" s="1"/>
  <c r="AG75" i="18"/>
  <c r="AF75" i="18" s="1"/>
  <c r="AD75" i="18" s="1"/>
  <c r="AG297" i="18"/>
  <c r="AF297" i="18" s="1"/>
  <c r="AD297" i="18" s="1"/>
  <c r="AG373" i="18"/>
  <c r="AF373" i="18" s="1"/>
  <c r="AD373" i="18" s="1"/>
  <c r="AG63" i="18"/>
  <c r="AF63" i="18" s="1"/>
  <c r="AD63" i="18" s="1"/>
  <c r="AG59" i="18"/>
  <c r="AF59" i="18" s="1"/>
  <c r="AD59" i="18" s="1"/>
  <c r="AG133" i="18"/>
  <c r="AF133" i="18" s="1"/>
  <c r="AD133" i="18" s="1"/>
  <c r="AG82" i="18"/>
  <c r="AF82" i="18" s="1"/>
  <c r="AD82" i="18" s="1"/>
  <c r="AG78" i="18"/>
  <c r="AF78" i="18" s="1"/>
  <c r="AD78" i="18" s="1"/>
  <c r="AG124" i="18"/>
  <c r="AF124" i="18" s="1"/>
  <c r="AD124" i="18" s="1"/>
  <c r="AG23" i="18"/>
  <c r="AF23" i="18" s="1"/>
  <c r="AD23" i="18" s="1"/>
  <c r="AG185" i="18"/>
  <c r="AF185" i="18" s="1"/>
  <c r="AD185" i="18" s="1"/>
  <c r="AG136" i="18"/>
  <c r="AF136" i="18" s="1"/>
  <c r="AD136" i="18" s="1"/>
  <c r="AG41" i="18"/>
  <c r="AF41" i="18" s="1"/>
  <c r="AD41" i="18" s="1"/>
  <c r="AG166" i="18"/>
  <c r="AF166" i="18" s="1"/>
  <c r="AD166" i="18" s="1"/>
  <c r="AG282" i="18"/>
  <c r="AF282" i="18" s="1"/>
  <c r="AD282" i="18" s="1"/>
  <c r="AG354" i="18"/>
  <c r="AF354" i="18" s="1"/>
  <c r="AD354" i="18" s="1"/>
  <c r="AG284" i="18"/>
  <c r="AF284" i="18" s="1"/>
  <c r="AD284" i="18" s="1"/>
  <c r="AG310" i="18"/>
  <c r="AF310" i="18" s="1"/>
  <c r="AD310" i="18" s="1"/>
  <c r="AG171" i="18"/>
  <c r="AF171" i="18" s="1"/>
  <c r="AD171" i="18" s="1"/>
  <c r="AF383" i="17"/>
  <c r="AF382" i="17"/>
  <c r="AF381" i="17"/>
  <c r="AD15" i="17"/>
  <c r="J105" i="17"/>
  <c r="I105" i="17"/>
  <c r="J261" i="17"/>
  <c r="I261" i="17"/>
  <c r="Y381" i="15"/>
  <c r="Y383" i="15"/>
  <c r="X9" i="15"/>
  <c r="Z11" i="15" s="1"/>
  <c r="Z5" i="15" s="1"/>
  <c r="H12" i="19" s="1"/>
  <c r="Y382" i="15"/>
  <c r="AL6" i="15"/>
  <c r="AL12" i="15" s="1"/>
  <c r="AM6" i="15"/>
  <c r="AM12" i="15" s="1"/>
  <c r="Y11" i="15"/>
  <c r="S377" i="18"/>
  <c r="R377" i="18" s="1"/>
  <c r="P377" i="18" s="1"/>
  <c r="V377" i="18" s="1"/>
  <c r="S265" i="18"/>
  <c r="R265" i="18" s="1"/>
  <c r="P265" i="18" s="1"/>
  <c r="S372" i="18"/>
  <c r="R372" i="18" s="1"/>
  <c r="P372" i="18" s="1"/>
  <c r="V372" i="18" s="1"/>
  <c r="S210" i="18"/>
  <c r="R210" i="18" s="1"/>
  <c r="P210" i="18" s="1"/>
  <c r="S38" i="18"/>
  <c r="R38" i="18" s="1"/>
  <c r="P38" i="18" s="1"/>
  <c r="S350" i="18"/>
  <c r="R350" i="18" s="1"/>
  <c r="P350" i="18" s="1"/>
  <c r="V350" i="18" s="1"/>
  <c r="S225" i="18"/>
  <c r="R225" i="18" s="1"/>
  <c r="P225" i="18" s="1"/>
  <c r="S137" i="18"/>
  <c r="R137" i="18" s="1"/>
  <c r="P137" i="18" s="1"/>
  <c r="S351" i="18"/>
  <c r="R351" i="18" s="1"/>
  <c r="P351" i="18" s="1"/>
  <c r="V351" i="18" s="1"/>
  <c r="S108" i="18"/>
  <c r="R108" i="18" s="1"/>
  <c r="P108" i="18" s="1"/>
  <c r="V108" i="18" s="1"/>
  <c r="D108" i="18" s="1"/>
  <c r="E108" i="18" s="1"/>
  <c r="F108" i="18" s="1"/>
  <c r="S216" i="18"/>
  <c r="R216" i="18" s="1"/>
  <c r="P216" i="18" s="1"/>
  <c r="S138" i="18"/>
  <c r="R138" i="18" s="1"/>
  <c r="P138" i="18" s="1"/>
  <c r="S349" i="18"/>
  <c r="R349" i="18" s="1"/>
  <c r="P349" i="18" s="1"/>
  <c r="V349" i="18" s="1"/>
  <c r="S325" i="18"/>
  <c r="R325" i="18" s="1"/>
  <c r="P325" i="18" s="1"/>
  <c r="V325" i="18" s="1"/>
  <c r="S167" i="18"/>
  <c r="R167" i="18" s="1"/>
  <c r="P167" i="18" s="1"/>
  <c r="S186" i="18"/>
  <c r="R186" i="18" s="1"/>
  <c r="P186" i="18" s="1"/>
  <c r="S168" i="18"/>
  <c r="R168" i="18" s="1"/>
  <c r="P168" i="18" s="1"/>
  <c r="S57" i="18"/>
  <c r="R57" i="18" s="1"/>
  <c r="P57" i="18" s="1"/>
  <c r="V57" i="18" s="1"/>
  <c r="D57" i="18" s="1"/>
  <c r="E57" i="18" s="1"/>
  <c r="F57" i="18" s="1"/>
  <c r="S298" i="18"/>
  <c r="R298" i="18" s="1"/>
  <c r="P298" i="18" s="1"/>
  <c r="V298" i="18" s="1"/>
  <c r="S279" i="18"/>
  <c r="R279" i="18" s="1"/>
  <c r="P279" i="18" s="1"/>
  <c r="S264" i="18"/>
  <c r="R264" i="18" s="1"/>
  <c r="P264" i="18" s="1"/>
  <c r="S104" i="18"/>
  <c r="R104" i="18" s="1"/>
  <c r="P104" i="18" s="1"/>
  <c r="S276" i="18"/>
  <c r="R276" i="18" s="1"/>
  <c r="P276" i="18" s="1"/>
  <c r="V276" i="18" s="1"/>
  <c r="D276" i="18" s="1"/>
  <c r="E276" i="18" s="1"/>
  <c r="F276" i="18" s="1"/>
  <c r="S369" i="18"/>
  <c r="R369" i="18" s="1"/>
  <c r="P369" i="18" s="1"/>
  <c r="V369" i="18" s="1"/>
  <c r="S97" i="18"/>
  <c r="R97" i="18" s="1"/>
  <c r="P97" i="18" s="1"/>
  <c r="S24" i="18"/>
  <c r="R24" i="18" s="1"/>
  <c r="P24" i="18" s="1"/>
  <c r="S269" i="18"/>
  <c r="R269" i="18" s="1"/>
  <c r="P269" i="18" s="1"/>
  <c r="S229" i="18"/>
  <c r="R229" i="18" s="1"/>
  <c r="P229" i="18" s="1"/>
  <c r="S301" i="18"/>
  <c r="R301" i="18" s="1"/>
  <c r="P301" i="18" s="1"/>
  <c r="V301" i="18" s="1"/>
  <c r="S244" i="18"/>
  <c r="R244" i="18" s="1"/>
  <c r="P244" i="18" s="1"/>
  <c r="S261" i="18"/>
  <c r="R261" i="18" s="1"/>
  <c r="P261" i="18" s="1"/>
  <c r="T379" i="18"/>
  <c r="U12" i="20"/>
  <c r="AB16" i="7"/>
  <c r="AH11" i="7" s="1"/>
  <c r="U11" i="20" s="1"/>
  <c r="S66" i="18"/>
  <c r="R66" i="18" s="1"/>
  <c r="P66" i="18" s="1"/>
  <c r="S76" i="18"/>
  <c r="R76" i="18" s="1"/>
  <c r="P76" i="18" s="1"/>
  <c r="S197" i="18"/>
  <c r="R197" i="18" s="1"/>
  <c r="P197" i="18" s="1"/>
  <c r="S58" i="18"/>
  <c r="R58" i="18" s="1"/>
  <c r="P58" i="18" s="1"/>
  <c r="S257" i="18"/>
  <c r="R257" i="18" s="1"/>
  <c r="P257" i="18" s="1"/>
  <c r="S295" i="18"/>
  <c r="R295" i="18" s="1"/>
  <c r="P295" i="18" s="1"/>
  <c r="V295" i="18" s="1"/>
  <c r="S171" i="18"/>
  <c r="R171" i="18" s="1"/>
  <c r="P171" i="18" s="1"/>
  <c r="S147" i="18"/>
  <c r="R147" i="18" s="1"/>
  <c r="P147" i="18" s="1"/>
  <c r="R382" i="17"/>
  <c r="R383" i="17"/>
  <c r="R381" i="17"/>
  <c r="P15" i="17"/>
  <c r="I356" i="17"/>
  <c r="J356" i="17"/>
  <c r="J19" i="17"/>
  <c r="I19" i="17"/>
  <c r="J135" i="17"/>
  <c r="I135" i="17"/>
  <c r="Y135" i="17"/>
  <c r="I113" i="17"/>
  <c r="J113" i="17"/>
  <c r="I149" i="17"/>
  <c r="J149" i="17"/>
  <c r="J112" i="17"/>
  <c r="I112" i="17"/>
  <c r="I333" i="17"/>
  <c r="J333" i="17"/>
  <c r="S300" i="18"/>
  <c r="R300" i="18" s="1"/>
  <c r="P300" i="18" s="1"/>
  <c r="V300" i="18" s="1"/>
  <c r="S260" i="18"/>
  <c r="R260" i="18" s="1"/>
  <c r="P260" i="18" s="1"/>
  <c r="V260" i="18" s="1"/>
  <c r="D260" i="18" s="1"/>
  <c r="E260" i="18" s="1"/>
  <c r="F260" i="18" s="1"/>
  <c r="S235" i="18"/>
  <c r="R235" i="18" s="1"/>
  <c r="P235" i="18" s="1"/>
  <c r="S43" i="18"/>
  <c r="R43" i="18" s="1"/>
  <c r="P43" i="18" s="1"/>
  <c r="S124" i="18"/>
  <c r="R124" i="18" s="1"/>
  <c r="P124" i="18" s="1"/>
  <c r="S45" i="18"/>
  <c r="R45" i="18" s="1"/>
  <c r="P45" i="18" s="1"/>
  <c r="S293" i="18"/>
  <c r="R293" i="18" s="1"/>
  <c r="P293" i="18" s="1"/>
  <c r="V293" i="18" s="1"/>
  <c r="S80" i="18"/>
  <c r="R80" i="18" s="1"/>
  <c r="P80" i="18" s="1"/>
  <c r="S204" i="18"/>
  <c r="R204" i="18" s="1"/>
  <c r="P204" i="18" s="1"/>
  <c r="S194" i="18"/>
  <c r="R194" i="18" s="1"/>
  <c r="P194" i="18" s="1"/>
  <c r="S337" i="18"/>
  <c r="R337" i="18" s="1"/>
  <c r="P337" i="18" s="1"/>
  <c r="V337" i="18" s="1"/>
  <c r="S69" i="18"/>
  <c r="R69" i="18" s="1"/>
  <c r="P69" i="18" s="1"/>
  <c r="S347" i="18"/>
  <c r="R347" i="18" s="1"/>
  <c r="P347" i="18" s="1"/>
  <c r="V347" i="18" s="1"/>
  <c r="S152" i="18"/>
  <c r="R152" i="18" s="1"/>
  <c r="P152" i="18" s="1"/>
  <c r="S143" i="18"/>
  <c r="R143" i="18" s="1"/>
  <c r="P143" i="18" s="1"/>
  <c r="S117" i="18"/>
  <c r="R117" i="18" s="1"/>
  <c r="P117" i="18" s="1"/>
  <c r="S317" i="18"/>
  <c r="R317" i="18" s="1"/>
  <c r="P317" i="18" s="1"/>
  <c r="V317" i="18" s="1"/>
  <c r="S214" i="18"/>
  <c r="R214" i="18" s="1"/>
  <c r="P214" i="18" s="1"/>
  <c r="V214" i="18" s="1"/>
  <c r="D214" i="18" s="1"/>
  <c r="E214" i="18" s="1"/>
  <c r="F214" i="18" s="1"/>
  <c r="S67" i="18"/>
  <c r="R67" i="18" s="1"/>
  <c r="P67" i="18" s="1"/>
  <c r="S149" i="18"/>
  <c r="R149" i="18" s="1"/>
  <c r="P149" i="18" s="1"/>
  <c r="S355" i="18"/>
  <c r="R355" i="18" s="1"/>
  <c r="P355" i="18" s="1"/>
  <c r="V355" i="18" s="1"/>
  <c r="S151" i="18"/>
  <c r="R151" i="18" s="1"/>
  <c r="P151" i="18" s="1"/>
  <c r="S256" i="18"/>
  <c r="R256" i="18" s="1"/>
  <c r="P256" i="18" s="1"/>
  <c r="V256" i="18" s="1"/>
  <c r="D256" i="18" s="1"/>
  <c r="E256" i="18" s="1"/>
  <c r="F256" i="18" s="1"/>
  <c r="S40" i="18"/>
  <c r="R40" i="18" s="1"/>
  <c r="P40" i="18" s="1"/>
  <c r="S259" i="18"/>
  <c r="R259" i="18" s="1"/>
  <c r="P259" i="18" s="1"/>
  <c r="S297" i="18"/>
  <c r="R297" i="18" s="1"/>
  <c r="P297" i="18" s="1"/>
  <c r="V297" i="18" s="1"/>
  <c r="S315" i="18"/>
  <c r="R315" i="18" s="1"/>
  <c r="P315" i="18" s="1"/>
  <c r="V315" i="18" s="1"/>
  <c r="S145" i="18"/>
  <c r="R145" i="18" s="1"/>
  <c r="P145" i="18" s="1"/>
  <c r="S129" i="18"/>
  <c r="R129" i="18" s="1"/>
  <c r="P129" i="18" s="1"/>
  <c r="S270" i="18"/>
  <c r="R270" i="18" s="1"/>
  <c r="P270" i="18" s="1"/>
  <c r="S324" i="18"/>
  <c r="R324" i="18" s="1"/>
  <c r="P324" i="18" s="1"/>
  <c r="V324" i="18" s="1"/>
  <c r="S82" i="18"/>
  <c r="R82" i="18" s="1"/>
  <c r="P82" i="18" s="1"/>
  <c r="S53" i="18"/>
  <c r="R53" i="18" s="1"/>
  <c r="P53" i="18" s="1"/>
  <c r="S61" i="18"/>
  <c r="R61" i="18" s="1"/>
  <c r="P61" i="18" s="1"/>
  <c r="S305" i="18"/>
  <c r="R305" i="18" s="1"/>
  <c r="P305" i="18" s="1"/>
  <c r="V305" i="18" s="1"/>
  <c r="S291" i="18"/>
  <c r="R291" i="18" s="1"/>
  <c r="P291" i="18" s="1"/>
  <c r="V291" i="18" s="1"/>
  <c r="S127" i="18"/>
  <c r="R127" i="18" s="1"/>
  <c r="P127" i="18" s="1"/>
  <c r="S112" i="18"/>
  <c r="R112" i="18" s="1"/>
  <c r="P112" i="18" s="1"/>
  <c r="V112" i="18" s="1"/>
  <c r="D112" i="18" s="1"/>
  <c r="E112" i="18" s="1"/>
  <c r="F112" i="18" s="1"/>
  <c r="S19" i="18"/>
  <c r="R19" i="18" s="1"/>
  <c r="P19" i="18" s="1"/>
  <c r="S55" i="18"/>
  <c r="R55" i="18" s="1"/>
  <c r="P55" i="18" s="1"/>
  <c r="S180" i="18"/>
  <c r="R180" i="18" s="1"/>
  <c r="P180" i="18" s="1"/>
  <c r="S72" i="18"/>
  <c r="R72" i="18" s="1"/>
  <c r="P72" i="18" s="1"/>
  <c r="S357" i="18"/>
  <c r="R357" i="18" s="1"/>
  <c r="P357" i="18" s="1"/>
  <c r="V357" i="18" s="1"/>
  <c r="S378" i="18"/>
  <c r="R378" i="18" s="1"/>
  <c r="P378" i="18" s="1"/>
  <c r="V378" i="18" s="1"/>
  <c r="S33" i="18"/>
  <c r="R33" i="18" s="1"/>
  <c r="P33" i="18" s="1"/>
  <c r="S81" i="18"/>
  <c r="R81" i="18" s="1"/>
  <c r="P81" i="18" s="1"/>
  <c r="S320" i="18"/>
  <c r="R320" i="18" s="1"/>
  <c r="P320" i="18" s="1"/>
  <c r="V320" i="18" s="1"/>
  <c r="S140" i="18"/>
  <c r="R140" i="18" s="1"/>
  <c r="P140" i="18" s="1"/>
  <c r="S254" i="18"/>
  <c r="R254" i="18" s="1"/>
  <c r="P254" i="18" s="1"/>
  <c r="S314" i="18"/>
  <c r="R314" i="18" s="1"/>
  <c r="P314" i="18" s="1"/>
  <c r="V314" i="18" s="1"/>
  <c r="S352" i="18"/>
  <c r="R352" i="18" s="1"/>
  <c r="P352" i="18" s="1"/>
  <c r="V352" i="18" s="1"/>
  <c r="I60" i="17"/>
  <c r="J60" i="17"/>
  <c r="I324" i="17"/>
  <c r="J324" i="17"/>
  <c r="AI382" i="18"/>
  <c r="AI383" i="18"/>
  <c r="I86" i="17"/>
  <c r="J86" i="17"/>
  <c r="J326" i="17"/>
  <c r="I326" i="17"/>
  <c r="I18" i="17"/>
  <c r="J18" i="17"/>
  <c r="I319" i="17"/>
  <c r="J319" i="17"/>
  <c r="J302" i="17"/>
  <c r="I302" i="17"/>
  <c r="J119" i="17"/>
  <c r="I119" i="17"/>
  <c r="H349" i="17"/>
  <c r="G349" i="17"/>
  <c r="BZ349" i="6" s="1"/>
  <c r="AA349" i="17"/>
  <c r="Z349" i="17" s="1"/>
  <c r="Y349" i="17" s="1"/>
  <c r="I288" i="17"/>
  <c r="J288" i="17"/>
  <c r="H196" i="17"/>
  <c r="AA196" i="17"/>
  <c r="Z196" i="17" s="1"/>
  <c r="Y196" i="17" s="1"/>
  <c r="G196" i="17"/>
  <c r="BZ196" i="6" s="1"/>
  <c r="S70" i="18"/>
  <c r="R70" i="18" s="1"/>
  <c r="P70" i="18" s="1"/>
  <c r="S243" i="18"/>
  <c r="R243" i="18" s="1"/>
  <c r="P243" i="18" s="1"/>
  <c r="V243" i="18" s="1"/>
  <c r="D243" i="18" s="1"/>
  <c r="E243" i="18" s="1"/>
  <c r="F243" i="18" s="1"/>
  <c r="S250" i="18"/>
  <c r="R250" i="18" s="1"/>
  <c r="P250" i="18" s="1"/>
  <c r="S142" i="18"/>
  <c r="R142" i="18" s="1"/>
  <c r="P142" i="18" s="1"/>
  <c r="S283" i="18"/>
  <c r="R283" i="18" s="1"/>
  <c r="P283" i="18" s="1"/>
  <c r="S101" i="18"/>
  <c r="R101" i="18" s="1"/>
  <c r="P101" i="18" s="1"/>
  <c r="S118" i="18"/>
  <c r="R118" i="18" s="1"/>
  <c r="P118" i="18" s="1"/>
  <c r="S309" i="18"/>
  <c r="R309" i="18" s="1"/>
  <c r="P309" i="18" s="1"/>
  <c r="V309" i="18" s="1"/>
  <c r="S86" i="18"/>
  <c r="R86" i="18" s="1"/>
  <c r="P86" i="18" s="1"/>
  <c r="S139" i="18"/>
  <c r="R139" i="18" s="1"/>
  <c r="P139" i="18" s="1"/>
  <c r="S211" i="18"/>
  <c r="R211" i="18" s="1"/>
  <c r="P211" i="18" s="1"/>
  <c r="S185" i="18"/>
  <c r="R185" i="18" s="1"/>
  <c r="P185" i="18" s="1"/>
  <c r="S302" i="18"/>
  <c r="R302" i="18" s="1"/>
  <c r="P302" i="18" s="1"/>
  <c r="S361" i="18"/>
  <c r="R361" i="18" s="1"/>
  <c r="P361" i="18" s="1"/>
  <c r="V361" i="18" s="1"/>
  <c r="S77" i="18"/>
  <c r="R77" i="18" s="1"/>
  <c r="P77" i="18" s="1"/>
  <c r="S373" i="18"/>
  <c r="R373" i="18" s="1"/>
  <c r="P373" i="18" s="1"/>
  <c r="V373" i="18" s="1"/>
  <c r="S96" i="18"/>
  <c r="R96" i="18" s="1"/>
  <c r="P96" i="18" s="1"/>
  <c r="S174" i="18"/>
  <c r="R174" i="18" s="1"/>
  <c r="P174" i="18" s="1"/>
  <c r="V174" i="18" s="1"/>
  <c r="D174" i="18" s="1"/>
  <c r="E174" i="18" s="1"/>
  <c r="F174" i="18" s="1"/>
  <c r="S25" i="18"/>
  <c r="R25" i="18" s="1"/>
  <c r="P25" i="18" s="1"/>
  <c r="S294" i="18"/>
  <c r="R294" i="18" s="1"/>
  <c r="P294" i="18" s="1"/>
  <c r="V294" i="18" s="1"/>
  <c r="S311" i="18"/>
  <c r="R311" i="18" s="1"/>
  <c r="P311" i="18" s="1"/>
  <c r="V311" i="18" s="1"/>
  <c r="S227" i="18"/>
  <c r="R227" i="18" s="1"/>
  <c r="P227" i="18" s="1"/>
  <c r="V227" i="18" s="1"/>
  <c r="S120" i="18"/>
  <c r="R120" i="18" s="1"/>
  <c r="P120" i="18" s="1"/>
  <c r="S339" i="18"/>
  <c r="R339" i="18" s="1"/>
  <c r="P339" i="18" s="1"/>
  <c r="V339" i="18" s="1"/>
  <c r="S31" i="18"/>
  <c r="R31" i="18" s="1"/>
  <c r="P31" i="18" s="1"/>
  <c r="S84" i="18"/>
  <c r="R84" i="18" s="1"/>
  <c r="P84" i="18" s="1"/>
  <c r="S360" i="18"/>
  <c r="R360" i="18" s="1"/>
  <c r="P360" i="18" s="1"/>
  <c r="V360" i="18" s="1"/>
  <c r="S49" i="18"/>
  <c r="R49" i="18" s="1"/>
  <c r="P49" i="18" s="1"/>
  <c r="S201" i="18"/>
  <c r="R201" i="18" s="1"/>
  <c r="P201" i="18" s="1"/>
  <c r="S165" i="18"/>
  <c r="R165" i="18" s="1"/>
  <c r="P165" i="18" s="1"/>
  <c r="S218" i="18"/>
  <c r="R218" i="18" s="1"/>
  <c r="P218" i="18" s="1"/>
  <c r="S133" i="18"/>
  <c r="R133" i="18" s="1"/>
  <c r="P133" i="18" s="1"/>
  <c r="S156" i="18"/>
  <c r="R156" i="18" s="1"/>
  <c r="P156" i="18" s="1"/>
  <c r="S331" i="18"/>
  <c r="R331" i="18" s="1"/>
  <c r="P331" i="18" s="1"/>
  <c r="V331" i="18" s="1"/>
  <c r="S222" i="18"/>
  <c r="R222" i="18" s="1"/>
  <c r="P222" i="18" s="1"/>
  <c r="S68" i="18"/>
  <c r="R68" i="18" s="1"/>
  <c r="P68" i="18" s="1"/>
  <c r="S177" i="18"/>
  <c r="R177" i="18" s="1"/>
  <c r="P177" i="18" s="1"/>
  <c r="S93" i="18"/>
  <c r="R93" i="18" s="1"/>
  <c r="P93" i="18" s="1"/>
  <c r="S107" i="18"/>
  <c r="R107" i="18" s="1"/>
  <c r="P107" i="18" s="1"/>
  <c r="S308" i="18"/>
  <c r="R308" i="18" s="1"/>
  <c r="P308" i="18" s="1"/>
  <c r="V308" i="18" s="1"/>
  <c r="S166" i="18"/>
  <c r="R166" i="18" s="1"/>
  <c r="P166" i="18" s="1"/>
  <c r="S78" i="18"/>
  <c r="R78" i="18" s="1"/>
  <c r="P78" i="18" s="1"/>
  <c r="S52" i="18"/>
  <c r="R52" i="18" s="1"/>
  <c r="P52" i="18" s="1"/>
  <c r="S179" i="18"/>
  <c r="R179" i="18" s="1"/>
  <c r="P179" i="18" s="1"/>
  <c r="S327" i="18"/>
  <c r="R327" i="18" s="1"/>
  <c r="P327" i="18" s="1"/>
  <c r="V327" i="18" s="1"/>
  <c r="S249" i="18"/>
  <c r="R249" i="18" s="1"/>
  <c r="P249" i="18" s="1"/>
  <c r="S267" i="18"/>
  <c r="R267" i="18" s="1"/>
  <c r="P267" i="18" s="1"/>
  <c r="V267" i="18" s="1"/>
  <c r="D267" i="18" s="1"/>
  <c r="E267" i="18" s="1"/>
  <c r="F267" i="18" s="1"/>
  <c r="S258" i="18"/>
  <c r="R258" i="18" s="1"/>
  <c r="P258" i="18" s="1"/>
  <c r="V258" i="18" s="1"/>
  <c r="S153" i="18"/>
  <c r="R153" i="18" s="1"/>
  <c r="P153" i="18" s="1"/>
  <c r="S60" i="18"/>
  <c r="R60" i="18" s="1"/>
  <c r="P60" i="18" s="1"/>
  <c r="S280" i="18"/>
  <c r="R280" i="18" s="1"/>
  <c r="P280" i="18" s="1"/>
  <c r="S240" i="18"/>
  <c r="R240" i="18" s="1"/>
  <c r="P240" i="18" s="1"/>
  <c r="S34" i="18"/>
  <c r="R34" i="18" s="1"/>
  <c r="P34" i="18" s="1"/>
  <c r="V34" i="18" s="1"/>
  <c r="D34" i="18" s="1"/>
  <c r="E34" i="18" s="1"/>
  <c r="F34" i="18" s="1"/>
  <c r="S333" i="18"/>
  <c r="R333" i="18" s="1"/>
  <c r="P333" i="18" s="1"/>
  <c r="S263" i="18"/>
  <c r="R263" i="18" s="1"/>
  <c r="P263" i="18" s="1"/>
  <c r="S285" i="18"/>
  <c r="R285" i="18" s="1"/>
  <c r="P285" i="18" s="1"/>
  <c r="S146" i="18"/>
  <c r="R146" i="18" s="1"/>
  <c r="P146" i="18" s="1"/>
  <c r="S233" i="18"/>
  <c r="R233" i="18" s="1"/>
  <c r="P233" i="18" s="1"/>
  <c r="S248" i="18"/>
  <c r="R248" i="18" s="1"/>
  <c r="P248" i="18" s="1"/>
  <c r="S121" i="18"/>
  <c r="R121" i="18" s="1"/>
  <c r="P121" i="18" s="1"/>
  <c r="S178" i="18"/>
  <c r="R178" i="18" s="1"/>
  <c r="P178" i="18" s="1"/>
  <c r="S206" i="18"/>
  <c r="R206" i="18" s="1"/>
  <c r="P206" i="18" s="1"/>
  <c r="S131" i="18"/>
  <c r="R131" i="18" s="1"/>
  <c r="P131" i="18" s="1"/>
  <c r="S221" i="18"/>
  <c r="R221" i="18" s="1"/>
  <c r="P221" i="18" s="1"/>
  <c r="S64" i="18"/>
  <c r="R64" i="18" s="1"/>
  <c r="P64" i="18" s="1"/>
  <c r="S44" i="18"/>
  <c r="R44" i="18" s="1"/>
  <c r="P44" i="18" s="1"/>
  <c r="S208" i="18"/>
  <c r="R208" i="18" s="1"/>
  <c r="P208" i="18" s="1"/>
  <c r="S92" i="18"/>
  <c r="R92" i="18" s="1"/>
  <c r="P92" i="18" s="1"/>
  <c r="V92" i="18" s="1"/>
  <c r="D92" i="18" s="1"/>
  <c r="E92" i="18" s="1"/>
  <c r="F92" i="18" s="1"/>
  <c r="S47" i="18"/>
  <c r="R47" i="18" s="1"/>
  <c r="P47" i="18" s="1"/>
  <c r="S100" i="18"/>
  <c r="R100" i="18" s="1"/>
  <c r="P100" i="18" s="1"/>
  <c r="S303" i="18"/>
  <c r="R303" i="18" s="1"/>
  <c r="P303" i="18" s="1"/>
  <c r="V303" i="18" s="1"/>
  <c r="S220" i="18"/>
  <c r="R220" i="18" s="1"/>
  <c r="P220" i="18" s="1"/>
  <c r="S368" i="18"/>
  <c r="R368" i="18" s="1"/>
  <c r="P368" i="18" s="1"/>
  <c r="V368" i="18" s="1"/>
  <c r="S172" i="18"/>
  <c r="R172" i="18" s="1"/>
  <c r="P172" i="18" s="1"/>
  <c r="V172" i="18" s="1"/>
  <c r="D172" i="18" s="1"/>
  <c r="E172" i="18" s="1"/>
  <c r="F172" i="18" s="1"/>
  <c r="S50" i="18"/>
  <c r="R50" i="18" s="1"/>
  <c r="P50" i="18" s="1"/>
  <c r="V50" i="18" s="1"/>
  <c r="D50" i="18" s="1"/>
  <c r="E50" i="18" s="1"/>
  <c r="F50" i="18" s="1"/>
  <c r="S354" i="18"/>
  <c r="R354" i="18" s="1"/>
  <c r="P354" i="18" s="1"/>
  <c r="V354" i="18" s="1"/>
  <c r="S23" i="18"/>
  <c r="R23" i="18" s="1"/>
  <c r="P23" i="18" s="1"/>
  <c r="S35" i="18"/>
  <c r="R35" i="18" s="1"/>
  <c r="P35" i="18" s="1"/>
  <c r="S313" i="18"/>
  <c r="R313" i="18" s="1"/>
  <c r="P313" i="18" s="1"/>
  <c r="V313" i="18" s="1"/>
  <c r="S119" i="18"/>
  <c r="R119" i="18" s="1"/>
  <c r="P119" i="18" s="1"/>
  <c r="S41" i="18"/>
  <c r="R41" i="18" s="1"/>
  <c r="P41" i="18" s="1"/>
  <c r="S187" i="18"/>
  <c r="R187" i="18" s="1"/>
  <c r="P187" i="18" s="1"/>
  <c r="S203" i="18"/>
  <c r="R203" i="18" s="1"/>
  <c r="P203" i="18" s="1"/>
  <c r="S219" i="18"/>
  <c r="R219" i="18" s="1"/>
  <c r="P219" i="18" s="1"/>
  <c r="S232" i="18"/>
  <c r="R232" i="18" s="1"/>
  <c r="P232" i="18" s="1"/>
  <c r="S266" i="18"/>
  <c r="R266" i="18" s="1"/>
  <c r="P266" i="18" s="1"/>
  <c r="S332" i="18"/>
  <c r="R332" i="18" s="1"/>
  <c r="P332" i="18" s="1"/>
  <c r="V332" i="18" s="1"/>
  <c r="S155" i="18"/>
  <c r="R155" i="18" s="1"/>
  <c r="P155" i="18" s="1"/>
  <c r="S312" i="18"/>
  <c r="R312" i="18" s="1"/>
  <c r="P312" i="18" s="1"/>
  <c r="V312" i="18" s="1"/>
  <c r="S79" i="18"/>
  <c r="R79" i="18" s="1"/>
  <c r="P79" i="18" s="1"/>
  <c r="V79" i="18" s="1"/>
  <c r="D79" i="18" s="1"/>
  <c r="E79" i="18" s="1"/>
  <c r="F79" i="18" s="1"/>
  <c r="S345" i="18"/>
  <c r="R345" i="18" s="1"/>
  <c r="P345" i="18" s="1"/>
  <c r="V345" i="18" s="1"/>
  <c r="I88" i="17"/>
  <c r="J88" i="17"/>
  <c r="I15" i="16"/>
  <c r="J15" i="16"/>
  <c r="G13" i="19"/>
  <c r="AB9" i="16"/>
  <c r="F11" i="16"/>
  <c r="G382" i="16"/>
  <c r="G383" i="16"/>
  <c r="G12" i="16" s="1"/>
  <c r="G381" i="16"/>
  <c r="J380" i="20"/>
  <c r="I380" i="20"/>
  <c r="AG239" i="18"/>
  <c r="AF239" i="18" s="1"/>
  <c r="AD239" i="18" s="1"/>
  <c r="AG93" i="18"/>
  <c r="AF93" i="18" s="1"/>
  <c r="AD93" i="18" s="1"/>
  <c r="AG304" i="18"/>
  <c r="AF304" i="18" s="1"/>
  <c r="AD304" i="18" s="1"/>
  <c r="AG35" i="18"/>
  <c r="AF35" i="18" s="1"/>
  <c r="AD35" i="18" s="1"/>
  <c r="AG31" i="18"/>
  <c r="AF31" i="18" s="1"/>
  <c r="AD31" i="18" s="1"/>
  <c r="AG62" i="18"/>
  <c r="AF62" i="18" s="1"/>
  <c r="AD62" i="18" s="1"/>
  <c r="AG336" i="18"/>
  <c r="AF336" i="18" s="1"/>
  <c r="AD336" i="18" s="1"/>
  <c r="AG84" i="18"/>
  <c r="AF84" i="18" s="1"/>
  <c r="AD84" i="18" s="1"/>
  <c r="AG338" i="18"/>
  <c r="AF338" i="18" s="1"/>
  <c r="AD338" i="18" s="1"/>
  <c r="AG372" i="18"/>
  <c r="AF372" i="18" s="1"/>
  <c r="AD372" i="18" s="1"/>
  <c r="AG24" i="18"/>
  <c r="AF24" i="18" s="1"/>
  <c r="AD24" i="18" s="1"/>
  <c r="AG340" i="18"/>
  <c r="AF340" i="18" s="1"/>
  <c r="AD340" i="18" s="1"/>
  <c r="AG272" i="18"/>
  <c r="AF272" i="18" s="1"/>
  <c r="AD272" i="18" s="1"/>
  <c r="AG250" i="18"/>
  <c r="AF250" i="18" s="1"/>
  <c r="AD250" i="18" s="1"/>
  <c r="AG362" i="18"/>
  <c r="AF362" i="18" s="1"/>
  <c r="AD362" i="18" s="1"/>
  <c r="AG180" i="18"/>
  <c r="AF180" i="18" s="1"/>
  <c r="AD180" i="18" s="1"/>
  <c r="AG257" i="18"/>
  <c r="AF257" i="18" s="1"/>
  <c r="AD257" i="18" s="1"/>
  <c r="AG199" i="18"/>
  <c r="AF199" i="18" s="1"/>
  <c r="AD199" i="18" s="1"/>
  <c r="AG329" i="18"/>
  <c r="AF329" i="18" s="1"/>
  <c r="AD329" i="18" s="1"/>
  <c r="AG360" i="18"/>
  <c r="AF360" i="18" s="1"/>
  <c r="AD360" i="18" s="1"/>
  <c r="AG83" i="18"/>
  <c r="AF83" i="18" s="1"/>
  <c r="AD83" i="18" s="1"/>
  <c r="AG226" i="18"/>
  <c r="AF226" i="18" s="1"/>
  <c r="AD226" i="18" s="1"/>
  <c r="AG126" i="18"/>
  <c r="AF126" i="18" s="1"/>
  <c r="AD126" i="18" s="1"/>
  <c r="AG28" i="18"/>
  <c r="AF28" i="18" s="1"/>
  <c r="AD28" i="18" s="1"/>
  <c r="AG49" i="18"/>
  <c r="AF49" i="18" s="1"/>
  <c r="AD49" i="18" s="1"/>
  <c r="AG335" i="18"/>
  <c r="AF335" i="18" s="1"/>
  <c r="AD335" i="18" s="1"/>
  <c r="AG61" i="18"/>
  <c r="AF61" i="18" s="1"/>
  <c r="AD61" i="18" s="1"/>
  <c r="AG176" i="18"/>
  <c r="AF176" i="18" s="1"/>
  <c r="AD176" i="18" s="1"/>
  <c r="AG223" i="18"/>
  <c r="AF223" i="18" s="1"/>
  <c r="AD223" i="18" s="1"/>
  <c r="AG300" i="18"/>
  <c r="AF300" i="18" s="1"/>
  <c r="AD300" i="18" s="1"/>
  <c r="AG98" i="18"/>
  <c r="AF98" i="18" s="1"/>
  <c r="AD98" i="18" s="1"/>
  <c r="AG30" i="18"/>
  <c r="AF30" i="18" s="1"/>
  <c r="AD30" i="18" s="1"/>
  <c r="AG129" i="18"/>
  <c r="AF129" i="18" s="1"/>
  <c r="AD129" i="18" s="1"/>
  <c r="AG201" i="18"/>
  <c r="AF201" i="18" s="1"/>
  <c r="AD201" i="18" s="1"/>
  <c r="AG256" i="18"/>
  <c r="AF256" i="18" s="1"/>
  <c r="AD256" i="18" s="1"/>
  <c r="AG307" i="18"/>
  <c r="AF307" i="18" s="1"/>
  <c r="AD307" i="18" s="1"/>
  <c r="AG324" i="18"/>
  <c r="AF324" i="18" s="1"/>
  <c r="AD324" i="18" s="1"/>
  <c r="AG374" i="18"/>
  <c r="AF374" i="18" s="1"/>
  <c r="AD374" i="18" s="1"/>
  <c r="AG218" i="18"/>
  <c r="AF218" i="18" s="1"/>
  <c r="AD218" i="18" s="1"/>
  <c r="AG95" i="18"/>
  <c r="AF95" i="18" s="1"/>
  <c r="AD95" i="18" s="1"/>
  <c r="AG150" i="18"/>
  <c r="AF150" i="18" s="1"/>
  <c r="AD150" i="18" s="1"/>
  <c r="AG165" i="18"/>
  <c r="AF165" i="18" s="1"/>
  <c r="AD165" i="18" s="1"/>
  <c r="AG96" i="18"/>
  <c r="AF96" i="18" s="1"/>
  <c r="AD96" i="18" s="1"/>
  <c r="AG100" i="18"/>
  <c r="AF100" i="18" s="1"/>
  <c r="AD100" i="18" s="1"/>
  <c r="AG244" i="18"/>
  <c r="AF244" i="18" s="1"/>
  <c r="AD244" i="18" s="1"/>
  <c r="AG50" i="18"/>
  <c r="AF50" i="18" s="1"/>
  <c r="AD50" i="18" s="1"/>
  <c r="AG51" i="18"/>
  <c r="AF51" i="18" s="1"/>
  <c r="AD51" i="18" s="1"/>
  <c r="AG68" i="18"/>
  <c r="AF68" i="18" s="1"/>
  <c r="AD68" i="18" s="1"/>
  <c r="AG322" i="18"/>
  <c r="AF322" i="18" s="1"/>
  <c r="AD322" i="18" s="1"/>
  <c r="AG296" i="18"/>
  <c r="AF296" i="18" s="1"/>
  <c r="AD296" i="18" s="1"/>
  <c r="AG116" i="18"/>
  <c r="AF116" i="18" s="1"/>
  <c r="AD116" i="18" s="1"/>
  <c r="AG277" i="18"/>
  <c r="AF277" i="18" s="1"/>
  <c r="AD277" i="18" s="1"/>
  <c r="AG151" i="18"/>
  <c r="AF151" i="18" s="1"/>
  <c r="AD151" i="18" s="1"/>
  <c r="AG249" i="18"/>
  <c r="AF249" i="18" s="1"/>
  <c r="AD249" i="18" s="1"/>
  <c r="AG219" i="18"/>
  <c r="AF219" i="18" s="1"/>
  <c r="AD219" i="18" s="1"/>
  <c r="AG264" i="18"/>
  <c r="AF264" i="18" s="1"/>
  <c r="AD264" i="18" s="1"/>
  <c r="AG135" i="18"/>
  <c r="AF135" i="18" s="1"/>
  <c r="AD135" i="18" s="1"/>
  <c r="AG169" i="18"/>
  <c r="AF169" i="18" s="1"/>
  <c r="AD169" i="18" s="1"/>
  <c r="AG168" i="18"/>
  <c r="AF168" i="18" s="1"/>
  <c r="AD168" i="18" s="1"/>
  <c r="AG316" i="18"/>
  <c r="AF316" i="18" s="1"/>
  <c r="AD316" i="18" s="1"/>
  <c r="AG295" i="18"/>
  <c r="AF295" i="18" s="1"/>
  <c r="AD295" i="18" s="1"/>
  <c r="AG378" i="18"/>
  <c r="AF378" i="18" s="1"/>
  <c r="AD378" i="18" s="1"/>
  <c r="AG339" i="18"/>
  <c r="AF339" i="18" s="1"/>
  <c r="AD339" i="18" s="1"/>
  <c r="AG208" i="18"/>
  <c r="AF208" i="18" s="1"/>
  <c r="AD208" i="18" s="1"/>
  <c r="AG20" i="18"/>
  <c r="AF20" i="18" s="1"/>
  <c r="AD20" i="18" s="1"/>
  <c r="AG69" i="18"/>
  <c r="AF69" i="18" s="1"/>
  <c r="AD69" i="18" s="1"/>
  <c r="AG177" i="18"/>
  <c r="AF177" i="18" s="1"/>
  <c r="AD177" i="18" s="1"/>
  <c r="AG221" i="18"/>
  <c r="AF221" i="18" s="1"/>
  <c r="AD221" i="18" s="1"/>
  <c r="AG274" i="18"/>
  <c r="AF274" i="18" s="1"/>
  <c r="AD274" i="18" s="1"/>
  <c r="AG367" i="18"/>
  <c r="AF367" i="18" s="1"/>
  <c r="AD367" i="18" s="1"/>
  <c r="AG342" i="18"/>
  <c r="AF342" i="18" s="1"/>
  <c r="AD342" i="18" s="1"/>
  <c r="AG365" i="18"/>
  <c r="AF365" i="18" s="1"/>
  <c r="AD365" i="18" s="1"/>
  <c r="AG347" i="18"/>
  <c r="AF347" i="18" s="1"/>
  <c r="AD347" i="18" s="1"/>
  <c r="AG38" i="18"/>
  <c r="AF38" i="18" s="1"/>
  <c r="AD38" i="18" s="1"/>
  <c r="AG123" i="18"/>
  <c r="AF123" i="18" s="1"/>
  <c r="AD123" i="18" s="1"/>
  <c r="AG230" i="18"/>
  <c r="AF230" i="18" s="1"/>
  <c r="AD230" i="18" s="1"/>
  <c r="AG138" i="18"/>
  <c r="AF138" i="18" s="1"/>
  <c r="AD138" i="18" s="1"/>
  <c r="AG148" i="18"/>
  <c r="AF148" i="18" s="1"/>
  <c r="AD148" i="18" s="1"/>
  <c r="AG241" i="18"/>
  <c r="AF241" i="18" s="1"/>
  <c r="AD241" i="18" s="1"/>
  <c r="AG288" i="18"/>
  <c r="AF288" i="18" s="1"/>
  <c r="AD288" i="18" s="1"/>
  <c r="AI12" i="20"/>
  <c r="AH379" i="18"/>
  <c r="AH381" i="18" s="1"/>
  <c r="AG351" i="18"/>
  <c r="AF351" i="18" s="1"/>
  <c r="AD351" i="18" s="1"/>
  <c r="AG141" i="18"/>
  <c r="AF141" i="18" s="1"/>
  <c r="AD141" i="18" s="1"/>
  <c r="AG91" i="18"/>
  <c r="AF91" i="18" s="1"/>
  <c r="AD91" i="18" s="1"/>
  <c r="AG248" i="18"/>
  <c r="AF248" i="18" s="1"/>
  <c r="AD248" i="18" s="1"/>
  <c r="AG26" i="18"/>
  <c r="AF26" i="18" s="1"/>
  <c r="AD26" i="18" s="1"/>
  <c r="AG39" i="18"/>
  <c r="AF39" i="18" s="1"/>
  <c r="AD39" i="18" s="1"/>
  <c r="AG211" i="18"/>
  <c r="AF211" i="18" s="1"/>
  <c r="AD211" i="18" s="1"/>
  <c r="AG254" i="18"/>
  <c r="AF254" i="18" s="1"/>
  <c r="AD254" i="18" s="1"/>
  <c r="AG113" i="18"/>
  <c r="AF113" i="18" s="1"/>
  <c r="AD113" i="18" s="1"/>
  <c r="AG189" i="18"/>
  <c r="AF189" i="18" s="1"/>
  <c r="AD189" i="18" s="1"/>
  <c r="AG321" i="18"/>
  <c r="AF321" i="18" s="1"/>
  <c r="AD321" i="18" s="1"/>
  <c r="S42" i="18"/>
  <c r="R42" i="18" s="1"/>
  <c r="P42" i="18" s="1"/>
  <c r="S169" i="18"/>
  <c r="R169" i="18" s="1"/>
  <c r="P169" i="18" s="1"/>
  <c r="S193" i="18"/>
  <c r="R193" i="18" s="1"/>
  <c r="P193" i="18" s="1"/>
  <c r="S36" i="18"/>
  <c r="R36" i="18" s="1"/>
  <c r="P36" i="18" s="1"/>
  <c r="S328" i="18"/>
  <c r="R328" i="18" s="1"/>
  <c r="P328" i="18" s="1"/>
  <c r="V328" i="18" s="1"/>
  <c r="S113" i="18"/>
  <c r="R113" i="18" s="1"/>
  <c r="P113" i="18" s="1"/>
  <c r="S255" i="18"/>
  <c r="R255" i="18" s="1"/>
  <c r="P255" i="18" s="1"/>
  <c r="S212" i="18"/>
  <c r="R212" i="18" s="1"/>
  <c r="P212" i="18" s="1"/>
  <c r="V212" i="18" s="1"/>
  <c r="D212" i="18" s="1"/>
  <c r="E212" i="18" s="1"/>
  <c r="F212" i="18" s="1"/>
  <c r="S109" i="18"/>
  <c r="R109" i="18" s="1"/>
  <c r="P109" i="18" s="1"/>
  <c r="V109" i="18" s="1"/>
  <c r="D109" i="18" s="1"/>
  <c r="E109" i="18" s="1"/>
  <c r="F109" i="18" s="1"/>
  <c r="S272" i="18"/>
  <c r="R272" i="18" s="1"/>
  <c r="P272" i="18" s="1"/>
  <c r="S316" i="18"/>
  <c r="R316" i="18" s="1"/>
  <c r="P316" i="18" s="1"/>
  <c r="V316" i="18" s="1"/>
  <c r="S334" i="18"/>
  <c r="R334" i="18" s="1"/>
  <c r="P334" i="18" s="1"/>
  <c r="V334" i="18" s="1"/>
  <c r="S27" i="18"/>
  <c r="R27" i="18" s="1"/>
  <c r="P27" i="18" s="1"/>
  <c r="S234" i="18"/>
  <c r="R234" i="18" s="1"/>
  <c r="P234" i="18" s="1"/>
  <c r="S268" i="18"/>
  <c r="R268" i="18" s="1"/>
  <c r="P268" i="18" s="1"/>
  <c r="S87" i="18"/>
  <c r="R87" i="18" s="1"/>
  <c r="P87" i="18" s="1"/>
  <c r="S144" i="18"/>
  <c r="R144" i="18" s="1"/>
  <c r="P144" i="18" s="1"/>
  <c r="S375" i="18"/>
  <c r="R375" i="18" s="1"/>
  <c r="P375" i="18" s="1"/>
  <c r="V375" i="18" s="1"/>
  <c r="S322" i="18"/>
  <c r="R322" i="18" s="1"/>
  <c r="P322" i="18" s="1"/>
  <c r="V322" i="18" s="1"/>
  <c r="S289" i="18"/>
  <c r="R289" i="18" s="1"/>
  <c r="P289" i="18" s="1"/>
  <c r="V289" i="18" s="1"/>
  <c r="S286" i="18"/>
  <c r="R286" i="18" s="1"/>
  <c r="P286" i="18" s="1"/>
  <c r="S150" i="18"/>
  <c r="R150" i="18" s="1"/>
  <c r="P150" i="18" s="1"/>
  <c r="S246" i="18"/>
  <c r="R246" i="18" s="1"/>
  <c r="P246" i="18" s="1"/>
  <c r="V246" i="18" s="1"/>
  <c r="D246" i="18" s="1"/>
  <c r="E246" i="18" s="1"/>
  <c r="F246" i="18" s="1"/>
  <c r="S371" i="18"/>
  <c r="R371" i="18" s="1"/>
  <c r="P371" i="18" s="1"/>
  <c r="V371" i="18" s="1"/>
  <c r="S275" i="18"/>
  <c r="R275" i="18" s="1"/>
  <c r="P275" i="18" s="1"/>
  <c r="S163" i="18"/>
  <c r="R163" i="18" s="1"/>
  <c r="P163" i="18" s="1"/>
  <c r="S342" i="18"/>
  <c r="R342" i="18" s="1"/>
  <c r="P342" i="18" s="1"/>
  <c r="V342" i="18" s="1"/>
  <c r="S102" i="18"/>
  <c r="R102" i="18" s="1"/>
  <c r="P102" i="18" s="1"/>
  <c r="S319" i="18"/>
  <c r="R319" i="18" s="1"/>
  <c r="P319" i="18" s="1"/>
  <c r="V319" i="18" s="1"/>
  <c r="S241" i="18"/>
  <c r="R241" i="18" s="1"/>
  <c r="P241" i="18" s="1"/>
  <c r="S115" i="18"/>
  <c r="R115" i="18" s="1"/>
  <c r="P115" i="18" s="1"/>
  <c r="S30" i="18"/>
  <c r="R30" i="18" s="1"/>
  <c r="P30" i="18" s="1"/>
  <c r="S189" i="18"/>
  <c r="R189" i="18" s="1"/>
  <c r="P189" i="18" s="1"/>
  <c r="S224" i="18"/>
  <c r="R224" i="18" s="1"/>
  <c r="P224" i="18" s="1"/>
  <c r="S39" i="18"/>
  <c r="R39" i="18" s="1"/>
  <c r="P39" i="18" s="1"/>
  <c r="S173" i="18"/>
  <c r="R173" i="18" s="1"/>
  <c r="P173" i="18" s="1"/>
  <c r="S296" i="18"/>
  <c r="R296" i="18" s="1"/>
  <c r="P296" i="18" s="1"/>
  <c r="V296" i="18" s="1"/>
  <c r="S20" i="18"/>
  <c r="R20" i="18" s="1"/>
  <c r="P20" i="18" s="1"/>
  <c r="S344" i="18"/>
  <c r="R344" i="18" s="1"/>
  <c r="P344" i="18" s="1"/>
  <c r="V344" i="18" s="1"/>
  <c r="S89" i="18"/>
  <c r="R89" i="18" s="1"/>
  <c r="P89" i="18" s="1"/>
  <c r="I363" i="17"/>
  <c r="J363" i="17"/>
  <c r="J258" i="17"/>
  <c r="I258" i="17"/>
  <c r="I166" i="17"/>
  <c r="J166" i="17"/>
  <c r="S278" i="18"/>
  <c r="R278" i="18" s="1"/>
  <c r="P278" i="18" s="1"/>
  <c r="S359" i="18"/>
  <c r="R359" i="18" s="1"/>
  <c r="P359" i="18" s="1"/>
  <c r="V359" i="18" s="1"/>
  <c r="S63" i="18"/>
  <c r="R63" i="18" s="1"/>
  <c r="P63" i="18" s="1"/>
  <c r="S132" i="18"/>
  <c r="R132" i="18" s="1"/>
  <c r="P132" i="18" s="1"/>
  <c r="S51" i="18"/>
  <c r="R51" i="18" s="1"/>
  <c r="P51" i="18" s="1"/>
  <c r="S135" i="18"/>
  <c r="R135" i="18" s="1"/>
  <c r="P135" i="18" s="1"/>
  <c r="S365" i="18"/>
  <c r="R365" i="18" s="1"/>
  <c r="P365" i="18" s="1"/>
  <c r="V365" i="18" s="1"/>
  <c r="S274" i="18"/>
  <c r="R274" i="18" s="1"/>
  <c r="P274" i="18" s="1"/>
  <c r="S158" i="18"/>
  <c r="R158" i="18" s="1"/>
  <c r="P158" i="18" s="1"/>
  <c r="S271" i="18"/>
  <c r="R271" i="18" s="1"/>
  <c r="P271" i="18" s="1"/>
  <c r="V271" i="18" s="1"/>
  <c r="D271" i="18" s="1"/>
  <c r="E271" i="18" s="1"/>
  <c r="F271" i="18" s="1"/>
  <c r="S376" i="18"/>
  <c r="R376" i="18" s="1"/>
  <c r="P376" i="18" s="1"/>
  <c r="V376" i="18" s="1"/>
  <c r="S160" i="18"/>
  <c r="R160" i="18" s="1"/>
  <c r="P160" i="18" s="1"/>
  <c r="S353" i="18"/>
  <c r="R353" i="18" s="1"/>
  <c r="P353" i="18" s="1"/>
  <c r="V353" i="18" s="1"/>
  <c r="S362" i="18"/>
  <c r="R362" i="18" s="1"/>
  <c r="P362" i="18" s="1"/>
  <c r="V362" i="18" s="1"/>
  <c r="S223" i="18"/>
  <c r="R223" i="18" s="1"/>
  <c r="P223" i="18" s="1"/>
  <c r="S73" i="18"/>
  <c r="R73" i="18" s="1"/>
  <c r="P73" i="18" s="1"/>
  <c r="S195" i="18"/>
  <c r="R195" i="18" s="1"/>
  <c r="P195" i="18" s="1"/>
  <c r="S238" i="18"/>
  <c r="R238" i="18" s="1"/>
  <c r="P238" i="18" s="1"/>
  <c r="S242" i="18"/>
  <c r="R242" i="18" s="1"/>
  <c r="P242" i="18" s="1"/>
  <c r="S164" i="18"/>
  <c r="R164" i="18" s="1"/>
  <c r="P164" i="18" s="1"/>
  <c r="S199" i="18"/>
  <c r="R199" i="18" s="1"/>
  <c r="P199" i="18" s="1"/>
  <c r="S122" i="18"/>
  <c r="R122" i="18" s="1"/>
  <c r="P122" i="18" s="1"/>
  <c r="S336" i="18"/>
  <c r="R336" i="18" s="1"/>
  <c r="P336" i="18" s="1"/>
  <c r="V336" i="18" s="1"/>
  <c r="S370" i="18"/>
  <c r="R370" i="18" s="1"/>
  <c r="P370" i="18" s="1"/>
  <c r="V370" i="18" s="1"/>
  <c r="S90" i="18"/>
  <c r="R90" i="18" s="1"/>
  <c r="P90" i="18" s="1"/>
  <c r="S190" i="18"/>
  <c r="R190" i="18" s="1"/>
  <c r="P190" i="18" s="1"/>
  <c r="S237" i="18"/>
  <c r="R237" i="18" s="1"/>
  <c r="P237" i="18" s="1"/>
  <c r="S98" i="18"/>
  <c r="R98" i="18" s="1"/>
  <c r="P98" i="18" s="1"/>
  <c r="S126" i="18"/>
  <c r="R126" i="18" s="1"/>
  <c r="P126" i="18" s="1"/>
  <c r="S310" i="18"/>
  <c r="R310" i="18" s="1"/>
  <c r="P310" i="18" s="1"/>
  <c r="V310" i="18" s="1"/>
  <c r="S65" i="18"/>
  <c r="R65" i="18" s="1"/>
  <c r="P65" i="18" s="1"/>
  <c r="S95" i="18"/>
  <c r="R95" i="18" s="1"/>
  <c r="P95" i="18" s="1"/>
  <c r="S307" i="18"/>
  <c r="R307" i="18" s="1"/>
  <c r="P307" i="18" s="1"/>
  <c r="V307" i="18" s="1"/>
  <c r="S292" i="18"/>
  <c r="R292" i="18" s="1"/>
  <c r="P292" i="18" s="1"/>
  <c r="V292" i="18" s="1"/>
  <c r="S366" i="18"/>
  <c r="R366" i="18" s="1"/>
  <c r="P366" i="18" s="1"/>
  <c r="V366" i="18" s="1"/>
  <c r="S17" i="18"/>
  <c r="R17" i="18" s="1"/>
  <c r="P17" i="18" s="1"/>
  <c r="S175" i="18"/>
  <c r="R175" i="18" s="1"/>
  <c r="P175" i="18" s="1"/>
  <c r="S245" i="18"/>
  <c r="R245" i="18" s="1"/>
  <c r="P245" i="18" s="1"/>
  <c r="S340" i="18"/>
  <c r="R340" i="18" s="1"/>
  <c r="P340" i="18" s="1"/>
  <c r="V340" i="18" s="1"/>
  <c r="S299" i="18"/>
  <c r="R299" i="18" s="1"/>
  <c r="P299" i="18" s="1"/>
  <c r="V299" i="18" s="1"/>
  <c r="S191" i="18"/>
  <c r="R191" i="18" s="1"/>
  <c r="P191" i="18" s="1"/>
  <c r="S134" i="18"/>
  <c r="R134" i="18" s="1"/>
  <c r="P134" i="18" s="1"/>
  <c r="V134" i="18" s="1"/>
  <c r="D134" i="18" s="1"/>
  <c r="E134" i="18" s="1"/>
  <c r="F134" i="18" s="1"/>
  <c r="S71" i="18"/>
  <c r="R71" i="18" s="1"/>
  <c r="P71" i="18" s="1"/>
  <c r="V71" i="18" s="1"/>
  <c r="D71" i="18" s="1"/>
  <c r="E71" i="18" s="1"/>
  <c r="F71" i="18" s="1"/>
  <c r="S22" i="18"/>
  <c r="R22" i="18" s="1"/>
  <c r="P22" i="18" s="1"/>
  <c r="S110" i="18"/>
  <c r="R110" i="18" s="1"/>
  <c r="P110" i="18" s="1"/>
  <c r="S106" i="18"/>
  <c r="R106" i="18" s="1"/>
  <c r="P106" i="18" s="1"/>
  <c r="S170" i="18"/>
  <c r="R170" i="18" s="1"/>
  <c r="P170" i="18" s="1"/>
  <c r="V170" i="18" s="1"/>
  <c r="D170" i="18" s="1"/>
  <c r="E170" i="18" s="1"/>
  <c r="F170" i="18" s="1"/>
  <c r="S94" i="18"/>
  <c r="R94" i="18" s="1"/>
  <c r="P94" i="18" s="1"/>
  <c r="S226" i="18"/>
  <c r="R226" i="18" s="1"/>
  <c r="P226" i="18" s="1"/>
  <c r="S236" i="18"/>
  <c r="R236" i="18" s="1"/>
  <c r="P236" i="18" s="1"/>
  <c r="S59" i="18"/>
  <c r="R59" i="18" s="1"/>
  <c r="P59" i="18" s="1"/>
  <c r="I145" i="17"/>
  <c r="J145" i="17"/>
  <c r="AL7" i="16"/>
  <c r="Z381" i="16"/>
  <c r="Z9" i="16"/>
  <c r="Z383" i="16"/>
  <c r="Y15" i="16"/>
  <c r="AL6" i="16" s="1"/>
  <c r="AL12" i="16" s="1"/>
  <c r="AJ4" i="16" s="1"/>
  <c r="P13" i="19" s="1"/>
  <c r="Z382" i="16"/>
  <c r="I46" i="17"/>
  <c r="J46" i="17"/>
  <c r="I148" i="17"/>
  <c r="J148" i="17"/>
  <c r="AG15" i="18"/>
  <c r="AI381" i="18"/>
  <c r="I364" i="17"/>
  <c r="J364" i="17"/>
  <c r="I47" i="17"/>
  <c r="J47" i="17"/>
  <c r="I21" i="17"/>
  <c r="J21" i="17"/>
  <c r="I142" i="17"/>
  <c r="J142" i="17"/>
  <c r="J362" i="17"/>
  <c r="I362" i="17"/>
  <c r="I80" i="17"/>
  <c r="J80" i="17"/>
  <c r="Q168" i="20"/>
  <c r="D180" i="18"/>
  <c r="E180" i="18" s="1"/>
  <c r="W180" i="18"/>
  <c r="D119" i="18"/>
  <c r="E119" i="18" s="1"/>
  <c r="W119" i="18"/>
  <c r="W88" i="18"/>
  <c r="D88" i="18"/>
  <c r="E88" i="18" s="1"/>
  <c r="Q184" i="20"/>
  <c r="Q54" i="20"/>
  <c r="Q245" i="20"/>
  <c r="Q100" i="20"/>
  <c r="Q204" i="20"/>
  <c r="Q62" i="20"/>
  <c r="Q55" i="20"/>
  <c r="Q252" i="20"/>
  <c r="Q83" i="20"/>
  <c r="Q15" i="20"/>
  <c r="Q244" i="20"/>
  <c r="Q28" i="20"/>
  <c r="Q84" i="20"/>
  <c r="Q94" i="20"/>
  <c r="Q291" i="20"/>
  <c r="AI15" i="7"/>
  <c r="AE320" i="20"/>
  <c r="AE234" i="20"/>
  <c r="AE80" i="20"/>
  <c r="AE319" i="20"/>
  <c r="AE185" i="20"/>
  <c r="AE25" i="20"/>
  <c r="AE214" i="20"/>
  <c r="AE112" i="20"/>
  <c r="AE359" i="20"/>
  <c r="AE231" i="20"/>
  <c r="AE111" i="20"/>
  <c r="AE368" i="20"/>
  <c r="AE276" i="20"/>
  <c r="AE166" i="20"/>
  <c r="AE377" i="20"/>
  <c r="AE251" i="20"/>
  <c r="AE115" i="20"/>
  <c r="AE308" i="20"/>
  <c r="AE146" i="20"/>
  <c r="AE38" i="20"/>
  <c r="AE275" i="20"/>
  <c r="AE151" i="20"/>
  <c r="AE61" i="20"/>
  <c r="AE312" i="20"/>
  <c r="AE230" i="20"/>
  <c r="AE76" i="20"/>
  <c r="AE311" i="20"/>
  <c r="AE177" i="20"/>
  <c r="AE21" i="20"/>
  <c r="AE196" i="20"/>
  <c r="AE98" i="20"/>
  <c r="AE335" i="20"/>
  <c r="AE207" i="20"/>
  <c r="AE91" i="20"/>
  <c r="AE344" i="20"/>
  <c r="AE252" i="20"/>
  <c r="AE132" i="20"/>
  <c r="AE353" i="20"/>
  <c r="AE225" i="20"/>
  <c r="AE47" i="20"/>
  <c r="AE262" i="20"/>
  <c r="AE126" i="20"/>
  <c r="AE15" i="20"/>
  <c r="AE249" i="20"/>
  <c r="AE137" i="20"/>
  <c r="AE45" i="20"/>
  <c r="AE288" i="20"/>
  <c r="AE184" i="20"/>
  <c r="AE30" i="20"/>
  <c r="AE269" i="20"/>
  <c r="AE125" i="20"/>
  <c r="AE356" i="20"/>
  <c r="AE178" i="20"/>
  <c r="AE68" i="20"/>
  <c r="AE309" i="20"/>
  <c r="AE187" i="20"/>
  <c r="AE79" i="20"/>
  <c r="AE326" i="20"/>
  <c r="AE240" i="20"/>
  <c r="AE94" i="20"/>
  <c r="AE331" i="20"/>
  <c r="AE201" i="20"/>
  <c r="AE31" i="20"/>
  <c r="AE208" i="20"/>
  <c r="AE110" i="20"/>
  <c r="AE355" i="20"/>
  <c r="AE227" i="20"/>
  <c r="AE105" i="20"/>
  <c r="AE378" i="20"/>
  <c r="AE284" i="20"/>
  <c r="AE176" i="20"/>
  <c r="AE22" i="20"/>
  <c r="AE261" i="20"/>
  <c r="AE121" i="20"/>
  <c r="AE334" i="20"/>
  <c r="AE152" i="20"/>
  <c r="AE44" i="20"/>
  <c r="AE285" i="20"/>
  <c r="AE161" i="20"/>
  <c r="AE67" i="20"/>
  <c r="AE310" i="20"/>
  <c r="AE228" i="20"/>
  <c r="AE72" i="20"/>
  <c r="AE307" i="20"/>
  <c r="AE173" i="20"/>
  <c r="AE17" i="20"/>
  <c r="AE194" i="20"/>
  <c r="AE92" i="20"/>
  <c r="AE329" i="20"/>
  <c r="AE203" i="20"/>
  <c r="AE89" i="20"/>
  <c r="AE342" i="20"/>
  <c r="AE250" i="20"/>
  <c r="AE130" i="20"/>
  <c r="AE349" i="20"/>
  <c r="AE221" i="20"/>
  <c r="AE41" i="20"/>
  <c r="AE272" i="20"/>
  <c r="AE140" i="20"/>
  <c r="AE28" i="20"/>
  <c r="AE263" i="20"/>
  <c r="AE145" i="20"/>
  <c r="AE55" i="20"/>
  <c r="AE296" i="20"/>
  <c r="AE210" i="20"/>
  <c r="AE48" i="20"/>
  <c r="AE283" i="20"/>
  <c r="AE139" i="20"/>
  <c r="AE354" i="20"/>
  <c r="AE172" i="20"/>
  <c r="AE64" i="20"/>
  <c r="AE305" i="20"/>
  <c r="AE183" i="20"/>
  <c r="AE77" i="20"/>
  <c r="AE332" i="20"/>
  <c r="AE246" i="20"/>
  <c r="AE122" i="20"/>
  <c r="AE341" i="20"/>
  <c r="AE213" i="20"/>
  <c r="AE37" i="20"/>
  <c r="AE222" i="20"/>
  <c r="AE116" i="20"/>
  <c r="AE365" i="20"/>
  <c r="AE237" i="20"/>
  <c r="AE127" i="20"/>
  <c r="AE376" i="20"/>
  <c r="AE282" i="20"/>
  <c r="AE174" i="20"/>
  <c r="AE19" i="20"/>
  <c r="AE257" i="20"/>
  <c r="AE119" i="20"/>
  <c r="AE316" i="20"/>
  <c r="AE150" i="20"/>
  <c r="AE42" i="20"/>
  <c r="AE281" i="20"/>
  <c r="AE159" i="20"/>
  <c r="AE65" i="20"/>
  <c r="AE306" i="20"/>
  <c r="AE226" i="20"/>
  <c r="AE70" i="20"/>
  <c r="AE303" i="20"/>
  <c r="AE169" i="20"/>
  <c r="AE16" i="20"/>
  <c r="AE200" i="20"/>
  <c r="AE104" i="20"/>
  <c r="AE343" i="20"/>
  <c r="AE215" i="20"/>
  <c r="AE95" i="20"/>
  <c r="AE352" i="20"/>
  <c r="AE260" i="20"/>
  <c r="AE138" i="20"/>
  <c r="AE363" i="20"/>
  <c r="AE235" i="20"/>
  <c r="AE99" i="20"/>
  <c r="AE270" i="20"/>
  <c r="AE136" i="20"/>
  <c r="AE26" i="20"/>
  <c r="AE259" i="20"/>
  <c r="AE143" i="20"/>
  <c r="AE53" i="20"/>
  <c r="AE302" i="20"/>
  <c r="AE220" i="20"/>
  <c r="AE60" i="20"/>
  <c r="AE295" i="20"/>
  <c r="AE163" i="20"/>
  <c r="AE364" i="20"/>
  <c r="AE186" i="20"/>
  <c r="AE82" i="20"/>
  <c r="AE317" i="20"/>
  <c r="AE195" i="20"/>
  <c r="AE83" i="20"/>
  <c r="AE330" i="20"/>
  <c r="AE244" i="20"/>
  <c r="AE102" i="20"/>
  <c r="AE337" i="20"/>
  <c r="AE209" i="20"/>
  <c r="AE35" i="20"/>
  <c r="AE216" i="20"/>
  <c r="AE114" i="20"/>
  <c r="AE361" i="20"/>
  <c r="AE233" i="20"/>
  <c r="AE113" i="20"/>
  <c r="AE374" i="20"/>
  <c r="AE280" i="20"/>
  <c r="AE168" i="20"/>
  <c r="AE379" i="20"/>
  <c r="AE255" i="20"/>
  <c r="AE117" i="20"/>
  <c r="AE340" i="20"/>
  <c r="AE162" i="20"/>
  <c r="AE52" i="20"/>
  <c r="AE293" i="20"/>
  <c r="AE171" i="20"/>
  <c r="AE71" i="20"/>
  <c r="AE318" i="20"/>
  <c r="AE232" i="20"/>
  <c r="AE78" i="20"/>
  <c r="AE315" i="20"/>
  <c r="AE181" i="20"/>
  <c r="AE23" i="20"/>
  <c r="AE198" i="20"/>
  <c r="AE100" i="20"/>
  <c r="AE339" i="20"/>
  <c r="AE211" i="20"/>
  <c r="AE93" i="20"/>
  <c r="AE366" i="20"/>
  <c r="AE274" i="20"/>
  <c r="AE160" i="20"/>
  <c r="AE373" i="20"/>
  <c r="AE247" i="20"/>
  <c r="AE109" i="20"/>
  <c r="AE290" i="20"/>
  <c r="AE144" i="20"/>
  <c r="AE36" i="20"/>
  <c r="AE271" i="20"/>
  <c r="AE149" i="20"/>
  <c r="AE59" i="20"/>
  <c r="AE300" i="20"/>
  <c r="AE218" i="20"/>
  <c r="AE58" i="20"/>
  <c r="AE291" i="20"/>
  <c r="AE157" i="20"/>
  <c r="AE362" i="20"/>
  <c r="AE180" i="20"/>
  <c r="AE74" i="20"/>
  <c r="AE313" i="20"/>
  <c r="AE191" i="20"/>
  <c r="AE81" i="20"/>
  <c r="AE328" i="20"/>
  <c r="AE242" i="20"/>
  <c r="AE96" i="20"/>
  <c r="AE333" i="20"/>
  <c r="AE205" i="20"/>
  <c r="AE33" i="20"/>
  <c r="AE256" i="20"/>
  <c r="AE120" i="20"/>
  <c r="AE375" i="20"/>
  <c r="AE245" i="20"/>
  <c r="AE135" i="20"/>
  <c r="AE43" i="20"/>
  <c r="AE286" i="20"/>
  <c r="AE182" i="20"/>
  <c r="AE24" i="20"/>
  <c r="AE265" i="20"/>
  <c r="AE123" i="20"/>
  <c r="AE336" i="20"/>
  <c r="AE158" i="20"/>
  <c r="AE50" i="20"/>
  <c r="AE289" i="20"/>
  <c r="AE167" i="20"/>
  <c r="AE69" i="20"/>
  <c r="AE324" i="20"/>
  <c r="AE238" i="20"/>
  <c r="AE88" i="20"/>
  <c r="AE327" i="20"/>
  <c r="AE193" i="20"/>
  <c r="AE29" i="20"/>
  <c r="AE206" i="20"/>
  <c r="AE108" i="20"/>
  <c r="AE351" i="20"/>
  <c r="AE223" i="20"/>
  <c r="AE103" i="20"/>
  <c r="AE360" i="20"/>
  <c r="AE268" i="20"/>
  <c r="AE156" i="20"/>
  <c r="AE369" i="20"/>
  <c r="AE243" i="20"/>
  <c r="AE107" i="20"/>
  <c r="AE278" i="20"/>
  <c r="AE142" i="20"/>
  <c r="AE34" i="20"/>
  <c r="AE267" i="20"/>
  <c r="AE147" i="20"/>
  <c r="AE57" i="20"/>
  <c r="AE298" i="20"/>
  <c r="AE212" i="20"/>
  <c r="AE54" i="20"/>
  <c r="AE287" i="20"/>
  <c r="AE155" i="20"/>
  <c r="AE372" i="20"/>
  <c r="AE192" i="20"/>
  <c r="AE90" i="20"/>
  <c r="AE325" i="20"/>
  <c r="AE199" i="20"/>
  <c r="AE87" i="20"/>
  <c r="AE338" i="20"/>
  <c r="AE248" i="20"/>
  <c r="AE124" i="20"/>
  <c r="AE345" i="20"/>
  <c r="AE217" i="20"/>
  <c r="AE39" i="20"/>
  <c r="AE254" i="20"/>
  <c r="AE118" i="20"/>
  <c r="AE371" i="20"/>
  <c r="AE241" i="20"/>
  <c r="AE129" i="20"/>
  <c r="AE18" i="20"/>
  <c r="AE294" i="20"/>
  <c r="AE204" i="20"/>
  <c r="AE46" i="20"/>
  <c r="AE277" i="20"/>
  <c r="AE133" i="20"/>
  <c r="AE348" i="20"/>
  <c r="AE170" i="20"/>
  <c r="AE62" i="20"/>
  <c r="AE301" i="20"/>
  <c r="AE179" i="20"/>
  <c r="AE75" i="20"/>
  <c r="AE322" i="20"/>
  <c r="AE236" i="20"/>
  <c r="AE86" i="20"/>
  <c r="AE323" i="20"/>
  <c r="AE189" i="20"/>
  <c r="AE27" i="20"/>
  <c r="AE202" i="20"/>
  <c r="AE106" i="20"/>
  <c r="AE347" i="20"/>
  <c r="AE219" i="20"/>
  <c r="AE97" i="20"/>
  <c r="AE358" i="20"/>
  <c r="AE266" i="20"/>
  <c r="AE154" i="20"/>
  <c r="AE367" i="20"/>
  <c r="AE239" i="20"/>
  <c r="AE101" i="20"/>
  <c r="AE314" i="20"/>
  <c r="AE148" i="20"/>
  <c r="AE40" i="20"/>
  <c r="AE279" i="20"/>
  <c r="AE153" i="20"/>
  <c r="AE63" i="20"/>
  <c r="AE304" i="20"/>
  <c r="AE224" i="20"/>
  <c r="AE66" i="20"/>
  <c r="AE299" i="20"/>
  <c r="AE165" i="20"/>
  <c r="AE370" i="20"/>
  <c r="AE188" i="20"/>
  <c r="AE84" i="20"/>
  <c r="AE321" i="20"/>
  <c r="AE197" i="20"/>
  <c r="AE85" i="20"/>
  <c r="AE350" i="20"/>
  <c r="AE258" i="20"/>
  <c r="AE134" i="20"/>
  <c r="AE357" i="20"/>
  <c r="AE229" i="20"/>
  <c r="AE49" i="20"/>
  <c r="AE264" i="20"/>
  <c r="AE128" i="20"/>
  <c r="AE20" i="20"/>
  <c r="AE253" i="20"/>
  <c r="AE141" i="20"/>
  <c r="AE51" i="20"/>
  <c r="AE292" i="20"/>
  <c r="AE190" i="20"/>
  <c r="AE32" i="20"/>
  <c r="AE273" i="20"/>
  <c r="AE131" i="20"/>
  <c r="AE346" i="20"/>
  <c r="AE164" i="20"/>
  <c r="AE56" i="20"/>
  <c r="AE297" i="20"/>
  <c r="AE175" i="20"/>
  <c r="AE73" i="20"/>
  <c r="AH15" i="7" l="1"/>
  <c r="J227" i="17"/>
  <c r="J37" i="19"/>
  <c r="H36" i="19"/>
  <c r="F12" i="19"/>
  <c r="AH383" i="18"/>
  <c r="AH382" i="18"/>
  <c r="I174" i="17"/>
  <c r="H174" i="18" s="1"/>
  <c r="D13" i="19"/>
  <c r="G37" i="19"/>
  <c r="U10" i="20"/>
  <c r="U195" i="20" s="1"/>
  <c r="T195" i="20" s="1"/>
  <c r="AL10" i="17"/>
  <c r="AL8" i="17"/>
  <c r="H71" i="18"/>
  <c r="AA71" i="18"/>
  <c r="Z71" i="18" s="1"/>
  <c r="Y71" i="18" s="1"/>
  <c r="G71" i="18"/>
  <c r="CA71" i="6" s="1"/>
  <c r="V191" i="18"/>
  <c r="F191" i="18" s="1"/>
  <c r="V175" i="18"/>
  <c r="F175" i="18" s="1"/>
  <c r="D307" i="18"/>
  <c r="E307" i="18" s="1"/>
  <c r="F307" i="18" s="1"/>
  <c r="W307" i="18"/>
  <c r="V126" i="18"/>
  <c r="F126" i="18" s="1"/>
  <c r="W336" i="18"/>
  <c r="D336" i="18"/>
  <c r="E336" i="18" s="1"/>
  <c r="F336" i="18" s="1"/>
  <c r="V242" i="18"/>
  <c r="F242" i="18" s="1"/>
  <c r="V223" i="18"/>
  <c r="F223" i="18" s="1"/>
  <c r="W376" i="18"/>
  <c r="D376" i="18"/>
  <c r="E376" i="18" s="1"/>
  <c r="F376" i="18" s="1"/>
  <c r="W365" i="18"/>
  <c r="D365" i="18"/>
  <c r="E365" i="18" s="1"/>
  <c r="F365" i="18" s="1"/>
  <c r="V63" i="18"/>
  <c r="F63" i="18" s="1"/>
  <c r="V236" i="18"/>
  <c r="F236" i="18" s="1"/>
  <c r="V94" i="18"/>
  <c r="F94" i="18" s="1"/>
  <c r="V106" i="18"/>
  <c r="F106" i="18" s="1"/>
  <c r="V22" i="18"/>
  <c r="F22" i="18" s="1"/>
  <c r="G134" i="18"/>
  <c r="CA134" i="6" s="1"/>
  <c r="AA134" i="18"/>
  <c r="Z134" i="18" s="1"/>
  <c r="Y134" i="18" s="1"/>
  <c r="H134" i="18"/>
  <c r="W299" i="18"/>
  <c r="D299" i="18"/>
  <c r="E299" i="18" s="1"/>
  <c r="F299" i="18" s="1"/>
  <c r="V245" i="18"/>
  <c r="F245" i="18" s="1"/>
  <c r="V17" i="18"/>
  <c r="F17" i="18" s="1"/>
  <c r="D292" i="18"/>
  <c r="E292" i="18" s="1"/>
  <c r="F292" i="18" s="1"/>
  <c r="W292" i="18"/>
  <c r="V95" i="18"/>
  <c r="W95" i="18" s="1"/>
  <c r="D310" i="18"/>
  <c r="E310" i="18" s="1"/>
  <c r="F310" i="18" s="1"/>
  <c r="W310" i="18"/>
  <c r="V98" i="18"/>
  <c r="F98" i="18" s="1"/>
  <c r="V190" i="18"/>
  <c r="F190" i="18" s="1"/>
  <c r="D370" i="18"/>
  <c r="E370" i="18" s="1"/>
  <c r="F370" i="18" s="1"/>
  <c r="W370" i="18"/>
  <c r="V122" i="18"/>
  <c r="F122" i="18" s="1"/>
  <c r="V164" i="18"/>
  <c r="F164" i="18" s="1"/>
  <c r="V238" i="18"/>
  <c r="F238" i="18" s="1"/>
  <c r="V73" i="18"/>
  <c r="F73" i="18" s="1"/>
  <c r="D362" i="18"/>
  <c r="E362" i="18" s="1"/>
  <c r="F362" i="18" s="1"/>
  <c r="G362" i="18" s="1"/>
  <c r="CA362" i="6" s="1"/>
  <c r="W362" i="18"/>
  <c r="V160" i="18"/>
  <c r="F160" i="18" s="1"/>
  <c r="H271" i="18"/>
  <c r="G271" i="18"/>
  <c r="CA271" i="6" s="1"/>
  <c r="AA271" i="18"/>
  <c r="Z271" i="18" s="1"/>
  <c r="Y271" i="18" s="1"/>
  <c r="V274" i="18"/>
  <c r="F274" i="18" s="1"/>
  <c r="V135" i="18"/>
  <c r="F135" i="18" s="1"/>
  <c r="V132" i="18"/>
  <c r="W132" i="18" s="1"/>
  <c r="W359" i="18"/>
  <c r="D359" i="18"/>
  <c r="E359" i="18" s="1"/>
  <c r="F359" i="18" s="1"/>
  <c r="V261" i="18"/>
  <c r="F261" i="18" s="1"/>
  <c r="D301" i="18"/>
  <c r="E301" i="18" s="1"/>
  <c r="F301" i="18" s="1"/>
  <c r="W301" i="18"/>
  <c r="V269" i="18"/>
  <c r="W269" i="18" s="1"/>
  <c r="V97" i="18"/>
  <c r="F97" i="18" s="1"/>
  <c r="G276" i="18"/>
  <c r="CA276" i="6" s="1"/>
  <c r="AA276" i="18"/>
  <c r="Z276" i="18" s="1"/>
  <c r="Y276" i="18" s="1"/>
  <c r="H276" i="18"/>
  <c r="V264" i="18"/>
  <c r="F264" i="18" s="1"/>
  <c r="D298" i="18"/>
  <c r="E298" i="18" s="1"/>
  <c r="F298" i="18" s="1"/>
  <c r="W298" i="18"/>
  <c r="V168" i="18"/>
  <c r="F168" i="18" s="1"/>
  <c r="V167" i="18"/>
  <c r="F167" i="18" s="1"/>
  <c r="V216" i="18"/>
  <c r="F216" i="18" s="1"/>
  <c r="D351" i="18"/>
  <c r="E351" i="18" s="1"/>
  <c r="F351" i="18" s="1"/>
  <c r="W351" i="18"/>
  <c r="V225" i="18"/>
  <c r="F225" i="18" s="1"/>
  <c r="V38" i="18"/>
  <c r="F38" i="18" s="1"/>
  <c r="W372" i="18"/>
  <c r="D372" i="18"/>
  <c r="E372" i="18" s="1"/>
  <c r="F372" i="18" s="1"/>
  <c r="D377" i="18"/>
  <c r="E377" i="18" s="1"/>
  <c r="F377" i="18" s="1"/>
  <c r="W377" i="18"/>
  <c r="V105" i="18"/>
  <c r="F105" i="18" s="1"/>
  <c r="V62" i="18"/>
  <c r="W62" i="18" s="1"/>
  <c r="W358" i="18"/>
  <c r="D358" i="18"/>
  <c r="E358" i="18" s="1"/>
  <c r="F358" i="18" s="1"/>
  <c r="V154" i="18"/>
  <c r="F154" i="18" s="1"/>
  <c r="D318" i="18"/>
  <c r="E318" i="18" s="1"/>
  <c r="F318" i="18" s="1"/>
  <c r="W318" i="18"/>
  <c r="V202" i="18"/>
  <c r="F202" i="18" s="1"/>
  <c r="V253" i="18"/>
  <c r="F253" i="18" s="1"/>
  <c r="V103" i="18"/>
  <c r="F103" i="18" s="1"/>
  <c r="W329" i="18"/>
  <c r="D329" i="18"/>
  <c r="E329" i="18" s="1"/>
  <c r="F329" i="18" s="1"/>
  <c r="V213" i="18"/>
  <c r="F213" i="18" s="1"/>
  <c r="D79" i="7"/>
  <c r="V363" i="18"/>
  <c r="D356" i="18"/>
  <c r="E356" i="18" s="1"/>
  <c r="F356" i="18" s="1"/>
  <c r="W356" i="18"/>
  <c r="V28" i="18"/>
  <c r="F28" i="18" s="1"/>
  <c r="V141" i="18"/>
  <c r="F141" i="18" s="1"/>
  <c r="W367" i="18"/>
  <c r="D367" i="18"/>
  <c r="E367" i="18" s="1"/>
  <c r="F367" i="18" s="1"/>
  <c r="V183" i="18"/>
  <c r="F183" i="18" s="1"/>
  <c r="D323" i="18"/>
  <c r="E323" i="18" s="1"/>
  <c r="F323" i="18" s="1"/>
  <c r="W323" i="18"/>
  <c r="V32" i="18"/>
  <c r="F32" i="18" s="1"/>
  <c r="W304" i="18"/>
  <c r="D304" i="18"/>
  <c r="E304" i="18" s="1"/>
  <c r="F304" i="18" s="1"/>
  <c r="D364" i="18"/>
  <c r="E364" i="18" s="1"/>
  <c r="F364" i="18" s="1"/>
  <c r="W364" i="18"/>
  <c r="V251" i="18"/>
  <c r="F251" i="18" s="1"/>
  <c r="D348" i="18"/>
  <c r="E348" i="18" s="1"/>
  <c r="F348" i="18" s="1"/>
  <c r="W348" i="18"/>
  <c r="V205" i="18"/>
  <c r="F205" i="18" s="1"/>
  <c r="V228" i="18"/>
  <c r="F228" i="18" s="1"/>
  <c r="D341" i="18"/>
  <c r="E341" i="18" s="1"/>
  <c r="F341" i="18" s="1"/>
  <c r="W341" i="18"/>
  <c r="D290" i="18"/>
  <c r="E290" i="18" s="1"/>
  <c r="F290" i="18" s="1"/>
  <c r="W290" i="18"/>
  <c r="W374" i="18"/>
  <c r="D374" i="18"/>
  <c r="E374" i="18" s="1"/>
  <c r="F374" i="18" s="1"/>
  <c r="W321" i="18"/>
  <c r="D321" i="18"/>
  <c r="E321" i="18" s="1"/>
  <c r="F321" i="18" s="1"/>
  <c r="V37" i="18"/>
  <c r="F37" i="18" s="1"/>
  <c r="V207" i="18"/>
  <c r="F207" i="18" s="1"/>
  <c r="H128" i="18"/>
  <c r="G128" i="18"/>
  <c r="CA128" i="6" s="1"/>
  <c r="AA128" i="18"/>
  <c r="Z128" i="18" s="1"/>
  <c r="Y128" i="18" s="1"/>
  <c r="V88" i="18"/>
  <c r="F88" i="18" s="1"/>
  <c r="D70" i="7"/>
  <c r="V188" i="18"/>
  <c r="F188" i="18" s="1"/>
  <c r="V176" i="18"/>
  <c r="F176" i="18" s="1"/>
  <c r="V209" i="18"/>
  <c r="F209" i="18" s="1"/>
  <c r="G130" i="18"/>
  <c r="CA130" i="6" s="1"/>
  <c r="H130" i="18"/>
  <c r="AA130" i="18"/>
  <c r="Z130" i="18" s="1"/>
  <c r="Y130" i="18" s="1"/>
  <c r="V161" i="18"/>
  <c r="F161" i="18" s="1"/>
  <c r="V247" i="18"/>
  <c r="F247" i="18" s="1"/>
  <c r="V123" i="18"/>
  <c r="F123" i="18" s="1"/>
  <c r="V116" i="18"/>
  <c r="F116" i="18" s="1"/>
  <c r="V157" i="18"/>
  <c r="F157" i="18" s="1"/>
  <c r="V59" i="18"/>
  <c r="W59" i="18" s="1"/>
  <c r="V226" i="18"/>
  <c r="F226" i="18" s="1"/>
  <c r="H170" i="18"/>
  <c r="AA170" i="18"/>
  <c r="Z170" i="18" s="1"/>
  <c r="Y170" i="18" s="1"/>
  <c r="G170" i="18"/>
  <c r="CA170" i="6" s="1"/>
  <c r="V110" i="18"/>
  <c r="F110" i="18" s="1"/>
  <c r="W340" i="18"/>
  <c r="D340" i="18"/>
  <c r="E340" i="18" s="1"/>
  <c r="F340" i="18" s="1"/>
  <c r="D366" i="18"/>
  <c r="E366" i="18" s="1"/>
  <c r="F366" i="18" s="1"/>
  <c r="W366" i="18"/>
  <c r="V65" i="18"/>
  <c r="W65" i="18" s="1"/>
  <c r="V237" i="18"/>
  <c r="F237" i="18" s="1"/>
  <c r="V90" i="18"/>
  <c r="F90" i="18" s="1"/>
  <c r="V199" i="18"/>
  <c r="F199" i="18" s="1"/>
  <c r="V195" i="18"/>
  <c r="F195" i="18" s="1"/>
  <c r="D353" i="18"/>
  <c r="E353" i="18" s="1"/>
  <c r="F353" i="18" s="1"/>
  <c r="W353" i="18"/>
  <c r="V158" i="18"/>
  <c r="F158" i="18" s="1"/>
  <c r="V51" i="18"/>
  <c r="F51" i="18" s="1"/>
  <c r="V278" i="18"/>
  <c r="F278" i="18" s="1"/>
  <c r="V244" i="18"/>
  <c r="F244" i="18" s="1"/>
  <c r="V229" i="18"/>
  <c r="F229" i="18" s="1"/>
  <c r="V24" i="18"/>
  <c r="W24" i="18" s="1"/>
  <c r="W369" i="18"/>
  <c r="D369" i="18"/>
  <c r="E369" i="18" s="1"/>
  <c r="F369" i="18" s="1"/>
  <c r="V104" i="18"/>
  <c r="F104" i="18" s="1"/>
  <c r="V279" i="18"/>
  <c r="F279" i="18" s="1"/>
  <c r="G57" i="18"/>
  <c r="CA57" i="6" s="1"/>
  <c r="AA57" i="18"/>
  <c r="Z57" i="18" s="1"/>
  <c r="Y57" i="18" s="1"/>
  <c r="H57" i="18"/>
  <c r="V186" i="18"/>
  <c r="F186" i="18" s="1"/>
  <c r="D325" i="18"/>
  <c r="E325" i="18" s="1"/>
  <c r="F325" i="18" s="1"/>
  <c r="W325" i="18"/>
  <c r="V138" i="18"/>
  <c r="W138" i="18" s="1"/>
  <c r="G108" i="18"/>
  <c r="CA108" i="6" s="1"/>
  <c r="H108" i="18"/>
  <c r="AA108" i="18"/>
  <c r="Z108" i="18" s="1"/>
  <c r="Y108" i="18" s="1"/>
  <c r="V137" i="18"/>
  <c r="F137" i="18" s="1"/>
  <c r="D350" i="18"/>
  <c r="E350" i="18" s="1"/>
  <c r="F350" i="18" s="1"/>
  <c r="W350" i="18"/>
  <c r="D74" i="7"/>
  <c r="V210" i="18"/>
  <c r="F210" i="18" s="1"/>
  <c r="V265" i="18"/>
  <c r="F265" i="18" s="1"/>
  <c r="W335" i="18"/>
  <c r="D335" i="18"/>
  <c r="E335" i="18" s="1"/>
  <c r="F335" i="18" s="1"/>
  <c r="V26" i="18"/>
  <c r="F26" i="18" s="1"/>
  <c r="V16" i="18"/>
  <c r="F16" i="18" s="1"/>
  <c r="G136" i="18"/>
  <c r="CA136" i="6" s="1"/>
  <c r="H136" i="18"/>
  <c r="AA136" i="18"/>
  <c r="Z136" i="18" s="1"/>
  <c r="Y136" i="18" s="1"/>
  <c r="V21" i="18"/>
  <c r="F21" i="18" s="1"/>
  <c r="V114" i="18"/>
  <c r="F114" i="18" s="1"/>
  <c r="V231" i="18"/>
  <c r="F231" i="18" s="1"/>
  <c r="G125" i="18"/>
  <c r="CA125" i="6" s="1"/>
  <c r="AA125" i="18"/>
  <c r="Z125" i="18" s="1"/>
  <c r="Y125" i="18" s="1"/>
  <c r="H125" i="18"/>
  <c r="V74" i="18"/>
  <c r="D338" i="18"/>
  <c r="E338" i="18" s="1"/>
  <c r="F338" i="18" s="1"/>
  <c r="W338" i="18"/>
  <c r="V198" i="18"/>
  <c r="F198" i="18" s="1"/>
  <c r="V85" i="18"/>
  <c r="F85" i="18" s="1"/>
  <c r="V192" i="18"/>
  <c r="F192" i="18" s="1"/>
  <c r="V252" i="18"/>
  <c r="W252" i="18" s="1"/>
  <c r="V196" i="18"/>
  <c r="V262" i="18"/>
  <c r="F262" i="18" s="1"/>
  <c r="V46" i="18"/>
  <c r="H184" i="18"/>
  <c r="G184" i="18"/>
  <c r="CA184" i="6" s="1"/>
  <c r="AA184" i="18"/>
  <c r="Z184" i="18" s="1"/>
  <c r="Y184" i="18" s="1"/>
  <c r="V284" i="18"/>
  <c r="F284" i="18" s="1"/>
  <c r="W330" i="18"/>
  <c r="D330" i="18"/>
  <c r="E330" i="18" s="1"/>
  <c r="F330" i="18" s="1"/>
  <c r="D306" i="18"/>
  <c r="E306" i="18" s="1"/>
  <c r="F306" i="18" s="1"/>
  <c r="W306" i="18"/>
  <c r="V48" i="18"/>
  <c r="F48" i="18" s="1"/>
  <c r="V181" i="18"/>
  <c r="F181" i="18" s="1"/>
  <c r="V230" i="18"/>
  <c r="F230" i="18" s="1"/>
  <c r="V281" i="18"/>
  <c r="F281" i="18" s="1"/>
  <c r="V56" i="18"/>
  <c r="F56" i="18" s="1"/>
  <c r="V200" i="18"/>
  <c r="F200" i="18" s="1"/>
  <c r="V287" i="18"/>
  <c r="F287" i="18" s="1"/>
  <c r="V54" i="18"/>
  <c r="F54" i="18" s="1"/>
  <c r="G239" i="18"/>
  <c r="CA239" i="6" s="1"/>
  <c r="H239" i="18"/>
  <c r="AA239" i="18"/>
  <c r="Z239" i="18" s="1"/>
  <c r="Y239" i="18" s="1"/>
  <c r="V277" i="18"/>
  <c r="F277" i="18" s="1"/>
  <c r="V162" i="18"/>
  <c r="F162" i="18" s="1"/>
  <c r="G75" i="18"/>
  <c r="CA75" i="6" s="1"/>
  <c r="H75" i="18"/>
  <c r="AA75" i="18"/>
  <c r="Z75" i="18" s="1"/>
  <c r="Y75" i="18" s="1"/>
  <c r="V217" i="18"/>
  <c r="F217" i="18" s="1"/>
  <c r="D68" i="7"/>
  <c r="V29" i="18"/>
  <c r="F29" i="18" s="1"/>
  <c r="W326" i="18"/>
  <c r="D326" i="18"/>
  <c r="E326" i="18" s="1"/>
  <c r="F326" i="18" s="1"/>
  <c r="V91" i="18"/>
  <c r="F91" i="18" s="1"/>
  <c r="V99" i="18"/>
  <c r="F99" i="18" s="1"/>
  <c r="V18" i="18"/>
  <c r="F18" i="18" s="1"/>
  <c r="H111" i="18"/>
  <c r="AA111" i="18"/>
  <c r="Z111" i="18" s="1"/>
  <c r="Y111" i="18" s="1"/>
  <c r="G111" i="18"/>
  <c r="CA111" i="6" s="1"/>
  <c r="V159" i="18"/>
  <c r="W159" i="18" s="1"/>
  <c r="V148" i="18"/>
  <c r="F148" i="18" s="1"/>
  <c r="AF15" i="18"/>
  <c r="AG379" i="18"/>
  <c r="AF379" i="18" s="1"/>
  <c r="AD379" i="18" s="1"/>
  <c r="C7" i="6"/>
  <c r="Q7" i="7"/>
  <c r="I383" i="16"/>
  <c r="I381" i="16"/>
  <c r="I382" i="16"/>
  <c r="I349" i="17"/>
  <c r="J349" i="17"/>
  <c r="F227" i="18"/>
  <c r="AL6" i="17"/>
  <c r="U356" i="20"/>
  <c r="T356" i="20" s="1"/>
  <c r="U121" i="20"/>
  <c r="T121" i="20" s="1"/>
  <c r="U362" i="20"/>
  <c r="T362" i="20" s="1"/>
  <c r="U21" i="20"/>
  <c r="T21" i="20" s="1"/>
  <c r="U51" i="20"/>
  <c r="T51" i="20" s="1"/>
  <c r="U177" i="20"/>
  <c r="T177" i="20" s="1"/>
  <c r="U168" i="20"/>
  <c r="T168" i="20" s="1"/>
  <c r="S168" i="20" s="1"/>
  <c r="R168" i="20" s="1"/>
  <c r="U63" i="20"/>
  <c r="T63" i="20" s="1"/>
  <c r="U304" i="20"/>
  <c r="T304" i="20" s="1"/>
  <c r="U327" i="20"/>
  <c r="T327" i="20" s="1"/>
  <c r="U208" i="20"/>
  <c r="T208" i="20" s="1"/>
  <c r="U91" i="20"/>
  <c r="T91" i="20" s="1"/>
  <c r="U37" i="20"/>
  <c r="T37" i="20" s="1"/>
  <c r="U315" i="20"/>
  <c r="T315" i="20" s="1"/>
  <c r="U112" i="20"/>
  <c r="T112" i="20" s="1"/>
  <c r="U101" i="20"/>
  <c r="T101" i="20" s="1"/>
  <c r="U72" i="20"/>
  <c r="T72" i="20" s="1"/>
  <c r="U277" i="20"/>
  <c r="T277" i="20" s="1"/>
  <c r="U363" i="20"/>
  <c r="T363" i="20" s="1"/>
  <c r="U270" i="20"/>
  <c r="T270" i="20" s="1"/>
  <c r="U135" i="20"/>
  <c r="T135" i="20" s="1"/>
  <c r="U299" i="20"/>
  <c r="T299" i="20" s="1"/>
  <c r="U272" i="20"/>
  <c r="T272" i="20" s="1"/>
  <c r="U213" i="20"/>
  <c r="T213" i="20" s="1"/>
  <c r="U338" i="20"/>
  <c r="T338" i="20" s="1"/>
  <c r="U40" i="20"/>
  <c r="T40" i="20" s="1"/>
  <c r="U175" i="20"/>
  <c r="T175" i="20" s="1"/>
  <c r="U122" i="20"/>
  <c r="T122" i="20" s="1"/>
  <c r="U339" i="20"/>
  <c r="T339" i="20" s="1"/>
  <c r="U276" i="20"/>
  <c r="T276" i="20" s="1"/>
  <c r="U349" i="20"/>
  <c r="T349" i="20" s="1"/>
  <c r="U163" i="20"/>
  <c r="T163" i="20" s="1"/>
  <c r="U156" i="20"/>
  <c r="T156" i="20" s="1"/>
  <c r="U64" i="20"/>
  <c r="T64" i="20" s="1"/>
  <c r="U34" i="20"/>
  <c r="T34" i="20" s="1"/>
  <c r="U140" i="20"/>
  <c r="T140" i="20" s="1"/>
  <c r="U110" i="20"/>
  <c r="T110" i="20" s="1"/>
  <c r="U280" i="20"/>
  <c r="T280" i="20" s="1"/>
  <c r="U75" i="20"/>
  <c r="T75" i="20" s="1"/>
  <c r="U80" i="20"/>
  <c r="T80" i="20" s="1"/>
  <c r="U351" i="20"/>
  <c r="T351" i="20" s="1"/>
  <c r="U290" i="20"/>
  <c r="T290" i="20" s="1"/>
  <c r="U345" i="20"/>
  <c r="T345" i="20" s="1"/>
  <c r="U143" i="20"/>
  <c r="T143" i="20" s="1"/>
  <c r="U192" i="20"/>
  <c r="T192" i="20" s="1"/>
  <c r="U59" i="20"/>
  <c r="T59" i="20" s="1"/>
  <c r="U303" i="20"/>
  <c r="T303" i="20" s="1"/>
  <c r="U105" i="20"/>
  <c r="T105" i="20" s="1"/>
  <c r="U178" i="20"/>
  <c r="T178" i="20" s="1"/>
  <c r="U348" i="20"/>
  <c r="T348" i="20" s="1"/>
  <c r="U264" i="20"/>
  <c r="T264" i="20" s="1"/>
  <c r="U158" i="20"/>
  <c r="T158" i="20" s="1"/>
  <c r="U369" i="20"/>
  <c r="T369" i="20" s="1"/>
  <c r="U39" i="20"/>
  <c r="T39" i="20" s="1"/>
  <c r="U286" i="20"/>
  <c r="T286" i="20" s="1"/>
  <c r="U209" i="20"/>
  <c r="T209" i="20" s="1"/>
  <c r="U167" i="20"/>
  <c r="T167" i="20" s="1"/>
  <c r="U350" i="20"/>
  <c r="T350" i="20" s="1"/>
  <c r="U203" i="20"/>
  <c r="T203" i="20" s="1"/>
  <c r="U117" i="20"/>
  <c r="T117" i="20" s="1"/>
  <c r="U56" i="20"/>
  <c r="T56" i="20" s="1"/>
  <c r="U138" i="20"/>
  <c r="T138" i="20" s="1"/>
  <c r="U260" i="20"/>
  <c r="T260" i="20" s="1"/>
  <c r="U374" i="20"/>
  <c r="T374" i="20" s="1"/>
  <c r="U151" i="20"/>
  <c r="T151" i="20" s="1"/>
  <c r="U161" i="20"/>
  <c r="T161" i="20" s="1"/>
  <c r="U54" i="20"/>
  <c r="T54" i="20" s="1"/>
  <c r="S54" i="20" s="1"/>
  <c r="R54" i="20" s="1"/>
  <c r="U341" i="20"/>
  <c r="T341" i="20" s="1"/>
  <c r="U58" i="20"/>
  <c r="T58" i="20" s="1"/>
  <c r="U262" i="20"/>
  <c r="T262" i="20" s="1"/>
  <c r="U179" i="20"/>
  <c r="T179" i="20" s="1"/>
  <c r="U157" i="20"/>
  <c r="T157" i="20" s="1"/>
  <c r="U60" i="20"/>
  <c r="T60" i="20" s="1"/>
  <c r="U360" i="20"/>
  <c r="T360" i="20" s="1"/>
  <c r="U309" i="20"/>
  <c r="T309" i="20" s="1"/>
  <c r="AG16" i="7"/>
  <c r="U61" i="20"/>
  <c r="T61" i="20" s="1"/>
  <c r="U211" i="20"/>
  <c r="T211" i="20" s="1"/>
  <c r="U346" i="20"/>
  <c r="T346" i="20" s="1"/>
  <c r="U255" i="20"/>
  <c r="T255" i="20" s="1"/>
  <c r="U217" i="20"/>
  <c r="T217" i="20" s="1"/>
  <c r="U266" i="20"/>
  <c r="T266" i="20" s="1"/>
  <c r="U361" i="20"/>
  <c r="T361" i="20" s="1"/>
  <c r="U31" i="20"/>
  <c r="T31" i="20" s="1"/>
  <c r="U98" i="20"/>
  <c r="T98" i="20" s="1"/>
  <c r="U291" i="20"/>
  <c r="T291" i="20" s="1"/>
  <c r="S291" i="20" s="1"/>
  <c r="R291" i="20" s="1"/>
  <c r="U204" i="20"/>
  <c r="T204" i="20" s="1"/>
  <c r="S204" i="20" s="1"/>
  <c r="R204" i="20" s="1"/>
  <c r="U77" i="20"/>
  <c r="T77" i="20" s="1"/>
  <c r="U302" i="20"/>
  <c r="T302" i="20" s="1"/>
  <c r="U36" i="20"/>
  <c r="T36" i="20" s="1"/>
  <c r="U199" i="20"/>
  <c r="T199" i="20" s="1"/>
  <c r="U198" i="20"/>
  <c r="T198" i="20" s="1"/>
  <c r="U305" i="20"/>
  <c r="T305" i="20" s="1"/>
  <c r="U254" i="20"/>
  <c r="T254" i="20" s="1"/>
  <c r="U232" i="20"/>
  <c r="T232" i="20" s="1"/>
  <c r="U314" i="20"/>
  <c r="T314" i="20" s="1"/>
  <c r="U340" i="20"/>
  <c r="T340" i="20" s="1"/>
  <c r="U259" i="20"/>
  <c r="T259" i="20" s="1"/>
  <c r="U154" i="20"/>
  <c r="T154" i="20" s="1"/>
  <c r="U41" i="20"/>
  <c r="T41" i="20" s="1"/>
  <c r="U308" i="20"/>
  <c r="T308" i="20" s="1"/>
  <c r="U19" i="20"/>
  <c r="T19" i="20" s="1"/>
  <c r="U227" i="20"/>
  <c r="T227" i="20" s="1"/>
  <c r="U188" i="20"/>
  <c r="T188" i="20" s="1"/>
  <c r="U15" i="20"/>
  <c r="U125" i="20"/>
  <c r="T125" i="20" s="1"/>
  <c r="U273" i="20"/>
  <c r="T273" i="20" s="1"/>
  <c r="U238" i="20"/>
  <c r="T238" i="20" s="1"/>
  <c r="U71" i="20"/>
  <c r="T71" i="20" s="1"/>
  <c r="U165" i="20"/>
  <c r="T165" i="20" s="1"/>
  <c r="U219" i="20"/>
  <c r="T219" i="20" s="1"/>
  <c r="U256" i="20"/>
  <c r="T256" i="20" s="1"/>
  <c r="U279" i="20"/>
  <c r="T279" i="20" s="1"/>
  <c r="U129" i="20"/>
  <c r="T129" i="20" s="1"/>
  <c r="U38" i="20"/>
  <c r="T38" i="20" s="1"/>
  <c r="U221" i="20"/>
  <c r="T221" i="20" s="1"/>
  <c r="U268" i="20"/>
  <c r="T268" i="20" s="1"/>
  <c r="U233" i="20"/>
  <c r="T233" i="20" s="1"/>
  <c r="U89" i="20"/>
  <c r="T89" i="20" s="1"/>
  <c r="U127" i="20"/>
  <c r="T127" i="20" s="1"/>
  <c r="U282" i="20"/>
  <c r="T282" i="20" s="1"/>
  <c r="U53" i="20"/>
  <c r="T53" i="20" s="1"/>
  <c r="U231" i="20"/>
  <c r="T231" i="20" s="1"/>
  <c r="U28" i="20"/>
  <c r="T28" i="20" s="1"/>
  <c r="S28" i="20" s="1"/>
  <c r="R28" i="20" s="1"/>
  <c r="U93" i="20"/>
  <c r="T93" i="20" s="1"/>
  <c r="U115" i="20"/>
  <c r="T115" i="20" s="1"/>
  <c r="U332" i="20"/>
  <c r="T332" i="20" s="1"/>
  <c r="U226" i="20"/>
  <c r="T226" i="20" s="1"/>
  <c r="U128" i="20"/>
  <c r="T128" i="20" s="1"/>
  <c r="U22" i="20"/>
  <c r="T22" i="20" s="1"/>
  <c r="U97" i="20"/>
  <c r="T97" i="20" s="1"/>
  <c r="U87" i="20"/>
  <c r="T87" i="20" s="1"/>
  <c r="U55" i="20"/>
  <c r="T55" i="20" s="1"/>
  <c r="S55" i="20" s="1"/>
  <c r="R55" i="20" s="1"/>
  <c r="U251" i="20"/>
  <c r="T251" i="20" s="1"/>
  <c r="U133" i="20"/>
  <c r="T133" i="20" s="1"/>
  <c r="U336" i="20"/>
  <c r="T336" i="20" s="1"/>
  <c r="U123" i="20"/>
  <c r="T123" i="20" s="1"/>
  <c r="U367" i="20"/>
  <c r="T367" i="20" s="1"/>
  <c r="U240" i="20"/>
  <c r="T240" i="20" s="1"/>
  <c r="U306" i="20"/>
  <c r="T306" i="20" s="1"/>
  <c r="U111" i="20"/>
  <c r="T111" i="20" s="1"/>
  <c r="U99" i="20"/>
  <c r="T99" i="20" s="1"/>
  <c r="U244" i="20"/>
  <c r="T244" i="20" s="1"/>
  <c r="S244" i="20" s="1"/>
  <c r="R244" i="20" s="1"/>
  <c r="U90" i="20"/>
  <c r="T90" i="20" s="1"/>
  <c r="U32" i="20"/>
  <c r="T32" i="20" s="1"/>
  <c r="U130" i="20"/>
  <c r="T130" i="20" s="1"/>
  <c r="U236" i="20"/>
  <c r="T236" i="20" s="1"/>
  <c r="U212" i="20"/>
  <c r="T212" i="20" s="1"/>
  <c r="U57" i="20"/>
  <c r="T57" i="20" s="1"/>
  <c r="U202" i="20"/>
  <c r="T202" i="20" s="1"/>
  <c r="U376" i="20"/>
  <c r="T376" i="20" s="1"/>
  <c r="U206" i="20"/>
  <c r="T206" i="20" s="1"/>
  <c r="U207" i="20"/>
  <c r="T207" i="20" s="1"/>
  <c r="U224" i="20"/>
  <c r="T224" i="20" s="1"/>
  <c r="U180" i="20"/>
  <c r="T180" i="20" s="1"/>
  <c r="U335" i="20"/>
  <c r="T335" i="20" s="1"/>
  <c r="U27" i="20"/>
  <c r="T27" i="20" s="1"/>
  <c r="U176" i="20"/>
  <c r="T176" i="20" s="1"/>
  <c r="U134" i="20"/>
  <c r="T134" i="20" s="1"/>
  <c r="U321" i="20"/>
  <c r="T321" i="20" s="1"/>
  <c r="U109" i="20"/>
  <c r="T109" i="20" s="1"/>
  <c r="U323" i="20"/>
  <c r="T323" i="20" s="1"/>
  <c r="U372" i="20"/>
  <c r="T372" i="20" s="1"/>
  <c r="U218" i="20"/>
  <c r="T218" i="20" s="1"/>
  <c r="U169" i="20"/>
  <c r="T169" i="20" s="1"/>
  <c r="U317" i="20"/>
  <c r="T317" i="20" s="1"/>
  <c r="U108" i="20"/>
  <c r="T108" i="20" s="1"/>
  <c r="U371" i="20"/>
  <c r="T371" i="20" s="1"/>
  <c r="U189" i="20"/>
  <c r="T189" i="20" s="1"/>
  <c r="U44" i="20"/>
  <c r="T44" i="20" s="1"/>
  <c r="U83" i="20"/>
  <c r="T83" i="20" s="1"/>
  <c r="S83" i="20" s="1"/>
  <c r="R83" i="20" s="1"/>
  <c r="U295" i="20"/>
  <c r="T295" i="20" s="1"/>
  <c r="U337" i="20"/>
  <c r="T337" i="20" s="1"/>
  <c r="AL13" i="15"/>
  <c r="AJ4" i="15"/>
  <c r="P12" i="19" s="1"/>
  <c r="J12" i="19"/>
  <c r="AA11" i="15"/>
  <c r="AA5" i="15" s="1"/>
  <c r="I12" i="19" s="1"/>
  <c r="F258" i="18"/>
  <c r="Y383" i="16"/>
  <c r="X9" i="16"/>
  <c r="Z11" i="16" s="1"/>
  <c r="Z5" i="16" s="1"/>
  <c r="H13" i="19" s="1"/>
  <c r="H37" i="19" s="1"/>
  <c r="Y382" i="16"/>
  <c r="AM6" i="16"/>
  <c r="AM12" i="16" s="1"/>
  <c r="AL5" i="16"/>
  <c r="AL11" i="16" s="1"/>
  <c r="Y381" i="16"/>
  <c r="V89" i="18"/>
  <c r="F89" i="18" s="1"/>
  <c r="W344" i="18"/>
  <c r="D344" i="18"/>
  <c r="E344" i="18" s="1"/>
  <c r="F344" i="18" s="1"/>
  <c r="V20" i="18"/>
  <c r="F20" i="18" s="1"/>
  <c r="W296" i="18"/>
  <c r="D296" i="18"/>
  <c r="E296" i="18" s="1"/>
  <c r="F296" i="18" s="1"/>
  <c r="V173" i="18"/>
  <c r="F173" i="18" s="1"/>
  <c r="V39" i="18"/>
  <c r="F39" i="18" s="1"/>
  <c r="V224" i="18"/>
  <c r="F224" i="18" s="1"/>
  <c r="V189" i="18"/>
  <c r="F189" i="18" s="1"/>
  <c r="V30" i="18"/>
  <c r="F30" i="18" s="1"/>
  <c r="V115" i="18"/>
  <c r="F115" i="18" s="1"/>
  <c r="V241" i="18"/>
  <c r="F241" i="18" s="1"/>
  <c r="D75" i="7"/>
  <c r="V102" i="18"/>
  <c r="F102" i="18" s="1"/>
  <c r="D342" i="18"/>
  <c r="E342" i="18" s="1"/>
  <c r="F342" i="18" s="1"/>
  <c r="W342" i="18"/>
  <c r="V163" i="18"/>
  <c r="F163" i="18" s="1"/>
  <c r="V275" i="18"/>
  <c r="W275" i="18" s="1"/>
  <c r="D371" i="18"/>
  <c r="E371" i="18" s="1"/>
  <c r="F371" i="18" s="1"/>
  <c r="W371" i="18"/>
  <c r="H246" i="18"/>
  <c r="G246" i="18"/>
  <c r="CA246" i="6" s="1"/>
  <c r="AA246" i="18"/>
  <c r="Z246" i="18" s="1"/>
  <c r="Y246" i="18" s="1"/>
  <c r="V150" i="18"/>
  <c r="F150" i="18" s="1"/>
  <c r="V286" i="18"/>
  <c r="F286" i="18" s="1"/>
  <c r="D289" i="18"/>
  <c r="E289" i="18" s="1"/>
  <c r="F289" i="18" s="1"/>
  <c r="W289" i="18"/>
  <c r="W322" i="18"/>
  <c r="D322" i="18"/>
  <c r="E322" i="18" s="1"/>
  <c r="F322" i="18" s="1"/>
  <c r="D375" i="18"/>
  <c r="E375" i="18" s="1"/>
  <c r="F375" i="18" s="1"/>
  <c r="W375" i="18"/>
  <c r="V144" i="18"/>
  <c r="F144" i="18" s="1"/>
  <c r="V87" i="18"/>
  <c r="W87" i="18" s="1"/>
  <c r="V268" i="18"/>
  <c r="F268" i="18" s="1"/>
  <c r="V234" i="18"/>
  <c r="F234" i="18" s="1"/>
  <c r="V27" i="18"/>
  <c r="W27" i="18" s="1"/>
  <c r="D334" i="18"/>
  <c r="E334" i="18" s="1"/>
  <c r="F334" i="18" s="1"/>
  <c r="W334" i="18"/>
  <c r="D316" i="18"/>
  <c r="E316" i="18" s="1"/>
  <c r="F316" i="18" s="1"/>
  <c r="W316" i="18"/>
  <c r="D76" i="7"/>
  <c r="V272" i="18"/>
  <c r="F272" i="18" s="1"/>
  <c r="AA109" i="18"/>
  <c r="Z109" i="18" s="1"/>
  <c r="Y109" i="18" s="1"/>
  <c r="G109" i="18"/>
  <c r="CA109" i="6" s="1"/>
  <c r="H109" i="18"/>
  <c r="H212" i="18"/>
  <c r="AA212" i="18"/>
  <c r="Z212" i="18" s="1"/>
  <c r="Y212" i="18" s="1"/>
  <c r="G212" i="18"/>
  <c r="CA212" i="6" s="1"/>
  <c r="V255" i="18"/>
  <c r="F255" i="18" s="1"/>
  <c r="V113" i="18"/>
  <c r="F113" i="18" s="1"/>
  <c r="W328" i="18"/>
  <c r="D328" i="18"/>
  <c r="E328" i="18" s="1"/>
  <c r="F328" i="18" s="1"/>
  <c r="V36" i="18"/>
  <c r="F36" i="18" s="1"/>
  <c r="V193" i="18"/>
  <c r="F193" i="18" s="1"/>
  <c r="V169" i="18"/>
  <c r="F169" i="18" s="1"/>
  <c r="V42" i="18"/>
  <c r="F42" i="18" s="1"/>
  <c r="AI24" i="20"/>
  <c r="AH24" i="20" s="1"/>
  <c r="AG24" i="20" s="1"/>
  <c r="AF24" i="20" s="1"/>
  <c r="AI103" i="20"/>
  <c r="AH103" i="20" s="1"/>
  <c r="AG103" i="20" s="1"/>
  <c r="AF103" i="20" s="1"/>
  <c r="AI42" i="20"/>
  <c r="AH42" i="20" s="1"/>
  <c r="AG42" i="20" s="1"/>
  <c r="AF42" i="20" s="1"/>
  <c r="AI92" i="20"/>
  <c r="AH92" i="20" s="1"/>
  <c r="AG92" i="20" s="1"/>
  <c r="AF92" i="20" s="1"/>
  <c r="AI98" i="20"/>
  <c r="AH98" i="20" s="1"/>
  <c r="AG98" i="20" s="1"/>
  <c r="AF98" i="20" s="1"/>
  <c r="AI88" i="20"/>
  <c r="AH88" i="20" s="1"/>
  <c r="AG88" i="20" s="1"/>
  <c r="AF88" i="20" s="1"/>
  <c r="AI96" i="20"/>
  <c r="AH96" i="20" s="1"/>
  <c r="AG96" i="20" s="1"/>
  <c r="AF96" i="20" s="1"/>
  <c r="AI26" i="20"/>
  <c r="AH26" i="20" s="1"/>
  <c r="AG26" i="20" s="1"/>
  <c r="AF26" i="20" s="1"/>
  <c r="AI61" i="20"/>
  <c r="AH61" i="20" s="1"/>
  <c r="AG61" i="20" s="1"/>
  <c r="AF61" i="20" s="1"/>
  <c r="AI58" i="20"/>
  <c r="AH58" i="20" s="1"/>
  <c r="AG58" i="20" s="1"/>
  <c r="AF58" i="20" s="1"/>
  <c r="AI43" i="20"/>
  <c r="AH43" i="20" s="1"/>
  <c r="AG43" i="20" s="1"/>
  <c r="AF43" i="20" s="1"/>
  <c r="AI72" i="20"/>
  <c r="AH72" i="20" s="1"/>
  <c r="AG72" i="20" s="1"/>
  <c r="AF72" i="20" s="1"/>
  <c r="AI34" i="20"/>
  <c r="AH34" i="20" s="1"/>
  <c r="AG34" i="20" s="1"/>
  <c r="AF34" i="20" s="1"/>
  <c r="AI60" i="20"/>
  <c r="AH60" i="20" s="1"/>
  <c r="AG60" i="20" s="1"/>
  <c r="AF60" i="20" s="1"/>
  <c r="AI56" i="20"/>
  <c r="AH56" i="20" s="1"/>
  <c r="AG56" i="20" s="1"/>
  <c r="AF56" i="20" s="1"/>
  <c r="AI89" i="20"/>
  <c r="AH89" i="20" s="1"/>
  <c r="AG89" i="20" s="1"/>
  <c r="AF89" i="20" s="1"/>
  <c r="AI83" i="20"/>
  <c r="AH83" i="20" s="1"/>
  <c r="AG83" i="20" s="1"/>
  <c r="AF83" i="20" s="1"/>
  <c r="AI44" i="20"/>
  <c r="AH44" i="20" s="1"/>
  <c r="AG44" i="20" s="1"/>
  <c r="AF44" i="20" s="1"/>
  <c r="AI21" i="20"/>
  <c r="AH21" i="20" s="1"/>
  <c r="AG21" i="20" s="1"/>
  <c r="AF21" i="20" s="1"/>
  <c r="AI19" i="20"/>
  <c r="AH19" i="20" s="1"/>
  <c r="AG19" i="20" s="1"/>
  <c r="AF19" i="20" s="1"/>
  <c r="AI30" i="20"/>
  <c r="AH30" i="20" s="1"/>
  <c r="AG30" i="20" s="1"/>
  <c r="AF30" i="20" s="1"/>
  <c r="AI27" i="20"/>
  <c r="AH27" i="20" s="1"/>
  <c r="AG27" i="20" s="1"/>
  <c r="AF27" i="20" s="1"/>
  <c r="AI22" i="20"/>
  <c r="AH22" i="20" s="1"/>
  <c r="AG22" i="20" s="1"/>
  <c r="AF22" i="20" s="1"/>
  <c r="AI68" i="20"/>
  <c r="AH68" i="20" s="1"/>
  <c r="AG68" i="20" s="1"/>
  <c r="AF68" i="20" s="1"/>
  <c r="AI52" i="20"/>
  <c r="AH52" i="20" s="1"/>
  <c r="AG52" i="20" s="1"/>
  <c r="AF52" i="20" s="1"/>
  <c r="AI48" i="20"/>
  <c r="AH48" i="20" s="1"/>
  <c r="AG48" i="20" s="1"/>
  <c r="AF48" i="20" s="1"/>
  <c r="AI31" i="20"/>
  <c r="AH31" i="20" s="1"/>
  <c r="AG31" i="20" s="1"/>
  <c r="AF31" i="20" s="1"/>
  <c r="AI33" i="20"/>
  <c r="AH33" i="20" s="1"/>
  <c r="AG33" i="20" s="1"/>
  <c r="AF33" i="20" s="1"/>
  <c r="AI53" i="20"/>
  <c r="AH53" i="20" s="1"/>
  <c r="AG53" i="20" s="1"/>
  <c r="AF53" i="20" s="1"/>
  <c r="AI77" i="20"/>
  <c r="AH77" i="20" s="1"/>
  <c r="AG77" i="20" s="1"/>
  <c r="AF77" i="20" s="1"/>
  <c r="AI102" i="20"/>
  <c r="AH102" i="20" s="1"/>
  <c r="AG102" i="20" s="1"/>
  <c r="AF102" i="20" s="1"/>
  <c r="AI82" i="20"/>
  <c r="AH82" i="20" s="1"/>
  <c r="AG82" i="20" s="1"/>
  <c r="AF82" i="20" s="1"/>
  <c r="AI76" i="20"/>
  <c r="AH76" i="20" s="1"/>
  <c r="AG76" i="20" s="1"/>
  <c r="AF76" i="20" s="1"/>
  <c r="AI74" i="20"/>
  <c r="AH74" i="20" s="1"/>
  <c r="AG74" i="20" s="1"/>
  <c r="AF74" i="20" s="1"/>
  <c r="AI23" i="20"/>
  <c r="AH23" i="20" s="1"/>
  <c r="AG23" i="20" s="1"/>
  <c r="AF23" i="20" s="1"/>
  <c r="AI87" i="20"/>
  <c r="AH87" i="20" s="1"/>
  <c r="AG87" i="20" s="1"/>
  <c r="AF87" i="20" s="1"/>
  <c r="AI37" i="20"/>
  <c r="AH37" i="20" s="1"/>
  <c r="AG37" i="20" s="1"/>
  <c r="AF37" i="20" s="1"/>
  <c r="AI100" i="20"/>
  <c r="AH100" i="20" s="1"/>
  <c r="AG100" i="20" s="1"/>
  <c r="AF100" i="20" s="1"/>
  <c r="AI55" i="20"/>
  <c r="AH55" i="20" s="1"/>
  <c r="AG55" i="20" s="1"/>
  <c r="AF55" i="20" s="1"/>
  <c r="AI71" i="20"/>
  <c r="AH71" i="20" s="1"/>
  <c r="AG71" i="20" s="1"/>
  <c r="AF71" i="20" s="1"/>
  <c r="AI69" i="20"/>
  <c r="AH69" i="20" s="1"/>
  <c r="AG69" i="20" s="1"/>
  <c r="AF69" i="20" s="1"/>
  <c r="AI45" i="20"/>
  <c r="AH45" i="20" s="1"/>
  <c r="AG45" i="20" s="1"/>
  <c r="AF45" i="20" s="1"/>
  <c r="AI85" i="20"/>
  <c r="AH85" i="20" s="1"/>
  <c r="AG85" i="20" s="1"/>
  <c r="AF85" i="20" s="1"/>
  <c r="AI40" i="20"/>
  <c r="AH40" i="20" s="1"/>
  <c r="AG40" i="20" s="1"/>
  <c r="AF40" i="20" s="1"/>
  <c r="AI75" i="20"/>
  <c r="AH75" i="20" s="1"/>
  <c r="AG75" i="20" s="1"/>
  <c r="AF75" i="20" s="1"/>
  <c r="J383" i="16"/>
  <c r="J382" i="16"/>
  <c r="J381" i="16"/>
  <c r="D345" i="18"/>
  <c r="E345" i="18" s="1"/>
  <c r="F345" i="18" s="1"/>
  <c r="W345" i="18"/>
  <c r="H79" i="18"/>
  <c r="G79" i="18"/>
  <c r="CA79" i="6" s="1"/>
  <c r="AA79" i="18"/>
  <c r="Z79" i="18" s="1"/>
  <c r="Y79" i="18" s="1"/>
  <c r="W312" i="18"/>
  <c r="D312" i="18"/>
  <c r="E312" i="18" s="1"/>
  <c r="F312" i="18" s="1"/>
  <c r="V155" i="18"/>
  <c r="F155" i="18" s="1"/>
  <c r="W332" i="18"/>
  <c r="D332" i="18"/>
  <c r="E332" i="18" s="1"/>
  <c r="F332" i="18" s="1"/>
  <c r="V266" i="18"/>
  <c r="W266" i="18" s="1"/>
  <c r="V232" i="18"/>
  <c r="F232" i="18" s="1"/>
  <c r="V219" i="18"/>
  <c r="F219" i="18" s="1"/>
  <c r="V203" i="18"/>
  <c r="F203" i="18" s="1"/>
  <c r="V187" i="18"/>
  <c r="F187" i="18" s="1"/>
  <c r="V41" i="18"/>
  <c r="F41" i="18" s="1"/>
  <c r="D71" i="7"/>
  <c r="V119" i="18"/>
  <c r="F119" i="18" s="1"/>
  <c r="D313" i="18"/>
  <c r="E313" i="18" s="1"/>
  <c r="F313" i="18" s="1"/>
  <c r="W313" i="18"/>
  <c r="V35" i="18"/>
  <c r="F35" i="18" s="1"/>
  <c r="V23" i="18"/>
  <c r="F23" i="18" s="1"/>
  <c r="D354" i="18"/>
  <c r="E354" i="18" s="1"/>
  <c r="F354" i="18" s="1"/>
  <c r="W354" i="18"/>
  <c r="H50" i="18"/>
  <c r="G50" i="18"/>
  <c r="CA50" i="6" s="1"/>
  <c r="AA50" i="18"/>
  <c r="Z50" i="18" s="1"/>
  <c r="Y50" i="18" s="1"/>
  <c r="AA172" i="18"/>
  <c r="Z172" i="18" s="1"/>
  <c r="Y172" i="18" s="1"/>
  <c r="G172" i="18"/>
  <c r="CA172" i="6" s="1"/>
  <c r="H172" i="18"/>
  <c r="D368" i="18"/>
  <c r="E368" i="18" s="1"/>
  <c r="F368" i="18" s="1"/>
  <c r="W368" i="18"/>
  <c r="V220" i="18"/>
  <c r="F220" i="18" s="1"/>
  <c r="D303" i="18"/>
  <c r="E303" i="18" s="1"/>
  <c r="F303" i="18" s="1"/>
  <c r="W303" i="18"/>
  <c r="V100" i="18"/>
  <c r="F100" i="18" s="1"/>
  <c r="V47" i="18"/>
  <c r="W47" i="18" s="1"/>
  <c r="H92" i="18"/>
  <c r="AA92" i="18"/>
  <c r="Z92" i="18" s="1"/>
  <c r="Y92" i="18" s="1"/>
  <c r="G92" i="18"/>
  <c r="CA92" i="6" s="1"/>
  <c r="V208" i="18"/>
  <c r="F208" i="18" s="1"/>
  <c r="V44" i="18"/>
  <c r="F44" i="18" s="1"/>
  <c r="V64" i="18"/>
  <c r="F64" i="18" s="1"/>
  <c r="V221" i="18"/>
  <c r="F221" i="18" s="1"/>
  <c r="V131" i="18"/>
  <c r="F131" i="18" s="1"/>
  <c r="V206" i="18"/>
  <c r="F206" i="18" s="1"/>
  <c r="V178" i="18"/>
  <c r="F178" i="18" s="1"/>
  <c r="V121" i="18"/>
  <c r="F121" i="18" s="1"/>
  <c r="V248" i="18"/>
  <c r="F248" i="18" s="1"/>
  <c r="V233" i="18"/>
  <c r="F233" i="18" s="1"/>
  <c r="V146" i="18"/>
  <c r="W146" i="18" s="1"/>
  <c r="V285" i="18"/>
  <c r="F285" i="18" s="1"/>
  <c r="V263" i="18"/>
  <c r="F263" i="18" s="1"/>
  <c r="V333" i="18"/>
  <c r="D78" i="7"/>
  <c r="H34" i="18"/>
  <c r="G34" i="18"/>
  <c r="CA34" i="6" s="1"/>
  <c r="AA34" i="18"/>
  <c r="Z34" i="18" s="1"/>
  <c r="Y34" i="18" s="1"/>
  <c r="V240" i="18"/>
  <c r="F240" i="18" s="1"/>
  <c r="V280" i="18"/>
  <c r="F280" i="18" s="1"/>
  <c r="D69" i="7"/>
  <c r="V60" i="18"/>
  <c r="F60" i="18" s="1"/>
  <c r="V153" i="18"/>
  <c r="W153" i="18" s="1"/>
  <c r="H267" i="18"/>
  <c r="AA267" i="18"/>
  <c r="Z267" i="18" s="1"/>
  <c r="Y267" i="18" s="1"/>
  <c r="G267" i="18"/>
  <c r="CA267" i="6" s="1"/>
  <c r="V249" i="18"/>
  <c r="F249" i="18" s="1"/>
  <c r="W327" i="18"/>
  <c r="D327" i="18"/>
  <c r="E327" i="18" s="1"/>
  <c r="F327" i="18" s="1"/>
  <c r="V179" i="18"/>
  <c r="F179" i="18" s="1"/>
  <c r="V52" i="18"/>
  <c r="F52" i="18" s="1"/>
  <c r="V78" i="18"/>
  <c r="F78" i="18" s="1"/>
  <c r="V166" i="18"/>
  <c r="F166" i="18" s="1"/>
  <c r="W308" i="18"/>
  <c r="D308" i="18"/>
  <c r="E308" i="18" s="1"/>
  <c r="F308" i="18" s="1"/>
  <c r="V107" i="18"/>
  <c r="W107" i="18" s="1"/>
  <c r="V93" i="18"/>
  <c r="F93" i="18" s="1"/>
  <c r="V177" i="18"/>
  <c r="W177" i="18" s="1"/>
  <c r="V68" i="18"/>
  <c r="F68" i="18" s="1"/>
  <c r="V222" i="18"/>
  <c r="F222" i="18" s="1"/>
  <c r="W331" i="18"/>
  <c r="D331" i="18"/>
  <c r="E331" i="18" s="1"/>
  <c r="F331" i="18" s="1"/>
  <c r="V156" i="18"/>
  <c r="F156" i="18" s="1"/>
  <c r="V133" i="18"/>
  <c r="F133" i="18" s="1"/>
  <c r="V218" i="18"/>
  <c r="F218" i="18" s="1"/>
  <c r="V165" i="18"/>
  <c r="W165" i="18" s="1"/>
  <c r="V201" i="18"/>
  <c r="F201" i="18" s="1"/>
  <c r="V49" i="18"/>
  <c r="F49" i="18" s="1"/>
  <c r="D360" i="18"/>
  <c r="E360" i="18" s="1"/>
  <c r="F360" i="18" s="1"/>
  <c r="W360" i="18"/>
  <c r="V84" i="18"/>
  <c r="F84" i="18" s="1"/>
  <c r="V31" i="18"/>
  <c r="F31" i="18" s="1"/>
  <c r="D339" i="18"/>
  <c r="E339" i="18" s="1"/>
  <c r="F339" i="18" s="1"/>
  <c r="W339" i="18"/>
  <c r="V120" i="18"/>
  <c r="F120" i="18" s="1"/>
  <c r="W311" i="18"/>
  <c r="D311" i="18"/>
  <c r="E311" i="18" s="1"/>
  <c r="F311" i="18" s="1"/>
  <c r="D294" i="18"/>
  <c r="E294" i="18" s="1"/>
  <c r="F294" i="18" s="1"/>
  <c r="W294" i="18"/>
  <c r="V25" i="18"/>
  <c r="F25" i="18" s="1"/>
  <c r="G174" i="18"/>
  <c r="CA174" i="6" s="1"/>
  <c r="AA174" i="18"/>
  <c r="Z174" i="18" s="1"/>
  <c r="Y174" i="18" s="1"/>
  <c r="V96" i="18"/>
  <c r="F96" i="18" s="1"/>
  <c r="D373" i="18"/>
  <c r="E373" i="18" s="1"/>
  <c r="F373" i="18" s="1"/>
  <c r="W373" i="18"/>
  <c r="V77" i="18"/>
  <c r="W77" i="18" s="1"/>
  <c r="W361" i="18"/>
  <c r="D361" i="18"/>
  <c r="E361" i="18" s="1"/>
  <c r="F361" i="18" s="1"/>
  <c r="V302" i="18"/>
  <c r="D77" i="7"/>
  <c r="V185" i="18"/>
  <c r="F185" i="18" s="1"/>
  <c r="V211" i="18"/>
  <c r="F211" i="18" s="1"/>
  <c r="V139" i="18"/>
  <c r="F139" i="18" s="1"/>
  <c r="V86" i="18"/>
  <c r="F86" i="18" s="1"/>
  <c r="W309" i="18"/>
  <c r="D309" i="18"/>
  <c r="E309" i="18" s="1"/>
  <c r="F309" i="18" s="1"/>
  <c r="V118" i="18"/>
  <c r="F118" i="18" s="1"/>
  <c r="V101" i="18"/>
  <c r="F101" i="18" s="1"/>
  <c r="V283" i="18"/>
  <c r="F283" i="18" s="1"/>
  <c r="V142" i="18"/>
  <c r="F142" i="18" s="1"/>
  <c r="V250" i="18"/>
  <c r="F250" i="18" s="1"/>
  <c r="H243" i="18"/>
  <c r="G243" i="18"/>
  <c r="CA243" i="6" s="1"/>
  <c r="AA243" i="18"/>
  <c r="Z243" i="18" s="1"/>
  <c r="Y243" i="18" s="1"/>
  <c r="V70" i="18"/>
  <c r="F70" i="18" s="1"/>
  <c r="J196" i="17"/>
  <c r="I196" i="17"/>
  <c r="W352" i="18"/>
  <c r="D352" i="18"/>
  <c r="E352" i="18" s="1"/>
  <c r="F352" i="18" s="1"/>
  <c r="W314" i="18"/>
  <c r="D314" i="18"/>
  <c r="E314" i="18" s="1"/>
  <c r="F314" i="18" s="1"/>
  <c r="V254" i="18"/>
  <c r="F254" i="18" s="1"/>
  <c r="V140" i="18"/>
  <c r="F140" i="18" s="1"/>
  <c r="W320" i="18"/>
  <c r="D320" i="18"/>
  <c r="E320" i="18" s="1"/>
  <c r="F320" i="18" s="1"/>
  <c r="V81" i="18"/>
  <c r="F81" i="18" s="1"/>
  <c r="V33" i="18"/>
  <c r="F33" i="18" s="1"/>
  <c r="D378" i="18"/>
  <c r="E378" i="18" s="1"/>
  <c r="F378" i="18" s="1"/>
  <c r="W378" i="18"/>
  <c r="W357" i="18"/>
  <c r="D357" i="18"/>
  <c r="E357" i="18" s="1"/>
  <c r="F357" i="18" s="1"/>
  <c r="V72" i="18"/>
  <c r="F72" i="18" s="1"/>
  <c r="V180" i="18"/>
  <c r="F180" i="18" s="1"/>
  <c r="D73" i="7"/>
  <c r="V55" i="18"/>
  <c r="F55" i="18" s="1"/>
  <c r="V19" i="18"/>
  <c r="F19" i="18" s="1"/>
  <c r="G112" i="18"/>
  <c r="CA112" i="6" s="1"/>
  <c r="AA112" i="18"/>
  <c r="Z112" i="18" s="1"/>
  <c r="Y112" i="18" s="1"/>
  <c r="H112" i="18"/>
  <c r="V127" i="18"/>
  <c r="F127" i="18" s="1"/>
  <c r="W291" i="18"/>
  <c r="D291" i="18"/>
  <c r="E291" i="18" s="1"/>
  <c r="F291" i="18" s="1"/>
  <c r="D305" i="18"/>
  <c r="E305" i="18" s="1"/>
  <c r="F305" i="18" s="1"/>
  <c r="W305" i="18"/>
  <c r="V61" i="18"/>
  <c r="W61" i="18" s="1"/>
  <c r="V53" i="18"/>
  <c r="W53" i="18" s="1"/>
  <c r="V82" i="18"/>
  <c r="F82" i="18" s="1"/>
  <c r="D324" i="18"/>
  <c r="E324" i="18" s="1"/>
  <c r="F324" i="18" s="1"/>
  <c r="W324" i="18"/>
  <c r="V270" i="18"/>
  <c r="F270" i="18" s="1"/>
  <c r="V129" i="18"/>
  <c r="F129" i="18" s="1"/>
  <c r="V145" i="18"/>
  <c r="F145" i="18" s="1"/>
  <c r="W315" i="18"/>
  <c r="D315" i="18"/>
  <c r="E315" i="18" s="1"/>
  <c r="F315" i="18" s="1"/>
  <c r="W297" i="18"/>
  <c r="D297" i="18"/>
  <c r="E297" i="18" s="1"/>
  <c r="F297" i="18" s="1"/>
  <c r="V259" i="18"/>
  <c r="F259" i="18" s="1"/>
  <c r="V40" i="18"/>
  <c r="F40" i="18" s="1"/>
  <c r="H256" i="18"/>
  <c r="G256" i="18"/>
  <c r="CA256" i="6" s="1"/>
  <c r="AA256" i="18"/>
  <c r="Z256" i="18" s="1"/>
  <c r="Y256" i="18" s="1"/>
  <c r="V151" i="18"/>
  <c r="F151" i="18" s="1"/>
  <c r="W355" i="18"/>
  <c r="D355" i="18"/>
  <c r="E355" i="18" s="1"/>
  <c r="F355" i="18" s="1"/>
  <c r="V149" i="18"/>
  <c r="F149" i="18" s="1"/>
  <c r="D72" i="7"/>
  <c r="V67" i="18"/>
  <c r="F67" i="18" s="1"/>
  <c r="G214" i="18"/>
  <c r="CA214" i="6" s="1"/>
  <c r="AA214" i="18"/>
  <c r="Z214" i="18" s="1"/>
  <c r="Y214" i="18" s="1"/>
  <c r="H214" i="18"/>
  <c r="W317" i="18"/>
  <c r="D317" i="18"/>
  <c r="E317" i="18" s="1"/>
  <c r="F317" i="18" s="1"/>
  <c r="V117" i="18"/>
  <c r="F117" i="18" s="1"/>
  <c r="V143" i="18"/>
  <c r="F143" i="18" s="1"/>
  <c r="V152" i="18"/>
  <c r="F152" i="18" s="1"/>
  <c r="D347" i="18"/>
  <c r="E347" i="18" s="1"/>
  <c r="F347" i="18" s="1"/>
  <c r="W347" i="18"/>
  <c r="V69" i="18"/>
  <c r="F69" i="18" s="1"/>
  <c r="D337" i="18"/>
  <c r="E337" i="18" s="1"/>
  <c r="F337" i="18" s="1"/>
  <c r="W337" i="18"/>
  <c r="V194" i="18"/>
  <c r="F194" i="18" s="1"/>
  <c r="V204" i="18"/>
  <c r="F204" i="18" s="1"/>
  <c r="V80" i="18"/>
  <c r="F80" i="18" s="1"/>
  <c r="D293" i="18"/>
  <c r="E293" i="18" s="1"/>
  <c r="F293" i="18" s="1"/>
  <c r="W293" i="18"/>
  <c r="V45" i="18"/>
  <c r="F45" i="18" s="1"/>
  <c r="V124" i="18"/>
  <c r="F124" i="18" s="1"/>
  <c r="V43" i="18"/>
  <c r="W43" i="18" s="1"/>
  <c r="V235" i="18"/>
  <c r="F235" i="18" s="1"/>
  <c r="H260" i="18"/>
  <c r="G260" i="18"/>
  <c r="CA260" i="6" s="1"/>
  <c r="AA260" i="18"/>
  <c r="Z260" i="18" s="1"/>
  <c r="Y260" i="18" s="1"/>
  <c r="W300" i="18"/>
  <c r="D300" i="18"/>
  <c r="E300" i="18" s="1"/>
  <c r="F300" i="18" s="1"/>
  <c r="P382" i="17"/>
  <c r="P383" i="17"/>
  <c r="P381" i="17"/>
  <c r="V15" i="17"/>
  <c r="V147" i="18"/>
  <c r="F147" i="18" s="1"/>
  <c r="V171" i="18"/>
  <c r="F171" i="18" s="1"/>
  <c r="W295" i="18"/>
  <c r="D295" i="18"/>
  <c r="E295" i="18" s="1"/>
  <c r="F295" i="18" s="1"/>
  <c r="V257" i="18"/>
  <c r="W257" i="18" s="1"/>
  <c r="V58" i="18"/>
  <c r="F58" i="18" s="1"/>
  <c r="V197" i="18"/>
  <c r="F197" i="18" s="1"/>
  <c r="V76" i="18"/>
  <c r="F76" i="18" s="1"/>
  <c r="V66" i="18"/>
  <c r="F66" i="18" s="1"/>
  <c r="S379" i="18"/>
  <c r="R379" i="18" s="1"/>
  <c r="P379" i="18" s="1"/>
  <c r="AM13" i="15"/>
  <c r="AK4" i="15"/>
  <c r="R12" i="19" s="1"/>
  <c r="N13" i="19" s="1"/>
  <c r="AD382" i="17"/>
  <c r="AD381" i="17"/>
  <c r="AD383" i="17"/>
  <c r="H273" i="18"/>
  <c r="AA273" i="18"/>
  <c r="Z273" i="18" s="1"/>
  <c r="Y273" i="18" s="1"/>
  <c r="G273" i="18"/>
  <c r="CA273" i="6" s="1"/>
  <c r="V83" i="18"/>
  <c r="F83" i="18" s="1"/>
  <c r="V182" i="18"/>
  <c r="F182" i="18" s="1"/>
  <c r="V282" i="18"/>
  <c r="F282" i="18" s="1"/>
  <c r="D343" i="18"/>
  <c r="E343" i="18" s="1"/>
  <c r="F343" i="18" s="1"/>
  <c r="W343" i="18"/>
  <c r="V215" i="18"/>
  <c r="F215" i="18" s="1"/>
  <c r="T383" i="18"/>
  <c r="T382" i="18"/>
  <c r="T381" i="18"/>
  <c r="S15" i="18"/>
  <c r="AA346" i="18"/>
  <c r="Z346" i="18" s="1"/>
  <c r="Y346" i="18" s="1"/>
  <c r="H346" i="18"/>
  <c r="G346" i="18"/>
  <c r="CA346" i="6" s="1"/>
  <c r="AE383" i="20"/>
  <c r="AE382" i="20"/>
  <c r="AE381" i="20"/>
  <c r="Q382" i="20"/>
  <c r="Q383" i="20"/>
  <c r="Q381" i="20"/>
  <c r="AE12" i="22"/>
  <c r="AM15" i="7"/>
  <c r="Q10" i="22"/>
  <c r="W15" i="18"/>
  <c r="D15" i="18"/>
  <c r="U47" i="20" l="1"/>
  <c r="T47" i="20" s="1"/>
  <c r="U25" i="20"/>
  <c r="T25" i="20" s="1"/>
  <c r="U250" i="20"/>
  <c r="T250" i="20" s="1"/>
  <c r="U62" i="20"/>
  <c r="T62" i="20" s="1"/>
  <c r="S62" i="20" s="1"/>
  <c r="R62" i="20" s="1"/>
  <c r="U29" i="20"/>
  <c r="T29" i="20" s="1"/>
  <c r="U107" i="20"/>
  <c r="T107" i="20" s="1"/>
  <c r="U249" i="20"/>
  <c r="T249" i="20" s="1"/>
  <c r="U223" i="20"/>
  <c r="T223" i="20" s="1"/>
  <c r="U234" i="20"/>
  <c r="T234" i="20" s="1"/>
  <c r="H362" i="18"/>
  <c r="J362" i="18" s="1"/>
  <c r="C362" i="6" s="1"/>
  <c r="U172" i="20"/>
  <c r="T172" i="20" s="1"/>
  <c r="E13" i="19"/>
  <c r="I36" i="19"/>
  <c r="AI90" i="20"/>
  <c r="AH90" i="20" s="1"/>
  <c r="AG90" i="20" s="1"/>
  <c r="AF90" i="20" s="1"/>
  <c r="AI50" i="20"/>
  <c r="AH50" i="20" s="1"/>
  <c r="AG50" i="20" s="1"/>
  <c r="AF50" i="20" s="1"/>
  <c r="AI66" i="20"/>
  <c r="AH66" i="20" s="1"/>
  <c r="AG66" i="20" s="1"/>
  <c r="AF66" i="20" s="1"/>
  <c r="AI94" i="20"/>
  <c r="AH94" i="20" s="1"/>
  <c r="AG94" i="20" s="1"/>
  <c r="AF94" i="20" s="1"/>
  <c r="AI79" i="20"/>
  <c r="AH79" i="20" s="1"/>
  <c r="AG79" i="20" s="1"/>
  <c r="AF79" i="20" s="1"/>
  <c r="AI91" i="20"/>
  <c r="AH91" i="20" s="1"/>
  <c r="AG91" i="20" s="1"/>
  <c r="AF91" i="20" s="1"/>
  <c r="AI29" i="20"/>
  <c r="AH29" i="20" s="1"/>
  <c r="AG29" i="20" s="1"/>
  <c r="AF29" i="20" s="1"/>
  <c r="AI97" i="20"/>
  <c r="AH97" i="20" s="1"/>
  <c r="AG97" i="20" s="1"/>
  <c r="AF97" i="20" s="1"/>
  <c r="AI41" i="20"/>
  <c r="AH41" i="20" s="1"/>
  <c r="AG41" i="20" s="1"/>
  <c r="AF41" i="20" s="1"/>
  <c r="AI15" i="20"/>
  <c r="AH15" i="20" s="1"/>
  <c r="AI17" i="20"/>
  <c r="AH17" i="20" s="1"/>
  <c r="AG17" i="20" s="1"/>
  <c r="AF17" i="20" s="1"/>
  <c r="AI25" i="20"/>
  <c r="AH25" i="20" s="1"/>
  <c r="AG25" i="20" s="1"/>
  <c r="AF25" i="20" s="1"/>
  <c r="AI70" i="20"/>
  <c r="AH70" i="20" s="1"/>
  <c r="AG70" i="20" s="1"/>
  <c r="AF70" i="20" s="1"/>
  <c r="AI59" i="20"/>
  <c r="AH59" i="20" s="1"/>
  <c r="AG59" i="20" s="1"/>
  <c r="AF59" i="20" s="1"/>
  <c r="AI32" i="20"/>
  <c r="AH32" i="20" s="1"/>
  <c r="AG32" i="20" s="1"/>
  <c r="AF32" i="20" s="1"/>
  <c r="AI63" i="20"/>
  <c r="AH63" i="20" s="1"/>
  <c r="AG63" i="20" s="1"/>
  <c r="AF63" i="20" s="1"/>
  <c r="AI46" i="20"/>
  <c r="AH46" i="20" s="1"/>
  <c r="AG46" i="20" s="1"/>
  <c r="AF46" i="20" s="1"/>
  <c r="AI93" i="20"/>
  <c r="AH93" i="20" s="1"/>
  <c r="AG93" i="20" s="1"/>
  <c r="AF93" i="20" s="1"/>
  <c r="AI28" i="20"/>
  <c r="AH28" i="20" s="1"/>
  <c r="AG28" i="20" s="1"/>
  <c r="AF28" i="20" s="1"/>
  <c r="AI47" i="20"/>
  <c r="AH47" i="20" s="1"/>
  <c r="AG47" i="20" s="1"/>
  <c r="AF47" i="20" s="1"/>
  <c r="AI38" i="20"/>
  <c r="AH38" i="20" s="1"/>
  <c r="AG38" i="20" s="1"/>
  <c r="AF38" i="20" s="1"/>
  <c r="AI67" i="20"/>
  <c r="AH67" i="20" s="1"/>
  <c r="AG67" i="20" s="1"/>
  <c r="AF67" i="20" s="1"/>
  <c r="AI73" i="20"/>
  <c r="AH73" i="20" s="1"/>
  <c r="AG73" i="20" s="1"/>
  <c r="AF73" i="20" s="1"/>
  <c r="AI20" i="20"/>
  <c r="AH20" i="20" s="1"/>
  <c r="AG20" i="20" s="1"/>
  <c r="AF20" i="20" s="1"/>
  <c r="AI65" i="20"/>
  <c r="AH65" i="20" s="1"/>
  <c r="AG65" i="20" s="1"/>
  <c r="AF65" i="20" s="1"/>
  <c r="AI95" i="20"/>
  <c r="AH95" i="20" s="1"/>
  <c r="AG95" i="20" s="1"/>
  <c r="AF95" i="20" s="1"/>
  <c r="AI78" i="20"/>
  <c r="AH78" i="20" s="1"/>
  <c r="AG78" i="20" s="1"/>
  <c r="AF78" i="20" s="1"/>
  <c r="AI84" i="20"/>
  <c r="AH84" i="20" s="1"/>
  <c r="AG84" i="20" s="1"/>
  <c r="AF84" i="20" s="1"/>
  <c r="AI54" i="20"/>
  <c r="AH54" i="20" s="1"/>
  <c r="AG54" i="20" s="1"/>
  <c r="AF54" i="20" s="1"/>
  <c r="AI80" i="20"/>
  <c r="AH80" i="20" s="1"/>
  <c r="AG80" i="20" s="1"/>
  <c r="AF80" i="20" s="1"/>
  <c r="AI62" i="20"/>
  <c r="AH62" i="20" s="1"/>
  <c r="AG62" i="20" s="1"/>
  <c r="AF62" i="20" s="1"/>
  <c r="AI36" i="20"/>
  <c r="AH36" i="20" s="1"/>
  <c r="AG36" i="20" s="1"/>
  <c r="AF36" i="20" s="1"/>
  <c r="AI16" i="20"/>
  <c r="AH16" i="20" s="1"/>
  <c r="AG16" i="20" s="1"/>
  <c r="AF16" i="20" s="1"/>
  <c r="AI81" i="20"/>
  <c r="AH81" i="20" s="1"/>
  <c r="AG81" i="20" s="1"/>
  <c r="AF81" i="20" s="1"/>
  <c r="AI18" i="20"/>
  <c r="AH18" i="20" s="1"/>
  <c r="AG18" i="20" s="1"/>
  <c r="AF18" i="20" s="1"/>
  <c r="AI49" i="20"/>
  <c r="AH49" i="20" s="1"/>
  <c r="AG49" i="20" s="1"/>
  <c r="AF49" i="20" s="1"/>
  <c r="AI99" i="20"/>
  <c r="AH99" i="20" s="1"/>
  <c r="AG99" i="20" s="1"/>
  <c r="AF99" i="20" s="1"/>
  <c r="AI86" i="20"/>
  <c r="AH86" i="20" s="1"/>
  <c r="AG86" i="20" s="1"/>
  <c r="AF86" i="20" s="1"/>
  <c r="AI39" i="20"/>
  <c r="AH39" i="20" s="1"/>
  <c r="AG39" i="20" s="1"/>
  <c r="AF39" i="20" s="1"/>
  <c r="AI101" i="20"/>
  <c r="AH101" i="20" s="1"/>
  <c r="AG101" i="20" s="1"/>
  <c r="AF101" i="20" s="1"/>
  <c r="AI51" i="20"/>
  <c r="AH51" i="20" s="1"/>
  <c r="AG51" i="20" s="1"/>
  <c r="AF51" i="20" s="1"/>
  <c r="AI35" i="20"/>
  <c r="AH35" i="20" s="1"/>
  <c r="AG35" i="20" s="1"/>
  <c r="AF35" i="20" s="1"/>
  <c r="AI57" i="20"/>
  <c r="AH57" i="20" s="1"/>
  <c r="AG57" i="20" s="1"/>
  <c r="AF57" i="20" s="1"/>
  <c r="AI64" i="20"/>
  <c r="AH64" i="20" s="1"/>
  <c r="AG64" i="20" s="1"/>
  <c r="AF64" i="20" s="1"/>
  <c r="U214" i="20"/>
  <c r="T214" i="20" s="1"/>
  <c r="S214" i="20" s="1"/>
  <c r="R214" i="20" s="1"/>
  <c r="P214" i="20" s="1"/>
  <c r="V214" i="20" s="1"/>
  <c r="B214" i="20" s="1"/>
  <c r="U84" i="20"/>
  <c r="T84" i="20" s="1"/>
  <c r="S84" i="20" s="1"/>
  <c r="R84" i="20" s="1"/>
  <c r="U301" i="20"/>
  <c r="T301" i="20" s="1"/>
  <c r="S301" i="20" s="1"/>
  <c r="R301" i="20" s="1"/>
  <c r="P301" i="20" s="1"/>
  <c r="V301" i="20" s="1"/>
  <c r="B301" i="20" s="1"/>
  <c r="U342" i="20"/>
  <c r="T342" i="20" s="1"/>
  <c r="S342" i="20" s="1"/>
  <c r="R342" i="20" s="1"/>
  <c r="P342" i="20" s="1"/>
  <c r="V342" i="20" s="1"/>
  <c r="B342" i="20" s="1"/>
  <c r="U228" i="20"/>
  <c r="T228" i="20" s="1"/>
  <c r="U106" i="20"/>
  <c r="T106" i="20" s="1"/>
  <c r="S106" i="20" s="1"/>
  <c r="R106" i="20" s="1"/>
  <c r="P106" i="20" s="1"/>
  <c r="V106" i="20" s="1"/>
  <c r="B106" i="20" s="1"/>
  <c r="U67" i="20"/>
  <c r="T67" i="20" s="1"/>
  <c r="S67" i="20" s="1"/>
  <c r="R67" i="20" s="1"/>
  <c r="P67" i="20" s="1"/>
  <c r="V67" i="20" s="1"/>
  <c r="B67" i="20" s="1"/>
  <c r="U292" i="20"/>
  <c r="T292" i="20" s="1"/>
  <c r="S292" i="20" s="1"/>
  <c r="R292" i="20" s="1"/>
  <c r="P292" i="20" s="1"/>
  <c r="V292" i="20" s="1"/>
  <c r="B292" i="20" s="1"/>
  <c r="U170" i="20"/>
  <c r="T170" i="20" s="1"/>
  <c r="S170" i="20" s="1"/>
  <c r="R170" i="20" s="1"/>
  <c r="P170" i="20" s="1"/>
  <c r="V170" i="20" s="1"/>
  <c r="B170" i="20" s="1"/>
  <c r="U137" i="20"/>
  <c r="T137" i="20" s="1"/>
  <c r="S137" i="20" s="1"/>
  <c r="R137" i="20" s="1"/>
  <c r="P137" i="20" s="1"/>
  <c r="V137" i="20" s="1"/>
  <c r="B137" i="20" s="1"/>
  <c r="U82" i="20"/>
  <c r="T82" i="20" s="1"/>
  <c r="S82" i="20" s="1"/>
  <c r="R82" i="20" s="1"/>
  <c r="P82" i="20" s="1"/>
  <c r="V82" i="20" s="1"/>
  <c r="B82" i="20" s="1"/>
  <c r="U252" i="20"/>
  <c r="T252" i="20" s="1"/>
  <c r="S252" i="20" s="1"/>
  <c r="R252" i="20" s="1"/>
  <c r="U318" i="20"/>
  <c r="T318" i="20" s="1"/>
  <c r="U103" i="20"/>
  <c r="T103" i="20" s="1"/>
  <c r="S103" i="20" s="1"/>
  <c r="R103" i="20" s="1"/>
  <c r="P103" i="20" s="1"/>
  <c r="V103" i="20" s="1"/>
  <c r="B103" i="20" s="1"/>
  <c r="U267" i="20"/>
  <c r="T267" i="20" s="1"/>
  <c r="S267" i="20" s="1"/>
  <c r="R267" i="20" s="1"/>
  <c r="P267" i="20" s="1"/>
  <c r="V267" i="20" s="1"/>
  <c r="B267" i="20" s="1"/>
  <c r="U181" i="20"/>
  <c r="T181" i="20" s="1"/>
  <c r="S181" i="20" s="1"/>
  <c r="R181" i="20" s="1"/>
  <c r="P181" i="20" s="1"/>
  <c r="V181" i="20" s="1"/>
  <c r="B181" i="20" s="1"/>
  <c r="U88" i="20"/>
  <c r="T88" i="20" s="1"/>
  <c r="S88" i="20" s="1"/>
  <c r="R88" i="20" s="1"/>
  <c r="P88" i="20" s="1"/>
  <c r="U74" i="20"/>
  <c r="T74" i="20" s="1"/>
  <c r="S74" i="20" s="1"/>
  <c r="R74" i="20" s="1"/>
  <c r="P74" i="20" s="1"/>
  <c r="V74" i="20" s="1"/>
  <c r="U182" i="20"/>
  <c r="T182" i="20" s="1"/>
  <c r="S182" i="20" s="1"/>
  <c r="R182" i="20" s="1"/>
  <c r="P182" i="20" s="1"/>
  <c r="V182" i="20" s="1"/>
  <c r="B182" i="20" s="1"/>
  <c r="U322" i="20"/>
  <c r="T322" i="20" s="1"/>
  <c r="S322" i="20" s="1"/>
  <c r="R322" i="20" s="1"/>
  <c r="P322" i="20" s="1"/>
  <c r="V322" i="20" s="1"/>
  <c r="B322" i="20" s="1"/>
  <c r="U215" i="20"/>
  <c r="T215" i="20" s="1"/>
  <c r="U225" i="20"/>
  <c r="T225" i="20" s="1"/>
  <c r="S225" i="20" s="1"/>
  <c r="R225" i="20" s="1"/>
  <c r="P225" i="20" s="1"/>
  <c r="V225" i="20" s="1"/>
  <c r="B225" i="20" s="1"/>
  <c r="U86" i="20"/>
  <c r="T86" i="20" s="1"/>
  <c r="S86" i="20" s="1"/>
  <c r="R86" i="20" s="1"/>
  <c r="P86" i="20" s="1"/>
  <c r="V86" i="20" s="1"/>
  <c r="B86" i="20" s="1"/>
  <c r="U324" i="20"/>
  <c r="T324" i="20" s="1"/>
  <c r="S324" i="20" s="1"/>
  <c r="R324" i="20" s="1"/>
  <c r="P324" i="20" s="1"/>
  <c r="V324" i="20" s="1"/>
  <c r="B324" i="20" s="1"/>
  <c r="U205" i="20"/>
  <c r="T205" i="20" s="1"/>
  <c r="S205" i="20" s="1"/>
  <c r="R205" i="20" s="1"/>
  <c r="P205" i="20" s="1"/>
  <c r="V205" i="20" s="1"/>
  <c r="B205" i="20" s="1"/>
  <c r="U35" i="20"/>
  <c r="T35" i="20" s="1"/>
  <c r="S35" i="20" s="1"/>
  <c r="R35" i="20" s="1"/>
  <c r="P35" i="20" s="1"/>
  <c r="V35" i="20" s="1"/>
  <c r="B35" i="20" s="1"/>
  <c r="U355" i="20"/>
  <c r="T355" i="20" s="1"/>
  <c r="S355" i="20" s="1"/>
  <c r="R355" i="20" s="1"/>
  <c r="P355" i="20" s="1"/>
  <c r="V355" i="20" s="1"/>
  <c r="B355" i="20" s="1"/>
  <c r="U95" i="20"/>
  <c r="T95" i="20" s="1"/>
  <c r="S95" i="20" s="1"/>
  <c r="R95" i="20" s="1"/>
  <c r="P95" i="20" s="1"/>
  <c r="V95" i="20" s="1"/>
  <c r="B95" i="20" s="1"/>
  <c r="U298" i="20"/>
  <c r="T298" i="20" s="1"/>
  <c r="U275" i="20"/>
  <c r="T275" i="20" s="1"/>
  <c r="S275" i="20" s="1"/>
  <c r="R275" i="20" s="1"/>
  <c r="P275" i="20" s="1"/>
  <c r="V275" i="20" s="1"/>
  <c r="B275" i="20" s="1"/>
  <c r="U285" i="20"/>
  <c r="T285" i="20" s="1"/>
  <c r="S285" i="20" s="1"/>
  <c r="R285" i="20" s="1"/>
  <c r="P285" i="20" s="1"/>
  <c r="V285" i="20" s="1"/>
  <c r="B285" i="20" s="1"/>
  <c r="U124" i="20"/>
  <c r="T124" i="20" s="1"/>
  <c r="S124" i="20" s="1"/>
  <c r="R124" i="20" s="1"/>
  <c r="P124" i="20" s="1"/>
  <c r="V124" i="20" s="1"/>
  <c r="B124" i="20" s="1"/>
  <c r="U377" i="20"/>
  <c r="T377" i="20" s="1"/>
  <c r="S377" i="20" s="1"/>
  <c r="R377" i="20" s="1"/>
  <c r="P377" i="20" s="1"/>
  <c r="V377" i="20" s="1"/>
  <c r="B377" i="20" s="1"/>
  <c r="U149" i="20"/>
  <c r="T149" i="20" s="1"/>
  <c r="S149" i="20" s="1"/>
  <c r="R149" i="20" s="1"/>
  <c r="P149" i="20" s="1"/>
  <c r="U235" i="20"/>
  <c r="T235" i="20" s="1"/>
  <c r="S235" i="20" s="1"/>
  <c r="R235" i="20" s="1"/>
  <c r="P235" i="20" s="1"/>
  <c r="V235" i="20" s="1"/>
  <c r="B235" i="20" s="1"/>
  <c r="U136" i="20"/>
  <c r="T136" i="20" s="1"/>
  <c r="S136" i="20" s="1"/>
  <c r="R136" i="20" s="1"/>
  <c r="P136" i="20" s="1"/>
  <c r="V136" i="20" s="1"/>
  <c r="B136" i="20" s="1"/>
  <c r="U46" i="20"/>
  <c r="T46" i="20" s="1"/>
  <c r="U113" i="20"/>
  <c r="T113" i="20" s="1"/>
  <c r="S113" i="20" s="1"/>
  <c r="R113" i="20" s="1"/>
  <c r="P113" i="20" s="1"/>
  <c r="V113" i="20" s="1"/>
  <c r="B113" i="20" s="1"/>
  <c r="U200" i="20"/>
  <c r="T200" i="20" s="1"/>
  <c r="S200" i="20" s="1"/>
  <c r="R200" i="20" s="1"/>
  <c r="P200" i="20" s="1"/>
  <c r="V200" i="20" s="1"/>
  <c r="B200" i="20" s="1"/>
  <c r="U94" i="20"/>
  <c r="T94" i="20" s="1"/>
  <c r="S94" i="20" s="1"/>
  <c r="R94" i="20" s="1"/>
  <c r="U241" i="20"/>
  <c r="T241" i="20" s="1"/>
  <c r="S241" i="20" s="1"/>
  <c r="R241" i="20" s="1"/>
  <c r="P241" i="20" s="1"/>
  <c r="U142" i="20"/>
  <c r="T142" i="20" s="1"/>
  <c r="S142" i="20" s="1"/>
  <c r="R142" i="20" s="1"/>
  <c r="P142" i="20" s="1"/>
  <c r="V142" i="20" s="1"/>
  <c r="B142" i="20" s="1"/>
  <c r="U312" i="20"/>
  <c r="T312" i="20" s="1"/>
  <c r="S312" i="20" s="1"/>
  <c r="R312" i="20" s="1"/>
  <c r="P312" i="20" s="1"/>
  <c r="V312" i="20" s="1"/>
  <c r="B312" i="20" s="1"/>
  <c r="U43" i="20"/>
  <c r="T43" i="20" s="1"/>
  <c r="S43" i="20" s="1"/>
  <c r="R43" i="20" s="1"/>
  <c r="P43" i="20" s="1"/>
  <c r="V43" i="20" s="1"/>
  <c r="B43" i="20" s="1"/>
  <c r="U287" i="20"/>
  <c r="T287" i="20" s="1"/>
  <c r="U185" i="20"/>
  <c r="T185" i="20" s="1"/>
  <c r="S185" i="20" s="1"/>
  <c r="R185" i="20" s="1"/>
  <c r="P185" i="20" s="1"/>
  <c r="V185" i="20" s="1"/>
  <c r="B185" i="20" s="1"/>
  <c r="U333" i="20"/>
  <c r="T333" i="20" s="1"/>
  <c r="S333" i="20" s="1"/>
  <c r="R333" i="20" s="1"/>
  <c r="P333" i="20" s="1"/>
  <c r="U164" i="20"/>
  <c r="T164" i="20" s="1"/>
  <c r="S164" i="20" s="1"/>
  <c r="R164" i="20" s="1"/>
  <c r="P164" i="20" s="1"/>
  <c r="V164" i="20" s="1"/>
  <c r="B164" i="20" s="1"/>
  <c r="U326" i="20"/>
  <c r="T326" i="20" s="1"/>
  <c r="S326" i="20" s="1"/>
  <c r="R326" i="20" s="1"/>
  <c r="P326" i="20" s="1"/>
  <c r="V326" i="20" s="1"/>
  <c r="B326" i="20" s="1"/>
  <c r="U307" i="20"/>
  <c r="T307" i="20" s="1"/>
  <c r="S307" i="20" s="1"/>
  <c r="R307" i="20" s="1"/>
  <c r="P307" i="20" s="1"/>
  <c r="V307" i="20" s="1"/>
  <c r="B307" i="20" s="1"/>
  <c r="U17" i="20"/>
  <c r="T17" i="20" s="1"/>
  <c r="S17" i="20" s="1"/>
  <c r="R17" i="20" s="1"/>
  <c r="P17" i="20" s="1"/>
  <c r="V17" i="20" s="1"/>
  <c r="B17" i="20" s="1"/>
  <c r="U24" i="20"/>
  <c r="T24" i="20" s="1"/>
  <c r="S24" i="20" s="1"/>
  <c r="R24" i="20" s="1"/>
  <c r="P24" i="20" s="1"/>
  <c r="V24" i="20" s="1"/>
  <c r="B24" i="20" s="1"/>
  <c r="U265" i="20"/>
  <c r="T265" i="20" s="1"/>
  <c r="U146" i="20"/>
  <c r="T146" i="20" s="1"/>
  <c r="S146" i="20" s="1"/>
  <c r="R146" i="20" s="1"/>
  <c r="P146" i="20" s="1"/>
  <c r="V146" i="20" s="1"/>
  <c r="B146" i="20" s="1"/>
  <c r="U316" i="20"/>
  <c r="T316" i="20" s="1"/>
  <c r="S316" i="20" s="1"/>
  <c r="R316" i="20" s="1"/>
  <c r="P316" i="20" s="1"/>
  <c r="V316" i="20" s="1"/>
  <c r="B316" i="20" s="1"/>
  <c r="U162" i="20"/>
  <c r="T162" i="20" s="1"/>
  <c r="S162" i="20" s="1"/>
  <c r="R162" i="20" s="1"/>
  <c r="P162" i="20" s="1"/>
  <c r="V162" i="20" s="1"/>
  <c r="B162" i="20" s="1"/>
  <c r="U243" i="20"/>
  <c r="T243" i="20" s="1"/>
  <c r="S243" i="20" s="1"/>
  <c r="R243" i="20" s="1"/>
  <c r="P243" i="20" s="1"/>
  <c r="V243" i="20" s="1"/>
  <c r="B243" i="20" s="1"/>
  <c r="U92" i="20"/>
  <c r="T92" i="20" s="1"/>
  <c r="S92" i="20" s="1"/>
  <c r="R92" i="20" s="1"/>
  <c r="P92" i="20" s="1"/>
  <c r="V92" i="20" s="1"/>
  <c r="B92" i="20" s="1"/>
  <c r="U328" i="20"/>
  <c r="T328" i="20" s="1"/>
  <c r="S328" i="20" s="1"/>
  <c r="R328" i="20" s="1"/>
  <c r="P328" i="20" s="1"/>
  <c r="V328" i="20" s="1"/>
  <c r="B328" i="20" s="1"/>
  <c r="U222" i="20"/>
  <c r="T222" i="20" s="1"/>
  <c r="S222" i="20" s="1"/>
  <c r="R222" i="20" s="1"/>
  <c r="P222" i="20" s="1"/>
  <c r="V222" i="20" s="1"/>
  <c r="B222" i="20" s="1"/>
  <c r="U81" i="20"/>
  <c r="T81" i="20" s="1"/>
  <c r="U373" i="20"/>
  <c r="T373" i="20" s="1"/>
  <c r="S373" i="20" s="1"/>
  <c r="R373" i="20" s="1"/>
  <c r="P373" i="20" s="1"/>
  <c r="V373" i="20" s="1"/>
  <c r="B373" i="20" s="1"/>
  <c r="U184" i="20"/>
  <c r="T184" i="20" s="1"/>
  <c r="S184" i="20" s="1"/>
  <c r="R184" i="20" s="1"/>
  <c r="U118" i="20"/>
  <c r="T118" i="20" s="1"/>
  <c r="S118" i="20" s="1"/>
  <c r="R118" i="20" s="1"/>
  <c r="P118" i="20" s="1"/>
  <c r="V118" i="20" s="1"/>
  <c r="B118" i="20" s="1"/>
  <c r="U289" i="20"/>
  <c r="T289" i="20" s="1"/>
  <c r="S289" i="20" s="1"/>
  <c r="R289" i="20" s="1"/>
  <c r="P289" i="20" s="1"/>
  <c r="V289" i="20" s="1"/>
  <c r="B289" i="20" s="1"/>
  <c r="U23" i="20"/>
  <c r="T23" i="20" s="1"/>
  <c r="S23" i="20" s="1"/>
  <c r="R23" i="20" s="1"/>
  <c r="P23" i="20" s="1"/>
  <c r="V23" i="20" s="1"/>
  <c r="B23" i="20" s="1"/>
  <c r="U310" i="20"/>
  <c r="T310" i="20" s="1"/>
  <c r="S310" i="20" s="1"/>
  <c r="R310" i="20" s="1"/>
  <c r="P310" i="20" s="1"/>
  <c r="V310" i="20" s="1"/>
  <c r="B310" i="20" s="1"/>
  <c r="U52" i="20"/>
  <c r="T52" i="20" s="1"/>
  <c r="S52" i="20" s="1"/>
  <c r="R52" i="20" s="1"/>
  <c r="P52" i="20" s="1"/>
  <c r="V52" i="20" s="1"/>
  <c r="B52" i="20" s="1"/>
  <c r="U237" i="20"/>
  <c r="T237" i="20" s="1"/>
  <c r="S237" i="20" s="1"/>
  <c r="R237" i="20" s="1"/>
  <c r="P237" i="20" s="1"/>
  <c r="V237" i="20" s="1"/>
  <c r="B237" i="20" s="1"/>
  <c r="U293" i="20"/>
  <c r="T293" i="20" s="1"/>
  <c r="S293" i="20" s="1"/>
  <c r="R293" i="20" s="1"/>
  <c r="P293" i="20" s="1"/>
  <c r="V293" i="20" s="1"/>
  <c r="B293" i="20" s="1"/>
  <c r="U248" i="20"/>
  <c r="T248" i="20" s="1"/>
  <c r="U347" i="20"/>
  <c r="T347" i="20" s="1"/>
  <c r="S347" i="20" s="1"/>
  <c r="R347" i="20" s="1"/>
  <c r="P347" i="20" s="1"/>
  <c r="V347" i="20" s="1"/>
  <c r="B347" i="20" s="1"/>
  <c r="U78" i="20"/>
  <c r="T78" i="20" s="1"/>
  <c r="S78" i="20" s="1"/>
  <c r="R78" i="20" s="1"/>
  <c r="P78" i="20" s="1"/>
  <c r="V78" i="20" s="1"/>
  <c r="B78" i="20" s="1"/>
  <c r="U352" i="20"/>
  <c r="T352" i="20" s="1"/>
  <c r="S352" i="20" s="1"/>
  <c r="R352" i="20" s="1"/>
  <c r="P352" i="20" s="1"/>
  <c r="V352" i="20" s="1"/>
  <c r="B352" i="20" s="1"/>
  <c r="U220" i="20"/>
  <c r="T220" i="20" s="1"/>
  <c r="S220" i="20" s="1"/>
  <c r="R220" i="20" s="1"/>
  <c r="P220" i="20" s="1"/>
  <c r="V220" i="20" s="1"/>
  <c r="B220" i="20" s="1"/>
  <c r="U50" i="20"/>
  <c r="T50" i="20" s="1"/>
  <c r="S50" i="20" s="1"/>
  <c r="R50" i="20" s="1"/>
  <c r="P50" i="20" s="1"/>
  <c r="V50" i="20" s="1"/>
  <c r="B50" i="20" s="1"/>
  <c r="U329" i="20"/>
  <c r="T329" i="20" s="1"/>
  <c r="S329" i="20" s="1"/>
  <c r="R329" i="20" s="1"/>
  <c r="P329" i="20" s="1"/>
  <c r="V329" i="20" s="1"/>
  <c r="B329" i="20" s="1"/>
  <c r="U197" i="20"/>
  <c r="T197" i="20" s="1"/>
  <c r="S197" i="20" s="1"/>
  <c r="R197" i="20" s="1"/>
  <c r="P197" i="20" s="1"/>
  <c r="V197" i="20" s="1"/>
  <c r="B197" i="20" s="1"/>
  <c r="U193" i="20"/>
  <c r="T193" i="20" s="1"/>
  <c r="U343" i="20"/>
  <c r="T343" i="20" s="1"/>
  <c r="S343" i="20" s="1"/>
  <c r="R343" i="20" s="1"/>
  <c r="P343" i="20" s="1"/>
  <c r="V343" i="20" s="1"/>
  <c r="B343" i="20" s="1"/>
  <c r="U79" i="20"/>
  <c r="T79" i="20" s="1"/>
  <c r="S79" i="20" s="1"/>
  <c r="R79" i="20" s="1"/>
  <c r="P79" i="20" s="1"/>
  <c r="V79" i="20" s="1"/>
  <c r="B79" i="20" s="1"/>
  <c r="U281" i="20"/>
  <c r="T281" i="20" s="1"/>
  <c r="S281" i="20" s="1"/>
  <c r="R281" i="20" s="1"/>
  <c r="P281" i="20" s="1"/>
  <c r="V281" i="20" s="1"/>
  <c r="B281" i="20" s="1"/>
  <c r="U242" i="20"/>
  <c r="T242" i="20" s="1"/>
  <c r="S242" i="20" s="1"/>
  <c r="R242" i="20" s="1"/>
  <c r="P242" i="20" s="1"/>
  <c r="V242" i="20" s="1"/>
  <c r="B242" i="20" s="1"/>
  <c r="U319" i="20"/>
  <c r="T319" i="20" s="1"/>
  <c r="S319" i="20" s="1"/>
  <c r="R319" i="20" s="1"/>
  <c r="P319" i="20" s="1"/>
  <c r="V319" i="20" s="1"/>
  <c r="U48" i="20"/>
  <c r="T48" i="20" s="1"/>
  <c r="S48" i="20" s="1"/>
  <c r="R48" i="20" s="1"/>
  <c r="P48" i="20" s="1"/>
  <c r="V48" i="20" s="1"/>
  <c r="B48" i="20" s="1"/>
  <c r="U378" i="20"/>
  <c r="T378" i="20" s="1"/>
  <c r="S378" i="20" s="1"/>
  <c r="R378" i="20" s="1"/>
  <c r="P378" i="20" s="1"/>
  <c r="V378" i="20" s="1"/>
  <c r="B378" i="20" s="1"/>
  <c r="U325" i="20"/>
  <c r="T325" i="20" s="1"/>
  <c r="U296" i="20"/>
  <c r="T296" i="20" s="1"/>
  <c r="S296" i="20" s="1"/>
  <c r="R296" i="20" s="1"/>
  <c r="P296" i="20" s="1"/>
  <c r="V296" i="20" s="1"/>
  <c r="B296" i="20" s="1"/>
  <c r="U65" i="20"/>
  <c r="T65" i="20" s="1"/>
  <c r="S65" i="20" s="1"/>
  <c r="R65" i="20" s="1"/>
  <c r="P65" i="20" s="1"/>
  <c r="V65" i="20" s="1"/>
  <c r="B65" i="20" s="1"/>
  <c r="U190" i="20"/>
  <c r="T190" i="20" s="1"/>
  <c r="S190" i="20" s="1"/>
  <c r="R190" i="20" s="1"/>
  <c r="P190" i="20" s="1"/>
  <c r="V190" i="20" s="1"/>
  <c r="B190" i="20" s="1"/>
  <c r="U247" i="20"/>
  <c r="T247" i="20" s="1"/>
  <c r="S247" i="20" s="1"/>
  <c r="R247" i="20" s="1"/>
  <c r="P247" i="20" s="1"/>
  <c r="V247" i="20" s="1"/>
  <c r="B247" i="20" s="1"/>
  <c r="U18" i="20"/>
  <c r="T18" i="20" s="1"/>
  <c r="S18" i="20" s="1"/>
  <c r="R18" i="20" s="1"/>
  <c r="P18" i="20" s="1"/>
  <c r="V18" i="20" s="1"/>
  <c r="B18" i="20" s="1"/>
  <c r="U210" i="20"/>
  <c r="T210" i="20" s="1"/>
  <c r="S210" i="20" s="1"/>
  <c r="R210" i="20" s="1"/>
  <c r="P210" i="20" s="1"/>
  <c r="U16" i="20"/>
  <c r="T16" i="20" s="1"/>
  <c r="S16" i="20" s="1"/>
  <c r="R16" i="20" s="1"/>
  <c r="P16" i="20" s="1"/>
  <c r="V16" i="20" s="1"/>
  <c r="B16" i="20" s="1"/>
  <c r="U42" i="20"/>
  <c r="T42" i="20" s="1"/>
  <c r="U148" i="20"/>
  <c r="T148" i="20" s="1"/>
  <c r="S148" i="20" s="1"/>
  <c r="R148" i="20" s="1"/>
  <c r="P148" i="20" s="1"/>
  <c r="V148" i="20" s="1"/>
  <c r="B148" i="20" s="1"/>
  <c r="U278" i="20"/>
  <c r="T278" i="20" s="1"/>
  <c r="S278" i="20" s="1"/>
  <c r="R278" i="20" s="1"/>
  <c r="P278" i="20" s="1"/>
  <c r="V278" i="20" s="1"/>
  <c r="B278" i="20" s="1"/>
  <c r="U152" i="20"/>
  <c r="T152" i="20" s="1"/>
  <c r="S152" i="20" s="1"/>
  <c r="R152" i="20" s="1"/>
  <c r="P152" i="20" s="1"/>
  <c r="V152" i="20" s="1"/>
  <c r="B152" i="20" s="1"/>
  <c r="U139" i="20"/>
  <c r="T139" i="20" s="1"/>
  <c r="S139" i="20" s="1"/>
  <c r="R139" i="20" s="1"/>
  <c r="P139" i="20" s="1"/>
  <c r="V139" i="20" s="1"/>
  <c r="B139" i="20" s="1"/>
  <c r="U126" i="20"/>
  <c r="T126" i="20" s="1"/>
  <c r="S126" i="20" s="1"/>
  <c r="R126" i="20" s="1"/>
  <c r="P126" i="20" s="1"/>
  <c r="V126" i="20" s="1"/>
  <c r="B126" i="20" s="1"/>
  <c r="U358" i="20"/>
  <c r="T358" i="20" s="1"/>
  <c r="S358" i="20" s="1"/>
  <c r="R358" i="20" s="1"/>
  <c r="P358" i="20" s="1"/>
  <c r="V358" i="20" s="1"/>
  <c r="B358" i="20" s="1"/>
  <c r="U196" i="20"/>
  <c r="T196" i="20" s="1"/>
  <c r="S196" i="20" s="1"/>
  <c r="R196" i="20" s="1"/>
  <c r="P196" i="20" s="1"/>
  <c r="V196" i="20" s="1"/>
  <c r="U26" i="20"/>
  <c r="T26" i="20" s="1"/>
  <c r="U100" i="20"/>
  <c r="T100" i="20" s="1"/>
  <c r="S100" i="20" s="1"/>
  <c r="R100" i="20" s="1"/>
  <c r="U313" i="20"/>
  <c r="T313" i="20" s="1"/>
  <c r="S313" i="20" s="1"/>
  <c r="R313" i="20" s="1"/>
  <c r="P313" i="20" s="1"/>
  <c r="V313" i="20" s="1"/>
  <c r="B313" i="20" s="1"/>
  <c r="U49" i="20"/>
  <c r="T49" i="20" s="1"/>
  <c r="S49" i="20" s="1"/>
  <c r="R49" i="20" s="1"/>
  <c r="P49" i="20" s="1"/>
  <c r="V49" i="20" s="1"/>
  <c r="B49" i="20" s="1"/>
  <c r="U344" i="20"/>
  <c r="T344" i="20" s="1"/>
  <c r="S344" i="20" s="1"/>
  <c r="R344" i="20" s="1"/>
  <c r="P344" i="20" s="1"/>
  <c r="V344" i="20" s="1"/>
  <c r="B344" i="20" s="1"/>
  <c r="U174" i="20"/>
  <c r="T174" i="20" s="1"/>
  <c r="S174" i="20" s="1"/>
  <c r="R174" i="20" s="1"/>
  <c r="P174" i="20" s="1"/>
  <c r="V174" i="20" s="1"/>
  <c r="B174" i="20" s="1"/>
  <c r="U76" i="20"/>
  <c r="T76" i="20" s="1"/>
  <c r="S76" i="20" s="1"/>
  <c r="R76" i="20" s="1"/>
  <c r="P76" i="20" s="1"/>
  <c r="V76" i="20" s="1"/>
  <c r="B76" i="20" s="1"/>
  <c r="U253" i="20"/>
  <c r="T253" i="20" s="1"/>
  <c r="S253" i="20" s="1"/>
  <c r="R253" i="20" s="1"/>
  <c r="P253" i="20" s="1"/>
  <c r="V253" i="20" s="1"/>
  <c r="B253" i="20" s="1"/>
  <c r="U73" i="20"/>
  <c r="T73" i="20" s="1"/>
  <c r="U271" i="20"/>
  <c r="T271" i="20" s="1"/>
  <c r="S271" i="20" s="1"/>
  <c r="R271" i="20" s="1"/>
  <c r="P271" i="20" s="1"/>
  <c r="V271" i="20" s="1"/>
  <c r="B271" i="20" s="1"/>
  <c r="U354" i="20"/>
  <c r="T354" i="20" s="1"/>
  <c r="S354" i="20" s="1"/>
  <c r="R354" i="20" s="1"/>
  <c r="P354" i="20" s="1"/>
  <c r="V354" i="20" s="1"/>
  <c r="B354" i="20" s="1"/>
  <c r="U144" i="20"/>
  <c r="T144" i="20" s="1"/>
  <c r="S144" i="20" s="1"/>
  <c r="R144" i="20" s="1"/>
  <c r="P144" i="20" s="1"/>
  <c r="V144" i="20" s="1"/>
  <c r="B144" i="20" s="1"/>
  <c r="U173" i="20"/>
  <c r="T173" i="20" s="1"/>
  <c r="S173" i="20" s="1"/>
  <c r="R173" i="20" s="1"/>
  <c r="P173" i="20" s="1"/>
  <c r="V173" i="20" s="1"/>
  <c r="B173" i="20" s="1"/>
  <c r="U20" i="20"/>
  <c r="T20" i="20" s="1"/>
  <c r="S20" i="20" s="1"/>
  <c r="R20" i="20" s="1"/>
  <c r="P20" i="20" s="1"/>
  <c r="V20" i="20" s="1"/>
  <c r="B20" i="20" s="1"/>
  <c r="U166" i="20"/>
  <c r="T166" i="20" s="1"/>
  <c r="S166" i="20" s="1"/>
  <c r="R166" i="20" s="1"/>
  <c r="P166" i="20" s="1"/>
  <c r="V166" i="20" s="1"/>
  <c r="U45" i="20"/>
  <c r="T45" i="20" s="1"/>
  <c r="S45" i="20" s="1"/>
  <c r="R45" i="20" s="1"/>
  <c r="P45" i="20" s="1"/>
  <c r="V45" i="20" s="1"/>
  <c r="B45" i="20" s="1"/>
  <c r="U257" i="20"/>
  <c r="T257" i="20" s="1"/>
  <c r="U102" i="20"/>
  <c r="T102" i="20" s="1"/>
  <c r="S102" i="20" s="1"/>
  <c r="R102" i="20" s="1"/>
  <c r="P102" i="20" s="1"/>
  <c r="V102" i="20" s="1"/>
  <c r="B102" i="20" s="1"/>
  <c r="U183" i="20"/>
  <c r="T183" i="20" s="1"/>
  <c r="S183" i="20" s="1"/>
  <c r="R183" i="20" s="1"/>
  <c r="P183" i="20" s="1"/>
  <c r="V183" i="20" s="1"/>
  <c r="B183" i="20" s="1"/>
  <c r="U379" i="20"/>
  <c r="T379" i="20" s="1"/>
  <c r="U261" i="20"/>
  <c r="T261" i="20" s="1"/>
  <c r="S261" i="20" s="1"/>
  <c r="R261" i="20" s="1"/>
  <c r="P261" i="20" s="1"/>
  <c r="V261" i="20" s="1"/>
  <c r="B261" i="20" s="1"/>
  <c r="U153" i="20"/>
  <c r="T153" i="20" s="1"/>
  <c r="S153" i="20" s="1"/>
  <c r="R153" i="20" s="1"/>
  <c r="P153" i="20" s="1"/>
  <c r="V153" i="20" s="1"/>
  <c r="B153" i="20" s="1"/>
  <c r="U191" i="20"/>
  <c r="T191" i="20" s="1"/>
  <c r="S191" i="20" s="1"/>
  <c r="R191" i="20" s="1"/>
  <c r="P191" i="20" s="1"/>
  <c r="V191" i="20" s="1"/>
  <c r="B191" i="20" s="1"/>
  <c r="U186" i="20"/>
  <c r="T186" i="20" s="1"/>
  <c r="S186" i="20" s="1"/>
  <c r="R186" i="20" s="1"/>
  <c r="P186" i="20" s="1"/>
  <c r="V186" i="20" s="1"/>
  <c r="B186" i="20" s="1"/>
  <c r="U104" i="20"/>
  <c r="T104" i="20" s="1"/>
  <c r="U85" i="20"/>
  <c r="T85" i="20" s="1"/>
  <c r="S85" i="20" s="1"/>
  <c r="R85" i="20" s="1"/>
  <c r="P85" i="20" s="1"/>
  <c r="V85" i="20" s="1"/>
  <c r="B85" i="20" s="1"/>
  <c r="U171" i="20"/>
  <c r="T171" i="20" s="1"/>
  <c r="S171" i="20" s="1"/>
  <c r="R171" i="20" s="1"/>
  <c r="P171" i="20" s="1"/>
  <c r="V171" i="20" s="1"/>
  <c r="B171" i="20" s="1"/>
  <c r="U230" i="20"/>
  <c r="T230" i="20" s="1"/>
  <c r="S230" i="20" s="1"/>
  <c r="R230" i="20" s="1"/>
  <c r="P230" i="20" s="1"/>
  <c r="V230" i="20" s="1"/>
  <c r="B230" i="20" s="1"/>
  <c r="U263" i="20"/>
  <c r="T263" i="20" s="1"/>
  <c r="S263" i="20" s="1"/>
  <c r="R263" i="20" s="1"/>
  <c r="P263" i="20" s="1"/>
  <c r="V263" i="20" s="1"/>
  <c r="B263" i="20" s="1"/>
  <c r="U68" i="20"/>
  <c r="T68" i="20" s="1"/>
  <c r="S68" i="20" s="1"/>
  <c r="R68" i="20" s="1"/>
  <c r="P68" i="20" s="1"/>
  <c r="V68" i="20" s="1"/>
  <c r="B68" i="20" s="1"/>
  <c r="U334" i="20"/>
  <c r="T334" i="20" s="1"/>
  <c r="S334" i="20" s="1"/>
  <c r="R334" i="20" s="1"/>
  <c r="P334" i="20" s="1"/>
  <c r="V334" i="20" s="1"/>
  <c r="B334" i="20" s="1"/>
  <c r="U141" i="20"/>
  <c r="T141" i="20" s="1"/>
  <c r="S141" i="20" s="1"/>
  <c r="R141" i="20" s="1"/>
  <c r="P141" i="20" s="1"/>
  <c r="V141" i="20" s="1"/>
  <c r="B141" i="20" s="1"/>
  <c r="U357" i="20"/>
  <c r="T357" i="20" s="1"/>
  <c r="U33" i="20"/>
  <c r="T33" i="20" s="1"/>
  <c r="S33" i="20" s="1"/>
  <c r="R33" i="20" s="1"/>
  <c r="P33" i="20" s="1"/>
  <c r="V33" i="20" s="1"/>
  <c r="B33" i="20" s="1"/>
  <c r="U311" i="20"/>
  <c r="T311" i="20" s="1"/>
  <c r="S311" i="20" s="1"/>
  <c r="R311" i="20" s="1"/>
  <c r="P311" i="20" s="1"/>
  <c r="V311" i="20" s="1"/>
  <c r="B311" i="20" s="1"/>
  <c r="U131" i="20"/>
  <c r="T131" i="20" s="1"/>
  <c r="S131" i="20" s="1"/>
  <c r="R131" i="20" s="1"/>
  <c r="P131" i="20" s="1"/>
  <c r="V131" i="20" s="1"/>
  <c r="B131" i="20" s="1"/>
  <c r="U159" i="20"/>
  <c r="T159" i="20" s="1"/>
  <c r="S159" i="20" s="1"/>
  <c r="R159" i="20" s="1"/>
  <c r="P159" i="20" s="1"/>
  <c r="V159" i="20" s="1"/>
  <c r="B159" i="20" s="1"/>
  <c r="U330" i="20"/>
  <c r="T330" i="20" s="1"/>
  <c r="S330" i="20" s="1"/>
  <c r="R330" i="20" s="1"/>
  <c r="P330" i="20" s="1"/>
  <c r="V330" i="20" s="1"/>
  <c r="B330" i="20" s="1"/>
  <c r="U229" i="20"/>
  <c r="T229" i="20" s="1"/>
  <c r="S229" i="20" s="1"/>
  <c r="R229" i="20" s="1"/>
  <c r="P229" i="20" s="1"/>
  <c r="V229" i="20" s="1"/>
  <c r="B229" i="20" s="1"/>
  <c r="U216" i="20"/>
  <c r="T216" i="20" s="1"/>
  <c r="S216" i="20" s="1"/>
  <c r="R216" i="20" s="1"/>
  <c r="P216" i="20" s="1"/>
  <c r="V216" i="20" s="1"/>
  <c r="B216" i="20" s="1"/>
  <c r="U283" i="20"/>
  <c r="T283" i="20" s="1"/>
  <c r="U30" i="20"/>
  <c r="T30" i="20" s="1"/>
  <c r="S30" i="20" s="1"/>
  <c r="R30" i="20" s="1"/>
  <c r="P30" i="20" s="1"/>
  <c r="V30" i="20" s="1"/>
  <c r="B30" i="20" s="1"/>
  <c r="U320" i="20"/>
  <c r="T320" i="20" s="1"/>
  <c r="S320" i="20" s="1"/>
  <c r="R320" i="20" s="1"/>
  <c r="P320" i="20" s="1"/>
  <c r="V320" i="20" s="1"/>
  <c r="B320" i="20" s="1"/>
  <c r="U145" i="20"/>
  <c r="T145" i="20" s="1"/>
  <c r="S145" i="20" s="1"/>
  <c r="R145" i="20" s="1"/>
  <c r="P145" i="20" s="1"/>
  <c r="V145" i="20" s="1"/>
  <c r="B145" i="20" s="1"/>
  <c r="U246" i="20"/>
  <c r="T246" i="20" s="1"/>
  <c r="S246" i="20" s="1"/>
  <c r="R246" i="20" s="1"/>
  <c r="P246" i="20" s="1"/>
  <c r="V246" i="20" s="1"/>
  <c r="B246" i="20" s="1"/>
  <c r="U359" i="20"/>
  <c r="T359" i="20" s="1"/>
  <c r="S359" i="20" s="1"/>
  <c r="R359" i="20" s="1"/>
  <c r="P359" i="20" s="1"/>
  <c r="V359" i="20" s="1"/>
  <c r="B359" i="20" s="1"/>
  <c r="U116" i="20"/>
  <c r="T116" i="20" s="1"/>
  <c r="S116" i="20" s="1"/>
  <c r="R116" i="20" s="1"/>
  <c r="P116" i="20" s="1"/>
  <c r="V116" i="20" s="1"/>
  <c r="B116" i="20" s="1"/>
  <c r="U147" i="20"/>
  <c r="T147" i="20" s="1"/>
  <c r="S147" i="20" s="1"/>
  <c r="R147" i="20" s="1"/>
  <c r="P147" i="20" s="1"/>
  <c r="V147" i="20" s="1"/>
  <c r="B147" i="20" s="1"/>
  <c r="U365" i="20"/>
  <c r="T365" i="20" s="1"/>
  <c r="U150" i="20"/>
  <c r="T150" i="20" s="1"/>
  <c r="S150" i="20" s="1"/>
  <c r="R150" i="20" s="1"/>
  <c r="P150" i="20" s="1"/>
  <c r="V150" i="20" s="1"/>
  <c r="B150" i="20" s="1"/>
  <c r="U353" i="20"/>
  <c r="T353" i="20" s="1"/>
  <c r="S353" i="20" s="1"/>
  <c r="R353" i="20" s="1"/>
  <c r="P353" i="20" s="1"/>
  <c r="V353" i="20" s="1"/>
  <c r="B353" i="20" s="1"/>
  <c r="U375" i="20"/>
  <c r="T375" i="20" s="1"/>
  <c r="S375" i="20" s="1"/>
  <c r="R375" i="20" s="1"/>
  <c r="P375" i="20" s="1"/>
  <c r="V375" i="20" s="1"/>
  <c r="B375" i="20" s="1"/>
  <c r="U288" i="20"/>
  <c r="T288" i="20" s="1"/>
  <c r="S288" i="20" s="1"/>
  <c r="R288" i="20" s="1"/>
  <c r="P288" i="20" s="1"/>
  <c r="V288" i="20" s="1"/>
  <c r="U370" i="20"/>
  <c r="T370" i="20" s="1"/>
  <c r="S370" i="20" s="1"/>
  <c r="R370" i="20" s="1"/>
  <c r="P370" i="20" s="1"/>
  <c r="V370" i="20" s="1"/>
  <c r="B370" i="20" s="1"/>
  <c r="U239" i="20"/>
  <c r="T239" i="20" s="1"/>
  <c r="S239" i="20" s="1"/>
  <c r="R239" i="20" s="1"/>
  <c r="P239" i="20" s="1"/>
  <c r="V239" i="20" s="1"/>
  <c r="B239" i="20" s="1"/>
  <c r="U155" i="20"/>
  <c r="T155" i="20" s="1"/>
  <c r="S155" i="20" s="1"/>
  <c r="R155" i="20" s="1"/>
  <c r="P155" i="20" s="1"/>
  <c r="V155" i="20" s="1"/>
  <c r="B155" i="20" s="1"/>
  <c r="U70" i="20"/>
  <c r="T70" i="20" s="1"/>
  <c r="U119" i="20"/>
  <c r="T119" i="20" s="1"/>
  <c r="S119" i="20" s="1"/>
  <c r="R119" i="20" s="1"/>
  <c r="P119" i="20" s="1"/>
  <c r="U120" i="20"/>
  <c r="T120" i="20" s="1"/>
  <c r="S120" i="20" s="1"/>
  <c r="R120" i="20" s="1"/>
  <c r="P120" i="20" s="1"/>
  <c r="V120" i="20" s="1"/>
  <c r="B120" i="20" s="1"/>
  <c r="U245" i="20"/>
  <c r="T245" i="20" s="1"/>
  <c r="S245" i="20" s="1"/>
  <c r="R245" i="20" s="1"/>
  <c r="U331" i="20"/>
  <c r="T331" i="20" s="1"/>
  <c r="S331" i="20" s="1"/>
  <c r="R331" i="20" s="1"/>
  <c r="P331" i="20" s="1"/>
  <c r="V331" i="20" s="1"/>
  <c r="B331" i="20" s="1"/>
  <c r="U366" i="20"/>
  <c r="T366" i="20" s="1"/>
  <c r="S366" i="20" s="1"/>
  <c r="R366" i="20" s="1"/>
  <c r="P366" i="20" s="1"/>
  <c r="V366" i="20" s="1"/>
  <c r="B366" i="20" s="1"/>
  <c r="U274" i="20"/>
  <c r="T274" i="20" s="1"/>
  <c r="S274" i="20" s="1"/>
  <c r="R274" i="20" s="1"/>
  <c r="P274" i="20" s="1"/>
  <c r="V274" i="20" s="1"/>
  <c r="B274" i="20" s="1"/>
  <c r="U284" i="20"/>
  <c r="T284" i="20" s="1"/>
  <c r="S284" i="20" s="1"/>
  <c r="R284" i="20" s="1"/>
  <c r="P284" i="20" s="1"/>
  <c r="V284" i="20" s="1"/>
  <c r="B284" i="20" s="1"/>
  <c r="U114" i="20"/>
  <c r="T114" i="20" s="1"/>
  <c r="U201" i="20"/>
  <c r="T201" i="20" s="1"/>
  <c r="S201" i="20" s="1"/>
  <c r="R201" i="20" s="1"/>
  <c r="P201" i="20" s="1"/>
  <c r="V201" i="20" s="1"/>
  <c r="B201" i="20" s="1"/>
  <c r="U69" i="20"/>
  <c r="T69" i="20" s="1"/>
  <c r="S69" i="20" s="1"/>
  <c r="R69" i="20" s="1"/>
  <c r="P69" i="20" s="1"/>
  <c r="V69" i="20" s="1"/>
  <c r="B69" i="20" s="1"/>
  <c r="U187" i="20"/>
  <c r="T187" i="20" s="1"/>
  <c r="S187" i="20" s="1"/>
  <c r="R187" i="20" s="1"/>
  <c r="P187" i="20" s="1"/>
  <c r="V187" i="20" s="1"/>
  <c r="B187" i="20" s="1"/>
  <c r="U368" i="20"/>
  <c r="T368" i="20" s="1"/>
  <c r="S368" i="20" s="1"/>
  <c r="R368" i="20" s="1"/>
  <c r="P368" i="20" s="1"/>
  <c r="V368" i="20" s="1"/>
  <c r="B368" i="20" s="1"/>
  <c r="U294" i="20"/>
  <c r="T294" i="20" s="1"/>
  <c r="S294" i="20" s="1"/>
  <c r="R294" i="20" s="1"/>
  <c r="P294" i="20" s="1"/>
  <c r="V294" i="20" s="1"/>
  <c r="B294" i="20" s="1"/>
  <c r="U132" i="20"/>
  <c r="T132" i="20" s="1"/>
  <c r="S132" i="20" s="1"/>
  <c r="R132" i="20" s="1"/>
  <c r="P132" i="20" s="1"/>
  <c r="V132" i="20" s="1"/>
  <c r="B132" i="20" s="1"/>
  <c r="U269" i="20"/>
  <c r="T269" i="20" s="1"/>
  <c r="S269" i="20" s="1"/>
  <c r="R269" i="20" s="1"/>
  <c r="P269" i="20" s="1"/>
  <c r="V269" i="20" s="1"/>
  <c r="B269" i="20" s="1"/>
  <c r="U160" i="20"/>
  <c r="T160" i="20" s="1"/>
  <c r="U258" i="20"/>
  <c r="T258" i="20" s="1"/>
  <c r="S258" i="20" s="1"/>
  <c r="R258" i="20" s="1"/>
  <c r="P258" i="20" s="1"/>
  <c r="V258" i="20" s="1"/>
  <c r="U364" i="20"/>
  <c r="T364" i="20" s="1"/>
  <c r="S364" i="20" s="1"/>
  <c r="R364" i="20" s="1"/>
  <c r="P364" i="20" s="1"/>
  <c r="V364" i="20" s="1"/>
  <c r="B364" i="20" s="1"/>
  <c r="U96" i="20"/>
  <c r="T96" i="20" s="1"/>
  <c r="S96" i="20" s="1"/>
  <c r="R96" i="20" s="1"/>
  <c r="P96" i="20" s="1"/>
  <c r="V96" i="20" s="1"/>
  <c r="B96" i="20" s="1"/>
  <c r="U194" i="20"/>
  <c r="T194" i="20" s="1"/>
  <c r="S194" i="20" s="1"/>
  <c r="R194" i="20" s="1"/>
  <c r="P194" i="20" s="1"/>
  <c r="V194" i="20" s="1"/>
  <c r="B194" i="20" s="1"/>
  <c r="U300" i="20"/>
  <c r="T300" i="20" s="1"/>
  <c r="S300" i="20" s="1"/>
  <c r="R300" i="20" s="1"/>
  <c r="P300" i="20" s="1"/>
  <c r="V300" i="20" s="1"/>
  <c r="B300" i="20" s="1"/>
  <c r="U297" i="20"/>
  <c r="T297" i="20" s="1"/>
  <c r="S297" i="20" s="1"/>
  <c r="R297" i="20" s="1"/>
  <c r="P297" i="20" s="1"/>
  <c r="V297" i="20" s="1"/>
  <c r="B297" i="20" s="1"/>
  <c r="U66" i="20"/>
  <c r="T66" i="20" s="1"/>
  <c r="S66" i="20" s="1"/>
  <c r="R66" i="20" s="1"/>
  <c r="P66" i="20" s="1"/>
  <c r="V66" i="20" s="1"/>
  <c r="B66" i="20" s="1"/>
  <c r="V379" i="18"/>
  <c r="AJ6" i="18" s="1"/>
  <c r="D39" i="19"/>
  <c r="AI16" i="7"/>
  <c r="AI11" i="20"/>
  <c r="G88" i="18"/>
  <c r="CA88" i="6" s="1"/>
  <c r="AA88" i="18"/>
  <c r="Z88" i="18" s="1"/>
  <c r="Y88" i="18" s="1"/>
  <c r="H88" i="18"/>
  <c r="J88" i="18" s="1"/>
  <c r="C88" i="6" s="1"/>
  <c r="H9" i="18"/>
  <c r="B15" i="19" s="1"/>
  <c r="P54" i="20"/>
  <c r="V54" i="20" s="1"/>
  <c r="B54" i="20" s="1"/>
  <c r="AD68" i="20"/>
  <c r="AD17" i="20"/>
  <c r="AD72" i="20"/>
  <c r="AD34" i="20"/>
  <c r="AD53" i="20"/>
  <c r="F47" i="18"/>
  <c r="G47" i="18" s="1"/>
  <c r="CA47" i="6" s="1"/>
  <c r="F266" i="18"/>
  <c r="G266" i="18" s="1"/>
  <c r="CA266" i="6" s="1"/>
  <c r="AD45" i="20"/>
  <c r="AD42" i="20"/>
  <c r="AD102" i="20"/>
  <c r="AD75" i="20"/>
  <c r="AD21" i="20"/>
  <c r="AD31" i="20"/>
  <c r="AD89" i="20"/>
  <c r="AD55" i="20"/>
  <c r="AD60" i="20"/>
  <c r="AD24" i="20"/>
  <c r="AD69" i="20"/>
  <c r="AD37" i="20"/>
  <c r="AD103" i="20"/>
  <c r="AL12" i="17"/>
  <c r="AJ4" i="17" s="1"/>
  <c r="P14" i="19" s="1"/>
  <c r="F257" i="18"/>
  <c r="G257" i="18" s="1"/>
  <c r="CA257" i="6" s="1"/>
  <c r="F43" i="18"/>
  <c r="H43" i="18" s="1"/>
  <c r="F53" i="18"/>
  <c r="AA53" i="18" s="1"/>
  <c r="Z53" i="18" s="1"/>
  <c r="Y53" i="18" s="1"/>
  <c r="F61" i="18"/>
  <c r="H61" i="18" s="1"/>
  <c r="F77" i="18"/>
  <c r="AA77" i="18" s="1"/>
  <c r="Z77" i="18" s="1"/>
  <c r="Y77" i="18" s="1"/>
  <c r="F165" i="18"/>
  <c r="H165" i="18" s="1"/>
  <c r="F177" i="18"/>
  <c r="G177" i="18" s="1"/>
  <c r="CA177" i="6" s="1"/>
  <c r="F107" i="18"/>
  <c r="AA107" i="18" s="1"/>
  <c r="Z107" i="18" s="1"/>
  <c r="Y107" i="18" s="1"/>
  <c r="F132" i="18"/>
  <c r="H132" i="18" s="1"/>
  <c r="K65" i="19"/>
  <c r="J65" i="19"/>
  <c r="F153" i="18"/>
  <c r="H153" i="18" s="1"/>
  <c r="F275" i="18"/>
  <c r="H275" i="18" s="1"/>
  <c r="F159" i="18"/>
  <c r="G159" i="18" s="1"/>
  <c r="CA159" i="6" s="1"/>
  <c r="F24" i="18"/>
  <c r="G24" i="18" s="1"/>
  <c r="CA24" i="6" s="1"/>
  <c r="F65" i="18"/>
  <c r="AA65" i="18" s="1"/>
  <c r="Z65" i="18" s="1"/>
  <c r="Y65" i="18" s="1"/>
  <c r="F62" i="18"/>
  <c r="G62" i="18" s="1"/>
  <c r="CA62" i="6" s="1"/>
  <c r="G151" i="18"/>
  <c r="CA151" i="6" s="1"/>
  <c r="AA151" i="18"/>
  <c r="Z151" i="18" s="1"/>
  <c r="Y151" i="18" s="1"/>
  <c r="H151" i="18"/>
  <c r="H55" i="18"/>
  <c r="AA55" i="18"/>
  <c r="Z55" i="18" s="1"/>
  <c r="Y55" i="18" s="1"/>
  <c r="G55" i="18"/>
  <c r="CA55" i="6" s="1"/>
  <c r="H180" i="18"/>
  <c r="J180" i="18" s="1"/>
  <c r="C180" i="6" s="1"/>
  <c r="AA180" i="18"/>
  <c r="Z180" i="18" s="1"/>
  <c r="Y180" i="18" s="1"/>
  <c r="G180" i="18"/>
  <c r="CA180" i="6" s="1"/>
  <c r="G33" i="18"/>
  <c r="CA33" i="6" s="1"/>
  <c r="H33" i="18"/>
  <c r="AA33" i="18"/>
  <c r="Z33" i="18" s="1"/>
  <c r="Y33" i="18" s="1"/>
  <c r="AA140" i="18"/>
  <c r="Z140" i="18" s="1"/>
  <c r="Y140" i="18" s="1"/>
  <c r="H140" i="18"/>
  <c r="G140" i="18"/>
  <c r="CA140" i="6" s="1"/>
  <c r="G70" i="18"/>
  <c r="CA70" i="6" s="1"/>
  <c r="H70" i="18"/>
  <c r="AA70" i="18"/>
  <c r="Z70" i="18" s="1"/>
  <c r="Y70" i="18" s="1"/>
  <c r="H263" i="18"/>
  <c r="G263" i="18"/>
  <c r="CA263" i="6" s="1"/>
  <c r="AA263" i="18"/>
  <c r="Z263" i="18" s="1"/>
  <c r="Y263" i="18" s="1"/>
  <c r="G248" i="18"/>
  <c r="CA248" i="6" s="1"/>
  <c r="AA248" i="18"/>
  <c r="Z248" i="18" s="1"/>
  <c r="Y248" i="18" s="1"/>
  <c r="H248" i="18"/>
  <c r="AA178" i="18"/>
  <c r="Z178" i="18" s="1"/>
  <c r="Y178" i="18" s="1"/>
  <c r="G178" i="18"/>
  <c r="CA178" i="6" s="1"/>
  <c r="H178" i="18"/>
  <c r="AA131" i="18"/>
  <c r="Z131" i="18" s="1"/>
  <c r="Y131" i="18" s="1"/>
  <c r="G131" i="18"/>
  <c r="CA131" i="6" s="1"/>
  <c r="H131" i="18"/>
  <c r="AA64" i="18"/>
  <c r="Z64" i="18" s="1"/>
  <c r="Y64" i="18" s="1"/>
  <c r="H64" i="18"/>
  <c r="G64" i="18"/>
  <c r="CA64" i="6" s="1"/>
  <c r="AA208" i="18"/>
  <c r="Z208" i="18" s="1"/>
  <c r="Y208" i="18" s="1"/>
  <c r="H208" i="18"/>
  <c r="G208" i="18"/>
  <c r="CA208" i="6" s="1"/>
  <c r="H119" i="18"/>
  <c r="J119" i="18" s="1"/>
  <c r="C119" i="6" s="1"/>
  <c r="G119" i="18"/>
  <c r="CA119" i="6" s="1"/>
  <c r="AA119" i="18"/>
  <c r="Z119" i="18" s="1"/>
  <c r="Y119" i="18" s="1"/>
  <c r="H169" i="18"/>
  <c r="G169" i="18"/>
  <c r="CA169" i="6" s="1"/>
  <c r="AA169" i="18"/>
  <c r="Z169" i="18" s="1"/>
  <c r="Y169" i="18" s="1"/>
  <c r="AA36" i="18"/>
  <c r="Z36" i="18" s="1"/>
  <c r="Y36" i="18" s="1"/>
  <c r="H36" i="18"/>
  <c r="G36" i="18"/>
  <c r="CA36" i="6" s="1"/>
  <c r="AA255" i="18"/>
  <c r="Z255" i="18" s="1"/>
  <c r="Y255" i="18" s="1"/>
  <c r="G255" i="18"/>
  <c r="CA255" i="6" s="1"/>
  <c r="H255" i="18"/>
  <c r="H234" i="18"/>
  <c r="AA234" i="18"/>
  <c r="Z234" i="18" s="1"/>
  <c r="Y234" i="18" s="1"/>
  <c r="G234" i="18"/>
  <c r="CA234" i="6" s="1"/>
  <c r="AA286" i="18"/>
  <c r="Z286" i="18" s="1"/>
  <c r="Y286" i="18" s="1"/>
  <c r="G286" i="18"/>
  <c r="CA286" i="6" s="1"/>
  <c r="H286" i="18"/>
  <c r="G18" i="18"/>
  <c r="CA18" i="6" s="1"/>
  <c r="H18" i="18"/>
  <c r="AA18" i="18"/>
  <c r="Z18" i="18" s="1"/>
  <c r="Y18" i="18" s="1"/>
  <c r="G91" i="18"/>
  <c r="CA91" i="6" s="1"/>
  <c r="AA91" i="18"/>
  <c r="Z91" i="18" s="1"/>
  <c r="Y91" i="18" s="1"/>
  <c r="H91" i="18"/>
  <c r="AA162" i="18"/>
  <c r="Z162" i="18" s="1"/>
  <c r="Y162" i="18" s="1"/>
  <c r="G162" i="18"/>
  <c r="CA162" i="6" s="1"/>
  <c r="H162" i="18"/>
  <c r="G192" i="18"/>
  <c r="CA192" i="6" s="1"/>
  <c r="H192" i="18"/>
  <c r="AA192" i="18"/>
  <c r="Z192" i="18" s="1"/>
  <c r="Y192" i="18" s="1"/>
  <c r="G198" i="18"/>
  <c r="CA198" i="6" s="1"/>
  <c r="H198" i="18"/>
  <c r="AA198" i="18"/>
  <c r="Z198" i="18" s="1"/>
  <c r="Y198" i="18" s="1"/>
  <c r="H16" i="18"/>
  <c r="AA16" i="18"/>
  <c r="Z16" i="18" s="1"/>
  <c r="Y16" i="18" s="1"/>
  <c r="G16" i="18"/>
  <c r="CA16" i="6" s="1"/>
  <c r="G265" i="18"/>
  <c r="CA265" i="6" s="1"/>
  <c r="AA265" i="18"/>
  <c r="Z265" i="18" s="1"/>
  <c r="Y265" i="18" s="1"/>
  <c r="H265" i="18"/>
  <c r="H226" i="18"/>
  <c r="G226" i="18"/>
  <c r="CA226" i="6" s="1"/>
  <c r="AA226" i="18"/>
  <c r="Z226" i="18" s="1"/>
  <c r="Y226" i="18" s="1"/>
  <c r="AA157" i="18"/>
  <c r="Z157" i="18" s="1"/>
  <c r="Y157" i="18" s="1"/>
  <c r="G157" i="18"/>
  <c r="CA157" i="6" s="1"/>
  <c r="H157" i="18"/>
  <c r="G123" i="18"/>
  <c r="CA123" i="6" s="1"/>
  <c r="H123" i="18"/>
  <c r="AA123" i="18"/>
  <c r="Z123" i="18" s="1"/>
  <c r="Y123" i="18" s="1"/>
  <c r="AA161" i="18"/>
  <c r="Z161" i="18" s="1"/>
  <c r="Y161" i="18" s="1"/>
  <c r="H161" i="18"/>
  <c r="G161" i="18"/>
  <c r="CA161" i="6" s="1"/>
  <c r="G37" i="18"/>
  <c r="CA37" i="6" s="1"/>
  <c r="AA37" i="18"/>
  <c r="Z37" i="18" s="1"/>
  <c r="Y37" i="18" s="1"/>
  <c r="H37" i="18"/>
  <c r="G73" i="18"/>
  <c r="CA73" i="6" s="1"/>
  <c r="H73" i="18"/>
  <c r="AA73" i="18"/>
  <c r="Z73" i="18" s="1"/>
  <c r="Y73" i="18" s="1"/>
  <c r="AA164" i="18"/>
  <c r="Z164" i="18" s="1"/>
  <c r="Y164" i="18" s="1"/>
  <c r="G164" i="18"/>
  <c r="CA164" i="6" s="1"/>
  <c r="H164" i="18"/>
  <c r="AA190" i="18"/>
  <c r="Z190" i="18" s="1"/>
  <c r="Y190" i="18" s="1"/>
  <c r="G190" i="18"/>
  <c r="CA190" i="6" s="1"/>
  <c r="H190" i="18"/>
  <c r="AA245" i="18"/>
  <c r="Z245" i="18" s="1"/>
  <c r="Y245" i="18" s="1"/>
  <c r="G245" i="18"/>
  <c r="CA245" i="6" s="1"/>
  <c r="H245" i="18"/>
  <c r="G223" i="18"/>
  <c r="CA223" i="6" s="1"/>
  <c r="H223" i="18"/>
  <c r="AA223" i="18"/>
  <c r="Z223" i="18" s="1"/>
  <c r="Y223" i="18" s="1"/>
  <c r="H126" i="18"/>
  <c r="AA126" i="18"/>
  <c r="Z126" i="18" s="1"/>
  <c r="Y126" i="18" s="1"/>
  <c r="G126" i="18"/>
  <c r="CA126" i="6" s="1"/>
  <c r="G191" i="18"/>
  <c r="CA191" i="6" s="1"/>
  <c r="H191" i="18"/>
  <c r="AA191" i="18"/>
  <c r="Z191" i="18" s="1"/>
  <c r="Y191" i="18" s="1"/>
  <c r="H67" i="18"/>
  <c r="AA67" i="18"/>
  <c r="Z67" i="18" s="1"/>
  <c r="Y67" i="18" s="1"/>
  <c r="G67" i="18"/>
  <c r="CA67" i="6" s="1"/>
  <c r="H149" i="18"/>
  <c r="G149" i="18"/>
  <c r="CA149" i="6" s="1"/>
  <c r="AA149" i="18"/>
  <c r="Z149" i="18" s="1"/>
  <c r="Y149" i="18" s="1"/>
  <c r="H19" i="18"/>
  <c r="AA19" i="18"/>
  <c r="Z19" i="18" s="1"/>
  <c r="Y19" i="18" s="1"/>
  <c r="G19" i="18"/>
  <c r="CA19" i="6" s="1"/>
  <c r="H72" i="18"/>
  <c r="G72" i="18"/>
  <c r="CA72" i="6" s="1"/>
  <c r="AA72" i="18"/>
  <c r="Z72" i="18" s="1"/>
  <c r="Y72" i="18" s="1"/>
  <c r="H81" i="18"/>
  <c r="AA81" i="18"/>
  <c r="Z81" i="18" s="1"/>
  <c r="Y81" i="18" s="1"/>
  <c r="G81" i="18"/>
  <c r="CA81" i="6" s="1"/>
  <c r="H254" i="18"/>
  <c r="AA254" i="18"/>
  <c r="Z254" i="18" s="1"/>
  <c r="Y254" i="18" s="1"/>
  <c r="G254" i="18"/>
  <c r="CA254" i="6" s="1"/>
  <c r="AA25" i="18"/>
  <c r="Z25" i="18" s="1"/>
  <c r="Y25" i="18" s="1"/>
  <c r="H25" i="18"/>
  <c r="G25" i="18"/>
  <c r="CA25" i="6" s="1"/>
  <c r="AA285" i="18"/>
  <c r="Z285" i="18" s="1"/>
  <c r="Y285" i="18" s="1"/>
  <c r="G285" i="18"/>
  <c r="CA285" i="6" s="1"/>
  <c r="H285" i="18"/>
  <c r="G233" i="18"/>
  <c r="CA233" i="6" s="1"/>
  <c r="H233" i="18"/>
  <c r="AA233" i="18"/>
  <c r="Z233" i="18" s="1"/>
  <c r="Y233" i="18" s="1"/>
  <c r="H121" i="18"/>
  <c r="AA121" i="18"/>
  <c r="Z121" i="18" s="1"/>
  <c r="Y121" i="18" s="1"/>
  <c r="G121" i="18"/>
  <c r="CA121" i="6" s="1"/>
  <c r="AA206" i="18"/>
  <c r="Z206" i="18" s="1"/>
  <c r="Y206" i="18" s="1"/>
  <c r="H206" i="18"/>
  <c r="G206" i="18"/>
  <c r="CA206" i="6" s="1"/>
  <c r="G221" i="18"/>
  <c r="CA221" i="6" s="1"/>
  <c r="AA221" i="18"/>
  <c r="Z221" i="18" s="1"/>
  <c r="Y221" i="18" s="1"/>
  <c r="H221" i="18"/>
  <c r="AA44" i="18"/>
  <c r="Z44" i="18" s="1"/>
  <c r="Y44" i="18" s="1"/>
  <c r="G44" i="18"/>
  <c r="CA44" i="6" s="1"/>
  <c r="H44" i="18"/>
  <c r="G42" i="18"/>
  <c r="CA42" i="6" s="1"/>
  <c r="H42" i="18"/>
  <c r="AA42" i="18"/>
  <c r="Z42" i="18" s="1"/>
  <c r="Y42" i="18" s="1"/>
  <c r="G193" i="18"/>
  <c r="CA193" i="6" s="1"/>
  <c r="AA193" i="18"/>
  <c r="Z193" i="18" s="1"/>
  <c r="Y193" i="18" s="1"/>
  <c r="H193" i="18"/>
  <c r="AA113" i="18"/>
  <c r="Z113" i="18" s="1"/>
  <c r="Y113" i="18" s="1"/>
  <c r="H113" i="18"/>
  <c r="G113" i="18"/>
  <c r="CA113" i="6" s="1"/>
  <c r="G272" i="18"/>
  <c r="CA272" i="6" s="1"/>
  <c r="H272" i="18"/>
  <c r="AA272" i="18"/>
  <c r="Z272" i="18" s="1"/>
  <c r="Y272" i="18" s="1"/>
  <c r="G268" i="18"/>
  <c r="CA268" i="6" s="1"/>
  <c r="H268" i="18"/>
  <c r="AA268" i="18"/>
  <c r="Z268" i="18" s="1"/>
  <c r="Y268" i="18" s="1"/>
  <c r="G144" i="18"/>
  <c r="CA144" i="6" s="1"/>
  <c r="H144" i="18"/>
  <c r="AA144" i="18"/>
  <c r="Z144" i="18" s="1"/>
  <c r="Y144" i="18" s="1"/>
  <c r="H150" i="18"/>
  <c r="G150" i="18"/>
  <c r="CA150" i="6" s="1"/>
  <c r="AA150" i="18"/>
  <c r="Z150" i="18" s="1"/>
  <c r="Y150" i="18" s="1"/>
  <c r="G99" i="18"/>
  <c r="CA99" i="6" s="1"/>
  <c r="AA99" i="18"/>
  <c r="Z99" i="18" s="1"/>
  <c r="Y99" i="18" s="1"/>
  <c r="H99" i="18"/>
  <c r="G29" i="18"/>
  <c r="CA29" i="6" s="1"/>
  <c r="AA29" i="18"/>
  <c r="Z29" i="18" s="1"/>
  <c r="Y29" i="18" s="1"/>
  <c r="H29" i="18"/>
  <c r="H277" i="18"/>
  <c r="G277" i="18"/>
  <c r="CA277" i="6" s="1"/>
  <c r="AA277" i="18"/>
  <c r="Z277" i="18" s="1"/>
  <c r="Y277" i="18" s="1"/>
  <c r="AA262" i="18"/>
  <c r="Z262" i="18" s="1"/>
  <c r="Y262" i="18" s="1"/>
  <c r="G262" i="18"/>
  <c r="CA262" i="6" s="1"/>
  <c r="H262" i="18"/>
  <c r="H85" i="18"/>
  <c r="G85" i="18"/>
  <c r="CA85" i="6" s="1"/>
  <c r="AA85" i="18"/>
  <c r="Z85" i="18" s="1"/>
  <c r="Y85" i="18" s="1"/>
  <c r="H26" i="18"/>
  <c r="G26" i="18"/>
  <c r="CA26" i="6" s="1"/>
  <c r="AA26" i="18"/>
  <c r="Z26" i="18" s="1"/>
  <c r="Y26" i="18" s="1"/>
  <c r="AA210" i="18"/>
  <c r="Z210" i="18" s="1"/>
  <c r="Y210" i="18" s="1"/>
  <c r="H210" i="18"/>
  <c r="G210" i="18"/>
  <c r="CA210" i="6" s="1"/>
  <c r="AA186" i="18"/>
  <c r="Z186" i="18" s="1"/>
  <c r="Y186" i="18" s="1"/>
  <c r="H186" i="18"/>
  <c r="G186" i="18"/>
  <c r="CA186" i="6" s="1"/>
  <c r="AA116" i="18"/>
  <c r="Z116" i="18" s="1"/>
  <c r="Y116" i="18" s="1"/>
  <c r="H116" i="18"/>
  <c r="G116" i="18"/>
  <c r="CA116" i="6" s="1"/>
  <c r="AA247" i="18"/>
  <c r="Z247" i="18" s="1"/>
  <c r="Y247" i="18" s="1"/>
  <c r="H247" i="18"/>
  <c r="G247" i="18"/>
  <c r="CA247" i="6" s="1"/>
  <c r="AA207" i="18"/>
  <c r="Z207" i="18" s="1"/>
  <c r="Y207" i="18" s="1"/>
  <c r="H207" i="18"/>
  <c r="G207" i="18"/>
  <c r="CA207" i="6" s="1"/>
  <c r="G97" i="18"/>
  <c r="CA97" i="6" s="1"/>
  <c r="AA97" i="18"/>
  <c r="Z97" i="18" s="1"/>
  <c r="Y97" i="18" s="1"/>
  <c r="H97" i="18"/>
  <c r="H261" i="18"/>
  <c r="G261" i="18"/>
  <c r="CA261" i="6" s="1"/>
  <c r="AA261" i="18"/>
  <c r="Z261" i="18" s="1"/>
  <c r="Y261" i="18" s="1"/>
  <c r="AA160" i="18"/>
  <c r="Z160" i="18" s="1"/>
  <c r="Y160" i="18" s="1"/>
  <c r="G160" i="18"/>
  <c r="CA160" i="6" s="1"/>
  <c r="H160" i="18"/>
  <c r="H238" i="18"/>
  <c r="AA238" i="18"/>
  <c r="Z238" i="18" s="1"/>
  <c r="Y238" i="18" s="1"/>
  <c r="G238" i="18"/>
  <c r="CA238" i="6" s="1"/>
  <c r="G122" i="18"/>
  <c r="CA122" i="6" s="1"/>
  <c r="AA122" i="18"/>
  <c r="Z122" i="18" s="1"/>
  <c r="Y122" i="18" s="1"/>
  <c r="H122" i="18"/>
  <c r="G98" i="18"/>
  <c r="CA98" i="6" s="1"/>
  <c r="AA98" i="18"/>
  <c r="Z98" i="18" s="1"/>
  <c r="Y98" i="18" s="1"/>
  <c r="H98" i="18"/>
  <c r="AA17" i="18"/>
  <c r="Z17" i="18" s="1"/>
  <c r="Y17" i="18" s="1"/>
  <c r="H17" i="18"/>
  <c r="G17" i="18"/>
  <c r="CA17" i="6" s="1"/>
  <c r="AA63" i="18"/>
  <c r="Z63" i="18" s="1"/>
  <c r="Y63" i="18" s="1"/>
  <c r="H63" i="18"/>
  <c r="G63" i="18"/>
  <c r="CA63" i="6" s="1"/>
  <c r="H242" i="18"/>
  <c r="AA242" i="18"/>
  <c r="Z242" i="18" s="1"/>
  <c r="Y242" i="18" s="1"/>
  <c r="G242" i="18"/>
  <c r="CA242" i="6" s="1"/>
  <c r="G175" i="18"/>
  <c r="CA175" i="6" s="1"/>
  <c r="H175" i="18"/>
  <c r="AA175" i="18"/>
  <c r="Z175" i="18" s="1"/>
  <c r="Y175" i="18" s="1"/>
  <c r="G307" i="18"/>
  <c r="CA307" i="6" s="1"/>
  <c r="AA307" i="18"/>
  <c r="Z307" i="18" s="1"/>
  <c r="Y307" i="18" s="1"/>
  <c r="H307" i="18"/>
  <c r="I346" i="18"/>
  <c r="B346" i="6" s="1"/>
  <c r="BA346" i="6" s="1"/>
  <c r="J346" i="18"/>
  <c r="C346" i="6" s="1"/>
  <c r="H60" i="18"/>
  <c r="G60" i="18"/>
  <c r="CA60" i="6" s="1"/>
  <c r="AA60" i="18"/>
  <c r="Z60" i="18" s="1"/>
  <c r="Y60" i="18" s="1"/>
  <c r="S381" i="18"/>
  <c r="S382" i="18"/>
  <c r="S383" i="18"/>
  <c r="R15" i="18"/>
  <c r="AA215" i="18"/>
  <c r="Z215" i="18" s="1"/>
  <c r="Y215" i="18" s="1"/>
  <c r="G215" i="18"/>
  <c r="CA215" i="6" s="1"/>
  <c r="H215" i="18"/>
  <c r="H282" i="18"/>
  <c r="G282" i="18"/>
  <c r="CA282" i="6" s="1"/>
  <c r="AA282" i="18"/>
  <c r="Z282" i="18" s="1"/>
  <c r="Y282" i="18" s="1"/>
  <c r="G182" i="18"/>
  <c r="CA182" i="6" s="1"/>
  <c r="H182" i="18"/>
  <c r="AA182" i="18"/>
  <c r="Z182" i="18" s="1"/>
  <c r="Y182" i="18" s="1"/>
  <c r="G83" i="18"/>
  <c r="CA83" i="6" s="1"/>
  <c r="AA83" i="18"/>
  <c r="Z83" i="18" s="1"/>
  <c r="Y83" i="18" s="1"/>
  <c r="H83" i="18"/>
  <c r="J273" i="18"/>
  <c r="C273" i="6" s="1"/>
  <c r="I273" i="18"/>
  <c r="B273" i="6" s="1"/>
  <c r="BA273" i="6" s="1"/>
  <c r="D379" i="18"/>
  <c r="E379" i="18" s="1"/>
  <c r="G66" i="18"/>
  <c r="CA66" i="6" s="1"/>
  <c r="H66" i="18"/>
  <c r="AA66" i="18"/>
  <c r="Z66" i="18" s="1"/>
  <c r="Y66" i="18" s="1"/>
  <c r="H76" i="18"/>
  <c r="G76" i="18"/>
  <c r="CA76" i="6" s="1"/>
  <c r="AA76" i="18"/>
  <c r="Z76" i="18" s="1"/>
  <c r="Y76" i="18" s="1"/>
  <c r="H197" i="18"/>
  <c r="G197" i="18"/>
  <c r="CA197" i="6" s="1"/>
  <c r="AA197" i="18"/>
  <c r="Z197" i="18" s="1"/>
  <c r="Y197" i="18" s="1"/>
  <c r="G58" i="18"/>
  <c r="CA58" i="6" s="1"/>
  <c r="AA58" i="18"/>
  <c r="Z58" i="18" s="1"/>
  <c r="Y58" i="18" s="1"/>
  <c r="H58" i="18"/>
  <c r="H295" i="18"/>
  <c r="AA295" i="18"/>
  <c r="Z295" i="18" s="1"/>
  <c r="Y295" i="18" s="1"/>
  <c r="G295" i="18"/>
  <c r="CA295" i="6" s="1"/>
  <c r="H171" i="18"/>
  <c r="AA171" i="18"/>
  <c r="Z171" i="18" s="1"/>
  <c r="Y171" i="18" s="1"/>
  <c r="G171" i="18"/>
  <c r="CA171" i="6" s="1"/>
  <c r="H147" i="18"/>
  <c r="G147" i="18"/>
  <c r="CA147" i="6" s="1"/>
  <c r="AA147" i="18"/>
  <c r="Z147" i="18" s="1"/>
  <c r="Y147" i="18" s="1"/>
  <c r="F15" i="17"/>
  <c r="V382" i="17"/>
  <c r="V383" i="17"/>
  <c r="B64" i="19"/>
  <c r="N64" i="19" s="1"/>
  <c r="V381" i="17"/>
  <c r="H235" i="18"/>
  <c r="G235" i="18"/>
  <c r="CA235" i="6" s="1"/>
  <c r="AA235" i="18"/>
  <c r="Z235" i="18" s="1"/>
  <c r="Y235" i="18" s="1"/>
  <c r="AA124" i="18"/>
  <c r="Z124" i="18" s="1"/>
  <c r="Y124" i="18" s="1"/>
  <c r="G124" i="18"/>
  <c r="CA124" i="6" s="1"/>
  <c r="H124" i="18"/>
  <c r="G45" i="18"/>
  <c r="CA45" i="6" s="1"/>
  <c r="AA45" i="18"/>
  <c r="Z45" i="18" s="1"/>
  <c r="Y45" i="18" s="1"/>
  <c r="H45" i="18"/>
  <c r="AA80" i="18"/>
  <c r="Z80" i="18" s="1"/>
  <c r="Y80" i="18" s="1"/>
  <c r="H80" i="18"/>
  <c r="G80" i="18"/>
  <c r="CA80" i="6" s="1"/>
  <c r="H204" i="18"/>
  <c r="AA204" i="18"/>
  <c r="Z204" i="18" s="1"/>
  <c r="Y204" i="18" s="1"/>
  <c r="G204" i="18"/>
  <c r="CA204" i="6" s="1"/>
  <c r="AA194" i="18"/>
  <c r="Z194" i="18" s="1"/>
  <c r="Y194" i="18" s="1"/>
  <c r="G194" i="18"/>
  <c r="CA194" i="6" s="1"/>
  <c r="H194" i="18"/>
  <c r="H69" i="18"/>
  <c r="G69" i="18"/>
  <c r="CA69" i="6" s="1"/>
  <c r="AA69" i="18"/>
  <c r="Z69" i="18" s="1"/>
  <c r="Y69" i="18" s="1"/>
  <c r="G152" i="18"/>
  <c r="CA152" i="6" s="1"/>
  <c r="AA152" i="18"/>
  <c r="Z152" i="18" s="1"/>
  <c r="Y152" i="18" s="1"/>
  <c r="H152" i="18"/>
  <c r="AA143" i="18"/>
  <c r="Z143" i="18" s="1"/>
  <c r="Y143" i="18" s="1"/>
  <c r="G143" i="18"/>
  <c r="CA143" i="6" s="1"/>
  <c r="H143" i="18"/>
  <c r="G117" i="18"/>
  <c r="CA117" i="6" s="1"/>
  <c r="AA117" i="18"/>
  <c r="Z117" i="18" s="1"/>
  <c r="Y117" i="18" s="1"/>
  <c r="H117" i="18"/>
  <c r="G317" i="18"/>
  <c r="CA317" i="6" s="1"/>
  <c r="AA317" i="18"/>
  <c r="Z317" i="18" s="1"/>
  <c r="Y317" i="18" s="1"/>
  <c r="H317" i="18"/>
  <c r="J214" i="18"/>
  <c r="C214" i="6" s="1"/>
  <c r="I214" i="18"/>
  <c r="B214" i="6" s="1"/>
  <c r="BA214" i="6" s="1"/>
  <c r="AA40" i="18"/>
  <c r="Z40" i="18" s="1"/>
  <c r="Y40" i="18" s="1"/>
  <c r="G40" i="18"/>
  <c r="CA40" i="6" s="1"/>
  <c r="H40" i="18"/>
  <c r="AA259" i="18"/>
  <c r="Z259" i="18" s="1"/>
  <c r="Y259" i="18" s="1"/>
  <c r="G259" i="18"/>
  <c r="CA259" i="6" s="1"/>
  <c r="H259" i="18"/>
  <c r="G297" i="18"/>
  <c r="CA297" i="6" s="1"/>
  <c r="H297" i="18"/>
  <c r="AA297" i="18"/>
  <c r="Z297" i="18" s="1"/>
  <c r="Y297" i="18" s="1"/>
  <c r="H315" i="18"/>
  <c r="G315" i="18"/>
  <c r="CA315" i="6" s="1"/>
  <c r="AA315" i="18"/>
  <c r="Z315" i="18" s="1"/>
  <c r="Y315" i="18" s="1"/>
  <c r="G145" i="18"/>
  <c r="CA145" i="6" s="1"/>
  <c r="H145" i="18"/>
  <c r="AA145" i="18"/>
  <c r="Z145" i="18" s="1"/>
  <c r="Y145" i="18" s="1"/>
  <c r="G129" i="18"/>
  <c r="CA129" i="6" s="1"/>
  <c r="AA129" i="18"/>
  <c r="Z129" i="18" s="1"/>
  <c r="Y129" i="18" s="1"/>
  <c r="H129" i="18"/>
  <c r="G270" i="18"/>
  <c r="CA270" i="6" s="1"/>
  <c r="AA270" i="18"/>
  <c r="Z270" i="18" s="1"/>
  <c r="Y270" i="18" s="1"/>
  <c r="H270" i="18"/>
  <c r="G82" i="18"/>
  <c r="CA82" i="6" s="1"/>
  <c r="AA82" i="18"/>
  <c r="Z82" i="18" s="1"/>
  <c r="Y82" i="18" s="1"/>
  <c r="H82" i="18"/>
  <c r="AA291" i="18"/>
  <c r="Z291" i="18" s="1"/>
  <c r="Y291" i="18" s="1"/>
  <c r="G291" i="18"/>
  <c r="CA291" i="6" s="1"/>
  <c r="H291" i="18"/>
  <c r="H127" i="18"/>
  <c r="G127" i="18"/>
  <c r="CA127" i="6" s="1"/>
  <c r="AA127" i="18"/>
  <c r="Z127" i="18" s="1"/>
  <c r="Y127" i="18" s="1"/>
  <c r="J112" i="18"/>
  <c r="C112" i="6" s="1"/>
  <c r="I112" i="18"/>
  <c r="B112" i="6" s="1"/>
  <c r="BA112" i="6" s="1"/>
  <c r="H378" i="18"/>
  <c r="G378" i="18"/>
  <c r="CA378" i="6" s="1"/>
  <c r="AA378" i="18"/>
  <c r="Z378" i="18" s="1"/>
  <c r="Y378" i="18" s="1"/>
  <c r="AA250" i="18"/>
  <c r="Z250" i="18" s="1"/>
  <c r="Y250" i="18" s="1"/>
  <c r="G250" i="18"/>
  <c r="CA250" i="6" s="1"/>
  <c r="H250" i="18"/>
  <c r="G142" i="18"/>
  <c r="CA142" i="6" s="1"/>
  <c r="H142" i="18"/>
  <c r="AA142" i="18"/>
  <c r="Z142" i="18" s="1"/>
  <c r="Y142" i="18" s="1"/>
  <c r="H283" i="18"/>
  <c r="G283" i="18"/>
  <c r="CA283" i="6" s="1"/>
  <c r="AA283" i="18"/>
  <c r="Z283" i="18" s="1"/>
  <c r="Y283" i="18" s="1"/>
  <c r="G101" i="18"/>
  <c r="CA101" i="6" s="1"/>
  <c r="AA101" i="18"/>
  <c r="Z101" i="18" s="1"/>
  <c r="Y101" i="18" s="1"/>
  <c r="H101" i="18"/>
  <c r="AA118" i="18"/>
  <c r="Z118" i="18" s="1"/>
  <c r="Y118" i="18" s="1"/>
  <c r="G118" i="18"/>
  <c r="CA118" i="6" s="1"/>
  <c r="H118" i="18"/>
  <c r="G309" i="18"/>
  <c r="CA309" i="6" s="1"/>
  <c r="H309" i="18"/>
  <c r="AA309" i="18"/>
  <c r="Z309" i="18" s="1"/>
  <c r="Y309" i="18" s="1"/>
  <c r="G86" i="18"/>
  <c r="CA86" i="6" s="1"/>
  <c r="AA86" i="18"/>
  <c r="Z86" i="18" s="1"/>
  <c r="Y86" i="18" s="1"/>
  <c r="H86" i="18"/>
  <c r="G139" i="18"/>
  <c r="CA139" i="6" s="1"/>
  <c r="H139" i="18"/>
  <c r="AA139" i="18"/>
  <c r="Z139" i="18" s="1"/>
  <c r="Y139" i="18" s="1"/>
  <c r="G211" i="18"/>
  <c r="CA211" i="6" s="1"/>
  <c r="H211" i="18"/>
  <c r="AA211" i="18"/>
  <c r="Z211" i="18" s="1"/>
  <c r="Y211" i="18" s="1"/>
  <c r="H185" i="18"/>
  <c r="G185" i="18"/>
  <c r="CA185" i="6" s="1"/>
  <c r="AA185" i="18"/>
  <c r="Z185" i="18" s="1"/>
  <c r="Y185" i="18" s="1"/>
  <c r="AA361" i="18"/>
  <c r="Z361" i="18" s="1"/>
  <c r="Y361" i="18" s="1"/>
  <c r="G361" i="18"/>
  <c r="CA361" i="6" s="1"/>
  <c r="H361" i="18"/>
  <c r="AA96" i="18"/>
  <c r="Z96" i="18" s="1"/>
  <c r="Y96" i="18" s="1"/>
  <c r="G96" i="18"/>
  <c r="CA96" i="6" s="1"/>
  <c r="H96" i="18"/>
  <c r="I174" i="18"/>
  <c r="B174" i="6" s="1"/>
  <c r="BA174" i="6" s="1"/>
  <c r="J174" i="18"/>
  <c r="C174" i="6" s="1"/>
  <c r="G294" i="18"/>
  <c r="CA294" i="6" s="1"/>
  <c r="H294" i="18"/>
  <c r="AA294" i="18"/>
  <c r="Z294" i="18" s="1"/>
  <c r="Y294" i="18" s="1"/>
  <c r="H120" i="18"/>
  <c r="G120" i="18"/>
  <c r="CA120" i="6" s="1"/>
  <c r="AA120" i="18"/>
  <c r="Z120" i="18" s="1"/>
  <c r="Y120" i="18" s="1"/>
  <c r="H31" i="18"/>
  <c r="G31" i="18"/>
  <c r="CA31" i="6" s="1"/>
  <c r="AA31" i="18"/>
  <c r="Z31" i="18" s="1"/>
  <c r="Y31" i="18" s="1"/>
  <c r="AA84" i="18"/>
  <c r="Z84" i="18" s="1"/>
  <c r="Y84" i="18" s="1"/>
  <c r="G84" i="18"/>
  <c r="CA84" i="6" s="1"/>
  <c r="H84" i="18"/>
  <c r="H49" i="18"/>
  <c r="AA49" i="18"/>
  <c r="Z49" i="18" s="1"/>
  <c r="Y49" i="18" s="1"/>
  <c r="G49" i="18"/>
  <c r="CA49" i="6" s="1"/>
  <c r="H201" i="18"/>
  <c r="G201" i="18"/>
  <c r="CA201" i="6" s="1"/>
  <c r="AA201" i="18"/>
  <c r="Z201" i="18" s="1"/>
  <c r="Y201" i="18" s="1"/>
  <c r="AA218" i="18"/>
  <c r="Z218" i="18" s="1"/>
  <c r="Y218" i="18" s="1"/>
  <c r="G218" i="18"/>
  <c r="CA218" i="6" s="1"/>
  <c r="H218" i="18"/>
  <c r="G133" i="18"/>
  <c r="CA133" i="6" s="1"/>
  <c r="H133" i="18"/>
  <c r="AA133" i="18"/>
  <c r="Z133" i="18" s="1"/>
  <c r="Y133" i="18" s="1"/>
  <c r="AA156" i="18"/>
  <c r="Z156" i="18" s="1"/>
  <c r="Y156" i="18" s="1"/>
  <c r="G156" i="18"/>
  <c r="CA156" i="6" s="1"/>
  <c r="H156" i="18"/>
  <c r="G331" i="18"/>
  <c r="CA331" i="6" s="1"/>
  <c r="AA331" i="18"/>
  <c r="Z331" i="18" s="1"/>
  <c r="Y331" i="18" s="1"/>
  <c r="H331" i="18"/>
  <c r="AA222" i="18"/>
  <c r="Z222" i="18" s="1"/>
  <c r="Y222" i="18" s="1"/>
  <c r="G222" i="18"/>
  <c r="CA222" i="6" s="1"/>
  <c r="H222" i="18"/>
  <c r="H68" i="18"/>
  <c r="AA68" i="18"/>
  <c r="Z68" i="18" s="1"/>
  <c r="Y68" i="18" s="1"/>
  <c r="G68" i="18"/>
  <c r="CA68" i="6" s="1"/>
  <c r="G93" i="18"/>
  <c r="CA93" i="6" s="1"/>
  <c r="H93" i="18"/>
  <c r="AA93" i="18"/>
  <c r="Z93" i="18" s="1"/>
  <c r="Y93" i="18" s="1"/>
  <c r="H107" i="18"/>
  <c r="G308" i="18"/>
  <c r="CA308" i="6" s="1"/>
  <c r="AA308" i="18"/>
  <c r="Z308" i="18" s="1"/>
  <c r="Y308" i="18" s="1"/>
  <c r="H308" i="18"/>
  <c r="G166" i="18"/>
  <c r="CA166" i="6" s="1"/>
  <c r="H166" i="18"/>
  <c r="AA166" i="18"/>
  <c r="Z166" i="18" s="1"/>
  <c r="Y166" i="18" s="1"/>
  <c r="AA78" i="18"/>
  <c r="Z78" i="18" s="1"/>
  <c r="Y78" i="18" s="1"/>
  <c r="H78" i="18"/>
  <c r="G78" i="18"/>
  <c r="CA78" i="6" s="1"/>
  <c r="G52" i="18"/>
  <c r="CA52" i="6" s="1"/>
  <c r="AA52" i="18"/>
  <c r="Z52" i="18" s="1"/>
  <c r="Y52" i="18" s="1"/>
  <c r="H52" i="18"/>
  <c r="AA179" i="18"/>
  <c r="Z179" i="18" s="1"/>
  <c r="Y179" i="18" s="1"/>
  <c r="H179" i="18"/>
  <c r="G179" i="18"/>
  <c r="CA179" i="6" s="1"/>
  <c r="H327" i="18"/>
  <c r="AA327" i="18"/>
  <c r="Z327" i="18" s="1"/>
  <c r="Y327" i="18" s="1"/>
  <c r="G327" i="18"/>
  <c r="CA327" i="6" s="1"/>
  <c r="G249" i="18"/>
  <c r="CA249" i="6" s="1"/>
  <c r="AA249" i="18"/>
  <c r="Z249" i="18" s="1"/>
  <c r="Y249" i="18" s="1"/>
  <c r="H249" i="18"/>
  <c r="J267" i="18"/>
  <c r="C267" i="6" s="1"/>
  <c r="I267" i="18"/>
  <c r="B267" i="6" s="1"/>
  <c r="BA267" i="6" s="1"/>
  <c r="G153" i="18"/>
  <c r="CA153" i="6" s="1"/>
  <c r="G280" i="18"/>
  <c r="CA280" i="6" s="1"/>
  <c r="H280" i="18"/>
  <c r="AA280" i="18"/>
  <c r="Z280" i="18" s="1"/>
  <c r="Y280" i="18" s="1"/>
  <c r="G240" i="18"/>
  <c r="CA240" i="6" s="1"/>
  <c r="AA240" i="18"/>
  <c r="Z240" i="18" s="1"/>
  <c r="Y240" i="18" s="1"/>
  <c r="H240" i="18"/>
  <c r="I34" i="18"/>
  <c r="B34" i="6" s="1"/>
  <c r="BA34" i="6" s="1"/>
  <c r="J34" i="18"/>
  <c r="C34" i="6" s="1"/>
  <c r="D333" i="18"/>
  <c r="E333" i="18" s="1"/>
  <c r="F333" i="18" s="1"/>
  <c r="W333" i="18"/>
  <c r="H100" i="18"/>
  <c r="AA100" i="18"/>
  <c r="Z100" i="18" s="1"/>
  <c r="Y100" i="18" s="1"/>
  <c r="G100" i="18"/>
  <c r="CA100" i="6" s="1"/>
  <c r="H220" i="18"/>
  <c r="G220" i="18"/>
  <c r="CA220" i="6" s="1"/>
  <c r="AA220" i="18"/>
  <c r="Z220" i="18" s="1"/>
  <c r="Y220" i="18" s="1"/>
  <c r="I172" i="18"/>
  <c r="B172" i="6" s="1"/>
  <c r="BA172" i="6" s="1"/>
  <c r="J172" i="18"/>
  <c r="C172" i="6" s="1"/>
  <c r="G23" i="18"/>
  <c r="CA23" i="6" s="1"/>
  <c r="AA23" i="18"/>
  <c r="Z23" i="18" s="1"/>
  <c r="Y23" i="18" s="1"/>
  <c r="H23" i="18"/>
  <c r="AA35" i="18"/>
  <c r="Z35" i="18" s="1"/>
  <c r="Y35" i="18" s="1"/>
  <c r="G35" i="18"/>
  <c r="CA35" i="6" s="1"/>
  <c r="H35" i="18"/>
  <c r="H41" i="18"/>
  <c r="G41" i="18"/>
  <c r="CA41" i="6" s="1"/>
  <c r="AA41" i="18"/>
  <c r="Z41" i="18" s="1"/>
  <c r="Y41" i="18" s="1"/>
  <c r="G187" i="18"/>
  <c r="CA187" i="6" s="1"/>
  <c r="AA187" i="18"/>
  <c r="Z187" i="18" s="1"/>
  <c r="Y187" i="18" s="1"/>
  <c r="H187" i="18"/>
  <c r="G203" i="18"/>
  <c r="CA203" i="6" s="1"/>
  <c r="AA203" i="18"/>
  <c r="Z203" i="18" s="1"/>
  <c r="Y203" i="18" s="1"/>
  <c r="H203" i="18"/>
  <c r="AA219" i="18"/>
  <c r="Z219" i="18" s="1"/>
  <c r="Y219" i="18" s="1"/>
  <c r="G219" i="18"/>
  <c r="CA219" i="6" s="1"/>
  <c r="H219" i="18"/>
  <c r="AA232" i="18"/>
  <c r="Z232" i="18" s="1"/>
  <c r="Y232" i="18" s="1"/>
  <c r="H232" i="18"/>
  <c r="G232" i="18"/>
  <c r="CA232" i="6" s="1"/>
  <c r="AA332" i="18"/>
  <c r="Z332" i="18" s="1"/>
  <c r="Y332" i="18" s="1"/>
  <c r="G332" i="18"/>
  <c r="CA332" i="6" s="1"/>
  <c r="H332" i="18"/>
  <c r="AA155" i="18"/>
  <c r="Z155" i="18" s="1"/>
  <c r="Y155" i="18" s="1"/>
  <c r="H155" i="18"/>
  <c r="G155" i="18"/>
  <c r="CA155" i="6" s="1"/>
  <c r="H312" i="18"/>
  <c r="AA312" i="18"/>
  <c r="Z312" i="18" s="1"/>
  <c r="Y312" i="18" s="1"/>
  <c r="G312" i="18"/>
  <c r="CA312" i="6" s="1"/>
  <c r="I79" i="18"/>
  <c r="B79" i="6" s="1"/>
  <c r="BA79" i="6" s="1"/>
  <c r="J79" i="18"/>
  <c r="C79" i="6" s="1"/>
  <c r="AA345" i="18"/>
  <c r="Z345" i="18" s="1"/>
  <c r="Y345" i="18" s="1"/>
  <c r="G345" i="18"/>
  <c r="CA345" i="6" s="1"/>
  <c r="H345" i="18"/>
  <c r="J109" i="18"/>
  <c r="C109" i="6" s="1"/>
  <c r="I109" i="18"/>
  <c r="B109" i="6" s="1"/>
  <c r="BA109" i="6" s="1"/>
  <c r="AA316" i="18"/>
  <c r="Z316" i="18" s="1"/>
  <c r="Y316" i="18" s="1"/>
  <c r="G316" i="18"/>
  <c r="CA316" i="6" s="1"/>
  <c r="H316" i="18"/>
  <c r="G334" i="18"/>
  <c r="CA334" i="6" s="1"/>
  <c r="AA334" i="18"/>
  <c r="Z334" i="18" s="1"/>
  <c r="Y334" i="18" s="1"/>
  <c r="H334" i="18"/>
  <c r="H375" i="18"/>
  <c r="AA375" i="18"/>
  <c r="Z375" i="18" s="1"/>
  <c r="Y375" i="18" s="1"/>
  <c r="G375" i="18"/>
  <c r="CA375" i="6" s="1"/>
  <c r="G289" i="18"/>
  <c r="CA289" i="6" s="1"/>
  <c r="AA289" i="18"/>
  <c r="Z289" i="18" s="1"/>
  <c r="Y289" i="18" s="1"/>
  <c r="H289" i="18"/>
  <c r="G163" i="18"/>
  <c r="CA163" i="6" s="1"/>
  <c r="H163" i="18"/>
  <c r="AA163" i="18"/>
  <c r="Z163" i="18" s="1"/>
  <c r="Y163" i="18" s="1"/>
  <c r="H102" i="18"/>
  <c r="AA102" i="18"/>
  <c r="Z102" i="18" s="1"/>
  <c r="Y102" i="18" s="1"/>
  <c r="G102" i="18"/>
  <c r="CA102" i="6" s="1"/>
  <c r="L65" i="19"/>
  <c r="AA115" i="18"/>
  <c r="Z115" i="18" s="1"/>
  <c r="Y115" i="18" s="1"/>
  <c r="H115" i="18"/>
  <c r="G115" i="18"/>
  <c r="CA115" i="6" s="1"/>
  <c r="AA30" i="18"/>
  <c r="Z30" i="18" s="1"/>
  <c r="Y30" i="18" s="1"/>
  <c r="G30" i="18"/>
  <c r="CA30" i="6" s="1"/>
  <c r="H30" i="18"/>
  <c r="H189" i="18"/>
  <c r="AA189" i="18"/>
  <c r="Z189" i="18" s="1"/>
  <c r="Y189" i="18" s="1"/>
  <c r="G189" i="18"/>
  <c r="CA189" i="6" s="1"/>
  <c r="G224" i="18"/>
  <c r="CA224" i="6" s="1"/>
  <c r="H224" i="18"/>
  <c r="AA224" i="18"/>
  <c r="Z224" i="18" s="1"/>
  <c r="Y224" i="18" s="1"/>
  <c r="G39" i="18"/>
  <c r="CA39" i="6" s="1"/>
  <c r="H39" i="18"/>
  <c r="AA39" i="18"/>
  <c r="Z39" i="18" s="1"/>
  <c r="Y39" i="18" s="1"/>
  <c r="H173" i="18"/>
  <c r="G173" i="18"/>
  <c r="CA173" i="6" s="1"/>
  <c r="AA173" i="18"/>
  <c r="Z173" i="18" s="1"/>
  <c r="Y173" i="18" s="1"/>
  <c r="H296" i="18"/>
  <c r="AA296" i="18"/>
  <c r="Z296" i="18" s="1"/>
  <c r="Y296" i="18" s="1"/>
  <c r="G296" i="18"/>
  <c r="CA296" i="6" s="1"/>
  <c r="G20" i="18"/>
  <c r="CA20" i="6" s="1"/>
  <c r="H20" i="18"/>
  <c r="AA20" i="18"/>
  <c r="Z20" i="18" s="1"/>
  <c r="Y20" i="18" s="1"/>
  <c r="G344" i="18"/>
  <c r="CA344" i="6" s="1"/>
  <c r="AA344" i="18"/>
  <c r="Z344" i="18" s="1"/>
  <c r="Y344" i="18" s="1"/>
  <c r="H344" i="18"/>
  <c r="G89" i="18"/>
  <c r="CA89" i="6" s="1"/>
  <c r="H89" i="18"/>
  <c r="AA89" i="18"/>
  <c r="Z89" i="18" s="1"/>
  <c r="Y89" i="18" s="1"/>
  <c r="AK4" i="16"/>
  <c r="R13" i="19" s="1"/>
  <c r="N14" i="19" s="1"/>
  <c r="AM13" i="16"/>
  <c r="AA11" i="16"/>
  <c r="AA5" i="16" s="1"/>
  <c r="I13" i="19" s="1"/>
  <c r="I37" i="19" s="1"/>
  <c r="J13" i="19"/>
  <c r="AD58" i="20"/>
  <c r="S337" i="20"/>
  <c r="R337" i="20" s="1"/>
  <c r="P337" i="20" s="1"/>
  <c r="V337" i="20" s="1"/>
  <c r="B337" i="20" s="1"/>
  <c r="S295" i="20"/>
  <c r="R295" i="20" s="1"/>
  <c r="P295" i="20" s="1"/>
  <c r="V295" i="20" s="1"/>
  <c r="B295" i="20" s="1"/>
  <c r="S44" i="20"/>
  <c r="R44" i="20" s="1"/>
  <c r="P44" i="20" s="1"/>
  <c r="V44" i="20" s="1"/>
  <c r="B44" i="20" s="1"/>
  <c r="S189" i="20"/>
  <c r="R189" i="20" s="1"/>
  <c r="P189" i="20" s="1"/>
  <c r="V189" i="20" s="1"/>
  <c r="B189" i="20" s="1"/>
  <c r="S371" i="20"/>
  <c r="R371" i="20" s="1"/>
  <c r="P371" i="20" s="1"/>
  <c r="V371" i="20" s="1"/>
  <c r="B371" i="20" s="1"/>
  <c r="S108" i="20"/>
  <c r="R108" i="20" s="1"/>
  <c r="P108" i="20" s="1"/>
  <c r="V108" i="20" s="1"/>
  <c r="B108" i="20" s="1"/>
  <c r="S317" i="20"/>
  <c r="R317" i="20" s="1"/>
  <c r="P317" i="20" s="1"/>
  <c r="V317" i="20" s="1"/>
  <c r="B317" i="20" s="1"/>
  <c r="S169" i="20"/>
  <c r="R169" i="20" s="1"/>
  <c r="P169" i="20" s="1"/>
  <c r="V169" i="20" s="1"/>
  <c r="B169" i="20" s="1"/>
  <c r="S218" i="20"/>
  <c r="R218" i="20" s="1"/>
  <c r="P218" i="20" s="1"/>
  <c r="V218" i="20" s="1"/>
  <c r="B218" i="20" s="1"/>
  <c r="S372" i="20"/>
  <c r="R372" i="20" s="1"/>
  <c r="P372" i="20" s="1"/>
  <c r="V372" i="20" s="1"/>
  <c r="B372" i="20" s="1"/>
  <c r="S323" i="20"/>
  <c r="R323" i="20" s="1"/>
  <c r="P323" i="20" s="1"/>
  <c r="V323" i="20" s="1"/>
  <c r="B323" i="20" s="1"/>
  <c r="S109" i="20"/>
  <c r="R109" i="20" s="1"/>
  <c r="P109" i="20" s="1"/>
  <c r="V109" i="20" s="1"/>
  <c r="B109" i="20" s="1"/>
  <c r="S321" i="20"/>
  <c r="R321" i="20" s="1"/>
  <c r="P321" i="20" s="1"/>
  <c r="V321" i="20" s="1"/>
  <c r="B321" i="20" s="1"/>
  <c r="S134" i="20"/>
  <c r="R134" i="20" s="1"/>
  <c r="P134" i="20" s="1"/>
  <c r="V134" i="20" s="1"/>
  <c r="B134" i="20" s="1"/>
  <c r="S176" i="20"/>
  <c r="R176" i="20" s="1"/>
  <c r="P176" i="20" s="1"/>
  <c r="V176" i="20" s="1"/>
  <c r="B176" i="20" s="1"/>
  <c r="S27" i="20"/>
  <c r="R27" i="20" s="1"/>
  <c r="P27" i="20" s="1"/>
  <c r="V27" i="20" s="1"/>
  <c r="B27" i="20" s="1"/>
  <c r="S335" i="20"/>
  <c r="R335" i="20" s="1"/>
  <c r="P335" i="20" s="1"/>
  <c r="V335" i="20" s="1"/>
  <c r="B335" i="20" s="1"/>
  <c r="S180" i="20"/>
  <c r="R180" i="20" s="1"/>
  <c r="P180" i="20" s="1"/>
  <c r="S224" i="20"/>
  <c r="R224" i="20" s="1"/>
  <c r="P224" i="20" s="1"/>
  <c r="V224" i="20" s="1"/>
  <c r="B224" i="20" s="1"/>
  <c r="S207" i="20"/>
  <c r="R207" i="20" s="1"/>
  <c r="P207" i="20" s="1"/>
  <c r="V207" i="20" s="1"/>
  <c r="B207" i="20" s="1"/>
  <c r="S206" i="20"/>
  <c r="R206" i="20" s="1"/>
  <c r="P206" i="20" s="1"/>
  <c r="V206" i="20" s="1"/>
  <c r="B206" i="20" s="1"/>
  <c r="S376" i="20"/>
  <c r="R376" i="20" s="1"/>
  <c r="P376" i="20" s="1"/>
  <c r="V376" i="20" s="1"/>
  <c r="B376" i="20" s="1"/>
  <c r="S202" i="20"/>
  <c r="R202" i="20" s="1"/>
  <c r="P202" i="20" s="1"/>
  <c r="V202" i="20" s="1"/>
  <c r="B202" i="20" s="1"/>
  <c r="S57" i="20"/>
  <c r="R57" i="20" s="1"/>
  <c r="P57" i="20" s="1"/>
  <c r="V57" i="20" s="1"/>
  <c r="B57" i="20" s="1"/>
  <c r="S212" i="20"/>
  <c r="R212" i="20" s="1"/>
  <c r="P212" i="20" s="1"/>
  <c r="V212" i="20" s="1"/>
  <c r="B212" i="20" s="1"/>
  <c r="S236" i="20"/>
  <c r="R236" i="20" s="1"/>
  <c r="P236" i="20" s="1"/>
  <c r="V236" i="20" s="1"/>
  <c r="B236" i="20" s="1"/>
  <c r="S130" i="20"/>
  <c r="R130" i="20" s="1"/>
  <c r="P130" i="20" s="1"/>
  <c r="V130" i="20" s="1"/>
  <c r="B130" i="20" s="1"/>
  <c r="S32" i="20"/>
  <c r="R32" i="20" s="1"/>
  <c r="P32" i="20" s="1"/>
  <c r="V32" i="20" s="1"/>
  <c r="B32" i="20" s="1"/>
  <c r="S90" i="20"/>
  <c r="R90" i="20" s="1"/>
  <c r="P90" i="20" s="1"/>
  <c r="V90" i="20" s="1"/>
  <c r="B90" i="20" s="1"/>
  <c r="S99" i="20"/>
  <c r="R99" i="20" s="1"/>
  <c r="P99" i="20" s="1"/>
  <c r="V99" i="20" s="1"/>
  <c r="B99" i="20" s="1"/>
  <c r="S111" i="20"/>
  <c r="R111" i="20" s="1"/>
  <c r="P111" i="20" s="1"/>
  <c r="V111" i="20" s="1"/>
  <c r="B111" i="20" s="1"/>
  <c r="S306" i="20"/>
  <c r="R306" i="20" s="1"/>
  <c r="P306" i="20" s="1"/>
  <c r="V306" i="20" s="1"/>
  <c r="B306" i="20" s="1"/>
  <c r="S240" i="20"/>
  <c r="R240" i="20" s="1"/>
  <c r="P240" i="20" s="1"/>
  <c r="V240" i="20" s="1"/>
  <c r="B240" i="20" s="1"/>
  <c r="S367" i="20"/>
  <c r="R367" i="20" s="1"/>
  <c r="P367" i="20" s="1"/>
  <c r="V367" i="20" s="1"/>
  <c r="B367" i="20" s="1"/>
  <c r="S123" i="20"/>
  <c r="R123" i="20" s="1"/>
  <c r="P123" i="20" s="1"/>
  <c r="V123" i="20" s="1"/>
  <c r="B123" i="20" s="1"/>
  <c r="S336" i="20"/>
  <c r="R336" i="20" s="1"/>
  <c r="P336" i="20" s="1"/>
  <c r="V336" i="20" s="1"/>
  <c r="B336" i="20" s="1"/>
  <c r="S133" i="20"/>
  <c r="R133" i="20" s="1"/>
  <c r="P133" i="20" s="1"/>
  <c r="V133" i="20" s="1"/>
  <c r="B133" i="20" s="1"/>
  <c r="S251" i="20"/>
  <c r="R251" i="20" s="1"/>
  <c r="P251" i="20" s="1"/>
  <c r="V251" i="20" s="1"/>
  <c r="B251" i="20" s="1"/>
  <c r="S87" i="20"/>
  <c r="R87" i="20" s="1"/>
  <c r="P87" i="20" s="1"/>
  <c r="V87" i="20" s="1"/>
  <c r="B87" i="20" s="1"/>
  <c r="S97" i="20"/>
  <c r="R97" i="20" s="1"/>
  <c r="P97" i="20" s="1"/>
  <c r="V97" i="20" s="1"/>
  <c r="B97" i="20" s="1"/>
  <c r="S22" i="20"/>
  <c r="R22" i="20" s="1"/>
  <c r="P22" i="20" s="1"/>
  <c r="V22" i="20" s="1"/>
  <c r="B22" i="20" s="1"/>
  <c r="S128" i="20"/>
  <c r="R128" i="20" s="1"/>
  <c r="P128" i="20" s="1"/>
  <c r="V128" i="20" s="1"/>
  <c r="B128" i="20" s="1"/>
  <c r="S226" i="20"/>
  <c r="R226" i="20" s="1"/>
  <c r="P226" i="20" s="1"/>
  <c r="V226" i="20" s="1"/>
  <c r="B226" i="20" s="1"/>
  <c r="S332" i="20"/>
  <c r="R332" i="20" s="1"/>
  <c r="P332" i="20" s="1"/>
  <c r="V332" i="20" s="1"/>
  <c r="B332" i="20" s="1"/>
  <c r="S115" i="20"/>
  <c r="R115" i="20" s="1"/>
  <c r="P115" i="20" s="1"/>
  <c r="V115" i="20" s="1"/>
  <c r="B115" i="20" s="1"/>
  <c r="S93" i="20"/>
  <c r="R93" i="20" s="1"/>
  <c r="P93" i="20" s="1"/>
  <c r="V93" i="20" s="1"/>
  <c r="B93" i="20" s="1"/>
  <c r="S231" i="20"/>
  <c r="R231" i="20" s="1"/>
  <c r="P231" i="20" s="1"/>
  <c r="V231" i="20" s="1"/>
  <c r="B231" i="20" s="1"/>
  <c r="S53" i="20"/>
  <c r="R53" i="20" s="1"/>
  <c r="P53" i="20" s="1"/>
  <c r="V53" i="20" s="1"/>
  <c r="B53" i="20" s="1"/>
  <c r="S282" i="20"/>
  <c r="R282" i="20" s="1"/>
  <c r="P282" i="20" s="1"/>
  <c r="V282" i="20" s="1"/>
  <c r="B282" i="20" s="1"/>
  <c r="S127" i="20"/>
  <c r="R127" i="20" s="1"/>
  <c r="P127" i="20" s="1"/>
  <c r="V127" i="20" s="1"/>
  <c r="B127" i="20" s="1"/>
  <c r="S89" i="20"/>
  <c r="R89" i="20" s="1"/>
  <c r="P89" i="20" s="1"/>
  <c r="V89" i="20" s="1"/>
  <c r="B89" i="20" s="1"/>
  <c r="S233" i="20"/>
  <c r="R233" i="20" s="1"/>
  <c r="P233" i="20" s="1"/>
  <c r="V233" i="20" s="1"/>
  <c r="B233" i="20" s="1"/>
  <c r="S268" i="20"/>
  <c r="R268" i="20" s="1"/>
  <c r="P268" i="20" s="1"/>
  <c r="V268" i="20" s="1"/>
  <c r="B268" i="20" s="1"/>
  <c r="S221" i="20"/>
  <c r="R221" i="20" s="1"/>
  <c r="P221" i="20" s="1"/>
  <c r="V221" i="20" s="1"/>
  <c r="B221" i="20" s="1"/>
  <c r="S38" i="20"/>
  <c r="R38" i="20" s="1"/>
  <c r="P38" i="20" s="1"/>
  <c r="V38" i="20" s="1"/>
  <c r="B38" i="20" s="1"/>
  <c r="S129" i="20"/>
  <c r="R129" i="20" s="1"/>
  <c r="P129" i="20" s="1"/>
  <c r="V129" i="20" s="1"/>
  <c r="B129" i="20" s="1"/>
  <c r="S279" i="20"/>
  <c r="R279" i="20" s="1"/>
  <c r="P279" i="20" s="1"/>
  <c r="V279" i="20" s="1"/>
  <c r="B279" i="20" s="1"/>
  <c r="S256" i="20"/>
  <c r="R256" i="20" s="1"/>
  <c r="P256" i="20" s="1"/>
  <c r="V256" i="20" s="1"/>
  <c r="B256" i="20" s="1"/>
  <c r="S219" i="20"/>
  <c r="R219" i="20" s="1"/>
  <c r="P219" i="20" s="1"/>
  <c r="V219" i="20" s="1"/>
  <c r="B219" i="20" s="1"/>
  <c r="S165" i="20"/>
  <c r="R165" i="20" s="1"/>
  <c r="P165" i="20" s="1"/>
  <c r="V165" i="20" s="1"/>
  <c r="B165" i="20" s="1"/>
  <c r="S71" i="20"/>
  <c r="R71" i="20" s="1"/>
  <c r="P71" i="20" s="1"/>
  <c r="V71" i="20" s="1"/>
  <c r="B71" i="20" s="1"/>
  <c r="S238" i="20"/>
  <c r="R238" i="20" s="1"/>
  <c r="P238" i="20" s="1"/>
  <c r="V238" i="20" s="1"/>
  <c r="B238" i="20" s="1"/>
  <c r="S273" i="20"/>
  <c r="R273" i="20" s="1"/>
  <c r="P273" i="20" s="1"/>
  <c r="V273" i="20" s="1"/>
  <c r="B273" i="20" s="1"/>
  <c r="S125" i="20"/>
  <c r="R125" i="20" s="1"/>
  <c r="P125" i="20" s="1"/>
  <c r="V125" i="20" s="1"/>
  <c r="B125" i="20" s="1"/>
  <c r="T15" i="20"/>
  <c r="S188" i="20"/>
  <c r="R188" i="20" s="1"/>
  <c r="P188" i="20" s="1"/>
  <c r="V188" i="20" s="1"/>
  <c r="B188" i="20" s="1"/>
  <c r="S227" i="20"/>
  <c r="R227" i="20" s="1"/>
  <c r="P227" i="20" s="1"/>
  <c r="V227" i="20" s="1"/>
  <c r="S19" i="20"/>
  <c r="R19" i="20" s="1"/>
  <c r="P19" i="20" s="1"/>
  <c r="V19" i="20" s="1"/>
  <c r="B19" i="20" s="1"/>
  <c r="S308" i="20"/>
  <c r="R308" i="20" s="1"/>
  <c r="P308" i="20" s="1"/>
  <c r="V308" i="20" s="1"/>
  <c r="B308" i="20" s="1"/>
  <c r="S41" i="20"/>
  <c r="R41" i="20" s="1"/>
  <c r="P41" i="20" s="1"/>
  <c r="V41" i="20" s="1"/>
  <c r="B41" i="20" s="1"/>
  <c r="S154" i="20"/>
  <c r="R154" i="20" s="1"/>
  <c r="P154" i="20" s="1"/>
  <c r="V154" i="20" s="1"/>
  <c r="B154" i="20" s="1"/>
  <c r="S259" i="20"/>
  <c r="R259" i="20" s="1"/>
  <c r="P259" i="20" s="1"/>
  <c r="V259" i="20" s="1"/>
  <c r="B259" i="20" s="1"/>
  <c r="S340" i="20"/>
  <c r="R340" i="20" s="1"/>
  <c r="P340" i="20" s="1"/>
  <c r="V340" i="20" s="1"/>
  <c r="B340" i="20" s="1"/>
  <c r="S314" i="20"/>
  <c r="R314" i="20" s="1"/>
  <c r="P314" i="20" s="1"/>
  <c r="V314" i="20" s="1"/>
  <c r="B314" i="20" s="1"/>
  <c r="S232" i="20"/>
  <c r="R232" i="20" s="1"/>
  <c r="P232" i="20" s="1"/>
  <c r="V232" i="20" s="1"/>
  <c r="B232" i="20" s="1"/>
  <c r="S254" i="20"/>
  <c r="R254" i="20" s="1"/>
  <c r="P254" i="20" s="1"/>
  <c r="V254" i="20" s="1"/>
  <c r="B254" i="20" s="1"/>
  <c r="S305" i="20"/>
  <c r="R305" i="20" s="1"/>
  <c r="P305" i="20" s="1"/>
  <c r="V305" i="20" s="1"/>
  <c r="B305" i="20" s="1"/>
  <c r="S198" i="20"/>
  <c r="R198" i="20" s="1"/>
  <c r="P198" i="20" s="1"/>
  <c r="V198" i="20" s="1"/>
  <c r="B198" i="20" s="1"/>
  <c r="S199" i="20"/>
  <c r="R199" i="20" s="1"/>
  <c r="P199" i="20" s="1"/>
  <c r="V199" i="20" s="1"/>
  <c r="B199" i="20" s="1"/>
  <c r="S36" i="20"/>
  <c r="R36" i="20" s="1"/>
  <c r="P36" i="20" s="1"/>
  <c r="V36" i="20" s="1"/>
  <c r="B36" i="20" s="1"/>
  <c r="S302" i="20"/>
  <c r="R302" i="20" s="1"/>
  <c r="P302" i="20" s="1"/>
  <c r="S77" i="20"/>
  <c r="R77" i="20" s="1"/>
  <c r="P77" i="20" s="1"/>
  <c r="V77" i="20" s="1"/>
  <c r="B77" i="20" s="1"/>
  <c r="S98" i="20"/>
  <c r="R98" i="20" s="1"/>
  <c r="P98" i="20" s="1"/>
  <c r="V98" i="20" s="1"/>
  <c r="B98" i="20" s="1"/>
  <c r="S31" i="20"/>
  <c r="R31" i="20" s="1"/>
  <c r="P31" i="20" s="1"/>
  <c r="V31" i="20" s="1"/>
  <c r="B31" i="20" s="1"/>
  <c r="S361" i="20"/>
  <c r="R361" i="20" s="1"/>
  <c r="P361" i="20" s="1"/>
  <c r="V361" i="20" s="1"/>
  <c r="B361" i="20" s="1"/>
  <c r="S266" i="20"/>
  <c r="R266" i="20" s="1"/>
  <c r="P266" i="20" s="1"/>
  <c r="V266" i="20" s="1"/>
  <c r="B266" i="20" s="1"/>
  <c r="S217" i="20"/>
  <c r="R217" i="20" s="1"/>
  <c r="P217" i="20" s="1"/>
  <c r="V217" i="20" s="1"/>
  <c r="B217" i="20" s="1"/>
  <c r="S255" i="20"/>
  <c r="R255" i="20" s="1"/>
  <c r="P255" i="20" s="1"/>
  <c r="V255" i="20" s="1"/>
  <c r="B255" i="20" s="1"/>
  <c r="S346" i="20"/>
  <c r="R346" i="20" s="1"/>
  <c r="P346" i="20" s="1"/>
  <c r="V346" i="20" s="1"/>
  <c r="B346" i="20" s="1"/>
  <c r="S211" i="20"/>
  <c r="R211" i="20" s="1"/>
  <c r="P211" i="20" s="1"/>
  <c r="V211" i="20" s="1"/>
  <c r="B211" i="20" s="1"/>
  <c r="S61" i="20"/>
  <c r="R61" i="20" s="1"/>
  <c r="P61" i="20" s="1"/>
  <c r="V61" i="20" s="1"/>
  <c r="B61" i="20" s="1"/>
  <c r="S309" i="20"/>
  <c r="R309" i="20" s="1"/>
  <c r="P309" i="20" s="1"/>
  <c r="V309" i="20" s="1"/>
  <c r="B309" i="20" s="1"/>
  <c r="S360" i="20"/>
  <c r="R360" i="20" s="1"/>
  <c r="P360" i="20" s="1"/>
  <c r="V360" i="20" s="1"/>
  <c r="B360" i="20" s="1"/>
  <c r="S60" i="20"/>
  <c r="R60" i="20" s="1"/>
  <c r="P60" i="20" s="1"/>
  <c r="S157" i="20"/>
  <c r="R157" i="20" s="1"/>
  <c r="P157" i="20" s="1"/>
  <c r="V157" i="20" s="1"/>
  <c r="B157" i="20" s="1"/>
  <c r="S179" i="20"/>
  <c r="R179" i="20" s="1"/>
  <c r="P179" i="20" s="1"/>
  <c r="V179" i="20" s="1"/>
  <c r="B179" i="20" s="1"/>
  <c r="S262" i="20"/>
  <c r="R262" i="20" s="1"/>
  <c r="P262" i="20" s="1"/>
  <c r="V262" i="20" s="1"/>
  <c r="B262" i="20" s="1"/>
  <c r="S58" i="20"/>
  <c r="R58" i="20" s="1"/>
  <c r="P58" i="20" s="1"/>
  <c r="V58" i="20" s="1"/>
  <c r="B58" i="20" s="1"/>
  <c r="S341" i="20"/>
  <c r="R341" i="20" s="1"/>
  <c r="P341" i="20" s="1"/>
  <c r="V341" i="20" s="1"/>
  <c r="B341" i="20" s="1"/>
  <c r="S161" i="20"/>
  <c r="R161" i="20" s="1"/>
  <c r="P161" i="20" s="1"/>
  <c r="V161" i="20" s="1"/>
  <c r="B161" i="20" s="1"/>
  <c r="S151" i="20"/>
  <c r="R151" i="20" s="1"/>
  <c r="P151" i="20" s="1"/>
  <c r="V151" i="20" s="1"/>
  <c r="B151" i="20" s="1"/>
  <c r="S374" i="20"/>
  <c r="R374" i="20" s="1"/>
  <c r="P374" i="20" s="1"/>
  <c r="V374" i="20" s="1"/>
  <c r="B374" i="20" s="1"/>
  <c r="S260" i="20"/>
  <c r="R260" i="20" s="1"/>
  <c r="P260" i="20" s="1"/>
  <c r="V260" i="20" s="1"/>
  <c r="B260" i="20" s="1"/>
  <c r="S138" i="20"/>
  <c r="R138" i="20" s="1"/>
  <c r="P138" i="20" s="1"/>
  <c r="V138" i="20" s="1"/>
  <c r="B138" i="20" s="1"/>
  <c r="S56" i="20"/>
  <c r="R56" i="20" s="1"/>
  <c r="P56" i="20" s="1"/>
  <c r="V56" i="20" s="1"/>
  <c r="B56" i="20" s="1"/>
  <c r="S117" i="20"/>
  <c r="R117" i="20" s="1"/>
  <c r="P117" i="20" s="1"/>
  <c r="V117" i="20" s="1"/>
  <c r="B117" i="20" s="1"/>
  <c r="S203" i="20"/>
  <c r="R203" i="20" s="1"/>
  <c r="P203" i="20" s="1"/>
  <c r="V203" i="20" s="1"/>
  <c r="B203" i="20" s="1"/>
  <c r="S350" i="20"/>
  <c r="R350" i="20" s="1"/>
  <c r="P350" i="20" s="1"/>
  <c r="V350" i="20" s="1"/>
  <c r="B350" i="20" s="1"/>
  <c r="S167" i="20"/>
  <c r="R167" i="20" s="1"/>
  <c r="P167" i="20" s="1"/>
  <c r="V167" i="20" s="1"/>
  <c r="B167" i="20" s="1"/>
  <c r="S209" i="20"/>
  <c r="R209" i="20" s="1"/>
  <c r="P209" i="20" s="1"/>
  <c r="V209" i="20" s="1"/>
  <c r="B209" i="20" s="1"/>
  <c r="S286" i="20"/>
  <c r="R286" i="20" s="1"/>
  <c r="P286" i="20" s="1"/>
  <c r="V286" i="20" s="1"/>
  <c r="B286" i="20" s="1"/>
  <c r="S39" i="20"/>
  <c r="R39" i="20" s="1"/>
  <c r="P39" i="20" s="1"/>
  <c r="V39" i="20" s="1"/>
  <c r="B39" i="20" s="1"/>
  <c r="S369" i="20"/>
  <c r="R369" i="20" s="1"/>
  <c r="P369" i="20" s="1"/>
  <c r="V369" i="20" s="1"/>
  <c r="B369" i="20" s="1"/>
  <c r="S158" i="20"/>
  <c r="R158" i="20" s="1"/>
  <c r="P158" i="20" s="1"/>
  <c r="V158" i="20" s="1"/>
  <c r="B158" i="20" s="1"/>
  <c r="S264" i="20"/>
  <c r="R264" i="20" s="1"/>
  <c r="P264" i="20" s="1"/>
  <c r="V264" i="20" s="1"/>
  <c r="B264" i="20" s="1"/>
  <c r="S348" i="20"/>
  <c r="R348" i="20" s="1"/>
  <c r="P348" i="20" s="1"/>
  <c r="V348" i="20" s="1"/>
  <c r="B348" i="20" s="1"/>
  <c r="S178" i="20"/>
  <c r="R178" i="20" s="1"/>
  <c r="P178" i="20" s="1"/>
  <c r="V178" i="20" s="1"/>
  <c r="B178" i="20" s="1"/>
  <c r="S105" i="20"/>
  <c r="R105" i="20" s="1"/>
  <c r="P105" i="20" s="1"/>
  <c r="V105" i="20" s="1"/>
  <c r="S303" i="20"/>
  <c r="R303" i="20" s="1"/>
  <c r="P303" i="20" s="1"/>
  <c r="V303" i="20" s="1"/>
  <c r="B303" i="20" s="1"/>
  <c r="S59" i="20"/>
  <c r="R59" i="20" s="1"/>
  <c r="P59" i="20" s="1"/>
  <c r="V59" i="20" s="1"/>
  <c r="B59" i="20" s="1"/>
  <c r="S192" i="20"/>
  <c r="R192" i="20" s="1"/>
  <c r="P192" i="20" s="1"/>
  <c r="V192" i="20" s="1"/>
  <c r="B192" i="20" s="1"/>
  <c r="S143" i="20"/>
  <c r="R143" i="20" s="1"/>
  <c r="P143" i="20" s="1"/>
  <c r="V143" i="20" s="1"/>
  <c r="B143" i="20" s="1"/>
  <c r="S345" i="20"/>
  <c r="R345" i="20" s="1"/>
  <c r="P345" i="20" s="1"/>
  <c r="V345" i="20" s="1"/>
  <c r="B345" i="20" s="1"/>
  <c r="S290" i="20"/>
  <c r="R290" i="20" s="1"/>
  <c r="P290" i="20" s="1"/>
  <c r="V290" i="20" s="1"/>
  <c r="B290" i="20" s="1"/>
  <c r="S351" i="20"/>
  <c r="R351" i="20" s="1"/>
  <c r="P351" i="20" s="1"/>
  <c r="V351" i="20" s="1"/>
  <c r="B351" i="20" s="1"/>
  <c r="S80" i="20"/>
  <c r="R80" i="20" s="1"/>
  <c r="P80" i="20" s="1"/>
  <c r="V80" i="20" s="1"/>
  <c r="B80" i="20" s="1"/>
  <c r="S75" i="20"/>
  <c r="R75" i="20" s="1"/>
  <c r="P75" i="20" s="1"/>
  <c r="V75" i="20" s="1"/>
  <c r="B75" i="20" s="1"/>
  <c r="S280" i="20"/>
  <c r="R280" i="20" s="1"/>
  <c r="P280" i="20" s="1"/>
  <c r="V280" i="20" s="1"/>
  <c r="B280" i="20" s="1"/>
  <c r="S110" i="20"/>
  <c r="R110" i="20" s="1"/>
  <c r="P110" i="20" s="1"/>
  <c r="V110" i="20" s="1"/>
  <c r="B110" i="20" s="1"/>
  <c r="S140" i="20"/>
  <c r="R140" i="20" s="1"/>
  <c r="P140" i="20" s="1"/>
  <c r="V140" i="20" s="1"/>
  <c r="B140" i="20" s="1"/>
  <c r="S34" i="20"/>
  <c r="R34" i="20" s="1"/>
  <c r="P34" i="20" s="1"/>
  <c r="V34" i="20" s="1"/>
  <c r="B34" i="20" s="1"/>
  <c r="S64" i="20"/>
  <c r="R64" i="20" s="1"/>
  <c r="P64" i="20" s="1"/>
  <c r="V64" i="20" s="1"/>
  <c r="B64" i="20" s="1"/>
  <c r="S156" i="20"/>
  <c r="R156" i="20" s="1"/>
  <c r="P156" i="20" s="1"/>
  <c r="V156" i="20" s="1"/>
  <c r="B156" i="20" s="1"/>
  <c r="S163" i="20"/>
  <c r="R163" i="20" s="1"/>
  <c r="P163" i="20" s="1"/>
  <c r="V163" i="20" s="1"/>
  <c r="B163" i="20" s="1"/>
  <c r="S349" i="20"/>
  <c r="R349" i="20" s="1"/>
  <c r="P349" i="20" s="1"/>
  <c r="V349" i="20" s="1"/>
  <c r="S276" i="20"/>
  <c r="R276" i="20" s="1"/>
  <c r="P276" i="20" s="1"/>
  <c r="V276" i="20" s="1"/>
  <c r="B276" i="20" s="1"/>
  <c r="S339" i="20"/>
  <c r="R339" i="20" s="1"/>
  <c r="P339" i="20" s="1"/>
  <c r="V339" i="20" s="1"/>
  <c r="B339" i="20" s="1"/>
  <c r="S122" i="20"/>
  <c r="R122" i="20" s="1"/>
  <c r="P122" i="20" s="1"/>
  <c r="V122" i="20" s="1"/>
  <c r="B122" i="20" s="1"/>
  <c r="S175" i="20"/>
  <c r="R175" i="20" s="1"/>
  <c r="P175" i="20" s="1"/>
  <c r="V175" i="20" s="1"/>
  <c r="B175" i="20" s="1"/>
  <c r="S40" i="20"/>
  <c r="R40" i="20" s="1"/>
  <c r="P40" i="20" s="1"/>
  <c r="V40" i="20" s="1"/>
  <c r="B40" i="20" s="1"/>
  <c r="S338" i="20"/>
  <c r="R338" i="20" s="1"/>
  <c r="P338" i="20" s="1"/>
  <c r="V338" i="20" s="1"/>
  <c r="B338" i="20" s="1"/>
  <c r="S213" i="20"/>
  <c r="R213" i="20" s="1"/>
  <c r="P213" i="20" s="1"/>
  <c r="V213" i="20" s="1"/>
  <c r="B213" i="20" s="1"/>
  <c r="S272" i="20"/>
  <c r="R272" i="20" s="1"/>
  <c r="P272" i="20" s="1"/>
  <c r="S299" i="20"/>
  <c r="R299" i="20" s="1"/>
  <c r="P299" i="20" s="1"/>
  <c r="V299" i="20" s="1"/>
  <c r="B299" i="20" s="1"/>
  <c r="S135" i="20"/>
  <c r="R135" i="20" s="1"/>
  <c r="P135" i="20" s="1"/>
  <c r="V135" i="20" s="1"/>
  <c r="S270" i="20"/>
  <c r="R270" i="20" s="1"/>
  <c r="P270" i="20" s="1"/>
  <c r="V270" i="20" s="1"/>
  <c r="B270" i="20" s="1"/>
  <c r="S363" i="20"/>
  <c r="R363" i="20" s="1"/>
  <c r="P363" i="20" s="1"/>
  <c r="S277" i="20"/>
  <c r="R277" i="20" s="1"/>
  <c r="P277" i="20" s="1"/>
  <c r="V277" i="20" s="1"/>
  <c r="B277" i="20" s="1"/>
  <c r="S72" i="20"/>
  <c r="R72" i="20" s="1"/>
  <c r="P72" i="20" s="1"/>
  <c r="V72" i="20" s="1"/>
  <c r="B72" i="20" s="1"/>
  <c r="S101" i="20"/>
  <c r="R101" i="20" s="1"/>
  <c r="P101" i="20" s="1"/>
  <c r="V101" i="20" s="1"/>
  <c r="B101" i="20" s="1"/>
  <c r="S112" i="20"/>
  <c r="R112" i="20" s="1"/>
  <c r="P112" i="20" s="1"/>
  <c r="V112" i="20" s="1"/>
  <c r="B112" i="20" s="1"/>
  <c r="S315" i="20"/>
  <c r="R315" i="20" s="1"/>
  <c r="P315" i="20" s="1"/>
  <c r="V315" i="20" s="1"/>
  <c r="B315" i="20" s="1"/>
  <c r="S37" i="20"/>
  <c r="R37" i="20" s="1"/>
  <c r="P37" i="20" s="1"/>
  <c r="V37" i="20" s="1"/>
  <c r="B37" i="20" s="1"/>
  <c r="S91" i="20"/>
  <c r="R91" i="20" s="1"/>
  <c r="P91" i="20" s="1"/>
  <c r="V91" i="20" s="1"/>
  <c r="B91" i="20" s="1"/>
  <c r="S208" i="20"/>
  <c r="R208" i="20" s="1"/>
  <c r="P208" i="20" s="1"/>
  <c r="V208" i="20" s="1"/>
  <c r="B208" i="20" s="1"/>
  <c r="S327" i="20"/>
  <c r="R327" i="20" s="1"/>
  <c r="P327" i="20" s="1"/>
  <c r="V327" i="20" s="1"/>
  <c r="B327" i="20" s="1"/>
  <c r="S47" i="20"/>
  <c r="R47" i="20" s="1"/>
  <c r="P47" i="20" s="1"/>
  <c r="V47" i="20" s="1"/>
  <c r="B47" i="20" s="1"/>
  <c r="S304" i="20"/>
  <c r="R304" i="20" s="1"/>
  <c r="P304" i="20" s="1"/>
  <c r="V304" i="20" s="1"/>
  <c r="B304" i="20" s="1"/>
  <c r="S25" i="20"/>
  <c r="R25" i="20" s="1"/>
  <c r="P25" i="20" s="1"/>
  <c r="V25" i="20" s="1"/>
  <c r="B25" i="20" s="1"/>
  <c r="S63" i="20"/>
  <c r="R63" i="20" s="1"/>
  <c r="P63" i="20" s="1"/>
  <c r="V63" i="20" s="1"/>
  <c r="B63" i="20" s="1"/>
  <c r="S250" i="20"/>
  <c r="R250" i="20" s="1"/>
  <c r="P250" i="20" s="1"/>
  <c r="V250" i="20" s="1"/>
  <c r="B250" i="20" s="1"/>
  <c r="S177" i="20"/>
  <c r="R177" i="20" s="1"/>
  <c r="P177" i="20" s="1"/>
  <c r="V177" i="20" s="1"/>
  <c r="B177" i="20" s="1"/>
  <c r="S29" i="20"/>
  <c r="R29" i="20" s="1"/>
  <c r="P29" i="20" s="1"/>
  <c r="S51" i="20"/>
  <c r="R51" i="20" s="1"/>
  <c r="P51" i="20" s="1"/>
  <c r="V51" i="20" s="1"/>
  <c r="B51" i="20" s="1"/>
  <c r="S107" i="20"/>
  <c r="R107" i="20" s="1"/>
  <c r="P107" i="20" s="1"/>
  <c r="V107" i="20" s="1"/>
  <c r="B107" i="20" s="1"/>
  <c r="S21" i="20"/>
  <c r="R21" i="20" s="1"/>
  <c r="P21" i="20" s="1"/>
  <c r="V21" i="20" s="1"/>
  <c r="B21" i="20" s="1"/>
  <c r="S249" i="20"/>
  <c r="R249" i="20" s="1"/>
  <c r="P249" i="20" s="1"/>
  <c r="V249" i="20" s="1"/>
  <c r="B249" i="20" s="1"/>
  <c r="S362" i="20"/>
  <c r="R362" i="20" s="1"/>
  <c r="P362" i="20" s="1"/>
  <c r="V362" i="20" s="1"/>
  <c r="B362" i="20" s="1"/>
  <c r="S223" i="20"/>
  <c r="R223" i="20" s="1"/>
  <c r="P223" i="20" s="1"/>
  <c r="V223" i="20" s="1"/>
  <c r="B223" i="20" s="1"/>
  <c r="S121" i="20"/>
  <c r="R121" i="20" s="1"/>
  <c r="P121" i="20" s="1"/>
  <c r="V121" i="20" s="1"/>
  <c r="B121" i="20" s="1"/>
  <c r="S234" i="20"/>
  <c r="R234" i="20" s="1"/>
  <c r="P234" i="20" s="1"/>
  <c r="V234" i="20" s="1"/>
  <c r="B234" i="20" s="1"/>
  <c r="S356" i="20"/>
  <c r="R356" i="20" s="1"/>
  <c r="P356" i="20" s="1"/>
  <c r="V356" i="20" s="1"/>
  <c r="B356" i="20" s="1"/>
  <c r="S195" i="20"/>
  <c r="R195" i="20" s="1"/>
  <c r="P195" i="20" s="1"/>
  <c r="V195" i="20" s="1"/>
  <c r="B195" i="20" s="1"/>
  <c r="AF381" i="18"/>
  <c r="AF383" i="18"/>
  <c r="AD15" i="18"/>
  <c r="AF382" i="18"/>
  <c r="AG382" i="18"/>
  <c r="P204" i="20"/>
  <c r="V204" i="20" s="1"/>
  <c r="B204" i="20" s="1"/>
  <c r="D204" i="20" s="1"/>
  <c r="E204" i="20" s="1"/>
  <c r="F204" i="20" s="1"/>
  <c r="P83" i="20"/>
  <c r="V83" i="20" s="1"/>
  <c r="B83" i="20" s="1"/>
  <c r="D83" i="20" s="1"/>
  <c r="E83" i="20" s="1"/>
  <c r="F83" i="20" s="1"/>
  <c r="AD16" i="20"/>
  <c r="AD83" i="20"/>
  <c r="AD52" i="20"/>
  <c r="AD96" i="20"/>
  <c r="P28" i="20"/>
  <c r="V28" i="20" s="1"/>
  <c r="B28" i="20" s="1"/>
  <c r="AD22" i="20"/>
  <c r="AD92" i="20"/>
  <c r="AD82" i="20"/>
  <c r="AD88" i="20"/>
  <c r="AD85" i="20"/>
  <c r="AA148" i="18"/>
  <c r="Z148" i="18" s="1"/>
  <c r="Y148" i="18" s="1"/>
  <c r="G148" i="18"/>
  <c r="CA148" i="6" s="1"/>
  <c r="H148" i="18"/>
  <c r="J111" i="18"/>
  <c r="C111" i="6" s="1"/>
  <c r="I111" i="18"/>
  <c r="B111" i="6" s="1"/>
  <c r="BA111" i="6" s="1"/>
  <c r="AA217" i="18"/>
  <c r="Z217" i="18" s="1"/>
  <c r="Y217" i="18" s="1"/>
  <c r="G217" i="18"/>
  <c r="CA217" i="6" s="1"/>
  <c r="H217" i="18"/>
  <c r="J239" i="18"/>
  <c r="C239" i="6" s="1"/>
  <c r="I239" i="18"/>
  <c r="B239" i="6" s="1"/>
  <c r="BA239" i="6" s="1"/>
  <c r="H54" i="18"/>
  <c r="AA54" i="18"/>
  <c r="Z54" i="18" s="1"/>
  <c r="Y54" i="18" s="1"/>
  <c r="G54" i="18"/>
  <c r="CA54" i="6" s="1"/>
  <c r="AA287" i="18"/>
  <c r="Z287" i="18" s="1"/>
  <c r="Y287" i="18" s="1"/>
  <c r="H287" i="18"/>
  <c r="G287" i="18"/>
  <c r="CA287" i="6" s="1"/>
  <c r="H200" i="18"/>
  <c r="AA200" i="18"/>
  <c r="Z200" i="18" s="1"/>
  <c r="Y200" i="18" s="1"/>
  <c r="G200" i="18"/>
  <c r="CA200" i="6" s="1"/>
  <c r="H56" i="18"/>
  <c r="AA56" i="18"/>
  <c r="Z56" i="18" s="1"/>
  <c r="Y56" i="18" s="1"/>
  <c r="G56" i="18"/>
  <c r="CA56" i="6" s="1"/>
  <c r="AA281" i="18"/>
  <c r="Z281" i="18" s="1"/>
  <c r="Y281" i="18" s="1"/>
  <c r="G281" i="18"/>
  <c r="CA281" i="6" s="1"/>
  <c r="H281" i="18"/>
  <c r="AA230" i="18"/>
  <c r="Z230" i="18" s="1"/>
  <c r="Y230" i="18" s="1"/>
  <c r="H230" i="18"/>
  <c r="G230" i="18"/>
  <c r="CA230" i="6" s="1"/>
  <c r="H181" i="18"/>
  <c r="AA181" i="18"/>
  <c r="Z181" i="18" s="1"/>
  <c r="Y181" i="18" s="1"/>
  <c r="G181" i="18"/>
  <c r="CA181" i="6" s="1"/>
  <c r="H48" i="18"/>
  <c r="G48" i="18"/>
  <c r="CA48" i="6" s="1"/>
  <c r="AA48" i="18"/>
  <c r="Z48" i="18" s="1"/>
  <c r="Y48" i="18" s="1"/>
  <c r="AA330" i="18"/>
  <c r="Z330" i="18" s="1"/>
  <c r="Y330" i="18" s="1"/>
  <c r="G330" i="18"/>
  <c r="CA330" i="6" s="1"/>
  <c r="H330" i="18"/>
  <c r="G284" i="18"/>
  <c r="CA284" i="6" s="1"/>
  <c r="AA284" i="18"/>
  <c r="Z284" i="18" s="1"/>
  <c r="Y284" i="18" s="1"/>
  <c r="H284" i="18"/>
  <c r="J184" i="18"/>
  <c r="C184" i="6" s="1"/>
  <c r="I184" i="18"/>
  <c r="B184" i="6" s="1"/>
  <c r="BA184" i="6" s="1"/>
  <c r="C65" i="19"/>
  <c r="H65" i="19"/>
  <c r="G338" i="18"/>
  <c r="CA338" i="6" s="1"/>
  <c r="H338" i="18"/>
  <c r="AA338" i="18"/>
  <c r="Z338" i="18" s="1"/>
  <c r="Y338" i="18" s="1"/>
  <c r="W74" i="18"/>
  <c r="D65" i="19"/>
  <c r="H231" i="18"/>
  <c r="G231" i="18"/>
  <c r="CA231" i="6" s="1"/>
  <c r="AA231" i="18"/>
  <c r="Z231" i="18" s="1"/>
  <c r="Y231" i="18" s="1"/>
  <c r="G114" i="18"/>
  <c r="CA114" i="6" s="1"/>
  <c r="H114" i="18"/>
  <c r="AA114" i="18"/>
  <c r="Z114" i="18" s="1"/>
  <c r="Y114" i="18" s="1"/>
  <c r="AA21" i="18"/>
  <c r="Z21" i="18" s="1"/>
  <c r="Y21" i="18" s="1"/>
  <c r="H21" i="18"/>
  <c r="G21" i="18"/>
  <c r="CA21" i="6" s="1"/>
  <c r="H137" i="18"/>
  <c r="G137" i="18"/>
  <c r="CA137" i="6" s="1"/>
  <c r="AA137" i="18"/>
  <c r="Z137" i="18" s="1"/>
  <c r="Y137" i="18" s="1"/>
  <c r="G325" i="18"/>
  <c r="CA325" i="6" s="1"/>
  <c r="AA325" i="18"/>
  <c r="Z325" i="18" s="1"/>
  <c r="Y325" i="18" s="1"/>
  <c r="H325" i="18"/>
  <c r="G279" i="18"/>
  <c r="CA279" i="6" s="1"/>
  <c r="AA279" i="18"/>
  <c r="Z279" i="18" s="1"/>
  <c r="Y279" i="18" s="1"/>
  <c r="H279" i="18"/>
  <c r="G104" i="18"/>
  <c r="CA104" i="6" s="1"/>
  <c r="H104" i="18"/>
  <c r="AA104" i="18"/>
  <c r="Z104" i="18" s="1"/>
  <c r="Y104" i="18" s="1"/>
  <c r="G369" i="18"/>
  <c r="CA369" i="6" s="1"/>
  <c r="H369" i="18"/>
  <c r="AA369" i="18"/>
  <c r="Z369" i="18" s="1"/>
  <c r="Y369" i="18" s="1"/>
  <c r="AA229" i="18"/>
  <c r="Z229" i="18" s="1"/>
  <c r="Y229" i="18" s="1"/>
  <c r="H229" i="18"/>
  <c r="G229" i="18"/>
  <c r="CA229" i="6" s="1"/>
  <c r="G244" i="18"/>
  <c r="CA244" i="6" s="1"/>
  <c r="AA244" i="18"/>
  <c r="Z244" i="18" s="1"/>
  <c r="Y244" i="18" s="1"/>
  <c r="H244" i="18"/>
  <c r="H278" i="18"/>
  <c r="AA278" i="18"/>
  <c r="Z278" i="18" s="1"/>
  <c r="Y278" i="18" s="1"/>
  <c r="G278" i="18"/>
  <c r="CA278" i="6" s="1"/>
  <c r="AA51" i="18"/>
  <c r="Z51" i="18" s="1"/>
  <c r="Y51" i="18" s="1"/>
  <c r="H51" i="18"/>
  <c r="G51" i="18"/>
  <c r="CA51" i="6" s="1"/>
  <c r="AA158" i="18"/>
  <c r="Z158" i="18" s="1"/>
  <c r="Y158" i="18" s="1"/>
  <c r="H158" i="18"/>
  <c r="G158" i="18"/>
  <c r="CA158" i="6" s="1"/>
  <c r="H195" i="18"/>
  <c r="AA195" i="18"/>
  <c r="Z195" i="18" s="1"/>
  <c r="Y195" i="18" s="1"/>
  <c r="G195" i="18"/>
  <c r="CA195" i="6" s="1"/>
  <c r="G199" i="18"/>
  <c r="CA199" i="6" s="1"/>
  <c r="AA199" i="18"/>
  <c r="Z199" i="18" s="1"/>
  <c r="Y199" i="18" s="1"/>
  <c r="H199" i="18"/>
  <c r="G90" i="18"/>
  <c r="CA90" i="6" s="1"/>
  <c r="AA90" i="18"/>
  <c r="Z90" i="18" s="1"/>
  <c r="Y90" i="18" s="1"/>
  <c r="H90" i="18"/>
  <c r="G237" i="18"/>
  <c r="CA237" i="6" s="1"/>
  <c r="AA237" i="18"/>
  <c r="Z237" i="18" s="1"/>
  <c r="Y237" i="18" s="1"/>
  <c r="H237" i="18"/>
  <c r="AA340" i="18"/>
  <c r="Z340" i="18" s="1"/>
  <c r="Y340" i="18" s="1"/>
  <c r="G340" i="18"/>
  <c r="CA340" i="6" s="1"/>
  <c r="H340" i="18"/>
  <c r="AA110" i="18"/>
  <c r="Z110" i="18" s="1"/>
  <c r="Y110" i="18" s="1"/>
  <c r="H110" i="18"/>
  <c r="G110" i="18"/>
  <c r="CA110" i="6" s="1"/>
  <c r="J170" i="18"/>
  <c r="C170" i="6" s="1"/>
  <c r="I170" i="18"/>
  <c r="B170" i="6" s="1"/>
  <c r="BA170" i="6" s="1"/>
  <c r="I130" i="18"/>
  <c r="B130" i="6" s="1"/>
  <c r="BA130" i="6" s="1"/>
  <c r="J130" i="18"/>
  <c r="C130" i="6" s="1"/>
  <c r="G209" i="18"/>
  <c r="CA209" i="6" s="1"/>
  <c r="AA209" i="18"/>
  <c r="Z209" i="18" s="1"/>
  <c r="Y209" i="18" s="1"/>
  <c r="H209" i="18"/>
  <c r="G176" i="18"/>
  <c r="CA176" i="6" s="1"/>
  <c r="AA176" i="18"/>
  <c r="Z176" i="18" s="1"/>
  <c r="Y176" i="18" s="1"/>
  <c r="H176" i="18"/>
  <c r="AA188" i="18"/>
  <c r="Z188" i="18" s="1"/>
  <c r="Y188" i="18" s="1"/>
  <c r="H188" i="18"/>
  <c r="G188" i="18"/>
  <c r="CA188" i="6" s="1"/>
  <c r="I128" i="18"/>
  <c r="B128" i="6" s="1"/>
  <c r="BA128" i="6" s="1"/>
  <c r="J128" i="18"/>
  <c r="C128" i="6" s="1"/>
  <c r="G321" i="18"/>
  <c r="CA321" i="6" s="1"/>
  <c r="H321" i="18"/>
  <c r="AA321" i="18"/>
  <c r="Z321" i="18" s="1"/>
  <c r="Y321" i="18" s="1"/>
  <c r="H374" i="18"/>
  <c r="AA374" i="18"/>
  <c r="Z374" i="18" s="1"/>
  <c r="Y374" i="18" s="1"/>
  <c r="G374" i="18"/>
  <c r="CA374" i="6" s="1"/>
  <c r="G228" i="18"/>
  <c r="CA228" i="6" s="1"/>
  <c r="H228" i="18"/>
  <c r="AA228" i="18"/>
  <c r="Z228" i="18" s="1"/>
  <c r="Y228" i="18" s="1"/>
  <c r="H205" i="18"/>
  <c r="G205" i="18"/>
  <c r="CA205" i="6" s="1"/>
  <c r="AA205" i="18"/>
  <c r="Z205" i="18" s="1"/>
  <c r="Y205" i="18" s="1"/>
  <c r="H251" i="18"/>
  <c r="G251" i="18"/>
  <c r="CA251" i="6" s="1"/>
  <c r="AA251" i="18"/>
  <c r="Z251" i="18" s="1"/>
  <c r="Y251" i="18" s="1"/>
  <c r="G304" i="18"/>
  <c r="CA304" i="6" s="1"/>
  <c r="AA304" i="18"/>
  <c r="Z304" i="18" s="1"/>
  <c r="Y304" i="18" s="1"/>
  <c r="H304" i="18"/>
  <c r="G32" i="18"/>
  <c r="CA32" i="6" s="1"/>
  <c r="H32" i="18"/>
  <c r="AA32" i="18"/>
  <c r="Z32" i="18" s="1"/>
  <c r="Y32" i="18" s="1"/>
  <c r="G183" i="18"/>
  <c r="CA183" i="6" s="1"/>
  <c r="H183" i="18"/>
  <c r="AA183" i="18"/>
  <c r="Z183" i="18" s="1"/>
  <c r="Y183" i="18" s="1"/>
  <c r="G367" i="18"/>
  <c r="CA367" i="6" s="1"/>
  <c r="AA367" i="18"/>
  <c r="Z367" i="18" s="1"/>
  <c r="Y367" i="18" s="1"/>
  <c r="H367" i="18"/>
  <c r="H141" i="18"/>
  <c r="G141" i="18"/>
  <c r="CA141" i="6" s="1"/>
  <c r="AA141" i="18"/>
  <c r="Z141" i="18" s="1"/>
  <c r="Y141" i="18" s="1"/>
  <c r="H28" i="18"/>
  <c r="G28" i="18"/>
  <c r="CA28" i="6" s="1"/>
  <c r="AA28" i="18"/>
  <c r="Z28" i="18" s="1"/>
  <c r="Y28" i="18" s="1"/>
  <c r="D363" i="18"/>
  <c r="E363" i="18" s="1"/>
  <c r="F363" i="18" s="1"/>
  <c r="W363" i="18"/>
  <c r="AA213" i="18"/>
  <c r="Z213" i="18" s="1"/>
  <c r="Y213" i="18" s="1"/>
  <c r="H213" i="18"/>
  <c r="G213" i="18"/>
  <c r="CA213" i="6" s="1"/>
  <c r="G329" i="18"/>
  <c r="CA329" i="6" s="1"/>
  <c r="H329" i="18"/>
  <c r="AA329" i="18"/>
  <c r="Z329" i="18" s="1"/>
  <c r="Y329" i="18" s="1"/>
  <c r="H103" i="18"/>
  <c r="AA103" i="18"/>
  <c r="Z103" i="18" s="1"/>
  <c r="Y103" i="18" s="1"/>
  <c r="G103" i="18"/>
  <c r="CA103" i="6" s="1"/>
  <c r="H253" i="18"/>
  <c r="AA253" i="18"/>
  <c r="Z253" i="18" s="1"/>
  <c r="Y253" i="18" s="1"/>
  <c r="G253" i="18"/>
  <c r="CA253" i="6" s="1"/>
  <c r="H202" i="18"/>
  <c r="AA202" i="18"/>
  <c r="Z202" i="18" s="1"/>
  <c r="Y202" i="18" s="1"/>
  <c r="G202" i="18"/>
  <c r="CA202" i="6" s="1"/>
  <c r="H154" i="18"/>
  <c r="G154" i="18"/>
  <c r="CA154" i="6" s="1"/>
  <c r="AA154" i="18"/>
  <c r="Z154" i="18" s="1"/>
  <c r="Y154" i="18" s="1"/>
  <c r="AA358" i="18"/>
  <c r="Z358" i="18" s="1"/>
  <c r="Y358" i="18" s="1"/>
  <c r="G358" i="18"/>
  <c r="CA358" i="6" s="1"/>
  <c r="H358" i="18"/>
  <c r="G105" i="18"/>
  <c r="CA105" i="6" s="1"/>
  <c r="H105" i="18"/>
  <c r="AA105" i="18"/>
  <c r="Z105" i="18" s="1"/>
  <c r="Y105" i="18" s="1"/>
  <c r="AA372" i="18"/>
  <c r="Z372" i="18" s="1"/>
  <c r="Y372" i="18" s="1"/>
  <c r="G372" i="18"/>
  <c r="CA372" i="6" s="1"/>
  <c r="H372" i="18"/>
  <c r="G38" i="18"/>
  <c r="CA38" i="6" s="1"/>
  <c r="AA38" i="18"/>
  <c r="Z38" i="18" s="1"/>
  <c r="Y38" i="18" s="1"/>
  <c r="H38" i="18"/>
  <c r="AA225" i="18"/>
  <c r="Z225" i="18" s="1"/>
  <c r="Y225" i="18" s="1"/>
  <c r="G225" i="18"/>
  <c r="CA225" i="6" s="1"/>
  <c r="H225" i="18"/>
  <c r="G216" i="18"/>
  <c r="CA216" i="6" s="1"/>
  <c r="H216" i="18"/>
  <c r="AA216" i="18"/>
  <c r="Z216" i="18" s="1"/>
  <c r="Y216" i="18" s="1"/>
  <c r="H167" i="18"/>
  <c r="G167" i="18"/>
  <c r="CA167" i="6" s="1"/>
  <c r="AA167" i="18"/>
  <c r="Z167" i="18" s="1"/>
  <c r="Y167" i="18" s="1"/>
  <c r="G168" i="18"/>
  <c r="CA168" i="6" s="1"/>
  <c r="AA168" i="18"/>
  <c r="Z168" i="18" s="1"/>
  <c r="Y168" i="18" s="1"/>
  <c r="H168" i="18"/>
  <c r="H264" i="18"/>
  <c r="AA264" i="18"/>
  <c r="Z264" i="18" s="1"/>
  <c r="Y264" i="18" s="1"/>
  <c r="G264" i="18"/>
  <c r="CA264" i="6" s="1"/>
  <c r="J276" i="18"/>
  <c r="C276" i="6" s="1"/>
  <c r="I276" i="18"/>
  <c r="B276" i="6" s="1"/>
  <c r="BA276" i="6" s="1"/>
  <c r="AA301" i="18"/>
  <c r="Z301" i="18" s="1"/>
  <c r="Y301" i="18" s="1"/>
  <c r="G301" i="18"/>
  <c r="CA301" i="6" s="1"/>
  <c r="H301" i="18"/>
  <c r="G359" i="18"/>
  <c r="CA359" i="6" s="1"/>
  <c r="AA359" i="18"/>
  <c r="Z359" i="18" s="1"/>
  <c r="Y359" i="18" s="1"/>
  <c r="H359" i="18"/>
  <c r="H135" i="18"/>
  <c r="AA135" i="18"/>
  <c r="Z135" i="18" s="1"/>
  <c r="Y135" i="18" s="1"/>
  <c r="G135" i="18"/>
  <c r="CA135" i="6" s="1"/>
  <c r="H274" i="18"/>
  <c r="AA274" i="18"/>
  <c r="Z274" i="18" s="1"/>
  <c r="Y274" i="18" s="1"/>
  <c r="G274" i="18"/>
  <c r="CA274" i="6" s="1"/>
  <c r="I271" i="18"/>
  <c r="B271" i="6" s="1"/>
  <c r="BA271" i="6" s="1"/>
  <c r="J271" i="18"/>
  <c r="C271" i="6" s="1"/>
  <c r="AA370" i="18"/>
  <c r="Z370" i="18" s="1"/>
  <c r="Y370" i="18" s="1"/>
  <c r="G370" i="18"/>
  <c r="CA370" i="6" s="1"/>
  <c r="H370" i="18"/>
  <c r="H310" i="18"/>
  <c r="G310" i="18"/>
  <c r="CA310" i="6" s="1"/>
  <c r="AA310" i="18"/>
  <c r="Z310" i="18" s="1"/>
  <c r="Y310" i="18" s="1"/>
  <c r="H292" i="18"/>
  <c r="G292" i="18"/>
  <c r="CA292" i="6" s="1"/>
  <c r="AA292" i="18"/>
  <c r="Z292" i="18" s="1"/>
  <c r="Y292" i="18" s="1"/>
  <c r="G22" i="18"/>
  <c r="CA22" i="6" s="1"/>
  <c r="AA22" i="18"/>
  <c r="Z22" i="18" s="1"/>
  <c r="Y22" i="18" s="1"/>
  <c r="H22" i="18"/>
  <c r="AA106" i="18"/>
  <c r="Z106" i="18" s="1"/>
  <c r="Y106" i="18" s="1"/>
  <c r="G106" i="18"/>
  <c r="CA106" i="6" s="1"/>
  <c r="H106" i="18"/>
  <c r="G94" i="18"/>
  <c r="CA94" i="6" s="1"/>
  <c r="H94" i="18"/>
  <c r="AA94" i="18"/>
  <c r="Z94" i="18" s="1"/>
  <c r="Y94" i="18" s="1"/>
  <c r="AA236" i="18"/>
  <c r="Z236" i="18" s="1"/>
  <c r="Y236" i="18" s="1"/>
  <c r="H236" i="18"/>
  <c r="G236" i="18"/>
  <c r="CA236" i="6" s="1"/>
  <c r="G241" i="18"/>
  <c r="CA241" i="6" s="1"/>
  <c r="AA241" i="18"/>
  <c r="Z241" i="18" s="1"/>
  <c r="Y241" i="18" s="1"/>
  <c r="H241" i="18"/>
  <c r="B382" i="18"/>
  <c r="G343" i="18"/>
  <c r="CA343" i="6" s="1"/>
  <c r="H343" i="18"/>
  <c r="AA343" i="18"/>
  <c r="Z343" i="18" s="1"/>
  <c r="Y343" i="18" s="1"/>
  <c r="AA300" i="18"/>
  <c r="Z300" i="18" s="1"/>
  <c r="Y300" i="18" s="1"/>
  <c r="G300" i="18"/>
  <c r="CA300" i="6" s="1"/>
  <c r="H300" i="18"/>
  <c r="I260" i="18"/>
  <c r="B260" i="6" s="1"/>
  <c r="BA260" i="6" s="1"/>
  <c r="J260" i="18"/>
  <c r="C260" i="6" s="1"/>
  <c r="AA293" i="18"/>
  <c r="Z293" i="18" s="1"/>
  <c r="Y293" i="18" s="1"/>
  <c r="G293" i="18"/>
  <c r="CA293" i="6" s="1"/>
  <c r="H293" i="18"/>
  <c r="AA337" i="18"/>
  <c r="Z337" i="18" s="1"/>
  <c r="Y337" i="18" s="1"/>
  <c r="H337" i="18"/>
  <c r="G337" i="18"/>
  <c r="CA337" i="6" s="1"/>
  <c r="H347" i="18"/>
  <c r="G347" i="18"/>
  <c r="CA347" i="6" s="1"/>
  <c r="AA347" i="18"/>
  <c r="Z347" i="18" s="1"/>
  <c r="Y347" i="18" s="1"/>
  <c r="G355" i="18"/>
  <c r="CA355" i="6" s="1"/>
  <c r="H355" i="18"/>
  <c r="AA355" i="18"/>
  <c r="Z355" i="18" s="1"/>
  <c r="Y355" i="18" s="1"/>
  <c r="J256" i="18"/>
  <c r="C256" i="6" s="1"/>
  <c r="I256" i="18"/>
  <c r="B256" i="6" s="1"/>
  <c r="BA256" i="6" s="1"/>
  <c r="G324" i="18"/>
  <c r="CA324" i="6" s="1"/>
  <c r="AA324" i="18"/>
  <c r="Z324" i="18" s="1"/>
  <c r="Y324" i="18" s="1"/>
  <c r="H324" i="18"/>
  <c r="G305" i="18"/>
  <c r="CA305" i="6" s="1"/>
  <c r="AA305" i="18"/>
  <c r="Z305" i="18" s="1"/>
  <c r="Y305" i="18" s="1"/>
  <c r="H305" i="18"/>
  <c r="AA357" i="18"/>
  <c r="Z357" i="18" s="1"/>
  <c r="Y357" i="18" s="1"/>
  <c r="H357" i="18"/>
  <c r="G357" i="18"/>
  <c r="CA357" i="6" s="1"/>
  <c r="G320" i="18"/>
  <c r="CA320" i="6" s="1"/>
  <c r="AA320" i="18"/>
  <c r="Z320" i="18" s="1"/>
  <c r="Y320" i="18" s="1"/>
  <c r="H320" i="18"/>
  <c r="AA314" i="18"/>
  <c r="Z314" i="18" s="1"/>
  <c r="Y314" i="18" s="1"/>
  <c r="G314" i="18"/>
  <c r="CA314" i="6" s="1"/>
  <c r="H314" i="18"/>
  <c r="AA352" i="18"/>
  <c r="Z352" i="18" s="1"/>
  <c r="Y352" i="18" s="1"/>
  <c r="H352" i="18"/>
  <c r="G352" i="18"/>
  <c r="CA352" i="6" s="1"/>
  <c r="J243" i="18"/>
  <c r="C243" i="6" s="1"/>
  <c r="I243" i="18"/>
  <c r="B243" i="6" s="1"/>
  <c r="BA243" i="6" s="1"/>
  <c r="W302" i="18"/>
  <c r="D302" i="18"/>
  <c r="E302" i="18" s="1"/>
  <c r="F302" i="18" s="1"/>
  <c r="AA373" i="18"/>
  <c r="Z373" i="18" s="1"/>
  <c r="Y373" i="18" s="1"/>
  <c r="G373" i="18"/>
  <c r="CA373" i="6" s="1"/>
  <c r="H373" i="18"/>
  <c r="H311" i="18"/>
  <c r="G311" i="18"/>
  <c r="CA311" i="6" s="1"/>
  <c r="AA311" i="18"/>
  <c r="Z311" i="18" s="1"/>
  <c r="Y311" i="18" s="1"/>
  <c r="I65" i="19"/>
  <c r="G339" i="18"/>
  <c r="CA339" i="6" s="1"/>
  <c r="H339" i="18"/>
  <c r="AA339" i="18"/>
  <c r="Z339" i="18" s="1"/>
  <c r="Y339" i="18" s="1"/>
  <c r="AA360" i="18"/>
  <c r="Z360" i="18" s="1"/>
  <c r="Y360" i="18" s="1"/>
  <c r="G360" i="18"/>
  <c r="CA360" i="6" s="1"/>
  <c r="H360" i="18"/>
  <c r="G65" i="19"/>
  <c r="F146" i="18"/>
  <c r="J92" i="18"/>
  <c r="C92" i="6" s="1"/>
  <c r="I92" i="18"/>
  <c r="B92" i="6" s="1"/>
  <c r="BA92" i="6" s="1"/>
  <c r="G303" i="18"/>
  <c r="CA303" i="6" s="1"/>
  <c r="H303" i="18"/>
  <c r="AA303" i="18"/>
  <c r="Z303" i="18" s="1"/>
  <c r="Y303" i="18" s="1"/>
  <c r="AA368" i="18"/>
  <c r="Z368" i="18" s="1"/>
  <c r="Y368" i="18" s="1"/>
  <c r="H368" i="18"/>
  <c r="G368" i="18"/>
  <c r="CA368" i="6" s="1"/>
  <c r="I50" i="18"/>
  <c r="B50" i="6" s="1"/>
  <c r="BA50" i="6" s="1"/>
  <c r="J50" i="18"/>
  <c r="C50" i="6" s="1"/>
  <c r="AA354" i="18"/>
  <c r="Z354" i="18" s="1"/>
  <c r="Y354" i="18" s="1"/>
  <c r="H354" i="18"/>
  <c r="G354" i="18"/>
  <c r="CA354" i="6" s="1"/>
  <c r="H313" i="18"/>
  <c r="G313" i="18"/>
  <c r="CA313" i="6" s="1"/>
  <c r="AA313" i="18"/>
  <c r="Z313" i="18" s="1"/>
  <c r="Y313" i="18" s="1"/>
  <c r="H328" i="18"/>
  <c r="G328" i="18"/>
  <c r="CA328" i="6" s="1"/>
  <c r="AA328" i="18"/>
  <c r="Z328" i="18" s="1"/>
  <c r="Y328" i="18" s="1"/>
  <c r="J212" i="18"/>
  <c r="C212" i="6" s="1"/>
  <c r="I212" i="18"/>
  <c r="B212" i="6" s="1"/>
  <c r="BA212" i="6" s="1"/>
  <c r="F27" i="18"/>
  <c r="F87" i="18"/>
  <c r="G322" i="18"/>
  <c r="CA322" i="6" s="1"/>
  <c r="H322" i="18"/>
  <c r="AA322" i="18"/>
  <c r="Z322" i="18" s="1"/>
  <c r="Y322" i="18" s="1"/>
  <c r="I246" i="18"/>
  <c r="B246" i="6" s="1"/>
  <c r="BA246" i="6" s="1"/>
  <c r="J246" i="18"/>
  <c r="C246" i="6" s="1"/>
  <c r="G371" i="18"/>
  <c r="CA371" i="6" s="1"/>
  <c r="H371" i="18"/>
  <c r="AA371" i="18"/>
  <c r="Z371" i="18" s="1"/>
  <c r="Y371" i="18" s="1"/>
  <c r="G342" i="18"/>
  <c r="CA342" i="6" s="1"/>
  <c r="H342" i="18"/>
  <c r="AA342" i="18"/>
  <c r="Z342" i="18" s="1"/>
  <c r="Y342" i="18" s="1"/>
  <c r="W319" i="18"/>
  <c r="D319" i="18"/>
  <c r="E319" i="18" s="1"/>
  <c r="F319" i="18" s="1"/>
  <c r="Y11" i="16"/>
  <c r="AJ3" i="16"/>
  <c r="O13" i="19" s="1"/>
  <c r="M13" i="19" s="1"/>
  <c r="AL13" i="16"/>
  <c r="P168" i="20"/>
  <c r="V168" i="20" s="1"/>
  <c r="B168" i="20" s="1"/>
  <c r="AD76" i="20"/>
  <c r="AD48" i="20"/>
  <c r="AD77" i="20"/>
  <c r="AD23" i="20"/>
  <c r="AD43" i="20"/>
  <c r="AD40" i="20"/>
  <c r="G258" i="18"/>
  <c r="CA258" i="6" s="1"/>
  <c r="H258" i="18"/>
  <c r="AA258" i="18"/>
  <c r="Z258" i="18" s="1"/>
  <c r="Y258" i="18" s="1"/>
  <c r="S228" i="20"/>
  <c r="R228" i="20" s="1"/>
  <c r="P228" i="20" s="1"/>
  <c r="V228" i="20" s="1"/>
  <c r="B228" i="20" s="1"/>
  <c r="S318" i="20"/>
  <c r="R318" i="20" s="1"/>
  <c r="P318" i="20" s="1"/>
  <c r="V318" i="20" s="1"/>
  <c r="B318" i="20" s="1"/>
  <c r="S215" i="20"/>
  <c r="R215" i="20" s="1"/>
  <c r="P215" i="20" s="1"/>
  <c r="V215" i="20" s="1"/>
  <c r="B215" i="20" s="1"/>
  <c r="S298" i="20"/>
  <c r="R298" i="20" s="1"/>
  <c r="P298" i="20" s="1"/>
  <c r="V298" i="20" s="1"/>
  <c r="B298" i="20" s="1"/>
  <c r="S46" i="20"/>
  <c r="R46" i="20" s="1"/>
  <c r="P46" i="20" s="1"/>
  <c r="V46" i="20" s="1"/>
  <c r="S287" i="20"/>
  <c r="R287" i="20" s="1"/>
  <c r="P287" i="20" s="1"/>
  <c r="V287" i="20" s="1"/>
  <c r="B287" i="20" s="1"/>
  <c r="S265" i="20"/>
  <c r="R265" i="20" s="1"/>
  <c r="P265" i="20" s="1"/>
  <c r="V265" i="20" s="1"/>
  <c r="B265" i="20" s="1"/>
  <c r="S81" i="20"/>
  <c r="R81" i="20" s="1"/>
  <c r="P81" i="20" s="1"/>
  <c r="V81" i="20" s="1"/>
  <c r="B81" i="20" s="1"/>
  <c r="S248" i="20"/>
  <c r="R248" i="20" s="1"/>
  <c r="P248" i="20" s="1"/>
  <c r="V248" i="20" s="1"/>
  <c r="B248" i="20" s="1"/>
  <c r="S193" i="20"/>
  <c r="R193" i="20" s="1"/>
  <c r="P193" i="20" s="1"/>
  <c r="V193" i="20" s="1"/>
  <c r="B193" i="20" s="1"/>
  <c r="S325" i="20"/>
  <c r="R325" i="20" s="1"/>
  <c r="P325" i="20" s="1"/>
  <c r="V325" i="20" s="1"/>
  <c r="B325" i="20" s="1"/>
  <c r="S42" i="20"/>
  <c r="R42" i="20" s="1"/>
  <c r="P42" i="20" s="1"/>
  <c r="V42" i="20" s="1"/>
  <c r="B42" i="20" s="1"/>
  <c r="S26" i="20"/>
  <c r="R26" i="20" s="1"/>
  <c r="P26" i="20" s="1"/>
  <c r="V26" i="20" s="1"/>
  <c r="B26" i="20" s="1"/>
  <c r="S73" i="20"/>
  <c r="R73" i="20" s="1"/>
  <c r="P73" i="20" s="1"/>
  <c r="V73" i="20" s="1"/>
  <c r="B73" i="20" s="1"/>
  <c r="S257" i="20"/>
  <c r="R257" i="20" s="1"/>
  <c r="P257" i="20" s="1"/>
  <c r="V257" i="20" s="1"/>
  <c r="B257" i="20" s="1"/>
  <c r="S104" i="20"/>
  <c r="R104" i="20" s="1"/>
  <c r="P104" i="20" s="1"/>
  <c r="V104" i="20" s="1"/>
  <c r="B104" i="20" s="1"/>
  <c r="S357" i="20"/>
  <c r="R357" i="20" s="1"/>
  <c r="P357" i="20" s="1"/>
  <c r="V357" i="20" s="1"/>
  <c r="B357" i="20" s="1"/>
  <c r="S283" i="20"/>
  <c r="R283" i="20" s="1"/>
  <c r="P283" i="20" s="1"/>
  <c r="V283" i="20" s="1"/>
  <c r="B283" i="20" s="1"/>
  <c r="S365" i="20"/>
  <c r="R365" i="20" s="1"/>
  <c r="P365" i="20" s="1"/>
  <c r="V365" i="20" s="1"/>
  <c r="B365" i="20" s="1"/>
  <c r="S70" i="20"/>
  <c r="R70" i="20" s="1"/>
  <c r="P70" i="20" s="1"/>
  <c r="V70" i="20" s="1"/>
  <c r="B70" i="20" s="1"/>
  <c r="S114" i="20"/>
  <c r="R114" i="20" s="1"/>
  <c r="P114" i="20" s="1"/>
  <c r="V114" i="20" s="1"/>
  <c r="B114" i="20" s="1"/>
  <c r="S160" i="20"/>
  <c r="R160" i="20" s="1"/>
  <c r="P160" i="20" s="1"/>
  <c r="V160" i="20" s="1"/>
  <c r="B160" i="20" s="1"/>
  <c r="S172" i="20"/>
  <c r="R172" i="20" s="1"/>
  <c r="P172" i="20" s="1"/>
  <c r="V172" i="20" s="1"/>
  <c r="B172" i="20" s="1"/>
  <c r="AA227" i="18"/>
  <c r="Z227" i="18" s="1"/>
  <c r="Y227" i="18" s="1"/>
  <c r="G227" i="18"/>
  <c r="CA227" i="6" s="1"/>
  <c r="H227" i="18"/>
  <c r="AG383" i="18"/>
  <c r="AG381" i="18"/>
  <c r="P55" i="20"/>
  <c r="V55" i="20" s="1"/>
  <c r="B55" i="20" s="1"/>
  <c r="P244" i="20"/>
  <c r="V244" i="20" s="1"/>
  <c r="B244" i="20" s="1"/>
  <c r="P291" i="20"/>
  <c r="V291" i="20" s="1"/>
  <c r="B291" i="20" s="1"/>
  <c r="W291" i="20" s="1"/>
  <c r="AD61" i="20"/>
  <c r="AD98" i="20"/>
  <c r="AD30" i="20"/>
  <c r="AD79" i="20"/>
  <c r="AD44" i="20"/>
  <c r="AD41" i="20"/>
  <c r="AD19" i="20"/>
  <c r="AD65" i="20"/>
  <c r="AD26" i="20"/>
  <c r="AD78" i="20"/>
  <c r="AD74" i="20"/>
  <c r="AD29" i="20"/>
  <c r="AD87" i="20"/>
  <c r="AD62" i="20"/>
  <c r="AD38" i="20"/>
  <c r="AD71" i="20"/>
  <c r="AD100" i="20"/>
  <c r="AD33" i="20"/>
  <c r="AD27" i="20"/>
  <c r="AD56" i="20"/>
  <c r="G326" i="18"/>
  <c r="CA326" i="6" s="1"/>
  <c r="H326" i="18"/>
  <c r="AA326" i="18"/>
  <c r="Z326" i="18" s="1"/>
  <c r="Y326" i="18" s="1"/>
  <c r="J75" i="18"/>
  <c r="C75" i="6" s="1"/>
  <c r="I75" i="18"/>
  <c r="B75" i="6" s="1"/>
  <c r="BA75" i="6" s="1"/>
  <c r="G306" i="18"/>
  <c r="CA306" i="6" s="1"/>
  <c r="H306" i="18"/>
  <c r="AA306" i="18"/>
  <c r="Z306" i="18" s="1"/>
  <c r="Y306" i="18" s="1"/>
  <c r="F46" i="18"/>
  <c r="F196" i="18"/>
  <c r="F252" i="18"/>
  <c r="F74" i="18"/>
  <c r="J125" i="18"/>
  <c r="C125" i="6" s="1"/>
  <c r="I125" i="18"/>
  <c r="B125" i="6" s="1"/>
  <c r="BA125" i="6" s="1"/>
  <c r="I136" i="18"/>
  <c r="B136" i="6" s="1"/>
  <c r="BA136" i="6" s="1"/>
  <c r="J136" i="18"/>
  <c r="C136" i="6" s="1"/>
  <c r="AA335" i="18"/>
  <c r="Z335" i="18" s="1"/>
  <c r="Y335" i="18" s="1"/>
  <c r="H335" i="18"/>
  <c r="G335" i="18"/>
  <c r="CA335" i="6" s="1"/>
  <c r="H350" i="18"/>
  <c r="AA350" i="18"/>
  <c r="Z350" i="18" s="1"/>
  <c r="Y350" i="18" s="1"/>
  <c r="G350" i="18"/>
  <c r="CA350" i="6" s="1"/>
  <c r="J108" i="18"/>
  <c r="C108" i="6" s="1"/>
  <c r="I108" i="18"/>
  <c r="B108" i="6" s="1"/>
  <c r="BA108" i="6" s="1"/>
  <c r="F138" i="18"/>
  <c r="J57" i="18"/>
  <c r="C57" i="6" s="1"/>
  <c r="I57" i="18"/>
  <c r="B57" i="6" s="1"/>
  <c r="BA57" i="6" s="1"/>
  <c r="AA353" i="18"/>
  <c r="Z353" i="18" s="1"/>
  <c r="Y353" i="18" s="1"/>
  <c r="G353" i="18"/>
  <c r="CA353" i="6" s="1"/>
  <c r="H353" i="18"/>
  <c r="G366" i="18"/>
  <c r="CA366" i="6" s="1"/>
  <c r="AA366" i="18"/>
  <c r="Z366" i="18" s="1"/>
  <c r="Y366" i="18" s="1"/>
  <c r="H366" i="18"/>
  <c r="F59" i="18"/>
  <c r="D288" i="18"/>
  <c r="E288" i="18" s="1"/>
  <c r="F288" i="18" s="1"/>
  <c r="W288" i="18"/>
  <c r="G290" i="18"/>
  <c r="CA290" i="6" s="1"/>
  <c r="AA290" i="18"/>
  <c r="Z290" i="18" s="1"/>
  <c r="Y290" i="18" s="1"/>
  <c r="H290" i="18"/>
  <c r="H341" i="18"/>
  <c r="AA341" i="18"/>
  <c r="Z341" i="18" s="1"/>
  <c r="Y341" i="18" s="1"/>
  <c r="G341" i="18"/>
  <c r="CA341" i="6" s="1"/>
  <c r="H348" i="18"/>
  <c r="AA348" i="18"/>
  <c r="Z348" i="18" s="1"/>
  <c r="Y348" i="18" s="1"/>
  <c r="G348" i="18"/>
  <c r="CA348" i="6" s="1"/>
  <c r="H364" i="18"/>
  <c r="G364" i="18"/>
  <c r="CA364" i="6" s="1"/>
  <c r="AA364" i="18"/>
  <c r="Z364" i="18" s="1"/>
  <c r="Y364" i="18" s="1"/>
  <c r="G323" i="18"/>
  <c r="CA323" i="6" s="1"/>
  <c r="H323" i="18"/>
  <c r="AA323" i="18"/>
  <c r="Z323" i="18" s="1"/>
  <c r="Y323" i="18" s="1"/>
  <c r="H356" i="18"/>
  <c r="G356" i="18"/>
  <c r="CA356" i="6" s="1"/>
  <c r="AA356" i="18"/>
  <c r="Z356" i="18" s="1"/>
  <c r="Y356" i="18" s="1"/>
  <c r="AA318" i="18"/>
  <c r="Z318" i="18" s="1"/>
  <c r="Y318" i="18" s="1"/>
  <c r="H318" i="18"/>
  <c r="G318" i="18"/>
  <c r="CA318" i="6" s="1"/>
  <c r="E65" i="19"/>
  <c r="AA377" i="18"/>
  <c r="Z377" i="18" s="1"/>
  <c r="Y377" i="18" s="1"/>
  <c r="G377" i="18"/>
  <c r="CA377" i="6" s="1"/>
  <c r="H377" i="18"/>
  <c r="AA351" i="18"/>
  <c r="Z351" i="18" s="1"/>
  <c r="Y351" i="18" s="1"/>
  <c r="G351" i="18"/>
  <c r="CA351" i="6" s="1"/>
  <c r="H351" i="18"/>
  <c r="W349" i="18"/>
  <c r="D349" i="18"/>
  <c r="E349" i="18" s="1"/>
  <c r="F349" i="18" s="1"/>
  <c r="AA298" i="18"/>
  <c r="Z298" i="18" s="1"/>
  <c r="Y298" i="18" s="1"/>
  <c r="G298" i="18"/>
  <c r="CA298" i="6" s="1"/>
  <c r="H298" i="18"/>
  <c r="F269" i="18"/>
  <c r="AA362" i="18"/>
  <c r="Z362" i="18" s="1"/>
  <c r="Y362" i="18" s="1"/>
  <c r="F65" i="19"/>
  <c r="F95" i="18"/>
  <c r="AA299" i="18"/>
  <c r="Z299" i="18" s="1"/>
  <c r="Y299" i="18" s="1"/>
  <c r="H299" i="18"/>
  <c r="G299" i="18"/>
  <c r="CA299" i="6" s="1"/>
  <c r="J134" i="18"/>
  <c r="C134" i="6" s="1"/>
  <c r="I134" i="18"/>
  <c r="B134" i="6" s="1"/>
  <c r="BA134" i="6" s="1"/>
  <c r="G365" i="18"/>
  <c r="CA365" i="6" s="1"/>
  <c r="AA365" i="18"/>
  <c r="Z365" i="18" s="1"/>
  <c r="Y365" i="18" s="1"/>
  <c r="H365" i="18"/>
  <c r="G376" i="18"/>
  <c r="CA376" i="6" s="1"/>
  <c r="H376" i="18"/>
  <c r="AA376" i="18"/>
  <c r="Z376" i="18" s="1"/>
  <c r="Y376" i="18" s="1"/>
  <c r="H336" i="18"/>
  <c r="AA336" i="18"/>
  <c r="Z336" i="18" s="1"/>
  <c r="Y336" i="18" s="1"/>
  <c r="G336" i="18"/>
  <c r="CA336" i="6" s="1"/>
  <c r="I71" i="18"/>
  <c r="B71" i="6" s="1"/>
  <c r="BA71" i="6" s="1"/>
  <c r="J71" i="18"/>
  <c r="C71" i="6" s="1"/>
  <c r="AE237" i="22"/>
  <c r="AE346" i="22"/>
  <c r="AE88" i="22"/>
  <c r="AE195" i="22"/>
  <c r="AE308" i="22"/>
  <c r="AE54" i="22"/>
  <c r="AE169" i="22"/>
  <c r="AE276" i="22"/>
  <c r="AE20" i="22"/>
  <c r="AE127" i="22"/>
  <c r="AE242" i="22"/>
  <c r="AE357" i="22"/>
  <c r="AE101" i="22"/>
  <c r="AE208" i="22"/>
  <c r="AE315" i="22"/>
  <c r="AE59" i="22"/>
  <c r="AE176" i="22"/>
  <c r="AE273" i="22"/>
  <c r="AE19" i="22"/>
  <c r="AE122" i="22"/>
  <c r="AE231" i="22"/>
  <c r="AE344" i="22"/>
  <c r="AE90" i="22"/>
  <c r="AE189" i="22"/>
  <c r="AE298" i="22"/>
  <c r="AE40" i="22"/>
  <c r="AE147" i="22"/>
  <c r="AE260" i="22"/>
  <c r="AE377" i="22"/>
  <c r="AE121" i="22"/>
  <c r="AE228" i="22"/>
  <c r="AE335" i="22"/>
  <c r="AE79" i="22"/>
  <c r="AE196" i="22"/>
  <c r="AE309" i="22"/>
  <c r="AE53" i="22"/>
  <c r="AE158" i="22"/>
  <c r="AE141" i="22"/>
  <c r="AE250" i="22"/>
  <c r="AE355" i="22"/>
  <c r="AE99" i="22"/>
  <c r="AE214" i="22"/>
  <c r="AE329" i="22"/>
  <c r="AE73" i="22"/>
  <c r="AE178" i="22"/>
  <c r="AE287" i="22"/>
  <c r="AE31" i="22"/>
  <c r="AE148" i="22"/>
  <c r="AE261" i="22"/>
  <c r="AE370" i="22"/>
  <c r="AE112" i="22"/>
  <c r="AE219" i="22"/>
  <c r="AE332" i="22"/>
  <c r="AE78" i="22"/>
  <c r="AE177" i="22"/>
  <c r="AE284" i="22"/>
  <c r="AE28" i="22"/>
  <c r="AE135" i="22"/>
  <c r="AE248" i="22"/>
  <c r="AE379" i="22"/>
  <c r="AE157" i="22"/>
  <c r="AE264" i="22"/>
  <c r="AE371" i="22"/>
  <c r="AE115" i="22"/>
  <c r="AE230" i="22"/>
  <c r="AE345" i="22"/>
  <c r="AE89" i="22"/>
  <c r="AE194" i="22"/>
  <c r="AE303" i="22"/>
  <c r="AE47" i="22"/>
  <c r="AE164" i="22"/>
  <c r="AE277" i="22"/>
  <c r="AE21" i="22"/>
  <c r="AE126" i="22"/>
  <c r="AE235" i="22"/>
  <c r="AE348" i="22"/>
  <c r="AE94" i="22"/>
  <c r="AE193" i="22"/>
  <c r="AE302" i="22"/>
  <c r="AE44" i="22"/>
  <c r="AE151" i="22"/>
  <c r="AE266" i="22"/>
  <c r="AE267" i="22"/>
  <c r="AE334" i="22"/>
  <c r="AE42" i="22"/>
  <c r="AE75" i="22"/>
  <c r="AE289" i="22"/>
  <c r="AE138" i="22"/>
  <c r="AE360" i="22"/>
  <c r="AE139" i="22"/>
  <c r="AE202" i="22"/>
  <c r="AE301" i="22"/>
  <c r="AE45" i="22"/>
  <c r="AE150" i="22"/>
  <c r="AE259" i="22"/>
  <c r="AE372" i="22"/>
  <c r="AE120" i="22"/>
  <c r="AE233" i="22"/>
  <c r="AE342" i="22"/>
  <c r="AE84" i="22"/>
  <c r="AE191" i="22"/>
  <c r="AE304" i="22"/>
  <c r="AE50" i="22"/>
  <c r="AE165" i="22"/>
  <c r="AE272" i="22"/>
  <c r="AE17" i="22"/>
  <c r="AE123" i="22"/>
  <c r="AE238" i="22"/>
  <c r="AE337" i="22"/>
  <c r="AE81" i="22"/>
  <c r="AE186" i="22"/>
  <c r="AE295" i="22"/>
  <c r="AE39" i="22"/>
  <c r="AE156" i="22"/>
  <c r="AE253" i="22"/>
  <c r="AE362" i="22"/>
  <c r="AE104" i="22"/>
  <c r="AE211" i="22"/>
  <c r="AE324" i="22"/>
  <c r="AE70" i="22"/>
  <c r="AE185" i="22"/>
  <c r="AE292" i="22"/>
  <c r="AE36" i="22"/>
  <c r="AE143" i="22"/>
  <c r="AE256" i="22"/>
  <c r="AE373" i="22"/>
  <c r="AE117" i="22"/>
  <c r="AE224" i="22"/>
  <c r="AE205" i="22"/>
  <c r="AE314" i="22"/>
  <c r="AE56" i="22"/>
  <c r="AE163" i="22"/>
  <c r="AE278" i="22"/>
  <c r="AE22" i="22"/>
  <c r="AE137" i="22"/>
  <c r="AE244" i="22"/>
  <c r="AE351" i="22"/>
  <c r="AE95" i="22"/>
  <c r="AE210" i="22"/>
  <c r="AE325" i="22"/>
  <c r="AE69" i="22"/>
  <c r="AE174" i="22"/>
  <c r="AE283" i="22"/>
  <c r="AE27" i="22"/>
  <c r="AE144" i="22"/>
  <c r="AE241" i="22"/>
  <c r="AE350" i="22"/>
  <c r="AE92" i="22"/>
  <c r="AE199" i="22"/>
  <c r="AE312" i="22"/>
  <c r="AE58" i="22"/>
  <c r="AE221" i="22"/>
  <c r="AE330" i="22"/>
  <c r="AE72" i="22"/>
  <c r="AE179" i="22"/>
  <c r="AE294" i="22"/>
  <c r="AE38" i="22"/>
  <c r="AE153" i="22"/>
  <c r="AE262" i="22"/>
  <c r="AE367" i="22"/>
  <c r="AE111" i="22"/>
  <c r="AE226" i="22"/>
  <c r="AE341" i="22"/>
  <c r="AE85" i="22"/>
  <c r="AE190" i="22"/>
  <c r="AE299" i="22"/>
  <c r="AE43" i="22"/>
  <c r="AE160" i="22"/>
  <c r="AE257" i="22"/>
  <c r="AE366" i="22"/>
  <c r="AE108" i="22"/>
  <c r="AE215" i="22"/>
  <c r="AE328" i="22"/>
  <c r="AE74" i="22"/>
  <c r="AE225" i="22"/>
  <c r="AE296" i="22"/>
  <c r="AE203" i="22"/>
  <c r="AE62" i="22"/>
  <c r="AE268" i="22"/>
  <c r="AE119" i="22"/>
  <c r="AE32" i="22"/>
  <c r="AE97" i="22"/>
  <c r="AE172" i="22"/>
  <c r="AE365" i="22"/>
  <c r="AE109" i="22"/>
  <c r="AE216" i="22"/>
  <c r="AE323" i="22"/>
  <c r="AE67" i="22"/>
  <c r="AE184" i="22"/>
  <c r="AE297" i="22"/>
  <c r="AE41" i="22"/>
  <c r="AE146" i="22"/>
  <c r="AE255" i="22"/>
  <c r="AE368" i="22"/>
  <c r="AE114" i="22"/>
  <c r="AE229" i="22"/>
  <c r="AE338" i="22"/>
  <c r="AE80" i="22"/>
  <c r="AE187" i="22"/>
  <c r="AE300" i="22"/>
  <c r="AE46" i="22"/>
  <c r="AE145" i="22"/>
  <c r="AE254" i="22"/>
  <c r="AE359" i="22"/>
  <c r="AE103" i="22"/>
  <c r="AE218" i="22"/>
  <c r="AE317" i="22"/>
  <c r="AE61" i="22"/>
  <c r="AE166" i="22"/>
  <c r="AE275" i="22"/>
  <c r="AE15" i="22"/>
  <c r="AE136" i="22"/>
  <c r="AE249" i="22"/>
  <c r="AE358" i="22"/>
  <c r="AE100" i="22"/>
  <c r="AE207" i="22"/>
  <c r="AE320" i="22"/>
  <c r="AE66" i="22"/>
  <c r="AE181" i="22"/>
  <c r="AE288" i="22"/>
  <c r="AE269" i="22"/>
  <c r="AE378" i="22"/>
  <c r="AE118" i="22"/>
  <c r="AE227" i="22"/>
  <c r="AE340" i="22"/>
  <c r="AE86" i="22"/>
  <c r="AE201" i="22"/>
  <c r="AE310" i="22"/>
  <c r="AE52" i="22"/>
  <c r="AE159" i="22"/>
  <c r="AE274" i="22"/>
  <c r="AE16" i="22"/>
  <c r="AE133" i="22"/>
  <c r="AE240" i="22"/>
  <c r="AE347" i="22"/>
  <c r="AE91" i="22"/>
  <c r="AE206" i="22"/>
  <c r="AE305" i="22"/>
  <c r="AE49" i="22"/>
  <c r="AE154" i="22"/>
  <c r="AE263" i="22"/>
  <c r="AE376" i="22"/>
  <c r="AE124" i="22"/>
  <c r="AE285" i="22"/>
  <c r="AE29" i="22"/>
  <c r="AE134" i="22"/>
  <c r="AE243" i="22"/>
  <c r="AE356" i="22"/>
  <c r="AE102" i="22"/>
  <c r="AE217" i="22"/>
  <c r="AE326" i="22"/>
  <c r="AE68" i="22"/>
  <c r="AE175" i="22"/>
  <c r="AE290" i="22"/>
  <c r="AE34" i="22"/>
  <c r="AE149" i="22"/>
  <c r="AE258" i="22"/>
  <c r="AE363" i="22"/>
  <c r="AE107" i="22"/>
  <c r="AE222" i="22"/>
  <c r="AE321" i="22"/>
  <c r="AE65" i="22"/>
  <c r="AE170" i="22"/>
  <c r="AE279" i="22"/>
  <c r="AE23" i="22"/>
  <c r="AE140" i="22"/>
  <c r="AE128" i="22"/>
  <c r="AE183" i="22"/>
  <c r="AE331" i="22"/>
  <c r="AE192" i="22"/>
  <c r="AE33" i="22"/>
  <c r="AE247" i="22"/>
  <c r="AE106" i="22"/>
  <c r="AE353" i="22"/>
  <c r="AE55" i="22"/>
  <c r="AE173" i="22"/>
  <c r="AE280" i="22"/>
  <c r="AE24" i="22"/>
  <c r="AE131" i="22"/>
  <c r="AE246" i="22"/>
  <c r="AE361" i="22"/>
  <c r="AE105" i="22"/>
  <c r="AE212" i="22"/>
  <c r="AE319" i="22"/>
  <c r="AE63" i="22"/>
  <c r="AE180" i="22"/>
  <c r="AE293" i="22"/>
  <c r="AE37" i="22"/>
  <c r="AE142" i="22"/>
  <c r="AE251" i="22"/>
  <c r="AE364" i="22"/>
  <c r="AE110" i="22"/>
  <c r="AE209" i="22"/>
  <c r="AE318" i="22"/>
  <c r="AE60" i="22"/>
  <c r="AE167" i="22"/>
  <c r="AE282" i="22"/>
  <c r="AE26" i="22"/>
  <c r="AE125" i="22"/>
  <c r="AE232" i="22"/>
  <c r="AE339" i="22"/>
  <c r="AE83" i="22"/>
  <c r="AE200" i="22"/>
  <c r="AE313" i="22"/>
  <c r="AE57" i="22"/>
  <c r="AE162" i="22"/>
  <c r="AE271" i="22"/>
  <c r="AE18" i="22"/>
  <c r="AE132" i="22"/>
  <c r="AE245" i="22"/>
  <c r="AE354" i="22"/>
  <c r="AE333" i="22"/>
  <c r="AE77" i="22"/>
  <c r="AE182" i="22"/>
  <c r="AE291" i="22"/>
  <c r="AE35" i="22"/>
  <c r="AE152" i="22"/>
  <c r="AE265" i="22"/>
  <c r="AE374" i="22"/>
  <c r="AE116" i="22"/>
  <c r="AE223" i="22"/>
  <c r="AE336" i="22"/>
  <c r="AE82" i="22"/>
  <c r="AE197" i="22"/>
  <c r="AE306" i="22"/>
  <c r="AE48" i="22"/>
  <c r="AE155" i="22"/>
  <c r="AE270" i="22"/>
  <c r="AE369" i="22"/>
  <c r="AE113" i="22"/>
  <c r="AE220" i="22"/>
  <c r="AE327" i="22"/>
  <c r="AE71" i="22"/>
  <c r="AE188" i="22"/>
  <c r="AE349" i="22"/>
  <c r="AE93" i="22"/>
  <c r="AE198" i="22"/>
  <c r="AE307" i="22"/>
  <c r="AE51" i="22"/>
  <c r="AE168" i="22"/>
  <c r="AE281" i="22"/>
  <c r="AE25" i="22"/>
  <c r="AE130" i="22"/>
  <c r="AE239" i="22"/>
  <c r="AE352" i="22"/>
  <c r="AE98" i="22"/>
  <c r="AE213" i="22"/>
  <c r="AE322" i="22"/>
  <c r="AE64" i="22"/>
  <c r="AE171" i="22"/>
  <c r="AE286" i="22"/>
  <c r="AE30" i="22"/>
  <c r="AE129" i="22"/>
  <c r="AE236" i="22"/>
  <c r="AE343" i="22"/>
  <c r="AE87" i="22"/>
  <c r="AE204" i="22"/>
  <c r="AE380" i="22"/>
  <c r="AE76" i="22"/>
  <c r="AE96" i="22"/>
  <c r="AE316" i="22"/>
  <c r="AE161" i="22"/>
  <c r="AE375" i="22"/>
  <c r="AE234" i="22"/>
  <c r="AE252" i="22"/>
  <c r="AE311" i="22"/>
  <c r="Q55" i="22"/>
  <c r="Q19" i="22"/>
  <c r="Q187" i="22"/>
  <c r="Q336" i="22"/>
  <c r="Q81" i="22"/>
  <c r="Q126" i="22"/>
  <c r="Q268" i="22"/>
  <c r="Q215" i="22"/>
  <c r="Q318" i="22"/>
  <c r="AO15" i="7"/>
  <c r="Q169" i="22"/>
  <c r="Q298" i="22"/>
  <c r="Q51" i="22"/>
  <c r="Q177" i="22"/>
  <c r="Q290" i="22"/>
  <c r="Q32" i="22"/>
  <c r="Q190" i="22"/>
  <c r="Q361" i="22"/>
  <c r="Q143" i="22"/>
  <c r="Q106" i="22"/>
  <c r="Q332" i="22"/>
  <c r="Q211" i="22"/>
  <c r="Q85" i="22"/>
  <c r="Q264" i="22"/>
  <c r="Q279" i="22"/>
  <c r="Q16" i="22"/>
  <c r="Q196" i="22"/>
  <c r="Q45" i="22"/>
  <c r="Q335" i="22"/>
  <c r="Q140" i="22"/>
  <c r="Q305" i="22"/>
  <c r="Q162" i="22"/>
  <c r="Q91" i="22"/>
  <c r="Q347" i="22"/>
  <c r="Q158" i="22"/>
  <c r="Q137" i="22"/>
  <c r="Q368" i="22"/>
  <c r="Q112" i="22"/>
  <c r="Q175" i="22"/>
  <c r="Q330" i="22"/>
  <c r="Q62" i="22"/>
  <c r="Q205" i="22"/>
  <c r="Q300" i="22"/>
  <c r="Q83" i="22"/>
  <c r="Q243" i="22"/>
  <c r="Q262" i="22"/>
  <c r="Q53" i="22"/>
  <c r="Q273" i="22"/>
  <c r="Q232" i="22"/>
  <c r="Q18" i="22"/>
  <c r="Q311" i="22"/>
  <c r="Q194" i="22"/>
  <c r="Q84" i="22"/>
  <c r="Q341" i="22"/>
  <c r="Q164" i="22"/>
  <c r="Q59" i="22"/>
  <c r="Q276" i="22"/>
  <c r="Q229" i="22"/>
  <c r="Q17" i="22"/>
  <c r="Q306" i="22"/>
  <c r="Q199" i="22"/>
  <c r="Q88" i="22"/>
  <c r="Q344" i="22"/>
  <c r="Q161" i="22"/>
  <c r="Q118" i="22"/>
  <c r="Q374" i="22"/>
  <c r="Q131" i="22"/>
  <c r="Q156" i="22"/>
  <c r="Q349" i="22"/>
  <c r="Q93" i="22"/>
  <c r="Q186" i="22"/>
  <c r="Q319" i="22"/>
  <c r="Q40" i="22"/>
  <c r="Q224" i="22"/>
  <c r="Q281" i="22"/>
  <c r="Q61" i="22"/>
  <c r="Q270" i="22"/>
  <c r="Q235" i="22"/>
  <c r="Q26" i="22"/>
  <c r="Q308" i="22"/>
  <c r="Q197" i="22"/>
  <c r="Q78" i="22"/>
  <c r="Q338" i="22"/>
  <c r="Q167" i="22"/>
  <c r="Q120" i="22"/>
  <c r="Q376" i="22"/>
  <c r="Q129" i="22"/>
  <c r="Q150" i="22"/>
  <c r="Q355" i="22"/>
  <c r="Q99" i="22"/>
  <c r="Q188" i="22"/>
  <c r="Q317" i="22"/>
  <c r="Q36" i="22"/>
  <c r="Q218" i="22"/>
  <c r="Q287" i="22"/>
  <c r="Q39" i="22"/>
  <c r="Q256" i="22"/>
  <c r="Q249" i="22"/>
  <c r="Q24" i="22"/>
  <c r="Q302" i="22"/>
  <c r="Q203" i="22"/>
  <c r="Q271" i="22"/>
  <c r="Q25" i="22"/>
  <c r="Q204" i="22"/>
  <c r="Q339" i="22"/>
  <c r="Q113" i="22"/>
  <c r="Q136" i="22"/>
  <c r="Q354" i="22"/>
  <c r="Q181" i="22"/>
  <c r="Q50" i="22"/>
  <c r="Q297" i="22"/>
  <c r="Q170" i="22"/>
  <c r="Q147" i="22"/>
  <c r="Q200" i="22"/>
  <c r="Q117" i="22"/>
  <c r="Q155" i="22"/>
  <c r="Q350" i="22"/>
  <c r="Q94" i="22"/>
  <c r="Q201" i="22"/>
  <c r="Q304" i="22"/>
  <c r="Q20" i="22"/>
  <c r="Q239" i="22"/>
  <c r="Q266" i="22"/>
  <c r="Q57" i="22"/>
  <c r="Q269" i="22"/>
  <c r="Q236" i="22"/>
  <c r="Q15" i="22"/>
  <c r="Q307" i="22"/>
  <c r="Q198" i="22"/>
  <c r="Q76" i="22"/>
  <c r="Q337" i="22"/>
  <c r="Q168" i="22"/>
  <c r="Q119" i="22"/>
  <c r="Q375" i="22"/>
  <c r="Q130" i="22"/>
  <c r="Q149" i="22"/>
  <c r="Q356" i="22"/>
  <c r="Q100" i="22"/>
  <c r="Q82" i="22"/>
  <c r="Q340" i="22"/>
  <c r="Q165" i="22"/>
  <c r="Q114" i="22"/>
  <c r="Q370" i="22"/>
  <c r="Q135" i="22"/>
  <c r="Q152" i="22"/>
  <c r="Q353" i="22"/>
  <c r="Q97" i="22"/>
  <c r="Q182" i="22"/>
  <c r="Q323" i="22"/>
  <c r="Q48" i="22"/>
  <c r="Q220" i="22"/>
  <c r="Q285" i="22"/>
  <c r="Q41" i="22"/>
  <c r="Q250" i="22"/>
  <c r="Q255" i="22"/>
  <c r="Q71" i="22"/>
  <c r="Q288" i="22"/>
  <c r="Q217" i="22"/>
  <c r="Q70" i="22"/>
  <c r="Q334" i="22"/>
  <c r="Q171" i="22"/>
  <c r="Q116" i="22"/>
  <c r="Q372" i="22"/>
  <c r="Q133" i="22"/>
  <c r="Q146" i="22"/>
  <c r="Q359" i="22"/>
  <c r="Q103" i="22"/>
  <c r="Q184" i="22"/>
  <c r="Q321" i="22"/>
  <c r="Q44" i="22"/>
  <c r="Q214" i="22"/>
  <c r="Q291" i="22"/>
  <c r="Q35" i="22"/>
  <c r="Q252" i="22"/>
  <c r="Q253" i="22"/>
  <c r="Q73" i="22"/>
  <c r="Q282" i="22"/>
  <c r="Q223" i="22"/>
  <c r="Q42" i="22"/>
  <c r="Q320" i="22"/>
  <c r="Q185" i="22"/>
  <c r="Q110" i="22"/>
  <c r="Q366" i="22"/>
  <c r="Q139" i="22"/>
  <c r="Q123" i="22"/>
  <c r="Q328" i="22"/>
  <c r="Q272" i="22"/>
  <c r="Q275" i="22"/>
  <c r="Q38" i="22"/>
  <c r="Q207" i="22"/>
  <c r="Q21" i="22"/>
  <c r="Q132" i="22"/>
  <c r="Q233" i="22"/>
  <c r="Q379" i="22"/>
  <c r="Q74" i="22"/>
  <c r="Q237" i="22"/>
  <c r="Q230" i="22"/>
  <c r="Q58" i="22"/>
  <c r="Q373" i="22"/>
  <c r="Q315" i="22"/>
  <c r="Q105" i="22"/>
  <c r="Q144" i="22"/>
  <c r="Q362" i="22"/>
  <c r="Q173" i="22"/>
  <c r="Q66" i="22"/>
  <c r="Q294" i="22"/>
  <c r="Q241" i="22"/>
  <c r="Q47" i="22"/>
  <c r="Q226" i="22"/>
  <c r="Q309" i="22"/>
  <c r="Q251" i="22"/>
  <c r="Q208" i="22"/>
  <c r="Q109" i="22"/>
  <c r="Q358" i="22"/>
  <c r="Q87" i="22"/>
  <c r="Q245" i="22"/>
  <c r="Q219" i="22"/>
  <c r="Q286" i="22"/>
  <c r="Q77" i="22"/>
  <c r="Q265" i="22"/>
  <c r="Q240" i="22"/>
  <c r="Q23" i="22"/>
  <c r="Q303" i="22"/>
  <c r="Q202" i="22"/>
  <c r="Q68" i="22"/>
  <c r="Q333" i="22"/>
  <c r="Q172" i="22"/>
  <c r="Q115" i="22"/>
  <c r="Q371" i="22"/>
  <c r="Q134" i="22"/>
  <c r="Q145" i="22"/>
  <c r="Q360" i="22"/>
  <c r="Q104" i="22"/>
  <c r="Q183" i="22"/>
  <c r="Q322" i="22"/>
  <c r="Q46" i="22"/>
  <c r="Q213" i="22"/>
  <c r="Q292" i="22"/>
  <c r="Q75" i="22"/>
  <c r="Q148" i="22"/>
  <c r="Q357" i="22"/>
  <c r="Q101" i="22"/>
  <c r="Q178" i="22"/>
  <c r="Q327" i="22"/>
  <c r="Q56" i="22"/>
  <c r="Q216" i="22"/>
  <c r="Q289" i="22"/>
  <c r="Q37" i="22"/>
  <c r="Q246" i="22"/>
  <c r="Q259" i="22"/>
  <c r="Q67" i="22"/>
  <c r="Q284" i="22"/>
  <c r="Q221" i="22"/>
  <c r="Q28" i="22"/>
  <c r="Q314" i="22"/>
  <c r="Q191" i="22"/>
  <c r="Q96" i="22"/>
  <c r="Q352" i="22"/>
  <c r="Q153" i="22"/>
  <c r="Q142" i="22"/>
  <c r="Q363" i="22"/>
  <c r="Q107" i="22"/>
  <c r="Q180" i="22"/>
  <c r="Q325" i="22"/>
  <c r="Q52" i="22"/>
  <c r="Q210" i="22"/>
  <c r="Q295" i="22"/>
  <c r="Q31" i="22"/>
  <c r="Q248" i="22"/>
  <c r="Q257" i="22"/>
  <c r="Q69" i="22"/>
  <c r="Q278" i="22"/>
  <c r="Q227" i="22"/>
  <c r="Q34" i="22"/>
  <c r="Q316" i="22"/>
  <c r="Q189" i="22"/>
  <c r="Q90" i="22"/>
  <c r="Q346" i="22"/>
  <c r="Q159" i="22"/>
  <c r="Q128" i="22"/>
  <c r="Q377" i="22"/>
  <c r="Q121" i="22"/>
  <c r="Q174" i="22"/>
  <c r="Q331" i="22"/>
  <c r="Q64" i="22"/>
  <c r="Q234" i="22"/>
  <c r="Q301" i="22"/>
  <c r="Q80" i="22"/>
  <c r="Q166" i="22"/>
  <c r="Q369" i="22"/>
  <c r="Q151" i="22"/>
  <c r="Q98" i="22"/>
  <c r="Q324" i="22"/>
  <c r="Q254" i="22"/>
  <c r="Q72" i="22"/>
  <c r="Q365" i="22"/>
  <c r="Q102" i="22"/>
  <c r="Q343" i="22"/>
  <c r="Q260" i="22"/>
  <c r="Q283" i="22"/>
  <c r="Q222" i="22"/>
  <c r="Q60" i="22"/>
  <c r="Q329" i="22"/>
  <c r="Q176" i="22"/>
  <c r="Q111" i="22"/>
  <c r="Q367" i="22"/>
  <c r="Q138" i="22"/>
  <c r="Q141" i="22"/>
  <c r="Q364" i="22"/>
  <c r="Q108" i="22"/>
  <c r="Q179" i="22"/>
  <c r="Q326" i="22"/>
  <c r="Q54" i="22"/>
  <c r="Q209" i="22"/>
  <c r="Q296" i="22"/>
  <c r="Q79" i="22"/>
  <c r="Q247" i="22"/>
  <c r="Q258" i="22"/>
  <c r="Q49" i="22"/>
  <c r="Q277" i="22"/>
  <c r="Q228" i="22"/>
  <c r="Q27" i="22"/>
  <c r="Q212" i="22"/>
  <c r="Q293" i="22"/>
  <c r="Q33" i="22"/>
  <c r="Q242" i="22"/>
  <c r="Q263" i="22"/>
  <c r="Q63" i="22"/>
  <c r="Q280" i="22"/>
  <c r="Q225" i="22"/>
  <c r="Q22" i="22"/>
  <c r="Q310" i="22"/>
  <c r="Q195" i="22"/>
  <c r="Q92" i="22"/>
  <c r="Q348" i="22"/>
  <c r="Q157" i="22"/>
  <c r="Q122" i="22"/>
  <c r="Q378" i="22"/>
  <c r="Q127" i="22"/>
  <c r="Q160" i="22"/>
  <c r="Q345" i="22"/>
  <c r="Q89" i="22"/>
  <c r="Q206" i="22"/>
  <c r="Q299" i="22"/>
  <c r="Q43" i="22"/>
  <c r="Q244" i="22"/>
  <c r="Q261" i="22"/>
  <c r="Q65" i="22"/>
  <c r="Q274" i="22"/>
  <c r="Q231" i="22"/>
  <c r="Q30" i="22"/>
  <c r="Q312" i="22"/>
  <c r="Q193" i="22"/>
  <c r="Q86" i="22"/>
  <c r="Q342" i="22"/>
  <c r="Q163" i="22"/>
  <c r="Q124" i="22"/>
  <c r="Q380" i="22"/>
  <c r="Q125" i="22"/>
  <c r="Q154" i="22"/>
  <c r="Q351" i="22"/>
  <c r="Q95" i="22"/>
  <c r="Q192" i="22"/>
  <c r="Q313" i="22"/>
  <c r="Q29" i="22"/>
  <c r="Q238" i="22"/>
  <c r="Q267" i="22"/>
  <c r="E15" i="18"/>
  <c r="AD51" i="20" l="1"/>
  <c r="AD90" i="20"/>
  <c r="AD70" i="20"/>
  <c r="AD32" i="20"/>
  <c r="P62" i="20"/>
  <c r="V62" i="20" s="1"/>
  <c r="B62" i="20" s="1"/>
  <c r="P184" i="20"/>
  <c r="V184" i="20" s="1"/>
  <c r="B184" i="20" s="1"/>
  <c r="D184" i="20" s="1"/>
  <c r="E184" i="20" s="1"/>
  <c r="F184" i="20" s="1"/>
  <c r="G184" i="20" s="1"/>
  <c r="CB184" i="6" s="1"/>
  <c r="AD95" i="20"/>
  <c r="AD101" i="20"/>
  <c r="AD84" i="20"/>
  <c r="F379" i="18"/>
  <c r="G379" i="18" s="1"/>
  <c r="CA379" i="6" s="1"/>
  <c r="AD57" i="20"/>
  <c r="AD28" i="20"/>
  <c r="AD73" i="20"/>
  <c r="AD18" i="20"/>
  <c r="AD54" i="20"/>
  <c r="AD99" i="20"/>
  <c r="AD39" i="20"/>
  <c r="AD66" i="20"/>
  <c r="AD46" i="20"/>
  <c r="I362" i="18"/>
  <c r="B362" i="6" s="1"/>
  <c r="BA362" i="6" s="1"/>
  <c r="AD93" i="20"/>
  <c r="AD35" i="20"/>
  <c r="AD80" i="20"/>
  <c r="U12" i="22"/>
  <c r="AD97" i="20"/>
  <c r="U382" i="20"/>
  <c r="U381" i="20"/>
  <c r="AD25" i="20"/>
  <c r="H65" i="18"/>
  <c r="I65" i="18" s="1"/>
  <c r="B65" i="6" s="1"/>
  <c r="BA65" i="6" s="1"/>
  <c r="F13" i="19"/>
  <c r="H47" i="18"/>
  <c r="J47" i="18" s="1"/>
  <c r="C47" i="6" s="1"/>
  <c r="AJ7" i="18"/>
  <c r="P100" i="20"/>
  <c r="V100" i="20" s="1"/>
  <c r="B100" i="20" s="1"/>
  <c r="D100" i="20" s="1"/>
  <c r="E100" i="20" s="1"/>
  <c r="F100" i="20" s="1"/>
  <c r="AJ9" i="18"/>
  <c r="AJ11" i="18" s="1"/>
  <c r="P245" i="20"/>
  <c r="V245" i="20" s="1"/>
  <c r="B245" i="20" s="1"/>
  <c r="D245" i="20" s="1"/>
  <c r="E245" i="20" s="1"/>
  <c r="F245" i="20" s="1"/>
  <c r="AH16" i="7"/>
  <c r="AN11" i="7" s="1"/>
  <c r="U11" i="22" s="1"/>
  <c r="U10" i="22" s="1"/>
  <c r="AD36" i="20"/>
  <c r="P84" i="20"/>
  <c r="V84" i="20" s="1"/>
  <c r="B84" i="20" s="1"/>
  <c r="W84" i="20" s="1"/>
  <c r="AD94" i="20"/>
  <c r="P252" i="20"/>
  <c r="V252" i="20" s="1"/>
  <c r="B252" i="20" s="1"/>
  <c r="D252" i="20" s="1"/>
  <c r="E252" i="20" s="1"/>
  <c r="F252" i="20" s="1"/>
  <c r="AD59" i="20"/>
  <c r="AD50" i="20"/>
  <c r="AD91" i="20"/>
  <c r="AD67" i="20"/>
  <c r="AD86" i="20"/>
  <c r="U383" i="20"/>
  <c r="AD47" i="20"/>
  <c r="AD64" i="20"/>
  <c r="AD49" i="20"/>
  <c r="AD81" i="20"/>
  <c r="AD20" i="20"/>
  <c r="AD63" i="20"/>
  <c r="P94" i="20"/>
  <c r="V94" i="20" s="1"/>
  <c r="B94" i="20" s="1"/>
  <c r="I180" i="18"/>
  <c r="B180" i="6" s="1"/>
  <c r="BA180" i="6" s="1"/>
  <c r="B383" i="18"/>
  <c r="B381" i="18"/>
  <c r="M65" i="19"/>
  <c r="G43" i="18"/>
  <c r="CA43" i="6" s="1"/>
  <c r="W379" i="18"/>
  <c r="I88" i="18"/>
  <c r="B88" i="6" s="1"/>
  <c r="BA88" i="6" s="1"/>
  <c r="G132" i="18"/>
  <c r="CA132" i="6" s="1"/>
  <c r="AA62" i="18"/>
  <c r="Z62" i="18" s="1"/>
  <c r="Y62" i="18" s="1"/>
  <c r="H24" i="18"/>
  <c r="I24" i="18" s="1"/>
  <c r="B24" i="6" s="1"/>
  <c r="BA24" i="6" s="1"/>
  <c r="AA275" i="18"/>
  <c r="Z275" i="18" s="1"/>
  <c r="Y275" i="18" s="1"/>
  <c r="AA177" i="18"/>
  <c r="Z177" i="18" s="1"/>
  <c r="Y177" i="18" s="1"/>
  <c r="G77" i="18"/>
  <c r="CA77" i="6" s="1"/>
  <c r="AA47" i="18"/>
  <c r="Z47" i="18" s="1"/>
  <c r="Y47" i="18" s="1"/>
  <c r="G53" i="18"/>
  <c r="CA53" i="6" s="1"/>
  <c r="H77" i="18"/>
  <c r="I77" i="18" s="1"/>
  <c r="B77" i="6" s="1"/>
  <c r="BA77" i="6" s="1"/>
  <c r="H53" i="18"/>
  <c r="J53" i="18" s="1"/>
  <c r="C53" i="6" s="1"/>
  <c r="D291" i="20"/>
  <c r="E291" i="20" s="1"/>
  <c r="F291" i="20" s="1"/>
  <c r="G291" i="20" s="1"/>
  <c r="CB291" i="6" s="1"/>
  <c r="H257" i="18"/>
  <c r="I257" i="18" s="1"/>
  <c r="B257" i="6" s="1"/>
  <c r="BA257" i="6" s="1"/>
  <c r="AK6" i="18"/>
  <c r="W184" i="20"/>
  <c r="I119" i="18"/>
  <c r="B119" i="6" s="1"/>
  <c r="BA119" i="6" s="1"/>
  <c r="W83" i="20"/>
  <c r="W204" i="20"/>
  <c r="AA159" i="18"/>
  <c r="Z159" i="18" s="1"/>
  <c r="Y159" i="18" s="1"/>
  <c r="H266" i="18"/>
  <c r="J266" i="18" s="1"/>
  <c r="C266" i="6" s="1"/>
  <c r="AA165" i="18"/>
  <c r="Z165" i="18" s="1"/>
  <c r="Y165" i="18" s="1"/>
  <c r="G61" i="18"/>
  <c r="CA61" i="6" s="1"/>
  <c r="G65" i="18"/>
  <c r="CA65" i="6" s="1"/>
  <c r="AA153" i="18"/>
  <c r="Z153" i="18" s="1"/>
  <c r="Y153" i="18" s="1"/>
  <c r="G107" i="18"/>
  <c r="CA107" i="6" s="1"/>
  <c r="AA43" i="18"/>
  <c r="Z43" i="18" s="1"/>
  <c r="Y43" i="18" s="1"/>
  <c r="AI349" i="20"/>
  <c r="AH349" i="20" s="1"/>
  <c r="AI278" i="20"/>
  <c r="AH278" i="20" s="1"/>
  <c r="AI195" i="20"/>
  <c r="AH195" i="20" s="1"/>
  <c r="AI337" i="20"/>
  <c r="AH337" i="20" s="1"/>
  <c r="AI268" i="20"/>
  <c r="AH268" i="20" s="1"/>
  <c r="AI190" i="20"/>
  <c r="AH190" i="20" s="1"/>
  <c r="AI360" i="20"/>
  <c r="AH360" i="20" s="1"/>
  <c r="AI249" i="20"/>
  <c r="AH249" i="20" s="1"/>
  <c r="AI374" i="20"/>
  <c r="AH374" i="20" s="1"/>
  <c r="AI166" i="20"/>
  <c r="AH166" i="20" s="1"/>
  <c r="AI238" i="20"/>
  <c r="AH238" i="20" s="1"/>
  <c r="AI247" i="20"/>
  <c r="AH247" i="20" s="1"/>
  <c r="AI326" i="20"/>
  <c r="AH326" i="20" s="1"/>
  <c r="AI263" i="20"/>
  <c r="AH263" i="20" s="1"/>
  <c r="AI239" i="20"/>
  <c r="AH239" i="20" s="1"/>
  <c r="AI160" i="20"/>
  <c r="AH160" i="20" s="1"/>
  <c r="AI321" i="20"/>
  <c r="AH321" i="20" s="1"/>
  <c r="AI136" i="20"/>
  <c r="AH136" i="20" s="1"/>
  <c r="AI353" i="20"/>
  <c r="AH353" i="20" s="1"/>
  <c r="AI273" i="20"/>
  <c r="AH273" i="20" s="1"/>
  <c r="AI236" i="20"/>
  <c r="AH236" i="20" s="1"/>
  <c r="AI174" i="20"/>
  <c r="AH174" i="20" s="1"/>
  <c r="AI296" i="20"/>
  <c r="AH296" i="20" s="1"/>
  <c r="AI105" i="20"/>
  <c r="AH105" i="20" s="1"/>
  <c r="AI284" i="20"/>
  <c r="AH284" i="20" s="1"/>
  <c r="AI228" i="20"/>
  <c r="AH228" i="20" s="1"/>
  <c r="AI167" i="20"/>
  <c r="AH167" i="20" s="1"/>
  <c r="AI260" i="20"/>
  <c r="AH260" i="20" s="1"/>
  <c r="AI181" i="20"/>
  <c r="AH181" i="20" s="1"/>
  <c r="AI141" i="20"/>
  <c r="AH141" i="20" s="1"/>
  <c r="AI371" i="20"/>
  <c r="AH371" i="20" s="1"/>
  <c r="AI126" i="20"/>
  <c r="AH126" i="20" s="1"/>
  <c r="AI218" i="20"/>
  <c r="AH218" i="20" s="1"/>
  <c r="AI300" i="20"/>
  <c r="AH300" i="20" s="1"/>
  <c r="AI199" i="20"/>
  <c r="AH199" i="20" s="1"/>
  <c r="AI272" i="20"/>
  <c r="AH272" i="20" s="1"/>
  <c r="AI332" i="20"/>
  <c r="AH332" i="20" s="1"/>
  <c r="AI110" i="20"/>
  <c r="AH110" i="20" s="1"/>
  <c r="AI311" i="20"/>
  <c r="AH311" i="20" s="1"/>
  <c r="AI232" i="20"/>
  <c r="AH232" i="20" s="1"/>
  <c r="AI378" i="20"/>
  <c r="AH378" i="20" s="1"/>
  <c r="AI220" i="20"/>
  <c r="AH220" i="20" s="1"/>
  <c r="AI373" i="20"/>
  <c r="AH373" i="20" s="1"/>
  <c r="AI269" i="20"/>
  <c r="AH269" i="20" s="1"/>
  <c r="AI368" i="20"/>
  <c r="AH368" i="20" s="1"/>
  <c r="AI207" i="20"/>
  <c r="AH207" i="20" s="1"/>
  <c r="AI299" i="20"/>
  <c r="AH299" i="20" s="1"/>
  <c r="AI157" i="20"/>
  <c r="AH157" i="20" s="1"/>
  <c r="AI147" i="20"/>
  <c r="AH147" i="20" s="1"/>
  <c r="AI210" i="20"/>
  <c r="AH210" i="20" s="1"/>
  <c r="AI231" i="20"/>
  <c r="AH231" i="20" s="1"/>
  <c r="AI327" i="20"/>
  <c r="AH327" i="20" s="1"/>
  <c r="AI176" i="20"/>
  <c r="AH176" i="20" s="1"/>
  <c r="AI234" i="20"/>
  <c r="AH234" i="20" s="1"/>
  <c r="AI156" i="20"/>
  <c r="AH156" i="20" s="1"/>
  <c r="AI357" i="20"/>
  <c r="AH357" i="20" s="1"/>
  <c r="AI237" i="20"/>
  <c r="AH237" i="20" s="1"/>
  <c r="AI352" i="20"/>
  <c r="AH352" i="20" s="1"/>
  <c r="AI282" i="20"/>
  <c r="AH282" i="20" s="1"/>
  <c r="AI225" i="20"/>
  <c r="AH225" i="20" s="1"/>
  <c r="AI281" i="20"/>
  <c r="AH281" i="20" s="1"/>
  <c r="AI177" i="20"/>
  <c r="AH177" i="20" s="1"/>
  <c r="AI149" i="20"/>
  <c r="AH149" i="20" s="1"/>
  <c r="AI306" i="20"/>
  <c r="AH306" i="20" s="1"/>
  <c r="AI172" i="20"/>
  <c r="AH172" i="20" s="1"/>
  <c r="AI213" i="20"/>
  <c r="AH213" i="20" s="1"/>
  <c r="AI205" i="20"/>
  <c r="AH205" i="20" s="1"/>
  <c r="AI339" i="20"/>
  <c r="AH339" i="20" s="1"/>
  <c r="AI193" i="20"/>
  <c r="AH193" i="20" s="1"/>
  <c r="AI134" i="20"/>
  <c r="AH134" i="20" s="1"/>
  <c r="AI165" i="20"/>
  <c r="AH165" i="20" s="1"/>
  <c r="AI370" i="20"/>
  <c r="AH370" i="20" s="1"/>
  <c r="AI118" i="20"/>
  <c r="AH118" i="20" s="1"/>
  <c r="AI366" i="20"/>
  <c r="AH366" i="20" s="1"/>
  <c r="AI280" i="20"/>
  <c r="AH280" i="20" s="1"/>
  <c r="AI168" i="20"/>
  <c r="AH168" i="20" s="1"/>
  <c r="AI362" i="20"/>
  <c r="AH362" i="20" s="1"/>
  <c r="AI201" i="20"/>
  <c r="AH201" i="20" s="1"/>
  <c r="AI305" i="20"/>
  <c r="AH305" i="20" s="1"/>
  <c r="AI122" i="20"/>
  <c r="AH122" i="20" s="1"/>
  <c r="AI196" i="20"/>
  <c r="AH196" i="20" s="1"/>
  <c r="AI130" i="20"/>
  <c r="AH130" i="20" s="1"/>
  <c r="AI117" i="20"/>
  <c r="AH117" i="20" s="1"/>
  <c r="AI191" i="20"/>
  <c r="AH191" i="20" s="1"/>
  <c r="AI120" i="20"/>
  <c r="AH120" i="20" s="1"/>
  <c r="AI112" i="20"/>
  <c r="AH112" i="20" s="1"/>
  <c r="AI178" i="20"/>
  <c r="AH178" i="20" s="1"/>
  <c r="AI243" i="20"/>
  <c r="AH243" i="20" s="1"/>
  <c r="AI364" i="20"/>
  <c r="AH364" i="20" s="1"/>
  <c r="AI338" i="20"/>
  <c r="AH338" i="20" s="1"/>
  <c r="AI297" i="20"/>
  <c r="AH297" i="20" s="1"/>
  <c r="AI346" i="20"/>
  <c r="AH346" i="20" s="1"/>
  <c r="AI348" i="20"/>
  <c r="AH348" i="20" s="1"/>
  <c r="AI372" i="20"/>
  <c r="AH372" i="20" s="1"/>
  <c r="AI293" i="20"/>
  <c r="AH293" i="20" s="1"/>
  <c r="AI216" i="20"/>
  <c r="AH216" i="20" s="1"/>
  <c r="AI221" i="20"/>
  <c r="AH221" i="20" s="1"/>
  <c r="AI341" i="20"/>
  <c r="AH341" i="20" s="1"/>
  <c r="AI180" i="20"/>
  <c r="AH180" i="20" s="1"/>
  <c r="AI175" i="20"/>
  <c r="AH175" i="20" s="1"/>
  <c r="AI328" i="20"/>
  <c r="AH328" i="20" s="1"/>
  <c r="AI137" i="20"/>
  <c r="AH137" i="20" s="1"/>
  <c r="AI258" i="20"/>
  <c r="AH258" i="20" s="1"/>
  <c r="AI255" i="20"/>
  <c r="AH255" i="20" s="1"/>
  <c r="AI304" i="20"/>
  <c r="AH304" i="20" s="1"/>
  <c r="AI267" i="20"/>
  <c r="AH267" i="20" s="1"/>
  <c r="AI242" i="20"/>
  <c r="AH242" i="20" s="1"/>
  <c r="AI259" i="20"/>
  <c r="AH259" i="20" s="1"/>
  <c r="AI140" i="20"/>
  <c r="AH140" i="20" s="1"/>
  <c r="AI104" i="20"/>
  <c r="AI185" i="20"/>
  <c r="AH185" i="20" s="1"/>
  <c r="AI206" i="20"/>
  <c r="AH206" i="20" s="1"/>
  <c r="AI351" i="20"/>
  <c r="AH351" i="20" s="1"/>
  <c r="AI331" i="20"/>
  <c r="AH331" i="20" s="1"/>
  <c r="AI163" i="20"/>
  <c r="AH163" i="20" s="1"/>
  <c r="AI202" i="20"/>
  <c r="AH202" i="20" s="1"/>
  <c r="AI173" i="20"/>
  <c r="AH173" i="20" s="1"/>
  <c r="AI320" i="20"/>
  <c r="AH320" i="20" s="1"/>
  <c r="AI159" i="20"/>
  <c r="AH159" i="20" s="1"/>
  <c r="AI264" i="20"/>
  <c r="AH264" i="20" s="1"/>
  <c r="AI252" i="20"/>
  <c r="AH252" i="20" s="1"/>
  <c r="AI301" i="20"/>
  <c r="AH301" i="20" s="1"/>
  <c r="AI182" i="20"/>
  <c r="AH182" i="20" s="1"/>
  <c r="AI145" i="20"/>
  <c r="AH145" i="20" s="1"/>
  <c r="AI270" i="20"/>
  <c r="AH270" i="20" s="1"/>
  <c r="AI183" i="20"/>
  <c r="AH183" i="20" s="1"/>
  <c r="AI125" i="20"/>
  <c r="AH125" i="20" s="1"/>
  <c r="AI153" i="20"/>
  <c r="AH153" i="20" s="1"/>
  <c r="AI309" i="20"/>
  <c r="AH309" i="20" s="1"/>
  <c r="AI248" i="20"/>
  <c r="AH248" i="20" s="1"/>
  <c r="AI143" i="20"/>
  <c r="AH143" i="20" s="1"/>
  <c r="AI139" i="20"/>
  <c r="AH139" i="20" s="1"/>
  <c r="AI307" i="20"/>
  <c r="AH307" i="20" s="1"/>
  <c r="AI200" i="20"/>
  <c r="AH200" i="20" s="1"/>
  <c r="AI188" i="20"/>
  <c r="AH188" i="20" s="1"/>
  <c r="AI375" i="20"/>
  <c r="AH375" i="20" s="1"/>
  <c r="AI361" i="20"/>
  <c r="AH361" i="20" s="1"/>
  <c r="AI162" i="20"/>
  <c r="AH162" i="20" s="1"/>
  <c r="AI121" i="20"/>
  <c r="AH121" i="20" s="1"/>
  <c r="AI274" i="20"/>
  <c r="AH274" i="20" s="1"/>
  <c r="AI330" i="20"/>
  <c r="AH330" i="20" s="1"/>
  <c r="AI164" i="20"/>
  <c r="AH164" i="20" s="1"/>
  <c r="AI333" i="20"/>
  <c r="AH333" i="20" s="1"/>
  <c r="AI275" i="20"/>
  <c r="AH275" i="20" s="1"/>
  <c r="AI322" i="20"/>
  <c r="AH322" i="20" s="1"/>
  <c r="AI336" i="20"/>
  <c r="AH336" i="20" s="1"/>
  <c r="AI203" i="20"/>
  <c r="AH203" i="20" s="1"/>
  <c r="AI187" i="20"/>
  <c r="AH187" i="20" s="1"/>
  <c r="AI334" i="20"/>
  <c r="AH334" i="20" s="1"/>
  <c r="AI244" i="20"/>
  <c r="AH244" i="20" s="1"/>
  <c r="AI109" i="20"/>
  <c r="AH109" i="20" s="1"/>
  <c r="AI315" i="20"/>
  <c r="AH315" i="20" s="1"/>
  <c r="AI295" i="20"/>
  <c r="AH295" i="20" s="1"/>
  <c r="AI292" i="20"/>
  <c r="AH292" i="20" s="1"/>
  <c r="AI192" i="20"/>
  <c r="AH192" i="20" s="1"/>
  <c r="AI171" i="20"/>
  <c r="AH171" i="20" s="1"/>
  <c r="AI123" i="20"/>
  <c r="AH123" i="20" s="1"/>
  <c r="AI318" i="20"/>
  <c r="AH318" i="20" s="1"/>
  <c r="AI151" i="20"/>
  <c r="AH151" i="20" s="1"/>
  <c r="AI152" i="20"/>
  <c r="AH152" i="20" s="1"/>
  <c r="AI323" i="20"/>
  <c r="AH323" i="20" s="1"/>
  <c r="AI146" i="20"/>
  <c r="AH146" i="20" s="1"/>
  <c r="AI198" i="20"/>
  <c r="AH198" i="20" s="1"/>
  <c r="AI276" i="20"/>
  <c r="AH276" i="20" s="1"/>
  <c r="AI246" i="20"/>
  <c r="AH246" i="20" s="1"/>
  <c r="AI302" i="20"/>
  <c r="AH302" i="20" s="1"/>
  <c r="AI119" i="20"/>
  <c r="AH119" i="20" s="1"/>
  <c r="AI356" i="20"/>
  <c r="AH356" i="20" s="1"/>
  <c r="AI347" i="20"/>
  <c r="AH347" i="20" s="1"/>
  <c r="AI271" i="20"/>
  <c r="AH271" i="20" s="1"/>
  <c r="AI184" i="20"/>
  <c r="AH184" i="20" s="1"/>
  <c r="AI209" i="20"/>
  <c r="AH209" i="20" s="1"/>
  <c r="AI158" i="20"/>
  <c r="AH158" i="20" s="1"/>
  <c r="AI369" i="20"/>
  <c r="AH369" i="20" s="1"/>
  <c r="AI212" i="20"/>
  <c r="AH212" i="20" s="1"/>
  <c r="AI251" i="20"/>
  <c r="AH251" i="20" s="1"/>
  <c r="AI358" i="20"/>
  <c r="AH358" i="20" s="1"/>
  <c r="AI286" i="20"/>
  <c r="AH286" i="20" s="1"/>
  <c r="AI343" i="20"/>
  <c r="AH343" i="20" s="1"/>
  <c r="AI155" i="20"/>
  <c r="AH155" i="20" s="1"/>
  <c r="AI340" i="20"/>
  <c r="AH340" i="20" s="1"/>
  <c r="AI261" i="20"/>
  <c r="AH261" i="20" s="1"/>
  <c r="AI170" i="20"/>
  <c r="AH170" i="20" s="1"/>
  <c r="AI367" i="20"/>
  <c r="AH367" i="20" s="1"/>
  <c r="AI363" i="20"/>
  <c r="AH363" i="20" s="1"/>
  <c r="AI115" i="20"/>
  <c r="AH115" i="20" s="1"/>
  <c r="AI189" i="20"/>
  <c r="AH189" i="20" s="1"/>
  <c r="AI325" i="20"/>
  <c r="AH325" i="20" s="1"/>
  <c r="AI324" i="20"/>
  <c r="AH324" i="20" s="1"/>
  <c r="AI245" i="20"/>
  <c r="AH245" i="20" s="1"/>
  <c r="AI376" i="20"/>
  <c r="AH376" i="20" s="1"/>
  <c r="AI150" i="20"/>
  <c r="AH150" i="20" s="1"/>
  <c r="AI254" i="20"/>
  <c r="AH254" i="20" s="1"/>
  <c r="AI283" i="20"/>
  <c r="AH283" i="20" s="1"/>
  <c r="AI186" i="20"/>
  <c r="AH186" i="20" s="1"/>
  <c r="AI127" i="20"/>
  <c r="AH127" i="20" s="1"/>
  <c r="AI133" i="20"/>
  <c r="AH133" i="20" s="1"/>
  <c r="AI111" i="20"/>
  <c r="AH111" i="20" s="1"/>
  <c r="AI116" i="20"/>
  <c r="AH116" i="20" s="1"/>
  <c r="AI106" i="20"/>
  <c r="AH106" i="20" s="1"/>
  <c r="AI354" i="20"/>
  <c r="AH354" i="20" s="1"/>
  <c r="AI303" i="20"/>
  <c r="AH303" i="20" s="1"/>
  <c r="AI224" i="20"/>
  <c r="AH224" i="20" s="1"/>
  <c r="AI342" i="20"/>
  <c r="AH342" i="20" s="1"/>
  <c r="AI316" i="20"/>
  <c r="AH316" i="20" s="1"/>
  <c r="AI314" i="20"/>
  <c r="AH314" i="20" s="1"/>
  <c r="AI148" i="20"/>
  <c r="AH148" i="20" s="1"/>
  <c r="AI144" i="20"/>
  <c r="AH144" i="20" s="1"/>
  <c r="AI359" i="20"/>
  <c r="AH359" i="20" s="1"/>
  <c r="AI287" i="20"/>
  <c r="AH287" i="20" s="1"/>
  <c r="AI208" i="20"/>
  <c r="AH208" i="20" s="1"/>
  <c r="AI310" i="20"/>
  <c r="AH310" i="20" s="1"/>
  <c r="AI219" i="20"/>
  <c r="AH219" i="20" s="1"/>
  <c r="AI350" i="20"/>
  <c r="AH350" i="20" s="1"/>
  <c r="AI161" i="20"/>
  <c r="AH161" i="20" s="1"/>
  <c r="AI377" i="20"/>
  <c r="AH377" i="20" s="1"/>
  <c r="AI131" i="20"/>
  <c r="AH131" i="20" s="1"/>
  <c r="AI253" i="20"/>
  <c r="AH253" i="20" s="1"/>
  <c r="AI298" i="20"/>
  <c r="AH298" i="20" s="1"/>
  <c r="AI132" i="20"/>
  <c r="AH132" i="20" s="1"/>
  <c r="AI107" i="20"/>
  <c r="AH107" i="20" s="1"/>
  <c r="AI335" i="20"/>
  <c r="AH335" i="20" s="1"/>
  <c r="AI108" i="20"/>
  <c r="AH108" i="20" s="1"/>
  <c r="AI285" i="20"/>
  <c r="AH285" i="20" s="1"/>
  <c r="AI179" i="20"/>
  <c r="AH179" i="20" s="1"/>
  <c r="AI129" i="20"/>
  <c r="AH129" i="20" s="1"/>
  <c r="AI233" i="20"/>
  <c r="AH233" i="20" s="1"/>
  <c r="AI154" i="20"/>
  <c r="AH154" i="20" s="1"/>
  <c r="AI290" i="20"/>
  <c r="AH290" i="20" s="1"/>
  <c r="AI256" i="20"/>
  <c r="AH256" i="20" s="1"/>
  <c r="AI379" i="20"/>
  <c r="AI204" i="20"/>
  <c r="AH204" i="20" s="1"/>
  <c r="AI217" i="20"/>
  <c r="AH217" i="20" s="1"/>
  <c r="AI138" i="20"/>
  <c r="AH138" i="20" s="1"/>
  <c r="AI235" i="20"/>
  <c r="AH235" i="20" s="1"/>
  <c r="AI215" i="20"/>
  <c r="AH215" i="20" s="1"/>
  <c r="AI194" i="20"/>
  <c r="AH194" i="20" s="1"/>
  <c r="AI294" i="20"/>
  <c r="AH294" i="20" s="1"/>
  <c r="AI124" i="20"/>
  <c r="AH124" i="20" s="1"/>
  <c r="AI345" i="20"/>
  <c r="AH345" i="20" s="1"/>
  <c r="AI266" i="20"/>
  <c r="AH266" i="20" s="1"/>
  <c r="AI135" i="20"/>
  <c r="AH135" i="20" s="1"/>
  <c r="AI226" i="20"/>
  <c r="AH226" i="20" s="1"/>
  <c r="AI288" i="20"/>
  <c r="AH288" i="20" s="1"/>
  <c r="AI257" i="20"/>
  <c r="AH257" i="20" s="1"/>
  <c r="AI169" i="20"/>
  <c r="AH169" i="20" s="1"/>
  <c r="AI317" i="20"/>
  <c r="AH317" i="20" s="1"/>
  <c r="AI329" i="20"/>
  <c r="AH329" i="20" s="1"/>
  <c r="AI250" i="20"/>
  <c r="AH250" i="20" s="1"/>
  <c r="AI319" i="20"/>
  <c r="AH319" i="20" s="1"/>
  <c r="AI240" i="20"/>
  <c r="AH240" i="20" s="1"/>
  <c r="AI128" i="20"/>
  <c r="AH128" i="20" s="1"/>
  <c r="AI230" i="20"/>
  <c r="AH230" i="20" s="1"/>
  <c r="AI279" i="20"/>
  <c r="AH279" i="20" s="1"/>
  <c r="AI265" i="20"/>
  <c r="AH265" i="20" s="1"/>
  <c r="AI365" i="20"/>
  <c r="AH365" i="20" s="1"/>
  <c r="AI291" i="20"/>
  <c r="AH291" i="20" s="1"/>
  <c r="AI277" i="20"/>
  <c r="AH277" i="20" s="1"/>
  <c r="AI214" i="20"/>
  <c r="AH214" i="20" s="1"/>
  <c r="AI262" i="20"/>
  <c r="AH262" i="20" s="1"/>
  <c r="AI241" i="20"/>
  <c r="AH241" i="20" s="1"/>
  <c r="AI308" i="20"/>
  <c r="AH308" i="20" s="1"/>
  <c r="AI229" i="20"/>
  <c r="AH229" i="20" s="1"/>
  <c r="AI344" i="20"/>
  <c r="AH344" i="20" s="1"/>
  <c r="AI114" i="20"/>
  <c r="AH114" i="20" s="1"/>
  <c r="AI227" i="20"/>
  <c r="AH227" i="20" s="1"/>
  <c r="AI113" i="20"/>
  <c r="AH113" i="20" s="1"/>
  <c r="AI197" i="20"/>
  <c r="AH197" i="20" s="1"/>
  <c r="AI223" i="20"/>
  <c r="AH223" i="20" s="1"/>
  <c r="AI289" i="20"/>
  <c r="AH289" i="20" s="1"/>
  <c r="AI313" i="20"/>
  <c r="AH313" i="20" s="1"/>
  <c r="AI312" i="20"/>
  <c r="AH312" i="20" s="1"/>
  <c r="AI211" i="20"/>
  <c r="AH211" i="20" s="1"/>
  <c r="AI355" i="20"/>
  <c r="AH355" i="20" s="1"/>
  <c r="AI222" i="20"/>
  <c r="AH222" i="20" s="1"/>
  <c r="AI142" i="20"/>
  <c r="AH142" i="20" s="1"/>
  <c r="D9" i="18"/>
  <c r="D11" i="18" s="1"/>
  <c r="E39" i="19" s="1"/>
  <c r="D382" i="18"/>
  <c r="D54" i="20"/>
  <c r="E54" i="20" s="1"/>
  <c r="F54" i="20" s="1"/>
  <c r="W54" i="20"/>
  <c r="H159" i="18"/>
  <c r="I159" i="18" s="1"/>
  <c r="B159" i="6" s="1"/>
  <c r="BA159" i="6" s="1"/>
  <c r="AA266" i="18"/>
  <c r="Z266" i="18" s="1"/>
  <c r="Y266" i="18" s="1"/>
  <c r="G165" i="18"/>
  <c r="CA165" i="6" s="1"/>
  <c r="AA61" i="18"/>
  <c r="Z61" i="18" s="1"/>
  <c r="Y61" i="18" s="1"/>
  <c r="D381" i="18"/>
  <c r="AA132" i="18"/>
  <c r="Z132" i="18" s="1"/>
  <c r="Y132" i="18" s="1"/>
  <c r="H62" i="18"/>
  <c r="J62" i="18" s="1"/>
  <c r="C62" i="6" s="1"/>
  <c r="AA24" i="18"/>
  <c r="Z24" i="18" s="1"/>
  <c r="Y24" i="18" s="1"/>
  <c r="G275" i="18"/>
  <c r="CA275" i="6" s="1"/>
  <c r="H177" i="18"/>
  <c r="J177" i="18" s="1"/>
  <c r="C177" i="6" s="1"/>
  <c r="AA257" i="18"/>
  <c r="Z257" i="18" s="1"/>
  <c r="Y257" i="18" s="1"/>
  <c r="W100" i="20"/>
  <c r="D84" i="20"/>
  <c r="E84" i="20" s="1"/>
  <c r="F84" i="20" s="1"/>
  <c r="D172" i="20"/>
  <c r="E172" i="20" s="1"/>
  <c r="F172" i="20" s="1"/>
  <c r="W172" i="20"/>
  <c r="D297" i="20"/>
  <c r="E297" i="20" s="1"/>
  <c r="F297" i="20" s="1"/>
  <c r="W297" i="20"/>
  <c r="D194" i="20"/>
  <c r="E194" i="20" s="1"/>
  <c r="F194" i="20" s="1"/>
  <c r="W194" i="20"/>
  <c r="W364" i="20"/>
  <c r="D364" i="20"/>
  <c r="E364" i="20" s="1"/>
  <c r="F364" i="20" s="1"/>
  <c r="W160" i="20"/>
  <c r="D160" i="20"/>
  <c r="E160" i="20" s="1"/>
  <c r="F160" i="20" s="1"/>
  <c r="W132" i="20"/>
  <c r="D132" i="20"/>
  <c r="E132" i="20" s="1"/>
  <c r="F132" i="20" s="1"/>
  <c r="W368" i="20"/>
  <c r="D368" i="20"/>
  <c r="E368" i="20" s="1"/>
  <c r="F368" i="20" s="1"/>
  <c r="D69" i="20"/>
  <c r="E69" i="20" s="1"/>
  <c r="F69" i="20" s="1"/>
  <c r="W69" i="20"/>
  <c r="D114" i="20"/>
  <c r="E114" i="20" s="1"/>
  <c r="F114" i="20" s="1"/>
  <c r="W114" i="20"/>
  <c r="D274" i="20"/>
  <c r="E274" i="20" s="1"/>
  <c r="F274" i="20" s="1"/>
  <c r="W274" i="20"/>
  <c r="W331" i="20"/>
  <c r="D331" i="20"/>
  <c r="E331" i="20" s="1"/>
  <c r="F331" i="20" s="1"/>
  <c r="AH23" i="7"/>
  <c r="V119" i="20"/>
  <c r="B119" i="20" s="1"/>
  <c r="W155" i="20"/>
  <c r="D155" i="20"/>
  <c r="E155" i="20" s="1"/>
  <c r="F155" i="20" s="1"/>
  <c r="D370" i="20"/>
  <c r="E370" i="20" s="1"/>
  <c r="F370" i="20" s="1"/>
  <c r="W370" i="20"/>
  <c r="D375" i="20"/>
  <c r="E375" i="20" s="1"/>
  <c r="F375" i="20" s="1"/>
  <c r="W375" i="20"/>
  <c r="W150" i="20"/>
  <c r="D150" i="20"/>
  <c r="E150" i="20" s="1"/>
  <c r="F150" i="20" s="1"/>
  <c r="W147" i="20"/>
  <c r="D147" i="20"/>
  <c r="E147" i="20" s="1"/>
  <c r="F147" i="20" s="1"/>
  <c r="W359" i="20"/>
  <c r="D359" i="20"/>
  <c r="E359" i="20" s="1"/>
  <c r="F359" i="20" s="1"/>
  <c r="D145" i="20"/>
  <c r="E145" i="20" s="1"/>
  <c r="F145" i="20" s="1"/>
  <c r="W145" i="20"/>
  <c r="D30" i="20"/>
  <c r="E30" i="20" s="1"/>
  <c r="F30" i="20" s="1"/>
  <c r="W30" i="20"/>
  <c r="D216" i="20"/>
  <c r="E216" i="20" s="1"/>
  <c r="F216" i="20" s="1"/>
  <c r="W216" i="20"/>
  <c r="W330" i="20"/>
  <c r="D330" i="20"/>
  <c r="E330" i="20" s="1"/>
  <c r="F330" i="20" s="1"/>
  <c r="D131" i="20"/>
  <c r="E131" i="20" s="1"/>
  <c r="F131" i="20" s="1"/>
  <c r="W131" i="20"/>
  <c r="W33" i="20"/>
  <c r="D33" i="20"/>
  <c r="E33" i="20" s="1"/>
  <c r="F33" i="20" s="1"/>
  <c r="D141" i="20"/>
  <c r="E141" i="20" s="1"/>
  <c r="F141" i="20" s="1"/>
  <c r="W141" i="20"/>
  <c r="D68" i="20"/>
  <c r="E68" i="20" s="1"/>
  <c r="F68" i="20" s="1"/>
  <c r="W68" i="20"/>
  <c r="W230" i="20"/>
  <c r="D230" i="20"/>
  <c r="E230" i="20" s="1"/>
  <c r="F230" i="20" s="1"/>
  <c r="W85" i="20"/>
  <c r="D85" i="20"/>
  <c r="E85" i="20" s="1"/>
  <c r="F85" i="20" s="1"/>
  <c r="W186" i="20"/>
  <c r="D186" i="20"/>
  <c r="E186" i="20" s="1"/>
  <c r="F186" i="20" s="1"/>
  <c r="W153" i="20"/>
  <c r="D153" i="20"/>
  <c r="E153" i="20" s="1"/>
  <c r="F153" i="20" s="1"/>
  <c r="W195" i="20"/>
  <c r="D195" i="20"/>
  <c r="E195" i="20" s="1"/>
  <c r="F195" i="20" s="1"/>
  <c r="D234" i="20"/>
  <c r="E234" i="20" s="1"/>
  <c r="F234" i="20" s="1"/>
  <c r="W234" i="20"/>
  <c r="W223" i="20"/>
  <c r="D223" i="20"/>
  <c r="E223" i="20" s="1"/>
  <c r="F223" i="20" s="1"/>
  <c r="W249" i="20"/>
  <c r="D249" i="20"/>
  <c r="E249" i="20" s="1"/>
  <c r="F249" i="20" s="1"/>
  <c r="D107" i="20"/>
  <c r="E107" i="20" s="1"/>
  <c r="F107" i="20" s="1"/>
  <c r="W107" i="20"/>
  <c r="V29" i="20"/>
  <c r="B29" i="20" s="1"/>
  <c r="AH20" i="7"/>
  <c r="W250" i="20"/>
  <c r="D250" i="20"/>
  <c r="E250" i="20" s="1"/>
  <c r="F250" i="20" s="1"/>
  <c r="D25" i="20"/>
  <c r="E25" i="20" s="1"/>
  <c r="F25" i="20" s="1"/>
  <c r="W25" i="20"/>
  <c r="D47" i="20"/>
  <c r="E47" i="20" s="1"/>
  <c r="F47" i="20" s="1"/>
  <c r="W47" i="20"/>
  <c r="W208" i="20"/>
  <c r="D208" i="20"/>
  <c r="E208" i="20" s="1"/>
  <c r="F208" i="20" s="1"/>
  <c r="W37" i="20"/>
  <c r="D37" i="20"/>
  <c r="E37" i="20" s="1"/>
  <c r="F37" i="20" s="1"/>
  <c r="W112" i="20"/>
  <c r="D112" i="20"/>
  <c r="E112" i="20" s="1"/>
  <c r="F112" i="20" s="1"/>
  <c r="D72" i="20"/>
  <c r="E72" i="20" s="1"/>
  <c r="F72" i="20" s="1"/>
  <c r="W72" i="20"/>
  <c r="V363" i="20"/>
  <c r="B363" i="20" s="1"/>
  <c r="AH31" i="7"/>
  <c r="B135" i="20"/>
  <c r="AH28" i="7"/>
  <c r="V272" i="20"/>
  <c r="B272" i="20" s="1"/>
  <c r="D338" i="20"/>
  <c r="E338" i="20" s="1"/>
  <c r="F338" i="20" s="1"/>
  <c r="W338" i="20"/>
  <c r="W175" i="20"/>
  <c r="D175" i="20"/>
  <c r="E175" i="20" s="1"/>
  <c r="F175" i="20" s="1"/>
  <c r="D339" i="20"/>
  <c r="E339" i="20" s="1"/>
  <c r="F339" i="20" s="1"/>
  <c r="W339" i="20"/>
  <c r="B349" i="20"/>
  <c r="D156" i="20"/>
  <c r="E156" i="20" s="1"/>
  <c r="F156" i="20" s="1"/>
  <c r="W156" i="20"/>
  <c r="W34" i="20"/>
  <c r="D34" i="20"/>
  <c r="E34" i="20" s="1"/>
  <c r="F34" i="20" s="1"/>
  <c r="W110" i="20"/>
  <c r="D110" i="20"/>
  <c r="E110" i="20" s="1"/>
  <c r="F110" i="20" s="1"/>
  <c r="W75" i="20"/>
  <c r="D75" i="20"/>
  <c r="E75" i="20" s="1"/>
  <c r="F75" i="20" s="1"/>
  <c r="D351" i="20"/>
  <c r="E351" i="20" s="1"/>
  <c r="F351" i="20" s="1"/>
  <c r="W351" i="20"/>
  <c r="W345" i="20"/>
  <c r="D345" i="20"/>
  <c r="E345" i="20" s="1"/>
  <c r="F345" i="20" s="1"/>
  <c r="W192" i="20"/>
  <c r="D192" i="20"/>
  <c r="E192" i="20" s="1"/>
  <c r="F192" i="20" s="1"/>
  <c r="W303" i="20"/>
  <c r="D303" i="20"/>
  <c r="E303" i="20" s="1"/>
  <c r="F303" i="20" s="1"/>
  <c r="W178" i="20"/>
  <c r="D178" i="20"/>
  <c r="E178" i="20" s="1"/>
  <c r="F178" i="20" s="1"/>
  <c r="W264" i="20"/>
  <c r="D264" i="20"/>
  <c r="E264" i="20" s="1"/>
  <c r="F264" i="20" s="1"/>
  <c r="D369" i="20"/>
  <c r="E369" i="20" s="1"/>
  <c r="F369" i="20" s="1"/>
  <c r="W369" i="20"/>
  <c r="D286" i="20"/>
  <c r="E286" i="20" s="1"/>
  <c r="F286" i="20" s="1"/>
  <c r="W286" i="20"/>
  <c r="D167" i="20"/>
  <c r="E167" i="20" s="1"/>
  <c r="F167" i="20" s="1"/>
  <c r="W167" i="20"/>
  <c r="D203" i="20"/>
  <c r="E203" i="20" s="1"/>
  <c r="F203" i="20" s="1"/>
  <c r="W203" i="20"/>
  <c r="W56" i="20"/>
  <c r="D56" i="20"/>
  <c r="E56" i="20" s="1"/>
  <c r="F56" i="20" s="1"/>
  <c r="D260" i="20"/>
  <c r="E260" i="20" s="1"/>
  <c r="F260" i="20" s="1"/>
  <c r="W260" i="20"/>
  <c r="W151" i="20"/>
  <c r="D151" i="20"/>
  <c r="E151" i="20" s="1"/>
  <c r="F151" i="20" s="1"/>
  <c r="D341" i="20"/>
  <c r="E341" i="20" s="1"/>
  <c r="F341" i="20" s="1"/>
  <c r="W341" i="20"/>
  <c r="W262" i="20"/>
  <c r="D262" i="20"/>
  <c r="E262" i="20" s="1"/>
  <c r="F262" i="20" s="1"/>
  <c r="D157" i="20"/>
  <c r="E157" i="20" s="1"/>
  <c r="F157" i="20" s="1"/>
  <c r="W157" i="20"/>
  <c r="W360" i="20"/>
  <c r="D360" i="20"/>
  <c r="E360" i="20" s="1"/>
  <c r="F360" i="20" s="1"/>
  <c r="W61" i="20"/>
  <c r="D61" i="20"/>
  <c r="E61" i="20" s="1"/>
  <c r="F61" i="20" s="1"/>
  <c r="D346" i="20"/>
  <c r="E346" i="20" s="1"/>
  <c r="F346" i="20" s="1"/>
  <c r="W346" i="20"/>
  <c r="D217" i="20"/>
  <c r="E217" i="20" s="1"/>
  <c r="F217" i="20" s="1"/>
  <c r="W217" i="20"/>
  <c r="W361" i="20"/>
  <c r="D361" i="20"/>
  <c r="E361" i="20" s="1"/>
  <c r="F361" i="20" s="1"/>
  <c r="D98" i="20"/>
  <c r="E98" i="20" s="1"/>
  <c r="F98" i="20" s="1"/>
  <c r="W98" i="20"/>
  <c r="V302" i="20"/>
  <c r="B302" i="20" s="1"/>
  <c r="AH29" i="7"/>
  <c r="W199" i="20"/>
  <c r="D199" i="20"/>
  <c r="E199" i="20" s="1"/>
  <c r="F199" i="20" s="1"/>
  <c r="W305" i="20"/>
  <c r="D305" i="20"/>
  <c r="E305" i="20" s="1"/>
  <c r="F305" i="20" s="1"/>
  <c r="D232" i="20"/>
  <c r="E232" i="20" s="1"/>
  <c r="F232" i="20" s="1"/>
  <c r="W232" i="20"/>
  <c r="W340" i="20"/>
  <c r="D340" i="20"/>
  <c r="E340" i="20" s="1"/>
  <c r="F340" i="20" s="1"/>
  <c r="D154" i="20"/>
  <c r="E154" i="20" s="1"/>
  <c r="F154" i="20" s="1"/>
  <c r="W154" i="20"/>
  <c r="W308" i="20"/>
  <c r="D308" i="20"/>
  <c r="E308" i="20" s="1"/>
  <c r="F308" i="20" s="1"/>
  <c r="B227" i="20"/>
  <c r="W66" i="20"/>
  <c r="D66" i="20"/>
  <c r="E66" i="20" s="1"/>
  <c r="F66" i="20" s="1"/>
  <c r="W300" i="20"/>
  <c r="D300" i="20"/>
  <c r="E300" i="20" s="1"/>
  <c r="F300" i="20" s="1"/>
  <c r="D96" i="20"/>
  <c r="E96" i="20" s="1"/>
  <c r="F96" i="20" s="1"/>
  <c r="W96" i="20"/>
  <c r="B258" i="20"/>
  <c r="J66" i="19"/>
  <c r="D269" i="20"/>
  <c r="E269" i="20" s="1"/>
  <c r="F269" i="20" s="1"/>
  <c r="W269" i="20"/>
  <c r="W294" i="20"/>
  <c r="D294" i="20"/>
  <c r="E294" i="20" s="1"/>
  <c r="F294" i="20" s="1"/>
  <c r="W187" i="20"/>
  <c r="D187" i="20"/>
  <c r="E187" i="20" s="1"/>
  <c r="F187" i="20" s="1"/>
  <c r="D201" i="20"/>
  <c r="E201" i="20" s="1"/>
  <c r="F201" i="20" s="1"/>
  <c r="W201" i="20"/>
  <c r="W284" i="20"/>
  <c r="D284" i="20"/>
  <c r="E284" i="20" s="1"/>
  <c r="F284" i="20" s="1"/>
  <c r="W366" i="20"/>
  <c r="D366" i="20"/>
  <c r="E366" i="20" s="1"/>
  <c r="F366" i="20" s="1"/>
  <c r="D120" i="20"/>
  <c r="E120" i="20" s="1"/>
  <c r="F120" i="20" s="1"/>
  <c r="W120" i="20"/>
  <c r="D70" i="20"/>
  <c r="E70" i="20" s="1"/>
  <c r="F70" i="20" s="1"/>
  <c r="W70" i="20"/>
  <c r="W239" i="20"/>
  <c r="D239" i="20"/>
  <c r="E239" i="20" s="1"/>
  <c r="F239" i="20" s="1"/>
  <c r="B288" i="20"/>
  <c r="K66" i="19"/>
  <c r="D353" i="20"/>
  <c r="E353" i="20" s="1"/>
  <c r="F353" i="20" s="1"/>
  <c r="W353" i="20"/>
  <c r="D365" i="20"/>
  <c r="E365" i="20" s="1"/>
  <c r="F365" i="20" s="1"/>
  <c r="W365" i="20"/>
  <c r="D116" i="20"/>
  <c r="E116" i="20" s="1"/>
  <c r="F116" i="20" s="1"/>
  <c r="W116" i="20"/>
  <c r="D246" i="20"/>
  <c r="E246" i="20" s="1"/>
  <c r="F246" i="20" s="1"/>
  <c r="W246" i="20"/>
  <c r="D320" i="20"/>
  <c r="E320" i="20" s="1"/>
  <c r="F320" i="20" s="1"/>
  <c r="W320" i="20"/>
  <c r="D283" i="20"/>
  <c r="E283" i="20" s="1"/>
  <c r="F283" i="20" s="1"/>
  <c r="W283" i="20"/>
  <c r="W229" i="20"/>
  <c r="D229" i="20"/>
  <c r="E229" i="20" s="1"/>
  <c r="F229" i="20" s="1"/>
  <c r="W159" i="20"/>
  <c r="D159" i="20"/>
  <c r="E159" i="20" s="1"/>
  <c r="F159" i="20" s="1"/>
  <c r="W311" i="20"/>
  <c r="D311" i="20"/>
  <c r="E311" i="20" s="1"/>
  <c r="F311" i="20" s="1"/>
  <c r="D357" i="20"/>
  <c r="E357" i="20" s="1"/>
  <c r="F357" i="20" s="1"/>
  <c r="W357" i="20"/>
  <c r="D334" i="20"/>
  <c r="E334" i="20" s="1"/>
  <c r="F334" i="20" s="1"/>
  <c r="W334" i="20"/>
  <c r="D263" i="20"/>
  <c r="E263" i="20" s="1"/>
  <c r="F263" i="20" s="1"/>
  <c r="W263" i="20"/>
  <c r="W171" i="20"/>
  <c r="D171" i="20"/>
  <c r="E171" i="20" s="1"/>
  <c r="F171" i="20" s="1"/>
  <c r="W104" i="20"/>
  <c r="D104" i="20"/>
  <c r="E104" i="20" s="1"/>
  <c r="F104" i="20" s="1"/>
  <c r="W191" i="20"/>
  <c r="D191" i="20"/>
  <c r="E191" i="20" s="1"/>
  <c r="F191" i="20" s="1"/>
  <c r="D261" i="20"/>
  <c r="E261" i="20" s="1"/>
  <c r="F261" i="20" s="1"/>
  <c r="W261" i="20"/>
  <c r="W356" i="20"/>
  <c r="D356" i="20"/>
  <c r="E356" i="20" s="1"/>
  <c r="F356" i="20" s="1"/>
  <c r="W121" i="20"/>
  <c r="D121" i="20"/>
  <c r="E121" i="20" s="1"/>
  <c r="F121" i="20" s="1"/>
  <c r="D362" i="20"/>
  <c r="E362" i="20" s="1"/>
  <c r="F362" i="20" s="1"/>
  <c r="W362" i="20"/>
  <c r="D21" i="20"/>
  <c r="E21" i="20" s="1"/>
  <c r="F21" i="20" s="1"/>
  <c r="W21" i="20"/>
  <c r="W51" i="20"/>
  <c r="D51" i="20"/>
  <c r="E51" i="20" s="1"/>
  <c r="F51" i="20" s="1"/>
  <c r="D177" i="20"/>
  <c r="E177" i="20" s="1"/>
  <c r="F177" i="20" s="1"/>
  <c r="W177" i="20"/>
  <c r="D63" i="20"/>
  <c r="E63" i="20" s="1"/>
  <c r="F63" i="20" s="1"/>
  <c r="W63" i="20"/>
  <c r="W304" i="20"/>
  <c r="D304" i="20"/>
  <c r="E304" i="20" s="1"/>
  <c r="F304" i="20" s="1"/>
  <c r="D327" i="20"/>
  <c r="E327" i="20" s="1"/>
  <c r="F327" i="20" s="1"/>
  <c r="W327" i="20"/>
  <c r="W91" i="20"/>
  <c r="D91" i="20"/>
  <c r="E91" i="20" s="1"/>
  <c r="F91" i="20" s="1"/>
  <c r="D315" i="20"/>
  <c r="E315" i="20" s="1"/>
  <c r="F315" i="20" s="1"/>
  <c r="W315" i="20"/>
  <c r="D101" i="20"/>
  <c r="E101" i="20" s="1"/>
  <c r="F101" i="20" s="1"/>
  <c r="W101" i="20"/>
  <c r="D277" i="20"/>
  <c r="E277" i="20" s="1"/>
  <c r="F277" i="20" s="1"/>
  <c r="W277" i="20"/>
  <c r="W270" i="20"/>
  <c r="D270" i="20"/>
  <c r="E270" i="20" s="1"/>
  <c r="F270" i="20" s="1"/>
  <c r="D299" i="20"/>
  <c r="E299" i="20" s="1"/>
  <c r="F299" i="20" s="1"/>
  <c r="W299" i="20"/>
  <c r="W213" i="20"/>
  <c r="D213" i="20"/>
  <c r="E213" i="20" s="1"/>
  <c r="F213" i="20" s="1"/>
  <c r="W40" i="20"/>
  <c r="D40" i="20"/>
  <c r="E40" i="20" s="1"/>
  <c r="F40" i="20" s="1"/>
  <c r="D122" i="20"/>
  <c r="E122" i="20" s="1"/>
  <c r="F122" i="20" s="1"/>
  <c r="W122" i="20"/>
  <c r="D276" i="20"/>
  <c r="E276" i="20" s="1"/>
  <c r="F276" i="20" s="1"/>
  <c r="W276" i="20"/>
  <c r="D163" i="20"/>
  <c r="E163" i="20" s="1"/>
  <c r="F163" i="20" s="1"/>
  <c r="W163" i="20"/>
  <c r="W64" i="20"/>
  <c r="D64" i="20"/>
  <c r="E64" i="20" s="1"/>
  <c r="F64" i="20" s="1"/>
  <c r="D140" i="20"/>
  <c r="E140" i="20" s="1"/>
  <c r="F140" i="20" s="1"/>
  <c r="W140" i="20"/>
  <c r="W280" i="20"/>
  <c r="D280" i="20"/>
  <c r="E280" i="20" s="1"/>
  <c r="F280" i="20" s="1"/>
  <c r="W80" i="20"/>
  <c r="D80" i="20"/>
  <c r="E80" i="20" s="1"/>
  <c r="F80" i="20" s="1"/>
  <c r="D290" i="20"/>
  <c r="E290" i="20" s="1"/>
  <c r="F290" i="20" s="1"/>
  <c r="W290" i="20"/>
  <c r="W143" i="20"/>
  <c r="D143" i="20"/>
  <c r="E143" i="20" s="1"/>
  <c r="F143" i="20" s="1"/>
  <c r="W59" i="20"/>
  <c r="D59" i="20"/>
  <c r="E59" i="20" s="1"/>
  <c r="F59" i="20" s="1"/>
  <c r="B105" i="20"/>
  <c r="D348" i="20"/>
  <c r="E348" i="20" s="1"/>
  <c r="F348" i="20" s="1"/>
  <c r="W348" i="20"/>
  <c r="W158" i="20"/>
  <c r="D158" i="20"/>
  <c r="E158" i="20" s="1"/>
  <c r="F158" i="20" s="1"/>
  <c r="W39" i="20"/>
  <c r="D39" i="20"/>
  <c r="E39" i="20" s="1"/>
  <c r="F39" i="20" s="1"/>
  <c r="W209" i="20"/>
  <c r="D209" i="20"/>
  <c r="E209" i="20" s="1"/>
  <c r="F209" i="20" s="1"/>
  <c r="W350" i="20"/>
  <c r="D350" i="20"/>
  <c r="E350" i="20" s="1"/>
  <c r="F350" i="20" s="1"/>
  <c r="D117" i="20"/>
  <c r="E117" i="20" s="1"/>
  <c r="F117" i="20" s="1"/>
  <c r="W117" i="20"/>
  <c r="W138" i="20"/>
  <c r="D138" i="20"/>
  <c r="E138" i="20" s="1"/>
  <c r="F138" i="20" s="1"/>
  <c r="D374" i="20"/>
  <c r="E374" i="20" s="1"/>
  <c r="F374" i="20" s="1"/>
  <c r="W374" i="20"/>
  <c r="D161" i="20"/>
  <c r="E161" i="20" s="1"/>
  <c r="F161" i="20" s="1"/>
  <c r="W161" i="20"/>
  <c r="W58" i="20"/>
  <c r="D58" i="20"/>
  <c r="E58" i="20" s="1"/>
  <c r="F58" i="20" s="1"/>
  <c r="W179" i="20"/>
  <c r="D179" i="20"/>
  <c r="E179" i="20" s="1"/>
  <c r="F179" i="20" s="1"/>
  <c r="AH21" i="7"/>
  <c r="V60" i="20"/>
  <c r="B60" i="20" s="1"/>
  <c r="W309" i="20"/>
  <c r="D309" i="20"/>
  <c r="E309" i="20" s="1"/>
  <c r="F309" i="20" s="1"/>
  <c r="D211" i="20"/>
  <c r="E211" i="20" s="1"/>
  <c r="F211" i="20" s="1"/>
  <c r="W211" i="20"/>
  <c r="D255" i="20"/>
  <c r="E255" i="20" s="1"/>
  <c r="F255" i="20" s="1"/>
  <c r="W255" i="20"/>
  <c r="W266" i="20"/>
  <c r="D266" i="20"/>
  <c r="E266" i="20" s="1"/>
  <c r="F266" i="20" s="1"/>
  <c r="D31" i="20"/>
  <c r="E31" i="20" s="1"/>
  <c r="F31" i="20" s="1"/>
  <c r="W31" i="20"/>
  <c r="D77" i="20"/>
  <c r="E77" i="20" s="1"/>
  <c r="F77" i="20" s="1"/>
  <c r="W77" i="20"/>
  <c r="D36" i="20"/>
  <c r="E36" i="20" s="1"/>
  <c r="F36" i="20" s="1"/>
  <c r="W36" i="20"/>
  <c r="W198" i="20"/>
  <c r="D198" i="20"/>
  <c r="E198" i="20" s="1"/>
  <c r="F198" i="20" s="1"/>
  <c r="D254" i="20"/>
  <c r="E254" i="20" s="1"/>
  <c r="F254" i="20" s="1"/>
  <c r="W254" i="20"/>
  <c r="D314" i="20"/>
  <c r="E314" i="20" s="1"/>
  <c r="F314" i="20" s="1"/>
  <c r="W314" i="20"/>
  <c r="W259" i="20"/>
  <c r="D259" i="20"/>
  <c r="E259" i="20" s="1"/>
  <c r="F259" i="20" s="1"/>
  <c r="W41" i="20"/>
  <c r="D41" i="20"/>
  <c r="E41" i="20" s="1"/>
  <c r="F41" i="20" s="1"/>
  <c r="D19" i="20"/>
  <c r="E19" i="20" s="1"/>
  <c r="F19" i="20" s="1"/>
  <c r="W19" i="20"/>
  <c r="W188" i="20"/>
  <c r="D188" i="20"/>
  <c r="E188" i="20" s="1"/>
  <c r="F188" i="20" s="1"/>
  <c r="J336" i="18"/>
  <c r="C336" i="6" s="1"/>
  <c r="I336" i="18"/>
  <c r="B336" i="6" s="1"/>
  <c r="BA336" i="6" s="1"/>
  <c r="I365" i="18"/>
  <c r="B365" i="6" s="1"/>
  <c r="BA365" i="6" s="1"/>
  <c r="J365" i="18"/>
  <c r="C365" i="6" s="1"/>
  <c r="J298" i="18"/>
  <c r="C298" i="6" s="1"/>
  <c r="I298" i="18"/>
  <c r="B298" i="6" s="1"/>
  <c r="BA298" i="6" s="1"/>
  <c r="J377" i="18"/>
  <c r="C377" i="6" s="1"/>
  <c r="I377" i="18"/>
  <c r="B377" i="6" s="1"/>
  <c r="BA377" i="6" s="1"/>
  <c r="J290" i="18"/>
  <c r="C290" i="6" s="1"/>
  <c r="I290" i="18"/>
  <c r="B290" i="6" s="1"/>
  <c r="BA290" i="6" s="1"/>
  <c r="J366" i="18"/>
  <c r="C366" i="6" s="1"/>
  <c r="I366" i="18"/>
  <c r="B366" i="6" s="1"/>
  <c r="BA366" i="6" s="1"/>
  <c r="H252" i="18"/>
  <c r="AA252" i="18"/>
  <c r="Z252" i="18" s="1"/>
  <c r="Y252" i="18" s="1"/>
  <c r="G252" i="18"/>
  <c r="CA252" i="6" s="1"/>
  <c r="I227" i="18"/>
  <c r="B227" i="6" s="1"/>
  <c r="BA227" i="6" s="1"/>
  <c r="J227" i="18"/>
  <c r="C227" i="6" s="1"/>
  <c r="D183" i="20"/>
  <c r="E183" i="20" s="1"/>
  <c r="F183" i="20" s="1"/>
  <c r="W183" i="20"/>
  <c r="D257" i="20"/>
  <c r="E257" i="20" s="1"/>
  <c r="F257" i="20" s="1"/>
  <c r="W257" i="20"/>
  <c r="B166" i="20"/>
  <c r="D173" i="20"/>
  <c r="E173" i="20" s="1"/>
  <c r="F173" i="20" s="1"/>
  <c r="W173" i="20"/>
  <c r="W354" i="20"/>
  <c r="D354" i="20"/>
  <c r="E354" i="20" s="1"/>
  <c r="F354" i="20" s="1"/>
  <c r="D73" i="20"/>
  <c r="E73" i="20" s="1"/>
  <c r="F73" i="20" s="1"/>
  <c r="W73" i="20"/>
  <c r="W76" i="20"/>
  <c r="D76" i="20"/>
  <c r="E76" i="20" s="1"/>
  <c r="F76" i="20" s="1"/>
  <c r="W344" i="20"/>
  <c r="D344" i="20"/>
  <c r="E344" i="20" s="1"/>
  <c r="F344" i="20" s="1"/>
  <c r="D313" i="20"/>
  <c r="E313" i="20" s="1"/>
  <c r="F313" i="20" s="1"/>
  <c r="W313" i="20"/>
  <c r="B196" i="20"/>
  <c r="W358" i="20"/>
  <c r="D358" i="20"/>
  <c r="E358" i="20" s="1"/>
  <c r="F358" i="20" s="1"/>
  <c r="W152" i="20"/>
  <c r="D152" i="20"/>
  <c r="E152" i="20" s="1"/>
  <c r="F152" i="20" s="1"/>
  <c r="D148" i="20"/>
  <c r="E148" i="20" s="1"/>
  <c r="F148" i="20" s="1"/>
  <c r="W148" i="20"/>
  <c r="W16" i="20"/>
  <c r="D16" i="20"/>
  <c r="E16" i="20" s="1"/>
  <c r="F16" i="20" s="1"/>
  <c r="V210" i="20"/>
  <c r="B210" i="20" s="1"/>
  <c r="AH26" i="7"/>
  <c r="D247" i="20"/>
  <c r="E247" i="20" s="1"/>
  <c r="F247" i="20" s="1"/>
  <c r="W247" i="20"/>
  <c r="W65" i="20"/>
  <c r="D65" i="20"/>
  <c r="E65" i="20" s="1"/>
  <c r="F65" i="20" s="1"/>
  <c r="W296" i="20"/>
  <c r="D296" i="20"/>
  <c r="E296" i="20" s="1"/>
  <c r="F296" i="20" s="1"/>
  <c r="D325" i="20"/>
  <c r="E325" i="20" s="1"/>
  <c r="F325" i="20" s="1"/>
  <c r="W325" i="20"/>
  <c r="W378" i="20"/>
  <c r="D378" i="20"/>
  <c r="E378" i="20" s="1"/>
  <c r="F378" i="20" s="1"/>
  <c r="D48" i="20"/>
  <c r="E48" i="20" s="1"/>
  <c r="F48" i="20" s="1"/>
  <c r="W48" i="20"/>
  <c r="B319" i="20"/>
  <c r="W242" i="20"/>
  <c r="D242" i="20"/>
  <c r="E242" i="20" s="1"/>
  <c r="F242" i="20" s="1"/>
  <c r="W281" i="20"/>
  <c r="D281" i="20"/>
  <c r="E281" i="20" s="1"/>
  <c r="F281" i="20" s="1"/>
  <c r="D79" i="20"/>
  <c r="E79" i="20" s="1"/>
  <c r="F79" i="20" s="1"/>
  <c r="W79" i="20"/>
  <c r="D343" i="20"/>
  <c r="E343" i="20" s="1"/>
  <c r="F343" i="20" s="1"/>
  <c r="W343" i="20"/>
  <c r="D193" i="20"/>
  <c r="E193" i="20" s="1"/>
  <c r="F193" i="20" s="1"/>
  <c r="W193" i="20"/>
  <c r="D197" i="20"/>
  <c r="E197" i="20" s="1"/>
  <c r="F197" i="20" s="1"/>
  <c r="W197" i="20"/>
  <c r="W329" i="20"/>
  <c r="D329" i="20"/>
  <c r="E329" i="20" s="1"/>
  <c r="F329" i="20" s="1"/>
  <c r="W50" i="20"/>
  <c r="D50" i="20"/>
  <c r="E50" i="20" s="1"/>
  <c r="F50" i="20" s="1"/>
  <c r="D220" i="20"/>
  <c r="E220" i="20" s="1"/>
  <c r="F220" i="20" s="1"/>
  <c r="W220" i="20"/>
  <c r="D352" i="20"/>
  <c r="E352" i="20" s="1"/>
  <c r="F352" i="20" s="1"/>
  <c r="W352" i="20"/>
  <c r="D78" i="20"/>
  <c r="E78" i="20" s="1"/>
  <c r="F78" i="20" s="1"/>
  <c r="W78" i="20"/>
  <c r="W347" i="20"/>
  <c r="D347" i="20"/>
  <c r="E347" i="20" s="1"/>
  <c r="F347" i="20" s="1"/>
  <c r="W248" i="20"/>
  <c r="D248" i="20"/>
  <c r="E248" i="20" s="1"/>
  <c r="F248" i="20" s="1"/>
  <c r="D293" i="20"/>
  <c r="E293" i="20" s="1"/>
  <c r="F293" i="20" s="1"/>
  <c r="W293" i="20"/>
  <c r="W237" i="20"/>
  <c r="D237" i="20"/>
  <c r="E237" i="20" s="1"/>
  <c r="F237" i="20" s="1"/>
  <c r="D52" i="20"/>
  <c r="E52" i="20" s="1"/>
  <c r="F52" i="20" s="1"/>
  <c r="W52" i="20"/>
  <c r="D310" i="20"/>
  <c r="E310" i="20" s="1"/>
  <c r="F310" i="20" s="1"/>
  <c r="W310" i="20"/>
  <c r="D23" i="20"/>
  <c r="E23" i="20" s="1"/>
  <c r="F23" i="20" s="1"/>
  <c r="W23" i="20"/>
  <c r="D289" i="20"/>
  <c r="E289" i="20" s="1"/>
  <c r="F289" i="20" s="1"/>
  <c r="W289" i="20"/>
  <c r="W118" i="20"/>
  <c r="D118" i="20"/>
  <c r="E118" i="20" s="1"/>
  <c r="F118" i="20" s="1"/>
  <c r="D373" i="20"/>
  <c r="E373" i="20" s="1"/>
  <c r="F373" i="20" s="1"/>
  <c r="W373" i="20"/>
  <c r="W81" i="20"/>
  <c r="D81" i="20"/>
  <c r="E81" i="20" s="1"/>
  <c r="F81" i="20" s="1"/>
  <c r="D222" i="20"/>
  <c r="E222" i="20" s="1"/>
  <c r="F222" i="20" s="1"/>
  <c r="W222" i="20"/>
  <c r="W328" i="20"/>
  <c r="D328" i="20"/>
  <c r="E328" i="20" s="1"/>
  <c r="F328" i="20" s="1"/>
  <c r="D92" i="20"/>
  <c r="E92" i="20" s="1"/>
  <c r="F92" i="20" s="1"/>
  <c r="W92" i="20"/>
  <c r="D243" i="20"/>
  <c r="E243" i="20" s="1"/>
  <c r="F243" i="20" s="1"/>
  <c r="W243" i="20"/>
  <c r="W162" i="20"/>
  <c r="D162" i="20"/>
  <c r="E162" i="20" s="1"/>
  <c r="F162" i="20" s="1"/>
  <c r="W316" i="20"/>
  <c r="D316" i="20"/>
  <c r="E316" i="20" s="1"/>
  <c r="F316" i="20" s="1"/>
  <c r="W146" i="20"/>
  <c r="D146" i="20"/>
  <c r="E146" i="20" s="1"/>
  <c r="F146" i="20" s="1"/>
  <c r="W265" i="20"/>
  <c r="D265" i="20"/>
  <c r="E265" i="20" s="1"/>
  <c r="F265" i="20" s="1"/>
  <c r="W24" i="20"/>
  <c r="D24" i="20"/>
  <c r="E24" i="20" s="1"/>
  <c r="F24" i="20" s="1"/>
  <c r="D17" i="20"/>
  <c r="E17" i="20" s="1"/>
  <c r="F17" i="20" s="1"/>
  <c r="W17" i="20"/>
  <c r="W307" i="20"/>
  <c r="D307" i="20"/>
  <c r="E307" i="20" s="1"/>
  <c r="F307" i="20" s="1"/>
  <c r="D185" i="20"/>
  <c r="E185" i="20" s="1"/>
  <c r="F185" i="20" s="1"/>
  <c r="W185" i="20"/>
  <c r="W43" i="20"/>
  <c r="D43" i="20"/>
  <c r="E43" i="20" s="1"/>
  <c r="F43" i="20" s="1"/>
  <c r="W142" i="20"/>
  <c r="D142" i="20"/>
  <c r="E142" i="20" s="1"/>
  <c r="F142" i="20" s="1"/>
  <c r="AH27" i="7"/>
  <c r="V241" i="20"/>
  <c r="B241" i="20" s="1"/>
  <c r="W113" i="20"/>
  <c r="D113" i="20"/>
  <c r="E113" i="20" s="1"/>
  <c r="F113" i="20" s="1"/>
  <c r="W136" i="20"/>
  <c r="D136" i="20"/>
  <c r="E136" i="20" s="1"/>
  <c r="F136" i="20" s="1"/>
  <c r="V149" i="20"/>
  <c r="B149" i="20" s="1"/>
  <c r="AH24" i="7"/>
  <c r="W124" i="20"/>
  <c r="D124" i="20"/>
  <c r="E124" i="20" s="1"/>
  <c r="F124" i="20" s="1"/>
  <c r="D275" i="20"/>
  <c r="E275" i="20" s="1"/>
  <c r="F275" i="20" s="1"/>
  <c r="W275" i="20"/>
  <c r="W95" i="20"/>
  <c r="D95" i="20"/>
  <c r="E95" i="20" s="1"/>
  <c r="F95" i="20" s="1"/>
  <c r="D355" i="20"/>
  <c r="E355" i="20" s="1"/>
  <c r="F355" i="20" s="1"/>
  <c r="W355" i="20"/>
  <c r="W205" i="20"/>
  <c r="D205" i="20"/>
  <c r="E205" i="20" s="1"/>
  <c r="F205" i="20" s="1"/>
  <c r="W86" i="20"/>
  <c r="D86" i="20"/>
  <c r="E86" i="20" s="1"/>
  <c r="F86" i="20" s="1"/>
  <c r="W215" i="20"/>
  <c r="D215" i="20"/>
  <c r="E215" i="20" s="1"/>
  <c r="F215" i="20" s="1"/>
  <c r="W182" i="20"/>
  <c r="D182" i="20"/>
  <c r="E182" i="20" s="1"/>
  <c r="F182" i="20" s="1"/>
  <c r="V88" i="20"/>
  <c r="B88" i="20" s="1"/>
  <c r="AH22" i="7"/>
  <c r="W267" i="20"/>
  <c r="D267" i="20"/>
  <c r="E267" i="20" s="1"/>
  <c r="F267" i="20" s="1"/>
  <c r="D318" i="20"/>
  <c r="E318" i="20" s="1"/>
  <c r="F318" i="20" s="1"/>
  <c r="W318" i="20"/>
  <c r="W137" i="20"/>
  <c r="D137" i="20"/>
  <c r="E137" i="20" s="1"/>
  <c r="F137" i="20" s="1"/>
  <c r="D292" i="20"/>
  <c r="E292" i="20" s="1"/>
  <c r="F292" i="20" s="1"/>
  <c r="W292" i="20"/>
  <c r="W106" i="20"/>
  <c r="D106" i="20"/>
  <c r="E106" i="20" s="1"/>
  <c r="F106" i="20" s="1"/>
  <c r="D342" i="20"/>
  <c r="E342" i="20" s="1"/>
  <c r="F342" i="20" s="1"/>
  <c r="W342" i="20"/>
  <c r="W214" i="20"/>
  <c r="D214" i="20"/>
  <c r="E214" i="20" s="1"/>
  <c r="F214" i="20" s="1"/>
  <c r="I339" i="18"/>
  <c r="B339" i="6" s="1"/>
  <c r="BA339" i="6" s="1"/>
  <c r="J339" i="18"/>
  <c r="C339" i="6" s="1"/>
  <c r="I373" i="18"/>
  <c r="B373" i="6" s="1"/>
  <c r="BA373" i="6" s="1"/>
  <c r="J373" i="18"/>
  <c r="C373" i="6" s="1"/>
  <c r="I376" i="18"/>
  <c r="B376" i="6" s="1"/>
  <c r="BA376" i="6" s="1"/>
  <c r="J376" i="18"/>
  <c r="C376" i="6" s="1"/>
  <c r="I299" i="18"/>
  <c r="B299" i="6" s="1"/>
  <c r="BA299" i="6" s="1"/>
  <c r="J299" i="18"/>
  <c r="C299" i="6" s="1"/>
  <c r="AA95" i="18"/>
  <c r="Z95" i="18" s="1"/>
  <c r="Y95" i="18" s="1"/>
  <c r="G95" i="18"/>
  <c r="CA95" i="6" s="1"/>
  <c r="H95" i="18"/>
  <c r="J348" i="18"/>
  <c r="C348" i="6" s="1"/>
  <c r="I348" i="18"/>
  <c r="B348" i="6" s="1"/>
  <c r="BA348" i="6" s="1"/>
  <c r="G288" i="18"/>
  <c r="CA288" i="6" s="1"/>
  <c r="AA288" i="18"/>
  <c r="Z288" i="18" s="1"/>
  <c r="Y288" i="18" s="1"/>
  <c r="H288" i="18"/>
  <c r="H138" i="18"/>
  <c r="G138" i="18"/>
  <c r="CA138" i="6" s="1"/>
  <c r="AA138" i="18"/>
  <c r="Z138" i="18" s="1"/>
  <c r="Y138" i="18" s="1"/>
  <c r="G46" i="18"/>
  <c r="CA46" i="6" s="1"/>
  <c r="H46" i="18"/>
  <c r="AA46" i="18"/>
  <c r="Z46" i="18" s="1"/>
  <c r="Y46" i="18" s="1"/>
  <c r="I306" i="18"/>
  <c r="B306" i="6" s="1"/>
  <c r="BA306" i="6" s="1"/>
  <c r="J306" i="18"/>
  <c r="C306" i="6" s="1"/>
  <c r="W55" i="20"/>
  <c r="D55" i="20"/>
  <c r="E55" i="20" s="1"/>
  <c r="F55" i="20" s="1"/>
  <c r="S379" i="20"/>
  <c r="R379" i="20" s="1"/>
  <c r="P379" i="20" s="1"/>
  <c r="D102" i="20"/>
  <c r="E102" i="20" s="1"/>
  <c r="F102" i="20" s="1"/>
  <c r="W102" i="20"/>
  <c r="W45" i="20"/>
  <c r="D45" i="20"/>
  <c r="E45" i="20" s="1"/>
  <c r="F45" i="20" s="1"/>
  <c r="W20" i="20"/>
  <c r="D20" i="20"/>
  <c r="E20" i="20" s="1"/>
  <c r="F20" i="20" s="1"/>
  <c r="D144" i="20"/>
  <c r="E144" i="20" s="1"/>
  <c r="F144" i="20" s="1"/>
  <c r="W144" i="20"/>
  <c r="D271" i="20"/>
  <c r="E271" i="20" s="1"/>
  <c r="F271" i="20" s="1"/>
  <c r="W271" i="20"/>
  <c r="W253" i="20"/>
  <c r="D253" i="20"/>
  <c r="E253" i="20" s="1"/>
  <c r="F253" i="20" s="1"/>
  <c r="W174" i="20"/>
  <c r="D174" i="20"/>
  <c r="E174" i="20" s="1"/>
  <c r="F174" i="20" s="1"/>
  <c r="W49" i="20"/>
  <c r="D49" i="20"/>
  <c r="E49" i="20" s="1"/>
  <c r="F49" i="20" s="1"/>
  <c r="W26" i="20"/>
  <c r="D26" i="20"/>
  <c r="E26" i="20" s="1"/>
  <c r="F26" i="20" s="1"/>
  <c r="W126" i="20"/>
  <c r="D126" i="20"/>
  <c r="E126" i="20" s="1"/>
  <c r="F126" i="20" s="1"/>
  <c r="W139" i="20"/>
  <c r="D139" i="20"/>
  <c r="E139" i="20" s="1"/>
  <c r="F139" i="20" s="1"/>
  <c r="D278" i="20"/>
  <c r="E278" i="20" s="1"/>
  <c r="F278" i="20" s="1"/>
  <c r="W278" i="20"/>
  <c r="W42" i="20"/>
  <c r="D42" i="20"/>
  <c r="E42" i="20" s="1"/>
  <c r="F42" i="20" s="1"/>
  <c r="D18" i="20"/>
  <c r="E18" i="20" s="1"/>
  <c r="F18" i="20" s="1"/>
  <c r="W18" i="20"/>
  <c r="W190" i="20"/>
  <c r="D190" i="20"/>
  <c r="E190" i="20" s="1"/>
  <c r="F190" i="20" s="1"/>
  <c r="D326" i="20"/>
  <c r="E326" i="20" s="1"/>
  <c r="F326" i="20" s="1"/>
  <c r="W326" i="20"/>
  <c r="W164" i="20"/>
  <c r="D164" i="20"/>
  <c r="E164" i="20" s="1"/>
  <c r="F164" i="20" s="1"/>
  <c r="AH30" i="7"/>
  <c r="V333" i="20"/>
  <c r="B333" i="20" s="1"/>
  <c r="W287" i="20"/>
  <c r="D287" i="20"/>
  <c r="E287" i="20" s="1"/>
  <c r="F287" i="20" s="1"/>
  <c r="D312" i="20"/>
  <c r="E312" i="20" s="1"/>
  <c r="F312" i="20" s="1"/>
  <c r="W312" i="20"/>
  <c r="D200" i="20"/>
  <c r="E200" i="20" s="1"/>
  <c r="F200" i="20" s="1"/>
  <c r="W200" i="20"/>
  <c r="D235" i="20"/>
  <c r="E235" i="20" s="1"/>
  <c r="F235" i="20" s="1"/>
  <c r="W235" i="20"/>
  <c r="W377" i="20"/>
  <c r="D377" i="20"/>
  <c r="E377" i="20" s="1"/>
  <c r="F377" i="20" s="1"/>
  <c r="D285" i="20"/>
  <c r="E285" i="20" s="1"/>
  <c r="F285" i="20" s="1"/>
  <c r="W285" i="20"/>
  <c r="W298" i="20"/>
  <c r="D298" i="20"/>
  <c r="E298" i="20" s="1"/>
  <c r="F298" i="20" s="1"/>
  <c r="W35" i="20"/>
  <c r="D35" i="20"/>
  <c r="E35" i="20" s="1"/>
  <c r="F35" i="20" s="1"/>
  <c r="D324" i="20"/>
  <c r="E324" i="20" s="1"/>
  <c r="F324" i="20" s="1"/>
  <c r="W324" i="20"/>
  <c r="W225" i="20"/>
  <c r="D225" i="20"/>
  <c r="E225" i="20" s="1"/>
  <c r="F225" i="20" s="1"/>
  <c r="D322" i="20"/>
  <c r="E322" i="20" s="1"/>
  <c r="F322" i="20" s="1"/>
  <c r="W322" i="20"/>
  <c r="B74" i="20"/>
  <c r="W181" i="20"/>
  <c r="D181" i="20"/>
  <c r="E181" i="20" s="1"/>
  <c r="F181" i="20" s="1"/>
  <c r="W103" i="20"/>
  <c r="D103" i="20"/>
  <c r="E103" i="20" s="1"/>
  <c r="F103" i="20" s="1"/>
  <c r="W82" i="20"/>
  <c r="D82" i="20"/>
  <c r="E82" i="20" s="1"/>
  <c r="F82" i="20" s="1"/>
  <c r="D170" i="20"/>
  <c r="E170" i="20" s="1"/>
  <c r="F170" i="20" s="1"/>
  <c r="W170" i="20"/>
  <c r="W67" i="20"/>
  <c r="D67" i="20"/>
  <c r="E67" i="20" s="1"/>
  <c r="F67" i="20" s="1"/>
  <c r="W228" i="20"/>
  <c r="D228" i="20"/>
  <c r="E228" i="20" s="1"/>
  <c r="F228" i="20" s="1"/>
  <c r="W301" i="20"/>
  <c r="D301" i="20"/>
  <c r="E301" i="20" s="1"/>
  <c r="F301" i="20" s="1"/>
  <c r="D168" i="20"/>
  <c r="E168" i="20" s="1"/>
  <c r="F168" i="20" s="1"/>
  <c r="W168" i="20"/>
  <c r="H319" i="18"/>
  <c r="G319" i="18"/>
  <c r="CA319" i="6" s="1"/>
  <c r="AA319" i="18"/>
  <c r="Z319" i="18" s="1"/>
  <c r="Y319" i="18" s="1"/>
  <c r="I371" i="18"/>
  <c r="B371" i="6" s="1"/>
  <c r="BA371" i="6" s="1"/>
  <c r="J371" i="18"/>
  <c r="C371" i="6" s="1"/>
  <c r="G27" i="18"/>
  <c r="CA27" i="6" s="1"/>
  <c r="AA27" i="18"/>
  <c r="Z27" i="18" s="1"/>
  <c r="Y27" i="18" s="1"/>
  <c r="H27" i="18"/>
  <c r="J313" i="18"/>
  <c r="C313" i="6" s="1"/>
  <c r="I313" i="18"/>
  <c r="B313" i="6" s="1"/>
  <c r="BA313" i="6" s="1"/>
  <c r="J354" i="18"/>
  <c r="C354" i="6" s="1"/>
  <c r="I354" i="18"/>
  <c r="B354" i="6" s="1"/>
  <c r="BA354" i="6" s="1"/>
  <c r="I303" i="18"/>
  <c r="B303" i="6" s="1"/>
  <c r="BA303" i="6" s="1"/>
  <c r="J303" i="18"/>
  <c r="C303" i="6" s="1"/>
  <c r="H146" i="18"/>
  <c r="G146" i="18"/>
  <c r="CA146" i="6" s="1"/>
  <c r="AA146" i="18"/>
  <c r="Z146" i="18" s="1"/>
  <c r="Y146" i="18" s="1"/>
  <c r="J360" i="18"/>
  <c r="C360" i="6" s="1"/>
  <c r="I360" i="18"/>
  <c r="B360" i="6" s="1"/>
  <c r="BA360" i="6" s="1"/>
  <c r="J352" i="18"/>
  <c r="C352" i="6" s="1"/>
  <c r="I352" i="18"/>
  <c r="B352" i="6" s="1"/>
  <c r="BA352" i="6" s="1"/>
  <c r="J314" i="18"/>
  <c r="C314" i="6" s="1"/>
  <c r="I314" i="18"/>
  <c r="B314" i="6" s="1"/>
  <c r="BA314" i="6" s="1"/>
  <c r="I324" i="18"/>
  <c r="B324" i="6" s="1"/>
  <c r="BA324" i="6" s="1"/>
  <c r="J324" i="18"/>
  <c r="C324" i="6" s="1"/>
  <c r="J355" i="18"/>
  <c r="C355" i="6" s="1"/>
  <c r="I355" i="18"/>
  <c r="B355" i="6" s="1"/>
  <c r="BA355" i="6" s="1"/>
  <c r="I347" i="18"/>
  <c r="B347" i="6" s="1"/>
  <c r="BA347" i="6" s="1"/>
  <c r="J347" i="18"/>
  <c r="C347" i="6" s="1"/>
  <c r="I337" i="18"/>
  <c r="B337" i="6" s="1"/>
  <c r="BA337" i="6" s="1"/>
  <c r="J337" i="18"/>
  <c r="C337" i="6" s="1"/>
  <c r="J293" i="18"/>
  <c r="C293" i="6" s="1"/>
  <c r="I293" i="18"/>
  <c r="B293" i="6" s="1"/>
  <c r="BA293" i="6" s="1"/>
  <c r="J94" i="18"/>
  <c r="C94" i="6" s="1"/>
  <c r="I94" i="18"/>
  <c r="J106" i="18"/>
  <c r="C106" i="6" s="1"/>
  <c r="I106" i="18"/>
  <c r="B106" i="6" s="1"/>
  <c r="BA106" i="6" s="1"/>
  <c r="I292" i="18"/>
  <c r="B292" i="6" s="1"/>
  <c r="BA292" i="6" s="1"/>
  <c r="J292" i="18"/>
  <c r="C292" i="6" s="1"/>
  <c r="J370" i="18"/>
  <c r="C370" i="6" s="1"/>
  <c r="I370" i="18"/>
  <c r="B370" i="6" s="1"/>
  <c r="BA370" i="6" s="1"/>
  <c r="J135" i="18"/>
  <c r="C135" i="6" s="1"/>
  <c r="I135" i="18"/>
  <c r="B135" i="6" s="1"/>
  <c r="BA135" i="6" s="1"/>
  <c r="I359" i="18"/>
  <c r="B359" i="6" s="1"/>
  <c r="BA359" i="6" s="1"/>
  <c r="J359" i="18"/>
  <c r="C359" i="6" s="1"/>
  <c r="J264" i="18"/>
  <c r="C264" i="6" s="1"/>
  <c r="I264" i="18"/>
  <c r="B264" i="6" s="1"/>
  <c r="BA264" i="6" s="1"/>
  <c r="I167" i="18"/>
  <c r="B167" i="6" s="1"/>
  <c r="BA167" i="6" s="1"/>
  <c r="J167" i="18"/>
  <c r="C167" i="6" s="1"/>
  <c r="I38" i="18"/>
  <c r="B38" i="6" s="1"/>
  <c r="BA38" i="6" s="1"/>
  <c r="J38" i="18"/>
  <c r="C38" i="6" s="1"/>
  <c r="I358" i="18"/>
  <c r="B358" i="6" s="1"/>
  <c r="BA358" i="6" s="1"/>
  <c r="J358" i="18"/>
  <c r="C358" i="6" s="1"/>
  <c r="J202" i="18"/>
  <c r="C202" i="6" s="1"/>
  <c r="I202" i="18"/>
  <c r="B202" i="6" s="1"/>
  <c r="BA202" i="6" s="1"/>
  <c r="I103" i="18"/>
  <c r="B103" i="6" s="1"/>
  <c r="BA103" i="6" s="1"/>
  <c r="J103" i="18"/>
  <c r="C103" i="6" s="1"/>
  <c r="J329" i="18"/>
  <c r="C329" i="6" s="1"/>
  <c r="I329" i="18"/>
  <c r="B329" i="6" s="1"/>
  <c r="BA329" i="6" s="1"/>
  <c r="G363" i="18"/>
  <c r="CA363" i="6" s="1"/>
  <c r="H363" i="18"/>
  <c r="AA363" i="18"/>
  <c r="Z363" i="18" s="1"/>
  <c r="Y363" i="18" s="1"/>
  <c r="I141" i="18"/>
  <c r="B141" i="6" s="1"/>
  <c r="BA141" i="6" s="1"/>
  <c r="J141" i="18"/>
  <c r="C141" i="6" s="1"/>
  <c r="I32" i="18"/>
  <c r="B32" i="6" s="1"/>
  <c r="BA32" i="6" s="1"/>
  <c r="J32" i="18"/>
  <c r="C32" i="6" s="1"/>
  <c r="J304" i="18"/>
  <c r="C304" i="6" s="1"/>
  <c r="I304" i="18"/>
  <c r="B304" i="6" s="1"/>
  <c r="BA304" i="6" s="1"/>
  <c r="J205" i="18"/>
  <c r="C205" i="6" s="1"/>
  <c r="I205" i="18"/>
  <c r="B205" i="6" s="1"/>
  <c r="BA205" i="6" s="1"/>
  <c r="I228" i="18"/>
  <c r="B228" i="6" s="1"/>
  <c r="BA228" i="6" s="1"/>
  <c r="J228" i="18"/>
  <c r="C228" i="6" s="1"/>
  <c r="J374" i="18"/>
  <c r="C374" i="6" s="1"/>
  <c r="I374" i="18"/>
  <c r="B374" i="6" s="1"/>
  <c r="BA374" i="6" s="1"/>
  <c r="J321" i="18"/>
  <c r="C321" i="6" s="1"/>
  <c r="I321" i="18"/>
  <c r="B321" i="6" s="1"/>
  <c r="BA321" i="6" s="1"/>
  <c r="I209" i="18"/>
  <c r="B209" i="6" s="1"/>
  <c r="BA209" i="6" s="1"/>
  <c r="J209" i="18"/>
  <c r="C209" i="6" s="1"/>
  <c r="I110" i="18"/>
  <c r="B110" i="6" s="1"/>
  <c r="BA110" i="6" s="1"/>
  <c r="J110" i="18"/>
  <c r="C110" i="6" s="1"/>
  <c r="J340" i="18"/>
  <c r="C340" i="6" s="1"/>
  <c r="I340" i="18"/>
  <c r="B340" i="6" s="1"/>
  <c r="BA340" i="6" s="1"/>
  <c r="J237" i="18"/>
  <c r="C237" i="6" s="1"/>
  <c r="I237" i="18"/>
  <c r="B237" i="6" s="1"/>
  <c r="BA237" i="6" s="1"/>
  <c r="J199" i="18"/>
  <c r="C199" i="6" s="1"/>
  <c r="I199" i="18"/>
  <c r="B199" i="6" s="1"/>
  <c r="BA199" i="6" s="1"/>
  <c r="I51" i="18"/>
  <c r="B51" i="6" s="1"/>
  <c r="BA51" i="6" s="1"/>
  <c r="J51" i="18"/>
  <c r="C51" i="6" s="1"/>
  <c r="J278" i="18"/>
  <c r="C278" i="6" s="1"/>
  <c r="I278" i="18"/>
  <c r="B278" i="6" s="1"/>
  <c r="BA278" i="6" s="1"/>
  <c r="J104" i="18"/>
  <c r="C104" i="6" s="1"/>
  <c r="I104" i="18"/>
  <c r="B104" i="6" s="1"/>
  <c r="BA104" i="6" s="1"/>
  <c r="I279" i="18"/>
  <c r="B279" i="6" s="1"/>
  <c r="BA279" i="6" s="1"/>
  <c r="J279" i="18"/>
  <c r="C279" i="6" s="1"/>
  <c r="I137" i="18"/>
  <c r="B137" i="6" s="1"/>
  <c r="BA137" i="6" s="1"/>
  <c r="J137" i="18"/>
  <c r="C137" i="6" s="1"/>
  <c r="I21" i="18"/>
  <c r="B21" i="6" s="1"/>
  <c r="BA21" i="6" s="1"/>
  <c r="J21" i="18"/>
  <c r="C21" i="6" s="1"/>
  <c r="B46" i="20"/>
  <c r="I284" i="18"/>
  <c r="B284" i="6" s="1"/>
  <c r="BA284" i="6" s="1"/>
  <c r="J284" i="18"/>
  <c r="C284" i="6" s="1"/>
  <c r="J48" i="18"/>
  <c r="C48" i="6" s="1"/>
  <c r="I48" i="18"/>
  <c r="B48" i="6" s="1"/>
  <c r="BA48" i="6" s="1"/>
  <c r="J56" i="18"/>
  <c r="C56" i="6" s="1"/>
  <c r="I56" i="18"/>
  <c r="B56" i="6" s="1"/>
  <c r="BA56" i="6" s="1"/>
  <c r="J217" i="18"/>
  <c r="C217" i="6" s="1"/>
  <c r="I217" i="18"/>
  <c r="B217" i="6" s="1"/>
  <c r="BA217" i="6" s="1"/>
  <c r="I148" i="18"/>
  <c r="B148" i="6" s="1"/>
  <c r="BA148" i="6" s="1"/>
  <c r="J148" i="18"/>
  <c r="C148" i="6" s="1"/>
  <c r="AD383" i="18"/>
  <c r="AD382" i="18"/>
  <c r="AD381" i="18"/>
  <c r="S15" i="20"/>
  <c r="T381" i="20"/>
  <c r="T383" i="20"/>
  <c r="T382" i="20"/>
  <c r="D125" i="20"/>
  <c r="E125" i="20" s="1"/>
  <c r="F125" i="20" s="1"/>
  <c r="W125" i="20"/>
  <c r="D273" i="20"/>
  <c r="E273" i="20" s="1"/>
  <c r="F273" i="20" s="1"/>
  <c r="W273" i="20"/>
  <c r="W238" i="20"/>
  <c r="D238" i="20"/>
  <c r="E238" i="20" s="1"/>
  <c r="F238" i="20" s="1"/>
  <c r="D71" i="20"/>
  <c r="E71" i="20" s="1"/>
  <c r="F71" i="20" s="1"/>
  <c r="W71" i="20"/>
  <c r="D165" i="20"/>
  <c r="E165" i="20" s="1"/>
  <c r="F165" i="20" s="1"/>
  <c r="W165" i="20"/>
  <c r="D219" i="20"/>
  <c r="E219" i="20" s="1"/>
  <c r="F219" i="20" s="1"/>
  <c r="W219" i="20"/>
  <c r="W256" i="20"/>
  <c r="D256" i="20"/>
  <c r="E256" i="20" s="1"/>
  <c r="F256" i="20" s="1"/>
  <c r="W279" i="20"/>
  <c r="D279" i="20"/>
  <c r="E279" i="20" s="1"/>
  <c r="F279" i="20" s="1"/>
  <c r="D129" i="20"/>
  <c r="E129" i="20" s="1"/>
  <c r="F129" i="20" s="1"/>
  <c r="W129" i="20"/>
  <c r="W38" i="20"/>
  <c r="D38" i="20"/>
  <c r="E38" i="20" s="1"/>
  <c r="F38" i="20" s="1"/>
  <c r="D221" i="20"/>
  <c r="E221" i="20" s="1"/>
  <c r="F221" i="20" s="1"/>
  <c r="W221" i="20"/>
  <c r="D268" i="20"/>
  <c r="E268" i="20" s="1"/>
  <c r="F268" i="20" s="1"/>
  <c r="W268" i="20"/>
  <c r="W233" i="20"/>
  <c r="D233" i="20"/>
  <c r="E233" i="20" s="1"/>
  <c r="F233" i="20" s="1"/>
  <c r="D89" i="20"/>
  <c r="E89" i="20" s="1"/>
  <c r="F89" i="20" s="1"/>
  <c r="W89" i="20"/>
  <c r="D127" i="20"/>
  <c r="E127" i="20" s="1"/>
  <c r="F127" i="20" s="1"/>
  <c r="W127" i="20"/>
  <c r="D282" i="20"/>
  <c r="E282" i="20" s="1"/>
  <c r="F282" i="20" s="1"/>
  <c r="W282" i="20"/>
  <c r="W53" i="20"/>
  <c r="D53" i="20"/>
  <c r="E53" i="20" s="1"/>
  <c r="F53" i="20" s="1"/>
  <c r="W231" i="20"/>
  <c r="D231" i="20"/>
  <c r="E231" i="20" s="1"/>
  <c r="F231" i="20" s="1"/>
  <c r="W93" i="20"/>
  <c r="D93" i="20"/>
  <c r="E93" i="20" s="1"/>
  <c r="F93" i="20" s="1"/>
  <c r="D115" i="20"/>
  <c r="E115" i="20" s="1"/>
  <c r="F115" i="20" s="1"/>
  <c r="W115" i="20"/>
  <c r="W332" i="20"/>
  <c r="D332" i="20"/>
  <c r="E332" i="20" s="1"/>
  <c r="F332" i="20" s="1"/>
  <c r="D226" i="20"/>
  <c r="E226" i="20" s="1"/>
  <c r="F226" i="20" s="1"/>
  <c r="W226" i="20"/>
  <c r="W128" i="20"/>
  <c r="D128" i="20"/>
  <c r="E128" i="20" s="1"/>
  <c r="F128" i="20" s="1"/>
  <c r="W22" i="20"/>
  <c r="D22" i="20"/>
  <c r="E22" i="20" s="1"/>
  <c r="F22" i="20" s="1"/>
  <c r="W97" i="20"/>
  <c r="D97" i="20"/>
  <c r="E97" i="20" s="1"/>
  <c r="F97" i="20" s="1"/>
  <c r="W87" i="20"/>
  <c r="D87" i="20"/>
  <c r="E87" i="20" s="1"/>
  <c r="F87" i="20" s="1"/>
  <c r="W251" i="20"/>
  <c r="D251" i="20"/>
  <c r="E251" i="20" s="1"/>
  <c r="F251" i="20" s="1"/>
  <c r="W133" i="20"/>
  <c r="D133" i="20"/>
  <c r="E133" i="20" s="1"/>
  <c r="F133" i="20" s="1"/>
  <c r="D336" i="20"/>
  <c r="E336" i="20" s="1"/>
  <c r="F336" i="20" s="1"/>
  <c r="W336" i="20"/>
  <c r="W123" i="20"/>
  <c r="D123" i="20"/>
  <c r="E123" i="20" s="1"/>
  <c r="F123" i="20" s="1"/>
  <c r="D367" i="20"/>
  <c r="E367" i="20" s="1"/>
  <c r="F367" i="20" s="1"/>
  <c r="W367" i="20"/>
  <c r="W240" i="20"/>
  <c r="D240" i="20"/>
  <c r="E240" i="20" s="1"/>
  <c r="F240" i="20" s="1"/>
  <c r="W306" i="20"/>
  <c r="D306" i="20"/>
  <c r="E306" i="20" s="1"/>
  <c r="F306" i="20" s="1"/>
  <c r="W111" i="20"/>
  <c r="D111" i="20"/>
  <c r="E111" i="20" s="1"/>
  <c r="F111" i="20" s="1"/>
  <c r="D99" i="20"/>
  <c r="E99" i="20" s="1"/>
  <c r="F99" i="20" s="1"/>
  <c r="W99" i="20"/>
  <c r="D90" i="20"/>
  <c r="E90" i="20" s="1"/>
  <c r="F90" i="20" s="1"/>
  <c r="W90" i="20"/>
  <c r="W32" i="20"/>
  <c r="D32" i="20"/>
  <c r="E32" i="20" s="1"/>
  <c r="F32" i="20" s="1"/>
  <c r="D130" i="20"/>
  <c r="E130" i="20" s="1"/>
  <c r="F130" i="20" s="1"/>
  <c r="W130" i="20"/>
  <c r="W236" i="20"/>
  <c r="D236" i="20"/>
  <c r="E236" i="20" s="1"/>
  <c r="F236" i="20" s="1"/>
  <c r="D212" i="20"/>
  <c r="E212" i="20" s="1"/>
  <c r="F212" i="20" s="1"/>
  <c r="W212" i="20"/>
  <c r="D57" i="20"/>
  <c r="E57" i="20" s="1"/>
  <c r="F57" i="20" s="1"/>
  <c r="W57" i="20"/>
  <c r="D202" i="20"/>
  <c r="E202" i="20" s="1"/>
  <c r="F202" i="20" s="1"/>
  <c r="W202" i="20"/>
  <c r="W376" i="20"/>
  <c r="D376" i="20"/>
  <c r="E376" i="20" s="1"/>
  <c r="F376" i="20" s="1"/>
  <c r="D206" i="20"/>
  <c r="E206" i="20" s="1"/>
  <c r="F206" i="20" s="1"/>
  <c r="W206" i="20"/>
  <c r="D207" i="20"/>
  <c r="E207" i="20" s="1"/>
  <c r="F207" i="20" s="1"/>
  <c r="W207" i="20"/>
  <c r="D224" i="20"/>
  <c r="E224" i="20" s="1"/>
  <c r="F224" i="20" s="1"/>
  <c r="W224" i="20"/>
  <c r="AH25" i="7"/>
  <c r="V180" i="20"/>
  <c r="B180" i="20" s="1"/>
  <c r="D335" i="20"/>
  <c r="E335" i="20" s="1"/>
  <c r="F335" i="20" s="1"/>
  <c r="W335" i="20"/>
  <c r="W27" i="20"/>
  <c r="D27" i="20"/>
  <c r="E27" i="20" s="1"/>
  <c r="F27" i="20" s="1"/>
  <c r="D176" i="20"/>
  <c r="E176" i="20" s="1"/>
  <c r="F176" i="20" s="1"/>
  <c r="W176" i="20"/>
  <c r="D134" i="20"/>
  <c r="E134" i="20" s="1"/>
  <c r="F134" i="20" s="1"/>
  <c r="W134" i="20"/>
  <c r="D321" i="20"/>
  <c r="E321" i="20" s="1"/>
  <c r="F321" i="20" s="1"/>
  <c r="W321" i="20"/>
  <c r="W109" i="20"/>
  <c r="D109" i="20"/>
  <c r="E109" i="20" s="1"/>
  <c r="F109" i="20" s="1"/>
  <c r="D323" i="20"/>
  <c r="E323" i="20" s="1"/>
  <c r="F323" i="20" s="1"/>
  <c r="W323" i="20"/>
  <c r="D372" i="20"/>
  <c r="E372" i="20" s="1"/>
  <c r="F372" i="20" s="1"/>
  <c r="W372" i="20"/>
  <c r="W218" i="20"/>
  <c r="D218" i="20"/>
  <c r="E218" i="20" s="1"/>
  <c r="F218" i="20" s="1"/>
  <c r="D169" i="20"/>
  <c r="E169" i="20" s="1"/>
  <c r="F169" i="20" s="1"/>
  <c r="W169" i="20"/>
  <c r="W317" i="20"/>
  <c r="D317" i="20"/>
  <c r="E317" i="20" s="1"/>
  <c r="F317" i="20" s="1"/>
  <c r="W108" i="20"/>
  <c r="D108" i="20"/>
  <c r="E108" i="20" s="1"/>
  <c r="F108" i="20" s="1"/>
  <c r="W371" i="20"/>
  <c r="D371" i="20"/>
  <c r="E371" i="20" s="1"/>
  <c r="F371" i="20" s="1"/>
  <c r="W189" i="20"/>
  <c r="D189" i="20"/>
  <c r="E189" i="20" s="1"/>
  <c r="F189" i="20" s="1"/>
  <c r="W44" i="20"/>
  <c r="D44" i="20"/>
  <c r="E44" i="20" s="1"/>
  <c r="F44" i="20" s="1"/>
  <c r="D295" i="20"/>
  <c r="E295" i="20" s="1"/>
  <c r="F295" i="20" s="1"/>
  <c r="W295" i="20"/>
  <c r="W337" i="20"/>
  <c r="D337" i="20"/>
  <c r="E337" i="20" s="1"/>
  <c r="F337" i="20" s="1"/>
  <c r="J89" i="18"/>
  <c r="C89" i="6" s="1"/>
  <c r="I89" i="18"/>
  <c r="B89" i="6" s="1"/>
  <c r="BA89" i="6" s="1"/>
  <c r="I344" i="18"/>
  <c r="B344" i="6" s="1"/>
  <c r="BA344" i="6" s="1"/>
  <c r="J344" i="18"/>
  <c r="C344" i="6" s="1"/>
  <c r="J20" i="18"/>
  <c r="C20" i="6" s="1"/>
  <c r="I20" i="18"/>
  <c r="B20" i="6" s="1"/>
  <c r="BA20" i="6" s="1"/>
  <c r="I296" i="18"/>
  <c r="B296" i="6" s="1"/>
  <c r="BA296" i="6" s="1"/>
  <c r="J296" i="18"/>
  <c r="C296" i="6" s="1"/>
  <c r="J224" i="18"/>
  <c r="C224" i="6" s="1"/>
  <c r="I224" i="18"/>
  <c r="B224" i="6" s="1"/>
  <c r="BA224" i="6" s="1"/>
  <c r="J189" i="18"/>
  <c r="C189" i="6" s="1"/>
  <c r="I189" i="18"/>
  <c r="B189" i="6" s="1"/>
  <c r="BA189" i="6" s="1"/>
  <c r="I102" i="18"/>
  <c r="B102" i="6" s="1"/>
  <c r="BA102" i="6" s="1"/>
  <c r="J102" i="18"/>
  <c r="C102" i="6" s="1"/>
  <c r="J163" i="18"/>
  <c r="C163" i="6" s="1"/>
  <c r="I163" i="18"/>
  <c r="B163" i="6" s="1"/>
  <c r="BA163" i="6" s="1"/>
  <c r="I275" i="18"/>
  <c r="B275" i="6" s="1"/>
  <c r="BA275" i="6" s="1"/>
  <c r="J275" i="18"/>
  <c r="C275" i="6" s="1"/>
  <c r="I375" i="18"/>
  <c r="B375" i="6" s="1"/>
  <c r="BA375" i="6" s="1"/>
  <c r="J375" i="18"/>
  <c r="C375" i="6" s="1"/>
  <c r="J316" i="18"/>
  <c r="C316" i="6" s="1"/>
  <c r="I316" i="18"/>
  <c r="B316" i="6" s="1"/>
  <c r="BA316" i="6" s="1"/>
  <c r="J345" i="18"/>
  <c r="C345" i="6" s="1"/>
  <c r="I345" i="18"/>
  <c r="B345" i="6" s="1"/>
  <c r="BA345" i="6" s="1"/>
  <c r="J232" i="18"/>
  <c r="C232" i="6" s="1"/>
  <c r="I232" i="18"/>
  <c r="B232" i="6" s="1"/>
  <c r="BA232" i="6" s="1"/>
  <c r="I219" i="18"/>
  <c r="B219" i="6" s="1"/>
  <c r="BA219" i="6" s="1"/>
  <c r="J219" i="18"/>
  <c r="C219" i="6" s="1"/>
  <c r="J187" i="18"/>
  <c r="C187" i="6" s="1"/>
  <c r="I187" i="18"/>
  <c r="B187" i="6" s="1"/>
  <c r="BA187" i="6" s="1"/>
  <c r="J35" i="18"/>
  <c r="C35" i="6" s="1"/>
  <c r="I35" i="18"/>
  <c r="B35" i="6" s="1"/>
  <c r="BA35" i="6" s="1"/>
  <c r="I220" i="18"/>
  <c r="B220" i="6" s="1"/>
  <c r="BA220" i="6" s="1"/>
  <c r="J220" i="18"/>
  <c r="C220" i="6" s="1"/>
  <c r="H333" i="18"/>
  <c r="G333" i="18"/>
  <c r="CA333" i="6" s="1"/>
  <c r="AA333" i="18"/>
  <c r="Z333" i="18" s="1"/>
  <c r="Y333" i="18" s="1"/>
  <c r="J153" i="18"/>
  <c r="C153" i="6" s="1"/>
  <c r="I153" i="18"/>
  <c r="B153" i="6" s="1"/>
  <c r="BA153" i="6" s="1"/>
  <c r="J249" i="18"/>
  <c r="C249" i="6" s="1"/>
  <c r="I249" i="18"/>
  <c r="B249" i="6" s="1"/>
  <c r="BA249" i="6" s="1"/>
  <c r="J166" i="18"/>
  <c r="C166" i="6" s="1"/>
  <c r="I166" i="18"/>
  <c r="B166" i="6" s="1"/>
  <c r="BA166" i="6" s="1"/>
  <c r="I308" i="18"/>
  <c r="B308" i="6" s="1"/>
  <c r="BA308" i="6" s="1"/>
  <c r="J308" i="18"/>
  <c r="C308" i="6" s="1"/>
  <c r="I68" i="18"/>
  <c r="B68" i="6" s="1"/>
  <c r="BA68" i="6" s="1"/>
  <c r="J68" i="18"/>
  <c r="C68" i="6" s="1"/>
  <c r="J331" i="18"/>
  <c r="C331" i="6" s="1"/>
  <c r="I331" i="18"/>
  <c r="B331" i="6" s="1"/>
  <c r="BA331" i="6" s="1"/>
  <c r="J165" i="18"/>
  <c r="C165" i="6" s="1"/>
  <c r="I165" i="18"/>
  <c r="B165" i="6" s="1"/>
  <c r="BA165" i="6" s="1"/>
  <c r="J49" i="18"/>
  <c r="C49" i="6" s="1"/>
  <c r="I49" i="18"/>
  <c r="B49" i="6" s="1"/>
  <c r="BA49" i="6" s="1"/>
  <c r="J31" i="18"/>
  <c r="C31" i="6" s="1"/>
  <c r="I31" i="18"/>
  <c r="B31" i="6" s="1"/>
  <c r="BA31" i="6" s="1"/>
  <c r="J185" i="18"/>
  <c r="C185" i="6" s="1"/>
  <c r="I185" i="18"/>
  <c r="B185" i="6" s="1"/>
  <c r="BA185" i="6" s="1"/>
  <c r="I211" i="18"/>
  <c r="B211" i="6" s="1"/>
  <c r="BA211" i="6" s="1"/>
  <c r="J211" i="18"/>
  <c r="C211" i="6" s="1"/>
  <c r="I101" i="18"/>
  <c r="B101" i="6" s="1"/>
  <c r="BA101" i="6" s="1"/>
  <c r="J101" i="18"/>
  <c r="C101" i="6" s="1"/>
  <c r="I378" i="18"/>
  <c r="B378" i="6" s="1"/>
  <c r="BA378" i="6" s="1"/>
  <c r="J378" i="18"/>
  <c r="C378" i="6" s="1"/>
  <c r="I291" i="18"/>
  <c r="B291" i="6" s="1"/>
  <c r="BA291" i="6" s="1"/>
  <c r="J291" i="18"/>
  <c r="C291" i="6" s="1"/>
  <c r="J270" i="18"/>
  <c r="C270" i="6" s="1"/>
  <c r="I270" i="18"/>
  <c r="B270" i="6" s="1"/>
  <c r="BA270" i="6" s="1"/>
  <c r="I40" i="18"/>
  <c r="B40" i="6" s="1"/>
  <c r="BA40" i="6" s="1"/>
  <c r="J40" i="18"/>
  <c r="C40" i="6" s="1"/>
  <c r="J117" i="18"/>
  <c r="C117" i="6" s="1"/>
  <c r="I117" i="18"/>
  <c r="B117" i="6" s="1"/>
  <c r="BA117" i="6" s="1"/>
  <c r="J152" i="18"/>
  <c r="C152" i="6" s="1"/>
  <c r="I152" i="18"/>
  <c r="B152" i="6" s="1"/>
  <c r="BA152" i="6" s="1"/>
  <c r="I194" i="18"/>
  <c r="B194" i="6" s="1"/>
  <c r="BA194" i="6" s="1"/>
  <c r="J194" i="18"/>
  <c r="C194" i="6" s="1"/>
  <c r="J124" i="18"/>
  <c r="C124" i="6" s="1"/>
  <c r="I124" i="18"/>
  <c r="B124" i="6" s="1"/>
  <c r="BA124" i="6" s="1"/>
  <c r="J43" i="18"/>
  <c r="C43" i="6" s="1"/>
  <c r="I43" i="18"/>
  <c r="B43" i="6" s="1"/>
  <c r="BA43" i="6" s="1"/>
  <c r="I235" i="18"/>
  <c r="B235" i="6" s="1"/>
  <c r="BA235" i="6" s="1"/>
  <c r="J235" i="18"/>
  <c r="C235" i="6" s="1"/>
  <c r="J147" i="18"/>
  <c r="C147" i="6" s="1"/>
  <c r="I147" i="18"/>
  <c r="B147" i="6" s="1"/>
  <c r="BA147" i="6" s="1"/>
  <c r="I295" i="18"/>
  <c r="B295" i="6" s="1"/>
  <c r="BA295" i="6" s="1"/>
  <c r="J295" i="18"/>
  <c r="C295" i="6" s="1"/>
  <c r="J58" i="18"/>
  <c r="C58" i="6" s="1"/>
  <c r="I58" i="18"/>
  <c r="B58" i="6" s="1"/>
  <c r="BA58" i="6" s="1"/>
  <c r="I76" i="18"/>
  <c r="B76" i="6" s="1"/>
  <c r="BA76" i="6" s="1"/>
  <c r="J76" i="18"/>
  <c r="C76" i="6" s="1"/>
  <c r="J66" i="18"/>
  <c r="C66" i="6" s="1"/>
  <c r="I66" i="18"/>
  <c r="B66" i="6" s="1"/>
  <c r="BA66" i="6" s="1"/>
  <c r="I83" i="18"/>
  <c r="B83" i="6" s="1"/>
  <c r="BA83" i="6" s="1"/>
  <c r="J83" i="18"/>
  <c r="C83" i="6" s="1"/>
  <c r="J182" i="18"/>
  <c r="C182" i="6" s="1"/>
  <c r="I182" i="18"/>
  <c r="B182" i="6" s="1"/>
  <c r="BA182" i="6" s="1"/>
  <c r="J282" i="18"/>
  <c r="C282" i="6" s="1"/>
  <c r="I282" i="18"/>
  <c r="B282" i="6" s="1"/>
  <c r="BA282" i="6" s="1"/>
  <c r="R382" i="18"/>
  <c r="R381" i="18"/>
  <c r="R383" i="18"/>
  <c r="P15" i="18"/>
  <c r="J60" i="18"/>
  <c r="C60" i="6" s="1"/>
  <c r="I60" i="18"/>
  <c r="B60" i="6" s="1"/>
  <c r="BA60" i="6" s="1"/>
  <c r="J17" i="18"/>
  <c r="C17" i="6" s="1"/>
  <c r="I17" i="18"/>
  <c r="B17" i="6" s="1"/>
  <c r="BA17" i="6" s="1"/>
  <c r="J98" i="18"/>
  <c r="C98" i="6" s="1"/>
  <c r="I98" i="18"/>
  <c r="B98" i="6" s="1"/>
  <c r="BA98" i="6" s="1"/>
  <c r="I238" i="18"/>
  <c r="B238" i="6" s="1"/>
  <c r="BA238" i="6" s="1"/>
  <c r="J238" i="18"/>
  <c r="C238" i="6" s="1"/>
  <c r="I261" i="18"/>
  <c r="B261" i="6" s="1"/>
  <c r="BA261" i="6" s="1"/>
  <c r="J261" i="18"/>
  <c r="C261" i="6" s="1"/>
  <c r="J247" i="18"/>
  <c r="C247" i="6" s="1"/>
  <c r="I247" i="18"/>
  <c r="B247" i="6" s="1"/>
  <c r="BA247" i="6" s="1"/>
  <c r="J186" i="18"/>
  <c r="C186" i="6" s="1"/>
  <c r="I186" i="18"/>
  <c r="B186" i="6" s="1"/>
  <c r="BA186" i="6" s="1"/>
  <c r="I85" i="18"/>
  <c r="B85" i="6" s="1"/>
  <c r="BA85" i="6" s="1"/>
  <c r="J85" i="18"/>
  <c r="C85" i="6" s="1"/>
  <c r="J277" i="18"/>
  <c r="C277" i="6" s="1"/>
  <c r="I277" i="18"/>
  <c r="B277" i="6" s="1"/>
  <c r="BA277" i="6" s="1"/>
  <c r="J99" i="18"/>
  <c r="C99" i="6" s="1"/>
  <c r="I99" i="18"/>
  <c r="B99" i="6" s="1"/>
  <c r="BA99" i="6" s="1"/>
  <c r="J268" i="18"/>
  <c r="C268" i="6" s="1"/>
  <c r="I268" i="18"/>
  <c r="B268" i="6" s="1"/>
  <c r="BA268" i="6" s="1"/>
  <c r="I113" i="18"/>
  <c r="B113" i="6" s="1"/>
  <c r="BA113" i="6" s="1"/>
  <c r="J113" i="18"/>
  <c r="C113" i="6" s="1"/>
  <c r="I193" i="18"/>
  <c r="B193" i="6" s="1"/>
  <c r="BA193" i="6" s="1"/>
  <c r="J193" i="18"/>
  <c r="C193" i="6" s="1"/>
  <c r="I42" i="18"/>
  <c r="B42" i="6" s="1"/>
  <c r="BA42" i="6" s="1"/>
  <c r="J42" i="18"/>
  <c r="C42" i="6" s="1"/>
  <c r="I44" i="18"/>
  <c r="B44" i="6" s="1"/>
  <c r="BA44" i="6" s="1"/>
  <c r="J44" i="18"/>
  <c r="C44" i="6" s="1"/>
  <c r="I81" i="18"/>
  <c r="B81" i="6" s="1"/>
  <c r="BA81" i="6" s="1"/>
  <c r="J81" i="18"/>
  <c r="C81" i="6" s="1"/>
  <c r="J19" i="18"/>
  <c r="C19" i="6" s="1"/>
  <c r="I19" i="18"/>
  <c r="B19" i="6" s="1"/>
  <c r="BA19" i="6" s="1"/>
  <c r="J67" i="18"/>
  <c r="C67" i="6" s="1"/>
  <c r="I67" i="18"/>
  <c r="B67" i="6" s="1"/>
  <c r="BA67" i="6" s="1"/>
  <c r="I191" i="18"/>
  <c r="B191" i="6" s="1"/>
  <c r="BA191" i="6" s="1"/>
  <c r="J191" i="18"/>
  <c r="C191" i="6" s="1"/>
  <c r="I126" i="18"/>
  <c r="B126" i="6" s="1"/>
  <c r="BA126" i="6" s="1"/>
  <c r="J126" i="18"/>
  <c r="C126" i="6" s="1"/>
  <c r="I223" i="18"/>
  <c r="B223" i="6" s="1"/>
  <c r="BA223" i="6" s="1"/>
  <c r="J223" i="18"/>
  <c r="C223" i="6" s="1"/>
  <c r="I245" i="18"/>
  <c r="B245" i="6" s="1"/>
  <c r="BA245" i="6" s="1"/>
  <c r="J245" i="18"/>
  <c r="C245" i="6" s="1"/>
  <c r="I164" i="18"/>
  <c r="B164" i="6" s="1"/>
  <c r="BA164" i="6" s="1"/>
  <c r="J164" i="18"/>
  <c r="C164" i="6" s="1"/>
  <c r="I73" i="18"/>
  <c r="B73" i="6" s="1"/>
  <c r="BA73" i="6" s="1"/>
  <c r="J73" i="18"/>
  <c r="C73" i="6" s="1"/>
  <c r="J37" i="18"/>
  <c r="C37" i="6" s="1"/>
  <c r="I37" i="18"/>
  <c r="B37" i="6" s="1"/>
  <c r="BA37" i="6" s="1"/>
  <c r="J161" i="18"/>
  <c r="C161" i="6" s="1"/>
  <c r="I161" i="18"/>
  <c r="B161" i="6" s="1"/>
  <c r="BA161" i="6" s="1"/>
  <c r="I226" i="18"/>
  <c r="B226" i="6" s="1"/>
  <c r="BA226" i="6" s="1"/>
  <c r="J226" i="18"/>
  <c r="C226" i="6" s="1"/>
  <c r="I16" i="18"/>
  <c r="B16" i="6" s="1"/>
  <c r="BA16" i="6" s="1"/>
  <c r="J16" i="18"/>
  <c r="C16" i="6" s="1"/>
  <c r="J198" i="18"/>
  <c r="C198" i="6" s="1"/>
  <c r="I198" i="18"/>
  <c r="B198" i="6" s="1"/>
  <c r="BA198" i="6" s="1"/>
  <c r="I91" i="18"/>
  <c r="B91" i="6" s="1"/>
  <c r="BA91" i="6" s="1"/>
  <c r="J91" i="18"/>
  <c r="C91" i="6" s="1"/>
  <c r="J18" i="18"/>
  <c r="C18" i="6" s="1"/>
  <c r="I18" i="18"/>
  <c r="B18" i="6" s="1"/>
  <c r="BA18" i="6" s="1"/>
  <c r="I286" i="18"/>
  <c r="B286" i="6" s="1"/>
  <c r="BA286" i="6" s="1"/>
  <c r="J286" i="18"/>
  <c r="C286" i="6" s="1"/>
  <c r="J255" i="18"/>
  <c r="C255" i="6" s="1"/>
  <c r="I255" i="18"/>
  <c r="B255" i="6" s="1"/>
  <c r="BA255" i="6" s="1"/>
  <c r="I36" i="18"/>
  <c r="B36" i="6" s="1"/>
  <c r="BA36" i="6" s="1"/>
  <c r="J36" i="18"/>
  <c r="C36" i="6" s="1"/>
  <c r="I169" i="18"/>
  <c r="B169" i="6" s="1"/>
  <c r="BA169" i="6" s="1"/>
  <c r="J169" i="18"/>
  <c r="C169" i="6" s="1"/>
  <c r="J64" i="18"/>
  <c r="C64" i="6" s="1"/>
  <c r="I64" i="18"/>
  <c r="B64" i="6" s="1"/>
  <c r="BA64" i="6" s="1"/>
  <c r="J131" i="18"/>
  <c r="C131" i="6" s="1"/>
  <c r="I131" i="18"/>
  <c r="B131" i="6" s="1"/>
  <c r="BA131" i="6" s="1"/>
  <c r="I248" i="18"/>
  <c r="B248" i="6" s="1"/>
  <c r="BA248" i="6" s="1"/>
  <c r="J248" i="18"/>
  <c r="C248" i="6" s="1"/>
  <c r="J140" i="18"/>
  <c r="C140" i="6" s="1"/>
  <c r="I140" i="18"/>
  <c r="B140" i="6" s="1"/>
  <c r="BA140" i="6" s="1"/>
  <c r="J55" i="18"/>
  <c r="C55" i="6" s="1"/>
  <c r="I55" i="18"/>
  <c r="B55" i="6" s="1"/>
  <c r="BA55" i="6" s="1"/>
  <c r="AJ8" i="18"/>
  <c r="D383" i="18"/>
  <c r="H184" i="20"/>
  <c r="I184" i="20" s="1"/>
  <c r="H269" i="18"/>
  <c r="G269" i="18"/>
  <c r="CA269" i="6" s="1"/>
  <c r="AA269" i="18"/>
  <c r="Z269" i="18" s="1"/>
  <c r="Y269" i="18" s="1"/>
  <c r="H349" i="18"/>
  <c r="AA349" i="18"/>
  <c r="Z349" i="18" s="1"/>
  <c r="Y349" i="18" s="1"/>
  <c r="G349" i="18"/>
  <c r="CA349" i="6" s="1"/>
  <c r="I351" i="18"/>
  <c r="B351" i="6" s="1"/>
  <c r="BA351" i="6" s="1"/>
  <c r="J351" i="18"/>
  <c r="C351" i="6" s="1"/>
  <c r="I318" i="18"/>
  <c r="B318" i="6" s="1"/>
  <c r="BA318" i="6" s="1"/>
  <c r="J318" i="18"/>
  <c r="C318" i="6" s="1"/>
  <c r="I356" i="18"/>
  <c r="B356" i="6" s="1"/>
  <c r="BA356" i="6" s="1"/>
  <c r="J356" i="18"/>
  <c r="C356" i="6" s="1"/>
  <c r="J323" i="18"/>
  <c r="C323" i="6" s="1"/>
  <c r="I323" i="18"/>
  <c r="B323" i="6" s="1"/>
  <c r="BA323" i="6" s="1"/>
  <c r="I364" i="18"/>
  <c r="B364" i="6" s="1"/>
  <c r="BA364" i="6" s="1"/>
  <c r="J364" i="18"/>
  <c r="C364" i="6" s="1"/>
  <c r="I341" i="18"/>
  <c r="B341" i="6" s="1"/>
  <c r="BA341" i="6" s="1"/>
  <c r="J341" i="18"/>
  <c r="C341" i="6" s="1"/>
  <c r="G59" i="18"/>
  <c r="CA59" i="6" s="1"/>
  <c r="H59" i="18"/>
  <c r="AA59" i="18"/>
  <c r="Z59" i="18" s="1"/>
  <c r="Y59" i="18" s="1"/>
  <c r="I353" i="18"/>
  <c r="B353" i="6" s="1"/>
  <c r="BA353" i="6" s="1"/>
  <c r="J353" i="18"/>
  <c r="C353" i="6" s="1"/>
  <c r="I350" i="18"/>
  <c r="B350" i="6" s="1"/>
  <c r="BA350" i="6" s="1"/>
  <c r="J350" i="18"/>
  <c r="C350" i="6" s="1"/>
  <c r="I335" i="18"/>
  <c r="B335" i="6" s="1"/>
  <c r="BA335" i="6" s="1"/>
  <c r="J335" i="18"/>
  <c r="C335" i="6" s="1"/>
  <c r="G74" i="18"/>
  <c r="CA74" i="6" s="1"/>
  <c r="AA74" i="18"/>
  <c r="Z74" i="18" s="1"/>
  <c r="Y74" i="18" s="1"/>
  <c r="H74" i="18"/>
  <c r="AA196" i="18"/>
  <c r="Z196" i="18" s="1"/>
  <c r="Y196" i="18" s="1"/>
  <c r="G196" i="18"/>
  <c r="CA196" i="6" s="1"/>
  <c r="H196" i="18"/>
  <c r="I326" i="18"/>
  <c r="B326" i="6" s="1"/>
  <c r="BA326" i="6" s="1"/>
  <c r="J326" i="18"/>
  <c r="C326" i="6" s="1"/>
  <c r="W244" i="20"/>
  <c r="D244" i="20"/>
  <c r="E244" i="20" s="1"/>
  <c r="F244" i="20" s="1"/>
  <c r="U305" i="22"/>
  <c r="T305" i="22" s="1"/>
  <c r="S305" i="22" s="1"/>
  <c r="R305" i="22" s="1"/>
  <c r="U370" i="22"/>
  <c r="T370" i="22" s="1"/>
  <c r="S370" i="22" s="1"/>
  <c r="R370" i="22" s="1"/>
  <c r="U307" i="22"/>
  <c r="T307" i="22" s="1"/>
  <c r="S307" i="22" s="1"/>
  <c r="R307" i="22" s="1"/>
  <c r="U321" i="22"/>
  <c r="T321" i="22" s="1"/>
  <c r="S321" i="22" s="1"/>
  <c r="R321" i="22" s="1"/>
  <c r="U351" i="22"/>
  <c r="T351" i="22" s="1"/>
  <c r="S351" i="22" s="1"/>
  <c r="R351" i="22" s="1"/>
  <c r="U262" i="22"/>
  <c r="T262" i="22" s="1"/>
  <c r="S262" i="22" s="1"/>
  <c r="R262" i="22" s="1"/>
  <c r="U53" i="22"/>
  <c r="T53" i="22" s="1"/>
  <c r="S53" i="22" s="1"/>
  <c r="R53" i="22" s="1"/>
  <c r="U216" i="22"/>
  <c r="T216" i="22" s="1"/>
  <c r="S216" i="22" s="1"/>
  <c r="R216" i="22" s="1"/>
  <c r="U378" i="22"/>
  <c r="T378" i="22" s="1"/>
  <c r="S378" i="22" s="1"/>
  <c r="R378" i="22" s="1"/>
  <c r="U319" i="22"/>
  <c r="T319" i="22" s="1"/>
  <c r="S319" i="22" s="1"/>
  <c r="R319" i="22" s="1"/>
  <c r="U89" i="22"/>
  <c r="T89" i="22" s="1"/>
  <c r="S89" i="22" s="1"/>
  <c r="R89" i="22" s="1"/>
  <c r="U81" i="22"/>
  <c r="T81" i="22" s="1"/>
  <c r="S81" i="22" s="1"/>
  <c r="R81" i="22" s="1"/>
  <c r="U243" i="22"/>
  <c r="T243" i="22" s="1"/>
  <c r="S243" i="22" s="1"/>
  <c r="R243" i="22" s="1"/>
  <c r="U43" i="22"/>
  <c r="T43" i="22" s="1"/>
  <c r="S43" i="22" s="1"/>
  <c r="R43" i="22" s="1"/>
  <c r="U197" i="22"/>
  <c r="T197" i="22" s="1"/>
  <c r="S197" i="22" s="1"/>
  <c r="R197" i="22" s="1"/>
  <c r="U146" i="22"/>
  <c r="T146" i="22" s="1"/>
  <c r="S146" i="22" s="1"/>
  <c r="R146" i="22" s="1"/>
  <c r="U105" i="22"/>
  <c r="T105" i="22" s="1"/>
  <c r="S105" i="22" s="1"/>
  <c r="R105" i="22" s="1"/>
  <c r="U189" i="22"/>
  <c r="T189" i="22" s="1"/>
  <c r="S189" i="22" s="1"/>
  <c r="R189" i="22" s="1"/>
  <c r="U118" i="22"/>
  <c r="T118" i="22" s="1"/>
  <c r="S118" i="22" s="1"/>
  <c r="R118" i="22" s="1"/>
  <c r="U120" i="22"/>
  <c r="T120" i="22" s="1"/>
  <c r="S120" i="22" s="1"/>
  <c r="R120" i="22" s="1"/>
  <c r="U236" i="22"/>
  <c r="T236" i="22" s="1"/>
  <c r="S236" i="22" s="1"/>
  <c r="R236" i="22" s="1"/>
  <c r="U271" i="22"/>
  <c r="T271" i="22" s="1"/>
  <c r="S271" i="22" s="1"/>
  <c r="R271" i="22" s="1"/>
  <c r="U276" i="22"/>
  <c r="T276" i="22" s="1"/>
  <c r="S276" i="22" s="1"/>
  <c r="R276" i="22" s="1"/>
  <c r="U67" i="22"/>
  <c r="T67" i="22" s="1"/>
  <c r="S67" i="22" s="1"/>
  <c r="R67" i="22" s="1"/>
  <c r="U379" i="22"/>
  <c r="U358" i="22"/>
  <c r="T358" i="22" s="1"/>
  <c r="S358" i="22" s="1"/>
  <c r="R358" i="22" s="1"/>
  <c r="U149" i="22"/>
  <c r="T149" i="22" s="1"/>
  <c r="S149" i="22" s="1"/>
  <c r="R149" i="22" s="1"/>
  <c r="U312" i="22"/>
  <c r="T312" i="22" s="1"/>
  <c r="S312" i="22" s="1"/>
  <c r="R312" i="22" s="1"/>
  <c r="U103" i="22"/>
  <c r="T103" i="22" s="1"/>
  <c r="S103" i="22" s="1"/>
  <c r="R103" i="22" s="1"/>
  <c r="U249" i="22"/>
  <c r="T249" i="22" s="1"/>
  <c r="S249" i="22" s="1"/>
  <c r="R249" i="22" s="1"/>
  <c r="U185" i="22"/>
  <c r="T185" i="22" s="1"/>
  <c r="S185" i="22" s="1"/>
  <c r="R185" i="22" s="1"/>
  <c r="U206" i="22"/>
  <c r="T206" i="22" s="1"/>
  <c r="S206" i="22" s="1"/>
  <c r="R206" i="22" s="1"/>
  <c r="U164" i="22"/>
  <c r="T164" i="22" s="1"/>
  <c r="S164" i="22" s="1"/>
  <c r="R164" i="22" s="1"/>
  <c r="U297" i="22"/>
  <c r="T297" i="22" s="1"/>
  <c r="S297" i="22" s="1"/>
  <c r="R297" i="22" s="1"/>
  <c r="U290" i="22"/>
  <c r="T290" i="22" s="1"/>
  <c r="S290" i="22" s="1"/>
  <c r="R290" i="22" s="1"/>
  <c r="U308" i="22"/>
  <c r="T308" i="22" s="1"/>
  <c r="S308" i="22" s="1"/>
  <c r="R308" i="22" s="1"/>
  <c r="U317" i="22"/>
  <c r="T317" i="22" s="1"/>
  <c r="S317" i="22" s="1"/>
  <c r="R317" i="22" s="1"/>
  <c r="U241" i="22"/>
  <c r="T241" i="22" s="1"/>
  <c r="S241" i="22" s="1"/>
  <c r="R241" i="22" s="1"/>
  <c r="U147" i="22"/>
  <c r="T147" i="22" s="1"/>
  <c r="S147" i="22" s="1"/>
  <c r="R147" i="22" s="1"/>
  <c r="U310" i="22"/>
  <c r="T310" i="22" s="1"/>
  <c r="S310" i="22" s="1"/>
  <c r="R310" i="22" s="1"/>
  <c r="U101" i="22"/>
  <c r="T101" i="22" s="1"/>
  <c r="S101" i="22" s="1"/>
  <c r="R101" i="22" s="1"/>
  <c r="U50" i="22"/>
  <c r="T50" i="22" s="1"/>
  <c r="S50" i="22" s="1"/>
  <c r="R50" i="22" s="1"/>
  <c r="U380" i="22"/>
  <c r="T380" i="22" s="1"/>
  <c r="S380" i="22" s="1"/>
  <c r="R380" i="22" s="1"/>
  <c r="U183" i="22"/>
  <c r="T183" i="22" s="1"/>
  <c r="S183" i="22" s="1"/>
  <c r="R183" i="22" s="1"/>
  <c r="U354" i="22"/>
  <c r="T354" i="22" s="1"/>
  <c r="S354" i="22" s="1"/>
  <c r="R354" i="22" s="1"/>
  <c r="U129" i="22"/>
  <c r="T129" i="22" s="1"/>
  <c r="S129" i="22" s="1"/>
  <c r="R129" i="22" s="1"/>
  <c r="U291" i="22"/>
  <c r="T291" i="22" s="1"/>
  <c r="S291" i="22" s="1"/>
  <c r="R291" i="22" s="1"/>
  <c r="U232" i="22"/>
  <c r="T232" i="22" s="1"/>
  <c r="S232" i="22" s="1"/>
  <c r="R232" i="22" s="1"/>
  <c r="U282" i="22"/>
  <c r="T282" i="22" s="1"/>
  <c r="S282" i="22" s="1"/>
  <c r="R282" i="22" s="1"/>
  <c r="U364" i="22"/>
  <c r="T364" i="22" s="1"/>
  <c r="S364" i="22" s="1"/>
  <c r="R364" i="22" s="1"/>
  <c r="U362" i="22"/>
  <c r="T362" i="22" s="1"/>
  <c r="S362" i="22" s="1"/>
  <c r="R362" i="22" s="1"/>
  <c r="U25" i="22"/>
  <c r="T25" i="22" s="1"/>
  <c r="S25" i="22" s="1"/>
  <c r="R25" i="22" s="1"/>
  <c r="U314" i="22"/>
  <c r="T314" i="22" s="1"/>
  <c r="S314" i="22" s="1"/>
  <c r="R314" i="22" s="1"/>
  <c r="U352" i="22"/>
  <c r="T352" i="22" s="1"/>
  <c r="S352" i="22" s="1"/>
  <c r="R352" i="22" s="1"/>
  <c r="U60" i="22"/>
  <c r="T60" i="22" s="1"/>
  <c r="S60" i="22" s="1"/>
  <c r="R60" i="22" s="1"/>
  <c r="U93" i="22"/>
  <c r="T93" i="22" s="1"/>
  <c r="S93" i="22" s="1"/>
  <c r="R93" i="22" s="1"/>
  <c r="U144" i="22"/>
  <c r="T144" i="22" s="1"/>
  <c r="S144" i="22" s="1"/>
  <c r="R144" i="22" s="1"/>
  <c r="U353" i="22"/>
  <c r="T353" i="22" s="1"/>
  <c r="S353" i="22" s="1"/>
  <c r="R353" i="22" s="1"/>
  <c r="U207" i="22"/>
  <c r="T207" i="22" s="1"/>
  <c r="S207" i="22" s="1"/>
  <c r="R207" i="22" s="1"/>
  <c r="U36" i="22"/>
  <c r="T36" i="22" s="1"/>
  <c r="S36" i="22" s="1"/>
  <c r="R36" i="22" s="1"/>
  <c r="U179" i="22"/>
  <c r="T179" i="22" s="1"/>
  <c r="S179" i="22" s="1"/>
  <c r="R179" i="22" s="1"/>
  <c r="U16" i="22"/>
  <c r="T16" i="22" s="1"/>
  <c r="S16" i="22" s="1"/>
  <c r="R16" i="22" s="1"/>
  <c r="U114" i="22"/>
  <c r="T114" i="22" s="1"/>
  <c r="S114" i="22" s="1"/>
  <c r="R114" i="22" s="1"/>
  <c r="U374" i="22"/>
  <c r="T374" i="22" s="1"/>
  <c r="S374" i="22" s="1"/>
  <c r="R374" i="22" s="1"/>
  <c r="U49" i="22"/>
  <c r="T49" i="22" s="1"/>
  <c r="S49" i="22" s="1"/>
  <c r="R49" i="22" s="1"/>
  <c r="U268" i="22"/>
  <c r="T268" i="22" s="1"/>
  <c r="S268" i="22" s="1"/>
  <c r="R268" i="22" s="1"/>
  <c r="U127" i="22"/>
  <c r="T127" i="22" s="1"/>
  <c r="S127" i="22" s="1"/>
  <c r="R127" i="22" s="1"/>
  <c r="U186" i="22"/>
  <c r="T186" i="22" s="1"/>
  <c r="S186" i="22" s="1"/>
  <c r="R186" i="22" s="1"/>
  <c r="U24" i="22"/>
  <c r="T24" i="22" s="1"/>
  <c r="S24" i="22" s="1"/>
  <c r="R24" i="22" s="1"/>
  <c r="U224" i="22"/>
  <c r="T224" i="22" s="1"/>
  <c r="S224" i="22" s="1"/>
  <c r="R224" i="22" s="1"/>
  <c r="U70" i="22"/>
  <c r="T70" i="22" s="1"/>
  <c r="S70" i="22" s="1"/>
  <c r="R70" i="22" s="1"/>
  <c r="J258" i="18"/>
  <c r="C258" i="6" s="1"/>
  <c r="I258" i="18"/>
  <c r="B258" i="6" s="1"/>
  <c r="BA258" i="6" s="1"/>
  <c r="D62" i="20"/>
  <c r="E62" i="20" s="1"/>
  <c r="F62" i="20" s="1"/>
  <c r="W62" i="20"/>
  <c r="J342" i="18"/>
  <c r="C342" i="6" s="1"/>
  <c r="I342" i="18"/>
  <c r="B342" i="6" s="1"/>
  <c r="BA342" i="6" s="1"/>
  <c r="I322" i="18"/>
  <c r="B322" i="6" s="1"/>
  <c r="BA322" i="6" s="1"/>
  <c r="J322" i="18"/>
  <c r="C322" i="6" s="1"/>
  <c r="AA87" i="18"/>
  <c r="Z87" i="18" s="1"/>
  <c r="Y87" i="18" s="1"/>
  <c r="H87" i="18"/>
  <c r="G87" i="18"/>
  <c r="CA87" i="6" s="1"/>
  <c r="J328" i="18"/>
  <c r="C328" i="6" s="1"/>
  <c r="I328" i="18"/>
  <c r="B328" i="6" s="1"/>
  <c r="BA328" i="6" s="1"/>
  <c r="J368" i="18"/>
  <c r="C368" i="6" s="1"/>
  <c r="I368" i="18"/>
  <c r="B368" i="6" s="1"/>
  <c r="BA368" i="6" s="1"/>
  <c r="I311" i="18"/>
  <c r="B311" i="6" s="1"/>
  <c r="BA311" i="6" s="1"/>
  <c r="J311" i="18"/>
  <c r="C311" i="6" s="1"/>
  <c r="AA302" i="18"/>
  <c r="Z302" i="18" s="1"/>
  <c r="Y302" i="18" s="1"/>
  <c r="H302" i="18"/>
  <c r="G302" i="18"/>
  <c r="CA302" i="6" s="1"/>
  <c r="I320" i="18"/>
  <c r="B320" i="6" s="1"/>
  <c r="BA320" i="6" s="1"/>
  <c r="J320" i="18"/>
  <c r="C320" i="6" s="1"/>
  <c r="J357" i="18"/>
  <c r="C357" i="6" s="1"/>
  <c r="I357" i="18"/>
  <c r="B357" i="6" s="1"/>
  <c r="BA357" i="6" s="1"/>
  <c r="J305" i="18"/>
  <c r="C305" i="6" s="1"/>
  <c r="I305" i="18"/>
  <c r="B305" i="6" s="1"/>
  <c r="BA305" i="6" s="1"/>
  <c r="J300" i="18"/>
  <c r="C300" i="6" s="1"/>
  <c r="I300" i="18"/>
  <c r="B300" i="6" s="1"/>
  <c r="BA300" i="6" s="1"/>
  <c r="J343" i="18"/>
  <c r="C343" i="6" s="1"/>
  <c r="I343" i="18"/>
  <c r="B343" i="6" s="1"/>
  <c r="BA343" i="6" s="1"/>
  <c r="J241" i="18"/>
  <c r="C241" i="6" s="1"/>
  <c r="I241" i="18"/>
  <c r="B241" i="6" s="1"/>
  <c r="BA241" i="6" s="1"/>
  <c r="J236" i="18"/>
  <c r="C236" i="6" s="1"/>
  <c r="I236" i="18"/>
  <c r="B236" i="6" s="1"/>
  <c r="BA236" i="6" s="1"/>
  <c r="J22" i="18"/>
  <c r="C22" i="6" s="1"/>
  <c r="I22" i="18"/>
  <c r="B22" i="6" s="1"/>
  <c r="BA22" i="6" s="1"/>
  <c r="I310" i="18"/>
  <c r="B310" i="6" s="1"/>
  <c r="BA310" i="6" s="1"/>
  <c r="J310" i="18"/>
  <c r="C310" i="6" s="1"/>
  <c r="J274" i="18"/>
  <c r="C274" i="6" s="1"/>
  <c r="I274" i="18"/>
  <c r="B274" i="6" s="1"/>
  <c r="BA274" i="6" s="1"/>
  <c r="J132" i="18"/>
  <c r="C132" i="6" s="1"/>
  <c r="I132" i="18"/>
  <c r="B132" i="6" s="1"/>
  <c r="BA132" i="6" s="1"/>
  <c r="I301" i="18"/>
  <c r="B301" i="6" s="1"/>
  <c r="BA301" i="6" s="1"/>
  <c r="J301" i="18"/>
  <c r="C301" i="6" s="1"/>
  <c r="J168" i="18"/>
  <c r="C168" i="6" s="1"/>
  <c r="I168" i="18"/>
  <c r="B168" i="6" s="1"/>
  <c r="BA168" i="6" s="1"/>
  <c r="J216" i="18"/>
  <c r="C216" i="6" s="1"/>
  <c r="I216" i="18"/>
  <c r="B216" i="6" s="1"/>
  <c r="BA216" i="6" s="1"/>
  <c r="J225" i="18"/>
  <c r="C225" i="6" s="1"/>
  <c r="I225" i="18"/>
  <c r="B225" i="6" s="1"/>
  <c r="BA225" i="6" s="1"/>
  <c r="J372" i="18"/>
  <c r="C372" i="6" s="1"/>
  <c r="I372" i="18"/>
  <c r="B372" i="6" s="1"/>
  <c r="BA372" i="6" s="1"/>
  <c r="I105" i="18"/>
  <c r="B105" i="6" s="1"/>
  <c r="BA105" i="6" s="1"/>
  <c r="J105" i="18"/>
  <c r="C105" i="6" s="1"/>
  <c r="J154" i="18"/>
  <c r="C154" i="6" s="1"/>
  <c r="I154" i="18"/>
  <c r="B154" i="6" s="1"/>
  <c r="BA154" i="6" s="1"/>
  <c r="I253" i="18"/>
  <c r="B253" i="6" s="1"/>
  <c r="BA253" i="6" s="1"/>
  <c r="J253" i="18"/>
  <c r="C253" i="6" s="1"/>
  <c r="J213" i="18"/>
  <c r="C213" i="6" s="1"/>
  <c r="I213" i="18"/>
  <c r="B213" i="6" s="1"/>
  <c r="BA213" i="6" s="1"/>
  <c r="I28" i="18"/>
  <c r="B28" i="6" s="1"/>
  <c r="BA28" i="6" s="1"/>
  <c r="J28" i="18"/>
  <c r="C28" i="6" s="1"/>
  <c r="J367" i="18"/>
  <c r="C367" i="6" s="1"/>
  <c r="I367" i="18"/>
  <c r="B367" i="6" s="1"/>
  <c r="BA367" i="6" s="1"/>
  <c r="J183" i="18"/>
  <c r="C183" i="6" s="1"/>
  <c r="I183" i="18"/>
  <c r="B183" i="6" s="1"/>
  <c r="BA183" i="6" s="1"/>
  <c r="J251" i="18"/>
  <c r="C251" i="6" s="1"/>
  <c r="I251" i="18"/>
  <c r="B251" i="6" s="1"/>
  <c r="BA251" i="6" s="1"/>
  <c r="I188" i="18"/>
  <c r="B188" i="6" s="1"/>
  <c r="BA188" i="6" s="1"/>
  <c r="J188" i="18"/>
  <c r="C188" i="6" s="1"/>
  <c r="J176" i="18"/>
  <c r="C176" i="6" s="1"/>
  <c r="I176" i="18"/>
  <c r="B176" i="6" s="1"/>
  <c r="BA176" i="6" s="1"/>
  <c r="J65" i="18"/>
  <c r="C65" i="6" s="1"/>
  <c r="I90" i="18"/>
  <c r="B90" i="6" s="1"/>
  <c r="BA90" i="6" s="1"/>
  <c r="J90" i="18"/>
  <c r="C90" i="6" s="1"/>
  <c r="J195" i="18"/>
  <c r="C195" i="6" s="1"/>
  <c r="I195" i="18"/>
  <c r="B195" i="6" s="1"/>
  <c r="BA195" i="6" s="1"/>
  <c r="J158" i="18"/>
  <c r="C158" i="6" s="1"/>
  <c r="I158" i="18"/>
  <c r="B158" i="6" s="1"/>
  <c r="BA158" i="6" s="1"/>
  <c r="J244" i="18"/>
  <c r="C244" i="6" s="1"/>
  <c r="I244" i="18"/>
  <c r="B244" i="6" s="1"/>
  <c r="BA244" i="6" s="1"/>
  <c r="J229" i="18"/>
  <c r="C229" i="6" s="1"/>
  <c r="I229" i="18"/>
  <c r="B229" i="6" s="1"/>
  <c r="BA229" i="6" s="1"/>
  <c r="J369" i="18"/>
  <c r="C369" i="6" s="1"/>
  <c r="I369" i="18"/>
  <c r="B369" i="6" s="1"/>
  <c r="BA369" i="6" s="1"/>
  <c r="J325" i="18"/>
  <c r="C325" i="6" s="1"/>
  <c r="I325" i="18"/>
  <c r="B325" i="6" s="1"/>
  <c r="BA325" i="6" s="1"/>
  <c r="I114" i="18"/>
  <c r="B114" i="6" s="1"/>
  <c r="BA114" i="6" s="1"/>
  <c r="J114" i="18"/>
  <c r="C114" i="6" s="1"/>
  <c r="J231" i="18"/>
  <c r="C231" i="6" s="1"/>
  <c r="I231" i="18"/>
  <c r="B231" i="6" s="1"/>
  <c r="BA231" i="6" s="1"/>
  <c r="I338" i="18"/>
  <c r="B338" i="6" s="1"/>
  <c r="BA338" i="6" s="1"/>
  <c r="J338" i="18"/>
  <c r="C338" i="6" s="1"/>
  <c r="I330" i="18"/>
  <c r="B330" i="6" s="1"/>
  <c r="BA330" i="6" s="1"/>
  <c r="J330" i="18"/>
  <c r="C330" i="6" s="1"/>
  <c r="J181" i="18"/>
  <c r="C181" i="6" s="1"/>
  <c r="I181" i="18"/>
  <c r="B181" i="6" s="1"/>
  <c r="BA181" i="6" s="1"/>
  <c r="J230" i="18"/>
  <c r="C230" i="6" s="1"/>
  <c r="I230" i="18"/>
  <c r="B230" i="6" s="1"/>
  <c r="BA230" i="6" s="1"/>
  <c r="I281" i="18"/>
  <c r="B281" i="6" s="1"/>
  <c r="BA281" i="6" s="1"/>
  <c r="J281" i="18"/>
  <c r="C281" i="6" s="1"/>
  <c r="J200" i="18"/>
  <c r="C200" i="6" s="1"/>
  <c r="I200" i="18"/>
  <c r="B200" i="6" s="1"/>
  <c r="BA200" i="6" s="1"/>
  <c r="I287" i="18"/>
  <c r="B287" i="6" s="1"/>
  <c r="BA287" i="6" s="1"/>
  <c r="J287" i="18"/>
  <c r="C287" i="6" s="1"/>
  <c r="I54" i="18"/>
  <c r="J54" i="18"/>
  <c r="C54" i="6" s="1"/>
  <c r="D28" i="20"/>
  <c r="E28" i="20" s="1"/>
  <c r="F28" i="20" s="1"/>
  <c r="W28" i="20"/>
  <c r="I173" i="18"/>
  <c r="B173" i="6" s="1"/>
  <c r="BA173" i="6" s="1"/>
  <c r="J173" i="18"/>
  <c r="C173" i="6" s="1"/>
  <c r="J39" i="18"/>
  <c r="C39" i="6" s="1"/>
  <c r="I39" i="18"/>
  <c r="B39" i="6" s="1"/>
  <c r="BA39" i="6" s="1"/>
  <c r="J30" i="18"/>
  <c r="C30" i="6" s="1"/>
  <c r="I30" i="18"/>
  <c r="B30" i="6" s="1"/>
  <c r="BA30" i="6" s="1"/>
  <c r="I115" i="18"/>
  <c r="B115" i="6" s="1"/>
  <c r="BA115" i="6" s="1"/>
  <c r="J115" i="18"/>
  <c r="C115" i="6" s="1"/>
  <c r="J289" i="18"/>
  <c r="C289" i="6" s="1"/>
  <c r="I289" i="18"/>
  <c r="B289" i="6" s="1"/>
  <c r="BA289" i="6" s="1"/>
  <c r="J334" i="18"/>
  <c r="C334" i="6" s="1"/>
  <c r="I334" i="18"/>
  <c r="B334" i="6" s="1"/>
  <c r="BA334" i="6" s="1"/>
  <c r="AG15" i="20"/>
  <c r="J312" i="18"/>
  <c r="C312" i="6" s="1"/>
  <c r="I312" i="18"/>
  <c r="B312" i="6" s="1"/>
  <c r="BA312" i="6" s="1"/>
  <c r="J155" i="18"/>
  <c r="C155" i="6" s="1"/>
  <c r="I155" i="18"/>
  <c r="B155" i="6" s="1"/>
  <c r="BA155" i="6" s="1"/>
  <c r="J332" i="18"/>
  <c r="C332" i="6" s="1"/>
  <c r="I332" i="18"/>
  <c r="B332" i="6" s="1"/>
  <c r="BA332" i="6" s="1"/>
  <c r="J203" i="18"/>
  <c r="C203" i="6" s="1"/>
  <c r="I203" i="18"/>
  <c r="B203" i="6" s="1"/>
  <c r="BA203" i="6" s="1"/>
  <c r="J41" i="18"/>
  <c r="C41" i="6" s="1"/>
  <c r="I41" i="18"/>
  <c r="B41" i="6" s="1"/>
  <c r="BA41" i="6" s="1"/>
  <c r="J23" i="18"/>
  <c r="C23" i="6" s="1"/>
  <c r="I23" i="18"/>
  <c r="B23" i="6" s="1"/>
  <c r="BA23" i="6" s="1"/>
  <c r="J100" i="18"/>
  <c r="C100" i="6" s="1"/>
  <c r="I100" i="18"/>
  <c r="J240" i="18"/>
  <c r="C240" i="6" s="1"/>
  <c r="I240" i="18"/>
  <c r="B240" i="6" s="1"/>
  <c r="BA240" i="6" s="1"/>
  <c r="J280" i="18"/>
  <c r="C280" i="6" s="1"/>
  <c r="I280" i="18"/>
  <c r="B280" i="6" s="1"/>
  <c r="BA280" i="6" s="1"/>
  <c r="J327" i="18"/>
  <c r="C327" i="6" s="1"/>
  <c r="I327" i="18"/>
  <c r="B327" i="6" s="1"/>
  <c r="BA327" i="6" s="1"/>
  <c r="J179" i="18"/>
  <c r="C179" i="6" s="1"/>
  <c r="I179" i="18"/>
  <c r="B179" i="6" s="1"/>
  <c r="BA179" i="6" s="1"/>
  <c r="J52" i="18"/>
  <c r="C52" i="6" s="1"/>
  <c r="I52" i="18"/>
  <c r="B52" i="6" s="1"/>
  <c r="BA52" i="6" s="1"/>
  <c r="J78" i="18"/>
  <c r="C78" i="6" s="1"/>
  <c r="I78" i="18"/>
  <c r="B78" i="6" s="1"/>
  <c r="BA78" i="6" s="1"/>
  <c r="J107" i="18"/>
  <c r="C107" i="6" s="1"/>
  <c r="I107" i="18"/>
  <c r="B107" i="6" s="1"/>
  <c r="BA107" i="6" s="1"/>
  <c r="J93" i="18"/>
  <c r="C93" i="6" s="1"/>
  <c r="I93" i="18"/>
  <c r="B93" i="6" s="1"/>
  <c r="BA93" i="6" s="1"/>
  <c r="I222" i="18"/>
  <c r="B222" i="6" s="1"/>
  <c r="BA222" i="6" s="1"/>
  <c r="J222" i="18"/>
  <c r="C222" i="6" s="1"/>
  <c r="J156" i="18"/>
  <c r="C156" i="6" s="1"/>
  <c r="I156" i="18"/>
  <c r="B156" i="6" s="1"/>
  <c r="BA156" i="6" s="1"/>
  <c r="J133" i="18"/>
  <c r="C133" i="6" s="1"/>
  <c r="I133" i="18"/>
  <c r="B133" i="6" s="1"/>
  <c r="BA133" i="6" s="1"/>
  <c r="I218" i="18"/>
  <c r="B218" i="6" s="1"/>
  <c r="BA218" i="6" s="1"/>
  <c r="J218" i="18"/>
  <c r="C218" i="6" s="1"/>
  <c r="J201" i="18"/>
  <c r="C201" i="6" s="1"/>
  <c r="I201" i="18"/>
  <c r="B201" i="6" s="1"/>
  <c r="BA201" i="6" s="1"/>
  <c r="J84" i="18"/>
  <c r="C84" i="6" s="1"/>
  <c r="I84" i="18"/>
  <c r="J120" i="18"/>
  <c r="C120" i="6" s="1"/>
  <c r="I120" i="18"/>
  <c r="B120" i="6" s="1"/>
  <c r="BA120" i="6" s="1"/>
  <c r="I294" i="18"/>
  <c r="B294" i="6" s="1"/>
  <c r="BA294" i="6" s="1"/>
  <c r="J294" i="18"/>
  <c r="C294" i="6" s="1"/>
  <c r="I96" i="18"/>
  <c r="B96" i="6" s="1"/>
  <c r="BA96" i="6" s="1"/>
  <c r="J96" i="18"/>
  <c r="C96" i="6" s="1"/>
  <c r="I361" i="18"/>
  <c r="B361" i="6" s="1"/>
  <c r="BA361" i="6" s="1"/>
  <c r="J361" i="18"/>
  <c r="C361" i="6" s="1"/>
  <c r="J139" i="18"/>
  <c r="C139" i="6" s="1"/>
  <c r="I139" i="18"/>
  <c r="B139" i="6" s="1"/>
  <c r="BA139" i="6" s="1"/>
  <c r="J86" i="18"/>
  <c r="C86" i="6" s="1"/>
  <c r="I86" i="18"/>
  <c r="B86" i="6" s="1"/>
  <c r="BA86" i="6" s="1"/>
  <c r="I309" i="18"/>
  <c r="B309" i="6" s="1"/>
  <c r="BA309" i="6" s="1"/>
  <c r="J309" i="18"/>
  <c r="C309" i="6" s="1"/>
  <c r="J118" i="18"/>
  <c r="C118" i="6" s="1"/>
  <c r="I118" i="18"/>
  <c r="B118" i="6" s="1"/>
  <c r="BA118" i="6" s="1"/>
  <c r="J283" i="18"/>
  <c r="C283" i="6" s="1"/>
  <c r="I283" i="18"/>
  <c r="B283" i="6" s="1"/>
  <c r="BA283" i="6" s="1"/>
  <c r="I142" i="18"/>
  <c r="B142" i="6" s="1"/>
  <c r="BA142" i="6" s="1"/>
  <c r="J142" i="18"/>
  <c r="C142" i="6" s="1"/>
  <c r="I250" i="18"/>
  <c r="B250" i="6" s="1"/>
  <c r="BA250" i="6" s="1"/>
  <c r="J250" i="18"/>
  <c r="C250" i="6" s="1"/>
  <c r="I127" i="18"/>
  <c r="B127" i="6" s="1"/>
  <c r="BA127" i="6" s="1"/>
  <c r="J127" i="18"/>
  <c r="C127" i="6" s="1"/>
  <c r="I61" i="18"/>
  <c r="B61" i="6" s="1"/>
  <c r="BA61" i="6" s="1"/>
  <c r="J61" i="18"/>
  <c r="C61" i="6" s="1"/>
  <c r="I82" i="18"/>
  <c r="B82" i="6" s="1"/>
  <c r="BA82" i="6" s="1"/>
  <c r="J82" i="18"/>
  <c r="C82" i="6" s="1"/>
  <c r="I129" i="18"/>
  <c r="B129" i="6" s="1"/>
  <c r="BA129" i="6" s="1"/>
  <c r="J129" i="18"/>
  <c r="C129" i="6" s="1"/>
  <c r="J145" i="18"/>
  <c r="C145" i="6" s="1"/>
  <c r="I145" i="18"/>
  <c r="B145" i="6" s="1"/>
  <c r="BA145" i="6" s="1"/>
  <c r="I315" i="18"/>
  <c r="B315" i="6" s="1"/>
  <c r="BA315" i="6" s="1"/>
  <c r="J315" i="18"/>
  <c r="C315" i="6" s="1"/>
  <c r="J297" i="18"/>
  <c r="C297" i="6" s="1"/>
  <c r="I297" i="18"/>
  <c r="B297" i="6" s="1"/>
  <c r="BA297" i="6" s="1"/>
  <c r="J259" i="18"/>
  <c r="C259" i="6" s="1"/>
  <c r="I259" i="18"/>
  <c r="B259" i="6" s="1"/>
  <c r="BA259" i="6" s="1"/>
  <c r="J317" i="18"/>
  <c r="C317" i="6" s="1"/>
  <c r="I317" i="18"/>
  <c r="B317" i="6" s="1"/>
  <c r="BA317" i="6" s="1"/>
  <c r="J143" i="18"/>
  <c r="C143" i="6" s="1"/>
  <c r="I143" i="18"/>
  <c r="B143" i="6" s="1"/>
  <c r="BA143" i="6" s="1"/>
  <c r="I69" i="18"/>
  <c r="B69" i="6" s="1"/>
  <c r="BA69" i="6" s="1"/>
  <c r="J69" i="18"/>
  <c r="C69" i="6" s="1"/>
  <c r="I204" i="18"/>
  <c r="B204" i="6" s="1"/>
  <c r="BA204" i="6" s="1"/>
  <c r="J204" i="18"/>
  <c r="C204" i="6" s="1"/>
  <c r="I80" i="18"/>
  <c r="B80" i="6" s="1"/>
  <c r="BA80" i="6" s="1"/>
  <c r="J80" i="18"/>
  <c r="C80" i="6" s="1"/>
  <c r="I45" i="18"/>
  <c r="B45" i="6" s="1"/>
  <c r="BA45" i="6" s="1"/>
  <c r="J45" i="18"/>
  <c r="C45" i="6" s="1"/>
  <c r="F9" i="17"/>
  <c r="AK10" i="17"/>
  <c r="AK12" i="17" s="1"/>
  <c r="AK13" i="17" s="1"/>
  <c r="G15" i="17"/>
  <c r="BZ15" i="6" s="1"/>
  <c r="AM10" i="17"/>
  <c r="AA15" i="17"/>
  <c r="F381" i="17"/>
  <c r="F382" i="17"/>
  <c r="F383" i="17"/>
  <c r="H15" i="17"/>
  <c r="I171" i="18"/>
  <c r="B171" i="6" s="1"/>
  <c r="BA171" i="6" s="1"/>
  <c r="J171" i="18"/>
  <c r="C171" i="6" s="1"/>
  <c r="J197" i="18"/>
  <c r="C197" i="6" s="1"/>
  <c r="I197" i="18"/>
  <c r="B197" i="6" s="1"/>
  <c r="BA197" i="6" s="1"/>
  <c r="H379" i="18"/>
  <c r="J215" i="18"/>
  <c r="C215" i="6" s="1"/>
  <c r="I215" i="18"/>
  <c r="B215" i="6" s="1"/>
  <c r="BA215" i="6" s="1"/>
  <c r="J307" i="18"/>
  <c r="C307" i="6" s="1"/>
  <c r="I307" i="18"/>
  <c r="B307" i="6" s="1"/>
  <c r="BA307" i="6" s="1"/>
  <c r="I175" i="18"/>
  <c r="B175" i="6" s="1"/>
  <c r="BA175" i="6" s="1"/>
  <c r="J175" i="18"/>
  <c r="C175" i="6" s="1"/>
  <c r="J242" i="18"/>
  <c r="C242" i="6" s="1"/>
  <c r="I242" i="18"/>
  <c r="B242" i="6" s="1"/>
  <c r="BA242" i="6" s="1"/>
  <c r="J63" i="18"/>
  <c r="C63" i="6" s="1"/>
  <c r="I63" i="18"/>
  <c r="B63" i="6" s="1"/>
  <c r="BA63" i="6" s="1"/>
  <c r="I122" i="18"/>
  <c r="B122" i="6" s="1"/>
  <c r="BA122" i="6" s="1"/>
  <c r="J122" i="18"/>
  <c r="C122" i="6" s="1"/>
  <c r="I160" i="18"/>
  <c r="B160" i="6" s="1"/>
  <c r="BA160" i="6" s="1"/>
  <c r="J160" i="18"/>
  <c r="C160" i="6" s="1"/>
  <c r="I97" i="18"/>
  <c r="B97" i="6" s="1"/>
  <c r="BA97" i="6" s="1"/>
  <c r="J97" i="18"/>
  <c r="C97" i="6" s="1"/>
  <c r="J207" i="18"/>
  <c r="C207" i="6" s="1"/>
  <c r="I207" i="18"/>
  <c r="B207" i="6" s="1"/>
  <c r="BA207" i="6" s="1"/>
  <c r="J116" i="18"/>
  <c r="C116" i="6" s="1"/>
  <c r="I116" i="18"/>
  <c r="B116" i="6" s="1"/>
  <c r="BA116" i="6" s="1"/>
  <c r="I210" i="18"/>
  <c r="B210" i="6" s="1"/>
  <c r="BA210" i="6" s="1"/>
  <c r="J210" i="18"/>
  <c r="C210" i="6" s="1"/>
  <c r="J26" i="18"/>
  <c r="C26" i="6" s="1"/>
  <c r="I26" i="18"/>
  <c r="B26" i="6" s="1"/>
  <c r="BA26" i="6" s="1"/>
  <c r="I262" i="18"/>
  <c r="B262" i="6" s="1"/>
  <c r="BA262" i="6" s="1"/>
  <c r="J262" i="18"/>
  <c r="C262" i="6" s="1"/>
  <c r="I29" i="18"/>
  <c r="B29" i="6" s="1"/>
  <c r="BA29" i="6" s="1"/>
  <c r="J29" i="18"/>
  <c r="C29" i="6" s="1"/>
  <c r="I150" i="18"/>
  <c r="B150" i="6" s="1"/>
  <c r="BA150" i="6" s="1"/>
  <c r="J150" i="18"/>
  <c r="C150" i="6" s="1"/>
  <c r="J144" i="18"/>
  <c r="C144" i="6" s="1"/>
  <c r="I144" i="18"/>
  <c r="B144" i="6" s="1"/>
  <c r="BA144" i="6" s="1"/>
  <c r="J272" i="18"/>
  <c r="C272" i="6" s="1"/>
  <c r="I272" i="18"/>
  <c r="B272" i="6" s="1"/>
  <c r="BA272" i="6" s="1"/>
  <c r="J221" i="18"/>
  <c r="C221" i="6" s="1"/>
  <c r="I221" i="18"/>
  <c r="B221" i="6" s="1"/>
  <c r="BA221" i="6" s="1"/>
  <c r="J206" i="18"/>
  <c r="C206" i="6" s="1"/>
  <c r="I206" i="18"/>
  <c r="B206" i="6" s="1"/>
  <c r="BA206" i="6" s="1"/>
  <c r="J121" i="18"/>
  <c r="C121" i="6" s="1"/>
  <c r="I121" i="18"/>
  <c r="B121" i="6" s="1"/>
  <c r="BA121" i="6" s="1"/>
  <c r="I233" i="18"/>
  <c r="B233" i="6" s="1"/>
  <c r="BA233" i="6" s="1"/>
  <c r="J233" i="18"/>
  <c r="C233" i="6" s="1"/>
  <c r="I285" i="18"/>
  <c r="B285" i="6" s="1"/>
  <c r="BA285" i="6" s="1"/>
  <c r="J285" i="18"/>
  <c r="C285" i="6" s="1"/>
  <c r="J25" i="18"/>
  <c r="C25" i="6" s="1"/>
  <c r="I25" i="18"/>
  <c r="B25" i="6" s="1"/>
  <c r="BA25" i="6" s="1"/>
  <c r="I254" i="18"/>
  <c r="B254" i="6" s="1"/>
  <c r="BA254" i="6" s="1"/>
  <c r="J254" i="18"/>
  <c r="C254" i="6" s="1"/>
  <c r="I72" i="18"/>
  <c r="B72" i="6" s="1"/>
  <c r="BA72" i="6" s="1"/>
  <c r="J72" i="18"/>
  <c r="C72" i="6" s="1"/>
  <c r="I149" i="18"/>
  <c r="B149" i="6" s="1"/>
  <c r="BA149" i="6" s="1"/>
  <c r="J149" i="18"/>
  <c r="C149" i="6" s="1"/>
  <c r="I190" i="18"/>
  <c r="B190" i="6" s="1"/>
  <c r="BA190" i="6" s="1"/>
  <c r="J190" i="18"/>
  <c r="C190" i="6" s="1"/>
  <c r="J123" i="18"/>
  <c r="C123" i="6" s="1"/>
  <c r="I123" i="18"/>
  <c r="B123" i="6" s="1"/>
  <c r="BA123" i="6" s="1"/>
  <c r="J157" i="18"/>
  <c r="C157" i="6" s="1"/>
  <c r="I157" i="18"/>
  <c r="B157" i="6" s="1"/>
  <c r="BA157" i="6" s="1"/>
  <c r="I265" i="18"/>
  <c r="B265" i="6" s="1"/>
  <c r="BA265" i="6" s="1"/>
  <c r="J265" i="18"/>
  <c r="C265" i="6" s="1"/>
  <c r="I192" i="18"/>
  <c r="B192" i="6" s="1"/>
  <c r="BA192" i="6" s="1"/>
  <c r="J192" i="18"/>
  <c r="C192" i="6" s="1"/>
  <c r="J162" i="18"/>
  <c r="C162" i="6" s="1"/>
  <c r="I162" i="18"/>
  <c r="B162" i="6" s="1"/>
  <c r="BA162" i="6" s="1"/>
  <c r="J234" i="18"/>
  <c r="C234" i="6" s="1"/>
  <c r="I234" i="18"/>
  <c r="B234" i="6" s="1"/>
  <c r="BA234" i="6" s="1"/>
  <c r="J208" i="18"/>
  <c r="C208" i="6" s="1"/>
  <c r="I208" i="18"/>
  <c r="B208" i="6" s="1"/>
  <c r="BA208" i="6" s="1"/>
  <c r="I178" i="18"/>
  <c r="B178" i="6" s="1"/>
  <c r="BA178" i="6" s="1"/>
  <c r="J178" i="18"/>
  <c r="C178" i="6" s="1"/>
  <c r="J263" i="18"/>
  <c r="C263" i="6" s="1"/>
  <c r="I263" i="18"/>
  <c r="B263" i="6" s="1"/>
  <c r="BA263" i="6" s="1"/>
  <c r="I70" i="18"/>
  <c r="B70" i="6" s="1"/>
  <c r="BA70" i="6" s="1"/>
  <c r="J70" i="18"/>
  <c r="C70" i="6" s="1"/>
  <c r="I33" i="18"/>
  <c r="B33" i="6" s="1"/>
  <c r="BA33" i="6" s="1"/>
  <c r="J33" i="18"/>
  <c r="C33" i="6" s="1"/>
  <c r="J151" i="18"/>
  <c r="C151" i="6" s="1"/>
  <c r="I151" i="18"/>
  <c r="B151" i="6" s="1"/>
  <c r="BA151" i="6" s="1"/>
  <c r="Q383" i="22"/>
  <c r="Q382" i="22"/>
  <c r="Q381" i="22"/>
  <c r="G83" i="20"/>
  <c r="CB83" i="6" s="1"/>
  <c r="AA83" i="20"/>
  <c r="Z83" i="20" s="1"/>
  <c r="Y83" i="20" s="1"/>
  <c r="AE12" i="23"/>
  <c r="Q12" i="23"/>
  <c r="AN15" i="7"/>
  <c r="G204" i="20"/>
  <c r="CB204" i="6" s="1"/>
  <c r="AE381" i="22"/>
  <c r="AE383" i="22"/>
  <c r="AE382" i="22"/>
  <c r="E381" i="18"/>
  <c r="E383" i="18"/>
  <c r="E382" i="18"/>
  <c r="AK8" i="18"/>
  <c r="E9" i="18"/>
  <c r="AJ10" i="18"/>
  <c r="U267" i="22" l="1"/>
  <c r="T267" i="22" s="1"/>
  <c r="S267" i="22" s="1"/>
  <c r="R267" i="22" s="1"/>
  <c r="U151" i="22"/>
  <c r="T151" i="22" s="1"/>
  <c r="S151" i="22" s="1"/>
  <c r="R151" i="22" s="1"/>
  <c r="U322" i="22"/>
  <c r="T322" i="22" s="1"/>
  <c r="S322" i="22" s="1"/>
  <c r="R322" i="22" s="1"/>
  <c r="U97" i="22"/>
  <c r="T97" i="22" s="1"/>
  <c r="S97" i="22" s="1"/>
  <c r="R97" i="22" s="1"/>
  <c r="U259" i="22"/>
  <c r="T259" i="22" s="1"/>
  <c r="S259" i="22" s="1"/>
  <c r="R259" i="22" s="1"/>
  <c r="U200" i="22"/>
  <c r="T200" i="22" s="1"/>
  <c r="S200" i="22" s="1"/>
  <c r="R200" i="22" s="1"/>
  <c r="U187" i="22"/>
  <c r="T187" i="22" s="1"/>
  <c r="S187" i="22" s="1"/>
  <c r="R187" i="22" s="1"/>
  <c r="U211" i="22"/>
  <c r="T211" i="22" s="1"/>
  <c r="S211" i="22" s="1"/>
  <c r="R211" i="22" s="1"/>
  <c r="U165" i="22"/>
  <c r="T165" i="22" s="1"/>
  <c r="S165" i="22" s="1"/>
  <c r="R165" i="22" s="1"/>
  <c r="U73" i="22"/>
  <c r="T73" i="22" s="1"/>
  <c r="S73" i="22" s="1"/>
  <c r="R73" i="22" s="1"/>
  <c r="U106" i="22"/>
  <c r="T106" i="22" s="1"/>
  <c r="S106" i="22" s="1"/>
  <c r="R106" i="22" s="1"/>
  <c r="U326" i="22"/>
  <c r="T326" i="22" s="1"/>
  <c r="S326" i="22" s="1"/>
  <c r="R326" i="22" s="1"/>
  <c r="U117" i="22"/>
  <c r="T117" i="22" s="1"/>
  <c r="S117" i="22" s="1"/>
  <c r="R117" i="22" s="1"/>
  <c r="U280" i="22"/>
  <c r="T280" i="22" s="1"/>
  <c r="S280" i="22" s="1"/>
  <c r="R280" i="22" s="1"/>
  <c r="U71" i="22"/>
  <c r="T71" i="22" s="1"/>
  <c r="S71" i="22" s="1"/>
  <c r="R71" i="22" s="1"/>
  <c r="U217" i="22"/>
  <c r="T217" i="22" s="1"/>
  <c r="S217" i="22" s="1"/>
  <c r="R217" i="22" s="1"/>
  <c r="U153" i="22"/>
  <c r="T153" i="22" s="1"/>
  <c r="S153" i="22" s="1"/>
  <c r="R153" i="22" s="1"/>
  <c r="U198" i="22"/>
  <c r="T198" i="22" s="1"/>
  <c r="S198" i="22" s="1"/>
  <c r="R198" i="22" s="1"/>
  <c r="U152" i="22"/>
  <c r="T152" i="22" s="1"/>
  <c r="S152" i="22" s="1"/>
  <c r="R152" i="22" s="1"/>
  <c r="U255" i="22"/>
  <c r="T255" i="22" s="1"/>
  <c r="S255" i="22" s="1"/>
  <c r="R255" i="22" s="1"/>
  <c r="U273" i="22"/>
  <c r="T273" i="22" s="1"/>
  <c r="S273" i="22" s="1"/>
  <c r="R273" i="22" s="1"/>
  <c r="U64" i="22"/>
  <c r="T64" i="22" s="1"/>
  <c r="S64" i="22" s="1"/>
  <c r="R64" i="22" s="1"/>
  <c r="U223" i="22"/>
  <c r="T223" i="22" s="1"/>
  <c r="S223" i="22" s="1"/>
  <c r="R223" i="22" s="1"/>
  <c r="U300" i="22"/>
  <c r="T300" i="22" s="1"/>
  <c r="S300" i="22" s="1"/>
  <c r="R300" i="22" s="1"/>
  <c r="U159" i="22"/>
  <c r="T159" i="22" s="1"/>
  <c r="S159" i="22" s="1"/>
  <c r="R159" i="22" s="1"/>
  <c r="U218" i="22"/>
  <c r="T218" i="22" s="1"/>
  <c r="S218" i="22" s="1"/>
  <c r="R218" i="22" s="1"/>
  <c r="U56" i="22"/>
  <c r="T56" i="22" s="1"/>
  <c r="S56" i="22" s="1"/>
  <c r="R56" i="22" s="1"/>
  <c r="U256" i="22"/>
  <c r="T256" i="22" s="1"/>
  <c r="S256" i="22" s="1"/>
  <c r="R256" i="22" s="1"/>
  <c r="U102" i="22"/>
  <c r="T102" i="22" s="1"/>
  <c r="S102" i="22" s="1"/>
  <c r="R102" i="22" s="1"/>
  <c r="U126" i="22"/>
  <c r="T126" i="22" s="1"/>
  <c r="S126" i="22" s="1"/>
  <c r="R126" i="22" s="1"/>
  <c r="U174" i="22"/>
  <c r="T174" i="22" s="1"/>
  <c r="S174" i="22" s="1"/>
  <c r="R174" i="22" s="1"/>
  <c r="U20" i="22"/>
  <c r="T20" i="22" s="1"/>
  <c r="S20" i="22" s="1"/>
  <c r="R20" i="22" s="1"/>
  <c r="U237" i="22"/>
  <c r="T237" i="22" s="1"/>
  <c r="S237" i="22" s="1"/>
  <c r="R237" i="22" s="1"/>
  <c r="U74" i="22"/>
  <c r="T74" i="22" s="1"/>
  <c r="S74" i="22" s="1"/>
  <c r="R74" i="22" s="1"/>
  <c r="U284" i="22"/>
  <c r="T284" i="22" s="1"/>
  <c r="S284" i="22" s="1"/>
  <c r="R284" i="22" s="1"/>
  <c r="U368" i="22"/>
  <c r="T368" i="22" s="1"/>
  <c r="S368" i="22" s="1"/>
  <c r="R368" i="22" s="1"/>
  <c r="U235" i="22"/>
  <c r="T235" i="22" s="1"/>
  <c r="S235" i="22" s="1"/>
  <c r="R235" i="22" s="1"/>
  <c r="U119" i="22"/>
  <c r="T119" i="22" s="1"/>
  <c r="S119" i="22" s="1"/>
  <c r="R119" i="22" s="1"/>
  <c r="U199" i="22"/>
  <c r="T199" i="22" s="1"/>
  <c r="S199" i="22" s="1"/>
  <c r="R199" i="22" s="1"/>
  <c r="U158" i="22"/>
  <c r="T158" i="22" s="1"/>
  <c r="S158" i="22" s="1"/>
  <c r="R158" i="22" s="1"/>
  <c r="U92" i="22"/>
  <c r="T92" i="22" s="1"/>
  <c r="S92" i="22" s="1"/>
  <c r="R92" i="22" s="1"/>
  <c r="U125" i="22"/>
  <c r="T125" i="22" s="1"/>
  <c r="S125" i="22" s="1"/>
  <c r="R125" i="22" s="1"/>
  <c r="U176" i="22"/>
  <c r="T176" i="22" s="1"/>
  <c r="S176" i="22" s="1"/>
  <c r="R176" i="22" s="1"/>
  <c r="U22" i="22"/>
  <c r="T22" i="22" s="1"/>
  <c r="S22" i="22" s="1"/>
  <c r="R22" i="22" s="1"/>
  <c r="U239" i="22"/>
  <c r="T239" i="22" s="1"/>
  <c r="S239" i="22" s="1"/>
  <c r="R239" i="22" s="1"/>
  <c r="U68" i="22"/>
  <c r="T68" i="22" s="1"/>
  <c r="S68" i="22" s="1"/>
  <c r="R68" i="22" s="1"/>
  <c r="U76" i="22"/>
  <c r="T76" i="22" s="1"/>
  <c r="S76" i="22" s="1"/>
  <c r="R76" i="22" s="1"/>
  <c r="U306" i="22"/>
  <c r="T306" i="22" s="1"/>
  <c r="S306" i="22" s="1"/>
  <c r="R306" i="22" s="1"/>
  <c r="U357" i="22"/>
  <c r="T357" i="22" s="1"/>
  <c r="S357" i="22" s="1"/>
  <c r="R357" i="22" s="1"/>
  <c r="U203" i="22"/>
  <c r="T203" i="22" s="1"/>
  <c r="S203" i="22" s="1"/>
  <c r="R203" i="22" s="1"/>
  <c r="U215" i="22"/>
  <c r="T215" i="22" s="1"/>
  <c r="S215" i="22" s="1"/>
  <c r="R215" i="22" s="1"/>
  <c r="U154" i="22"/>
  <c r="T154" i="22" s="1"/>
  <c r="S154" i="22" s="1"/>
  <c r="R154" i="22" s="1"/>
  <c r="U260" i="22"/>
  <c r="T260" i="22" s="1"/>
  <c r="S260" i="22" s="1"/>
  <c r="R260" i="22" s="1"/>
  <c r="U156" i="22"/>
  <c r="T156" i="22" s="1"/>
  <c r="S156" i="22" s="1"/>
  <c r="R156" i="22" s="1"/>
  <c r="U240" i="22"/>
  <c r="T240" i="22" s="1"/>
  <c r="S240" i="22" s="1"/>
  <c r="R240" i="22" s="1"/>
  <c r="U222" i="22"/>
  <c r="T222" i="22" s="1"/>
  <c r="S222" i="22" s="1"/>
  <c r="R222" i="22" s="1"/>
  <c r="U270" i="22"/>
  <c r="T270" i="22" s="1"/>
  <c r="S270" i="22" s="1"/>
  <c r="R270" i="22" s="1"/>
  <c r="U116" i="22"/>
  <c r="T116" i="22" s="1"/>
  <c r="S116" i="22" s="1"/>
  <c r="R116" i="22" s="1"/>
  <c r="U333" i="22"/>
  <c r="T333" i="22" s="1"/>
  <c r="S333" i="22" s="1"/>
  <c r="R333" i="22" s="1"/>
  <c r="U170" i="22"/>
  <c r="T170" i="22" s="1"/>
  <c r="S170" i="22" s="1"/>
  <c r="R170" i="22" s="1"/>
  <c r="AM16" i="7"/>
  <c r="U29" i="22"/>
  <c r="T29" i="22" s="1"/>
  <c r="S29" i="22" s="1"/>
  <c r="R29" i="22" s="1"/>
  <c r="U80" i="22"/>
  <c r="T80" i="22" s="1"/>
  <c r="S80" i="22" s="1"/>
  <c r="R80" i="22" s="1"/>
  <c r="U289" i="22"/>
  <c r="T289" i="22" s="1"/>
  <c r="S289" i="22" s="1"/>
  <c r="R289" i="22" s="1"/>
  <c r="U143" i="22"/>
  <c r="T143" i="22" s="1"/>
  <c r="S143" i="22" s="1"/>
  <c r="R143" i="22" s="1"/>
  <c r="U343" i="22"/>
  <c r="T343" i="22" s="1"/>
  <c r="S343" i="22" s="1"/>
  <c r="R343" i="22" s="1"/>
  <c r="U121" i="22"/>
  <c r="T121" i="22" s="1"/>
  <c r="S121" i="22" s="1"/>
  <c r="R121" i="22" s="1"/>
  <c r="U39" i="22"/>
  <c r="T39" i="22" s="1"/>
  <c r="S39" i="22" s="1"/>
  <c r="R39" i="22" s="1"/>
  <c r="U376" i="22"/>
  <c r="T376" i="22" s="1"/>
  <c r="S376" i="22" s="1"/>
  <c r="R376" i="22" s="1"/>
  <c r="U145" i="22"/>
  <c r="T145" i="22" s="1"/>
  <c r="S145" i="22" s="1"/>
  <c r="R145" i="22" s="1"/>
  <c r="AA379" i="18"/>
  <c r="Z379" i="18" s="1"/>
  <c r="Y379" i="18" s="1"/>
  <c r="U23" i="22"/>
  <c r="T23" i="22" s="1"/>
  <c r="S23" i="22" s="1"/>
  <c r="R23" i="22" s="1"/>
  <c r="U194" i="22"/>
  <c r="T194" i="22" s="1"/>
  <c r="S194" i="22" s="1"/>
  <c r="R194" i="22" s="1"/>
  <c r="U340" i="22"/>
  <c r="T340" i="22" s="1"/>
  <c r="S340" i="22" s="1"/>
  <c r="R340" i="22" s="1"/>
  <c r="U131" i="22"/>
  <c r="T131" i="22" s="1"/>
  <c r="S131" i="22" s="1"/>
  <c r="R131" i="22" s="1"/>
  <c r="U72" i="22"/>
  <c r="T72" i="22" s="1"/>
  <c r="S72" i="22" s="1"/>
  <c r="R72" i="22" s="1"/>
  <c r="U59" i="22"/>
  <c r="T59" i="22" s="1"/>
  <c r="S59" i="22" s="1"/>
  <c r="R59" i="22" s="1"/>
  <c r="U375" i="22"/>
  <c r="T375" i="22" s="1"/>
  <c r="S375" i="22" s="1"/>
  <c r="R375" i="22" s="1"/>
  <c r="U85" i="22"/>
  <c r="T85" i="22" s="1"/>
  <c r="S85" i="22" s="1"/>
  <c r="R85" i="22" s="1"/>
  <c r="U175" i="22"/>
  <c r="T175" i="22" s="1"/>
  <c r="S175" i="22" s="1"/>
  <c r="R175" i="22" s="1"/>
  <c r="U269" i="22"/>
  <c r="T269" i="22" s="1"/>
  <c r="S269" i="22" s="1"/>
  <c r="R269" i="22" s="1"/>
  <c r="U363" i="22"/>
  <c r="T363" i="22" s="1"/>
  <c r="S363" i="22" s="1"/>
  <c r="R363" i="22" s="1"/>
  <c r="U214" i="22"/>
  <c r="T214" i="22" s="1"/>
  <c r="S214" i="22" s="1"/>
  <c r="R214" i="22" s="1"/>
  <c r="U65" i="22"/>
  <c r="T65" i="22" s="1"/>
  <c r="S65" i="22" s="1"/>
  <c r="R65" i="22" s="1"/>
  <c r="U295" i="22"/>
  <c r="T295" i="22" s="1"/>
  <c r="S295" i="22" s="1"/>
  <c r="R295" i="22" s="1"/>
  <c r="U261" i="22"/>
  <c r="T261" i="22" s="1"/>
  <c r="S261" i="22" s="1"/>
  <c r="R261" i="22" s="1"/>
  <c r="U334" i="22"/>
  <c r="T334" i="22" s="1"/>
  <c r="S334" i="22" s="1"/>
  <c r="R334" i="22" s="1"/>
  <c r="U210" i="22"/>
  <c r="T210" i="22" s="1"/>
  <c r="S210" i="22" s="1"/>
  <c r="R210" i="22" s="1"/>
  <c r="U40" i="22"/>
  <c r="T40" i="22" s="1"/>
  <c r="S40" i="22" s="1"/>
  <c r="R40" i="22" s="1"/>
  <c r="U169" i="22"/>
  <c r="T169" i="22" s="1"/>
  <c r="S169" i="22" s="1"/>
  <c r="R169" i="22" s="1"/>
  <c r="U155" i="22"/>
  <c r="T155" i="22" s="1"/>
  <c r="S155" i="22" s="1"/>
  <c r="R155" i="22" s="1"/>
  <c r="U369" i="22"/>
  <c r="T369" i="22" s="1"/>
  <c r="S369" i="22" s="1"/>
  <c r="R369" i="22" s="1"/>
  <c r="U228" i="22"/>
  <c r="T228" i="22" s="1"/>
  <c r="S228" i="22" s="1"/>
  <c r="R228" i="22" s="1"/>
  <c r="U87" i="22"/>
  <c r="T87" i="22" s="1"/>
  <c r="S87" i="22" s="1"/>
  <c r="R87" i="22" s="1"/>
  <c r="U309" i="22"/>
  <c r="T309" i="22" s="1"/>
  <c r="S309" i="22" s="1"/>
  <c r="R309" i="22" s="1"/>
  <c r="U160" i="22"/>
  <c r="T160" i="22" s="1"/>
  <c r="S160" i="22" s="1"/>
  <c r="R160" i="22" s="1"/>
  <c r="U15" i="22"/>
  <c r="U258" i="22"/>
  <c r="T258" i="22" s="1"/>
  <c r="S258" i="22" s="1"/>
  <c r="R258" i="22" s="1"/>
  <c r="U109" i="22"/>
  <c r="T109" i="22" s="1"/>
  <c r="S109" i="22" s="1"/>
  <c r="R109" i="22" s="1"/>
  <c r="U331" i="22"/>
  <c r="T331" i="22" s="1"/>
  <c r="S331" i="22" s="1"/>
  <c r="R331" i="22" s="1"/>
  <c r="U182" i="22"/>
  <c r="T182" i="22" s="1"/>
  <c r="S182" i="22" s="1"/>
  <c r="R182" i="22" s="1"/>
  <c r="U33" i="22"/>
  <c r="T33" i="22" s="1"/>
  <c r="S33" i="22" s="1"/>
  <c r="R33" i="22" s="1"/>
  <c r="U263" i="22"/>
  <c r="T263" i="22" s="1"/>
  <c r="S263" i="22" s="1"/>
  <c r="R263" i="22" s="1"/>
  <c r="U122" i="22"/>
  <c r="T122" i="22" s="1"/>
  <c r="S122" i="22" s="1"/>
  <c r="R122" i="22" s="1"/>
  <c r="U336" i="22"/>
  <c r="T336" i="22" s="1"/>
  <c r="S336" i="22" s="1"/>
  <c r="R336" i="22" s="1"/>
  <c r="U195" i="22"/>
  <c r="T195" i="22" s="1"/>
  <c r="S195" i="22" s="1"/>
  <c r="R195" i="22" s="1"/>
  <c r="U46" i="22"/>
  <c r="T46" i="22" s="1"/>
  <c r="S46" i="22" s="1"/>
  <c r="R46" i="22" s="1"/>
  <c r="U63" i="22"/>
  <c r="T63" i="22" s="1"/>
  <c r="S63" i="22" s="1"/>
  <c r="R63" i="22" s="1"/>
  <c r="U285" i="22"/>
  <c r="T285" i="22" s="1"/>
  <c r="S285" i="22" s="1"/>
  <c r="R285" i="22" s="1"/>
  <c r="U136" i="22"/>
  <c r="T136" i="22" s="1"/>
  <c r="S136" i="22" s="1"/>
  <c r="R136" i="22" s="1"/>
  <c r="U361" i="22"/>
  <c r="T361" i="22" s="1"/>
  <c r="S361" i="22" s="1"/>
  <c r="R361" i="22" s="1"/>
  <c r="U204" i="22"/>
  <c r="T204" i="22" s="1"/>
  <c r="S204" i="22" s="1"/>
  <c r="R204" i="22" s="1"/>
  <c r="U252" i="22"/>
  <c r="T252" i="22" s="1"/>
  <c r="S252" i="22" s="1"/>
  <c r="R252" i="22" s="1"/>
  <c r="U123" i="22"/>
  <c r="T123" i="22" s="1"/>
  <c r="S123" i="22" s="1"/>
  <c r="R123" i="22" s="1"/>
  <c r="U337" i="22"/>
  <c r="T337" i="22" s="1"/>
  <c r="S337" i="22" s="1"/>
  <c r="R337" i="22" s="1"/>
  <c r="U196" i="22"/>
  <c r="T196" i="22" s="1"/>
  <c r="S196" i="22" s="1"/>
  <c r="R196" i="22" s="1"/>
  <c r="U55" i="22"/>
  <c r="T55" i="22" s="1"/>
  <c r="S55" i="22" s="1"/>
  <c r="R55" i="22" s="1"/>
  <c r="U277" i="22"/>
  <c r="T277" i="22" s="1"/>
  <c r="S277" i="22" s="1"/>
  <c r="R277" i="22" s="1"/>
  <c r="U128" i="22"/>
  <c r="T128" i="22" s="1"/>
  <c r="S128" i="22" s="1"/>
  <c r="R128" i="22" s="1"/>
  <c r="U367" i="22"/>
  <c r="T367" i="22" s="1"/>
  <c r="S367" i="22" s="1"/>
  <c r="R367" i="22" s="1"/>
  <c r="U226" i="22"/>
  <c r="T226" i="22" s="1"/>
  <c r="S226" i="22" s="1"/>
  <c r="R226" i="22" s="1"/>
  <c r="U77" i="22"/>
  <c r="T77" i="22" s="1"/>
  <c r="S77" i="22" s="1"/>
  <c r="R77" i="22" s="1"/>
  <c r="U299" i="22"/>
  <c r="T299" i="22" s="1"/>
  <c r="S299" i="22" s="1"/>
  <c r="R299" i="22" s="1"/>
  <c r="U150" i="22"/>
  <c r="T150" i="22" s="1"/>
  <c r="S150" i="22" s="1"/>
  <c r="R150" i="22" s="1"/>
  <c r="U372" i="22"/>
  <c r="T372" i="22" s="1"/>
  <c r="S372" i="22" s="1"/>
  <c r="R372" i="22" s="1"/>
  <c r="U231" i="22"/>
  <c r="T231" i="22" s="1"/>
  <c r="S231" i="22" s="1"/>
  <c r="R231" i="22" s="1"/>
  <c r="U90" i="22"/>
  <c r="T90" i="22" s="1"/>
  <c r="S90" i="22" s="1"/>
  <c r="R90" i="22" s="1"/>
  <c r="U304" i="22"/>
  <c r="T304" i="22" s="1"/>
  <c r="S304" i="22" s="1"/>
  <c r="R304" i="22" s="1"/>
  <c r="U163" i="22"/>
  <c r="T163" i="22" s="1"/>
  <c r="S163" i="22" s="1"/>
  <c r="R163" i="22" s="1"/>
  <c r="U377" i="22"/>
  <c r="T377" i="22" s="1"/>
  <c r="S377" i="22" s="1"/>
  <c r="R377" i="22" s="1"/>
  <c r="U31" i="22"/>
  <c r="T31" i="22" s="1"/>
  <c r="S31" i="22" s="1"/>
  <c r="R31" i="22" s="1"/>
  <c r="U253" i="22"/>
  <c r="T253" i="22" s="1"/>
  <c r="S253" i="22" s="1"/>
  <c r="R253" i="22" s="1"/>
  <c r="U104" i="22"/>
  <c r="T104" i="22" s="1"/>
  <c r="S104" i="22" s="1"/>
  <c r="R104" i="22" s="1"/>
  <c r="U329" i="22"/>
  <c r="T329" i="22" s="1"/>
  <c r="S329" i="22" s="1"/>
  <c r="R329" i="22" s="1"/>
  <c r="U172" i="22"/>
  <c r="T172" i="22" s="1"/>
  <c r="S172" i="22" s="1"/>
  <c r="R172" i="22" s="1"/>
  <c r="U220" i="22"/>
  <c r="T220" i="22" s="1"/>
  <c r="S220" i="22" s="1"/>
  <c r="R220" i="22" s="1"/>
  <c r="U26" i="22"/>
  <c r="T26" i="22" s="1"/>
  <c r="S26" i="22" s="1"/>
  <c r="R26" i="22" s="1"/>
  <c r="U99" i="22"/>
  <c r="T99" i="22" s="1"/>
  <c r="S99" i="22" s="1"/>
  <c r="R99" i="22" s="1"/>
  <c r="U338" i="22"/>
  <c r="T338" i="22" s="1"/>
  <c r="S338" i="22" s="1"/>
  <c r="R338" i="22" s="1"/>
  <c r="U286" i="22"/>
  <c r="T286" i="22" s="1"/>
  <c r="S286" i="22" s="1"/>
  <c r="R286" i="22" s="1"/>
  <c r="U108" i="22"/>
  <c r="T108" i="22" s="1"/>
  <c r="S108" i="22" s="1"/>
  <c r="R108" i="22" s="1"/>
  <c r="U91" i="22"/>
  <c r="T91" i="22" s="1"/>
  <c r="S91" i="22" s="1"/>
  <c r="R91" i="22" s="1"/>
  <c r="U335" i="22"/>
  <c r="T335" i="22" s="1"/>
  <c r="S335" i="22" s="1"/>
  <c r="R335" i="22" s="1"/>
  <c r="U272" i="22"/>
  <c r="T272" i="22" s="1"/>
  <c r="S272" i="22" s="1"/>
  <c r="R272" i="22" s="1"/>
  <c r="U188" i="22"/>
  <c r="T188" i="22" s="1"/>
  <c r="S188" i="22" s="1"/>
  <c r="R188" i="22" s="1"/>
  <c r="U341" i="22"/>
  <c r="T341" i="22" s="1"/>
  <c r="S341" i="22" s="1"/>
  <c r="R341" i="22" s="1"/>
  <c r="U34" i="22"/>
  <c r="T34" i="22" s="1"/>
  <c r="S34" i="22" s="1"/>
  <c r="R34" i="22" s="1"/>
  <c r="U342" i="22"/>
  <c r="T342" i="22" s="1"/>
  <c r="S342" i="22" s="1"/>
  <c r="R342" i="22" s="1"/>
  <c r="U52" i="22"/>
  <c r="T52" i="22" s="1"/>
  <c r="S52" i="22" s="1"/>
  <c r="R52" i="22" s="1"/>
  <c r="U227" i="22"/>
  <c r="T227" i="22" s="1"/>
  <c r="S227" i="22" s="1"/>
  <c r="R227" i="22" s="1"/>
  <c r="U168" i="22"/>
  <c r="T168" i="22" s="1"/>
  <c r="S168" i="22" s="1"/>
  <c r="R168" i="22" s="1"/>
  <c r="U283" i="22"/>
  <c r="T283" i="22" s="1"/>
  <c r="S283" i="22" s="1"/>
  <c r="R283" i="22" s="1"/>
  <c r="U356" i="22"/>
  <c r="T356" i="22" s="1"/>
  <c r="S356" i="22" s="1"/>
  <c r="R356" i="22" s="1"/>
  <c r="U330" i="22"/>
  <c r="T330" i="22" s="1"/>
  <c r="S330" i="22" s="1"/>
  <c r="R330" i="22" s="1"/>
  <c r="U32" i="22"/>
  <c r="T32" i="22" s="1"/>
  <c r="S32" i="22" s="1"/>
  <c r="R32" i="22" s="1"/>
  <c r="U130" i="22"/>
  <c r="T130" i="22" s="1"/>
  <c r="S130" i="22" s="1"/>
  <c r="R130" i="22" s="1"/>
  <c r="U219" i="22"/>
  <c r="T219" i="22" s="1"/>
  <c r="S219" i="22" s="1"/>
  <c r="R219" i="22" s="1"/>
  <c r="U292" i="22"/>
  <c r="T292" i="22" s="1"/>
  <c r="S292" i="22" s="1"/>
  <c r="R292" i="22" s="1"/>
  <c r="U373" i="22"/>
  <c r="T373" i="22" s="1"/>
  <c r="S373" i="22" s="1"/>
  <c r="R373" i="22" s="1"/>
  <c r="U83" i="22"/>
  <c r="T83" i="22" s="1"/>
  <c r="S83" i="22" s="1"/>
  <c r="R83" i="22" s="1"/>
  <c r="U173" i="22"/>
  <c r="T173" i="22" s="1"/>
  <c r="S173" i="22" s="1"/>
  <c r="R173" i="22" s="1"/>
  <c r="U246" i="22"/>
  <c r="T246" i="22" s="1"/>
  <c r="S246" i="22" s="1"/>
  <c r="R246" i="22" s="1"/>
  <c r="U327" i="22"/>
  <c r="T327" i="22" s="1"/>
  <c r="S327" i="22" s="1"/>
  <c r="R327" i="22" s="1"/>
  <c r="U37" i="22"/>
  <c r="T37" i="22" s="1"/>
  <c r="S37" i="22" s="1"/>
  <c r="R37" i="22" s="1"/>
  <c r="U110" i="22"/>
  <c r="T110" i="22" s="1"/>
  <c r="S110" i="22" s="1"/>
  <c r="R110" i="22" s="1"/>
  <c r="U349" i="22"/>
  <c r="T349" i="22" s="1"/>
  <c r="S349" i="22" s="1"/>
  <c r="R349" i="22" s="1"/>
  <c r="U62" i="22"/>
  <c r="T62" i="22" s="1"/>
  <c r="S62" i="22" s="1"/>
  <c r="R62" i="22" s="1"/>
  <c r="U316" i="22"/>
  <c r="T316" i="22" s="1"/>
  <c r="S316" i="22" s="1"/>
  <c r="R316" i="22" s="1"/>
  <c r="U347" i="22"/>
  <c r="T347" i="22" s="1"/>
  <c r="S347" i="22" s="1"/>
  <c r="R347" i="22" s="1"/>
  <c r="U138" i="22"/>
  <c r="T138" i="22" s="1"/>
  <c r="S138" i="22" s="1"/>
  <c r="R138" i="22" s="1"/>
  <c r="U301" i="22"/>
  <c r="T301" i="22" s="1"/>
  <c r="S301" i="22" s="1"/>
  <c r="R301" i="22" s="1"/>
  <c r="U84" i="22"/>
  <c r="T84" i="22" s="1"/>
  <c r="S84" i="22" s="1"/>
  <c r="R84" i="22" s="1"/>
  <c r="U238" i="22"/>
  <c r="T238" i="22" s="1"/>
  <c r="S238" i="22" s="1"/>
  <c r="R238" i="22" s="1"/>
  <c r="U190" i="22"/>
  <c r="T190" i="22" s="1"/>
  <c r="S190" i="22" s="1"/>
  <c r="R190" i="22" s="1"/>
  <c r="U166" i="22"/>
  <c r="T166" i="22" s="1"/>
  <c r="S166" i="22" s="1"/>
  <c r="R166" i="22" s="1"/>
  <c r="U247" i="22"/>
  <c r="T247" i="22" s="1"/>
  <c r="S247" i="22" s="1"/>
  <c r="R247" i="22" s="1"/>
  <c r="U320" i="22"/>
  <c r="T320" i="22" s="1"/>
  <c r="S320" i="22" s="1"/>
  <c r="R320" i="22" s="1"/>
  <c r="U47" i="22"/>
  <c r="T47" i="22" s="1"/>
  <c r="S47" i="22" s="1"/>
  <c r="R47" i="22" s="1"/>
  <c r="U177" i="22"/>
  <c r="T177" i="22" s="1"/>
  <c r="S177" i="22" s="1"/>
  <c r="R177" i="22" s="1"/>
  <c r="U266" i="22"/>
  <c r="T266" i="22" s="1"/>
  <c r="S266" i="22" s="1"/>
  <c r="R266" i="22" s="1"/>
  <c r="U339" i="22"/>
  <c r="T339" i="22" s="1"/>
  <c r="S339" i="22" s="1"/>
  <c r="R339" i="22" s="1"/>
  <c r="U66" i="22"/>
  <c r="T66" i="22" s="1"/>
  <c r="S66" i="22" s="1"/>
  <c r="R66" i="22" s="1"/>
  <c r="U139" i="22"/>
  <c r="T139" i="22" s="1"/>
  <c r="S139" i="22" s="1"/>
  <c r="R139" i="22" s="1"/>
  <c r="U212" i="22"/>
  <c r="T212" i="22" s="1"/>
  <c r="S212" i="22" s="1"/>
  <c r="R212" i="22" s="1"/>
  <c r="U293" i="22"/>
  <c r="T293" i="22" s="1"/>
  <c r="S293" i="22" s="1"/>
  <c r="R293" i="22" s="1"/>
  <c r="U366" i="22"/>
  <c r="T366" i="22" s="1"/>
  <c r="S366" i="22" s="1"/>
  <c r="R366" i="22" s="1"/>
  <c r="U242" i="22"/>
  <c r="T242" i="22" s="1"/>
  <c r="S242" i="22" s="1"/>
  <c r="R242" i="22" s="1"/>
  <c r="U318" i="22"/>
  <c r="T318" i="22" s="1"/>
  <c r="S318" i="22" s="1"/>
  <c r="R318" i="22" s="1"/>
  <c r="U201" i="22"/>
  <c r="T201" i="22" s="1"/>
  <c r="S201" i="22" s="1"/>
  <c r="R201" i="22" s="1"/>
  <c r="U294" i="22"/>
  <c r="T294" i="22" s="1"/>
  <c r="S294" i="22" s="1"/>
  <c r="R294" i="22" s="1"/>
  <c r="U279" i="22"/>
  <c r="T279" i="22" s="1"/>
  <c r="S279" i="22" s="1"/>
  <c r="R279" i="22" s="1"/>
  <c r="U79" i="22"/>
  <c r="T79" i="22" s="1"/>
  <c r="S79" i="22" s="1"/>
  <c r="R79" i="22" s="1"/>
  <c r="U225" i="22"/>
  <c r="T225" i="22" s="1"/>
  <c r="S225" i="22" s="1"/>
  <c r="R225" i="22" s="1"/>
  <c r="U19" i="22"/>
  <c r="T19" i="22" s="1"/>
  <c r="S19" i="22" s="1"/>
  <c r="R19" i="22" s="1"/>
  <c r="U328" i="22"/>
  <c r="T328" i="22" s="1"/>
  <c r="S328" i="22" s="1"/>
  <c r="R328" i="22" s="1"/>
  <c r="U315" i="22"/>
  <c r="T315" i="22" s="1"/>
  <c r="S315" i="22" s="1"/>
  <c r="R315" i="22" s="1"/>
  <c r="U132" i="22"/>
  <c r="T132" i="22" s="1"/>
  <c r="S132" i="22" s="1"/>
  <c r="R132" i="22" s="1"/>
  <c r="U213" i="22"/>
  <c r="T213" i="22" s="1"/>
  <c r="S213" i="22" s="1"/>
  <c r="R213" i="22" s="1"/>
  <c r="U303" i="22"/>
  <c r="T303" i="22" s="1"/>
  <c r="S303" i="22" s="1"/>
  <c r="R303" i="22" s="1"/>
  <c r="U296" i="22"/>
  <c r="T296" i="22" s="1"/>
  <c r="S296" i="22" s="1"/>
  <c r="R296" i="22" s="1"/>
  <c r="U355" i="22"/>
  <c r="T355" i="22" s="1"/>
  <c r="S355" i="22" s="1"/>
  <c r="R355" i="22" s="1"/>
  <c r="U348" i="22"/>
  <c r="T348" i="22" s="1"/>
  <c r="S348" i="22" s="1"/>
  <c r="R348" i="22" s="1"/>
  <c r="U94" i="22"/>
  <c r="T94" i="22" s="1"/>
  <c r="S94" i="22" s="1"/>
  <c r="R94" i="22" s="1"/>
  <c r="U17" i="22"/>
  <c r="T17" i="22" s="1"/>
  <c r="S17" i="22" s="1"/>
  <c r="R17" i="22" s="1"/>
  <c r="U142" i="22"/>
  <c r="T142" i="22" s="1"/>
  <c r="S142" i="22" s="1"/>
  <c r="R142" i="22" s="1"/>
  <c r="U69" i="22"/>
  <c r="T69" i="22" s="1"/>
  <c r="S69" i="22" s="1"/>
  <c r="R69" i="22" s="1"/>
  <c r="U359" i="22"/>
  <c r="T359" i="22" s="1"/>
  <c r="S359" i="22" s="1"/>
  <c r="R359" i="22" s="1"/>
  <c r="U278" i="22"/>
  <c r="T278" i="22" s="1"/>
  <c r="S278" i="22" s="1"/>
  <c r="R278" i="22" s="1"/>
  <c r="U205" i="22"/>
  <c r="T205" i="22" s="1"/>
  <c r="S205" i="22" s="1"/>
  <c r="R205" i="22" s="1"/>
  <c r="U115" i="22"/>
  <c r="T115" i="22" s="1"/>
  <c r="S115" i="22" s="1"/>
  <c r="R115" i="22" s="1"/>
  <c r="U42" i="22"/>
  <c r="T42" i="22" s="1"/>
  <c r="S42" i="22" s="1"/>
  <c r="R42" i="22" s="1"/>
  <c r="U324" i="22"/>
  <c r="T324" i="22" s="1"/>
  <c r="S324" i="22" s="1"/>
  <c r="R324" i="22" s="1"/>
  <c r="U251" i="22"/>
  <c r="T251" i="22" s="1"/>
  <c r="S251" i="22" s="1"/>
  <c r="R251" i="22" s="1"/>
  <c r="U332" i="22"/>
  <c r="T332" i="22" s="1"/>
  <c r="S332" i="22" s="1"/>
  <c r="R332" i="22" s="1"/>
  <c r="U264" i="22"/>
  <c r="T264" i="22" s="1"/>
  <c r="S264" i="22" s="1"/>
  <c r="R264" i="22" s="1"/>
  <c r="U191" i="22"/>
  <c r="T191" i="22" s="1"/>
  <c r="S191" i="22" s="1"/>
  <c r="R191" i="22" s="1"/>
  <c r="U323" i="22"/>
  <c r="T323" i="22" s="1"/>
  <c r="S323" i="22" s="1"/>
  <c r="R323" i="22" s="1"/>
  <c r="U250" i="22"/>
  <c r="T250" i="22" s="1"/>
  <c r="S250" i="22" s="1"/>
  <c r="R250" i="22" s="1"/>
  <c r="U161" i="22"/>
  <c r="T161" i="22" s="1"/>
  <c r="S161" i="22" s="1"/>
  <c r="R161" i="22" s="1"/>
  <c r="U88" i="22"/>
  <c r="T88" i="22" s="1"/>
  <c r="S88" i="22" s="1"/>
  <c r="R88" i="22" s="1"/>
  <c r="U18" i="22"/>
  <c r="T18" i="22" s="1"/>
  <c r="S18" i="22" s="1"/>
  <c r="R18" i="22" s="1"/>
  <c r="U288" i="22"/>
  <c r="T288" i="22" s="1"/>
  <c r="S288" i="22" s="1"/>
  <c r="R288" i="22" s="1"/>
  <c r="U100" i="22"/>
  <c r="T100" i="22" s="1"/>
  <c r="S100" i="22" s="1"/>
  <c r="R100" i="22" s="1"/>
  <c r="U27" i="22"/>
  <c r="T27" i="22" s="1"/>
  <c r="S27" i="22" s="1"/>
  <c r="R27" i="22" s="1"/>
  <c r="U30" i="22"/>
  <c r="T30" i="22" s="1"/>
  <c r="S30" i="22" s="1"/>
  <c r="R30" i="22" s="1"/>
  <c r="U78" i="22"/>
  <c r="T78" i="22" s="1"/>
  <c r="S78" i="22" s="1"/>
  <c r="R78" i="22" s="1"/>
  <c r="U167" i="22"/>
  <c r="T167" i="22" s="1"/>
  <c r="S167" i="22" s="1"/>
  <c r="R167" i="22" s="1"/>
  <c r="U86" i="22"/>
  <c r="T86" i="22" s="1"/>
  <c r="S86" i="22" s="1"/>
  <c r="R86" i="22" s="1"/>
  <c r="U141" i="22"/>
  <c r="T141" i="22" s="1"/>
  <c r="S141" i="22" s="1"/>
  <c r="R141" i="22" s="1"/>
  <c r="U192" i="22"/>
  <c r="T192" i="22" s="1"/>
  <c r="S192" i="22" s="1"/>
  <c r="R192" i="22" s="1"/>
  <c r="U38" i="22"/>
  <c r="T38" i="22" s="1"/>
  <c r="S38" i="22" s="1"/>
  <c r="R38" i="22" s="1"/>
  <c r="U345" i="22"/>
  <c r="T345" i="22" s="1"/>
  <c r="S345" i="22" s="1"/>
  <c r="R345" i="22" s="1"/>
  <c r="U45" i="22"/>
  <c r="T45" i="22" s="1"/>
  <c r="S45" i="22" s="1"/>
  <c r="R45" i="22" s="1"/>
  <c r="U41" i="22"/>
  <c r="T41" i="22" s="1"/>
  <c r="S41" i="22" s="1"/>
  <c r="R41" i="22" s="1"/>
  <c r="U82" i="22"/>
  <c r="T82" i="22" s="1"/>
  <c r="S82" i="22" s="1"/>
  <c r="R82" i="22" s="1"/>
  <c r="U133" i="22"/>
  <c r="T133" i="22" s="1"/>
  <c r="S133" i="22" s="1"/>
  <c r="R133" i="22" s="1"/>
  <c r="U44" i="22"/>
  <c r="T44" i="22" s="1"/>
  <c r="S44" i="22" s="1"/>
  <c r="R44" i="22" s="1"/>
  <c r="U350" i="22"/>
  <c r="T350" i="22" s="1"/>
  <c r="S350" i="22" s="1"/>
  <c r="R350" i="22" s="1"/>
  <c r="U274" i="22"/>
  <c r="T274" i="22" s="1"/>
  <c r="S274" i="22" s="1"/>
  <c r="R274" i="22" s="1"/>
  <c r="U35" i="22"/>
  <c r="T35" i="22" s="1"/>
  <c r="S35" i="22" s="1"/>
  <c r="R35" i="22" s="1"/>
  <c r="U325" i="22"/>
  <c r="T325" i="22" s="1"/>
  <c r="S325" i="22" s="1"/>
  <c r="R325" i="22" s="1"/>
  <c r="U244" i="22"/>
  <c r="T244" i="22" s="1"/>
  <c r="S244" i="22" s="1"/>
  <c r="R244" i="22" s="1"/>
  <c r="U171" i="22"/>
  <c r="T171" i="22" s="1"/>
  <c r="S171" i="22" s="1"/>
  <c r="R171" i="22" s="1"/>
  <c r="U98" i="22"/>
  <c r="T98" i="22" s="1"/>
  <c r="S98" i="22" s="1"/>
  <c r="R98" i="22" s="1"/>
  <c r="U371" i="22"/>
  <c r="T371" i="22" s="1"/>
  <c r="S371" i="22" s="1"/>
  <c r="R371" i="22" s="1"/>
  <c r="U298" i="22"/>
  <c r="T298" i="22" s="1"/>
  <c r="S298" i="22" s="1"/>
  <c r="R298" i="22" s="1"/>
  <c r="U209" i="22"/>
  <c r="T209" i="22" s="1"/>
  <c r="S209" i="22" s="1"/>
  <c r="R209" i="22" s="1"/>
  <c r="U124" i="22"/>
  <c r="T124" i="22" s="1"/>
  <c r="S124" i="22" s="1"/>
  <c r="R124" i="22" s="1"/>
  <c r="U233" i="22"/>
  <c r="T233" i="22" s="1"/>
  <c r="S233" i="22" s="1"/>
  <c r="R233" i="22" s="1"/>
  <c r="U157" i="22"/>
  <c r="T157" i="22" s="1"/>
  <c r="S157" i="22" s="1"/>
  <c r="R157" i="22" s="1"/>
  <c r="U281" i="22"/>
  <c r="T281" i="22" s="1"/>
  <c r="S281" i="22" s="1"/>
  <c r="R281" i="22" s="1"/>
  <c r="U208" i="22"/>
  <c r="T208" i="22" s="1"/>
  <c r="S208" i="22" s="1"/>
  <c r="R208" i="22" s="1"/>
  <c r="U135" i="22"/>
  <c r="T135" i="22" s="1"/>
  <c r="S135" i="22" s="1"/>
  <c r="R135" i="22" s="1"/>
  <c r="U54" i="22"/>
  <c r="T54" i="22" s="1"/>
  <c r="S54" i="22" s="1"/>
  <c r="R54" i="22" s="1"/>
  <c r="U344" i="22"/>
  <c r="T344" i="22" s="1"/>
  <c r="S344" i="22" s="1"/>
  <c r="R344" i="22" s="1"/>
  <c r="U181" i="22"/>
  <c r="T181" i="22" s="1"/>
  <c r="S181" i="22" s="1"/>
  <c r="R181" i="22" s="1"/>
  <c r="U134" i="22"/>
  <c r="T134" i="22" s="1"/>
  <c r="S134" i="22" s="1"/>
  <c r="R134" i="22" s="1"/>
  <c r="U95" i="22"/>
  <c r="T95" i="22" s="1"/>
  <c r="S95" i="22" s="1"/>
  <c r="R95" i="22" s="1"/>
  <c r="U193" i="22"/>
  <c r="T193" i="22" s="1"/>
  <c r="S193" i="22" s="1"/>
  <c r="R193" i="22" s="1"/>
  <c r="U51" i="22"/>
  <c r="T51" i="22" s="1"/>
  <c r="S51" i="22" s="1"/>
  <c r="R51" i="22" s="1"/>
  <c r="U221" i="22"/>
  <c r="T221" i="22" s="1"/>
  <c r="S221" i="22" s="1"/>
  <c r="R221" i="22" s="1"/>
  <c r="U245" i="22"/>
  <c r="T245" i="22" s="1"/>
  <c r="S245" i="22" s="1"/>
  <c r="R245" i="22" s="1"/>
  <c r="U265" i="22"/>
  <c r="T265" i="22" s="1"/>
  <c r="S265" i="22" s="1"/>
  <c r="R265" i="22" s="1"/>
  <c r="U313" i="22"/>
  <c r="T313" i="22" s="1"/>
  <c r="S313" i="22" s="1"/>
  <c r="R313" i="22" s="1"/>
  <c r="U248" i="22"/>
  <c r="T248" i="22" s="1"/>
  <c r="S248" i="22" s="1"/>
  <c r="R248" i="22" s="1"/>
  <c r="U57" i="22"/>
  <c r="T57" i="22" s="1"/>
  <c r="S57" i="22" s="1"/>
  <c r="R57" i="22" s="1"/>
  <c r="U360" i="22"/>
  <c r="T360" i="22" s="1"/>
  <c r="S360" i="22" s="1"/>
  <c r="R360" i="22" s="1"/>
  <c r="U287" i="22"/>
  <c r="T287" i="22" s="1"/>
  <c r="S287" i="22" s="1"/>
  <c r="R287" i="22" s="1"/>
  <c r="U48" i="22"/>
  <c r="T48" i="22" s="1"/>
  <c r="S48" i="22" s="1"/>
  <c r="R48" i="22" s="1"/>
  <c r="U346" i="22"/>
  <c r="T346" i="22" s="1"/>
  <c r="S346" i="22" s="1"/>
  <c r="R346" i="22" s="1"/>
  <c r="U257" i="22"/>
  <c r="T257" i="22" s="1"/>
  <c r="S257" i="22" s="1"/>
  <c r="R257" i="22" s="1"/>
  <c r="U184" i="22"/>
  <c r="T184" i="22" s="1"/>
  <c r="S184" i="22" s="1"/>
  <c r="R184" i="22" s="1"/>
  <c r="U111" i="22"/>
  <c r="T111" i="22" s="1"/>
  <c r="S111" i="22" s="1"/>
  <c r="R111" i="22" s="1"/>
  <c r="U21" i="22"/>
  <c r="T21" i="22" s="1"/>
  <c r="S21" i="22" s="1"/>
  <c r="R21" i="22" s="1"/>
  <c r="U311" i="22"/>
  <c r="T311" i="22" s="1"/>
  <c r="S311" i="22" s="1"/>
  <c r="R311" i="22" s="1"/>
  <c r="U230" i="22"/>
  <c r="T230" i="22" s="1"/>
  <c r="S230" i="22" s="1"/>
  <c r="R230" i="22" s="1"/>
  <c r="U137" i="22"/>
  <c r="T137" i="22" s="1"/>
  <c r="S137" i="22" s="1"/>
  <c r="R137" i="22" s="1"/>
  <c r="U254" i="22"/>
  <c r="T254" i="22" s="1"/>
  <c r="S254" i="22" s="1"/>
  <c r="R254" i="22" s="1"/>
  <c r="U178" i="22"/>
  <c r="T178" i="22" s="1"/>
  <c r="S178" i="22" s="1"/>
  <c r="R178" i="22" s="1"/>
  <c r="U302" i="22"/>
  <c r="T302" i="22" s="1"/>
  <c r="S302" i="22" s="1"/>
  <c r="R302" i="22" s="1"/>
  <c r="U229" i="22"/>
  <c r="T229" i="22" s="1"/>
  <c r="S229" i="22" s="1"/>
  <c r="R229" i="22" s="1"/>
  <c r="U148" i="22"/>
  <c r="T148" i="22" s="1"/>
  <c r="S148" i="22" s="1"/>
  <c r="R148" i="22" s="1"/>
  <c r="U75" i="22"/>
  <c r="T75" i="22" s="1"/>
  <c r="S75" i="22" s="1"/>
  <c r="R75" i="22" s="1"/>
  <c r="U365" i="22"/>
  <c r="T365" i="22" s="1"/>
  <c r="S365" i="22" s="1"/>
  <c r="R365" i="22" s="1"/>
  <c r="U275" i="22"/>
  <c r="T275" i="22" s="1"/>
  <c r="S275" i="22" s="1"/>
  <c r="R275" i="22" s="1"/>
  <c r="U202" i="22"/>
  <c r="T202" i="22" s="1"/>
  <c r="S202" i="22" s="1"/>
  <c r="R202" i="22" s="1"/>
  <c r="U113" i="22"/>
  <c r="T113" i="22" s="1"/>
  <c r="S113" i="22" s="1"/>
  <c r="R113" i="22" s="1"/>
  <c r="U28" i="22"/>
  <c r="T28" i="22" s="1"/>
  <c r="S28" i="22" s="1"/>
  <c r="R28" i="22" s="1"/>
  <c r="U61" i="22"/>
  <c r="T61" i="22" s="1"/>
  <c r="S61" i="22" s="1"/>
  <c r="R61" i="22" s="1"/>
  <c r="U112" i="22"/>
  <c r="T112" i="22" s="1"/>
  <c r="S112" i="22" s="1"/>
  <c r="R112" i="22" s="1"/>
  <c r="U180" i="22"/>
  <c r="T180" i="22" s="1"/>
  <c r="S180" i="22" s="1"/>
  <c r="R180" i="22" s="1"/>
  <c r="U107" i="22"/>
  <c r="T107" i="22" s="1"/>
  <c r="S107" i="22" s="1"/>
  <c r="R107" i="22" s="1"/>
  <c r="U162" i="22"/>
  <c r="T162" i="22" s="1"/>
  <c r="S162" i="22" s="1"/>
  <c r="R162" i="22" s="1"/>
  <c r="U234" i="22"/>
  <c r="T234" i="22" s="1"/>
  <c r="S234" i="22" s="1"/>
  <c r="R234" i="22" s="1"/>
  <c r="U140" i="22"/>
  <c r="T140" i="22" s="1"/>
  <c r="S140" i="22" s="1"/>
  <c r="R140" i="22" s="1"/>
  <c r="U58" i="22"/>
  <c r="T58" i="22" s="1"/>
  <c r="S58" i="22" s="1"/>
  <c r="R58" i="22" s="1"/>
  <c r="U96" i="22"/>
  <c r="T96" i="22" s="1"/>
  <c r="S96" i="22" s="1"/>
  <c r="R96" i="22" s="1"/>
  <c r="W245" i="20"/>
  <c r="I53" i="18"/>
  <c r="B53" i="6" s="1"/>
  <c r="BA53" i="6" s="1"/>
  <c r="W252" i="20"/>
  <c r="AO16" i="7"/>
  <c r="I47" i="18"/>
  <c r="B47" i="6" s="1"/>
  <c r="BA47" i="6" s="1"/>
  <c r="J77" i="18"/>
  <c r="C77" i="6" s="1"/>
  <c r="J24" i="18"/>
  <c r="C24" i="6" s="1"/>
  <c r="W94" i="20"/>
  <c r="D94" i="20"/>
  <c r="E94" i="20" s="1"/>
  <c r="F94" i="20" s="1"/>
  <c r="I266" i="18"/>
  <c r="B266" i="6" s="1"/>
  <c r="BA266" i="6" s="1"/>
  <c r="E11" i="18"/>
  <c r="F39" i="19" s="1"/>
  <c r="J257" i="18"/>
  <c r="C257" i="6" s="1"/>
  <c r="H291" i="20"/>
  <c r="I291" i="20" s="1"/>
  <c r="I62" i="18"/>
  <c r="B62" i="6" s="1"/>
  <c r="BA62" i="6" s="1"/>
  <c r="J184" i="20"/>
  <c r="I177" i="18"/>
  <c r="B177" i="6" s="1"/>
  <c r="BA177" i="6" s="1"/>
  <c r="J159" i="18"/>
  <c r="C159" i="6" s="1"/>
  <c r="D66" i="19"/>
  <c r="V379" i="20"/>
  <c r="B379" i="20" s="1"/>
  <c r="D40" i="19"/>
  <c r="C15" i="19"/>
  <c r="AG142" i="20"/>
  <c r="AF142" i="20" s="1"/>
  <c r="AD142" i="20" s="1"/>
  <c r="AA142" i="20" s="1"/>
  <c r="Z142" i="20" s="1"/>
  <c r="Y142" i="20" s="1"/>
  <c r="AG355" i="20"/>
  <c r="AF355" i="20" s="1"/>
  <c r="AD355" i="20" s="1"/>
  <c r="AA355" i="20" s="1"/>
  <c r="Z355" i="20" s="1"/>
  <c r="Y355" i="20" s="1"/>
  <c r="AG312" i="20"/>
  <c r="AF312" i="20" s="1"/>
  <c r="AD312" i="20" s="1"/>
  <c r="AA312" i="20" s="1"/>
  <c r="Z312" i="20" s="1"/>
  <c r="Y312" i="20" s="1"/>
  <c r="AG289" i="20"/>
  <c r="AF289" i="20" s="1"/>
  <c r="AD289" i="20" s="1"/>
  <c r="AA289" i="20" s="1"/>
  <c r="Z289" i="20" s="1"/>
  <c r="Y289" i="20" s="1"/>
  <c r="AG197" i="20"/>
  <c r="AF197" i="20" s="1"/>
  <c r="AD197" i="20" s="1"/>
  <c r="AA197" i="20" s="1"/>
  <c r="Z197" i="20" s="1"/>
  <c r="Y197" i="20" s="1"/>
  <c r="AG227" i="20"/>
  <c r="AF227" i="20" s="1"/>
  <c r="AD227" i="20" s="1"/>
  <c r="AG344" i="20"/>
  <c r="AF344" i="20" s="1"/>
  <c r="AD344" i="20" s="1"/>
  <c r="AA344" i="20" s="1"/>
  <c r="Z344" i="20" s="1"/>
  <c r="Y344" i="20" s="1"/>
  <c r="AG308" i="20"/>
  <c r="AF308" i="20" s="1"/>
  <c r="AD308" i="20" s="1"/>
  <c r="AA308" i="20" s="1"/>
  <c r="Z308" i="20" s="1"/>
  <c r="Y308" i="20" s="1"/>
  <c r="AG262" i="20"/>
  <c r="AF262" i="20" s="1"/>
  <c r="AD262" i="20" s="1"/>
  <c r="AA262" i="20" s="1"/>
  <c r="Z262" i="20" s="1"/>
  <c r="Y262" i="20" s="1"/>
  <c r="AG277" i="20"/>
  <c r="AF277" i="20" s="1"/>
  <c r="AD277" i="20" s="1"/>
  <c r="AA277" i="20" s="1"/>
  <c r="Z277" i="20" s="1"/>
  <c r="Y277" i="20" s="1"/>
  <c r="AG365" i="20"/>
  <c r="AF365" i="20" s="1"/>
  <c r="AD365" i="20" s="1"/>
  <c r="AA365" i="20" s="1"/>
  <c r="Z365" i="20" s="1"/>
  <c r="Y365" i="20" s="1"/>
  <c r="AG279" i="20"/>
  <c r="AF279" i="20" s="1"/>
  <c r="AD279" i="20" s="1"/>
  <c r="AA279" i="20" s="1"/>
  <c r="Z279" i="20" s="1"/>
  <c r="Y279" i="20" s="1"/>
  <c r="AG128" i="20"/>
  <c r="AF128" i="20" s="1"/>
  <c r="AD128" i="20" s="1"/>
  <c r="AA128" i="20" s="1"/>
  <c r="Z128" i="20" s="1"/>
  <c r="Y128" i="20" s="1"/>
  <c r="AG319" i="20"/>
  <c r="AF319" i="20" s="1"/>
  <c r="AD319" i="20" s="1"/>
  <c r="AG329" i="20"/>
  <c r="AF329" i="20" s="1"/>
  <c r="AD329" i="20" s="1"/>
  <c r="AA329" i="20" s="1"/>
  <c r="Z329" i="20" s="1"/>
  <c r="Y329" i="20" s="1"/>
  <c r="AG169" i="20"/>
  <c r="AF169" i="20" s="1"/>
  <c r="AD169" i="20" s="1"/>
  <c r="AA169" i="20" s="1"/>
  <c r="Z169" i="20" s="1"/>
  <c r="Y169" i="20" s="1"/>
  <c r="AG288" i="20"/>
  <c r="AF288" i="20" s="1"/>
  <c r="AD288" i="20" s="1"/>
  <c r="AG135" i="20"/>
  <c r="AF135" i="20" s="1"/>
  <c r="AD135" i="20" s="1"/>
  <c r="AG345" i="20"/>
  <c r="AF345" i="20" s="1"/>
  <c r="AD345" i="20" s="1"/>
  <c r="AA345" i="20" s="1"/>
  <c r="Z345" i="20" s="1"/>
  <c r="Y345" i="20" s="1"/>
  <c r="AG294" i="20"/>
  <c r="AF294" i="20" s="1"/>
  <c r="AD294" i="20" s="1"/>
  <c r="AA294" i="20" s="1"/>
  <c r="Z294" i="20" s="1"/>
  <c r="Y294" i="20" s="1"/>
  <c r="AG215" i="20"/>
  <c r="AF215" i="20" s="1"/>
  <c r="AD215" i="20" s="1"/>
  <c r="AA215" i="20" s="1"/>
  <c r="Z215" i="20" s="1"/>
  <c r="Y215" i="20" s="1"/>
  <c r="AG138" i="20"/>
  <c r="AF138" i="20" s="1"/>
  <c r="AD138" i="20" s="1"/>
  <c r="AA138" i="20" s="1"/>
  <c r="Z138" i="20" s="1"/>
  <c r="Y138" i="20" s="1"/>
  <c r="AG204" i="20"/>
  <c r="AF204" i="20" s="1"/>
  <c r="AD204" i="20" s="1"/>
  <c r="AA204" i="20" s="1"/>
  <c r="Z204" i="20" s="1"/>
  <c r="Y204" i="20" s="1"/>
  <c r="AG256" i="20"/>
  <c r="AF256" i="20" s="1"/>
  <c r="AD256" i="20" s="1"/>
  <c r="AA256" i="20" s="1"/>
  <c r="Z256" i="20" s="1"/>
  <c r="Y256" i="20" s="1"/>
  <c r="AG154" i="20"/>
  <c r="AF154" i="20" s="1"/>
  <c r="AD154" i="20" s="1"/>
  <c r="AA154" i="20" s="1"/>
  <c r="Z154" i="20" s="1"/>
  <c r="Y154" i="20" s="1"/>
  <c r="AG129" i="20"/>
  <c r="AF129" i="20" s="1"/>
  <c r="AD129" i="20" s="1"/>
  <c r="AA129" i="20" s="1"/>
  <c r="Z129" i="20" s="1"/>
  <c r="Y129" i="20" s="1"/>
  <c r="AG285" i="20"/>
  <c r="AF285" i="20" s="1"/>
  <c r="AD285" i="20" s="1"/>
  <c r="AA285" i="20" s="1"/>
  <c r="Z285" i="20" s="1"/>
  <c r="Y285" i="20" s="1"/>
  <c r="AG335" i="20"/>
  <c r="AF335" i="20" s="1"/>
  <c r="AD335" i="20" s="1"/>
  <c r="AA335" i="20" s="1"/>
  <c r="Z335" i="20" s="1"/>
  <c r="Y335" i="20" s="1"/>
  <c r="AG132" i="20"/>
  <c r="AF132" i="20" s="1"/>
  <c r="AD132" i="20" s="1"/>
  <c r="AA132" i="20" s="1"/>
  <c r="Z132" i="20" s="1"/>
  <c r="Y132" i="20" s="1"/>
  <c r="AG253" i="20"/>
  <c r="AF253" i="20" s="1"/>
  <c r="AD253" i="20" s="1"/>
  <c r="AA253" i="20" s="1"/>
  <c r="Z253" i="20" s="1"/>
  <c r="Y253" i="20" s="1"/>
  <c r="AG377" i="20"/>
  <c r="AF377" i="20" s="1"/>
  <c r="AD377" i="20" s="1"/>
  <c r="AA377" i="20" s="1"/>
  <c r="Z377" i="20" s="1"/>
  <c r="Y377" i="20" s="1"/>
  <c r="AG350" i="20"/>
  <c r="AF350" i="20" s="1"/>
  <c r="AD350" i="20" s="1"/>
  <c r="AA350" i="20" s="1"/>
  <c r="Z350" i="20" s="1"/>
  <c r="Y350" i="20" s="1"/>
  <c r="AG310" i="20"/>
  <c r="AF310" i="20" s="1"/>
  <c r="AD310" i="20" s="1"/>
  <c r="AA310" i="20" s="1"/>
  <c r="Z310" i="20" s="1"/>
  <c r="Y310" i="20" s="1"/>
  <c r="AG287" i="20"/>
  <c r="AF287" i="20" s="1"/>
  <c r="AD287" i="20" s="1"/>
  <c r="AA287" i="20" s="1"/>
  <c r="Z287" i="20" s="1"/>
  <c r="Y287" i="20" s="1"/>
  <c r="AG144" i="20"/>
  <c r="AF144" i="20" s="1"/>
  <c r="AD144" i="20" s="1"/>
  <c r="AA144" i="20" s="1"/>
  <c r="Z144" i="20" s="1"/>
  <c r="Y144" i="20" s="1"/>
  <c r="AG314" i="20"/>
  <c r="AF314" i="20" s="1"/>
  <c r="AD314" i="20" s="1"/>
  <c r="AA314" i="20" s="1"/>
  <c r="Z314" i="20" s="1"/>
  <c r="Y314" i="20" s="1"/>
  <c r="AG342" i="20"/>
  <c r="AF342" i="20" s="1"/>
  <c r="AD342" i="20" s="1"/>
  <c r="AA342" i="20" s="1"/>
  <c r="Z342" i="20" s="1"/>
  <c r="Y342" i="20" s="1"/>
  <c r="AG303" i="20"/>
  <c r="AF303" i="20" s="1"/>
  <c r="AD303" i="20" s="1"/>
  <c r="AA303" i="20" s="1"/>
  <c r="Z303" i="20" s="1"/>
  <c r="Y303" i="20" s="1"/>
  <c r="AG106" i="20"/>
  <c r="AF106" i="20" s="1"/>
  <c r="AD106" i="20" s="1"/>
  <c r="AA106" i="20" s="1"/>
  <c r="Z106" i="20" s="1"/>
  <c r="Y106" i="20" s="1"/>
  <c r="AG111" i="20"/>
  <c r="AF111" i="20" s="1"/>
  <c r="AD111" i="20" s="1"/>
  <c r="AA111" i="20" s="1"/>
  <c r="Z111" i="20" s="1"/>
  <c r="Y111" i="20" s="1"/>
  <c r="AG127" i="20"/>
  <c r="AF127" i="20" s="1"/>
  <c r="AD127" i="20" s="1"/>
  <c r="AA127" i="20" s="1"/>
  <c r="Z127" i="20" s="1"/>
  <c r="Y127" i="20" s="1"/>
  <c r="AG283" i="20"/>
  <c r="AF283" i="20" s="1"/>
  <c r="AD283" i="20" s="1"/>
  <c r="AA283" i="20" s="1"/>
  <c r="Z283" i="20" s="1"/>
  <c r="Y283" i="20" s="1"/>
  <c r="AG150" i="20"/>
  <c r="AF150" i="20" s="1"/>
  <c r="AD150" i="20" s="1"/>
  <c r="AA150" i="20" s="1"/>
  <c r="Z150" i="20" s="1"/>
  <c r="Y150" i="20" s="1"/>
  <c r="AG245" i="20"/>
  <c r="AF245" i="20" s="1"/>
  <c r="AD245" i="20" s="1"/>
  <c r="AA245" i="20" s="1"/>
  <c r="Z245" i="20" s="1"/>
  <c r="Y245" i="20" s="1"/>
  <c r="AG325" i="20"/>
  <c r="AF325" i="20" s="1"/>
  <c r="AD325" i="20" s="1"/>
  <c r="AA325" i="20" s="1"/>
  <c r="Z325" i="20" s="1"/>
  <c r="Y325" i="20" s="1"/>
  <c r="AG115" i="20"/>
  <c r="AF115" i="20" s="1"/>
  <c r="AD115" i="20" s="1"/>
  <c r="AA115" i="20" s="1"/>
  <c r="Z115" i="20" s="1"/>
  <c r="Y115" i="20" s="1"/>
  <c r="AG367" i="20"/>
  <c r="AF367" i="20" s="1"/>
  <c r="AD367" i="20" s="1"/>
  <c r="AA367" i="20" s="1"/>
  <c r="Z367" i="20" s="1"/>
  <c r="Y367" i="20" s="1"/>
  <c r="AG261" i="20"/>
  <c r="AF261" i="20" s="1"/>
  <c r="AD261" i="20" s="1"/>
  <c r="AA261" i="20" s="1"/>
  <c r="Z261" i="20" s="1"/>
  <c r="Y261" i="20" s="1"/>
  <c r="AG155" i="20"/>
  <c r="AF155" i="20" s="1"/>
  <c r="AD155" i="20" s="1"/>
  <c r="AA155" i="20" s="1"/>
  <c r="Z155" i="20" s="1"/>
  <c r="Y155" i="20" s="1"/>
  <c r="AG286" i="20"/>
  <c r="AF286" i="20" s="1"/>
  <c r="AD286" i="20" s="1"/>
  <c r="AA286" i="20" s="1"/>
  <c r="Z286" i="20" s="1"/>
  <c r="Y286" i="20" s="1"/>
  <c r="AG251" i="20"/>
  <c r="AF251" i="20" s="1"/>
  <c r="AD251" i="20" s="1"/>
  <c r="AA251" i="20" s="1"/>
  <c r="Z251" i="20" s="1"/>
  <c r="Y251" i="20" s="1"/>
  <c r="AG369" i="20"/>
  <c r="AF369" i="20" s="1"/>
  <c r="AD369" i="20" s="1"/>
  <c r="AA369" i="20" s="1"/>
  <c r="Z369" i="20" s="1"/>
  <c r="Y369" i="20" s="1"/>
  <c r="AG209" i="20"/>
  <c r="AF209" i="20" s="1"/>
  <c r="AD209" i="20" s="1"/>
  <c r="AA209" i="20" s="1"/>
  <c r="Z209" i="20" s="1"/>
  <c r="Y209" i="20" s="1"/>
  <c r="AG271" i="20"/>
  <c r="AF271" i="20" s="1"/>
  <c r="AD271" i="20" s="1"/>
  <c r="AA271" i="20" s="1"/>
  <c r="Z271" i="20" s="1"/>
  <c r="Y271" i="20" s="1"/>
  <c r="AG356" i="20"/>
  <c r="AF356" i="20" s="1"/>
  <c r="AD356" i="20" s="1"/>
  <c r="AA356" i="20" s="1"/>
  <c r="Z356" i="20" s="1"/>
  <c r="Y356" i="20" s="1"/>
  <c r="AG302" i="20"/>
  <c r="AF302" i="20" s="1"/>
  <c r="AD302" i="20" s="1"/>
  <c r="AG276" i="20"/>
  <c r="AF276" i="20" s="1"/>
  <c r="AD276" i="20" s="1"/>
  <c r="AA276" i="20" s="1"/>
  <c r="Z276" i="20" s="1"/>
  <c r="Y276" i="20" s="1"/>
  <c r="AG146" i="20"/>
  <c r="AF146" i="20" s="1"/>
  <c r="AD146" i="20" s="1"/>
  <c r="AA146" i="20" s="1"/>
  <c r="Z146" i="20" s="1"/>
  <c r="Y146" i="20" s="1"/>
  <c r="AG152" i="20"/>
  <c r="AF152" i="20" s="1"/>
  <c r="AD152" i="20" s="1"/>
  <c r="AA152" i="20" s="1"/>
  <c r="Z152" i="20" s="1"/>
  <c r="Y152" i="20" s="1"/>
  <c r="AG318" i="20"/>
  <c r="AF318" i="20" s="1"/>
  <c r="AD318" i="20" s="1"/>
  <c r="AA318" i="20" s="1"/>
  <c r="Z318" i="20" s="1"/>
  <c r="Y318" i="20" s="1"/>
  <c r="AG171" i="20"/>
  <c r="AF171" i="20" s="1"/>
  <c r="AD171" i="20" s="1"/>
  <c r="AA171" i="20" s="1"/>
  <c r="Z171" i="20" s="1"/>
  <c r="Y171" i="20" s="1"/>
  <c r="AG292" i="20"/>
  <c r="AF292" i="20" s="1"/>
  <c r="AD292" i="20" s="1"/>
  <c r="AA292" i="20" s="1"/>
  <c r="Z292" i="20" s="1"/>
  <c r="Y292" i="20" s="1"/>
  <c r="AG315" i="20"/>
  <c r="AF315" i="20" s="1"/>
  <c r="AD315" i="20" s="1"/>
  <c r="AA315" i="20" s="1"/>
  <c r="Z315" i="20" s="1"/>
  <c r="Y315" i="20" s="1"/>
  <c r="AG244" i="20"/>
  <c r="AF244" i="20" s="1"/>
  <c r="AD244" i="20" s="1"/>
  <c r="AA244" i="20" s="1"/>
  <c r="Z244" i="20" s="1"/>
  <c r="Y244" i="20" s="1"/>
  <c r="AG187" i="20"/>
  <c r="AF187" i="20" s="1"/>
  <c r="AD187" i="20" s="1"/>
  <c r="AA187" i="20" s="1"/>
  <c r="Z187" i="20" s="1"/>
  <c r="Y187" i="20" s="1"/>
  <c r="AG336" i="20"/>
  <c r="AF336" i="20" s="1"/>
  <c r="AD336" i="20" s="1"/>
  <c r="AA336" i="20" s="1"/>
  <c r="Z336" i="20" s="1"/>
  <c r="Y336" i="20" s="1"/>
  <c r="AG275" i="20"/>
  <c r="AF275" i="20" s="1"/>
  <c r="AD275" i="20" s="1"/>
  <c r="AA275" i="20" s="1"/>
  <c r="Z275" i="20" s="1"/>
  <c r="Y275" i="20" s="1"/>
  <c r="AG164" i="20"/>
  <c r="AF164" i="20" s="1"/>
  <c r="AD164" i="20" s="1"/>
  <c r="AA164" i="20" s="1"/>
  <c r="Z164" i="20" s="1"/>
  <c r="Y164" i="20" s="1"/>
  <c r="AG274" i="20"/>
  <c r="AF274" i="20" s="1"/>
  <c r="AD274" i="20" s="1"/>
  <c r="AA274" i="20" s="1"/>
  <c r="Z274" i="20" s="1"/>
  <c r="Y274" i="20" s="1"/>
  <c r="AG162" i="20"/>
  <c r="AF162" i="20" s="1"/>
  <c r="AD162" i="20" s="1"/>
  <c r="AA162" i="20" s="1"/>
  <c r="Z162" i="20" s="1"/>
  <c r="Y162" i="20" s="1"/>
  <c r="AG375" i="20"/>
  <c r="AF375" i="20" s="1"/>
  <c r="AD375" i="20" s="1"/>
  <c r="AA375" i="20" s="1"/>
  <c r="Z375" i="20" s="1"/>
  <c r="Y375" i="20" s="1"/>
  <c r="AG200" i="20"/>
  <c r="AF200" i="20" s="1"/>
  <c r="AD200" i="20" s="1"/>
  <c r="AA200" i="20" s="1"/>
  <c r="Z200" i="20" s="1"/>
  <c r="Y200" i="20" s="1"/>
  <c r="AG139" i="20"/>
  <c r="AF139" i="20" s="1"/>
  <c r="AD139" i="20" s="1"/>
  <c r="AA139" i="20" s="1"/>
  <c r="Z139" i="20" s="1"/>
  <c r="Y139" i="20" s="1"/>
  <c r="AG248" i="20"/>
  <c r="AF248" i="20" s="1"/>
  <c r="AD248" i="20" s="1"/>
  <c r="AA248" i="20" s="1"/>
  <c r="Z248" i="20" s="1"/>
  <c r="Y248" i="20" s="1"/>
  <c r="AG153" i="20"/>
  <c r="AF153" i="20" s="1"/>
  <c r="AD153" i="20" s="1"/>
  <c r="AA153" i="20" s="1"/>
  <c r="Z153" i="20" s="1"/>
  <c r="Y153" i="20" s="1"/>
  <c r="AG183" i="20"/>
  <c r="AF183" i="20" s="1"/>
  <c r="AD183" i="20" s="1"/>
  <c r="AA183" i="20" s="1"/>
  <c r="Z183" i="20" s="1"/>
  <c r="Y183" i="20" s="1"/>
  <c r="AG145" i="20"/>
  <c r="AF145" i="20" s="1"/>
  <c r="AD145" i="20" s="1"/>
  <c r="AA145" i="20" s="1"/>
  <c r="Z145" i="20" s="1"/>
  <c r="Y145" i="20" s="1"/>
  <c r="AG301" i="20"/>
  <c r="AF301" i="20" s="1"/>
  <c r="AD301" i="20" s="1"/>
  <c r="AA301" i="20" s="1"/>
  <c r="Z301" i="20" s="1"/>
  <c r="Y301" i="20" s="1"/>
  <c r="AG264" i="20"/>
  <c r="AF264" i="20" s="1"/>
  <c r="AD264" i="20" s="1"/>
  <c r="AA264" i="20" s="1"/>
  <c r="Z264" i="20" s="1"/>
  <c r="Y264" i="20" s="1"/>
  <c r="AG320" i="20"/>
  <c r="AF320" i="20" s="1"/>
  <c r="AD320" i="20" s="1"/>
  <c r="AA320" i="20" s="1"/>
  <c r="Z320" i="20" s="1"/>
  <c r="Y320" i="20" s="1"/>
  <c r="AG202" i="20"/>
  <c r="AF202" i="20" s="1"/>
  <c r="AD202" i="20" s="1"/>
  <c r="AA202" i="20" s="1"/>
  <c r="Z202" i="20" s="1"/>
  <c r="Y202" i="20" s="1"/>
  <c r="AG331" i="20"/>
  <c r="AF331" i="20" s="1"/>
  <c r="AD331" i="20" s="1"/>
  <c r="AA331" i="20" s="1"/>
  <c r="Z331" i="20" s="1"/>
  <c r="Y331" i="20" s="1"/>
  <c r="AG206" i="20"/>
  <c r="AF206" i="20" s="1"/>
  <c r="AD206" i="20" s="1"/>
  <c r="AA206" i="20" s="1"/>
  <c r="Z206" i="20" s="1"/>
  <c r="Y206" i="20" s="1"/>
  <c r="AH104" i="20"/>
  <c r="AI381" i="20"/>
  <c r="AI382" i="20"/>
  <c r="AI383" i="20"/>
  <c r="AG259" i="20"/>
  <c r="AF259" i="20" s="1"/>
  <c r="AD259" i="20" s="1"/>
  <c r="AA259" i="20" s="1"/>
  <c r="Z259" i="20" s="1"/>
  <c r="Y259" i="20" s="1"/>
  <c r="AG267" i="20"/>
  <c r="AF267" i="20" s="1"/>
  <c r="AD267" i="20" s="1"/>
  <c r="AA267" i="20" s="1"/>
  <c r="Z267" i="20" s="1"/>
  <c r="Y267" i="20" s="1"/>
  <c r="AG255" i="20"/>
  <c r="AF255" i="20" s="1"/>
  <c r="AD255" i="20" s="1"/>
  <c r="AA255" i="20" s="1"/>
  <c r="Z255" i="20" s="1"/>
  <c r="Y255" i="20" s="1"/>
  <c r="AG137" i="20"/>
  <c r="AF137" i="20" s="1"/>
  <c r="AD137" i="20" s="1"/>
  <c r="AA137" i="20" s="1"/>
  <c r="Z137" i="20" s="1"/>
  <c r="Y137" i="20" s="1"/>
  <c r="AG175" i="20"/>
  <c r="AF175" i="20" s="1"/>
  <c r="AD175" i="20" s="1"/>
  <c r="AA175" i="20" s="1"/>
  <c r="Z175" i="20" s="1"/>
  <c r="Y175" i="20" s="1"/>
  <c r="AG341" i="20"/>
  <c r="AF341" i="20" s="1"/>
  <c r="AD341" i="20" s="1"/>
  <c r="AA341" i="20" s="1"/>
  <c r="Z341" i="20" s="1"/>
  <c r="Y341" i="20" s="1"/>
  <c r="AG216" i="20"/>
  <c r="AF216" i="20" s="1"/>
  <c r="AD216" i="20" s="1"/>
  <c r="AA216" i="20" s="1"/>
  <c r="Z216" i="20" s="1"/>
  <c r="Y216" i="20" s="1"/>
  <c r="AG372" i="20"/>
  <c r="AF372" i="20" s="1"/>
  <c r="AD372" i="20" s="1"/>
  <c r="AA372" i="20" s="1"/>
  <c r="Z372" i="20" s="1"/>
  <c r="Y372" i="20" s="1"/>
  <c r="AG346" i="20"/>
  <c r="AF346" i="20" s="1"/>
  <c r="AD346" i="20" s="1"/>
  <c r="AA346" i="20" s="1"/>
  <c r="Z346" i="20" s="1"/>
  <c r="Y346" i="20" s="1"/>
  <c r="AG338" i="20"/>
  <c r="AF338" i="20" s="1"/>
  <c r="AD338" i="20" s="1"/>
  <c r="AA338" i="20" s="1"/>
  <c r="Z338" i="20" s="1"/>
  <c r="Y338" i="20" s="1"/>
  <c r="AG243" i="20"/>
  <c r="AF243" i="20" s="1"/>
  <c r="AD243" i="20" s="1"/>
  <c r="AA243" i="20" s="1"/>
  <c r="Z243" i="20" s="1"/>
  <c r="Y243" i="20" s="1"/>
  <c r="AG112" i="20"/>
  <c r="AF112" i="20" s="1"/>
  <c r="AD112" i="20" s="1"/>
  <c r="AA112" i="20" s="1"/>
  <c r="Z112" i="20" s="1"/>
  <c r="Y112" i="20" s="1"/>
  <c r="AG191" i="20"/>
  <c r="AF191" i="20" s="1"/>
  <c r="AD191" i="20" s="1"/>
  <c r="AA191" i="20" s="1"/>
  <c r="Z191" i="20" s="1"/>
  <c r="Y191" i="20" s="1"/>
  <c r="AG130" i="20"/>
  <c r="AF130" i="20" s="1"/>
  <c r="AD130" i="20" s="1"/>
  <c r="AA130" i="20" s="1"/>
  <c r="Z130" i="20" s="1"/>
  <c r="Y130" i="20" s="1"/>
  <c r="AG122" i="20"/>
  <c r="AF122" i="20" s="1"/>
  <c r="AD122" i="20" s="1"/>
  <c r="AA122" i="20" s="1"/>
  <c r="Z122" i="20" s="1"/>
  <c r="Y122" i="20" s="1"/>
  <c r="AG201" i="20"/>
  <c r="AF201" i="20" s="1"/>
  <c r="AD201" i="20" s="1"/>
  <c r="AA201" i="20" s="1"/>
  <c r="Z201" i="20" s="1"/>
  <c r="Y201" i="20" s="1"/>
  <c r="AG168" i="20"/>
  <c r="AF168" i="20" s="1"/>
  <c r="AD168" i="20" s="1"/>
  <c r="AA168" i="20" s="1"/>
  <c r="Z168" i="20" s="1"/>
  <c r="Y168" i="20" s="1"/>
  <c r="AG366" i="20"/>
  <c r="AF366" i="20" s="1"/>
  <c r="AD366" i="20" s="1"/>
  <c r="AA366" i="20" s="1"/>
  <c r="Z366" i="20" s="1"/>
  <c r="Y366" i="20" s="1"/>
  <c r="AG370" i="20"/>
  <c r="AF370" i="20" s="1"/>
  <c r="AD370" i="20" s="1"/>
  <c r="AA370" i="20" s="1"/>
  <c r="Z370" i="20" s="1"/>
  <c r="Y370" i="20" s="1"/>
  <c r="AG134" i="20"/>
  <c r="AF134" i="20" s="1"/>
  <c r="AD134" i="20" s="1"/>
  <c r="AA134" i="20" s="1"/>
  <c r="Z134" i="20" s="1"/>
  <c r="Y134" i="20" s="1"/>
  <c r="AG339" i="20"/>
  <c r="AF339" i="20" s="1"/>
  <c r="AD339" i="20" s="1"/>
  <c r="AA339" i="20" s="1"/>
  <c r="Z339" i="20" s="1"/>
  <c r="Y339" i="20" s="1"/>
  <c r="AG213" i="20"/>
  <c r="AF213" i="20" s="1"/>
  <c r="AD213" i="20" s="1"/>
  <c r="AA213" i="20" s="1"/>
  <c r="Z213" i="20" s="1"/>
  <c r="Y213" i="20" s="1"/>
  <c r="AG306" i="20"/>
  <c r="AF306" i="20" s="1"/>
  <c r="AD306" i="20" s="1"/>
  <c r="AA306" i="20" s="1"/>
  <c r="Z306" i="20" s="1"/>
  <c r="Y306" i="20" s="1"/>
  <c r="AG177" i="20"/>
  <c r="AF177" i="20" s="1"/>
  <c r="AD177" i="20" s="1"/>
  <c r="AA177" i="20" s="1"/>
  <c r="Z177" i="20" s="1"/>
  <c r="Y177" i="20" s="1"/>
  <c r="AG225" i="20"/>
  <c r="AF225" i="20" s="1"/>
  <c r="AD225" i="20" s="1"/>
  <c r="AA225" i="20" s="1"/>
  <c r="Z225" i="20" s="1"/>
  <c r="Y225" i="20" s="1"/>
  <c r="AG352" i="20"/>
  <c r="AF352" i="20" s="1"/>
  <c r="AD352" i="20" s="1"/>
  <c r="AA352" i="20" s="1"/>
  <c r="Z352" i="20" s="1"/>
  <c r="Y352" i="20" s="1"/>
  <c r="AG357" i="20"/>
  <c r="AF357" i="20" s="1"/>
  <c r="AD357" i="20" s="1"/>
  <c r="AA357" i="20" s="1"/>
  <c r="Z357" i="20" s="1"/>
  <c r="Y357" i="20" s="1"/>
  <c r="AG234" i="20"/>
  <c r="AF234" i="20" s="1"/>
  <c r="AD234" i="20" s="1"/>
  <c r="AA234" i="20" s="1"/>
  <c r="Z234" i="20" s="1"/>
  <c r="Y234" i="20" s="1"/>
  <c r="AG327" i="20"/>
  <c r="AF327" i="20" s="1"/>
  <c r="AD327" i="20" s="1"/>
  <c r="AA327" i="20" s="1"/>
  <c r="Z327" i="20" s="1"/>
  <c r="Y327" i="20" s="1"/>
  <c r="AG210" i="20"/>
  <c r="AF210" i="20" s="1"/>
  <c r="AD210" i="20" s="1"/>
  <c r="AG157" i="20"/>
  <c r="AF157" i="20" s="1"/>
  <c r="AD157" i="20" s="1"/>
  <c r="AA157" i="20" s="1"/>
  <c r="Z157" i="20" s="1"/>
  <c r="Y157" i="20" s="1"/>
  <c r="AG207" i="20"/>
  <c r="AF207" i="20" s="1"/>
  <c r="AD207" i="20" s="1"/>
  <c r="AA207" i="20" s="1"/>
  <c r="Z207" i="20" s="1"/>
  <c r="Y207" i="20" s="1"/>
  <c r="AG269" i="20"/>
  <c r="AF269" i="20" s="1"/>
  <c r="AD269" i="20" s="1"/>
  <c r="AA269" i="20" s="1"/>
  <c r="Z269" i="20" s="1"/>
  <c r="Y269" i="20" s="1"/>
  <c r="AG220" i="20"/>
  <c r="AF220" i="20" s="1"/>
  <c r="AD220" i="20" s="1"/>
  <c r="AA220" i="20" s="1"/>
  <c r="Z220" i="20" s="1"/>
  <c r="Y220" i="20" s="1"/>
  <c r="AG232" i="20"/>
  <c r="AF232" i="20" s="1"/>
  <c r="AD232" i="20" s="1"/>
  <c r="AA232" i="20" s="1"/>
  <c r="Z232" i="20" s="1"/>
  <c r="Y232" i="20" s="1"/>
  <c r="AG110" i="20"/>
  <c r="AF110" i="20" s="1"/>
  <c r="AD110" i="20" s="1"/>
  <c r="AA110" i="20" s="1"/>
  <c r="Z110" i="20" s="1"/>
  <c r="Y110" i="20" s="1"/>
  <c r="AG272" i="20"/>
  <c r="AF272" i="20" s="1"/>
  <c r="AD272" i="20" s="1"/>
  <c r="AG300" i="20"/>
  <c r="AF300" i="20" s="1"/>
  <c r="AD300" i="20" s="1"/>
  <c r="AA300" i="20" s="1"/>
  <c r="Z300" i="20" s="1"/>
  <c r="Y300" i="20" s="1"/>
  <c r="AG126" i="20"/>
  <c r="AF126" i="20" s="1"/>
  <c r="AD126" i="20" s="1"/>
  <c r="AA126" i="20" s="1"/>
  <c r="Z126" i="20" s="1"/>
  <c r="Y126" i="20" s="1"/>
  <c r="AG141" i="20"/>
  <c r="AF141" i="20" s="1"/>
  <c r="AD141" i="20" s="1"/>
  <c r="AA141" i="20" s="1"/>
  <c r="Z141" i="20" s="1"/>
  <c r="Y141" i="20" s="1"/>
  <c r="AG260" i="20"/>
  <c r="AF260" i="20" s="1"/>
  <c r="AD260" i="20" s="1"/>
  <c r="AA260" i="20" s="1"/>
  <c r="Z260" i="20" s="1"/>
  <c r="Y260" i="20" s="1"/>
  <c r="AG228" i="20"/>
  <c r="AF228" i="20" s="1"/>
  <c r="AD228" i="20" s="1"/>
  <c r="AA228" i="20" s="1"/>
  <c r="Z228" i="20" s="1"/>
  <c r="Y228" i="20" s="1"/>
  <c r="AG105" i="20"/>
  <c r="AF105" i="20" s="1"/>
  <c r="AD105" i="20" s="1"/>
  <c r="AG174" i="20"/>
  <c r="AF174" i="20" s="1"/>
  <c r="AD174" i="20" s="1"/>
  <c r="AA174" i="20" s="1"/>
  <c r="Z174" i="20" s="1"/>
  <c r="Y174" i="20" s="1"/>
  <c r="AG273" i="20"/>
  <c r="AF273" i="20" s="1"/>
  <c r="AD273" i="20" s="1"/>
  <c r="AA273" i="20" s="1"/>
  <c r="Z273" i="20" s="1"/>
  <c r="Y273" i="20" s="1"/>
  <c r="AG136" i="20"/>
  <c r="AF136" i="20" s="1"/>
  <c r="AD136" i="20" s="1"/>
  <c r="AA136" i="20" s="1"/>
  <c r="Z136" i="20" s="1"/>
  <c r="Y136" i="20" s="1"/>
  <c r="AG160" i="20"/>
  <c r="AF160" i="20" s="1"/>
  <c r="AD160" i="20" s="1"/>
  <c r="AA160" i="20" s="1"/>
  <c r="Z160" i="20" s="1"/>
  <c r="Y160" i="20" s="1"/>
  <c r="AG263" i="20"/>
  <c r="AF263" i="20" s="1"/>
  <c r="AD263" i="20" s="1"/>
  <c r="AA263" i="20" s="1"/>
  <c r="Z263" i="20" s="1"/>
  <c r="Y263" i="20" s="1"/>
  <c r="AG247" i="20"/>
  <c r="AF247" i="20" s="1"/>
  <c r="AD247" i="20" s="1"/>
  <c r="AA247" i="20" s="1"/>
  <c r="Z247" i="20" s="1"/>
  <c r="Y247" i="20" s="1"/>
  <c r="AG166" i="20"/>
  <c r="AF166" i="20" s="1"/>
  <c r="AD166" i="20" s="1"/>
  <c r="AG249" i="20"/>
  <c r="AF249" i="20" s="1"/>
  <c r="AD249" i="20" s="1"/>
  <c r="AA249" i="20" s="1"/>
  <c r="Z249" i="20" s="1"/>
  <c r="Y249" i="20" s="1"/>
  <c r="AG190" i="20"/>
  <c r="AF190" i="20" s="1"/>
  <c r="AD190" i="20" s="1"/>
  <c r="AA190" i="20" s="1"/>
  <c r="Z190" i="20" s="1"/>
  <c r="Y190" i="20" s="1"/>
  <c r="AG337" i="20"/>
  <c r="AF337" i="20" s="1"/>
  <c r="AD337" i="20" s="1"/>
  <c r="AA337" i="20" s="1"/>
  <c r="Z337" i="20" s="1"/>
  <c r="Y337" i="20" s="1"/>
  <c r="AG278" i="20"/>
  <c r="AF278" i="20" s="1"/>
  <c r="AD278" i="20" s="1"/>
  <c r="AA278" i="20" s="1"/>
  <c r="Z278" i="20" s="1"/>
  <c r="Y278" i="20" s="1"/>
  <c r="AG222" i="20"/>
  <c r="AF222" i="20" s="1"/>
  <c r="AD222" i="20" s="1"/>
  <c r="AA222" i="20" s="1"/>
  <c r="Z222" i="20" s="1"/>
  <c r="Y222" i="20" s="1"/>
  <c r="AG211" i="20"/>
  <c r="AF211" i="20" s="1"/>
  <c r="AD211" i="20" s="1"/>
  <c r="AA211" i="20" s="1"/>
  <c r="Z211" i="20" s="1"/>
  <c r="Y211" i="20" s="1"/>
  <c r="AG313" i="20"/>
  <c r="AF313" i="20" s="1"/>
  <c r="AD313" i="20" s="1"/>
  <c r="AA313" i="20" s="1"/>
  <c r="Z313" i="20" s="1"/>
  <c r="Y313" i="20" s="1"/>
  <c r="AG223" i="20"/>
  <c r="AF223" i="20" s="1"/>
  <c r="AD223" i="20" s="1"/>
  <c r="AA223" i="20" s="1"/>
  <c r="Z223" i="20" s="1"/>
  <c r="Y223" i="20" s="1"/>
  <c r="AG113" i="20"/>
  <c r="AF113" i="20" s="1"/>
  <c r="AD113" i="20" s="1"/>
  <c r="AA113" i="20" s="1"/>
  <c r="Z113" i="20" s="1"/>
  <c r="Y113" i="20" s="1"/>
  <c r="AG114" i="20"/>
  <c r="AF114" i="20" s="1"/>
  <c r="AD114" i="20" s="1"/>
  <c r="AA114" i="20" s="1"/>
  <c r="Z114" i="20" s="1"/>
  <c r="Y114" i="20" s="1"/>
  <c r="AG229" i="20"/>
  <c r="AF229" i="20" s="1"/>
  <c r="AD229" i="20" s="1"/>
  <c r="AA229" i="20" s="1"/>
  <c r="Z229" i="20" s="1"/>
  <c r="Y229" i="20" s="1"/>
  <c r="AG241" i="20"/>
  <c r="AF241" i="20" s="1"/>
  <c r="AD241" i="20" s="1"/>
  <c r="AG214" i="20"/>
  <c r="AF214" i="20" s="1"/>
  <c r="AD214" i="20" s="1"/>
  <c r="AA214" i="20" s="1"/>
  <c r="Z214" i="20" s="1"/>
  <c r="Y214" i="20" s="1"/>
  <c r="AG291" i="20"/>
  <c r="AF291" i="20" s="1"/>
  <c r="AD291" i="20" s="1"/>
  <c r="AA291" i="20" s="1"/>
  <c r="Z291" i="20" s="1"/>
  <c r="Y291" i="20" s="1"/>
  <c r="AG265" i="20"/>
  <c r="AF265" i="20" s="1"/>
  <c r="AD265" i="20" s="1"/>
  <c r="AA265" i="20" s="1"/>
  <c r="Z265" i="20" s="1"/>
  <c r="Y265" i="20" s="1"/>
  <c r="AG230" i="20"/>
  <c r="AF230" i="20" s="1"/>
  <c r="AD230" i="20" s="1"/>
  <c r="AA230" i="20" s="1"/>
  <c r="Z230" i="20" s="1"/>
  <c r="Y230" i="20" s="1"/>
  <c r="AG240" i="20"/>
  <c r="AF240" i="20" s="1"/>
  <c r="AD240" i="20" s="1"/>
  <c r="AA240" i="20" s="1"/>
  <c r="Z240" i="20" s="1"/>
  <c r="Y240" i="20" s="1"/>
  <c r="AG250" i="20"/>
  <c r="AF250" i="20" s="1"/>
  <c r="AD250" i="20" s="1"/>
  <c r="AA250" i="20" s="1"/>
  <c r="Z250" i="20" s="1"/>
  <c r="Y250" i="20" s="1"/>
  <c r="AG317" i="20"/>
  <c r="AF317" i="20" s="1"/>
  <c r="AD317" i="20" s="1"/>
  <c r="AA317" i="20" s="1"/>
  <c r="Z317" i="20" s="1"/>
  <c r="Y317" i="20" s="1"/>
  <c r="AG257" i="20"/>
  <c r="AF257" i="20" s="1"/>
  <c r="AD257" i="20" s="1"/>
  <c r="AA257" i="20" s="1"/>
  <c r="Z257" i="20" s="1"/>
  <c r="Y257" i="20" s="1"/>
  <c r="AG226" i="20"/>
  <c r="AF226" i="20" s="1"/>
  <c r="AD226" i="20" s="1"/>
  <c r="AA226" i="20" s="1"/>
  <c r="Z226" i="20" s="1"/>
  <c r="Y226" i="20" s="1"/>
  <c r="AG266" i="20"/>
  <c r="AF266" i="20" s="1"/>
  <c r="AD266" i="20" s="1"/>
  <c r="AA266" i="20" s="1"/>
  <c r="Z266" i="20" s="1"/>
  <c r="Y266" i="20" s="1"/>
  <c r="AG124" i="20"/>
  <c r="AF124" i="20" s="1"/>
  <c r="AD124" i="20" s="1"/>
  <c r="AA124" i="20" s="1"/>
  <c r="Z124" i="20" s="1"/>
  <c r="Y124" i="20" s="1"/>
  <c r="AG194" i="20"/>
  <c r="AF194" i="20" s="1"/>
  <c r="AD194" i="20" s="1"/>
  <c r="AA194" i="20" s="1"/>
  <c r="Z194" i="20" s="1"/>
  <c r="Y194" i="20" s="1"/>
  <c r="AG235" i="20"/>
  <c r="AF235" i="20" s="1"/>
  <c r="AD235" i="20" s="1"/>
  <c r="AA235" i="20" s="1"/>
  <c r="Z235" i="20" s="1"/>
  <c r="Y235" i="20" s="1"/>
  <c r="AG217" i="20"/>
  <c r="AF217" i="20" s="1"/>
  <c r="AD217" i="20" s="1"/>
  <c r="AA217" i="20" s="1"/>
  <c r="Z217" i="20" s="1"/>
  <c r="Y217" i="20" s="1"/>
  <c r="AI12" i="22"/>
  <c r="AH379" i="20"/>
  <c r="AG379" i="20" s="1"/>
  <c r="AF379" i="20" s="1"/>
  <c r="AD379" i="20" s="1"/>
  <c r="AG290" i="20"/>
  <c r="AF290" i="20" s="1"/>
  <c r="AD290" i="20" s="1"/>
  <c r="AA290" i="20" s="1"/>
  <c r="Z290" i="20" s="1"/>
  <c r="Y290" i="20" s="1"/>
  <c r="AG233" i="20"/>
  <c r="AF233" i="20" s="1"/>
  <c r="AD233" i="20" s="1"/>
  <c r="AA233" i="20" s="1"/>
  <c r="Z233" i="20" s="1"/>
  <c r="Y233" i="20" s="1"/>
  <c r="AG179" i="20"/>
  <c r="AF179" i="20" s="1"/>
  <c r="AD179" i="20" s="1"/>
  <c r="AA179" i="20" s="1"/>
  <c r="Z179" i="20" s="1"/>
  <c r="Y179" i="20" s="1"/>
  <c r="AG108" i="20"/>
  <c r="AF108" i="20" s="1"/>
  <c r="AD108" i="20" s="1"/>
  <c r="AA108" i="20" s="1"/>
  <c r="Z108" i="20" s="1"/>
  <c r="Y108" i="20" s="1"/>
  <c r="AG107" i="20"/>
  <c r="AF107" i="20" s="1"/>
  <c r="AD107" i="20" s="1"/>
  <c r="AA107" i="20" s="1"/>
  <c r="Z107" i="20" s="1"/>
  <c r="Y107" i="20" s="1"/>
  <c r="AG298" i="20"/>
  <c r="AF298" i="20" s="1"/>
  <c r="AD298" i="20" s="1"/>
  <c r="AA298" i="20" s="1"/>
  <c r="Z298" i="20" s="1"/>
  <c r="Y298" i="20" s="1"/>
  <c r="AG131" i="20"/>
  <c r="AF131" i="20" s="1"/>
  <c r="AD131" i="20" s="1"/>
  <c r="AA131" i="20" s="1"/>
  <c r="Z131" i="20" s="1"/>
  <c r="Y131" i="20" s="1"/>
  <c r="AG161" i="20"/>
  <c r="AF161" i="20" s="1"/>
  <c r="AD161" i="20" s="1"/>
  <c r="AA161" i="20" s="1"/>
  <c r="Z161" i="20" s="1"/>
  <c r="Y161" i="20" s="1"/>
  <c r="AG219" i="20"/>
  <c r="AF219" i="20" s="1"/>
  <c r="AD219" i="20" s="1"/>
  <c r="AA219" i="20" s="1"/>
  <c r="Z219" i="20" s="1"/>
  <c r="Y219" i="20" s="1"/>
  <c r="AG208" i="20"/>
  <c r="AF208" i="20" s="1"/>
  <c r="AD208" i="20" s="1"/>
  <c r="AA208" i="20" s="1"/>
  <c r="Z208" i="20" s="1"/>
  <c r="Y208" i="20" s="1"/>
  <c r="AG359" i="20"/>
  <c r="AF359" i="20" s="1"/>
  <c r="AD359" i="20" s="1"/>
  <c r="AA359" i="20" s="1"/>
  <c r="Z359" i="20" s="1"/>
  <c r="Y359" i="20" s="1"/>
  <c r="AG148" i="20"/>
  <c r="AF148" i="20" s="1"/>
  <c r="AD148" i="20" s="1"/>
  <c r="AA148" i="20" s="1"/>
  <c r="Z148" i="20" s="1"/>
  <c r="Y148" i="20" s="1"/>
  <c r="AG316" i="20"/>
  <c r="AF316" i="20" s="1"/>
  <c r="AD316" i="20" s="1"/>
  <c r="AA316" i="20" s="1"/>
  <c r="Z316" i="20" s="1"/>
  <c r="Y316" i="20" s="1"/>
  <c r="AG224" i="20"/>
  <c r="AF224" i="20" s="1"/>
  <c r="AD224" i="20" s="1"/>
  <c r="AA224" i="20" s="1"/>
  <c r="Z224" i="20" s="1"/>
  <c r="Y224" i="20" s="1"/>
  <c r="AG354" i="20"/>
  <c r="AF354" i="20" s="1"/>
  <c r="AD354" i="20" s="1"/>
  <c r="AA354" i="20" s="1"/>
  <c r="Z354" i="20" s="1"/>
  <c r="Y354" i="20" s="1"/>
  <c r="AG116" i="20"/>
  <c r="AF116" i="20" s="1"/>
  <c r="AD116" i="20" s="1"/>
  <c r="AA116" i="20" s="1"/>
  <c r="Z116" i="20" s="1"/>
  <c r="Y116" i="20" s="1"/>
  <c r="AG133" i="20"/>
  <c r="AF133" i="20" s="1"/>
  <c r="AD133" i="20" s="1"/>
  <c r="AA133" i="20" s="1"/>
  <c r="Z133" i="20" s="1"/>
  <c r="Y133" i="20" s="1"/>
  <c r="AG186" i="20"/>
  <c r="AF186" i="20" s="1"/>
  <c r="AD186" i="20" s="1"/>
  <c r="AA186" i="20" s="1"/>
  <c r="Z186" i="20" s="1"/>
  <c r="Y186" i="20" s="1"/>
  <c r="AG254" i="20"/>
  <c r="AF254" i="20" s="1"/>
  <c r="AD254" i="20" s="1"/>
  <c r="AA254" i="20" s="1"/>
  <c r="Z254" i="20" s="1"/>
  <c r="Y254" i="20" s="1"/>
  <c r="AG376" i="20"/>
  <c r="AF376" i="20" s="1"/>
  <c r="AD376" i="20" s="1"/>
  <c r="AA376" i="20" s="1"/>
  <c r="Z376" i="20" s="1"/>
  <c r="Y376" i="20" s="1"/>
  <c r="AG324" i="20"/>
  <c r="AF324" i="20" s="1"/>
  <c r="AD324" i="20" s="1"/>
  <c r="AA324" i="20" s="1"/>
  <c r="Z324" i="20" s="1"/>
  <c r="Y324" i="20" s="1"/>
  <c r="AG189" i="20"/>
  <c r="AF189" i="20" s="1"/>
  <c r="AD189" i="20" s="1"/>
  <c r="AA189" i="20" s="1"/>
  <c r="Z189" i="20" s="1"/>
  <c r="Y189" i="20" s="1"/>
  <c r="AG363" i="20"/>
  <c r="AF363" i="20" s="1"/>
  <c r="AD363" i="20" s="1"/>
  <c r="AG170" i="20"/>
  <c r="AF170" i="20" s="1"/>
  <c r="AD170" i="20" s="1"/>
  <c r="AA170" i="20" s="1"/>
  <c r="Z170" i="20" s="1"/>
  <c r="Y170" i="20" s="1"/>
  <c r="AG340" i="20"/>
  <c r="AF340" i="20" s="1"/>
  <c r="AD340" i="20" s="1"/>
  <c r="AA340" i="20" s="1"/>
  <c r="Z340" i="20" s="1"/>
  <c r="Y340" i="20" s="1"/>
  <c r="AG343" i="20"/>
  <c r="AF343" i="20" s="1"/>
  <c r="AD343" i="20" s="1"/>
  <c r="AA343" i="20" s="1"/>
  <c r="Z343" i="20" s="1"/>
  <c r="Y343" i="20" s="1"/>
  <c r="AG358" i="20"/>
  <c r="AF358" i="20" s="1"/>
  <c r="AD358" i="20" s="1"/>
  <c r="AA358" i="20" s="1"/>
  <c r="Z358" i="20" s="1"/>
  <c r="Y358" i="20" s="1"/>
  <c r="AG212" i="20"/>
  <c r="AF212" i="20" s="1"/>
  <c r="AD212" i="20" s="1"/>
  <c r="AA212" i="20" s="1"/>
  <c r="Z212" i="20" s="1"/>
  <c r="Y212" i="20" s="1"/>
  <c r="AG158" i="20"/>
  <c r="AF158" i="20" s="1"/>
  <c r="AD158" i="20" s="1"/>
  <c r="AA158" i="20" s="1"/>
  <c r="Z158" i="20" s="1"/>
  <c r="Y158" i="20" s="1"/>
  <c r="AG184" i="20"/>
  <c r="AF184" i="20" s="1"/>
  <c r="AD184" i="20" s="1"/>
  <c r="AA184" i="20" s="1"/>
  <c r="Z184" i="20" s="1"/>
  <c r="Y184" i="20" s="1"/>
  <c r="AG347" i="20"/>
  <c r="AF347" i="20" s="1"/>
  <c r="AD347" i="20" s="1"/>
  <c r="AA347" i="20" s="1"/>
  <c r="Z347" i="20" s="1"/>
  <c r="Y347" i="20" s="1"/>
  <c r="AG119" i="20"/>
  <c r="AF119" i="20" s="1"/>
  <c r="AD119" i="20" s="1"/>
  <c r="AG246" i="20"/>
  <c r="AF246" i="20" s="1"/>
  <c r="AD246" i="20" s="1"/>
  <c r="AA246" i="20" s="1"/>
  <c r="Z246" i="20" s="1"/>
  <c r="Y246" i="20" s="1"/>
  <c r="AG198" i="20"/>
  <c r="AF198" i="20" s="1"/>
  <c r="AD198" i="20" s="1"/>
  <c r="AA198" i="20" s="1"/>
  <c r="Z198" i="20" s="1"/>
  <c r="Y198" i="20" s="1"/>
  <c r="AG323" i="20"/>
  <c r="AF323" i="20" s="1"/>
  <c r="AD323" i="20" s="1"/>
  <c r="AA323" i="20" s="1"/>
  <c r="Z323" i="20" s="1"/>
  <c r="Y323" i="20" s="1"/>
  <c r="AG151" i="20"/>
  <c r="AF151" i="20" s="1"/>
  <c r="AD151" i="20" s="1"/>
  <c r="AA151" i="20" s="1"/>
  <c r="Z151" i="20" s="1"/>
  <c r="Y151" i="20" s="1"/>
  <c r="AG123" i="20"/>
  <c r="AF123" i="20" s="1"/>
  <c r="AD123" i="20" s="1"/>
  <c r="AA123" i="20" s="1"/>
  <c r="Z123" i="20" s="1"/>
  <c r="Y123" i="20" s="1"/>
  <c r="AG192" i="20"/>
  <c r="AF192" i="20" s="1"/>
  <c r="AD192" i="20" s="1"/>
  <c r="AA192" i="20" s="1"/>
  <c r="Z192" i="20" s="1"/>
  <c r="Y192" i="20" s="1"/>
  <c r="AG295" i="20"/>
  <c r="AF295" i="20" s="1"/>
  <c r="AD295" i="20" s="1"/>
  <c r="AA295" i="20" s="1"/>
  <c r="Z295" i="20" s="1"/>
  <c r="Y295" i="20" s="1"/>
  <c r="AG109" i="20"/>
  <c r="AF109" i="20" s="1"/>
  <c r="AD109" i="20" s="1"/>
  <c r="AA109" i="20" s="1"/>
  <c r="Z109" i="20" s="1"/>
  <c r="Y109" i="20" s="1"/>
  <c r="AG334" i="20"/>
  <c r="AF334" i="20" s="1"/>
  <c r="AD334" i="20" s="1"/>
  <c r="AA334" i="20" s="1"/>
  <c r="Z334" i="20" s="1"/>
  <c r="Y334" i="20" s="1"/>
  <c r="AG203" i="20"/>
  <c r="AF203" i="20" s="1"/>
  <c r="AD203" i="20" s="1"/>
  <c r="AA203" i="20" s="1"/>
  <c r="Z203" i="20" s="1"/>
  <c r="Y203" i="20" s="1"/>
  <c r="AG322" i="20"/>
  <c r="AF322" i="20" s="1"/>
  <c r="AD322" i="20" s="1"/>
  <c r="AA322" i="20" s="1"/>
  <c r="Z322" i="20" s="1"/>
  <c r="Y322" i="20" s="1"/>
  <c r="AG333" i="20"/>
  <c r="AF333" i="20" s="1"/>
  <c r="AD333" i="20" s="1"/>
  <c r="AG330" i="20"/>
  <c r="AF330" i="20" s="1"/>
  <c r="AD330" i="20" s="1"/>
  <c r="AA330" i="20" s="1"/>
  <c r="Z330" i="20" s="1"/>
  <c r="Y330" i="20" s="1"/>
  <c r="AG121" i="20"/>
  <c r="AF121" i="20" s="1"/>
  <c r="AD121" i="20" s="1"/>
  <c r="AA121" i="20" s="1"/>
  <c r="Z121" i="20" s="1"/>
  <c r="Y121" i="20" s="1"/>
  <c r="AG361" i="20"/>
  <c r="AF361" i="20" s="1"/>
  <c r="AD361" i="20" s="1"/>
  <c r="AA361" i="20" s="1"/>
  <c r="Z361" i="20" s="1"/>
  <c r="Y361" i="20" s="1"/>
  <c r="AG188" i="20"/>
  <c r="AF188" i="20" s="1"/>
  <c r="AD188" i="20" s="1"/>
  <c r="AA188" i="20" s="1"/>
  <c r="Z188" i="20" s="1"/>
  <c r="Y188" i="20" s="1"/>
  <c r="AG307" i="20"/>
  <c r="AF307" i="20" s="1"/>
  <c r="AD307" i="20" s="1"/>
  <c r="AA307" i="20" s="1"/>
  <c r="Z307" i="20" s="1"/>
  <c r="Y307" i="20" s="1"/>
  <c r="AG143" i="20"/>
  <c r="AF143" i="20" s="1"/>
  <c r="AD143" i="20" s="1"/>
  <c r="AA143" i="20" s="1"/>
  <c r="Z143" i="20" s="1"/>
  <c r="Y143" i="20" s="1"/>
  <c r="AG309" i="20"/>
  <c r="AF309" i="20" s="1"/>
  <c r="AD309" i="20" s="1"/>
  <c r="AA309" i="20" s="1"/>
  <c r="Z309" i="20" s="1"/>
  <c r="Y309" i="20" s="1"/>
  <c r="AG125" i="20"/>
  <c r="AF125" i="20" s="1"/>
  <c r="AD125" i="20" s="1"/>
  <c r="AA125" i="20" s="1"/>
  <c r="Z125" i="20" s="1"/>
  <c r="Y125" i="20" s="1"/>
  <c r="AG270" i="20"/>
  <c r="AF270" i="20" s="1"/>
  <c r="AD270" i="20" s="1"/>
  <c r="AA270" i="20" s="1"/>
  <c r="Z270" i="20" s="1"/>
  <c r="Y270" i="20" s="1"/>
  <c r="AG182" i="20"/>
  <c r="AF182" i="20" s="1"/>
  <c r="AD182" i="20" s="1"/>
  <c r="AA182" i="20" s="1"/>
  <c r="Z182" i="20" s="1"/>
  <c r="Y182" i="20" s="1"/>
  <c r="AG252" i="20"/>
  <c r="AF252" i="20" s="1"/>
  <c r="AD252" i="20" s="1"/>
  <c r="AA252" i="20" s="1"/>
  <c r="Z252" i="20" s="1"/>
  <c r="Y252" i="20" s="1"/>
  <c r="AG159" i="20"/>
  <c r="AF159" i="20" s="1"/>
  <c r="AD159" i="20" s="1"/>
  <c r="AA159" i="20" s="1"/>
  <c r="Z159" i="20" s="1"/>
  <c r="Y159" i="20" s="1"/>
  <c r="AG173" i="20"/>
  <c r="AF173" i="20" s="1"/>
  <c r="AD173" i="20" s="1"/>
  <c r="AA173" i="20" s="1"/>
  <c r="Z173" i="20" s="1"/>
  <c r="Y173" i="20" s="1"/>
  <c r="AG163" i="20"/>
  <c r="AF163" i="20" s="1"/>
  <c r="AD163" i="20" s="1"/>
  <c r="AA163" i="20" s="1"/>
  <c r="Z163" i="20" s="1"/>
  <c r="Y163" i="20" s="1"/>
  <c r="AG351" i="20"/>
  <c r="AF351" i="20" s="1"/>
  <c r="AD351" i="20" s="1"/>
  <c r="AA351" i="20" s="1"/>
  <c r="Z351" i="20" s="1"/>
  <c r="Y351" i="20" s="1"/>
  <c r="AG185" i="20"/>
  <c r="AF185" i="20" s="1"/>
  <c r="AD185" i="20" s="1"/>
  <c r="AA185" i="20" s="1"/>
  <c r="Z185" i="20" s="1"/>
  <c r="Y185" i="20" s="1"/>
  <c r="AG140" i="20"/>
  <c r="AF140" i="20" s="1"/>
  <c r="AD140" i="20" s="1"/>
  <c r="AA140" i="20" s="1"/>
  <c r="Z140" i="20" s="1"/>
  <c r="Y140" i="20" s="1"/>
  <c r="AG242" i="20"/>
  <c r="AF242" i="20" s="1"/>
  <c r="AD242" i="20" s="1"/>
  <c r="AA242" i="20" s="1"/>
  <c r="Z242" i="20" s="1"/>
  <c r="Y242" i="20" s="1"/>
  <c r="AG304" i="20"/>
  <c r="AF304" i="20" s="1"/>
  <c r="AD304" i="20" s="1"/>
  <c r="AA304" i="20" s="1"/>
  <c r="Z304" i="20" s="1"/>
  <c r="Y304" i="20" s="1"/>
  <c r="AG258" i="20"/>
  <c r="AF258" i="20" s="1"/>
  <c r="AD258" i="20" s="1"/>
  <c r="AG328" i="20"/>
  <c r="AF328" i="20" s="1"/>
  <c r="AD328" i="20" s="1"/>
  <c r="AA328" i="20" s="1"/>
  <c r="Z328" i="20" s="1"/>
  <c r="Y328" i="20" s="1"/>
  <c r="AG180" i="20"/>
  <c r="AF180" i="20" s="1"/>
  <c r="AD180" i="20" s="1"/>
  <c r="AG221" i="20"/>
  <c r="AF221" i="20" s="1"/>
  <c r="AD221" i="20" s="1"/>
  <c r="AA221" i="20" s="1"/>
  <c r="Z221" i="20" s="1"/>
  <c r="Y221" i="20" s="1"/>
  <c r="AG293" i="20"/>
  <c r="AF293" i="20" s="1"/>
  <c r="AD293" i="20" s="1"/>
  <c r="AA293" i="20" s="1"/>
  <c r="Z293" i="20" s="1"/>
  <c r="Y293" i="20" s="1"/>
  <c r="AG348" i="20"/>
  <c r="AF348" i="20" s="1"/>
  <c r="AD348" i="20" s="1"/>
  <c r="AA348" i="20" s="1"/>
  <c r="Z348" i="20" s="1"/>
  <c r="Y348" i="20" s="1"/>
  <c r="AG297" i="20"/>
  <c r="AF297" i="20" s="1"/>
  <c r="AD297" i="20" s="1"/>
  <c r="AA297" i="20" s="1"/>
  <c r="Z297" i="20" s="1"/>
  <c r="Y297" i="20" s="1"/>
  <c r="AG364" i="20"/>
  <c r="AF364" i="20" s="1"/>
  <c r="AD364" i="20" s="1"/>
  <c r="AA364" i="20" s="1"/>
  <c r="Z364" i="20" s="1"/>
  <c r="Y364" i="20" s="1"/>
  <c r="AG178" i="20"/>
  <c r="AF178" i="20" s="1"/>
  <c r="AD178" i="20" s="1"/>
  <c r="AA178" i="20" s="1"/>
  <c r="Z178" i="20" s="1"/>
  <c r="Y178" i="20" s="1"/>
  <c r="AG120" i="20"/>
  <c r="AF120" i="20" s="1"/>
  <c r="AD120" i="20" s="1"/>
  <c r="AA120" i="20" s="1"/>
  <c r="Z120" i="20" s="1"/>
  <c r="Y120" i="20" s="1"/>
  <c r="AG117" i="20"/>
  <c r="AF117" i="20" s="1"/>
  <c r="AD117" i="20" s="1"/>
  <c r="AA117" i="20" s="1"/>
  <c r="Z117" i="20" s="1"/>
  <c r="Y117" i="20" s="1"/>
  <c r="AG196" i="20"/>
  <c r="AF196" i="20" s="1"/>
  <c r="AD196" i="20" s="1"/>
  <c r="AG305" i="20"/>
  <c r="AF305" i="20" s="1"/>
  <c r="AD305" i="20" s="1"/>
  <c r="AA305" i="20" s="1"/>
  <c r="Z305" i="20" s="1"/>
  <c r="Y305" i="20" s="1"/>
  <c r="AG362" i="20"/>
  <c r="AF362" i="20" s="1"/>
  <c r="AD362" i="20" s="1"/>
  <c r="AA362" i="20" s="1"/>
  <c r="Z362" i="20" s="1"/>
  <c r="Y362" i="20" s="1"/>
  <c r="AG280" i="20"/>
  <c r="AF280" i="20" s="1"/>
  <c r="AD280" i="20" s="1"/>
  <c r="AA280" i="20" s="1"/>
  <c r="Z280" i="20" s="1"/>
  <c r="Y280" i="20" s="1"/>
  <c r="AG118" i="20"/>
  <c r="AF118" i="20" s="1"/>
  <c r="AD118" i="20" s="1"/>
  <c r="AA118" i="20" s="1"/>
  <c r="Z118" i="20" s="1"/>
  <c r="Y118" i="20" s="1"/>
  <c r="AG165" i="20"/>
  <c r="AF165" i="20" s="1"/>
  <c r="AD165" i="20" s="1"/>
  <c r="AA165" i="20" s="1"/>
  <c r="Z165" i="20" s="1"/>
  <c r="Y165" i="20" s="1"/>
  <c r="AG193" i="20"/>
  <c r="AF193" i="20" s="1"/>
  <c r="AD193" i="20" s="1"/>
  <c r="AA193" i="20" s="1"/>
  <c r="Z193" i="20" s="1"/>
  <c r="Y193" i="20" s="1"/>
  <c r="AG205" i="20"/>
  <c r="AF205" i="20" s="1"/>
  <c r="AD205" i="20" s="1"/>
  <c r="AA205" i="20" s="1"/>
  <c r="Z205" i="20" s="1"/>
  <c r="Y205" i="20" s="1"/>
  <c r="AG172" i="20"/>
  <c r="AF172" i="20" s="1"/>
  <c r="AD172" i="20" s="1"/>
  <c r="AA172" i="20" s="1"/>
  <c r="Z172" i="20" s="1"/>
  <c r="Y172" i="20" s="1"/>
  <c r="AG149" i="20"/>
  <c r="AF149" i="20" s="1"/>
  <c r="AD149" i="20" s="1"/>
  <c r="AG281" i="20"/>
  <c r="AF281" i="20" s="1"/>
  <c r="AD281" i="20" s="1"/>
  <c r="AA281" i="20" s="1"/>
  <c r="Z281" i="20" s="1"/>
  <c r="Y281" i="20" s="1"/>
  <c r="AG282" i="20"/>
  <c r="AF282" i="20" s="1"/>
  <c r="AD282" i="20" s="1"/>
  <c r="AA282" i="20" s="1"/>
  <c r="Z282" i="20" s="1"/>
  <c r="Y282" i="20" s="1"/>
  <c r="AG237" i="20"/>
  <c r="AF237" i="20" s="1"/>
  <c r="AD237" i="20" s="1"/>
  <c r="AA237" i="20" s="1"/>
  <c r="Z237" i="20" s="1"/>
  <c r="Y237" i="20" s="1"/>
  <c r="AG156" i="20"/>
  <c r="AF156" i="20" s="1"/>
  <c r="AD156" i="20" s="1"/>
  <c r="AA156" i="20" s="1"/>
  <c r="Z156" i="20" s="1"/>
  <c r="Y156" i="20" s="1"/>
  <c r="AG176" i="20"/>
  <c r="AF176" i="20" s="1"/>
  <c r="AD176" i="20" s="1"/>
  <c r="AA176" i="20" s="1"/>
  <c r="Z176" i="20" s="1"/>
  <c r="Y176" i="20" s="1"/>
  <c r="AG231" i="20"/>
  <c r="AF231" i="20" s="1"/>
  <c r="AD231" i="20" s="1"/>
  <c r="AA231" i="20" s="1"/>
  <c r="Z231" i="20" s="1"/>
  <c r="Y231" i="20" s="1"/>
  <c r="AG147" i="20"/>
  <c r="AF147" i="20" s="1"/>
  <c r="AD147" i="20" s="1"/>
  <c r="AA147" i="20" s="1"/>
  <c r="Z147" i="20" s="1"/>
  <c r="Y147" i="20" s="1"/>
  <c r="AG299" i="20"/>
  <c r="AF299" i="20" s="1"/>
  <c r="AD299" i="20" s="1"/>
  <c r="AA299" i="20" s="1"/>
  <c r="Z299" i="20" s="1"/>
  <c r="Y299" i="20" s="1"/>
  <c r="AG368" i="20"/>
  <c r="AF368" i="20" s="1"/>
  <c r="AD368" i="20" s="1"/>
  <c r="AA368" i="20" s="1"/>
  <c r="Z368" i="20" s="1"/>
  <c r="Y368" i="20" s="1"/>
  <c r="AG373" i="20"/>
  <c r="AF373" i="20" s="1"/>
  <c r="AD373" i="20" s="1"/>
  <c r="AA373" i="20" s="1"/>
  <c r="Z373" i="20" s="1"/>
  <c r="Y373" i="20" s="1"/>
  <c r="AG378" i="20"/>
  <c r="AF378" i="20" s="1"/>
  <c r="AD378" i="20" s="1"/>
  <c r="AA378" i="20" s="1"/>
  <c r="Z378" i="20" s="1"/>
  <c r="Y378" i="20" s="1"/>
  <c r="AG311" i="20"/>
  <c r="AF311" i="20" s="1"/>
  <c r="AD311" i="20" s="1"/>
  <c r="AA311" i="20" s="1"/>
  <c r="Z311" i="20" s="1"/>
  <c r="Y311" i="20" s="1"/>
  <c r="AG332" i="20"/>
  <c r="AF332" i="20" s="1"/>
  <c r="AD332" i="20" s="1"/>
  <c r="AA332" i="20" s="1"/>
  <c r="Z332" i="20" s="1"/>
  <c r="Y332" i="20" s="1"/>
  <c r="AG199" i="20"/>
  <c r="AF199" i="20" s="1"/>
  <c r="AD199" i="20" s="1"/>
  <c r="AA199" i="20" s="1"/>
  <c r="Z199" i="20" s="1"/>
  <c r="Y199" i="20" s="1"/>
  <c r="AG218" i="20"/>
  <c r="AF218" i="20" s="1"/>
  <c r="AD218" i="20" s="1"/>
  <c r="AA218" i="20" s="1"/>
  <c r="Z218" i="20" s="1"/>
  <c r="Y218" i="20" s="1"/>
  <c r="AG371" i="20"/>
  <c r="AF371" i="20" s="1"/>
  <c r="AD371" i="20" s="1"/>
  <c r="AA371" i="20" s="1"/>
  <c r="Z371" i="20" s="1"/>
  <c r="Y371" i="20" s="1"/>
  <c r="AG181" i="20"/>
  <c r="AF181" i="20" s="1"/>
  <c r="AD181" i="20" s="1"/>
  <c r="AA181" i="20" s="1"/>
  <c r="Z181" i="20" s="1"/>
  <c r="Y181" i="20" s="1"/>
  <c r="AG167" i="20"/>
  <c r="AF167" i="20" s="1"/>
  <c r="AD167" i="20" s="1"/>
  <c r="AA167" i="20" s="1"/>
  <c r="Z167" i="20" s="1"/>
  <c r="Y167" i="20" s="1"/>
  <c r="AG284" i="20"/>
  <c r="AF284" i="20" s="1"/>
  <c r="AD284" i="20" s="1"/>
  <c r="AA284" i="20" s="1"/>
  <c r="Z284" i="20" s="1"/>
  <c r="Y284" i="20" s="1"/>
  <c r="AG296" i="20"/>
  <c r="AF296" i="20" s="1"/>
  <c r="AD296" i="20" s="1"/>
  <c r="AA296" i="20" s="1"/>
  <c r="Z296" i="20" s="1"/>
  <c r="Y296" i="20" s="1"/>
  <c r="AG236" i="20"/>
  <c r="AF236" i="20" s="1"/>
  <c r="AD236" i="20" s="1"/>
  <c r="AA236" i="20" s="1"/>
  <c r="Z236" i="20" s="1"/>
  <c r="Y236" i="20" s="1"/>
  <c r="AG353" i="20"/>
  <c r="AF353" i="20" s="1"/>
  <c r="AD353" i="20" s="1"/>
  <c r="AA353" i="20" s="1"/>
  <c r="Z353" i="20" s="1"/>
  <c r="Y353" i="20" s="1"/>
  <c r="AG321" i="20"/>
  <c r="AF321" i="20" s="1"/>
  <c r="AD321" i="20" s="1"/>
  <c r="AA321" i="20" s="1"/>
  <c r="Z321" i="20" s="1"/>
  <c r="Y321" i="20" s="1"/>
  <c r="AG239" i="20"/>
  <c r="AF239" i="20" s="1"/>
  <c r="AD239" i="20" s="1"/>
  <c r="AA239" i="20" s="1"/>
  <c r="Z239" i="20" s="1"/>
  <c r="Y239" i="20" s="1"/>
  <c r="AG326" i="20"/>
  <c r="AF326" i="20" s="1"/>
  <c r="AD326" i="20" s="1"/>
  <c r="AA326" i="20" s="1"/>
  <c r="Z326" i="20" s="1"/>
  <c r="Y326" i="20" s="1"/>
  <c r="AG238" i="20"/>
  <c r="AF238" i="20" s="1"/>
  <c r="AD238" i="20" s="1"/>
  <c r="AA238" i="20" s="1"/>
  <c r="Z238" i="20" s="1"/>
  <c r="Y238" i="20" s="1"/>
  <c r="AG374" i="20"/>
  <c r="AF374" i="20" s="1"/>
  <c r="AD374" i="20" s="1"/>
  <c r="AA374" i="20" s="1"/>
  <c r="Z374" i="20" s="1"/>
  <c r="Y374" i="20" s="1"/>
  <c r="AG360" i="20"/>
  <c r="AF360" i="20" s="1"/>
  <c r="AD360" i="20" s="1"/>
  <c r="AA360" i="20" s="1"/>
  <c r="Z360" i="20" s="1"/>
  <c r="Y360" i="20" s="1"/>
  <c r="AG268" i="20"/>
  <c r="AF268" i="20" s="1"/>
  <c r="AD268" i="20" s="1"/>
  <c r="AA268" i="20" s="1"/>
  <c r="Z268" i="20" s="1"/>
  <c r="Y268" i="20" s="1"/>
  <c r="AG195" i="20"/>
  <c r="AF195" i="20" s="1"/>
  <c r="AD195" i="20" s="1"/>
  <c r="AA195" i="20" s="1"/>
  <c r="Z195" i="20" s="1"/>
  <c r="Y195" i="20" s="1"/>
  <c r="AG349" i="20"/>
  <c r="AF349" i="20" s="1"/>
  <c r="AD349" i="20" s="1"/>
  <c r="AA54" i="20"/>
  <c r="Z54" i="20" s="1"/>
  <c r="Y54" i="20" s="1"/>
  <c r="G54" i="20"/>
  <c r="CB54" i="6" s="1"/>
  <c r="P305" i="22"/>
  <c r="V305" i="22" s="1"/>
  <c r="B305" i="22" s="1"/>
  <c r="P287" i="22"/>
  <c r="V287" i="22" s="1"/>
  <c r="B287" i="22" s="1"/>
  <c r="P321" i="22"/>
  <c r="V321" i="22" s="1"/>
  <c r="B321" i="22" s="1"/>
  <c r="P240" i="22"/>
  <c r="V240" i="22" s="1"/>
  <c r="B240" i="22" s="1"/>
  <c r="P111" i="22"/>
  <c r="V111" i="22" s="1"/>
  <c r="B111" i="22" s="1"/>
  <c r="P345" i="22"/>
  <c r="V345" i="22" s="1"/>
  <c r="B345" i="22" s="1"/>
  <c r="P274" i="22"/>
  <c r="V274" i="22" s="1"/>
  <c r="B274" i="22" s="1"/>
  <c r="P124" i="22"/>
  <c r="V124" i="22" s="1"/>
  <c r="B124" i="22" s="1"/>
  <c r="P143" i="22"/>
  <c r="V143" i="22" s="1"/>
  <c r="B143" i="22" s="1"/>
  <c r="P53" i="22"/>
  <c r="V53" i="22" s="1"/>
  <c r="B53" i="22" s="1"/>
  <c r="P17" i="22"/>
  <c r="V17" i="22" s="1"/>
  <c r="B17" i="22" s="1"/>
  <c r="P281" i="22"/>
  <c r="V281" i="22" s="1"/>
  <c r="B281" i="22" s="1"/>
  <c r="P288" i="22"/>
  <c r="V288" i="22" s="1"/>
  <c r="P146" i="22"/>
  <c r="V146" i="22" s="1"/>
  <c r="B146" i="22" s="1"/>
  <c r="P35" i="22"/>
  <c r="V35" i="22" s="1"/>
  <c r="B35" i="22" s="1"/>
  <c r="P105" i="22"/>
  <c r="V105" i="22" s="1"/>
  <c r="B105" i="22" s="1"/>
  <c r="P222" i="22"/>
  <c r="V222" i="22" s="1"/>
  <c r="B222" i="22" s="1"/>
  <c r="P43" i="22"/>
  <c r="V43" i="22" s="1"/>
  <c r="B43" i="22" s="1"/>
  <c r="P351" i="22"/>
  <c r="V351" i="22" s="1"/>
  <c r="B351" i="22" s="1"/>
  <c r="AJ12" i="18"/>
  <c r="AJ13" i="18" s="1"/>
  <c r="H83" i="20"/>
  <c r="J83" i="20" s="1"/>
  <c r="B288" i="22"/>
  <c r="H66" i="19"/>
  <c r="E66" i="19"/>
  <c r="F66" i="19"/>
  <c r="AA100" i="20"/>
  <c r="Z100" i="20" s="1"/>
  <c r="Y100" i="20" s="1"/>
  <c r="G100" i="20"/>
  <c r="CB100" i="6" s="1"/>
  <c r="AA84" i="20"/>
  <c r="Z84" i="20" s="1"/>
  <c r="Y84" i="20" s="1"/>
  <c r="G84" i="20"/>
  <c r="CB84" i="6" s="1"/>
  <c r="O4" i="6"/>
  <c r="AA4" i="6"/>
  <c r="J15" i="17"/>
  <c r="I15" i="17"/>
  <c r="AA381" i="17"/>
  <c r="AA9" i="17"/>
  <c r="AA383" i="17"/>
  <c r="Z15" i="17"/>
  <c r="AA382" i="17"/>
  <c r="AM8" i="17"/>
  <c r="AL9" i="17"/>
  <c r="G381" i="17"/>
  <c r="G383" i="17"/>
  <c r="G12" i="17" s="1"/>
  <c r="G382" i="17"/>
  <c r="F11" i="17"/>
  <c r="AB9" i="17"/>
  <c r="G14" i="19"/>
  <c r="AA28" i="20"/>
  <c r="Z28" i="20" s="1"/>
  <c r="Y28" i="20" s="1"/>
  <c r="G28" i="20"/>
  <c r="CB28" i="6" s="1"/>
  <c r="H28" i="20"/>
  <c r="B54" i="6"/>
  <c r="BA54" i="6" s="1"/>
  <c r="H54" i="20"/>
  <c r="J302" i="18"/>
  <c r="C302" i="6" s="1"/>
  <c r="I302" i="18"/>
  <c r="B302" i="6" s="1"/>
  <c r="BA302" i="6" s="1"/>
  <c r="G62" i="20"/>
  <c r="CB62" i="6" s="1"/>
  <c r="AA62" i="20"/>
  <c r="Z62" i="20" s="1"/>
  <c r="Y62" i="20" s="1"/>
  <c r="U12" i="23"/>
  <c r="T379" i="22"/>
  <c r="AN16" i="7"/>
  <c r="AT11" i="7" s="1"/>
  <c r="U11" i="23" s="1"/>
  <c r="U10" i="23" s="1"/>
  <c r="T15" i="22"/>
  <c r="G244" i="20"/>
  <c r="CB244" i="6" s="1"/>
  <c r="H244" i="20"/>
  <c r="I196" i="18"/>
  <c r="B196" i="6" s="1"/>
  <c r="BA196" i="6" s="1"/>
  <c r="J196" i="18"/>
  <c r="C196" i="6" s="1"/>
  <c r="I269" i="18"/>
  <c r="B269" i="6" s="1"/>
  <c r="BA269" i="6" s="1"/>
  <c r="J269" i="18"/>
  <c r="C269" i="6" s="1"/>
  <c r="P187" i="22"/>
  <c r="V187" i="22" s="1"/>
  <c r="B187" i="22" s="1"/>
  <c r="P268" i="22"/>
  <c r="V268" i="22" s="1"/>
  <c r="B268" i="22" s="1"/>
  <c r="P290" i="22"/>
  <c r="V290" i="22" s="1"/>
  <c r="B290" i="22" s="1"/>
  <c r="P158" i="22"/>
  <c r="V158" i="22" s="1"/>
  <c r="B158" i="22" s="1"/>
  <c r="P300" i="22"/>
  <c r="V300" i="22" s="1"/>
  <c r="B300" i="22" s="1"/>
  <c r="P164" i="22"/>
  <c r="V164" i="22" s="1"/>
  <c r="B164" i="22" s="1"/>
  <c r="P186" i="22"/>
  <c r="V186" i="22" s="1"/>
  <c r="B186" i="22" s="1"/>
  <c r="P338" i="22"/>
  <c r="V338" i="22" s="1"/>
  <c r="B338" i="22" s="1"/>
  <c r="P129" i="22"/>
  <c r="V129" i="22" s="1"/>
  <c r="B129" i="22" s="1"/>
  <c r="P188" i="22"/>
  <c r="V188" i="22" s="1"/>
  <c r="B188" i="22" s="1"/>
  <c r="P24" i="22"/>
  <c r="V24" i="22" s="1"/>
  <c r="B24" i="22" s="1"/>
  <c r="P25" i="22"/>
  <c r="V25" i="22" s="1"/>
  <c r="B25" i="22" s="1"/>
  <c r="P136" i="22"/>
  <c r="V136" i="22" s="1"/>
  <c r="B136" i="22" s="1"/>
  <c r="P297" i="22"/>
  <c r="V297" i="22" s="1"/>
  <c r="B297" i="22" s="1"/>
  <c r="P117" i="22"/>
  <c r="V117" i="22" s="1"/>
  <c r="B117" i="22" s="1"/>
  <c r="P201" i="22"/>
  <c r="V201" i="22" s="1"/>
  <c r="B201" i="22" s="1"/>
  <c r="P266" i="22"/>
  <c r="V266" i="22" s="1"/>
  <c r="B266" i="22" s="1"/>
  <c r="P119" i="22"/>
  <c r="P356" i="22"/>
  <c r="V356" i="22" s="1"/>
  <c r="B356" i="22" s="1"/>
  <c r="P165" i="22"/>
  <c r="V165" i="22" s="1"/>
  <c r="B165" i="22" s="1"/>
  <c r="P152" i="22"/>
  <c r="V152" i="22" s="1"/>
  <c r="B152" i="22" s="1"/>
  <c r="P282" i="22"/>
  <c r="V282" i="22" s="1"/>
  <c r="B282" i="22" s="1"/>
  <c r="P185" i="22"/>
  <c r="V185" i="22" s="1"/>
  <c r="B185" i="22" s="1"/>
  <c r="P123" i="22"/>
  <c r="V123" i="22" s="1"/>
  <c r="B123" i="22" s="1"/>
  <c r="P109" i="22"/>
  <c r="V109" i="22" s="1"/>
  <c r="B109" i="22" s="1"/>
  <c r="P213" i="22"/>
  <c r="V213" i="22" s="1"/>
  <c r="B213" i="22" s="1"/>
  <c r="P357" i="22"/>
  <c r="V357" i="22" s="1"/>
  <c r="B357" i="22" s="1"/>
  <c r="P56" i="22"/>
  <c r="V56" i="22" s="1"/>
  <c r="B56" i="22" s="1"/>
  <c r="P363" i="22"/>
  <c r="P377" i="22"/>
  <c r="V377" i="22" s="1"/>
  <c r="B377" i="22" s="1"/>
  <c r="P324" i="22"/>
  <c r="V324" i="22" s="1"/>
  <c r="B324" i="22" s="1"/>
  <c r="P102" i="22"/>
  <c r="V102" i="22" s="1"/>
  <c r="B102" i="22" s="1"/>
  <c r="P364" i="22"/>
  <c r="V364" i="22" s="1"/>
  <c r="B364" i="22" s="1"/>
  <c r="P33" i="22"/>
  <c r="V33" i="22" s="1"/>
  <c r="B33" i="22" s="1"/>
  <c r="P195" i="22"/>
  <c r="V195" i="22" s="1"/>
  <c r="B195" i="22" s="1"/>
  <c r="U4" i="6"/>
  <c r="AB4" i="6"/>
  <c r="H337" i="20"/>
  <c r="G337" i="20"/>
  <c r="CB337" i="6" s="1"/>
  <c r="G44" i="20"/>
  <c r="CB44" i="6" s="1"/>
  <c r="AA44" i="20"/>
  <c r="Z44" i="20" s="1"/>
  <c r="Y44" i="20" s="1"/>
  <c r="H44" i="20"/>
  <c r="H189" i="20"/>
  <c r="G189" i="20"/>
  <c r="CB189" i="6" s="1"/>
  <c r="H371" i="20"/>
  <c r="G371" i="20"/>
  <c r="CB371" i="6" s="1"/>
  <c r="H108" i="20"/>
  <c r="G108" i="20"/>
  <c r="CB108" i="6" s="1"/>
  <c r="G317" i="20"/>
  <c r="CB317" i="6" s="1"/>
  <c r="H317" i="20"/>
  <c r="G218" i="20"/>
  <c r="CB218" i="6" s="1"/>
  <c r="H218" i="20"/>
  <c r="G109" i="20"/>
  <c r="CB109" i="6" s="1"/>
  <c r="H109" i="20"/>
  <c r="G27" i="20"/>
  <c r="CB27" i="6" s="1"/>
  <c r="AA27" i="20"/>
  <c r="Z27" i="20" s="1"/>
  <c r="Y27" i="20" s="1"/>
  <c r="W180" i="20"/>
  <c r="D180" i="20"/>
  <c r="E180" i="20" s="1"/>
  <c r="F180" i="20" s="1"/>
  <c r="H376" i="20"/>
  <c r="G376" i="20"/>
  <c r="CB376" i="6" s="1"/>
  <c r="G236" i="20"/>
  <c r="CB236" i="6" s="1"/>
  <c r="H236" i="20"/>
  <c r="AA32" i="20"/>
  <c r="Z32" i="20" s="1"/>
  <c r="Y32" i="20" s="1"/>
  <c r="G32" i="20"/>
  <c r="CB32" i="6" s="1"/>
  <c r="H32" i="20"/>
  <c r="H111" i="20"/>
  <c r="G111" i="20"/>
  <c r="CB111" i="6" s="1"/>
  <c r="H306" i="20"/>
  <c r="G306" i="20"/>
  <c r="CB306" i="6" s="1"/>
  <c r="H240" i="20"/>
  <c r="G240" i="20"/>
  <c r="CB240" i="6" s="1"/>
  <c r="H123" i="20"/>
  <c r="G123" i="20"/>
  <c r="CB123" i="6" s="1"/>
  <c r="G133" i="20"/>
  <c r="CB133" i="6" s="1"/>
  <c r="H133" i="20"/>
  <c r="H251" i="20"/>
  <c r="G251" i="20"/>
  <c r="CB251" i="6" s="1"/>
  <c r="G87" i="20"/>
  <c r="CB87" i="6" s="1"/>
  <c r="AA87" i="20"/>
  <c r="Z87" i="20" s="1"/>
  <c r="Y87" i="20" s="1"/>
  <c r="G97" i="20"/>
  <c r="CB97" i="6" s="1"/>
  <c r="H97" i="20"/>
  <c r="AA97" i="20"/>
  <c r="Z97" i="20" s="1"/>
  <c r="Y97" i="20" s="1"/>
  <c r="AA22" i="20"/>
  <c r="Z22" i="20" s="1"/>
  <c r="Y22" i="20" s="1"/>
  <c r="G22" i="20"/>
  <c r="CB22" i="6" s="1"/>
  <c r="H22" i="20"/>
  <c r="G128" i="20"/>
  <c r="CB128" i="6" s="1"/>
  <c r="H128" i="20"/>
  <c r="G332" i="20"/>
  <c r="CB332" i="6" s="1"/>
  <c r="H332" i="20"/>
  <c r="G93" i="20"/>
  <c r="CB93" i="6" s="1"/>
  <c r="H93" i="20"/>
  <c r="AA93" i="20"/>
  <c r="Z93" i="20" s="1"/>
  <c r="Y93" i="20" s="1"/>
  <c r="G231" i="20"/>
  <c r="CB231" i="6" s="1"/>
  <c r="H231" i="20"/>
  <c r="AA53" i="20"/>
  <c r="Z53" i="20" s="1"/>
  <c r="Y53" i="20" s="1"/>
  <c r="G53" i="20"/>
  <c r="CB53" i="6" s="1"/>
  <c r="H233" i="20"/>
  <c r="G233" i="20"/>
  <c r="CB233" i="6" s="1"/>
  <c r="H38" i="20"/>
  <c r="G38" i="20"/>
  <c r="CB38" i="6" s="1"/>
  <c r="AA38" i="20"/>
  <c r="Z38" i="20" s="1"/>
  <c r="Y38" i="20" s="1"/>
  <c r="G279" i="20"/>
  <c r="CB279" i="6" s="1"/>
  <c r="H279" i="20"/>
  <c r="H256" i="20"/>
  <c r="G256" i="20"/>
  <c r="CB256" i="6" s="1"/>
  <c r="H238" i="20"/>
  <c r="G238" i="20"/>
  <c r="CB238" i="6" s="1"/>
  <c r="S381" i="20"/>
  <c r="S382" i="20"/>
  <c r="S383" i="20"/>
  <c r="R15" i="20"/>
  <c r="D46" i="20"/>
  <c r="E46" i="20" s="1"/>
  <c r="F46" i="20" s="1"/>
  <c r="W46" i="20"/>
  <c r="J363" i="18"/>
  <c r="C363" i="6" s="1"/>
  <c r="I363" i="18"/>
  <c r="B363" i="6" s="1"/>
  <c r="BA363" i="6" s="1"/>
  <c r="B94" i="6"/>
  <c r="BA94" i="6" s="1"/>
  <c r="J146" i="18"/>
  <c r="C146" i="6" s="1"/>
  <c r="I146" i="18"/>
  <c r="B146" i="6" s="1"/>
  <c r="BA146" i="6" s="1"/>
  <c r="I319" i="18"/>
  <c r="B319" i="6" s="1"/>
  <c r="BA319" i="6" s="1"/>
  <c r="J319" i="18"/>
  <c r="C319" i="6" s="1"/>
  <c r="H168" i="20"/>
  <c r="G168" i="20"/>
  <c r="CB168" i="6" s="1"/>
  <c r="H170" i="20"/>
  <c r="G170" i="20"/>
  <c r="CB170" i="6" s="1"/>
  <c r="D74" i="20"/>
  <c r="E74" i="20" s="1"/>
  <c r="F74" i="20" s="1"/>
  <c r="W74" i="20"/>
  <c r="G322" i="20"/>
  <c r="CB322" i="6" s="1"/>
  <c r="H322" i="20"/>
  <c r="H324" i="20"/>
  <c r="G324" i="20"/>
  <c r="CB324" i="6" s="1"/>
  <c r="H285" i="20"/>
  <c r="G285" i="20"/>
  <c r="CB285" i="6" s="1"/>
  <c r="G235" i="20"/>
  <c r="CB235" i="6" s="1"/>
  <c r="H235" i="20"/>
  <c r="H287" i="20"/>
  <c r="G287" i="20"/>
  <c r="CB287" i="6" s="1"/>
  <c r="W333" i="20"/>
  <c r="D333" i="20"/>
  <c r="E333" i="20" s="1"/>
  <c r="F333" i="20" s="1"/>
  <c r="G164" i="20"/>
  <c r="CB164" i="6" s="1"/>
  <c r="H164" i="20"/>
  <c r="H190" i="20"/>
  <c r="G190" i="20"/>
  <c r="CB190" i="6" s="1"/>
  <c r="AA42" i="20"/>
  <c r="Z42" i="20" s="1"/>
  <c r="Y42" i="20" s="1"/>
  <c r="H42" i="20"/>
  <c r="G42" i="20"/>
  <c r="CB42" i="6" s="1"/>
  <c r="H139" i="20"/>
  <c r="G139" i="20"/>
  <c r="CB139" i="6" s="1"/>
  <c r="G126" i="20"/>
  <c r="CB126" i="6" s="1"/>
  <c r="H126" i="20"/>
  <c r="AA26" i="20"/>
  <c r="Z26" i="20" s="1"/>
  <c r="Y26" i="20" s="1"/>
  <c r="H26" i="20"/>
  <c r="G26" i="20"/>
  <c r="CB26" i="6" s="1"/>
  <c r="AA49" i="20"/>
  <c r="Z49" i="20" s="1"/>
  <c r="Y49" i="20" s="1"/>
  <c r="H49" i="20"/>
  <c r="G49" i="20"/>
  <c r="CB49" i="6" s="1"/>
  <c r="H174" i="20"/>
  <c r="G174" i="20"/>
  <c r="CB174" i="6" s="1"/>
  <c r="H253" i="20"/>
  <c r="G253" i="20"/>
  <c r="CB253" i="6" s="1"/>
  <c r="AA20" i="20"/>
  <c r="Z20" i="20" s="1"/>
  <c r="Y20" i="20" s="1"/>
  <c r="H20" i="20"/>
  <c r="G20" i="20"/>
  <c r="CB20" i="6" s="1"/>
  <c r="H45" i="20"/>
  <c r="G45" i="20"/>
  <c r="CB45" i="6" s="1"/>
  <c r="AA45" i="20"/>
  <c r="Z45" i="20" s="1"/>
  <c r="Y45" i="20" s="1"/>
  <c r="G55" i="20"/>
  <c r="CB55" i="6" s="1"/>
  <c r="AA55" i="20"/>
  <c r="Z55" i="20" s="1"/>
  <c r="Y55" i="20" s="1"/>
  <c r="H55" i="20"/>
  <c r="G252" i="20"/>
  <c r="CB252" i="6" s="1"/>
  <c r="I288" i="18"/>
  <c r="B288" i="6" s="1"/>
  <c r="BA288" i="6" s="1"/>
  <c r="J288" i="18"/>
  <c r="C288" i="6" s="1"/>
  <c r="P215" i="22"/>
  <c r="V215" i="22" s="1"/>
  <c r="B215" i="22" s="1"/>
  <c r="P361" i="22"/>
  <c r="V361" i="22" s="1"/>
  <c r="B361" i="22" s="1"/>
  <c r="P211" i="22"/>
  <c r="V211" i="22" s="1"/>
  <c r="B211" i="22" s="1"/>
  <c r="P16" i="22"/>
  <c r="V16" i="22" s="1"/>
  <c r="B16" i="22" s="1"/>
  <c r="P112" i="22"/>
  <c r="V112" i="22" s="1"/>
  <c r="B112" i="22" s="1"/>
  <c r="P262" i="22"/>
  <c r="V262" i="22" s="1"/>
  <c r="B262" i="22" s="1"/>
  <c r="P341" i="22"/>
  <c r="V341" i="22" s="1"/>
  <c r="B341" i="22" s="1"/>
  <c r="P374" i="22"/>
  <c r="V374" i="22" s="1"/>
  <c r="B374" i="22" s="1"/>
  <c r="P93" i="22"/>
  <c r="V93" i="22" s="1"/>
  <c r="B93" i="22" s="1"/>
  <c r="P224" i="22"/>
  <c r="V224" i="22" s="1"/>
  <c r="B224" i="22" s="1"/>
  <c r="P235" i="22"/>
  <c r="V235" i="22" s="1"/>
  <c r="B235" i="22" s="1"/>
  <c r="P78" i="22"/>
  <c r="V78" i="22" s="1"/>
  <c r="B78" i="22" s="1"/>
  <c r="P376" i="22"/>
  <c r="V376" i="22" s="1"/>
  <c r="B376" i="22" s="1"/>
  <c r="P99" i="22"/>
  <c r="V99" i="22" s="1"/>
  <c r="B99" i="22" s="1"/>
  <c r="P249" i="22"/>
  <c r="V249" i="22" s="1"/>
  <c r="B249" i="22" s="1"/>
  <c r="P271" i="22"/>
  <c r="V271" i="22" s="1"/>
  <c r="B271" i="22" s="1"/>
  <c r="P50" i="22"/>
  <c r="V50" i="22" s="1"/>
  <c r="B50" i="22" s="1"/>
  <c r="P239" i="22"/>
  <c r="V239" i="22" s="1"/>
  <c r="B239" i="22" s="1"/>
  <c r="P236" i="22"/>
  <c r="V236" i="22" s="1"/>
  <c r="B236" i="22" s="1"/>
  <c r="P76" i="22"/>
  <c r="V76" i="22" s="1"/>
  <c r="B76" i="22" s="1"/>
  <c r="P100" i="22"/>
  <c r="V100" i="22" s="1"/>
  <c r="B100" i="22" s="1"/>
  <c r="P114" i="22"/>
  <c r="V114" i="22" s="1"/>
  <c r="B114" i="22" s="1"/>
  <c r="P353" i="22"/>
  <c r="V353" i="22" s="1"/>
  <c r="B353" i="22" s="1"/>
  <c r="P217" i="22"/>
  <c r="V217" i="22" s="1"/>
  <c r="B217" i="22" s="1"/>
  <c r="P44" i="22"/>
  <c r="V44" i="22" s="1"/>
  <c r="B44" i="22" s="1"/>
  <c r="P223" i="22"/>
  <c r="V223" i="22" s="1"/>
  <c r="B223" i="22" s="1"/>
  <c r="P328" i="22"/>
  <c r="V328" i="22" s="1"/>
  <c r="B328" i="22" s="1"/>
  <c r="P207" i="22"/>
  <c r="V207" i="22" s="1"/>
  <c r="B207" i="22" s="1"/>
  <c r="P237" i="22"/>
  <c r="V237" i="22" s="1"/>
  <c r="B237" i="22" s="1"/>
  <c r="P173" i="22"/>
  <c r="V173" i="22" s="1"/>
  <c r="B173" i="22" s="1"/>
  <c r="P208" i="22"/>
  <c r="V208" i="22" s="1"/>
  <c r="B208" i="22" s="1"/>
  <c r="P265" i="22"/>
  <c r="V265" i="22" s="1"/>
  <c r="B265" i="22" s="1"/>
  <c r="P115" i="22"/>
  <c r="V115" i="22" s="1"/>
  <c r="B115" i="22" s="1"/>
  <c r="P46" i="22"/>
  <c r="V46" i="22" s="1"/>
  <c r="B46" i="22" s="1"/>
  <c r="P148" i="22"/>
  <c r="V148" i="22" s="1"/>
  <c r="B148" i="22" s="1"/>
  <c r="P284" i="22"/>
  <c r="V284" i="22" s="1"/>
  <c r="B284" i="22" s="1"/>
  <c r="P31" i="22"/>
  <c r="V31" i="22" s="1"/>
  <c r="B31" i="22" s="1"/>
  <c r="P189" i="22"/>
  <c r="V189" i="22" s="1"/>
  <c r="B189" i="22" s="1"/>
  <c r="P80" i="22"/>
  <c r="V80" i="22" s="1"/>
  <c r="B80" i="22" s="1"/>
  <c r="P365" i="22"/>
  <c r="V365" i="22" s="1"/>
  <c r="B365" i="22" s="1"/>
  <c r="P176" i="22"/>
  <c r="V176" i="22" s="1"/>
  <c r="B176" i="22" s="1"/>
  <c r="P79" i="22"/>
  <c r="V79" i="22" s="1"/>
  <c r="B79" i="22" s="1"/>
  <c r="P63" i="22"/>
  <c r="V63" i="22" s="1"/>
  <c r="B63" i="22" s="1"/>
  <c r="P310" i="22"/>
  <c r="V310" i="22" s="1"/>
  <c r="B310" i="22" s="1"/>
  <c r="P157" i="22"/>
  <c r="V157" i="22" s="1"/>
  <c r="B157" i="22" s="1"/>
  <c r="P299" i="22"/>
  <c r="V299" i="22" s="1"/>
  <c r="B299" i="22" s="1"/>
  <c r="P312" i="22"/>
  <c r="V312" i="22" s="1"/>
  <c r="B312" i="22" s="1"/>
  <c r="P313" i="22"/>
  <c r="V313" i="22" s="1"/>
  <c r="B313" i="22" s="1"/>
  <c r="G214" i="20"/>
  <c r="CB214" i="6" s="1"/>
  <c r="H214" i="20"/>
  <c r="H106" i="20"/>
  <c r="G106" i="20"/>
  <c r="CB106" i="6" s="1"/>
  <c r="G137" i="20"/>
  <c r="CB137" i="6" s="1"/>
  <c r="H137" i="20"/>
  <c r="G267" i="20"/>
  <c r="CB267" i="6" s="1"/>
  <c r="H267" i="20"/>
  <c r="H182" i="20"/>
  <c r="G182" i="20"/>
  <c r="CB182" i="6" s="1"/>
  <c r="G215" i="20"/>
  <c r="CB215" i="6" s="1"/>
  <c r="H215" i="20"/>
  <c r="AA86" i="20"/>
  <c r="Z86" i="20" s="1"/>
  <c r="Y86" i="20" s="1"/>
  <c r="H86" i="20"/>
  <c r="G86" i="20"/>
  <c r="CB86" i="6" s="1"/>
  <c r="G205" i="20"/>
  <c r="CB205" i="6" s="1"/>
  <c r="H205" i="20"/>
  <c r="G95" i="20"/>
  <c r="CB95" i="6" s="1"/>
  <c r="AA95" i="20"/>
  <c r="Z95" i="20" s="1"/>
  <c r="Y95" i="20" s="1"/>
  <c r="G124" i="20"/>
  <c r="CB124" i="6" s="1"/>
  <c r="H124" i="20"/>
  <c r="H136" i="20"/>
  <c r="G136" i="20"/>
  <c r="CB136" i="6" s="1"/>
  <c r="H113" i="20"/>
  <c r="G113" i="20"/>
  <c r="CB113" i="6" s="1"/>
  <c r="W241" i="20"/>
  <c r="D241" i="20"/>
  <c r="E241" i="20" s="1"/>
  <c r="F241" i="20" s="1"/>
  <c r="G142" i="20"/>
  <c r="CB142" i="6" s="1"/>
  <c r="H142" i="20"/>
  <c r="H43" i="20"/>
  <c r="G43" i="20"/>
  <c r="CB43" i="6" s="1"/>
  <c r="AA43" i="20"/>
  <c r="Z43" i="20" s="1"/>
  <c r="Y43" i="20" s="1"/>
  <c r="G307" i="20"/>
  <c r="CB307" i="6" s="1"/>
  <c r="H307" i="20"/>
  <c r="AA24" i="20"/>
  <c r="Z24" i="20" s="1"/>
  <c r="Y24" i="20" s="1"/>
  <c r="H24" i="20"/>
  <c r="G24" i="20"/>
  <c r="CB24" i="6" s="1"/>
  <c r="H265" i="20"/>
  <c r="G265" i="20"/>
  <c r="CB265" i="6" s="1"/>
  <c r="G146" i="20"/>
  <c r="CB146" i="6" s="1"/>
  <c r="H316" i="20"/>
  <c r="G316" i="20"/>
  <c r="CB316" i="6" s="1"/>
  <c r="G162" i="20"/>
  <c r="CB162" i="6" s="1"/>
  <c r="H162" i="20"/>
  <c r="G328" i="20"/>
  <c r="CB328" i="6" s="1"/>
  <c r="H328" i="20"/>
  <c r="H81" i="20"/>
  <c r="G81" i="20"/>
  <c r="CB81" i="6" s="1"/>
  <c r="AA81" i="20"/>
  <c r="Z81" i="20" s="1"/>
  <c r="Y81" i="20" s="1"/>
  <c r="G118" i="20"/>
  <c r="CB118" i="6" s="1"/>
  <c r="H118" i="20"/>
  <c r="G237" i="20"/>
  <c r="CB237" i="6" s="1"/>
  <c r="H237" i="20"/>
  <c r="G248" i="20"/>
  <c r="CB248" i="6" s="1"/>
  <c r="H248" i="20"/>
  <c r="H347" i="20"/>
  <c r="G347" i="20"/>
  <c r="CB347" i="6" s="1"/>
  <c r="H50" i="20"/>
  <c r="G50" i="20"/>
  <c r="CB50" i="6" s="1"/>
  <c r="AA50" i="20"/>
  <c r="Z50" i="20" s="1"/>
  <c r="Y50" i="20" s="1"/>
  <c r="G329" i="20"/>
  <c r="CB329" i="6" s="1"/>
  <c r="H329" i="20"/>
  <c r="H281" i="20"/>
  <c r="G281" i="20"/>
  <c r="CB281" i="6" s="1"/>
  <c r="H242" i="20"/>
  <c r="G242" i="20"/>
  <c r="CB242" i="6" s="1"/>
  <c r="L66" i="19"/>
  <c r="H378" i="20"/>
  <c r="G378" i="20"/>
  <c r="CB378" i="6" s="1"/>
  <c r="H296" i="20"/>
  <c r="G296" i="20"/>
  <c r="CB296" i="6" s="1"/>
  <c r="G65" i="20"/>
  <c r="CB65" i="6" s="1"/>
  <c r="AA65" i="20"/>
  <c r="Z65" i="20" s="1"/>
  <c r="Y65" i="20" s="1"/>
  <c r="H65" i="20"/>
  <c r="H16" i="20"/>
  <c r="AA16" i="20"/>
  <c r="Z16" i="20" s="1"/>
  <c r="Y16" i="20" s="1"/>
  <c r="G16" i="20"/>
  <c r="CB16" i="6" s="1"/>
  <c r="H152" i="20"/>
  <c r="G152" i="20"/>
  <c r="CB152" i="6" s="1"/>
  <c r="H358" i="20"/>
  <c r="G358" i="20"/>
  <c r="CB358" i="6" s="1"/>
  <c r="G344" i="20"/>
  <c r="CB344" i="6" s="1"/>
  <c r="H344" i="20"/>
  <c r="G76" i="20"/>
  <c r="CB76" i="6" s="1"/>
  <c r="AA76" i="20"/>
  <c r="Z76" i="20" s="1"/>
  <c r="Y76" i="20" s="1"/>
  <c r="H76" i="20"/>
  <c r="G354" i="20"/>
  <c r="CB354" i="6" s="1"/>
  <c r="H354" i="20"/>
  <c r="G66" i="19"/>
  <c r="I252" i="18"/>
  <c r="B252" i="6" s="1"/>
  <c r="BA252" i="6" s="1"/>
  <c r="J252" i="18"/>
  <c r="C252" i="6" s="1"/>
  <c r="G188" i="20"/>
  <c r="CB188" i="6" s="1"/>
  <c r="H188" i="20"/>
  <c r="AA41" i="20"/>
  <c r="Z41" i="20" s="1"/>
  <c r="Y41" i="20" s="1"/>
  <c r="G41" i="20"/>
  <c r="CB41" i="6" s="1"/>
  <c r="H41" i="20"/>
  <c r="H259" i="20"/>
  <c r="G259" i="20"/>
  <c r="CB259" i="6" s="1"/>
  <c r="G198" i="20"/>
  <c r="CB198" i="6" s="1"/>
  <c r="H198" i="20"/>
  <c r="G266" i="20"/>
  <c r="CB266" i="6" s="1"/>
  <c r="H309" i="20"/>
  <c r="G309" i="20"/>
  <c r="CB309" i="6" s="1"/>
  <c r="D60" i="20"/>
  <c r="E60" i="20" s="1"/>
  <c r="F60" i="20" s="1"/>
  <c r="W60" i="20"/>
  <c r="H179" i="20"/>
  <c r="G179" i="20"/>
  <c r="CB179" i="6" s="1"/>
  <c r="G58" i="20"/>
  <c r="CB58" i="6" s="1"/>
  <c r="H58" i="20"/>
  <c r="AA58" i="20"/>
  <c r="Z58" i="20" s="1"/>
  <c r="Y58" i="20" s="1"/>
  <c r="G138" i="20"/>
  <c r="CB138" i="6" s="1"/>
  <c r="G350" i="20"/>
  <c r="CB350" i="6" s="1"/>
  <c r="H350" i="20"/>
  <c r="G209" i="20"/>
  <c r="CB209" i="6" s="1"/>
  <c r="H209" i="20"/>
  <c r="AA39" i="20"/>
  <c r="Z39" i="20" s="1"/>
  <c r="Y39" i="20" s="1"/>
  <c r="H39" i="20"/>
  <c r="G39" i="20"/>
  <c r="CB39" i="6" s="1"/>
  <c r="G158" i="20"/>
  <c r="CB158" i="6" s="1"/>
  <c r="H158" i="20"/>
  <c r="G59" i="20"/>
  <c r="CB59" i="6" s="1"/>
  <c r="AA59" i="20"/>
  <c r="Z59" i="20" s="1"/>
  <c r="Y59" i="20" s="1"/>
  <c r="G143" i="20"/>
  <c r="CB143" i="6" s="1"/>
  <c r="H143" i="20"/>
  <c r="H80" i="20"/>
  <c r="AA80" i="20"/>
  <c r="Z80" i="20" s="1"/>
  <c r="Y80" i="20" s="1"/>
  <c r="G80" i="20"/>
  <c r="CB80" i="6" s="1"/>
  <c r="G280" i="20"/>
  <c r="CB280" i="6" s="1"/>
  <c r="H280" i="20"/>
  <c r="G64" i="20"/>
  <c r="CB64" i="6" s="1"/>
  <c r="H64" i="20"/>
  <c r="AA64" i="20"/>
  <c r="Z64" i="20" s="1"/>
  <c r="Y64" i="20" s="1"/>
  <c r="H40" i="20"/>
  <c r="AA40" i="20"/>
  <c r="Z40" i="20" s="1"/>
  <c r="Y40" i="20" s="1"/>
  <c r="G40" i="20"/>
  <c r="CB40" i="6" s="1"/>
  <c r="H213" i="20"/>
  <c r="G213" i="20"/>
  <c r="CB213" i="6" s="1"/>
  <c r="H270" i="20"/>
  <c r="G270" i="20"/>
  <c r="CB270" i="6" s="1"/>
  <c r="H91" i="20"/>
  <c r="G91" i="20"/>
  <c r="CB91" i="6" s="1"/>
  <c r="AA91" i="20"/>
  <c r="Z91" i="20" s="1"/>
  <c r="Y91" i="20" s="1"/>
  <c r="G304" i="20"/>
  <c r="CB304" i="6" s="1"/>
  <c r="H304" i="20"/>
  <c r="G51" i="20"/>
  <c r="CB51" i="6" s="1"/>
  <c r="H51" i="20"/>
  <c r="AA51" i="20"/>
  <c r="Z51" i="20" s="1"/>
  <c r="Y51" i="20" s="1"/>
  <c r="H121" i="20"/>
  <c r="G121" i="20"/>
  <c r="CB121" i="6" s="1"/>
  <c r="H356" i="20"/>
  <c r="G356" i="20"/>
  <c r="CB356" i="6" s="1"/>
  <c r="G191" i="20"/>
  <c r="CB191" i="6" s="1"/>
  <c r="H191" i="20"/>
  <c r="G104" i="20"/>
  <c r="CB104" i="6" s="1"/>
  <c r="H104" i="20"/>
  <c r="G171" i="20"/>
  <c r="CB171" i="6" s="1"/>
  <c r="H171" i="20"/>
  <c r="G311" i="20"/>
  <c r="CB311" i="6" s="1"/>
  <c r="H311" i="20"/>
  <c r="G159" i="20"/>
  <c r="CB159" i="6" s="1"/>
  <c r="H159" i="20"/>
  <c r="G229" i="20"/>
  <c r="CB229" i="6" s="1"/>
  <c r="H229" i="20"/>
  <c r="H239" i="20"/>
  <c r="G239" i="20"/>
  <c r="CB239" i="6" s="1"/>
  <c r="G366" i="20"/>
  <c r="CB366" i="6" s="1"/>
  <c r="H366" i="20"/>
  <c r="G284" i="20"/>
  <c r="CB284" i="6" s="1"/>
  <c r="H284" i="20"/>
  <c r="H187" i="20"/>
  <c r="G187" i="20"/>
  <c r="CB187" i="6" s="1"/>
  <c r="H294" i="20"/>
  <c r="G294" i="20"/>
  <c r="CB294" i="6" s="1"/>
  <c r="G300" i="20"/>
  <c r="CB300" i="6" s="1"/>
  <c r="H300" i="20"/>
  <c r="H66" i="20"/>
  <c r="G66" i="20"/>
  <c r="CB66" i="6" s="1"/>
  <c r="AA66" i="20"/>
  <c r="Z66" i="20" s="1"/>
  <c r="Y66" i="20" s="1"/>
  <c r="I66" i="19"/>
  <c r="G308" i="20"/>
  <c r="CB308" i="6" s="1"/>
  <c r="H308" i="20"/>
  <c r="G340" i="20"/>
  <c r="CB340" i="6" s="1"/>
  <c r="H340" i="20"/>
  <c r="H305" i="20"/>
  <c r="G305" i="20"/>
  <c r="CB305" i="6" s="1"/>
  <c r="H199" i="20"/>
  <c r="G199" i="20"/>
  <c r="CB199" i="6" s="1"/>
  <c r="H361" i="20"/>
  <c r="G361" i="20"/>
  <c r="CB361" i="6" s="1"/>
  <c r="G61" i="20"/>
  <c r="CB61" i="6" s="1"/>
  <c r="H61" i="20"/>
  <c r="AA61" i="20"/>
  <c r="Z61" i="20" s="1"/>
  <c r="Y61" i="20" s="1"/>
  <c r="H360" i="20"/>
  <c r="G360" i="20"/>
  <c r="CB360" i="6" s="1"/>
  <c r="H262" i="20"/>
  <c r="G262" i="20"/>
  <c r="CB262" i="6" s="1"/>
  <c r="H151" i="20"/>
  <c r="G151" i="20"/>
  <c r="CB151" i="6" s="1"/>
  <c r="G56" i="20"/>
  <c r="CB56" i="6" s="1"/>
  <c r="AA56" i="20"/>
  <c r="Z56" i="20" s="1"/>
  <c r="Y56" i="20" s="1"/>
  <c r="H56" i="20"/>
  <c r="G264" i="20"/>
  <c r="CB264" i="6" s="1"/>
  <c r="H264" i="20"/>
  <c r="H178" i="20"/>
  <c r="G178" i="20"/>
  <c r="CB178" i="6" s="1"/>
  <c r="G303" i="20"/>
  <c r="CB303" i="6" s="1"/>
  <c r="H303" i="20"/>
  <c r="G192" i="20"/>
  <c r="CB192" i="6" s="1"/>
  <c r="H192" i="20"/>
  <c r="G345" i="20"/>
  <c r="CB345" i="6" s="1"/>
  <c r="H345" i="20"/>
  <c r="AA75" i="20"/>
  <c r="Z75" i="20" s="1"/>
  <c r="Y75" i="20" s="1"/>
  <c r="G75" i="20"/>
  <c r="CB75" i="6" s="1"/>
  <c r="H75" i="20"/>
  <c r="G110" i="20"/>
  <c r="CB110" i="6" s="1"/>
  <c r="H110" i="20"/>
  <c r="G34" i="20"/>
  <c r="CB34" i="6" s="1"/>
  <c r="H34" i="20"/>
  <c r="AA34" i="20"/>
  <c r="Z34" i="20" s="1"/>
  <c r="Y34" i="20" s="1"/>
  <c r="H175" i="20"/>
  <c r="G175" i="20"/>
  <c r="CB175" i="6" s="1"/>
  <c r="W272" i="20"/>
  <c r="D272" i="20"/>
  <c r="E272" i="20" s="1"/>
  <c r="F272" i="20" s="1"/>
  <c r="H112" i="20"/>
  <c r="G112" i="20"/>
  <c r="CB112" i="6" s="1"/>
  <c r="G37" i="20"/>
  <c r="CB37" i="6" s="1"/>
  <c r="H37" i="20"/>
  <c r="AA37" i="20"/>
  <c r="Z37" i="20" s="1"/>
  <c r="Y37" i="20" s="1"/>
  <c r="G208" i="20"/>
  <c r="CB208" i="6" s="1"/>
  <c r="H208" i="20"/>
  <c r="G250" i="20"/>
  <c r="CB250" i="6" s="1"/>
  <c r="H250" i="20"/>
  <c r="G249" i="20"/>
  <c r="CB249" i="6" s="1"/>
  <c r="H249" i="20"/>
  <c r="G223" i="20"/>
  <c r="CB223" i="6" s="1"/>
  <c r="H223" i="20"/>
  <c r="G195" i="20"/>
  <c r="CB195" i="6" s="1"/>
  <c r="H195" i="20"/>
  <c r="H153" i="20"/>
  <c r="G153" i="20"/>
  <c r="CB153" i="6" s="1"/>
  <c r="G186" i="20"/>
  <c r="CB186" i="6" s="1"/>
  <c r="H186" i="20"/>
  <c r="AA85" i="20"/>
  <c r="Z85" i="20" s="1"/>
  <c r="Y85" i="20" s="1"/>
  <c r="G85" i="20"/>
  <c r="CB85" i="6" s="1"/>
  <c r="H85" i="20"/>
  <c r="H230" i="20"/>
  <c r="G230" i="20"/>
  <c r="CB230" i="6" s="1"/>
  <c r="AA33" i="20"/>
  <c r="Z33" i="20" s="1"/>
  <c r="Y33" i="20" s="1"/>
  <c r="H33" i="20"/>
  <c r="G33" i="20"/>
  <c r="CB33" i="6" s="1"/>
  <c r="H330" i="20"/>
  <c r="G330" i="20"/>
  <c r="CB330" i="6" s="1"/>
  <c r="H359" i="20"/>
  <c r="G359" i="20"/>
  <c r="CB359" i="6" s="1"/>
  <c r="H147" i="20"/>
  <c r="G147" i="20"/>
  <c r="CB147" i="6" s="1"/>
  <c r="G150" i="20"/>
  <c r="CB150" i="6" s="1"/>
  <c r="H150" i="20"/>
  <c r="G155" i="20"/>
  <c r="CB155" i="6" s="1"/>
  <c r="H155" i="20"/>
  <c r="W119" i="20"/>
  <c r="D119" i="20"/>
  <c r="E119" i="20" s="1"/>
  <c r="F119" i="20" s="1"/>
  <c r="G331" i="20"/>
  <c r="CB331" i="6" s="1"/>
  <c r="H331" i="20"/>
  <c r="G368" i="20"/>
  <c r="CB368" i="6" s="1"/>
  <c r="H368" i="20"/>
  <c r="G132" i="20"/>
  <c r="CB132" i="6" s="1"/>
  <c r="H132" i="20"/>
  <c r="G160" i="20"/>
  <c r="CB160" i="6" s="1"/>
  <c r="H160" i="20"/>
  <c r="G364" i="20"/>
  <c r="CB364" i="6" s="1"/>
  <c r="H364" i="20"/>
  <c r="AC4" i="6"/>
  <c r="H204" i="20"/>
  <c r="I204" i="20" s="1"/>
  <c r="J379" i="18"/>
  <c r="C379" i="6" s="1"/>
  <c r="I379" i="18"/>
  <c r="B379" i="6" s="1"/>
  <c r="BA379" i="6" s="1"/>
  <c r="B84" i="6"/>
  <c r="BA84" i="6" s="1"/>
  <c r="H84" i="20"/>
  <c r="B100" i="6"/>
  <c r="BA100" i="6" s="1"/>
  <c r="H100" i="20"/>
  <c r="X4" i="6"/>
  <c r="AF15" i="20"/>
  <c r="J87" i="18"/>
  <c r="C87" i="6" s="1"/>
  <c r="I87" i="18"/>
  <c r="B87" i="6" s="1"/>
  <c r="BA87" i="6" s="1"/>
  <c r="G245" i="20"/>
  <c r="CB245" i="6" s="1"/>
  <c r="H245" i="20"/>
  <c r="J74" i="18"/>
  <c r="C74" i="6" s="1"/>
  <c r="I74" i="18"/>
  <c r="B74" i="6" s="1"/>
  <c r="BA74" i="6" s="1"/>
  <c r="I59" i="18"/>
  <c r="B59" i="6" s="1"/>
  <c r="BA59" i="6" s="1"/>
  <c r="J59" i="18"/>
  <c r="C59" i="6" s="1"/>
  <c r="J349" i="18"/>
  <c r="C349" i="6" s="1"/>
  <c r="I349" i="18"/>
  <c r="B349" i="6" s="1"/>
  <c r="BA349" i="6" s="1"/>
  <c r="P55" i="22"/>
  <c r="V55" i="22" s="1"/>
  <c r="B55" i="22" s="1"/>
  <c r="P81" i="22"/>
  <c r="V81" i="22" s="1"/>
  <c r="B81" i="22" s="1"/>
  <c r="P51" i="22"/>
  <c r="V51" i="22" s="1"/>
  <c r="B51" i="22" s="1"/>
  <c r="P332" i="22"/>
  <c r="V332" i="22" s="1"/>
  <c r="B332" i="22" s="1"/>
  <c r="P279" i="22"/>
  <c r="V279" i="22" s="1"/>
  <c r="B279" i="22" s="1"/>
  <c r="P91" i="22"/>
  <c r="V91" i="22" s="1"/>
  <c r="B91" i="22" s="1"/>
  <c r="P62" i="22"/>
  <c r="V62" i="22" s="1"/>
  <c r="B62" i="22" s="1"/>
  <c r="P243" i="22"/>
  <c r="V243" i="22" s="1"/>
  <c r="B243" i="22" s="1"/>
  <c r="P232" i="22"/>
  <c r="V232" i="22" s="1"/>
  <c r="B232" i="22" s="1"/>
  <c r="P276" i="22"/>
  <c r="V276" i="22" s="1"/>
  <c r="B276" i="22" s="1"/>
  <c r="P199" i="22"/>
  <c r="V199" i="22" s="1"/>
  <c r="B199" i="22" s="1"/>
  <c r="P118" i="22"/>
  <c r="V118" i="22" s="1"/>
  <c r="B118" i="22" s="1"/>
  <c r="P40" i="22"/>
  <c r="V40" i="22" s="1"/>
  <c r="B40" i="22" s="1"/>
  <c r="P270" i="22"/>
  <c r="V270" i="22" s="1"/>
  <c r="B270" i="22" s="1"/>
  <c r="P197" i="22"/>
  <c r="V197" i="22" s="1"/>
  <c r="B197" i="22" s="1"/>
  <c r="P120" i="22"/>
  <c r="V120" i="22" s="1"/>
  <c r="B120" i="22" s="1"/>
  <c r="P355" i="22"/>
  <c r="V355" i="22" s="1"/>
  <c r="B355" i="22" s="1"/>
  <c r="P36" i="22"/>
  <c r="V36" i="22" s="1"/>
  <c r="B36" i="22" s="1"/>
  <c r="P256" i="22"/>
  <c r="V256" i="22" s="1"/>
  <c r="B256" i="22" s="1"/>
  <c r="P339" i="22"/>
  <c r="V339" i="22" s="1"/>
  <c r="B339" i="22" s="1"/>
  <c r="P147" i="22"/>
  <c r="V147" i="22" s="1"/>
  <c r="B147" i="22" s="1"/>
  <c r="P20" i="22"/>
  <c r="V20" i="22" s="1"/>
  <c r="B20" i="22" s="1"/>
  <c r="P269" i="22"/>
  <c r="V269" i="22" s="1"/>
  <c r="B269" i="22" s="1"/>
  <c r="P337" i="22"/>
  <c r="V337" i="22" s="1"/>
  <c r="B337" i="22" s="1"/>
  <c r="P82" i="22"/>
  <c r="V82" i="22" s="1"/>
  <c r="B82" i="22" s="1"/>
  <c r="P370" i="22"/>
  <c r="V370" i="22" s="1"/>
  <c r="B370" i="22" s="1"/>
  <c r="P97" i="22"/>
  <c r="V97" i="22" s="1"/>
  <c r="B97" i="22" s="1"/>
  <c r="P255" i="22"/>
  <c r="V255" i="22" s="1"/>
  <c r="B255" i="22" s="1"/>
  <c r="P70" i="22"/>
  <c r="V70" i="22" s="1"/>
  <c r="B70" i="22" s="1"/>
  <c r="P372" i="22"/>
  <c r="V372" i="22" s="1"/>
  <c r="B372" i="22" s="1"/>
  <c r="P103" i="22"/>
  <c r="V103" i="22" s="1"/>
  <c r="B103" i="22" s="1"/>
  <c r="P214" i="22"/>
  <c r="V214" i="22" s="1"/>
  <c r="B214" i="22" s="1"/>
  <c r="P42" i="22"/>
  <c r="V42" i="22" s="1"/>
  <c r="B42" i="22" s="1"/>
  <c r="P272" i="22"/>
  <c r="P74" i="22"/>
  <c r="V74" i="22" s="1"/>
  <c r="B74" i="22" s="1"/>
  <c r="D74" i="22" s="1"/>
  <c r="E74" i="22" s="1"/>
  <c r="F74" i="22" s="1"/>
  <c r="P362" i="22"/>
  <c r="V362" i="22" s="1"/>
  <c r="B362" i="22" s="1"/>
  <c r="P241" i="22"/>
  <c r="P251" i="22"/>
  <c r="V251" i="22" s="1"/>
  <c r="B251" i="22" s="1"/>
  <c r="P87" i="22"/>
  <c r="V87" i="22" s="1"/>
  <c r="B87" i="22" s="1"/>
  <c r="P172" i="22"/>
  <c r="V172" i="22" s="1"/>
  <c r="B172" i="22" s="1"/>
  <c r="P322" i="22"/>
  <c r="V322" i="22" s="1"/>
  <c r="B322" i="22" s="1"/>
  <c r="P178" i="22"/>
  <c r="V178" i="22" s="1"/>
  <c r="B178" i="22" s="1"/>
  <c r="P289" i="22"/>
  <c r="V289" i="22" s="1"/>
  <c r="B289" i="22" s="1"/>
  <c r="P67" i="22"/>
  <c r="V67" i="22" s="1"/>
  <c r="B67" i="22" s="1"/>
  <c r="P314" i="22"/>
  <c r="V314" i="22" s="1"/>
  <c r="B314" i="22" s="1"/>
  <c r="P153" i="22"/>
  <c r="V153" i="22" s="1"/>
  <c r="B153" i="22" s="1"/>
  <c r="P295" i="22"/>
  <c r="V295" i="22" s="1"/>
  <c r="B295" i="22" s="1"/>
  <c r="P316" i="22"/>
  <c r="V316" i="22" s="1"/>
  <c r="B316" i="22" s="1"/>
  <c r="P159" i="22"/>
  <c r="V159" i="22" s="1"/>
  <c r="B159" i="22" s="1"/>
  <c r="P174" i="22"/>
  <c r="V174" i="22" s="1"/>
  <c r="B174" i="22" s="1"/>
  <c r="P72" i="22"/>
  <c r="V72" i="22" s="1"/>
  <c r="B72" i="22" s="1"/>
  <c r="P260" i="22"/>
  <c r="V260" i="22" s="1"/>
  <c r="B260" i="22" s="1"/>
  <c r="P329" i="22"/>
  <c r="V329" i="22" s="1"/>
  <c r="B329" i="22" s="1"/>
  <c r="P179" i="22"/>
  <c r="V179" i="22" s="1"/>
  <c r="B179" i="22" s="1"/>
  <c r="P49" i="22"/>
  <c r="V49" i="22" s="1"/>
  <c r="B49" i="22" s="1"/>
  <c r="P263" i="22"/>
  <c r="V263" i="22" s="1"/>
  <c r="B263" i="22" s="1"/>
  <c r="P348" i="22"/>
  <c r="V348" i="22" s="1"/>
  <c r="B348" i="22" s="1"/>
  <c r="P127" i="22"/>
  <c r="V127" i="22" s="1"/>
  <c r="B127" i="22" s="1"/>
  <c r="P206" i="22"/>
  <c r="V206" i="22" s="1"/>
  <c r="B206" i="22" s="1"/>
  <c r="P342" i="22"/>
  <c r="V342" i="22" s="1"/>
  <c r="B342" i="22" s="1"/>
  <c r="P192" i="22"/>
  <c r="V192" i="22" s="1"/>
  <c r="B192" i="22" s="1"/>
  <c r="P267" i="22"/>
  <c r="V267" i="22" s="1"/>
  <c r="B267" i="22" s="1"/>
  <c r="V15" i="18"/>
  <c r="P381" i="18"/>
  <c r="P383" i="18"/>
  <c r="P382" i="18"/>
  <c r="I333" i="18"/>
  <c r="B333" i="6" s="1"/>
  <c r="BA333" i="6" s="1"/>
  <c r="J333" i="18"/>
  <c r="C333" i="6" s="1"/>
  <c r="H295" i="20"/>
  <c r="G295" i="20"/>
  <c r="CB295" i="6" s="1"/>
  <c r="H169" i="20"/>
  <c r="G169" i="20"/>
  <c r="CB169" i="6" s="1"/>
  <c r="H372" i="20"/>
  <c r="G372" i="20"/>
  <c r="CB372" i="6" s="1"/>
  <c r="G323" i="20"/>
  <c r="CB323" i="6" s="1"/>
  <c r="H323" i="20"/>
  <c r="G321" i="20"/>
  <c r="CB321" i="6" s="1"/>
  <c r="H321" i="20"/>
  <c r="G134" i="20"/>
  <c r="CB134" i="6" s="1"/>
  <c r="H134" i="20"/>
  <c r="G176" i="20"/>
  <c r="CB176" i="6" s="1"/>
  <c r="H176" i="20"/>
  <c r="G335" i="20"/>
  <c r="CB335" i="6" s="1"/>
  <c r="H335" i="20"/>
  <c r="H224" i="20"/>
  <c r="G224" i="20"/>
  <c r="CB224" i="6" s="1"/>
  <c r="G207" i="20"/>
  <c r="CB207" i="6" s="1"/>
  <c r="H207" i="20"/>
  <c r="G206" i="20"/>
  <c r="CB206" i="6" s="1"/>
  <c r="H206" i="20"/>
  <c r="H202" i="20"/>
  <c r="G202" i="20"/>
  <c r="CB202" i="6" s="1"/>
  <c r="AA57" i="20"/>
  <c r="Z57" i="20" s="1"/>
  <c r="Y57" i="20" s="1"/>
  <c r="G57" i="20"/>
  <c r="CB57" i="6" s="1"/>
  <c r="H57" i="20"/>
  <c r="G212" i="20"/>
  <c r="CB212" i="6" s="1"/>
  <c r="H212" i="20"/>
  <c r="H130" i="20"/>
  <c r="G130" i="20"/>
  <c r="CB130" i="6" s="1"/>
  <c r="AA90" i="20"/>
  <c r="Z90" i="20" s="1"/>
  <c r="Y90" i="20" s="1"/>
  <c r="G90" i="20"/>
  <c r="CB90" i="6" s="1"/>
  <c r="H90" i="20"/>
  <c r="AA99" i="20"/>
  <c r="Z99" i="20" s="1"/>
  <c r="Y99" i="20" s="1"/>
  <c r="G99" i="20"/>
  <c r="CB99" i="6" s="1"/>
  <c r="H99" i="20"/>
  <c r="H367" i="20"/>
  <c r="G367" i="20"/>
  <c r="CB367" i="6" s="1"/>
  <c r="H336" i="20"/>
  <c r="G336" i="20"/>
  <c r="CB336" i="6" s="1"/>
  <c r="H226" i="20"/>
  <c r="G226" i="20"/>
  <c r="CB226" i="6" s="1"/>
  <c r="G115" i="20"/>
  <c r="CB115" i="6" s="1"/>
  <c r="H115" i="20"/>
  <c r="G282" i="20"/>
  <c r="CB282" i="6" s="1"/>
  <c r="H282" i="20"/>
  <c r="H127" i="20"/>
  <c r="G127" i="20"/>
  <c r="CB127" i="6" s="1"/>
  <c r="H89" i="20"/>
  <c r="G89" i="20"/>
  <c r="CB89" i="6" s="1"/>
  <c r="AA89" i="20"/>
  <c r="Z89" i="20" s="1"/>
  <c r="Y89" i="20" s="1"/>
  <c r="G268" i="20"/>
  <c r="CB268" i="6" s="1"/>
  <c r="H268" i="20"/>
  <c r="G221" i="20"/>
  <c r="CB221" i="6" s="1"/>
  <c r="H221" i="20"/>
  <c r="H129" i="20"/>
  <c r="G129" i="20"/>
  <c r="CB129" i="6" s="1"/>
  <c r="H219" i="20"/>
  <c r="G219" i="20"/>
  <c r="CB219" i="6" s="1"/>
  <c r="G165" i="20"/>
  <c r="CB165" i="6" s="1"/>
  <c r="H165" i="20"/>
  <c r="G71" i="20"/>
  <c r="CB71" i="6" s="1"/>
  <c r="H71" i="20"/>
  <c r="AA71" i="20"/>
  <c r="Z71" i="20" s="1"/>
  <c r="Y71" i="20" s="1"/>
  <c r="G273" i="20"/>
  <c r="CB273" i="6" s="1"/>
  <c r="H273" i="20"/>
  <c r="H125" i="20"/>
  <c r="G125" i="20"/>
  <c r="CB125" i="6" s="1"/>
  <c r="I27" i="18"/>
  <c r="B27" i="6" s="1"/>
  <c r="BA27" i="6" s="1"/>
  <c r="J27" i="18"/>
  <c r="C27" i="6" s="1"/>
  <c r="H301" i="20"/>
  <c r="G301" i="20"/>
  <c r="CB301" i="6" s="1"/>
  <c r="G228" i="20"/>
  <c r="CB228" i="6" s="1"/>
  <c r="H228" i="20"/>
  <c r="G67" i="20"/>
  <c r="CB67" i="6" s="1"/>
  <c r="H67" i="20"/>
  <c r="AA67" i="20"/>
  <c r="Z67" i="20" s="1"/>
  <c r="Y67" i="20" s="1"/>
  <c r="H82" i="20"/>
  <c r="AA82" i="20"/>
  <c r="Z82" i="20" s="1"/>
  <c r="Y82" i="20" s="1"/>
  <c r="G82" i="20"/>
  <c r="CB82" i="6" s="1"/>
  <c r="G103" i="20"/>
  <c r="CB103" i="6" s="1"/>
  <c r="H103" i="20"/>
  <c r="AA103" i="20"/>
  <c r="Z103" i="20" s="1"/>
  <c r="Y103" i="20" s="1"/>
  <c r="H181" i="20"/>
  <c r="G181" i="20"/>
  <c r="CB181" i="6" s="1"/>
  <c r="H225" i="20"/>
  <c r="G225" i="20"/>
  <c r="CB225" i="6" s="1"/>
  <c r="H35" i="20"/>
  <c r="G35" i="20"/>
  <c r="CB35" i="6" s="1"/>
  <c r="AA35" i="20"/>
  <c r="Z35" i="20" s="1"/>
  <c r="Y35" i="20" s="1"/>
  <c r="G298" i="20"/>
  <c r="CB298" i="6" s="1"/>
  <c r="H298" i="20"/>
  <c r="G377" i="20"/>
  <c r="CB377" i="6" s="1"/>
  <c r="H377" i="20"/>
  <c r="C66" i="19"/>
  <c r="H200" i="20"/>
  <c r="G200" i="20"/>
  <c r="CB200" i="6" s="1"/>
  <c r="G312" i="20"/>
  <c r="CB312" i="6" s="1"/>
  <c r="H312" i="20"/>
  <c r="H326" i="20"/>
  <c r="G326" i="20"/>
  <c r="CB326" i="6" s="1"/>
  <c r="G18" i="20"/>
  <c r="CB18" i="6" s="1"/>
  <c r="H18" i="20"/>
  <c r="AA18" i="20"/>
  <c r="Z18" i="20" s="1"/>
  <c r="Y18" i="20" s="1"/>
  <c r="H278" i="20"/>
  <c r="G278" i="20"/>
  <c r="CB278" i="6" s="1"/>
  <c r="H271" i="20"/>
  <c r="G271" i="20"/>
  <c r="CB271" i="6" s="1"/>
  <c r="H144" i="20"/>
  <c r="G144" i="20"/>
  <c r="CB144" i="6" s="1"/>
  <c r="AA102" i="20"/>
  <c r="Z102" i="20" s="1"/>
  <c r="Y102" i="20" s="1"/>
  <c r="G102" i="20"/>
  <c r="CB102" i="6" s="1"/>
  <c r="H102" i="20"/>
  <c r="I46" i="18"/>
  <c r="B46" i="6" s="1"/>
  <c r="BA46" i="6" s="1"/>
  <c r="J46" i="18"/>
  <c r="C46" i="6" s="1"/>
  <c r="J138" i="18"/>
  <c r="C138" i="6" s="1"/>
  <c r="I138" i="18"/>
  <c r="B138" i="6" s="1"/>
  <c r="BA138" i="6" s="1"/>
  <c r="J95" i="18"/>
  <c r="C95" i="6" s="1"/>
  <c r="I95" i="18"/>
  <c r="B95" i="6" s="1"/>
  <c r="BA95" i="6" s="1"/>
  <c r="P19" i="22"/>
  <c r="V19" i="22" s="1"/>
  <c r="B19" i="22" s="1"/>
  <c r="P298" i="22"/>
  <c r="V298" i="22" s="1"/>
  <c r="B298" i="22" s="1"/>
  <c r="P106" i="22"/>
  <c r="V106" i="22" s="1"/>
  <c r="B106" i="22" s="1"/>
  <c r="P45" i="22"/>
  <c r="V45" i="22" s="1"/>
  <c r="B45" i="22" s="1"/>
  <c r="P137" i="22"/>
  <c r="V137" i="22" s="1"/>
  <c r="B137" i="22" s="1"/>
  <c r="P330" i="22"/>
  <c r="V330" i="22" s="1"/>
  <c r="B330" i="22" s="1"/>
  <c r="P273" i="22"/>
  <c r="V273" i="22" s="1"/>
  <c r="B273" i="22" s="1"/>
  <c r="P194" i="22"/>
  <c r="V194" i="22" s="1"/>
  <c r="B194" i="22" s="1"/>
  <c r="P59" i="22"/>
  <c r="V59" i="22" s="1"/>
  <c r="B59" i="22" s="1"/>
  <c r="P156" i="22"/>
  <c r="V156" i="22" s="1"/>
  <c r="B156" i="22" s="1"/>
  <c r="P319" i="22"/>
  <c r="V319" i="22" s="1"/>
  <c r="B319" i="22" s="1"/>
  <c r="P61" i="22"/>
  <c r="V61" i="22" s="1"/>
  <c r="B61" i="22" s="1"/>
  <c r="P308" i="22"/>
  <c r="V308" i="22" s="1"/>
  <c r="B308" i="22" s="1"/>
  <c r="P167" i="22"/>
  <c r="V167" i="22" s="1"/>
  <c r="B167" i="22" s="1"/>
  <c r="P317" i="22"/>
  <c r="V317" i="22" s="1"/>
  <c r="B317" i="22" s="1"/>
  <c r="P302" i="22"/>
  <c r="P354" i="22"/>
  <c r="V354" i="22" s="1"/>
  <c r="B354" i="22" s="1"/>
  <c r="P155" i="22"/>
  <c r="V155" i="22" s="1"/>
  <c r="B155" i="22" s="1"/>
  <c r="P57" i="22"/>
  <c r="V57" i="22" s="1"/>
  <c r="B57" i="22" s="1"/>
  <c r="P307" i="22"/>
  <c r="V307" i="22" s="1"/>
  <c r="B307" i="22" s="1"/>
  <c r="P168" i="22"/>
  <c r="V168" i="22" s="1"/>
  <c r="B168" i="22" s="1"/>
  <c r="P149" i="22"/>
  <c r="P340" i="22"/>
  <c r="V340" i="22" s="1"/>
  <c r="B340" i="22" s="1"/>
  <c r="P182" i="22"/>
  <c r="V182" i="22" s="1"/>
  <c r="B182" i="22" s="1"/>
  <c r="P71" i="22"/>
  <c r="V71" i="22" s="1"/>
  <c r="B71" i="22" s="1"/>
  <c r="P334" i="22"/>
  <c r="V334" i="22" s="1"/>
  <c r="B334" i="22" s="1"/>
  <c r="P133" i="22"/>
  <c r="V133" i="22" s="1"/>
  <c r="B133" i="22" s="1"/>
  <c r="P291" i="22"/>
  <c r="V291" i="22" s="1"/>
  <c r="B291" i="22" s="1"/>
  <c r="P320" i="22"/>
  <c r="V320" i="22" s="1"/>
  <c r="B320" i="22" s="1"/>
  <c r="P275" i="22"/>
  <c r="V275" i="22" s="1"/>
  <c r="B275" i="22" s="1"/>
  <c r="P58" i="22"/>
  <c r="V58" i="22" s="1"/>
  <c r="B58" i="22" s="1"/>
  <c r="P144" i="22"/>
  <c r="V144" i="22" s="1"/>
  <c r="B144" i="22" s="1"/>
  <c r="P294" i="22"/>
  <c r="V294" i="22" s="1"/>
  <c r="B294" i="22" s="1"/>
  <c r="P309" i="22"/>
  <c r="V309" i="22" s="1"/>
  <c r="B309" i="22" s="1"/>
  <c r="P358" i="22"/>
  <c r="V358" i="22" s="1"/>
  <c r="B358" i="22" s="1"/>
  <c r="P23" i="22"/>
  <c r="V23" i="22" s="1"/>
  <c r="B23" i="22" s="1"/>
  <c r="P333" i="22"/>
  <c r="P134" i="22"/>
  <c r="V134" i="22" s="1"/>
  <c r="B134" i="22" s="1"/>
  <c r="P183" i="22"/>
  <c r="V183" i="22" s="1"/>
  <c r="B183" i="22" s="1"/>
  <c r="P292" i="22"/>
  <c r="V292" i="22" s="1"/>
  <c r="B292" i="22" s="1"/>
  <c r="P101" i="22"/>
  <c r="V101" i="22" s="1"/>
  <c r="B101" i="22" s="1"/>
  <c r="P216" i="22"/>
  <c r="V216" i="22" s="1"/>
  <c r="B216" i="22" s="1"/>
  <c r="P259" i="22"/>
  <c r="V259" i="22" s="1"/>
  <c r="B259" i="22" s="1"/>
  <c r="P28" i="22"/>
  <c r="V28" i="22" s="1"/>
  <c r="B28" i="22" s="1"/>
  <c r="P352" i="22"/>
  <c r="V352" i="22" s="1"/>
  <c r="B352" i="22" s="1"/>
  <c r="P107" i="22"/>
  <c r="V107" i="22" s="1"/>
  <c r="B107" i="22" s="1"/>
  <c r="P257" i="22"/>
  <c r="V257" i="22" s="1"/>
  <c r="B257" i="22" s="1"/>
  <c r="P121" i="22"/>
  <c r="V121" i="22" s="1"/>
  <c r="B121" i="22" s="1"/>
  <c r="P369" i="22"/>
  <c r="V369" i="22" s="1"/>
  <c r="B369" i="22" s="1"/>
  <c r="P343" i="22"/>
  <c r="V343" i="22" s="1"/>
  <c r="B343" i="22" s="1"/>
  <c r="P60" i="22"/>
  <c r="P367" i="22"/>
  <c r="V367" i="22" s="1"/>
  <c r="B367" i="22" s="1"/>
  <c r="P108" i="22"/>
  <c r="V108" i="22" s="1"/>
  <c r="B108" i="22" s="1"/>
  <c r="P258" i="22"/>
  <c r="V258" i="22" s="1"/>
  <c r="P242" i="22"/>
  <c r="V242" i="22" s="1"/>
  <c r="B242" i="22" s="1"/>
  <c r="P92" i="22"/>
  <c r="V92" i="22" s="1"/>
  <c r="B92" i="22" s="1"/>
  <c r="P378" i="22"/>
  <c r="V378" i="22" s="1"/>
  <c r="B378" i="22" s="1"/>
  <c r="P89" i="22"/>
  <c r="V89" i="22" s="1"/>
  <c r="B89" i="22" s="1"/>
  <c r="P244" i="22"/>
  <c r="V244" i="22" s="1"/>
  <c r="B244" i="22" s="1"/>
  <c r="P86" i="22"/>
  <c r="V86" i="22" s="1"/>
  <c r="B86" i="22" s="1"/>
  <c r="P380" i="22"/>
  <c r="V380" i="22" s="1"/>
  <c r="P95" i="22"/>
  <c r="V95" i="22" s="1"/>
  <c r="B95" i="22" s="1"/>
  <c r="P238" i="22"/>
  <c r="V238" i="22" s="1"/>
  <c r="B238" i="22" s="1"/>
  <c r="H342" i="20"/>
  <c r="G342" i="20"/>
  <c r="CB342" i="6" s="1"/>
  <c r="G292" i="20"/>
  <c r="CB292" i="6" s="1"/>
  <c r="H292" i="20"/>
  <c r="G318" i="20"/>
  <c r="CB318" i="6" s="1"/>
  <c r="H318" i="20"/>
  <c r="D88" i="20"/>
  <c r="E88" i="20" s="1"/>
  <c r="F88" i="20" s="1"/>
  <c r="W88" i="20"/>
  <c r="H355" i="20"/>
  <c r="G355" i="20"/>
  <c r="CB355" i="6" s="1"/>
  <c r="G275" i="20"/>
  <c r="CB275" i="6" s="1"/>
  <c r="H275" i="20"/>
  <c r="W149" i="20"/>
  <c r="D149" i="20"/>
  <c r="E149" i="20" s="1"/>
  <c r="F149" i="20" s="1"/>
  <c r="H185" i="20"/>
  <c r="G185" i="20"/>
  <c r="CB185" i="6" s="1"/>
  <c r="G17" i="20"/>
  <c r="CB17" i="6" s="1"/>
  <c r="AA17" i="20"/>
  <c r="Z17" i="20" s="1"/>
  <c r="Y17" i="20" s="1"/>
  <c r="H17" i="20"/>
  <c r="H243" i="20"/>
  <c r="G243" i="20"/>
  <c r="CB243" i="6" s="1"/>
  <c r="G92" i="20"/>
  <c r="CB92" i="6" s="1"/>
  <c r="H92" i="20"/>
  <c r="AA92" i="20"/>
  <c r="Z92" i="20" s="1"/>
  <c r="Y92" i="20" s="1"/>
  <c r="G222" i="20"/>
  <c r="CB222" i="6" s="1"/>
  <c r="H222" i="20"/>
  <c r="H373" i="20"/>
  <c r="G373" i="20"/>
  <c r="CB373" i="6" s="1"/>
  <c r="H289" i="20"/>
  <c r="G289" i="20"/>
  <c r="CB289" i="6" s="1"/>
  <c r="H23" i="20"/>
  <c r="G23" i="20"/>
  <c r="CB23" i="6" s="1"/>
  <c r="AA23" i="20"/>
  <c r="Z23" i="20" s="1"/>
  <c r="Y23" i="20" s="1"/>
  <c r="H310" i="20"/>
  <c r="G310" i="20"/>
  <c r="CB310" i="6" s="1"/>
  <c r="G52" i="20"/>
  <c r="CB52" i="6" s="1"/>
  <c r="H52" i="20"/>
  <c r="AA52" i="20"/>
  <c r="Z52" i="20" s="1"/>
  <c r="Y52" i="20" s="1"/>
  <c r="H293" i="20"/>
  <c r="G293" i="20"/>
  <c r="CB293" i="6" s="1"/>
  <c r="AA78" i="20"/>
  <c r="Z78" i="20" s="1"/>
  <c r="Y78" i="20" s="1"/>
  <c r="G78" i="20"/>
  <c r="CB78" i="6" s="1"/>
  <c r="H78" i="20"/>
  <c r="G352" i="20"/>
  <c r="CB352" i="6" s="1"/>
  <c r="H352" i="20"/>
  <c r="G220" i="20"/>
  <c r="CB220" i="6" s="1"/>
  <c r="H220" i="20"/>
  <c r="H197" i="20"/>
  <c r="G197" i="20"/>
  <c r="CB197" i="6" s="1"/>
  <c r="G193" i="20"/>
  <c r="CB193" i="6" s="1"/>
  <c r="H193" i="20"/>
  <c r="G343" i="20"/>
  <c r="CB343" i="6" s="1"/>
  <c r="H343" i="20"/>
  <c r="H79" i="20"/>
  <c r="AA79" i="20"/>
  <c r="Z79" i="20" s="1"/>
  <c r="Y79" i="20" s="1"/>
  <c r="G79" i="20"/>
  <c r="CB79" i="6" s="1"/>
  <c r="D319" i="20"/>
  <c r="E319" i="20" s="1"/>
  <c r="F319" i="20" s="1"/>
  <c r="W319" i="20"/>
  <c r="G48" i="20"/>
  <c r="CB48" i="6" s="1"/>
  <c r="H48" i="20"/>
  <c r="AA48" i="20"/>
  <c r="Z48" i="20" s="1"/>
  <c r="Y48" i="20" s="1"/>
  <c r="H325" i="20"/>
  <c r="G325" i="20"/>
  <c r="CB325" i="6" s="1"/>
  <c r="G247" i="20"/>
  <c r="CB247" i="6" s="1"/>
  <c r="H247" i="20"/>
  <c r="W210" i="20"/>
  <c r="D210" i="20"/>
  <c r="E210" i="20" s="1"/>
  <c r="F210" i="20" s="1"/>
  <c r="H148" i="20"/>
  <c r="G148" i="20"/>
  <c r="CB148" i="6" s="1"/>
  <c r="D196" i="20"/>
  <c r="E196" i="20" s="1"/>
  <c r="F196" i="20" s="1"/>
  <c r="W196" i="20"/>
  <c r="G313" i="20"/>
  <c r="CB313" i="6" s="1"/>
  <c r="H313" i="20"/>
  <c r="G73" i="20"/>
  <c r="CB73" i="6" s="1"/>
  <c r="H73" i="20"/>
  <c r="AA73" i="20"/>
  <c r="Z73" i="20" s="1"/>
  <c r="Y73" i="20" s="1"/>
  <c r="G173" i="20"/>
  <c r="CB173" i="6" s="1"/>
  <c r="H173" i="20"/>
  <c r="D166" i="20"/>
  <c r="E166" i="20" s="1"/>
  <c r="F166" i="20" s="1"/>
  <c r="W166" i="20"/>
  <c r="G257" i="20"/>
  <c r="CB257" i="6" s="1"/>
  <c r="H257" i="20"/>
  <c r="G183" i="20"/>
  <c r="CB183" i="6" s="1"/>
  <c r="H183" i="20"/>
  <c r="AA19" i="20"/>
  <c r="Z19" i="20" s="1"/>
  <c r="Y19" i="20" s="1"/>
  <c r="H19" i="20"/>
  <c r="G19" i="20"/>
  <c r="CB19" i="6" s="1"/>
  <c r="G314" i="20"/>
  <c r="CB314" i="6" s="1"/>
  <c r="H314" i="20"/>
  <c r="H254" i="20"/>
  <c r="G254" i="20"/>
  <c r="CB254" i="6" s="1"/>
  <c r="AA36" i="20"/>
  <c r="Z36" i="20" s="1"/>
  <c r="Y36" i="20" s="1"/>
  <c r="G36" i="20"/>
  <c r="CB36" i="6" s="1"/>
  <c r="H36" i="20"/>
  <c r="AA77" i="20"/>
  <c r="Z77" i="20" s="1"/>
  <c r="Y77" i="20" s="1"/>
  <c r="H77" i="20"/>
  <c r="G77" i="20"/>
  <c r="CB77" i="6" s="1"/>
  <c r="H31" i="20"/>
  <c r="AA31" i="20"/>
  <c r="Z31" i="20" s="1"/>
  <c r="Y31" i="20" s="1"/>
  <c r="G31" i="20"/>
  <c r="CB31" i="6" s="1"/>
  <c r="G255" i="20"/>
  <c r="CB255" i="6" s="1"/>
  <c r="H255" i="20"/>
  <c r="G211" i="20"/>
  <c r="CB211" i="6" s="1"/>
  <c r="H211" i="20"/>
  <c r="H161" i="20"/>
  <c r="G161" i="20"/>
  <c r="CB161" i="6" s="1"/>
  <c r="H374" i="20"/>
  <c r="G374" i="20"/>
  <c r="CB374" i="6" s="1"/>
  <c r="G117" i="20"/>
  <c r="CB117" i="6" s="1"/>
  <c r="H117" i="20"/>
  <c r="G348" i="20"/>
  <c r="CB348" i="6" s="1"/>
  <c r="H348" i="20"/>
  <c r="W105" i="20"/>
  <c r="D105" i="20"/>
  <c r="E105" i="20" s="1"/>
  <c r="F105" i="20" s="1"/>
  <c r="G290" i="20"/>
  <c r="CB290" i="6" s="1"/>
  <c r="H290" i="20"/>
  <c r="H140" i="20"/>
  <c r="G140" i="20"/>
  <c r="CB140" i="6" s="1"/>
  <c r="H163" i="20"/>
  <c r="G163" i="20"/>
  <c r="CB163" i="6" s="1"/>
  <c r="G276" i="20"/>
  <c r="CB276" i="6" s="1"/>
  <c r="H276" i="20"/>
  <c r="H122" i="20"/>
  <c r="G122" i="20"/>
  <c r="CB122" i="6" s="1"/>
  <c r="G299" i="20"/>
  <c r="CB299" i="6" s="1"/>
  <c r="H299" i="20"/>
  <c r="G277" i="20"/>
  <c r="CB277" i="6" s="1"/>
  <c r="H277" i="20"/>
  <c r="G101" i="20"/>
  <c r="CB101" i="6" s="1"/>
  <c r="H101" i="20"/>
  <c r="AA101" i="20"/>
  <c r="Z101" i="20" s="1"/>
  <c r="Y101" i="20" s="1"/>
  <c r="H315" i="20"/>
  <c r="G315" i="20"/>
  <c r="CB315" i="6" s="1"/>
  <c r="G327" i="20"/>
  <c r="CB327" i="6" s="1"/>
  <c r="H327" i="20"/>
  <c r="H63" i="20"/>
  <c r="G63" i="20"/>
  <c r="CB63" i="6" s="1"/>
  <c r="AA63" i="20"/>
  <c r="Z63" i="20" s="1"/>
  <c r="Y63" i="20" s="1"/>
  <c r="G177" i="20"/>
  <c r="CB177" i="6" s="1"/>
  <c r="G21" i="20"/>
  <c r="CB21" i="6" s="1"/>
  <c r="AA21" i="20"/>
  <c r="Z21" i="20" s="1"/>
  <c r="Y21" i="20" s="1"/>
  <c r="H21" i="20"/>
  <c r="H362" i="20"/>
  <c r="G362" i="20"/>
  <c r="CB362" i="6" s="1"/>
  <c r="H261" i="20"/>
  <c r="G261" i="20"/>
  <c r="CB261" i="6" s="1"/>
  <c r="G263" i="20"/>
  <c r="CB263" i="6" s="1"/>
  <c r="H263" i="20"/>
  <c r="H334" i="20"/>
  <c r="G334" i="20"/>
  <c r="CB334" i="6" s="1"/>
  <c r="G357" i="20"/>
  <c r="CB357" i="6" s="1"/>
  <c r="H357" i="20"/>
  <c r="H283" i="20"/>
  <c r="G283" i="20"/>
  <c r="CB283" i="6" s="1"/>
  <c r="G320" i="20"/>
  <c r="CB320" i="6" s="1"/>
  <c r="H320" i="20"/>
  <c r="H246" i="20"/>
  <c r="G246" i="20"/>
  <c r="CB246" i="6" s="1"/>
  <c r="H116" i="20"/>
  <c r="G116" i="20"/>
  <c r="CB116" i="6" s="1"/>
  <c r="H365" i="20"/>
  <c r="G365" i="20"/>
  <c r="CB365" i="6" s="1"/>
  <c r="G353" i="20"/>
  <c r="CB353" i="6" s="1"/>
  <c r="H353" i="20"/>
  <c r="D288" i="20"/>
  <c r="E288" i="20" s="1"/>
  <c r="F288" i="20" s="1"/>
  <c r="W288" i="20"/>
  <c r="AA70" i="20"/>
  <c r="Z70" i="20" s="1"/>
  <c r="Y70" i="20" s="1"/>
  <c r="G70" i="20"/>
  <c r="CB70" i="6" s="1"/>
  <c r="H70" i="20"/>
  <c r="G120" i="20"/>
  <c r="CB120" i="6" s="1"/>
  <c r="H120" i="20"/>
  <c r="H201" i="20"/>
  <c r="G201" i="20"/>
  <c r="CB201" i="6" s="1"/>
  <c r="G269" i="20"/>
  <c r="CB269" i="6" s="1"/>
  <c r="D258" i="20"/>
  <c r="E258" i="20" s="1"/>
  <c r="F258" i="20" s="1"/>
  <c r="W258" i="20"/>
  <c r="AA96" i="20"/>
  <c r="Z96" i="20" s="1"/>
  <c r="Y96" i="20" s="1"/>
  <c r="H96" i="20"/>
  <c r="G96" i="20"/>
  <c r="CB96" i="6" s="1"/>
  <c r="D227" i="20"/>
  <c r="E227" i="20" s="1"/>
  <c r="F227" i="20" s="1"/>
  <c r="W227" i="20"/>
  <c r="H154" i="20"/>
  <c r="G154" i="20"/>
  <c r="CB154" i="6" s="1"/>
  <c r="G232" i="20"/>
  <c r="CB232" i="6" s="1"/>
  <c r="H232" i="20"/>
  <c r="D302" i="20"/>
  <c r="E302" i="20" s="1"/>
  <c r="F302" i="20" s="1"/>
  <c r="W302" i="20"/>
  <c r="H98" i="20"/>
  <c r="AA98" i="20"/>
  <c r="Z98" i="20" s="1"/>
  <c r="Y98" i="20" s="1"/>
  <c r="G98" i="20"/>
  <c r="CB98" i="6" s="1"/>
  <c r="H217" i="20"/>
  <c r="G217" i="20"/>
  <c r="CB217" i="6" s="1"/>
  <c r="H346" i="20"/>
  <c r="G346" i="20"/>
  <c r="CB346" i="6" s="1"/>
  <c r="H157" i="20"/>
  <c r="G157" i="20"/>
  <c r="CB157" i="6" s="1"/>
  <c r="H341" i="20"/>
  <c r="G341" i="20"/>
  <c r="CB341" i="6" s="1"/>
  <c r="G260" i="20"/>
  <c r="CB260" i="6" s="1"/>
  <c r="H260" i="20"/>
  <c r="H203" i="20"/>
  <c r="G203" i="20"/>
  <c r="CB203" i="6" s="1"/>
  <c r="G167" i="20"/>
  <c r="CB167" i="6" s="1"/>
  <c r="H167" i="20"/>
  <c r="H286" i="20"/>
  <c r="G286" i="20"/>
  <c r="CB286" i="6" s="1"/>
  <c r="H369" i="20"/>
  <c r="G369" i="20"/>
  <c r="CB369" i="6" s="1"/>
  <c r="G351" i="20"/>
  <c r="CB351" i="6" s="1"/>
  <c r="H351" i="20"/>
  <c r="H156" i="20"/>
  <c r="G156" i="20"/>
  <c r="CB156" i="6" s="1"/>
  <c r="W349" i="20"/>
  <c r="D349" i="20"/>
  <c r="E349" i="20" s="1"/>
  <c r="F349" i="20" s="1"/>
  <c r="G339" i="20"/>
  <c r="CB339" i="6" s="1"/>
  <c r="H339" i="20"/>
  <c r="G338" i="20"/>
  <c r="CB338" i="6" s="1"/>
  <c r="H338" i="20"/>
  <c r="W135" i="20"/>
  <c r="D135" i="20"/>
  <c r="E135" i="20" s="1"/>
  <c r="F135" i="20" s="1"/>
  <c r="W363" i="20"/>
  <c r="D363" i="20"/>
  <c r="E363" i="20" s="1"/>
  <c r="F363" i="20" s="1"/>
  <c r="H72" i="20"/>
  <c r="G72" i="20"/>
  <c r="CB72" i="6" s="1"/>
  <c r="AA72" i="20"/>
  <c r="Z72" i="20" s="1"/>
  <c r="Y72" i="20" s="1"/>
  <c r="G47" i="20"/>
  <c r="CB47" i="6" s="1"/>
  <c r="AA47" i="20"/>
  <c r="Z47" i="20" s="1"/>
  <c r="Y47" i="20" s="1"/>
  <c r="G25" i="20"/>
  <c r="CB25" i="6" s="1"/>
  <c r="AA25" i="20"/>
  <c r="Z25" i="20" s="1"/>
  <c r="Y25" i="20" s="1"/>
  <c r="H25" i="20"/>
  <c r="D29" i="20"/>
  <c r="E29" i="20" s="1"/>
  <c r="F29" i="20" s="1"/>
  <c r="W29" i="20"/>
  <c r="G107" i="20"/>
  <c r="CB107" i="6" s="1"/>
  <c r="H107" i="20"/>
  <c r="H234" i="20"/>
  <c r="G234" i="20"/>
  <c r="CB234" i="6" s="1"/>
  <c r="AA68" i="20"/>
  <c r="Z68" i="20" s="1"/>
  <c r="Y68" i="20" s="1"/>
  <c r="H68" i="20"/>
  <c r="G68" i="20"/>
  <c r="CB68" i="6" s="1"/>
  <c r="H141" i="20"/>
  <c r="G141" i="20"/>
  <c r="CB141" i="6" s="1"/>
  <c r="G131" i="20"/>
  <c r="CB131" i="6" s="1"/>
  <c r="H131" i="20"/>
  <c r="G216" i="20"/>
  <c r="CB216" i="6" s="1"/>
  <c r="H216" i="20"/>
  <c r="G30" i="20"/>
  <c r="CB30" i="6" s="1"/>
  <c r="AA30" i="20"/>
  <c r="Z30" i="20" s="1"/>
  <c r="Y30" i="20" s="1"/>
  <c r="H30" i="20"/>
  <c r="G145" i="20"/>
  <c r="CB145" i="6" s="1"/>
  <c r="H145" i="20"/>
  <c r="H375" i="20"/>
  <c r="G375" i="20"/>
  <c r="CB375" i="6" s="1"/>
  <c r="G370" i="20"/>
  <c r="CB370" i="6" s="1"/>
  <c r="H370" i="20"/>
  <c r="G274" i="20"/>
  <c r="CB274" i="6" s="1"/>
  <c r="H274" i="20"/>
  <c r="G114" i="20"/>
  <c r="CB114" i="6" s="1"/>
  <c r="H114" i="20"/>
  <c r="G69" i="20"/>
  <c r="CB69" i="6" s="1"/>
  <c r="H69" i="20"/>
  <c r="AA69" i="20"/>
  <c r="Z69" i="20" s="1"/>
  <c r="Y69" i="20" s="1"/>
  <c r="G194" i="20"/>
  <c r="CB194" i="6" s="1"/>
  <c r="H194" i="20"/>
  <c r="G297" i="20"/>
  <c r="CB297" i="6" s="1"/>
  <c r="H297" i="20"/>
  <c r="G172" i="20"/>
  <c r="CB172" i="6" s="1"/>
  <c r="H172" i="20"/>
  <c r="Q10" i="23"/>
  <c r="AE11" i="23" s="1"/>
  <c r="AS15" i="7"/>
  <c r="P231" i="22" l="1"/>
  <c r="V231" i="22" s="1"/>
  <c r="B231" i="22" s="1"/>
  <c r="P27" i="22"/>
  <c r="V27" i="22" s="1"/>
  <c r="B27" i="22" s="1"/>
  <c r="D27" i="22" s="1"/>
  <c r="E27" i="22" s="1"/>
  <c r="F27" i="22" s="1"/>
  <c r="P254" i="22"/>
  <c r="V254" i="22" s="1"/>
  <c r="B254" i="22" s="1"/>
  <c r="P234" i="22"/>
  <c r="V234" i="22" s="1"/>
  <c r="B234" i="22" s="1"/>
  <c r="D234" i="22" s="1"/>
  <c r="E234" i="22" s="1"/>
  <c r="F234" i="22" s="1"/>
  <c r="P346" i="22"/>
  <c r="V346" i="22" s="1"/>
  <c r="B346" i="22" s="1"/>
  <c r="P210" i="22"/>
  <c r="AH38" i="7" s="1"/>
  <c r="P286" i="22"/>
  <c r="V286" i="22" s="1"/>
  <c r="B286" i="22" s="1"/>
  <c r="P73" i="22"/>
  <c r="V73" i="22" s="1"/>
  <c r="B73" i="22" s="1"/>
  <c r="D73" i="22" s="1"/>
  <c r="E73" i="22" s="1"/>
  <c r="F73" i="22" s="1"/>
  <c r="P184" i="22"/>
  <c r="V184" i="22" s="1"/>
  <c r="B184" i="22" s="1"/>
  <c r="P304" i="22"/>
  <c r="V304" i="22" s="1"/>
  <c r="B304" i="22" s="1"/>
  <c r="D304" i="22" s="1"/>
  <c r="E304" i="22" s="1"/>
  <c r="F304" i="22" s="1"/>
  <c r="P170" i="22"/>
  <c r="V170" i="22" s="1"/>
  <c r="B170" i="22" s="1"/>
  <c r="P204" i="22"/>
  <c r="V204" i="22" s="1"/>
  <c r="B204" i="22" s="1"/>
  <c r="W204" i="22" s="1"/>
  <c r="P39" i="22"/>
  <c r="V39" i="22" s="1"/>
  <c r="B39" i="22" s="1"/>
  <c r="P150" i="22"/>
  <c r="V150" i="22" s="1"/>
  <c r="B150" i="22" s="1"/>
  <c r="D150" i="22" s="1"/>
  <c r="E150" i="22" s="1"/>
  <c r="F150" i="22" s="1"/>
  <c r="P306" i="22"/>
  <c r="V306" i="22" s="1"/>
  <c r="B306" i="22" s="1"/>
  <c r="P83" i="22"/>
  <c r="V83" i="22" s="1"/>
  <c r="B83" i="22" s="1"/>
  <c r="W83" i="22" s="1"/>
  <c r="P126" i="22"/>
  <c r="V126" i="22" s="1"/>
  <c r="B126" i="22" s="1"/>
  <c r="P125" i="22"/>
  <c r="V125" i="22" s="1"/>
  <c r="B125" i="22" s="1"/>
  <c r="W125" i="22" s="1"/>
  <c r="P261" i="22"/>
  <c r="V261" i="22" s="1"/>
  <c r="B261" i="22" s="1"/>
  <c r="P22" i="22"/>
  <c r="V22" i="22" s="1"/>
  <c r="B22" i="22" s="1"/>
  <c r="W22" i="22" s="1"/>
  <c r="P212" i="22"/>
  <c r="V212" i="22" s="1"/>
  <c r="B212" i="22" s="1"/>
  <c r="P296" i="22"/>
  <c r="V296" i="22" s="1"/>
  <c r="B296" i="22" s="1"/>
  <c r="W296" i="22" s="1"/>
  <c r="P138" i="22"/>
  <c r="V138" i="22" s="1"/>
  <c r="B138" i="22" s="1"/>
  <c r="P151" i="22"/>
  <c r="V151" i="22" s="1"/>
  <c r="B151" i="22" s="1"/>
  <c r="W151" i="22" s="1"/>
  <c r="P69" i="22"/>
  <c r="V69" i="22" s="1"/>
  <c r="B69" i="22" s="1"/>
  <c r="P145" i="22"/>
  <c r="V145" i="22" s="1"/>
  <c r="B145" i="22" s="1"/>
  <c r="W145" i="22" s="1"/>
  <c r="P77" i="22"/>
  <c r="V77" i="22" s="1"/>
  <c r="B77" i="22" s="1"/>
  <c r="P21" i="22"/>
  <c r="V21" i="22" s="1"/>
  <c r="B21" i="22" s="1"/>
  <c r="D21" i="22" s="1"/>
  <c r="E21" i="22" s="1"/>
  <c r="F21" i="22" s="1"/>
  <c r="P366" i="22"/>
  <c r="V366" i="22" s="1"/>
  <c r="B366" i="22" s="1"/>
  <c r="P253" i="22"/>
  <c r="V253" i="22" s="1"/>
  <c r="B253" i="22" s="1"/>
  <c r="D253" i="22" s="1"/>
  <c r="E253" i="22" s="1"/>
  <c r="F253" i="22" s="1"/>
  <c r="P220" i="22"/>
  <c r="V220" i="22" s="1"/>
  <c r="B220" i="22" s="1"/>
  <c r="P130" i="22"/>
  <c r="V130" i="22" s="1"/>
  <c r="B130" i="22" s="1"/>
  <c r="D130" i="22" s="1"/>
  <c r="E130" i="22" s="1"/>
  <c r="F130" i="22" s="1"/>
  <c r="P350" i="22"/>
  <c r="V350" i="22" s="1"/>
  <c r="B350" i="22" s="1"/>
  <c r="P181" i="22"/>
  <c r="V181" i="22" s="1"/>
  <c r="B181" i="22" s="1"/>
  <c r="W181" i="22" s="1"/>
  <c r="P203" i="22"/>
  <c r="V203" i="22" s="1"/>
  <c r="B203" i="22" s="1"/>
  <c r="P349" i="22"/>
  <c r="V349" i="22" s="1"/>
  <c r="B349" i="22" s="1"/>
  <c r="W349" i="22" s="1"/>
  <c r="P84" i="22"/>
  <c r="V84" i="22" s="1"/>
  <c r="B84" i="22" s="1"/>
  <c r="P368" i="22"/>
  <c r="V368" i="22" s="1"/>
  <c r="B368" i="22" s="1"/>
  <c r="W368" i="22" s="1"/>
  <c r="P190" i="22"/>
  <c r="V190" i="22" s="1"/>
  <c r="B190" i="22" s="1"/>
  <c r="P318" i="22"/>
  <c r="V318" i="22" s="1"/>
  <c r="B318" i="22" s="1"/>
  <c r="D318" i="22" s="1"/>
  <c r="E318" i="22" s="1"/>
  <c r="F318" i="22" s="1"/>
  <c r="P154" i="22"/>
  <c r="V154" i="22" s="1"/>
  <c r="B154" i="22" s="1"/>
  <c r="P65" i="22"/>
  <c r="V65" i="22" s="1"/>
  <c r="B65" i="22" s="1"/>
  <c r="D65" i="22" s="1"/>
  <c r="E65" i="22" s="1"/>
  <c r="F65" i="22" s="1"/>
  <c r="P160" i="22"/>
  <c r="V160" i="22" s="1"/>
  <c r="B160" i="22" s="1"/>
  <c r="P277" i="22"/>
  <c r="V277" i="22" s="1"/>
  <c r="B277" i="22" s="1"/>
  <c r="D277" i="22" s="1"/>
  <c r="E277" i="22" s="1"/>
  <c r="F277" i="22" s="1"/>
  <c r="P326" i="22"/>
  <c r="V326" i="22" s="1"/>
  <c r="B326" i="22" s="1"/>
  <c r="P283" i="22"/>
  <c r="V283" i="22" s="1"/>
  <c r="B283" i="22" s="1"/>
  <c r="D283" i="22" s="1"/>
  <c r="E283" i="22" s="1"/>
  <c r="F283" i="22" s="1"/>
  <c r="P98" i="22"/>
  <c r="V98" i="22" s="1"/>
  <c r="B98" i="22" s="1"/>
  <c r="P331" i="22"/>
  <c r="V331" i="22" s="1"/>
  <c r="B331" i="22" s="1"/>
  <c r="W331" i="22" s="1"/>
  <c r="P278" i="22"/>
  <c r="V278" i="22" s="1"/>
  <c r="B278" i="22" s="1"/>
  <c r="P191" i="22"/>
  <c r="V191" i="22" s="1"/>
  <c r="B191" i="22" s="1"/>
  <c r="W191" i="22" s="1"/>
  <c r="P37" i="22"/>
  <c r="V37" i="22" s="1"/>
  <c r="B37" i="22" s="1"/>
  <c r="P202" i="22"/>
  <c r="V202" i="22" s="1"/>
  <c r="B202" i="22" s="1"/>
  <c r="W202" i="22" s="1"/>
  <c r="P245" i="22"/>
  <c r="V245" i="22" s="1"/>
  <c r="B245" i="22" s="1"/>
  <c r="P47" i="22"/>
  <c r="V47" i="22" s="1"/>
  <c r="B47" i="22" s="1"/>
  <c r="W47" i="22" s="1"/>
  <c r="P315" i="22"/>
  <c r="V315" i="22" s="1"/>
  <c r="B315" i="22" s="1"/>
  <c r="P116" i="22"/>
  <c r="V116" i="22" s="1"/>
  <c r="B116" i="22" s="1"/>
  <c r="D116" i="22" s="1"/>
  <c r="E116" i="22" s="1"/>
  <c r="F116" i="22" s="1"/>
  <c r="P250" i="22"/>
  <c r="V250" i="22" s="1"/>
  <c r="B250" i="22" s="1"/>
  <c r="P375" i="22"/>
  <c r="V375" i="22" s="1"/>
  <c r="B375" i="22" s="1"/>
  <c r="D375" i="22" s="1"/>
  <c r="E375" i="22" s="1"/>
  <c r="F375" i="22" s="1"/>
  <c r="P200" i="22"/>
  <c r="V200" i="22" s="1"/>
  <c r="B200" i="22" s="1"/>
  <c r="P218" i="22"/>
  <c r="V218" i="22" s="1"/>
  <c r="B218" i="22" s="1"/>
  <c r="D218" i="22" s="1"/>
  <c r="E218" i="22" s="1"/>
  <c r="F218" i="22" s="1"/>
  <c r="P88" i="22"/>
  <c r="P122" i="22"/>
  <c r="V122" i="22" s="1"/>
  <c r="B122" i="22" s="1"/>
  <c r="W122" i="22" s="1"/>
  <c r="P280" i="22"/>
  <c r="V280" i="22" s="1"/>
  <c r="B280" i="22" s="1"/>
  <c r="P247" i="22"/>
  <c r="V247" i="22" s="1"/>
  <c r="B247" i="22" s="1"/>
  <c r="D247" i="22" s="1"/>
  <c r="E247" i="22" s="1"/>
  <c r="F247" i="22" s="1"/>
  <c r="P64" i="22"/>
  <c r="V64" i="22" s="1"/>
  <c r="B64" i="22" s="1"/>
  <c r="P227" i="22"/>
  <c r="V227" i="22" s="1"/>
  <c r="B227" i="22" s="1"/>
  <c r="W227" i="22" s="1"/>
  <c r="P246" i="22"/>
  <c r="V246" i="22" s="1"/>
  <c r="B246" i="22" s="1"/>
  <c r="P68" i="22"/>
  <c r="V68" i="22" s="1"/>
  <c r="B68" i="22" s="1"/>
  <c r="W68" i="22" s="1"/>
  <c r="P66" i="22"/>
  <c r="V66" i="22" s="1"/>
  <c r="B66" i="22" s="1"/>
  <c r="P198" i="22"/>
  <c r="V198" i="22" s="1"/>
  <c r="B198" i="22" s="1"/>
  <c r="W198" i="22" s="1"/>
  <c r="P175" i="22"/>
  <c r="V175" i="22" s="1"/>
  <c r="B175" i="22" s="1"/>
  <c r="P196" i="22"/>
  <c r="V196" i="22" s="1"/>
  <c r="B196" i="22" s="1"/>
  <c r="W196" i="22" s="1"/>
  <c r="P169" i="22"/>
  <c r="V169" i="22" s="1"/>
  <c r="B169" i="22" s="1"/>
  <c r="U383" i="22"/>
  <c r="P54" i="22"/>
  <c r="V54" i="22" s="1"/>
  <c r="B54" i="22" s="1"/>
  <c r="P29" i="22"/>
  <c r="V29" i="22" s="1"/>
  <c r="B29" i="22" s="1"/>
  <c r="P230" i="22"/>
  <c r="V230" i="22" s="1"/>
  <c r="B230" i="22" s="1"/>
  <c r="P41" i="22"/>
  <c r="V41" i="22" s="1"/>
  <c r="B41" i="22" s="1"/>
  <c r="D41" i="22" s="1"/>
  <c r="E41" i="22" s="1"/>
  <c r="F41" i="22" s="1"/>
  <c r="H53" i="20"/>
  <c r="J53" i="20" s="1"/>
  <c r="P225" i="22"/>
  <c r="V225" i="22" s="1"/>
  <c r="B225" i="22" s="1"/>
  <c r="W225" i="22" s="1"/>
  <c r="P209" i="22"/>
  <c r="V209" i="22" s="1"/>
  <c r="B209" i="22" s="1"/>
  <c r="W209" i="22" s="1"/>
  <c r="P34" i="22"/>
  <c r="V34" i="22" s="1"/>
  <c r="B34" i="22" s="1"/>
  <c r="W34" i="22" s="1"/>
  <c r="P132" i="22"/>
  <c r="V132" i="22" s="1"/>
  <c r="B132" i="22" s="1"/>
  <c r="D132" i="22" s="1"/>
  <c r="E132" i="22" s="1"/>
  <c r="F132" i="22" s="1"/>
  <c r="P139" i="22"/>
  <c r="V139" i="22" s="1"/>
  <c r="B139" i="22" s="1"/>
  <c r="W139" i="22" s="1"/>
  <c r="P285" i="22"/>
  <c r="V285" i="22" s="1"/>
  <c r="B285" i="22" s="1"/>
  <c r="W285" i="22" s="1"/>
  <c r="P135" i="22"/>
  <c r="V135" i="22" s="1"/>
  <c r="B135" i="22" s="1"/>
  <c r="W135" i="22" s="1"/>
  <c r="P161" i="22"/>
  <c r="V161" i="22" s="1"/>
  <c r="B161" i="22" s="1"/>
  <c r="W161" i="22" s="1"/>
  <c r="P162" i="22"/>
  <c r="V162" i="22" s="1"/>
  <c r="B162" i="22" s="1"/>
  <c r="D162" i="22" s="1"/>
  <c r="E162" i="22" s="1"/>
  <c r="F162" i="22" s="1"/>
  <c r="P264" i="22"/>
  <c r="V264" i="22" s="1"/>
  <c r="B264" i="22" s="1"/>
  <c r="D264" i="22" s="1"/>
  <c r="E264" i="22" s="1"/>
  <c r="F264" i="22" s="1"/>
  <c r="P32" i="22"/>
  <c r="V32" i="22" s="1"/>
  <c r="B32" i="22" s="1"/>
  <c r="W32" i="22" s="1"/>
  <c r="P30" i="22"/>
  <c r="V30" i="22" s="1"/>
  <c r="B30" i="22" s="1"/>
  <c r="D30" i="22" s="1"/>
  <c r="E30" i="22" s="1"/>
  <c r="F30" i="22" s="1"/>
  <c r="P301" i="22"/>
  <c r="V301" i="22" s="1"/>
  <c r="B301" i="22" s="1"/>
  <c r="D301" i="22" s="1"/>
  <c r="E301" i="22" s="1"/>
  <c r="F301" i="22" s="1"/>
  <c r="P180" i="22"/>
  <c r="P75" i="22"/>
  <c r="V75" i="22" s="1"/>
  <c r="B75" i="22" s="1"/>
  <c r="D75" i="22" s="1"/>
  <c r="E75" i="22" s="1"/>
  <c r="F75" i="22" s="1"/>
  <c r="P303" i="22"/>
  <c r="V303" i="22" s="1"/>
  <c r="B303" i="22" s="1"/>
  <c r="D303" i="22" s="1"/>
  <c r="E303" i="22" s="1"/>
  <c r="F303" i="22" s="1"/>
  <c r="P373" i="22"/>
  <c r="V373" i="22" s="1"/>
  <c r="B373" i="22" s="1"/>
  <c r="W373" i="22" s="1"/>
  <c r="P335" i="22"/>
  <c r="V335" i="22" s="1"/>
  <c r="B335" i="22" s="1"/>
  <c r="W335" i="22" s="1"/>
  <c r="P163" i="22"/>
  <c r="V163" i="22" s="1"/>
  <c r="B163" i="22" s="1"/>
  <c r="W163" i="22" s="1"/>
  <c r="P293" i="22"/>
  <c r="V293" i="22" s="1"/>
  <c r="B293" i="22" s="1"/>
  <c r="D293" i="22" s="1"/>
  <c r="E293" i="22" s="1"/>
  <c r="F293" i="22" s="1"/>
  <c r="P141" i="22"/>
  <c r="V141" i="22" s="1"/>
  <c r="B141" i="22" s="1"/>
  <c r="W141" i="22" s="1"/>
  <c r="P142" i="22"/>
  <c r="V142" i="22" s="1"/>
  <c r="B142" i="22" s="1"/>
  <c r="D142" i="22" s="1"/>
  <c r="E142" i="22" s="1"/>
  <c r="F142" i="22" s="1"/>
  <c r="P327" i="22"/>
  <c r="V327" i="22" s="1"/>
  <c r="B327" i="22" s="1"/>
  <c r="D327" i="22" s="1"/>
  <c r="E327" i="22" s="1"/>
  <c r="F327" i="22" s="1"/>
  <c r="P113" i="22"/>
  <c r="V113" i="22" s="1"/>
  <c r="B113" i="22" s="1"/>
  <c r="D113" i="22" s="1"/>
  <c r="E113" i="22" s="1"/>
  <c r="F113" i="22" s="1"/>
  <c r="P229" i="22"/>
  <c r="V229" i="22" s="1"/>
  <c r="B229" i="22" s="1"/>
  <c r="D229" i="22" s="1"/>
  <c r="E229" i="22" s="1"/>
  <c r="F229" i="22" s="1"/>
  <c r="P18" i="22"/>
  <c r="V18" i="22" s="1"/>
  <c r="B18" i="22" s="1"/>
  <c r="W18" i="22" s="1"/>
  <c r="P205" i="22"/>
  <c r="V205" i="22" s="1"/>
  <c r="B205" i="22" s="1"/>
  <c r="D205" i="22" s="1"/>
  <c r="E205" i="22" s="1"/>
  <c r="F205" i="22" s="1"/>
  <c r="P347" i="22"/>
  <c r="V347" i="22" s="1"/>
  <c r="B347" i="22" s="1"/>
  <c r="D347" i="22" s="1"/>
  <c r="E347" i="22" s="1"/>
  <c r="F347" i="22" s="1"/>
  <c r="P166" i="22"/>
  <c r="V166" i="22" s="1"/>
  <c r="B166" i="22" s="1"/>
  <c r="D166" i="22" s="1"/>
  <c r="E166" i="22" s="1"/>
  <c r="F166" i="22" s="1"/>
  <c r="P193" i="22"/>
  <c r="V193" i="22" s="1"/>
  <c r="B193" i="22" s="1"/>
  <c r="W193" i="22" s="1"/>
  <c r="P96" i="22"/>
  <c r="V96" i="22" s="1"/>
  <c r="B96" i="22" s="1"/>
  <c r="W96" i="22" s="1"/>
  <c r="P221" i="22"/>
  <c r="V221" i="22" s="1"/>
  <c r="B221" i="22" s="1"/>
  <c r="W221" i="22" s="1"/>
  <c r="P344" i="22"/>
  <c r="V344" i="22" s="1"/>
  <c r="B344" i="22" s="1"/>
  <c r="D344" i="22" s="1"/>
  <c r="E344" i="22" s="1"/>
  <c r="F344" i="22" s="1"/>
  <c r="U382" i="22"/>
  <c r="P128" i="22"/>
  <c r="V128" i="22" s="1"/>
  <c r="B128" i="22" s="1"/>
  <c r="W128" i="22" s="1"/>
  <c r="P325" i="22"/>
  <c r="V325" i="22" s="1"/>
  <c r="B325" i="22" s="1"/>
  <c r="D325" i="22" s="1"/>
  <c r="E325" i="22" s="1"/>
  <c r="F325" i="22" s="1"/>
  <c r="P360" i="22"/>
  <c r="V360" i="22" s="1"/>
  <c r="B360" i="22" s="1"/>
  <c r="W360" i="22" s="1"/>
  <c r="P110" i="22"/>
  <c r="V110" i="22" s="1"/>
  <c r="B110" i="22" s="1"/>
  <c r="W110" i="22" s="1"/>
  <c r="P252" i="22"/>
  <c r="V252" i="22" s="1"/>
  <c r="B252" i="22" s="1"/>
  <c r="W252" i="22" s="1"/>
  <c r="P359" i="22"/>
  <c r="V359" i="22" s="1"/>
  <c r="B359" i="22" s="1"/>
  <c r="D359" i="22" s="1"/>
  <c r="E359" i="22" s="1"/>
  <c r="F359" i="22" s="1"/>
  <c r="P48" i="22"/>
  <c r="V48" i="22" s="1"/>
  <c r="B48" i="22" s="1"/>
  <c r="D48" i="22" s="1"/>
  <c r="E48" i="22" s="1"/>
  <c r="F48" i="22" s="1"/>
  <c r="P94" i="22"/>
  <c r="V94" i="22" s="1"/>
  <c r="B94" i="22" s="1"/>
  <c r="D94" i="22" s="1"/>
  <c r="E94" i="22" s="1"/>
  <c r="F94" i="22" s="1"/>
  <c r="P140" i="22"/>
  <c r="V140" i="22" s="1"/>
  <c r="B140" i="22" s="1"/>
  <c r="D140" i="22" s="1"/>
  <c r="E140" i="22" s="1"/>
  <c r="F140" i="22" s="1"/>
  <c r="P177" i="22"/>
  <c r="V177" i="22" s="1"/>
  <c r="B177" i="22" s="1"/>
  <c r="W177" i="22" s="1"/>
  <c r="P336" i="22"/>
  <c r="V336" i="22" s="1"/>
  <c r="B336" i="22" s="1"/>
  <c r="W336" i="22" s="1"/>
  <c r="P228" i="22"/>
  <c r="V228" i="22" s="1"/>
  <c r="B228" i="22" s="1"/>
  <c r="D228" i="22" s="1"/>
  <c r="E228" i="22" s="1"/>
  <c r="F228" i="22" s="1"/>
  <c r="P90" i="22"/>
  <c r="V90" i="22" s="1"/>
  <c r="B90" i="22" s="1"/>
  <c r="W90" i="22" s="1"/>
  <c r="P52" i="22"/>
  <c r="V52" i="22" s="1"/>
  <c r="B52" i="22" s="1"/>
  <c r="D52" i="22" s="1"/>
  <c r="E52" i="22" s="1"/>
  <c r="F52" i="22" s="1"/>
  <c r="P104" i="22"/>
  <c r="V104" i="22" s="1"/>
  <c r="B104" i="22" s="1"/>
  <c r="D104" i="22" s="1"/>
  <c r="E104" i="22" s="1"/>
  <c r="F104" i="22" s="1"/>
  <c r="P219" i="22"/>
  <c r="V219" i="22" s="1"/>
  <c r="B219" i="22" s="1"/>
  <c r="D219" i="22" s="1"/>
  <c r="E219" i="22" s="1"/>
  <c r="F219" i="22" s="1"/>
  <c r="P226" i="22"/>
  <c r="V226" i="22" s="1"/>
  <c r="B226" i="22" s="1"/>
  <c r="D226" i="22" s="1"/>
  <c r="E226" i="22" s="1"/>
  <c r="F226" i="22" s="1"/>
  <c r="P26" i="22"/>
  <c r="V26" i="22" s="1"/>
  <c r="B26" i="22" s="1"/>
  <c r="D26" i="22" s="1"/>
  <c r="E26" i="22" s="1"/>
  <c r="F26" i="22" s="1"/>
  <c r="P131" i="22"/>
  <c r="V131" i="22" s="1"/>
  <c r="B131" i="22" s="1"/>
  <c r="D131" i="22" s="1"/>
  <c r="E131" i="22" s="1"/>
  <c r="F131" i="22" s="1"/>
  <c r="P85" i="22"/>
  <c r="V85" i="22" s="1"/>
  <c r="B85" i="22" s="1"/>
  <c r="D85" i="22" s="1"/>
  <c r="E85" i="22" s="1"/>
  <c r="F85" i="22" s="1"/>
  <c r="U381" i="22"/>
  <c r="P371" i="22"/>
  <c r="V371" i="22" s="1"/>
  <c r="B371" i="22" s="1"/>
  <c r="D371" i="22" s="1"/>
  <c r="E371" i="22" s="1"/>
  <c r="F371" i="22" s="1"/>
  <c r="P233" i="22"/>
  <c r="V233" i="22" s="1"/>
  <c r="B233" i="22" s="1"/>
  <c r="D233" i="22" s="1"/>
  <c r="E233" i="22" s="1"/>
  <c r="F233" i="22" s="1"/>
  <c r="P323" i="22"/>
  <c r="V323" i="22" s="1"/>
  <c r="B323" i="22" s="1"/>
  <c r="W323" i="22" s="1"/>
  <c r="P248" i="22"/>
  <c r="V248" i="22" s="1"/>
  <c r="B248" i="22" s="1"/>
  <c r="W248" i="22" s="1"/>
  <c r="P38" i="22"/>
  <c r="V38" i="22" s="1"/>
  <c r="B38" i="22" s="1"/>
  <c r="D38" i="22" s="1"/>
  <c r="E38" i="22" s="1"/>
  <c r="F38" i="22" s="1"/>
  <c r="P171" i="22"/>
  <c r="V171" i="22" s="1"/>
  <c r="B171" i="22" s="1"/>
  <c r="D171" i="22" s="1"/>
  <c r="E171" i="22" s="1"/>
  <c r="F171" i="22" s="1"/>
  <c r="P311" i="22"/>
  <c r="V311" i="22" s="1"/>
  <c r="B311" i="22" s="1"/>
  <c r="W311" i="22" s="1"/>
  <c r="H47" i="20"/>
  <c r="I47" i="20" s="1"/>
  <c r="AI11" i="23"/>
  <c r="AU16" i="7"/>
  <c r="C31" i="19"/>
  <c r="J38" i="19"/>
  <c r="G94" i="20"/>
  <c r="CB94" i="6" s="1"/>
  <c r="AA94" i="20"/>
  <c r="Z94" i="20" s="1"/>
  <c r="Y94" i="20" s="1"/>
  <c r="H94" i="20"/>
  <c r="I94" i="20" s="1"/>
  <c r="H62" i="20"/>
  <c r="J62" i="20" s="1"/>
  <c r="H266" i="20"/>
  <c r="J266" i="20" s="1"/>
  <c r="AE4" i="6"/>
  <c r="J291" i="20"/>
  <c r="J204" i="20"/>
  <c r="H269" i="20"/>
  <c r="J269" i="20" s="1"/>
  <c r="I83" i="20"/>
  <c r="H177" i="20"/>
  <c r="I177" i="20" s="1"/>
  <c r="Y4" i="6"/>
  <c r="AL4" i="6"/>
  <c r="AF4" i="6"/>
  <c r="Z4" i="6"/>
  <c r="AH4" i="6"/>
  <c r="T4" i="6"/>
  <c r="W74" i="22"/>
  <c r="M66" i="19"/>
  <c r="D14" i="19"/>
  <c r="G38" i="19"/>
  <c r="AI268" i="22"/>
  <c r="AH268" i="22" s="1"/>
  <c r="AI46" i="22"/>
  <c r="AH46" i="22" s="1"/>
  <c r="AI336" i="22"/>
  <c r="AH336" i="22" s="1"/>
  <c r="AI269" i="22"/>
  <c r="AH269" i="22" s="1"/>
  <c r="AI198" i="22"/>
  <c r="AH198" i="22" s="1"/>
  <c r="AI123" i="22"/>
  <c r="AH123" i="22" s="1"/>
  <c r="AI71" i="22"/>
  <c r="AH71" i="22" s="1"/>
  <c r="AI128" i="22"/>
  <c r="AH128" i="22" s="1"/>
  <c r="AI61" i="22"/>
  <c r="AH61" i="22" s="1"/>
  <c r="AI351" i="22"/>
  <c r="AH351" i="22" s="1"/>
  <c r="AI280" i="22"/>
  <c r="AH280" i="22" s="1"/>
  <c r="AI149" i="22"/>
  <c r="AH149" i="22" s="1"/>
  <c r="AI261" i="22"/>
  <c r="AH261" i="22" s="1"/>
  <c r="AI225" i="22"/>
  <c r="AH225" i="22" s="1"/>
  <c r="AI146" i="22"/>
  <c r="AH146" i="22" s="1"/>
  <c r="AI79" i="22"/>
  <c r="AH79" i="22" s="1"/>
  <c r="AI377" i="22"/>
  <c r="AH377" i="22" s="1"/>
  <c r="AI298" i="22"/>
  <c r="AH298" i="22" s="1"/>
  <c r="AI16" i="22"/>
  <c r="AH16" i="22" s="1"/>
  <c r="AI307" i="22"/>
  <c r="AH307" i="22" s="1"/>
  <c r="AI244" i="22"/>
  <c r="AH244" i="22" s="1"/>
  <c r="AI169" i="22"/>
  <c r="AH169" i="22" s="1"/>
  <c r="AI90" i="22"/>
  <c r="AH90" i="22" s="1"/>
  <c r="AI332" i="22"/>
  <c r="AH332" i="22" s="1"/>
  <c r="AI110" i="22"/>
  <c r="AH110" i="22" s="1"/>
  <c r="AI35" i="22"/>
  <c r="AH35" i="22" s="1"/>
  <c r="AI333" i="22"/>
  <c r="AH333" i="22" s="1"/>
  <c r="AI262" i="22"/>
  <c r="AH262" i="22" s="1"/>
  <c r="AI187" i="22"/>
  <c r="AH187" i="22" s="1"/>
  <c r="AI199" i="22"/>
  <c r="AH199" i="22" s="1"/>
  <c r="AI192" i="22"/>
  <c r="AH192" i="22" s="1"/>
  <c r="AI125" i="22"/>
  <c r="AH125" i="22" s="1"/>
  <c r="AI54" i="22"/>
  <c r="AH54" i="22" s="1"/>
  <c r="AI344" i="22"/>
  <c r="AH344" i="22" s="1"/>
  <c r="AI213" i="22"/>
  <c r="AH213" i="22" s="1"/>
  <c r="AI28" i="22"/>
  <c r="AH28" i="22" s="1"/>
  <c r="AI289" i="22"/>
  <c r="AH289" i="22" s="1"/>
  <c r="AI210" i="22"/>
  <c r="AH210" i="22" s="1"/>
  <c r="AI143" i="22"/>
  <c r="AH143" i="22" s="1"/>
  <c r="AI245" i="22"/>
  <c r="AH245" i="22" s="1"/>
  <c r="AI92" i="22"/>
  <c r="AH92" i="22" s="1"/>
  <c r="AI321" i="22"/>
  <c r="AH321" i="22" s="1"/>
  <c r="AI242" i="22"/>
  <c r="AH242" i="22" s="1"/>
  <c r="AI175" i="22"/>
  <c r="AH175" i="22" s="1"/>
  <c r="AI104" i="22"/>
  <c r="AH104" i="22" s="1"/>
  <c r="AI37" i="22"/>
  <c r="AH37" i="22" s="1"/>
  <c r="AI113" i="22"/>
  <c r="AH113" i="22" s="1"/>
  <c r="AI34" i="22"/>
  <c r="AH34" i="22" s="1"/>
  <c r="AI340" i="22"/>
  <c r="AH340" i="22" s="1"/>
  <c r="AI265" i="22"/>
  <c r="AH265" i="22" s="1"/>
  <c r="AI186" i="22"/>
  <c r="AH186" i="22" s="1"/>
  <c r="AI55" i="22"/>
  <c r="AH55" i="22" s="1"/>
  <c r="AI206" i="22"/>
  <c r="AH206" i="22" s="1"/>
  <c r="AI131" i="22"/>
  <c r="AH131" i="22" s="1"/>
  <c r="AI68" i="22"/>
  <c r="AH68" i="22" s="1"/>
  <c r="AI358" i="22"/>
  <c r="AH358" i="22" s="1"/>
  <c r="AI283" i="22"/>
  <c r="AH283" i="22" s="1"/>
  <c r="AI359" i="22"/>
  <c r="AH359" i="22" s="1"/>
  <c r="AI288" i="22"/>
  <c r="AH288" i="22" s="1"/>
  <c r="AI221" i="22"/>
  <c r="AH221" i="22" s="1"/>
  <c r="AI150" i="22"/>
  <c r="AH150" i="22" s="1"/>
  <c r="AI75" i="22"/>
  <c r="AH75" i="22" s="1"/>
  <c r="AI309" i="22"/>
  <c r="AH309" i="22" s="1"/>
  <c r="AI220" i="22"/>
  <c r="AH220" i="22" s="1"/>
  <c r="AI15" i="22"/>
  <c r="AI306" i="22"/>
  <c r="AH306" i="22" s="1"/>
  <c r="AI239" i="22"/>
  <c r="AH239" i="22" s="1"/>
  <c r="AI168" i="22"/>
  <c r="AH168" i="22" s="1"/>
  <c r="AI165" i="22"/>
  <c r="AH165" i="22" s="1"/>
  <c r="AI177" i="22"/>
  <c r="AH177" i="22" s="1"/>
  <c r="AI98" i="22"/>
  <c r="AH98" i="22" s="1"/>
  <c r="AI31" i="22"/>
  <c r="AH31" i="22" s="1"/>
  <c r="AI329" i="22"/>
  <c r="AH329" i="22" s="1"/>
  <c r="AI250" i="22"/>
  <c r="AH250" i="22" s="1"/>
  <c r="AI119" i="22"/>
  <c r="AH119" i="22" s="1"/>
  <c r="AI270" i="22"/>
  <c r="AH270" i="22" s="1"/>
  <c r="AI195" i="22"/>
  <c r="AH195" i="22" s="1"/>
  <c r="AI132" i="22"/>
  <c r="AH132" i="22" s="1"/>
  <c r="AI57" i="22"/>
  <c r="AH57" i="22" s="1"/>
  <c r="AI347" i="22"/>
  <c r="AH347" i="22" s="1"/>
  <c r="AI62" i="22"/>
  <c r="AH62" i="22" s="1"/>
  <c r="AI352" i="22"/>
  <c r="AH352" i="22" s="1"/>
  <c r="AI285" i="22"/>
  <c r="AH285" i="22" s="1"/>
  <c r="AI214" i="22"/>
  <c r="AH214" i="22" s="1"/>
  <c r="AI139" i="22"/>
  <c r="AH139" i="22" s="1"/>
  <c r="AI328" i="22"/>
  <c r="AH328" i="22" s="1"/>
  <c r="AI124" i="22"/>
  <c r="AH124" i="22" s="1"/>
  <c r="AI337" i="22"/>
  <c r="AH337" i="22" s="1"/>
  <c r="AI258" i="22"/>
  <c r="AH258" i="22" s="1"/>
  <c r="AI191" i="22"/>
  <c r="AH191" i="22" s="1"/>
  <c r="AI120" i="22"/>
  <c r="AH120" i="22" s="1"/>
  <c r="AI373" i="22"/>
  <c r="AH373" i="22" s="1"/>
  <c r="AI348" i="22"/>
  <c r="AH348" i="22" s="1"/>
  <c r="AI80" i="22"/>
  <c r="AH80" i="22" s="1"/>
  <c r="AI370" i="22"/>
  <c r="AH370" i="22" s="1"/>
  <c r="AI303" i="22"/>
  <c r="AH303" i="22" s="1"/>
  <c r="AI232" i="22"/>
  <c r="AH232" i="22" s="1"/>
  <c r="AI293" i="22"/>
  <c r="AH293" i="22" s="1"/>
  <c r="AI241" i="22"/>
  <c r="AH241" i="22" s="1"/>
  <c r="AI162" i="22"/>
  <c r="AH162" i="22" s="1"/>
  <c r="AI95" i="22"/>
  <c r="AH95" i="22" s="1"/>
  <c r="AI24" i="22"/>
  <c r="AH24" i="22" s="1"/>
  <c r="AI314" i="22"/>
  <c r="AH314" i="22" s="1"/>
  <c r="AI183" i="22"/>
  <c r="AH183" i="22" s="1"/>
  <c r="AI334" i="22"/>
  <c r="AH334" i="22" s="1"/>
  <c r="AI259" i="22"/>
  <c r="AH259" i="22" s="1"/>
  <c r="AI196" i="22"/>
  <c r="AH196" i="22" s="1"/>
  <c r="AI121" i="22"/>
  <c r="AH121" i="22" s="1"/>
  <c r="AI42" i="22"/>
  <c r="AH42" i="22" s="1"/>
  <c r="AI126" i="22"/>
  <c r="AH126" i="22" s="1"/>
  <c r="AI51" i="22"/>
  <c r="AH51" i="22" s="1"/>
  <c r="AI349" i="22"/>
  <c r="AH349" i="22" s="1"/>
  <c r="AI278" i="22"/>
  <c r="AH278" i="22" s="1"/>
  <c r="AI203" i="22"/>
  <c r="AH203" i="22" s="1"/>
  <c r="AI76" i="22"/>
  <c r="AH76" i="22" s="1"/>
  <c r="AI103" i="22"/>
  <c r="AH103" i="22" s="1"/>
  <c r="AI144" i="22"/>
  <c r="AH144" i="22" s="1"/>
  <c r="AI77" i="22"/>
  <c r="AH77" i="22" s="1"/>
  <c r="AI367" i="22"/>
  <c r="AH367" i="22" s="1"/>
  <c r="AI296" i="22"/>
  <c r="AH296" i="22" s="1"/>
  <c r="AI60" i="22"/>
  <c r="AH60" i="22" s="1"/>
  <c r="AI305" i="22"/>
  <c r="AH305" i="22" s="1"/>
  <c r="AI226" i="22"/>
  <c r="AH226" i="22" s="1"/>
  <c r="AI197" i="22"/>
  <c r="AH197" i="22" s="1"/>
  <c r="AI114" i="22"/>
  <c r="AH114" i="22" s="1"/>
  <c r="AI345" i="22"/>
  <c r="AH345" i="22" s="1"/>
  <c r="AI350" i="22"/>
  <c r="AH350" i="22" s="1"/>
  <c r="AI212" i="22"/>
  <c r="AH212" i="22" s="1"/>
  <c r="AI58" i="22"/>
  <c r="AH58" i="22" s="1"/>
  <c r="AI78" i="22"/>
  <c r="AH78" i="22" s="1"/>
  <c r="AI301" i="22"/>
  <c r="AH301" i="22" s="1"/>
  <c r="AI155" i="22"/>
  <c r="AH155" i="22" s="1"/>
  <c r="AI160" i="22"/>
  <c r="AH160" i="22" s="1"/>
  <c r="AI22" i="22"/>
  <c r="AH22" i="22" s="1"/>
  <c r="AI181" i="22"/>
  <c r="AH181" i="22" s="1"/>
  <c r="AI257" i="22"/>
  <c r="AH257" i="22" s="1"/>
  <c r="AI111" i="22"/>
  <c r="AH111" i="22" s="1"/>
  <c r="AI330" i="22"/>
  <c r="AH330" i="22" s="1"/>
  <c r="AI339" i="22"/>
  <c r="AH339" i="22" s="1"/>
  <c r="AI201" i="22"/>
  <c r="AH201" i="22" s="1"/>
  <c r="AI364" i="22"/>
  <c r="AH364" i="22" s="1"/>
  <c r="AI67" i="22"/>
  <c r="AH67" i="22" s="1"/>
  <c r="AI294" i="22"/>
  <c r="AH294" i="22" s="1"/>
  <c r="AI174" i="22"/>
  <c r="AH174" i="22" s="1"/>
  <c r="AI36" i="22"/>
  <c r="AH36" i="22" s="1"/>
  <c r="AI251" i="22"/>
  <c r="AH251" i="22" s="1"/>
  <c r="AI256" i="22"/>
  <c r="AH256" i="22" s="1"/>
  <c r="AI118" i="22"/>
  <c r="AH118" i="22" s="1"/>
  <c r="AI277" i="22"/>
  <c r="AH277" i="22" s="1"/>
  <c r="AI353" i="22"/>
  <c r="AH353" i="22" s="1"/>
  <c r="AI207" i="22"/>
  <c r="AH207" i="22" s="1"/>
  <c r="AI101" i="22"/>
  <c r="AH101" i="22" s="1"/>
  <c r="AI66" i="22"/>
  <c r="AH66" i="22" s="1"/>
  <c r="AI297" i="22"/>
  <c r="AH297" i="22" s="1"/>
  <c r="AI87" i="22"/>
  <c r="AH87" i="22" s="1"/>
  <c r="AI163" i="22"/>
  <c r="AH163" i="22" s="1"/>
  <c r="AI25" i="22"/>
  <c r="AH25" i="22" s="1"/>
  <c r="AI30" i="22"/>
  <c r="AH30" i="22" s="1"/>
  <c r="AI253" i="22"/>
  <c r="AH253" i="22" s="1"/>
  <c r="AI107" i="22"/>
  <c r="AH107" i="22" s="1"/>
  <c r="AI284" i="22"/>
  <c r="AH284" i="22" s="1"/>
  <c r="AI338" i="22"/>
  <c r="AH338" i="22" s="1"/>
  <c r="AI200" i="22"/>
  <c r="AH200" i="22" s="1"/>
  <c r="AI209" i="22"/>
  <c r="AH209" i="22" s="1"/>
  <c r="AI63" i="22"/>
  <c r="AH63" i="22" s="1"/>
  <c r="AI282" i="22"/>
  <c r="AH282" i="22" s="1"/>
  <c r="AI190" i="22"/>
  <c r="AH190" i="22" s="1"/>
  <c r="AI52" i="22"/>
  <c r="AH52" i="22" s="1"/>
  <c r="AI267" i="22"/>
  <c r="AH267" i="22" s="1"/>
  <c r="AI302" i="22"/>
  <c r="AH302" i="22" s="1"/>
  <c r="AI164" i="22"/>
  <c r="AH164" i="22" s="1"/>
  <c r="AI379" i="22"/>
  <c r="AI17" i="22"/>
  <c r="AH17" i="22" s="1"/>
  <c r="AI246" i="22"/>
  <c r="AH246" i="22" s="1"/>
  <c r="AI44" i="22"/>
  <c r="AH44" i="22" s="1"/>
  <c r="AI112" i="22"/>
  <c r="AH112" i="22" s="1"/>
  <c r="AI335" i="22"/>
  <c r="AH335" i="22" s="1"/>
  <c r="AI357" i="22"/>
  <c r="AH357" i="22" s="1"/>
  <c r="AI194" i="22"/>
  <c r="AH194" i="22" s="1"/>
  <c r="AI56" i="22"/>
  <c r="AH56" i="22" s="1"/>
  <c r="AI215" i="22"/>
  <c r="AH215" i="22" s="1"/>
  <c r="AI291" i="22"/>
  <c r="AH291" i="22" s="1"/>
  <c r="AI153" i="22"/>
  <c r="AH153" i="22" s="1"/>
  <c r="AI158" i="22"/>
  <c r="AH158" i="22" s="1"/>
  <c r="AI20" i="22"/>
  <c r="AH20" i="22" s="1"/>
  <c r="AI310" i="22"/>
  <c r="AH310" i="22" s="1"/>
  <c r="AI235" i="22"/>
  <c r="AH235" i="22" s="1"/>
  <c r="AI108" i="22"/>
  <c r="AH108" i="22" s="1"/>
  <c r="AI167" i="22"/>
  <c r="AH167" i="22" s="1"/>
  <c r="AI176" i="22"/>
  <c r="AH176" i="22" s="1"/>
  <c r="AI109" i="22"/>
  <c r="AH109" i="22" s="1"/>
  <c r="AI38" i="22"/>
  <c r="AH38" i="22" s="1"/>
  <c r="AI140" i="22"/>
  <c r="AH140" i="22" s="1"/>
  <c r="AI231" i="22"/>
  <c r="AH231" i="22" s="1"/>
  <c r="AI208" i="22"/>
  <c r="AH208" i="22" s="1"/>
  <c r="AI141" i="22"/>
  <c r="AH141" i="22" s="1"/>
  <c r="AI70" i="22"/>
  <c r="AH70" i="22" s="1"/>
  <c r="AI360" i="22"/>
  <c r="AH360" i="22" s="1"/>
  <c r="AI188" i="22"/>
  <c r="AH188" i="22" s="1"/>
  <c r="AI369" i="22"/>
  <c r="AH369" i="22" s="1"/>
  <c r="AI290" i="22"/>
  <c r="AH290" i="22" s="1"/>
  <c r="AI223" i="22"/>
  <c r="AH223" i="22" s="1"/>
  <c r="AI152" i="22"/>
  <c r="AH152" i="22" s="1"/>
  <c r="AI21" i="22"/>
  <c r="AH21" i="22" s="1"/>
  <c r="AI311" i="22"/>
  <c r="AH311" i="22" s="1"/>
  <c r="AI97" i="22"/>
  <c r="AH97" i="22" s="1"/>
  <c r="AI19" i="22"/>
  <c r="AH19" i="22" s="1"/>
  <c r="AI324" i="22"/>
  <c r="AH324" i="22" s="1"/>
  <c r="AI249" i="22"/>
  <c r="AH249" i="22" s="1"/>
  <c r="AI170" i="22"/>
  <c r="AH170" i="22" s="1"/>
  <c r="AI254" i="22"/>
  <c r="AH254" i="22" s="1"/>
  <c r="AI179" i="22"/>
  <c r="AH179" i="22" s="1"/>
  <c r="AI116" i="22"/>
  <c r="AH116" i="22" s="1"/>
  <c r="AI41" i="22"/>
  <c r="AH41" i="22" s="1"/>
  <c r="AI331" i="22"/>
  <c r="AH331" i="22" s="1"/>
  <c r="AI204" i="22"/>
  <c r="AH204" i="22" s="1"/>
  <c r="AI343" i="22"/>
  <c r="AH343" i="22" s="1"/>
  <c r="AI272" i="22"/>
  <c r="AH272" i="22" s="1"/>
  <c r="AI205" i="22"/>
  <c r="AH205" i="22" s="1"/>
  <c r="AI134" i="22"/>
  <c r="AH134" i="22" s="1"/>
  <c r="AI59" i="22"/>
  <c r="AH59" i="22" s="1"/>
  <c r="AI316" i="22"/>
  <c r="AH316" i="22" s="1"/>
  <c r="AI64" i="22"/>
  <c r="AH64" i="22" s="1"/>
  <c r="AI354" i="22"/>
  <c r="AH354" i="22" s="1"/>
  <c r="AI287" i="22"/>
  <c r="AH287" i="22" s="1"/>
  <c r="AI216" i="22"/>
  <c r="AH216" i="22" s="1"/>
  <c r="AI85" i="22"/>
  <c r="AH85" i="22" s="1"/>
  <c r="AI133" i="22"/>
  <c r="AH133" i="22" s="1"/>
  <c r="AI161" i="22"/>
  <c r="AH161" i="22" s="1"/>
  <c r="AI82" i="22"/>
  <c r="AH82" i="22" s="1"/>
  <c r="AI18" i="22"/>
  <c r="AH18" i="22" s="1"/>
  <c r="AI313" i="22"/>
  <c r="AH313" i="22" s="1"/>
  <c r="AI234" i="22"/>
  <c r="AH234" i="22" s="1"/>
  <c r="AI318" i="22"/>
  <c r="AH318" i="22" s="1"/>
  <c r="AI243" i="22"/>
  <c r="AH243" i="22" s="1"/>
  <c r="AI180" i="22"/>
  <c r="AH180" i="22" s="1"/>
  <c r="AI105" i="22"/>
  <c r="AH105" i="22" s="1"/>
  <c r="AI26" i="22"/>
  <c r="AH26" i="22" s="1"/>
  <c r="AI219" i="22"/>
  <c r="AH219" i="22" s="1"/>
  <c r="AI263" i="22"/>
  <c r="AH263" i="22" s="1"/>
  <c r="AI224" i="22"/>
  <c r="AH224" i="22" s="1"/>
  <c r="AI157" i="22"/>
  <c r="AH157" i="22" s="1"/>
  <c r="AI86" i="22"/>
  <c r="AH86" i="22" s="1"/>
  <c r="AI376" i="22"/>
  <c r="AH376" i="22" s="1"/>
  <c r="AI117" i="22"/>
  <c r="AH117" i="22" s="1"/>
  <c r="AI193" i="22"/>
  <c r="AH193" i="22" s="1"/>
  <c r="AI47" i="22"/>
  <c r="AH47" i="22" s="1"/>
  <c r="AI266" i="22"/>
  <c r="AH266" i="22" s="1"/>
  <c r="AI275" i="22"/>
  <c r="AH275" i="22" s="1"/>
  <c r="AI137" i="22"/>
  <c r="AH137" i="22" s="1"/>
  <c r="AI300" i="22"/>
  <c r="AH300" i="22" s="1"/>
  <c r="AI368" i="22"/>
  <c r="AH368" i="22" s="1"/>
  <c r="AI230" i="22"/>
  <c r="AH230" i="22" s="1"/>
  <c r="AI135" i="22"/>
  <c r="AH135" i="22" s="1"/>
  <c r="AI93" i="22"/>
  <c r="AH93" i="22" s="1"/>
  <c r="AI312" i="22"/>
  <c r="AH312" i="22" s="1"/>
  <c r="AI325" i="22"/>
  <c r="AH325" i="22" s="1"/>
  <c r="AI178" i="22"/>
  <c r="AH178" i="22" s="1"/>
  <c r="AI40" i="22"/>
  <c r="AH40" i="22" s="1"/>
  <c r="AI49" i="22"/>
  <c r="AH49" i="22" s="1"/>
  <c r="AI276" i="22"/>
  <c r="AH276" i="22" s="1"/>
  <c r="AI122" i="22"/>
  <c r="AH122" i="22" s="1"/>
  <c r="AI365" i="22"/>
  <c r="AH365" i="22" s="1"/>
  <c r="AI99" i="22"/>
  <c r="AH99" i="22" s="1"/>
  <c r="AI327" i="22"/>
  <c r="AH327" i="22" s="1"/>
  <c r="AI43" i="22"/>
  <c r="AH43" i="22" s="1"/>
  <c r="AI274" i="22"/>
  <c r="AH274" i="22" s="1"/>
  <c r="AI145" i="22"/>
  <c r="AH145" i="22" s="1"/>
  <c r="AI218" i="22"/>
  <c r="AH218" i="22" s="1"/>
  <c r="AI100" i="22"/>
  <c r="AH100" i="22" s="1"/>
  <c r="AI320" i="22"/>
  <c r="AH320" i="22" s="1"/>
  <c r="AI341" i="22"/>
  <c r="AH341" i="22" s="1"/>
  <c r="AI271" i="22"/>
  <c r="AH271" i="22" s="1"/>
  <c r="AI130" i="22"/>
  <c r="AH130" i="22" s="1"/>
  <c r="AI106" i="22"/>
  <c r="AH106" i="22" s="1"/>
  <c r="AI342" i="22"/>
  <c r="AH342" i="22" s="1"/>
  <c r="AI227" i="22"/>
  <c r="AH227" i="22" s="1"/>
  <c r="AI94" i="22"/>
  <c r="AH94" i="22" s="1"/>
  <c r="AI171" i="22"/>
  <c r="AH171" i="22" s="1"/>
  <c r="AI45" i="22"/>
  <c r="AH45" i="22" s="1"/>
  <c r="AI273" i="22"/>
  <c r="AH273" i="22" s="1"/>
  <c r="AI346" i="22"/>
  <c r="AH346" i="22" s="1"/>
  <c r="AI228" i="22"/>
  <c r="AH228" i="22" s="1"/>
  <c r="AI83" i="22"/>
  <c r="AH83" i="22" s="1"/>
  <c r="AI88" i="22"/>
  <c r="AH88" i="22" s="1"/>
  <c r="AI247" i="22"/>
  <c r="AH247" i="22" s="1"/>
  <c r="AI323" i="22"/>
  <c r="AH323" i="22" s="1"/>
  <c r="AI185" i="22"/>
  <c r="AH185" i="22" s="1"/>
  <c r="AI65" i="22"/>
  <c r="AH65" i="22" s="1"/>
  <c r="AI292" i="22"/>
  <c r="AH292" i="22" s="1"/>
  <c r="AI138" i="22"/>
  <c r="AH138" i="22" s="1"/>
  <c r="AI147" i="22"/>
  <c r="AH147" i="22" s="1"/>
  <c r="AI374" i="22"/>
  <c r="AH374" i="22" s="1"/>
  <c r="AI172" i="22"/>
  <c r="AH172" i="22" s="1"/>
  <c r="AI240" i="22"/>
  <c r="AH240" i="22" s="1"/>
  <c r="AI102" i="22"/>
  <c r="AH102" i="22" s="1"/>
  <c r="AI252" i="22"/>
  <c r="AH252" i="22" s="1"/>
  <c r="AI322" i="22"/>
  <c r="AH322" i="22" s="1"/>
  <c r="AI184" i="22"/>
  <c r="AH184" i="22" s="1"/>
  <c r="AI69" i="22"/>
  <c r="AH69" i="22" s="1"/>
  <c r="AI50" i="22"/>
  <c r="AH50" i="22" s="1"/>
  <c r="AI281" i="22"/>
  <c r="AH281" i="22" s="1"/>
  <c r="AI286" i="22"/>
  <c r="AH286" i="22" s="1"/>
  <c r="AI148" i="22"/>
  <c r="AH148" i="22" s="1"/>
  <c r="AI363" i="22"/>
  <c r="AH363" i="22" s="1"/>
  <c r="AI375" i="22"/>
  <c r="AH375" i="22" s="1"/>
  <c r="AI237" i="22"/>
  <c r="AH237" i="22" s="1"/>
  <c r="AI91" i="22"/>
  <c r="AH91" i="22" s="1"/>
  <c r="AI96" i="22"/>
  <c r="AH96" i="22" s="1"/>
  <c r="AI319" i="22"/>
  <c r="AH319" i="22" s="1"/>
  <c r="AI72" i="22"/>
  <c r="AH72" i="22" s="1"/>
  <c r="AI81" i="22"/>
  <c r="AH81" i="22" s="1"/>
  <c r="AI308" i="22"/>
  <c r="AH308" i="22" s="1"/>
  <c r="AI154" i="22"/>
  <c r="AH154" i="22" s="1"/>
  <c r="AI142" i="22"/>
  <c r="AH142" i="22" s="1"/>
  <c r="AI23" i="22"/>
  <c r="AH23" i="22" s="1"/>
  <c r="AI326" i="22"/>
  <c r="AH326" i="22" s="1"/>
  <c r="AI189" i="22"/>
  <c r="AH189" i="22" s="1"/>
  <c r="AI156" i="22"/>
  <c r="AH156" i="22" s="1"/>
  <c r="AI136" i="22"/>
  <c r="AH136" i="22" s="1"/>
  <c r="AI372" i="22"/>
  <c r="AH372" i="22" s="1"/>
  <c r="AI238" i="22"/>
  <c r="AH238" i="22" s="1"/>
  <c r="AI315" i="22"/>
  <c r="AH315" i="22" s="1"/>
  <c r="AI182" i="22"/>
  <c r="AH182" i="22" s="1"/>
  <c r="AI48" i="22"/>
  <c r="AH48" i="22" s="1"/>
  <c r="AI229" i="22"/>
  <c r="AH229" i="22" s="1"/>
  <c r="AI361" i="22"/>
  <c r="AH361" i="22" s="1"/>
  <c r="AI115" i="22"/>
  <c r="AH115" i="22" s="1"/>
  <c r="AI151" i="22"/>
  <c r="AH151" i="22" s="1"/>
  <c r="AI89" i="22"/>
  <c r="AH89" i="22" s="1"/>
  <c r="AI317" i="22"/>
  <c r="AH317" i="22" s="1"/>
  <c r="AI39" i="22"/>
  <c r="AH39" i="22" s="1"/>
  <c r="AI264" i="22"/>
  <c r="AH264" i="22" s="1"/>
  <c r="AI127" i="22"/>
  <c r="AH127" i="22" s="1"/>
  <c r="AI366" i="22"/>
  <c r="AH366" i="22" s="1"/>
  <c r="AI74" i="22"/>
  <c r="AH74" i="22" s="1"/>
  <c r="AI159" i="22"/>
  <c r="AH159" i="22" s="1"/>
  <c r="AI378" i="22"/>
  <c r="AH378" i="22" s="1"/>
  <c r="AI33" i="22"/>
  <c r="AH33" i="22" s="1"/>
  <c r="AI260" i="22"/>
  <c r="AH260" i="22" s="1"/>
  <c r="AI279" i="22"/>
  <c r="AH279" i="22" s="1"/>
  <c r="AI355" i="22"/>
  <c r="AH355" i="22" s="1"/>
  <c r="AI217" i="22"/>
  <c r="AH217" i="22" s="1"/>
  <c r="AI222" i="22"/>
  <c r="AH222" i="22" s="1"/>
  <c r="AI84" i="22"/>
  <c r="AH84" i="22" s="1"/>
  <c r="AI299" i="22"/>
  <c r="AH299" i="22" s="1"/>
  <c r="AI295" i="22"/>
  <c r="AH295" i="22" s="1"/>
  <c r="AI173" i="22"/>
  <c r="AH173" i="22" s="1"/>
  <c r="AI27" i="22"/>
  <c r="AH27" i="22" s="1"/>
  <c r="AI32" i="22"/>
  <c r="AH32" i="22" s="1"/>
  <c r="AI255" i="22"/>
  <c r="AH255" i="22" s="1"/>
  <c r="AI53" i="22"/>
  <c r="AH53" i="22" s="1"/>
  <c r="AI129" i="22"/>
  <c r="AH129" i="22" s="1"/>
  <c r="AI356" i="22"/>
  <c r="AH356" i="22" s="1"/>
  <c r="AI202" i="22"/>
  <c r="AH202" i="22" s="1"/>
  <c r="AI211" i="22"/>
  <c r="AH211" i="22" s="1"/>
  <c r="AI73" i="22"/>
  <c r="AH73" i="22" s="1"/>
  <c r="AI236" i="22"/>
  <c r="AH236" i="22" s="1"/>
  <c r="AI304" i="22"/>
  <c r="AH304" i="22" s="1"/>
  <c r="AI166" i="22"/>
  <c r="AH166" i="22" s="1"/>
  <c r="AI380" i="22"/>
  <c r="AH380" i="22" s="1"/>
  <c r="AI29" i="22"/>
  <c r="AH29" i="22" s="1"/>
  <c r="AI248" i="22"/>
  <c r="AH248" i="22" s="1"/>
  <c r="AI362" i="22"/>
  <c r="AH362" i="22" s="1"/>
  <c r="AI371" i="22"/>
  <c r="AH371" i="22" s="1"/>
  <c r="AI233" i="22"/>
  <c r="AH233" i="22" s="1"/>
  <c r="AG104" i="20"/>
  <c r="AH383" i="20"/>
  <c r="AH381" i="20"/>
  <c r="AH382" i="20"/>
  <c r="AK4" i="6"/>
  <c r="D351" i="22"/>
  <c r="E351" i="22" s="1"/>
  <c r="F351" i="22" s="1"/>
  <c r="W351" i="22"/>
  <c r="D43" i="22"/>
  <c r="E43" i="22" s="1"/>
  <c r="F43" i="22" s="1"/>
  <c r="W43" i="22"/>
  <c r="W222" i="22"/>
  <c r="D222" i="22"/>
  <c r="E222" i="22" s="1"/>
  <c r="F222" i="22" s="1"/>
  <c r="W371" i="22"/>
  <c r="W233" i="22"/>
  <c r="D146" i="22"/>
  <c r="E146" i="22" s="1"/>
  <c r="F146" i="22" s="1"/>
  <c r="W146" i="22"/>
  <c r="W17" i="22"/>
  <c r="D17" i="22"/>
  <c r="E17" i="22" s="1"/>
  <c r="F17" i="22" s="1"/>
  <c r="D143" i="22"/>
  <c r="E143" i="22" s="1"/>
  <c r="F143" i="22" s="1"/>
  <c r="W143" i="22"/>
  <c r="W124" i="22"/>
  <c r="D124" i="22"/>
  <c r="E124" i="22" s="1"/>
  <c r="F124" i="22" s="1"/>
  <c r="W345" i="22"/>
  <c r="D345" i="22"/>
  <c r="E345" i="22" s="1"/>
  <c r="F345" i="22" s="1"/>
  <c r="D240" i="22"/>
  <c r="E240" i="22" s="1"/>
  <c r="F240" i="22" s="1"/>
  <c r="W240" i="22"/>
  <c r="W38" i="22"/>
  <c r="W287" i="22"/>
  <c r="D287" i="22"/>
  <c r="E287" i="22" s="1"/>
  <c r="F287" i="22" s="1"/>
  <c r="W54" i="22"/>
  <c r="D54" i="22"/>
  <c r="E54" i="22" s="1"/>
  <c r="F54" i="22" s="1"/>
  <c r="D96" i="22"/>
  <c r="E96" i="22" s="1"/>
  <c r="F96" i="22" s="1"/>
  <c r="W35" i="22"/>
  <c r="D35" i="22"/>
  <c r="E35" i="22" s="1"/>
  <c r="F35" i="22" s="1"/>
  <c r="W281" i="22"/>
  <c r="D281" i="22"/>
  <c r="E281" i="22" s="1"/>
  <c r="F281" i="22" s="1"/>
  <c r="D53" i="22"/>
  <c r="E53" i="22" s="1"/>
  <c r="F53" i="22" s="1"/>
  <c r="W53" i="22"/>
  <c r="AH32" i="7"/>
  <c r="W274" i="22"/>
  <c r="D274" i="22"/>
  <c r="E274" i="22" s="1"/>
  <c r="F274" i="22" s="1"/>
  <c r="D111" i="22"/>
  <c r="E111" i="22" s="1"/>
  <c r="F111" i="22" s="1"/>
  <c r="W111" i="22"/>
  <c r="D221" i="22"/>
  <c r="E221" i="22" s="1"/>
  <c r="F221" i="22" s="1"/>
  <c r="W230" i="22"/>
  <c r="D230" i="22"/>
  <c r="E230" i="22" s="1"/>
  <c r="F230" i="22" s="1"/>
  <c r="D321" i="22"/>
  <c r="E321" i="22" s="1"/>
  <c r="F321" i="22" s="1"/>
  <c r="W321" i="22"/>
  <c r="W41" i="22"/>
  <c r="W344" i="22"/>
  <c r="W305" i="22"/>
  <c r="D305" i="22"/>
  <c r="E305" i="22" s="1"/>
  <c r="F305" i="22" s="1"/>
  <c r="Q4" i="6"/>
  <c r="H146" i="20"/>
  <c r="I146" i="20" s="1"/>
  <c r="D105" i="22"/>
  <c r="E105" i="22" s="1"/>
  <c r="F105" i="22" s="1"/>
  <c r="W105" i="22"/>
  <c r="W288" i="22"/>
  <c r="D288" i="22"/>
  <c r="E288" i="22" s="1"/>
  <c r="F288" i="22" s="1"/>
  <c r="G288" i="22" s="1"/>
  <c r="CC288" i="6" s="1"/>
  <c r="AJ4" i="6"/>
  <c r="I172" i="20"/>
  <c r="J172" i="20"/>
  <c r="I297" i="20"/>
  <c r="J297" i="20"/>
  <c r="J274" i="20"/>
  <c r="I274" i="20"/>
  <c r="J30" i="20"/>
  <c r="I30" i="20"/>
  <c r="I216" i="20"/>
  <c r="J216" i="20"/>
  <c r="I131" i="20"/>
  <c r="J131" i="20"/>
  <c r="J141" i="20"/>
  <c r="I141" i="20"/>
  <c r="AA29" i="20"/>
  <c r="Z29" i="20" s="1"/>
  <c r="Y29" i="20" s="1"/>
  <c r="G29" i="20"/>
  <c r="CB29" i="6" s="1"/>
  <c r="H29" i="20"/>
  <c r="AA363" i="20"/>
  <c r="Z363" i="20" s="1"/>
  <c r="Y363" i="20" s="1"/>
  <c r="G363" i="20"/>
  <c r="CB363" i="6" s="1"/>
  <c r="H363" i="20"/>
  <c r="G135" i="20"/>
  <c r="CB135" i="6" s="1"/>
  <c r="H135" i="20"/>
  <c r="AA135" i="20"/>
  <c r="Z135" i="20" s="1"/>
  <c r="Y135" i="20" s="1"/>
  <c r="J338" i="20"/>
  <c r="I338" i="20"/>
  <c r="J339" i="20"/>
  <c r="I339" i="20"/>
  <c r="H349" i="20"/>
  <c r="G349" i="20"/>
  <c r="CB349" i="6" s="1"/>
  <c r="AA349" i="20"/>
  <c r="Z349" i="20" s="1"/>
  <c r="Y349" i="20" s="1"/>
  <c r="J286" i="20"/>
  <c r="I286" i="20"/>
  <c r="J260" i="20"/>
  <c r="I260" i="20"/>
  <c r="I157" i="20"/>
  <c r="J157" i="20"/>
  <c r="J346" i="20"/>
  <c r="I346" i="20"/>
  <c r="J217" i="20"/>
  <c r="I217" i="20"/>
  <c r="I232" i="20"/>
  <c r="J232" i="20"/>
  <c r="G258" i="20"/>
  <c r="CB258" i="6" s="1"/>
  <c r="AA258" i="20"/>
  <c r="Z258" i="20" s="1"/>
  <c r="Y258" i="20" s="1"/>
  <c r="H258" i="20"/>
  <c r="J201" i="20"/>
  <c r="I201" i="20"/>
  <c r="J70" i="20"/>
  <c r="I70" i="20"/>
  <c r="G288" i="20"/>
  <c r="CB288" i="6" s="1"/>
  <c r="AA288" i="20"/>
  <c r="Z288" i="20" s="1"/>
  <c r="Y288" i="20" s="1"/>
  <c r="H288" i="20"/>
  <c r="J353" i="20"/>
  <c r="I353" i="20"/>
  <c r="J246" i="20"/>
  <c r="I246" i="20"/>
  <c r="I283" i="20"/>
  <c r="J283" i="20"/>
  <c r="J357" i="20"/>
  <c r="I357" i="20"/>
  <c r="I334" i="20"/>
  <c r="J334" i="20"/>
  <c r="J263" i="20"/>
  <c r="I263" i="20"/>
  <c r="I261" i="20"/>
  <c r="J261" i="20"/>
  <c r="I362" i="20"/>
  <c r="J362" i="20"/>
  <c r="J21" i="20"/>
  <c r="I21" i="20"/>
  <c r="I63" i="20"/>
  <c r="J63" i="20"/>
  <c r="I327" i="20"/>
  <c r="J327" i="20"/>
  <c r="J101" i="20"/>
  <c r="I101" i="20"/>
  <c r="J277" i="20"/>
  <c r="I277" i="20"/>
  <c r="I122" i="20"/>
  <c r="J122" i="20"/>
  <c r="I276" i="20"/>
  <c r="J276" i="20"/>
  <c r="I163" i="20"/>
  <c r="J163" i="20"/>
  <c r="J348" i="20"/>
  <c r="I348" i="20"/>
  <c r="I117" i="20"/>
  <c r="J117" i="20"/>
  <c r="J161" i="20"/>
  <c r="I161" i="20"/>
  <c r="J211" i="20"/>
  <c r="I211" i="20"/>
  <c r="J255" i="20"/>
  <c r="I255" i="20"/>
  <c r="J254" i="20"/>
  <c r="I254" i="20"/>
  <c r="I314" i="20"/>
  <c r="J314" i="20"/>
  <c r="I183" i="20"/>
  <c r="J183" i="20"/>
  <c r="I257" i="20"/>
  <c r="J257" i="20"/>
  <c r="J73" i="20"/>
  <c r="I73" i="20"/>
  <c r="J313" i="20"/>
  <c r="I313" i="20"/>
  <c r="G196" i="20"/>
  <c r="CB196" i="6" s="1"/>
  <c r="H196" i="20"/>
  <c r="AA196" i="20"/>
  <c r="Z196" i="20" s="1"/>
  <c r="Y196" i="20" s="1"/>
  <c r="J148" i="20"/>
  <c r="I148" i="20"/>
  <c r="G210" i="20"/>
  <c r="CB210" i="6" s="1"/>
  <c r="H210" i="20"/>
  <c r="AA210" i="20"/>
  <c r="Z210" i="20" s="1"/>
  <c r="Y210" i="20" s="1"/>
  <c r="J247" i="20"/>
  <c r="I247" i="20"/>
  <c r="G319" i="20"/>
  <c r="CB319" i="6" s="1"/>
  <c r="AA319" i="20"/>
  <c r="Z319" i="20" s="1"/>
  <c r="Y319" i="20" s="1"/>
  <c r="H319" i="20"/>
  <c r="I193" i="20"/>
  <c r="J193" i="20"/>
  <c r="J197" i="20"/>
  <c r="I197" i="20"/>
  <c r="I52" i="20"/>
  <c r="J52" i="20"/>
  <c r="I310" i="20"/>
  <c r="J310" i="20"/>
  <c r="I289" i="20"/>
  <c r="J289" i="20"/>
  <c r="J222" i="20"/>
  <c r="I222" i="20"/>
  <c r="J92" i="20"/>
  <c r="I92" i="20"/>
  <c r="I243" i="20"/>
  <c r="J243" i="20"/>
  <c r="J185" i="20"/>
  <c r="I185" i="20"/>
  <c r="I275" i="20"/>
  <c r="J275" i="20"/>
  <c r="I355" i="20"/>
  <c r="J355" i="20"/>
  <c r="G88" i="20"/>
  <c r="CB88" i="6" s="1"/>
  <c r="AA88" i="20"/>
  <c r="Z88" i="20" s="1"/>
  <c r="Y88" i="20" s="1"/>
  <c r="H88" i="20"/>
  <c r="J318" i="20"/>
  <c r="I318" i="20"/>
  <c r="D238" i="22"/>
  <c r="E238" i="22" s="1"/>
  <c r="F238" i="22" s="1"/>
  <c r="W238" i="22"/>
  <c r="W231" i="22"/>
  <c r="D231" i="22"/>
  <c r="E231" i="22" s="1"/>
  <c r="F231" i="22" s="1"/>
  <c r="W89" i="22"/>
  <c r="D89" i="22"/>
  <c r="E89" i="22" s="1"/>
  <c r="F89" i="22" s="1"/>
  <c r="D92" i="22"/>
  <c r="E92" i="22" s="1"/>
  <c r="F92" i="22" s="1"/>
  <c r="W92" i="22"/>
  <c r="W242" i="22"/>
  <c r="D242" i="22"/>
  <c r="E242" i="22" s="1"/>
  <c r="F242" i="22" s="1"/>
  <c r="B258" i="22"/>
  <c r="D108" i="22"/>
  <c r="E108" i="22" s="1"/>
  <c r="F108" i="22" s="1"/>
  <c r="W108" i="22"/>
  <c r="V60" i="22"/>
  <c r="AH33" i="7"/>
  <c r="W254" i="22"/>
  <c r="D254" i="22"/>
  <c r="E254" i="22" s="1"/>
  <c r="F254" i="22" s="1"/>
  <c r="W234" i="22"/>
  <c r="D346" i="22"/>
  <c r="E346" i="22" s="1"/>
  <c r="F346" i="22" s="1"/>
  <c r="W346" i="22"/>
  <c r="W257" i="22"/>
  <c r="D257" i="22"/>
  <c r="E257" i="22" s="1"/>
  <c r="F257" i="22" s="1"/>
  <c r="W107" i="22"/>
  <c r="D107" i="22"/>
  <c r="E107" i="22" s="1"/>
  <c r="F107" i="22" s="1"/>
  <c r="W28" i="22"/>
  <c r="D28" i="22"/>
  <c r="E28" i="22" s="1"/>
  <c r="F28" i="22" s="1"/>
  <c r="D216" i="22"/>
  <c r="E216" i="22" s="1"/>
  <c r="F216" i="22" s="1"/>
  <c r="W216" i="22"/>
  <c r="W292" i="22"/>
  <c r="D292" i="22"/>
  <c r="E292" i="22" s="1"/>
  <c r="F292" i="22" s="1"/>
  <c r="D134" i="22"/>
  <c r="E134" i="22" s="1"/>
  <c r="F134" i="22" s="1"/>
  <c r="W134" i="22"/>
  <c r="D23" i="22"/>
  <c r="E23" i="22" s="1"/>
  <c r="F23" i="22" s="1"/>
  <c r="W23" i="22"/>
  <c r="D358" i="22"/>
  <c r="E358" i="22" s="1"/>
  <c r="F358" i="22" s="1"/>
  <c r="W358" i="22"/>
  <c r="D294" i="22"/>
  <c r="E294" i="22" s="1"/>
  <c r="F294" i="22" s="1"/>
  <c r="W294" i="22"/>
  <c r="D58" i="22"/>
  <c r="E58" i="22" s="1"/>
  <c r="F58" i="22" s="1"/>
  <c r="W58" i="22"/>
  <c r="D275" i="22"/>
  <c r="E275" i="22" s="1"/>
  <c r="F275" i="22" s="1"/>
  <c r="W275" i="22"/>
  <c r="W320" i="22"/>
  <c r="D320" i="22"/>
  <c r="E320" i="22" s="1"/>
  <c r="F320" i="22" s="1"/>
  <c r="W291" i="22"/>
  <c r="D291" i="22"/>
  <c r="E291" i="22" s="1"/>
  <c r="F291" i="22" s="1"/>
  <c r="D133" i="22"/>
  <c r="E133" i="22" s="1"/>
  <c r="F133" i="22" s="1"/>
  <c r="W133" i="22"/>
  <c r="W71" i="22"/>
  <c r="D71" i="22"/>
  <c r="E71" i="22" s="1"/>
  <c r="F71" i="22" s="1"/>
  <c r="W182" i="22"/>
  <c r="D182" i="22"/>
  <c r="E182" i="22" s="1"/>
  <c r="F182" i="22" s="1"/>
  <c r="D340" i="22"/>
  <c r="E340" i="22" s="1"/>
  <c r="F340" i="22" s="1"/>
  <c r="W340" i="22"/>
  <c r="D168" i="22"/>
  <c r="E168" i="22" s="1"/>
  <c r="F168" i="22" s="1"/>
  <c r="W168" i="22"/>
  <c r="W57" i="22"/>
  <c r="D57" i="22"/>
  <c r="E57" i="22" s="1"/>
  <c r="F57" i="22" s="1"/>
  <c r="D155" i="22"/>
  <c r="E155" i="22" s="1"/>
  <c r="F155" i="22" s="1"/>
  <c r="W155" i="22"/>
  <c r="D354" i="22"/>
  <c r="E354" i="22" s="1"/>
  <c r="F354" i="22" s="1"/>
  <c r="W354" i="22"/>
  <c r="AH41" i="7"/>
  <c r="V302" i="22"/>
  <c r="D317" i="22"/>
  <c r="E317" i="22" s="1"/>
  <c r="F317" i="22" s="1"/>
  <c r="W317" i="22"/>
  <c r="D167" i="22"/>
  <c r="E167" i="22" s="1"/>
  <c r="F167" i="22" s="1"/>
  <c r="W167" i="22"/>
  <c r="W61" i="22"/>
  <c r="D61" i="22"/>
  <c r="E61" i="22" s="1"/>
  <c r="F61" i="22" s="1"/>
  <c r="W156" i="22"/>
  <c r="D156" i="22"/>
  <c r="E156" i="22" s="1"/>
  <c r="F156" i="22" s="1"/>
  <c r="W306" i="22"/>
  <c r="D306" i="22"/>
  <c r="E306" i="22" s="1"/>
  <c r="F306" i="22" s="1"/>
  <c r="D194" i="22"/>
  <c r="E194" i="22" s="1"/>
  <c r="F194" i="22" s="1"/>
  <c r="W194" i="22"/>
  <c r="D83" i="22"/>
  <c r="E83" i="22" s="1"/>
  <c r="F83" i="22" s="1"/>
  <c r="D137" i="22"/>
  <c r="E137" i="22" s="1"/>
  <c r="F137" i="22" s="1"/>
  <c r="W137" i="22"/>
  <c r="D45" i="22"/>
  <c r="E45" i="22" s="1"/>
  <c r="F45" i="22" s="1"/>
  <c r="W45" i="22"/>
  <c r="D106" i="22"/>
  <c r="E106" i="22" s="1"/>
  <c r="F106" i="22" s="1"/>
  <c r="W106" i="22"/>
  <c r="D298" i="22"/>
  <c r="E298" i="22" s="1"/>
  <c r="F298" i="22" s="1"/>
  <c r="W298" i="22"/>
  <c r="D19" i="22"/>
  <c r="E19" i="22" s="1"/>
  <c r="F19" i="22" s="1"/>
  <c r="W19" i="22"/>
  <c r="J144" i="20"/>
  <c r="I144" i="20"/>
  <c r="J278" i="20"/>
  <c r="I278" i="20"/>
  <c r="J18" i="20"/>
  <c r="I18" i="20"/>
  <c r="J326" i="20"/>
  <c r="I326" i="20"/>
  <c r="J35" i="20"/>
  <c r="I35" i="20"/>
  <c r="H35" i="22" s="1"/>
  <c r="I35" i="22" s="1"/>
  <c r="J181" i="20"/>
  <c r="I181" i="20"/>
  <c r="J103" i="20"/>
  <c r="I103" i="20"/>
  <c r="J82" i="20"/>
  <c r="I82" i="20"/>
  <c r="J67" i="20"/>
  <c r="I67" i="20"/>
  <c r="J228" i="20"/>
  <c r="I228" i="20"/>
  <c r="J165" i="20"/>
  <c r="I165" i="20"/>
  <c r="I219" i="20"/>
  <c r="J219" i="20"/>
  <c r="I268" i="20"/>
  <c r="J268" i="20"/>
  <c r="J89" i="20"/>
  <c r="I89" i="20"/>
  <c r="J226" i="20"/>
  <c r="I226" i="20"/>
  <c r="J336" i="20"/>
  <c r="I336" i="20"/>
  <c r="I90" i="20"/>
  <c r="J90" i="20"/>
  <c r="I130" i="20"/>
  <c r="J130" i="20"/>
  <c r="J212" i="20"/>
  <c r="I212" i="20"/>
  <c r="I202" i="20"/>
  <c r="J202" i="20"/>
  <c r="I206" i="20"/>
  <c r="J206" i="20"/>
  <c r="I207" i="20"/>
  <c r="J207" i="20"/>
  <c r="J335" i="20"/>
  <c r="I335" i="20"/>
  <c r="J134" i="20"/>
  <c r="I134" i="20"/>
  <c r="I323" i="20"/>
  <c r="J323" i="20"/>
  <c r="J169" i="20"/>
  <c r="I169" i="20"/>
  <c r="P4" i="6"/>
  <c r="D267" i="22"/>
  <c r="E267" i="22" s="1"/>
  <c r="F267" i="22" s="1"/>
  <c r="W267" i="22"/>
  <c r="D125" i="22"/>
  <c r="E125" i="22" s="1"/>
  <c r="F125" i="22" s="1"/>
  <c r="W30" i="22"/>
  <c r="W206" i="22"/>
  <c r="D206" i="22"/>
  <c r="E206" i="22" s="1"/>
  <c r="F206" i="22" s="1"/>
  <c r="W348" i="22"/>
  <c r="D348" i="22"/>
  <c r="E348" i="22" s="1"/>
  <c r="F348" i="22" s="1"/>
  <c r="W263" i="22"/>
  <c r="D263" i="22"/>
  <c r="E263" i="22" s="1"/>
  <c r="F263" i="22" s="1"/>
  <c r="D49" i="22"/>
  <c r="E49" i="22" s="1"/>
  <c r="F49" i="22" s="1"/>
  <c r="W49" i="22"/>
  <c r="W179" i="22"/>
  <c r="D179" i="22"/>
  <c r="E179" i="22" s="1"/>
  <c r="F179" i="22" s="1"/>
  <c r="W329" i="22"/>
  <c r="D329" i="22"/>
  <c r="E329" i="22" s="1"/>
  <c r="F329" i="22" s="1"/>
  <c r="W72" i="22"/>
  <c r="D72" i="22"/>
  <c r="E72" i="22" s="1"/>
  <c r="F72" i="22" s="1"/>
  <c r="W301" i="22"/>
  <c r="D159" i="22"/>
  <c r="E159" i="22" s="1"/>
  <c r="F159" i="22" s="1"/>
  <c r="W159" i="22"/>
  <c r="W69" i="22"/>
  <c r="D69" i="22"/>
  <c r="E69" i="22" s="1"/>
  <c r="F69" i="22" s="1"/>
  <c r="V180" i="22"/>
  <c r="AH37" i="7"/>
  <c r="D314" i="22"/>
  <c r="E314" i="22" s="1"/>
  <c r="F314" i="22" s="1"/>
  <c r="W314" i="22"/>
  <c r="D289" i="22"/>
  <c r="E289" i="22" s="1"/>
  <c r="F289" i="22" s="1"/>
  <c r="W289" i="22"/>
  <c r="W75" i="22"/>
  <c r="D145" i="22"/>
  <c r="E145" i="22" s="1"/>
  <c r="F145" i="22" s="1"/>
  <c r="W87" i="22"/>
  <c r="D87" i="22"/>
  <c r="E87" i="22" s="1"/>
  <c r="F87" i="22" s="1"/>
  <c r="V241" i="22"/>
  <c r="AH39" i="7"/>
  <c r="D373" i="22"/>
  <c r="E373" i="22" s="1"/>
  <c r="F373" i="22" s="1"/>
  <c r="W21" i="22"/>
  <c r="D366" i="22"/>
  <c r="E366" i="22" s="1"/>
  <c r="F366" i="22" s="1"/>
  <c r="W366" i="22"/>
  <c r="W253" i="22"/>
  <c r="D103" i="22"/>
  <c r="E103" i="22" s="1"/>
  <c r="F103" i="22" s="1"/>
  <c r="W103" i="22"/>
  <c r="W70" i="22"/>
  <c r="D70" i="22"/>
  <c r="E70" i="22" s="1"/>
  <c r="F70" i="22" s="1"/>
  <c r="W220" i="22"/>
  <c r="D220" i="22"/>
  <c r="E220" i="22" s="1"/>
  <c r="F220" i="22" s="1"/>
  <c r="W370" i="22"/>
  <c r="D370" i="22"/>
  <c r="E370" i="22" s="1"/>
  <c r="F370" i="22" s="1"/>
  <c r="W130" i="22"/>
  <c r="W269" i="22"/>
  <c r="D269" i="22"/>
  <c r="E269" i="22" s="1"/>
  <c r="F269" i="22" s="1"/>
  <c r="D350" i="22"/>
  <c r="E350" i="22" s="1"/>
  <c r="F350" i="22" s="1"/>
  <c r="W350" i="22"/>
  <c r="D181" i="22"/>
  <c r="E181" i="22" s="1"/>
  <c r="F181" i="22" s="1"/>
  <c r="D203" i="22"/>
  <c r="E203" i="22" s="1"/>
  <c r="F203" i="22" s="1"/>
  <c r="W203" i="22"/>
  <c r="W36" i="22"/>
  <c r="D36" i="22"/>
  <c r="E36" i="22" s="1"/>
  <c r="F36" i="22" s="1"/>
  <c r="W120" i="22"/>
  <c r="D120" i="22"/>
  <c r="E120" i="22" s="1"/>
  <c r="F120" i="22" s="1"/>
  <c r="W270" i="22"/>
  <c r="D270" i="22"/>
  <c r="E270" i="22" s="1"/>
  <c r="F270" i="22" s="1"/>
  <c r="D349" i="22"/>
  <c r="E349" i="22" s="1"/>
  <c r="F349" i="22" s="1"/>
  <c r="D199" i="22"/>
  <c r="E199" i="22" s="1"/>
  <c r="F199" i="22" s="1"/>
  <c r="W199" i="22"/>
  <c r="D84" i="22"/>
  <c r="E84" i="22" s="1"/>
  <c r="F84" i="22" s="1"/>
  <c r="W84" i="22"/>
  <c r="D243" i="22"/>
  <c r="E243" i="22" s="1"/>
  <c r="F243" i="22" s="1"/>
  <c r="W243" i="22"/>
  <c r="D368" i="22"/>
  <c r="E368" i="22" s="1"/>
  <c r="F368" i="22" s="1"/>
  <c r="D335" i="22"/>
  <c r="E335" i="22" s="1"/>
  <c r="F335" i="22" s="1"/>
  <c r="D332" i="22"/>
  <c r="E332" i="22" s="1"/>
  <c r="F332" i="22" s="1"/>
  <c r="W332" i="22"/>
  <c r="W51" i="22"/>
  <c r="D51" i="22"/>
  <c r="E51" i="22" s="1"/>
  <c r="F51" i="22" s="1"/>
  <c r="D81" i="22"/>
  <c r="E81" i="22" s="1"/>
  <c r="F81" i="22" s="1"/>
  <c r="W81" i="22"/>
  <c r="I245" i="20"/>
  <c r="J245" i="20"/>
  <c r="J364" i="20"/>
  <c r="I364" i="20"/>
  <c r="J160" i="20"/>
  <c r="I160" i="20"/>
  <c r="J132" i="20"/>
  <c r="I132" i="20"/>
  <c r="I155" i="20"/>
  <c r="J155" i="20"/>
  <c r="J359" i="20"/>
  <c r="I359" i="20"/>
  <c r="I330" i="20"/>
  <c r="J330" i="20"/>
  <c r="J85" i="20"/>
  <c r="I85" i="20"/>
  <c r="I153" i="20"/>
  <c r="J153" i="20"/>
  <c r="I249" i="20"/>
  <c r="J249" i="20"/>
  <c r="G272" i="20"/>
  <c r="CB272" i="6" s="1"/>
  <c r="H272" i="20"/>
  <c r="AA272" i="20"/>
  <c r="Z272" i="20" s="1"/>
  <c r="Y272" i="20" s="1"/>
  <c r="J175" i="20"/>
  <c r="I175" i="20"/>
  <c r="I110" i="20"/>
  <c r="J110" i="20"/>
  <c r="J75" i="20"/>
  <c r="I75" i="20"/>
  <c r="I192" i="20"/>
  <c r="J192" i="20"/>
  <c r="I303" i="20"/>
  <c r="J303" i="20"/>
  <c r="J178" i="20"/>
  <c r="I178" i="20"/>
  <c r="I56" i="20"/>
  <c r="J56" i="20"/>
  <c r="I262" i="20"/>
  <c r="J262" i="20"/>
  <c r="I199" i="20"/>
  <c r="J199" i="20"/>
  <c r="J305" i="20"/>
  <c r="I305" i="20"/>
  <c r="J340" i="20"/>
  <c r="I340" i="20"/>
  <c r="J308" i="20"/>
  <c r="I308" i="20"/>
  <c r="I187" i="20"/>
  <c r="J187" i="20"/>
  <c r="J229" i="20"/>
  <c r="I229" i="20"/>
  <c r="J311" i="20"/>
  <c r="I311" i="20"/>
  <c r="J104" i="20"/>
  <c r="I104" i="20"/>
  <c r="I356" i="20"/>
  <c r="J356" i="20"/>
  <c r="J121" i="20"/>
  <c r="I121" i="20"/>
  <c r="I91" i="20"/>
  <c r="J91" i="20"/>
  <c r="I213" i="20"/>
  <c r="J213" i="20"/>
  <c r="J80" i="20"/>
  <c r="I80" i="20"/>
  <c r="I143" i="20"/>
  <c r="J143" i="20"/>
  <c r="I350" i="20"/>
  <c r="J350" i="20"/>
  <c r="H138" i="20"/>
  <c r="J41" i="20"/>
  <c r="I41" i="20"/>
  <c r="I188" i="20"/>
  <c r="J188" i="20"/>
  <c r="AM4" i="6"/>
  <c r="I354" i="20"/>
  <c r="J354" i="20"/>
  <c r="J76" i="20"/>
  <c r="I76" i="20"/>
  <c r="I344" i="20"/>
  <c r="J344" i="20"/>
  <c r="J358" i="20"/>
  <c r="I358" i="20"/>
  <c r="J152" i="20"/>
  <c r="I152" i="20"/>
  <c r="J16" i="20"/>
  <c r="I16" i="20"/>
  <c r="J281" i="20"/>
  <c r="I281" i="20"/>
  <c r="H281" i="22" s="1"/>
  <c r="I281" i="22" s="1"/>
  <c r="I50" i="20"/>
  <c r="J50" i="20"/>
  <c r="I118" i="20"/>
  <c r="J118" i="20"/>
  <c r="J316" i="20"/>
  <c r="I316" i="20"/>
  <c r="J265" i="20"/>
  <c r="I265" i="20"/>
  <c r="I24" i="20"/>
  <c r="J24" i="20"/>
  <c r="I307" i="20"/>
  <c r="J307" i="20"/>
  <c r="J142" i="20"/>
  <c r="I142" i="20"/>
  <c r="I136" i="20"/>
  <c r="J136" i="20"/>
  <c r="J137" i="20"/>
  <c r="I137" i="20"/>
  <c r="I106" i="20"/>
  <c r="J106" i="20"/>
  <c r="W154" i="22"/>
  <c r="D154" i="22"/>
  <c r="E154" i="22" s="1"/>
  <c r="F154" i="22" s="1"/>
  <c r="D312" i="22"/>
  <c r="E312" i="22" s="1"/>
  <c r="F312" i="22" s="1"/>
  <c r="W312" i="22"/>
  <c r="W299" i="22"/>
  <c r="D299" i="22"/>
  <c r="E299" i="22" s="1"/>
  <c r="F299" i="22" s="1"/>
  <c r="D157" i="22"/>
  <c r="E157" i="22" s="1"/>
  <c r="F157" i="22" s="1"/>
  <c r="W157" i="22"/>
  <c r="D63" i="22"/>
  <c r="E63" i="22" s="1"/>
  <c r="F63" i="22" s="1"/>
  <c r="W63" i="22"/>
  <c r="W277" i="22"/>
  <c r="W326" i="22"/>
  <c r="D326" i="22"/>
  <c r="E326" i="22" s="1"/>
  <c r="F326" i="22" s="1"/>
  <c r="D176" i="22"/>
  <c r="E176" i="22" s="1"/>
  <c r="F176" i="22" s="1"/>
  <c r="W176" i="22"/>
  <c r="D365" i="22"/>
  <c r="E365" i="22" s="1"/>
  <c r="F365" i="22" s="1"/>
  <c r="W365" i="22"/>
  <c r="W80" i="22"/>
  <c r="D80" i="22"/>
  <c r="E80" i="22" s="1"/>
  <c r="F80" i="22" s="1"/>
  <c r="D278" i="22"/>
  <c r="E278" i="22" s="1"/>
  <c r="F278" i="22" s="1"/>
  <c r="W278" i="22"/>
  <c r="D191" i="22"/>
  <c r="E191" i="22" s="1"/>
  <c r="F191" i="22" s="1"/>
  <c r="W37" i="22"/>
  <c r="D37" i="22"/>
  <c r="E37" i="22" s="1"/>
  <c r="F37" i="22" s="1"/>
  <c r="W148" i="22"/>
  <c r="D148" i="22"/>
  <c r="E148" i="22" s="1"/>
  <c r="F148" i="22" s="1"/>
  <c r="D360" i="22"/>
  <c r="E360" i="22" s="1"/>
  <c r="F360" i="22" s="1"/>
  <c r="D202" i="22"/>
  <c r="E202" i="22" s="1"/>
  <c r="F202" i="22" s="1"/>
  <c r="W245" i="22"/>
  <c r="D245" i="22"/>
  <c r="E245" i="22" s="1"/>
  <c r="F245" i="22" s="1"/>
  <c r="D47" i="22"/>
  <c r="E47" i="22" s="1"/>
  <c r="F47" i="22" s="1"/>
  <c r="D315" i="22"/>
  <c r="E315" i="22" s="1"/>
  <c r="F315" i="22" s="1"/>
  <c r="W315" i="22"/>
  <c r="D207" i="22"/>
  <c r="E207" i="22" s="1"/>
  <c r="F207" i="22" s="1"/>
  <c r="W207" i="22"/>
  <c r="D217" i="22"/>
  <c r="E217" i="22" s="1"/>
  <c r="F217" i="22" s="1"/>
  <c r="W217" i="22"/>
  <c r="W114" i="22"/>
  <c r="D114" i="22"/>
  <c r="E114" i="22" s="1"/>
  <c r="F114" i="22" s="1"/>
  <c r="W375" i="22"/>
  <c r="D236" i="22"/>
  <c r="E236" i="22" s="1"/>
  <c r="F236" i="22" s="1"/>
  <c r="W236" i="22"/>
  <c r="D50" i="22"/>
  <c r="E50" i="22" s="1"/>
  <c r="F50" i="22" s="1"/>
  <c r="W50" i="22"/>
  <c r="D271" i="22"/>
  <c r="E271" i="22" s="1"/>
  <c r="F271" i="22" s="1"/>
  <c r="W271" i="22"/>
  <c r="W218" i="22"/>
  <c r="D376" i="22"/>
  <c r="E376" i="22" s="1"/>
  <c r="F376" i="22" s="1"/>
  <c r="W376" i="22"/>
  <c r="D235" i="22"/>
  <c r="E235" i="22" s="1"/>
  <c r="F235" i="22" s="1"/>
  <c r="W235" i="22"/>
  <c r="D93" i="22"/>
  <c r="E93" i="22" s="1"/>
  <c r="F93" i="22" s="1"/>
  <c r="W93" i="22"/>
  <c r="V88" i="22"/>
  <c r="AH34" i="7"/>
  <c r="W341" i="22"/>
  <c r="D341" i="22"/>
  <c r="E341" i="22" s="1"/>
  <c r="F341" i="22" s="1"/>
  <c r="D262" i="22"/>
  <c r="E262" i="22" s="1"/>
  <c r="F262" i="22" s="1"/>
  <c r="W262" i="22"/>
  <c r="D112" i="22"/>
  <c r="E112" i="22" s="1"/>
  <c r="F112" i="22" s="1"/>
  <c r="W112" i="22"/>
  <c r="W211" i="22"/>
  <c r="D211" i="22"/>
  <c r="E211" i="22" s="1"/>
  <c r="F211" i="22" s="1"/>
  <c r="J45" i="20"/>
  <c r="I45" i="20"/>
  <c r="J20" i="20"/>
  <c r="I20" i="20"/>
  <c r="J253" i="20"/>
  <c r="I253" i="20"/>
  <c r="J26" i="20"/>
  <c r="I26" i="20"/>
  <c r="I126" i="20"/>
  <c r="J126" i="20"/>
  <c r="J235" i="20"/>
  <c r="I235" i="20"/>
  <c r="I324" i="20"/>
  <c r="J324" i="20"/>
  <c r="I322" i="20"/>
  <c r="J322" i="20"/>
  <c r="I170" i="20"/>
  <c r="J170" i="20"/>
  <c r="W4" i="6"/>
  <c r="R383" i="20"/>
  <c r="R381" i="20"/>
  <c r="R382" i="20"/>
  <c r="P15" i="20"/>
  <c r="J238" i="20"/>
  <c r="I238" i="20"/>
  <c r="I53" i="20"/>
  <c r="I231" i="20"/>
  <c r="J231" i="20"/>
  <c r="J93" i="20"/>
  <c r="I93" i="20"/>
  <c r="J128" i="20"/>
  <c r="I128" i="20"/>
  <c r="J22" i="20"/>
  <c r="I22" i="20"/>
  <c r="I97" i="20"/>
  <c r="J97" i="20"/>
  <c r="I240" i="20"/>
  <c r="J240" i="20"/>
  <c r="I111" i="20"/>
  <c r="J111" i="20"/>
  <c r="I236" i="20"/>
  <c r="J236" i="20"/>
  <c r="G180" i="20"/>
  <c r="CB180" i="6" s="1"/>
  <c r="AA180" i="20"/>
  <c r="Z180" i="20" s="1"/>
  <c r="Y180" i="20" s="1"/>
  <c r="H180" i="20"/>
  <c r="H27" i="20"/>
  <c r="I108" i="20"/>
  <c r="J108" i="20"/>
  <c r="J189" i="20"/>
  <c r="I189" i="20"/>
  <c r="D122" i="22"/>
  <c r="E122" i="22" s="1"/>
  <c r="F122" i="22" s="1"/>
  <c r="D280" i="22"/>
  <c r="E280" i="22" s="1"/>
  <c r="F280" i="22" s="1"/>
  <c r="W280" i="22"/>
  <c r="W364" i="22"/>
  <c r="D364" i="22"/>
  <c r="E364" i="22" s="1"/>
  <c r="F364" i="22" s="1"/>
  <c r="D324" i="22"/>
  <c r="E324" i="22" s="1"/>
  <c r="F324" i="22" s="1"/>
  <c r="W324" i="22"/>
  <c r="D64" i="22"/>
  <c r="E64" i="22" s="1"/>
  <c r="F64" i="22" s="1"/>
  <c r="W64" i="22"/>
  <c r="W246" i="22"/>
  <c r="D246" i="22"/>
  <c r="E246" i="22" s="1"/>
  <c r="F246" i="22" s="1"/>
  <c r="W357" i="22"/>
  <c r="D357" i="22"/>
  <c r="E357" i="22" s="1"/>
  <c r="F357" i="22" s="1"/>
  <c r="W123" i="22"/>
  <c r="D123" i="22"/>
  <c r="E123" i="22" s="1"/>
  <c r="F123" i="22" s="1"/>
  <c r="W282" i="22"/>
  <c r="D282" i="22"/>
  <c r="E282" i="22" s="1"/>
  <c r="F282" i="22" s="1"/>
  <c r="W165" i="22"/>
  <c r="D165" i="22"/>
  <c r="E165" i="22" s="1"/>
  <c r="F165" i="22" s="1"/>
  <c r="AH35" i="7"/>
  <c r="V119" i="22"/>
  <c r="W266" i="22"/>
  <c r="D266" i="22"/>
  <c r="E266" i="22" s="1"/>
  <c r="F266" i="22" s="1"/>
  <c r="D117" i="22"/>
  <c r="E117" i="22" s="1"/>
  <c r="F117" i="22" s="1"/>
  <c r="W117" i="22"/>
  <c r="D136" i="22"/>
  <c r="E136" i="22" s="1"/>
  <c r="F136" i="22" s="1"/>
  <c r="W136" i="22"/>
  <c r="W24" i="22"/>
  <c r="D24" i="22"/>
  <c r="E24" i="22" s="1"/>
  <c r="F24" i="22" s="1"/>
  <c r="D129" i="22"/>
  <c r="E129" i="22" s="1"/>
  <c r="F129" i="22" s="1"/>
  <c r="W129" i="22"/>
  <c r="W300" i="22"/>
  <c r="D300" i="22"/>
  <c r="E300" i="22" s="1"/>
  <c r="F300" i="22" s="1"/>
  <c r="D158" i="22"/>
  <c r="E158" i="22" s="1"/>
  <c r="F158" i="22" s="1"/>
  <c r="W158" i="22"/>
  <c r="W169" i="22"/>
  <c r="D169" i="22"/>
  <c r="E169" i="22" s="1"/>
  <c r="F169" i="22" s="1"/>
  <c r="D187" i="22"/>
  <c r="E187" i="22" s="1"/>
  <c r="F187" i="22" s="1"/>
  <c r="W187" i="22"/>
  <c r="AD4" i="6"/>
  <c r="S379" i="22"/>
  <c r="R379" i="22" s="1"/>
  <c r="P379" i="22" s="1"/>
  <c r="Z9" i="17"/>
  <c r="Z383" i="17"/>
  <c r="Y15" i="17"/>
  <c r="Z382" i="17"/>
  <c r="Z381" i="17"/>
  <c r="AL7" i="17"/>
  <c r="I382" i="17"/>
  <c r="I381" i="17"/>
  <c r="I383" i="17"/>
  <c r="J194" i="20"/>
  <c r="I194" i="20"/>
  <c r="J69" i="20"/>
  <c r="I69" i="20"/>
  <c r="J114" i="20"/>
  <c r="I114" i="20"/>
  <c r="I370" i="20"/>
  <c r="J370" i="20"/>
  <c r="I375" i="20"/>
  <c r="J375" i="20"/>
  <c r="J145" i="20"/>
  <c r="I145" i="20"/>
  <c r="J68" i="20"/>
  <c r="I68" i="20"/>
  <c r="I234" i="20"/>
  <c r="J234" i="20"/>
  <c r="J107" i="20"/>
  <c r="I107" i="20"/>
  <c r="I25" i="20"/>
  <c r="J25" i="20"/>
  <c r="I72" i="20"/>
  <c r="J72" i="20"/>
  <c r="J156" i="20"/>
  <c r="I156" i="20"/>
  <c r="J351" i="20"/>
  <c r="I351" i="20"/>
  <c r="J369" i="20"/>
  <c r="I369" i="20"/>
  <c r="J167" i="20"/>
  <c r="I167" i="20"/>
  <c r="I203" i="20"/>
  <c r="J203" i="20"/>
  <c r="J341" i="20"/>
  <c r="I341" i="20"/>
  <c r="I98" i="20"/>
  <c r="J98" i="20"/>
  <c r="H302" i="20"/>
  <c r="G302" i="20"/>
  <c r="CB302" i="6" s="1"/>
  <c r="AA302" i="20"/>
  <c r="Z302" i="20" s="1"/>
  <c r="Y302" i="20" s="1"/>
  <c r="I154" i="20"/>
  <c r="J154" i="20"/>
  <c r="AA227" i="20"/>
  <c r="Z227" i="20" s="1"/>
  <c r="Y227" i="20" s="1"/>
  <c r="G227" i="20"/>
  <c r="CB227" i="6" s="1"/>
  <c r="H227" i="20"/>
  <c r="I96" i="20"/>
  <c r="J96" i="20"/>
  <c r="I120" i="20"/>
  <c r="J120" i="20"/>
  <c r="J365" i="20"/>
  <c r="I365" i="20"/>
  <c r="I116" i="20"/>
  <c r="J116" i="20"/>
  <c r="J320" i="20"/>
  <c r="I320" i="20"/>
  <c r="J315" i="20"/>
  <c r="I315" i="20"/>
  <c r="I299" i="20"/>
  <c r="J299" i="20"/>
  <c r="J140" i="20"/>
  <c r="I140" i="20"/>
  <c r="J290" i="20"/>
  <c r="I290" i="20"/>
  <c r="AA105" i="20"/>
  <c r="Z105" i="20" s="1"/>
  <c r="Y105" i="20" s="1"/>
  <c r="H105" i="20"/>
  <c r="G105" i="20"/>
  <c r="CB105" i="6" s="1"/>
  <c r="J374" i="20"/>
  <c r="I374" i="20"/>
  <c r="J31" i="20"/>
  <c r="I31" i="20"/>
  <c r="I77" i="20"/>
  <c r="J77" i="20"/>
  <c r="J36" i="20"/>
  <c r="I36" i="20"/>
  <c r="J19" i="20"/>
  <c r="I19" i="20"/>
  <c r="G166" i="20"/>
  <c r="CB166" i="6" s="1"/>
  <c r="H166" i="20"/>
  <c r="AA166" i="20"/>
  <c r="Z166" i="20" s="1"/>
  <c r="Y166" i="20" s="1"/>
  <c r="J173" i="20"/>
  <c r="I173" i="20"/>
  <c r="I325" i="20"/>
  <c r="J325" i="20"/>
  <c r="J48" i="20"/>
  <c r="I48" i="20"/>
  <c r="I79" i="20"/>
  <c r="J79" i="20"/>
  <c r="I343" i="20"/>
  <c r="J343" i="20"/>
  <c r="J220" i="20"/>
  <c r="I220" i="20"/>
  <c r="J352" i="20"/>
  <c r="I352" i="20"/>
  <c r="I78" i="20"/>
  <c r="J78" i="20"/>
  <c r="J293" i="20"/>
  <c r="I293" i="20"/>
  <c r="I23" i="20"/>
  <c r="J23" i="20"/>
  <c r="J373" i="20"/>
  <c r="I373" i="20"/>
  <c r="J17" i="20"/>
  <c r="I17" i="20"/>
  <c r="AA149" i="20"/>
  <c r="Z149" i="20" s="1"/>
  <c r="Y149" i="20" s="1"/>
  <c r="H149" i="20"/>
  <c r="G149" i="20"/>
  <c r="CB149" i="6" s="1"/>
  <c r="J292" i="20"/>
  <c r="I292" i="20"/>
  <c r="J342" i="20"/>
  <c r="I342" i="20"/>
  <c r="W95" i="22"/>
  <c r="D95" i="22"/>
  <c r="E95" i="22" s="1"/>
  <c r="F95" i="22" s="1"/>
  <c r="D86" i="22"/>
  <c r="E86" i="22" s="1"/>
  <c r="F86" i="22" s="1"/>
  <c r="W86" i="22"/>
  <c r="D244" i="22"/>
  <c r="E244" i="22" s="1"/>
  <c r="F244" i="22" s="1"/>
  <c r="W244" i="22"/>
  <c r="W378" i="22"/>
  <c r="D378" i="22"/>
  <c r="E378" i="22" s="1"/>
  <c r="F378" i="22" s="1"/>
  <c r="D225" i="22"/>
  <c r="E225" i="22" s="1"/>
  <c r="F225" i="22" s="1"/>
  <c r="W27" i="22"/>
  <c r="D367" i="22"/>
  <c r="E367" i="22" s="1"/>
  <c r="F367" i="22" s="1"/>
  <c r="W367" i="22"/>
  <c r="D343" i="22"/>
  <c r="E343" i="22" s="1"/>
  <c r="F343" i="22" s="1"/>
  <c r="W343" i="22"/>
  <c r="W369" i="22"/>
  <c r="D369" i="22"/>
  <c r="E369" i="22" s="1"/>
  <c r="F369" i="22" s="1"/>
  <c r="D121" i="22"/>
  <c r="E121" i="22" s="1"/>
  <c r="F121" i="22" s="1"/>
  <c r="W121" i="22"/>
  <c r="D34" i="22"/>
  <c r="E34" i="22" s="1"/>
  <c r="F34" i="22" s="1"/>
  <c r="V210" i="22"/>
  <c r="W352" i="22"/>
  <c r="D352" i="22"/>
  <c r="E352" i="22" s="1"/>
  <c r="F352" i="22" s="1"/>
  <c r="D259" i="22"/>
  <c r="E259" i="22" s="1"/>
  <c r="F259" i="22" s="1"/>
  <c r="W259" i="22"/>
  <c r="W101" i="22"/>
  <c r="D101" i="22"/>
  <c r="E101" i="22" s="1"/>
  <c r="F101" i="22" s="1"/>
  <c r="D183" i="22"/>
  <c r="E183" i="22" s="1"/>
  <c r="F183" i="22" s="1"/>
  <c r="W183" i="22"/>
  <c r="AH42" i="7"/>
  <c r="V333" i="22"/>
  <c r="D286" i="22"/>
  <c r="E286" i="22" s="1"/>
  <c r="F286" i="22" s="1"/>
  <c r="W286" i="22"/>
  <c r="D309" i="22"/>
  <c r="E309" i="22" s="1"/>
  <c r="F309" i="22" s="1"/>
  <c r="W309" i="22"/>
  <c r="W144" i="22"/>
  <c r="D144" i="22"/>
  <c r="E144" i="22" s="1"/>
  <c r="F144" i="22" s="1"/>
  <c r="W132" i="22"/>
  <c r="D139" i="22"/>
  <c r="E139" i="22" s="1"/>
  <c r="F139" i="22" s="1"/>
  <c r="W73" i="22"/>
  <c r="D184" i="22"/>
  <c r="E184" i="22" s="1"/>
  <c r="F184" i="22" s="1"/>
  <c r="W184" i="22"/>
  <c r="D334" i="22"/>
  <c r="E334" i="22" s="1"/>
  <c r="F334" i="22" s="1"/>
  <c r="W334" i="22"/>
  <c r="D135" i="22"/>
  <c r="E135" i="22" s="1"/>
  <c r="F135" i="22" s="1"/>
  <c r="V149" i="22"/>
  <c r="AH36" i="7"/>
  <c r="D307" i="22"/>
  <c r="E307" i="22" s="1"/>
  <c r="F307" i="22" s="1"/>
  <c r="W307" i="22"/>
  <c r="W304" i="22"/>
  <c r="W170" i="22"/>
  <c r="D170" i="22"/>
  <c r="E170" i="22" s="1"/>
  <c r="F170" i="22" s="1"/>
  <c r="D204" i="22"/>
  <c r="E204" i="22" s="1"/>
  <c r="F204" i="22" s="1"/>
  <c r="D39" i="22"/>
  <c r="E39" i="22" s="1"/>
  <c r="F39" i="22" s="1"/>
  <c r="W39" i="22"/>
  <c r="W150" i="22"/>
  <c r="D308" i="22"/>
  <c r="E308" i="22" s="1"/>
  <c r="F308" i="22" s="1"/>
  <c r="W308" i="22"/>
  <c r="D319" i="22"/>
  <c r="E319" i="22" s="1"/>
  <c r="F319" i="22" s="1"/>
  <c r="W319" i="22"/>
  <c r="D161" i="22"/>
  <c r="E161" i="22" s="1"/>
  <c r="F161" i="22" s="1"/>
  <c r="D59" i="22"/>
  <c r="E59" i="22" s="1"/>
  <c r="F59" i="22" s="1"/>
  <c r="W59" i="22"/>
  <c r="D273" i="22"/>
  <c r="E273" i="22" s="1"/>
  <c r="F273" i="22" s="1"/>
  <c r="W273" i="22"/>
  <c r="D330" i="22"/>
  <c r="E330" i="22" s="1"/>
  <c r="F330" i="22" s="1"/>
  <c r="W330" i="22"/>
  <c r="W162" i="22"/>
  <c r="D32" i="22"/>
  <c r="E32" i="22" s="1"/>
  <c r="F32" i="22" s="1"/>
  <c r="D126" i="22"/>
  <c r="E126" i="22" s="1"/>
  <c r="F126" i="22" s="1"/>
  <c r="W126" i="22"/>
  <c r="J102" i="20"/>
  <c r="I102" i="20"/>
  <c r="I271" i="20"/>
  <c r="J271" i="20"/>
  <c r="J312" i="20"/>
  <c r="I312" i="20"/>
  <c r="J200" i="20"/>
  <c r="I200" i="20"/>
  <c r="I377" i="20"/>
  <c r="J377" i="20"/>
  <c r="J298" i="20"/>
  <c r="I298" i="20"/>
  <c r="I225" i="20"/>
  <c r="J225" i="20"/>
  <c r="J301" i="20"/>
  <c r="I301" i="20"/>
  <c r="J125" i="20"/>
  <c r="I125" i="20"/>
  <c r="I273" i="20"/>
  <c r="J273" i="20"/>
  <c r="J71" i="20"/>
  <c r="I71" i="20"/>
  <c r="I129" i="20"/>
  <c r="J129" i="20"/>
  <c r="J221" i="20"/>
  <c r="I221" i="20"/>
  <c r="I127" i="20"/>
  <c r="J127" i="20"/>
  <c r="I282" i="20"/>
  <c r="J282" i="20"/>
  <c r="I115" i="20"/>
  <c r="J115" i="20"/>
  <c r="J367" i="20"/>
  <c r="I367" i="20"/>
  <c r="J99" i="20"/>
  <c r="I99" i="20"/>
  <c r="J57" i="20"/>
  <c r="I57" i="20"/>
  <c r="J224" i="20"/>
  <c r="I224" i="20"/>
  <c r="J176" i="20"/>
  <c r="I176" i="20"/>
  <c r="J321" i="20"/>
  <c r="I321" i="20"/>
  <c r="I372" i="20"/>
  <c r="J372" i="20"/>
  <c r="J295" i="20"/>
  <c r="I295" i="20"/>
  <c r="V382" i="18"/>
  <c r="V383" i="18"/>
  <c r="B65" i="19"/>
  <c r="N65" i="19" s="1"/>
  <c r="V381" i="18"/>
  <c r="F15" i="18"/>
  <c r="D192" i="22"/>
  <c r="E192" i="22" s="1"/>
  <c r="F192" i="22" s="1"/>
  <c r="W192" i="22"/>
  <c r="D342" i="22"/>
  <c r="E342" i="22" s="1"/>
  <c r="F342" i="22" s="1"/>
  <c r="W342" i="22"/>
  <c r="D261" i="22"/>
  <c r="E261" i="22" s="1"/>
  <c r="F261" i="22" s="1"/>
  <c r="W261" i="22"/>
  <c r="D127" i="22"/>
  <c r="E127" i="22" s="1"/>
  <c r="F127" i="22" s="1"/>
  <c r="W127" i="22"/>
  <c r="D22" i="22"/>
  <c r="E22" i="22" s="1"/>
  <c r="F22" i="22" s="1"/>
  <c r="D212" i="22"/>
  <c r="E212" i="22" s="1"/>
  <c r="F212" i="22" s="1"/>
  <c r="W212" i="22"/>
  <c r="D296" i="22"/>
  <c r="E296" i="22" s="1"/>
  <c r="F296" i="22" s="1"/>
  <c r="W138" i="22"/>
  <c r="D138" i="22"/>
  <c r="E138" i="22" s="1"/>
  <c r="F138" i="22" s="1"/>
  <c r="W260" i="22"/>
  <c r="D260" i="22"/>
  <c r="E260" i="22" s="1"/>
  <c r="F260" i="22" s="1"/>
  <c r="D151" i="22"/>
  <c r="E151" i="22" s="1"/>
  <c r="F151" i="22" s="1"/>
  <c r="D174" i="22"/>
  <c r="E174" i="22" s="1"/>
  <c r="F174" i="22" s="1"/>
  <c r="W174" i="22"/>
  <c r="D316" i="22"/>
  <c r="E316" i="22" s="1"/>
  <c r="F316" i="22" s="1"/>
  <c r="W316" i="22"/>
  <c r="D295" i="22"/>
  <c r="E295" i="22" s="1"/>
  <c r="F295" i="22" s="1"/>
  <c r="W295" i="22"/>
  <c r="W153" i="22"/>
  <c r="D153" i="22"/>
  <c r="E153" i="22" s="1"/>
  <c r="F153" i="22" s="1"/>
  <c r="D67" i="22"/>
  <c r="E67" i="22" s="1"/>
  <c r="F67" i="22" s="1"/>
  <c r="W67" i="22"/>
  <c r="D178" i="22"/>
  <c r="E178" i="22" s="1"/>
  <c r="F178" i="22" s="1"/>
  <c r="W178" i="22"/>
  <c r="W322" i="22"/>
  <c r="D322" i="22"/>
  <c r="E322" i="22" s="1"/>
  <c r="F322" i="22" s="1"/>
  <c r="D172" i="22"/>
  <c r="E172" i="22" s="1"/>
  <c r="F172" i="22" s="1"/>
  <c r="W172" i="22"/>
  <c r="W77" i="22"/>
  <c r="D77" i="22"/>
  <c r="E77" i="22" s="1"/>
  <c r="F77" i="22" s="1"/>
  <c r="D251" i="22"/>
  <c r="E251" i="22" s="1"/>
  <c r="F251" i="22" s="1"/>
  <c r="W251" i="22"/>
  <c r="W362" i="22"/>
  <c r="D362" i="22"/>
  <c r="E362" i="22" s="1"/>
  <c r="F362" i="22" s="1"/>
  <c r="V272" i="22"/>
  <c r="B272" i="22" s="1"/>
  <c r="AH40" i="7"/>
  <c r="D42" i="22"/>
  <c r="E42" i="22" s="1"/>
  <c r="F42" i="22" s="1"/>
  <c r="W42" i="22"/>
  <c r="W214" i="22"/>
  <c r="D214" i="22"/>
  <c r="E214" i="22" s="1"/>
  <c r="F214" i="22" s="1"/>
  <c r="W372" i="22"/>
  <c r="D372" i="22"/>
  <c r="E372" i="22" s="1"/>
  <c r="F372" i="22" s="1"/>
  <c r="D255" i="22"/>
  <c r="E255" i="22" s="1"/>
  <c r="F255" i="22" s="1"/>
  <c r="W255" i="22"/>
  <c r="W97" i="22"/>
  <c r="D97" i="22"/>
  <c r="E97" i="22" s="1"/>
  <c r="F97" i="22" s="1"/>
  <c r="D82" i="22"/>
  <c r="E82" i="22" s="1"/>
  <c r="F82" i="22" s="1"/>
  <c r="W82" i="22"/>
  <c r="D337" i="22"/>
  <c r="E337" i="22" s="1"/>
  <c r="F337" i="22" s="1"/>
  <c r="W337" i="22"/>
  <c r="D20" i="22"/>
  <c r="E20" i="22" s="1"/>
  <c r="F20" i="22" s="1"/>
  <c r="W20" i="22"/>
  <c r="D147" i="22"/>
  <c r="E147" i="22" s="1"/>
  <c r="F147" i="22" s="1"/>
  <c r="W147" i="22"/>
  <c r="D339" i="22"/>
  <c r="E339" i="22" s="1"/>
  <c r="F339" i="22" s="1"/>
  <c r="W339" i="22"/>
  <c r="W256" i="22"/>
  <c r="D256" i="22"/>
  <c r="E256" i="22" s="1"/>
  <c r="F256" i="22" s="1"/>
  <c r="W355" i="22"/>
  <c r="D355" i="22"/>
  <c r="E355" i="22" s="1"/>
  <c r="F355" i="22" s="1"/>
  <c r="D197" i="22"/>
  <c r="E197" i="22" s="1"/>
  <c r="F197" i="22" s="1"/>
  <c r="W197" i="22"/>
  <c r="D40" i="22"/>
  <c r="E40" i="22" s="1"/>
  <c r="F40" i="22" s="1"/>
  <c r="W40" i="22"/>
  <c r="W118" i="22"/>
  <c r="D118" i="22"/>
  <c r="E118" i="22" s="1"/>
  <c r="F118" i="22" s="1"/>
  <c r="D276" i="22"/>
  <c r="E276" i="22" s="1"/>
  <c r="F276" i="22" s="1"/>
  <c r="W276" i="22"/>
  <c r="W232" i="22"/>
  <c r="D232" i="22"/>
  <c r="E232" i="22" s="1"/>
  <c r="F232" i="22" s="1"/>
  <c r="D62" i="22"/>
  <c r="E62" i="22" s="1"/>
  <c r="F62" i="22" s="1"/>
  <c r="W62" i="22"/>
  <c r="D91" i="22"/>
  <c r="E91" i="22" s="1"/>
  <c r="F91" i="22" s="1"/>
  <c r="W91" i="22"/>
  <c r="D279" i="22"/>
  <c r="E279" i="22" s="1"/>
  <c r="F279" i="22" s="1"/>
  <c r="W279" i="22"/>
  <c r="W190" i="22"/>
  <c r="D190" i="22"/>
  <c r="E190" i="22" s="1"/>
  <c r="F190" i="22" s="1"/>
  <c r="W318" i="22"/>
  <c r="W55" i="22"/>
  <c r="D55" i="22"/>
  <c r="E55" i="22" s="1"/>
  <c r="F55" i="22" s="1"/>
  <c r="R4" i="6"/>
  <c r="S4" i="6"/>
  <c r="AD15" i="20"/>
  <c r="I100" i="20"/>
  <c r="J100" i="20"/>
  <c r="I84" i="20"/>
  <c r="J84" i="20"/>
  <c r="V4" i="6"/>
  <c r="J368" i="20"/>
  <c r="I368" i="20"/>
  <c r="J331" i="20"/>
  <c r="I331" i="20"/>
  <c r="G119" i="20"/>
  <c r="CB119" i="6" s="1"/>
  <c r="H119" i="20"/>
  <c r="AA119" i="20"/>
  <c r="Z119" i="20" s="1"/>
  <c r="Y119" i="20" s="1"/>
  <c r="I150" i="20"/>
  <c r="J150" i="20"/>
  <c r="J147" i="20"/>
  <c r="I147" i="20"/>
  <c r="J33" i="20"/>
  <c r="I33" i="20"/>
  <c r="I230" i="20"/>
  <c r="J230" i="20"/>
  <c r="I186" i="20"/>
  <c r="J186" i="20"/>
  <c r="J195" i="20"/>
  <c r="I195" i="20"/>
  <c r="I223" i="20"/>
  <c r="J223" i="20"/>
  <c r="I250" i="20"/>
  <c r="J250" i="20"/>
  <c r="J208" i="20"/>
  <c r="I208" i="20"/>
  <c r="J37" i="20"/>
  <c r="I37" i="20"/>
  <c r="J112" i="20"/>
  <c r="I112" i="20"/>
  <c r="I34" i="20"/>
  <c r="J34" i="20"/>
  <c r="J345" i="20"/>
  <c r="I345" i="20"/>
  <c r="J264" i="20"/>
  <c r="I264" i="20"/>
  <c r="I151" i="20"/>
  <c r="J151" i="20"/>
  <c r="J360" i="20"/>
  <c r="I360" i="20"/>
  <c r="I61" i="20"/>
  <c r="J61" i="20"/>
  <c r="J361" i="20"/>
  <c r="I361" i="20"/>
  <c r="I66" i="20"/>
  <c r="J66" i="20"/>
  <c r="I300" i="20"/>
  <c r="J300" i="20"/>
  <c r="I294" i="20"/>
  <c r="J294" i="20"/>
  <c r="I284" i="20"/>
  <c r="J284" i="20"/>
  <c r="J366" i="20"/>
  <c r="I366" i="20"/>
  <c r="J239" i="20"/>
  <c r="I239" i="20"/>
  <c r="I159" i="20"/>
  <c r="J159" i="20"/>
  <c r="I171" i="20"/>
  <c r="J171" i="20"/>
  <c r="I191" i="20"/>
  <c r="J191" i="20"/>
  <c r="J51" i="20"/>
  <c r="I51" i="20"/>
  <c r="J304" i="20"/>
  <c r="I304" i="20"/>
  <c r="J270" i="20"/>
  <c r="I270" i="20"/>
  <c r="J40" i="20"/>
  <c r="I40" i="20"/>
  <c r="J64" i="20"/>
  <c r="I64" i="20"/>
  <c r="I280" i="20"/>
  <c r="J280" i="20"/>
  <c r="H59" i="20"/>
  <c r="I158" i="20"/>
  <c r="J158" i="20"/>
  <c r="J39" i="20"/>
  <c r="I39" i="20"/>
  <c r="I209" i="20"/>
  <c r="J209" i="20"/>
  <c r="J58" i="20"/>
  <c r="I58" i="20"/>
  <c r="J179" i="20"/>
  <c r="I179" i="20"/>
  <c r="AA60" i="20"/>
  <c r="Z60" i="20" s="1"/>
  <c r="Y60" i="20" s="1"/>
  <c r="H60" i="20"/>
  <c r="G60" i="20"/>
  <c r="CB60" i="6" s="1"/>
  <c r="J309" i="20"/>
  <c r="I309" i="20"/>
  <c r="I198" i="20"/>
  <c r="J198" i="20"/>
  <c r="I259" i="20"/>
  <c r="J259" i="20"/>
  <c r="I65" i="20"/>
  <c r="J65" i="20"/>
  <c r="I296" i="20"/>
  <c r="J296" i="20"/>
  <c r="I378" i="20"/>
  <c r="J378" i="20"/>
  <c r="J242" i="20"/>
  <c r="I242" i="20"/>
  <c r="J329" i="20"/>
  <c r="I329" i="20"/>
  <c r="J347" i="20"/>
  <c r="I347" i="20"/>
  <c r="J248" i="20"/>
  <c r="I248" i="20"/>
  <c r="J237" i="20"/>
  <c r="I237" i="20"/>
  <c r="J81" i="20"/>
  <c r="I81" i="20"/>
  <c r="J328" i="20"/>
  <c r="I328" i="20"/>
  <c r="I162" i="20"/>
  <c r="J162" i="20"/>
  <c r="J43" i="20"/>
  <c r="I43" i="20"/>
  <c r="G241" i="20"/>
  <c r="CB241" i="6" s="1"/>
  <c r="AA241" i="20"/>
  <c r="Z241" i="20" s="1"/>
  <c r="Y241" i="20" s="1"/>
  <c r="H241" i="20"/>
  <c r="J113" i="20"/>
  <c r="I113" i="20"/>
  <c r="I124" i="20"/>
  <c r="J124" i="20"/>
  <c r="H95" i="20"/>
  <c r="J205" i="20"/>
  <c r="I205" i="20"/>
  <c r="I86" i="20"/>
  <c r="J86" i="20"/>
  <c r="I215" i="20"/>
  <c r="J215" i="20"/>
  <c r="J182" i="20"/>
  <c r="I182" i="20"/>
  <c r="I267" i="20"/>
  <c r="J267" i="20"/>
  <c r="J214" i="20"/>
  <c r="I214" i="20"/>
  <c r="W313" i="22"/>
  <c r="D313" i="22"/>
  <c r="E313" i="22" s="1"/>
  <c r="F313" i="22" s="1"/>
  <c r="D163" i="22"/>
  <c r="E163" i="22" s="1"/>
  <c r="F163" i="22" s="1"/>
  <c r="W65" i="22"/>
  <c r="D160" i="22"/>
  <c r="E160" i="22" s="1"/>
  <c r="F160" i="22" s="1"/>
  <c r="W160" i="22"/>
  <c r="D310" i="22"/>
  <c r="E310" i="22" s="1"/>
  <c r="F310" i="22" s="1"/>
  <c r="W310" i="22"/>
  <c r="W293" i="22"/>
  <c r="D79" i="22"/>
  <c r="E79" i="22" s="1"/>
  <c r="F79" i="22" s="1"/>
  <c r="W79" i="22"/>
  <c r="D141" i="22"/>
  <c r="E141" i="22" s="1"/>
  <c r="F141" i="22" s="1"/>
  <c r="W283" i="22"/>
  <c r="W98" i="22"/>
  <c r="D98" i="22"/>
  <c r="E98" i="22" s="1"/>
  <c r="F98" i="22" s="1"/>
  <c r="D331" i="22"/>
  <c r="E331" i="22" s="1"/>
  <c r="F331" i="22" s="1"/>
  <c r="W189" i="22"/>
  <c r="D189" i="22"/>
  <c r="E189" i="22" s="1"/>
  <c r="F189" i="22" s="1"/>
  <c r="W31" i="22"/>
  <c r="D31" i="22"/>
  <c r="E31" i="22" s="1"/>
  <c r="F31" i="22" s="1"/>
  <c r="W284" i="22"/>
  <c r="D284" i="22"/>
  <c r="E284" i="22" s="1"/>
  <c r="F284" i="22" s="1"/>
  <c r="W327" i="22"/>
  <c r="D46" i="22"/>
  <c r="E46" i="22" s="1"/>
  <c r="F46" i="22" s="1"/>
  <c r="W46" i="22"/>
  <c r="D115" i="22"/>
  <c r="E115" i="22" s="1"/>
  <c r="F115" i="22" s="1"/>
  <c r="W115" i="22"/>
  <c r="W265" i="22"/>
  <c r="D265" i="22"/>
  <c r="E265" i="22" s="1"/>
  <c r="F265" i="22" s="1"/>
  <c r="W208" i="22"/>
  <c r="D208" i="22"/>
  <c r="E208" i="22" s="1"/>
  <c r="F208" i="22" s="1"/>
  <c r="W173" i="22"/>
  <c r="D173" i="22"/>
  <c r="E173" i="22" s="1"/>
  <c r="F173" i="22" s="1"/>
  <c r="D237" i="22"/>
  <c r="E237" i="22" s="1"/>
  <c r="F237" i="22" s="1"/>
  <c r="W237" i="22"/>
  <c r="D328" i="22"/>
  <c r="E328" i="22" s="1"/>
  <c r="F328" i="22" s="1"/>
  <c r="W328" i="22"/>
  <c r="W223" i="22"/>
  <c r="D223" i="22"/>
  <c r="E223" i="22" s="1"/>
  <c r="F223" i="22" s="1"/>
  <c r="W44" i="22"/>
  <c r="D44" i="22"/>
  <c r="E44" i="22" s="1"/>
  <c r="F44" i="22" s="1"/>
  <c r="W116" i="22"/>
  <c r="D250" i="22"/>
  <c r="E250" i="22" s="1"/>
  <c r="F250" i="22" s="1"/>
  <c r="W250" i="22"/>
  <c r="W353" i="22"/>
  <c r="D353" i="22"/>
  <c r="E353" i="22" s="1"/>
  <c r="F353" i="22" s="1"/>
  <c r="D100" i="22"/>
  <c r="E100" i="22" s="1"/>
  <c r="F100" i="22" s="1"/>
  <c r="W100" i="22"/>
  <c r="D76" i="22"/>
  <c r="E76" i="22" s="1"/>
  <c r="F76" i="22" s="1"/>
  <c r="W76" i="22"/>
  <c r="D239" i="22"/>
  <c r="E239" i="22" s="1"/>
  <c r="F239" i="22" s="1"/>
  <c r="W239" i="22"/>
  <c r="D200" i="22"/>
  <c r="E200" i="22" s="1"/>
  <c r="F200" i="22" s="1"/>
  <c r="W200" i="22"/>
  <c r="W113" i="22"/>
  <c r="W249" i="22"/>
  <c r="D249" i="22"/>
  <c r="E249" i="22" s="1"/>
  <c r="F249" i="22" s="1"/>
  <c r="D99" i="22"/>
  <c r="E99" i="22" s="1"/>
  <c r="F99" i="22" s="1"/>
  <c r="W99" i="22"/>
  <c r="D78" i="22"/>
  <c r="E78" i="22" s="1"/>
  <c r="F78" i="22" s="1"/>
  <c r="W78" i="22"/>
  <c r="W224" i="22"/>
  <c r="D224" i="22"/>
  <c r="E224" i="22" s="1"/>
  <c r="F224" i="22" s="1"/>
  <c r="W374" i="22"/>
  <c r="D374" i="22"/>
  <c r="E374" i="22" s="1"/>
  <c r="F374" i="22" s="1"/>
  <c r="W229" i="22"/>
  <c r="W205" i="22"/>
  <c r="W347" i="22"/>
  <c r="W16" i="22"/>
  <c r="D16" i="22"/>
  <c r="E16" i="22" s="1"/>
  <c r="F16" i="22" s="1"/>
  <c r="W361" i="22"/>
  <c r="D361" i="22"/>
  <c r="E361" i="22" s="1"/>
  <c r="F361" i="22" s="1"/>
  <c r="D215" i="22"/>
  <c r="E215" i="22" s="1"/>
  <c r="F215" i="22" s="1"/>
  <c r="W215" i="22"/>
  <c r="H252" i="20"/>
  <c r="I55" i="20"/>
  <c r="J55" i="20"/>
  <c r="D379" i="20"/>
  <c r="E379" i="20" s="1"/>
  <c r="F379" i="20" s="1"/>
  <c r="W379" i="20"/>
  <c r="I174" i="20"/>
  <c r="J174" i="20"/>
  <c r="J49" i="20"/>
  <c r="I49" i="20"/>
  <c r="J139" i="20"/>
  <c r="I139" i="20"/>
  <c r="I42" i="20"/>
  <c r="J42" i="20"/>
  <c r="I190" i="20"/>
  <c r="J190" i="20"/>
  <c r="J164" i="20"/>
  <c r="I164" i="20"/>
  <c r="G333" i="20"/>
  <c r="CB333" i="6" s="1"/>
  <c r="H333" i="20"/>
  <c r="AA333" i="20"/>
  <c r="Z333" i="20" s="1"/>
  <c r="Y333" i="20" s="1"/>
  <c r="I287" i="20"/>
  <c r="J287" i="20"/>
  <c r="J285" i="20"/>
  <c r="I285" i="20"/>
  <c r="AA74" i="20"/>
  <c r="Z74" i="20" s="1"/>
  <c r="Y74" i="20" s="1"/>
  <c r="G74" i="20"/>
  <c r="CB74" i="6" s="1"/>
  <c r="H74" i="20"/>
  <c r="J168" i="20"/>
  <c r="I168" i="20"/>
  <c r="G46" i="20"/>
  <c r="CB46" i="6" s="1"/>
  <c r="H46" i="20"/>
  <c r="AA46" i="20"/>
  <c r="Z46" i="20" s="1"/>
  <c r="Y46" i="20" s="1"/>
  <c r="J256" i="20"/>
  <c r="I256" i="20"/>
  <c r="I279" i="20"/>
  <c r="J279" i="20"/>
  <c r="J38" i="20"/>
  <c r="I38" i="20"/>
  <c r="I233" i="20"/>
  <c r="J233" i="20"/>
  <c r="J332" i="20"/>
  <c r="I332" i="20"/>
  <c r="H87" i="20"/>
  <c r="I251" i="20"/>
  <c r="J251" i="20"/>
  <c r="I133" i="20"/>
  <c r="J133" i="20"/>
  <c r="J123" i="20"/>
  <c r="I123" i="20"/>
  <c r="J306" i="20"/>
  <c r="I306" i="20"/>
  <c r="I32" i="20"/>
  <c r="J32" i="20"/>
  <c r="I376" i="20"/>
  <c r="J376" i="20"/>
  <c r="I109" i="20"/>
  <c r="J109" i="20"/>
  <c r="I218" i="20"/>
  <c r="J218" i="20"/>
  <c r="I317" i="20"/>
  <c r="J317" i="20"/>
  <c r="I371" i="20"/>
  <c r="J371" i="20"/>
  <c r="I44" i="20"/>
  <c r="J44" i="20"/>
  <c r="I337" i="20"/>
  <c r="J337" i="20"/>
  <c r="D195" i="22"/>
  <c r="E195" i="22" s="1"/>
  <c r="F195" i="22" s="1"/>
  <c r="W195" i="22"/>
  <c r="W33" i="22"/>
  <c r="D33" i="22"/>
  <c r="E33" i="22" s="1"/>
  <c r="F33" i="22" s="1"/>
  <c r="W247" i="22"/>
  <c r="W102" i="22"/>
  <c r="D102" i="22"/>
  <c r="E102" i="22" s="1"/>
  <c r="F102" i="22" s="1"/>
  <c r="W166" i="22"/>
  <c r="W377" i="22"/>
  <c r="D377" i="22"/>
  <c r="E377" i="22" s="1"/>
  <c r="F377" i="22" s="1"/>
  <c r="D227" i="22"/>
  <c r="E227" i="22" s="1"/>
  <c r="F227" i="22" s="1"/>
  <c r="V363" i="22"/>
  <c r="AH43" i="7"/>
  <c r="D56" i="22"/>
  <c r="E56" i="22" s="1"/>
  <c r="F56" i="22" s="1"/>
  <c r="W56" i="22"/>
  <c r="D213" i="22"/>
  <c r="E213" i="22" s="1"/>
  <c r="F213" i="22" s="1"/>
  <c r="W213" i="22"/>
  <c r="D68" i="22"/>
  <c r="E68" i="22" s="1"/>
  <c r="F68" i="22" s="1"/>
  <c r="D109" i="22"/>
  <c r="E109" i="22" s="1"/>
  <c r="F109" i="22" s="1"/>
  <c r="W109" i="22"/>
  <c r="D66" i="22"/>
  <c r="E66" i="22" s="1"/>
  <c r="F66" i="22" s="1"/>
  <c r="W66" i="22"/>
  <c r="D185" i="22"/>
  <c r="E185" i="22" s="1"/>
  <c r="F185" i="22" s="1"/>
  <c r="W185" i="22"/>
  <c r="W152" i="22"/>
  <c r="D152" i="22"/>
  <c r="E152" i="22" s="1"/>
  <c r="F152" i="22" s="1"/>
  <c r="W356" i="22"/>
  <c r="D356" i="22"/>
  <c r="E356" i="22" s="1"/>
  <c r="F356" i="22" s="1"/>
  <c r="D198" i="22"/>
  <c r="E198" i="22" s="1"/>
  <c r="F198" i="22" s="1"/>
  <c r="D201" i="22"/>
  <c r="E201" i="22" s="1"/>
  <c r="F201" i="22" s="1"/>
  <c r="W201" i="22"/>
  <c r="W297" i="22"/>
  <c r="D297" i="22"/>
  <c r="E297" i="22" s="1"/>
  <c r="F297" i="22" s="1"/>
  <c r="D25" i="22"/>
  <c r="E25" i="22" s="1"/>
  <c r="F25" i="22" s="1"/>
  <c r="W25" i="22"/>
  <c r="D188" i="22"/>
  <c r="E188" i="22" s="1"/>
  <c r="F188" i="22" s="1"/>
  <c r="W188" i="22"/>
  <c r="D338" i="22"/>
  <c r="E338" i="22" s="1"/>
  <c r="F338" i="22" s="1"/>
  <c r="W338" i="22"/>
  <c r="D186" i="22"/>
  <c r="E186" i="22" s="1"/>
  <c r="F186" i="22" s="1"/>
  <c r="W186" i="22"/>
  <c r="D164" i="22"/>
  <c r="E164" i="22" s="1"/>
  <c r="F164" i="22" s="1"/>
  <c r="W164" i="22"/>
  <c r="W175" i="22"/>
  <c r="D175" i="22"/>
  <c r="E175" i="22" s="1"/>
  <c r="F175" i="22" s="1"/>
  <c r="D196" i="22"/>
  <c r="E196" i="22" s="1"/>
  <c r="F196" i="22" s="1"/>
  <c r="D290" i="22"/>
  <c r="E290" i="22" s="1"/>
  <c r="F290" i="22" s="1"/>
  <c r="W290" i="22"/>
  <c r="W268" i="22"/>
  <c r="D268" i="22"/>
  <c r="E268" i="22" s="1"/>
  <c r="F268" i="22" s="1"/>
  <c r="I244" i="20"/>
  <c r="J244" i="20"/>
  <c r="T382" i="22"/>
  <c r="T381" i="22"/>
  <c r="T383" i="22"/>
  <c r="S15" i="22"/>
  <c r="U26" i="23"/>
  <c r="T26" i="23" s="1"/>
  <c r="S26" i="23" s="1"/>
  <c r="R26" i="23" s="1"/>
  <c r="U312" i="23"/>
  <c r="T312" i="23" s="1"/>
  <c r="S312" i="23" s="1"/>
  <c r="R312" i="23" s="1"/>
  <c r="U251" i="23"/>
  <c r="T251" i="23" s="1"/>
  <c r="S251" i="23" s="1"/>
  <c r="R251" i="23" s="1"/>
  <c r="U366" i="23"/>
  <c r="T366" i="23" s="1"/>
  <c r="S366" i="23" s="1"/>
  <c r="R366" i="23" s="1"/>
  <c r="U121" i="23"/>
  <c r="T121" i="23" s="1"/>
  <c r="S121" i="23" s="1"/>
  <c r="R121" i="23" s="1"/>
  <c r="U161" i="23"/>
  <c r="T161" i="23" s="1"/>
  <c r="S161" i="23" s="1"/>
  <c r="R161" i="23" s="1"/>
  <c r="U296" i="23"/>
  <c r="T296" i="23" s="1"/>
  <c r="S296" i="23" s="1"/>
  <c r="R296" i="23" s="1"/>
  <c r="U235" i="23"/>
  <c r="T235" i="23" s="1"/>
  <c r="S235" i="23" s="1"/>
  <c r="R235" i="23" s="1"/>
  <c r="U305" i="23"/>
  <c r="T305" i="23" s="1"/>
  <c r="S305" i="23" s="1"/>
  <c r="R305" i="23" s="1"/>
  <c r="U195" i="23"/>
  <c r="T195" i="23" s="1"/>
  <c r="S195" i="23" s="1"/>
  <c r="R195" i="23" s="1"/>
  <c r="U83" i="23"/>
  <c r="T83" i="23" s="1"/>
  <c r="S83" i="23" s="1"/>
  <c r="R83" i="23" s="1"/>
  <c r="U99" i="23"/>
  <c r="T99" i="23" s="1"/>
  <c r="S99" i="23" s="1"/>
  <c r="R99" i="23" s="1"/>
  <c r="U135" i="23"/>
  <c r="T135" i="23" s="1"/>
  <c r="S135" i="23" s="1"/>
  <c r="R135" i="23" s="1"/>
  <c r="U70" i="23"/>
  <c r="T70" i="23" s="1"/>
  <c r="S70" i="23" s="1"/>
  <c r="R70" i="23" s="1"/>
  <c r="U309" i="23"/>
  <c r="T309" i="23" s="1"/>
  <c r="S309" i="23" s="1"/>
  <c r="R309" i="23" s="1"/>
  <c r="U50" i="23"/>
  <c r="T50" i="23" s="1"/>
  <c r="S50" i="23" s="1"/>
  <c r="R50" i="23" s="1"/>
  <c r="U281" i="23"/>
  <c r="T281" i="23" s="1"/>
  <c r="S281" i="23" s="1"/>
  <c r="R281" i="23" s="1"/>
  <c r="U183" i="23"/>
  <c r="T183" i="23" s="1"/>
  <c r="S183" i="23" s="1"/>
  <c r="R183" i="23" s="1"/>
  <c r="U118" i="23"/>
  <c r="T118" i="23" s="1"/>
  <c r="S118" i="23" s="1"/>
  <c r="R118" i="23" s="1"/>
  <c r="U193" i="23"/>
  <c r="T193" i="23" s="1"/>
  <c r="S193" i="23" s="1"/>
  <c r="R193" i="23" s="1"/>
  <c r="U162" i="23"/>
  <c r="T162" i="23" s="1"/>
  <c r="S162" i="23" s="1"/>
  <c r="R162" i="23" s="1"/>
  <c r="U164" i="23"/>
  <c r="T164" i="23" s="1"/>
  <c r="S164" i="23" s="1"/>
  <c r="R164" i="23" s="1"/>
  <c r="U307" i="23"/>
  <c r="T307" i="23" s="1"/>
  <c r="S307" i="23" s="1"/>
  <c r="R307" i="23" s="1"/>
  <c r="U359" i="23"/>
  <c r="T359" i="23" s="1"/>
  <c r="S359" i="23" s="1"/>
  <c r="R359" i="23" s="1"/>
  <c r="U294" i="23"/>
  <c r="T294" i="23" s="1"/>
  <c r="S294" i="23" s="1"/>
  <c r="R294" i="23" s="1"/>
  <c r="U111" i="23"/>
  <c r="T111" i="23" s="1"/>
  <c r="S111" i="23" s="1"/>
  <c r="R111" i="23" s="1"/>
  <c r="U116" i="23"/>
  <c r="T116" i="23" s="1"/>
  <c r="S116" i="23" s="1"/>
  <c r="R116" i="23" s="1"/>
  <c r="U76" i="23"/>
  <c r="T76" i="23" s="1"/>
  <c r="S76" i="23" s="1"/>
  <c r="R76" i="23" s="1"/>
  <c r="U343" i="23"/>
  <c r="T343" i="23" s="1"/>
  <c r="S343" i="23" s="1"/>
  <c r="R343" i="23" s="1"/>
  <c r="U278" i="23"/>
  <c r="T278" i="23" s="1"/>
  <c r="S278" i="23" s="1"/>
  <c r="R278" i="23" s="1"/>
  <c r="U348" i="23"/>
  <c r="T348" i="23" s="1"/>
  <c r="S348" i="23" s="1"/>
  <c r="R348" i="23" s="1"/>
  <c r="U64" i="23"/>
  <c r="T64" i="23" s="1"/>
  <c r="S64" i="23" s="1"/>
  <c r="R64" i="23" s="1"/>
  <c r="U16" i="23"/>
  <c r="T16" i="23" s="1"/>
  <c r="S16" i="23" s="1"/>
  <c r="R16" i="23" s="1"/>
  <c r="U30" i="23"/>
  <c r="T30" i="23" s="1"/>
  <c r="S30" i="23" s="1"/>
  <c r="R30" i="23" s="1"/>
  <c r="U314" i="23"/>
  <c r="T314" i="23" s="1"/>
  <c r="S314" i="23" s="1"/>
  <c r="R314" i="23" s="1"/>
  <c r="U237" i="23"/>
  <c r="T237" i="23" s="1"/>
  <c r="S237" i="23" s="1"/>
  <c r="R237" i="23" s="1"/>
  <c r="U335" i="23"/>
  <c r="T335" i="23" s="1"/>
  <c r="S335" i="23" s="1"/>
  <c r="R335" i="23" s="1"/>
  <c r="U361" i="23"/>
  <c r="T361" i="23" s="1"/>
  <c r="S361" i="23" s="1"/>
  <c r="R361" i="23" s="1"/>
  <c r="U291" i="23"/>
  <c r="T291" i="23" s="1"/>
  <c r="S291" i="23" s="1"/>
  <c r="R291" i="23" s="1"/>
  <c r="U330" i="23"/>
  <c r="T330" i="23" s="1"/>
  <c r="S330" i="23" s="1"/>
  <c r="R330" i="23" s="1"/>
  <c r="U285" i="23"/>
  <c r="T285" i="23" s="1"/>
  <c r="S285" i="23" s="1"/>
  <c r="R285" i="23" s="1"/>
  <c r="U220" i="23"/>
  <c r="T220" i="23" s="1"/>
  <c r="S220" i="23" s="1"/>
  <c r="R220" i="23" s="1"/>
  <c r="U117" i="23"/>
  <c r="T117" i="23" s="1"/>
  <c r="S117" i="23" s="1"/>
  <c r="R117" i="23" s="1"/>
  <c r="U371" i="23"/>
  <c r="T371" i="23" s="1"/>
  <c r="S371" i="23" s="1"/>
  <c r="R371" i="23" s="1"/>
  <c r="U345" i="23"/>
  <c r="T345" i="23" s="1"/>
  <c r="S345" i="23" s="1"/>
  <c r="R345" i="23" s="1"/>
  <c r="U292" i="23"/>
  <c r="T292" i="23" s="1"/>
  <c r="S292" i="23" s="1"/>
  <c r="R292" i="23" s="1"/>
  <c r="U184" i="23"/>
  <c r="T184" i="23" s="1"/>
  <c r="S184" i="23" s="1"/>
  <c r="R184" i="23" s="1"/>
  <c r="U123" i="23"/>
  <c r="T123" i="23" s="1"/>
  <c r="S123" i="23" s="1"/>
  <c r="R123" i="23" s="1"/>
  <c r="U325" i="23"/>
  <c r="T325" i="23" s="1"/>
  <c r="S325" i="23" s="1"/>
  <c r="R325" i="23" s="1"/>
  <c r="U180" i="23"/>
  <c r="T180" i="23" s="1"/>
  <c r="S180" i="23" s="1"/>
  <c r="R180" i="23" s="1"/>
  <c r="U362" i="23"/>
  <c r="T362" i="23" s="1"/>
  <c r="S362" i="23" s="1"/>
  <c r="R362" i="23" s="1"/>
  <c r="U317" i="23"/>
  <c r="T317" i="23" s="1"/>
  <c r="S317" i="23" s="1"/>
  <c r="R317" i="23" s="1"/>
  <c r="U252" i="23"/>
  <c r="T252" i="23" s="1"/>
  <c r="S252" i="23" s="1"/>
  <c r="R252" i="23" s="1"/>
  <c r="U245" i="23"/>
  <c r="T245" i="23" s="1"/>
  <c r="S245" i="23" s="1"/>
  <c r="R245" i="23" s="1"/>
  <c r="U153" i="23"/>
  <c r="T153" i="23" s="1"/>
  <c r="S153" i="23" s="1"/>
  <c r="R153" i="23" s="1"/>
  <c r="U217" i="23"/>
  <c r="T217" i="23" s="1"/>
  <c r="S217" i="23" s="1"/>
  <c r="R217" i="23" s="1"/>
  <c r="U357" i="23"/>
  <c r="T357" i="23" s="1"/>
  <c r="S357" i="23" s="1"/>
  <c r="R357" i="23" s="1"/>
  <c r="U152" i="23"/>
  <c r="T152" i="23" s="1"/>
  <c r="S152" i="23" s="1"/>
  <c r="R152" i="23" s="1"/>
  <c r="U91" i="23"/>
  <c r="T91" i="23" s="1"/>
  <c r="S91" i="23" s="1"/>
  <c r="R91" i="23" s="1"/>
  <c r="U21" i="23"/>
  <c r="T21" i="23" s="1"/>
  <c r="S21" i="23" s="1"/>
  <c r="R21" i="23" s="1"/>
  <c r="U25" i="23"/>
  <c r="T25" i="23" s="1"/>
  <c r="S25" i="23" s="1"/>
  <c r="R25" i="23" s="1"/>
  <c r="U332" i="23"/>
  <c r="T332" i="23" s="1"/>
  <c r="S332" i="23" s="1"/>
  <c r="R332" i="23" s="1"/>
  <c r="U200" i="23"/>
  <c r="T200" i="23" s="1"/>
  <c r="S200" i="23" s="1"/>
  <c r="R200" i="23" s="1"/>
  <c r="U139" i="23"/>
  <c r="T139" i="23" s="1"/>
  <c r="S139" i="23" s="1"/>
  <c r="R139" i="23" s="1"/>
  <c r="U209" i="23"/>
  <c r="T209" i="23" s="1"/>
  <c r="S209" i="23" s="1"/>
  <c r="R209" i="23" s="1"/>
  <c r="U174" i="23"/>
  <c r="T174" i="23" s="1"/>
  <c r="S174" i="23" s="1"/>
  <c r="R174" i="23" s="1"/>
  <c r="U100" i="23"/>
  <c r="T100" i="23" s="1"/>
  <c r="S100" i="23" s="1"/>
  <c r="R100" i="23" s="1"/>
  <c r="U223" i="23"/>
  <c r="T223" i="23" s="1"/>
  <c r="S223" i="23" s="1"/>
  <c r="R223" i="23" s="1"/>
  <c r="U231" i="23"/>
  <c r="T231" i="23" s="1"/>
  <c r="S231" i="23" s="1"/>
  <c r="R231" i="23" s="1"/>
  <c r="U166" i="23"/>
  <c r="T166" i="23" s="1"/>
  <c r="S166" i="23" s="1"/>
  <c r="R166" i="23" s="1"/>
  <c r="U334" i="23"/>
  <c r="T334" i="23" s="1"/>
  <c r="S334" i="23" s="1"/>
  <c r="R334" i="23" s="1"/>
  <c r="U126" i="23"/>
  <c r="T126" i="23" s="1"/>
  <c r="S126" i="23" s="1"/>
  <c r="R126" i="23" s="1"/>
  <c r="U208" i="23"/>
  <c r="T208" i="23" s="1"/>
  <c r="S208" i="23" s="1"/>
  <c r="R208" i="23" s="1"/>
  <c r="U215" i="23"/>
  <c r="T215" i="23" s="1"/>
  <c r="S215" i="23" s="1"/>
  <c r="R215" i="23" s="1"/>
  <c r="U150" i="23"/>
  <c r="T150" i="23" s="1"/>
  <c r="S150" i="23" s="1"/>
  <c r="R150" i="23" s="1"/>
  <c r="U257" i="23"/>
  <c r="T257" i="23" s="1"/>
  <c r="S257" i="23" s="1"/>
  <c r="R257" i="23" s="1"/>
  <c r="U290" i="23"/>
  <c r="T290" i="23" s="1"/>
  <c r="S290" i="23" s="1"/>
  <c r="R290" i="23" s="1"/>
  <c r="U313" i="23"/>
  <c r="T313" i="23" s="1"/>
  <c r="S313" i="23" s="1"/>
  <c r="R313" i="23" s="1"/>
  <c r="U179" i="23"/>
  <c r="T179" i="23" s="1"/>
  <c r="S179" i="23" s="1"/>
  <c r="R179" i="23" s="1"/>
  <c r="U186" i="23"/>
  <c r="T186" i="23" s="1"/>
  <c r="S186" i="23" s="1"/>
  <c r="R186" i="23" s="1"/>
  <c r="U109" i="23"/>
  <c r="T109" i="23" s="1"/>
  <c r="S109" i="23" s="1"/>
  <c r="R109" i="23" s="1"/>
  <c r="U194" i="23"/>
  <c r="T194" i="23" s="1"/>
  <c r="S194" i="23" s="1"/>
  <c r="R194" i="23" s="1"/>
  <c r="U276" i="23"/>
  <c r="T276" i="23" s="1"/>
  <c r="S276" i="23" s="1"/>
  <c r="R276" i="23" s="1"/>
  <c r="U127" i="23"/>
  <c r="T127" i="23" s="1"/>
  <c r="S127" i="23" s="1"/>
  <c r="R127" i="23" s="1"/>
  <c r="U202" i="23"/>
  <c r="T202" i="23" s="1"/>
  <c r="S202" i="23" s="1"/>
  <c r="R202" i="23" s="1"/>
  <c r="U310" i="23"/>
  <c r="T310" i="23" s="1"/>
  <c r="S310" i="23" s="1"/>
  <c r="R310" i="23" s="1"/>
  <c r="U19" i="23"/>
  <c r="T19" i="23" s="1"/>
  <c r="S19" i="23" s="1"/>
  <c r="R19" i="23" s="1"/>
  <c r="U192" i="23"/>
  <c r="T192" i="23" s="1"/>
  <c r="S192" i="23" s="1"/>
  <c r="R192" i="23" s="1"/>
  <c r="U304" i="23"/>
  <c r="T304" i="23" s="1"/>
  <c r="S304" i="23" s="1"/>
  <c r="R304" i="23" s="1"/>
  <c r="U261" i="23"/>
  <c r="T261" i="23" s="1"/>
  <c r="S261" i="23" s="1"/>
  <c r="R261" i="23" s="1"/>
  <c r="U197" i="23"/>
  <c r="T197" i="23" s="1"/>
  <c r="S197" i="23" s="1"/>
  <c r="R197" i="23" s="1"/>
  <c r="U282" i="23"/>
  <c r="T282" i="23" s="1"/>
  <c r="S282" i="23" s="1"/>
  <c r="R282" i="23" s="1"/>
  <c r="U56" i="23"/>
  <c r="T56" i="23" s="1"/>
  <c r="S56" i="23" s="1"/>
  <c r="R56" i="23" s="1"/>
  <c r="U205" i="23"/>
  <c r="T205" i="23" s="1"/>
  <c r="S205" i="23" s="1"/>
  <c r="R205" i="23" s="1"/>
  <c r="U358" i="23"/>
  <c r="T358" i="23" s="1"/>
  <c r="S358" i="23" s="1"/>
  <c r="R358" i="23" s="1"/>
  <c r="U207" i="23"/>
  <c r="T207" i="23" s="1"/>
  <c r="S207" i="23" s="1"/>
  <c r="R207" i="23" s="1"/>
  <c r="U367" i="23"/>
  <c r="T367" i="23" s="1"/>
  <c r="S367" i="23" s="1"/>
  <c r="R367" i="23" s="1"/>
  <c r="U233" i="23"/>
  <c r="T233" i="23" s="1"/>
  <c r="S233" i="23" s="1"/>
  <c r="R233" i="23" s="1"/>
  <c r="U265" i="23"/>
  <c r="T265" i="23" s="1"/>
  <c r="S265" i="23" s="1"/>
  <c r="R265" i="23" s="1"/>
  <c r="U210" i="23"/>
  <c r="T210" i="23" s="1"/>
  <c r="S210" i="23" s="1"/>
  <c r="R210" i="23" s="1"/>
  <c r="U140" i="23"/>
  <c r="T140" i="23" s="1"/>
  <c r="S140" i="23" s="1"/>
  <c r="R140" i="23" s="1"/>
  <c r="U234" i="23"/>
  <c r="T234" i="23" s="1"/>
  <c r="S234" i="23" s="1"/>
  <c r="R234" i="23" s="1"/>
  <c r="U40" i="23"/>
  <c r="T40" i="23" s="1"/>
  <c r="S40" i="23" s="1"/>
  <c r="R40" i="23" s="1"/>
  <c r="U189" i="23"/>
  <c r="T189" i="23" s="1"/>
  <c r="S189" i="23" s="1"/>
  <c r="R189" i="23" s="1"/>
  <c r="U342" i="23"/>
  <c r="T342" i="23" s="1"/>
  <c r="S342" i="23" s="1"/>
  <c r="R342" i="23" s="1"/>
  <c r="U124" i="23"/>
  <c r="T124" i="23" s="1"/>
  <c r="S124" i="23" s="1"/>
  <c r="R124" i="23" s="1"/>
  <c r="U49" i="23"/>
  <c r="T49" i="23" s="1"/>
  <c r="S49" i="23" s="1"/>
  <c r="R49" i="23" s="1"/>
  <c r="U32" i="23"/>
  <c r="T32" i="23" s="1"/>
  <c r="S32" i="23" s="1"/>
  <c r="R32" i="23" s="1"/>
  <c r="U320" i="23"/>
  <c r="T320" i="23" s="1"/>
  <c r="S320" i="23" s="1"/>
  <c r="R320" i="23" s="1"/>
  <c r="U287" i="23"/>
  <c r="T287" i="23" s="1"/>
  <c r="S287" i="23" s="1"/>
  <c r="R287" i="23" s="1"/>
  <c r="U243" i="23"/>
  <c r="T243" i="23" s="1"/>
  <c r="S243" i="23" s="1"/>
  <c r="R243" i="23" s="1"/>
  <c r="U144" i="23"/>
  <c r="T144" i="23" s="1"/>
  <c r="S144" i="23" s="1"/>
  <c r="R144" i="23" s="1"/>
  <c r="U133" i="23"/>
  <c r="T133" i="23" s="1"/>
  <c r="S133" i="23" s="1"/>
  <c r="R133" i="23" s="1"/>
  <c r="U274" i="23"/>
  <c r="T274" i="23" s="1"/>
  <c r="S274" i="23" s="1"/>
  <c r="R274" i="23" s="1"/>
  <c r="U250" i="23"/>
  <c r="T250" i="23" s="1"/>
  <c r="S250" i="23" s="1"/>
  <c r="R250" i="23" s="1"/>
  <c r="U24" i="23"/>
  <c r="T24" i="23" s="1"/>
  <c r="S24" i="23" s="1"/>
  <c r="R24" i="23" s="1"/>
  <c r="U173" i="23"/>
  <c r="T173" i="23" s="1"/>
  <c r="S173" i="23" s="1"/>
  <c r="R173" i="23" s="1"/>
  <c r="U326" i="23"/>
  <c r="T326" i="23" s="1"/>
  <c r="S326" i="23" s="1"/>
  <c r="R326" i="23" s="1"/>
  <c r="U79" i="23"/>
  <c r="T79" i="23" s="1"/>
  <c r="S79" i="23" s="1"/>
  <c r="R79" i="23" s="1"/>
  <c r="U239" i="23"/>
  <c r="T239" i="23" s="1"/>
  <c r="S239" i="23" s="1"/>
  <c r="R239" i="23" s="1"/>
  <c r="U105" i="23"/>
  <c r="T105" i="23" s="1"/>
  <c r="S105" i="23" s="1"/>
  <c r="R105" i="23" s="1"/>
  <c r="U372" i="23"/>
  <c r="T372" i="23" s="1"/>
  <c r="S372" i="23" s="1"/>
  <c r="R372" i="23" s="1"/>
  <c r="U338" i="23"/>
  <c r="T338" i="23" s="1"/>
  <c r="S338" i="23" s="1"/>
  <c r="R338" i="23" s="1"/>
  <c r="U172" i="23"/>
  <c r="T172" i="23" s="1"/>
  <c r="S172" i="23" s="1"/>
  <c r="R172" i="23" s="1"/>
  <c r="U266" i="23"/>
  <c r="T266" i="23" s="1"/>
  <c r="S266" i="23" s="1"/>
  <c r="R266" i="23" s="1"/>
  <c r="U72" i="23"/>
  <c r="T72" i="23" s="1"/>
  <c r="S72" i="23" s="1"/>
  <c r="R72" i="23" s="1"/>
  <c r="U221" i="23"/>
  <c r="T221" i="23" s="1"/>
  <c r="S221" i="23" s="1"/>
  <c r="R221" i="23" s="1"/>
  <c r="U374" i="23"/>
  <c r="T374" i="23" s="1"/>
  <c r="S374" i="23" s="1"/>
  <c r="R374" i="23" s="1"/>
  <c r="U156" i="23"/>
  <c r="T156" i="23" s="1"/>
  <c r="S156" i="23" s="1"/>
  <c r="R156" i="23" s="1"/>
  <c r="U81" i="23"/>
  <c r="T81" i="23" s="1"/>
  <c r="S81" i="23" s="1"/>
  <c r="R81" i="23" s="1"/>
  <c r="U160" i="23"/>
  <c r="T160" i="23" s="1"/>
  <c r="S160" i="23" s="1"/>
  <c r="R160" i="23" s="1"/>
  <c r="U85" i="23"/>
  <c r="T85" i="23" s="1"/>
  <c r="S85" i="23" s="1"/>
  <c r="R85" i="23" s="1"/>
  <c r="U69" i="23"/>
  <c r="T69" i="23" s="1"/>
  <c r="S69" i="23" s="1"/>
  <c r="R69" i="23" s="1"/>
  <c r="U178" i="23"/>
  <c r="T178" i="23" s="1"/>
  <c r="S178" i="23" s="1"/>
  <c r="R178" i="23" s="1"/>
  <c r="U242" i="23"/>
  <c r="T242" i="23" s="1"/>
  <c r="S242" i="23" s="1"/>
  <c r="R242" i="23" s="1"/>
  <c r="U368" i="23"/>
  <c r="T368" i="23" s="1"/>
  <c r="S368" i="23" s="1"/>
  <c r="R368" i="23" s="1"/>
  <c r="U138" i="23"/>
  <c r="T138" i="23" s="1"/>
  <c r="S138" i="23" s="1"/>
  <c r="R138" i="23" s="1"/>
  <c r="U103" i="23"/>
  <c r="T103" i="23" s="1"/>
  <c r="S103" i="23" s="1"/>
  <c r="R103" i="23" s="1"/>
  <c r="U248" i="23"/>
  <c r="T248" i="23" s="1"/>
  <c r="S248" i="23" s="1"/>
  <c r="R248" i="23" s="1"/>
  <c r="U38" i="23"/>
  <c r="T38" i="23" s="1"/>
  <c r="S38" i="23" s="1"/>
  <c r="R38" i="23" s="1"/>
  <c r="U187" i="23"/>
  <c r="T187" i="23" s="1"/>
  <c r="S187" i="23" s="1"/>
  <c r="R187" i="23" s="1"/>
  <c r="U181" i="23"/>
  <c r="T181" i="23" s="1"/>
  <c r="S181" i="23" s="1"/>
  <c r="R181" i="23" s="1"/>
  <c r="U110" i="23"/>
  <c r="T110" i="23" s="1"/>
  <c r="S110" i="23" s="1"/>
  <c r="R110" i="23" s="1"/>
  <c r="U260" i="23"/>
  <c r="T260" i="23" s="1"/>
  <c r="S260" i="23" s="1"/>
  <c r="R260" i="23" s="1"/>
  <c r="U377" i="23"/>
  <c r="T377" i="23" s="1"/>
  <c r="S377" i="23" s="1"/>
  <c r="R377" i="23" s="1"/>
  <c r="U329" i="23"/>
  <c r="T329" i="23" s="1"/>
  <c r="S329" i="23" s="1"/>
  <c r="R329" i="23" s="1"/>
  <c r="U33" i="23"/>
  <c r="T33" i="23" s="1"/>
  <c r="S33" i="23" s="1"/>
  <c r="R33" i="23" s="1"/>
  <c r="U87" i="23"/>
  <c r="T87" i="23" s="1"/>
  <c r="S87" i="23" s="1"/>
  <c r="R87" i="23" s="1"/>
  <c r="U232" i="23"/>
  <c r="T232" i="23" s="1"/>
  <c r="S232" i="23" s="1"/>
  <c r="R232" i="23" s="1"/>
  <c r="U22" i="23"/>
  <c r="T22" i="23" s="1"/>
  <c r="S22" i="23" s="1"/>
  <c r="R22" i="23" s="1"/>
  <c r="U171" i="23"/>
  <c r="T171" i="23" s="1"/>
  <c r="S171" i="23" s="1"/>
  <c r="R171" i="23" s="1"/>
  <c r="U364" i="23"/>
  <c r="T364" i="23" s="1"/>
  <c r="S364" i="23" s="1"/>
  <c r="R364" i="23" s="1"/>
  <c r="U241" i="23"/>
  <c r="T241" i="23" s="1"/>
  <c r="S241" i="23" s="1"/>
  <c r="R241" i="23" s="1"/>
  <c r="U142" i="23"/>
  <c r="T142" i="23" s="1"/>
  <c r="S142" i="23" s="1"/>
  <c r="R142" i="23" s="1"/>
  <c r="U302" i="23"/>
  <c r="T302" i="23" s="1"/>
  <c r="S302" i="23" s="1"/>
  <c r="R302" i="23" s="1"/>
  <c r="U80" i="23"/>
  <c r="T80" i="23" s="1"/>
  <c r="S80" i="23" s="1"/>
  <c r="R80" i="23" s="1"/>
  <c r="U339" i="23"/>
  <c r="T339" i="23" s="1"/>
  <c r="S339" i="23" s="1"/>
  <c r="R339" i="23" s="1"/>
  <c r="U324" i="23"/>
  <c r="T324" i="23" s="1"/>
  <c r="S324" i="23" s="1"/>
  <c r="R324" i="23" s="1"/>
  <c r="U95" i="23"/>
  <c r="T95" i="23" s="1"/>
  <c r="S95" i="23" s="1"/>
  <c r="R95" i="23" s="1"/>
  <c r="U58" i="23"/>
  <c r="T58" i="23" s="1"/>
  <c r="S58" i="23" s="1"/>
  <c r="R58" i="23" s="1"/>
  <c r="U199" i="23"/>
  <c r="T199" i="23" s="1"/>
  <c r="S199" i="23" s="1"/>
  <c r="R199" i="23" s="1"/>
  <c r="U344" i="23"/>
  <c r="T344" i="23" s="1"/>
  <c r="S344" i="23" s="1"/>
  <c r="R344" i="23" s="1"/>
  <c r="U134" i="23"/>
  <c r="T134" i="23" s="1"/>
  <c r="S134" i="23" s="1"/>
  <c r="R134" i="23" s="1"/>
  <c r="U283" i="23"/>
  <c r="T283" i="23" s="1"/>
  <c r="S283" i="23" s="1"/>
  <c r="R283" i="23" s="1"/>
  <c r="U206" i="23"/>
  <c r="T206" i="23" s="1"/>
  <c r="S206" i="23" s="1"/>
  <c r="R206" i="23" s="1"/>
  <c r="U131" i="23"/>
  <c r="T131" i="23" s="1"/>
  <c r="S131" i="23" s="1"/>
  <c r="R131" i="23" s="1"/>
  <c r="U336" i="23"/>
  <c r="T336" i="23" s="1"/>
  <c r="S336" i="23" s="1"/>
  <c r="R336" i="23" s="1"/>
  <c r="U356" i="23"/>
  <c r="T356" i="23" s="1"/>
  <c r="S356" i="23" s="1"/>
  <c r="R356" i="23" s="1"/>
  <c r="U147" i="23"/>
  <c r="T147" i="23" s="1"/>
  <c r="S147" i="23" s="1"/>
  <c r="R147" i="23" s="1"/>
  <c r="U353" i="23"/>
  <c r="T353" i="23" s="1"/>
  <c r="S353" i="23" s="1"/>
  <c r="R353" i="23" s="1"/>
  <c r="U247" i="23"/>
  <c r="T247" i="23" s="1"/>
  <c r="S247" i="23" s="1"/>
  <c r="R247" i="23" s="1"/>
  <c r="U29" i="23"/>
  <c r="T29" i="23" s="1"/>
  <c r="S29" i="23" s="1"/>
  <c r="R29" i="23" s="1"/>
  <c r="U182" i="23"/>
  <c r="T182" i="23" s="1"/>
  <c r="S182" i="23" s="1"/>
  <c r="R182" i="23" s="1"/>
  <c r="U331" i="23"/>
  <c r="T331" i="23" s="1"/>
  <c r="S331" i="23" s="1"/>
  <c r="R331" i="23" s="1"/>
  <c r="U321" i="23"/>
  <c r="T321" i="23" s="1"/>
  <c r="S321" i="23" s="1"/>
  <c r="R321" i="23" s="1"/>
  <c r="U130" i="23"/>
  <c r="T130" i="23" s="1"/>
  <c r="S130" i="23" s="1"/>
  <c r="R130" i="23" s="1"/>
  <c r="U47" i="23"/>
  <c r="T47" i="23" s="1"/>
  <c r="S47" i="23" s="1"/>
  <c r="R47" i="23" s="1"/>
  <c r="U212" i="23"/>
  <c r="T212" i="23" s="1"/>
  <c r="S212" i="23" s="1"/>
  <c r="R212" i="23" s="1"/>
  <c r="U355" i="23"/>
  <c r="T355" i="23" s="1"/>
  <c r="S355" i="23" s="1"/>
  <c r="R355" i="23" s="1"/>
  <c r="U62" i="23"/>
  <c r="T62" i="23" s="1"/>
  <c r="S62" i="23" s="1"/>
  <c r="R62" i="23" s="1"/>
  <c r="U51" i="23"/>
  <c r="T51" i="23" s="1"/>
  <c r="S51" i="23" s="1"/>
  <c r="R51" i="23" s="1"/>
  <c r="U52" i="23"/>
  <c r="T52" i="23" s="1"/>
  <c r="S52" i="23" s="1"/>
  <c r="R52" i="23" s="1"/>
  <c r="U154" i="23"/>
  <c r="T154" i="23" s="1"/>
  <c r="S154" i="23" s="1"/>
  <c r="R154" i="23" s="1"/>
  <c r="U295" i="23"/>
  <c r="T295" i="23" s="1"/>
  <c r="S295" i="23" s="1"/>
  <c r="R295" i="23" s="1"/>
  <c r="U77" i="23"/>
  <c r="T77" i="23" s="1"/>
  <c r="S77" i="23" s="1"/>
  <c r="R77" i="23" s="1"/>
  <c r="U230" i="23"/>
  <c r="T230" i="23" s="1"/>
  <c r="S230" i="23" s="1"/>
  <c r="R230" i="23" s="1"/>
  <c r="U66" i="23"/>
  <c r="T66" i="23" s="1"/>
  <c r="S66" i="23" s="1"/>
  <c r="R66" i="23" s="1"/>
  <c r="U226" i="23"/>
  <c r="T226" i="23" s="1"/>
  <c r="S226" i="23" s="1"/>
  <c r="R226" i="23" s="1"/>
  <c r="U148" i="23"/>
  <c r="T148" i="23" s="1"/>
  <c r="S148" i="23" s="1"/>
  <c r="R148" i="23" s="1"/>
  <c r="U57" i="23"/>
  <c r="T57" i="23" s="1"/>
  <c r="S57" i="23" s="1"/>
  <c r="R57" i="23" s="1"/>
  <c r="U255" i="23"/>
  <c r="T255" i="23" s="1"/>
  <c r="S255" i="23" s="1"/>
  <c r="R255" i="23" s="1"/>
  <c r="U379" i="23"/>
  <c r="U42" i="23"/>
  <c r="T42" i="23" s="1"/>
  <c r="S42" i="23" s="1"/>
  <c r="R42" i="23" s="1"/>
  <c r="U279" i="23"/>
  <c r="T279" i="23" s="1"/>
  <c r="S279" i="23" s="1"/>
  <c r="R279" i="23" s="1"/>
  <c r="U61" i="23"/>
  <c r="T61" i="23" s="1"/>
  <c r="S61" i="23" s="1"/>
  <c r="R61" i="23" s="1"/>
  <c r="U214" i="23"/>
  <c r="T214" i="23" s="1"/>
  <c r="S214" i="23" s="1"/>
  <c r="R214" i="23" s="1"/>
  <c r="U363" i="23"/>
  <c r="T363" i="23" s="1"/>
  <c r="S363" i="23" s="1"/>
  <c r="R363" i="23" s="1"/>
  <c r="U284" i="23"/>
  <c r="T284" i="23" s="1"/>
  <c r="S284" i="23" s="1"/>
  <c r="R284" i="23" s="1"/>
  <c r="U258" i="23"/>
  <c r="T258" i="23" s="1"/>
  <c r="S258" i="23" s="1"/>
  <c r="R258" i="23" s="1"/>
  <c r="U175" i="23"/>
  <c r="T175" i="23" s="1"/>
  <c r="S175" i="23" s="1"/>
  <c r="R175" i="23" s="1"/>
  <c r="U340" i="23"/>
  <c r="T340" i="23" s="1"/>
  <c r="S340" i="23" s="1"/>
  <c r="R340" i="23" s="1"/>
  <c r="U244" i="23"/>
  <c r="T244" i="23" s="1"/>
  <c r="S244" i="23" s="1"/>
  <c r="R244" i="23" s="1"/>
  <c r="U293" i="23"/>
  <c r="T293" i="23" s="1"/>
  <c r="S293" i="23" s="1"/>
  <c r="R293" i="23" s="1"/>
  <c r="U286" i="23"/>
  <c r="T286" i="23" s="1"/>
  <c r="S286" i="23" s="1"/>
  <c r="R286" i="23" s="1"/>
  <c r="U163" i="23"/>
  <c r="T163" i="23" s="1"/>
  <c r="S163" i="23" s="1"/>
  <c r="R163" i="23" s="1"/>
  <c r="U122" i="23"/>
  <c r="T122" i="23" s="1"/>
  <c r="S122" i="23" s="1"/>
  <c r="R122" i="23" s="1"/>
  <c r="U263" i="23"/>
  <c r="T263" i="23" s="1"/>
  <c r="S263" i="23" s="1"/>
  <c r="R263" i="23" s="1"/>
  <c r="U45" i="23"/>
  <c r="T45" i="23" s="1"/>
  <c r="S45" i="23" s="1"/>
  <c r="R45" i="23" s="1"/>
  <c r="U198" i="23"/>
  <c r="T198" i="23" s="1"/>
  <c r="S198" i="23" s="1"/>
  <c r="R198" i="23" s="1"/>
  <c r="U347" i="23"/>
  <c r="T347" i="23" s="1"/>
  <c r="S347" i="23" s="1"/>
  <c r="R347" i="23" s="1"/>
  <c r="U98" i="23"/>
  <c r="T98" i="23" s="1"/>
  <c r="S98" i="23" s="1"/>
  <c r="R98" i="23" s="1"/>
  <c r="U20" i="23"/>
  <c r="T20" i="23" s="1"/>
  <c r="S20" i="23" s="1"/>
  <c r="R20" i="23" s="1"/>
  <c r="U275" i="23"/>
  <c r="T275" i="23" s="1"/>
  <c r="S275" i="23" s="1"/>
  <c r="R275" i="23" s="1"/>
  <c r="U18" i="23"/>
  <c r="T18" i="23" s="1"/>
  <c r="S18" i="23" s="1"/>
  <c r="R18" i="23" s="1"/>
  <c r="U44" i="23"/>
  <c r="T44" i="23" s="1"/>
  <c r="S44" i="23" s="1"/>
  <c r="R44" i="23" s="1"/>
  <c r="U106" i="23"/>
  <c r="T106" i="23" s="1"/>
  <c r="S106" i="23" s="1"/>
  <c r="R106" i="23" s="1"/>
  <c r="U311" i="23"/>
  <c r="T311" i="23" s="1"/>
  <c r="S311" i="23" s="1"/>
  <c r="R311" i="23" s="1"/>
  <c r="U93" i="23"/>
  <c r="T93" i="23" s="1"/>
  <c r="S93" i="23" s="1"/>
  <c r="R93" i="23" s="1"/>
  <c r="U246" i="23"/>
  <c r="T246" i="23" s="1"/>
  <c r="S246" i="23" s="1"/>
  <c r="R246" i="23" s="1"/>
  <c r="U28" i="23"/>
  <c r="T28" i="23" s="1"/>
  <c r="S28" i="23" s="1"/>
  <c r="R28" i="23" s="1"/>
  <c r="U316" i="23"/>
  <c r="T316" i="23" s="1"/>
  <c r="S316" i="23" s="1"/>
  <c r="R316" i="23" s="1"/>
  <c r="U15" i="23"/>
  <c r="U303" i="23"/>
  <c r="T303" i="23" s="1"/>
  <c r="S303" i="23" s="1"/>
  <c r="R303" i="23" s="1"/>
  <c r="U169" i="23"/>
  <c r="T169" i="23" s="1"/>
  <c r="S169" i="23" s="1"/>
  <c r="R169" i="23" s="1"/>
  <c r="U137" i="23"/>
  <c r="T137" i="23" s="1"/>
  <c r="S137" i="23" s="1"/>
  <c r="R137" i="23" s="1"/>
  <c r="U165" i="23"/>
  <c r="T165" i="23" s="1"/>
  <c r="S165" i="23" s="1"/>
  <c r="R165" i="23" s="1"/>
  <c r="U158" i="23"/>
  <c r="T158" i="23" s="1"/>
  <c r="S158" i="23" s="1"/>
  <c r="R158" i="23" s="1"/>
  <c r="U63" i="23"/>
  <c r="T63" i="23" s="1"/>
  <c r="S63" i="23" s="1"/>
  <c r="R63" i="23" s="1"/>
  <c r="U346" i="23"/>
  <c r="T346" i="23" s="1"/>
  <c r="S346" i="23" s="1"/>
  <c r="R346" i="23" s="1"/>
  <c r="U120" i="23"/>
  <c r="T120" i="23" s="1"/>
  <c r="S120" i="23" s="1"/>
  <c r="R120" i="23" s="1"/>
  <c r="U269" i="23"/>
  <c r="T269" i="23" s="1"/>
  <c r="S269" i="23" s="1"/>
  <c r="R269" i="23" s="1"/>
  <c r="U59" i="23"/>
  <c r="T59" i="23" s="1"/>
  <c r="S59" i="23" s="1"/>
  <c r="R59" i="23" s="1"/>
  <c r="U96" i="23"/>
  <c r="T96" i="23" s="1"/>
  <c r="S96" i="23" s="1"/>
  <c r="R96" i="23" s="1"/>
  <c r="U256" i="23"/>
  <c r="T256" i="23" s="1"/>
  <c r="S256" i="23" s="1"/>
  <c r="R256" i="23" s="1"/>
  <c r="U31" i="23"/>
  <c r="T31" i="23" s="1"/>
  <c r="S31" i="23" s="1"/>
  <c r="R31" i="23" s="1"/>
  <c r="U94" i="23"/>
  <c r="T94" i="23" s="1"/>
  <c r="S94" i="23" s="1"/>
  <c r="R94" i="23" s="1"/>
  <c r="U35" i="23"/>
  <c r="T35" i="23" s="1"/>
  <c r="S35" i="23" s="1"/>
  <c r="R35" i="23" s="1"/>
  <c r="U204" i="23"/>
  <c r="T204" i="23" s="1"/>
  <c r="S204" i="23" s="1"/>
  <c r="R204" i="23" s="1"/>
  <c r="U298" i="23"/>
  <c r="T298" i="23" s="1"/>
  <c r="S298" i="23" s="1"/>
  <c r="R298" i="23" s="1"/>
  <c r="U104" i="23"/>
  <c r="T104" i="23" s="1"/>
  <c r="S104" i="23" s="1"/>
  <c r="R104" i="23" s="1"/>
  <c r="U253" i="23"/>
  <c r="T253" i="23" s="1"/>
  <c r="S253" i="23" s="1"/>
  <c r="R253" i="23" s="1"/>
  <c r="U43" i="23"/>
  <c r="T43" i="23" s="1"/>
  <c r="S43" i="23" s="1"/>
  <c r="R43" i="23" s="1"/>
  <c r="U188" i="23"/>
  <c r="T188" i="23" s="1"/>
  <c r="S188" i="23" s="1"/>
  <c r="R188" i="23" s="1"/>
  <c r="U113" i="23"/>
  <c r="T113" i="23" s="1"/>
  <c r="S113" i="23" s="1"/>
  <c r="R113" i="23" s="1"/>
  <c r="U352" i="23"/>
  <c r="T352" i="23" s="1"/>
  <c r="S352" i="23" s="1"/>
  <c r="R352" i="23" s="1"/>
  <c r="U213" i="23"/>
  <c r="T213" i="23" s="1"/>
  <c r="S213" i="23" s="1"/>
  <c r="R213" i="23" s="1"/>
  <c r="U222" i="23"/>
  <c r="T222" i="23" s="1"/>
  <c r="S222" i="23" s="1"/>
  <c r="R222" i="23" s="1"/>
  <c r="U319" i="23"/>
  <c r="T319" i="23" s="1"/>
  <c r="S319" i="23" s="1"/>
  <c r="R319" i="23" s="1"/>
  <c r="U114" i="23"/>
  <c r="T114" i="23" s="1"/>
  <c r="S114" i="23" s="1"/>
  <c r="R114" i="23" s="1"/>
  <c r="U240" i="23"/>
  <c r="T240" i="23" s="1"/>
  <c r="S240" i="23" s="1"/>
  <c r="R240" i="23" s="1"/>
  <c r="U74" i="23"/>
  <c r="T74" i="23" s="1"/>
  <c r="S74" i="23" s="1"/>
  <c r="R74" i="23" s="1"/>
  <c r="U71" i="23"/>
  <c r="T71" i="23" s="1"/>
  <c r="S71" i="23" s="1"/>
  <c r="R71" i="23" s="1"/>
  <c r="U216" i="23"/>
  <c r="T216" i="23" s="1"/>
  <c r="S216" i="23" s="1"/>
  <c r="R216" i="23" s="1"/>
  <c r="U365" i="23"/>
  <c r="T365" i="23" s="1"/>
  <c r="S365" i="23" s="1"/>
  <c r="R365" i="23" s="1"/>
  <c r="U155" i="23"/>
  <c r="T155" i="23" s="1"/>
  <c r="S155" i="23" s="1"/>
  <c r="R155" i="23" s="1"/>
  <c r="U53" i="23"/>
  <c r="T53" i="23" s="1"/>
  <c r="S53" i="23" s="1"/>
  <c r="R53" i="23" s="1"/>
  <c r="U277" i="23"/>
  <c r="T277" i="23" s="1"/>
  <c r="S277" i="23" s="1"/>
  <c r="R277" i="23" s="1"/>
  <c r="U115" i="23"/>
  <c r="T115" i="23" s="1"/>
  <c r="S115" i="23" s="1"/>
  <c r="R115" i="23" s="1"/>
  <c r="U36" i="23"/>
  <c r="T36" i="23" s="1"/>
  <c r="S36" i="23" s="1"/>
  <c r="R36" i="23" s="1"/>
  <c r="U48" i="23"/>
  <c r="T48" i="23" s="1"/>
  <c r="S48" i="23" s="1"/>
  <c r="R48" i="23" s="1"/>
  <c r="U97" i="23"/>
  <c r="T97" i="23" s="1"/>
  <c r="S97" i="23" s="1"/>
  <c r="R97" i="23" s="1"/>
  <c r="U119" i="23"/>
  <c r="T119" i="23" s="1"/>
  <c r="S119" i="23" s="1"/>
  <c r="R119" i="23" s="1"/>
  <c r="U264" i="23"/>
  <c r="T264" i="23" s="1"/>
  <c r="S264" i="23" s="1"/>
  <c r="R264" i="23" s="1"/>
  <c r="U54" i="23"/>
  <c r="T54" i="23" s="1"/>
  <c r="S54" i="23" s="1"/>
  <c r="R54" i="23" s="1"/>
  <c r="U203" i="23"/>
  <c r="T203" i="23" s="1"/>
  <c r="S203" i="23" s="1"/>
  <c r="R203" i="23" s="1"/>
  <c r="U65" i="23"/>
  <c r="T65" i="23" s="1"/>
  <c r="S65" i="23" s="1"/>
  <c r="R65" i="23" s="1"/>
  <c r="U273" i="23"/>
  <c r="T273" i="23" s="1"/>
  <c r="S273" i="23" s="1"/>
  <c r="R273" i="23" s="1"/>
  <c r="U270" i="23"/>
  <c r="T270" i="23" s="1"/>
  <c r="S270" i="23" s="1"/>
  <c r="R270" i="23" s="1"/>
  <c r="U67" i="23"/>
  <c r="T67" i="23" s="1"/>
  <c r="S67" i="23" s="1"/>
  <c r="R67" i="23" s="1"/>
  <c r="U229" i="23"/>
  <c r="T229" i="23" s="1"/>
  <c r="S229" i="23" s="1"/>
  <c r="R229" i="23" s="1"/>
  <c r="U211" i="23"/>
  <c r="T211" i="23" s="1"/>
  <c r="S211" i="23" s="1"/>
  <c r="R211" i="23" s="1"/>
  <c r="U196" i="23"/>
  <c r="T196" i="23" s="1"/>
  <c r="S196" i="23" s="1"/>
  <c r="R196" i="23" s="1"/>
  <c r="U82" i="23"/>
  <c r="T82" i="23" s="1"/>
  <c r="S82" i="23" s="1"/>
  <c r="R82" i="23" s="1"/>
  <c r="AS16" i="7"/>
  <c r="U167" i="23"/>
  <c r="T167" i="23" s="1"/>
  <c r="S167" i="23" s="1"/>
  <c r="R167" i="23" s="1"/>
  <c r="U102" i="23"/>
  <c r="T102" i="23" s="1"/>
  <c r="S102" i="23" s="1"/>
  <c r="R102" i="23" s="1"/>
  <c r="U78" i="23"/>
  <c r="T78" i="23" s="1"/>
  <c r="S78" i="23" s="1"/>
  <c r="R78" i="23" s="1"/>
  <c r="U191" i="23"/>
  <c r="T191" i="23" s="1"/>
  <c r="S191" i="23" s="1"/>
  <c r="R191" i="23" s="1"/>
  <c r="U350" i="23"/>
  <c r="T350" i="23" s="1"/>
  <c r="S350" i="23" s="1"/>
  <c r="R350" i="23" s="1"/>
  <c r="U151" i="23"/>
  <c r="T151" i="23" s="1"/>
  <c r="S151" i="23" s="1"/>
  <c r="R151" i="23" s="1"/>
  <c r="U86" i="23"/>
  <c r="T86" i="23" s="1"/>
  <c r="S86" i="23" s="1"/>
  <c r="R86" i="23" s="1"/>
  <c r="U129" i="23"/>
  <c r="T129" i="23" s="1"/>
  <c r="S129" i="23" s="1"/>
  <c r="R129" i="23" s="1"/>
  <c r="U34" i="23"/>
  <c r="T34" i="23" s="1"/>
  <c r="S34" i="23" s="1"/>
  <c r="R34" i="23" s="1"/>
  <c r="U17" i="23"/>
  <c r="T17" i="23" s="1"/>
  <c r="S17" i="23" s="1"/>
  <c r="R17" i="23" s="1"/>
  <c r="U68" i="23"/>
  <c r="T68" i="23" s="1"/>
  <c r="S68" i="23" s="1"/>
  <c r="R68" i="23" s="1"/>
  <c r="U55" i="23"/>
  <c r="T55" i="23" s="1"/>
  <c r="S55" i="23" s="1"/>
  <c r="R55" i="23" s="1"/>
  <c r="U280" i="23"/>
  <c r="T280" i="23" s="1"/>
  <c r="S280" i="23" s="1"/>
  <c r="R280" i="23" s="1"/>
  <c r="U219" i="23"/>
  <c r="T219" i="23" s="1"/>
  <c r="S219" i="23" s="1"/>
  <c r="R219" i="23" s="1"/>
  <c r="U238" i="23"/>
  <c r="T238" i="23" s="1"/>
  <c r="S238" i="23" s="1"/>
  <c r="R238" i="23" s="1"/>
  <c r="U249" i="23"/>
  <c r="T249" i="23" s="1"/>
  <c r="S249" i="23" s="1"/>
  <c r="R249" i="23" s="1"/>
  <c r="U225" i="23"/>
  <c r="T225" i="23" s="1"/>
  <c r="S225" i="23" s="1"/>
  <c r="R225" i="23" s="1"/>
  <c r="U328" i="23"/>
  <c r="T328" i="23" s="1"/>
  <c r="S328" i="23" s="1"/>
  <c r="R328" i="23" s="1"/>
  <c r="U267" i="23"/>
  <c r="T267" i="23" s="1"/>
  <c r="S267" i="23" s="1"/>
  <c r="R267" i="23" s="1"/>
  <c r="U337" i="23"/>
  <c r="T337" i="23" s="1"/>
  <c r="S337" i="23" s="1"/>
  <c r="R337" i="23" s="1"/>
  <c r="U323" i="23"/>
  <c r="T323" i="23" s="1"/>
  <c r="S323" i="23" s="1"/>
  <c r="R323" i="23" s="1"/>
  <c r="U318" i="23"/>
  <c r="T318" i="23" s="1"/>
  <c r="S318" i="23" s="1"/>
  <c r="R318" i="23" s="1"/>
  <c r="U201" i="23"/>
  <c r="T201" i="23" s="1"/>
  <c r="S201" i="23" s="1"/>
  <c r="R201" i="23" s="1"/>
  <c r="U218" i="23"/>
  <c r="T218" i="23" s="1"/>
  <c r="S218" i="23" s="1"/>
  <c r="R218" i="23" s="1"/>
  <c r="U141" i="23"/>
  <c r="T141" i="23" s="1"/>
  <c r="S141" i="23" s="1"/>
  <c r="R141" i="23" s="1"/>
  <c r="U322" i="23"/>
  <c r="T322" i="23" s="1"/>
  <c r="S322" i="23" s="1"/>
  <c r="R322" i="23" s="1"/>
  <c r="U41" i="23"/>
  <c r="T41" i="23" s="1"/>
  <c r="S41" i="23" s="1"/>
  <c r="R41" i="23" s="1"/>
  <c r="U370" i="23"/>
  <c r="T370" i="23" s="1"/>
  <c r="S370" i="23" s="1"/>
  <c r="R370" i="23" s="1"/>
  <c r="U170" i="23"/>
  <c r="T170" i="23" s="1"/>
  <c r="S170" i="23" s="1"/>
  <c r="R170" i="23" s="1"/>
  <c r="U125" i="23"/>
  <c r="T125" i="23" s="1"/>
  <c r="S125" i="23" s="1"/>
  <c r="R125" i="23" s="1"/>
  <c r="U60" i="23"/>
  <c r="T60" i="23" s="1"/>
  <c r="S60" i="23" s="1"/>
  <c r="R60" i="23" s="1"/>
  <c r="U143" i="23"/>
  <c r="T143" i="23" s="1"/>
  <c r="S143" i="23" s="1"/>
  <c r="R143" i="23" s="1"/>
  <c r="U297" i="23"/>
  <c r="T297" i="23" s="1"/>
  <c r="S297" i="23" s="1"/>
  <c r="R297" i="23" s="1"/>
  <c r="U37" i="23"/>
  <c r="T37" i="23" s="1"/>
  <c r="S37" i="23" s="1"/>
  <c r="R37" i="23" s="1"/>
  <c r="U132" i="23"/>
  <c r="T132" i="23" s="1"/>
  <c r="S132" i="23" s="1"/>
  <c r="R132" i="23" s="1"/>
  <c r="U88" i="23"/>
  <c r="T88" i="23" s="1"/>
  <c r="S88" i="23" s="1"/>
  <c r="R88" i="23" s="1"/>
  <c r="U27" i="23"/>
  <c r="T27" i="23" s="1"/>
  <c r="S27" i="23" s="1"/>
  <c r="R27" i="23" s="1"/>
  <c r="U128" i="23"/>
  <c r="T128" i="23" s="1"/>
  <c r="S128" i="23" s="1"/>
  <c r="R128" i="23" s="1"/>
  <c r="U159" i="23"/>
  <c r="T159" i="23" s="1"/>
  <c r="S159" i="23" s="1"/>
  <c r="R159" i="23" s="1"/>
  <c r="U236" i="23"/>
  <c r="T236" i="23" s="1"/>
  <c r="S236" i="23" s="1"/>
  <c r="R236" i="23" s="1"/>
  <c r="U136" i="23"/>
  <c r="T136" i="23" s="1"/>
  <c r="S136" i="23" s="1"/>
  <c r="R136" i="23" s="1"/>
  <c r="U75" i="23"/>
  <c r="T75" i="23" s="1"/>
  <c r="S75" i="23" s="1"/>
  <c r="R75" i="23" s="1"/>
  <c r="U145" i="23"/>
  <c r="T145" i="23" s="1"/>
  <c r="S145" i="23" s="1"/>
  <c r="R145" i="23" s="1"/>
  <c r="U341" i="23"/>
  <c r="T341" i="23" s="1"/>
  <c r="S341" i="23" s="1"/>
  <c r="R341" i="23" s="1"/>
  <c r="U254" i="23"/>
  <c r="T254" i="23" s="1"/>
  <c r="S254" i="23" s="1"/>
  <c r="R254" i="23" s="1"/>
  <c r="U112" i="23"/>
  <c r="T112" i="23" s="1"/>
  <c r="S112" i="23" s="1"/>
  <c r="R112" i="23" s="1"/>
  <c r="U39" i="23"/>
  <c r="T39" i="23" s="1"/>
  <c r="S39" i="23" s="1"/>
  <c r="R39" i="23" s="1"/>
  <c r="U333" i="23"/>
  <c r="T333" i="23" s="1"/>
  <c r="S333" i="23" s="1"/>
  <c r="R333" i="23" s="1"/>
  <c r="U288" i="23"/>
  <c r="T288" i="23" s="1"/>
  <c r="S288" i="23" s="1"/>
  <c r="R288" i="23" s="1"/>
  <c r="U149" i="23"/>
  <c r="T149" i="23" s="1"/>
  <c r="S149" i="23" s="1"/>
  <c r="R149" i="23" s="1"/>
  <c r="U101" i="23"/>
  <c r="T101" i="23" s="1"/>
  <c r="S101" i="23" s="1"/>
  <c r="R101" i="23" s="1"/>
  <c r="U268" i="23"/>
  <c r="T268" i="23" s="1"/>
  <c r="S268" i="23" s="1"/>
  <c r="R268" i="23" s="1"/>
  <c r="U168" i="23"/>
  <c r="T168" i="23" s="1"/>
  <c r="S168" i="23" s="1"/>
  <c r="R168" i="23" s="1"/>
  <c r="U107" i="23"/>
  <c r="T107" i="23" s="1"/>
  <c r="S107" i="23" s="1"/>
  <c r="R107" i="23" s="1"/>
  <c r="U177" i="23"/>
  <c r="T177" i="23" s="1"/>
  <c r="S177" i="23" s="1"/>
  <c r="R177" i="23" s="1"/>
  <c r="U46" i="23"/>
  <c r="T46" i="23" s="1"/>
  <c r="S46" i="23" s="1"/>
  <c r="R46" i="23" s="1"/>
  <c r="U185" i="23"/>
  <c r="T185" i="23" s="1"/>
  <c r="S185" i="23" s="1"/>
  <c r="R185" i="23" s="1"/>
  <c r="U351" i="23"/>
  <c r="T351" i="23" s="1"/>
  <c r="S351" i="23" s="1"/>
  <c r="R351" i="23" s="1"/>
  <c r="U378" i="23"/>
  <c r="T378" i="23" s="1"/>
  <c r="S378" i="23" s="1"/>
  <c r="R378" i="23" s="1"/>
  <c r="U301" i="23"/>
  <c r="T301" i="23" s="1"/>
  <c r="S301" i="23" s="1"/>
  <c r="R301" i="23" s="1"/>
  <c r="U224" i="23"/>
  <c r="T224" i="23" s="1"/>
  <c r="S224" i="23" s="1"/>
  <c r="R224" i="23" s="1"/>
  <c r="U176" i="23"/>
  <c r="T176" i="23" s="1"/>
  <c r="S176" i="23" s="1"/>
  <c r="R176" i="23" s="1"/>
  <c r="U73" i="23"/>
  <c r="T73" i="23" s="1"/>
  <c r="S73" i="23" s="1"/>
  <c r="R73" i="23" s="1"/>
  <c r="U23" i="23"/>
  <c r="T23" i="23" s="1"/>
  <c r="S23" i="23" s="1"/>
  <c r="R23" i="23" s="1"/>
  <c r="U349" i="23"/>
  <c r="T349" i="23" s="1"/>
  <c r="S349" i="23" s="1"/>
  <c r="R349" i="23" s="1"/>
  <c r="U300" i="23"/>
  <c r="T300" i="23" s="1"/>
  <c r="S300" i="23" s="1"/>
  <c r="R300" i="23" s="1"/>
  <c r="U373" i="23"/>
  <c r="T373" i="23" s="1"/>
  <c r="S373" i="23" s="1"/>
  <c r="R373" i="23" s="1"/>
  <c r="U306" i="23"/>
  <c r="T306" i="23" s="1"/>
  <c r="S306" i="23" s="1"/>
  <c r="R306" i="23" s="1"/>
  <c r="U89" i="23"/>
  <c r="T89" i="23" s="1"/>
  <c r="S89" i="23" s="1"/>
  <c r="R89" i="23" s="1"/>
  <c r="U90" i="23"/>
  <c r="T90" i="23" s="1"/>
  <c r="S90" i="23" s="1"/>
  <c r="R90" i="23" s="1"/>
  <c r="U376" i="23"/>
  <c r="T376" i="23" s="1"/>
  <c r="S376" i="23" s="1"/>
  <c r="R376" i="23" s="1"/>
  <c r="U315" i="23"/>
  <c r="T315" i="23" s="1"/>
  <c r="S315" i="23" s="1"/>
  <c r="R315" i="23" s="1"/>
  <c r="U259" i="23"/>
  <c r="T259" i="23" s="1"/>
  <c r="S259" i="23" s="1"/>
  <c r="R259" i="23" s="1"/>
  <c r="U228" i="23"/>
  <c r="T228" i="23" s="1"/>
  <c r="S228" i="23" s="1"/>
  <c r="R228" i="23" s="1"/>
  <c r="U289" i="23"/>
  <c r="T289" i="23" s="1"/>
  <c r="S289" i="23" s="1"/>
  <c r="R289" i="23" s="1"/>
  <c r="U360" i="23"/>
  <c r="T360" i="23" s="1"/>
  <c r="S360" i="23" s="1"/>
  <c r="R360" i="23" s="1"/>
  <c r="U299" i="23"/>
  <c r="T299" i="23" s="1"/>
  <c r="S299" i="23" s="1"/>
  <c r="R299" i="23" s="1"/>
  <c r="U369" i="23"/>
  <c r="T369" i="23" s="1"/>
  <c r="S369" i="23" s="1"/>
  <c r="R369" i="23" s="1"/>
  <c r="U84" i="23"/>
  <c r="T84" i="23" s="1"/>
  <c r="S84" i="23" s="1"/>
  <c r="R84" i="23" s="1"/>
  <c r="U190" i="23"/>
  <c r="T190" i="23" s="1"/>
  <c r="S190" i="23" s="1"/>
  <c r="R190" i="23" s="1"/>
  <c r="U308" i="23"/>
  <c r="T308" i="23" s="1"/>
  <c r="S308" i="23" s="1"/>
  <c r="R308" i="23" s="1"/>
  <c r="U327" i="23"/>
  <c r="T327" i="23" s="1"/>
  <c r="S327" i="23" s="1"/>
  <c r="R327" i="23" s="1"/>
  <c r="U262" i="23"/>
  <c r="T262" i="23" s="1"/>
  <c r="S262" i="23" s="1"/>
  <c r="R262" i="23" s="1"/>
  <c r="U354" i="23"/>
  <c r="T354" i="23" s="1"/>
  <c r="S354" i="23" s="1"/>
  <c r="R354" i="23" s="1"/>
  <c r="U227" i="23"/>
  <c r="T227" i="23" s="1"/>
  <c r="S227" i="23" s="1"/>
  <c r="R227" i="23" s="1"/>
  <c r="U108" i="23"/>
  <c r="T108" i="23" s="1"/>
  <c r="S108" i="23" s="1"/>
  <c r="R108" i="23" s="1"/>
  <c r="U375" i="23"/>
  <c r="T375" i="23" s="1"/>
  <c r="S375" i="23" s="1"/>
  <c r="R375" i="23" s="1"/>
  <c r="U157" i="23"/>
  <c r="T157" i="23" s="1"/>
  <c r="S157" i="23" s="1"/>
  <c r="R157" i="23" s="1"/>
  <c r="U92" i="23"/>
  <c r="T92" i="23" s="1"/>
  <c r="S92" i="23" s="1"/>
  <c r="R92" i="23" s="1"/>
  <c r="U271" i="23"/>
  <c r="T271" i="23" s="1"/>
  <c r="S271" i="23" s="1"/>
  <c r="R271" i="23" s="1"/>
  <c r="U146" i="23"/>
  <c r="T146" i="23" s="1"/>
  <c r="S146" i="23" s="1"/>
  <c r="R146" i="23" s="1"/>
  <c r="U272" i="23"/>
  <c r="T272" i="23" s="1"/>
  <c r="S272" i="23" s="1"/>
  <c r="R272" i="23" s="1"/>
  <c r="AG4" i="6"/>
  <c r="J54" i="20"/>
  <c r="I54" i="20"/>
  <c r="J28" i="20"/>
  <c r="I28" i="20"/>
  <c r="AI4" i="6"/>
  <c r="D7" i="6"/>
  <c r="W7" i="7"/>
  <c r="J382" i="17"/>
  <c r="J381" i="17"/>
  <c r="J383" i="17"/>
  <c r="Q62" i="23"/>
  <c r="P62" i="23" s="1"/>
  <c r="V62" i="23" s="1"/>
  <c r="B62" i="23" s="1"/>
  <c r="Q261" i="23"/>
  <c r="Q118" i="23"/>
  <c r="Q163" i="23"/>
  <c r="Q67" i="23"/>
  <c r="Q149" i="23"/>
  <c r="Q354" i="23"/>
  <c r="P354" i="23" s="1"/>
  <c r="V354" i="23" s="1"/>
  <c r="B354" i="23" s="1"/>
  <c r="Q184" i="23"/>
  <c r="P184" i="23" s="1"/>
  <c r="V184" i="23" s="1"/>
  <c r="B184" i="23" s="1"/>
  <c r="Q225" i="23"/>
  <c r="Q49" i="23"/>
  <c r="P49" i="23" s="1"/>
  <c r="V49" i="23" s="1"/>
  <c r="B49" i="23" s="1"/>
  <c r="Q237" i="23"/>
  <c r="P237" i="23" s="1"/>
  <c r="V237" i="23" s="1"/>
  <c r="B237" i="23" s="1"/>
  <c r="Q360" i="23"/>
  <c r="Q80" i="23"/>
  <c r="P80" i="23" s="1"/>
  <c r="V80" i="23" s="1"/>
  <c r="B80" i="23" s="1"/>
  <c r="Q357" i="23"/>
  <c r="P357" i="23" s="1"/>
  <c r="V357" i="23" s="1"/>
  <c r="B357" i="23" s="1"/>
  <c r="Q306" i="23"/>
  <c r="P306" i="23" s="1"/>
  <c r="V306" i="23" s="1"/>
  <c r="B306" i="23" s="1"/>
  <c r="Q355" i="23"/>
  <c r="Q217" i="23"/>
  <c r="P217" i="23" s="1"/>
  <c r="V217" i="23" s="1"/>
  <c r="B217" i="23" s="1"/>
  <c r="Q275" i="23"/>
  <c r="Q20" i="23"/>
  <c r="P20" i="23" s="1"/>
  <c r="V20" i="23" s="1"/>
  <c r="B20" i="23" s="1"/>
  <c r="Q174" i="23"/>
  <c r="Q47" i="23"/>
  <c r="Q263" i="23"/>
  <c r="Q254" i="23"/>
  <c r="Q239" i="23"/>
  <c r="Q63" i="23"/>
  <c r="P63" i="23" s="1"/>
  <c r="V63" i="23" s="1"/>
  <c r="B63" i="23" s="1"/>
  <c r="Q356" i="23"/>
  <c r="Q311" i="23"/>
  <c r="Q92" i="23"/>
  <c r="Q318" i="23"/>
  <c r="P318" i="23" s="1"/>
  <c r="V318" i="23" s="1"/>
  <c r="B318" i="23" s="1"/>
  <c r="Q23" i="23"/>
  <c r="Q271" i="23"/>
  <c r="P271" i="23" s="1"/>
  <c r="V271" i="23" s="1"/>
  <c r="B271" i="23" s="1"/>
  <c r="Q158" i="23"/>
  <c r="Q100" i="23"/>
  <c r="Q152" i="23"/>
  <c r="Q314" i="23"/>
  <c r="Q168" i="23"/>
  <c r="Q147" i="23"/>
  <c r="Q106" i="23"/>
  <c r="Q180" i="23"/>
  <c r="P180" i="23" s="1"/>
  <c r="Q223" i="23"/>
  <c r="Q264" i="23"/>
  <c r="Q51" i="23"/>
  <c r="P51" i="23" s="1"/>
  <c r="V51" i="23" s="1"/>
  <c r="B51" i="23" s="1"/>
  <c r="Q265" i="23"/>
  <c r="Q332" i="23"/>
  <c r="Q89" i="23"/>
  <c r="Q299" i="23"/>
  <c r="Q134" i="23"/>
  <c r="Q133" i="23"/>
  <c r="P133" i="23" s="1"/>
  <c r="V133" i="23" s="1"/>
  <c r="B133" i="23" s="1"/>
  <c r="Q226" i="23"/>
  <c r="P226" i="23" s="1"/>
  <c r="V226" i="23" s="1"/>
  <c r="Q74" i="23"/>
  <c r="Q209" i="23"/>
  <c r="Q33" i="23"/>
  <c r="P33" i="23" s="1"/>
  <c r="V33" i="23" s="1"/>
  <c r="B33" i="23" s="1"/>
  <c r="Q205" i="23"/>
  <c r="P205" i="23" s="1"/>
  <c r="V205" i="23" s="1"/>
  <c r="B205" i="23" s="1"/>
  <c r="Q296" i="23"/>
  <c r="P296" i="23" s="1"/>
  <c r="V296" i="23" s="1"/>
  <c r="B296" i="23" s="1"/>
  <c r="Q17" i="23"/>
  <c r="P17" i="23" s="1"/>
  <c r="V17" i="23" s="1"/>
  <c r="B17" i="23" s="1"/>
  <c r="Q68" i="23"/>
  <c r="Q341" i="23"/>
  <c r="P341" i="23" s="1"/>
  <c r="V341" i="23" s="1"/>
  <c r="B341" i="23" s="1"/>
  <c r="Q270" i="23"/>
  <c r="Q119" i="23"/>
  <c r="P119" i="23" s="1"/>
  <c r="Q375" i="23"/>
  <c r="Q178" i="23"/>
  <c r="P178" i="23" s="1"/>
  <c r="V178" i="23" s="1"/>
  <c r="B178" i="23" s="1"/>
  <c r="Q161" i="23"/>
  <c r="Q124" i="23"/>
  <c r="P124" i="23" s="1"/>
  <c r="V124" i="23" s="1"/>
  <c r="B124" i="23" s="1"/>
  <c r="Q202" i="23"/>
  <c r="P202" i="23" s="1"/>
  <c r="V202" i="23" s="1"/>
  <c r="B202" i="23" s="1"/>
  <c r="Q323" i="23"/>
  <c r="Q109" i="23"/>
  <c r="P109" i="23" s="1"/>
  <c r="V109" i="23" s="1"/>
  <c r="B109" i="23" s="1"/>
  <c r="Q366" i="23"/>
  <c r="P366" i="23" s="1"/>
  <c r="V366" i="23" s="1"/>
  <c r="B366" i="23" s="1"/>
  <c r="Q104" i="23"/>
  <c r="Q185" i="23"/>
  <c r="Q186" i="23"/>
  <c r="Q256" i="23"/>
  <c r="P256" i="23" s="1"/>
  <c r="V256" i="23" s="1"/>
  <c r="B256" i="23" s="1"/>
  <c r="Q229" i="23"/>
  <c r="Q53" i="23"/>
  <c r="P53" i="23" s="1"/>
  <c r="V53" i="23" s="1"/>
  <c r="B53" i="23" s="1"/>
  <c r="Q344" i="23"/>
  <c r="Q305" i="23"/>
  <c r="Q96" i="23"/>
  <c r="P96" i="23" s="1"/>
  <c r="V96" i="23" s="1"/>
  <c r="B96" i="23" s="1"/>
  <c r="Q66" i="23"/>
  <c r="Q218" i="23"/>
  <c r="Q251" i="23"/>
  <c r="Q211" i="23"/>
  <c r="Q240" i="23"/>
  <c r="P240" i="23" s="1"/>
  <c r="V240" i="23" s="1"/>
  <c r="B240" i="23" s="1"/>
  <c r="Q39" i="23"/>
  <c r="Q253" i="23"/>
  <c r="Q308" i="23"/>
  <c r="Q77" i="23"/>
  <c r="Q287" i="23"/>
  <c r="Q70" i="23"/>
  <c r="P70" i="23" s="1"/>
  <c r="V70" i="23" s="1"/>
  <c r="B70" i="23" s="1"/>
  <c r="Q44" i="23"/>
  <c r="P44" i="23" s="1"/>
  <c r="V44" i="23" s="1"/>
  <c r="B44" i="23" s="1"/>
  <c r="Q329" i="23"/>
  <c r="P329" i="23" s="1"/>
  <c r="V329" i="23" s="1"/>
  <c r="B329" i="23" s="1"/>
  <c r="Q222" i="23"/>
  <c r="P222" i="23" s="1"/>
  <c r="V222" i="23" s="1"/>
  <c r="B222" i="23" s="1"/>
  <c r="Q107" i="23"/>
  <c r="P107" i="23" s="1"/>
  <c r="V107" i="23" s="1"/>
  <c r="B107" i="23" s="1"/>
  <c r="Q363" i="23"/>
  <c r="P363" i="23" s="1"/>
  <c r="AE250" i="23"/>
  <c r="AE69" i="23"/>
  <c r="AE327" i="23"/>
  <c r="AE156" i="23"/>
  <c r="AE362" i="23"/>
  <c r="AE235" i="23"/>
  <c r="AE62" i="23"/>
  <c r="AE284" i="23"/>
  <c r="AE175" i="23"/>
  <c r="AE353" i="23"/>
  <c r="AE214" i="23"/>
  <c r="AE99" i="23"/>
  <c r="AE277" i="23"/>
  <c r="AE152" i="23"/>
  <c r="AE23" i="23"/>
  <c r="AE201" i="23"/>
  <c r="AE90" i="23"/>
  <c r="AE294" i="23"/>
  <c r="AE157" i="23"/>
  <c r="AE40" i="23"/>
  <c r="AE260" i="23"/>
  <c r="AE81" i="23"/>
  <c r="AE371" i="23"/>
  <c r="AE115" i="23"/>
  <c r="AE218" i="23"/>
  <c r="AE293" i="23"/>
  <c r="AE37" i="23"/>
  <c r="AE168" i="23"/>
  <c r="AE295" i="23"/>
  <c r="AE39" i="23"/>
  <c r="AE120" i="23"/>
  <c r="AE217" i="23"/>
  <c r="AE322" i="23"/>
  <c r="AE106" i="23"/>
  <c r="AE203" i="23"/>
  <c r="AE318" i="23"/>
  <c r="AE26" i="23"/>
  <c r="AE141" i="23"/>
  <c r="AE256" i="23"/>
  <c r="AE24" i="23"/>
  <c r="AE143" i="23"/>
  <c r="AE244" i="23"/>
  <c r="AE321" i="23"/>
  <c r="AE65" i="23"/>
  <c r="AE190" i="23"/>
  <c r="AE323" i="23"/>
  <c r="AE67" i="23"/>
  <c r="AE154" i="23"/>
  <c r="AE245" i="23"/>
  <c r="AE348" i="23"/>
  <c r="AE128" i="23"/>
  <c r="AE247" i="23"/>
  <c r="AE356" i="23"/>
  <c r="AE72" i="23"/>
  <c r="AE169" i="23"/>
  <c r="AE282" i="23"/>
  <c r="AE50" i="23"/>
  <c r="AE155" i="23"/>
  <c r="AE258" i="23"/>
  <c r="AE317" i="23"/>
  <c r="AE61" i="23"/>
  <c r="AE188" i="23"/>
  <c r="AE319" i="23"/>
  <c r="AE63" i="23"/>
  <c r="AE140" i="23"/>
  <c r="AE241" i="23"/>
  <c r="AE346" i="23"/>
  <c r="AE126" i="23"/>
  <c r="AE211" i="23"/>
  <c r="AE174" i="23"/>
  <c r="AE372" i="23"/>
  <c r="AE263" i="23"/>
  <c r="AE80" i="23"/>
  <c r="AE298" i="23"/>
  <c r="AE171" i="23"/>
  <c r="AE365" i="23"/>
  <c r="AE224" i="23"/>
  <c r="AE111" i="23"/>
  <c r="AE289" i="23"/>
  <c r="AE166" i="23"/>
  <c r="AE35" i="23"/>
  <c r="AE213" i="23"/>
  <c r="AE100" i="23"/>
  <c r="AE328" i="23"/>
  <c r="AE137" i="23"/>
  <c r="AE22" i="23"/>
  <c r="AE226" i="23"/>
  <c r="AE93" i="23"/>
  <c r="AE351" i="23"/>
  <c r="AE184" i="23"/>
  <c r="AE17" i="23"/>
  <c r="AE326" i="23"/>
  <c r="AE197" i="23"/>
  <c r="AE84" i="23"/>
  <c r="AE304" i="23"/>
  <c r="AE121" i="23"/>
  <c r="AE363" i="23"/>
  <c r="AE210" i="23"/>
  <c r="AE45" i="23"/>
  <c r="AE303" i="23"/>
  <c r="AE124" i="23"/>
  <c r="AE330" i="23"/>
  <c r="AE227" i="23"/>
  <c r="AE54" i="23"/>
  <c r="AE264" i="23"/>
  <c r="AE151" i="23"/>
  <c r="AE329" i="23"/>
  <c r="AE194" i="23"/>
  <c r="AE59" i="23"/>
  <c r="AE285" i="23"/>
  <c r="AE160" i="23"/>
  <c r="AE336" i="23"/>
  <c r="AE209" i="23"/>
  <c r="AE98" i="23"/>
  <c r="AE179" i="23"/>
  <c r="AE286" i="23"/>
  <c r="AE357" i="23"/>
  <c r="AE101" i="23"/>
  <c r="AE216" i="23"/>
  <c r="AE359" i="23"/>
  <c r="AE103" i="23"/>
  <c r="AE204" i="23"/>
  <c r="AE281" i="23"/>
  <c r="AE25" i="23"/>
  <c r="AE158" i="23"/>
  <c r="AE267" i="23"/>
  <c r="AE378" i="23"/>
  <c r="AE86" i="23"/>
  <c r="AE205" i="23"/>
  <c r="AE312" i="23"/>
  <c r="AE92" i="23"/>
  <c r="AE207" i="23"/>
  <c r="AE320" i="23"/>
  <c r="AE28" i="23"/>
  <c r="AE129" i="23"/>
  <c r="AE246" i="23"/>
  <c r="AE19" i="23"/>
  <c r="AE131" i="23"/>
  <c r="AE234" i="23"/>
  <c r="AE309" i="23"/>
  <c r="AE53" i="23"/>
  <c r="AE180" i="23"/>
  <c r="AE311" i="23"/>
  <c r="AE55" i="23"/>
  <c r="AE132" i="23"/>
  <c r="AE233" i="23"/>
  <c r="AE338" i="23"/>
  <c r="AE114" i="23"/>
  <c r="AE219" i="23"/>
  <c r="AE334" i="23"/>
  <c r="AE42" i="23"/>
  <c r="AE125" i="23"/>
  <c r="AE240" i="23"/>
  <c r="AE16" i="23"/>
  <c r="AE127" i="23"/>
  <c r="AE228" i="23"/>
  <c r="AE305" i="23"/>
  <c r="AE49" i="23"/>
  <c r="AE178" i="23"/>
  <c r="AE275" i="23"/>
  <c r="AE18" i="23"/>
  <c r="AE133" i="23"/>
  <c r="AE20" i="23"/>
  <c r="AE236" i="23"/>
  <c r="AE57" i="23"/>
  <c r="AE299" i="23"/>
  <c r="AE122" i="23"/>
  <c r="AE340" i="23"/>
  <c r="AE239" i="23"/>
  <c r="AE64" i="23"/>
  <c r="AE274" i="23"/>
  <c r="AE163" i="23"/>
  <c r="AE341" i="23"/>
  <c r="AE200" i="23"/>
  <c r="AE87" i="23"/>
  <c r="AE265" i="23"/>
  <c r="AE146" i="23"/>
  <c r="AE358" i="23"/>
  <c r="AE221" i="23"/>
  <c r="AE108" i="23"/>
  <c r="AE31" i="23"/>
  <c r="AE145" i="23"/>
  <c r="AE30" i="23"/>
  <c r="Q197" i="23"/>
  <c r="P197" i="23" s="1"/>
  <c r="V197" i="23" s="1"/>
  <c r="B197" i="23" s="1"/>
  <c r="Q196" i="23"/>
  <c r="P196" i="23" s="1"/>
  <c r="V196" i="23" s="1"/>
  <c r="B196" i="23" s="1"/>
  <c r="D196" i="23" s="1"/>
  <c r="E196" i="23" s="1"/>
  <c r="F196" i="23" s="1"/>
  <c r="Q21" i="23"/>
  <c r="Q231" i="23"/>
  <c r="Q216" i="23"/>
  <c r="P216" i="23" s="1"/>
  <c r="V216" i="23" s="1"/>
  <c r="B216" i="23" s="1"/>
  <c r="Q59" i="23"/>
  <c r="P59" i="23" s="1"/>
  <c r="V59" i="23" s="1"/>
  <c r="B59" i="23" s="1"/>
  <c r="Q273" i="23"/>
  <c r="P273" i="23" s="1"/>
  <c r="V273" i="23" s="1"/>
  <c r="B273" i="23" s="1"/>
  <c r="Q348" i="23"/>
  <c r="Q97" i="23"/>
  <c r="P97" i="23" s="1"/>
  <c r="V97" i="23" s="1"/>
  <c r="B97" i="23" s="1"/>
  <c r="Q102" i="23"/>
  <c r="P102" i="23" s="1"/>
  <c r="V102" i="23" s="1"/>
  <c r="B102" i="23" s="1"/>
  <c r="Q333" i="23"/>
  <c r="Q111" i="23"/>
  <c r="P111" i="23" s="1"/>
  <c r="V111" i="23" s="1"/>
  <c r="B111" i="23" s="1"/>
  <c r="Q114" i="23"/>
  <c r="P114" i="23" s="1"/>
  <c r="V114" i="23" s="1"/>
  <c r="B114" i="23" s="1"/>
  <c r="Q108" i="23"/>
  <c r="P108" i="23" s="1"/>
  <c r="V108" i="23" s="1"/>
  <c r="B108" i="23" s="1"/>
  <c r="Q187" i="23"/>
  <c r="P187" i="23" s="1"/>
  <c r="V187" i="23" s="1"/>
  <c r="B187" i="23" s="1"/>
  <c r="Q31" i="23"/>
  <c r="Q117" i="23"/>
  <c r="P117" i="23" s="1"/>
  <c r="V117" i="23" s="1"/>
  <c r="B117" i="23" s="1"/>
  <c r="Q245" i="23"/>
  <c r="P245" i="23" s="1"/>
  <c r="V245" i="23" s="1"/>
  <c r="B245" i="23" s="1"/>
  <c r="Q373" i="23"/>
  <c r="P373" i="23" s="1"/>
  <c r="V373" i="23" s="1"/>
  <c r="B373" i="23" s="1"/>
  <c r="Q292" i="23"/>
  <c r="P292" i="23" s="1"/>
  <c r="V292" i="23" s="1"/>
  <c r="B292" i="23" s="1"/>
  <c r="Q94" i="23"/>
  <c r="Q69" i="23"/>
  <c r="Q151" i="23"/>
  <c r="Q279" i="23"/>
  <c r="P279" i="23" s="1"/>
  <c r="V279" i="23" s="1"/>
  <c r="B279" i="23" s="1"/>
  <c r="Q120" i="23"/>
  <c r="Q376" i="23"/>
  <c r="Q170" i="23"/>
  <c r="P170" i="23" s="1"/>
  <c r="V170" i="23" s="1"/>
  <c r="B170" i="23" s="1"/>
  <c r="Q28" i="23"/>
  <c r="P28" i="23" s="1"/>
  <c r="V28" i="23" s="1"/>
  <c r="B28" i="23" s="1"/>
  <c r="Q193" i="23"/>
  <c r="Q321" i="23"/>
  <c r="Q188" i="23"/>
  <c r="P188" i="23" s="1"/>
  <c r="V188" i="23" s="1"/>
  <c r="B188" i="23" s="1"/>
  <c r="Q190" i="23"/>
  <c r="P190" i="23" s="1"/>
  <c r="V190" i="23" s="1"/>
  <c r="B190" i="23" s="1"/>
  <c r="Q15" i="23"/>
  <c r="Q131" i="23"/>
  <c r="P131" i="23" s="1"/>
  <c r="V131" i="23" s="1"/>
  <c r="Q58" i="23"/>
  <c r="Q274" i="23"/>
  <c r="P274" i="23" s="1"/>
  <c r="V274" i="23" s="1"/>
  <c r="B274" i="23" s="1"/>
  <c r="Q173" i="23"/>
  <c r="P173" i="23" s="1"/>
  <c r="V173" i="23" s="1"/>
  <c r="B173" i="23" s="1"/>
  <c r="Q148" i="23"/>
  <c r="Q378" i="23"/>
  <c r="P378" i="23" s="1"/>
  <c r="V378" i="23" s="1"/>
  <c r="B378" i="23" s="1"/>
  <c r="Q207" i="23"/>
  <c r="P207" i="23" s="1"/>
  <c r="V207" i="23" s="1"/>
  <c r="B207" i="23" s="1"/>
  <c r="Q232" i="23"/>
  <c r="P232" i="23" s="1"/>
  <c r="V232" i="23" s="1"/>
  <c r="B232" i="23" s="1"/>
  <c r="Q35" i="23"/>
  <c r="Q249" i="23"/>
  <c r="Q300" i="23"/>
  <c r="P300" i="23" s="1"/>
  <c r="V300" i="23" s="1"/>
  <c r="B300" i="23" s="1"/>
  <c r="Q73" i="23"/>
  <c r="P73" i="23" s="1"/>
  <c r="V73" i="23" s="1"/>
  <c r="B73" i="23" s="1"/>
  <c r="Q283" i="23"/>
  <c r="P283" i="23" s="1"/>
  <c r="V283" i="23" s="1"/>
  <c r="B283" i="23" s="1"/>
  <c r="Q38" i="23"/>
  <c r="Q79" i="23"/>
  <c r="Q293" i="23"/>
  <c r="P293" i="23" s="1"/>
  <c r="V293" i="23" s="1"/>
  <c r="B293" i="23" s="1"/>
  <c r="Q54" i="23"/>
  <c r="P54" i="23" s="1"/>
  <c r="V54" i="23" s="1"/>
  <c r="B54" i="23" s="1"/>
  <c r="Q40" i="23"/>
  <c r="P40" i="23" s="1"/>
  <c r="V40" i="23" s="1"/>
  <c r="B40" i="23" s="1"/>
  <c r="Q359" i="23"/>
  <c r="P359" i="23" s="1"/>
  <c r="V359" i="23" s="1"/>
  <c r="Q246" i="23"/>
  <c r="P246" i="23" s="1"/>
  <c r="V246" i="23" s="1"/>
  <c r="B246" i="23" s="1"/>
  <c r="Q113" i="23"/>
  <c r="P113" i="23" s="1"/>
  <c r="V113" i="23" s="1"/>
  <c r="Q369" i="23"/>
  <c r="Q30" i="23"/>
  <c r="P30" i="23" s="1"/>
  <c r="V30" i="23" s="1"/>
  <c r="Q227" i="23"/>
  <c r="P227" i="23" s="1"/>
  <c r="V227" i="23" s="1"/>
  <c r="B227" i="23" s="1"/>
  <c r="W227" i="23" s="1"/>
  <c r="Q55" i="23"/>
  <c r="P55" i="23" s="1"/>
  <c r="V55" i="23" s="1"/>
  <c r="B55" i="23" s="1"/>
  <c r="Q212" i="23"/>
  <c r="Q303" i="23"/>
  <c r="Q76" i="23"/>
  <c r="Q286" i="23"/>
  <c r="P286" i="23" s="1"/>
  <c r="V286" i="23" s="1"/>
  <c r="B286" i="23" s="1"/>
  <c r="Q315" i="23"/>
  <c r="Q115" i="23"/>
  <c r="P115" i="23" s="1"/>
  <c r="V115" i="23" s="1"/>
  <c r="B115" i="23" s="1"/>
  <c r="Q243" i="23"/>
  <c r="P243" i="23" s="1"/>
  <c r="V243" i="23" s="1"/>
  <c r="B243" i="23" s="1"/>
  <c r="Q371" i="23"/>
  <c r="P371" i="23" s="1"/>
  <c r="V371" i="23" s="1"/>
  <c r="Q304" i="23"/>
  <c r="P304" i="23" s="1"/>
  <c r="V304" i="23" s="1"/>
  <c r="B304" i="23" s="1"/>
  <c r="Q146" i="23"/>
  <c r="Q71" i="23"/>
  <c r="Q157" i="23"/>
  <c r="P157" i="23" s="1"/>
  <c r="V157" i="23" s="1"/>
  <c r="B157" i="23" s="1"/>
  <c r="Q285" i="23"/>
  <c r="P285" i="23" s="1"/>
  <c r="V285" i="23" s="1"/>
  <c r="B285" i="23" s="1"/>
  <c r="Q116" i="23"/>
  <c r="Q372" i="23"/>
  <c r="Q138" i="23"/>
  <c r="Q24" i="23"/>
  <c r="Q191" i="23"/>
  <c r="P191" i="23" s="1"/>
  <c r="V191" i="23" s="1"/>
  <c r="B191" i="23" s="1"/>
  <c r="Q319" i="23"/>
  <c r="Q200" i="23"/>
  <c r="Q214" i="23"/>
  <c r="Q19" i="23"/>
  <c r="Q105" i="23"/>
  <c r="P105" i="23" s="1"/>
  <c r="V105" i="23" s="1"/>
  <c r="Q233" i="23"/>
  <c r="P233" i="23" s="1"/>
  <c r="V233" i="23" s="1"/>
  <c r="Q361" i="23"/>
  <c r="Q268" i="23"/>
  <c r="P268" i="23" s="1"/>
  <c r="V268" i="23" s="1"/>
  <c r="B268" i="23" s="1"/>
  <c r="Q350" i="23"/>
  <c r="P350" i="23" s="1"/>
  <c r="V350" i="23" s="1"/>
  <c r="B350" i="23" s="1"/>
  <c r="Q57" i="23"/>
  <c r="P57" i="23" s="1"/>
  <c r="V57" i="23" s="1"/>
  <c r="B57" i="23" s="1"/>
  <c r="Q139" i="23"/>
  <c r="Q267" i="23"/>
  <c r="Q90" i="23"/>
  <c r="Q352" i="23"/>
  <c r="Q338" i="23"/>
  <c r="P338" i="23" s="1"/>
  <c r="V338" i="23" s="1"/>
  <c r="B338" i="23" s="1"/>
  <c r="Q85" i="23"/>
  <c r="P85" i="23" s="1"/>
  <c r="V85" i="23" s="1"/>
  <c r="Q337" i="23"/>
  <c r="Q340" i="23"/>
  <c r="Q26" i="23"/>
  <c r="P26" i="23" s="1"/>
  <c r="V26" i="23" s="1"/>
  <c r="Q98" i="23"/>
  <c r="Q183" i="23"/>
  <c r="Q78" i="23"/>
  <c r="Q252" i="23"/>
  <c r="P252" i="23" s="1"/>
  <c r="V252" i="23" s="1"/>
  <c r="Q208" i="23"/>
  <c r="Q61" i="23"/>
  <c r="P61" i="23" s="1"/>
  <c r="V61" i="23" s="1"/>
  <c r="B61" i="23" s="1"/>
  <c r="Q313" i="23"/>
  <c r="P313" i="23" s="1"/>
  <c r="V313" i="23" s="1"/>
  <c r="B313" i="23" s="1"/>
  <c r="Q326" i="23"/>
  <c r="Q135" i="23"/>
  <c r="Q156" i="23"/>
  <c r="P156" i="23" s="1"/>
  <c r="V156" i="23" s="1"/>
  <c r="B156" i="23" s="1"/>
  <c r="Q238" i="23"/>
  <c r="Q320" i="23"/>
  <c r="P320" i="23" s="1"/>
  <c r="V320" i="23" s="1"/>
  <c r="B320" i="23" s="1"/>
  <c r="Q368" i="23"/>
  <c r="P368" i="23" s="1"/>
  <c r="V368" i="23" s="1"/>
  <c r="B368" i="23" s="1"/>
  <c r="Q317" i="23"/>
  <c r="Q88" i="23"/>
  <c r="P88" i="23" s="1"/>
  <c r="Q324" i="23"/>
  <c r="Q60" i="23"/>
  <c r="Q362" i="23"/>
  <c r="P362" i="23" s="1"/>
  <c r="V362" i="23" s="1"/>
  <c r="B362" i="23" s="1"/>
  <c r="Q364" i="23"/>
  <c r="P364" i="23" s="1"/>
  <c r="V364" i="23" s="1"/>
  <c r="B364" i="23" s="1"/>
  <c r="Q277" i="23"/>
  <c r="P277" i="23" s="1"/>
  <c r="V277" i="23" s="1"/>
  <c r="B277" i="23" s="1"/>
  <c r="Q101" i="23"/>
  <c r="Q182" i="23"/>
  <c r="P182" i="23" s="1"/>
  <c r="V182" i="23" s="1"/>
  <c r="B182" i="23" s="1"/>
  <c r="Q353" i="23"/>
  <c r="P353" i="23" s="1"/>
  <c r="V353" i="23" s="1"/>
  <c r="B353" i="23" s="1"/>
  <c r="Q195" i="23"/>
  <c r="Q276" i="23"/>
  <c r="Q99" i="23"/>
  <c r="Q347" i="23"/>
  <c r="P347" i="23" s="1"/>
  <c r="V347" i="23" s="1"/>
  <c r="Q334" i="23"/>
  <c r="P334" i="23" s="1"/>
  <c r="V334" i="23" s="1"/>
  <c r="B334" i="23" s="1"/>
  <c r="Q177" i="23"/>
  <c r="Q141" i="23"/>
  <c r="P141" i="23" s="1"/>
  <c r="V141" i="23" s="1"/>
  <c r="B141" i="23" s="1"/>
  <c r="Q46" i="23"/>
  <c r="P46" i="23" s="1"/>
  <c r="V46" i="23" s="1"/>
  <c r="Q112" i="23"/>
  <c r="Q189" i="23"/>
  <c r="P189" i="23" s="1"/>
  <c r="V189" i="23" s="1"/>
  <c r="B189" i="23" s="1"/>
  <c r="Q122" i="23"/>
  <c r="Q351" i="23"/>
  <c r="P351" i="23" s="1"/>
  <c r="V351" i="23" s="1"/>
  <c r="B351" i="23" s="1"/>
  <c r="Q342" i="23"/>
  <c r="P342" i="23" s="1"/>
  <c r="V342" i="23" s="1"/>
  <c r="B342" i="23" s="1"/>
  <c r="Q137" i="23"/>
  <c r="Q50" i="23"/>
  <c r="Q258" i="23"/>
  <c r="Q171" i="23"/>
  <c r="P171" i="23" s="1"/>
  <c r="V171" i="23" s="1"/>
  <c r="Q160" i="23"/>
  <c r="Q282" i="23"/>
  <c r="Q34" i="23"/>
  <c r="Q167" i="23"/>
  <c r="P167" i="23" s="1"/>
  <c r="V167" i="23" s="1"/>
  <c r="B167" i="23" s="1"/>
  <c r="Q346" i="23"/>
  <c r="Q220" i="23"/>
  <c r="Q144" i="23"/>
  <c r="P144" i="23" s="1"/>
  <c r="V144" i="23" s="1"/>
  <c r="B144" i="23" s="1"/>
  <c r="Q29" i="23"/>
  <c r="Q281" i="23"/>
  <c r="Q198" i="23"/>
  <c r="P198" i="23" s="1"/>
  <c r="V198" i="23" s="1"/>
  <c r="B198" i="23" s="1"/>
  <c r="Q213" i="23"/>
  <c r="P213" i="23" s="1"/>
  <c r="V213" i="23" s="1"/>
  <c r="B213" i="23" s="1"/>
  <c r="Q228" i="23"/>
  <c r="Q37" i="23"/>
  <c r="P37" i="23" s="1"/>
  <c r="V37" i="23" s="1"/>
  <c r="B37" i="23" s="1"/>
  <c r="Q247" i="23"/>
  <c r="P247" i="23" s="1"/>
  <c r="V247" i="23" s="1"/>
  <c r="B247" i="23" s="1"/>
  <c r="Q312" i="23"/>
  <c r="P312" i="23" s="1"/>
  <c r="V312" i="23" s="1"/>
  <c r="B312" i="23" s="1"/>
  <c r="Q75" i="23"/>
  <c r="Q289" i="23"/>
  <c r="Q22" i="23"/>
  <c r="Q32" i="23"/>
  <c r="P32" i="23" s="1"/>
  <c r="V32" i="23" s="1"/>
  <c r="B32" i="23" s="1"/>
  <c r="Q230" i="23"/>
  <c r="Q365" i="23"/>
  <c r="P365" i="23" s="1"/>
  <c r="V365" i="23" s="1"/>
  <c r="B365" i="23" s="1"/>
  <c r="Q143" i="23"/>
  <c r="Q370" i="23"/>
  <c r="P370" i="23" s="1"/>
  <c r="V370" i="23" s="1"/>
  <c r="B370" i="23" s="1"/>
  <c r="Q172" i="23"/>
  <c r="Q219" i="23"/>
  <c r="P219" i="23" s="1"/>
  <c r="V219" i="23" s="1"/>
  <c r="Q16" i="23"/>
  <c r="P16" i="23" s="1"/>
  <c r="V16" i="23" s="1"/>
  <c r="B16" i="23" s="1"/>
  <c r="Q260" i="23"/>
  <c r="P260" i="23" s="1"/>
  <c r="V260" i="23" s="1"/>
  <c r="B260" i="23" s="1"/>
  <c r="Q295" i="23"/>
  <c r="Q91" i="23"/>
  <c r="Q126" i="23"/>
  <c r="Q358" i="23"/>
  <c r="Q175" i="23"/>
  <c r="Q236" i="23"/>
  <c r="P236" i="23" s="1"/>
  <c r="V236" i="23" s="1"/>
  <c r="B236" i="23" s="1"/>
  <c r="Q64" i="23"/>
  <c r="Q339" i="23"/>
  <c r="Q294" i="23"/>
  <c r="P294" i="23" s="1"/>
  <c r="V294" i="23" s="1"/>
  <c r="B294" i="23" s="1"/>
  <c r="Q125" i="23"/>
  <c r="P125" i="23" s="1"/>
  <c r="V125" i="23" s="1"/>
  <c r="B125" i="23" s="1"/>
  <c r="Q379" i="23"/>
  <c r="Q162" i="23"/>
  <c r="Q159" i="23"/>
  <c r="P159" i="23" s="1"/>
  <c r="V159" i="23" s="1"/>
  <c r="B159" i="23" s="1"/>
  <c r="Q136" i="23"/>
  <c r="Q298" i="23"/>
  <c r="P298" i="23" s="1"/>
  <c r="V298" i="23" s="1"/>
  <c r="B298" i="23" s="1"/>
  <c r="Q201" i="23"/>
  <c r="Q204" i="23"/>
  <c r="Q25" i="23"/>
  <c r="Q235" i="23"/>
  <c r="Q288" i="23"/>
  <c r="AU15" i="7"/>
  <c r="AE325" i="23"/>
  <c r="AE192" i="23"/>
  <c r="AE71" i="23"/>
  <c r="AE249" i="23"/>
  <c r="AE134" i="23"/>
  <c r="AE350" i="23"/>
  <c r="AE173" i="23"/>
  <c r="AE52" i="23"/>
  <c r="AE280" i="23"/>
  <c r="AE97" i="23"/>
  <c r="AE355" i="23"/>
  <c r="AE202" i="23"/>
  <c r="AE21" i="23"/>
  <c r="AE279" i="23"/>
  <c r="AE96" i="23"/>
  <c r="AE310" i="23"/>
  <c r="AE187" i="23"/>
  <c r="AE379" i="23"/>
  <c r="AE268" i="23"/>
  <c r="AE159" i="23"/>
  <c r="AE337" i="23"/>
  <c r="AE198" i="23"/>
  <c r="AE243" i="23"/>
  <c r="AE354" i="23"/>
  <c r="AE70" i="23"/>
  <c r="AE165" i="23"/>
  <c r="AE276" i="23"/>
  <c r="AE48" i="23"/>
  <c r="AE167" i="23"/>
  <c r="AE272" i="23"/>
  <c r="AE345" i="23"/>
  <c r="AE89" i="23"/>
  <c r="AE206" i="23"/>
  <c r="AE331" i="23"/>
  <c r="AE75" i="23"/>
  <c r="AE162" i="23"/>
  <c r="AE269" i="23"/>
  <c r="AE376" i="23"/>
  <c r="AE148" i="23"/>
  <c r="AE271" i="23"/>
  <c r="AE15" i="23"/>
  <c r="AE88" i="23"/>
  <c r="AE193" i="23"/>
  <c r="AE306" i="23"/>
  <c r="AE82" i="23"/>
  <c r="AE195" i="23"/>
  <c r="AE302" i="23"/>
  <c r="AE373" i="23"/>
  <c r="AE117" i="23"/>
  <c r="AE232" i="23"/>
  <c r="AE375" i="23"/>
  <c r="AE119" i="23"/>
  <c r="AE220" i="23"/>
  <c r="AE297" i="23"/>
  <c r="AE41" i="23"/>
  <c r="AE170" i="23"/>
  <c r="AE283" i="23"/>
  <c r="AE27" i="23"/>
  <c r="AE102" i="23"/>
  <c r="AE189" i="23"/>
  <c r="AE300" i="23"/>
  <c r="AE68" i="23"/>
  <c r="AE191" i="23"/>
  <c r="AE296" i="23"/>
  <c r="AE369" i="23"/>
  <c r="AE113" i="23"/>
  <c r="AE230" i="23"/>
  <c r="AE339" i="23"/>
  <c r="AE83" i="23"/>
  <c r="AE261" i="23"/>
  <c r="AE144" i="23"/>
  <c r="AE368" i="23"/>
  <c r="AE185" i="23"/>
  <c r="AE66" i="23"/>
  <c r="AE278" i="23"/>
  <c r="AE109" i="23"/>
  <c r="AE367" i="23"/>
  <c r="AE212" i="23"/>
  <c r="AE33" i="23"/>
  <c r="AE291" i="23"/>
  <c r="AE118" i="23"/>
  <c r="AE316" i="23"/>
  <c r="AE215" i="23"/>
  <c r="AE36" i="23"/>
  <c r="AE254" i="23"/>
  <c r="AE123" i="23"/>
  <c r="AE349" i="23"/>
  <c r="AE208" i="23"/>
  <c r="AE95" i="23"/>
  <c r="AE273" i="23"/>
  <c r="AE150" i="23"/>
  <c r="AE94" i="23"/>
  <c r="AE308" i="23"/>
  <c r="AE199" i="23"/>
  <c r="AE377" i="23"/>
  <c r="AE238" i="23"/>
  <c r="AE107" i="23"/>
  <c r="AE301" i="23"/>
  <c r="AE172" i="23"/>
  <c r="AE47" i="23"/>
  <c r="AE225" i="23"/>
  <c r="AE110" i="23"/>
  <c r="AE342" i="23"/>
  <c r="AE149" i="23"/>
  <c r="AE32" i="23"/>
  <c r="AE252" i="23"/>
  <c r="AE73" i="23"/>
  <c r="AE315" i="23"/>
  <c r="AE138" i="23"/>
  <c r="AE29" i="23"/>
  <c r="AE287" i="23"/>
  <c r="AE104" i="23"/>
  <c r="AE314" i="23"/>
  <c r="AE307" i="23"/>
  <c r="AE51" i="23"/>
  <c r="AE130" i="23"/>
  <c r="AE229" i="23"/>
  <c r="AE332" i="23"/>
  <c r="AE112" i="23"/>
  <c r="AE231" i="23"/>
  <c r="AE344" i="23"/>
  <c r="AE56" i="23"/>
  <c r="AE153" i="23"/>
  <c r="AE266" i="23"/>
  <c r="AE38" i="23"/>
  <c r="AE139" i="23"/>
  <c r="AE242" i="23"/>
  <c r="AE333" i="23"/>
  <c r="AE77" i="23"/>
  <c r="AE196" i="23"/>
  <c r="AE335" i="23"/>
  <c r="AE79" i="23"/>
  <c r="AE164" i="23"/>
  <c r="AE257" i="23"/>
  <c r="AE370" i="23"/>
  <c r="AE142" i="23"/>
  <c r="AE259" i="23"/>
  <c r="AE366" i="23"/>
  <c r="AE78" i="23"/>
  <c r="AE181" i="23"/>
  <c r="AE292" i="23"/>
  <c r="AE60" i="23"/>
  <c r="AE183" i="23"/>
  <c r="AE288" i="23"/>
  <c r="AE361" i="23"/>
  <c r="AE105" i="23"/>
  <c r="AE222" i="23"/>
  <c r="AE347" i="23"/>
  <c r="AE91" i="23"/>
  <c r="AE182" i="23"/>
  <c r="AE253" i="23"/>
  <c r="AE364" i="23"/>
  <c r="AE136" i="23"/>
  <c r="AE255" i="23"/>
  <c r="AE360" i="23"/>
  <c r="AE76" i="23"/>
  <c r="AE177" i="23"/>
  <c r="AE290" i="23"/>
  <c r="AE58" i="23"/>
  <c r="AE147" i="23"/>
  <c r="AE34" i="23"/>
  <c r="AE248" i="23"/>
  <c r="AE135" i="23"/>
  <c r="AE313" i="23"/>
  <c r="AE186" i="23"/>
  <c r="AE43" i="23"/>
  <c r="AE237" i="23"/>
  <c r="AE116" i="23"/>
  <c r="AE352" i="23"/>
  <c r="AE161" i="23"/>
  <c r="AE46" i="23"/>
  <c r="AE270" i="23"/>
  <c r="AE85" i="23"/>
  <c r="AE343" i="23"/>
  <c r="AE176" i="23"/>
  <c r="AE374" i="23"/>
  <c r="AE251" i="23"/>
  <c r="AE74" i="23"/>
  <c r="AE324" i="23"/>
  <c r="AE223" i="23"/>
  <c r="AE44" i="23"/>
  <c r="AE262" i="23"/>
  <c r="Q36" i="23"/>
  <c r="Q325" i="23"/>
  <c r="P325" i="23" s="1"/>
  <c r="V325" i="23" s="1"/>
  <c r="Q206" i="23"/>
  <c r="Q103" i="23"/>
  <c r="Q327" i="23"/>
  <c r="P327" i="23" s="1"/>
  <c r="V327" i="23" s="1"/>
  <c r="B327" i="23" s="1"/>
  <c r="Q374" i="23"/>
  <c r="Q145" i="23"/>
  <c r="Q82" i="23"/>
  <c r="P82" i="23" s="1"/>
  <c r="V82" i="23" s="1"/>
  <c r="B82" i="23" s="1"/>
  <c r="Q322" i="23"/>
  <c r="P322" i="23" s="1"/>
  <c r="V322" i="23" s="1"/>
  <c r="B322" i="23" s="1"/>
  <c r="Q291" i="23"/>
  <c r="P291" i="23" s="1"/>
  <c r="V291" i="23" s="1"/>
  <c r="B291" i="23" s="1"/>
  <c r="Q52" i="23"/>
  <c r="P52" i="23" s="1"/>
  <c r="V52" i="23" s="1"/>
  <c r="Q290" i="23"/>
  <c r="P290" i="23" s="1"/>
  <c r="V290" i="23" s="1"/>
  <c r="B290" i="23" s="1"/>
  <c r="Q367" i="23"/>
  <c r="Q153" i="23"/>
  <c r="P153" i="23" s="1"/>
  <c r="V153" i="23" s="1"/>
  <c r="B153" i="23" s="1"/>
  <c r="Q41" i="23"/>
  <c r="Q192" i="23"/>
  <c r="Q95" i="23"/>
  <c r="Q181" i="23"/>
  <c r="Q309" i="23"/>
  <c r="Q164" i="23"/>
  <c r="Q142" i="23"/>
  <c r="P142" i="23" s="1"/>
  <c r="V142" i="23" s="1"/>
  <c r="Q250" i="23"/>
  <c r="P250" i="23" s="1"/>
  <c r="V250" i="23" s="1"/>
  <c r="B250" i="23" s="1"/>
  <c r="Q72" i="23"/>
  <c r="P72" i="23" s="1"/>
  <c r="V72" i="23" s="1"/>
  <c r="B72" i="23" s="1"/>
  <c r="Q215" i="23"/>
  <c r="Q343" i="23"/>
  <c r="Q248" i="23"/>
  <c r="P248" i="23" s="1"/>
  <c r="V248" i="23" s="1"/>
  <c r="Q310" i="23"/>
  <c r="P310" i="23" s="1"/>
  <c r="V310" i="23" s="1"/>
  <c r="B310" i="23" s="1"/>
  <c r="Q43" i="23"/>
  <c r="Q129" i="23"/>
  <c r="P129" i="23" s="1"/>
  <c r="V129" i="23" s="1"/>
  <c r="B129" i="23" s="1"/>
  <c r="Q257" i="23"/>
  <c r="Q18" i="23"/>
  <c r="P18" i="23" s="1"/>
  <c r="V18" i="23" s="1"/>
  <c r="Q316" i="23"/>
  <c r="P316" i="23" s="1"/>
  <c r="V316" i="23" s="1"/>
  <c r="B316" i="23" s="1"/>
  <c r="Q194" i="23"/>
  <c r="P194" i="23" s="1"/>
  <c r="V194" i="23" s="1"/>
  <c r="B194" i="23" s="1"/>
  <c r="Q81" i="23"/>
  <c r="Q259" i="23"/>
  <c r="Q336" i="23"/>
  <c r="P336" i="23" s="1"/>
  <c r="V336" i="23" s="1"/>
  <c r="Q87" i="23"/>
  <c r="P87" i="23" s="1"/>
  <c r="V87" i="23" s="1"/>
  <c r="B87" i="23" s="1"/>
  <c r="Q301" i="23"/>
  <c r="Q110" i="23"/>
  <c r="Q56" i="23"/>
  <c r="P56" i="23" s="1"/>
  <c r="V56" i="23" s="1"/>
  <c r="B56" i="23" s="1"/>
  <c r="Q335" i="23"/>
  <c r="Q278" i="23"/>
  <c r="Q121" i="23"/>
  <c r="Q377" i="23"/>
  <c r="P377" i="23" s="1"/>
  <c r="V377" i="23" s="1"/>
  <c r="B377" i="23" s="1"/>
  <c r="Q130" i="23"/>
  <c r="P130" i="23" s="1"/>
  <c r="V130" i="23" s="1"/>
  <c r="B130" i="23" s="1"/>
  <c r="Q155" i="23"/>
  <c r="P155" i="23" s="1"/>
  <c r="V155" i="23" s="1"/>
  <c r="B155" i="23" s="1"/>
  <c r="Q128" i="23"/>
  <c r="P128" i="23" s="1"/>
  <c r="V128" i="23" s="1"/>
  <c r="Q234" i="23"/>
  <c r="Q165" i="23"/>
  <c r="P165" i="23" s="1"/>
  <c r="V165" i="23" s="1"/>
  <c r="B165" i="23" s="1"/>
  <c r="Q132" i="23"/>
  <c r="P132" i="23" s="1"/>
  <c r="V132" i="23" s="1"/>
  <c r="B132" i="23" s="1"/>
  <c r="Q266" i="23"/>
  <c r="Q199" i="23"/>
  <c r="P199" i="23" s="1"/>
  <c r="V199" i="23" s="1"/>
  <c r="B199" i="23" s="1"/>
  <c r="Q280" i="23"/>
  <c r="Q27" i="23"/>
  <c r="P27" i="23" s="1"/>
  <c r="V27" i="23" s="1"/>
  <c r="B27" i="23" s="1"/>
  <c r="Q241" i="23"/>
  <c r="Q284" i="23"/>
  <c r="Q65" i="23"/>
  <c r="P65" i="23" s="1"/>
  <c r="V65" i="23" s="1"/>
  <c r="B65" i="23" s="1"/>
  <c r="Q272" i="23"/>
  <c r="Q269" i="23"/>
  <c r="Q93" i="23"/>
  <c r="Q150" i="23"/>
  <c r="Q345" i="23"/>
  <c r="P345" i="23" s="1"/>
  <c r="V345" i="23" s="1"/>
  <c r="B345" i="23" s="1"/>
  <c r="Q123" i="23"/>
  <c r="P123" i="23" s="1"/>
  <c r="V123" i="23" s="1"/>
  <c r="B123" i="23" s="1"/>
  <c r="Q210" i="23"/>
  <c r="Q179" i="23"/>
  <c r="Q307" i="23"/>
  <c r="P307" i="23" s="1"/>
  <c r="V307" i="23" s="1"/>
  <c r="B307" i="23" s="1"/>
  <c r="Q176" i="23"/>
  <c r="P176" i="23" s="1"/>
  <c r="V176" i="23" s="1"/>
  <c r="B176" i="23" s="1"/>
  <c r="Q166" i="23"/>
  <c r="Q154" i="23"/>
  <c r="Q84" i="23"/>
  <c r="P84" i="23" s="1"/>
  <c r="V84" i="23" s="1"/>
  <c r="B84" i="23" s="1"/>
  <c r="Q221" i="23"/>
  <c r="Q349" i="23"/>
  <c r="P349" i="23" s="1"/>
  <c r="V349" i="23" s="1"/>
  <c r="Q244" i="23"/>
  <c r="P244" i="23" s="1"/>
  <c r="V244" i="23" s="1"/>
  <c r="B244" i="23" s="1"/>
  <c r="Q302" i="23"/>
  <c r="P302" i="23" s="1"/>
  <c r="Q45" i="23"/>
  <c r="P45" i="23" s="1"/>
  <c r="V45" i="23" s="1"/>
  <c r="B45" i="23" s="1"/>
  <c r="Q127" i="23"/>
  <c r="Q255" i="23"/>
  <c r="Q42" i="23"/>
  <c r="P42" i="23" s="1"/>
  <c r="V42" i="23" s="1"/>
  <c r="B42" i="23" s="1"/>
  <c r="Q328" i="23"/>
  <c r="P328" i="23" s="1"/>
  <c r="V328" i="23" s="1"/>
  <c r="B328" i="23" s="1"/>
  <c r="Q242" i="23"/>
  <c r="P242" i="23" s="1"/>
  <c r="V242" i="23" s="1"/>
  <c r="B242" i="23" s="1"/>
  <c r="Q83" i="23"/>
  <c r="Q169" i="23"/>
  <c r="Q297" i="23"/>
  <c r="Q140" i="23"/>
  <c r="P140" i="23" s="1"/>
  <c r="V140" i="23" s="1"/>
  <c r="Q86" i="23"/>
  <c r="Q330" i="23"/>
  <c r="Q48" i="23"/>
  <c r="P48" i="23" s="1"/>
  <c r="V48" i="23" s="1"/>
  <c r="Q203" i="23"/>
  <c r="P203" i="23" s="1"/>
  <c r="V203" i="23" s="1"/>
  <c r="B203" i="23" s="1"/>
  <c r="Q331" i="23"/>
  <c r="P331" i="23" s="1"/>
  <c r="V331" i="23" s="1"/>
  <c r="B331" i="23" s="1"/>
  <c r="Q224" i="23"/>
  <c r="P224" i="23" s="1"/>
  <c r="V224" i="23" s="1"/>
  <c r="B224" i="23" s="1"/>
  <c r="Q262" i="23"/>
  <c r="G74" i="22"/>
  <c r="CC74" i="6" s="1"/>
  <c r="D128" i="22" l="1"/>
  <c r="E128" i="22" s="1"/>
  <c r="F128" i="22" s="1"/>
  <c r="H344" i="22"/>
  <c r="J344" i="22" s="1"/>
  <c r="H41" i="22"/>
  <c r="I41" i="22" s="1"/>
  <c r="D18" i="22"/>
  <c r="E18" i="22" s="1"/>
  <c r="F18" i="22" s="1"/>
  <c r="H18" i="22" s="1"/>
  <c r="W142" i="22"/>
  <c r="W264" i="22"/>
  <c r="D285" i="22"/>
  <c r="E285" i="22" s="1"/>
  <c r="F285" i="22" s="1"/>
  <c r="H285" i="22" s="1"/>
  <c r="D209" i="22"/>
  <c r="E209" i="22" s="1"/>
  <c r="F209" i="22" s="1"/>
  <c r="H209" i="22" s="1"/>
  <c r="W325" i="22"/>
  <c r="H305" i="22"/>
  <c r="I305" i="22" s="1"/>
  <c r="W303" i="22"/>
  <c r="D193" i="22"/>
  <c r="E193" i="22" s="1"/>
  <c r="F193" i="22" s="1"/>
  <c r="G193" i="22" s="1"/>
  <c r="CC193" i="6" s="1"/>
  <c r="B18" i="23"/>
  <c r="W18" i="23" s="1"/>
  <c r="B142" i="23"/>
  <c r="W142" i="23" s="1"/>
  <c r="B347" i="23"/>
  <c r="D347" i="23" s="1"/>
  <c r="E347" i="23" s="1"/>
  <c r="F347" i="23" s="1"/>
  <c r="B30" i="23"/>
  <c r="D30" i="23" s="1"/>
  <c r="E30" i="23" s="1"/>
  <c r="F30" i="23" s="1"/>
  <c r="B113" i="23"/>
  <c r="D113" i="23" s="1"/>
  <c r="E113" i="23" s="1"/>
  <c r="F113" i="23" s="1"/>
  <c r="D90" i="22"/>
  <c r="E90" i="22" s="1"/>
  <c r="F90" i="22" s="1"/>
  <c r="G90" i="22" s="1"/>
  <c r="CC90" i="6" s="1"/>
  <c r="D336" i="22"/>
  <c r="E336" i="22" s="1"/>
  <c r="F336" i="22" s="1"/>
  <c r="H336" i="22" s="1"/>
  <c r="B140" i="23"/>
  <c r="W140" i="23" s="1"/>
  <c r="B336" i="23"/>
  <c r="D336" i="23" s="1"/>
  <c r="E336" i="23" s="1"/>
  <c r="F336" i="23" s="1"/>
  <c r="B248" i="23"/>
  <c r="W248" i="23" s="1"/>
  <c r="B171" i="23"/>
  <c r="W171" i="23" s="1"/>
  <c r="B252" i="23"/>
  <c r="D252" i="23" s="1"/>
  <c r="E252" i="23" s="1"/>
  <c r="F252" i="23" s="1"/>
  <c r="W226" i="22"/>
  <c r="W48" i="22"/>
  <c r="B52" i="23"/>
  <c r="W52" i="23" s="1"/>
  <c r="B219" i="23"/>
  <c r="D219" i="23" s="1"/>
  <c r="E219" i="23" s="1"/>
  <c r="F219" i="23" s="1"/>
  <c r="B85" i="23"/>
  <c r="W85" i="23" s="1"/>
  <c r="B371" i="23"/>
  <c r="W371" i="23" s="1"/>
  <c r="B359" i="23"/>
  <c r="D359" i="23" s="1"/>
  <c r="E359" i="23" s="1"/>
  <c r="F359" i="23" s="1"/>
  <c r="J47" i="20"/>
  <c r="W131" i="22"/>
  <c r="W104" i="22"/>
  <c r="W140" i="22"/>
  <c r="D252" i="22"/>
  <c r="E252" i="22" s="1"/>
  <c r="F252" i="22" s="1"/>
  <c r="W52" i="22"/>
  <c r="D177" i="22"/>
  <c r="E177" i="22" s="1"/>
  <c r="F177" i="22" s="1"/>
  <c r="G177" i="22" s="1"/>
  <c r="CC177" i="6" s="1"/>
  <c r="W26" i="22"/>
  <c r="W359" i="22"/>
  <c r="H222" i="22"/>
  <c r="I222" i="22" s="1"/>
  <c r="W171" i="22"/>
  <c r="D248" i="22"/>
  <c r="E248" i="22" s="1"/>
  <c r="F248" i="22" s="1"/>
  <c r="H248" i="22" s="1"/>
  <c r="B48" i="23"/>
  <c r="W48" i="23" s="1"/>
  <c r="B128" i="23"/>
  <c r="W128" i="23" s="1"/>
  <c r="B233" i="23"/>
  <c r="D233" i="23" s="1"/>
  <c r="E233" i="23" s="1"/>
  <c r="F233" i="23" s="1"/>
  <c r="B131" i="23"/>
  <c r="W131" i="23" s="1"/>
  <c r="B226" i="23"/>
  <c r="D226" i="23" s="1"/>
  <c r="E226" i="23" s="1"/>
  <c r="F226" i="23" s="1"/>
  <c r="H143" i="22"/>
  <c r="I143" i="22" s="1"/>
  <c r="B325" i="23"/>
  <c r="D325" i="23" s="1"/>
  <c r="E325" i="23" s="1"/>
  <c r="F325" i="23" s="1"/>
  <c r="B26" i="23"/>
  <c r="D26" i="23" s="1"/>
  <c r="E26" i="23" s="1"/>
  <c r="F26" i="23" s="1"/>
  <c r="W85" i="22"/>
  <c r="W219" i="22"/>
  <c r="W228" i="22"/>
  <c r="J94" i="20"/>
  <c r="W94" i="22"/>
  <c r="D110" i="22"/>
  <c r="E110" i="22" s="1"/>
  <c r="F110" i="22" s="1"/>
  <c r="H110" i="22" s="1"/>
  <c r="D311" i="22"/>
  <c r="E311" i="22" s="1"/>
  <c r="F311" i="22" s="1"/>
  <c r="H311" i="22" s="1"/>
  <c r="D323" i="22"/>
  <c r="E323" i="22" s="1"/>
  <c r="F323" i="22" s="1"/>
  <c r="H323" i="22" s="1"/>
  <c r="P262" i="23"/>
  <c r="V262" i="23" s="1"/>
  <c r="B262" i="23" s="1"/>
  <c r="W262" i="23" s="1"/>
  <c r="P86" i="23"/>
  <c r="V86" i="23" s="1"/>
  <c r="B86" i="23" s="1"/>
  <c r="W86" i="23" s="1"/>
  <c r="P297" i="23"/>
  <c r="V297" i="23" s="1"/>
  <c r="B297" i="23" s="1"/>
  <c r="W297" i="23" s="1"/>
  <c r="P83" i="23"/>
  <c r="V83" i="23" s="1"/>
  <c r="B83" i="23" s="1"/>
  <c r="W83" i="23" s="1"/>
  <c r="P255" i="23"/>
  <c r="V255" i="23" s="1"/>
  <c r="B255" i="23" s="1"/>
  <c r="W255" i="23" s="1"/>
  <c r="P221" i="23"/>
  <c r="V221" i="23" s="1"/>
  <c r="B221" i="23" s="1"/>
  <c r="W221" i="23" s="1"/>
  <c r="P154" i="23"/>
  <c r="V154" i="23" s="1"/>
  <c r="B154" i="23" s="1"/>
  <c r="D154" i="23" s="1"/>
  <c r="E154" i="23" s="1"/>
  <c r="F154" i="23" s="1"/>
  <c r="P179" i="23"/>
  <c r="V179" i="23" s="1"/>
  <c r="B179" i="23" s="1"/>
  <c r="W179" i="23" s="1"/>
  <c r="P150" i="23"/>
  <c r="V150" i="23" s="1"/>
  <c r="B150" i="23" s="1"/>
  <c r="D150" i="23" s="1"/>
  <c r="E150" i="23" s="1"/>
  <c r="F150" i="23" s="1"/>
  <c r="P269" i="23"/>
  <c r="V269" i="23" s="1"/>
  <c r="B269" i="23" s="1"/>
  <c r="W269" i="23" s="1"/>
  <c r="P241" i="23"/>
  <c r="V241" i="23" s="1"/>
  <c r="P280" i="23"/>
  <c r="V280" i="23" s="1"/>
  <c r="B280" i="23" s="1"/>
  <c r="D280" i="23" s="1"/>
  <c r="E280" i="23" s="1"/>
  <c r="F280" i="23" s="1"/>
  <c r="P266" i="23"/>
  <c r="V266" i="23" s="1"/>
  <c r="B266" i="23" s="1"/>
  <c r="W266" i="23" s="1"/>
  <c r="P121" i="23"/>
  <c r="V121" i="23" s="1"/>
  <c r="B121" i="23" s="1"/>
  <c r="W121" i="23" s="1"/>
  <c r="P335" i="23"/>
  <c r="V335" i="23" s="1"/>
  <c r="B335" i="23" s="1"/>
  <c r="D335" i="23" s="1"/>
  <c r="E335" i="23" s="1"/>
  <c r="F335" i="23" s="1"/>
  <c r="P110" i="23"/>
  <c r="V110" i="23" s="1"/>
  <c r="B110" i="23" s="1"/>
  <c r="D110" i="23" s="1"/>
  <c r="E110" i="23" s="1"/>
  <c r="F110" i="23" s="1"/>
  <c r="P259" i="23"/>
  <c r="V259" i="23" s="1"/>
  <c r="B259" i="23" s="1"/>
  <c r="W259" i="23" s="1"/>
  <c r="P343" i="23"/>
  <c r="V343" i="23" s="1"/>
  <c r="B343" i="23" s="1"/>
  <c r="D343" i="23" s="1"/>
  <c r="E343" i="23" s="1"/>
  <c r="F343" i="23" s="1"/>
  <c r="P309" i="23"/>
  <c r="V309" i="23" s="1"/>
  <c r="B309" i="23" s="1"/>
  <c r="W309" i="23" s="1"/>
  <c r="P95" i="23"/>
  <c r="V95" i="23" s="1"/>
  <c r="B95" i="23" s="1"/>
  <c r="W95" i="23" s="1"/>
  <c r="P41" i="23"/>
  <c r="V41" i="23" s="1"/>
  <c r="B41" i="23" s="1"/>
  <c r="D41" i="23" s="1"/>
  <c r="E41" i="23" s="1"/>
  <c r="F41" i="23" s="1"/>
  <c r="P367" i="23"/>
  <c r="V367" i="23" s="1"/>
  <c r="B367" i="23" s="1"/>
  <c r="D367" i="23" s="1"/>
  <c r="E367" i="23" s="1"/>
  <c r="F367" i="23" s="1"/>
  <c r="P145" i="23"/>
  <c r="V145" i="23" s="1"/>
  <c r="B145" i="23" s="1"/>
  <c r="W145" i="23" s="1"/>
  <c r="P206" i="23"/>
  <c r="V206" i="23" s="1"/>
  <c r="B206" i="23" s="1"/>
  <c r="W206" i="23" s="1"/>
  <c r="P36" i="23"/>
  <c r="V36" i="23" s="1"/>
  <c r="B36" i="23" s="1"/>
  <c r="D36" i="23" s="1"/>
  <c r="E36" i="23" s="1"/>
  <c r="F36" i="23" s="1"/>
  <c r="P288" i="23"/>
  <c r="V288" i="23" s="1"/>
  <c r="B288" i="23" s="1"/>
  <c r="D288" i="23" s="1"/>
  <c r="E288" i="23" s="1"/>
  <c r="F288" i="23" s="1"/>
  <c r="P25" i="23"/>
  <c r="V25" i="23" s="1"/>
  <c r="B25" i="23" s="1"/>
  <c r="D25" i="23" s="1"/>
  <c r="E25" i="23" s="1"/>
  <c r="F25" i="23" s="1"/>
  <c r="P201" i="23"/>
  <c r="V201" i="23" s="1"/>
  <c r="B201" i="23" s="1"/>
  <c r="W201" i="23" s="1"/>
  <c r="P136" i="23"/>
  <c r="V136" i="23" s="1"/>
  <c r="B136" i="23" s="1"/>
  <c r="W136" i="23" s="1"/>
  <c r="P162" i="23"/>
  <c r="V162" i="23" s="1"/>
  <c r="B162" i="23" s="1"/>
  <c r="D162" i="23" s="1"/>
  <c r="E162" i="23" s="1"/>
  <c r="F162" i="23" s="1"/>
  <c r="P339" i="23"/>
  <c r="V339" i="23" s="1"/>
  <c r="B339" i="23" s="1"/>
  <c r="W339" i="23" s="1"/>
  <c r="P358" i="23"/>
  <c r="V358" i="23" s="1"/>
  <c r="B358" i="23" s="1"/>
  <c r="W358" i="23" s="1"/>
  <c r="P91" i="23"/>
  <c r="V91" i="23" s="1"/>
  <c r="B91" i="23" s="1"/>
  <c r="D91" i="23" s="1"/>
  <c r="E91" i="23" s="1"/>
  <c r="F91" i="23" s="1"/>
  <c r="P289" i="23"/>
  <c r="V289" i="23" s="1"/>
  <c r="B289" i="23" s="1"/>
  <c r="W289" i="23" s="1"/>
  <c r="P281" i="23"/>
  <c r="V281" i="23" s="1"/>
  <c r="B281" i="23" s="1"/>
  <c r="D281" i="23" s="1"/>
  <c r="E281" i="23" s="1"/>
  <c r="F281" i="23" s="1"/>
  <c r="P346" i="23"/>
  <c r="V346" i="23" s="1"/>
  <c r="B346" i="23" s="1"/>
  <c r="W346" i="23" s="1"/>
  <c r="P34" i="23"/>
  <c r="V34" i="23" s="1"/>
  <c r="B34" i="23" s="1"/>
  <c r="D34" i="23" s="1"/>
  <c r="E34" i="23" s="1"/>
  <c r="F34" i="23" s="1"/>
  <c r="P160" i="23"/>
  <c r="V160" i="23" s="1"/>
  <c r="B160" i="23" s="1"/>
  <c r="D160" i="23" s="1"/>
  <c r="E160" i="23" s="1"/>
  <c r="F160" i="23" s="1"/>
  <c r="P258" i="23"/>
  <c r="V258" i="23" s="1"/>
  <c r="B258" i="23" s="1"/>
  <c r="W258" i="23" s="1"/>
  <c r="P137" i="23"/>
  <c r="V137" i="23" s="1"/>
  <c r="B137" i="23" s="1"/>
  <c r="D137" i="23" s="1"/>
  <c r="E137" i="23" s="1"/>
  <c r="F137" i="23" s="1"/>
  <c r="P177" i="23"/>
  <c r="V177" i="23" s="1"/>
  <c r="B177" i="23" s="1"/>
  <c r="W177" i="23" s="1"/>
  <c r="P276" i="23"/>
  <c r="V276" i="23" s="1"/>
  <c r="B276" i="23" s="1"/>
  <c r="D276" i="23" s="1"/>
  <c r="E276" i="23" s="1"/>
  <c r="F276" i="23" s="1"/>
  <c r="P101" i="23"/>
  <c r="V101" i="23" s="1"/>
  <c r="B101" i="23" s="1"/>
  <c r="W101" i="23" s="1"/>
  <c r="P60" i="23"/>
  <c r="AH45" i="7" s="1"/>
  <c r="P238" i="23"/>
  <c r="V238" i="23" s="1"/>
  <c r="B238" i="23" s="1"/>
  <c r="D238" i="23" s="1"/>
  <c r="E238" i="23" s="1"/>
  <c r="F238" i="23" s="1"/>
  <c r="P135" i="23"/>
  <c r="V135" i="23" s="1"/>
  <c r="B135" i="23" s="1"/>
  <c r="P208" i="23"/>
  <c r="V208" i="23" s="1"/>
  <c r="B208" i="23" s="1"/>
  <c r="W208" i="23" s="1"/>
  <c r="P78" i="23"/>
  <c r="V78" i="23" s="1"/>
  <c r="B78" i="23" s="1"/>
  <c r="D78" i="23" s="1"/>
  <c r="E78" i="23" s="1"/>
  <c r="F78" i="23" s="1"/>
  <c r="P98" i="23"/>
  <c r="V98" i="23" s="1"/>
  <c r="B98" i="23" s="1"/>
  <c r="W98" i="23" s="1"/>
  <c r="P340" i="23"/>
  <c r="V340" i="23" s="1"/>
  <c r="B340" i="23" s="1"/>
  <c r="D340" i="23" s="1"/>
  <c r="E340" i="23" s="1"/>
  <c r="F340" i="23" s="1"/>
  <c r="P352" i="23"/>
  <c r="V352" i="23" s="1"/>
  <c r="B352" i="23" s="1"/>
  <c r="W352" i="23" s="1"/>
  <c r="P267" i="23"/>
  <c r="V267" i="23" s="1"/>
  <c r="B267" i="23" s="1"/>
  <c r="D267" i="23" s="1"/>
  <c r="E267" i="23" s="1"/>
  <c r="F267" i="23" s="1"/>
  <c r="P19" i="23"/>
  <c r="V19" i="23" s="1"/>
  <c r="B19" i="23" s="1"/>
  <c r="D19" i="23" s="1"/>
  <c r="E19" i="23" s="1"/>
  <c r="F19" i="23" s="1"/>
  <c r="P200" i="23"/>
  <c r="V200" i="23" s="1"/>
  <c r="B200" i="23" s="1"/>
  <c r="D200" i="23" s="1"/>
  <c r="E200" i="23" s="1"/>
  <c r="F200" i="23" s="1"/>
  <c r="P138" i="23"/>
  <c r="V138" i="23" s="1"/>
  <c r="B138" i="23" s="1"/>
  <c r="D138" i="23" s="1"/>
  <c r="E138" i="23" s="1"/>
  <c r="F138" i="23" s="1"/>
  <c r="P116" i="23"/>
  <c r="V116" i="23" s="1"/>
  <c r="B116" i="23" s="1"/>
  <c r="W116" i="23" s="1"/>
  <c r="P146" i="23"/>
  <c r="V146" i="23" s="1"/>
  <c r="B146" i="23" s="1"/>
  <c r="W146" i="23" s="1"/>
  <c r="P303" i="23"/>
  <c r="V303" i="23" s="1"/>
  <c r="B303" i="23" s="1"/>
  <c r="D303" i="23" s="1"/>
  <c r="E303" i="23" s="1"/>
  <c r="F303" i="23" s="1"/>
  <c r="P79" i="23"/>
  <c r="V79" i="23" s="1"/>
  <c r="B79" i="23" s="1"/>
  <c r="D79" i="23" s="1"/>
  <c r="E79" i="23" s="1"/>
  <c r="F79" i="23" s="1"/>
  <c r="P35" i="23"/>
  <c r="V35" i="23" s="1"/>
  <c r="B35" i="23" s="1"/>
  <c r="W35" i="23" s="1"/>
  <c r="P148" i="23"/>
  <c r="V148" i="23" s="1"/>
  <c r="B148" i="23" s="1"/>
  <c r="W148" i="23" s="1"/>
  <c r="P321" i="23"/>
  <c r="V321" i="23" s="1"/>
  <c r="B321" i="23" s="1"/>
  <c r="D321" i="23" s="1"/>
  <c r="E321" i="23" s="1"/>
  <c r="F321" i="23" s="1"/>
  <c r="P376" i="23"/>
  <c r="V376" i="23" s="1"/>
  <c r="B376" i="23" s="1"/>
  <c r="D376" i="23" s="1"/>
  <c r="E376" i="23" s="1"/>
  <c r="F376" i="23" s="1"/>
  <c r="P69" i="23"/>
  <c r="V69" i="23" s="1"/>
  <c r="B69" i="23" s="1"/>
  <c r="D69" i="23" s="1"/>
  <c r="E69" i="23" s="1"/>
  <c r="F69" i="23" s="1"/>
  <c r="P31" i="23"/>
  <c r="V31" i="23" s="1"/>
  <c r="B31" i="23" s="1"/>
  <c r="W31" i="23" s="1"/>
  <c r="P348" i="23"/>
  <c r="V348" i="23" s="1"/>
  <c r="B348" i="23" s="1"/>
  <c r="D348" i="23" s="1"/>
  <c r="E348" i="23" s="1"/>
  <c r="F348" i="23" s="1"/>
  <c r="P231" i="23"/>
  <c r="V231" i="23" s="1"/>
  <c r="B231" i="23" s="1"/>
  <c r="W231" i="23" s="1"/>
  <c r="P77" i="23"/>
  <c r="V77" i="23" s="1"/>
  <c r="B77" i="23" s="1"/>
  <c r="D77" i="23" s="1"/>
  <c r="E77" i="23" s="1"/>
  <c r="F77" i="23" s="1"/>
  <c r="P251" i="23"/>
  <c r="V251" i="23" s="1"/>
  <c r="B251" i="23" s="1"/>
  <c r="W251" i="23" s="1"/>
  <c r="P66" i="23"/>
  <c r="V66" i="23" s="1"/>
  <c r="B66" i="23" s="1"/>
  <c r="W66" i="23" s="1"/>
  <c r="P305" i="23"/>
  <c r="V305" i="23" s="1"/>
  <c r="B305" i="23" s="1"/>
  <c r="D305" i="23" s="1"/>
  <c r="E305" i="23" s="1"/>
  <c r="F305" i="23" s="1"/>
  <c r="P209" i="23"/>
  <c r="V209" i="23" s="1"/>
  <c r="B209" i="23" s="1"/>
  <c r="D209" i="23" s="1"/>
  <c r="E209" i="23" s="1"/>
  <c r="F209" i="23" s="1"/>
  <c r="P134" i="23"/>
  <c r="V134" i="23" s="1"/>
  <c r="B134" i="23" s="1"/>
  <c r="D134" i="23" s="1"/>
  <c r="E134" i="23" s="1"/>
  <c r="F134" i="23" s="1"/>
  <c r="P265" i="23"/>
  <c r="V265" i="23" s="1"/>
  <c r="B265" i="23" s="1"/>
  <c r="W265" i="23" s="1"/>
  <c r="P314" i="23"/>
  <c r="V314" i="23" s="1"/>
  <c r="B314" i="23" s="1"/>
  <c r="W314" i="23" s="1"/>
  <c r="P100" i="23"/>
  <c r="V100" i="23" s="1"/>
  <c r="B100" i="23" s="1"/>
  <c r="D100" i="23" s="1"/>
  <c r="E100" i="23" s="1"/>
  <c r="F100" i="23" s="1"/>
  <c r="P118" i="23"/>
  <c r="V118" i="23" s="1"/>
  <c r="B118" i="23" s="1"/>
  <c r="W118" i="23" s="1"/>
  <c r="H221" i="22"/>
  <c r="I221" i="22" s="1"/>
  <c r="I62" i="20"/>
  <c r="H62" i="22" s="1"/>
  <c r="E14" i="19"/>
  <c r="P253" i="23"/>
  <c r="V253" i="23" s="1"/>
  <c r="B253" i="23" s="1"/>
  <c r="W253" i="23" s="1"/>
  <c r="P185" i="23"/>
  <c r="V185" i="23" s="1"/>
  <c r="B185" i="23" s="1"/>
  <c r="W185" i="23" s="1"/>
  <c r="P323" i="23"/>
  <c r="V323" i="23" s="1"/>
  <c r="B323" i="23" s="1"/>
  <c r="D323" i="23" s="1"/>
  <c r="E323" i="23" s="1"/>
  <c r="F323" i="23" s="1"/>
  <c r="P89" i="23"/>
  <c r="V89" i="23" s="1"/>
  <c r="B89" i="23" s="1"/>
  <c r="D89" i="23" s="1"/>
  <c r="E89" i="23" s="1"/>
  <c r="F89" i="23" s="1"/>
  <c r="P264" i="23"/>
  <c r="V264" i="23" s="1"/>
  <c r="B264" i="23" s="1"/>
  <c r="W264" i="23" s="1"/>
  <c r="P147" i="23"/>
  <c r="V147" i="23" s="1"/>
  <c r="B147" i="23" s="1"/>
  <c r="D147" i="23" s="1"/>
  <c r="E147" i="23" s="1"/>
  <c r="F147" i="23" s="1"/>
  <c r="P311" i="23"/>
  <c r="V311" i="23" s="1"/>
  <c r="B311" i="23" s="1"/>
  <c r="D311" i="23" s="1"/>
  <c r="E311" i="23" s="1"/>
  <c r="F311" i="23" s="1"/>
  <c r="P254" i="23"/>
  <c r="V254" i="23" s="1"/>
  <c r="B254" i="23" s="1"/>
  <c r="W254" i="23" s="1"/>
  <c r="P47" i="23"/>
  <c r="V47" i="23" s="1"/>
  <c r="B47" i="23" s="1"/>
  <c r="D47" i="23" s="1"/>
  <c r="E47" i="23" s="1"/>
  <c r="F47" i="23" s="1"/>
  <c r="P225" i="23"/>
  <c r="V225" i="23" s="1"/>
  <c r="B225" i="23" s="1"/>
  <c r="W225" i="23" s="1"/>
  <c r="P67" i="23"/>
  <c r="V67" i="23" s="1"/>
  <c r="B67" i="23" s="1"/>
  <c r="W67" i="23" s="1"/>
  <c r="H230" i="22"/>
  <c r="I230" i="22" s="1"/>
  <c r="I269" i="20"/>
  <c r="H269" i="22" s="1"/>
  <c r="I266" i="20"/>
  <c r="H266" i="22" s="1"/>
  <c r="H233" i="22"/>
  <c r="I233" i="22" s="1"/>
  <c r="H287" i="22"/>
  <c r="J287" i="22" s="1"/>
  <c r="P330" i="23"/>
  <c r="V330" i="23" s="1"/>
  <c r="B330" i="23" s="1"/>
  <c r="D330" i="23" s="1"/>
  <c r="E330" i="23" s="1"/>
  <c r="F330" i="23" s="1"/>
  <c r="P169" i="23"/>
  <c r="V169" i="23" s="1"/>
  <c r="B169" i="23" s="1"/>
  <c r="W169" i="23" s="1"/>
  <c r="P127" i="23"/>
  <c r="V127" i="23" s="1"/>
  <c r="B127" i="23" s="1"/>
  <c r="W127" i="23" s="1"/>
  <c r="P166" i="23"/>
  <c r="V166" i="23" s="1"/>
  <c r="B166" i="23" s="1"/>
  <c r="P210" i="23"/>
  <c r="V210" i="23" s="1"/>
  <c r="P93" i="23"/>
  <c r="V93" i="23" s="1"/>
  <c r="B93" i="23" s="1"/>
  <c r="D93" i="23" s="1"/>
  <c r="E93" i="23" s="1"/>
  <c r="F93" i="23" s="1"/>
  <c r="P272" i="23"/>
  <c r="AH52" i="7" s="1"/>
  <c r="P284" i="23"/>
  <c r="V284" i="23" s="1"/>
  <c r="B284" i="23" s="1"/>
  <c r="D284" i="23" s="1"/>
  <c r="E284" i="23" s="1"/>
  <c r="F284" i="23" s="1"/>
  <c r="P234" i="23"/>
  <c r="V234" i="23" s="1"/>
  <c r="B234" i="23" s="1"/>
  <c r="D234" i="23" s="1"/>
  <c r="E234" i="23" s="1"/>
  <c r="F234" i="23" s="1"/>
  <c r="P278" i="23"/>
  <c r="V278" i="23" s="1"/>
  <c r="B278" i="23" s="1"/>
  <c r="W278" i="23" s="1"/>
  <c r="P301" i="23"/>
  <c r="V301" i="23" s="1"/>
  <c r="B301" i="23" s="1"/>
  <c r="W301" i="23" s="1"/>
  <c r="P81" i="23"/>
  <c r="V81" i="23" s="1"/>
  <c r="B81" i="23" s="1"/>
  <c r="W81" i="23" s="1"/>
  <c r="P257" i="23"/>
  <c r="V257" i="23" s="1"/>
  <c r="B257" i="23" s="1"/>
  <c r="D257" i="23" s="1"/>
  <c r="E257" i="23" s="1"/>
  <c r="F257" i="23" s="1"/>
  <c r="P43" i="23"/>
  <c r="V43" i="23" s="1"/>
  <c r="B43" i="23" s="1"/>
  <c r="W43" i="23" s="1"/>
  <c r="P215" i="23"/>
  <c r="V215" i="23" s="1"/>
  <c r="B215" i="23" s="1"/>
  <c r="D215" i="23" s="1"/>
  <c r="E215" i="23" s="1"/>
  <c r="F215" i="23" s="1"/>
  <c r="P164" i="23"/>
  <c r="V164" i="23" s="1"/>
  <c r="B164" i="23" s="1"/>
  <c r="W164" i="23" s="1"/>
  <c r="P181" i="23"/>
  <c r="V181" i="23" s="1"/>
  <c r="B181" i="23" s="1"/>
  <c r="D181" i="23" s="1"/>
  <c r="E181" i="23" s="1"/>
  <c r="F181" i="23" s="1"/>
  <c r="P192" i="23"/>
  <c r="V192" i="23" s="1"/>
  <c r="B192" i="23" s="1"/>
  <c r="D192" i="23" s="1"/>
  <c r="E192" i="23" s="1"/>
  <c r="F192" i="23" s="1"/>
  <c r="P374" i="23"/>
  <c r="V374" i="23" s="1"/>
  <c r="B374" i="23" s="1"/>
  <c r="W374" i="23" s="1"/>
  <c r="P103" i="23"/>
  <c r="V103" i="23" s="1"/>
  <c r="B103" i="23" s="1"/>
  <c r="W103" i="23" s="1"/>
  <c r="P235" i="23"/>
  <c r="V235" i="23" s="1"/>
  <c r="B235" i="23" s="1"/>
  <c r="D235" i="23" s="1"/>
  <c r="E235" i="23" s="1"/>
  <c r="F235" i="23" s="1"/>
  <c r="P204" i="23"/>
  <c r="V204" i="23" s="1"/>
  <c r="B204" i="23" s="1"/>
  <c r="D204" i="23" s="1"/>
  <c r="E204" i="23" s="1"/>
  <c r="F204" i="23" s="1"/>
  <c r="P64" i="23"/>
  <c r="V64" i="23" s="1"/>
  <c r="B64" i="23" s="1"/>
  <c r="W64" i="23" s="1"/>
  <c r="P175" i="23"/>
  <c r="V175" i="23" s="1"/>
  <c r="B175" i="23" s="1"/>
  <c r="W175" i="23" s="1"/>
  <c r="P126" i="23"/>
  <c r="V126" i="23" s="1"/>
  <c r="B126" i="23" s="1"/>
  <c r="W126" i="23" s="1"/>
  <c r="P295" i="23"/>
  <c r="V295" i="23" s="1"/>
  <c r="B295" i="23" s="1"/>
  <c r="W295" i="23" s="1"/>
  <c r="P172" i="23"/>
  <c r="V172" i="23" s="1"/>
  <c r="B172" i="23" s="1"/>
  <c r="W172" i="23" s="1"/>
  <c r="P143" i="23"/>
  <c r="V143" i="23" s="1"/>
  <c r="B143" i="23" s="1"/>
  <c r="D143" i="23" s="1"/>
  <c r="E143" i="23" s="1"/>
  <c r="F143" i="23" s="1"/>
  <c r="P230" i="23"/>
  <c r="V230" i="23" s="1"/>
  <c r="B230" i="23" s="1"/>
  <c r="D230" i="23" s="1"/>
  <c r="E230" i="23" s="1"/>
  <c r="F230" i="23" s="1"/>
  <c r="P22" i="23"/>
  <c r="V22" i="23" s="1"/>
  <c r="B22" i="23" s="1"/>
  <c r="W22" i="23" s="1"/>
  <c r="P75" i="23"/>
  <c r="V75" i="23" s="1"/>
  <c r="B75" i="23" s="1"/>
  <c r="W75" i="23" s="1"/>
  <c r="P228" i="23"/>
  <c r="V228" i="23" s="1"/>
  <c r="B228" i="23" s="1"/>
  <c r="D228" i="23" s="1"/>
  <c r="E228" i="23" s="1"/>
  <c r="F228" i="23" s="1"/>
  <c r="P29" i="23"/>
  <c r="AH44" i="7" s="1"/>
  <c r="P220" i="23"/>
  <c r="V220" i="23" s="1"/>
  <c r="B220" i="23" s="1"/>
  <c r="D220" i="23" s="1"/>
  <c r="E220" i="23" s="1"/>
  <c r="F220" i="23" s="1"/>
  <c r="P282" i="23"/>
  <c r="V282" i="23" s="1"/>
  <c r="B282" i="23" s="1"/>
  <c r="D282" i="23" s="1"/>
  <c r="E282" i="23" s="1"/>
  <c r="F282" i="23" s="1"/>
  <c r="P50" i="23"/>
  <c r="V50" i="23" s="1"/>
  <c r="B50" i="23" s="1"/>
  <c r="D50" i="23" s="1"/>
  <c r="E50" i="23" s="1"/>
  <c r="F50" i="23" s="1"/>
  <c r="P122" i="23"/>
  <c r="V122" i="23" s="1"/>
  <c r="B122" i="23" s="1"/>
  <c r="W122" i="23" s="1"/>
  <c r="P112" i="23"/>
  <c r="V112" i="23" s="1"/>
  <c r="B112" i="23" s="1"/>
  <c r="W112" i="23" s="1"/>
  <c r="P99" i="23"/>
  <c r="V99" i="23" s="1"/>
  <c r="B99" i="23" s="1"/>
  <c r="D99" i="23" s="1"/>
  <c r="E99" i="23" s="1"/>
  <c r="F99" i="23" s="1"/>
  <c r="P195" i="23"/>
  <c r="V195" i="23" s="1"/>
  <c r="B195" i="23" s="1"/>
  <c r="D195" i="23" s="1"/>
  <c r="E195" i="23" s="1"/>
  <c r="F195" i="23" s="1"/>
  <c r="P324" i="23"/>
  <c r="V324" i="23" s="1"/>
  <c r="B324" i="23" s="1"/>
  <c r="D324" i="23" s="1"/>
  <c r="E324" i="23" s="1"/>
  <c r="F324" i="23" s="1"/>
  <c r="P317" i="23"/>
  <c r="V317" i="23" s="1"/>
  <c r="B317" i="23" s="1"/>
  <c r="D317" i="23" s="1"/>
  <c r="E317" i="23" s="1"/>
  <c r="F317" i="23" s="1"/>
  <c r="P326" i="23"/>
  <c r="V326" i="23" s="1"/>
  <c r="B326" i="23" s="1"/>
  <c r="D326" i="23" s="1"/>
  <c r="E326" i="23" s="1"/>
  <c r="F326" i="23" s="1"/>
  <c r="P183" i="23"/>
  <c r="V183" i="23" s="1"/>
  <c r="B183" i="23" s="1"/>
  <c r="D183" i="23" s="1"/>
  <c r="E183" i="23" s="1"/>
  <c r="F183" i="23" s="1"/>
  <c r="P337" i="23"/>
  <c r="V337" i="23" s="1"/>
  <c r="B337" i="23" s="1"/>
  <c r="W337" i="23" s="1"/>
  <c r="P90" i="23"/>
  <c r="V90" i="23" s="1"/>
  <c r="B90" i="23" s="1"/>
  <c r="W90" i="23" s="1"/>
  <c r="P139" i="23"/>
  <c r="V139" i="23" s="1"/>
  <c r="B139" i="23" s="1"/>
  <c r="D139" i="23" s="1"/>
  <c r="E139" i="23" s="1"/>
  <c r="F139" i="23" s="1"/>
  <c r="P361" i="23"/>
  <c r="V361" i="23" s="1"/>
  <c r="B361" i="23" s="1"/>
  <c r="D361" i="23" s="1"/>
  <c r="E361" i="23" s="1"/>
  <c r="F361" i="23" s="1"/>
  <c r="P214" i="23"/>
  <c r="V214" i="23" s="1"/>
  <c r="B214" i="23" s="1"/>
  <c r="W214" i="23" s="1"/>
  <c r="P319" i="23"/>
  <c r="V319" i="23" s="1"/>
  <c r="B319" i="23" s="1"/>
  <c r="D319" i="23" s="1"/>
  <c r="E319" i="23" s="1"/>
  <c r="F319" i="23" s="1"/>
  <c r="G319" i="23" s="1"/>
  <c r="CD319" i="6" s="1"/>
  <c r="P24" i="23"/>
  <c r="V24" i="23" s="1"/>
  <c r="B24" i="23" s="1"/>
  <c r="W24" i="23" s="1"/>
  <c r="P372" i="23"/>
  <c r="V372" i="23" s="1"/>
  <c r="B372" i="23" s="1"/>
  <c r="D372" i="23" s="1"/>
  <c r="E372" i="23" s="1"/>
  <c r="F372" i="23" s="1"/>
  <c r="P71" i="23"/>
  <c r="V71" i="23" s="1"/>
  <c r="B71" i="23" s="1"/>
  <c r="W71" i="23" s="1"/>
  <c r="P315" i="23"/>
  <c r="V315" i="23" s="1"/>
  <c r="B315" i="23" s="1"/>
  <c r="D315" i="23" s="1"/>
  <c r="E315" i="23" s="1"/>
  <c r="F315" i="23" s="1"/>
  <c r="P76" i="23"/>
  <c r="V76" i="23" s="1"/>
  <c r="B76" i="23" s="1"/>
  <c r="D76" i="23" s="1"/>
  <c r="E76" i="23" s="1"/>
  <c r="F76" i="23" s="1"/>
  <c r="G76" i="23" s="1"/>
  <c r="CD76" i="6" s="1"/>
  <c r="P212" i="23"/>
  <c r="V212" i="23" s="1"/>
  <c r="B212" i="23" s="1"/>
  <c r="D212" i="23" s="1"/>
  <c r="E212" i="23" s="1"/>
  <c r="F212" i="23" s="1"/>
  <c r="P369" i="23"/>
  <c r="V369" i="23" s="1"/>
  <c r="B369" i="23" s="1"/>
  <c r="W369" i="23" s="1"/>
  <c r="P38" i="23"/>
  <c r="V38" i="23" s="1"/>
  <c r="B38" i="23" s="1"/>
  <c r="W38" i="23" s="1"/>
  <c r="P249" i="23"/>
  <c r="V249" i="23" s="1"/>
  <c r="B249" i="23" s="1"/>
  <c r="W249" i="23" s="1"/>
  <c r="P58" i="23"/>
  <c r="V58" i="23" s="1"/>
  <c r="B58" i="23" s="1"/>
  <c r="W58" i="23" s="1"/>
  <c r="P193" i="23"/>
  <c r="V193" i="23" s="1"/>
  <c r="B193" i="23" s="1"/>
  <c r="W193" i="23" s="1"/>
  <c r="P120" i="23"/>
  <c r="V120" i="23" s="1"/>
  <c r="B120" i="23" s="1"/>
  <c r="W120" i="23" s="1"/>
  <c r="P151" i="23"/>
  <c r="V151" i="23" s="1"/>
  <c r="B151" i="23" s="1"/>
  <c r="W151" i="23" s="1"/>
  <c r="P94" i="23"/>
  <c r="V94" i="23" s="1"/>
  <c r="B94" i="23" s="1"/>
  <c r="W94" i="23" s="1"/>
  <c r="P333" i="23"/>
  <c r="V333" i="23" s="1"/>
  <c r="P21" i="23"/>
  <c r="V21" i="23" s="1"/>
  <c r="B21" i="23" s="1"/>
  <c r="W21" i="23" s="1"/>
  <c r="P287" i="23"/>
  <c r="V287" i="23" s="1"/>
  <c r="B287" i="23" s="1"/>
  <c r="D287" i="23" s="1"/>
  <c r="E287" i="23" s="1"/>
  <c r="F287" i="23" s="1"/>
  <c r="P218" i="23"/>
  <c r="V218" i="23" s="1"/>
  <c r="B218" i="23" s="1"/>
  <c r="D218" i="23" s="1"/>
  <c r="E218" i="23" s="1"/>
  <c r="F218" i="23" s="1"/>
  <c r="P344" i="23"/>
  <c r="V344" i="23" s="1"/>
  <c r="B344" i="23" s="1"/>
  <c r="D344" i="23" s="1"/>
  <c r="E344" i="23" s="1"/>
  <c r="F344" i="23" s="1"/>
  <c r="P229" i="23"/>
  <c r="V229" i="23" s="1"/>
  <c r="B229" i="23" s="1"/>
  <c r="W229" i="23" s="1"/>
  <c r="P186" i="23"/>
  <c r="V186" i="23" s="1"/>
  <c r="B186" i="23" s="1"/>
  <c r="W186" i="23" s="1"/>
  <c r="P104" i="23"/>
  <c r="V104" i="23" s="1"/>
  <c r="B104" i="23" s="1"/>
  <c r="W104" i="23" s="1"/>
  <c r="P161" i="23"/>
  <c r="V161" i="23" s="1"/>
  <c r="B161" i="23" s="1"/>
  <c r="D161" i="23" s="1"/>
  <c r="E161" i="23" s="1"/>
  <c r="F161" i="23" s="1"/>
  <c r="P270" i="23"/>
  <c r="V270" i="23" s="1"/>
  <c r="B270" i="23" s="1"/>
  <c r="D270" i="23" s="1"/>
  <c r="E270" i="23" s="1"/>
  <c r="F270" i="23" s="1"/>
  <c r="P332" i="23"/>
  <c r="V332" i="23" s="1"/>
  <c r="B332" i="23" s="1"/>
  <c r="D332" i="23" s="1"/>
  <c r="E332" i="23" s="1"/>
  <c r="F332" i="23" s="1"/>
  <c r="P223" i="23"/>
  <c r="V223" i="23" s="1"/>
  <c r="B223" i="23" s="1"/>
  <c r="W223" i="23" s="1"/>
  <c r="P106" i="23"/>
  <c r="V106" i="23" s="1"/>
  <c r="B106" i="23" s="1"/>
  <c r="W106" i="23" s="1"/>
  <c r="P152" i="23"/>
  <c r="V152" i="23" s="1"/>
  <c r="B152" i="23" s="1"/>
  <c r="D152" i="23" s="1"/>
  <c r="E152" i="23" s="1"/>
  <c r="F152" i="23" s="1"/>
  <c r="P23" i="23"/>
  <c r="V23" i="23" s="1"/>
  <c r="B23" i="23" s="1"/>
  <c r="D23" i="23" s="1"/>
  <c r="E23" i="23" s="1"/>
  <c r="F23" i="23" s="1"/>
  <c r="P356" i="23"/>
  <c r="V356" i="23" s="1"/>
  <c r="B356" i="23" s="1"/>
  <c r="W356" i="23" s="1"/>
  <c r="P239" i="23"/>
  <c r="V239" i="23" s="1"/>
  <c r="B239" i="23" s="1"/>
  <c r="W239" i="23" s="1"/>
  <c r="P174" i="23"/>
  <c r="V174" i="23" s="1"/>
  <c r="B174" i="23" s="1"/>
  <c r="D174" i="23" s="1"/>
  <c r="E174" i="23" s="1"/>
  <c r="F174" i="23" s="1"/>
  <c r="P360" i="23"/>
  <c r="V360" i="23" s="1"/>
  <c r="B360" i="23" s="1"/>
  <c r="W360" i="23" s="1"/>
  <c r="P149" i="23"/>
  <c r="V149" i="23" s="1"/>
  <c r="P261" i="23"/>
  <c r="V261" i="23" s="1"/>
  <c r="B261" i="23" s="1"/>
  <c r="D261" i="23" s="1"/>
  <c r="E261" i="23" s="1"/>
  <c r="F261" i="23" s="1"/>
  <c r="J41" i="22"/>
  <c r="J177" i="20"/>
  <c r="J281" i="22"/>
  <c r="J305" i="22"/>
  <c r="J35" i="22"/>
  <c r="H54" i="22"/>
  <c r="I54" i="22" s="1"/>
  <c r="H371" i="22"/>
  <c r="I371" i="22" s="1"/>
  <c r="H38" i="22"/>
  <c r="I38" i="22" s="1"/>
  <c r="H124" i="22"/>
  <c r="I124" i="22" s="1"/>
  <c r="H345" i="22"/>
  <c r="I345" i="22" s="1"/>
  <c r="H17" i="22"/>
  <c r="I17" i="22" s="1"/>
  <c r="H43" i="22"/>
  <c r="I43" i="22" s="1"/>
  <c r="H351" i="22"/>
  <c r="I351" i="22" s="1"/>
  <c r="H111" i="22"/>
  <c r="H240" i="22"/>
  <c r="I240" i="22" s="1"/>
  <c r="J146" i="20"/>
  <c r="H193" i="22"/>
  <c r="H171" i="22"/>
  <c r="H321" i="22"/>
  <c r="J321" i="22" s="1"/>
  <c r="H96" i="22"/>
  <c r="V379" i="22"/>
  <c r="B379" i="22" s="1"/>
  <c r="B380" i="22" s="1"/>
  <c r="D41" i="19"/>
  <c r="H53" i="22"/>
  <c r="I53" i="22" s="1"/>
  <c r="H146" i="22"/>
  <c r="I146" i="22" s="1"/>
  <c r="AG233" i="22"/>
  <c r="AF233" i="22" s="1"/>
  <c r="AD233" i="22" s="1"/>
  <c r="AA233" i="22" s="1"/>
  <c r="Z233" i="22" s="1"/>
  <c r="Y233" i="22" s="1"/>
  <c r="AG362" i="22"/>
  <c r="AF362" i="22" s="1"/>
  <c r="AD362" i="22" s="1"/>
  <c r="AA362" i="22" s="1"/>
  <c r="Z362" i="22" s="1"/>
  <c r="Y362" i="22" s="1"/>
  <c r="AG29" i="22"/>
  <c r="AF29" i="22" s="1"/>
  <c r="AD29" i="22" s="1"/>
  <c r="AG166" i="22"/>
  <c r="AF166" i="22" s="1"/>
  <c r="AD166" i="22" s="1"/>
  <c r="AA166" i="22" s="1"/>
  <c r="Z166" i="22" s="1"/>
  <c r="Y166" i="22" s="1"/>
  <c r="AG236" i="22"/>
  <c r="AF236" i="22" s="1"/>
  <c r="AD236" i="22" s="1"/>
  <c r="AA236" i="22" s="1"/>
  <c r="Z236" i="22" s="1"/>
  <c r="Y236" i="22" s="1"/>
  <c r="AG211" i="22"/>
  <c r="AF211" i="22" s="1"/>
  <c r="AD211" i="22" s="1"/>
  <c r="AA211" i="22" s="1"/>
  <c r="Z211" i="22" s="1"/>
  <c r="Y211" i="22" s="1"/>
  <c r="AG356" i="22"/>
  <c r="AF356" i="22" s="1"/>
  <c r="AD356" i="22" s="1"/>
  <c r="AA356" i="22" s="1"/>
  <c r="Z356" i="22" s="1"/>
  <c r="Y356" i="22" s="1"/>
  <c r="AG53" i="22"/>
  <c r="AF53" i="22" s="1"/>
  <c r="AD53" i="22" s="1"/>
  <c r="AA53" i="22" s="1"/>
  <c r="Z53" i="22" s="1"/>
  <c r="Y53" i="22" s="1"/>
  <c r="AG32" i="22"/>
  <c r="AF32" i="22" s="1"/>
  <c r="AD32" i="22" s="1"/>
  <c r="AA32" i="22" s="1"/>
  <c r="Z32" i="22" s="1"/>
  <c r="Y32" i="22" s="1"/>
  <c r="AG173" i="22"/>
  <c r="AF173" i="22" s="1"/>
  <c r="AD173" i="22" s="1"/>
  <c r="AA173" i="22" s="1"/>
  <c r="Z173" i="22" s="1"/>
  <c r="Y173" i="22" s="1"/>
  <c r="AG299" i="22"/>
  <c r="AF299" i="22" s="1"/>
  <c r="AD299" i="22" s="1"/>
  <c r="AA299" i="22" s="1"/>
  <c r="Z299" i="22" s="1"/>
  <c r="Y299" i="22" s="1"/>
  <c r="AG222" i="22"/>
  <c r="AF222" i="22" s="1"/>
  <c r="AD222" i="22" s="1"/>
  <c r="AA222" i="22" s="1"/>
  <c r="Z222" i="22" s="1"/>
  <c r="Y222" i="22" s="1"/>
  <c r="AG355" i="22"/>
  <c r="AF355" i="22" s="1"/>
  <c r="AD355" i="22" s="1"/>
  <c r="AA355" i="22" s="1"/>
  <c r="Z355" i="22" s="1"/>
  <c r="Y355" i="22" s="1"/>
  <c r="AG260" i="22"/>
  <c r="AF260" i="22" s="1"/>
  <c r="AD260" i="22" s="1"/>
  <c r="AA260" i="22" s="1"/>
  <c r="Z260" i="22" s="1"/>
  <c r="Y260" i="22" s="1"/>
  <c r="AG378" i="22"/>
  <c r="AF378" i="22" s="1"/>
  <c r="AD378" i="22" s="1"/>
  <c r="AA378" i="22" s="1"/>
  <c r="Z378" i="22" s="1"/>
  <c r="Y378" i="22" s="1"/>
  <c r="AG74" i="22"/>
  <c r="AF74" i="22" s="1"/>
  <c r="AD74" i="22" s="1"/>
  <c r="AA74" i="22" s="1"/>
  <c r="Z74" i="22" s="1"/>
  <c r="Y74" i="22" s="1"/>
  <c r="AG127" i="22"/>
  <c r="AF127" i="22" s="1"/>
  <c r="AD127" i="22" s="1"/>
  <c r="AA127" i="22" s="1"/>
  <c r="Z127" i="22" s="1"/>
  <c r="Y127" i="22" s="1"/>
  <c r="AG39" i="22"/>
  <c r="AF39" i="22" s="1"/>
  <c r="AD39" i="22" s="1"/>
  <c r="AA39" i="22" s="1"/>
  <c r="Z39" i="22" s="1"/>
  <c r="Y39" i="22" s="1"/>
  <c r="AG89" i="22"/>
  <c r="AF89" i="22" s="1"/>
  <c r="AD89" i="22" s="1"/>
  <c r="AA89" i="22" s="1"/>
  <c r="Z89" i="22" s="1"/>
  <c r="Y89" i="22" s="1"/>
  <c r="AG115" i="22"/>
  <c r="AF115" i="22" s="1"/>
  <c r="AD115" i="22" s="1"/>
  <c r="AA115" i="22" s="1"/>
  <c r="Z115" i="22" s="1"/>
  <c r="Y115" i="22" s="1"/>
  <c r="AG229" i="22"/>
  <c r="AF229" i="22" s="1"/>
  <c r="AD229" i="22" s="1"/>
  <c r="AA229" i="22" s="1"/>
  <c r="Z229" i="22" s="1"/>
  <c r="Y229" i="22" s="1"/>
  <c r="AG182" i="22"/>
  <c r="AF182" i="22" s="1"/>
  <c r="AD182" i="22" s="1"/>
  <c r="AA182" i="22" s="1"/>
  <c r="Z182" i="22" s="1"/>
  <c r="Y182" i="22" s="1"/>
  <c r="AG238" i="22"/>
  <c r="AF238" i="22" s="1"/>
  <c r="AD238" i="22" s="1"/>
  <c r="AA238" i="22" s="1"/>
  <c r="Z238" i="22" s="1"/>
  <c r="Y238" i="22" s="1"/>
  <c r="AG136" i="22"/>
  <c r="AF136" i="22" s="1"/>
  <c r="AD136" i="22" s="1"/>
  <c r="AA136" i="22" s="1"/>
  <c r="Z136" i="22" s="1"/>
  <c r="Y136" i="22" s="1"/>
  <c r="AG189" i="22"/>
  <c r="AF189" i="22" s="1"/>
  <c r="AD189" i="22" s="1"/>
  <c r="AA189" i="22" s="1"/>
  <c r="Z189" i="22" s="1"/>
  <c r="Y189" i="22" s="1"/>
  <c r="AG23" i="22"/>
  <c r="AF23" i="22" s="1"/>
  <c r="AD23" i="22" s="1"/>
  <c r="AA23" i="22" s="1"/>
  <c r="Z23" i="22" s="1"/>
  <c r="Y23" i="22" s="1"/>
  <c r="AG154" i="22"/>
  <c r="AF154" i="22" s="1"/>
  <c r="AD154" i="22" s="1"/>
  <c r="AA154" i="22" s="1"/>
  <c r="Z154" i="22" s="1"/>
  <c r="Y154" i="22" s="1"/>
  <c r="AG81" i="22"/>
  <c r="AF81" i="22" s="1"/>
  <c r="AD81" i="22" s="1"/>
  <c r="AA81" i="22" s="1"/>
  <c r="Z81" i="22" s="1"/>
  <c r="Y81" i="22" s="1"/>
  <c r="AG319" i="22"/>
  <c r="AF319" i="22" s="1"/>
  <c r="AD319" i="22" s="1"/>
  <c r="AA319" i="22" s="1"/>
  <c r="Z319" i="22" s="1"/>
  <c r="Y319" i="22" s="1"/>
  <c r="AG91" i="22"/>
  <c r="AF91" i="22" s="1"/>
  <c r="AD91" i="22" s="1"/>
  <c r="AA91" i="22" s="1"/>
  <c r="Z91" i="22" s="1"/>
  <c r="Y91" i="22" s="1"/>
  <c r="AG375" i="22"/>
  <c r="AF375" i="22" s="1"/>
  <c r="AD375" i="22" s="1"/>
  <c r="AA375" i="22" s="1"/>
  <c r="Z375" i="22" s="1"/>
  <c r="Y375" i="22" s="1"/>
  <c r="AG148" i="22"/>
  <c r="AF148" i="22" s="1"/>
  <c r="AD148" i="22" s="1"/>
  <c r="AA148" i="22" s="1"/>
  <c r="Z148" i="22" s="1"/>
  <c r="Y148" i="22" s="1"/>
  <c r="AG281" i="22"/>
  <c r="AF281" i="22" s="1"/>
  <c r="AD281" i="22" s="1"/>
  <c r="AA281" i="22" s="1"/>
  <c r="Z281" i="22" s="1"/>
  <c r="Y281" i="22" s="1"/>
  <c r="AG69" i="22"/>
  <c r="AF69" i="22" s="1"/>
  <c r="AD69" i="22" s="1"/>
  <c r="AA69" i="22" s="1"/>
  <c r="Z69" i="22" s="1"/>
  <c r="Y69" i="22" s="1"/>
  <c r="AG322" i="22"/>
  <c r="AF322" i="22" s="1"/>
  <c r="AD322" i="22" s="1"/>
  <c r="AA322" i="22" s="1"/>
  <c r="Z322" i="22" s="1"/>
  <c r="Y322" i="22" s="1"/>
  <c r="AG102" i="22"/>
  <c r="AF102" i="22" s="1"/>
  <c r="AD102" i="22" s="1"/>
  <c r="AA102" i="22" s="1"/>
  <c r="Z102" i="22" s="1"/>
  <c r="Y102" i="22" s="1"/>
  <c r="AG172" i="22"/>
  <c r="AF172" i="22" s="1"/>
  <c r="AD172" i="22" s="1"/>
  <c r="AA172" i="22" s="1"/>
  <c r="Z172" i="22" s="1"/>
  <c r="Y172" i="22" s="1"/>
  <c r="AG147" i="22"/>
  <c r="AF147" i="22" s="1"/>
  <c r="AD147" i="22" s="1"/>
  <c r="AA147" i="22" s="1"/>
  <c r="Z147" i="22" s="1"/>
  <c r="Y147" i="22" s="1"/>
  <c r="AG292" i="22"/>
  <c r="AF292" i="22" s="1"/>
  <c r="AD292" i="22" s="1"/>
  <c r="AA292" i="22" s="1"/>
  <c r="Z292" i="22" s="1"/>
  <c r="Y292" i="22" s="1"/>
  <c r="AG185" i="22"/>
  <c r="AF185" i="22" s="1"/>
  <c r="AD185" i="22" s="1"/>
  <c r="AA185" i="22" s="1"/>
  <c r="Z185" i="22" s="1"/>
  <c r="Y185" i="22" s="1"/>
  <c r="AG247" i="22"/>
  <c r="AF247" i="22" s="1"/>
  <c r="AD247" i="22" s="1"/>
  <c r="AA247" i="22" s="1"/>
  <c r="Z247" i="22" s="1"/>
  <c r="Y247" i="22" s="1"/>
  <c r="AG83" i="22"/>
  <c r="AF83" i="22" s="1"/>
  <c r="AD83" i="22" s="1"/>
  <c r="AA83" i="22" s="1"/>
  <c r="Z83" i="22" s="1"/>
  <c r="Y83" i="22" s="1"/>
  <c r="AG346" i="22"/>
  <c r="AF346" i="22" s="1"/>
  <c r="AD346" i="22" s="1"/>
  <c r="AA346" i="22" s="1"/>
  <c r="Z346" i="22" s="1"/>
  <c r="Y346" i="22" s="1"/>
  <c r="AG45" i="22"/>
  <c r="AF45" i="22" s="1"/>
  <c r="AD45" i="22" s="1"/>
  <c r="AA45" i="22" s="1"/>
  <c r="Z45" i="22" s="1"/>
  <c r="Y45" i="22" s="1"/>
  <c r="AG94" i="22"/>
  <c r="AF94" i="22" s="1"/>
  <c r="AD94" i="22" s="1"/>
  <c r="AA94" i="22" s="1"/>
  <c r="Z94" i="22" s="1"/>
  <c r="Y94" i="22" s="1"/>
  <c r="AG342" i="22"/>
  <c r="AF342" i="22" s="1"/>
  <c r="AD342" i="22" s="1"/>
  <c r="AA342" i="22" s="1"/>
  <c r="Z342" i="22" s="1"/>
  <c r="Y342" i="22" s="1"/>
  <c r="AG130" i="22"/>
  <c r="AF130" i="22" s="1"/>
  <c r="AD130" i="22" s="1"/>
  <c r="AA130" i="22" s="1"/>
  <c r="Z130" i="22" s="1"/>
  <c r="Y130" i="22" s="1"/>
  <c r="AG341" i="22"/>
  <c r="AF341" i="22" s="1"/>
  <c r="AD341" i="22" s="1"/>
  <c r="AA341" i="22" s="1"/>
  <c r="Z341" i="22" s="1"/>
  <c r="Y341" i="22" s="1"/>
  <c r="AG100" i="22"/>
  <c r="AF100" i="22" s="1"/>
  <c r="AD100" i="22" s="1"/>
  <c r="AA100" i="22" s="1"/>
  <c r="Z100" i="22" s="1"/>
  <c r="Y100" i="22" s="1"/>
  <c r="AG145" i="22"/>
  <c r="AF145" i="22" s="1"/>
  <c r="AD145" i="22" s="1"/>
  <c r="AA145" i="22" s="1"/>
  <c r="Z145" i="22" s="1"/>
  <c r="Y145" i="22" s="1"/>
  <c r="AG43" i="22"/>
  <c r="AF43" i="22" s="1"/>
  <c r="AD43" i="22" s="1"/>
  <c r="AA43" i="22" s="1"/>
  <c r="Z43" i="22" s="1"/>
  <c r="Y43" i="22" s="1"/>
  <c r="AG99" i="22"/>
  <c r="AF99" i="22" s="1"/>
  <c r="AD99" i="22" s="1"/>
  <c r="AA99" i="22" s="1"/>
  <c r="Z99" i="22" s="1"/>
  <c r="Y99" i="22" s="1"/>
  <c r="AG122" i="22"/>
  <c r="AF122" i="22" s="1"/>
  <c r="AD122" i="22" s="1"/>
  <c r="AA122" i="22" s="1"/>
  <c r="Z122" i="22" s="1"/>
  <c r="Y122" i="22" s="1"/>
  <c r="AG49" i="22"/>
  <c r="AF49" i="22" s="1"/>
  <c r="AD49" i="22" s="1"/>
  <c r="AA49" i="22" s="1"/>
  <c r="Z49" i="22" s="1"/>
  <c r="Y49" i="22" s="1"/>
  <c r="AG178" i="22"/>
  <c r="AF178" i="22" s="1"/>
  <c r="AD178" i="22" s="1"/>
  <c r="AA178" i="22" s="1"/>
  <c r="Z178" i="22" s="1"/>
  <c r="Y178" i="22" s="1"/>
  <c r="AG312" i="22"/>
  <c r="AF312" i="22" s="1"/>
  <c r="AD312" i="22" s="1"/>
  <c r="AA312" i="22" s="1"/>
  <c r="Z312" i="22" s="1"/>
  <c r="Y312" i="22" s="1"/>
  <c r="AG135" i="22"/>
  <c r="AF135" i="22" s="1"/>
  <c r="AD135" i="22" s="1"/>
  <c r="AA135" i="22" s="1"/>
  <c r="Z135" i="22" s="1"/>
  <c r="Y135" i="22" s="1"/>
  <c r="AG368" i="22"/>
  <c r="AF368" i="22" s="1"/>
  <c r="AD368" i="22" s="1"/>
  <c r="AA368" i="22" s="1"/>
  <c r="Z368" i="22" s="1"/>
  <c r="Y368" i="22" s="1"/>
  <c r="AG137" i="22"/>
  <c r="AF137" i="22" s="1"/>
  <c r="AD137" i="22" s="1"/>
  <c r="AA137" i="22" s="1"/>
  <c r="Z137" i="22" s="1"/>
  <c r="Y137" i="22" s="1"/>
  <c r="AG266" i="22"/>
  <c r="AF266" i="22" s="1"/>
  <c r="AD266" i="22" s="1"/>
  <c r="AA266" i="22" s="1"/>
  <c r="Z266" i="22" s="1"/>
  <c r="Y266" i="22" s="1"/>
  <c r="AG193" i="22"/>
  <c r="AF193" i="22" s="1"/>
  <c r="AD193" i="22" s="1"/>
  <c r="AG376" i="22"/>
  <c r="AF376" i="22" s="1"/>
  <c r="AD376" i="22" s="1"/>
  <c r="AA376" i="22" s="1"/>
  <c r="Z376" i="22" s="1"/>
  <c r="Y376" i="22" s="1"/>
  <c r="AG157" i="22"/>
  <c r="AF157" i="22" s="1"/>
  <c r="AD157" i="22" s="1"/>
  <c r="AA157" i="22" s="1"/>
  <c r="Z157" i="22" s="1"/>
  <c r="Y157" i="22" s="1"/>
  <c r="AG263" i="22"/>
  <c r="AF263" i="22" s="1"/>
  <c r="AD263" i="22" s="1"/>
  <c r="AA263" i="22" s="1"/>
  <c r="Z263" i="22" s="1"/>
  <c r="Y263" i="22" s="1"/>
  <c r="AG26" i="22"/>
  <c r="AF26" i="22" s="1"/>
  <c r="AD26" i="22" s="1"/>
  <c r="AA26" i="22" s="1"/>
  <c r="Z26" i="22" s="1"/>
  <c r="Y26" i="22" s="1"/>
  <c r="AG180" i="22"/>
  <c r="AF180" i="22" s="1"/>
  <c r="AD180" i="22" s="1"/>
  <c r="AG318" i="22"/>
  <c r="AF318" i="22" s="1"/>
  <c r="AD318" i="22" s="1"/>
  <c r="AA318" i="22" s="1"/>
  <c r="Z318" i="22" s="1"/>
  <c r="Y318" i="22" s="1"/>
  <c r="AG313" i="22"/>
  <c r="AF313" i="22" s="1"/>
  <c r="AD313" i="22" s="1"/>
  <c r="AA313" i="22" s="1"/>
  <c r="Z313" i="22" s="1"/>
  <c r="Y313" i="22" s="1"/>
  <c r="AG82" i="22"/>
  <c r="AF82" i="22" s="1"/>
  <c r="AD82" i="22" s="1"/>
  <c r="AA82" i="22" s="1"/>
  <c r="Z82" i="22" s="1"/>
  <c r="Y82" i="22" s="1"/>
  <c r="AG133" i="22"/>
  <c r="AF133" i="22" s="1"/>
  <c r="AD133" i="22" s="1"/>
  <c r="AA133" i="22" s="1"/>
  <c r="Z133" i="22" s="1"/>
  <c r="Y133" i="22" s="1"/>
  <c r="AG216" i="22"/>
  <c r="AF216" i="22" s="1"/>
  <c r="AD216" i="22" s="1"/>
  <c r="AA216" i="22" s="1"/>
  <c r="Z216" i="22" s="1"/>
  <c r="Y216" i="22" s="1"/>
  <c r="AG354" i="22"/>
  <c r="AF354" i="22" s="1"/>
  <c r="AD354" i="22" s="1"/>
  <c r="AA354" i="22" s="1"/>
  <c r="Z354" i="22" s="1"/>
  <c r="Y354" i="22" s="1"/>
  <c r="AG316" i="22"/>
  <c r="AF316" i="22" s="1"/>
  <c r="AD316" i="22" s="1"/>
  <c r="AA316" i="22" s="1"/>
  <c r="Z316" i="22" s="1"/>
  <c r="Y316" i="22" s="1"/>
  <c r="AG134" i="22"/>
  <c r="AF134" i="22" s="1"/>
  <c r="AD134" i="22" s="1"/>
  <c r="AA134" i="22" s="1"/>
  <c r="Z134" i="22" s="1"/>
  <c r="Y134" i="22" s="1"/>
  <c r="AG272" i="22"/>
  <c r="AF272" i="22" s="1"/>
  <c r="AD272" i="22" s="1"/>
  <c r="AG204" i="22"/>
  <c r="AF204" i="22" s="1"/>
  <c r="AD204" i="22" s="1"/>
  <c r="AA204" i="22" s="1"/>
  <c r="Z204" i="22" s="1"/>
  <c r="Y204" i="22" s="1"/>
  <c r="AG41" i="22"/>
  <c r="AF41" i="22" s="1"/>
  <c r="AD41" i="22" s="1"/>
  <c r="AA41" i="22" s="1"/>
  <c r="Z41" i="22" s="1"/>
  <c r="Y41" i="22" s="1"/>
  <c r="AG179" i="22"/>
  <c r="AF179" i="22" s="1"/>
  <c r="AD179" i="22" s="1"/>
  <c r="AA179" i="22" s="1"/>
  <c r="Z179" i="22" s="1"/>
  <c r="Y179" i="22" s="1"/>
  <c r="AG170" i="22"/>
  <c r="AF170" i="22" s="1"/>
  <c r="AD170" i="22" s="1"/>
  <c r="AA170" i="22" s="1"/>
  <c r="Z170" i="22" s="1"/>
  <c r="Y170" i="22" s="1"/>
  <c r="AG324" i="22"/>
  <c r="AF324" i="22" s="1"/>
  <c r="AD324" i="22" s="1"/>
  <c r="AA324" i="22" s="1"/>
  <c r="Z324" i="22" s="1"/>
  <c r="Y324" i="22" s="1"/>
  <c r="AG97" i="22"/>
  <c r="AF97" i="22" s="1"/>
  <c r="AD97" i="22" s="1"/>
  <c r="AA97" i="22" s="1"/>
  <c r="Z97" i="22" s="1"/>
  <c r="Y97" i="22" s="1"/>
  <c r="AG21" i="22"/>
  <c r="AF21" i="22" s="1"/>
  <c r="AD21" i="22" s="1"/>
  <c r="AA21" i="22" s="1"/>
  <c r="Z21" i="22" s="1"/>
  <c r="Y21" i="22" s="1"/>
  <c r="AG223" i="22"/>
  <c r="AF223" i="22" s="1"/>
  <c r="AD223" i="22" s="1"/>
  <c r="AA223" i="22" s="1"/>
  <c r="Z223" i="22" s="1"/>
  <c r="Y223" i="22" s="1"/>
  <c r="AG369" i="22"/>
  <c r="AF369" i="22" s="1"/>
  <c r="AD369" i="22" s="1"/>
  <c r="AA369" i="22" s="1"/>
  <c r="Z369" i="22" s="1"/>
  <c r="Y369" i="22" s="1"/>
  <c r="AG360" i="22"/>
  <c r="AF360" i="22" s="1"/>
  <c r="AD360" i="22" s="1"/>
  <c r="AA360" i="22" s="1"/>
  <c r="Z360" i="22" s="1"/>
  <c r="Y360" i="22" s="1"/>
  <c r="AG141" i="22"/>
  <c r="AF141" i="22" s="1"/>
  <c r="AD141" i="22" s="1"/>
  <c r="AA141" i="22" s="1"/>
  <c r="Z141" i="22" s="1"/>
  <c r="Y141" i="22" s="1"/>
  <c r="AG231" i="22"/>
  <c r="AF231" i="22" s="1"/>
  <c r="AD231" i="22" s="1"/>
  <c r="AA231" i="22" s="1"/>
  <c r="Z231" i="22" s="1"/>
  <c r="Y231" i="22" s="1"/>
  <c r="AG38" i="22"/>
  <c r="AF38" i="22" s="1"/>
  <c r="AD38" i="22" s="1"/>
  <c r="AA38" i="22" s="1"/>
  <c r="Z38" i="22" s="1"/>
  <c r="Y38" i="22" s="1"/>
  <c r="AG176" i="22"/>
  <c r="AF176" i="22" s="1"/>
  <c r="AD176" i="22" s="1"/>
  <c r="AA176" i="22" s="1"/>
  <c r="Z176" i="22" s="1"/>
  <c r="Y176" i="22" s="1"/>
  <c r="AG108" i="22"/>
  <c r="AF108" i="22" s="1"/>
  <c r="AD108" i="22" s="1"/>
  <c r="AA108" i="22" s="1"/>
  <c r="Z108" i="22" s="1"/>
  <c r="Y108" i="22" s="1"/>
  <c r="AG310" i="22"/>
  <c r="AF310" i="22" s="1"/>
  <c r="AD310" i="22" s="1"/>
  <c r="AA310" i="22" s="1"/>
  <c r="Z310" i="22" s="1"/>
  <c r="Y310" i="22" s="1"/>
  <c r="AG158" i="22"/>
  <c r="AF158" i="22" s="1"/>
  <c r="AD158" i="22" s="1"/>
  <c r="AA158" i="22" s="1"/>
  <c r="Z158" i="22" s="1"/>
  <c r="Y158" i="22" s="1"/>
  <c r="AG291" i="22"/>
  <c r="AF291" i="22" s="1"/>
  <c r="AD291" i="22" s="1"/>
  <c r="AA291" i="22" s="1"/>
  <c r="Z291" i="22" s="1"/>
  <c r="Y291" i="22" s="1"/>
  <c r="AG56" i="22"/>
  <c r="AF56" i="22" s="1"/>
  <c r="AD56" i="22" s="1"/>
  <c r="AA56" i="22" s="1"/>
  <c r="Z56" i="22" s="1"/>
  <c r="Y56" i="22" s="1"/>
  <c r="AG357" i="22"/>
  <c r="AF357" i="22" s="1"/>
  <c r="AD357" i="22" s="1"/>
  <c r="AA357" i="22" s="1"/>
  <c r="Z357" i="22" s="1"/>
  <c r="Y357" i="22" s="1"/>
  <c r="AG112" i="22"/>
  <c r="AF112" i="22" s="1"/>
  <c r="AD112" i="22" s="1"/>
  <c r="AA112" i="22" s="1"/>
  <c r="Z112" i="22" s="1"/>
  <c r="Y112" i="22" s="1"/>
  <c r="AG246" i="22"/>
  <c r="AF246" i="22" s="1"/>
  <c r="AD246" i="22" s="1"/>
  <c r="AA246" i="22" s="1"/>
  <c r="Z246" i="22" s="1"/>
  <c r="Y246" i="22" s="1"/>
  <c r="AI12" i="23"/>
  <c r="AH379" i="22"/>
  <c r="AG379" i="22" s="1"/>
  <c r="AF379" i="22" s="1"/>
  <c r="AD379" i="22" s="1"/>
  <c r="AG302" i="22"/>
  <c r="AF302" i="22" s="1"/>
  <c r="AD302" i="22" s="1"/>
  <c r="AG52" i="22"/>
  <c r="AF52" i="22" s="1"/>
  <c r="AD52" i="22" s="1"/>
  <c r="AA52" i="22" s="1"/>
  <c r="Z52" i="22" s="1"/>
  <c r="Y52" i="22" s="1"/>
  <c r="AG282" i="22"/>
  <c r="AF282" i="22" s="1"/>
  <c r="AD282" i="22" s="1"/>
  <c r="AA282" i="22" s="1"/>
  <c r="Z282" i="22" s="1"/>
  <c r="Y282" i="22" s="1"/>
  <c r="AG209" i="22"/>
  <c r="AF209" i="22" s="1"/>
  <c r="AD209" i="22" s="1"/>
  <c r="AG338" i="22"/>
  <c r="AF338" i="22" s="1"/>
  <c r="AD338" i="22" s="1"/>
  <c r="AA338" i="22" s="1"/>
  <c r="Z338" i="22" s="1"/>
  <c r="Y338" i="22" s="1"/>
  <c r="AG107" i="22"/>
  <c r="AF107" i="22" s="1"/>
  <c r="AD107" i="22" s="1"/>
  <c r="AA107" i="22" s="1"/>
  <c r="Z107" i="22" s="1"/>
  <c r="Y107" i="22" s="1"/>
  <c r="AG30" i="22"/>
  <c r="AF30" i="22" s="1"/>
  <c r="AD30" i="22" s="1"/>
  <c r="AA30" i="22" s="1"/>
  <c r="Z30" i="22" s="1"/>
  <c r="Y30" i="22" s="1"/>
  <c r="AG163" i="22"/>
  <c r="AF163" i="22" s="1"/>
  <c r="AD163" i="22" s="1"/>
  <c r="AA163" i="22" s="1"/>
  <c r="Z163" i="22" s="1"/>
  <c r="Y163" i="22" s="1"/>
  <c r="AG297" i="22"/>
  <c r="AF297" i="22" s="1"/>
  <c r="AD297" i="22" s="1"/>
  <c r="AA297" i="22" s="1"/>
  <c r="Z297" i="22" s="1"/>
  <c r="Y297" i="22" s="1"/>
  <c r="AG101" i="22"/>
  <c r="AF101" i="22" s="1"/>
  <c r="AD101" i="22" s="1"/>
  <c r="AA101" i="22" s="1"/>
  <c r="Z101" i="22" s="1"/>
  <c r="Y101" i="22" s="1"/>
  <c r="AG353" i="22"/>
  <c r="AF353" i="22" s="1"/>
  <c r="AD353" i="22" s="1"/>
  <c r="AA353" i="22" s="1"/>
  <c r="Z353" i="22" s="1"/>
  <c r="Y353" i="22" s="1"/>
  <c r="AG118" i="22"/>
  <c r="AF118" i="22" s="1"/>
  <c r="AD118" i="22" s="1"/>
  <c r="AA118" i="22" s="1"/>
  <c r="Z118" i="22" s="1"/>
  <c r="Y118" i="22" s="1"/>
  <c r="AG251" i="22"/>
  <c r="AF251" i="22" s="1"/>
  <c r="AD251" i="22" s="1"/>
  <c r="AA251" i="22" s="1"/>
  <c r="Z251" i="22" s="1"/>
  <c r="Y251" i="22" s="1"/>
  <c r="AG174" i="22"/>
  <c r="AF174" i="22" s="1"/>
  <c r="AD174" i="22" s="1"/>
  <c r="AA174" i="22" s="1"/>
  <c r="Z174" i="22" s="1"/>
  <c r="Y174" i="22" s="1"/>
  <c r="AG67" i="22"/>
  <c r="AF67" i="22" s="1"/>
  <c r="AD67" i="22" s="1"/>
  <c r="AA67" i="22" s="1"/>
  <c r="Z67" i="22" s="1"/>
  <c r="Y67" i="22" s="1"/>
  <c r="AG201" i="22"/>
  <c r="AF201" i="22" s="1"/>
  <c r="AD201" i="22" s="1"/>
  <c r="AA201" i="22" s="1"/>
  <c r="Z201" i="22" s="1"/>
  <c r="Y201" i="22" s="1"/>
  <c r="AG330" i="22"/>
  <c r="AF330" i="22" s="1"/>
  <c r="AD330" i="22" s="1"/>
  <c r="AA330" i="22" s="1"/>
  <c r="Z330" i="22" s="1"/>
  <c r="Y330" i="22" s="1"/>
  <c r="AG257" i="22"/>
  <c r="AF257" i="22" s="1"/>
  <c r="AD257" i="22" s="1"/>
  <c r="AA257" i="22" s="1"/>
  <c r="Z257" i="22" s="1"/>
  <c r="Y257" i="22" s="1"/>
  <c r="AG22" i="22"/>
  <c r="AF22" i="22" s="1"/>
  <c r="AD22" i="22" s="1"/>
  <c r="AA22" i="22" s="1"/>
  <c r="Z22" i="22" s="1"/>
  <c r="Y22" i="22" s="1"/>
  <c r="AG155" i="22"/>
  <c r="AF155" i="22" s="1"/>
  <c r="AD155" i="22" s="1"/>
  <c r="AA155" i="22" s="1"/>
  <c r="Z155" i="22" s="1"/>
  <c r="Y155" i="22" s="1"/>
  <c r="AG78" i="22"/>
  <c r="AF78" i="22" s="1"/>
  <c r="AD78" i="22" s="1"/>
  <c r="AA78" i="22" s="1"/>
  <c r="Z78" i="22" s="1"/>
  <c r="Y78" i="22" s="1"/>
  <c r="AG212" i="22"/>
  <c r="AF212" i="22" s="1"/>
  <c r="AD212" i="22" s="1"/>
  <c r="AA212" i="22" s="1"/>
  <c r="Z212" i="22" s="1"/>
  <c r="Y212" i="22" s="1"/>
  <c r="AG345" i="22"/>
  <c r="AF345" i="22" s="1"/>
  <c r="AD345" i="22" s="1"/>
  <c r="AA345" i="22" s="1"/>
  <c r="Z345" i="22" s="1"/>
  <c r="Y345" i="22" s="1"/>
  <c r="AG197" i="22"/>
  <c r="AF197" i="22" s="1"/>
  <c r="AD197" i="22" s="1"/>
  <c r="AA197" i="22" s="1"/>
  <c r="Z197" i="22" s="1"/>
  <c r="Y197" i="22" s="1"/>
  <c r="AG305" i="22"/>
  <c r="AF305" i="22" s="1"/>
  <c r="AD305" i="22" s="1"/>
  <c r="AA305" i="22" s="1"/>
  <c r="Z305" i="22" s="1"/>
  <c r="Y305" i="22" s="1"/>
  <c r="AG296" i="22"/>
  <c r="AF296" i="22" s="1"/>
  <c r="AD296" i="22" s="1"/>
  <c r="AA296" i="22" s="1"/>
  <c r="Z296" i="22" s="1"/>
  <c r="Y296" i="22" s="1"/>
  <c r="AG77" i="22"/>
  <c r="AF77" i="22" s="1"/>
  <c r="AD77" i="22" s="1"/>
  <c r="AA77" i="22" s="1"/>
  <c r="Z77" i="22" s="1"/>
  <c r="Y77" i="22" s="1"/>
  <c r="AG103" i="22"/>
  <c r="AF103" i="22" s="1"/>
  <c r="AD103" i="22" s="1"/>
  <c r="AA103" i="22" s="1"/>
  <c r="Z103" i="22" s="1"/>
  <c r="Y103" i="22" s="1"/>
  <c r="AG203" i="22"/>
  <c r="AF203" i="22" s="1"/>
  <c r="AD203" i="22" s="1"/>
  <c r="AA203" i="22" s="1"/>
  <c r="Z203" i="22" s="1"/>
  <c r="Y203" i="22" s="1"/>
  <c r="AG349" i="22"/>
  <c r="AF349" i="22" s="1"/>
  <c r="AD349" i="22" s="1"/>
  <c r="AA349" i="22" s="1"/>
  <c r="Z349" i="22" s="1"/>
  <c r="Y349" i="22" s="1"/>
  <c r="AG126" i="22"/>
  <c r="AF126" i="22" s="1"/>
  <c r="AD126" i="22" s="1"/>
  <c r="AA126" i="22" s="1"/>
  <c r="Z126" i="22" s="1"/>
  <c r="Y126" i="22" s="1"/>
  <c r="AG121" i="22"/>
  <c r="AF121" i="22" s="1"/>
  <c r="AD121" i="22" s="1"/>
  <c r="AA121" i="22" s="1"/>
  <c r="Z121" i="22" s="1"/>
  <c r="Y121" i="22" s="1"/>
  <c r="AG259" i="22"/>
  <c r="AF259" i="22" s="1"/>
  <c r="AD259" i="22" s="1"/>
  <c r="AA259" i="22" s="1"/>
  <c r="Z259" i="22" s="1"/>
  <c r="Y259" i="22" s="1"/>
  <c r="AG183" i="22"/>
  <c r="AF183" i="22" s="1"/>
  <c r="AD183" i="22" s="1"/>
  <c r="AA183" i="22" s="1"/>
  <c r="Z183" i="22" s="1"/>
  <c r="Y183" i="22" s="1"/>
  <c r="AG24" i="22"/>
  <c r="AF24" i="22" s="1"/>
  <c r="AD24" i="22" s="1"/>
  <c r="AA24" i="22" s="1"/>
  <c r="Z24" i="22" s="1"/>
  <c r="Y24" i="22" s="1"/>
  <c r="AG162" i="22"/>
  <c r="AF162" i="22" s="1"/>
  <c r="AD162" i="22" s="1"/>
  <c r="AA162" i="22" s="1"/>
  <c r="Z162" i="22" s="1"/>
  <c r="Y162" i="22" s="1"/>
  <c r="AG293" i="22"/>
  <c r="AF293" i="22" s="1"/>
  <c r="AD293" i="22" s="1"/>
  <c r="AA293" i="22" s="1"/>
  <c r="Z293" i="22" s="1"/>
  <c r="Y293" i="22" s="1"/>
  <c r="AG303" i="22"/>
  <c r="AF303" i="22" s="1"/>
  <c r="AD303" i="22" s="1"/>
  <c r="AA303" i="22" s="1"/>
  <c r="Z303" i="22" s="1"/>
  <c r="Y303" i="22" s="1"/>
  <c r="AG80" i="22"/>
  <c r="AF80" i="22" s="1"/>
  <c r="AD80" i="22" s="1"/>
  <c r="AA80" i="22" s="1"/>
  <c r="Z80" i="22" s="1"/>
  <c r="Y80" i="22" s="1"/>
  <c r="AG373" i="22"/>
  <c r="AF373" i="22" s="1"/>
  <c r="AD373" i="22" s="1"/>
  <c r="AA373" i="22" s="1"/>
  <c r="Z373" i="22" s="1"/>
  <c r="Y373" i="22" s="1"/>
  <c r="AG191" i="22"/>
  <c r="AF191" i="22" s="1"/>
  <c r="AD191" i="22" s="1"/>
  <c r="AA191" i="22" s="1"/>
  <c r="Z191" i="22" s="1"/>
  <c r="Y191" i="22" s="1"/>
  <c r="AG337" i="22"/>
  <c r="AF337" i="22" s="1"/>
  <c r="AD337" i="22" s="1"/>
  <c r="AA337" i="22" s="1"/>
  <c r="Z337" i="22" s="1"/>
  <c r="Y337" i="22" s="1"/>
  <c r="AG328" i="22"/>
  <c r="AF328" i="22" s="1"/>
  <c r="AD328" i="22" s="1"/>
  <c r="AA328" i="22" s="1"/>
  <c r="Z328" i="22" s="1"/>
  <c r="Y328" i="22" s="1"/>
  <c r="AG214" i="22"/>
  <c r="AF214" i="22" s="1"/>
  <c r="AD214" i="22" s="1"/>
  <c r="AA214" i="22" s="1"/>
  <c r="Z214" i="22" s="1"/>
  <c r="Y214" i="22" s="1"/>
  <c r="AG352" i="22"/>
  <c r="AF352" i="22" s="1"/>
  <c r="AD352" i="22" s="1"/>
  <c r="AA352" i="22" s="1"/>
  <c r="Z352" i="22" s="1"/>
  <c r="Y352" i="22" s="1"/>
  <c r="AG347" i="22"/>
  <c r="AF347" i="22" s="1"/>
  <c r="AD347" i="22" s="1"/>
  <c r="AA347" i="22" s="1"/>
  <c r="Z347" i="22" s="1"/>
  <c r="Y347" i="22" s="1"/>
  <c r="AG132" i="22"/>
  <c r="AF132" i="22" s="1"/>
  <c r="AD132" i="22" s="1"/>
  <c r="AA132" i="22" s="1"/>
  <c r="Z132" i="22" s="1"/>
  <c r="Y132" i="22" s="1"/>
  <c r="AG270" i="22"/>
  <c r="AF270" i="22" s="1"/>
  <c r="AD270" i="22" s="1"/>
  <c r="AA270" i="22" s="1"/>
  <c r="Z270" i="22" s="1"/>
  <c r="Y270" i="22" s="1"/>
  <c r="AG250" i="22"/>
  <c r="AF250" i="22" s="1"/>
  <c r="AD250" i="22" s="1"/>
  <c r="AA250" i="22" s="1"/>
  <c r="Z250" i="22" s="1"/>
  <c r="Y250" i="22" s="1"/>
  <c r="AG31" i="22"/>
  <c r="AF31" i="22" s="1"/>
  <c r="AD31" i="22" s="1"/>
  <c r="AA31" i="22" s="1"/>
  <c r="Z31" i="22" s="1"/>
  <c r="Y31" i="22" s="1"/>
  <c r="AG177" i="22"/>
  <c r="AF177" i="22" s="1"/>
  <c r="AD177" i="22" s="1"/>
  <c r="AA177" i="22" s="1"/>
  <c r="Z177" i="22" s="1"/>
  <c r="Y177" i="22" s="1"/>
  <c r="AG168" i="22"/>
  <c r="AF168" i="22" s="1"/>
  <c r="AD168" i="22" s="1"/>
  <c r="AA168" i="22" s="1"/>
  <c r="Z168" i="22" s="1"/>
  <c r="Y168" i="22" s="1"/>
  <c r="AG306" i="22"/>
  <c r="AF306" i="22" s="1"/>
  <c r="AD306" i="22" s="1"/>
  <c r="AA306" i="22" s="1"/>
  <c r="Z306" i="22" s="1"/>
  <c r="Y306" i="22" s="1"/>
  <c r="AG220" i="22"/>
  <c r="AF220" i="22" s="1"/>
  <c r="AD220" i="22" s="1"/>
  <c r="AA220" i="22" s="1"/>
  <c r="Z220" i="22" s="1"/>
  <c r="Y220" i="22" s="1"/>
  <c r="AG75" i="22"/>
  <c r="AF75" i="22" s="1"/>
  <c r="AD75" i="22" s="1"/>
  <c r="AA75" i="22" s="1"/>
  <c r="Z75" i="22" s="1"/>
  <c r="Y75" i="22" s="1"/>
  <c r="AG221" i="22"/>
  <c r="AF221" i="22" s="1"/>
  <c r="AD221" i="22" s="1"/>
  <c r="AA221" i="22" s="1"/>
  <c r="Z221" i="22" s="1"/>
  <c r="Y221" i="22" s="1"/>
  <c r="AG359" i="22"/>
  <c r="AF359" i="22" s="1"/>
  <c r="AD359" i="22" s="1"/>
  <c r="AA359" i="22" s="1"/>
  <c r="Z359" i="22" s="1"/>
  <c r="Y359" i="22" s="1"/>
  <c r="AG358" i="22"/>
  <c r="AF358" i="22" s="1"/>
  <c r="AD358" i="22" s="1"/>
  <c r="AA358" i="22" s="1"/>
  <c r="Z358" i="22" s="1"/>
  <c r="Y358" i="22" s="1"/>
  <c r="AG131" i="22"/>
  <c r="AF131" i="22" s="1"/>
  <c r="AD131" i="22" s="1"/>
  <c r="AA131" i="22" s="1"/>
  <c r="Z131" i="22" s="1"/>
  <c r="Y131" i="22" s="1"/>
  <c r="AG55" i="22"/>
  <c r="AF55" i="22" s="1"/>
  <c r="AD55" i="22" s="1"/>
  <c r="AA55" i="22" s="1"/>
  <c r="Z55" i="22" s="1"/>
  <c r="Y55" i="22" s="1"/>
  <c r="AG265" i="22"/>
  <c r="AF265" i="22" s="1"/>
  <c r="AD265" i="22" s="1"/>
  <c r="AA265" i="22" s="1"/>
  <c r="Z265" i="22" s="1"/>
  <c r="Y265" i="22" s="1"/>
  <c r="AG34" i="22"/>
  <c r="AF34" i="22" s="1"/>
  <c r="AD34" i="22" s="1"/>
  <c r="AA34" i="22" s="1"/>
  <c r="Z34" i="22" s="1"/>
  <c r="Y34" i="22" s="1"/>
  <c r="AG37" i="22"/>
  <c r="AF37" i="22" s="1"/>
  <c r="AD37" i="22" s="1"/>
  <c r="AA37" i="22" s="1"/>
  <c r="Z37" i="22" s="1"/>
  <c r="Y37" i="22" s="1"/>
  <c r="AG175" i="22"/>
  <c r="AF175" i="22" s="1"/>
  <c r="AD175" i="22" s="1"/>
  <c r="AA175" i="22" s="1"/>
  <c r="Z175" i="22" s="1"/>
  <c r="Y175" i="22" s="1"/>
  <c r="AG321" i="22"/>
  <c r="AF321" i="22" s="1"/>
  <c r="AD321" i="22" s="1"/>
  <c r="AA321" i="22" s="1"/>
  <c r="Z321" i="22" s="1"/>
  <c r="Y321" i="22" s="1"/>
  <c r="AG245" i="22"/>
  <c r="AF245" i="22" s="1"/>
  <c r="AD245" i="22" s="1"/>
  <c r="AA245" i="22" s="1"/>
  <c r="Z245" i="22" s="1"/>
  <c r="Y245" i="22" s="1"/>
  <c r="AG210" i="22"/>
  <c r="AF210" i="22" s="1"/>
  <c r="AD210" i="22" s="1"/>
  <c r="AG28" i="22"/>
  <c r="AF28" i="22" s="1"/>
  <c r="AD28" i="22" s="1"/>
  <c r="AA28" i="22" s="1"/>
  <c r="Z28" i="22" s="1"/>
  <c r="Y28" i="22" s="1"/>
  <c r="AG344" i="22"/>
  <c r="AF344" i="22" s="1"/>
  <c r="AD344" i="22" s="1"/>
  <c r="AA344" i="22" s="1"/>
  <c r="Z344" i="22" s="1"/>
  <c r="Y344" i="22" s="1"/>
  <c r="AG125" i="22"/>
  <c r="AF125" i="22" s="1"/>
  <c r="AD125" i="22" s="1"/>
  <c r="AA125" i="22" s="1"/>
  <c r="Z125" i="22" s="1"/>
  <c r="Y125" i="22" s="1"/>
  <c r="AG199" i="22"/>
  <c r="AF199" i="22" s="1"/>
  <c r="AD199" i="22" s="1"/>
  <c r="AA199" i="22" s="1"/>
  <c r="Z199" i="22" s="1"/>
  <c r="Y199" i="22" s="1"/>
  <c r="AG262" i="22"/>
  <c r="AF262" i="22" s="1"/>
  <c r="AD262" i="22" s="1"/>
  <c r="AA262" i="22" s="1"/>
  <c r="Z262" i="22" s="1"/>
  <c r="Y262" i="22" s="1"/>
  <c r="AG35" i="22"/>
  <c r="AF35" i="22" s="1"/>
  <c r="AD35" i="22" s="1"/>
  <c r="AA35" i="22" s="1"/>
  <c r="Z35" i="22" s="1"/>
  <c r="Y35" i="22" s="1"/>
  <c r="AG332" i="22"/>
  <c r="AF332" i="22" s="1"/>
  <c r="AD332" i="22" s="1"/>
  <c r="AA332" i="22" s="1"/>
  <c r="Z332" i="22" s="1"/>
  <c r="Y332" i="22" s="1"/>
  <c r="AG169" i="22"/>
  <c r="AF169" i="22" s="1"/>
  <c r="AD169" i="22" s="1"/>
  <c r="AA169" i="22" s="1"/>
  <c r="Z169" i="22" s="1"/>
  <c r="Y169" i="22" s="1"/>
  <c r="AG307" i="22"/>
  <c r="AF307" i="22" s="1"/>
  <c r="AD307" i="22" s="1"/>
  <c r="AA307" i="22" s="1"/>
  <c r="Z307" i="22" s="1"/>
  <c r="Y307" i="22" s="1"/>
  <c r="AG298" i="22"/>
  <c r="AF298" i="22" s="1"/>
  <c r="AD298" i="22" s="1"/>
  <c r="AA298" i="22" s="1"/>
  <c r="Z298" i="22" s="1"/>
  <c r="Y298" i="22" s="1"/>
  <c r="AG79" i="22"/>
  <c r="AF79" i="22" s="1"/>
  <c r="AD79" i="22" s="1"/>
  <c r="AA79" i="22" s="1"/>
  <c r="Z79" i="22" s="1"/>
  <c r="Y79" i="22" s="1"/>
  <c r="AG225" i="22"/>
  <c r="AF225" i="22" s="1"/>
  <c r="AD225" i="22" s="1"/>
  <c r="AA225" i="22" s="1"/>
  <c r="Z225" i="22" s="1"/>
  <c r="Y225" i="22" s="1"/>
  <c r="AG149" i="22"/>
  <c r="AF149" i="22" s="1"/>
  <c r="AD149" i="22" s="1"/>
  <c r="AG351" i="22"/>
  <c r="AF351" i="22" s="1"/>
  <c r="AD351" i="22" s="1"/>
  <c r="AA351" i="22" s="1"/>
  <c r="Z351" i="22" s="1"/>
  <c r="Y351" i="22" s="1"/>
  <c r="AG128" i="22"/>
  <c r="AF128" i="22" s="1"/>
  <c r="AD128" i="22" s="1"/>
  <c r="AA128" i="22" s="1"/>
  <c r="Z128" i="22" s="1"/>
  <c r="Y128" i="22" s="1"/>
  <c r="AG123" i="22"/>
  <c r="AF123" i="22" s="1"/>
  <c r="AD123" i="22" s="1"/>
  <c r="AA123" i="22" s="1"/>
  <c r="Z123" i="22" s="1"/>
  <c r="Y123" i="22" s="1"/>
  <c r="AG269" i="22"/>
  <c r="AF269" i="22" s="1"/>
  <c r="AD269" i="22" s="1"/>
  <c r="AA269" i="22" s="1"/>
  <c r="Z269" i="22" s="1"/>
  <c r="Y269" i="22" s="1"/>
  <c r="AG46" i="22"/>
  <c r="AF46" i="22" s="1"/>
  <c r="AD46" i="22" s="1"/>
  <c r="AA46" i="22" s="1"/>
  <c r="Z46" i="22" s="1"/>
  <c r="Y46" i="22" s="1"/>
  <c r="AF104" i="20"/>
  <c r="AG383" i="20"/>
  <c r="AG382" i="20"/>
  <c r="AG381" i="20"/>
  <c r="AG371" i="22"/>
  <c r="AF371" i="22" s="1"/>
  <c r="AD371" i="22" s="1"/>
  <c r="AA371" i="22" s="1"/>
  <c r="Z371" i="22" s="1"/>
  <c r="Y371" i="22" s="1"/>
  <c r="AG248" i="22"/>
  <c r="AF248" i="22" s="1"/>
  <c r="AD248" i="22" s="1"/>
  <c r="AG380" i="22"/>
  <c r="AF380" i="22" s="1"/>
  <c r="AD380" i="22" s="1"/>
  <c r="AG304" i="22"/>
  <c r="AF304" i="22" s="1"/>
  <c r="AD304" i="22" s="1"/>
  <c r="AA304" i="22" s="1"/>
  <c r="Z304" i="22" s="1"/>
  <c r="Y304" i="22" s="1"/>
  <c r="AG73" i="22"/>
  <c r="AF73" i="22" s="1"/>
  <c r="AD73" i="22" s="1"/>
  <c r="AA73" i="22" s="1"/>
  <c r="Z73" i="22" s="1"/>
  <c r="Y73" i="22" s="1"/>
  <c r="AG202" i="22"/>
  <c r="AF202" i="22" s="1"/>
  <c r="AD202" i="22" s="1"/>
  <c r="AA202" i="22" s="1"/>
  <c r="Z202" i="22" s="1"/>
  <c r="Y202" i="22" s="1"/>
  <c r="AG129" i="22"/>
  <c r="AF129" i="22" s="1"/>
  <c r="AD129" i="22" s="1"/>
  <c r="AA129" i="22" s="1"/>
  <c r="Z129" i="22" s="1"/>
  <c r="Y129" i="22" s="1"/>
  <c r="AG255" i="22"/>
  <c r="AF255" i="22" s="1"/>
  <c r="AD255" i="22" s="1"/>
  <c r="AA255" i="22" s="1"/>
  <c r="Z255" i="22" s="1"/>
  <c r="Y255" i="22" s="1"/>
  <c r="AG27" i="22"/>
  <c r="AF27" i="22" s="1"/>
  <c r="AD27" i="22" s="1"/>
  <c r="AA27" i="22" s="1"/>
  <c r="Z27" i="22" s="1"/>
  <c r="Y27" i="22" s="1"/>
  <c r="AG295" i="22"/>
  <c r="AF295" i="22" s="1"/>
  <c r="AD295" i="22" s="1"/>
  <c r="AA295" i="22" s="1"/>
  <c r="Z295" i="22" s="1"/>
  <c r="Y295" i="22" s="1"/>
  <c r="AG84" i="22"/>
  <c r="AF84" i="22" s="1"/>
  <c r="AD84" i="22" s="1"/>
  <c r="AA84" i="22" s="1"/>
  <c r="Z84" i="22" s="1"/>
  <c r="Y84" i="22" s="1"/>
  <c r="AG217" i="22"/>
  <c r="AF217" i="22" s="1"/>
  <c r="AD217" i="22" s="1"/>
  <c r="AA217" i="22" s="1"/>
  <c r="Z217" i="22" s="1"/>
  <c r="Y217" i="22" s="1"/>
  <c r="AG279" i="22"/>
  <c r="AF279" i="22" s="1"/>
  <c r="AD279" i="22" s="1"/>
  <c r="AA279" i="22" s="1"/>
  <c r="Z279" i="22" s="1"/>
  <c r="Y279" i="22" s="1"/>
  <c r="AG33" i="22"/>
  <c r="AF33" i="22" s="1"/>
  <c r="AD33" i="22" s="1"/>
  <c r="AA33" i="22" s="1"/>
  <c r="Z33" i="22" s="1"/>
  <c r="Y33" i="22" s="1"/>
  <c r="AG159" i="22"/>
  <c r="AF159" i="22" s="1"/>
  <c r="AD159" i="22" s="1"/>
  <c r="AA159" i="22" s="1"/>
  <c r="Z159" i="22" s="1"/>
  <c r="Y159" i="22" s="1"/>
  <c r="AG366" i="22"/>
  <c r="AF366" i="22" s="1"/>
  <c r="AD366" i="22" s="1"/>
  <c r="AA366" i="22" s="1"/>
  <c r="Z366" i="22" s="1"/>
  <c r="Y366" i="22" s="1"/>
  <c r="AG264" i="22"/>
  <c r="AF264" i="22" s="1"/>
  <c r="AD264" i="22" s="1"/>
  <c r="AA264" i="22" s="1"/>
  <c r="Z264" i="22" s="1"/>
  <c r="Y264" i="22" s="1"/>
  <c r="AG317" i="22"/>
  <c r="AF317" i="22" s="1"/>
  <c r="AD317" i="22" s="1"/>
  <c r="AA317" i="22" s="1"/>
  <c r="Z317" i="22" s="1"/>
  <c r="Y317" i="22" s="1"/>
  <c r="AG151" i="22"/>
  <c r="AF151" i="22" s="1"/>
  <c r="AD151" i="22" s="1"/>
  <c r="AA151" i="22" s="1"/>
  <c r="Z151" i="22" s="1"/>
  <c r="Y151" i="22" s="1"/>
  <c r="AG361" i="22"/>
  <c r="AF361" i="22" s="1"/>
  <c r="AD361" i="22" s="1"/>
  <c r="AA361" i="22" s="1"/>
  <c r="Z361" i="22" s="1"/>
  <c r="Y361" i="22" s="1"/>
  <c r="AG48" i="22"/>
  <c r="AF48" i="22" s="1"/>
  <c r="AD48" i="22" s="1"/>
  <c r="AA48" i="22" s="1"/>
  <c r="Z48" i="22" s="1"/>
  <c r="Y48" i="22" s="1"/>
  <c r="AG315" i="22"/>
  <c r="AF315" i="22" s="1"/>
  <c r="AD315" i="22" s="1"/>
  <c r="AA315" i="22" s="1"/>
  <c r="Z315" i="22" s="1"/>
  <c r="Y315" i="22" s="1"/>
  <c r="AG372" i="22"/>
  <c r="AF372" i="22" s="1"/>
  <c r="AD372" i="22" s="1"/>
  <c r="AA372" i="22" s="1"/>
  <c r="Z372" i="22" s="1"/>
  <c r="Y372" i="22" s="1"/>
  <c r="AG156" i="22"/>
  <c r="AF156" i="22" s="1"/>
  <c r="AD156" i="22" s="1"/>
  <c r="AA156" i="22" s="1"/>
  <c r="Z156" i="22" s="1"/>
  <c r="Y156" i="22" s="1"/>
  <c r="AG326" i="22"/>
  <c r="AF326" i="22" s="1"/>
  <c r="AD326" i="22" s="1"/>
  <c r="AA326" i="22" s="1"/>
  <c r="Z326" i="22" s="1"/>
  <c r="Y326" i="22" s="1"/>
  <c r="AG142" i="22"/>
  <c r="AF142" i="22" s="1"/>
  <c r="AD142" i="22" s="1"/>
  <c r="AA142" i="22" s="1"/>
  <c r="Z142" i="22" s="1"/>
  <c r="Y142" i="22" s="1"/>
  <c r="AG308" i="22"/>
  <c r="AF308" i="22" s="1"/>
  <c r="AD308" i="22" s="1"/>
  <c r="AA308" i="22" s="1"/>
  <c r="Z308" i="22" s="1"/>
  <c r="Y308" i="22" s="1"/>
  <c r="AG72" i="22"/>
  <c r="AF72" i="22" s="1"/>
  <c r="AD72" i="22" s="1"/>
  <c r="AA72" i="22" s="1"/>
  <c r="Z72" i="22" s="1"/>
  <c r="Y72" i="22" s="1"/>
  <c r="AG96" i="22"/>
  <c r="AF96" i="22" s="1"/>
  <c r="AD96" i="22" s="1"/>
  <c r="AA96" i="22" s="1"/>
  <c r="Z96" i="22" s="1"/>
  <c r="Y96" i="22" s="1"/>
  <c r="AG237" i="22"/>
  <c r="AF237" i="22" s="1"/>
  <c r="AD237" i="22" s="1"/>
  <c r="AA237" i="22" s="1"/>
  <c r="Z237" i="22" s="1"/>
  <c r="Y237" i="22" s="1"/>
  <c r="AG363" i="22"/>
  <c r="AF363" i="22" s="1"/>
  <c r="AD363" i="22" s="1"/>
  <c r="AG286" i="22"/>
  <c r="AF286" i="22" s="1"/>
  <c r="AD286" i="22" s="1"/>
  <c r="AA286" i="22" s="1"/>
  <c r="Z286" i="22" s="1"/>
  <c r="Y286" i="22" s="1"/>
  <c r="AG50" i="22"/>
  <c r="AF50" i="22" s="1"/>
  <c r="AD50" i="22" s="1"/>
  <c r="AA50" i="22" s="1"/>
  <c r="Z50" i="22" s="1"/>
  <c r="Y50" i="22" s="1"/>
  <c r="AG184" i="22"/>
  <c r="AF184" i="22" s="1"/>
  <c r="AD184" i="22" s="1"/>
  <c r="AA184" i="22" s="1"/>
  <c r="Z184" i="22" s="1"/>
  <c r="Y184" i="22" s="1"/>
  <c r="AG252" i="22"/>
  <c r="AF252" i="22" s="1"/>
  <c r="AD252" i="22" s="1"/>
  <c r="AG240" i="22"/>
  <c r="AF240" i="22" s="1"/>
  <c r="AD240" i="22" s="1"/>
  <c r="AA240" i="22" s="1"/>
  <c r="Z240" i="22" s="1"/>
  <c r="Y240" i="22" s="1"/>
  <c r="AG374" i="22"/>
  <c r="AF374" i="22" s="1"/>
  <c r="AD374" i="22" s="1"/>
  <c r="AA374" i="22" s="1"/>
  <c r="Z374" i="22" s="1"/>
  <c r="Y374" i="22" s="1"/>
  <c r="AG138" i="22"/>
  <c r="AF138" i="22" s="1"/>
  <c r="AD138" i="22" s="1"/>
  <c r="AA138" i="22" s="1"/>
  <c r="Z138" i="22" s="1"/>
  <c r="Y138" i="22" s="1"/>
  <c r="AG65" i="22"/>
  <c r="AF65" i="22" s="1"/>
  <c r="AD65" i="22" s="1"/>
  <c r="AA65" i="22" s="1"/>
  <c r="Z65" i="22" s="1"/>
  <c r="Y65" i="22" s="1"/>
  <c r="AG323" i="22"/>
  <c r="AF323" i="22" s="1"/>
  <c r="AD323" i="22" s="1"/>
  <c r="AG88" i="22"/>
  <c r="AF88" i="22" s="1"/>
  <c r="AD88" i="22" s="1"/>
  <c r="AG228" i="22"/>
  <c r="AF228" i="22" s="1"/>
  <c r="AD228" i="22" s="1"/>
  <c r="AA228" i="22" s="1"/>
  <c r="Z228" i="22" s="1"/>
  <c r="Y228" i="22" s="1"/>
  <c r="AG273" i="22"/>
  <c r="AF273" i="22" s="1"/>
  <c r="AD273" i="22" s="1"/>
  <c r="AA273" i="22" s="1"/>
  <c r="Z273" i="22" s="1"/>
  <c r="Y273" i="22" s="1"/>
  <c r="AG171" i="22"/>
  <c r="AF171" i="22" s="1"/>
  <c r="AD171" i="22" s="1"/>
  <c r="AA171" i="22" s="1"/>
  <c r="Z171" i="22" s="1"/>
  <c r="Y171" i="22" s="1"/>
  <c r="AG227" i="22"/>
  <c r="AF227" i="22" s="1"/>
  <c r="AD227" i="22" s="1"/>
  <c r="AA227" i="22" s="1"/>
  <c r="Z227" i="22" s="1"/>
  <c r="Y227" i="22" s="1"/>
  <c r="AG106" i="22"/>
  <c r="AF106" i="22" s="1"/>
  <c r="AD106" i="22" s="1"/>
  <c r="AA106" i="22" s="1"/>
  <c r="Z106" i="22" s="1"/>
  <c r="Y106" i="22" s="1"/>
  <c r="AG271" i="22"/>
  <c r="AF271" i="22" s="1"/>
  <c r="AD271" i="22" s="1"/>
  <c r="AA271" i="22" s="1"/>
  <c r="Z271" i="22" s="1"/>
  <c r="Y271" i="22" s="1"/>
  <c r="AG320" i="22"/>
  <c r="AF320" i="22" s="1"/>
  <c r="AD320" i="22" s="1"/>
  <c r="AA320" i="22" s="1"/>
  <c r="Z320" i="22" s="1"/>
  <c r="Y320" i="22" s="1"/>
  <c r="AG218" i="22"/>
  <c r="AF218" i="22" s="1"/>
  <c r="AD218" i="22" s="1"/>
  <c r="AA218" i="22" s="1"/>
  <c r="Z218" i="22" s="1"/>
  <c r="Y218" i="22" s="1"/>
  <c r="AG274" i="22"/>
  <c r="AF274" i="22" s="1"/>
  <c r="AD274" i="22" s="1"/>
  <c r="AA274" i="22" s="1"/>
  <c r="Z274" i="22" s="1"/>
  <c r="Y274" i="22" s="1"/>
  <c r="AG327" i="22"/>
  <c r="AF327" i="22" s="1"/>
  <c r="AD327" i="22" s="1"/>
  <c r="AA327" i="22" s="1"/>
  <c r="Z327" i="22" s="1"/>
  <c r="Y327" i="22" s="1"/>
  <c r="AG365" i="22"/>
  <c r="AF365" i="22" s="1"/>
  <c r="AD365" i="22" s="1"/>
  <c r="AA365" i="22" s="1"/>
  <c r="Z365" i="22" s="1"/>
  <c r="Y365" i="22" s="1"/>
  <c r="AG276" i="22"/>
  <c r="AF276" i="22" s="1"/>
  <c r="AD276" i="22" s="1"/>
  <c r="AA276" i="22" s="1"/>
  <c r="Z276" i="22" s="1"/>
  <c r="Y276" i="22" s="1"/>
  <c r="AG40" i="22"/>
  <c r="AF40" i="22" s="1"/>
  <c r="AD40" i="22" s="1"/>
  <c r="AA40" i="22" s="1"/>
  <c r="Z40" i="22" s="1"/>
  <c r="Y40" i="22" s="1"/>
  <c r="AG325" i="22"/>
  <c r="AF325" i="22" s="1"/>
  <c r="AD325" i="22" s="1"/>
  <c r="AA325" i="22" s="1"/>
  <c r="Z325" i="22" s="1"/>
  <c r="Y325" i="22" s="1"/>
  <c r="AG93" i="22"/>
  <c r="AF93" i="22" s="1"/>
  <c r="AD93" i="22" s="1"/>
  <c r="AA93" i="22" s="1"/>
  <c r="Z93" i="22" s="1"/>
  <c r="Y93" i="22" s="1"/>
  <c r="AG230" i="22"/>
  <c r="AF230" i="22" s="1"/>
  <c r="AD230" i="22" s="1"/>
  <c r="AA230" i="22" s="1"/>
  <c r="Z230" i="22" s="1"/>
  <c r="Y230" i="22" s="1"/>
  <c r="AG300" i="22"/>
  <c r="AF300" i="22" s="1"/>
  <c r="AD300" i="22" s="1"/>
  <c r="AA300" i="22" s="1"/>
  <c r="Z300" i="22" s="1"/>
  <c r="Y300" i="22" s="1"/>
  <c r="AG275" i="22"/>
  <c r="AF275" i="22" s="1"/>
  <c r="AD275" i="22" s="1"/>
  <c r="AA275" i="22" s="1"/>
  <c r="Z275" i="22" s="1"/>
  <c r="Y275" i="22" s="1"/>
  <c r="AG47" i="22"/>
  <c r="AF47" i="22" s="1"/>
  <c r="AD47" i="22" s="1"/>
  <c r="AA47" i="22" s="1"/>
  <c r="Z47" i="22" s="1"/>
  <c r="Y47" i="22" s="1"/>
  <c r="AG117" i="22"/>
  <c r="AF117" i="22" s="1"/>
  <c r="AD117" i="22" s="1"/>
  <c r="AA117" i="22" s="1"/>
  <c r="Z117" i="22" s="1"/>
  <c r="Y117" i="22" s="1"/>
  <c r="AG86" i="22"/>
  <c r="AF86" i="22" s="1"/>
  <c r="AD86" i="22" s="1"/>
  <c r="AA86" i="22" s="1"/>
  <c r="Z86" i="22" s="1"/>
  <c r="Y86" i="22" s="1"/>
  <c r="AG224" i="22"/>
  <c r="AF224" i="22" s="1"/>
  <c r="AD224" i="22" s="1"/>
  <c r="AA224" i="22" s="1"/>
  <c r="Z224" i="22" s="1"/>
  <c r="Y224" i="22" s="1"/>
  <c r="AG219" i="22"/>
  <c r="AF219" i="22" s="1"/>
  <c r="AD219" i="22" s="1"/>
  <c r="AA219" i="22" s="1"/>
  <c r="Z219" i="22" s="1"/>
  <c r="Y219" i="22" s="1"/>
  <c r="AG105" i="22"/>
  <c r="AF105" i="22" s="1"/>
  <c r="AD105" i="22" s="1"/>
  <c r="AA105" i="22" s="1"/>
  <c r="Z105" i="22" s="1"/>
  <c r="Y105" i="22" s="1"/>
  <c r="AG243" i="22"/>
  <c r="AF243" i="22" s="1"/>
  <c r="AD243" i="22" s="1"/>
  <c r="AA243" i="22" s="1"/>
  <c r="Z243" i="22" s="1"/>
  <c r="Y243" i="22" s="1"/>
  <c r="AG234" i="22"/>
  <c r="AF234" i="22" s="1"/>
  <c r="AD234" i="22" s="1"/>
  <c r="AA234" i="22" s="1"/>
  <c r="Z234" i="22" s="1"/>
  <c r="Y234" i="22" s="1"/>
  <c r="AG18" i="22"/>
  <c r="AF18" i="22" s="1"/>
  <c r="AD18" i="22" s="1"/>
  <c r="AA18" i="22" s="1"/>
  <c r="Z18" i="22" s="1"/>
  <c r="Y18" i="22" s="1"/>
  <c r="AG161" i="22"/>
  <c r="AF161" i="22" s="1"/>
  <c r="AD161" i="22" s="1"/>
  <c r="AA161" i="22" s="1"/>
  <c r="Z161" i="22" s="1"/>
  <c r="Y161" i="22" s="1"/>
  <c r="AG85" i="22"/>
  <c r="AF85" i="22" s="1"/>
  <c r="AD85" i="22" s="1"/>
  <c r="AA85" i="22" s="1"/>
  <c r="Z85" i="22" s="1"/>
  <c r="Y85" i="22" s="1"/>
  <c r="AG287" i="22"/>
  <c r="AF287" i="22" s="1"/>
  <c r="AD287" i="22" s="1"/>
  <c r="AA287" i="22" s="1"/>
  <c r="Z287" i="22" s="1"/>
  <c r="Y287" i="22" s="1"/>
  <c r="AG64" i="22"/>
  <c r="AF64" i="22" s="1"/>
  <c r="AD64" i="22" s="1"/>
  <c r="AA64" i="22" s="1"/>
  <c r="Z64" i="22" s="1"/>
  <c r="Y64" i="22" s="1"/>
  <c r="AG59" i="22"/>
  <c r="AF59" i="22" s="1"/>
  <c r="AD59" i="22" s="1"/>
  <c r="AA59" i="22" s="1"/>
  <c r="Z59" i="22" s="1"/>
  <c r="Y59" i="22" s="1"/>
  <c r="AG205" i="22"/>
  <c r="AF205" i="22" s="1"/>
  <c r="AD205" i="22" s="1"/>
  <c r="AA205" i="22" s="1"/>
  <c r="Z205" i="22" s="1"/>
  <c r="Y205" i="22" s="1"/>
  <c r="AG343" i="22"/>
  <c r="AF343" i="22" s="1"/>
  <c r="AD343" i="22" s="1"/>
  <c r="AA343" i="22" s="1"/>
  <c r="Z343" i="22" s="1"/>
  <c r="Y343" i="22" s="1"/>
  <c r="AG331" i="22"/>
  <c r="AF331" i="22" s="1"/>
  <c r="AD331" i="22" s="1"/>
  <c r="AA331" i="22" s="1"/>
  <c r="Z331" i="22" s="1"/>
  <c r="Y331" i="22" s="1"/>
  <c r="AG116" i="22"/>
  <c r="AF116" i="22" s="1"/>
  <c r="AD116" i="22" s="1"/>
  <c r="AA116" i="22" s="1"/>
  <c r="Z116" i="22" s="1"/>
  <c r="Y116" i="22" s="1"/>
  <c r="AG254" i="22"/>
  <c r="AF254" i="22" s="1"/>
  <c r="AD254" i="22" s="1"/>
  <c r="AA254" i="22" s="1"/>
  <c r="Z254" i="22" s="1"/>
  <c r="Y254" i="22" s="1"/>
  <c r="AG249" i="22"/>
  <c r="AF249" i="22" s="1"/>
  <c r="AD249" i="22" s="1"/>
  <c r="AA249" i="22" s="1"/>
  <c r="Z249" i="22" s="1"/>
  <c r="Y249" i="22" s="1"/>
  <c r="AG19" i="22"/>
  <c r="AF19" i="22" s="1"/>
  <c r="AD19" i="22" s="1"/>
  <c r="AA19" i="22" s="1"/>
  <c r="Z19" i="22" s="1"/>
  <c r="Y19" i="22" s="1"/>
  <c r="AG311" i="22"/>
  <c r="AF311" i="22" s="1"/>
  <c r="AD311" i="22" s="1"/>
  <c r="AG152" i="22"/>
  <c r="AF152" i="22" s="1"/>
  <c r="AD152" i="22" s="1"/>
  <c r="AA152" i="22" s="1"/>
  <c r="Z152" i="22" s="1"/>
  <c r="Y152" i="22" s="1"/>
  <c r="AG290" i="22"/>
  <c r="AF290" i="22" s="1"/>
  <c r="AD290" i="22" s="1"/>
  <c r="AA290" i="22" s="1"/>
  <c r="Z290" i="22" s="1"/>
  <c r="Y290" i="22" s="1"/>
  <c r="AG188" i="22"/>
  <c r="AF188" i="22" s="1"/>
  <c r="AD188" i="22" s="1"/>
  <c r="AA188" i="22" s="1"/>
  <c r="Z188" i="22" s="1"/>
  <c r="Y188" i="22" s="1"/>
  <c r="AG70" i="22"/>
  <c r="AF70" i="22" s="1"/>
  <c r="AD70" i="22" s="1"/>
  <c r="AA70" i="22" s="1"/>
  <c r="Z70" i="22" s="1"/>
  <c r="Y70" i="22" s="1"/>
  <c r="AG208" i="22"/>
  <c r="AF208" i="22" s="1"/>
  <c r="AD208" i="22" s="1"/>
  <c r="AA208" i="22" s="1"/>
  <c r="Z208" i="22" s="1"/>
  <c r="Y208" i="22" s="1"/>
  <c r="AG140" i="22"/>
  <c r="AF140" i="22" s="1"/>
  <c r="AD140" i="22" s="1"/>
  <c r="AA140" i="22" s="1"/>
  <c r="Z140" i="22" s="1"/>
  <c r="Y140" i="22" s="1"/>
  <c r="AG109" i="22"/>
  <c r="AF109" i="22" s="1"/>
  <c r="AD109" i="22" s="1"/>
  <c r="AA109" i="22" s="1"/>
  <c r="Z109" i="22" s="1"/>
  <c r="Y109" i="22" s="1"/>
  <c r="AG167" i="22"/>
  <c r="AF167" i="22" s="1"/>
  <c r="AD167" i="22" s="1"/>
  <c r="AA167" i="22" s="1"/>
  <c r="Z167" i="22" s="1"/>
  <c r="Y167" i="22" s="1"/>
  <c r="AG235" i="22"/>
  <c r="AF235" i="22" s="1"/>
  <c r="AD235" i="22" s="1"/>
  <c r="AA235" i="22" s="1"/>
  <c r="Z235" i="22" s="1"/>
  <c r="Y235" i="22" s="1"/>
  <c r="AG20" i="22"/>
  <c r="AF20" i="22" s="1"/>
  <c r="AD20" i="22" s="1"/>
  <c r="AA20" i="22" s="1"/>
  <c r="Z20" i="22" s="1"/>
  <c r="Y20" i="22" s="1"/>
  <c r="AG153" i="22"/>
  <c r="AF153" i="22" s="1"/>
  <c r="AD153" i="22" s="1"/>
  <c r="AA153" i="22" s="1"/>
  <c r="Z153" i="22" s="1"/>
  <c r="Y153" i="22" s="1"/>
  <c r="AG215" i="22"/>
  <c r="AF215" i="22" s="1"/>
  <c r="AD215" i="22" s="1"/>
  <c r="AA215" i="22" s="1"/>
  <c r="Z215" i="22" s="1"/>
  <c r="Y215" i="22" s="1"/>
  <c r="AG194" i="22"/>
  <c r="AF194" i="22" s="1"/>
  <c r="AD194" i="22" s="1"/>
  <c r="AA194" i="22" s="1"/>
  <c r="Z194" i="22" s="1"/>
  <c r="Y194" i="22" s="1"/>
  <c r="AG335" i="22"/>
  <c r="AF335" i="22" s="1"/>
  <c r="AD335" i="22" s="1"/>
  <c r="AA335" i="22" s="1"/>
  <c r="Z335" i="22" s="1"/>
  <c r="Y335" i="22" s="1"/>
  <c r="AG44" i="22"/>
  <c r="AF44" i="22" s="1"/>
  <c r="AD44" i="22" s="1"/>
  <c r="AA44" i="22" s="1"/>
  <c r="Z44" i="22" s="1"/>
  <c r="Y44" i="22" s="1"/>
  <c r="AG17" i="22"/>
  <c r="AF17" i="22" s="1"/>
  <c r="AD17" i="22" s="1"/>
  <c r="AA17" i="22" s="1"/>
  <c r="Z17" i="22" s="1"/>
  <c r="Y17" i="22" s="1"/>
  <c r="AG164" i="22"/>
  <c r="AF164" i="22" s="1"/>
  <c r="AD164" i="22" s="1"/>
  <c r="AA164" i="22" s="1"/>
  <c r="Z164" i="22" s="1"/>
  <c r="Y164" i="22" s="1"/>
  <c r="AG267" i="22"/>
  <c r="AF267" i="22" s="1"/>
  <c r="AD267" i="22" s="1"/>
  <c r="AA267" i="22" s="1"/>
  <c r="Z267" i="22" s="1"/>
  <c r="Y267" i="22" s="1"/>
  <c r="AG190" i="22"/>
  <c r="AF190" i="22" s="1"/>
  <c r="AD190" i="22" s="1"/>
  <c r="AA190" i="22" s="1"/>
  <c r="Z190" i="22" s="1"/>
  <c r="Y190" i="22" s="1"/>
  <c r="AG63" i="22"/>
  <c r="AF63" i="22" s="1"/>
  <c r="AD63" i="22" s="1"/>
  <c r="AA63" i="22" s="1"/>
  <c r="Z63" i="22" s="1"/>
  <c r="Y63" i="22" s="1"/>
  <c r="AG200" i="22"/>
  <c r="AF200" i="22" s="1"/>
  <c r="AD200" i="22" s="1"/>
  <c r="AA200" i="22" s="1"/>
  <c r="Z200" i="22" s="1"/>
  <c r="Y200" i="22" s="1"/>
  <c r="AG284" i="22"/>
  <c r="AF284" i="22" s="1"/>
  <c r="AD284" i="22" s="1"/>
  <c r="AA284" i="22" s="1"/>
  <c r="Z284" i="22" s="1"/>
  <c r="Y284" i="22" s="1"/>
  <c r="AG253" i="22"/>
  <c r="AF253" i="22" s="1"/>
  <c r="AD253" i="22" s="1"/>
  <c r="AA253" i="22" s="1"/>
  <c r="Z253" i="22" s="1"/>
  <c r="Y253" i="22" s="1"/>
  <c r="AG25" i="22"/>
  <c r="AF25" i="22" s="1"/>
  <c r="AD25" i="22" s="1"/>
  <c r="AA25" i="22" s="1"/>
  <c r="Z25" i="22" s="1"/>
  <c r="Y25" i="22" s="1"/>
  <c r="AG87" i="22"/>
  <c r="AF87" i="22" s="1"/>
  <c r="AD87" i="22" s="1"/>
  <c r="AA87" i="22" s="1"/>
  <c r="Z87" i="22" s="1"/>
  <c r="Y87" i="22" s="1"/>
  <c r="AG66" i="22"/>
  <c r="AF66" i="22" s="1"/>
  <c r="AD66" i="22" s="1"/>
  <c r="AA66" i="22" s="1"/>
  <c r="Z66" i="22" s="1"/>
  <c r="Y66" i="22" s="1"/>
  <c r="AG207" i="22"/>
  <c r="AF207" i="22" s="1"/>
  <c r="AD207" i="22" s="1"/>
  <c r="AA207" i="22" s="1"/>
  <c r="Z207" i="22" s="1"/>
  <c r="Y207" i="22" s="1"/>
  <c r="AG277" i="22"/>
  <c r="AF277" i="22" s="1"/>
  <c r="AD277" i="22" s="1"/>
  <c r="AA277" i="22" s="1"/>
  <c r="Z277" i="22" s="1"/>
  <c r="Y277" i="22" s="1"/>
  <c r="AG256" i="22"/>
  <c r="AF256" i="22" s="1"/>
  <c r="AD256" i="22" s="1"/>
  <c r="AA256" i="22" s="1"/>
  <c r="Z256" i="22" s="1"/>
  <c r="Y256" i="22" s="1"/>
  <c r="AG36" i="22"/>
  <c r="AF36" i="22" s="1"/>
  <c r="AD36" i="22" s="1"/>
  <c r="AA36" i="22" s="1"/>
  <c r="Z36" i="22" s="1"/>
  <c r="Y36" i="22" s="1"/>
  <c r="AG294" i="22"/>
  <c r="AF294" i="22" s="1"/>
  <c r="AD294" i="22" s="1"/>
  <c r="AA294" i="22" s="1"/>
  <c r="Z294" i="22" s="1"/>
  <c r="Y294" i="22" s="1"/>
  <c r="AG364" i="22"/>
  <c r="AF364" i="22" s="1"/>
  <c r="AD364" i="22" s="1"/>
  <c r="AA364" i="22" s="1"/>
  <c r="Z364" i="22" s="1"/>
  <c r="Y364" i="22" s="1"/>
  <c r="AG339" i="22"/>
  <c r="AF339" i="22" s="1"/>
  <c r="AD339" i="22" s="1"/>
  <c r="AA339" i="22" s="1"/>
  <c r="Z339" i="22" s="1"/>
  <c r="Y339" i="22" s="1"/>
  <c r="AG111" i="22"/>
  <c r="AF111" i="22" s="1"/>
  <c r="AD111" i="22" s="1"/>
  <c r="AA111" i="22" s="1"/>
  <c r="Z111" i="22" s="1"/>
  <c r="Y111" i="22" s="1"/>
  <c r="AG181" i="22"/>
  <c r="AF181" i="22" s="1"/>
  <c r="AD181" i="22" s="1"/>
  <c r="AA181" i="22" s="1"/>
  <c r="Z181" i="22" s="1"/>
  <c r="Y181" i="22" s="1"/>
  <c r="AG160" i="22"/>
  <c r="AF160" i="22" s="1"/>
  <c r="AD160" i="22" s="1"/>
  <c r="AA160" i="22" s="1"/>
  <c r="Z160" i="22" s="1"/>
  <c r="Y160" i="22" s="1"/>
  <c r="AG301" i="22"/>
  <c r="AF301" i="22" s="1"/>
  <c r="AD301" i="22" s="1"/>
  <c r="AA301" i="22" s="1"/>
  <c r="Z301" i="22" s="1"/>
  <c r="Y301" i="22" s="1"/>
  <c r="AG58" i="22"/>
  <c r="AF58" i="22" s="1"/>
  <c r="AD58" i="22" s="1"/>
  <c r="AA58" i="22" s="1"/>
  <c r="Z58" i="22" s="1"/>
  <c r="Y58" i="22" s="1"/>
  <c r="AG350" i="22"/>
  <c r="AF350" i="22" s="1"/>
  <c r="AD350" i="22" s="1"/>
  <c r="AA350" i="22" s="1"/>
  <c r="Z350" i="22" s="1"/>
  <c r="Y350" i="22" s="1"/>
  <c r="AG114" i="22"/>
  <c r="AF114" i="22" s="1"/>
  <c r="AD114" i="22" s="1"/>
  <c r="AA114" i="22" s="1"/>
  <c r="Z114" i="22" s="1"/>
  <c r="Y114" i="22" s="1"/>
  <c r="AG226" i="22"/>
  <c r="AF226" i="22" s="1"/>
  <c r="AD226" i="22" s="1"/>
  <c r="AA226" i="22" s="1"/>
  <c r="Z226" i="22" s="1"/>
  <c r="Y226" i="22" s="1"/>
  <c r="AG60" i="22"/>
  <c r="AF60" i="22" s="1"/>
  <c r="AD60" i="22" s="1"/>
  <c r="AG367" i="22"/>
  <c r="AF367" i="22" s="1"/>
  <c r="AD367" i="22" s="1"/>
  <c r="AA367" i="22" s="1"/>
  <c r="Z367" i="22" s="1"/>
  <c r="Y367" i="22" s="1"/>
  <c r="AG144" i="22"/>
  <c r="AF144" i="22" s="1"/>
  <c r="AD144" i="22" s="1"/>
  <c r="AA144" i="22" s="1"/>
  <c r="Z144" i="22" s="1"/>
  <c r="Y144" i="22" s="1"/>
  <c r="AG76" i="22"/>
  <c r="AF76" i="22" s="1"/>
  <c r="AD76" i="22" s="1"/>
  <c r="AA76" i="22" s="1"/>
  <c r="Z76" i="22" s="1"/>
  <c r="Y76" i="22" s="1"/>
  <c r="AG278" i="22"/>
  <c r="AF278" i="22" s="1"/>
  <c r="AD278" i="22" s="1"/>
  <c r="AA278" i="22" s="1"/>
  <c r="Z278" i="22" s="1"/>
  <c r="Y278" i="22" s="1"/>
  <c r="AG51" i="22"/>
  <c r="AF51" i="22" s="1"/>
  <c r="AD51" i="22" s="1"/>
  <c r="AA51" i="22" s="1"/>
  <c r="Z51" i="22" s="1"/>
  <c r="Y51" i="22" s="1"/>
  <c r="AG42" i="22"/>
  <c r="AF42" i="22" s="1"/>
  <c r="AD42" i="22" s="1"/>
  <c r="AA42" i="22" s="1"/>
  <c r="Z42" i="22" s="1"/>
  <c r="Y42" i="22" s="1"/>
  <c r="AG196" i="22"/>
  <c r="AF196" i="22" s="1"/>
  <c r="AD196" i="22" s="1"/>
  <c r="AA196" i="22" s="1"/>
  <c r="Z196" i="22" s="1"/>
  <c r="Y196" i="22" s="1"/>
  <c r="AG334" i="22"/>
  <c r="AF334" i="22" s="1"/>
  <c r="AD334" i="22" s="1"/>
  <c r="AA334" i="22" s="1"/>
  <c r="Z334" i="22" s="1"/>
  <c r="Y334" i="22" s="1"/>
  <c r="AG314" i="22"/>
  <c r="AF314" i="22" s="1"/>
  <c r="AD314" i="22" s="1"/>
  <c r="AA314" i="22" s="1"/>
  <c r="Z314" i="22" s="1"/>
  <c r="Y314" i="22" s="1"/>
  <c r="AG95" i="22"/>
  <c r="AF95" i="22" s="1"/>
  <c r="AD95" i="22" s="1"/>
  <c r="AA95" i="22" s="1"/>
  <c r="Z95" i="22" s="1"/>
  <c r="Y95" i="22" s="1"/>
  <c r="AG241" i="22"/>
  <c r="AF241" i="22" s="1"/>
  <c r="AD241" i="22" s="1"/>
  <c r="AG232" i="22"/>
  <c r="AF232" i="22" s="1"/>
  <c r="AD232" i="22" s="1"/>
  <c r="AA232" i="22" s="1"/>
  <c r="Z232" i="22" s="1"/>
  <c r="Y232" i="22" s="1"/>
  <c r="AG370" i="22"/>
  <c r="AF370" i="22" s="1"/>
  <c r="AD370" i="22" s="1"/>
  <c r="AA370" i="22" s="1"/>
  <c r="Z370" i="22" s="1"/>
  <c r="Y370" i="22" s="1"/>
  <c r="AG348" i="22"/>
  <c r="AF348" i="22" s="1"/>
  <c r="AD348" i="22" s="1"/>
  <c r="AA348" i="22" s="1"/>
  <c r="Z348" i="22" s="1"/>
  <c r="Y348" i="22" s="1"/>
  <c r="AG120" i="22"/>
  <c r="AF120" i="22" s="1"/>
  <c r="AD120" i="22" s="1"/>
  <c r="AA120" i="22" s="1"/>
  <c r="Z120" i="22" s="1"/>
  <c r="Y120" i="22" s="1"/>
  <c r="AG258" i="22"/>
  <c r="AF258" i="22" s="1"/>
  <c r="AD258" i="22" s="1"/>
  <c r="AG124" i="22"/>
  <c r="AF124" i="22" s="1"/>
  <c r="AD124" i="22" s="1"/>
  <c r="AA124" i="22" s="1"/>
  <c r="Z124" i="22" s="1"/>
  <c r="Y124" i="22" s="1"/>
  <c r="AG139" i="22"/>
  <c r="AF139" i="22" s="1"/>
  <c r="AD139" i="22" s="1"/>
  <c r="AA139" i="22" s="1"/>
  <c r="Z139" i="22" s="1"/>
  <c r="Y139" i="22" s="1"/>
  <c r="AG285" i="22"/>
  <c r="AF285" i="22" s="1"/>
  <c r="AD285" i="22" s="1"/>
  <c r="AG62" i="22"/>
  <c r="AF62" i="22" s="1"/>
  <c r="AD62" i="22" s="1"/>
  <c r="AA62" i="22" s="1"/>
  <c r="Z62" i="22" s="1"/>
  <c r="Y62" i="22" s="1"/>
  <c r="AG57" i="22"/>
  <c r="AF57" i="22" s="1"/>
  <c r="AD57" i="22" s="1"/>
  <c r="AA57" i="22" s="1"/>
  <c r="Z57" i="22" s="1"/>
  <c r="Y57" i="22" s="1"/>
  <c r="AG195" i="22"/>
  <c r="AF195" i="22" s="1"/>
  <c r="AD195" i="22" s="1"/>
  <c r="AA195" i="22" s="1"/>
  <c r="Z195" i="22" s="1"/>
  <c r="Y195" i="22" s="1"/>
  <c r="AG119" i="22"/>
  <c r="AF119" i="22" s="1"/>
  <c r="AD119" i="22" s="1"/>
  <c r="AG329" i="22"/>
  <c r="AF329" i="22" s="1"/>
  <c r="AD329" i="22" s="1"/>
  <c r="AA329" i="22" s="1"/>
  <c r="Z329" i="22" s="1"/>
  <c r="Y329" i="22" s="1"/>
  <c r="AG98" i="22"/>
  <c r="AF98" i="22" s="1"/>
  <c r="AD98" i="22" s="1"/>
  <c r="AA98" i="22" s="1"/>
  <c r="Z98" i="22" s="1"/>
  <c r="Y98" i="22" s="1"/>
  <c r="AG165" i="22"/>
  <c r="AF165" i="22" s="1"/>
  <c r="AD165" i="22" s="1"/>
  <c r="AA165" i="22" s="1"/>
  <c r="Z165" i="22" s="1"/>
  <c r="Y165" i="22" s="1"/>
  <c r="AG239" i="22"/>
  <c r="AF239" i="22" s="1"/>
  <c r="AD239" i="22" s="1"/>
  <c r="AA239" i="22" s="1"/>
  <c r="Z239" i="22" s="1"/>
  <c r="Y239" i="22" s="1"/>
  <c r="AH15" i="22"/>
  <c r="AI381" i="22"/>
  <c r="AI383" i="22"/>
  <c r="AI382" i="22"/>
  <c r="AG309" i="22"/>
  <c r="AF309" i="22" s="1"/>
  <c r="AD309" i="22" s="1"/>
  <c r="AA309" i="22" s="1"/>
  <c r="Z309" i="22" s="1"/>
  <c r="Y309" i="22" s="1"/>
  <c r="AG150" i="22"/>
  <c r="AF150" i="22" s="1"/>
  <c r="AD150" i="22" s="1"/>
  <c r="AA150" i="22" s="1"/>
  <c r="Z150" i="22" s="1"/>
  <c r="Y150" i="22" s="1"/>
  <c r="AG288" i="22"/>
  <c r="AF288" i="22" s="1"/>
  <c r="AD288" i="22" s="1"/>
  <c r="AA288" i="22" s="1"/>
  <c r="Z288" i="22" s="1"/>
  <c r="Y288" i="22" s="1"/>
  <c r="AG283" i="22"/>
  <c r="AF283" i="22" s="1"/>
  <c r="AD283" i="22" s="1"/>
  <c r="AA283" i="22" s="1"/>
  <c r="Z283" i="22" s="1"/>
  <c r="Y283" i="22" s="1"/>
  <c r="AG68" i="22"/>
  <c r="AF68" i="22" s="1"/>
  <c r="AD68" i="22" s="1"/>
  <c r="AA68" i="22" s="1"/>
  <c r="Z68" i="22" s="1"/>
  <c r="Y68" i="22" s="1"/>
  <c r="AG206" i="22"/>
  <c r="AF206" i="22" s="1"/>
  <c r="AD206" i="22" s="1"/>
  <c r="AA206" i="22" s="1"/>
  <c r="Z206" i="22" s="1"/>
  <c r="Y206" i="22" s="1"/>
  <c r="AG186" i="22"/>
  <c r="AF186" i="22" s="1"/>
  <c r="AD186" i="22" s="1"/>
  <c r="AA186" i="22" s="1"/>
  <c r="Z186" i="22" s="1"/>
  <c r="Y186" i="22" s="1"/>
  <c r="AG340" i="22"/>
  <c r="AF340" i="22" s="1"/>
  <c r="AD340" i="22" s="1"/>
  <c r="AA340" i="22" s="1"/>
  <c r="Z340" i="22" s="1"/>
  <c r="Y340" i="22" s="1"/>
  <c r="AG113" i="22"/>
  <c r="AF113" i="22" s="1"/>
  <c r="AD113" i="22" s="1"/>
  <c r="AA113" i="22" s="1"/>
  <c r="Z113" i="22" s="1"/>
  <c r="Y113" i="22" s="1"/>
  <c r="AG104" i="22"/>
  <c r="AF104" i="22" s="1"/>
  <c r="AD104" i="22" s="1"/>
  <c r="AA104" i="22" s="1"/>
  <c r="Z104" i="22" s="1"/>
  <c r="Y104" i="22" s="1"/>
  <c r="AG242" i="22"/>
  <c r="AF242" i="22" s="1"/>
  <c r="AD242" i="22" s="1"/>
  <c r="AA242" i="22" s="1"/>
  <c r="Z242" i="22" s="1"/>
  <c r="Y242" i="22" s="1"/>
  <c r="AG92" i="22"/>
  <c r="AF92" i="22" s="1"/>
  <c r="AD92" i="22" s="1"/>
  <c r="AA92" i="22" s="1"/>
  <c r="Z92" i="22" s="1"/>
  <c r="Y92" i="22" s="1"/>
  <c r="AG143" i="22"/>
  <c r="AF143" i="22" s="1"/>
  <c r="AD143" i="22" s="1"/>
  <c r="AA143" i="22" s="1"/>
  <c r="Z143" i="22" s="1"/>
  <c r="Y143" i="22" s="1"/>
  <c r="AG289" i="22"/>
  <c r="AF289" i="22" s="1"/>
  <c r="AD289" i="22" s="1"/>
  <c r="AA289" i="22" s="1"/>
  <c r="Z289" i="22" s="1"/>
  <c r="Y289" i="22" s="1"/>
  <c r="AG213" i="22"/>
  <c r="AF213" i="22" s="1"/>
  <c r="AD213" i="22" s="1"/>
  <c r="AA213" i="22" s="1"/>
  <c r="Z213" i="22" s="1"/>
  <c r="Y213" i="22" s="1"/>
  <c r="AG54" i="22"/>
  <c r="AF54" i="22" s="1"/>
  <c r="AD54" i="22" s="1"/>
  <c r="AA54" i="22" s="1"/>
  <c r="Z54" i="22" s="1"/>
  <c r="Y54" i="22" s="1"/>
  <c r="AG192" i="22"/>
  <c r="AF192" i="22" s="1"/>
  <c r="AD192" i="22" s="1"/>
  <c r="AA192" i="22" s="1"/>
  <c r="Z192" i="22" s="1"/>
  <c r="Y192" i="22" s="1"/>
  <c r="AG187" i="22"/>
  <c r="AF187" i="22" s="1"/>
  <c r="AD187" i="22" s="1"/>
  <c r="AA187" i="22" s="1"/>
  <c r="Z187" i="22" s="1"/>
  <c r="Y187" i="22" s="1"/>
  <c r="AG333" i="22"/>
  <c r="AF333" i="22" s="1"/>
  <c r="AD333" i="22" s="1"/>
  <c r="AG110" i="22"/>
  <c r="AF110" i="22" s="1"/>
  <c r="AD110" i="22" s="1"/>
  <c r="AG90" i="22"/>
  <c r="AF90" i="22" s="1"/>
  <c r="AD90" i="22" s="1"/>
  <c r="AG244" i="22"/>
  <c r="AF244" i="22" s="1"/>
  <c r="AD244" i="22" s="1"/>
  <c r="AA244" i="22" s="1"/>
  <c r="Z244" i="22" s="1"/>
  <c r="Y244" i="22" s="1"/>
  <c r="AG16" i="22"/>
  <c r="AF16" i="22" s="1"/>
  <c r="AD16" i="22" s="1"/>
  <c r="AA16" i="22" s="1"/>
  <c r="Z16" i="22" s="1"/>
  <c r="Y16" i="22" s="1"/>
  <c r="AG377" i="22"/>
  <c r="AF377" i="22" s="1"/>
  <c r="AD377" i="22" s="1"/>
  <c r="AA377" i="22" s="1"/>
  <c r="Z377" i="22" s="1"/>
  <c r="Y377" i="22" s="1"/>
  <c r="AG146" i="22"/>
  <c r="AF146" i="22" s="1"/>
  <c r="AD146" i="22" s="1"/>
  <c r="AA146" i="22" s="1"/>
  <c r="Z146" i="22" s="1"/>
  <c r="Y146" i="22" s="1"/>
  <c r="AG261" i="22"/>
  <c r="AF261" i="22" s="1"/>
  <c r="AD261" i="22" s="1"/>
  <c r="AA261" i="22" s="1"/>
  <c r="Z261" i="22" s="1"/>
  <c r="Y261" i="22" s="1"/>
  <c r="AG280" i="22"/>
  <c r="AF280" i="22" s="1"/>
  <c r="AD280" i="22" s="1"/>
  <c r="AA280" i="22" s="1"/>
  <c r="Z280" i="22" s="1"/>
  <c r="Y280" i="22" s="1"/>
  <c r="AG61" i="22"/>
  <c r="AF61" i="22" s="1"/>
  <c r="AD61" i="22" s="1"/>
  <c r="AA61" i="22" s="1"/>
  <c r="Z61" i="22" s="1"/>
  <c r="Y61" i="22" s="1"/>
  <c r="AG71" i="22"/>
  <c r="AF71" i="22" s="1"/>
  <c r="AD71" i="22" s="1"/>
  <c r="AA71" i="22" s="1"/>
  <c r="Z71" i="22" s="1"/>
  <c r="Y71" i="22" s="1"/>
  <c r="AG198" i="22"/>
  <c r="AF198" i="22" s="1"/>
  <c r="AD198" i="22" s="1"/>
  <c r="AA198" i="22" s="1"/>
  <c r="Z198" i="22" s="1"/>
  <c r="Y198" i="22" s="1"/>
  <c r="AG336" i="22"/>
  <c r="AF336" i="22" s="1"/>
  <c r="AD336" i="22" s="1"/>
  <c r="AA336" i="22" s="1"/>
  <c r="Z336" i="22" s="1"/>
  <c r="Y336" i="22" s="1"/>
  <c r="AG268" i="22"/>
  <c r="AF268" i="22" s="1"/>
  <c r="AD268" i="22" s="1"/>
  <c r="AA268" i="22" s="1"/>
  <c r="Z268" i="22" s="1"/>
  <c r="Y268" i="22" s="1"/>
  <c r="H274" i="22"/>
  <c r="G305" i="22"/>
  <c r="CC305" i="6" s="1"/>
  <c r="G230" i="22"/>
  <c r="CC230" i="6" s="1"/>
  <c r="G221" i="22"/>
  <c r="CC221" i="6" s="1"/>
  <c r="G274" i="22"/>
  <c r="CC274" i="6" s="1"/>
  <c r="W29" i="22"/>
  <c r="D29" i="22"/>
  <c r="E29" i="22" s="1"/>
  <c r="F29" i="22" s="1"/>
  <c r="G281" i="22"/>
  <c r="CC281" i="6" s="1"/>
  <c r="G35" i="22"/>
  <c r="CC35" i="6" s="1"/>
  <c r="G54" i="22"/>
  <c r="CC54" i="6" s="1"/>
  <c r="G287" i="22"/>
  <c r="CC287" i="6" s="1"/>
  <c r="G38" i="22"/>
  <c r="CC38" i="6" s="1"/>
  <c r="G345" i="22"/>
  <c r="CC345" i="6" s="1"/>
  <c r="G124" i="22"/>
  <c r="CC124" i="6" s="1"/>
  <c r="G17" i="22"/>
  <c r="CC17" i="6" s="1"/>
  <c r="G233" i="22"/>
  <c r="CC233" i="6" s="1"/>
  <c r="G371" i="22"/>
  <c r="CC371" i="6" s="1"/>
  <c r="G222" i="22"/>
  <c r="CC222" i="6" s="1"/>
  <c r="G344" i="22"/>
  <c r="CC344" i="6" s="1"/>
  <c r="G41" i="22"/>
  <c r="CC41" i="6" s="1"/>
  <c r="G321" i="22"/>
  <c r="CC321" i="6" s="1"/>
  <c r="G111" i="22"/>
  <c r="CC111" i="6" s="1"/>
  <c r="G53" i="22"/>
  <c r="CC53" i="6" s="1"/>
  <c r="G96" i="22"/>
  <c r="CC96" i="6" s="1"/>
  <c r="G171" i="22"/>
  <c r="CC171" i="6" s="1"/>
  <c r="G240" i="22"/>
  <c r="CC240" i="6" s="1"/>
  <c r="G143" i="22"/>
  <c r="CC143" i="6" s="1"/>
  <c r="G146" i="22"/>
  <c r="CC146" i="6" s="1"/>
  <c r="G43" i="22"/>
  <c r="CC43" i="6" s="1"/>
  <c r="G351" i="22"/>
  <c r="CC351" i="6" s="1"/>
  <c r="W196" i="23"/>
  <c r="G105" i="22"/>
  <c r="CC105" i="6" s="1"/>
  <c r="S382" i="22"/>
  <c r="S381" i="22"/>
  <c r="S383" i="22"/>
  <c r="R15" i="22"/>
  <c r="H268" i="22"/>
  <c r="G268" i="22"/>
  <c r="CC268" i="6" s="1"/>
  <c r="G196" i="22"/>
  <c r="CC196" i="6" s="1"/>
  <c r="G175" i="22"/>
  <c r="CC175" i="6" s="1"/>
  <c r="H175" i="22"/>
  <c r="G297" i="22"/>
  <c r="CC297" i="6" s="1"/>
  <c r="H297" i="22"/>
  <c r="G198" i="22"/>
  <c r="CC198" i="6" s="1"/>
  <c r="H198" i="22"/>
  <c r="G356" i="22"/>
  <c r="CC356" i="6" s="1"/>
  <c r="H356" i="22"/>
  <c r="H152" i="22"/>
  <c r="G152" i="22"/>
  <c r="CC152" i="6" s="1"/>
  <c r="G68" i="22"/>
  <c r="CC68" i="6" s="1"/>
  <c r="H68" i="22"/>
  <c r="G227" i="22"/>
  <c r="CC227" i="6" s="1"/>
  <c r="G377" i="22"/>
  <c r="CC377" i="6" s="1"/>
  <c r="H377" i="22"/>
  <c r="H102" i="22"/>
  <c r="G102" i="22"/>
  <c r="CC102" i="6" s="1"/>
  <c r="H33" i="22"/>
  <c r="G33" i="22"/>
  <c r="CC33" i="6" s="1"/>
  <c r="J87" i="20"/>
  <c r="I87" i="20"/>
  <c r="H87" i="22" s="1"/>
  <c r="I46" i="20"/>
  <c r="H46" i="22" s="1"/>
  <c r="J46" i="20"/>
  <c r="J74" i="20"/>
  <c r="I74" i="20"/>
  <c r="H74" i="22" s="1"/>
  <c r="I74" i="22" s="1"/>
  <c r="I333" i="20"/>
  <c r="J333" i="20"/>
  <c r="J252" i="20"/>
  <c r="I252" i="20"/>
  <c r="G215" i="22"/>
  <c r="CC215" i="6" s="1"/>
  <c r="H215" i="22"/>
  <c r="G347" i="22"/>
  <c r="CC347" i="6" s="1"/>
  <c r="H347" i="22"/>
  <c r="G205" i="22"/>
  <c r="CC205" i="6" s="1"/>
  <c r="H205" i="22"/>
  <c r="H229" i="22"/>
  <c r="G229" i="22"/>
  <c r="CC229" i="6" s="1"/>
  <c r="G78" i="22"/>
  <c r="CC78" i="6" s="1"/>
  <c r="H78" i="22"/>
  <c r="H99" i="22"/>
  <c r="G99" i="22"/>
  <c r="CC99" i="6" s="1"/>
  <c r="G113" i="22"/>
  <c r="CC113" i="6" s="1"/>
  <c r="H113" i="22"/>
  <c r="G200" i="22"/>
  <c r="CC200" i="6" s="1"/>
  <c r="H200" i="22"/>
  <c r="H239" i="22"/>
  <c r="G239" i="22"/>
  <c r="CC239" i="6" s="1"/>
  <c r="H76" i="22"/>
  <c r="G76" i="22"/>
  <c r="CC76" i="6" s="1"/>
  <c r="H100" i="22"/>
  <c r="G100" i="22"/>
  <c r="CC100" i="6" s="1"/>
  <c r="G250" i="22"/>
  <c r="CC250" i="6" s="1"/>
  <c r="H250" i="22"/>
  <c r="H328" i="22"/>
  <c r="G328" i="22"/>
  <c r="CC328" i="6" s="1"/>
  <c r="H237" i="22"/>
  <c r="G237" i="22"/>
  <c r="CC237" i="6" s="1"/>
  <c r="H115" i="22"/>
  <c r="G115" i="22"/>
  <c r="CC115" i="6" s="1"/>
  <c r="G46" i="22"/>
  <c r="CC46" i="6" s="1"/>
  <c r="G142" i="22"/>
  <c r="CC142" i="6" s="1"/>
  <c r="H142" i="22"/>
  <c r="H331" i="22"/>
  <c r="G331" i="22"/>
  <c r="CC331" i="6" s="1"/>
  <c r="G141" i="22"/>
  <c r="CC141" i="6" s="1"/>
  <c r="H141" i="22"/>
  <c r="G79" i="22"/>
  <c r="CC79" i="6" s="1"/>
  <c r="H79" i="22"/>
  <c r="H293" i="22"/>
  <c r="G293" i="22"/>
  <c r="CC293" i="6" s="1"/>
  <c r="H310" i="22"/>
  <c r="G310" i="22"/>
  <c r="CC310" i="6" s="1"/>
  <c r="H160" i="22"/>
  <c r="G160" i="22"/>
  <c r="CC160" i="6" s="1"/>
  <c r="H65" i="22"/>
  <c r="G65" i="22"/>
  <c r="CC65" i="6" s="1"/>
  <c r="I241" i="20"/>
  <c r="J241" i="20"/>
  <c r="I60" i="20"/>
  <c r="J60" i="20"/>
  <c r="J59" i="20"/>
  <c r="I59" i="20"/>
  <c r="H59" i="22" s="1"/>
  <c r="J119" i="20"/>
  <c r="I119" i="20"/>
  <c r="H55" i="22"/>
  <c r="G55" i="22"/>
  <c r="CC55" i="6" s="1"/>
  <c r="G318" i="22"/>
  <c r="CC318" i="6" s="1"/>
  <c r="H318" i="22"/>
  <c r="G190" i="22"/>
  <c r="CC190" i="6" s="1"/>
  <c r="H190" i="22"/>
  <c r="G232" i="22"/>
  <c r="CC232" i="6" s="1"/>
  <c r="H232" i="22"/>
  <c r="G118" i="22"/>
  <c r="CC118" i="6" s="1"/>
  <c r="H118" i="22"/>
  <c r="H355" i="22"/>
  <c r="G355" i="22"/>
  <c r="CC355" i="6" s="1"/>
  <c r="H256" i="22"/>
  <c r="G256" i="22"/>
  <c r="CC256" i="6" s="1"/>
  <c r="G97" i="22"/>
  <c r="CC97" i="6" s="1"/>
  <c r="H97" i="22"/>
  <c r="H372" i="22"/>
  <c r="G372" i="22"/>
  <c r="CC372" i="6" s="1"/>
  <c r="H214" i="22"/>
  <c r="G214" i="22"/>
  <c r="CC214" i="6" s="1"/>
  <c r="G362" i="22"/>
  <c r="CC362" i="6" s="1"/>
  <c r="H362" i="22"/>
  <c r="H77" i="22"/>
  <c r="G77" i="22"/>
  <c r="CC77" i="6" s="1"/>
  <c r="H322" i="22"/>
  <c r="G322" i="22"/>
  <c r="CC322" i="6" s="1"/>
  <c r="H153" i="22"/>
  <c r="G153" i="22"/>
  <c r="CC153" i="6" s="1"/>
  <c r="G260" i="22"/>
  <c r="CC260" i="6" s="1"/>
  <c r="H260" i="22"/>
  <c r="G138" i="22"/>
  <c r="CC138" i="6" s="1"/>
  <c r="F9" i="18"/>
  <c r="F383" i="18"/>
  <c r="AK10" i="18"/>
  <c r="AK12" i="18" s="1"/>
  <c r="AK13" i="18" s="1"/>
  <c r="AA15" i="18"/>
  <c r="AL10" i="18" s="1"/>
  <c r="AM10" i="18"/>
  <c r="F382" i="18"/>
  <c r="G15" i="18"/>
  <c r="CA15" i="6" s="1"/>
  <c r="H15" i="18"/>
  <c r="F381" i="18"/>
  <c r="G32" i="22"/>
  <c r="CC32" i="6" s="1"/>
  <c r="H32" i="22"/>
  <c r="H161" i="22"/>
  <c r="G161" i="22"/>
  <c r="CC161" i="6" s="1"/>
  <c r="G150" i="22"/>
  <c r="CC150" i="6" s="1"/>
  <c r="H150" i="22"/>
  <c r="G170" i="22"/>
  <c r="CC170" i="6" s="1"/>
  <c r="H170" i="22"/>
  <c r="G304" i="22"/>
  <c r="CC304" i="6" s="1"/>
  <c r="H304" i="22"/>
  <c r="G285" i="22"/>
  <c r="CC285" i="6" s="1"/>
  <c r="H73" i="22"/>
  <c r="G73" i="22"/>
  <c r="CC73" i="6" s="1"/>
  <c r="H144" i="22"/>
  <c r="G144" i="22"/>
  <c r="CC144" i="6" s="1"/>
  <c r="L67" i="19"/>
  <c r="B333" i="22"/>
  <c r="G101" i="22"/>
  <c r="CC101" i="6" s="1"/>
  <c r="H101" i="22"/>
  <c r="G352" i="22"/>
  <c r="CC352" i="6" s="1"/>
  <c r="H352" i="22"/>
  <c r="H67" i="19"/>
  <c r="B210" i="22"/>
  <c r="H34" i="22"/>
  <c r="G34" i="22"/>
  <c r="CC34" i="6" s="1"/>
  <c r="G369" i="22"/>
  <c r="CC369" i="6" s="1"/>
  <c r="H369" i="22"/>
  <c r="G209" i="22"/>
  <c r="CC209" i="6" s="1"/>
  <c r="G225" i="22"/>
  <c r="CC225" i="6" s="1"/>
  <c r="H225" i="22"/>
  <c r="G378" i="22"/>
  <c r="CC378" i="6" s="1"/>
  <c r="H378" i="22"/>
  <c r="G95" i="22"/>
  <c r="CC95" i="6" s="1"/>
  <c r="J166" i="20"/>
  <c r="I166" i="20"/>
  <c r="H166" i="22" s="1"/>
  <c r="I302" i="20"/>
  <c r="J302" i="20"/>
  <c r="H169" i="22"/>
  <c r="G169" i="22"/>
  <c r="CC169" i="6" s="1"/>
  <c r="H85" i="22"/>
  <c r="G85" i="22"/>
  <c r="CC85" i="6" s="1"/>
  <c r="G300" i="22"/>
  <c r="CC300" i="6" s="1"/>
  <c r="H300" i="22"/>
  <c r="H26" i="22"/>
  <c r="G26" i="22"/>
  <c r="CC26" i="6" s="1"/>
  <c r="H24" i="22"/>
  <c r="G24" i="22"/>
  <c r="CC24" i="6" s="1"/>
  <c r="G266" i="22"/>
  <c r="CC266" i="6" s="1"/>
  <c r="B119" i="22"/>
  <c r="E67" i="19"/>
  <c r="G165" i="22"/>
  <c r="CC165" i="6" s="1"/>
  <c r="H165" i="22"/>
  <c r="H282" i="22"/>
  <c r="G282" i="22"/>
  <c r="CC282" i="6" s="1"/>
  <c r="G123" i="22"/>
  <c r="CC123" i="6" s="1"/>
  <c r="H123" i="22"/>
  <c r="G226" i="22"/>
  <c r="CC226" i="6" s="1"/>
  <c r="H226" i="22"/>
  <c r="H219" i="22"/>
  <c r="G219" i="22"/>
  <c r="CC219" i="6" s="1"/>
  <c r="G104" i="22"/>
  <c r="CC104" i="6" s="1"/>
  <c r="H104" i="22"/>
  <c r="G357" i="22"/>
  <c r="CC357" i="6" s="1"/>
  <c r="H357" i="22"/>
  <c r="G246" i="22"/>
  <c r="CC246" i="6" s="1"/>
  <c r="H246" i="22"/>
  <c r="G52" i="22"/>
  <c r="CC52" i="6" s="1"/>
  <c r="H52" i="22"/>
  <c r="H364" i="22"/>
  <c r="G364" i="22"/>
  <c r="CC364" i="6" s="1"/>
  <c r="G228" i="22"/>
  <c r="CC228" i="6" s="1"/>
  <c r="H228" i="22"/>
  <c r="H122" i="22"/>
  <c r="G122" i="22"/>
  <c r="CC122" i="6" s="1"/>
  <c r="J27" i="20"/>
  <c r="I27" i="20"/>
  <c r="H27" i="22" s="1"/>
  <c r="V15" i="20"/>
  <c r="P382" i="20"/>
  <c r="P381" i="20"/>
  <c r="P383" i="20"/>
  <c r="H140" i="22"/>
  <c r="G140" i="22"/>
  <c r="CC140" i="6" s="1"/>
  <c r="G112" i="22"/>
  <c r="CC112" i="6" s="1"/>
  <c r="H112" i="22"/>
  <c r="H262" i="22"/>
  <c r="G262" i="22"/>
  <c r="CC262" i="6" s="1"/>
  <c r="B88" i="22"/>
  <c r="D67" i="19"/>
  <c r="G93" i="22"/>
  <c r="CC93" i="6" s="1"/>
  <c r="H93" i="22"/>
  <c r="G235" i="22"/>
  <c r="CC235" i="6" s="1"/>
  <c r="H235" i="22"/>
  <c r="G376" i="22"/>
  <c r="CC376" i="6" s="1"/>
  <c r="H376" i="22"/>
  <c r="G218" i="22"/>
  <c r="CC218" i="6" s="1"/>
  <c r="H218" i="22"/>
  <c r="H271" i="22"/>
  <c r="G271" i="22"/>
  <c r="CC271" i="6" s="1"/>
  <c r="G50" i="22"/>
  <c r="CC50" i="6" s="1"/>
  <c r="H50" i="22"/>
  <c r="G236" i="22"/>
  <c r="CC236" i="6" s="1"/>
  <c r="H236" i="22"/>
  <c r="G375" i="22"/>
  <c r="CC375" i="6" s="1"/>
  <c r="H375" i="22"/>
  <c r="H48" i="22"/>
  <c r="G48" i="22"/>
  <c r="CC48" i="6" s="1"/>
  <c r="G217" i="22"/>
  <c r="CC217" i="6" s="1"/>
  <c r="H217" i="22"/>
  <c r="G252" i="22"/>
  <c r="CC252" i="6" s="1"/>
  <c r="H207" i="22"/>
  <c r="G207" i="22"/>
  <c r="CC207" i="6" s="1"/>
  <c r="G315" i="22"/>
  <c r="CC315" i="6" s="1"/>
  <c r="H315" i="22"/>
  <c r="G360" i="22"/>
  <c r="CC360" i="6" s="1"/>
  <c r="H360" i="22"/>
  <c r="H191" i="22"/>
  <c r="G191" i="22"/>
  <c r="CC191" i="6" s="1"/>
  <c r="H278" i="22"/>
  <c r="G278" i="22"/>
  <c r="CC278" i="6" s="1"/>
  <c r="H365" i="22"/>
  <c r="G365" i="22"/>
  <c r="CC365" i="6" s="1"/>
  <c r="H176" i="22"/>
  <c r="G176" i="22"/>
  <c r="CC176" i="6" s="1"/>
  <c r="G277" i="22"/>
  <c r="CC277" i="6" s="1"/>
  <c r="H277" i="22"/>
  <c r="G63" i="22"/>
  <c r="CC63" i="6" s="1"/>
  <c r="H63" i="22"/>
  <c r="H157" i="22"/>
  <c r="G157" i="22"/>
  <c r="CC157" i="6" s="1"/>
  <c r="H312" i="22"/>
  <c r="G312" i="22"/>
  <c r="CC312" i="6" s="1"/>
  <c r="I138" i="20"/>
  <c r="H138" i="22" s="1"/>
  <c r="J138" i="20"/>
  <c r="I272" i="20"/>
  <c r="J272" i="20"/>
  <c r="G81" i="22"/>
  <c r="CC81" i="6" s="1"/>
  <c r="H81" i="22"/>
  <c r="H332" i="22"/>
  <c r="G332" i="22"/>
  <c r="CC332" i="6" s="1"/>
  <c r="H335" i="22"/>
  <c r="G335" i="22"/>
  <c r="CC335" i="6" s="1"/>
  <c r="H243" i="22"/>
  <c r="G243" i="22"/>
  <c r="CC243" i="6" s="1"/>
  <c r="H84" i="22"/>
  <c r="G84" i="22"/>
  <c r="CC84" i="6" s="1"/>
  <c r="G199" i="22"/>
  <c r="CC199" i="6" s="1"/>
  <c r="H199" i="22"/>
  <c r="H203" i="22"/>
  <c r="G203" i="22"/>
  <c r="CC203" i="6" s="1"/>
  <c r="H350" i="22"/>
  <c r="G350" i="22"/>
  <c r="CC350" i="6" s="1"/>
  <c r="H130" i="22"/>
  <c r="G130" i="22"/>
  <c r="CC130" i="6" s="1"/>
  <c r="G103" i="22"/>
  <c r="CC103" i="6" s="1"/>
  <c r="H103" i="22"/>
  <c r="G253" i="22"/>
  <c r="CC253" i="6" s="1"/>
  <c r="H253" i="22"/>
  <c r="G366" i="22"/>
  <c r="CC366" i="6" s="1"/>
  <c r="H366" i="22"/>
  <c r="H21" i="22"/>
  <c r="G21" i="22"/>
  <c r="CC21" i="6" s="1"/>
  <c r="B241" i="22"/>
  <c r="I67" i="19"/>
  <c r="G75" i="22"/>
  <c r="CC75" i="6" s="1"/>
  <c r="H75" i="22"/>
  <c r="G289" i="22"/>
  <c r="CC289" i="6" s="1"/>
  <c r="H289" i="22"/>
  <c r="G314" i="22"/>
  <c r="CC314" i="6" s="1"/>
  <c r="H314" i="22"/>
  <c r="B180" i="22"/>
  <c r="G67" i="19"/>
  <c r="H159" i="22"/>
  <c r="G159" i="22"/>
  <c r="CC159" i="6" s="1"/>
  <c r="G301" i="22"/>
  <c r="CC301" i="6" s="1"/>
  <c r="H301" i="22"/>
  <c r="G49" i="22"/>
  <c r="CC49" i="6" s="1"/>
  <c r="H49" i="22"/>
  <c r="G125" i="22"/>
  <c r="CC125" i="6" s="1"/>
  <c r="H125" i="22"/>
  <c r="G267" i="22"/>
  <c r="CC267" i="6" s="1"/>
  <c r="H267" i="22"/>
  <c r="G83" i="22"/>
  <c r="CC83" i="6" s="1"/>
  <c r="G306" i="22"/>
  <c r="CC306" i="6" s="1"/>
  <c r="H306" i="22"/>
  <c r="H156" i="22"/>
  <c r="G156" i="22"/>
  <c r="CC156" i="6" s="1"/>
  <c r="H61" i="22"/>
  <c r="G61" i="22"/>
  <c r="CC61" i="6" s="1"/>
  <c r="K67" i="19"/>
  <c r="B302" i="22"/>
  <c r="H57" i="22"/>
  <c r="G57" i="22"/>
  <c r="CC57" i="6" s="1"/>
  <c r="H182" i="22"/>
  <c r="G182" i="22"/>
  <c r="CC182" i="6" s="1"/>
  <c r="G71" i="22"/>
  <c r="CC71" i="6" s="1"/>
  <c r="H71" i="22"/>
  <c r="G291" i="22"/>
  <c r="CC291" i="6" s="1"/>
  <c r="H320" i="22"/>
  <c r="G320" i="22"/>
  <c r="CC320" i="6" s="1"/>
  <c r="G292" i="22"/>
  <c r="CC292" i="6" s="1"/>
  <c r="H292" i="22"/>
  <c r="H28" i="22"/>
  <c r="G28" i="22"/>
  <c r="CC28" i="6" s="1"/>
  <c r="G107" i="22"/>
  <c r="CC107" i="6" s="1"/>
  <c r="H107" i="22"/>
  <c r="H257" i="22"/>
  <c r="G257" i="22"/>
  <c r="CC257" i="6" s="1"/>
  <c r="H254" i="22"/>
  <c r="G254" i="22"/>
  <c r="CC254" i="6" s="1"/>
  <c r="W258" i="22"/>
  <c r="D258" i="22"/>
  <c r="E258" i="22" s="1"/>
  <c r="F258" i="22" s="1"/>
  <c r="H242" i="22"/>
  <c r="G242" i="22"/>
  <c r="CC242" i="6" s="1"/>
  <c r="G89" i="22"/>
  <c r="CC89" i="6" s="1"/>
  <c r="H89" i="22"/>
  <c r="G231" i="22"/>
  <c r="CC231" i="6" s="1"/>
  <c r="H231" i="22"/>
  <c r="I88" i="20"/>
  <c r="J88" i="20"/>
  <c r="I196" i="20"/>
  <c r="H196" i="22" s="1"/>
  <c r="J196" i="20"/>
  <c r="J288" i="20"/>
  <c r="I288" i="20"/>
  <c r="H288" i="22" s="1"/>
  <c r="I349" i="20"/>
  <c r="H349" i="22" s="1"/>
  <c r="J349" i="20"/>
  <c r="J135" i="20"/>
  <c r="I135" i="20"/>
  <c r="H135" i="22" s="1"/>
  <c r="J363" i="20"/>
  <c r="I363" i="20"/>
  <c r="H291" i="22"/>
  <c r="P308" i="23"/>
  <c r="V308" i="23" s="1"/>
  <c r="B308" i="23" s="1"/>
  <c r="W308" i="23" s="1"/>
  <c r="P39" i="23"/>
  <c r="V39" i="23" s="1"/>
  <c r="B39" i="23" s="1"/>
  <c r="W39" i="23" s="1"/>
  <c r="P211" i="23"/>
  <c r="V211" i="23" s="1"/>
  <c r="B211" i="23" s="1"/>
  <c r="D211" i="23" s="1"/>
  <c r="E211" i="23" s="1"/>
  <c r="F211" i="23" s="1"/>
  <c r="P375" i="23"/>
  <c r="V375" i="23" s="1"/>
  <c r="B375" i="23" s="1"/>
  <c r="W375" i="23" s="1"/>
  <c r="P68" i="23"/>
  <c r="V68" i="23" s="1"/>
  <c r="B68" i="23" s="1"/>
  <c r="D68" i="23" s="1"/>
  <c r="E68" i="23" s="1"/>
  <c r="F68" i="23" s="1"/>
  <c r="P74" i="23"/>
  <c r="V74" i="23" s="1"/>
  <c r="B74" i="23" s="1"/>
  <c r="P299" i="23"/>
  <c r="V299" i="23" s="1"/>
  <c r="B299" i="23" s="1"/>
  <c r="D299" i="23" s="1"/>
  <c r="E299" i="23" s="1"/>
  <c r="F299" i="23" s="1"/>
  <c r="P168" i="23"/>
  <c r="V168" i="23" s="1"/>
  <c r="B168" i="23" s="1"/>
  <c r="W168" i="23" s="1"/>
  <c r="P158" i="23"/>
  <c r="V158" i="23" s="1"/>
  <c r="B158" i="23" s="1"/>
  <c r="W158" i="23" s="1"/>
  <c r="P92" i="23"/>
  <c r="V92" i="23" s="1"/>
  <c r="B92" i="23" s="1"/>
  <c r="W92" i="23" s="1"/>
  <c r="P263" i="23"/>
  <c r="V263" i="23" s="1"/>
  <c r="B263" i="23" s="1"/>
  <c r="D263" i="23" s="1"/>
  <c r="E263" i="23" s="1"/>
  <c r="F263" i="23" s="1"/>
  <c r="P275" i="23"/>
  <c r="V275" i="23" s="1"/>
  <c r="B275" i="23" s="1"/>
  <c r="D275" i="23" s="1"/>
  <c r="E275" i="23" s="1"/>
  <c r="F275" i="23" s="1"/>
  <c r="P355" i="23"/>
  <c r="V355" i="23" s="1"/>
  <c r="B355" i="23" s="1"/>
  <c r="W355" i="23" s="1"/>
  <c r="P163" i="23"/>
  <c r="V163" i="23" s="1"/>
  <c r="B163" i="23" s="1"/>
  <c r="D163" i="23" s="1"/>
  <c r="E163" i="23" s="1"/>
  <c r="F163" i="23" s="1"/>
  <c r="T15" i="23"/>
  <c r="U382" i="23"/>
  <c r="U383" i="23"/>
  <c r="U381" i="23"/>
  <c r="AT16" i="7"/>
  <c r="AZ11" i="7" s="1"/>
  <c r="U11" i="24" s="1"/>
  <c r="U12" i="24"/>
  <c r="T379" i="23"/>
  <c r="S379" i="23" s="1"/>
  <c r="R379" i="23" s="1"/>
  <c r="G290" i="22"/>
  <c r="CC290" i="6" s="1"/>
  <c r="H290" i="22"/>
  <c r="H164" i="22"/>
  <c r="G164" i="22"/>
  <c r="CC164" i="6" s="1"/>
  <c r="G186" i="22"/>
  <c r="CC186" i="6" s="1"/>
  <c r="H186" i="22"/>
  <c r="G338" i="22"/>
  <c r="CC338" i="6" s="1"/>
  <c r="H338" i="22"/>
  <c r="H188" i="22"/>
  <c r="G188" i="22"/>
  <c r="CC188" i="6" s="1"/>
  <c r="G25" i="22"/>
  <c r="CC25" i="6" s="1"/>
  <c r="H25" i="22"/>
  <c r="G201" i="22"/>
  <c r="CC201" i="6" s="1"/>
  <c r="H201" i="22"/>
  <c r="G185" i="22"/>
  <c r="CC185" i="6" s="1"/>
  <c r="H185" i="22"/>
  <c r="H66" i="22"/>
  <c r="G66" i="22"/>
  <c r="CC66" i="6" s="1"/>
  <c r="G109" i="22"/>
  <c r="CC109" i="6" s="1"/>
  <c r="H109" i="22"/>
  <c r="H213" i="22"/>
  <c r="G213" i="22"/>
  <c r="CC213" i="6" s="1"/>
  <c r="H56" i="22"/>
  <c r="G56" i="22"/>
  <c r="CC56" i="6" s="1"/>
  <c r="B363" i="22"/>
  <c r="G166" i="22"/>
  <c r="CC166" i="6" s="1"/>
  <c r="H247" i="22"/>
  <c r="G247" i="22"/>
  <c r="CC247" i="6" s="1"/>
  <c r="G195" i="22"/>
  <c r="CC195" i="6" s="1"/>
  <c r="H195" i="22"/>
  <c r="G379" i="20"/>
  <c r="CB379" i="6" s="1"/>
  <c r="H379" i="20"/>
  <c r="AA379" i="20"/>
  <c r="Z379" i="20" s="1"/>
  <c r="Y379" i="20" s="1"/>
  <c r="H361" i="22"/>
  <c r="G361" i="22"/>
  <c r="CC361" i="6" s="1"/>
  <c r="H16" i="22"/>
  <c r="G16" i="22"/>
  <c r="CC16" i="6" s="1"/>
  <c r="G18" i="22"/>
  <c r="CC18" i="6" s="1"/>
  <c r="H374" i="22"/>
  <c r="G374" i="22"/>
  <c r="CC374" i="6" s="1"/>
  <c r="G224" i="22"/>
  <c r="CC224" i="6" s="1"/>
  <c r="H224" i="22"/>
  <c r="H249" i="22"/>
  <c r="G249" i="22"/>
  <c r="CC249" i="6" s="1"/>
  <c r="H353" i="22"/>
  <c r="G353" i="22"/>
  <c r="CC353" i="6" s="1"/>
  <c r="H116" i="22"/>
  <c r="G116" i="22"/>
  <c r="CC116" i="6" s="1"/>
  <c r="G44" i="22"/>
  <c r="CC44" i="6" s="1"/>
  <c r="H44" i="22"/>
  <c r="H223" i="22"/>
  <c r="G223" i="22"/>
  <c r="CC223" i="6" s="1"/>
  <c r="H173" i="22"/>
  <c r="G173" i="22"/>
  <c r="CC173" i="6" s="1"/>
  <c r="G208" i="22"/>
  <c r="CC208" i="6" s="1"/>
  <c r="H208" i="22"/>
  <c r="H265" i="22"/>
  <c r="G265" i="22"/>
  <c r="CC265" i="6" s="1"/>
  <c r="H327" i="22"/>
  <c r="G327" i="22"/>
  <c r="CC327" i="6" s="1"/>
  <c r="G284" i="22"/>
  <c r="CC284" i="6" s="1"/>
  <c r="H284" i="22"/>
  <c r="H31" i="22"/>
  <c r="G31" i="22"/>
  <c r="CC31" i="6" s="1"/>
  <c r="G189" i="22"/>
  <c r="CC189" i="6" s="1"/>
  <c r="H189" i="22"/>
  <c r="G98" i="22"/>
  <c r="CC98" i="6" s="1"/>
  <c r="H98" i="22"/>
  <c r="G283" i="22"/>
  <c r="CC283" i="6" s="1"/>
  <c r="H283" i="22"/>
  <c r="G163" i="22"/>
  <c r="CC163" i="6" s="1"/>
  <c r="H163" i="22"/>
  <c r="H313" i="22"/>
  <c r="G313" i="22"/>
  <c r="CC313" i="6" s="1"/>
  <c r="I95" i="20"/>
  <c r="H95" i="22" s="1"/>
  <c r="J95" i="20"/>
  <c r="H279" i="22"/>
  <c r="G279" i="22"/>
  <c r="CC279" i="6" s="1"/>
  <c r="H91" i="22"/>
  <c r="G91" i="22"/>
  <c r="CC91" i="6" s="1"/>
  <c r="G62" i="22"/>
  <c r="CC62" i="6" s="1"/>
  <c r="H276" i="22"/>
  <c r="G276" i="22"/>
  <c r="CC276" i="6" s="1"/>
  <c r="H40" i="22"/>
  <c r="G40" i="22"/>
  <c r="CC40" i="6" s="1"/>
  <c r="G197" i="22"/>
  <c r="CC197" i="6" s="1"/>
  <c r="H197" i="22"/>
  <c r="H339" i="22"/>
  <c r="G339" i="22"/>
  <c r="CC339" i="6" s="1"/>
  <c r="H147" i="22"/>
  <c r="G147" i="22"/>
  <c r="CC147" i="6" s="1"/>
  <c r="G20" i="22"/>
  <c r="CC20" i="6" s="1"/>
  <c r="H20" i="22"/>
  <c r="H337" i="22"/>
  <c r="G337" i="22"/>
  <c r="CC337" i="6" s="1"/>
  <c r="H82" i="22"/>
  <c r="G82" i="22"/>
  <c r="CC82" i="6" s="1"/>
  <c r="H255" i="22"/>
  <c r="G255" i="22"/>
  <c r="CC255" i="6" s="1"/>
  <c r="H42" i="22"/>
  <c r="G42" i="22"/>
  <c r="CC42" i="6" s="1"/>
  <c r="D272" i="22"/>
  <c r="E272" i="22" s="1"/>
  <c r="F272" i="22" s="1"/>
  <c r="W272" i="22"/>
  <c r="G251" i="22"/>
  <c r="CC251" i="6" s="1"/>
  <c r="H251" i="22"/>
  <c r="H172" i="22"/>
  <c r="G172" i="22"/>
  <c r="CC172" i="6" s="1"/>
  <c r="G178" i="22"/>
  <c r="CC178" i="6" s="1"/>
  <c r="H178" i="22"/>
  <c r="H67" i="22"/>
  <c r="G67" i="22"/>
  <c r="CC67" i="6" s="1"/>
  <c r="H295" i="22"/>
  <c r="G295" i="22"/>
  <c r="CC295" i="6" s="1"/>
  <c r="G316" i="22"/>
  <c r="CC316" i="6" s="1"/>
  <c r="H316" i="22"/>
  <c r="G174" i="22"/>
  <c r="CC174" i="6" s="1"/>
  <c r="H174" i="22"/>
  <c r="G151" i="22"/>
  <c r="CC151" i="6" s="1"/>
  <c r="H151" i="22"/>
  <c r="G296" i="22"/>
  <c r="CC296" i="6" s="1"/>
  <c r="H296" i="22"/>
  <c r="H212" i="22"/>
  <c r="G212" i="22"/>
  <c r="CC212" i="6" s="1"/>
  <c r="G22" i="22"/>
  <c r="CC22" i="6" s="1"/>
  <c r="H22" i="22"/>
  <c r="H127" i="22"/>
  <c r="G127" i="22"/>
  <c r="CC127" i="6" s="1"/>
  <c r="G261" i="22"/>
  <c r="CC261" i="6" s="1"/>
  <c r="H261" i="22"/>
  <c r="G342" i="22"/>
  <c r="CC342" i="6" s="1"/>
  <c r="H342" i="22"/>
  <c r="H192" i="22"/>
  <c r="G192" i="22"/>
  <c r="CC192" i="6" s="1"/>
  <c r="G126" i="22"/>
  <c r="CC126" i="6" s="1"/>
  <c r="H126" i="22"/>
  <c r="G264" i="22"/>
  <c r="CC264" i="6" s="1"/>
  <c r="H264" i="22"/>
  <c r="H162" i="22"/>
  <c r="G162" i="22"/>
  <c r="CC162" i="6" s="1"/>
  <c r="H330" i="22"/>
  <c r="G330" i="22"/>
  <c r="CC330" i="6" s="1"/>
  <c r="H273" i="22"/>
  <c r="G273" i="22"/>
  <c r="CC273" i="6" s="1"/>
  <c r="G59" i="22"/>
  <c r="CC59" i="6" s="1"/>
  <c r="G319" i="22"/>
  <c r="CC319" i="6" s="1"/>
  <c r="G308" i="22"/>
  <c r="CC308" i="6" s="1"/>
  <c r="H308" i="22"/>
  <c r="G39" i="22"/>
  <c r="CC39" i="6" s="1"/>
  <c r="H39" i="22"/>
  <c r="G204" i="22"/>
  <c r="CC204" i="6" s="1"/>
  <c r="H307" i="22"/>
  <c r="G307" i="22"/>
  <c r="CC307" i="6" s="1"/>
  <c r="B149" i="22"/>
  <c r="F67" i="19"/>
  <c r="G135" i="22"/>
  <c r="CC135" i="6" s="1"/>
  <c r="H334" i="22"/>
  <c r="G334" i="22"/>
  <c r="CC334" i="6" s="1"/>
  <c r="G184" i="22"/>
  <c r="CC184" i="6" s="1"/>
  <c r="H184" i="22"/>
  <c r="H139" i="22"/>
  <c r="G139" i="22"/>
  <c r="CC139" i="6" s="1"/>
  <c r="G132" i="22"/>
  <c r="CC132" i="6" s="1"/>
  <c r="H132" i="22"/>
  <c r="G309" i="22"/>
  <c r="CC309" i="6" s="1"/>
  <c r="H309" i="22"/>
  <c r="G286" i="22"/>
  <c r="CC286" i="6" s="1"/>
  <c r="H286" i="22"/>
  <c r="H183" i="22"/>
  <c r="G183" i="22"/>
  <c r="CC183" i="6" s="1"/>
  <c r="G259" i="22"/>
  <c r="CC259" i="6" s="1"/>
  <c r="H259" i="22"/>
  <c r="G121" i="22"/>
  <c r="CC121" i="6" s="1"/>
  <c r="H121" i="22"/>
  <c r="G343" i="22"/>
  <c r="CC343" i="6" s="1"/>
  <c r="H343" i="22"/>
  <c r="G367" i="22"/>
  <c r="CC367" i="6" s="1"/>
  <c r="H367" i="22"/>
  <c r="G27" i="22"/>
  <c r="CC27" i="6" s="1"/>
  <c r="H244" i="22"/>
  <c r="G244" i="22"/>
  <c r="CC244" i="6" s="1"/>
  <c r="G86" i="22"/>
  <c r="CC86" i="6" s="1"/>
  <c r="H86" i="22"/>
  <c r="I149" i="20"/>
  <c r="J149" i="20"/>
  <c r="I105" i="20"/>
  <c r="H105" i="22" s="1"/>
  <c r="J105" i="20"/>
  <c r="J227" i="20"/>
  <c r="I227" i="20"/>
  <c r="H227" i="22" s="1"/>
  <c r="H204" i="22"/>
  <c r="Y381" i="17"/>
  <c r="AM6" i="17"/>
  <c r="AM12" i="17" s="1"/>
  <c r="AL5" i="17"/>
  <c r="AL11" i="17" s="1"/>
  <c r="X9" i="17"/>
  <c r="Y11" i="17" s="1"/>
  <c r="Y382" i="17"/>
  <c r="Y383" i="17"/>
  <c r="H187" i="22"/>
  <c r="G187" i="22"/>
  <c r="CC187" i="6" s="1"/>
  <c r="H158" i="22"/>
  <c r="G158" i="22"/>
  <c r="CC158" i="6" s="1"/>
  <c r="H131" i="22"/>
  <c r="G131" i="22"/>
  <c r="CC131" i="6" s="1"/>
  <c r="G129" i="22"/>
  <c r="CC129" i="6" s="1"/>
  <c r="H129" i="22"/>
  <c r="G136" i="22"/>
  <c r="CC136" i="6" s="1"/>
  <c r="H136" i="22"/>
  <c r="H117" i="22"/>
  <c r="G117" i="22"/>
  <c r="CC117" i="6" s="1"/>
  <c r="G64" i="22"/>
  <c r="CC64" i="6" s="1"/>
  <c r="H64" i="22"/>
  <c r="G324" i="22"/>
  <c r="CC324" i="6" s="1"/>
  <c r="H324" i="22"/>
  <c r="H280" i="22"/>
  <c r="G280" i="22"/>
  <c r="CC280" i="6" s="1"/>
  <c r="I180" i="20"/>
  <c r="J180" i="20"/>
  <c r="H211" i="22"/>
  <c r="G211" i="22"/>
  <c r="CC211" i="6" s="1"/>
  <c r="H341" i="22"/>
  <c r="G341" i="22"/>
  <c r="CC341" i="6" s="1"/>
  <c r="G94" i="22"/>
  <c r="CC94" i="6" s="1"/>
  <c r="H94" i="22"/>
  <c r="H114" i="22"/>
  <c r="G114" i="22"/>
  <c r="CC114" i="6" s="1"/>
  <c r="G359" i="22"/>
  <c r="CC359" i="6" s="1"/>
  <c r="H359" i="22"/>
  <c r="H47" i="22"/>
  <c r="G47" i="22"/>
  <c r="CC47" i="6" s="1"/>
  <c r="G245" i="22"/>
  <c r="CC245" i="6" s="1"/>
  <c r="H245" i="22"/>
  <c r="H202" i="22"/>
  <c r="G202" i="22"/>
  <c r="CC202" i="6" s="1"/>
  <c r="G148" i="22"/>
  <c r="CC148" i="6" s="1"/>
  <c r="H148" i="22"/>
  <c r="H37" i="22"/>
  <c r="G37" i="22"/>
  <c r="CC37" i="6" s="1"/>
  <c r="H325" i="22"/>
  <c r="G325" i="22"/>
  <c r="CC325" i="6" s="1"/>
  <c r="G128" i="22"/>
  <c r="CC128" i="6" s="1"/>
  <c r="H128" i="22"/>
  <c r="H80" i="22"/>
  <c r="G80" i="22"/>
  <c r="CC80" i="6" s="1"/>
  <c r="G326" i="22"/>
  <c r="CC326" i="6" s="1"/>
  <c r="H326" i="22"/>
  <c r="H299" i="22"/>
  <c r="G299" i="22"/>
  <c r="CC299" i="6" s="1"/>
  <c r="G154" i="22"/>
  <c r="CC154" i="6" s="1"/>
  <c r="H154" i="22"/>
  <c r="H51" i="22"/>
  <c r="G51" i="22"/>
  <c r="CC51" i="6" s="1"/>
  <c r="G368" i="22"/>
  <c r="CC368" i="6" s="1"/>
  <c r="H368" i="22"/>
  <c r="G349" i="22"/>
  <c r="CC349" i="6" s="1"/>
  <c r="G270" i="22"/>
  <c r="CC270" i="6" s="1"/>
  <c r="H270" i="22"/>
  <c r="H120" i="22"/>
  <c r="G120" i="22"/>
  <c r="CC120" i="6" s="1"/>
  <c r="G36" i="22"/>
  <c r="CC36" i="6" s="1"/>
  <c r="H36" i="22"/>
  <c r="G181" i="22"/>
  <c r="CC181" i="6" s="1"/>
  <c r="H181" i="22"/>
  <c r="G269" i="22"/>
  <c r="CC269" i="6" s="1"/>
  <c r="H370" i="22"/>
  <c r="G370" i="22"/>
  <c r="CC370" i="6" s="1"/>
  <c r="G220" i="22"/>
  <c r="CC220" i="6" s="1"/>
  <c r="H220" i="22"/>
  <c r="H70" i="22"/>
  <c r="G70" i="22"/>
  <c r="CC70" i="6" s="1"/>
  <c r="H373" i="22"/>
  <c r="G373" i="22"/>
  <c r="CC373" i="6" s="1"/>
  <c r="G87" i="22"/>
  <c r="CC87" i="6" s="1"/>
  <c r="H303" i="22"/>
  <c r="G303" i="22"/>
  <c r="CC303" i="6" s="1"/>
  <c r="G145" i="22"/>
  <c r="CC145" i="6" s="1"/>
  <c r="H145" i="22"/>
  <c r="H69" i="22"/>
  <c r="G69" i="22"/>
  <c r="CC69" i="6" s="1"/>
  <c r="H72" i="22"/>
  <c r="G72" i="22"/>
  <c r="CC72" i="6" s="1"/>
  <c r="G329" i="22"/>
  <c r="CC329" i="6" s="1"/>
  <c r="H329" i="22"/>
  <c r="G179" i="22"/>
  <c r="CC179" i="6" s="1"/>
  <c r="H179" i="22"/>
  <c r="G263" i="22"/>
  <c r="CC263" i="6" s="1"/>
  <c r="H263" i="22"/>
  <c r="G348" i="22"/>
  <c r="CC348" i="6" s="1"/>
  <c r="H348" i="22"/>
  <c r="H206" i="22"/>
  <c r="G206" i="22"/>
  <c r="CC206" i="6" s="1"/>
  <c r="H30" i="22"/>
  <c r="G30" i="22"/>
  <c r="CC30" i="6" s="1"/>
  <c r="G19" i="22"/>
  <c r="CC19" i="6" s="1"/>
  <c r="H19" i="22"/>
  <c r="H298" i="22"/>
  <c r="G298" i="22"/>
  <c r="CC298" i="6" s="1"/>
  <c r="H106" i="22"/>
  <c r="G106" i="22"/>
  <c r="CC106" i="6" s="1"/>
  <c r="G45" i="22"/>
  <c r="CC45" i="6" s="1"/>
  <c r="H45" i="22"/>
  <c r="H137" i="22"/>
  <c r="G137" i="22"/>
  <c r="CC137" i="6" s="1"/>
  <c r="H194" i="22"/>
  <c r="G194" i="22"/>
  <c r="CC194" i="6" s="1"/>
  <c r="G167" i="22"/>
  <c r="CC167" i="6" s="1"/>
  <c r="H167" i="22"/>
  <c r="G317" i="22"/>
  <c r="CC317" i="6" s="1"/>
  <c r="H317" i="22"/>
  <c r="H354" i="22"/>
  <c r="G354" i="22"/>
  <c r="CC354" i="6" s="1"/>
  <c r="H155" i="22"/>
  <c r="G155" i="22"/>
  <c r="CC155" i="6" s="1"/>
  <c r="H168" i="22"/>
  <c r="G168" i="22"/>
  <c r="CC168" i="6" s="1"/>
  <c r="G340" i="22"/>
  <c r="CC340" i="6" s="1"/>
  <c r="H340" i="22"/>
  <c r="H133" i="22"/>
  <c r="G133" i="22"/>
  <c r="CC133" i="6" s="1"/>
  <c r="G275" i="22"/>
  <c r="CC275" i="6" s="1"/>
  <c r="H275" i="22"/>
  <c r="H58" i="22"/>
  <c r="G58" i="22"/>
  <c r="CC58" i="6" s="1"/>
  <c r="G294" i="22"/>
  <c r="CC294" i="6" s="1"/>
  <c r="H294" i="22"/>
  <c r="H358" i="22"/>
  <c r="G358" i="22"/>
  <c r="CC358" i="6" s="1"/>
  <c r="G23" i="22"/>
  <c r="CC23" i="6" s="1"/>
  <c r="H23" i="22"/>
  <c r="G134" i="22"/>
  <c r="CC134" i="6" s="1"/>
  <c r="H134" i="22"/>
  <c r="H216" i="22"/>
  <c r="G216" i="22"/>
  <c r="CC216" i="6" s="1"/>
  <c r="G346" i="22"/>
  <c r="CC346" i="6" s="1"/>
  <c r="H346" i="22"/>
  <c r="G234" i="22"/>
  <c r="CC234" i="6" s="1"/>
  <c r="H234" i="22"/>
  <c r="C67" i="19"/>
  <c r="B60" i="22"/>
  <c r="G108" i="22"/>
  <c r="CC108" i="6" s="1"/>
  <c r="H108" i="22"/>
  <c r="J67" i="19"/>
  <c r="H92" i="22"/>
  <c r="G92" i="22"/>
  <c r="CC92" i="6" s="1"/>
  <c r="G238" i="22"/>
  <c r="CC238" i="6" s="1"/>
  <c r="H238" i="22"/>
  <c r="J319" i="20"/>
  <c r="I319" i="20"/>
  <c r="H319" i="22" s="1"/>
  <c r="J210" i="20"/>
  <c r="I210" i="20"/>
  <c r="J258" i="20"/>
  <c r="I258" i="20"/>
  <c r="J29" i="20"/>
  <c r="I29" i="20"/>
  <c r="H83" i="22"/>
  <c r="D227" i="23"/>
  <c r="E227" i="23" s="1"/>
  <c r="F227" i="23" s="1"/>
  <c r="D224" i="23"/>
  <c r="E224" i="23" s="1"/>
  <c r="F224" i="23" s="1"/>
  <c r="W224" i="23"/>
  <c r="D203" i="23"/>
  <c r="E203" i="23" s="1"/>
  <c r="F203" i="23" s="1"/>
  <c r="W203" i="23"/>
  <c r="D140" i="23"/>
  <c r="E140" i="23" s="1"/>
  <c r="F140" i="23" s="1"/>
  <c r="W242" i="23"/>
  <c r="D242" i="23"/>
  <c r="E242" i="23" s="1"/>
  <c r="F242" i="23" s="1"/>
  <c r="D42" i="23"/>
  <c r="E42" i="23" s="1"/>
  <c r="F42" i="23" s="1"/>
  <c r="W42" i="23"/>
  <c r="V302" i="23"/>
  <c r="AH53" i="7"/>
  <c r="B349" i="23"/>
  <c r="D84" i="23"/>
  <c r="E84" i="23" s="1"/>
  <c r="F84" i="23" s="1"/>
  <c r="W84" i="23"/>
  <c r="D307" i="23"/>
  <c r="E307" i="23" s="1"/>
  <c r="F307" i="23" s="1"/>
  <c r="W307" i="23"/>
  <c r="W345" i="23"/>
  <c r="D345" i="23"/>
  <c r="E345" i="23" s="1"/>
  <c r="F345" i="23" s="1"/>
  <c r="V272" i="23"/>
  <c r="D27" i="23"/>
  <c r="E27" i="23" s="1"/>
  <c r="F27" i="23" s="1"/>
  <c r="W27" i="23"/>
  <c r="W199" i="23"/>
  <c r="D199" i="23"/>
  <c r="E199" i="23" s="1"/>
  <c r="F199" i="23" s="1"/>
  <c r="D132" i="23"/>
  <c r="E132" i="23" s="1"/>
  <c r="F132" i="23" s="1"/>
  <c r="W132" i="23"/>
  <c r="D155" i="23"/>
  <c r="E155" i="23" s="1"/>
  <c r="F155" i="23" s="1"/>
  <c r="W155" i="23"/>
  <c r="D377" i="23"/>
  <c r="E377" i="23" s="1"/>
  <c r="F377" i="23" s="1"/>
  <c r="W377" i="23"/>
  <c r="W56" i="23"/>
  <c r="D56" i="23"/>
  <c r="E56" i="23" s="1"/>
  <c r="F56" i="23" s="1"/>
  <c r="W316" i="23"/>
  <c r="D316" i="23"/>
  <c r="E316" i="23" s="1"/>
  <c r="F316" i="23" s="1"/>
  <c r="W250" i="23"/>
  <c r="D250" i="23"/>
  <c r="E250" i="23" s="1"/>
  <c r="F250" i="23" s="1"/>
  <c r="W153" i="23"/>
  <c r="D153" i="23"/>
  <c r="E153" i="23" s="1"/>
  <c r="F153" i="23" s="1"/>
  <c r="D290" i="23"/>
  <c r="E290" i="23" s="1"/>
  <c r="F290" i="23" s="1"/>
  <c r="W290" i="23"/>
  <c r="D291" i="23"/>
  <c r="E291" i="23" s="1"/>
  <c r="F291" i="23" s="1"/>
  <c r="W291" i="23"/>
  <c r="W82" i="23"/>
  <c r="D82" i="23"/>
  <c r="E82" i="23" s="1"/>
  <c r="F82" i="23" s="1"/>
  <c r="AE12" i="24"/>
  <c r="D298" i="23"/>
  <c r="E298" i="23" s="1"/>
  <c r="F298" i="23" s="1"/>
  <c r="W298" i="23"/>
  <c r="W159" i="23"/>
  <c r="D159" i="23"/>
  <c r="E159" i="23" s="1"/>
  <c r="F159" i="23" s="1"/>
  <c r="Q12" i="24"/>
  <c r="AT15" i="7"/>
  <c r="W294" i="23"/>
  <c r="D294" i="23"/>
  <c r="E294" i="23" s="1"/>
  <c r="F294" i="23" s="1"/>
  <c r="D16" i="23"/>
  <c r="E16" i="23" s="1"/>
  <c r="F16" i="23" s="1"/>
  <c r="W16" i="23"/>
  <c r="D247" i="23"/>
  <c r="E247" i="23" s="1"/>
  <c r="F247" i="23" s="1"/>
  <c r="W247" i="23"/>
  <c r="D198" i="23"/>
  <c r="E198" i="23" s="1"/>
  <c r="F198" i="23" s="1"/>
  <c r="W198" i="23"/>
  <c r="D167" i="23"/>
  <c r="E167" i="23" s="1"/>
  <c r="F167" i="23" s="1"/>
  <c r="W167" i="23"/>
  <c r="W342" i="23"/>
  <c r="D342" i="23"/>
  <c r="E342" i="23" s="1"/>
  <c r="F342" i="23" s="1"/>
  <c r="D141" i="23"/>
  <c r="E141" i="23" s="1"/>
  <c r="F141" i="23" s="1"/>
  <c r="W141" i="23"/>
  <c r="W334" i="23"/>
  <c r="D334" i="23"/>
  <c r="E334" i="23" s="1"/>
  <c r="F334" i="23" s="1"/>
  <c r="D182" i="23"/>
  <c r="E182" i="23" s="1"/>
  <c r="F182" i="23" s="1"/>
  <c r="W182" i="23"/>
  <c r="D277" i="23"/>
  <c r="E277" i="23" s="1"/>
  <c r="F277" i="23" s="1"/>
  <c r="W277" i="23"/>
  <c r="W362" i="23"/>
  <c r="D362" i="23"/>
  <c r="E362" i="23" s="1"/>
  <c r="F362" i="23" s="1"/>
  <c r="W320" i="23"/>
  <c r="D320" i="23"/>
  <c r="E320" i="23" s="1"/>
  <c r="F320" i="23" s="1"/>
  <c r="D156" i="23"/>
  <c r="E156" i="23" s="1"/>
  <c r="F156" i="23" s="1"/>
  <c r="W156" i="23"/>
  <c r="W61" i="23"/>
  <c r="D61" i="23"/>
  <c r="E61" i="23" s="1"/>
  <c r="F61" i="23" s="1"/>
  <c r="D338" i="23"/>
  <c r="E338" i="23" s="1"/>
  <c r="F338" i="23" s="1"/>
  <c r="W338" i="23"/>
  <c r="W350" i="23"/>
  <c r="D350" i="23"/>
  <c r="E350" i="23" s="1"/>
  <c r="F350" i="23" s="1"/>
  <c r="B105" i="23"/>
  <c r="W285" i="23"/>
  <c r="D285" i="23"/>
  <c r="E285" i="23" s="1"/>
  <c r="F285" i="23" s="1"/>
  <c r="D304" i="23"/>
  <c r="E304" i="23" s="1"/>
  <c r="F304" i="23" s="1"/>
  <c r="W304" i="23"/>
  <c r="D243" i="23"/>
  <c r="E243" i="23" s="1"/>
  <c r="F243" i="23" s="1"/>
  <c r="W243" i="23"/>
  <c r="W246" i="23"/>
  <c r="D246" i="23"/>
  <c r="E246" i="23" s="1"/>
  <c r="F246" i="23" s="1"/>
  <c r="D40" i="23"/>
  <c r="E40" i="23" s="1"/>
  <c r="F40" i="23" s="1"/>
  <c r="W40" i="23"/>
  <c r="D293" i="23"/>
  <c r="E293" i="23" s="1"/>
  <c r="F293" i="23" s="1"/>
  <c r="W293" i="23"/>
  <c r="W73" i="23"/>
  <c r="D73" i="23"/>
  <c r="E73" i="23" s="1"/>
  <c r="F73" i="23" s="1"/>
  <c r="D232" i="23"/>
  <c r="E232" i="23" s="1"/>
  <c r="F232" i="23" s="1"/>
  <c r="W232" i="23"/>
  <c r="W378" i="23"/>
  <c r="D378" i="23"/>
  <c r="E378" i="23" s="1"/>
  <c r="F378" i="23" s="1"/>
  <c r="W173" i="23"/>
  <c r="D173" i="23"/>
  <c r="E173" i="23" s="1"/>
  <c r="F173" i="23" s="1"/>
  <c r="Q381" i="23"/>
  <c r="Q382" i="23"/>
  <c r="Q383" i="23"/>
  <c r="W188" i="23"/>
  <c r="D188" i="23"/>
  <c r="E188" i="23" s="1"/>
  <c r="F188" i="23" s="1"/>
  <c r="D170" i="23"/>
  <c r="E170" i="23" s="1"/>
  <c r="F170" i="23" s="1"/>
  <c r="W170" i="23"/>
  <c r="W373" i="23"/>
  <c r="D373" i="23"/>
  <c r="E373" i="23" s="1"/>
  <c r="F373" i="23" s="1"/>
  <c r="W117" i="23"/>
  <c r="D117" i="23"/>
  <c r="E117" i="23" s="1"/>
  <c r="F117" i="23" s="1"/>
  <c r="D187" i="23"/>
  <c r="E187" i="23" s="1"/>
  <c r="F187" i="23" s="1"/>
  <c r="W187" i="23"/>
  <c r="W114" i="23"/>
  <c r="D114" i="23"/>
  <c r="E114" i="23" s="1"/>
  <c r="F114" i="23" s="1"/>
  <c r="D97" i="23"/>
  <c r="E97" i="23" s="1"/>
  <c r="F97" i="23" s="1"/>
  <c r="W97" i="23"/>
  <c r="D273" i="23"/>
  <c r="E273" i="23" s="1"/>
  <c r="F273" i="23" s="1"/>
  <c r="W273" i="23"/>
  <c r="D216" i="23"/>
  <c r="E216" i="23" s="1"/>
  <c r="F216" i="23" s="1"/>
  <c r="W216" i="23"/>
  <c r="W197" i="23"/>
  <c r="D197" i="23"/>
  <c r="E197" i="23" s="1"/>
  <c r="F197" i="23" s="1"/>
  <c r="AH55" i="7"/>
  <c r="V363" i="23"/>
  <c r="W222" i="23"/>
  <c r="D222" i="23"/>
  <c r="E222" i="23" s="1"/>
  <c r="F222" i="23" s="1"/>
  <c r="D44" i="23"/>
  <c r="E44" i="23" s="1"/>
  <c r="F44" i="23" s="1"/>
  <c r="W44" i="23"/>
  <c r="D96" i="23"/>
  <c r="E96" i="23" s="1"/>
  <c r="F96" i="23" s="1"/>
  <c r="W96" i="23"/>
  <c r="W109" i="23"/>
  <c r="D109" i="23"/>
  <c r="E109" i="23" s="1"/>
  <c r="F109" i="23" s="1"/>
  <c r="D202" i="23"/>
  <c r="E202" i="23" s="1"/>
  <c r="F202" i="23" s="1"/>
  <c r="W202" i="23"/>
  <c r="D296" i="23"/>
  <c r="E296" i="23" s="1"/>
  <c r="F296" i="23" s="1"/>
  <c r="W296" i="23"/>
  <c r="D33" i="23"/>
  <c r="E33" i="23" s="1"/>
  <c r="F33" i="23" s="1"/>
  <c r="W33" i="23"/>
  <c r="W133" i="23"/>
  <c r="D133" i="23"/>
  <c r="E133" i="23" s="1"/>
  <c r="F133" i="23" s="1"/>
  <c r="W51" i="23"/>
  <c r="D51" i="23"/>
  <c r="E51" i="23" s="1"/>
  <c r="F51" i="23" s="1"/>
  <c r="D357" i="23"/>
  <c r="E357" i="23" s="1"/>
  <c r="F357" i="23" s="1"/>
  <c r="W357" i="23"/>
  <c r="D49" i="23"/>
  <c r="E49" i="23" s="1"/>
  <c r="F49" i="23" s="1"/>
  <c r="W49" i="23"/>
  <c r="W184" i="23"/>
  <c r="D184" i="23"/>
  <c r="E184" i="23" s="1"/>
  <c r="F184" i="23" s="1"/>
  <c r="D331" i="23"/>
  <c r="E331" i="23" s="1"/>
  <c r="F331" i="23" s="1"/>
  <c r="W331" i="23"/>
  <c r="D328" i="23"/>
  <c r="E328" i="23" s="1"/>
  <c r="F328" i="23" s="1"/>
  <c r="W328" i="23"/>
  <c r="W45" i="23"/>
  <c r="D45" i="23"/>
  <c r="E45" i="23" s="1"/>
  <c r="F45" i="23" s="1"/>
  <c r="W244" i="23"/>
  <c r="D244" i="23"/>
  <c r="E244" i="23" s="1"/>
  <c r="F244" i="23" s="1"/>
  <c r="D176" i="23"/>
  <c r="E176" i="23" s="1"/>
  <c r="F176" i="23" s="1"/>
  <c r="W176" i="23"/>
  <c r="D123" i="23"/>
  <c r="E123" i="23" s="1"/>
  <c r="F123" i="23" s="1"/>
  <c r="W123" i="23"/>
  <c r="D65" i="23"/>
  <c r="E65" i="23" s="1"/>
  <c r="F65" i="23" s="1"/>
  <c r="W65" i="23"/>
  <c r="D266" i="23"/>
  <c r="E266" i="23" s="1"/>
  <c r="F266" i="23" s="1"/>
  <c r="D165" i="23"/>
  <c r="E165" i="23" s="1"/>
  <c r="F165" i="23" s="1"/>
  <c r="W165" i="23"/>
  <c r="D130" i="23"/>
  <c r="E130" i="23" s="1"/>
  <c r="F130" i="23" s="1"/>
  <c r="W130" i="23"/>
  <c r="D87" i="23"/>
  <c r="E87" i="23" s="1"/>
  <c r="F87" i="23" s="1"/>
  <c r="W87" i="23"/>
  <c r="W194" i="23"/>
  <c r="D194" i="23"/>
  <c r="E194" i="23" s="1"/>
  <c r="F194" i="23" s="1"/>
  <c r="W129" i="23"/>
  <c r="D129" i="23"/>
  <c r="E129" i="23" s="1"/>
  <c r="F129" i="23" s="1"/>
  <c r="W310" i="23"/>
  <c r="D310" i="23"/>
  <c r="E310" i="23" s="1"/>
  <c r="F310" i="23" s="1"/>
  <c r="W72" i="23"/>
  <c r="D72" i="23"/>
  <c r="E72" i="23" s="1"/>
  <c r="F72" i="23" s="1"/>
  <c r="W322" i="23"/>
  <c r="D322" i="23"/>
  <c r="E322" i="23" s="1"/>
  <c r="F322" i="23" s="1"/>
  <c r="W327" i="23"/>
  <c r="D327" i="23"/>
  <c r="E327" i="23" s="1"/>
  <c r="F327" i="23" s="1"/>
  <c r="AE381" i="23"/>
  <c r="AE382" i="23"/>
  <c r="AE383" i="23"/>
  <c r="W125" i="23"/>
  <c r="D125" i="23"/>
  <c r="E125" i="23" s="1"/>
  <c r="F125" i="23" s="1"/>
  <c r="D236" i="23"/>
  <c r="E236" i="23" s="1"/>
  <c r="F236" i="23" s="1"/>
  <c r="W236" i="23"/>
  <c r="W260" i="23"/>
  <c r="D260" i="23"/>
  <c r="E260" i="23" s="1"/>
  <c r="F260" i="23" s="1"/>
  <c r="W370" i="23"/>
  <c r="D370" i="23"/>
  <c r="E370" i="23" s="1"/>
  <c r="F370" i="23" s="1"/>
  <c r="D365" i="23"/>
  <c r="E365" i="23" s="1"/>
  <c r="F365" i="23" s="1"/>
  <c r="W365" i="23"/>
  <c r="D32" i="23"/>
  <c r="E32" i="23" s="1"/>
  <c r="F32" i="23" s="1"/>
  <c r="W32" i="23"/>
  <c r="D312" i="23"/>
  <c r="E312" i="23" s="1"/>
  <c r="F312" i="23" s="1"/>
  <c r="W312" i="23"/>
  <c r="W37" i="23"/>
  <c r="D37" i="23"/>
  <c r="E37" i="23" s="1"/>
  <c r="F37" i="23" s="1"/>
  <c r="D213" i="23"/>
  <c r="E213" i="23" s="1"/>
  <c r="F213" i="23" s="1"/>
  <c r="W213" i="23"/>
  <c r="D144" i="23"/>
  <c r="E144" i="23" s="1"/>
  <c r="F144" i="23" s="1"/>
  <c r="W144" i="23"/>
  <c r="D351" i="23"/>
  <c r="E351" i="23" s="1"/>
  <c r="F351" i="23" s="1"/>
  <c r="W351" i="23"/>
  <c r="W189" i="23"/>
  <c r="D189" i="23"/>
  <c r="E189" i="23" s="1"/>
  <c r="F189" i="23" s="1"/>
  <c r="B46" i="23"/>
  <c r="W347" i="23"/>
  <c r="W353" i="23"/>
  <c r="D353" i="23"/>
  <c r="E353" i="23" s="1"/>
  <c r="F353" i="23" s="1"/>
  <c r="D364" i="23"/>
  <c r="E364" i="23" s="1"/>
  <c r="F364" i="23" s="1"/>
  <c r="W364" i="23"/>
  <c r="V88" i="23"/>
  <c r="AH46" i="7"/>
  <c r="D368" i="23"/>
  <c r="E368" i="23" s="1"/>
  <c r="F368" i="23" s="1"/>
  <c r="W368" i="23"/>
  <c r="W313" i="23"/>
  <c r="D313" i="23"/>
  <c r="E313" i="23" s="1"/>
  <c r="F313" i="23" s="1"/>
  <c r="D57" i="23"/>
  <c r="E57" i="23" s="1"/>
  <c r="F57" i="23" s="1"/>
  <c r="W57" i="23"/>
  <c r="D268" i="23"/>
  <c r="E268" i="23" s="1"/>
  <c r="F268" i="23" s="1"/>
  <c r="W268" i="23"/>
  <c r="D191" i="23"/>
  <c r="E191" i="23" s="1"/>
  <c r="F191" i="23" s="1"/>
  <c r="W191" i="23"/>
  <c r="W157" i="23"/>
  <c r="D157" i="23"/>
  <c r="E157" i="23" s="1"/>
  <c r="F157" i="23" s="1"/>
  <c r="D371" i="23"/>
  <c r="E371" i="23" s="1"/>
  <c r="F371" i="23" s="1"/>
  <c r="D115" i="23"/>
  <c r="E115" i="23" s="1"/>
  <c r="F115" i="23" s="1"/>
  <c r="W115" i="23"/>
  <c r="W286" i="23"/>
  <c r="D286" i="23"/>
  <c r="E286" i="23" s="1"/>
  <c r="F286" i="23" s="1"/>
  <c r="D55" i="23"/>
  <c r="E55" i="23" s="1"/>
  <c r="F55" i="23" s="1"/>
  <c r="W55" i="23"/>
  <c r="D54" i="23"/>
  <c r="E54" i="23" s="1"/>
  <c r="F54" i="23" s="1"/>
  <c r="W54" i="23"/>
  <c r="D283" i="23"/>
  <c r="E283" i="23" s="1"/>
  <c r="F283" i="23" s="1"/>
  <c r="W283" i="23"/>
  <c r="D300" i="23"/>
  <c r="E300" i="23" s="1"/>
  <c r="F300" i="23" s="1"/>
  <c r="W300" i="23"/>
  <c r="W207" i="23"/>
  <c r="D207" i="23"/>
  <c r="E207" i="23" s="1"/>
  <c r="F207" i="23" s="1"/>
  <c r="W274" i="23"/>
  <c r="D274" i="23"/>
  <c r="E274" i="23" s="1"/>
  <c r="F274" i="23" s="1"/>
  <c r="D190" i="23"/>
  <c r="E190" i="23" s="1"/>
  <c r="F190" i="23" s="1"/>
  <c r="W190" i="23"/>
  <c r="W28" i="23"/>
  <c r="D28" i="23"/>
  <c r="E28" i="23" s="1"/>
  <c r="F28" i="23" s="1"/>
  <c r="W279" i="23"/>
  <c r="D279" i="23"/>
  <c r="E279" i="23" s="1"/>
  <c r="F279" i="23" s="1"/>
  <c r="D292" i="23"/>
  <c r="E292" i="23" s="1"/>
  <c r="F292" i="23" s="1"/>
  <c r="W292" i="23"/>
  <c r="W245" i="23"/>
  <c r="D245" i="23"/>
  <c r="E245" i="23" s="1"/>
  <c r="F245" i="23" s="1"/>
  <c r="D108" i="23"/>
  <c r="E108" i="23" s="1"/>
  <c r="F108" i="23" s="1"/>
  <c r="W108" i="23"/>
  <c r="D111" i="23"/>
  <c r="E111" i="23" s="1"/>
  <c r="F111" i="23" s="1"/>
  <c r="W111" i="23"/>
  <c r="W102" i="23"/>
  <c r="D102" i="23"/>
  <c r="E102" i="23" s="1"/>
  <c r="F102" i="23" s="1"/>
  <c r="D59" i="23"/>
  <c r="E59" i="23" s="1"/>
  <c r="F59" i="23" s="1"/>
  <c r="W59" i="23"/>
  <c r="W107" i="23"/>
  <c r="D107" i="23"/>
  <c r="E107" i="23" s="1"/>
  <c r="F107" i="23" s="1"/>
  <c r="W329" i="23"/>
  <c r="D329" i="23"/>
  <c r="E329" i="23" s="1"/>
  <c r="F329" i="23" s="1"/>
  <c r="W70" i="23"/>
  <c r="D70" i="23"/>
  <c r="E70" i="23" s="1"/>
  <c r="F70" i="23" s="1"/>
  <c r="D240" i="23"/>
  <c r="E240" i="23" s="1"/>
  <c r="F240" i="23" s="1"/>
  <c r="W240" i="23"/>
  <c r="D53" i="23"/>
  <c r="E53" i="23" s="1"/>
  <c r="F53" i="23" s="1"/>
  <c r="W53" i="23"/>
  <c r="W256" i="23"/>
  <c r="D256" i="23"/>
  <c r="E256" i="23" s="1"/>
  <c r="F256" i="23" s="1"/>
  <c r="W366" i="23"/>
  <c r="D366" i="23"/>
  <c r="E366" i="23" s="1"/>
  <c r="F366" i="23" s="1"/>
  <c r="D124" i="23"/>
  <c r="E124" i="23" s="1"/>
  <c r="F124" i="23" s="1"/>
  <c r="W124" i="23"/>
  <c r="W178" i="23"/>
  <c r="D178" i="23"/>
  <c r="E178" i="23" s="1"/>
  <c r="F178" i="23" s="1"/>
  <c r="AH47" i="7"/>
  <c r="V119" i="23"/>
  <c r="D341" i="23"/>
  <c r="E341" i="23" s="1"/>
  <c r="F341" i="23" s="1"/>
  <c r="W341" i="23"/>
  <c r="W17" i="23"/>
  <c r="D17" i="23"/>
  <c r="E17" i="23" s="1"/>
  <c r="F17" i="23" s="1"/>
  <c r="D205" i="23"/>
  <c r="E205" i="23" s="1"/>
  <c r="F205" i="23" s="1"/>
  <c r="W205" i="23"/>
  <c r="V180" i="23"/>
  <c r="AH49" i="7"/>
  <c r="D271" i="23"/>
  <c r="E271" i="23" s="1"/>
  <c r="F271" i="23" s="1"/>
  <c r="W271" i="23"/>
  <c r="D318" i="23"/>
  <c r="E318" i="23" s="1"/>
  <c r="F318" i="23" s="1"/>
  <c r="W318" i="23"/>
  <c r="W63" i="23"/>
  <c r="D63" i="23"/>
  <c r="E63" i="23" s="1"/>
  <c r="F63" i="23" s="1"/>
  <c r="D20" i="23"/>
  <c r="E20" i="23" s="1"/>
  <c r="F20" i="23" s="1"/>
  <c r="W20" i="23"/>
  <c r="W217" i="23"/>
  <c r="D217" i="23"/>
  <c r="E217" i="23" s="1"/>
  <c r="F217" i="23" s="1"/>
  <c r="W306" i="23"/>
  <c r="D306" i="23"/>
  <c r="E306" i="23" s="1"/>
  <c r="F306" i="23" s="1"/>
  <c r="W80" i="23"/>
  <c r="D80" i="23"/>
  <c r="E80" i="23" s="1"/>
  <c r="F80" i="23" s="1"/>
  <c r="D237" i="23"/>
  <c r="E237" i="23" s="1"/>
  <c r="F237" i="23" s="1"/>
  <c r="W237" i="23"/>
  <c r="W354" i="23"/>
  <c r="D354" i="23"/>
  <c r="E354" i="23" s="1"/>
  <c r="F354" i="23" s="1"/>
  <c r="D118" i="23"/>
  <c r="E118" i="23" s="1"/>
  <c r="F118" i="23" s="1"/>
  <c r="W62" i="23"/>
  <c r="D62" i="23"/>
  <c r="E62" i="23" s="1"/>
  <c r="F62" i="23" s="1"/>
  <c r="G196" i="23"/>
  <c r="CD196" i="6" s="1"/>
  <c r="W30" i="23" l="1"/>
  <c r="W219" i="23"/>
  <c r="D142" i="23"/>
  <c r="E142" i="23" s="1"/>
  <c r="F142" i="23" s="1"/>
  <c r="W252" i="23"/>
  <c r="D248" i="23"/>
  <c r="E248" i="23" s="1"/>
  <c r="F248" i="23" s="1"/>
  <c r="H90" i="22"/>
  <c r="J90" i="22" s="1"/>
  <c r="G311" i="22"/>
  <c r="CC311" i="6" s="1"/>
  <c r="I344" i="22"/>
  <c r="W113" i="23"/>
  <c r="D18" i="23"/>
  <c r="E18" i="23" s="1"/>
  <c r="F18" i="23" s="1"/>
  <c r="G336" i="22"/>
  <c r="CC336" i="6" s="1"/>
  <c r="G248" i="22"/>
  <c r="CC248" i="6" s="1"/>
  <c r="AA285" i="22"/>
  <c r="Z285" i="22" s="1"/>
  <c r="Y285" i="22" s="1"/>
  <c r="D251" i="23"/>
  <c r="E251" i="23" s="1"/>
  <c r="F251" i="23" s="1"/>
  <c r="G251" i="23" s="1"/>
  <c r="CD251" i="6" s="1"/>
  <c r="W233" i="23"/>
  <c r="D177" i="23"/>
  <c r="E177" i="23" s="1"/>
  <c r="F177" i="23" s="1"/>
  <c r="W34" i="23"/>
  <c r="H252" i="22"/>
  <c r="J252" i="22" s="1"/>
  <c r="AA90" i="22"/>
  <c r="Z90" i="22" s="1"/>
  <c r="Y90" i="22" s="1"/>
  <c r="AA252" i="22"/>
  <c r="Z252" i="22" s="1"/>
  <c r="Y252" i="22" s="1"/>
  <c r="AA209" i="22"/>
  <c r="Z209" i="22" s="1"/>
  <c r="Y209" i="22" s="1"/>
  <c r="AA193" i="22"/>
  <c r="Z193" i="22" s="1"/>
  <c r="Y193" i="22" s="1"/>
  <c r="D171" i="23"/>
  <c r="E171" i="23" s="1"/>
  <c r="F171" i="23" s="1"/>
  <c r="G171" i="23" s="1"/>
  <c r="CD171" i="6" s="1"/>
  <c r="W336" i="23"/>
  <c r="W359" i="23"/>
  <c r="D85" i="23"/>
  <c r="E85" i="23" s="1"/>
  <c r="F85" i="23" s="1"/>
  <c r="G85" i="23" s="1"/>
  <c r="CD85" i="6" s="1"/>
  <c r="D52" i="23"/>
  <c r="E52" i="23" s="1"/>
  <c r="F52" i="23" s="1"/>
  <c r="W226" i="23"/>
  <c r="D146" i="23"/>
  <c r="E146" i="23" s="1"/>
  <c r="F146" i="23" s="1"/>
  <c r="G146" i="23" s="1"/>
  <c r="CD146" i="6" s="1"/>
  <c r="D98" i="23"/>
  <c r="E98" i="23" s="1"/>
  <c r="F98" i="23" s="1"/>
  <c r="G98" i="23" s="1"/>
  <c r="CD98" i="6" s="1"/>
  <c r="D339" i="23"/>
  <c r="E339" i="23" s="1"/>
  <c r="F339" i="23" s="1"/>
  <c r="W41" i="23"/>
  <c r="D255" i="23"/>
  <c r="E255" i="23" s="1"/>
  <c r="F255" i="23" s="1"/>
  <c r="G255" i="23" s="1"/>
  <c r="CD255" i="6" s="1"/>
  <c r="W325" i="23"/>
  <c r="H177" i="22"/>
  <c r="I177" i="22" s="1"/>
  <c r="D131" i="23"/>
  <c r="E131" i="23" s="1"/>
  <c r="F131" i="23" s="1"/>
  <c r="G131" i="23" s="1"/>
  <c r="CD131" i="6" s="1"/>
  <c r="W134" i="23"/>
  <c r="D31" i="23"/>
  <c r="E31" i="23" s="1"/>
  <c r="F31" i="23" s="1"/>
  <c r="G31" i="23" s="1"/>
  <c r="CD31" i="6" s="1"/>
  <c r="D148" i="23"/>
  <c r="E148" i="23" s="1"/>
  <c r="F148" i="23" s="1"/>
  <c r="W19" i="23"/>
  <c r="W238" i="23"/>
  <c r="W281" i="23"/>
  <c r="W25" i="23"/>
  <c r="W36" i="23"/>
  <c r="W335" i="23"/>
  <c r="W150" i="23"/>
  <c r="D262" i="23"/>
  <c r="E262" i="23" s="1"/>
  <c r="F262" i="23" s="1"/>
  <c r="G262" i="23" s="1"/>
  <c r="CD262" i="6" s="1"/>
  <c r="D259" i="23"/>
  <c r="E259" i="23" s="1"/>
  <c r="F259" i="23" s="1"/>
  <c r="G259" i="23" s="1"/>
  <c r="CD259" i="6" s="1"/>
  <c r="D48" i="23"/>
  <c r="E48" i="23" s="1"/>
  <c r="F48" i="23" s="1"/>
  <c r="G48" i="23" s="1"/>
  <c r="CD48" i="6" s="1"/>
  <c r="AA311" i="22"/>
  <c r="Z311" i="22" s="1"/>
  <c r="Y311" i="22" s="1"/>
  <c r="AA248" i="22"/>
  <c r="Z248" i="22" s="1"/>
  <c r="Y248" i="22" s="1"/>
  <c r="J222" i="22"/>
  <c r="D128" i="23"/>
  <c r="E128" i="23" s="1"/>
  <c r="F128" i="23" s="1"/>
  <c r="G128" i="23" s="1"/>
  <c r="CD128" i="6" s="1"/>
  <c r="J221" i="22"/>
  <c r="W26" i="23"/>
  <c r="G110" i="22"/>
  <c r="CC110" i="6" s="1"/>
  <c r="G323" i="22"/>
  <c r="CC323" i="6" s="1"/>
  <c r="J230" i="22"/>
  <c r="J143" i="22"/>
  <c r="I323" i="22"/>
  <c r="H323" i="23" s="1"/>
  <c r="J323" i="22"/>
  <c r="AA110" i="22"/>
  <c r="Z110" i="22" s="1"/>
  <c r="Y110" i="22" s="1"/>
  <c r="AA323" i="22"/>
  <c r="Z323" i="22" s="1"/>
  <c r="Y323" i="22" s="1"/>
  <c r="D346" i="23"/>
  <c r="E346" i="23" s="1"/>
  <c r="F346" i="23" s="1"/>
  <c r="G346" i="23" s="1"/>
  <c r="CD346" i="6" s="1"/>
  <c r="D121" i="23"/>
  <c r="E121" i="23" s="1"/>
  <c r="F121" i="23" s="1"/>
  <c r="G121" i="23" s="1"/>
  <c r="CD121" i="6" s="1"/>
  <c r="D314" i="23"/>
  <c r="E314" i="23" s="1"/>
  <c r="F314" i="23" s="1"/>
  <c r="G314" i="23" s="1"/>
  <c r="CD314" i="6" s="1"/>
  <c r="W305" i="23"/>
  <c r="D231" i="23"/>
  <c r="E231" i="23" s="1"/>
  <c r="F231" i="23" s="1"/>
  <c r="G231" i="23" s="1"/>
  <c r="CD231" i="6" s="1"/>
  <c r="W376" i="23"/>
  <c r="W79" i="23"/>
  <c r="W138" i="23"/>
  <c r="D352" i="23"/>
  <c r="E352" i="23" s="1"/>
  <c r="F352" i="23" s="1"/>
  <c r="G352" i="23" s="1"/>
  <c r="CD352" i="6" s="1"/>
  <c r="D208" i="23"/>
  <c r="E208" i="23" s="1"/>
  <c r="F208" i="23" s="1"/>
  <c r="G208" i="23" s="1"/>
  <c r="CD208" i="6" s="1"/>
  <c r="D101" i="23"/>
  <c r="E101" i="23" s="1"/>
  <c r="F101" i="23" s="1"/>
  <c r="G101" i="23" s="1"/>
  <c r="CD101" i="6" s="1"/>
  <c r="W91" i="23"/>
  <c r="D136" i="23"/>
  <c r="E136" i="23" s="1"/>
  <c r="F136" i="23" s="1"/>
  <c r="G136" i="23" s="1"/>
  <c r="CD136" i="6" s="1"/>
  <c r="D145" i="23"/>
  <c r="E145" i="23" s="1"/>
  <c r="F145" i="23" s="1"/>
  <c r="D309" i="23"/>
  <c r="E309" i="23" s="1"/>
  <c r="F309" i="23" s="1"/>
  <c r="G309" i="23" s="1"/>
  <c r="CD309" i="6" s="1"/>
  <c r="AH51" i="7"/>
  <c r="W154" i="23"/>
  <c r="D297" i="23"/>
  <c r="E297" i="23" s="1"/>
  <c r="F297" i="23" s="1"/>
  <c r="G297" i="23" s="1"/>
  <c r="CD297" i="6" s="1"/>
  <c r="W69" i="23"/>
  <c r="W100" i="23"/>
  <c r="W78" i="23"/>
  <c r="D185" i="23"/>
  <c r="E185" i="23" s="1"/>
  <c r="F185" i="23" s="1"/>
  <c r="G185" i="23" s="1"/>
  <c r="CD185" i="6" s="1"/>
  <c r="D116" i="23"/>
  <c r="E116" i="23" s="1"/>
  <c r="F116" i="23" s="1"/>
  <c r="G116" i="23" s="1"/>
  <c r="CD116" i="6" s="1"/>
  <c r="D201" i="23"/>
  <c r="E201" i="23" s="1"/>
  <c r="F201" i="23" s="1"/>
  <c r="G201" i="23" s="1"/>
  <c r="CD201" i="6" s="1"/>
  <c r="W367" i="23"/>
  <c r="D221" i="23"/>
  <c r="E221" i="23" s="1"/>
  <c r="F221" i="23" s="1"/>
  <c r="H221" i="23" s="1"/>
  <c r="D265" i="23"/>
  <c r="E265" i="23" s="1"/>
  <c r="F265" i="23" s="1"/>
  <c r="G265" i="23" s="1"/>
  <c r="CD265" i="6" s="1"/>
  <c r="W77" i="23"/>
  <c r="D35" i="23"/>
  <c r="E35" i="23" s="1"/>
  <c r="F35" i="23" s="1"/>
  <c r="H35" i="23" s="1"/>
  <c r="W267" i="23"/>
  <c r="W276" i="23"/>
  <c r="W137" i="23"/>
  <c r="D358" i="23"/>
  <c r="E358" i="23" s="1"/>
  <c r="F358" i="23" s="1"/>
  <c r="G358" i="23" s="1"/>
  <c r="CD358" i="6" s="1"/>
  <c r="W343" i="23"/>
  <c r="D269" i="23"/>
  <c r="E269" i="23" s="1"/>
  <c r="F269" i="23" s="1"/>
  <c r="G269" i="23" s="1"/>
  <c r="CD269" i="6" s="1"/>
  <c r="D86" i="23"/>
  <c r="E86" i="23" s="1"/>
  <c r="F86" i="23" s="1"/>
  <c r="G86" i="23" s="1"/>
  <c r="CD86" i="6" s="1"/>
  <c r="D225" i="23"/>
  <c r="E225" i="23" s="1"/>
  <c r="F225" i="23" s="1"/>
  <c r="G225" i="23" s="1"/>
  <c r="CD225" i="6" s="1"/>
  <c r="W147" i="23"/>
  <c r="W209" i="23"/>
  <c r="D66" i="23"/>
  <c r="E66" i="23" s="1"/>
  <c r="F66" i="23" s="1"/>
  <c r="G66" i="23" s="1"/>
  <c r="CD66" i="6" s="1"/>
  <c r="W348" i="23"/>
  <c r="W321" i="23"/>
  <c r="W303" i="23"/>
  <c r="W200" i="23"/>
  <c r="W340" i="23"/>
  <c r="V60" i="23"/>
  <c r="C68" i="19" s="1"/>
  <c r="W160" i="23"/>
  <c r="D289" i="23"/>
  <c r="E289" i="23" s="1"/>
  <c r="F289" i="23" s="1"/>
  <c r="G289" i="23" s="1"/>
  <c r="CD289" i="6" s="1"/>
  <c r="W162" i="23"/>
  <c r="W288" i="23"/>
  <c r="D206" i="23"/>
  <c r="E206" i="23" s="1"/>
  <c r="F206" i="23" s="1"/>
  <c r="G206" i="23" s="1"/>
  <c r="CD206" i="6" s="1"/>
  <c r="D95" i="23"/>
  <c r="E95" i="23" s="1"/>
  <c r="F95" i="23" s="1"/>
  <c r="G95" i="23" s="1"/>
  <c r="CD95" i="6" s="1"/>
  <c r="W110" i="23"/>
  <c r="W280" i="23"/>
  <c r="D179" i="23"/>
  <c r="E179" i="23" s="1"/>
  <c r="F179" i="23" s="1"/>
  <c r="G179" i="23" s="1"/>
  <c r="CD179" i="6" s="1"/>
  <c r="D83" i="23"/>
  <c r="E83" i="23" s="1"/>
  <c r="F83" i="23" s="1"/>
  <c r="G83" i="23" s="1"/>
  <c r="CD83" i="6" s="1"/>
  <c r="D254" i="23"/>
  <c r="E254" i="23" s="1"/>
  <c r="F254" i="23" s="1"/>
  <c r="G254" i="23" s="1"/>
  <c r="CD254" i="6" s="1"/>
  <c r="W89" i="23"/>
  <c r="D67" i="23"/>
  <c r="E67" i="23" s="1"/>
  <c r="F67" i="23" s="1"/>
  <c r="G67" i="23" s="1"/>
  <c r="CD67" i="6" s="1"/>
  <c r="W47" i="23"/>
  <c r="W311" i="23"/>
  <c r="D264" i="23"/>
  <c r="E264" i="23" s="1"/>
  <c r="F264" i="23" s="1"/>
  <c r="G264" i="23" s="1"/>
  <c r="CD264" i="6" s="1"/>
  <c r="W323" i="23"/>
  <c r="D253" i="23"/>
  <c r="E253" i="23" s="1"/>
  <c r="F253" i="23" s="1"/>
  <c r="G253" i="23" s="1"/>
  <c r="CD253" i="6" s="1"/>
  <c r="P379" i="23"/>
  <c r="V379" i="23" s="1"/>
  <c r="B379" i="23" s="1"/>
  <c r="D379" i="23" s="1"/>
  <c r="E379" i="23" s="1"/>
  <c r="F379" i="23" s="1"/>
  <c r="F14" i="19"/>
  <c r="W282" i="23"/>
  <c r="W161" i="23"/>
  <c r="D126" i="23"/>
  <c r="E126" i="23" s="1"/>
  <c r="F126" i="23" s="1"/>
  <c r="G126" i="23" s="1"/>
  <c r="CD126" i="6" s="1"/>
  <c r="D356" i="23"/>
  <c r="E356" i="23" s="1"/>
  <c r="F356" i="23" s="1"/>
  <c r="G356" i="23" s="1"/>
  <c r="CD356" i="6" s="1"/>
  <c r="AH54" i="7"/>
  <c r="D24" i="23"/>
  <c r="E24" i="23" s="1"/>
  <c r="F24" i="23" s="1"/>
  <c r="G24" i="23" s="1"/>
  <c r="CD24" i="6" s="1"/>
  <c r="D337" i="23"/>
  <c r="E337" i="23" s="1"/>
  <c r="F337" i="23" s="1"/>
  <c r="G337" i="23" s="1"/>
  <c r="CD337" i="6" s="1"/>
  <c r="D75" i="23"/>
  <c r="E75" i="23" s="1"/>
  <c r="F75" i="23" s="1"/>
  <c r="G75" i="23" s="1"/>
  <c r="CD75" i="6" s="1"/>
  <c r="W257" i="23"/>
  <c r="D360" i="23"/>
  <c r="E360" i="23" s="1"/>
  <c r="F360" i="23" s="1"/>
  <c r="G360" i="23" s="1"/>
  <c r="CD360" i="6" s="1"/>
  <c r="D106" i="23"/>
  <c r="E106" i="23" s="1"/>
  <c r="F106" i="23" s="1"/>
  <c r="G106" i="23" s="1"/>
  <c r="CD106" i="6" s="1"/>
  <c r="W344" i="23"/>
  <c r="D151" i="23"/>
  <c r="E151" i="23" s="1"/>
  <c r="F151" i="23" s="1"/>
  <c r="G151" i="23" s="1"/>
  <c r="CD151" i="6" s="1"/>
  <c r="D369" i="23"/>
  <c r="E369" i="23" s="1"/>
  <c r="F369" i="23" s="1"/>
  <c r="G369" i="23" s="1"/>
  <c r="CD369" i="6" s="1"/>
  <c r="W99" i="23"/>
  <c r="V29" i="23"/>
  <c r="B29" i="23" s="1"/>
  <c r="D29" i="23" s="1"/>
  <c r="E29" i="23" s="1"/>
  <c r="F29" i="23" s="1"/>
  <c r="D172" i="23"/>
  <c r="E172" i="23" s="1"/>
  <c r="F172" i="23" s="1"/>
  <c r="G172" i="23" s="1"/>
  <c r="CD172" i="6" s="1"/>
  <c r="W181" i="23"/>
  <c r="W234" i="23"/>
  <c r="AH50" i="7"/>
  <c r="W330" i="23"/>
  <c r="W317" i="23"/>
  <c r="D295" i="23"/>
  <c r="E295" i="23" s="1"/>
  <c r="F295" i="23" s="1"/>
  <c r="G295" i="23" s="1"/>
  <c r="CD295" i="6" s="1"/>
  <c r="W93" i="23"/>
  <c r="D94" i="23"/>
  <c r="E94" i="23" s="1"/>
  <c r="F94" i="23" s="1"/>
  <c r="G94" i="23" s="1"/>
  <c r="CD94" i="6" s="1"/>
  <c r="I287" i="22"/>
  <c r="H287" i="23" s="1"/>
  <c r="W261" i="23"/>
  <c r="D239" i="23"/>
  <c r="E239" i="23" s="1"/>
  <c r="F239" i="23" s="1"/>
  <c r="G239" i="23" s="1"/>
  <c r="CD239" i="6" s="1"/>
  <c r="W23" i="23"/>
  <c r="W332" i="23"/>
  <c r="D186" i="23"/>
  <c r="E186" i="23" s="1"/>
  <c r="F186" i="23" s="1"/>
  <c r="G186" i="23" s="1"/>
  <c r="CD186" i="6" s="1"/>
  <c r="W287" i="23"/>
  <c r="D193" i="23"/>
  <c r="E193" i="23" s="1"/>
  <c r="F193" i="23" s="1"/>
  <c r="G193" i="23" s="1"/>
  <c r="CD193" i="6" s="1"/>
  <c r="D249" i="23"/>
  <c r="E249" i="23" s="1"/>
  <c r="F249" i="23" s="1"/>
  <c r="G249" i="23" s="1"/>
  <c r="CD249" i="6" s="1"/>
  <c r="D71" i="23"/>
  <c r="E71" i="23" s="1"/>
  <c r="F71" i="23" s="1"/>
  <c r="G71" i="23" s="1"/>
  <c r="CD71" i="6" s="1"/>
  <c r="D214" i="23"/>
  <c r="E214" i="23" s="1"/>
  <c r="F214" i="23" s="1"/>
  <c r="G214" i="23" s="1"/>
  <c r="CD214" i="6" s="1"/>
  <c r="W139" i="23"/>
  <c r="W326" i="23"/>
  <c r="W324" i="23"/>
  <c r="D122" i="23"/>
  <c r="E122" i="23" s="1"/>
  <c r="F122" i="23" s="1"/>
  <c r="G122" i="23" s="1"/>
  <c r="CD122" i="6" s="1"/>
  <c r="W230" i="23"/>
  <c r="D64" i="23"/>
  <c r="E64" i="23" s="1"/>
  <c r="F64" i="23" s="1"/>
  <c r="G64" i="23" s="1"/>
  <c r="CD64" i="6" s="1"/>
  <c r="W235" i="23"/>
  <c r="D374" i="23"/>
  <c r="E374" i="23" s="1"/>
  <c r="F374" i="23" s="1"/>
  <c r="G374" i="23" s="1"/>
  <c r="CD374" i="6" s="1"/>
  <c r="W215" i="23"/>
  <c r="D301" i="23"/>
  <c r="E301" i="23" s="1"/>
  <c r="F301" i="23" s="1"/>
  <c r="G301" i="23" s="1"/>
  <c r="CD301" i="6" s="1"/>
  <c r="D127" i="23"/>
  <c r="E127" i="23" s="1"/>
  <c r="F127" i="23" s="1"/>
  <c r="G127" i="23" s="1"/>
  <c r="CD127" i="6" s="1"/>
  <c r="W76" i="23"/>
  <c r="J233" i="22"/>
  <c r="D104" i="23"/>
  <c r="E104" i="23" s="1"/>
  <c r="F104" i="23" s="1"/>
  <c r="G104" i="23" s="1"/>
  <c r="CD104" i="6" s="1"/>
  <c r="D38" i="23"/>
  <c r="E38" i="23" s="1"/>
  <c r="F38" i="23" s="1"/>
  <c r="G38" i="23" s="1"/>
  <c r="CD38" i="6" s="1"/>
  <c r="W220" i="23"/>
  <c r="D43" i="23"/>
  <c r="E43" i="23" s="1"/>
  <c r="F43" i="23" s="1"/>
  <c r="H43" i="23" s="1"/>
  <c r="W319" i="23"/>
  <c r="AH48" i="7"/>
  <c r="D223" i="23"/>
  <c r="E223" i="23" s="1"/>
  <c r="F223" i="23" s="1"/>
  <c r="G223" i="23" s="1"/>
  <c r="CD223" i="6" s="1"/>
  <c r="W218" i="23"/>
  <c r="W315" i="23"/>
  <c r="D90" i="23"/>
  <c r="E90" i="23" s="1"/>
  <c r="F90" i="23" s="1"/>
  <c r="G90" i="23" s="1"/>
  <c r="CD90" i="6" s="1"/>
  <c r="D112" i="23"/>
  <c r="E112" i="23" s="1"/>
  <c r="F112" i="23" s="1"/>
  <c r="G112" i="23" s="1"/>
  <c r="CD112" i="6" s="1"/>
  <c r="D22" i="23"/>
  <c r="E22" i="23" s="1"/>
  <c r="F22" i="23" s="1"/>
  <c r="G22" i="23" s="1"/>
  <c r="CD22" i="6" s="1"/>
  <c r="W192" i="23"/>
  <c r="D278" i="23"/>
  <c r="E278" i="23" s="1"/>
  <c r="F278" i="23" s="1"/>
  <c r="G278" i="23" s="1"/>
  <c r="CD278" i="6" s="1"/>
  <c r="W174" i="23"/>
  <c r="W152" i="23"/>
  <c r="W270" i="23"/>
  <c r="D229" i="23"/>
  <c r="E229" i="23" s="1"/>
  <c r="F229" i="23" s="1"/>
  <c r="G229" i="23" s="1"/>
  <c r="CD229" i="6" s="1"/>
  <c r="D21" i="23"/>
  <c r="E21" i="23" s="1"/>
  <c r="F21" i="23" s="1"/>
  <c r="G21" i="23" s="1"/>
  <c r="CD21" i="6" s="1"/>
  <c r="D120" i="23"/>
  <c r="E120" i="23" s="1"/>
  <c r="F120" i="23" s="1"/>
  <c r="G120" i="23" s="1"/>
  <c r="CD120" i="6" s="1"/>
  <c r="D58" i="23"/>
  <c r="E58" i="23" s="1"/>
  <c r="F58" i="23" s="1"/>
  <c r="G58" i="23" s="1"/>
  <c r="CD58" i="6" s="1"/>
  <c r="W212" i="23"/>
  <c r="W372" i="23"/>
  <c r="W361" i="23"/>
  <c r="W183" i="23"/>
  <c r="W195" i="23"/>
  <c r="W50" i="23"/>
  <c r="W228" i="23"/>
  <c r="W143" i="23"/>
  <c r="D175" i="23"/>
  <c r="E175" i="23" s="1"/>
  <c r="F175" i="23" s="1"/>
  <c r="G175" i="23" s="1"/>
  <c r="CD175" i="6" s="1"/>
  <c r="W204" i="23"/>
  <c r="D103" i="23"/>
  <c r="E103" i="23" s="1"/>
  <c r="F103" i="23" s="1"/>
  <c r="G103" i="23" s="1"/>
  <c r="CD103" i="6" s="1"/>
  <c r="D164" i="23"/>
  <c r="E164" i="23" s="1"/>
  <c r="F164" i="23" s="1"/>
  <c r="G164" i="23" s="1"/>
  <c r="CD164" i="6" s="1"/>
  <c r="D81" i="23"/>
  <c r="E81" i="23" s="1"/>
  <c r="F81" i="23" s="1"/>
  <c r="G81" i="23" s="1"/>
  <c r="CD81" i="6" s="1"/>
  <c r="W284" i="23"/>
  <c r="D169" i="23"/>
  <c r="E169" i="23" s="1"/>
  <c r="F169" i="23" s="1"/>
  <c r="G169" i="23" s="1"/>
  <c r="CD169" i="6" s="1"/>
  <c r="U10" i="24"/>
  <c r="U235" i="24" s="1"/>
  <c r="T235" i="24" s="1"/>
  <c r="S235" i="24" s="1"/>
  <c r="R235" i="24" s="1"/>
  <c r="D258" i="23"/>
  <c r="E258" i="23" s="1"/>
  <c r="F258" i="23" s="1"/>
  <c r="G258" i="23" s="1"/>
  <c r="CD258" i="6" s="1"/>
  <c r="D168" i="23"/>
  <c r="E168" i="23" s="1"/>
  <c r="F168" i="23" s="1"/>
  <c r="G168" i="23" s="1"/>
  <c r="CD168" i="6" s="1"/>
  <c r="W275" i="23"/>
  <c r="D375" i="23"/>
  <c r="E375" i="23" s="1"/>
  <c r="F375" i="23" s="1"/>
  <c r="G375" i="23" s="1"/>
  <c r="CD375" i="6" s="1"/>
  <c r="W163" i="23"/>
  <c r="D92" i="23"/>
  <c r="E92" i="23" s="1"/>
  <c r="F92" i="23" s="1"/>
  <c r="G92" i="23" s="1"/>
  <c r="CD92" i="6" s="1"/>
  <c r="D39" i="23"/>
  <c r="E39" i="23" s="1"/>
  <c r="F39" i="23" s="1"/>
  <c r="G39" i="23" s="1"/>
  <c r="CD39" i="6" s="1"/>
  <c r="W299" i="23"/>
  <c r="W68" i="23"/>
  <c r="J124" i="22"/>
  <c r="J371" i="22"/>
  <c r="J38" i="22"/>
  <c r="J54" i="22"/>
  <c r="B363" i="23"/>
  <c r="W363" i="23" s="1"/>
  <c r="H29" i="22"/>
  <c r="J29" i="22" s="1"/>
  <c r="W379" i="22"/>
  <c r="J345" i="22"/>
  <c r="J351" i="22"/>
  <c r="J17" i="22"/>
  <c r="J240" i="22"/>
  <c r="J43" i="22"/>
  <c r="I111" i="22"/>
  <c r="H111" i="23" s="1"/>
  <c r="J111" i="22"/>
  <c r="I248" i="22"/>
  <c r="H248" i="23" s="1"/>
  <c r="J248" i="22"/>
  <c r="B180" i="23"/>
  <c r="D180" i="23" s="1"/>
  <c r="E180" i="23" s="1"/>
  <c r="F180" i="23" s="1"/>
  <c r="M67" i="19"/>
  <c r="D379" i="22"/>
  <c r="E379" i="22" s="1"/>
  <c r="F379" i="22" s="1"/>
  <c r="AA379" i="22" s="1"/>
  <c r="Z379" i="22" s="1"/>
  <c r="Y379" i="22" s="1"/>
  <c r="I321" i="22"/>
  <c r="H321" i="23" s="1"/>
  <c r="J53" i="22"/>
  <c r="J146" i="22"/>
  <c r="J193" i="22"/>
  <c r="I193" i="22"/>
  <c r="H193" i="23" s="1"/>
  <c r="W263" i="23"/>
  <c r="D308" i="23"/>
  <c r="E308" i="23" s="1"/>
  <c r="F308" i="23" s="1"/>
  <c r="G308" i="23" s="1"/>
  <c r="CD308" i="6" s="1"/>
  <c r="I171" i="22"/>
  <c r="H171" i="23" s="1"/>
  <c r="J171" i="22"/>
  <c r="B149" i="23"/>
  <c r="W149" i="23" s="1"/>
  <c r="D158" i="23"/>
  <c r="E158" i="23" s="1"/>
  <c r="F158" i="23" s="1"/>
  <c r="G158" i="23" s="1"/>
  <c r="CD158" i="6" s="1"/>
  <c r="W211" i="23"/>
  <c r="I311" i="22"/>
  <c r="H311" i="23" s="1"/>
  <c r="J311" i="22"/>
  <c r="J96" i="22"/>
  <c r="I96" i="22"/>
  <c r="H96" i="23" s="1"/>
  <c r="D355" i="23"/>
  <c r="E355" i="23" s="1"/>
  <c r="F355" i="23" s="1"/>
  <c r="G355" i="23" s="1"/>
  <c r="CD355" i="6" s="1"/>
  <c r="AH382" i="22"/>
  <c r="AH383" i="22"/>
  <c r="AH381" i="22"/>
  <c r="AG15" i="22"/>
  <c r="AF381" i="20"/>
  <c r="AF383" i="20"/>
  <c r="AD104" i="20"/>
  <c r="AF382" i="20"/>
  <c r="AI253" i="23"/>
  <c r="AH253" i="23" s="1"/>
  <c r="AI30" i="23"/>
  <c r="AH30" i="23" s="1"/>
  <c r="AI286" i="23"/>
  <c r="AH286" i="23" s="1"/>
  <c r="AI219" i="23"/>
  <c r="AH219" i="23" s="1"/>
  <c r="AI103" i="23"/>
  <c r="AH103" i="23" s="1"/>
  <c r="AI108" i="23"/>
  <c r="AH108" i="23" s="1"/>
  <c r="AI275" i="23"/>
  <c r="AH275" i="23" s="1"/>
  <c r="AI41" i="23"/>
  <c r="AH41" i="23" s="1"/>
  <c r="AI138" i="23"/>
  <c r="AH138" i="23" s="1"/>
  <c r="AI340" i="23"/>
  <c r="AH340" i="23" s="1"/>
  <c r="AI265" i="23"/>
  <c r="AH265" i="23" s="1"/>
  <c r="AI214" i="23"/>
  <c r="AH214" i="23" s="1"/>
  <c r="AI227" i="23"/>
  <c r="AH227" i="23" s="1"/>
  <c r="AI64" i="23"/>
  <c r="AH64" i="23" s="1"/>
  <c r="AI143" i="23"/>
  <c r="AH143" i="23" s="1"/>
  <c r="AI164" i="23"/>
  <c r="AH164" i="23" s="1"/>
  <c r="AI26" i="23"/>
  <c r="AH26" i="23" s="1"/>
  <c r="AI220" i="23"/>
  <c r="AH220" i="23" s="1"/>
  <c r="AI274" i="23"/>
  <c r="AH274" i="23" s="1"/>
  <c r="AI231" i="23"/>
  <c r="AH231" i="23" s="1"/>
  <c r="AI293" i="23"/>
  <c r="AH293" i="23" s="1"/>
  <c r="AI218" i="23"/>
  <c r="AH218" i="23" s="1"/>
  <c r="AI101" i="23"/>
  <c r="AH101" i="23" s="1"/>
  <c r="AI95" i="23"/>
  <c r="AH95" i="23" s="1"/>
  <c r="AI55" i="23"/>
  <c r="AH55" i="23" s="1"/>
  <c r="AI49" i="23"/>
  <c r="AH49" i="23" s="1"/>
  <c r="AI66" i="23"/>
  <c r="AH66" i="23" s="1"/>
  <c r="AI336" i="23"/>
  <c r="AH336" i="23" s="1"/>
  <c r="AI269" i="23"/>
  <c r="AH269" i="23" s="1"/>
  <c r="AI114" i="23"/>
  <c r="AH114" i="23" s="1"/>
  <c r="AI321" i="23"/>
  <c r="AH321" i="23" s="1"/>
  <c r="AI238" i="23"/>
  <c r="AH238" i="23" s="1"/>
  <c r="AI157" i="23"/>
  <c r="AH157" i="23" s="1"/>
  <c r="AI174" i="23"/>
  <c r="AH174" i="23" s="1"/>
  <c r="AI76" i="23"/>
  <c r="AH76" i="23" s="1"/>
  <c r="AI73" i="23"/>
  <c r="AH73" i="23" s="1"/>
  <c r="AI117" i="23"/>
  <c r="AH117" i="23" s="1"/>
  <c r="AI356" i="23"/>
  <c r="AH356" i="23" s="1"/>
  <c r="AI281" i="23"/>
  <c r="AH281" i="23" s="1"/>
  <c r="AI198" i="23"/>
  <c r="AH198" i="23" s="1"/>
  <c r="AI120" i="23"/>
  <c r="AH120" i="23" s="1"/>
  <c r="AI370" i="23"/>
  <c r="AH370" i="23" s="1"/>
  <c r="AI327" i="23"/>
  <c r="AH327" i="23" s="1"/>
  <c r="AI47" i="23"/>
  <c r="AH47" i="23" s="1"/>
  <c r="AI68" i="23"/>
  <c r="AH68" i="23" s="1"/>
  <c r="AI335" i="23"/>
  <c r="AH335" i="23" s="1"/>
  <c r="AI155" i="23"/>
  <c r="AH155" i="23" s="1"/>
  <c r="AI349" i="23"/>
  <c r="AH349" i="23" s="1"/>
  <c r="AI312" i="23"/>
  <c r="AH312" i="23" s="1"/>
  <c r="AI72" i="23"/>
  <c r="AH72" i="23" s="1"/>
  <c r="AI278" i="23"/>
  <c r="AH278" i="23" s="1"/>
  <c r="AI128" i="23"/>
  <c r="AH128" i="23" s="1"/>
  <c r="AI121" i="23"/>
  <c r="AH121" i="23" s="1"/>
  <c r="AI300" i="23"/>
  <c r="AH300" i="23" s="1"/>
  <c r="AI360" i="23"/>
  <c r="AH360" i="23" s="1"/>
  <c r="AI34" i="23"/>
  <c r="AH34" i="23" s="1"/>
  <c r="AI65" i="23"/>
  <c r="AH65" i="23" s="1"/>
  <c r="AI209" i="23"/>
  <c r="AH209" i="23" s="1"/>
  <c r="AI131" i="23"/>
  <c r="AH131" i="23" s="1"/>
  <c r="AI168" i="23"/>
  <c r="AH168" i="23" s="1"/>
  <c r="AI377" i="23"/>
  <c r="AH377" i="23" s="1"/>
  <c r="AI294" i="23"/>
  <c r="AH294" i="23" s="1"/>
  <c r="AI109" i="23"/>
  <c r="AH109" i="23" s="1"/>
  <c r="AI84" i="23"/>
  <c r="AH84" i="23" s="1"/>
  <c r="AI375" i="23"/>
  <c r="AH375" i="23" s="1"/>
  <c r="AI212" i="23"/>
  <c r="AH212" i="23" s="1"/>
  <c r="AI89" i="23"/>
  <c r="AH89" i="23" s="1"/>
  <c r="AI122" i="23"/>
  <c r="AH122" i="23" s="1"/>
  <c r="AI152" i="23"/>
  <c r="AH152" i="23" s="1"/>
  <c r="AI264" i="23"/>
  <c r="AH264" i="23" s="1"/>
  <c r="AI70" i="23"/>
  <c r="AH70" i="23" s="1"/>
  <c r="AI330" i="23"/>
  <c r="AH330" i="23" s="1"/>
  <c r="AI255" i="23"/>
  <c r="AH255" i="23" s="1"/>
  <c r="AI63" i="23"/>
  <c r="AH63" i="23" s="1"/>
  <c r="AI210" i="23"/>
  <c r="AH210" i="23" s="1"/>
  <c r="AI85" i="23"/>
  <c r="AH85" i="23" s="1"/>
  <c r="AI145" i="23"/>
  <c r="AH145" i="23" s="1"/>
  <c r="AI162" i="23"/>
  <c r="AH162" i="23" s="1"/>
  <c r="AI19" i="23"/>
  <c r="AH19" i="23" s="1"/>
  <c r="AI22" i="23"/>
  <c r="AH22" i="23" s="1"/>
  <c r="AI94" i="23"/>
  <c r="AH94" i="23" s="1"/>
  <c r="AI40" i="23"/>
  <c r="AH40" i="23" s="1"/>
  <c r="AI351" i="23"/>
  <c r="AH351" i="23" s="1"/>
  <c r="AI258" i="23"/>
  <c r="AH258" i="23" s="1"/>
  <c r="AI111" i="23"/>
  <c r="AH111" i="23" s="1"/>
  <c r="AI367" i="23"/>
  <c r="AH367" i="23" s="1"/>
  <c r="AI232" i="23"/>
  <c r="AH232" i="23" s="1"/>
  <c r="AI266" i="23"/>
  <c r="AH266" i="23" s="1"/>
  <c r="AI118" i="23"/>
  <c r="AH118" i="23" s="1"/>
  <c r="AI263" i="23"/>
  <c r="AH263" i="23" s="1"/>
  <c r="AI282" i="23"/>
  <c r="AH282" i="23" s="1"/>
  <c r="AI374" i="23"/>
  <c r="AH374" i="23" s="1"/>
  <c r="AI15" i="23"/>
  <c r="AI53" i="23"/>
  <c r="AH53" i="23" s="1"/>
  <c r="AI324" i="23"/>
  <c r="AH324" i="23" s="1"/>
  <c r="AI249" i="23"/>
  <c r="AH249" i="23" s="1"/>
  <c r="AI147" i="23"/>
  <c r="AH147" i="23" s="1"/>
  <c r="AI56" i="23"/>
  <c r="AH56" i="23" s="1"/>
  <c r="AI354" i="23"/>
  <c r="AH354" i="23" s="1"/>
  <c r="AI311" i="23"/>
  <c r="AH311" i="23" s="1"/>
  <c r="AI166" i="23"/>
  <c r="AH166" i="23" s="1"/>
  <c r="AI378" i="23"/>
  <c r="AH378" i="23" s="1"/>
  <c r="AI303" i="23"/>
  <c r="AH303" i="23" s="1"/>
  <c r="AI332" i="23"/>
  <c r="AH332" i="23" s="1"/>
  <c r="AI200" i="23"/>
  <c r="AH200" i="23" s="1"/>
  <c r="AI277" i="23"/>
  <c r="AH277" i="23" s="1"/>
  <c r="AI202" i="23"/>
  <c r="AH202" i="23" s="1"/>
  <c r="AI69" i="23"/>
  <c r="AH69" i="23" s="1"/>
  <c r="AI365" i="23"/>
  <c r="AH365" i="23" s="1"/>
  <c r="AI107" i="23"/>
  <c r="AH107" i="23" s="1"/>
  <c r="AI328" i="23"/>
  <c r="AH328" i="23" s="1"/>
  <c r="AI60" i="23"/>
  <c r="AH60" i="23" s="1"/>
  <c r="AI331" i="23"/>
  <c r="AH331" i="23" s="1"/>
  <c r="AI256" i="23"/>
  <c r="AH256" i="23" s="1"/>
  <c r="AI221" i="23"/>
  <c r="AH221" i="23" s="1"/>
  <c r="AI273" i="23"/>
  <c r="AH273" i="23" s="1"/>
  <c r="AI222" i="23"/>
  <c r="AH222" i="23" s="1"/>
  <c r="AI125" i="23"/>
  <c r="AH125" i="23" s="1"/>
  <c r="AI142" i="23"/>
  <c r="AH142" i="23" s="1"/>
  <c r="AI358" i="23"/>
  <c r="AH358" i="23" s="1"/>
  <c r="AI211" i="23"/>
  <c r="AH211" i="23" s="1"/>
  <c r="AI148" i="23"/>
  <c r="AH148" i="23" s="1"/>
  <c r="AI74" i="23"/>
  <c r="AH74" i="23" s="1"/>
  <c r="AI276" i="23"/>
  <c r="AH276" i="23" s="1"/>
  <c r="AI201" i="23"/>
  <c r="AH201" i="23" s="1"/>
  <c r="AI115" i="23"/>
  <c r="AH115" i="23" s="1"/>
  <c r="AI173" i="23"/>
  <c r="AH173" i="23" s="1"/>
  <c r="AI296" i="23"/>
  <c r="AH296" i="23" s="1"/>
  <c r="AI17" i="23"/>
  <c r="AH17" i="23" s="1"/>
  <c r="AI36" i="23"/>
  <c r="AH36" i="23" s="1"/>
  <c r="AI319" i="23"/>
  <c r="AH319" i="23" s="1"/>
  <c r="AI188" i="23"/>
  <c r="AH188" i="23" s="1"/>
  <c r="AI242" i="23"/>
  <c r="AH242" i="23" s="1"/>
  <c r="AI199" i="23"/>
  <c r="AH199" i="23" s="1"/>
  <c r="AI229" i="23"/>
  <c r="AH229" i="23" s="1"/>
  <c r="AI123" i="23"/>
  <c r="AH123" i="23" s="1"/>
  <c r="AI144" i="23"/>
  <c r="AH144" i="23" s="1"/>
  <c r="AI79" i="23"/>
  <c r="AH79" i="23" s="1"/>
  <c r="AI230" i="23"/>
  <c r="AH230" i="23" s="1"/>
  <c r="AI20" i="23"/>
  <c r="AH20" i="23" s="1"/>
  <c r="AI261" i="23"/>
  <c r="AH261" i="23" s="1"/>
  <c r="AI37" i="23"/>
  <c r="AH37" i="23" s="1"/>
  <c r="AI23" i="23"/>
  <c r="AH23" i="23" s="1"/>
  <c r="AI379" i="23"/>
  <c r="AI205" i="23"/>
  <c r="AH205" i="23" s="1"/>
  <c r="AI289" i="23"/>
  <c r="AH289" i="23" s="1"/>
  <c r="AI93" i="23"/>
  <c r="AH93" i="23" s="1"/>
  <c r="AI246" i="23"/>
  <c r="AH246" i="23" s="1"/>
  <c r="AI259" i="23"/>
  <c r="AH259" i="23" s="1"/>
  <c r="AI96" i="23"/>
  <c r="AH96" i="23" s="1"/>
  <c r="AI196" i="23"/>
  <c r="AH196" i="23" s="1"/>
  <c r="AI57" i="23"/>
  <c r="AH57" i="23" s="1"/>
  <c r="AI90" i="23"/>
  <c r="AH90" i="23" s="1"/>
  <c r="AI252" i="23"/>
  <c r="AH252" i="23" s="1"/>
  <c r="AI290" i="23"/>
  <c r="AH290" i="23" s="1"/>
  <c r="AI247" i="23"/>
  <c r="AH247" i="23" s="1"/>
  <c r="AI325" i="23"/>
  <c r="AH325" i="23" s="1"/>
  <c r="AI250" i="23"/>
  <c r="AH250" i="23" s="1"/>
  <c r="AI165" i="23"/>
  <c r="AH165" i="23" s="1"/>
  <c r="AI159" i="23"/>
  <c r="AH159" i="23" s="1"/>
  <c r="AI87" i="23"/>
  <c r="AH87" i="23" s="1"/>
  <c r="AI113" i="23"/>
  <c r="AH113" i="23" s="1"/>
  <c r="AI130" i="23"/>
  <c r="AH130" i="23" s="1"/>
  <c r="AI368" i="23"/>
  <c r="AH368" i="23" s="1"/>
  <c r="AI285" i="23"/>
  <c r="AH285" i="23" s="1"/>
  <c r="AI146" i="23"/>
  <c r="AH146" i="23" s="1"/>
  <c r="AI337" i="23"/>
  <c r="AH337" i="23" s="1"/>
  <c r="AI270" i="23"/>
  <c r="AH270" i="23" s="1"/>
  <c r="AI203" i="23"/>
  <c r="AH203" i="23" s="1"/>
  <c r="AI71" i="23"/>
  <c r="AH71" i="23" s="1"/>
  <c r="AI140" i="23"/>
  <c r="AH140" i="23" s="1"/>
  <c r="AI105" i="23"/>
  <c r="AH105" i="23" s="1"/>
  <c r="AI245" i="23"/>
  <c r="AH245" i="23" s="1"/>
  <c r="AI208" i="23"/>
  <c r="AH208" i="23" s="1"/>
  <c r="AI339" i="23"/>
  <c r="AH339" i="23" s="1"/>
  <c r="AI35" i="23"/>
  <c r="AH35" i="23" s="1"/>
  <c r="AI224" i="23"/>
  <c r="AH224" i="23" s="1"/>
  <c r="AI225" i="23"/>
  <c r="AH225" i="23" s="1"/>
  <c r="AI61" i="23"/>
  <c r="AH61" i="23" s="1"/>
  <c r="AI326" i="23"/>
  <c r="AH326" i="23" s="1"/>
  <c r="AI116" i="23"/>
  <c r="AH116" i="23" s="1"/>
  <c r="AI244" i="23"/>
  <c r="AH244" i="23" s="1"/>
  <c r="AI51" i="23"/>
  <c r="AH51" i="23" s="1"/>
  <c r="AI45" i="23"/>
  <c r="AH45" i="23" s="1"/>
  <c r="AI280" i="23"/>
  <c r="AH280" i="23" s="1"/>
  <c r="AI134" i="23"/>
  <c r="AH134" i="23" s="1"/>
  <c r="AI362" i="23"/>
  <c r="AH362" i="23" s="1"/>
  <c r="AI287" i="23"/>
  <c r="AH287" i="23" s="1"/>
  <c r="AI127" i="23"/>
  <c r="AH127" i="23" s="1"/>
  <c r="AI226" i="23"/>
  <c r="AH226" i="23" s="1"/>
  <c r="AI149" i="23"/>
  <c r="AH149" i="23" s="1"/>
  <c r="AI197" i="23"/>
  <c r="AH197" i="23" s="1"/>
  <c r="AI59" i="23"/>
  <c r="AH59" i="23" s="1"/>
  <c r="AI80" i="23"/>
  <c r="AH80" i="23" s="1"/>
  <c r="AI86" i="23"/>
  <c r="AH86" i="23" s="1"/>
  <c r="AI126" i="23"/>
  <c r="AH126" i="23" s="1"/>
  <c r="AI28" i="23"/>
  <c r="AH28" i="23" s="1"/>
  <c r="AI315" i="23"/>
  <c r="AH315" i="23" s="1"/>
  <c r="AI240" i="23"/>
  <c r="AH240" i="23" s="1"/>
  <c r="AI129" i="23"/>
  <c r="AH129" i="23" s="1"/>
  <c r="AI371" i="23"/>
  <c r="AH371" i="23" s="1"/>
  <c r="AI241" i="23"/>
  <c r="AH241" i="23" s="1"/>
  <c r="AI99" i="23"/>
  <c r="AH99" i="23" s="1"/>
  <c r="AI136" i="23"/>
  <c r="AH136" i="23" s="1"/>
  <c r="AI361" i="23"/>
  <c r="AH361" i="23" s="1"/>
  <c r="AI310" i="23"/>
  <c r="AH310" i="23" s="1"/>
  <c r="AI323" i="23"/>
  <c r="AH323" i="23" s="1"/>
  <c r="AI160" i="23"/>
  <c r="AH160" i="23" s="1"/>
  <c r="AI260" i="23"/>
  <c r="AH260" i="23" s="1"/>
  <c r="AI185" i="23"/>
  <c r="AH185" i="23" s="1"/>
  <c r="AI16" i="23"/>
  <c r="AH16" i="23" s="1"/>
  <c r="AI316" i="23"/>
  <c r="AH316" i="23" s="1"/>
  <c r="AI322" i="23"/>
  <c r="AH322" i="23" s="1"/>
  <c r="AI279" i="23"/>
  <c r="AH279" i="23" s="1"/>
  <c r="AI38" i="23"/>
  <c r="AH38" i="23" s="1"/>
  <c r="AI314" i="23"/>
  <c r="AH314" i="23" s="1"/>
  <c r="AI239" i="23"/>
  <c r="AH239" i="23" s="1"/>
  <c r="AI268" i="23"/>
  <c r="AH268" i="23" s="1"/>
  <c r="AI151" i="23"/>
  <c r="AH151" i="23" s="1"/>
  <c r="AI213" i="23"/>
  <c r="AH213" i="23" s="1"/>
  <c r="AI91" i="23"/>
  <c r="AH91" i="23" s="1"/>
  <c r="AI112" i="23"/>
  <c r="AH112" i="23" s="1"/>
  <c r="AI333" i="23"/>
  <c r="AH333" i="23" s="1"/>
  <c r="AI43" i="23"/>
  <c r="AH43" i="23" s="1"/>
  <c r="AI369" i="23"/>
  <c r="AH369" i="23" s="1"/>
  <c r="AI334" i="23"/>
  <c r="AH334" i="23" s="1"/>
  <c r="AI267" i="23"/>
  <c r="AH267" i="23" s="1"/>
  <c r="AI192" i="23"/>
  <c r="AH192" i="23" s="1"/>
  <c r="AI350" i="23"/>
  <c r="AH350" i="23" s="1"/>
  <c r="AI176" i="23"/>
  <c r="AH176" i="23" s="1"/>
  <c r="AI75" i="23"/>
  <c r="AH75" i="23" s="1"/>
  <c r="AI366" i="23"/>
  <c r="AH366" i="23" s="1"/>
  <c r="AI329" i="23"/>
  <c r="AH329" i="23" s="1"/>
  <c r="AI291" i="23"/>
  <c r="AH291" i="23" s="1"/>
  <c r="AI228" i="23"/>
  <c r="AH228" i="23" s="1"/>
  <c r="AI154" i="23"/>
  <c r="AH154" i="23" s="1"/>
  <c r="AI306" i="23"/>
  <c r="AH306" i="23" s="1"/>
  <c r="AI357" i="23"/>
  <c r="AH357" i="23" s="1"/>
  <c r="AI320" i="23"/>
  <c r="AH320" i="23" s="1"/>
  <c r="AI364" i="23"/>
  <c r="AH364" i="23" s="1"/>
  <c r="AI216" i="23"/>
  <c r="AH216" i="23" s="1"/>
  <c r="AI309" i="23"/>
  <c r="AH309" i="23" s="1"/>
  <c r="AI234" i="23"/>
  <c r="AH234" i="23" s="1"/>
  <c r="AI133" i="23"/>
  <c r="AH133" i="23" s="1"/>
  <c r="AI54" i="23"/>
  <c r="AH54" i="23" s="1"/>
  <c r="AI139" i="23"/>
  <c r="AH139" i="23" s="1"/>
  <c r="AI344" i="23"/>
  <c r="AH344" i="23" s="1"/>
  <c r="AI124" i="23"/>
  <c r="AH124" i="23" s="1"/>
  <c r="AI363" i="23"/>
  <c r="AH363" i="23" s="1"/>
  <c r="AI288" i="23"/>
  <c r="AH288" i="23" s="1"/>
  <c r="AI237" i="23"/>
  <c r="AH237" i="23" s="1"/>
  <c r="AI305" i="23"/>
  <c r="AH305" i="23" s="1"/>
  <c r="AI254" i="23"/>
  <c r="AH254" i="23" s="1"/>
  <c r="AI187" i="23"/>
  <c r="AH187" i="23" s="1"/>
  <c r="AI39" i="23"/>
  <c r="AH39" i="23" s="1"/>
  <c r="AI44" i="23"/>
  <c r="AH44" i="23" s="1"/>
  <c r="AI243" i="23"/>
  <c r="AH243" i="23" s="1"/>
  <c r="AI180" i="23"/>
  <c r="AH180" i="23" s="1"/>
  <c r="AI106" i="23"/>
  <c r="AH106" i="23" s="1"/>
  <c r="AI308" i="23"/>
  <c r="AH308" i="23" s="1"/>
  <c r="AI233" i="23"/>
  <c r="AH233" i="23" s="1"/>
  <c r="AI179" i="23"/>
  <c r="AH179" i="23" s="1"/>
  <c r="AI195" i="23"/>
  <c r="AH195" i="23" s="1"/>
  <c r="AI181" i="23"/>
  <c r="AH181" i="23" s="1"/>
  <c r="AI100" i="23"/>
  <c r="AH100" i="23" s="1"/>
  <c r="AI204" i="23"/>
  <c r="AH204" i="23" s="1"/>
  <c r="AI215" i="23"/>
  <c r="AH215" i="23" s="1"/>
  <c r="AI132" i="23"/>
  <c r="AH132" i="23" s="1"/>
  <c r="AI24" i="23"/>
  <c r="AH24" i="23" s="1"/>
  <c r="AI341" i="23"/>
  <c r="AH341" i="23" s="1"/>
  <c r="AI191" i="23"/>
  <c r="AH191" i="23" s="1"/>
  <c r="AI171" i="23"/>
  <c r="AH171" i="23" s="1"/>
  <c r="AI18" i="23"/>
  <c r="AH18" i="23" s="1"/>
  <c r="AI207" i="23"/>
  <c r="AH207" i="23" s="1"/>
  <c r="AI236" i="23"/>
  <c r="AH236" i="23" s="1"/>
  <c r="AI119" i="23"/>
  <c r="AH119" i="23" s="1"/>
  <c r="AI177" i="23"/>
  <c r="AH177" i="23" s="1"/>
  <c r="AI27" i="23"/>
  <c r="AH27" i="23" s="1"/>
  <c r="AI48" i="23"/>
  <c r="AH48" i="23" s="1"/>
  <c r="AI301" i="23"/>
  <c r="AH301" i="23" s="1"/>
  <c r="AI178" i="23"/>
  <c r="AH178" i="23" s="1"/>
  <c r="AI353" i="23"/>
  <c r="AH353" i="23" s="1"/>
  <c r="AI302" i="23"/>
  <c r="AH302" i="23" s="1"/>
  <c r="AI235" i="23"/>
  <c r="AH235" i="23" s="1"/>
  <c r="AI135" i="23"/>
  <c r="AH135" i="23" s="1"/>
  <c r="AI33" i="23"/>
  <c r="AH33" i="23" s="1"/>
  <c r="AI137" i="23"/>
  <c r="AH137" i="23" s="1"/>
  <c r="AI67" i="23"/>
  <c r="AH67" i="23" s="1"/>
  <c r="AI104" i="23"/>
  <c r="AH104" i="23" s="1"/>
  <c r="AI345" i="23"/>
  <c r="AH345" i="23" s="1"/>
  <c r="AI262" i="23"/>
  <c r="AH262" i="23" s="1"/>
  <c r="AI77" i="23"/>
  <c r="AH77" i="23" s="1"/>
  <c r="AI52" i="23"/>
  <c r="AH52" i="23" s="1"/>
  <c r="AI359" i="23"/>
  <c r="AH359" i="23" s="1"/>
  <c r="AI175" i="23"/>
  <c r="AH175" i="23" s="1"/>
  <c r="AI25" i="23"/>
  <c r="AH25" i="23" s="1"/>
  <c r="AI58" i="23"/>
  <c r="AH58" i="23" s="1"/>
  <c r="AI88" i="23"/>
  <c r="AH88" i="23" s="1"/>
  <c r="AI248" i="23"/>
  <c r="AH248" i="23" s="1"/>
  <c r="AI373" i="23"/>
  <c r="AH373" i="23" s="1"/>
  <c r="AI298" i="23"/>
  <c r="AH298" i="23" s="1"/>
  <c r="AI223" i="23"/>
  <c r="AH223" i="23" s="1"/>
  <c r="AI182" i="23"/>
  <c r="AH182" i="23" s="1"/>
  <c r="AI194" i="23"/>
  <c r="AH194" i="23" s="1"/>
  <c r="AI32" i="23"/>
  <c r="AH32" i="23" s="1"/>
  <c r="AI81" i="23"/>
  <c r="AH81" i="23" s="1"/>
  <c r="AI98" i="23"/>
  <c r="AH98" i="23" s="1"/>
  <c r="AI352" i="23"/>
  <c r="AH352" i="23" s="1"/>
  <c r="AI317" i="23"/>
  <c r="AH317" i="23" s="1"/>
  <c r="AI62" i="23"/>
  <c r="AH62" i="23" s="1"/>
  <c r="AI318" i="23"/>
  <c r="AH318" i="23" s="1"/>
  <c r="AI251" i="23"/>
  <c r="AH251" i="23" s="1"/>
  <c r="AI167" i="23"/>
  <c r="AH167" i="23" s="1"/>
  <c r="AI172" i="23"/>
  <c r="AH172" i="23" s="1"/>
  <c r="AI307" i="23"/>
  <c r="AH307" i="23" s="1"/>
  <c r="AI169" i="23"/>
  <c r="AH169" i="23" s="1"/>
  <c r="AI170" i="23"/>
  <c r="AH170" i="23" s="1"/>
  <c r="AI372" i="23"/>
  <c r="AH372" i="23" s="1"/>
  <c r="AI297" i="23"/>
  <c r="AH297" i="23" s="1"/>
  <c r="AI183" i="23"/>
  <c r="AH183" i="23" s="1"/>
  <c r="AI313" i="23"/>
  <c r="AH313" i="23" s="1"/>
  <c r="AI184" i="23"/>
  <c r="AH184" i="23" s="1"/>
  <c r="AI343" i="23"/>
  <c r="AH343" i="23" s="1"/>
  <c r="AI186" i="23"/>
  <c r="AH186" i="23" s="1"/>
  <c r="AI31" i="23"/>
  <c r="AH31" i="23" s="1"/>
  <c r="AI156" i="23"/>
  <c r="AH156" i="23" s="1"/>
  <c r="AI304" i="23"/>
  <c r="AH304" i="23" s="1"/>
  <c r="AI82" i="23"/>
  <c r="AH82" i="23" s="1"/>
  <c r="AI42" i="23"/>
  <c r="AH42" i="23" s="1"/>
  <c r="AI153" i="23"/>
  <c r="AH153" i="23" s="1"/>
  <c r="AI150" i="23"/>
  <c r="AH150" i="23" s="1"/>
  <c r="AI158" i="23"/>
  <c r="AH158" i="23" s="1"/>
  <c r="AI92" i="23"/>
  <c r="AH92" i="23" s="1"/>
  <c r="AI347" i="23"/>
  <c r="AH347" i="23" s="1"/>
  <c r="AI272" i="23"/>
  <c r="AH272" i="23" s="1"/>
  <c r="AI161" i="23"/>
  <c r="AH161" i="23" s="1"/>
  <c r="AI50" i="23"/>
  <c r="AH50" i="23" s="1"/>
  <c r="AI257" i="23"/>
  <c r="AH257" i="23" s="1"/>
  <c r="AI163" i="23"/>
  <c r="AH163" i="23" s="1"/>
  <c r="AI29" i="23"/>
  <c r="AH29" i="23" s="1"/>
  <c r="AI46" i="23"/>
  <c r="AH46" i="23" s="1"/>
  <c r="AI342" i="23"/>
  <c r="AH342" i="23" s="1"/>
  <c r="AI355" i="23"/>
  <c r="AH355" i="23" s="1"/>
  <c r="AI21" i="23"/>
  <c r="AH21" i="23" s="1"/>
  <c r="AI292" i="23"/>
  <c r="AH292" i="23" s="1"/>
  <c r="AI217" i="23"/>
  <c r="AH217" i="23" s="1"/>
  <c r="AI83" i="23"/>
  <c r="AH83" i="23" s="1"/>
  <c r="AI348" i="23"/>
  <c r="AH348" i="23" s="1"/>
  <c r="AI338" i="23"/>
  <c r="AH338" i="23" s="1"/>
  <c r="AI295" i="23"/>
  <c r="AH295" i="23" s="1"/>
  <c r="AI102" i="23"/>
  <c r="AH102" i="23" s="1"/>
  <c r="AI346" i="23"/>
  <c r="AH346" i="23" s="1"/>
  <c r="AI271" i="23"/>
  <c r="AH271" i="23" s="1"/>
  <c r="AI284" i="23"/>
  <c r="AH284" i="23" s="1"/>
  <c r="AI376" i="23"/>
  <c r="AH376" i="23" s="1"/>
  <c r="AI283" i="23"/>
  <c r="AH283" i="23" s="1"/>
  <c r="AI97" i="23"/>
  <c r="AH97" i="23" s="1"/>
  <c r="AI193" i="23"/>
  <c r="AH193" i="23" s="1"/>
  <c r="AI299" i="23"/>
  <c r="AH299" i="23" s="1"/>
  <c r="AI189" i="23"/>
  <c r="AH189" i="23" s="1"/>
  <c r="AI190" i="23"/>
  <c r="AH190" i="23" s="1"/>
  <c r="AI78" i="23"/>
  <c r="AH78" i="23" s="1"/>
  <c r="AI141" i="23"/>
  <c r="AH141" i="23" s="1"/>
  <c r="AI206" i="23"/>
  <c r="AH206" i="23" s="1"/>
  <c r="AI110" i="23"/>
  <c r="AH110" i="23" s="1"/>
  <c r="I274" i="22"/>
  <c r="H274" i="23" s="1"/>
  <c r="J274" i="22"/>
  <c r="I29" i="22"/>
  <c r="G29" i="22"/>
  <c r="CC29" i="6" s="1"/>
  <c r="AA29" i="22"/>
  <c r="Z29" i="22" s="1"/>
  <c r="Y29" i="22" s="1"/>
  <c r="J74" i="22"/>
  <c r="B119" i="23"/>
  <c r="D119" i="23" s="1"/>
  <c r="E119" i="23" s="1"/>
  <c r="F119" i="23" s="1"/>
  <c r="B88" i="23"/>
  <c r="D88" i="23" s="1"/>
  <c r="E88" i="23" s="1"/>
  <c r="F88" i="23" s="1"/>
  <c r="I196" i="22"/>
  <c r="H196" i="23" s="1"/>
  <c r="I196" i="23" s="1"/>
  <c r="J196" i="22"/>
  <c r="J138" i="22"/>
  <c r="I138" i="22"/>
  <c r="H138" i="23" s="1"/>
  <c r="J319" i="22"/>
  <c r="I319" i="22"/>
  <c r="H319" i="23" s="1"/>
  <c r="I319" i="23" s="1"/>
  <c r="I227" i="22"/>
  <c r="H227" i="23" s="1"/>
  <c r="I227" i="23" s="1"/>
  <c r="J227" i="22"/>
  <c r="J95" i="22"/>
  <c r="I95" i="22"/>
  <c r="I108" i="22"/>
  <c r="H108" i="23" s="1"/>
  <c r="J108" i="22"/>
  <c r="W60" i="22"/>
  <c r="D60" i="22"/>
  <c r="E60" i="22" s="1"/>
  <c r="F60" i="22" s="1"/>
  <c r="J234" i="22"/>
  <c r="I234" i="22"/>
  <c r="H234" i="23" s="1"/>
  <c r="I346" i="22"/>
  <c r="H346" i="23" s="1"/>
  <c r="J346" i="22"/>
  <c r="I134" i="22"/>
  <c r="H134" i="23" s="1"/>
  <c r="J134" i="22"/>
  <c r="I294" i="22"/>
  <c r="H294" i="23" s="1"/>
  <c r="J294" i="22"/>
  <c r="J58" i="22"/>
  <c r="I58" i="22"/>
  <c r="J340" i="22"/>
  <c r="I340" i="22"/>
  <c r="H340" i="23" s="1"/>
  <c r="J168" i="22"/>
  <c r="I168" i="22"/>
  <c r="J354" i="22"/>
  <c r="I354" i="22"/>
  <c r="H354" i="23" s="1"/>
  <c r="J317" i="22"/>
  <c r="I317" i="22"/>
  <c r="H317" i="23" s="1"/>
  <c r="I194" i="22"/>
  <c r="H194" i="23" s="1"/>
  <c r="J194" i="22"/>
  <c r="I137" i="22"/>
  <c r="H137" i="23" s="1"/>
  <c r="J137" i="22"/>
  <c r="I45" i="22"/>
  <c r="H45" i="23" s="1"/>
  <c r="J45" i="22"/>
  <c r="J298" i="22"/>
  <c r="I298" i="22"/>
  <c r="H298" i="23" s="1"/>
  <c r="J206" i="22"/>
  <c r="I206" i="22"/>
  <c r="I348" i="22"/>
  <c r="H348" i="23" s="1"/>
  <c r="J348" i="22"/>
  <c r="J329" i="22"/>
  <c r="I329" i="22"/>
  <c r="H329" i="23" s="1"/>
  <c r="I145" i="22"/>
  <c r="J145" i="22"/>
  <c r="J303" i="22"/>
  <c r="I303" i="22"/>
  <c r="H303" i="23" s="1"/>
  <c r="J70" i="22"/>
  <c r="I70" i="22"/>
  <c r="H70" i="23" s="1"/>
  <c r="J269" i="22"/>
  <c r="I269" i="22"/>
  <c r="I181" i="22"/>
  <c r="H181" i="23" s="1"/>
  <c r="J181" i="22"/>
  <c r="J120" i="22"/>
  <c r="I120" i="22"/>
  <c r="J270" i="22"/>
  <c r="I270" i="22"/>
  <c r="H270" i="23" s="1"/>
  <c r="J368" i="22"/>
  <c r="I368" i="22"/>
  <c r="H368" i="23" s="1"/>
  <c r="J80" i="22"/>
  <c r="I80" i="22"/>
  <c r="H80" i="23" s="1"/>
  <c r="I325" i="22"/>
  <c r="H325" i="23" s="1"/>
  <c r="J325" i="22"/>
  <c r="I202" i="22"/>
  <c r="H202" i="23" s="1"/>
  <c r="J202" i="22"/>
  <c r="I47" i="22"/>
  <c r="H47" i="23" s="1"/>
  <c r="J47" i="22"/>
  <c r="I359" i="22"/>
  <c r="H359" i="23" s="1"/>
  <c r="J359" i="22"/>
  <c r="J114" i="22"/>
  <c r="I114" i="22"/>
  <c r="H114" i="23" s="1"/>
  <c r="J341" i="22"/>
  <c r="I341" i="22"/>
  <c r="H341" i="23" s="1"/>
  <c r="I211" i="22"/>
  <c r="H211" i="23" s="1"/>
  <c r="J211" i="22"/>
  <c r="J64" i="22"/>
  <c r="I64" i="22"/>
  <c r="I131" i="22"/>
  <c r="H131" i="23" s="1"/>
  <c r="J131" i="22"/>
  <c r="J14" i="19"/>
  <c r="Z11" i="17"/>
  <c r="Z5" i="17" s="1"/>
  <c r="H14" i="19" s="1"/>
  <c r="AA11" i="17"/>
  <c r="AA5" i="17" s="1"/>
  <c r="I14" i="19" s="1"/>
  <c r="AK4" i="17"/>
  <c r="R14" i="19" s="1"/>
  <c r="N15" i="19" s="1"/>
  <c r="AM13" i="17"/>
  <c r="J204" i="22"/>
  <c r="I204" i="22"/>
  <c r="H204" i="23" s="1"/>
  <c r="I105" i="22"/>
  <c r="J105" i="22"/>
  <c r="I343" i="22"/>
  <c r="H343" i="23" s="1"/>
  <c r="J343" i="22"/>
  <c r="I121" i="22"/>
  <c r="H121" i="23" s="1"/>
  <c r="J121" i="22"/>
  <c r="J259" i="22"/>
  <c r="I259" i="22"/>
  <c r="H259" i="23" s="1"/>
  <c r="I183" i="22"/>
  <c r="H183" i="23" s="1"/>
  <c r="J183" i="22"/>
  <c r="I309" i="22"/>
  <c r="J309" i="22"/>
  <c r="J132" i="22"/>
  <c r="I132" i="22"/>
  <c r="H132" i="23" s="1"/>
  <c r="I139" i="22"/>
  <c r="H139" i="23" s="1"/>
  <c r="J139" i="22"/>
  <c r="I184" i="22"/>
  <c r="H184" i="23" s="1"/>
  <c r="J184" i="22"/>
  <c r="I39" i="22"/>
  <c r="J39" i="22"/>
  <c r="I192" i="22"/>
  <c r="H192" i="23" s="1"/>
  <c r="J192" i="22"/>
  <c r="J261" i="22"/>
  <c r="I261" i="22"/>
  <c r="H261" i="23" s="1"/>
  <c r="J296" i="22"/>
  <c r="I296" i="22"/>
  <c r="H296" i="23" s="1"/>
  <c r="I151" i="22"/>
  <c r="J151" i="22"/>
  <c r="J174" i="22"/>
  <c r="I174" i="22"/>
  <c r="H174" i="23" s="1"/>
  <c r="I316" i="22"/>
  <c r="H316" i="23" s="1"/>
  <c r="J316" i="22"/>
  <c r="J295" i="22"/>
  <c r="I295" i="22"/>
  <c r="H295" i="23" s="1"/>
  <c r="I67" i="22"/>
  <c r="J67" i="22"/>
  <c r="I251" i="22"/>
  <c r="J251" i="22"/>
  <c r="AA272" i="22"/>
  <c r="Z272" i="22" s="1"/>
  <c r="Y272" i="22" s="1"/>
  <c r="H272" i="22"/>
  <c r="G272" i="22"/>
  <c r="CC272" i="6" s="1"/>
  <c r="I82" i="22"/>
  <c r="H82" i="23" s="1"/>
  <c r="J82" i="22"/>
  <c r="J337" i="22"/>
  <c r="I337" i="22"/>
  <c r="J20" i="22"/>
  <c r="I20" i="22"/>
  <c r="H20" i="23" s="1"/>
  <c r="I147" i="22"/>
  <c r="H147" i="23" s="1"/>
  <c r="J147" i="22"/>
  <c r="I91" i="22"/>
  <c r="H91" i="23" s="1"/>
  <c r="J91" i="22"/>
  <c r="J283" i="22"/>
  <c r="I283" i="22"/>
  <c r="H283" i="23" s="1"/>
  <c r="J98" i="22"/>
  <c r="I98" i="22"/>
  <c r="J189" i="22"/>
  <c r="I189" i="22"/>
  <c r="H189" i="23" s="1"/>
  <c r="I31" i="22"/>
  <c r="H31" i="23" s="1"/>
  <c r="J31" i="22"/>
  <c r="I327" i="22"/>
  <c r="H327" i="23" s="1"/>
  <c r="J327" i="22"/>
  <c r="I265" i="22"/>
  <c r="H265" i="23" s="1"/>
  <c r="J265" i="22"/>
  <c r="I223" i="22"/>
  <c r="J223" i="22"/>
  <c r="J116" i="22"/>
  <c r="I116" i="22"/>
  <c r="I249" i="22"/>
  <c r="J249" i="22"/>
  <c r="I16" i="22"/>
  <c r="H16" i="23" s="1"/>
  <c r="J16" i="22"/>
  <c r="J166" i="22"/>
  <c r="I166" i="22"/>
  <c r="J185" i="22"/>
  <c r="I185" i="22"/>
  <c r="H185" i="23" s="1"/>
  <c r="I164" i="22"/>
  <c r="J164" i="22"/>
  <c r="I291" i="22"/>
  <c r="H291" i="23" s="1"/>
  <c r="J291" i="22"/>
  <c r="J89" i="22"/>
  <c r="I89" i="22"/>
  <c r="H89" i="23" s="1"/>
  <c r="G258" i="22"/>
  <c r="CC258" i="6" s="1"/>
  <c r="AA258" i="22"/>
  <c r="Z258" i="22" s="1"/>
  <c r="Y258" i="22" s="1"/>
  <c r="H258" i="22"/>
  <c r="I254" i="22"/>
  <c r="J254" i="22"/>
  <c r="J107" i="22"/>
  <c r="I107" i="22"/>
  <c r="H107" i="23" s="1"/>
  <c r="I292" i="22"/>
  <c r="H292" i="23" s="1"/>
  <c r="J292" i="22"/>
  <c r="I182" i="22"/>
  <c r="H182" i="23" s="1"/>
  <c r="J182" i="22"/>
  <c r="I57" i="22"/>
  <c r="H57" i="23" s="1"/>
  <c r="J57" i="22"/>
  <c r="I156" i="22"/>
  <c r="H156" i="23" s="1"/>
  <c r="J156" i="22"/>
  <c r="J306" i="22"/>
  <c r="I306" i="22"/>
  <c r="H306" i="23" s="1"/>
  <c r="I125" i="22"/>
  <c r="H125" i="23" s="1"/>
  <c r="J125" i="22"/>
  <c r="J49" i="22"/>
  <c r="I49" i="22"/>
  <c r="H49" i="23" s="1"/>
  <c r="I301" i="22"/>
  <c r="J301" i="22"/>
  <c r="J159" i="22"/>
  <c r="I159" i="22"/>
  <c r="H159" i="23" s="1"/>
  <c r="D180" i="22"/>
  <c r="E180" i="22" s="1"/>
  <c r="F180" i="22" s="1"/>
  <c r="W180" i="22"/>
  <c r="I21" i="22"/>
  <c r="J21" i="22"/>
  <c r="I203" i="22"/>
  <c r="H203" i="23" s="1"/>
  <c r="J203" i="22"/>
  <c r="I84" i="22"/>
  <c r="H84" i="23" s="1"/>
  <c r="J84" i="22"/>
  <c r="I243" i="22"/>
  <c r="H243" i="23" s="1"/>
  <c r="J243" i="22"/>
  <c r="I335" i="22"/>
  <c r="H335" i="23" s="1"/>
  <c r="J335" i="22"/>
  <c r="I157" i="22"/>
  <c r="H157" i="23" s="1"/>
  <c r="J157" i="22"/>
  <c r="I63" i="22"/>
  <c r="H63" i="23" s="1"/>
  <c r="J63" i="22"/>
  <c r="I277" i="22"/>
  <c r="H277" i="23" s="1"/>
  <c r="J277" i="22"/>
  <c r="J176" i="22"/>
  <c r="I176" i="22"/>
  <c r="H176" i="23" s="1"/>
  <c r="I191" i="22"/>
  <c r="H191" i="23" s="1"/>
  <c r="J191" i="22"/>
  <c r="J360" i="22"/>
  <c r="I360" i="22"/>
  <c r="I315" i="22"/>
  <c r="H315" i="23" s="1"/>
  <c r="J315" i="22"/>
  <c r="J110" i="22"/>
  <c r="I110" i="22"/>
  <c r="H110" i="23" s="1"/>
  <c r="J217" i="22"/>
  <c r="I217" i="22"/>
  <c r="H217" i="23" s="1"/>
  <c r="J48" i="22"/>
  <c r="I48" i="22"/>
  <c r="I375" i="22"/>
  <c r="J375" i="22"/>
  <c r="I235" i="22"/>
  <c r="H235" i="23" s="1"/>
  <c r="J235" i="22"/>
  <c r="I93" i="22"/>
  <c r="H93" i="23" s="1"/>
  <c r="J93" i="22"/>
  <c r="I262" i="22"/>
  <c r="J262" i="22"/>
  <c r="B66" i="19"/>
  <c r="V380" i="20"/>
  <c r="V382" i="20" s="1"/>
  <c r="B15" i="20"/>
  <c r="J122" i="22"/>
  <c r="I122" i="22"/>
  <c r="I90" i="22"/>
  <c r="J104" i="22"/>
  <c r="I104" i="22"/>
  <c r="J282" i="22"/>
  <c r="I282" i="22"/>
  <c r="H282" i="23" s="1"/>
  <c r="I266" i="22"/>
  <c r="H266" i="23" s="1"/>
  <c r="J266" i="22"/>
  <c r="J24" i="22"/>
  <c r="I24" i="22"/>
  <c r="J85" i="22"/>
  <c r="I85" i="22"/>
  <c r="I169" i="22"/>
  <c r="J169" i="22"/>
  <c r="I378" i="22"/>
  <c r="H378" i="23" s="1"/>
  <c r="J378" i="22"/>
  <c r="I225" i="22"/>
  <c r="J225" i="22"/>
  <c r="J369" i="22"/>
  <c r="I369" i="22"/>
  <c r="I34" i="22"/>
  <c r="H34" i="23" s="1"/>
  <c r="J34" i="22"/>
  <c r="W210" i="22"/>
  <c r="D210" i="22"/>
  <c r="E210" i="22" s="1"/>
  <c r="F210" i="22" s="1"/>
  <c r="I352" i="22"/>
  <c r="J352" i="22"/>
  <c r="D333" i="22"/>
  <c r="E333" i="22" s="1"/>
  <c r="F333" i="22" s="1"/>
  <c r="W333" i="22"/>
  <c r="J144" i="22"/>
  <c r="I144" i="22"/>
  <c r="H144" i="23" s="1"/>
  <c r="J73" i="22"/>
  <c r="I73" i="22"/>
  <c r="H73" i="23" s="1"/>
  <c r="J285" i="22"/>
  <c r="I285" i="22"/>
  <c r="H285" i="23" s="1"/>
  <c r="J170" i="22"/>
  <c r="I170" i="22"/>
  <c r="H170" i="23" s="1"/>
  <c r="I150" i="22"/>
  <c r="H150" i="23" s="1"/>
  <c r="J150" i="22"/>
  <c r="I161" i="22"/>
  <c r="H161" i="23" s="1"/>
  <c r="J161" i="22"/>
  <c r="G383" i="18"/>
  <c r="G12" i="18" s="1"/>
  <c r="G381" i="18"/>
  <c r="G382" i="18"/>
  <c r="F11" i="18"/>
  <c r="AB9" i="18"/>
  <c r="G15" i="19"/>
  <c r="I260" i="22"/>
  <c r="H260" i="23" s="1"/>
  <c r="J260" i="22"/>
  <c r="J153" i="22"/>
  <c r="I153" i="22"/>
  <c r="H153" i="23" s="1"/>
  <c r="I118" i="22"/>
  <c r="H118" i="23" s="1"/>
  <c r="J118" i="22"/>
  <c r="J318" i="22"/>
  <c r="I318" i="22"/>
  <c r="H318" i="23" s="1"/>
  <c r="J160" i="22"/>
  <c r="I160" i="22"/>
  <c r="H160" i="23" s="1"/>
  <c r="J310" i="22"/>
  <c r="I310" i="22"/>
  <c r="H310" i="23" s="1"/>
  <c r="J293" i="22"/>
  <c r="I293" i="22"/>
  <c r="H293" i="23" s="1"/>
  <c r="I141" i="22"/>
  <c r="H141" i="23" s="1"/>
  <c r="J141" i="22"/>
  <c r="J331" i="22"/>
  <c r="I331" i="22"/>
  <c r="H331" i="23" s="1"/>
  <c r="I142" i="22"/>
  <c r="H142" i="23" s="1"/>
  <c r="J142" i="22"/>
  <c r="I46" i="22"/>
  <c r="J46" i="22"/>
  <c r="J237" i="22"/>
  <c r="I237" i="22"/>
  <c r="H237" i="23" s="1"/>
  <c r="J239" i="22"/>
  <c r="I239" i="22"/>
  <c r="I78" i="22"/>
  <c r="H78" i="23" s="1"/>
  <c r="J78" i="22"/>
  <c r="J205" i="22"/>
  <c r="I205" i="22"/>
  <c r="H205" i="23" s="1"/>
  <c r="I33" i="22"/>
  <c r="H33" i="23" s="1"/>
  <c r="J33" i="22"/>
  <c r="I102" i="22"/>
  <c r="H102" i="23" s="1"/>
  <c r="J102" i="22"/>
  <c r="I377" i="22"/>
  <c r="H377" i="23" s="1"/>
  <c r="J377" i="22"/>
  <c r="I68" i="22"/>
  <c r="H68" i="23" s="1"/>
  <c r="J68" i="22"/>
  <c r="I198" i="22"/>
  <c r="H198" i="23" s="1"/>
  <c r="J198" i="22"/>
  <c r="J175" i="22"/>
  <c r="I175" i="22"/>
  <c r="W380" i="22"/>
  <c r="D380" i="22"/>
  <c r="E380" i="22" s="1"/>
  <c r="F380" i="22" s="1"/>
  <c r="J83" i="22"/>
  <c r="I83" i="22"/>
  <c r="I238" i="22"/>
  <c r="H238" i="23" s="1"/>
  <c r="J238" i="22"/>
  <c r="J92" i="22"/>
  <c r="I92" i="22"/>
  <c r="J216" i="22"/>
  <c r="I216" i="22"/>
  <c r="H216" i="23" s="1"/>
  <c r="I23" i="22"/>
  <c r="H23" i="23" s="1"/>
  <c r="J23" i="22"/>
  <c r="J358" i="22"/>
  <c r="I358" i="22"/>
  <c r="J275" i="22"/>
  <c r="I275" i="22"/>
  <c r="H275" i="23" s="1"/>
  <c r="J133" i="22"/>
  <c r="I133" i="22"/>
  <c r="H133" i="23" s="1"/>
  <c r="I155" i="22"/>
  <c r="H155" i="23" s="1"/>
  <c r="J155" i="22"/>
  <c r="J167" i="22"/>
  <c r="I167" i="22"/>
  <c r="H167" i="23" s="1"/>
  <c r="J106" i="22"/>
  <c r="I106" i="22"/>
  <c r="I19" i="22"/>
  <c r="H19" i="23" s="1"/>
  <c r="J19" i="22"/>
  <c r="J30" i="22"/>
  <c r="I30" i="22"/>
  <c r="H30" i="23" s="1"/>
  <c r="J263" i="22"/>
  <c r="I263" i="22"/>
  <c r="H263" i="23" s="1"/>
  <c r="I179" i="22"/>
  <c r="J179" i="22"/>
  <c r="J72" i="22"/>
  <c r="I72" i="22"/>
  <c r="H72" i="23" s="1"/>
  <c r="I69" i="22"/>
  <c r="H69" i="23" s="1"/>
  <c r="J69" i="22"/>
  <c r="J87" i="22"/>
  <c r="I87" i="22"/>
  <c r="H87" i="23" s="1"/>
  <c r="I373" i="22"/>
  <c r="H373" i="23" s="1"/>
  <c r="J373" i="22"/>
  <c r="I220" i="22"/>
  <c r="H220" i="23" s="1"/>
  <c r="J220" i="22"/>
  <c r="J370" i="22"/>
  <c r="I370" i="22"/>
  <c r="H370" i="23" s="1"/>
  <c r="I36" i="22"/>
  <c r="H36" i="23" s="1"/>
  <c r="J36" i="22"/>
  <c r="J349" i="22"/>
  <c r="I349" i="22"/>
  <c r="J51" i="22"/>
  <c r="I51" i="22"/>
  <c r="H51" i="23" s="1"/>
  <c r="J154" i="22"/>
  <c r="I154" i="22"/>
  <c r="H154" i="23" s="1"/>
  <c r="I299" i="22"/>
  <c r="H299" i="23" s="1"/>
  <c r="J299" i="22"/>
  <c r="J326" i="22"/>
  <c r="I326" i="22"/>
  <c r="H326" i="23" s="1"/>
  <c r="I128" i="22"/>
  <c r="J128" i="22"/>
  <c r="J37" i="22"/>
  <c r="I37" i="22"/>
  <c r="H37" i="23" s="1"/>
  <c r="I148" i="22"/>
  <c r="J148" i="22"/>
  <c r="J245" i="22"/>
  <c r="I245" i="22"/>
  <c r="H245" i="23" s="1"/>
  <c r="I94" i="22"/>
  <c r="J94" i="22"/>
  <c r="I280" i="22"/>
  <c r="H280" i="23" s="1"/>
  <c r="J280" i="22"/>
  <c r="I324" i="22"/>
  <c r="H324" i="23" s="1"/>
  <c r="J324" i="22"/>
  <c r="J117" i="22"/>
  <c r="I117" i="22"/>
  <c r="H117" i="23" s="1"/>
  <c r="J136" i="22"/>
  <c r="I136" i="22"/>
  <c r="I129" i="22"/>
  <c r="H129" i="23" s="1"/>
  <c r="J129" i="22"/>
  <c r="J158" i="22"/>
  <c r="I158" i="22"/>
  <c r="I187" i="22"/>
  <c r="H187" i="23" s="1"/>
  <c r="J187" i="22"/>
  <c r="AL13" i="17"/>
  <c r="AJ3" i="17"/>
  <c r="O14" i="19" s="1"/>
  <c r="M14" i="19" s="1"/>
  <c r="J86" i="22"/>
  <c r="I86" i="22"/>
  <c r="J244" i="22"/>
  <c r="I244" i="22"/>
  <c r="H244" i="23" s="1"/>
  <c r="I27" i="22"/>
  <c r="H27" i="23" s="1"/>
  <c r="J27" i="22"/>
  <c r="J367" i="22"/>
  <c r="I367" i="22"/>
  <c r="H367" i="23" s="1"/>
  <c r="I286" i="22"/>
  <c r="H286" i="23" s="1"/>
  <c r="J286" i="22"/>
  <c r="I334" i="22"/>
  <c r="H334" i="23" s="1"/>
  <c r="J334" i="22"/>
  <c r="J135" i="22"/>
  <c r="I135" i="22"/>
  <c r="D149" i="22"/>
  <c r="W149" i="22"/>
  <c r="J307" i="22"/>
  <c r="I307" i="22"/>
  <c r="H307" i="23" s="1"/>
  <c r="J308" i="22"/>
  <c r="I308" i="22"/>
  <c r="I59" i="22"/>
  <c r="H59" i="23" s="1"/>
  <c r="J59" i="22"/>
  <c r="J273" i="22"/>
  <c r="I273" i="22"/>
  <c r="H273" i="23" s="1"/>
  <c r="I330" i="22"/>
  <c r="H330" i="23" s="1"/>
  <c r="J330" i="22"/>
  <c r="J162" i="22"/>
  <c r="I162" i="22"/>
  <c r="H162" i="23" s="1"/>
  <c r="I264" i="22"/>
  <c r="J264" i="22"/>
  <c r="J126" i="22"/>
  <c r="I126" i="22"/>
  <c r="I342" i="22"/>
  <c r="H342" i="23" s="1"/>
  <c r="J342" i="22"/>
  <c r="J127" i="22"/>
  <c r="I127" i="22"/>
  <c r="J22" i="22"/>
  <c r="I22" i="22"/>
  <c r="J212" i="22"/>
  <c r="I212" i="22"/>
  <c r="H212" i="23" s="1"/>
  <c r="J178" i="22"/>
  <c r="I178" i="22"/>
  <c r="H178" i="23" s="1"/>
  <c r="J172" i="22"/>
  <c r="I172" i="22"/>
  <c r="J42" i="22"/>
  <c r="I42" i="22"/>
  <c r="H42" i="23" s="1"/>
  <c r="J255" i="22"/>
  <c r="I255" i="22"/>
  <c r="I339" i="22"/>
  <c r="J339" i="22"/>
  <c r="J197" i="22"/>
  <c r="I197" i="22"/>
  <c r="H197" i="23" s="1"/>
  <c r="J40" i="22"/>
  <c r="I40" i="22"/>
  <c r="H40" i="23" s="1"/>
  <c r="I276" i="22"/>
  <c r="H276" i="23" s="1"/>
  <c r="J276" i="22"/>
  <c r="I62" i="22"/>
  <c r="H62" i="23" s="1"/>
  <c r="J62" i="22"/>
  <c r="I279" i="22"/>
  <c r="H279" i="23" s="1"/>
  <c r="J279" i="22"/>
  <c r="I313" i="22"/>
  <c r="H313" i="23" s="1"/>
  <c r="J313" i="22"/>
  <c r="J163" i="22"/>
  <c r="I163" i="22"/>
  <c r="H163" i="23" s="1"/>
  <c r="I284" i="22"/>
  <c r="H284" i="23" s="1"/>
  <c r="J284" i="22"/>
  <c r="I208" i="22"/>
  <c r="J208" i="22"/>
  <c r="J173" i="22"/>
  <c r="I173" i="22"/>
  <c r="H173" i="23" s="1"/>
  <c r="I44" i="22"/>
  <c r="H44" i="23" s="1"/>
  <c r="J44" i="22"/>
  <c r="I353" i="22"/>
  <c r="H353" i="23" s="1"/>
  <c r="J353" i="22"/>
  <c r="J224" i="22"/>
  <c r="I224" i="22"/>
  <c r="H224" i="23" s="1"/>
  <c r="J374" i="22"/>
  <c r="I374" i="22"/>
  <c r="J18" i="22"/>
  <c r="I18" i="22"/>
  <c r="I361" i="22"/>
  <c r="H361" i="23" s="1"/>
  <c r="J361" i="22"/>
  <c r="J379" i="20"/>
  <c r="I379" i="20"/>
  <c r="I195" i="22"/>
  <c r="H195" i="23" s="1"/>
  <c r="J195" i="22"/>
  <c r="I247" i="22"/>
  <c r="H247" i="23" s="1"/>
  <c r="J247" i="22"/>
  <c r="D363" i="22"/>
  <c r="E363" i="22" s="1"/>
  <c r="F363" i="22" s="1"/>
  <c r="W363" i="22"/>
  <c r="J56" i="22"/>
  <c r="I56" i="22"/>
  <c r="H56" i="23" s="1"/>
  <c r="I213" i="22"/>
  <c r="H213" i="23" s="1"/>
  <c r="J213" i="22"/>
  <c r="J109" i="22"/>
  <c r="I109" i="22"/>
  <c r="H109" i="23" s="1"/>
  <c r="J66" i="22"/>
  <c r="I66" i="22"/>
  <c r="J201" i="22"/>
  <c r="I201" i="22"/>
  <c r="I25" i="22"/>
  <c r="H25" i="23" s="1"/>
  <c r="J25" i="22"/>
  <c r="I188" i="22"/>
  <c r="H188" i="23" s="1"/>
  <c r="J188" i="22"/>
  <c r="J338" i="22"/>
  <c r="I338" i="22"/>
  <c r="H338" i="23" s="1"/>
  <c r="I186" i="22"/>
  <c r="J186" i="22"/>
  <c r="I290" i="22"/>
  <c r="H290" i="23" s="1"/>
  <c r="J290" i="22"/>
  <c r="U66" i="24"/>
  <c r="T66" i="24" s="1"/>
  <c r="S66" i="24" s="1"/>
  <c r="R66" i="24" s="1"/>
  <c r="U378" i="24"/>
  <c r="T378" i="24" s="1"/>
  <c r="S378" i="24" s="1"/>
  <c r="R378" i="24" s="1"/>
  <c r="U192" i="24"/>
  <c r="T192" i="24" s="1"/>
  <c r="S192" i="24" s="1"/>
  <c r="R192" i="24" s="1"/>
  <c r="U319" i="24"/>
  <c r="T319" i="24" s="1"/>
  <c r="S319" i="24" s="1"/>
  <c r="R319" i="24" s="1"/>
  <c r="AY16" i="7"/>
  <c r="U211" i="24"/>
  <c r="T211" i="24" s="1"/>
  <c r="S211" i="24" s="1"/>
  <c r="R211" i="24" s="1"/>
  <c r="U19" i="24"/>
  <c r="T19" i="24" s="1"/>
  <c r="S19" i="24" s="1"/>
  <c r="R19" i="24" s="1"/>
  <c r="U43" i="24"/>
  <c r="T43" i="24" s="1"/>
  <c r="S43" i="24" s="1"/>
  <c r="R43" i="24" s="1"/>
  <c r="U88" i="24"/>
  <c r="T88" i="24" s="1"/>
  <c r="S88" i="24" s="1"/>
  <c r="R88" i="24" s="1"/>
  <c r="U45" i="24"/>
  <c r="T45" i="24" s="1"/>
  <c r="S45" i="24" s="1"/>
  <c r="R45" i="24" s="1"/>
  <c r="U176" i="24"/>
  <c r="T176" i="24" s="1"/>
  <c r="S176" i="24" s="1"/>
  <c r="R176" i="24" s="1"/>
  <c r="U191" i="24"/>
  <c r="T191" i="24" s="1"/>
  <c r="S191" i="24" s="1"/>
  <c r="R191" i="24" s="1"/>
  <c r="U64" i="24"/>
  <c r="T64" i="24" s="1"/>
  <c r="S64" i="24" s="1"/>
  <c r="R64" i="24" s="1"/>
  <c r="U18" i="24"/>
  <c r="T18" i="24" s="1"/>
  <c r="S18" i="24" s="1"/>
  <c r="R18" i="24" s="1"/>
  <c r="U168" i="24"/>
  <c r="T168" i="24" s="1"/>
  <c r="S168" i="24" s="1"/>
  <c r="R168" i="24" s="1"/>
  <c r="U152" i="24"/>
  <c r="T152" i="24" s="1"/>
  <c r="S152" i="24" s="1"/>
  <c r="R152" i="24" s="1"/>
  <c r="U114" i="24"/>
  <c r="T114" i="24" s="1"/>
  <c r="S114" i="24" s="1"/>
  <c r="R114" i="24" s="1"/>
  <c r="U317" i="24"/>
  <c r="T317" i="24" s="1"/>
  <c r="S317" i="24" s="1"/>
  <c r="R317" i="24" s="1"/>
  <c r="U295" i="24"/>
  <c r="T295" i="24" s="1"/>
  <c r="S295" i="24" s="1"/>
  <c r="R295" i="24" s="1"/>
  <c r="U355" i="24"/>
  <c r="T355" i="24" s="1"/>
  <c r="S355" i="24" s="1"/>
  <c r="R355" i="24" s="1"/>
  <c r="U38" i="24"/>
  <c r="T38" i="24" s="1"/>
  <c r="S38" i="24" s="1"/>
  <c r="R38" i="24" s="1"/>
  <c r="U263" i="24"/>
  <c r="T263" i="24" s="1"/>
  <c r="S263" i="24" s="1"/>
  <c r="R263" i="24" s="1"/>
  <c r="U82" i="24"/>
  <c r="T82" i="24" s="1"/>
  <c r="S82" i="24" s="1"/>
  <c r="R82" i="24" s="1"/>
  <c r="U182" i="24"/>
  <c r="T182" i="24" s="1"/>
  <c r="S182" i="24" s="1"/>
  <c r="R182" i="24" s="1"/>
  <c r="U258" i="24"/>
  <c r="T258" i="24" s="1"/>
  <c r="S258" i="24" s="1"/>
  <c r="R258" i="24" s="1"/>
  <c r="U362" i="24"/>
  <c r="T362" i="24" s="1"/>
  <c r="S362" i="24" s="1"/>
  <c r="R362" i="24" s="1"/>
  <c r="U364" i="24"/>
  <c r="T364" i="24" s="1"/>
  <c r="S364" i="24" s="1"/>
  <c r="R364" i="24" s="1"/>
  <c r="U193" i="24"/>
  <c r="T193" i="24" s="1"/>
  <c r="S193" i="24" s="1"/>
  <c r="R193" i="24" s="1"/>
  <c r="U115" i="24"/>
  <c r="T115" i="24" s="1"/>
  <c r="S115" i="24" s="1"/>
  <c r="R115" i="24" s="1"/>
  <c r="U174" i="24"/>
  <c r="T174" i="24" s="1"/>
  <c r="S174" i="24" s="1"/>
  <c r="R174" i="24" s="1"/>
  <c r="T381" i="23"/>
  <c r="T382" i="23"/>
  <c r="S15" i="23"/>
  <c r="T383" i="23"/>
  <c r="J288" i="22"/>
  <c r="I288" i="22"/>
  <c r="H288" i="23" s="1"/>
  <c r="I231" i="22"/>
  <c r="J231" i="22"/>
  <c r="J242" i="22"/>
  <c r="I242" i="22"/>
  <c r="H242" i="23" s="1"/>
  <c r="J257" i="22"/>
  <c r="I257" i="22"/>
  <c r="H257" i="23" s="1"/>
  <c r="J28" i="22"/>
  <c r="I28" i="22"/>
  <c r="H28" i="23" s="1"/>
  <c r="I320" i="22"/>
  <c r="H320" i="23" s="1"/>
  <c r="J320" i="22"/>
  <c r="I71" i="22"/>
  <c r="J71" i="22"/>
  <c r="W302" i="22"/>
  <c r="D302" i="22"/>
  <c r="E302" i="22" s="1"/>
  <c r="F302" i="22" s="1"/>
  <c r="J61" i="22"/>
  <c r="I61" i="22"/>
  <c r="H61" i="23" s="1"/>
  <c r="I267" i="22"/>
  <c r="H267" i="23" s="1"/>
  <c r="J267" i="22"/>
  <c r="I314" i="22"/>
  <c r="J314" i="22"/>
  <c r="I289" i="22"/>
  <c r="J289" i="22"/>
  <c r="I75" i="22"/>
  <c r="J75" i="22"/>
  <c r="W241" i="22"/>
  <c r="D241" i="22"/>
  <c r="E241" i="22" s="1"/>
  <c r="F241" i="22" s="1"/>
  <c r="I366" i="22"/>
  <c r="H366" i="23" s="1"/>
  <c r="J366" i="22"/>
  <c r="J253" i="22"/>
  <c r="I253" i="22"/>
  <c r="I103" i="22"/>
  <c r="J103" i="22"/>
  <c r="I130" i="22"/>
  <c r="H130" i="23" s="1"/>
  <c r="J130" i="22"/>
  <c r="J350" i="22"/>
  <c r="I350" i="22"/>
  <c r="H350" i="23" s="1"/>
  <c r="J199" i="22"/>
  <c r="I199" i="22"/>
  <c r="H199" i="23" s="1"/>
  <c r="I332" i="22"/>
  <c r="H332" i="23" s="1"/>
  <c r="J332" i="22"/>
  <c r="I81" i="22"/>
  <c r="J81" i="22"/>
  <c r="J312" i="22"/>
  <c r="I312" i="22"/>
  <c r="H312" i="23" s="1"/>
  <c r="I365" i="22"/>
  <c r="H365" i="23" s="1"/>
  <c r="J365" i="22"/>
  <c r="I278" i="22"/>
  <c r="J278" i="22"/>
  <c r="J207" i="22"/>
  <c r="I207" i="22"/>
  <c r="H207" i="23" s="1"/>
  <c r="I252" i="22"/>
  <c r="H252" i="23" s="1"/>
  <c r="J236" i="22"/>
  <c r="I236" i="22"/>
  <c r="H236" i="23" s="1"/>
  <c r="I50" i="22"/>
  <c r="H50" i="23" s="1"/>
  <c r="J50" i="22"/>
  <c r="J271" i="22"/>
  <c r="I271" i="22"/>
  <c r="H271" i="23" s="1"/>
  <c r="J218" i="22"/>
  <c r="I218" i="22"/>
  <c r="H218" i="23" s="1"/>
  <c r="I376" i="22"/>
  <c r="H376" i="23" s="1"/>
  <c r="J376" i="22"/>
  <c r="D88" i="22"/>
  <c r="E88" i="22" s="1"/>
  <c r="F88" i="22" s="1"/>
  <c r="W88" i="22"/>
  <c r="J112" i="22"/>
  <c r="I112" i="22"/>
  <c r="J140" i="22"/>
  <c r="I140" i="22"/>
  <c r="H140" i="23" s="1"/>
  <c r="I336" i="22"/>
  <c r="H336" i="23" s="1"/>
  <c r="J336" i="22"/>
  <c r="I228" i="22"/>
  <c r="H228" i="23" s="1"/>
  <c r="J228" i="22"/>
  <c r="I364" i="22"/>
  <c r="H364" i="23" s="1"/>
  <c r="J364" i="22"/>
  <c r="I52" i="22"/>
  <c r="J52" i="22"/>
  <c r="I246" i="22"/>
  <c r="H246" i="23" s="1"/>
  <c r="J246" i="22"/>
  <c r="I357" i="22"/>
  <c r="H357" i="23" s="1"/>
  <c r="J357" i="22"/>
  <c r="J219" i="22"/>
  <c r="I219" i="22"/>
  <c r="H219" i="23" s="1"/>
  <c r="I226" i="22"/>
  <c r="H226" i="23" s="1"/>
  <c r="J226" i="22"/>
  <c r="J123" i="22"/>
  <c r="I123" i="22"/>
  <c r="H123" i="23" s="1"/>
  <c r="I165" i="22"/>
  <c r="H165" i="23" s="1"/>
  <c r="J165" i="22"/>
  <c r="W119" i="22"/>
  <c r="D119" i="22"/>
  <c r="E119" i="22" s="1"/>
  <c r="F119" i="22" s="1"/>
  <c r="I26" i="22"/>
  <c r="H26" i="23" s="1"/>
  <c r="J26" i="22"/>
  <c r="J300" i="22"/>
  <c r="I300" i="22"/>
  <c r="H300" i="23" s="1"/>
  <c r="J209" i="22"/>
  <c r="I209" i="22"/>
  <c r="H209" i="23" s="1"/>
  <c r="J101" i="22"/>
  <c r="I101" i="22"/>
  <c r="I304" i="22"/>
  <c r="H304" i="23" s="1"/>
  <c r="J304" i="22"/>
  <c r="J32" i="22"/>
  <c r="I32" i="22"/>
  <c r="H32" i="23" s="1"/>
  <c r="J15" i="18"/>
  <c r="I15" i="18"/>
  <c r="AL9" i="18"/>
  <c r="AA383" i="18"/>
  <c r="AM8" i="18"/>
  <c r="AA382" i="18"/>
  <c r="AA381" i="18"/>
  <c r="AA9" i="18"/>
  <c r="Z15" i="18"/>
  <c r="AL8" i="18" s="1"/>
  <c r="J322" i="22"/>
  <c r="I322" i="22"/>
  <c r="H322" i="23" s="1"/>
  <c r="J77" i="22"/>
  <c r="I77" i="22"/>
  <c r="H77" i="23" s="1"/>
  <c r="J362" i="22"/>
  <c r="I362" i="22"/>
  <c r="H362" i="23" s="1"/>
  <c r="I214" i="22"/>
  <c r="J214" i="22"/>
  <c r="J372" i="22"/>
  <c r="I372" i="22"/>
  <c r="H372" i="23" s="1"/>
  <c r="I97" i="22"/>
  <c r="H97" i="23" s="1"/>
  <c r="J97" i="22"/>
  <c r="I256" i="22"/>
  <c r="H256" i="23" s="1"/>
  <c r="J256" i="22"/>
  <c r="J355" i="22"/>
  <c r="I355" i="22"/>
  <c r="I232" i="22"/>
  <c r="H232" i="23" s="1"/>
  <c r="J232" i="22"/>
  <c r="J190" i="22"/>
  <c r="I190" i="22"/>
  <c r="H190" i="23" s="1"/>
  <c r="J55" i="22"/>
  <c r="I55" i="22"/>
  <c r="H55" i="23" s="1"/>
  <c r="I65" i="22"/>
  <c r="H65" i="23" s="1"/>
  <c r="J65" i="22"/>
  <c r="J79" i="22"/>
  <c r="I79" i="22"/>
  <c r="H79" i="23" s="1"/>
  <c r="J115" i="22"/>
  <c r="I115" i="22"/>
  <c r="H115" i="23" s="1"/>
  <c r="J328" i="22"/>
  <c r="I328" i="22"/>
  <c r="H328" i="23" s="1"/>
  <c r="J250" i="22"/>
  <c r="I250" i="22"/>
  <c r="H250" i="23" s="1"/>
  <c r="J100" i="22"/>
  <c r="I100" i="22"/>
  <c r="H100" i="23" s="1"/>
  <c r="J76" i="22"/>
  <c r="I76" i="22"/>
  <c r="H76" i="23" s="1"/>
  <c r="I200" i="22"/>
  <c r="H200" i="23" s="1"/>
  <c r="J200" i="22"/>
  <c r="I113" i="22"/>
  <c r="H113" i="23" s="1"/>
  <c r="J113" i="22"/>
  <c r="I99" i="22"/>
  <c r="H99" i="23" s="1"/>
  <c r="J99" i="22"/>
  <c r="I229" i="22"/>
  <c r="J229" i="22"/>
  <c r="J347" i="22"/>
  <c r="I347" i="22"/>
  <c r="H347" i="23" s="1"/>
  <c r="J215" i="22"/>
  <c r="I215" i="22"/>
  <c r="H215" i="23" s="1"/>
  <c r="I152" i="22"/>
  <c r="H152" i="23" s="1"/>
  <c r="J152" i="22"/>
  <c r="J356" i="22"/>
  <c r="I356" i="22"/>
  <c r="I297" i="22"/>
  <c r="J297" i="22"/>
  <c r="J268" i="22"/>
  <c r="I268" i="22"/>
  <c r="H268" i="23" s="1"/>
  <c r="R382" i="22"/>
  <c r="R381" i="22"/>
  <c r="R383" i="22"/>
  <c r="P15" i="22"/>
  <c r="G227" i="23"/>
  <c r="CD227" i="6" s="1"/>
  <c r="G62" i="23"/>
  <c r="CD62" i="6" s="1"/>
  <c r="G118" i="23"/>
  <c r="CD118" i="6" s="1"/>
  <c r="G354" i="23"/>
  <c r="CD354" i="6" s="1"/>
  <c r="G80" i="23"/>
  <c r="CD80" i="6" s="1"/>
  <c r="G306" i="23"/>
  <c r="CD306" i="6" s="1"/>
  <c r="G217" i="23"/>
  <c r="CD217" i="6" s="1"/>
  <c r="G47" i="23"/>
  <c r="CD47" i="6" s="1"/>
  <c r="G63" i="23"/>
  <c r="CD63" i="6" s="1"/>
  <c r="G311" i="23"/>
  <c r="CD311" i="6" s="1"/>
  <c r="G147" i="23"/>
  <c r="CD147" i="6" s="1"/>
  <c r="G134" i="23"/>
  <c r="CD134" i="6" s="1"/>
  <c r="G17" i="23"/>
  <c r="CD17" i="6" s="1"/>
  <c r="H17" i="23"/>
  <c r="G178" i="23"/>
  <c r="CD178" i="6" s="1"/>
  <c r="G323" i="23"/>
  <c r="CD323" i="6" s="1"/>
  <c r="G366" i="23"/>
  <c r="CD366" i="6" s="1"/>
  <c r="G256" i="23"/>
  <c r="CD256" i="6" s="1"/>
  <c r="H305" i="23"/>
  <c r="G305" i="23"/>
  <c r="CD305" i="6" s="1"/>
  <c r="G77" i="23"/>
  <c r="CD77" i="6" s="1"/>
  <c r="G70" i="23"/>
  <c r="CD70" i="6" s="1"/>
  <c r="G329" i="23"/>
  <c r="CD329" i="6" s="1"/>
  <c r="G107" i="23"/>
  <c r="CD107" i="6" s="1"/>
  <c r="G348" i="23"/>
  <c r="CD348" i="6" s="1"/>
  <c r="G102" i="23"/>
  <c r="CD102" i="6" s="1"/>
  <c r="G245" i="23"/>
  <c r="CD245" i="6" s="1"/>
  <c r="G69" i="23"/>
  <c r="CD69" i="6" s="1"/>
  <c r="G279" i="23"/>
  <c r="CD279" i="6" s="1"/>
  <c r="G28" i="23"/>
  <c r="CD28" i="6" s="1"/>
  <c r="G321" i="23"/>
  <c r="CD321" i="6" s="1"/>
  <c r="G274" i="23"/>
  <c r="CD274" i="6" s="1"/>
  <c r="G148" i="23"/>
  <c r="CD148" i="6" s="1"/>
  <c r="G207" i="23"/>
  <c r="CD207" i="6" s="1"/>
  <c r="G359" i="23"/>
  <c r="CD359" i="6" s="1"/>
  <c r="G30" i="23"/>
  <c r="CD30" i="6" s="1"/>
  <c r="G303" i="23"/>
  <c r="CD303" i="6" s="1"/>
  <c r="G286" i="23"/>
  <c r="CD286" i="6" s="1"/>
  <c r="H146" i="23"/>
  <c r="G157" i="23"/>
  <c r="CD157" i="6" s="1"/>
  <c r="G200" i="23"/>
  <c r="CD200" i="6" s="1"/>
  <c r="G267" i="23"/>
  <c r="CD267" i="6" s="1"/>
  <c r="G340" i="23"/>
  <c r="CD340" i="6" s="1"/>
  <c r="G78" i="23"/>
  <c r="CD78" i="6" s="1"/>
  <c r="G313" i="23"/>
  <c r="CD313" i="6" s="1"/>
  <c r="F68" i="19"/>
  <c r="G238" i="23"/>
  <c r="CD238" i="6" s="1"/>
  <c r="G353" i="23"/>
  <c r="CD353" i="6" s="1"/>
  <c r="G347" i="23"/>
  <c r="CD347" i="6" s="1"/>
  <c r="G189" i="23"/>
  <c r="CD189" i="6" s="1"/>
  <c r="G137" i="23"/>
  <c r="CD137" i="6" s="1"/>
  <c r="G160" i="23"/>
  <c r="CD160" i="6" s="1"/>
  <c r="G281" i="23"/>
  <c r="CD281" i="6" s="1"/>
  <c r="H281" i="23"/>
  <c r="G37" i="23"/>
  <c r="CD37" i="6" s="1"/>
  <c r="G370" i="23"/>
  <c r="CD370" i="6" s="1"/>
  <c r="G260" i="23"/>
  <c r="CD260" i="6" s="1"/>
  <c r="G91" i="23"/>
  <c r="CD91" i="6" s="1"/>
  <c r="G125" i="23"/>
  <c r="CD125" i="6" s="1"/>
  <c r="G162" i="23"/>
  <c r="CD162" i="6" s="1"/>
  <c r="G25" i="23"/>
  <c r="CD25" i="6" s="1"/>
  <c r="G288" i="23"/>
  <c r="CD288" i="6" s="1"/>
  <c r="G36" i="23"/>
  <c r="CD36" i="6" s="1"/>
  <c r="G367" i="23"/>
  <c r="CD367" i="6" s="1"/>
  <c r="H41" i="23"/>
  <c r="G41" i="23"/>
  <c r="CD41" i="6" s="1"/>
  <c r="G142" i="23"/>
  <c r="CD142" i="6" s="1"/>
  <c r="G343" i="23"/>
  <c r="CD343" i="6" s="1"/>
  <c r="G18" i="23"/>
  <c r="CD18" i="6" s="1"/>
  <c r="G87" i="23"/>
  <c r="CD87" i="6" s="1"/>
  <c r="G110" i="23"/>
  <c r="CD110" i="6" s="1"/>
  <c r="G335" i="23"/>
  <c r="CD335" i="6" s="1"/>
  <c r="G130" i="23"/>
  <c r="CD130" i="6" s="1"/>
  <c r="G165" i="23"/>
  <c r="CD165" i="6" s="1"/>
  <c r="G266" i="23"/>
  <c r="CD266" i="6" s="1"/>
  <c r="G280" i="23"/>
  <c r="CD280" i="6" s="1"/>
  <c r="G65" i="23"/>
  <c r="CD65" i="6" s="1"/>
  <c r="G123" i="23"/>
  <c r="CD123" i="6" s="1"/>
  <c r="G176" i="23"/>
  <c r="CD176" i="6" s="1"/>
  <c r="G328" i="23"/>
  <c r="CD328" i="6" s="1"/>
  <c r="G331" i="23"/>
  <c r="CD331" i="6" s="1"/>
  <c r="G261" i="23"/>
  <c r="CD261" i="6" s="1"/>
  <c r="G163" i="23"/>
  <c r="CD163" i="6" s="1"/>
  <c r="G184" i="23"/>
  <c r="CD184" i="6" s="1"/>
  <c r="G275" i="23"/>
  <c r="CD275" i="6" s="1"/>
  <c r="G263" i="23"/>
  <c r="CD263" i="6" s="1"/>
  <c r="G51" i="23"/>
  <c r="CD51" i="6" s="1"/>
  <c r="G299" i="23"/>
  <c r="CD299" i="6" s="1"/>
  <c r="G133" i="23"/>
  <c r="CD133" i="6" s="1"/>
  <c r="D68" i="19"/>
  <c r="G109" i="23"/>
  <c r="CD109" i="6" s="1"/>
  <c r="G344" i="23"/>
  <c r="CD344" i="6" s="1"/>
  <c r="H344" i="23"/>
  <c r="G287" i="23"/>
  <c r="CD287" i="6" s="1"/>
  <c r="H222" i="23"/>
  <c r="G222" i="23"/>
  <c r="CD222" i="6" s="1"/>
  <c r="G216" i="23"/>
  <c r="CD216" i="6" s="1"/>
  <c r="G273" i="23"/>
  <c r="CD273" i="6" s="1"/>
  <c r="G97" i="23"/>
  <c r="CD97" i="6" s="1"/>
  <c r="G187" i="23"/>
  <c r="CD187" i="6" s="1"/>
  <c r="G170" i="23"/>
  <c r="CD170" i="6" s="1"/>
  <c r="G232" i="23"/>
  <c r="CD232" i="6" s="1"/>
  <c r="G293" i="23"/>
  <c r="CD293" i="6" s="1"/>
  <c r="G40" i="23"/>
  <c r="CD40" i="6" s="1"/>
  <c r="G243" i="23"/>
  <c r="CD243" i="6" s="1"/>
  <c r="G304" i="23"/>
  <c r="CD304" i="6" s="1"/>
  <c r="E68" i="19"/>
  <c r="G361" i="23"/>
  <c r="CD361" i="6" s="1"/>
  <c r="G338" i="23"/>
  <c r="CD338" i="6" s="1"/>
  <c r="G26" i="23"/>
  <c r="CD26" i="6" s="1"/>
  <c r="G183" i="23"/>
  <c r="CD183" i="6" s="1"/>
  <c r="G156" i="23"/>
  <c r="CD156" i="6" s="1"/>
  <c r="G317" i="23"/>
  <c r="CD317" i="6" s="1"/>
  <c r="G324" i="23"/>
  <c r="CD324" i="6" s="1"/>
  <c r="G277" i="23"/>
  <c r="CD277" i="6" s="1"/>
  <c r="G182" i="23"/>
  <c r="CD182" i="6" s="1"/>
  <c r="G195" i="23"/>
  <c r="CD195" i="6" s="1"/>
  <c r="G99" i="23"/>
  <c r="CD99" i="6" s="1"/>
  <c r="G141" i="23"/>
  <c r="CD141" i="6" s="1"/>
  <c r="G50" i="23"/>
  <c r="CD50" i="6" s="1"/>
  <c r="G282" i="23"/>
  <c r="CD282" i="6" s="1"/>
  <c r="G167" i="23"/>
  <c r="CD167" i="6" s="1"/>
  <c r="G220" i="23"/>
  <c r="CD220" i="6" s="1"/>
  <c r="G198" i="23"/>
  <c r="CD198" i="6" s="1"/>
  <c r="G228" i="23"/>
  <c r="CD228" i="6" s="1"/>
  <c r="G247" i="23"/>
  <c r="CD247" i="6" s="1"/>
  <c r="G143" i="23"/>
  <c r="CD143" i="6" s="1"/>
  <c r="H143" i="23"/>
  <c r="G16" i="23"/>
  <c r="CD16" i="6" s="1"/>
  <c r="G159" i="23"/>
  <c r="CD159" i="6" s="1"/>
  <c r="G204" i="23"/>
  <c r="CD204" i="6" s="1"/>
  <c r="G235" i="23"/>
  <c r="CD235" i="6" s="1"/>
  <c r="G325" i="23"/>
  <c r="CD325" i="6" s="1"/>
  <c r="G82" i="23"/>
  <c r="CD82" i="6" s="1"/>
  <c r="G153" i="23"/>
  <c r="CD153" i="6" s="1"/>
  <c r="G250" i="23"/>
  <c r="CD250" i="6" s="1"/>
  <c r="G248" i="23"/>
  <c r="CD248" i="6" s="1"/>
  <c r="G257" i="23"/>
  <c r="CD257" i="6" s="1"/>
  <c r="G316" i="23"/>
  <c r="CD316" i="6" s="1"/>
  <c r="G56" i="23"/>
  <c r="CD56" i="6" s="1"/>
  <c r="G234" i="23"/>
  <c r="CD234" i="6" s="1"/>
  <c r="G199" i="23"/>
  <c r="CD199" i="6" s="1"/>
  <c r="G345" i="23"/>
  <c r="CD345" i="6" s="1"/>
  <c r="H345" i="23"/>
  <c r="G68" i="19"/>
  <c r="W349" i="23"/>
  <c r="D349" i="23"/>
  <c r="E349" i="23" s="1"/>
  <c r="F349" i="23" s="1"/>
  <c r="G242" i="23"/>
  <c r="CD242" i="6" s="1"/>
  <c r="G140" i="23"/>
  <c r="CD140" i="6" s="1"/>
  <c r="G330" i="23"/>
  <c r="CD330" i="6" s="1"/>
  <c r="G237" i="23"/>
  <c r="CD237" i="6" s="1"/>
  <c r="G20" i="23"/>
  <c r="CD20" i="6" s="1"/>
  <c r="G318" i="23"/>
  <c r="CD318" i="6" s="1"/>
  <c r="G271" i="23"/>
  <c r="CD271" i="6" s="1"/>
  <c r="G100" i="23"/>
  <c r="CD100" i="6" s="1"/>
  <c r="G89" i="23"/>
  <c r="CD89" i="6" s="1"/>
  <c r="G226" i="23"/>
  <c r="CD226" i="6" s="1"/>
  <c r="G209" i="23"/>
  <c r="CD209" i="6" s="1"/>
  <c r="G205" i="23"/>
  <c r="CD205" i="6" s="1"/>
  <c r="G341" i="23"/>
  <c r="CD341" i="6" s="1"/>
  <c r="G124" i="23"/>
  <c r="CD124" i="6" s="1"/>
  <c r="H124" i="23"/>
  <c r="H53" i="23"/>
  <c r="G53" i="23"/>
  <c r="CD53" i="6" s="1"/>
  <c r="G240" i="23"/>
  <c r="CD240" i="6" s="1"/>
  <c r="H240" i="23"/>
  <c r="G59" i="23"/>
  <c r="CD59" i="6" s="1"/>
  <c r="G111" i="23"/>
  <c r="CD111" i="6" s="1"/>
  <c r="G108" i="23"/>
  <c r="CD108" i="6" s="1"/>
  <c r="G292" i="23"/>
  <c r="CD292" i="6" s="1"/>
  <c r="G376" i="23"/>
  <c r="CD376" i="6" s="1"/>
  <c r="G190" i="23"/>
  <c r="CD190" i="6" s="1"/>
  <c r="G300" i="23"/>
  <c r="CD300" i="6" s="1"/>
  <c r="G283" i="23"/>
  <c r="CD283" i="6" s="1"/>
  <c r="G79" i="23"/>
  <c r="CD79" i="6" s="1"/>
  <c r="H54" i="23"/>
  <c r="G54" i="23"/>
  <c r="CD54" i="6" s="1"/>
  <c r="G113" i="23"/>
  <c r="CD113" i="6" s="1"/>
  <c r="G55" i="23"/>
  <c r="CD55" i="6" s="1"/>
  <c r="G115" i="23"/>
  <c r="CD115" i="6" s="1"/>
  <c r="G371" i="23"/>
  <c r="CD371" i="6" s="1"/>
  <c r="H371" i="23"/>
  <c r="G138" i="23"/>
  <c r="CD138" i="6" s="1"/>
  <c r="G191" i="23"/>
  <c r="CD191" i="6" s="1"/>
  <c r="G19" i="23"/>
  <c r="CD19" i="6" s="1"/>
  <c r="G233" i="23"/>
  <c r="CD233" i="6" s="1"/>
  <c r="H233" i="23"/>
  <c r="G268" i="23"/>
  <c r="CD268" i="6" s="1"/>
  <c r="G57" i="23"/>
  <c r="CD57" i="6" s="1"/>
  <c r="W135" i="23"/>
  <c r="D135" i="23"/>
  <c r="E135" i="23" s="1"/>
  <c r="F135" i="23" s="1"/>
  <c r="G368" i="23"/>
  <c r="CD368" i="6" s="1"/>
  <c r="G364" i="23"/>
  <c r="CD364" i="6" s="1"/>
  <c r="G276" i="23"/>
  <c r="CD276" i="6" s="1"/>
  <c r="G177" i="23"/>
  <c r="CD177" i="6" s="1"/>
  <c r="D46" i="23"/>
  <c r="E46" i="23" s="1"/>
  <c r="F46" i="23" s="1"/>
  <c r="W46" i="23"/>
  <c r="G351" i="23"/>
  <c r="CD351" i="6" s="1"/>
  <c r="H351" i="23"/>
  <c r="G34" i="23"/>
  <c r="CD34" i="6" s="1"/>
  <c r="G144" i="23"/>
  <c r="CD144" i="6" s="1"/>
  <c r="G213" i="23"/>
  <c r="CD213" i="6" s="1"/>
  <c r="G312" i="23"/>
  <c r="CD312" i="6" s="1"/>
  <c r="G32" i="23"/>
  <c r="CD32" i="6" s="1"/>
  <c r="G365" i="23"/>
  <c r="CD365" i="6" s="1"/>
  <c r="G219" i="23"/>
  <c r="CD219" i="6" s="1"/>
  <c r="G236" i="23"/>
  <c r="CD236" i="6" s="1"/>
  <c r="G339" i="23"/>
  <c r="CD339" i="6" s="1"/>
  <c r="G327" i="23"/>
  <c r="CD327" i="6" s="1"/>
  <c r="G145" i="23"/>
  <c r="CD145" i="6" s="1"/>
  <c r="G322" i="23"/>
  <c r="CD322" i="6" s="1"/>
  <c r="G52" i="23"/>
  <c r="CD52" i="6" s="1"/>
  <c r="G72" i="23"/>
  <c r="CD72" i="6" s="1"/>
  <c r="G310" i="23"/>
  <c r="CD310" i="6" s="1"/>
  <c r="G129" i="23"/>
  <c r="CD129" i="6" s="1"/>
  <c r="G194" i="23"/>
  <c r="CD194" i="6" s="1"/>
  <c r="B241" i="23"/>
  <c r="I68" i="19"/>
  <c r="G150" i="23"/>
  <c r="CD150" i="6" s="1"/>
  <c r="G154" i="23"/>
  <c r="CD154" i="6" s="1"/>
  <c r="G244" i="23"/>
  <c r="CD244" i="6" s="1"/>
  <c r="G45" i="23"/>
  <c r="CD45" i="6" s="1"/>
  <c r="G49" i="23"/>
  <c r="CD49" i="6" s="1"/>
  <c r="G357" i="23"/>
  <c r="CD357" i="6" s="1"/>
  <c r="G174" i="23"/>
  <c r="CD174" i="6" s="1"/>
  <c r="G23" i="23"/>
  <c r="CD23" i="6" s="1"/>
  <c r="G152" i="23"/>
  <c r="CD152" i="6" s="1"/>
  <c r="G332" i="23"/>
  <c r="CD332" i="6" s="1"/>
  <c r="D74" i="23"/>
  <c r="E74" i="23" s="1"/>
  <c r="F74" i="23" s="1"/>
  <c r="W74" i="23"/>
  <c r="G33" i="23"/>
  <c r="CD33" i="6" s="1"/>
  <c r="G296" i="23"/>
  <c r="CD296" i="6" s="1"/>
  <c r="G68" i="23"/>
  <c r="CD68" i="6" s="1"/>
  <c r="G270" i="23"/>
  <c r="CD270" i="6" s="1"/>
  <c r="G161" i="23"/>
  <c r="CD161" i="6" s="1"/>
  <c r="G202" i="23"/>
  <c r="CD202" i="6" s="1"/>
  <c r="G96" i="23"/>
  <c r="CD96" i="6" s="1"/>
  <c r="G218" i="23"/>
  <c r="CD218" i="6" s="1"/>
  <c r="G211" i="23"/>
  <c r="CD211" i="6" s="1"/>
  <c r="G44" i="23"/>
  <c r="CD44" i="6" s="1"/>
  <c r="G197" i="23"/>
  <c r="CD197" i="6" s="1"/>
  <c r="B333" i="23"/>
  <c r="L68" i="19"/>
  <c r="G114" i="23"/>
  <c r="CD114" i="6" s="1"/>
  <c r="G117" i="23"/>
  <c r="CD117" i="6" s="1"/>
  <c r="G373" i="23"/>
  <c r="CD373" i="6" s="1"/>
  <c r="G188" i="23"/>
  <c r="CD188" i="6" s="1"/>
  <c r="G173" i="23"/>
  <c r="CD173" i="6" s="1"/>
  <c r="G378" i="23"/>
  <c r="CD378" i="6" s="1"/>
  <c r="G73" i="23"/>
  <c r="CD73" i="6" s="1"/>
  <c r="G246" i="23"/>
  <c r="CD246" i="6" s="1"/>
  <c r="G212" i="23"/>
  <c r="CD212" i="6" s="1"/>
  <c r="G315" i="23"/>
  <c r="CD315" i="6" s="1"/>
  <c r="G285" i="23"/>
  <c r="CD285" i="6" s="1"/>
  <c r="G372" i="23"/>
  <c r="CD372" i="6" s="1"/>
  <c r="W105" i="23"/>
  <c r="D105" i="23"/>
  <c r="E105" i="23" s="1"/>
  <c r="F105" i="23" s="1"/>
  <c r="G350" i="23"/>
  <c r="CD350" i="6" s="1"/>
  <c r="G139" i="23"/>
  <c r="CD139" i="6" s="1"/>
  <c r="G252" i="23"/>
  <c r="CD252" i="6" s="1"/>
  <c r="G61" i="23"/>
  <c r="CD61" i="6" s="1"/>
  <c r="G326" i="23"/>
  <c r="CD326" i="6" s="1"/>
  <c r="G320" i="23"/>
  <c r="CD320" i="6" s="1"/>
  <c r="G362" i="23"/>
  <c r="CD362" i="6" s="1"/>
  <c r="G334" i="23"/>
  <c r="CD334" i="6" s="1"/>
  <c r="G342" i="23"/>
  <c r="CD342" i="6" s="1"/>
  <c r="H230" i="23"/>
  <c r="G230" i="23"/>
  <c r="CD230" i="6" s="1"/>
  <c r="G294" i="23"/>
  <c r="CD294" i="6" s="1"/>
  <c r="AY15" i="7"/>
  <c r="Q10" i="24"/>
  <c r="Q119" i="24" s="1"/>
  <c r="G298" i="23"/>
  <c r="CD298" i="6" s="1"/>
  <c r="AE304" i="24"/>
  <c r="G291" i="23"/>
  <c r="CD291" i="6" s="1"/>
  <c r="G290" i="23"/>
  <c r="CD290" i="6" s="1"/>
  <c r="G192" i="23"/>
  <c r="CD192" i="6" s="1"/>
  <c r="G181" i="23"/>
  <c r="CD181" i="6" s="1"/>
  <c r="G215" i="23"/>
  <c r="CD215" i="6" s="1"/>
  <c r="G336" i="23"/>
  <c r="CD336" i="6" s="1"/>
  <c r="G377" i="23"/>
  <c r="CD377" i="6" s="1"/>
  <c r="G155" i="23"/>
  <c r="CD155" i="6" s="1"/>
  <c r="G132" i="23"/>
  <c r="CD132" i="6" s="1"/>
  <c r="G27" i="23"/>
  <c r="CD27" i="6" s="1"/>
  <c r="G284" i="23"/>
  <c r="CD284" i="6" s="1"/>
  <c r="B272" i="23"/>
  <c r="J68" i="19"/>
  <c r="G93" i="23"/>
  <c r="CD93" i="6" s="1"/>
  <c r="B210" i="23"/>
  <c r="H68" i="19"/>
  <c r="G307" i="23"/>
  <c r="CD307" i="6" s="1"/>
  <c r="D166" i="23"/>
  <c r="E166" i="23" s="1"/>
  <c r="F166" i="23" s="1"/>
  <c r="W166" i="23"/>
  <c r="G84" i="23"/>
  <c r="CD84" i="6" s="1"/>
  <c r="B302" i="23"/>
  <c r="K68" i="19"/>
  <c r="G42" i="23"/>
  <c r="CD42" i="6" s="1"/>
  <c r="G203" i="23"/>
  <c r="CD203" i="6" s="1"/>
  <c r="G224" i="23"/>
  <c r="CD224" i="6" s="1"/>
  <c r="H18" i="23" l="1"/>
  <c r="H251" i="23"/>
  <c r="I251" i="23" s="1"/>
  <c r="H177" i="23"/>
  <c r="U280" i="24"/>
  <c r="T280" i="24" s="1"/>
  <c r="S280" i="24" s="1"/>
  <c r="R280" i="24" s="1"/>
  <c r="U86" i="24"/>
  <c r="T86" i="24" s="1"/>
  <c r="S86" i="24" s="1"/>
  <c r="R86" i="24" s="1"/>
  <c r="U215" i="24"/>
  <c r="T215" i="24" s="1"/>
  <c r="S215" i="24" s="1"/>
  <c r="R215" i="24" s="1"/>
  <c r="U307" i="24"/>
  <c r="T307" i="24" s="1"/>
  <c r="S307" i="24" s="1"/>
  <c r="R307" i="24" s="1"/>
  <c r="U336" i="24"/>
  <c r="T336" i="24" s="1"/>
  <c r="S336" i="24" s="1"/>
  <c r="R336" i="24" s="1"/>
  <c r="U180" i="24"/>
  <c r="T180" i="24" s="1"/>
  <c r="S180" i="24" s="1"/>
  <c r="R180" i="24" s="1"/>
  <c r="U79" i="24"/>
  <c r="T79" i="24" s="1"/>
  <c r="S79" i="24" s="1"/>
  <c r="R79" i="24" s="1"/>
  <c r="U164" i="24"/>
  <c r="T164" i="24" s="1"/>
  <c r="S164" i="24" s="1"/>
  <c r="R164" i="24" s="1"/>
  <c r="U20" i="24"/>
  <c r="T20" i="24" s="1"/>
  <c r="S20" i="24" s="1"/>
  <c r="R20" i="24" s="1"/>
  <c r="U291" i="24"/>
  <c r="T291" i="24" s="1"/>
  <c r="S291" i="24" s="1"/>
  <c r="R291" i="24" s="1"/>
  <c r="U56" i="24"/>
  <c r="T56" i="24" s="1"/>
  <c r="S56" i="24" s="1"/>
  <c r="R56" i="24" s="1"/>
  <c r="U327" i="24"/>
  <c r="T327" i="24" s="1"/>
  <c r="S327" i="24" s="1"/>
  <c r="R327" i="24" s="1"/>
  <c r="U274" i="24"/>
  <c r="T274" i="24" s="1"/>
  <c r="S274" i="24" s="1"/>
  <c r="R274" i="24" s="1"/>
  <c r="U116" i="24"/>
  <c r="T116" i="24" s="1"/>
  <c r="S116" i="24" s="1"/>
  <c r="R116" i="24" s="1"/>
  <c r="U321" i="24"/>
  <c r="T321" i="24" s="1"/>
  <c r="S321" i="24" s="1"/>
  <c r="R321" i="24" s="1"/>
  <c r="U167" i="24"/>
  <c r="T167" i="24" s="1"/>
  <c r="S167" i="24" s="1"/>
  <c r="R167" i="24" s="1"/>
  <c r="U93" i="24"/>
  <c r="T93" i="24" s="1"/>
  <c r="S93" i="24" s="1"/>
  <c r="R93" i="24" s="1"/>
  <c r="U223" i="24"/>
  <c r="T223" i="24" s="1"/>
  <c r="S223" i="24" s="1"/>
  <c r="R223" i="24" s="1"/>
  <c r="U240" i="24"/>
  <c r="T240" i="24" s="1"/>
  <c r="S240" i="24" s="1"/>
  <c r="R240" i="24" s="1"/>
  <c r="H85" i="23"/>
  <c r="I85" i="23" s="1"/>
  <c r="H254" i="23"/>
  <c r="J254" i="23" s="1"/>
  <c r="BA16" i="7"/>
  <c r="U340" i="24"/>
  <c r="T340" i="24" s="1"/>
  <c r="S340" i="24" s="1"/>
  <c r="R340" i="24" s="1"/>
  <c r="U203" i="24"/>
  <c r="T203" i="24" s="1"/>
  <c r="S203" i="24" s="1"/>
  <c r="R203" i="24" s="1"/>
  <c r="U226" i="24"/>
  <c r="T226" i="24" s="1"/>
  <c r="S226" i="24" s="1"/>
  <c r="R226" i="24" s="1"/>
  <c r="U293" i="24"/>
  <c r="T293" i="24" s="1"/>
  <c r="S293" i="24" s="1"/>
  <c r="R293" i="24" s="1"/>
  <c r="U311" i="24"/>
  <c r="T311" i="24" s="1"/>
  <c r="S311" i="24" s="1"/>
  <c r="R311" i="24" s="1"/>
  <c r="U98" i="24"/>
  <c r="T98" i="24" s="1"/>
  <c r="S98" i="24" s="1"/>
  <c r="R98" i="24" s="1"/>
  <c r="U267" i="24"/>
  <c r="T267" i="24" s="1"/>
  <c r="S267" i="24" s="1"/>
  <c r="R267" i="24" s="1"/>
  <c r="U143" i="24"/>
  <c r="T143" i="24" s="1"/>
  <c r="S143" i="24" s="1"/>
  <c r="R143" i="24" s="1"/>
  <c r="U69" i="24"/>
  <c r="T69" i="24" s="1"/>
  <c r="S69" i="24" s="1"/>
  <c r="R69" i="24" s="1"/>
  <c r="U276" i="24"/>
  <c r="T276" i="24" s="1"/>
  <c r="S276" i="24" s="1"/>
  <c r="R276" i="24" s="1"/>
  <c r="U331" i="24"/>
  <c r="T331" i="24" s="1"/>
  <c r="S331" i="24" s="1"/>
  <c r="R331" i="24" s="1"/>
  <c r="U346" i="24"/>
  <c r="T346" i="24" s="1"/>
  <c r="S346" i="24" s="1"/>
  <c r="R346" i="24" s="1"/>
  <c r="U275" i="24"/>
  <c r="T275" i="24" s="1"/>
  <c r="S275" i="24" s="1"/>
  <c r="R275" i="24" s="1"/>
  <c r="U125" i="24"/>
  <c r="T125" i="24" s="1"/>
  <c r="S125" i="24" s="1"/>
  <c r="R125" i="24" s="1"/>
  <c r="U257" i="24"/>
  <c r="T257" i="24" s="1"/>
  <c r="S257" i="24" s="1"/>
  <c r="R257" i="24" s="1"/>
  <c r="U212" i="24"/>
  <c r="T212" i="24" s="1"/>
  <c r="S212" i="24" s="1"/>
  <c r="R212" i="24" s="1"/>
  <c r="U310" i="24"/>
  <c r="T310" i="24" s="1"/>
  <c r="S310" i="24" s="1"/>
  <c r="R310" i="24" s="1"/>
  <c r="U171" i="24"/>
  <c r="T171" i="24" s="1"/>
  <c r="S171" i="24" s="1"/>
  <c r="R171" i="24" s="1"/>
  <c r="U297" i="24"/>
  <c r="T297" i="24" s="1"/>
  <c r="S297" i="24" s="1"/>
  <c r="R297" i="24" s="1"/>
  <c r="U289" i="24"/>
  <c r="T289" i="24" s="1"/>
  <c r="S289" i="24" s="1"/>
  <c r="R289" i="24" s="1"/>
  <c r="U44" i="24"/>
  <c r="T44" i="24" s="1"/>
  <c r="S44" i="24" s="1"/>
  <c r="R44" i="24" s="1"/>
  <c r="U221" i="24"/>
  <c r="T221" i="24" s="1"/>
  <c r="S221" i="24" s="1"/>
  <c r="R221" i="24" s="1"/>
  <c r="U341" i="24"/>
  <c r="T341" i="24" s="1"/>
  <c r="S341" i="24" s="1"/>
  <c r="R341" i="24" s="1"/>
  <c r="U145" i="24"/>
  <c r="T145" i="24" s="1"/>
  <c r="S145" i="24" s="1"/>
  <c r="R145" i="24" s="1"/>
  <c r="U354" i="24"/>
  <c r="T354" i="24" s="1"/>
  <c r="S354" i="24" s="1"/>
  <c r="R354" i="24" s="1"/>
  <c r="U165" i="24"/>
  <c r="T165" i="24" s="1"/>
  <c r="S165" i="24" s="1"/>
  <c r="R165" i="24" s="1"/>
  <c r="U78" i="24"/>
  <c r="T78" i="24" s="1"/>
  <c r="S78" i="24" s="1"/>
  <c r="R78" i="24" s="1"/>
  <c r="U298" i="24"/>
  <c r="T298" i="24" s="1"/>
  <c r="S298" i="24" s="1"/>
  <c r="R298" i="24" s="1"/>
  <c r="U281" i="24"/>
  <c r="T281" i="24" s="1"/>
  <c r="S281" i="24" s="1"/>
  <c r="R281" i="24" s="1"/>
  <c r="U89" i="24"/>
  <c r="T89" i="24" s="1"/>
  <c r="S89" i="24" s="1"/>
  <c r="R89" i="24" s="1"/>
  <c r="U181" i="24"/>
  <c r="T181" i="24" s="1"/>
  <c r="S181" i="24" s="1"/>
  <c r="R181" i="24" s="1"/>
  <c r="U379" i="24"/>
  <c r="U12" i="25" s="1"/>
  <c r="U209" i="24"/>
  <c r="T209" i="24" s="1"/>
  <c r="S209" i="24" s="1"/>
  <c r="R209" i="24" s="1"/>
  <c r="U128" i="24"/>
  <c r="T128" i="24" s="1"/>
  <c r="S128" i="24" s="1"/>
  <c r="R128" i="24" s="1"/>
  <c r="U326" i="24"/>
  <c r="T326" i="24" s="1"/>
  <c r="S326" i="24" s="1"/>
  <c r="R326" i="24" s="1"/>
  <c r="U35" i="24"/>
  <c r="T35" i="24" s="1"/>
  <c r="S35" i="24" s="1"/>
  <c r="R35" i="24" s="1"/>
  <c r="U59" i="24"/>
  <c r="T59" i="24" s="1"/>
  <c r="S59" i="24" s="1"/>
  <c r="R59" i="24" s="1"/>
  <c r="U339" i="24"/>
  <c r="T339" i="24" s="1"/>
  <c r="S339" i="24" s="1"/>
  <c r="R339" i="24" s="1"/>
  <c r="U328" i="24"/>
  <c r="T328" i="24" s="1"/>
  <c r="S328" i="24" s="1"/>
  <c r="R328" i="24" s="1"/>
  <c r="U360" i="24"/>
  <c r="T360" i="24" s="1"/>
  <c r="S360" i="24" s="1"/>
  <c r="R360" i="24" s="1"/>
  <c r="U30" i="24"/>
  <c r="T30" i="24" s="1"/>
  <c r="S30" i="24" s="1"/>
  <c r="R30" i="24" s="1"/>
  <c r="U196" i="24"/>
  <c r="T196" i="24" s="1"/>
  <c r="S196" i="24" s="1"/>
  <c r="R196" i="24" s="1"/>
  <c r="U245" i="24"/>
  <c r="T245" i="24" s="1"/>
  <c r="S245" i="24" s="1"/>
  <c r="R245" i="24" s="1"/>
  <c r="U123" i="24"/>
  <c r="T123" i="24" s="1"/>
  <c r="S123" i="24" s="1"/>
  <c r="R123" i="24" s="1"/>
  <c r="U187" i="24"/>
  <c r="T187" i="24" s="1"/>
  <c r="S187" i="24" s="1"/>
  <c r="R187" i="24" s="1"/>
  <c r="U304" i="24"/>
  <c r="T304" i="24" s="1"/>
  <c r="S304" i="24" s="1"/>
  <c r="R304" i="24" s="1"/>
  <c r="U375" i="24"/>
  <c r="T375" i="24" s="1"/>
  <c r="S375" i="24" s="1"/>
  <c r="R375" i="24" s="1"/>
  <c r="U208" i="24"/>
  <c r="T208" i="24" s="1"/>
  <c r="S208" i="24" s="1"/>
  <c r="R208" i="24" s="1"/>
  <c r="U219" i="24"/>
  <c r="T219" i="24" s="1"/>
  <c r="S219" i="24" s="1"/>
  <c r="R219" i="24" s="1"/>
  <c r="U102" i="24"/>
  <c r="T102" i="24" s="1"/>
  <c r="S102" i="24" s="1"/>
  <c r="R102" i="24" s="1"/>
  <c r="U373" i="24"/>
  <c r="T373" i="24" s="1"/>
  <c r="S373" i="24" s="1"/>
  <c r="R373" i="24" s="1"/>
  <c r="U312" i="24"/>
  <c r="T312" i="24" s="1"/>
  <c r="S312" i="24" s="1"/>
  <c r="R312" i="24" s="1"/>
  <c r="U237" i="24"/>
  <c r="T237" i="24" s="1"/>
  <c r="S237" i="24" s="1"/>
  <c r="R237" i="24" s="1"/>
  <c r="U71" i="24"/>
  <c r="T71" i="24" s="1"/>
  <c r="S71" i="24" s="1"/>
  <c r="R71" i="24" s="1"/>
  <c r="U184" i="24"/>
  <c r="T184" i="24" s="1"/>
  <c r="S184" i="24" s="1"/>
  <c r="R184" i="24" s="1"/>
  <c r="U268" i="24"/>
  <c r="T268" i="24" s="1"/>
  <c r="S268" i="24" s="1"/>
  <c r="R268" i="24" s="1"/>
  <c r="U126" i="24"/>
  <c r="T126" i="24" s="1"/>
  <c r="S126" i="24" s="1"/>
  <c r="R126" i="24" s="1"/>
  <c r="U205" i="24"/>
  <c r="T205" i="24" s="1"/>
  <c r="S205" i="24" s="1"/>
  <c r="R205" i="24" s="1"/>
  <c r="U367" i="24"/>
  <c r="T367" i="24" s="1"/>
  <c r="S367" i="24" s="1"/>
  <c r="R367" i="24" s="1"/>
  <c r="U57" i="24"/>
  <c r="T57" i="24" s="1"/>
  <c r="S57" i="24" s="1"/>
  <c r="R57" i="24" s="1"/>
  <c r="U124" i="24"/>
  <c r="T124" i="24" s="1"/>
  <c r="S124" i="24" s="1"/>
  <c r="R124" i="24" s="1"/>
  <c r="U250" i="24"/>
  <c r="T250" i="24" s="1"/>
  <c r="S250" i="24" s="1"/>
  <c r="R250" i="24" s="1"/>
  <c r="U264" i="24"/>
  <c r="T264" i="24" s="1"/>
  <c r="S264" i="24" s="1"/>
  <c r="R264" i="24" s="1"/>
  <c r="U113" i="24"/>
  <c r="T113" i="24" s="1"/>
  <c r="S113" i="24" s="1"/>
  <c r="R113" i="24" s="1"/>
  <c r="U137" i="24"/>
  <c r="T137" i="24" s="1"/>
  <c r="S137" i="24" s="1"/>
  <c r="R137" i="24" s="1"/>
  <c r="U348" i="24"/>
  <c r="T348" i="24" s="1"/>
  <c r="S348" i="24" s="1"/>
  <c r="R348" i="24" s="1"/>
  <c r="U36" i="24"/>
  <c r="T36" i="24" s="1"/>
  <c r="S36" i="24" s="1"/>
  <c r="R36" i="24" s="1"/>
  <c r="U261" i="24"/>
  <c r="T261" i="24" s="1"/>
  <c r="S261" i="24" s="1"/>
  <c r="R261" i="24" s="1"/>
  <c r="U246" i="24"/>
  <c r="T246" i="24" s="1"/>
  <c r="S246" i="24" s="1"/>
  <c r="R246" i="24" s="1"/>
  <c r="U87" i="24"/>
  <c r="T87" i="24" s="1"/>
  <c r="S87" i="24" s="1"/>
  <c r="R87" i="24" s="1"/>
  <c r="U260" i="24"/>
  <c r="T260" i="24" s="1"/>
  <c r="S260" i="24" s="1"/>
  <c r="R260" i="24" s="1"/>
  <c r="U217" i="24"/>
  <c r="T217" i="24" s="1"/>
  <c r="S217" i="24" s="1"/>
  <c r="R217" i="24" s="1"/>
  <c r="U149" i="24"/>
  <c r="T149" i="24" s="1"/>
  <c r="S149" i="24" s="1"/>
  <c r="R149" i="24" s="1"/>
  <c r="U251" i="24"/>
  <c r="T251" i="24" s="1"/>
  <c r="S251" i="24" s="1"/>
  <c r="R251" i="24" s="1"/>
  <c r="U166" i="24"/>
  <c r="T166" i="24" s="1"/>
  <c r="S166" i="24" s="1"/>
  <c r="R166" i="24" s="1"/>
  <c r="U32" i="24"/>
  <c r="T32" i="24" s="1"/>
  <c r="S32" i="24" s="1"/>
  <c r="R32" i="24" s="1"/>
  <c r="U200" i="24"/>
  <c r="T200" i="24" s="1"/>
  <c r="S200" i="24" s="1"/>
  <c r="R200" i="24" s="1"/>
  <c r="U369" i="24"/>
  <c r="T369" i="24" s="1"/>
  <c r="S369" i="24" s="1"/>
  <c r="R369" i="24" s="1"/>
  <c r="U52" i="24"/>
  <c r="T52" i="24" s="1"/>
  <c r="S52" i="24" s="1"/>
  <c r="R52" i="24" s="1"/>
  <c r="U278" i="24"/>
  <c r="T278" i="24" s="1"/>
  <c r="S278" i="24" s="1"/>
  <c r="R278" i="24" s="1"/>
  <c r="U118" i="24"/>
  <c r="T118" i="24" s="1"/>
  <c r="S118" i="24" s="1"/>
  <c r="R118" i="24" s="1"/>
  <c r="U34" i="24"/>
  <c r="T34" i="24" s="1"/>
  <c r="S34" i="24" s="1"/>
  <c r="R34" i="24" s="1"/>
  <c r="U325" i="24"/>
  <c r="T325" i="24" s="1"/>
  <c r="S325" i="24" s="1"/>
  <c r="R325" i="24" s="1"/>
  <c r="U169" i="24"/>
  <c r="T169" i="24" s="1"/>
  <c r="S169" i="24" s="1"/>
  <c r="R169" i="24" s="1"/>
  <c r="H52" i="23"/>
  <c r="J52" i="23" s="1"/>
  <c r="U204" i="24"/>
  <c r="T204" i="24" s="1"/>
  <c r="S204" i="24" s="1"/>
  <c r="R204" i="24" s="1"/>
  <c r="U61" i="24"/>
  <c r="T61" i="24" s="1"/>
  <c r="S61" i="24" s="1"/>
  <c r="R61" i="24" s="1"/>
  <c r="U308" i="24"/>
  <c r="T308" i="24" s="1"/>
  <c r="S308" i="24" s="1"/>
  <c r="R308" i="24" s="1"/>
  <c r="U229" i="24"/>
  <c r="T229" i="24" s="1"/>
  <c r="S229" i="24" s="1"/>
  <c r="R229" i="24" s="1"/>
  <c r="U374" i="24"/>
  <c r="T374" i="24" s="1"/>
  <c r="S374" i="24" s="1"/>
  <c r="R374" i="24" s="1"/>
  <c r="U372" i="24"/>
  <c r="T372" i="24" s="1"/>
  <c r="S372" i="24" s="1"/>
  <c r="R372" i="24" s="1"/>
  <c r="U214" i="24"/>
  <c r="T214" i="24" s="1"/>
  <c r="S214" i="24" s="1"/>
  <c r="R214" i="24" s="1"/>
  <c r="U365" i="24"/>
  <c r="T365" i="24" s="1"/>
  <c r="S365" i="24" s="1"/>
  <c r="R365" i="24" s="1"/>
  <c r="U249" i="24"/>
  <c r="T249" i="24" s="1"/>
  <c r="S249" i="24" s="1"/>
  <c r="R249" i="24" s="1"/>
  <c r="U277" i="24"/>
  <c r="T277" i="24" s="1"/>
  <c r="S277" i="24" s="1"/>
  <c r="R277" i="24" s="1"/>
  <c r="U186" i="24"/>
  <c r="T186" i="24" s="1"/>
  <c r="S186" i="24" s="1"/>
  <c r="R186" i="24" s="1"/>
  <c r="U333" i="24"/>
  <c r="T333" i="24" s="1"/>
  <c r="S333" i="24" s="1"/>
  <c r="R333" i="24" s="1"/>
  <c r="U54" i="24"/>
  <c r="T54" i="24" s="1"/>
  <c r="S54" i="24" s="1"/>
  <c r="R54" i="24" s="1"/>
  <c r="U233" i="24"/>
  <c r="T233" i="24" s="1"/>
  <c r="S233" i="24" s="1"/>
  <c r="R233" i="24" s="1"/>
  <c r="U162" i="24"/>
  <c r="T162" i="24" s="1"/>
  <c r="S162" i="24" s="1"/>
  <c r="R162" i="24" s="1"/>
  <c r="U131" i="24"/>
  <c r="T131" i="24" s="1"/>
  <c r="S131" i="24" s="1"/>
  <c r="R131" i="24" s="1"/>
  <c r="U352" i="24"/>
  <c r="T352" i="24" s="1"/>
  <c r="S352" i="24" s="1"/>
  <c r="R352" i="24" s="1"/>
  <c r="U28" i="24"/>
  <c r="T28" i="24" s="1"/>
  <c r="S28" i="24" s="1"/>
  <c r="R28" i="24" s="1"/>
  <c r="U106" i="24"/>
  <c r="T106" i="24" s="1"/>
  <c r="S106" i="24" s="1"/>
  <c r="R106" i="24" s="1"/>
  <c r="U345" i="24"/>
  <c r="T345" i="24" s="1"/>
  <c r="S345" i="24" s="1"/>
  <c r="R345" i="24" s="1"/>
  <c r="U300" i="24"/>
  <c r="T300" i="24" s="1"/>
  <c r="S300" i="24" s="1"/>
  <c r="R300" i="24" s="1"/>
  <c r="U139" i="24"/>
  <c r="T139" i="24" s="1"/>
  <c r="S139" i="24" s="1"/>
  <c r="R139" i="24" s="1"/>
  <c r="U26" i="24"/>
  <c r="T26" i="24" s="1"/>
  <c r="S26" i="24" s="1"/>
  <c r="R26" i="24" s="1"/>
  <c r="U273" i="24"/>
  <c r="T273" i="24" s="1"/>
  <c r="S273" i="24" s="1"/>
  <c r="R273" i="24" s="1"/>
  <c r="U279" i="24"/>
  <c r="T279" i="24" s="1"/>
  <c r="S279" i="24" s="1"/>
  <c r="R279" i="24" s="1"/>
  <c r="U158" i="24"/>
  <c r="T158" i="24" s="1"/>
  <c r="S158" i="24" s="1"/>
  <c r="R158" i="24" s="1"/>
  <c r="U141" i="24"/>
  <c r="T141" i="24" s="1"/>
  <c r="S141" i="24" s="1"/>
  <c r="R141" i="24" s="1"/>
  <c r="U225" i="24"/>
  <c r="T225" i="24" s="1"/>
  <c r="S225" i="24" s="1"/>
  <c r="R225" i="24" s="1"/>
  <c r="U247" i="24"/>
  <c r="T247" i="24" s="1"/>
  <c r="S247" i="24" s="1"/>
  <c r="R247" i="24" s="1"/>
  <c r="U122" i="24"/>
  <c r="T122" i="24" s="1"/>
  <c r="S122" i="24" s="1"/>
  <c r="R122" i="24" s="1"/>
  <c r="U77" i="24"/>
  <c r="T77" i="24" s="1"/>
  <c r="S77" i="24" s="1"/>
  <c r="R77" i="24" s="1"/>
  <c r="U282" i="24"/>
  <c r="T282" i="24" s="1"/>
  <c r="S282" i="24" s="1"/>
  <c r="R282" i="24" s="1"/>
  <c r="U269" i="24"/>
  <c r="T269" i="24" s="1"/>
  <c r="S269" i="24" s="1"/>
  <c r="R269" i="24" s="1"/>
  <c r="U353" i="24"/>
  <c r="T353" i="24" s="1"/>
  <c r="S353" i="24" s="1"/>
  <c r="R353" i="24" s="1"/>
  <c r="U73" i="24"/>
  <c r="T73" i="24" s="1"/>
  <c r="S73" i="24" s="1"/>
  <c r="R73" i="24" s="1"/>
  <c r="U242" i="24"/>
  <c r="T242" i="24" s="1"/>
  <c r="S242" i="24" s="1"/>
  <c r="R242" i="24" s="1"/>
  <c r="U241" i="24"/>
  <c r="T241" i="24" s="1"/>
  <c r="S241" i="24" s="1"/>
  <c r="R241" i="24" s="1"/>
  <c r="U253" i="24"/>
  <c r="T253" i="24" s="1"/>
  <c r="S253" i="24" s="1"/>
  <c r="R253" i="24" s="1"/>
  <c r="U359" i="24"/>
  <c r="T359" i="24" s="1"/>
  <c r="S359" i="24" s="1"/>
  <c r="R359" i="24" s="1"/>
  <c r="U189" i="24"/>
  <c r="T189" i="24" s="1"/>
  <c r="S189" i="24" s="1"/>
  <c r="R189" i="24" s="1"/>
  <c r="U299" i="24"/>
  <c r="T299" i="24" s="1"/>
  <c r="S299" i="24" s="1"/>
  <c r="R299" i="24" s="1"/>
  <c r="U120" i="24"/>
  <c r="T120" i="24" s="1"/>
  <c r="S120" i="24" s="1"/>
  <c r="R120" i="24" s="1"/>
  <c r="U329" i="24"/>
  <c r="T329" i="24" s="1"/>
  <c r="S329" i="24" s="1"/>
  <c r="R329" i="24" s="1"/>
  <c r="U70" i="24"/>
  <c r="T70" i="24" s="1"/>
  <c r="S70" i="24" s="1"/>
  <c r="R70" i="24" s="1"/>
  <c r="U363" i="24"/>
  <c r="T363" i="24" s="1"/>
  <c r="S363" i="24" s="1"/>
  <c r="R363" i="24" s="1"/>
  <c r="U175" i="24"/>
  <c r="T175" i="24" s="1"/>
  <c r="S175" i="24" s="1"/>
  <c r="R175" i="24" s="1"/>
  <c r="U270" i="24"/>
  <c r="T270" i="24" s="1"/>
  <c r="S270" i="24" s="1"/>
  <c r="R270" i="24" s="1"/>
  <c r="U334" i="24"/>
  <c r="T334" i="24" s="1"/>
  <c r="S334" i="24" s="1"/>
  <c r="R334" i="24" s="1"/>
  <c r="U39" i="24"/>
  <c r="T39" i="24" s="1"/>
  <c r="S39" i="24" s="1"/>
  <c r="R39" i="24" s="1"/>
  <c r="U315" i="24"/>
  <c r="T315" i="24" s="1"/>
  <c r="S315" i="24" s="1"/>
  <c r="R315" i="24" s="1"/>
  <c r="H48" i="23"/>
  <c r="I48" i="23" s="1"/>
  <c r="H208" i="23"/>
  <c r="J208" i="23" s="1"/>
  <c r="H339" i="23"/>
  <c r="J339" i="23" s="1"/>
  <c r="H148" i="23"/>
  <c r="J148" i="23" s="1"/>
  <c r="H128" i="23"/>
  <c r="J128" i="23" s="1"/>
  <c r="J177" i="22"/>
  <c r="J177" i="23" s="1"/>
  <c r="H101" i="23"/>
  <c r="J101" i="23" s="1"/>
  <c r="H136" i="23"/>
  <c r="J136" i="23" s="1"/>
  <c r="H358" i="23"/>
  <c r="I358" i="23" s="1"/>
  <c r="H98" i="23"/>
  <c r="J98" i="23" s="1"/>
  <c r="H255" i="23"/>
  <c r="J255" i="23" s="1"/>
  <c r="H262" i="23"/>
  <c r="J262" i="23" s="1"/>
  <c r="H314" i="23"/>
  <c r="J314" i="23" s="1"/>
  <c r="H231" i="23"/>
  <c r="J231" i="23" s="1"/>
  <c r="H352" i="23"/>
  <c r="I352" i="23" s="1"/>
  <c r="H309" i="23"/>
  <c r="J309" i="23" s="1"/>
  <c r="H297" i="23"/>
  <c r="I297" i="23" s="1"/>
  <c r="H145" i="23"/>
  <c r="J145" i="23" s="1"/>
  <c r="G221" i="23"/>
  <c r="CD221" i="6" s="1"/>
  <c r="G35" i="23"/>
  <c r="CD35" i="6" s="1"/>
  <c r="G379" i="22"/>
  <c r="CC379" i="6" s="1"/>
  <c r="H214" i="23"/>
  <c r="I214" i="23" s="1"/>
  <c r="H112" i="23"/>
  <c r="I112" i="23" s="1"/>
  <c r="H253" i="23"/>
  <c r="J253" i="23" s="1"/>
  <c r="H201" i="23"/>
  <c r="I201" i="23" s="1"/>
  <c r="H66" i="23"/>
  <c r="I66" i="23" s="1"/>
  <c r="H86" i="23"/>
  <c r="J86" i="23" s="1"/>
  <c r="H83" i="23"/>
  <c r="J83" i="23" s="1"/>
  <c r="H116" i="23"/>
  <c r="J116" i="23" s="1"/>
  <c r="H278" i="23"/>
  <c r="J278" i="23" s="1"/>
  <c r="H81" i="23"/>
  <c r="I81" i="23" s="1"/>
  <c r="H103" i="23"/>
  <c r="J103" i="23" s="1"/>
  <c r="H71" i="23"/>
  <c r="J71" i="23" s="1"/>
  <c r="H179" i="23"/>
  <c r="J179" i="23" s="1"/>
  <c r="H269" i="23"/>
  <c r="J269" i="23" s="1"/>
  <c r="D42" i="19"/>
  <c r="H64" i="23"/>
  <c r="I64" i="23" s="1"/>
  <c r="H168" i="23"/>
  <c r="I168" i="23" s="1"/>
  <c r="H58" i="23"/>
  <c r="I58" i="23" s="1"/>
  <c r="H95" i="23"/>
  <c r="J95" i="23" s="1"/>
  <c r="B60" i="23"/>
  <c r="W60" i="23" s="1"/>
  <c r="H38" i="23"/>
  <c r="I38" i="23" s="1"/>
  <c r="H172" i="23"/>
  <c r="J172" i="23" s="1"/>
  <c r="H22" i="23"/>
  <c r="I22" i="23" s="1"/>
  <c r="H127" i="23"/>
  <c r="I127" i="23" s="1"/>
  <c r="H126" i="23"/>
  <c r="J126" i="23" s="1"/>
  <c r="H308" i="23"/>
  <c r="I308" i="23" s="1"/>
  <c r="H158" i="23"/>
  <c r="J158" i="23" s="1"/>
  <c r="H106" i="23"/>
  <c r="I106" i="23" s="1"/>
  <c r="H225" i="23"/>
  <c r="J225" i="23" s="1"/>
  <c r="H169" i="23"/>
  <c r="J169" i="23" s="1"/>
  <c r="H90" i="23"/>
  <c r="I90" i="23" s="1"/>
  <c r="H67" i="23"/>
  <c r="I67" i="23" s="1"/>
  <c r="H206" i="23"/>
  <c r="I206" i="23" s="1"/>
  <c r="H289" i="23"/>
  <c r="J289" i="23" s="1"/>
  <c r="H264" i="23"/>
  <c r="J264" i="23" s="1"/>
  <c r="H239" i="23"/>
  <c r="I239" i="23" s="1"/>
  <c r="H369" i="23"/>
  <c r="J369" i="23" s="1"/>
  <c r="H24" i="23"/>
  <c r="I24" i="23" s="1"/>
  <c r="H104" i="23"/>
  <c r="J104" i="23" s="1"/>
  <c r="H122" i="23"/>
  <c r="I122" i="23" s="1"/>
  <c r="H375" i="23"/>
  <c r="J375" i="23" s="1"/>
  <c r="H21" i="23"/>
  <c r="J21" i="23" s="1"/>
  <c r="H301" i="23"/>
  <c r="I301" i="23" s="1"/>
  <c r="U53" i="24"/>
  <c r="T53" i="24" s="1"/>
  <c r="S53" i="24" s="1"/>
  <c r="R53" i="24" s="1"/>
  <c r="U236" i="24"/>
  <c r="T236" i="24" s="1"/>
  <c r="S236" i="24" s="1"/>
  <c r="R236" i="24" s="1"/>
  <c r="U285" i="24"/>
  <c r="T285" i="24" s="1"/>
  <c r="S285" i="24" s="1"/>
  <c r="R285" i="24" s="1"/>
  <c r="U361" i="24"/>
  <c r="T361" i="24" s="1"/>
  <c r="S361" i="24" s="1"/>
  <c r="R361" i="24" s="1"/>
  <c r="U159" i="24"/>
  <c r="T159" i="24" s="1"/>
  <c r="S159" i="24" s="1"/>
  <c r="R159" i="24" s="1"/>
  <c r="U22" i="24"/>
  <c r="T22" i="24" s="1"/>
  <c r="S22" i="24" s="1"/>
  <c r="R22" i="24" s="1"/>
  <c r="U194" i="24"/>
  <c r="T194" i="24" s="1"/>
  <c r="S194" i="24" s="1"/>
  <c r="R194" i="24" s="1"/>
  <c r="U206" i="24"/>
  <c r="T206" i="24" s="1"/>
  <c r="S206" i="24" s="1"/>
  <c r="R206" i="24" s="1"/>
  <c r="U25" i="24"/>
  <c r="T25" i="24" s="1"/>
  <c r="S25" i="24" s="1"/>
  <c r="R25" i="24" s="1"/>
  <c r="U135" i="24"/>
  <c r="T135" i="24" s="1"/>
  <c r="S135" i="24" s="1"/>
  <c r="R135" i="24" s="1"/>
  <c r="U234" i="24"/>
  <c r="T234" i="24" s="1"/>
  <c r="S234" i="24" s="1"/>
  <c r="R234" i="24" s="1"/>
  <c r="U238" i="24"/>
  <c r="T238" i="24" s="1"/>
  <c r="S238" i="24" s="1"/>
  <c r="R238" i="24" s="1"/>
  <c r="U46" i="24"/>
  <c r="T46" i="24" s="1"/>
  <c r="S46" i="24" s="1"/>
  <c r="R46" i="24" s="1"/>
  <c r="U153" i="24"/>
  <c r="T153" i="24" s="1"/>
  <c r="S153" i="24" s="1"/>
  <c r="R153" i="24" s="1"/>
  <c r="U23" i="24"/>
  <c r="T23" i="24" s="1"/>
  <c r="S23" i="24" s="1"/>
  <c r="R23" i="24" s="1"/>
  <c r="U157" i="24"/>
  <c r="T157" i="24" s="1"/>
  <c r="S157" i="24" s="1"/>
  <c r="R157" i="24" s="1"/>
  <c r="U179" i="24"/>
  <c r="T179" i="24" s="1"/>
  <c r="S179" i="24" s="1"/>
  <c r="R179" i="24" s="1"/>
  <c r="U108" i="24"/>
  <c r="T108" i="24" s="1"/>
  <c r="S108" i="24" s="1"/>
  <c r="R108" i="24" s="1"/>
  <c r="U76" i="24"/>
  <c r="T76" i="24" s="1"/>
  <c r="S76" i="24" s="1"/>
  <c r="R76" i="24" s="1"/>
  <c r="U117" i="24"/>
  <c r="T117" i="24" s="1"/>
  <c r="S117" i="24" s="1"/>
  <c r="R117" i="24" s="1"/>
  <c r="U323" i="24"/>
  <c r="T323" i="24" s="1"/>
  <c r="S323" i="24" s="1"/>
  <c r="R323" i="24" s="1"/>
  <c r="U16" i="24"/>
  <c r="T16" i="24" s="1"/>
  <c r="S16" i="24" s="1"/>
  <c r="R16" i="24" s="1"/>
  <c r="U178" i="24"/>
  <c r="T178" i="24" s="1"/>
  <c r="S178" i="24" s="1"/>
  <c r="R178" i="24" s="1"/>
  <c r="U133" i="24"/>
  <c r="T133" i="24" s="1"/>
  <c r="S133" i="24" s="1"/>
  <c r="R133" i="24" s="1"/>
  <c r="U350" i="24"/>
  <c r="T350" i="24" s="1"/>
  <c r="S350" i="24" s="1"/>
  <c r="R350" i="24" s="1"/>
  <c r="U161" i="24"/>
  <c r="T161" i="24" s="1"/>
  <c r="S161" i="24" s="1"/>
  <c r="R161" i="24" s="1"/>
  <c r="U132" i="24"/>
  <c r="T132" i="24" s="1"/>
  <c r="S132" i="24" s="1"/>
  <c r="R132" i="24" s="1"/>
  <c r="U342" i="24"/>
  <c r="T342" i="24" s="1"/>
  <c r="S342" i="24" s="1"/>
  <c r="R342" i="24" s="1"/>
  <c r="U110" i="24"/>
  <c r="T110" i="24" s="1"/>
  <c r="S110" i="24" s="1"/>
  <c r="R110" i="24" s="1"/>
  <c r="U105" i="24"/>
  <c r="T105" i="24" s="1"/>
  <c r="S105" i="24" s="1"/>
  <c r="R105" i="24" s="1"/>
  <c r="U330" i="24"/>
  <c r="T330" i="24" s="1"/>
  <c r="S330" i="24" s="1"/>
  <c r="R330" i="24" s="1"/>
  <c r="U210" i="24"/>
  <c r="T210" i="24" s="1"/>
  <c r="S210" i="24" s="1"/>
  <c r="R210" i="24" s="1"/>
  <c r="U377" i="24"/>
  <c r="T377" i="24" s="1"/>
  <c r="S377" i="24" s="1"/>
  <c r="R377" i="24" s="1"/>
  <c r="U63" i="24"/>
  <c r="T63" i="24" s="1"/>
  <c r="S63" i="24" s="1"/>
  <c r="R63" i="24" s="1"/>
  <c r="U368" i="24"/>
  <c r="T368" i="24" s="1"/>
  <c r="S368" i="24" s="1"/>
  <c r="R368" i="24" s="1"/>
  <c r="U222" i="24"/>
  <c r="T222" i="24" s="1"/>
  <c r="S222" i="24" s="1"/>
  <c r="R222" i="24" s="1"/>
  <c r="U303" i="24"/>
  <c r="T303" i="24" s="1"/>
  <c r="S303" i="24" s="1"/>
  <c r="R303" i="24" s="1"/>
  <c r="U155" i="24"/>
  <c r="T155" i="24" s="1"/>
  <c r="S155" i="24" s="1"/>
  <c r="R155" i="24" s="1"/>
  <c r="U271" i="24"/>
  <c r="T271" i="24" s="1"/>
  <c r="S271" i="24" s="1"/>
  <c r="R271" i="24" s="1"/>
  <c r="U91" i="24"/>
  <c r="T91" i="24" s="1"/>
  <c r="S91" i="24" s="1"/>
  <c r="R91" i="24" s="1"/>
  <c r="U314" i="24"/>
  <c r="T314" i="24" s="1"/>
  <c r="S314" i="24" s="1"/>
  <c r="R314" i="24" s="1"/>
  <c r="U160" i="24"/>
  <c r="T160" i="24" s="1"/>
  <c r="S160" i="24" s="1"/>
  <c r="R160" i="24" s="1"/>
  <c r="U24" i="24"/>
  <c r="T24" i="24" s="1"/>
  <c r="S24" i="24" s="1"/>
  <c r="R24" i="24" s="1"/>
  <c r="U81" i="24"/>
  <c r="T81" i="24" s="1"/>
  <c r="S81" i="24" s="1"/>
  <c r="R81" i="24" s="1"/>
  <c r="U199" i="24"/>
  <c r="T199" i="24" s="1"/>
  <c r="S199" i="24" s="1"/>
  <c r="R199" i="24" s="1"/>
  <c r="U130" i="24"/>
  <c r="T130" i="24" s="1"/>
  <c r="S130" i="24" s="1"/>
  <c r="R130" i="24" s="1"/>
  <c r="U163" i="24"/>
  <c r="T163" i="24" s="1"/>
  <c r="S163" i="24" s="1"/>
  <c r="R163" i="24" s="1"/>
  <c r="U144" i="24"/>
  <c r="T144" i="24" s="1"/>
  <c r="S144" i="24" s="1"/>
  <c r="R144" i="24" s="1"/>
  <c r="U170" i="24"/>
  <c r="T170" i="24" s="1"/>
  <c r="S170" i="24" s="1"/>
  <c r="R170" i="24" s="1"/>
  <c r="U207" i="24"/>
  <c r="T207" i="24" s="1"/>
  <c r="S207" i="24" s="1"/>
  <c r="R207" i="24" s="1"/>
  <c r="U83" i="24"/>
  <c r="T83" i="24" s="1"/>
  <c r="S83" i="24" s="1"/>
  <c r="R83" i="24" s="1"/>
  <c r="U146" i="24"/>
  <c r="T146" i="24" s="1"/>
  <c r="S146" i="24" s="1"/>
  <c r="R146" i="24" s="1"/>
  <c r="U67" i="24"/>
  <c r="T67" i="24" s="1"/>
  <c r="S67" i="24" s="1"/>
  <c r="R67" i="24" s="1"/>
  <c r="U49" i="24"/>
  <c r="T49" i="24" s="1"/>
  <c r="S49" i="24" s="1"/>
  <c r="R49" i="24" s="1"/>
  <c r="U109" i="24"/>
  <c r="T109" i="24" s="1"/>
  <c r="S109" i="24" s="1"/>
  <c r="R109" i="24" s="1"/>
  <c r="U90" i="24"/>
  <c r="T90" i="24" s="1"/>
  <c r="S90" i="24" s="1"/>
  <c r="R90" i="24" s="1"/>
  <c r="U40" i="24"/>
  <c r="T40" i="24" s="1"/>
  <c r="S40" i="24" s="1"/>
  <c r="R40" i="24" s="1"/>
  <c r="U347" i="24"/>
  <c r="T347" i="24" s="1"/>
  <c r="S347" i="24" s="1"/>
  <c r="R347" i="24" s="1"/>
  <c r="U96" i="24"/>
  <c r="T96" i="24" s="1"/>
  <c r="S96" i="24" s="1"/>
  <c r="R96" i="24" s="1"/>
  <c r="U337" i="24"/>
  <c r="T337" i="24" s="1"/>
  <c r="S337" i="24" s="1"/>
  <c r="R337" i="24" s="1"/>
  <c r="U244" i="24"/>
  <c r="T244" i="24" s="1"/>
  <c r="S244" i="24" s="1"/>
  <c r="R244" i="24" s="1"/>
  <c r="U287" i="24"/>
  <c r="T287" i="24" s="1"/>
  <c r="S287" i="24" s="1"/>
  <c r="R287" i="24" s="1"/>
  <c r="U255" i="24"/>
  <c r="T255" i="24" s="1"/>
  <c r="S255" i="24" s="1"/>
  <c r="R255" i="24" s="1"/>
  <c r="U190" i="24"/>
  <c r="T190" i="24" s="1"/>
  <c r="S190" i="24" s="1"/>
  <c r="R190" i="24" s="1"/>
  <c r="U283" i="24"/>
  <c r="T283" i="24" s="1"/>
  <c r="S283" i="24" s="1"/>
  <c r="R283" i="24" s="1"/>
  <c r="U150" i="24"/>
  <c r="T150" i="24" s="1"/>
  <c r="S150" i="24" s="1"/>
  <c r="R150" i="24" s="1"/>
  <c r="U47" i="24"/>
  <c r="T47" i="24" s="1"/>
  <c r="S47" i="24" s="1"/>
  <c r="R47" i="24" s="1"/>
  <c r="U343" i="24"/>
  <c r="T343" i="24" s="1"/>
  <c r="S343" i="24" s="1"/>
  <c r="R343" i="24" s="1"/>
  <c r="U272" i="24"/>
  <c r="T272" i="24" s="1"/>
  <c r="S272" i="24" s="1"/>
  <c r="R272" i="24" s="1"/>
  <c r="U292" i="24"/>
  <c r="T292" i="24" s="1"/>
  <c r="S292" i="24" s="1"/>
  <c r="R292" i="24" s="1"/>
  <c r="U42" i="24"/>
  <c r="T42" i="24" s="1"/>
  <c r="S42" i="24" s="1"/>
  <c r="R42" i="24" s="1"/>
  <c r="U252" i="24"/>
  <c r="T252" i="24" s="1"/>
  <c r="S252" i="24" s="1"/>
  <c r="R252" i="24" s="1"/>
  <c r="U92" i="24"/>
  <c r="T92" i="24" s="1"/>
  <c r="S92" i="24" s="1"/>
  <c r="R92" i="24" s="1"/>
  <c r="U288" i="24"/>
  <c r="T288" i="24" s="1"/>
  <c r="S288" i="24" s="1"/>
  <c r="R288" i="24" s="1"/>
  <c r="U305" i="24"/>
  <c r="T305" i="24" s="1"/>
  <c r="S305" i="24" s="1"/>
  <c r="R305" i="24" s="1"/>
  <c r="U72" i="24"/>
  <c r="T72" i="24" s="1"/>
  <c r="S72" i="24" s="1"/>
  <c r="R72" i="24" s="1"/>
  <c r="U243" i="24"/>
  <c r="T243" i="24" s="1"/>
  <c r="S243" i="24" s="1"/>
  <c r="R243" i="24" s="1"/>
  <c r="U29" i="24"/>
  <c r="T29" i="24" s="1"/>
  <c r="S29" i="24" s="1"/>
  <c r="R29" i="24" s="1"/>
  <c r="U142" i="24"/>
  <c r="T142" i="24" s="1"/>
  <c r="S142" i="24" s="1"/>
  <c r="R142" i="24" s="1"/>
  <c r="U332" i="24"/>
  <c r="T332" i="24" s="1"/>
  <c r="S332" i="24" s="1"/>
  <c r="R332" i="24" s="1"/>
  <c r="U148" i="24"/>
  <c r="T148" i="24" s="1"/>
  <c r="S148" i="24" s="1"/>
  <c r="R148" i="24" s="1"/>
  <c r="U248" i="24"/>
  <c r="T248" i="24" s="1"/>
  <c r="S248" i="24" s="1"/>
  <c r="R248" i="24" s="1"/>
  <c r="U216" i="24"/>
  <c r="T216" i="24" s="1"/>
  <c r="S216" i="24" s="1"/>
  <c r="R216" i="24" s="1"/>
  <c r="U218" i="24"/>
  <c r="T218" i="24" s="1"/>
  <c r="S218" i="24" s="1"/>
  <c r="R218" i="24" s="1"/>
  <c r="U296" i="24"/>
  <c r="T296" i="24" s="1"/>
  <c r="S296" i="24" s="1"/>
  <c r="R296" i="24" s="1"/>
  <c r="U62" i="24"/>
  <c r="T62" i="24" s="1"/>
  <c r="S62" i="24" s="1"/>
  <c r="R62" i="24" s="1"/>
  <c r="U65" i="24"/>
  <c r="T65" i="24" s="1"/>
  <c r="S65" i="24" s="1"/>
  <c r="R65" i="24" s="1"/>
  <c r="U33" i="24"/>
  <c r="T33" i="24" s="1"/>
  <c r="S33" i="24" s="1"/>
  <c r="R33" i="24" s="1"/>
  <c r="U85" i="24"/>
  <c r="T85" i="24" s="1"/>
  <c r="S85" i="24" s="1"/>
  <c r="R85" i="24" s="1"/>
  <c r="U231" i="24"/>
  <c r="T231" i="24" s="1"/>
  <c r="S231" i="24" s="1"/>
  <c r="R231" i="24" s="1"/>
  <c r="U136" i="24"/>
  <c r="T136" i="24" s="1"/>
  <c r="S136" i="24" s="1"/>
  <c r="R136" i="24" s="1"/>
  <c r="U31" i="24"/>
  <c r="T31" i="24" s="1"/>
  <c r="S31" i="24" s="1"/>
  <c r="R31" i="24" s="1"/>
  <c r="U313" i="24"/>
  <c r="T313" i="24" s="1"/>
  <c r="S313" i="24" s="1"/>
  <c r="R313" i="24" s="1"/>
  <c r="U370" i="24"/>
  <c r="T370" i="24" s="1"/>
  <c r="S370" i="24" s="1"/>
  <c r="R370" i="24" s="1"/>
  <c r="U101" i="24"/>
  <c r="T101" i="24" s="1"/>
  <c r="S101" i="24" s="1"/>
  <c r="R101" i="24" s="1"/>
  <c r="U318" i="24"/>
  <c r="T318" i="24" s="1"/>
  <c r="S318" i="24" s="1"/>
  <c r="R318" i="24" s="1"/>
  <c r="U111" i="24"/>
  <c r="T111" i="24" s="1"/>
  <c r="S111" i="24" s="1"/>
  <c r="R111" i="24" s="1"/>
  <c r="U134" i="24"/>
  <c r="T134" i="24" s="1"/>
  <c r="S134" i="24" s="1"/>
  <c r="R134" i="24" s="1"/>
  <c r="U284" i="24"/>
  <c r="T284" i="24" s="1"/>
  <c r="S284" i="24" s="1"/>
  <c r="R284" i="24" s="1"/>
  <c r="U103" i="24"/>
  <c r="T103" i="24" s="1"/>
  <c r="S103" i="24" s="1"/>
  <c r="R103" i="24" s="1"/>
  <c r="U320" i="24"/>
  <c r="T320" i="24" s="1"/>
  <c r="S320" i="24" s="1"/>
  <c r="R320" i="24" s="1"/>
  <c r="U75" i="24"/>
  <c r="T75" i="24" s="1"/>
  <c r="S75" i="24" s="1"/>
  <c r="R75" i="24" s="1"/>
  <c r="U195" i="24"/>
  <c r="T195" i="24" s="1"/>
  <c r="S195" i="24" s="1"/>
  <c r="R195" i="24" s="1"/>
  <c r="U107" i="24"/>
  <c r="T107" i="24" s="1"/>
  <c r="S107" i="24" s="1"/>
  <c r="R107" i="24" s="1"/>
  <c r="U366" i="24"/>
  <c r="T366" i="24" s="1"/>
  <c r="S366" i="24" s="1"/>
  <c r="R366" i="24" s="1"/>
  <c r="U41" i="24"/>
  <c r="T41" i="24" s="1"/>
  <c r="S41" i="24" s="1"/>
  <c r="R41" i="24" s="1"/>
  <c r="U266" i="24"/>
  <c r="T266" i="24" s="1"/>
  <c r="S266" i="24" s="1"/>
  <c r="R266" i="24" s="1"/>
  <c r="U338" i="24"/>
  <c r="T338" i="24" s="1"/>
  <c r="S338" i="24" s="1"/>
  <c r="R338" i="24" s="1"/>
  <c r="U121" i="24"/>
  <c r="T121" i="24" s="1"/>
  <c r="S121" i="24" s="1"/>
  <c r="R121" i="24" s="1"/>
  <c r="U100" i="24"/>
  <c r="T100" i="24" s="1"/>
  <c r="S100" i="24" s="1"/>
  <c r="R100" i="24" s="1"/>
  <c r="U322" i="24"/>
  <c r="T322" i="24" s="1"/>
  <c r="S322" i="24" s="1"/>
  <c r="R322" i="24" s="1"/>
  <c r="U129" i="24"/>
  <c r="T129" i="24" s="1"/>
  <c r="S129" i="24" s="1"/>
  <c r="R129" i="24" s="1"/>
  <c r="U68" i="24"/>
  <c r="T68" i="24" s="1"/>
  <c r="S68" i="24" s="1"/>
  <c r="R68" i="24" s="1"/>
  <c r="U201" i="24"/>
  <c r="T201" i="24" s="1"/>
  <c r="S201" i="24" s="1"/>
  <c r="R201" i="24" s="1"/>
  <c r="U55" i="24"/>
  <c r="T55" i="24" s="1"/>
  <c r="S55" i="24" s="1"/>
  <c r="R55" i="24" s="1"/>
  <c r="U17" i="24"/>
  <c r="T17" i="24" s="1"/>
  <c r="S17" i="24" s="1"/>
  <c r="R17" i="24" s="1"/>
  <c r="U185" i="24"/>
  <c r="T185" i="24" s="1"/>
  <c r="S185" i="24" s="1"/>
  <c r="R185" i="24" s="1"/>
  <c r="U127" i="24"/>
  <c r="T127" i="24" s="1"/>
  <c r="S127" i="24" s="1"/>
  <c r="R127" i="24" s="1"/>
  <c r="U37" i="24"/>
  <c r="T37" i="24" s="1"/>
  <c r="S37" i="24" s="1"/>
  <c r="R37" i="24" s="1"/>
  <c r="U254" i="24"/>
  <c r="T254" i="24" s="1"/>
  <c r="S254" i="24" s="1"/>
  <c r="R254" i="24" s="1"/>
  <c r="U239" i="24"/>
  <c r="T239" i="24" s="1"/>
  <c r="S239" i="24" s="1"/>
  <c r="R239" i="24" s="1"/>
  <c r="U27" i="24"/>
  <c r="T27" i="24" s="1"/>
  <c r="S27" i="24" s="1"/>
  <c r="R27" i="24" s="1"/>
  <c r="U335" i="24"/>
  <c r="T335" i="24" s="1"/>
  <c r="S335" i="24" s="1"/>
  <c r="R335" i="24" s="1"/>
  <c r="U104" i="24"/>
  <c r="T104" i="24" s="1"/>
  <c r="S104" i="24" s="1"/>
  <c r="R104" i="24" s="1"/>
  <c r="U154" i="24"/>
  <c r="T154" i="24" s="1"/>
  <c r="S154" i="24" s="1"/>
  <c r="R154" i="24" s="1"/>
  <c r="U371" i="24"/>
  <c r="T371" i="24" s="1"/>
  <c r="S371" i="24" s="1"/>
  <c r="R371" i="24" s="1"/>
  <c r="U344" i="24"/>
  <c r="T344" i="24" s="1"/>
  <c r="S344" i="24" s="1"/>
  <c r="R344" i="24" s="1"/>
  <c r="U294" i="24"/>
  <c r="T294" i="24" s="1"/>
  <c r="S294" i="24" s="1"/>
  <c r="R294" i="24" s="1"/>
  <c r="U376" i="24"/>
  <c r="T376" i="24" s="1"/>
  <c r="S376" i="24" s="1"/>
  <c r="R376" i="24" s="1"/>
  <c r="U230" i="24"/>
  <c r="T230" i="24" s="1"/>
  <c r="S230" i="24" s="1"/>
  <c r="R230" i="24" s="1"/>
  <c r="U84" i="24"/>
  <c r="T84" i="24" s="1"/>
  <c r="S84" i="24" s="1"/>
  <c r="R84" i="24" s="1"/>
  <c r="U309" i="24"/>
  <c r="T309" i="24" s="1"/>
  <c r="S309" i="24" s="1"/>
  <c r="R309" i="24" s="1"/>
  <c r="U97" i="24"/>
  <c r="T97" i="24" s="1"/>
  <c r="S97" i="24" s="1"/>
  <c r="R97" i="24" s="1"/>
  <c r="U50" i="24"/>
  <c r="T50" i="24" s="1"/>
  <c r="S50" i="24" s="1"/>
  <c r="R50" i="24" s="1"/>
  <c r="U197" i="24"/>
  <c r="T197" i="24" s="1"/>
  <c r="S197" i="24" s="1"/>
  <c r="R197" i="24" s="1"/>
  <c r="U51" i="24"/>
  <c r="T51" i="24" s="1"/>
  <c r="S51" i="24" s="1"/>
  <c r="R51" i="24" s="1"/>
  <c r="U290" i="24"/>
  <c r="T290" i="24" s="1"/>
  <c r="S290" i="24" s="1"/>
  <c r="R290" i="24" s="1"/>
  <c r="U99" i="24"/>
  <c r="T99" i="24" s="1"/>
  <c r="S99" i="24" s="1"/>
  <c r="R99" i="24" s="1"/>
  <c r="U357" i="24"/>
  <c r="T357" i="24" s="1"/>
  <c r="S357" i="24" s="1"/>
  <c r="R357" i="24" s="1"/>
  <c r="U301" i="24"/>
  <c r="T301" i="24" s="1"/>
  <c r="S301" i="24" s="1"/>
  <c r="R301" i="24" s="1"/>
  <c r="U358" i="24"/>
  <c r="T358" i="24" s="1"/>
  <c r="S358" i="24" s="1"/>
  <c r="R358" i="24" s="1"/>
  <c r="U213" i="24"/>
  <c r="T213" i="24" s="1"/>
  <c r="S213" i="24" s="1"/>
  <c r="R213" i="24" s="1"/>
  <c r="U324" i="24"/>
  <c r="T324" i="24" s="1"/>
  <c r="S324" i="24" s="1"/>
  <c r="R324" i="24" s="1"/>
  <c r="U80" i="24"/>
  <c r="T80" i="24" s="1"/>
  <c r="S80" i="24" s="1"/>
  <c r="R80" i="24" s="1"/>
  <c r="U151" i="24"/>
  <c r="T151" i="24" s="1"/>
  <c r="S151" i="24" s="1"/>
  <c r="R151" i="24" s="1"/>
  <c r="U259" i="24"/>
  <c r="T259" i="24" s="1"/>
  <c r="S259" i="24" s="1"/>
  <c r="R259" i="24" s="1"/>
  <c r="U140" i="24"/>
  <c r="T140" i="24" s="1"/>
  <c r="S140" i="24" s="1"/>
  <c r="R140" i="24" s="1"/>
  <c r="U21" i="24"/>
  <c r="T21" i="24" s="1"/>
  <c r="S21" i="24" s="1"/>
  <c r="R21" i="24" s="1"/>
  <c r="U302" i="24"/>
  <c r="T302" i="24" s="1"/>
  <c r="S302" i="24" s="1"/>
  <c r="R302" i="24" s="1"/>
  <c r="U15" i="24"/>
  <c r="U74" i="24"/>
  <c r="T74" i="24" s="1"/>
  <c r="S74" i="24" s="1"/>
  <c r="R74" i="24" s="1"/>
  <c r="U228" i="24"/>
  <c r="T228" i="24" s="1"/>
  <c r="S228" i="24" s="1"/>
  <c r="R228" i="24" s="1"/>
  <c r="U112" i="24"/>
  <c r="T112" i="24" s="1"/>
  <c r="S112" i="24" s="1"/>
  <c r="R112" i="24" s="1"/>
  <c r="U183" i="24"/>
  <c r="T183" i="24" s="1"/>
  <c r="S183" i="24" s="1"/>
  <c r="R183" i="24" s="1"/>
  <c r="U227" i="24"/>
  <c r="T227" i="24" s="1"/>
  <c r="S227" i="24" s="1"/>
  <c r="R227" i="24" s="1"/>
  <c r="U58" i="24"/>
  <c r="T58" i="24" s="1"/>
  <c r="S58" i="24" s="1"/>
  <c r="R58" i="24" s="1"/>
  <c r="U173" i="24"/>
  <c r="T173" i="24" s="1"/>
  <c r="S173" i="24" s="1"/>
  <c r="R173" i="24" s="1"/>
  <c r="U48" i="24"/>
  <c r="T48" i="24" s="1"/>
  <c r="S48" i="24" s="1"/>
  <c r="R48" i="24" s="1"/>
  <c r="U265" i="24"/>
  <c r="T265" i="24" s="1"/>
  <c r="S265" i="24" s="1"/>
  <c r="R265" i="24" s="1"/>
  <c r="U119" i="24"/>
  <c r="T119" i="24" s="1"/>
  <c r="S119" i="24" s="1"/>
  <c r="R119" i="24" s="1"/>
  <c r="U316" i="24"/>
  <c r="T316" i="24" s="1"/>
  <c r="S316" i="24" s="1"/>
  <c r="R316" i="24" s="1"/>
  <c r="U188" i="24"/>
  <c r="T188" i="24" s="1"/>
  <c r="S188" i="24" s="1"/>
  <c r="R188" i="24" s="1"/>
  <c r="U138" i="24"/>
  <c r="T138" i="24" s="1"/>
  <c r="S138" i="24" s="1"/>
  <c r="R138" i="24" s="1"/>
  <c r="U306" i="24"/>
  <c r="T306" i="24" s="1"/>
  <c r="S306" i="24" s="1"/>
  <c r="R306" i="24" s="1"/>
  <c r="U286" i="24"/>
  <c r="T286" i="24" s="1"/>
  <c r="S286" i="24" s="1"/>
  <c r="R286" i="24" s="1"/>
  <c r="U262" i="24"/>
  <c r="T262" i="24" s="1"/>
  <c r="S262" i="24" s="1"/>
  <c r="R262" i="24" s="1"/>
  <c r="U198" i="24"/>
  <c r="T198" i="24" s="1"/>
  <c r="S198" i="24" s="1"/>
  <c r="R198" i="24" s="1"/>
  <c r="U224" i="24"/>
  <c r="T224" i="24" s="1"/>
  <c r="S224" i="24" s="1"/>
  <c r="R224" i="24" s="1"/>
  <c r="U220" i="24"/>
  <c r="T220" i="24" s="1"/>
  <c r="S220" i="24" s="1"/>
  <c r="R220" i="24" s="1"/>
  <c r="U356" i="24"/>
  <c r="T356" i="24" s="1"/>
  <c r="S356" i="24" s="1"/>
  <c r="R356" i="24" s="1"/>
  <c r="U351" i="24"/>
  <c r="T351" i="24" s="1"/>
  <c r="S351" i="24" s="1"/>
  <c r="R351" i="24" s="1"/>
  <c r="U94" i="24"/>
  <c r="T94" i="24" s="1"/>
  <c r="S94" i="24" s="1"/>
  <c r="R94" i="24" s="1"/>
  <c r="U232" i="24"/>
  <c r="T232" i="24" s="1"/>
  <c r="S232" i="24" s="1"/>
  <c r="R232" i="24" s="1"/>
  <c r="U349" i="24"/>
  <c r="T349" i="24" s="1"/>
  <c r="S349" i="24" s="1"/>
  <c r="R349" i="24" s="1"/>
  <c r="U147" i="24"/>
  <c r="T147" i="24" s="1"/>
  <c r="S147" i="24" s="1"/>
  <c r="R147" i="24" s="1"/>
  <c r="U172" i="24"/>
  <c r="T172" i="24" s="1"/>
  <c r="S172" i="24" s="1"/>
  <c r="R172" i="24" s="1"/>
  <c r="U177" i="24"/>
  <c r="T177" i="24" s="1"/>
  <c r="S177" i="24" s="1"/>
  <c r="R177" i="24" s="1"/>
  <c r="U256" i="24"/>
  <c r="T256" i="24" s="1"/>
  <c r="S256" i="24" s="1"/>
  <c r="R256" i="24" s="1"/>
  <c r="U156" i="24"/>
  <c r="T156" i="24" s="1"/>
  <c r="S156" i="24" s="1"/>
  <c r="R156" i="24" s="1"/>
  <c r="U60" i="24"/>
  <c r="T60" i="24" s="1"/>
  <c r="S60" i="24" s="1"/>
  <c r="R60" i="24" s="1"/>
  <c r="U202" i="24"/>
  <c r="T202" i="24" s="1"/>
  <c r="S202" i="24" s="1"/>
  <c r="R202" i="24" s="1"/>
  <c r="U95" i="24"/>
  <c r="T95" i="24" s="1"/>
  <c r="S95" i="24" s="1"/>
  <c r="R95" i="24" s="1"/>
  <c r="N66" i="19"/>
  <c r="D363" i="23"/>
  <c r="E363" i="23" s="1"/>
  <c r="F363" i="23" s="1"/>
  <c r="G363" i="23" s="1"/>
  <c r="CD363" i="6" s="1"/>
  <c r="D60" i="23"/>
  <c r="E60" i="23" s="1"/>
  <c r="F60" i="23" s="1"/>
  <c r="G60" i="23" s="1"/>
  <c r="CD60" i="6" s="1"/>
  <c r="AE313" i="24"/>
  <c r="J39" i="19"/>
  <c r="G31" i="19"/>
  <c r="H38" i="19"/>
  <c r="I38" i="19"/>
  <c r="AE183" i="24"/>
  <c r="AE84" i="24"/>
  <c r="AE160" i="24"/>
  <c r="AE258" i="24"/>
  <c r="AE37" i="24"/>
  <c r="Q16" i="24"/>
  <c r="P16" i="24" s="1"/>
  <c r="V16" i="24" s="1"/>
  <c r="B16" i="24" s="1"/>
  <c r="W16" i="24" s="1"/>
  <c r="D149" i="23"/>
  <c r="E149" i="23" s="1"/>
  <c r="F149" i="23" s="1"/>
  <c r="G149" i="23" s="1"/>
  <c r="CD149" i="6" s="1"/>
  <c r="W29" i="23"/>
  <c r="W88" i="23"/>
  <c r="H356" i="23"/>
  <c r="J356" i="23" s="1"/>
  <c r="H75" i="23"/>
  <c r="I75" i="23" s="1"/>
  <c r="H374" i="23"/>
  <c r="J374" i="23" s="1"/>
  <c r="H360" i="23"/>
  <c r="I360" i="23" s="1"/>
  <c r="H249" i="23"/>
  <c r="J249" i="23" s="1"/>
  <c r="H337" i="23"/>
  <c r="I337" i="23" s="1"/>
  <c r="H151" i="23"/>
  <c r="I151" i="23" s="1"/>
  <c r="G43" i="23"/>
  <c r="CD43" i="6" s="1"/>
  <c r="H186" i="23"/>
  <c r="J186" i="23" s="1"/>
  <c r="H94" i="23"/>
  <c r="J94" i="23" s="1"/>
  <c r="H120" i="23"/>
  <c r="I120" i="23" s="1"/>
  <c r="H164" i="23"/>
  <c r="I164" i="23" s="1"/>
  <c r="H223" i="23"/>
  <c r="I223" i="23" s="1"/>
  <c r="H229" i="23"/>
  <c r="I229" i="23" s="1"/>
  <c r="H175" i="23"/>
  <c r="J175" i="23" s="1"/>
  <c r="H39" i="23"/>
  <c r="J39" i="23" s="1"/>
  <c r="W180" i="23"/>
  <c r="W379" i="23"/>
  <c r="H92" i="23"/>
  <c r="J92" i="23" s="1"/>
  <c r="M68" i="19"/>
  <c r="H379" i="22"/>
  <c r="J379" i="22" s="1"/>
  <c r="J76" i="23"/>
  <c r="J319" i="23"/>
  <c r="J196" i="23"/>
  <c r="I76" i="23"/>
  <c r="H355" i="23"/>
  <c r="I355" i="23" s="1"/>
  <c r="W119" i="23"/>
  <c r="D15" i="19"/>
  <c r="G39" i="19"/>
  <c r="AE299" i="24"/>
  <c r="AE51" i="24"/>
  <c r="AE22" i="24"/>
  <c r="AE363" i="24"/>
  <c r="AE66" i="24"/>
  <c r="AE233" i="24"/>
  <c r="Q48" i="24"/>
  <c r="Q274" i="24"/>
  <c r="P274" i="24" s="1"/>
  <c r="V274" i="24" s="1"/>
  <c r="B274" i="24" s="1"/>
  <c r="W274" i="24" s="1"/>
  <c r="J227" i="23"/>
  <c r="Q19" i="24"/>
  <c r="P19" i="24" s="1"/>
  <c r="V19" i="24" s="1"/>
  <c r="B19" i="24" s="1"/>
  <c r="D19" i="24" s="1"/>
  <c r="E19" i="24" s="1"/>
  <c r="F19" i="24" s="1"/>
  <c r="AE67" i="24"/>
  <c r="AE15" i="24"/>
  <c r="AE197" i="24"/>
  <c r="AE379" i="24"/>
  <c r="AE218" i="24"/>
  <c r="AE295" i="24"/>
  <c r="AE190" i="24"/>
  <c r="AE333" i="24"/>
  <c r="AE172" i="24"/>
  <c r="AE135" i="24"/>
  <c r="AE231" i="24"/>
  <c r="AE147" i="24"/>
  <c r="AE343" i="24"/>
  <c r="Q80" i="24"/>
  <c r="P80" i="24" s="1"/>
  <c r="V80" i="24" s="1"/>
  <c r="B80" i="24" s="1"/>
  <c r="W80" i="24" s="1"/>
  <c r="Q230" i="24"/>
  <c r="Q110" i="24"/>
  <c r="Q53" i="24"/>
  <c r="P53" i="24" s="1"/>
  <c r="V53" i="24" s="1"/>
  <c r="B53" i="24" s="1"/>
  <c r="D53" i="24" s="1"/>
  <c r="E53" i="24" s="1"/>
  <c r="F53" i="24" s="1"/>
  <c r="Q263" i="24"/>
  <c r="P263" i="24" s="1"/>
  <c r="V263" i="24" s="1"/>
  <c r="B263" i="24" s="1"/>
  <c r="D263" i="24" s="1"/>
  <c r="E263" i="24" s="1"/>
  <c r="F263" i="24" s="1"/>
  <c r="Q127" i="24"/>
  <c r="AG110" i="23"/>
  <c r="AF110" i="23" s="1"/>
  <c r="AD110" i="23" s="1"/>
  <c r="AA110" i="23" s="1"/>
  <c r="Z110" i="23" s="1"/>
  <c r="Y110" i="23" s="1"/>
  <c r="AG141" i="23"/>
  <c r="AF141" i="23" s="1"/>
  <c r="AD141" i="23" s="1"/>
  <c r="AA141" i="23" s="1"/>
  <c r="Z141" i="23" s="1"/>
  <c r="Y141" i="23" s="1"/>
  <c r="AG190" i="23"/>
  <c r="AF190" i="23" s="1"/>
  <c r="AD190" i="23" s="1"/>
  <c r="AA190" i="23" s="1"/>
  <c r="Z190" i="23" s="1"/>
  <c r="Y190" i="23" s="1"/>
  <c r="AG299" i="23"/>
  <c r="AF299" i="23" s="1"/>
  <c r="AD299" i="23" s="1"/>
  <c r="AA299" i="23" s="1"/>
  <c r="Z299" i="23" s="1"/>
  <c r="Y299" i="23" s="1"/>
  <c r="AG97" i="23"/>
  <c r="AF97" i="23" s="1"/>
  <c r="AD97" i="23" s="1"/>
  <c r="AA97" i="23" s="1"/>
  <c r="Z97" i="23" s="1"/>
  <c r="Y97" i="23" s="1"/>
  <c r="AG376" i="23"/>
  <c r="AF376" i="23" s="1"/>
  <c r="AD376" i="23" s="1"/>
  <c r="AA376" i="23" s="1"/>
  <c r="Z376" i="23" s="1"/>
  <c r="Y376" i="23" s="1"/>
  <c r="AG271" i="23"/>
  <c r="AF271" i="23" s="1"/>
  <c r="AD271" i="23" s="1"/>
  <c r="AA271" i="23" s="1"/>
  <c r="Z271" i="23" s="1"/>
  <c r="Y271" i="23" s="1"/>
  <c r="AG102" i="23"/>
  <c r="AF102" i="23" s="1"/>
  <c r="AD102" i="23" s="1"/>
  <c r="AA102" i="23" s="1"/>
  <c r="Z102" i="23" s="1"/>
  <c r="Y102" i="23" s="1"/>
  <c r="AG338" i="23"/>
  <c r="AF338" i="23" s="1"/>
  <c r="AD338" i="23" s="1"/>
  <c r="AA338" i="23" s="1"/>
  <c r="Z338" i="23" s="1"/>
  <c r="Y338" i="23" s="1"/>
  <c r="AG83" i="23"/>
  <c r="AF83" i="23" s="1"/>
  <c r="AD83" i="23" s="1"/>
  <c r="AA83" i="23" s="1"/>
  <c r="Z83" i="23" s="1"/>
  <c r="Y83" i="23" s="1"/>
  <c r="AG292" i="23"/>
  <c r="AF292" i="23" s="1"/>
  <c r="AD292" i="23" s="1"/>
  <c r="AA292" i="23" s="1"/>
  <c r="Z292" i="23" s="1"/>
  <c r="Y292" i="23" s="1"/>
  <c r="AG355" i="23"/>
  <c r="AF355" i="23" s="1"/>
  <c r="AD355" i="23" s="1"/>
  <c r="AA355" i="23" s="1"/>
  <c r="Z355" i="23" s="1"/>
  <c r="Y355" i="23" s="1"/>
  <c r="AG46" i="23"/>
  <c r="AF46" i="23" s="1"/>
  <c r="AD46" i="23" s="1"/>
  <c r="AA46" i="23" s="1"/>
  <c r="Z46" i="23" s="1"/>
  <c r="Y46" i="23" s="1"/>
  <c r="AG163" i="23"/>
  <c r="AF163" i="23" s="1"/>
  <c r="AD163" i="23" s="1"/>
  <c r="AA163" i="23" s="1"/>
  <c r="Z163" i="23" s="1"/>
  <c r="Y163" i="23" s="1"/>
  <c r="AG50" i="23"/>
  <c r="AF50" i="23" s="1"/>
  <c r="AD50" i="23" s="1"/>
  <c r="AA50" i="23" s="1"/>
  <c r="Z50" i="23" s="1"/>
  <c r="Y50" i="23" s="1"/>
  <c r="AG272" i="23"/>
  <c r="AF272" i="23" s="1"/>
  <c r="AD272" i="23" s="1"/>
  <c r="AG92" i="23"/>
  <c r="AF92" i="23" s="1"/>
  <c r="AD92" i="23" s="1"/>
  <c r="AA92" i="23" s="1"/>
  <c r="Z92" i="23" s="1"/>
  <c r="Y92" i="23" s="1"/>
  <c r="AG150" i="23"/>
  <c r="AF150" i="23" s="1"/>
  <c r="AD150" i="23" s="1"/>
  <c r="AA150" i="23" s="1"/>
  <c r="Z150" i="23" s="1"/>
  <c r="Y150" i="23" s="1"/>
  <c r="AG42" i="23"/>
  <c r="AF42" i="23" s="1"/>
  <c r="AD42" i="23" s="1"/>
  <c r="AA42" i="23" s="1"/>
  <c r="Z42" i="23" s="1"/>
  <c r="Y42" i="23" s="1"/>
  <c r="AG304" i="23"/>
  <c r="AF304" i="23" s="1"/>
  <c r="AD304" i="23" s="1"/>
  <c r="AA304" i="23" s="1"/>
  <c r="Z304" i="23" s="1"/>
  <c r="Y304" i="23" s="1"/>
  <c r="AG31" i="23"/>
  <c r="AF31" i="23" s="1"/>
  <c r="AD31" i="23" s="1"/>
  <c r="AA31" i="23" s="1"/>
  <c r="Z31" i="23" s="1"/>
  <c r="Y31" i="23" s="1"/>
  <c r="AG343" i="23"/>
  <c r="AF343" i="23" s="1"/>
  <c r="AD343" i="23" s="1"/>
  <c r="AA343" i="23" s="1"/>
  <c r="Z343" i="23" s="1"/>
  <c r="Y343" i="23" s="1"/>
  <c r="AG313" i="23"/>
  <c r="AF313" i="23" s="1"/>
  <c r="AD313" i="23" s="1"/>
  <c r="AA313" i="23" s="1"/>
  <c r="Z313" i="23" s="1"/>
  <c r="Y313" i="23" s="1"/>
  <c r="AG297" i="23"/>
  <c r="AF297" i="23" s="1"/>
  <c r="AD297" i="23" s="1"/>
  <c r="AA297" i="23" s="1"/>
  <c r="Z297" i="23" s="1"/>
  <c r="Y297" i="23" s="1"/>
  <c r="AG170" i="23"/>
  <c r="AF170" i="23" s="1"/>
  <c r="AD170" i="23" s="1"/>
  <c r="AA170" i="23" s="1"/>
  <c r="Z170" i="23" s="1"/>
  <c r="Y170" i="23" s="1"/>
  <c r="AG307" i="23"/>
  <c r="AF307" i="23" s="1"/>
  <c r="AD307" i="23" s="1"/>
  <c r="AA307" i="23" s="1"/>
  <c r="Z307" i="23" s="1"/>
  <c r="Y307" i="23" s="1"/>
  <c r="AG167" i="23"/>
  <c r="AF167" i="23" s="1"/>
  <c r="AD167" i="23" s="1"/>
  <c r="AA167" i="23" s="1"/>
  <c r="Z167" i="23" s="1"/>
  <c r="Y167" i="23" s="1"/>
  <c r="AG318" i="23"/>
  <c r="AF318" i="23" s="1"/>
  <c r="AD318" i="23" s="1"/>
  <c r="AA318" i="23" s="1"/>
  <c r="Z318" i="23" s="1"/>
  <c r="Y318" i="23" s="1"/>
  <c r="AG317" i="23"/>
  <c r="AF317" i="23" s="1"/>
  <c r="AD317" i="23" s="1"/>
  <c r="AA317" i="23" s="1"/>
  <c r="Z317" i="23" s="1"/>
  <c r="Y317" i="23" s="1"/>
  <c r="AG98" i="23"/>
  <c r="AF98" i="23" s="1"/>
  <c r="AD98" i="23" s="1"/>
  <c r="AA98" i="23" s="1"/>
  <c r="Z98" i="23" s="1"/>
  <c r="Y98" i="23" s="1"/>
  <c r="AG32" i="23"/>
  <c r="AF32" i="23" s="1"/>
  <c r="AD32" i="23" s="1"/>
  <c r="AA32" i="23" s="1"/>
  <c r="Z32" i="23" s="1"/>
  <c r="Y32" i="23" s="1"/>
  <c r="AG182" i="23"/>
  <c r="AF182" i="23" s="1"/>
  <c r="AD182" i="23" s="1"/>
  <c r="AA182" i="23" s="1"/>
  <c r="Z182" i="23" s="1"/>
  <c r="Y182" i="23" s="1"/>
  <c r="AG298" i="23"/>
  <c r="AF298" i="23" s="1"/>
  <c r="AD298" i="23" s="1"/>
  <c r="AA298" i="23" s="1"/>
  <c r="Z298" i="23" s="1"/>
  <c r="Y298" i="23" s="1"/>
  <c r="AG248" i="23"/>
  <c r="AF248" i="23" s="1"/>
  <c r="AD248" i="23" s="1"/>
  <c r="AA248" i="23" s="1"/>
  <c r="Z248" i="23" s="1"/>
  <c r="Y248" i="23" s="1"/>
  <c r="AG58" i="23"/>
  <c r="AF58" i="23" s="1"/>
  <c r="AD58" i="23" s="1"/>
  <c r="AA58" i="23" s="1"/>
  <c r="Z58" i="23" s="1"/>
  <c r="Y58" i="23" s="1"/>
  <c r="AG175" i="23"/>
  <c r="AF175" i="23" s="1"/>
  <c r="AD175" i="23" s="1"/>
  <c r="AA175" i="23" s="1"/>
  <c r="Z175" i="23" s="1"/>
  <c r="Y175" i="23" s="1"/>
  <c r="AG52" i="23"/>
  <c r="AF52" i="23" s="1"/>
  <c r="AD52" i="23" s="1"/>
  <c r="AA52" i="23" s="1"/>
  <c r="Z52" i="23" s="1"/>
  <c r="Y52" i="23" s="1"/>
  <c r="AG262" i="23"/>
  <c r="AF262" i="23" s="1"/>
  <c r="AD262" i="23" s="1"/>
  <c r="AA262" i="23" s="1"/>
  <c r="Z262" i="23" s="1"/>
  <c r="Y262" i="23" s="1"/>
  <c r="AG104" i="23"/>
  <c r="AF104" i="23" s="1"/>
  <c r="AD104" i="23" s="1"/>
  <c r="AA104" i="23" s="1"/>
  <c r="Z104" i="23" s="1"/>
  <c r="Y104" i="23" s="1"/>
  <c r="AG137" i="23"/>
  <c r="AF137" i="23" s="1"/>
  <c r="AD137" i="23" s="1"/>
  <c r="AA137" i="23" s="1"/>
  <c r="Z137" i="23" s="1"/>
  <c r="Y137" i="23" s="1"/>
  <c r="AG135" i="23"/>
  <c r="AF135" i="23" s="1"/>
  <c r="AD135" i="23" s="1"/>
  <c r="AA135" i="23" s="1"/>
  <c r="Z135" i="23" s="1"/>
  <c r="Y135" i="23" s="1"/>
  <c r="AG302" i="23"/>
  <c r="AF302" i="23" s="1"/>
  <c r="AD302" i="23" s="1"/>
  <c r="AG178" i="23"/>
  <c r="AF178" i="23" s="1"/>
  <c r="AD178" i="23" s="1"/>
  <c r="AA178" i="23" s="1"/>
  <c r="Z178" i="23" s="1"/>
  <c r="Y178" i="23" s="1"/>
  <c r="AG48" i="23"/>
  <c r="AF48" i="23" s="1"/>
  <c r="AD48" i="23" s="1"/>
  <c r="AA48" i="23" s="1"/>
  <c r="Z48" i="23" s="1"/>
  <c r="Y48" i="23" s="1"/>
  <c r="AG177" i="23"/>
  <c r="AF177" i="23" s="1"/>
  <c r="AD177" i="23" s="1"/>
  <c r="AA177" i="23" s="1"/>
  <c r="Z177" i="23" s="1"/>
  <c r="Y177" i="23" s="1"/>
  <c r="AG236" i="23"/>
  <c r="AF236" i="23" s="1"/>
  <c r="AD236" i="23" s="1"/>
  <c r="AA236" i="23" s="1"/>
  <c r="Z236" i="23" s="1"/>
  <c r="Y236" i="23" s="1"/>
  <c r="AG18" i="23"/>
  <c r="AF18" i="23" s="1"/>
  <c r="AD18" i="23" s="1"/>
  <c r="AA18" i="23" s="1"/>
  <c r="Z18" i="23" s="1"/>
  <c r="Y18" i="23" s="1"/>
  <c r="AG191" i="23"/>
  <c r="AF191" i="23" s="1"/>
  <c r="AD191" i="23" s="1"/>
  <c r="AA191" i="23" s="1"/>
  <c r="Z191" i="23" s="1"/>
  <c r="Y191" i="23" s="1"/>
  <c r="AG24" i="23"/>
  <c r="AF24" i="23" s="1"/>
  <c r="AD24" i="23" s="1"/>
  <c r="AA24" i="23" s="1"/>
  <c r="Z24" i="23" s="1"/>
  <c r="Y24" i="23" s="1"/>
  <c r="AG215" i="23"/>
  <c r="AF215" i="23" s="1"/>
  <c r="AD215" i="23" s="1"/>
  <c r="AA215" i="23" s="1"/>
  <c r="Z215" i="23" s="1"/>
  <c r="Y215" i="23" s="1"/>
  <c r="AG100" i="23"/>
  <c r="AF100" i="23" s="1"/>
  <c r="AD100" i="23" s="1"/>
  <c r="AA100" i="23" s="1"/>
  <c r="Z100" i="23" s="1"/>
  <c r="Y100" i="23" s="1"/>
  <c r="AG195" i="23"/>
  <c r="AF195" i="23" s="1"/>
  <c r="AD195" i="23" s="1"/>
  <c r="AA195" i="23" s="1"/>
  <c r="Z195" i="23" s="1"/>
  <c r="Y195" i="23" s="1"/>
  <c r="AG233" i="23"/>
  <c r="AF233" i="23" s="1"/>
  <c r="AD233" i="23" s="1"/>
  <c r="AA233" i="23" s="1"/>
  <c r="Z233" i="23" s="1"/>
  <c r="Y233" i="23" s="1"/>
  <c r="AG106" i="23"/>
  <c r="AF106" i="23" s="1"/>
  <c r="AD106" i="23" s="1"/>
  <c r="AA106" i="23" s="1"/>
  <c r="Z106" i="23" s="1"/>
  <c r="Y106" i="23" s="1"/>
  <c r="AG243" i="23"/>
  <c r="AF243" i="23" s="1"/>
  <c r="AD243" i="23" s="1"/>
  <c r="AA243" i="23" s="1"/>
  <c r="Z243" i="23" s="1"/>
  <c r="Y243" i="23" s="1"/>
  <c r="AG39" i="23"/>
  <c r="AF39" i="23" s="1"/>
  <c r="AD39" i="23" s="1"/>
  <c r="AA39" i="23" s="1"/>
  <c r="Z39" i="23" s="1"/>
  <c r="Y39" i="23" s="1"/>
  <c r="AG254" i="23"/>
  <c r="AF254" i="23" s="1"/>
  <c r="AD254" i="23" s="1"/>
  <c r="AA254" i="23" s="1"/>
  <c r="Z254" i="23" s="1"/>
  <c r="Y254" i="23" s="1"/>
  <c r="AG237" i="23"/>
  <c r="AF237" i="23" s="1"/>
  <c r="AD237" i="23" s="1"/>
  <c r="AA237" i="23" s="1"/>
  <c r="Z237" i="23" s="1"/>
  <c r="Y237" i="23" s="1"/>
  <c r="AG363" i="23"/>
  <c r="AF363" i="23" s="1"/>
  <c r="AD363" i="23" s="1"/>
  <c r="AA363" i="23" s="1"/>
  <c r="Z363" i="23" s="1"/>
  <c r="Y363" i="23" s="1"/>
  <c r="AG344" i="23"/>
  <c r="AF344" i="23" s="1"/>
  <c r="AD344" i="23" s="1"/>
  <c r="AA344" i="23" s="1"/>
  <c r="Z344" i="23" s="1"/>
  <c r="Y344" i="23" s="1"/>
  <c r="AG54" i="23"/>
  <c r="AF54" i="23" s="1"/>
  <c r="AD54" i="23" s="1"/>
  <c r="AA54" i="23" s="1"/>
  <c r="Z54" i="23" s="1"/>
  <c r="Y54" i="23" s="1"/>
  <c r="AG234" i="23"/>
  <c r="AF234" i="23" s="1"/>
  <c r="AD234" i="23" s="1"/>
  <c r="AA234" i="23" s="1"/>
  <c r="Z234" i="23" s="1"/>
  <c r="Y234" i="23" s="1"/>
  <c r="AG216" i="23"/>
  <c r="AF216" i="23" s="1"/>
  <c r="AD216" i="23" s="1"/>
  <c r="AA216" i="23" s="1"/>
  <c r="Z216" i="23" s="1"/>
  <c r="Y216" i="23" s="1"/>
  <c r="AG320" i="23"/>
  <c r="AF320" i="23" s="1"/>
  <c r="AD320" i="23" s="1"/>
  <c r="AA320" i="23" s="1"/>
  <c r="Z320" i="23" s="1"/>
  <c r="Y320" i="23" s="1"/>
  <c r="AG306" i="23"/>
  <c r="AF306" i="23" s="1"/>
  <c r="AD306" i="23" s="1"/>
  <c r="AA306" i="23" s="1"/>
  <c r="Z306" i="23" s="1"/>
  <c r="Y306" i="23" s="1"/>
  <c r="AG228" i="23"/>
  <c r="AF228" i="23" s="1"/>
  <c r="AD228" i="23" s="1"/>
  <c r="AA228" i="23" s="1"/>
  <c r="Z228" i="23" s="1"/>
  <c r="Y228" i="23" s="1"/>
  <c r="AG329" i="23"/>
  <c r="AF329" i="23" s="1"/>
  <c r="AD329" i="23" s="1"/>
  <c r="AA329" i="23" s="1"/>
  <c r="Z329" i="23" s="1"/>
  <c r="Y329" i="23" s="1"/>
  <c r="AG75" i="23"/>
  <c r="AF75" i="23" s="1"/>
  <c r="AD75" i="23" s="1"/>
  <c r="AA75" i="23" s="1"/>
  <c r="Z75" i="23" s="1"/>
  <c r="Y75" i="23" s="1"/>
  <c r="AG350" i="23"/>
  <c r="AF350" i="23" s="1"/>
  <c r="AD350" i="23" s="1"/>
  <c r="AA350" i="23" s="1"/>
  <c r="Z350" i="23" s="1"/>
  <c r="Y350" i="23" s="1"/>
  <c r="AG267" i="23"/>
  <c r="AF267" i="23" s="1"/>
  <c r="AD267" i="23" s="1"/>
  <c r="AA267" i="23" s="1"/>
  <c r="Z267" i="23" s="1"/>
  <c r="Y267" i="23" s="1"/>
  <c r="AG369" i="23"/>
  <c r="AF369" i="23" s="1"/>
  <c r="AD369" i="23" s="1"/>
  <c r="AA369" i="23" s="1"/>
  <c r="Z369" i="23" s="1"/>
  <c r="Y369" i="23" s="1"/>
  <c r="AG333" i="23"/>
  <c r="AF333" i="23" s="1"/>
  <c r="AD333" i="23" s="1"/>
  <c r="AG91" i="23"/>
  <c r="AF91" i="23" s="1"/>
  <c r="AD91" i="23" s="1"/>
  <c r="AA91" i="23" s="1"/>
  <c r="Z91" i="23" s="1"/>
  <c r="Y91" i="23" s="1"/>
  <c r="AG151" i="23"/>
  <c r="AF151" i="23" s="1"/>
  <c r="AD151" i="23" s="1"/>
  <c r="AA151" i="23" s="1"/>
  <c r="Z151" i="23" s="1"/>
  <c r="Y151" i="23" s="1"/>
  <c r="AG239" i="23"/>
  <c r="AF239" i="23" s="1"/>
  <c r="AD239" i="23" s="1"/>
  <c r="AA239" i="23" s="1"/>
  <c r="Z239" i="23" s="1"/>
  <c r="Y239" i="23" s="1"/>
  <c r="AG38" i="23"/>
  <c r="AF38" i="23" s="1"/>
  <c r="AD38" i="23" s="1"/>
  <c r="AA38" i="23" s="1"/>
  <c r="Z38" i="23" s="1"/>
  <c r="Y38" i="23" s="1"/>
  <c r="AG322" i="23"/>
  <c r="AF322" i="23" s="1"/>
  <c r="AD322" i="23" s="1"/>
  <c r="AA322" i="23" s="1"/>
  <c r="Z322" i="23" s="1"/>
  <c r="Y322" i="23" s="1"/>
  <c r="AG16" i="23"/>
  <c r="AF16" i="23" s="1"/>
  <c r="AD16" i="23" s="1"/>
  <c r="AA16" i="23" s="1"/>
  <c r="Z16" i="23" s="1"/>
  <c r="Y16" i="23" s="1"/>
  <c r="AG260" i="23"/>
  <c r="AF260" i="23" s="1"/>
  <c r="AD260" i="23" s="1"/>
  <c r="AA260" i="23" s="1"/>
  <c r="Z260" i="23" s="1"/>
  <c r="Y260" i="23" s="1"/>
  <c r="AG323" i="23"/>
  <c r="AF323" i="23" s="1"/>
  <c r="AD323" i="23" s="1"/>
  <c r="AA323" i="23" s="1"/>
  <c r="Z323" i="23" s="1"/>
  <c r="Y323" i="23" s="1"/>
  <c r="AG361" i="23"/>
  <c r="AF361" i="23" s="1"/>
  <c r="AD361" i="23" s="1"/>
  <c r="AA361" i="23" s="1"/>
  <c r="Z361" i="23" s="1"/>
  <c r="Y361" i="23" s="1"/>
  <c r="AG99" i="23"/>
  <c r="AF99" i="23" s="1"/>
  <c r="AD99" i="23" s="1"/>
  <c r="AA99" i="23" s="1"/>
  <c r="Z99" i="23" s="1"/>
  <c r="Y99" i="23" s="1"/>
  <c r="AG371" i="23"/>
  <c r="AF371" i="23" s="1"/>
  <c r="AD371" i="23" s="1"/>
  <c r="AA371" i="23" s="1"/>
  <c r="Z371" i="23" s="1"/>
  <c r="Y371" i="23" s="1"/>
  <c r="AG240" i="23"/>
  <c r="AF240" i="23" s="1"/>
  <c r="AD240" i="23" s="1"/>
  <c r="AA240" i="23" s="1"/>
  <c r="Z240" i="23" s="1"/>
  <c r="Y240" i="23" s="1"/>
  <c r="AG28" i="23"/>
  <c r="AF28" i="23" s="1"/>
  <c r="AD28" i="23" s="1"/>
  <c r="AA28" i="23" s="1"/>
  <c r="Z28" i="23" s="1"/>
  <c r="Y28" i="23" s="1"/>
  <c r="AG86" i="23"/>
  <c r="AF86" i="23" s="1"/>
  <c r="AD86" i="23" s="1"/>
  <c r="AA86" i="23" s="1"/>
  <c r="Z86" i="23" s="1"/>
  <c r="Y86" i="23" s="1"/>
  <c r="AG59" i="23"/>
  <c r="AF59" i="23" s="1"/>
  <c r="AD59" i="23" s="1"/>
  <c r="AA59" i="23" s="1"/>
  <c r="Z59" i="23" s="1"/>
  <c r="Y59" i="23" s="1"/>
  <c r="AG149" i="23"/>
  <c r="AF149" i="23" s="1"/>
  <c r="AD149" i="23" s="1"/>
  <c r="AA149" i="23" s="1"/>
  <c r="Z149" i="23" s="1"/>
  <c r="Y149" i="23" s="1"/>
  <c r="AG127" i="23"/>
  <c r="AF127" i="23" s="1"/>
  <c r="AD127" i="23" s="1"/>
  <c r="AA127" i="23" s="1"/>
  <c r="Z127" i="23" s="1"/>
  <c r="Y127" i="23" s="1"/>
  <c r="AG362" i="23"/>
  <c r="AF362" i="23" s="1"/>
  <c r="AD362" i="23" s="1"/>
  <c r="AA362" i="23" s="1"/>
  <c r="Z362" i="23" s="1"/>
  <c r="Y362" i="23" s="1"/>
  <c r="AG280" i="23"/>
  <c r="AF280" i="23" s="1"/>
  <c r="AD280" i="23" s="1"/>
  <c r="AA280" i="23" s="1"/>
  <c r="Z280" i="23" s="1"/>
  <c r="Y280" i="23" s="1"/>
  <c r="AG51" i="23"/>
  <c r="AF51" i="23" s="1"/>
  <c r="AD51" i="23" s="1"/>
  <c r="AA51" i="23" s="1"/>
  <c r="Z51" i="23" s="1"/>
  <c r="Y51" i="23" s="1"/>
  <c r="AG116" i="23"/>
  <c r="AF116" i="23" s="1"/>
  <c r="AD116" i="23" s="1"/>
  <c r="AA116" i="23" s="1"/>
  <c r="Z116" i="23" s="1"/>
  <c r="Y116" i="23" s="1"/>
  <c r="AG61" i="23"/>
  <c r="AF61" i="23" s="1"/>
  <c r="AD61" i="23" s="1"/>
  <c r="AA61" i="23" s="1"/>
  <c r="Z61" i="23" s="1"/>
  <c r="Y61" i="23" s="1"/>
  <c r="AG224" i="23"/>
  <c r="AF224" i="23" s="1"/>
  <c r="AD224" i="23" s="1"/>
  <c r="AA224" i="23" s="1"/>
  <c r="Z224" i="23" s="1"/>
  <c r="Y224" i="23" s="1"/>
  <c r="AG339" i="23"/>
  <c r="AF339" i="23" s="1"/>
  <c r="AD339" i="23" s="1"/>
  <c r="AA339" i="23" s="1"/>
  <c r="Z339" i="23" s="1"/>
  <c r="Y339" i="23" s="1"/>
  <c r="AG245" i="23"/>
  <c r="AF245" i="23" s="1"/>
  <c r="AD245" i="23" s="1"/>
  <c r="AA245" i="23" s="1"/>
  <c r="Z245" i="23" s="1"/>
  <c r="Y245" i="23" s="1"/>
  <c r="AG140" i="23"/>
  <c r="AF140" i="23" s="1"/>
  <c r="AD140" i="23" s="1"/>
  <c r="AA140" i="23" s="1"/>
  <c r="Z140" i="23" s="1"/>
  <c r="Y140" i="23" s="1"/>
  <c r="AG203" i="23"/>
  <c r="AF203" i="23" s="1"/>
  <c r="AD203" i="23" s="1"/>
  <c r="AA203" i="23" s="1"/>
  <c r="Z203" i="23" s="1"/>
  <c r="Y203" i="23" s="1"/>
  <c r="AG337" i="23"/>
  <c r="AF337" i="23" s="1"/>
  <c r="AD337" i="23" s="1"/>
  <c r="AA337" i="23" s="1"/>
  <c r="Z337" i="23" s="1"/>
  <c r="Y337" i="23" s="1"/>
  <c r="AG285" i="23"/>
  <c r="AF285" i="23" s="1"/>
  <c r="AD285" i="23" s="1"/>
  <c r="AA285" i="23" s="1"/>
  <c r="Z285" i="23" s="1"/>
  <c r="Y285" i="23" s="1"/>
  <c r="AG130" i="23"/>
  <c r="AF130" i="23" s="1"/>
  <c r="AD130" i="23" s="1"/>
  <c r="AA130" i="23" s="1"/>
  <c r="Z130" i="23" s="1"/>
  <c r="Y130" i="23" s="1"/>
  <c r="AG87" i="23"/>
  <c r="AF87" i="23" s="1"/>
  <c r="AD87" i="23" s="1"/>
  <c r="AA87" i="23" s="1"/>
  <c r="Z87" i="23" s="1"/>
  <c r="Y87" i="23" s="1"/>
  <c r="AG165" i="23"/>
  <c r="AF165" i="23" s="1"/>
  <c r="AD165" i="23" s="1"/>
  <c r="AA165" i="23" s="1"/>
  <c r="Z165" i="23" s="1"/>
  <c r="Y165" i="23" s="1"/>
  <c r="AG325" i="23"/>
  <c r="AF325" i="23" s="1"/>
  <c r="AD325" i="23" s="1"/>
  <c r="AA325" i="23" s="1"/>
  <c r="Z325" i="23" s="1"/>
  <c r="Y325" i="23" s="1"/>
  <c r="AG290" i="23"/>
  <c r="AF290" i="23" s="1"/>
  <c r="AD290" i="23" s="1"/>
  <c r="AA290" i="23" s="1"/>
  <c r="Z290" i="23" s="1"/>
  <c r="Y290" i="23" s="1"/>
  <c r="AG90" i="23"/>
  <c r="AF90" i="23" s="1"/>
  <c r="AD90" i="23" s="1"/>
  <c r="AA90" i="23" s="1"/>
  <c r="Z90" i="23" s="1"/>
  <c r="Y90" i="23" s="1"/>
  <c r="AG196" i="23"/>
  <c r="AF196" i="23" s="1"/>
  <c r="AD196" i="23" s="1"/>
  <c r="AA196" i="23" s="1"/>
  <c r="Z196" i="23" s="1"/>
  <c r="Y196" i="23" s="1"/>
  <c r="AG259" i="23"/>
  <c r="AF259" i="23" s="1"/>
  <c r="AD259" i="23" s="1"/>
  <c r="AA259" i="23" s="1"/>
  <c r="Z259" i="23" s="1"/>
  <c r="Y259" i="23" s="1"/>
  <c r="AG93" i="23"/>
  <c r="AF93" i="23" s="1"/>
  <c r="AD93" i="23" s="1"/>
  <c r="AA93" i="23" s="1"/>
  <c r="Z93" i="23" s="1"/>
  <c r="Y93" i="23" s="1"/>
  <c r="AG205" i="23"/>
  <c r="AF205" i="23" s="1"/>
  <c r="AD205" i="23" s="1"/>
  <c r="AA205" i="23" s="1"/>
  <c r="Z205" i="23" s="1"/>
  <c r="Y205" i="23" s="1"/>
  <c r="AG23" i="23"/>
  <c r="AF23" i="23" s="1"/>
  <c r="AD23" i="23" s="1"/>
  <c r="AA23" i="23" s="1"/>
  <c r="Z23" i="23" s="1"/>
  <c r="Y23" i="23" s="1"/>
  <c r="AG261" i="23"/>
  <c r="AF261" i="23" s="1"/>
  <c r="AD261" i="23" s="1"/>
  <c r="AA261" i="23" s="1"/>
  <c r="Z261" i="23" s="1"/>
  <c r="Y261" i="23" s="1"/>
  <c r="AG230" i="23"/>
  <c r="AF230" i="23" s="1"/>
  <c r="AD230" i="23" s="1"/>
  <c r="AA230" i="23" s="1"/>
  <c r="Z230" i="23" s="1"/>
  <c r="Y230" i="23" s="1"/>
  <c r="AG144" i="23"/>
  <c r="AF144" i="23" s="1"/>
  <c r="AD144" i="23" s="1"/>
  <c r="AA144" i="23" s="1"/>
  <c r="Z144" i="23" s="1"/>
  <c r="Y144" i="23" s="1"/>
  <c r="AG229" i="23"/>
  <c r="AF229" i="23" s="1"/>
  <c r="AD229" i="23" s="1"/>
  <c r="AA229" i="23" s="1"/>
  <c r="Z229" i="23" s="1"/>
  <c r="Y229" i="23" s="1"/>
  <c r="AG242" i="23"/>
  <c r="AF242" i="23" s="1"/>
  <c r="AD242" i="23" s="1"/>
  <c r="AA242" i="23" s="1"/>
  <c r="Z242" i="23" s="1"/>
  <c r="Y242" i="23" s="1"/>
  <c r="AG319" i="23"/>
  <c r="AF319" i="23" s="1"/>
  <c r="AD319" i="23" s="1"/>
  <c r="AA319" i="23" s="1"/>
  <c r="Z319" i="23" s="1"/>
  <c r="Y319" i="23" s="1"/>
  <c r="AG17" i="23"/>
  <c r="AF17" i="23" s="1"/>
  <c r="AD17" i="23" s="1"/>
  <c r="AA17" i="23" s="1"/>
  <c r="Z17" i="23" s="1"/>
  <c r="Y17" i="23" s="1"/>
  <c r="AG173" i="23"/>
  <c r="AF173" i="23" s="1"/>
  <c r="AD173" i="23" s="1"/>
  <c r="AA173" i="23" s="1"/>
  <c r="Z173" i="23" s="1"/>
  <c r="Y173" i="23" s="1"/>
  <c r="AG201" i="23"/>
  <c r="AF201" i="23" s="1"/>
  <c r="AD201" i="23" s="1"/>
  <c r="AA201" i="23" s="1"/>
  <c r="Z201" i="23" s="1"/>
  <c r="Y201" i="23" s="1"/>
  <c r="AG74" i="23"/>
  <c r="AF74" i="23" s="1"/>
  <c r="AD74" i="23" s="1"/>
  <c r="AA74" i="23" s="1"/>
  <c r="Z74" i="23" s="1"/>
  <c r="Y74" i="23" s="1"/>
  <c r="AG211" i="23"/>
  <c r="AF211" i="23" s="1"/>
  <c r="AD211" i="23" s="1"/>
  <c r="AA211" i="23" s="1"/>
  <c r="Z211" i="23" s="1"/>
  <c r="Y211" i="23" s="1"/>
  <c r="AG142" i="23"/>
  <c r="AF142" i="23" s="1"/>
  <c r="AD142" i="23" s="1"/>
  <c r="AA142" i="23" s="1"/>
  <c r="Z142" i="23" s="1"/>
  <c r="Y142" i="23" s="1"/>
  <c r="AG222" i="23"/>
  <c r="AF222" i="23" s="1"/>
  <c r="AD222" i="23" s="1"/>
  <c r="AA222" i="23" s="1"/>
  <c r="Z222" i="23" s="1"/>
  <c r="Y222" i="23" s="1"/>
  <c r="AG221" i="23"/>
  <c r="AF221" i="23" s="1"/>
  <c r="AD221" i="23" s="1"/>
  <c r="AA221" i="23" s="1"/>
  <c r="Z221" i="23" s="1"/>
  <c r="Y221" i="23" s="1"/>
  <c r="AG331" i="23"/>
  <c r="AF331" i="23" s="1"/>
  <c r="AD331" i="23" s="1"/>
  <c r="AA331" i="23" s="1"/>
  <c r="Z331" i="23" s="1"/>
  <c r="Y331" i="23" s="1"/>
  <c r="AG328" i="23"/>
  <c r="AF328" i="23" s="1"/>
  <c r="AD328" i="23" s="1"/>
  <c r="AA328" i="23" s="1"/>
  <c r="Z328" i="23" s="1"/>
  <c r="Y328" i="23" s="1"/>
  <c r="AG365" i="23"/>
  <c r="AF365" i="23" s="1"/>
  <c r="AD365" i="23" s="1"/>
  <c r="AA365" i="23" s="1"/>
  <c r="Z365" i="23" s="1"/>
  <c r="Y365" i="23" s="1"/>
  <c r="AG202" i="23"/>
  <c r="AF202" i="23" s="1"/>
  <c r="AD202" i="23" s="1"/>
  <c r="AA202" i="23" s="1"/>
  <c r="Z202" i="23" s="1"/>
  <c r="Y202" i="23" s="1"/>
  <c r="AG200" i="23"/>
  <c r="AF200" i="23" s="1"/>
  <c r="AD200" i="23" s="1"/>
  <c r="AA200" i="23" s="1"/>
  <c r="Z200" i="23" s="1"/>
  <c r="Y200" i="23" s="1"/>
  <c r="AG303" i="23"/>
  <c r="AF303" i="23" s="1"/>
  <c r="AD303" i="23" s="1"/>
  <c r="AA303" i="23" s="1"/>
  <c r="Z303" i="23" s="1"/>
  <c r="Y303" i="23" s="1"/>
  <c r="AG166" i="23"/>
  <c r="AF166" i="23" s="1"/>
  <c r="AD166" i="23" s="1"/>
  <c r="AA166" i="23" s="1"/>
  <c r="Z166" i="23" s="1"/>
  <c r="Y166" i="23" s="1"/>
  <c r="AG354" i="23"/>
  <c r="AF354" i="23" s="1"/>
  <c r="AD354" i="23" s="1"/>
  <c r="AA354" i="23" s="1"/>
  <c r="Z354" i="23" s="1"/>
  <c r="Y354" i="23" s="1"/>
  <c r="AG147" i="23"/>
  <c r="AF147" i="23" s="1"/>
  <c r="AD147" i="23" s="1"/>
  <c r="AA147" i="23" s="1"/>
  <c r="Z147" i="23" s="1"/>
  <c r="Y147" i="23" s="1"/>
  <c r="AG324" i="23"/>
  <c r="AF324" i="23" s="1"/>
  <c r="AD324" i="23" s="1"/>
  <c r="AA324" i="23" s="1"/>
  <c r="Z324" i="23" s="1"/>
  <c r="Y324" i="23" s="1"/>
  <c r="AI383" i="23"/>
  <c r="AI382" i="23"/>
  <c r="AI381" i="23"/>
  <c r="AH15" i="23"/>
  <c r="AG282" i="23"/>
  <c r="AF282" i="23" s="1"/>
  <c r="AD282" i="23" s="1"/>
  <c r="AA282" i="23" s="1"/>
  <c r="Z282" i="23" s="1"/>
  <c r="Y282" i="23" s="1"/>
  <c r="AG118" i="23"/>
  <c r="AF118" i="23" s="1"/>
  <c r="AD118" i="23" s="1"/>
  <c r="AA118" i="23" s="1"/>
  <c r="Z118" i="23" s="1"/>
  <c r="Y118" i="23" s="1"/>
  <c r="AG232" i="23"/>
  <c r="AF232" i="23" s="1"/>
  <c r="AD232" i="23" s="1"/>
  <c r="AA232" i="23" s="1"/>
  <c r="Z232" i="23" s="1"/>
  <c r="Y232" i="23" s="1"/>
  <c r="AG111" i="23"/>
  <c r="AF111" i="23" s="1"/>
  <c r="AD111" i="23" s="1"/>
  <c r="AA111" i="23" s="1"/>
  <c r="Z111" i="23" s="1"/>
  <c r="Y111" i="23" s="1"/>
  <c r="AG351" i="23"/>
  <c r="AF351" i="23" s="1"/>
  <c r="AD351" i="23" s="1"/>
  <c r="AA351" i="23" s="1"/>
  <c r="Z351" i="23" s="1"/>
  <c r="Y351" i="23" s="1"/>
  <c r="AG94" i="23"/>
  <c r="AF94" i="23" s="1"/>
  <c r="AD94" i="23" s="1"/>
  <c r="AA94" i="23" s="1"/>
  <c r="Z94" i="23" s="1"/>
  <c r="Y94" i="23" s="1"/>
  <c r="AG19" i="23"/>
  <c r="AF19" i="23" s="1"/>
  <c r="AD19" i="23" s="1"/>
  <c r="AA19" i="23" s="1"/>
  <c r="Z19" i="23" s="1"/>
  <c r="Y19" i="23" s="1"/>
  <c r="AG145" i="23"/>
  <c r="AF145" i="23" s="1"/>
  <c r="AD145" i="23" s="1"/>
  <c r="AA145" i="23" s="1"/>
  <c r="Z145" i="23" s="1"/>
  <c r="Y145" i="23" s="1"/>
  <c r="AG210" i="23"/>
  <c r="AF210" i="23" s="1"/>
  <c r="AD210" i="23" s="1"/>
  <c r="AG255" i="23"/>
  <c r="AF255" i="23" s="1"/>
  <c r="AD255" i="23" s="1"/>
  <c r="AA255" i="23" s="1"/>
  <c r="Z255" i="23" s="1"/>
  <c r="Y255" i="23" s="1"/>
  <c r="AG70" i="23"/>
  <c r="AF70" i="23" s="1"/>
  <c r="AD70" i="23" s="1"/>
  <c r="AA70" i="23" s="1"/>
  <c r="Z70" i="23" s="1"/>
  <c r="Y70" i="23" s="1"/>
  <c r="AG152" i="23"/>
  <c r="AF152" i="23" s="1"/>
  <c r="AD152" i="23" s="1"/>
  <c r="AA152" i="23" s="1"/>
  <c r="Z152" i="23" s="1"/>
  <c r="Y152" i="23" s="1"/>
  <c r="AG89" i="23"/>
  <c r="AF89" i="23" s="1"/>
  <c r="AD89" i="23" s="1"/>
  <c r="AA89" i="23" s="1"/>
  <c r="Z89" i="23" s="1"/>
  <c r="Y89" i="23" s="1"/>
  <c r="AG375" i="23"/>
  <c r="AF375" i="23" s="1"/>
  <c r="AD375" i="23" s="1"/>
  <c r="AA375" i="23" s="1"/>
  <c r="Z375" i="23" s="1"/>
  <c r="Y375" i="23" s="1"/>
  <c r="AG109" i="23"/>
  <c r="AF109" i="23" s="1"/>
  <c r="AD109" i="23" s="1"/>
  <c r="AA109" i="23" s="1"/>
  <c r="Z109" i="23" s="1"/>
  <c r="Y109" i="23" s="1"/>
  <c r="AG377" i="23"/>
  <c r="AF377" i="23" s="1"/>
  <c r="AD377" i="23" s="1"/>
  <c r="AA377" i="23" s="1"/>
  <c r="Z377" i="23" s="1"/>
  <c r="Y377" i="23" s="1"/>
  <c r="AG131" i="23"/>
  <c r="AF131" i="23" s="1"/>
  <c r="AD131" i="23" s="1"/>
  <c r="AA131" i="23" s="1"/>
  <c r="Z131" i="23" s="1"/>
  <c r="Y131" i="23" s="1"/>
  <c r="AG65" i="23"/>
  <c r="AF65" i="23" s="1"/>
  <c r="AD65" i="23" s="1"/>
  <c r="AA65" i="23" s="1"/>
  <c r="Z65" i="23" s="1"/>
  <c r="Y65" i="23" s="1"/>
  <c r="AG360" i="23"/>
  <c r="AF360" i="23" s="1"/>
  <c r="AD360" i="23" s="1"/>
  <c r="AA360" i="23" s="1"/>
  <c r="Z360" i="23" s="1"/>
  <c r="Y360" i="23" s="1"/>
  <c r="AG121" i="23"/>
  <c r="AF121" i="23" s="1"/>
  <c r="AD121" i="23" s="1"/>
  <c r="AA121" i="23" s="1"/>
  <c r="Z121" i="23" s="1"/>
  <c r="Y121" i="23" s="1"/>
  <c r="AG278" i="23"/>
  <c r="AF278" i="23" s="1"/>
  <c r="AD278" i="23" s="1"/>
  <c r="AA278" i="23" s="1"/>
  <c r="Z278" i="23" s="1"/>
  <c r="Y278" i="23" s="1"/>
  <c r="AG312" i="23"/>
  <c r="AF312" i="23" s="1"/>
  <c r="AD312" i="23" s="1"/>
  <c r="AA312" i="23" s="1"/>
  <c r="Z312" i="23" s="1"/>
  <c r="Y312" i="23" s="1"/>
  <c r="AG155" i="23"/>
  <c r="AF155" i="23" s="1"/>
  <c r="AD155" i="23" s="1"/>
  <c r="AA155" i="23" s="1"/>
  <c r="Z155" i="23" s="1"/>
  <c r="Y155" i="23" s="1"/>
  <c r="AG68" i="23"/>
  <c r="AF68" i="23" s="1"/>
  <c r="AD68" i="23" s="1"/>
  <c r="AA68" i="23" s="1"/>
  <c r="Z68" i="23" s="1"/>
  <c r="Y68" i="23" s="1"/>
  <c r="AG327" i="23"/>
  <c r="AF327" i="23" s="1"/>
  <c r="AD327" i="23" s="1"/>
  <c r="AA327" i="23" s="1"/>
  <c r="Z327" i="23" s="1"/>
  <c r="Y327" i="23" s="1"/>
  <c r="AG120" i="23"/>
  <c r="AF120" i="23" s="1"/>
  <c r="AD120" i="23" s="1"/>
  <c r="AA120" i="23" s="1"/>
  <c r="Z120" i="23" s="1"/>
  <c r="Y120" i="23" s="1"/>
  <c r="AG281" i="23"/>
  <c r="AF281" i="23" s="1"/>
  <c r="AD281" i="23" s="1"/>
  <c r="AA281" i="23" s="1"/>
  <c r="Z281" i="23" s="1"/>
  <c r="Y281" i="23" s="1"/>
  <c r="AG117" i="23"/>
  <c r="AF117" i="23" s="1"/>
  <c r="AD117" i="23" s="1"/>
  <c r="AA117" i="23" s="1"/>
  <c r="Z117" i="23" s="1"/>
  <c r="Y117" i="23" s="1"/>
  <c r="AG76" i="23"/>
  <c r="AF76" i="23" s="1"/>
  <c r="AD76" i="23" s="1"/>
  <c r="AA76" i="23" s="1"/>
  <c r="Z76" i="23" s="1"/>
  <c r="Y76" i="23" s="1"/>
  <c r="AG157" i="23"/>
  <c r="AF157" i="23" s="1"/>
  <c r="AD157" i="23" s="1"/>
  <c r="AA157" i="23" s="1"/>
  <c r="Z157" i="23" s="1"/>
  <c r="Y157" i="23" s="1"/>
  <c r="AG321" i="23"/>
  <c r="AF321" i="23" s="1"/>
  <c r="AD321" i="23" s="1"/>
  <c r="AA321" i="23" s="1"/>
  <c r="Z321" i="23" s="1"/>
  <c r="Y321" i="23" s="1"/>
  <c r="AG269" i="23"/>
  <c r="AF269" i="23" s="1"/>
  <c r="AD269" i="23" s="1"/>
  <c r="AA269" i="23" s="1"/>
  <c r="Z269" i="23" s="1"/>
  <c r="Y269" i="23" s="1"/>
  <c r="AG66" i="23"/>
  <c r="AF66" i="23" s="1"/>
  <c r="AD66" i="23" s="1"/>
  <c r="AA66" i="23" s="1"/>
  <c r="Z66" i="23" s="1"/>
  <c r="Y66" i="23" s="1"/>
  <c r="AG55" i="23"/>
  <c r="AF55" i="23" s="1"/>
  <c r="AD55" i="23" s="1"/>
  <c r="AA55" i="23" s="1"/>
  <c r="Z55" i="23" s="1"/>
  <c r="Y55" i="23" s="1"/>
  <c r="AG101" i="23"/>
  <c r="AF101" i="23" s="1"/>
  <c r="AD101" i="23" s="1"/>
  <c r="AA101" i="23" s="1"/>
  <c r="Z101" i="23" s="1"/>
  <c r="Y101" i="23" s="1"/>
  <c r="AG293" i="23"/>
  <c r="AF293" i="23" s="1"/>
  <c r="AD293" i="23" s="1"/>
  <c r="AA293" i="23" s="1"/>
  <c r="Z293" i="23" s="1"/>
  <c r="Y293" i="23" s="1"/>
  <c r="AG274" i="23"/>
  <c r="AF274" i="23" s="1"/>
  <c r="AD274" i="23" s="1"/>
  <c r="AA274" i="23" s="1"/>
  <c r="Z274" i="23" s="1"/>
  <c r="Y274" i="23" s="1"/>
  <c r="AG26" i="23"/>
  <c r="AF26" i="23" s="1"/>
  <c r="AD26" i="23" s="1"/>
  <c r="AA26" i="23" s="1"/>
  <c r="Z26" i="23" s="1"/>
  <c r="Y26" i="23" s="1"/>
  <c r="AG143" i="23"/>
  <c r="AF143" i="23" s="1"/>
  <c r="AD143" i="23" s="1"/>
  <c r="AA143" i="23" s="1"/>
  <c r="Z143" i="23" s="1"/>
  <c r="Y143" i="23" s="1"/>
  <c r="AG227" i="23"/>
  <c r="AF227" i="23" s="1"/>
  <c r="AD227" i="23" s="1"/>
  <c r="AA227" i="23" s="1"/>
  <c r="Z227" i="23" s="1"/>
  <c r="Y227" i="23" s="1"/>
  <c r="AG265" i="23"/>
  <c r="AF265" i="23" s="1"/>
  <c r="AD265" i="23" s="1"/>
  <c r="AA265" i="23" s="1"/>
  <c r="Z265" i="23" s="1"/>
  <c r="Y265" i="23" s="1"/>
  <c r="AG138" i="23"/>
  <c r="AF138" i="23" s="1"/>
  <c r="AD138" i="23" s="1"/>
  <c r="AA138" i="23" s="1"/>
  <c r="Z138" i="23" s="1"/>
  <c r="Y138" i="23" s="1"/>
  <c r="AG275" i="23"/>
  <c r="AF275" i="23" s="1"/>
  <c r="AD275" i="23" s="1"/>
  <c r="AA275" i="23" s="1"/>
  <c r="Z275" i="23" s="1"/>
  <c r="Y275" i="23" s="1"/>
  <c r="AG103" i="23"/>
  <c r="AF103" i="23" s="1"/>
  <c r="AD103" i="23" s="1"/>
  <c r="AA103" i="23" s="1"/>
  <c r="Z103" i="23" s="1"/>
  <c r="Y103" i="23" s="1"/>
  <c r="AG286" i="23"/>
  <c r="AF286" i="23" s="1"/>
  <c r="AD286" i="23" s="1"/>
  <c r="AA286" i="23" s="1"/>
  <c r="Z286" i="23" s="1"/>
  <c r="Y286" i="23" s="1"/>
  <c r="AG253" i="23"/>
  <c r="AF253" i="23" s="1"/>
  <c r="AD253" i="23" s="1"/>
  <c r="AA253" i="23" s="1"/>
  <c r="Z253" i="23" s="1"/>
  <c r="Y253" i="23" s="1"/>
  <c r="AA104" i="20"/>
  <c r="Z104" i="20" s="1"/>
  <c r="Y104" i="20" s="1"/>
  <c r="AD381" i="20"/>
  <c r="AD383" i="20"/>
  <c r="AD382" i="20"/>
  <c r="AE280" i="24"/>
  <c r="AE224" i="24"/>
  <c r="AE108" i="24"/>
  <c r="AE94" i="24"/>
  <c r="AE230" i="24"/>
  <c r="AE370" i="24"/>
  <c r="AE260" i="24"/>
  <c r="AE104" i="24"/>
  <c r="AE253" i="24"/>
  <c r="AE342" i="24"/>
  <c r="AE20" i="24"/>
  <c r="AE207" i="24"/>
  <c r="AE191" i="24"/>
  <c r="AE330" i="24"/>
  <c r="AE162" i="24"/>
  <c r="AE49" i="24"/>
  <c r="AE347" i="24"/>
  <c r="AE232" i="24"/>
  <c r="AE142" i="24"/>
  <c r="AE33" i="24"/>
  <c r="AE193" i="24"/>
  <c r="AE28" i="24"/>
  <c r="AE269" i="24"/>
  <c r="AE345" i="24"/>
  <c r="AE237" i="24"/>
  <c r="AE238" i="24"/>
  <c r="Q353" i="24"/>
  <c r="P353" i="24" s="1"/>
  <c r="V353" i="24" s="1"/>
  <c r="B353" i="24" s="1"/>
  <c r="D353" i="24" s="1"/>
  <c r="E353" i="24" s="1"/>
  <c r="F353" i="24" s="1"/>
  <c r="Q51" i="24"/>
  <c r="P51" i="24" s="1"/>
  <c r="V51" i="24" s="1"/>
  <c r="B51" i="24" s="1"/>
  <c r="D51" i="24" s="1"/>
  <c r="E51" i="24" s="1"/>
  <c r="F51" i="24" s="1"/>
  <c r="Q118" i="24"/>
  <c r="P118" i="24" s="1"/>
  <c r="V118" i="24" s="1"/>
  <c r="B118" i="24" s="1"/>
  <c r="W118" i="24" s="1"/>
  <c r="Q262" i="24"/>
  <c r="P262" i="24" s="1"/>
  <c r="V262" i="24" s="1"/>
  <c r="B262" i="24" s="1"/>
  <c r="D262" i="24" s="1"/>
  <c r="E262" i="24" s="1"/>
  <c r="F262" i="24" s="1"/>
  <c r="Q220" i="24"/>
  <c r="Q303" i="24"/>
  <c r="P303" i="24" s="1"/>
  <c r="V303" i="24" s="1"/>
  <c r="B303" i="24" s="1"/>
  <c r="D303" i="24" s="1"/>
  <c r="E303" i="24" s="1"/>
  <c r="F303" i="24" s="1"/>
  <c r="Q238" i="24"/>
  <c r="P238" i="24" s="1"/>
  <c r="V238" i="24" s="1"/>
  <c r="B238" i="24" s="1"/>
  <c r="W238" i="24" s="1"/>
  <c r="Q202" i="24"/>
  <c r="P202" i="24" s="1"/>
  <c r="V202" i="24" s="1"/>
  <c r="B202" i="24" s="1"/>
  <c r="W202" i="24" s="1"/>
  <c r="Q226" i="24"/>
  <c r="P226" i="24" s="1"/>
  <c r="V226" i="24" s="1"/>
  <c r="B226" i="24" s="1"/>
  <c r="D226" i="24" s="1"/>
  <c r="E226" i="24" s="1"/>
  <c r="F226" i="24" s="1"/>
  <c r="AJ5" i="20"/>
  <c r="AK5" i="20"/>
  <c r="AG206" i="23"/>
  <c r="AF206" i="23" s="1"/>
  <c r="AD206" i="23" s="1"/>
  <c r="AA206" i="23" s="1"/>
  <c r="Z206" i="23" s="1"/>
  <c r="Y206" i="23" s="1"/>
  <c r="AG78" i="23"/>
  <c r="AF78" i="23" s="1"/>
  <c r="AD78" i="23" s="1"/>
  <c r="AA78" i="23" s="1"/>
  <c r="Z78" i="23" s="1"/>
  <c r="Y78" i="23" s="1"/>
  <c r="AG189" i="23"/>
  <c r="AF189" i="23" s="1"/>
  <c r="AD189" i="23" s="1"/>
  <c r="AA189" i="23" s="1"/>
  <c r="Z189" i="23" s="1"/>
  <c r="Y189" i="23" s="1"/>
  <c r="AG193" i="23"/>
  <c r="AF193" i="23" s="1"/>
  <c r="AD193" i="23" s="1"/>
  <c r="AA193" i="23" s="1"/>
  <c r="Z193" i="23" s="1"/>
  <c r="Y193" i="23" s="1"/>
  <c r="AG283" i="23"/>
  <c r="AF283" i="23" s="1"/>
  <c r="AD283" i="23" s="1"/>
  <c r="AA283" i="23" s="1"/>
  <c r="Z283" i="23" s="1"/>
  <c r="Y283" i="23" s="1"/>
  <c r="AG284" i="23"/>
  <c r="AF284" i="23" s="1"/>
  <c r="AD284" i="23" s="1"/>
  <c r="AA284" i="23" s="1"/>
  <c r="Z284" i="23" s="1"/>
  <c r="Y284" i="23" s="1"/>
  <c r="AG346" i="23"/>
  <c r="AF346" i="23" s="1"/>
  <c r="AD346" i="23" s="1"/>
  <c r="AA346" i="23" s="1"/>
  <c r="Z346" i="23" s="1"/>
  <c r="Y346" i="23" s="1"/>
  <c r="AG295" i="23"/>
  <c r="AF295" i="23" s="1"/>
  <c r="AD295" i="23" s="1"/>
  <c r="AA295" i="23" s="1"/>
  <c r="Z295" i="23" s="1"/>
  <c r="Y295" i="23" s="1"/>
  <c r="AG348" i="23"/>
  <c r="AF348" i="23" s="1"/>
  <c r="AD348" i="23" s="1"/>
  <c r="AA348" i="23" s="1"/>
  <c r="Z348" i="23" s="1"/>
  <c r="Y348" i="23" s="1"/>
  <c r="AG217" i="23"/>
  <c r="AF217" i="23" s="1"/>
  <c r="AD217" i="23" s="1"/>
  <c r="AA217" i="23" s="1"/>
  <c r="Z217" i="23" s="1"/>
  <c r="Y217" i="23" s="1"/>
  <c r="AG21" i="23"/>
  <c r="AF21" i="23" s="1"/>
  <c r="AD21" i="23" s="1"/>
  <c r="AA21" i="23" s="1"/>
  <c r="Z21" i="23" s="1"/>
  <c r="Y21" i="23" s="1"/>
  <c r="AG342" i="23"/>
  <c r="AF342" i="23" s="1"/>
  <c r="AD342" i="23" s="1"/>
  <c r="AA342" i="23" s="1"/>
  <c r="Z342" i="23" s="1"/>
  <c r="Y342" i="23" s="1"/>
  <c r="AG29" i="23"/>
  <c r="AF29" i="23" s="1"/>
  <c r="AD29" i="23" s="1"/>
  <c r="AA29" i="23" s="1"/>
  <c r="Z29" i="23" s="1"/>
  <c r="Y29" i="23" s="1"/>
  <c r="AG257" i="23"/>
  <c r="AF257" i="23" s="1"/>
  <c r="AD257" i="23" s="1"/>
  <c r="AA257" i="23" s="1"/>
  <c r="Z257" i="23" s="1"/>
  <c r="Y257" i="23" s="1"/>
  <c r="AG161" i="23"/>
  <c r="AF161" i="23" s="1"/>
  <c r="AD161" i="23" s="1"/>
  <c r="AA161" i="23" s="1"/>
  <c r="Z161" i="23" s="1"/>
  <c r="Y161" i="23" s="1"/>
  <c r="AG347" i="23"/>
  <c r="AF347" i="23" s="1"/>
  <c r="AD347" i="23" s="1"/>
  <c r="AA347" i="23" s="1"/>
  <c r="Z347" i="23" s="1"/>
  <c r="Y347" i="23" s="1"/>
  <c r="AG158" i="23"/>
  <c r="AF158" i="23" s="1"/>
  <c r="AD158" i="23" s="1"/>
  <c r="AA158" i="23" s="1"/>
  <c r="Z158" i="23" s="1"/>
  <c r="Y158" i="23" s="1"/>
  <c r="AG153" i="23"/>
  <c r="AF153" i="23" s="1"/>
  <c r="AD153" i="23" s="1"/>
  <c r="AA153" i="23" s="1"/>
  <c r="Z153" i="23" s="1"/>
  <c r="Y153" i="23" s="1"/>
  <c r="AG82" i="23"/>
  <c r="AF82" i="23" s="1"/>
  <c r="AD82" i="23" s="1"/>
  <c r="AA82" i="23" s="1"/>
  <c r="Z82" i="23" s="1"/>
  <c r="Y82" i="23" s="1"/>
  <c r="AG156" i="23"/>
  <c r="AF156" i="23" s="1"/>
  <c r="AD156" i="23" s="1"/>
  <c r="AA156" i="23" s="1"/>
  <c r="Z156" i="23" s="1"/>
  <c r="Y156" i="23" s="1"/>
  <c r="AG186" i="23"/>
  <c r="AF186" i="23" s="1"/>
  <c r="AD186" i="23" s="1"/>
  <c r="AA186" i="23" s="1"/>
  <c r="Z186" i="23" s="1"/>
  <c r="Y186" i="23" s="1"/>
  <c r="AG184" i="23"/>
  <c r="AF184" i="23" s="1"/>
  <c r="AD184" i="23" s="1"/>
  <c r="AA184" i="23" s="1"/>
  <c r="Z184" i="23" s="1"/>
  <c r="Y184" i="23" s="1"/>
  <c r="AG183" i="23"/>
  <c r="AF183" i="23" s="1"/>
  <c r="AD183" i="23" s="1"/>
  <c r="AA183" i="23" s="1"/>
  <c r="Z183" i="23" s="1"/>
  <c r="Y183" i="23" s="1"/>
  <c r="AG372" i="23"/>
  <c r="AF372" i="23" s="1"/>
  <c r="AD372" i="23" s="1"/>
  <c r="AA372" i="23" s="1"/>
  <c r="Z372" i="23" s="1"/>
  <c r="Y372" i="23" s="1"/>
  <c r="AG169" i="23"/>
  <c r="AF169" i="23" s="1"/>
  <c r="AD169" i="23" s="1"/>
  <c r="AA169" i="23" s="1"/>
  <c r="Z169" i="23" s="1"/>
  <c r="Y169" i="23" s="1"/>
  <c r="AG172" i="23"/>
  <c r="AF172" i="23" s="1"/>
  <c r="AD172" i="23" s="1"/>
  <c r="AA172" i="23" s="1"/>
  <c r="Z172" i="23" s="1"/>
  <c r="Y172" i="23" s="1"/>
  <c r="AG251" i="23"/>
  <c r="AF251" i="23" s="1"/>
  <c r="AD251" i="23" s="1"/>
  <c r="AA251" i="23" s="1"/>
  <c r="Z251" i="23" s="1"/>
  <c r="Y251" i="23" s="1"/>
  <c r="AG62" i="23"/>
  <c r="AF62" i="23" s="1"/>
  <c r="AD62" i="23" s="1"/>
  <c r="AA62" i="23" s="1"/>
  <c r="Z62" i="23" s="1"/>
  <c r="Y62" i="23" s="1"/>
  <c r="AG352" i="23"/>
  <c r="AF352" i="23" s="1"/>
  <c r="AD352" i="23" s="1"/>
  <c r="AA352" i="23" s="1"/>
  <c r="Z352" i="23" s="1"/>
  <c r="Y352" i="23" s="1"/>
  <c r="AG81" i="23"/>
  <c r="AF81" i="23" s="1"/>
  <c r="AD81" i="23" s="1"/>
  <c r="AA81" i="23" s="1"/>
  <c r="Z81" i="23" s="1"/>
  <c r="Y81" i="23" s="1"/>
  <c r="AG194" i="23"/>
  <c r="AF194" i="23" s="1"/>
  <c r="AD194" i="23" s="1"/>
  <c r="AA194" i="23" s="1"/>
  <c r="Z194" i="23" s="1"/>
  <c r="Y194" i="23" s="1"/>
  <c r="AG223" i="23"/>
  <c r="AF223" i="23" s="1"/>
  <c r="AD223" i="23" s="1"/>
  <c r="AA223" i="23" s="1"/>
  <c r="Z223" i="23" s="1"/>
  <c r="Y223" i="23" s="1"/>
  <c r="AG373" i="23"/>
  <c r="AF373" i="23" s="1"/>
  <c r="AD373" i="23" s="1"/>
  <c r="AA373" i="23" s="1"/>
  <c r="Z373" i="23" s="1"/>
  <c r="Y373" i="23" s="1"/>
  <c r="AG88" i="23"/>
  <c r="AF88" i="23" s="1"/>
  <c r="AD88" i="23" s="1"/>
  <c r="AA88" i="23" s="1"/>
  <c r="Z88" i="23" s="1"/>
  <c r="Y88" i="23" s="1"/>
  <c r="AG25" i="23"/>
  <c r="AF25" i="23" s="1"/>
  <c r="AD25" i="23" s="1"/>
  <c r="AA25" i="23" s="1"/>
  <c r="Z25" i="23" s="1"/>
  <c r="Y25" i="23" s="1"/>
  <c r="AG359" i="23"/>
  <c r="AF359" i="23" s="1"/>
  <c r="AD359" i="23" s="1"/>
  <c r="AA359" i="23" s="1"/>
  <c r="Z359" i="23" s="1"/>
  <c r="Y359" i="23" s="1"/>
  <c r="AG77" i="23"/>
  <c r="AF77" i="23" s="1"/>
  <c r="AD77" i="23" s="1"/>
  <c r="AA77" i="23" s="1"/>
  <c r="Z77" i="23" s="1"/>
  <c r="Y77" i="23" s="1"/>
  <c r="AG345" i="23"/>
  <c r="AF345" i="23" s="1"/>
  <c r="AD345" i="23" s="1"/>
  <c r="AA345" i="23" s="1"/>
  <c r="Z345" i="23" s="1"/>
  <c r="Y345" i="23" s="1"/>
  <c r="AG67" i="23"/>
  <c r="AF67" i="23" s="1"/>
  <c r="AD67" i="23" s="1"/>
  <c r="AA67" i="23" s="1"/>
  <c r="Z67" i="23" s="1"/>
  <c r="Y67" i="23" s="1"/>
  <c r="AG33" i="23"/>
  <c r="AF33" i="23" s="1"/>
  <c r="AD33" i="23" s="1"/>
  <c r="AA33" i="23" s="1"/>
  <c r="Z33" i="23" s="1"/>
  <c r="Y33" i="23" s="1"/>
  <c r="AG235" i="23"/>
  <c r="AF235" i="23" s="1"/>
  <c r="AD235" i="23" s="1"/>
  <c r="AA235" i="23" s="1"/>
  <c r="Z235" i="23" s="1"/>
  <c r="Y235" i="23" s="1"/>
  <c r="AG353" i="23"/>
  <c r="AF353" i="23" s="1"/>
  <c r="AD353" i="23" s="1"/>
  <c r="AA353" i="23" s="1"/>
  <c r="Z353" i="23" s="1"/>
  <c r="Y353" i="23" s="1"/>
  <c r="AG301" i="23"/>
  <c r="AF301" i="23" s="1"/>
  <c r="AD301" i="23" s="1"/>
  <c r="AA301" i="23" s="1"/>
  <c r="Z301" i="23" s="1"/>
  <c r="Y301" i="23" s="1"/>
  <c r="AG27" i="23"/>
  <c r="AF27" i="23" s="1"/>
  <c r="AD27" i="23" s="1"/>
  <c r="AA27" i="23" s="1"/>
  <c r="Z27" i="23" s="1"/>
  <c r="Y27" i="23" s="1"/>
  <c r="AG119" i="23"/>
  <c r="AF119" i="23" s="1"/>
  <c r="AD119" i="23" s="1"/>
  <c r="AA119" i="23" s="1"/>
  <c r="Z119" i="23" s="1"/>
  <c r="Y119" i="23" s="1"/>
  <c r="AG207" i="23"/>
  <c r="AF207" i="23" s="1"/>
  <c r="AD207" i="23" s="1"/>
  <c r="AA207" i="23" s="1"/>
  <c r="Z207" i="23" s="1"/>
  <c r="Y207" i="23" s="1"/>
  <c r="AG171" i="23"/>
  <c r="AF171" i="23" s="1"/>
  <c r="AD171" i="23" s="1"/>
  <c r="AA171" i="23" s="1"/>
  <c r="Z171" i="23" s="1"/>
  <c r="Y171" i="23" s="1"/>
  <c r="AG341" i="23"/>
  <c r="AF341" i="23" s="1"/>
  <c r="AD341" i="23" s="1"/>
  <c r="AA341" i="23" s="1"/>
  <c r="Z341" i="23" s="1"/>
  <c r="Y341" i="23" s="1"/>
  <c r="AG132" i="23"/>
  <c r="AF132" i="23" s="1"/>
  <c r="AD132" i="23" s="1"/>
  <c r="AA132" i="23" s="1"/>
  <c r="Z132" i="23" s="1"/>
  <c r="Y132" i="23" s="1"/>
  <c r="AG204" i="23"/>
  <c r="AF204" i="23" s="1"/>
  <c r="AD204" i="23" s="1"/>
  <c r="AA204" i="23" s="1"/>
  <c r="Z204" i="23" s="1"/>
  <c r="Y204" i="23" s="1"/>
  <c r="AG181" i="23"/>
  <c r="AF181" i="23" s="1"/>
  <c r="AD181" i="23" s="1"/>
  <c r="AA181" i="23" s="1"/>
  <c r="Z181" i="23" s="1"/>
  <c r="Y181" i="23" s="1"/>
  <c r="AG179" i="23"/>
  <c r="AF179" i="23" s="1"/>
  <c r="AD179" i="23" s="1"/>
  <c r="AA179" i="23" s="1"/>
  <c r="Z179" i="23" s="1"/>
  <c r="Y179" i="23" s="1"/>
  <c r="AG308" i="23"/>
  <c r="AF308" i="23" s="1"/>
  <c r="AD308" i="23" s="1"/>
  <c r="AA308" i="23" s="1"/>
  <c r="Z308" i="23" s="1"/>
  <c r="Y308" i="23" s="1"/>
  <c r="AG180" i="23"/>
  <c r="AF180" i="23" s="1"/>
  <c r="AD180" i="23" s="1"/>
  <c r="AA180" i="23" s="1"/>
  <c r="Z180" i="23" s="1"/>
  <c r="Y180" i="23" s="1"/>
  <c r="AG44" i="23"/>
  <c r="AF44" i="23" s="1"/>
  <c r="AD44" i="23" s="1"/>
  <c r="AA44" i="23" s="1"/>
  <c r="Z44" i="23" s="1"/>
  <c r="Y44" i="23" s="1"/>
  <c r="AG187" i="23"/>
  <c r="AF187" i="23" s="1"/>
  <c r="AD187" i="23" s="1"/>
  <c r="AA187" i="23" s="1"/>
  <c r="Z187" i="23" s="1"/>
  <c r="Y187" i="23" s="1"/>
  <c r="AG305" i="23"/>
  <c r="AF305" i="23" s="1"/>
  <c r="AD305" i="23" s="1"/>
  <c r="AA305" i="23" s="1"/>
  <c r="Z305" i="23" s="1"/>
  <c r="Y305" i="23" s="1"/>
  <c r="AG288" i="23"/>
  <c r="AF288" i="23" s="1"/>
  <c r="AD288" i="23" s="1"/>
  <c r="AA288" i="23" s="1"/>
  <c r="Z288" i="23" s="1"/>
  <c r="Y288" i="23" s="1"/>
  <c r="AG124" i="23"/>
  <c r="AF124" i="23" s="1"/>
  <c r="AD124" i="23" s="1"/>
  <c r="AA124" i="23" s="1"/>
  <c r="Z124" i="23" s="1"/>
  <c r="Y124" i="23" s="1"/>
  <c r="AG139" i="23"/>
  <c r="AF139" i="23" s="1"/>
  <c r="AD139" i="23" s="1"/>
  <c r="AA139" i="23" s="1"/>
  <c r="Z139" i="23" s="1"/>
  <c r="Y139" i="23" s="1"/>
  <c r="AG133" i="23"/>
  <c r="AF133" i="23" s="1"/>
  <c r="AD133" i="23" s="1"/>
  <c r="AA133" i="23" s="1"/>
  <c r="Z133" i="23" s="1"/>
  <c r="Y133" i="23" s="1"/>
  <c r="AG309" i="23"/>
  <c r="AF309" i="23" s="1"/>
  <c r="AD309" i="23" s="1"/>
  <c r="AA309" i="23" s="1"/>
  <c r="Z309" i="23" s="1"/>
  <c r="Y309" i="23" s="1"/>
  <c r="AG364" i="23"/>
  <c r="AF364" i="23" s="1"/>
  <c r="AD364" i="23" s="1"/>
  <c r="AA364" i="23" s="1"/>
  <c r="Z364" i="23" s="1"/>
  <c r="Y364" i="23" s="1"/>
  <c r="AG357" i="23"/>
  <c r="AF357" i="23" s="1"/>
  <c r="AD357" i="23" s="1"/>
  <c r="AA357" i="23" s="1"/>
  <c r="Z357" i="23" s="1"/>
  <c r="Y357" i="23" s="1"/>
  <c r="AG154" i="23"/>
  <c r="AF154" i="23" s="1"/>
  <c r="AD154" i="23" s="1"/>
  <c r="AA154" i="23" s="1"/>
  <c r="Z154" i="23" s="1"/>
  <c r="Y154" i="23" s="1"/>
  <c r="AG291" i="23"/>
  <c r="AF291" i="23" s="1"/>
  <c r="AD291" i="23" s="1"/>
  <c r="AA291" i="23" s="1"/>
  <c r="Z291" i="23" s="1"/>
  <c r="Y291" i="23" s="1"/>
  <c r="AG366" i="23"/>
  <c r="AF366" i="23" s="1"/>
  <c r="AD366" i="23" s="1"/>
  <c r="AA366" i="23" s="1"/>
  <c r="Z366" i="23" s="1"/>
  <c r="Y366" i="23" s="1"/>
  <c r="AG176" i="23"/>
  <c r="AF176" i="23" s="1"/>
  <c r="AD176" i="23" s="1"/>
  <c r="AA176" i="23" s="1"/>
  <c r="Z176" i="23" s="1"/>
  <c r="Y176" i="23" s="1"/>
  <c r="AG192" i="23"/>
  <c r="AF192" i="23" s="1"/>
  <c r="AD192" i="23" s="1"/>
  <c r="AA192" i="23" s="1"/>
  <c r="Z192" i="23" s="1"/>
  <c r="Y192" i="23" s="1"/>
  <c r="AG334" i="23"/>
  <c r="AF334" i="23" s="1"/>
  <c r="AD334" i="23" s="1"/>
  <c r="AA334" i="23" s="1"/>
  <c r="Z334" i="23" s="1"/>
  <c r="Y334" i="23" s="1"/>
  <c r="AG43" i="23"/>
  <c r="AF43" i="23" s="1"/>
  <c r="AD43" i="23" s="1"/>
  <c r="AA43" i="23" s="1"/>
  <c r="Z43" i="23" s="1"/>
  <c r="Y43" i="23" s="1"/>
  <c r="AG112" i="23"/>
  <c r="AF112" i="23" s="1"/>
  <c r="AD112" i="23" s="1"/>
  <c r="AA112" i="23" s="1"/>
  <c r="Z112" i="23" s="1"/>
  <c r="Y112" i="23" s="1"/>
  <c r="AG213" i="23"/>
  <c r="AF213" i="23" s="1"/>
  <c r="AD213" i="23" s="1"/>
  <c r="AA213" i="23" s="1"/>
  <c r="Z213" i="23" s="1"/>
  <c r="Y213" i="23" s="1"/>
  <c r="AG268" i="23"/>
  <c r="AF268" i="23" s="1"/>
  <c r="AD268" i="23" s="1"/>
  <c r="AA268" i="23" s="1"/>
  <c r="Z268" i="23" s="1"/>
  <c r="Y268" i="23" s="1"/>
  <c r="AG314" i="23"/>
  <c r="AF314" i="23" s="1"/>
  <c r="AD314" i="23" s="1"/>
  <c r="AA314" i="23" s="1"/>
  <c r="Z314" i="23" s="1"/>
  <c r="Y314" i="23" s="1"/>
  <c r="AG279" i="23"/>
  <c r="AF279" i="23" s="1"/>
  <c r="AD279" i="23" s="1"/>
  <c r="AA279" i="23" s="1"/>
  <c r="Z279" i="23" s="1"/>
  <c r="Y279" i="23" s="1"/>
  <c r="AG316" i="23"/>
  <c r="AF316" i="23" s="1"/>
  <c r="AD316" i="23" s="1"/>
  <c r="AA316" i="23" s="1"/>
  <c r="Z316" i="23" s="1"/>
  <c r="Y316" i="23" s="1"/>
  <c r="AG185" i="23"/>
  <c r="AF185" i="23" s="1"/>
  <c r="AD185" i="23" s="1"/>
  <c r="AA185" i="23" s="1"/>
  <c r="Z185" i="23" s="1"/>
  <c r="Y185" i="23" s="1"/>
  <c r="AG160" i="23"/>
  <c r="AF160" i="23" s="1"/>
  <c r="AD160" i="23" s="1"/>
  <c r="AA160" i="23" s="1"/>
  <c r="Z160" i="23" s="1"/>
  <c r="Y160" i="23" s="1"/>
  <c r="AG310" i="23"/>
  <c r="AF310" i="23" s="1"/>
  <c r="AD310" i="23" s="1"/>
  <c r="AA310" i="23" s="1"/>
  <c r="Z310" i="23" s="1"/>
  <c r="Y310" i="23" s="1"/>
  <c r="AG136" i="23"/>
  <c r="AF136" i="23" s="1"/>
  <c r="AD136" i="23" s="1"/>
  <c r="AA136" i="23" s="1"/>
  <c r="Z136" i="23" s="1"/>
  <c r="Y136" i="23" s="1"/>
  <c r="AG241" i="23"/>
  <c r="AF241" i="23" s="1"/>
  <c r="AD241" i="23" s="1"/>
  <c r="AG129" i="23"/>
  <c r="AF129" i="23" s="1"/>
  <c r="AD129" i="23" s="1"/>
  <c r="AA129" i="23" s="1"/>
  <c r="Z129" i="23" s="1"/>
  <c r="Y129" i="23" s="1"/>
  <c r="AG315" i="23"/>
  <c r="AF315" i="23" s="1"/>
  <c r="AD315" i="23" s="1"/>
  <c r="AA315" i="23" s="1"/>
  <c r="Z315" i="23" s="1"/>
  <c r="Y315" i="23" s="1"/>
  <c r="AG126" i="23"/>
  <c r="AF126" i="23" s="1"/>
  <c r="AD126" i="23" s="1"/>
  <c r="AA126" i="23" s="1"/>
  <c r="Z126" i="23" s="1"/>
  <c r="Y126" i="23" s="1"/>
  <c r="AG80" i="23"/>
  <c r="AF80" i="23" s="1"/>
  <c r="AD80" i="23" s="1"/>
  <c r="AA80" i="23" s="1"/>
  <c r="Z80" i="23" s="1"/>
  <c r="Y80" i="23" s="1"/>
  <c r="AG197" i="23"/>
  <c r="AF197" i="23" s="1"/>
  <c r="AD197" i="23" s="1"/>
  <c r="AA197" i="23" s="1"/>
  <c r="Z197" i="23" s="1"/>
  <c r="Y197" i="23" s="1"/>
  <c r="AG226" i="23"/>
  <c r="AF226" i="23" s="1"/>
  <c r="AD226" i="23" s="1"/>
  <c r="AA226" i="23" s="1"/>
  <c r="Z226" i="23" s="1"/>
  <c r="Y226" i="23" s="1"/>
  <c r="AG287" i="23"/>
  <c r="AF287" i="23" s="1"/>
  <c r="AD287" i="23" s="1"/>
  <c r="AA287" i="23" s="1"/>
  <c r="Z287" i="23" s="1"/>
  <c r="Y287" i="23" s="1"/>
  <c r="AG134" i="23"/>
  <c r="AF134" i="23" s="1"/>
  <c r="AD134" i="23" s="1"/>
  <c r="AA134" i="23" s="1"/>
  <c r="Z134" i="23" s="1"/>
  <c r="Y134" i="23" s="1"/>
  <c r="AG45" i="23"/>
  <c r="AF45" i="23" s="1"/>
  <c r="AD45" i="23" s="1"/>
  <c r="AA45" i="23" s="1"/>
  <c r="Z45" i="23" s="1"/>
  <c r="Y45" i="23" s="1"/>
  <c r="AG244" i="23"/>
  <c r="AF244" i="23" s="1"/>
  <c r="AD244" i="23" s="1"/>
  <c r="AA244" i="23" s="1"/>
  <c r="Z244" i="23" s="1"/>
  <c r="Y244" i="23" s="1"/>
  <c r="AG326" i="23"/>
  <c r="AF326" i="23" s="1"/>
  <c r="AD326" i="23" s="1"/>
  <c r="AA326" i="23" s="1"/>
  <c r="Z326" i="23" s="1"/>
  <c r="Y326" i="23" s="1"/>
  <c r="AG225" i="23"/>
  <c r="AF225" i="23" s="1"/>
  <c r="AD225" i="23" s="1"/>
  <c r="AA225" i="23" s="1"/>
  <c r="Z225" i="23" s="1"/>
  <c r="Y225" i="23" s="1"/>
  <c r="AG35" i="23"/>
  <c r="AF35" i="23" s="1"/>
  <c r="AD35" i="23" s="1"/>
  <c r="AA35" i="23" s="1"/>
  <c r="Z35" i="23" s="1"/>
  <c r="Y35" i="23" s="1"/>
  <c r="AG208" i="23"/>
  <c r="AF208" i="23" s="1"/>
  <c r="AD208" i="23" s="1"/>
  <c r="AA208" i="23" s="1"/>
  <c r="Z208" i="23" s="1"/>
  <c r="Y208" i="23" s="1"/>
  <c r="AG105" i="23"/>
  <c r="AF105" i="23" s="1"/>
  <c r="AD105" i="23" s="1"/>
  <c r="AA105" i="23" s="1"/>
  <c r="Z105" i="23" s="1"/>
  <c r="Y105" i="23" s="1"/>
  <c r="AG71" i="23"/>
  <c r="AF71" i="23" s="1"/>
  <c r="AD71" i="23" s="1"/>
  <c r="AA71" i="23" s="1"/>
  <c r="Z71" i="23" s="1"/>
  <c r="Y71" i="23" s="1"/>
  <c r="AG270" i="23"/>
  <c r="AF270" i="23" s="1"/>
  <c r="AD270" i="23" s="1"/>
  <c r="AA270" i="23" s="1"/>
  <c r="Z270" i="23" s="1"/>
  <c r="Y270" i="23" s="1"/>
  <c r="AG146" i="23"/>
  <c r="AF146" i="23" s="1"/>
  <c r="AD146" i="23" s="1"/>
  <c r="AA146" i="23" s="1"/>
  <c r="Z146" i="23" s="1"/>
  <c r="Y146" i="23" s="1"/>
  <c r="AG368" i="23"/>
  <c r="AF368" i="23" s="1"/>
  <c r="AD368" i="23" s="1"/>
  <c r="AA368" i="23" s="1"/>
  <c r="Z368" i="23" s="1"/>
  <c r="Y368" i="23" s="1"/>
  <c r="AG113" i="23"/>
  <c r="AF113" i="23" s="1"/>
  <c r="AD113" i="23" s="1"/>
  <c r="AA113" i="23" s="1"/>
  <c r="Z113" i="23" s="1"/>
  <c r="Y113" i="23" s="1"/>
  <c r="AG159" i="23"/>
  <c r="AF159" i="23" s="1"/>
  <c r="AD159" i="23" s="1"/>
  <c r="AA159" i="23" s="1"/>
  <c r="Z159" i="23" s="1"/>
  <c r="Y159" i="23" s="1"/>
  <c r="AG250" i="23"/>
  <c r="AF250" i="23" s="1"/>
  <c r="AD250" i="23" s="1"/>
  <c r="AA250" i="23" s="1"/>
  <c r="Z250" i="23" s="1"/>
  <c r="Y250" i="23" s="1"/>
  <c r="AG247" i="23"/>
  <c r="AF247" i="23" s="1"/>
  <c r="AD247" i="23" s="1"/>
  <c r="AA247" i="23" s="1"/>
  <c r="Z247" i="23" s="1"/>
  <c r="Y247" i="23" s="1"/>
  <c r="AG252" i="23"/>
  <c r="AF252" i="23" s="1"/>
  <c r="AD252" i="23" s="1"/>
  <c r="AA252" i="23" s="1"/>
  <c r="Z252" i="23" s="1"/>
  <c r="Y252" i="23" s="1"/>
  <c r="AG57" i="23"/>
  <c r="AF57" i="23" s="1"/>
  <c r="AD57" i="23" s="1"/>
  <c r="AA57" i="23" s="1"/>
  <c r="Z57" i="23" s="1"/>
  <c r="Y57" i="23" s="1"/>
  <c r="AG96" i="23"/>
  <c r="AF96" i="23" s="1"/>
  <c r="AD96" i="23" s="1"/>
  <c r="AA96" i="23" s="1"/>
  <c r="Z96" i="23" s="1"/>
  <c r="Y96" i="23" s="1"/>
  <c r="AG246" i="23"/>
  <c r="AF246" i="23" s="1"/>
  <c r="AD246" i="23" s="1"/>
  <c r="AA246" i="23" s="1"/>
  <c r="Z246" i="23" s="1"/>
  <c r="Y246" i="23" s="1"/>
  <c r="AG289" i="23"/>
  <c r="AF289" i="23" s="1"/>
  <c r="AD289" i="23" s="1"/>
  <c r="AA289" i="23" s="1"/>
  <c r="Z289" i="23" s="1"/>
  <c r="Y289" i="23" s="1"/>
  <c r="AH379" i="23"/>
  <c r="AI12" i="24"/>
  <c r="AG37" i="23"/>
  <c r="AF37" i="23" s="1"/>
  <c r="AD37" i="23" s="1"/>
  <c r="AA37" i="23" s="1"/>
  <c r="Z37" i="23" s="1"/>
  <c r="Y37" i="23" s="1"/>
  <c r="AG20" i="23"/>
  <c r="AF20" i="23" s="1"/>
  <c r="AD20" i="23" s="1"/>
  <c r="AA20" i="23" s="1"/>
  <c r="Z20" i="23" s="1"/>
  <c r="Y20" i="23" s="1"/>
  <c r="AG79" i="23"/>
  <c r="AF79" i="23" s="1"/>
  <c r="AD79" i="23" s="1"/>
  <c r="AA79" i="23" s="1"/>
  <c r="Z79" i="23" s="1"/>
  <c r="Y79" i="23" s="1"/>
  <c r="AG123" i="23"/>
  <c r="AF123" i="23" s="1"/>
  <c r="AD123" i="23" s="1"/>
  <c r="AA123" i="23" s="1"/>
  <c r="Z123" i="23" s="1"/>
  <c r="Y123" i="23" s="1"/>
  <c r="AG199" i="23"/>
  <c r="AF199" i="23" s="1"/>
  <c r="AD199" i="23" s="1"/>
  <c r="AA199" i="23" s="1"/>
  <c r="Z199" i="23" s="1"/>
  <c r="Y199" i="23" s="1"/>
  <c r="AG188" i="23"/>
  <c r="AF188" i="23" s="1"/>
  <c r="AD188" i="23" s="1"/>
  <c r="AA188" i="23" s="1"/>
  <c r="Z188" i="23" s="1"/>
  <c r="Y188" i="23" s="1"/>
  <c r="AG36" i="23"/>
  <c r="AF36" i="23" s="1"/>
  <c r="AD36" i="23" s="1"/>
  <c r="AA36" i="23" s="1"/>
  <c r="Z36" i="23" s="1"/>
  <c r="Y36" i="23" s="1"/>
  <c r="AG296" i="23"/>
  <c r="AF296" i="23" s="1"/>
  <c r="AD296" i="23" s="1"/>
  <c r="AA296" i="23" s="1"/>
  <c r="Z296" i="23" s="1"/>
  <c r="Y296" i="23" s="1"/>
  <c r="AG115" i="23"/>
  <c r="AF115" i="23" s="1"/>
  <c r="AD115" i="23" s="1"/>
  <c r="AA115" i="23" s="1"/>
  <c r="Z115" i="23" s="1"/>
  <c r="Y115" i="23" s="1"/>
  <c r="AG276" i="23"/>
  <c r="AF276" i="23" s="1"/>
  <c r="AD276" i="23" s="1"/>
  <c r="AA276" i="23" s="1"/>
  <c r="Z276" i="23" s="1"/>
  <c r="Y276" i="23" s="1"/>
  <c r="AG148" i="23"/>
  <c r="AF148" i="23" s="1"/>
  <c r="AD148" i="23" s="1"/>
  <c r="AA148" i="23" s="1"/>
  <c r="Z148" i="23" s="1"/>
  <c r="Y148" i="23" s="1"/>
  <c r="AG358" i="23"/>
  <c r="AF358" i="23" s="1"/>
  <c r="AD358" i="23" s="1"/>
  <c r="AA358" i="23" s="1"/>
  <c r="Z358" i="23" s="1"/>
  <c r="Y358" i="23" s="1"/>
  <c r="AG125" i="23"/>
  <c r="AF125" i="23" s="1"/>
  <c r="AD125" i="23" s="1"/>
  <c r="AA125" i="23" s="1"/>
  <c r="Z125" i="23" s="1"/>
  <c r="Y125" i="23" s="1"/>
  <c r="AG273" i="23"/>
  <c r="AF273" i="23" s="1"/>
  <c r="AD273" i="23" s="1"/>
  <c r="AA273" i="23" s="1"/>
  <c r="Z273" i="23" s="1"/>
  <c r="Y273" i="23" s="1"/>
  <c r="AG256" i="23"/>
  <c r="AF256" i="23" s="1"/>
  <c r="AD256" i="23" s="1"/>
  <c r="AA256" i="23" s="1"/>
  <c r="Z256" i="23" s="1"/>
  <c r="Y256" i="23" s="1"/>
  <c r="AG60" i="23"/>
  <c r="AF60" i="23" s="1"/>
  <c r="AD60" i="23" s="1"/>
  <c r="AG107" i="23"/>
  <c r="AF107" i="23" s="1"/>
  <c r="AD107" i="23" s="1"/>
  <c r="AA107" i="23" s="1"/>
  <c r="Z107" i="23" s="1"/>
  <c r="Y107" i="23" s="1"/>
  <c r="AG69" i="23"/>
  <c r="AF69" i="23" s="1"/>
  <c r="AD69" i="23" s="1"/>
  <c r="AA69" i="23" s="1"/>
  <c r="Z69" i="23" s="1"/>
  <c r="Y69" i="23" s="1"/>
  <c r="AG277" i="23"/>
  <c r="AF277" i="23" s="1"/>
  <c r="AD277" i="23" s="1"/>
  <c r="AA277" i="23" s="1"/>
  <c r="Z277" i="23" s="1"/>
  <c r="Y277" i="23" s="1"/>
  <c r="AG332" i="23"/>
  <c r="AF332" i="23" s="1"/>
  <c r="AD332" i="23" s="1"/>
  <c r="AA332" i="23" s="1"/>
  <c r="Z332" i="23" s="1"/>
  <c r="Y332" i="23" s="1"/>
  <c r="AG378" i="23"/>
  <c r="AF378" i="23" s="1"/>
  <c r="AD378" i="23" s="1"/>
  <c r="AA378" i="23" s="1"/>
  <c r="Z378" i="23" s="1"/>
  <c r="Y378" i="23" s="1"/>
  <c r="AG311" i="23"/>
  <c r="AF311" i="23" s="1"/>
  <c r="AD311" i="23" s="1"/>
  <c r="AA311" i="23" s="1"/>
  <c r="Z311" i="23" s="1"/>
  <c r="Y311" i="23" s="1"/>
  <c r="AG56" i="23"/>
  <c r="AF56" i="23" s="1"/>
  <c r="AD56" i="23" s="1"/>
  <c r="AA56" i="23" s="1"/>
  <c r="Z56" i="23" s="1"/>
  <c r="Y56" i="23" s="1"/>
  <c r="AG249" i="23"/>
  <c r="AF249" i="23" s="1"/>
  <c r="AD249" i="23" s="1"/>
  <c r="AA249" i="23" s="1"/>
  <c r="Z249" i="23" s="1"/>
  <c r="Y249" i="23" s="1"/>
  <c r="AG53" i="23"/>
  <c r="AF53" i="23" s="1"/>
  <c r="AD53" i="23" s="1"/>
  <c r="AA53" i="23" s="1"/>
  <c r="Z53" i="23" s="1"/>
  <c r="Y53" i="23" s="1"/>
  <c r="AG374" i="23"/>
  <c r="AF374" i="23" s="1"/>
  <c r="AD374" i="23" s="1"/>
  <c r="AA374" i="23" s="1"/>
  <c r="Z374" i="23" s="1"/>
  <c r="Y374" i="23" s="1"/>
  <c r="AG263" i="23"/>
  <c r="AF263" i="23" s="1"/>
  <c r="AD263" i="23" s="1"/>
  <c r="AA263" i="23" s="1"/>
  <c r="Z263" i="23" s="1"/>
  <c r="Y263" i="23" s="1"/>
  <c r="AG266" i="23"/>
  <c r="AF266" i="23" s="1"/>
  <c r="AD266" i="23" s="1"/>
  <c r="AA266" i="23" s="1"/>
  <c r="Z266" i="23" s="1"/>
  <c r="Y266" i="23" s="1"/>
  <c r="AG367" i="23"/>
  <c r="AF367" i="23" s="1"/>
  <c r="AD367" i="23" s="1"/>
  <c r="AA367" i="23" s="1"/>
  <c r="Z367" i="23" s="1"/>
  <c r="Y367" i="23" s="1"/>
  <c r="AG258" i="23"/>
  <c r="AF258" i="23" s="1"/>
  <c r="AD258" i="23" s="1"/>
  <c r="AA258" i="23" s="1"/>
  <c r="Z258" i="23" s="1"/>
  <c r="Y258" i="23" s="1"/>
  <c r="AG40" i="23"/>
  <c r="AF40" i="23" s="1"/>
  <c r="AD40" i="23" s="1"/>
  <c r="AA40" i="23" s="1"/>
  <c r="Z40" i="23" s="1"/>
  <c r="Y40" i="23" s="1"/>
  <c r="AG22" i="23"/>
  <c r="AF22" i="23" s="1"/>
  <c r="AD22" i="23" s="1"/>
  <c r="AA22" i="23" s="1"/>
  <c r="Z22" i="23" s="1"/>
  <c r="Y22" i="23" s="1"/>
  <c r="AG162" i="23"/>
  <c r="AF162" i="23" s="1"/>
  <c r="AD162" i="23" s="1"/>
  <c r="AA162" i="23" s="1"/>
  <c r="Z162" i="23" s="1"/>
  <c r="Y162" i="23" s="1"/>
  <c r="AG85" i="23"/>
  <c r="AF85" i="23" s="1"/>
  <c r="AD85" i="23" s="1"/>
  <c r="AA85" i="23" s="1"/>
  <c r="Z85" i="23" s="1"/>
  <c r="Y85" i="23" s="1"/>
  <c r="AG63" i="23"/>
  <c r="AF63" i="23" s="1"/>
  <c r="AD63" i="23" s="1"/>
  <c r="AA63" i="23" s="1"/>
  <c r="Z63" i="23" s="1"/>
  <c r="Y63" i="23" s="1"/>
  <c r="AG330" i="23"/>
  <c r="AF330" i="23" s="1"/>
  <c r="AD330" i="23" s="1"/>
  <c r="AA330" i="23" s="1"/>
  <c r="Z330" i="23" s="1"/>
  <c r="Y330" i="23" s="1"/>
  <c r="AG264" i="23"/>
  <c r="AF264" i="23" s="1"/>
  <c r="AD264" i="23" s="1"/>
  <c r="AA264" i="23" s="1"/>
  <c r="Z264" i="23" s="1"/>
  <c r="Y264" i="23" s="1"/>
  <c r="AG122" i="23"/>
  <c r="AF122" i="23" s="1"/>
  <c r="AD122" i="23" s="1"/>
  <c r="AA122" i="23" s="1"/>
  <c r="Z122" i="23" s="1"/>
  <c r="Y122" i="23" s="1"/>
  <c r="AG212" i="23"/>
  <c r="AF212" i="23" s="1"/>
  <c r="AD212" i="23" s="1"/>
  <c r="AA212" i="23" s="1"/>
  <c r="Z212" i="23" s="1"/>
  <c r="Y212" i="23" s="1"/>
  <c r="AG84" i="23"/>
  <c r="AF84" i="23" s="1"/>
  <c r="AD84" i="23" s="1"/>
  <c r="AA84" i="23" s="1"/>
  <c r="Z84" i="23" s="1"/>
  <c r="Y84" i="23" s="1"/>
  <c r="AG294" i="23"/>
  <c r="AF294" i="23" s="1"/>
  <c r="AD294" i="23" s="1"/>
  <c r="AA294" i="23" s="1"/>
  <c r="Z294" i="23" s="1"/>
  <c r="Y294" i="23" s="1"/>
  <c r="AG168" i="23"/>
  <c r="AF168" i="23" s="1"/>
  <c r="AD168" i="23" s="1"/>
  <c r="AA168" i="23" s="1"/>
  <c r="Z168" i="23" s="1"/>
  <c r="Y168" i="23" s="1"/>
  <c r="AG209" i="23"/>
  <c r="AF209" i="23" s="1"/>
  <c r="AD209" i="23" s="1"/>
  <c r="AA209" i="23" s="1"/>
  <c r="Z209" i="23" s="1"/>
  <c r="Y209" i="23" s="1"/>
  <c r="AG34" i="23"/>
  <c r="AF34" i="23" s="1"/>
  <c r="AD34" i="23" s="1"/>
  <c r="AA34" i="23" s="1"/>
  <c r="Z34" i="23" s="1"/>
  <c r="Y34" i="23" s="1"/>
  <c r="AG300" i="23"/>
  <c r="AF300" i="23" s="1"/>
  <c r="AD300" i="23" s="1"/>
  <c r="AA300" i="23" s="1"/>
  <c r="Z300" i="23" s="1"/>
  <c r="Y300" i="23" s="1"/>
  <c r="AG128" i="23"/>
  <c r="AF128" i="23" s="1"/>
  <c r="AD128" i="23" s="1"/>
  <c r="AA128" i="23" s="1"/>
  <c r="Z128" i="23" s="1"/>
  <c r="Y128" i="23" s="1"/>
  <c r="AG72" i="23"/>
  <c r="AF72" i="23" s="1"/>
  <c r="AD72" i="23" s="1"/>
  <c r="AA72" i="23" s="1"/>
  <c r="Z72" i="23" s="1"/>
  <c r="Y72" i="23" s="1"/>
  <c r="AG349" i="23"/>
  <c r="AF349" i="23" s="1"/>
  <c r="AD349" i="23" s="1"/>
  <c r="AA349" i="23" s="1"/>
  <c r="Z349" i="23" s="1"/>
  <c r="Y349" i="23" s="1"/>
  <c r="AG335" i="23"/>
  <c r="AF335" i="23" s="1"/>
  <c r="AD335" i="23" s="1"/>
  <c r="AA335" i="23" s="1"/>
  <c r="Z335" i="23" s="1"/>
  <c r="Y335" i="23" s="1"/>
  <c r="AG47" i="23"/>
  <c r="AF47" i="23" s="1"/>
  <c r="AD47" i="23" s="1"/>
  <c r="AA47" i="23" s="1"/>
  <c r="Z47" i="23" s="1"/>
  <c r="Y47" i="23" s="1"/>
  <c r="AG370" i="23"/>
  <c r="AF370" i="23" s="1"/>
  <c r="AD370" i="23" s="1"/>
  <c r="AA370" i="23" s="1"/>
  <c r="Z370" i="23" s="1"/>
  <c r="Y370" i="23" s="1"/>
  <c r="AG198" i="23"/>
  <c r="AF198" i="23" s="1"/>
  <c r="AD198" i="23" s="1"/>
  <c r="AA198" i="23" s="1"/>
  <c r="Z198" i="23" s="1"/>
  <c r="Y198" i="23" s="1"/>
  <c r="AG356" i="23"/>
  <c r="AF356" i="23" s="1"/>
  <c r="AD356" i="23" s="1"/>
  <c r="AA356" i="23" s="1"/>
  <c r="Z356" i="23" s="1"/>
  <c r="Y356" i="23" s="1"/>
  <c r="AG73" i="23"/>
  <c r="AF73" i="23" s="1"/>
  <c r="AD73" i="23" s="1"/>
  <c r="AA73" i="23" s="1"/>
  <c r="Z73" i="23" s="1"/>
  <c r="Y73" i="23" s="1"/>
  <c r="AG174" i="23"/>
  <c r="AF174" i="23" s="1"/>
  <c r="AD174" i="23" s="1"/>
  <c r="AA174" i="23" s="1"/>
  <c r="Z174" i="23" s="1"/>
  <c r="Y174" i="23" s="1"/>
  <c r="AG238" i="23"/>
  <c r="AF238" i="23" s="1"/>
  <c r="AD238" i="23" s="1"/>
  <c r="AA238" i="23" s="1"/>
  <c r="Z238" i="23" s="1"/>
  <c r="Y238" i="23" s="1"/>
  <c r="AG114" i="23"/>
  <c r="AF114" i="23" s="1"/>
  <c r="AD114" i="23" s="1"/>
  <c r="AA114" i="23" s="1"/>
  <c r="Z114" i="23" s="1"/>
  <c r="Y114" i="23" s="1"/>
  <c r="AG336" i="23"/>
  <c r="AF336" i="23" s="1"/>
  <c r="AD336" i="23" s="1"/>
  <c r="AA336" i="23" s="1"/>
  <c r="Z336" i="23" s="1"/>
  <c r="Y336" i="23" s="1"/>
  <c r="AG49" i="23"/>
  <c r="AF49" i="23" s="1"/>
  <c r="AD49" i="23" s="1"/>
  <c r="AA49" i="23" s="1"/>
  <c r="Z49" i="23" s="1"/>
  <c r="Y49" i="23" s="1"/>
  <c r="AG95" i="23"/>
  <c r="AF95" i="23" s="1"/>
  <c r="AD95" i="23" s="1"/>
  <c r="AA95" i="23" s="1"/>
  <c r="Z95" i="23" s="1"/>
  <c r="Y95" i="23" s="1"/>
  <c r="AG218" i="23"/>
  <c r="AF218" i="23" s="1"/>
  <c r="AD218" i="23" s="1"/>
  <c r="AA218" i="23" s="1"/>
  <c r="Z218" i="23" s="1"/>
  <c r="Y218" i="23" s="1"/>
  <c r="AG231" i="23"/>
  <c r="AF231" i="23" s="1"/>
  <c r="AD231" i="23" s="1"/>
  <c r="AA231" i="23" s="1"/>
  <c r="Z231" i="23" s="1"/>
  <c r="Y231" i="23" s="1"/>
  <c r="AG220" i="23"/>
  <c r="AF220" i="23" s="1"/>
  <c r="AD220" i="23" s="1"/>
  <c r="AA220" i="23" s="1"/>
  <c r="Z220" i="23" s="1"/>
  <c r="Y220" i="23" s="1"/>
  <c r="AG164" i="23"/>
  <c r="AF164" i="23" s="1"/>
  <c r="AD164" i="23" s="1"/>
  <c r="AA164" i="23" s="1"/>
  <c r="Z164" i="23" s="1"/>
  <c r="Y164" i="23" s="1"/>
  <c r="AG64" i="23"/>
  <c r="AF64" i="23" s="1"/>
  <c r="AD64" i="23" s="1"/>
  <c r="AA64" i="23" s="1"/>
  <c r="Z64" i="23" s="1"/>
  <c r="Y64" i="23" s="1"/>
  <c r="AG214" i="23"/>
  <c r="AF214" i="23" s="1"/>
  <c r="AD214" i="23" s="1"/>
  <c r="AA214" i="23" s="1"/>
  <c r="Z214" i="23" s="1"/>
  <c r="Y214" i="23" s="1"/>
  <c r="AG340" i="23"/>
  <c r="AF340" i="23" s="1"/>
  <c r="AD340" i="23" s="1"/>
  <c r="AA340" i="23" s="1"/>
  <c r="Z340" i="23" s="1"/>
  <c r="Y340" i="23" s="1"/>
  <c r="AG41" i="23"/>
  <c r="AF41" i="23" s="1"/>
  <c r="AD41" i="23" s="1"/>
  <c r="AA41" i="23" s="1"/>
  <c r="Z41" i="23" s="1"/>
  <c r="Y41" i="23" s="1"/>
  <c r="AG108" i="23"/>
  <c r="AF108" i="23" s="1"/>
  <c r="AD108" i="23" s="1"/>
  <c r="AA108" i="23" s="1"/>
  <c r="Z108" i="23" s="1"/>
  <c r="Y108" i="23" s="1"/>
  <c r="AG219" i="23"/>
  <c r="AF219" i="23" s="1"/>
  <c r="AD219" i="23" s="1"/>
  <c r="AA219" i="23" s="1"/>
  <c r="Z219" i="23" s="1"/>
  <c r="Y219" i="23" s="1"/>
  <c r="AG30" i="23"/>
  <c r="AF30" i="23" s="1"/>
  <c r="AD30" i="23" s="1"/>
  <c r="AA30" i="23" s="1"/>
  <c r="Z30" i="23" s="1"/>
  <c r="Y30" i="23" s="1"/>
  <c r="AG383" i="22"/>
  <c r="AF15" i="22"/>
  <c r="AG382" i="22"/>
  <c r="AG381" i="22"/>
  <c r="BA15" i="7"/>
  <c r="Q267" i="24"/>
  <c r="P267" i="24" s="1"/>
  <c r="V267" i="24" s="1"/>
  <c r="B267" i="24" s="1"/>
  <c r="D267" i="24" s="1"/>
  <c r="E267" i="24" s="1"/>
  <c r="F267" i="24" s="1"/>
  <c r="Q71" i="24"/>
  <c r="Q341" i="24"/>
  <c r="P341" i="24" s="1"/>
  <c r="V341" i="24" s="1"/>
  <c r="B341" i="24" s="1"/>
  <c r="D341" i="24" s="1"/>
  <c r="E341" i="24" s="1"/>
  <c r="F341" i="24" s="1"/>
  <c r="Q15" i="24"/>
  <c r="Q269" i="24"/>
  <c r="P269" i="24" s="1"/>
  <c r="V269" i="24" s="1"/>
  <c r="B269" i="24" s="1"/>
  <c r="W269" i="24" s="1"/>
  <c r="Q290" i="24"/>
  <c r="Q277" i="24"/>
  <c r="P277" i="24" s="1"/>
  <c r="V277" i="24" s="1"/>
  <c r="B277" i="24" s="1"/>
  <c r="D277" i="24" s="1"/>
  <c r="E277" i="24" s="1"/>
  <c r="F277" i="24" s="1"/>
  <c r="Q160" i="24"/>
  <c r="P160" i="24" s="1"/>
  <c r="V160" i="24" s="1"/>
  <c r="B160" i="24" s="1"/>
  <c r="D160" i="24" s="1"/>
  <c r="E160" i="24" s="1"/>
  <c r="F160" i="24" s="1"/>
  <c r="Q237" i="24"/>
  <c r="P237" i="24" s="1"/>
  <c r="V237" i="24" s="1"/>
  <c r="B237" i="24" s="1"/>
  <c r="D237" i="24" s="1"/>
  <c r="E237" i="24" s="1"/>
  <c r="F237" i="24" s="1"/>
  <c r="Q209" i="24"/>
  <c r="P209" i="24" s="1"/>
  <c r="V209" i="24" s="1"/>
  <c r="B209" i="24" s="1"/>
  <c r="W209" i="24" s="1"/>
  <c r="Q46" i="24"/>
  <c r="P46" i="24" s="1"/>
  <c r="V46" i="24" s="1"/>
  <c r="B46" i="24" s="1"/>
  <c r="W46" i="24" s="1"/>
  <c r="Q215" i="24"/>
  <c r="P215" i="24" s="1"/>
  <c r="V215" i="24" s="1"/>
  <c r="B215" i="24" s="1"/>
  <c r="D215" i="24" s="1"/>
  <c r="E215" i="24" s="1"/>
  <c r="F215" i="24" s="1"/>
  <c r="Q362" i="24"/>
  <c r="P362" i="24" s="1"/>
  <c r="V362" i="24" s="1"/>
  <c r="B362" i="24" s="1"/>
  <c r="D362" i="24" s="1"/>
  <c r="E362" i="24" s="1"/>
  <c r="F362" i="24" s="1"/>
  <c r="Q134" i="24"/>
  <c r="P134" i="24" s="1"/>
  <c r="V134" i="24" s="1"/>
  <c r="B134" i="24" s="1"/>
  <c r="W134" i="24" s="1"/>
  <c r="Q316" i="24"/>
  <c r="P316" i="24" s="1"/>
  <c r="V316" i="24" s="1"/>
  <c r="B316" i="24" s="1"/>
  <c r="W316" i="24" s="1"/>
  <c r="Q77" i="24"/>
  <c r="Q317" i="24"/>
  <c r="P317" i="24" s="1"/>
  <c r="V317" i="24" s="1"/>
  <c r="B317" i="24" s="1"/>
  <c r="W317" i="24" s="1"/>
  <c r="Q361" i="24"/>
  <c r="P361" i="24" s="1"/>
  <c r="V361" i="24" s="1"/>
  <c r="B361" i="24" s="1"/>
  <c r="W361" i="24" s="1"/>
  <c r="Q129" i="24"/>
  <c r="P129" i="24" s="1"/>
  <c r="V129" i="24" s="1"/>
  <c r="B129" i="24" s="1"/>
  <c r="W129" i="24" s="1"/>
  <c r="Q116" i="24"/>
  <c r="P116" i="24" s="1"/>
  <c r="V116" i="24" s="1"/>
  <c r="B116" i="24" s="1"/>
  <c r="D116" i="24" s="1"/>
  <c r="E116" i="24" s="1"/>
  <c r="F116" i="24" s="1"/>
  <c r="Q183" i="24"/>
  <c r="P183" i="24" s="1"/>
  <c r="V183" i="24" s="1"/>
  <c r="B183" i="24" s="1"/>
  <c r="W183" i="24" s="1"/>
  <c r="Q182" i="24"/>
  <c r="P182" i="24" s="1"/>
  <c r="V182" i="24" s="1"/>
  <c r="B182" i="24" s="1"/>
  <c r="W182" i="24" s="1"/>
  <c r="Q323" i="24"/>
  <c r="P323" i="24" s="1"/>
  <c r="V323" i="24" s="1"/>
  <c r="B323" i="24" s="1"/>
  <c r="W323" i="24" s="1"/>
  <c r="Q153" i="24"/>
  <c r="P153" i="24" s="1"/>
  <c r="V153" i="24" s="1"/>
  <c r="B153" i="24" s="1"/>
  <c r="D153" i="24" s="1"/>
  <c r="E153" i="24" s="1"/>
  <c r="F153" i="24" s="1"/>
  <c r="Q281" i="24"/>
  <c r="P281" i="24" s="1"/>
  <c r="V281" i="24" s="1"/>
  <c r="B281" i="24" s="1"/>
  <c r="W281" i="24" s="1"/>
  <c r="Q288" i="24"/>
  <c r="P288" i="24" s="1"/>
  <c r="V288" i="24" s="1"/>
  <c r="B288" i="24" s="1"/>
  <c r="Q113" i="24"/>
  <c r="P113" i="24" s="1"/>
  <c r="V113" i="24" s="1"/>
  <c r="B113" i="24" s="1"/>
  <c r="W113" i="24" s="1"/>
  <c r="Q356" i="24"/>
  <c r="P356" i="24" s="1"/>
  <c r="V356" i="24" s="1"/>
  <c r="B356" i="24" s="1"/>
  <c r="D356" i="24" s="1"/>
  <c r="E356" i="24" s="1"/>
  <c r="F356" i="24" s="1"/>
  <c r="Q241" i="24"/>
  <c r="P241" i="24" s="1"/>
  <c r="V241" i="24" s="1"/>
  <c r="Q284" i="24"/>
  <c r="Q305" i="24"/>
  <c r="P305" i="24" s="1"/>
  <c r="V305" i="24" s="1"/>
  <c r="B305" i="24" s="1"/>
  <c r="W305" i="24" s="1"/>
  <c r="Q126" i="24"/>
  <c r="P126" i="24" s="1"/>
  <c r="V126" i="24" s="1"/>
  <c r="B126" i="24" s="1"/>
  <c r="D126" i="24" s="1"/>
  <c r="E126" i="24" s="1"/>
  <c r="F126" i="24" s="1"/>
  <c r="Q330" i="24"/>
  <c r="P330" i="24" s="1"/>
  <c r="V330" i="24" s="1"/>
  <c r="B330" i="24" s="1"/>
  <c r="D330" i="24" s="1"/>
  <c r="E330" i="24" s="1"/>
  <c r="F330" i="24" s="1"/>
  <c r="Q287" i="24"/>
  <c r="P287" i="24" s="1"/>
  <c r="V287" i="24" s="1"/>
  <c r="B287" i="24" s="1"/>
  <c r="W287" i="24" s="1"/>
  <c r="Q345" i="24"/>
  <c r="P345" i="24" s="1"/>
  <c r="V345" i="24" s="1"/>
  <c r="B345" i="24" s="1"/>
  <c r="W345" i="24" s="1"/>
  <c r="Q154" i="24"/>
  <c r="Q333" i="24"/>
  <c r="P333" i="24" s="1"/>
  <c r="V333" i="24" s="1"/>
  <c r="Q251" i="24"/>
  <c r="Q52" i="24"/>
  <c r="P52" i="24" s="1"/>
  <c r="V52" i="24" s="1"/>
  <c r="B52" i="24" s="1"/>
  <c r="W52" i="24" s="1"/>
  <c r="Q368" i="24"/>
  <c r="Q312" i="24"/>
  <c r="P312" i="24" s="1"/>
  <c r="V312" i="24" s="1"/>
  <c r="B312" i="24" s="1"/>
  <c r="D312" i="24" s="1"/>
  <c r="E312" i="24" s="1"/>
  <c r="F312" i="24" s="1"/>
  <c r="AE346" i="24"/>
  <c r="AE217" i="24"/>
  <c r="AE16" i="24"/>
  <c r="AE245" i="24"/>
  <c r="AE118" i="24"/>
  <c r="AE256" i="24"/>
  <c r="AE374" i="24"/>
  <c r="AE250" i="24"/>
  <c r="AE303" i="24"/>
  <c r="AE165" i="24"/>
  <c r="AE173" i="24"/>
  <c r="AE371" i="24"/>
  <c r="AE194" i="24"/>
  <c r="AE168" i="24"/>
  <c r="AE44" i="24"/>
  <c r="AE184" i="24"/>
  <c r="AE352" i="24"/>
  <c r="AE272" i="24"/>
  <c r="AE136" i="24"/>
  <c r="AE337" i="24"/>
  <c r="AE282" i="24"/>
  <c r="AE368" i="24"/>
  <c r="AE92" i="24"/>
  <c r="AE63" i="24"/>
  <c r="AE261" i="24"/>
  <c r="AE79" i="24"/>
  <c r="AE296" i="24"/>
  <c r="AE163" i="24"/>
  <c r="AE176" i="24"/>
  <c r="AE36" i="24"/>
  <c r="AE149" i="24"/>
  <c r="AE243" i="24"/>
  <c r="AE121" i="24"/>
  <c r="AE137" i="24"/>
  <c r="AE339" i="24"/>
  <c r="AE80" i="24"/>
  <c r="AE378" i="24"/>
  <c r="AE287" i="24"/>
  <c r="AE206" i="24"/>
  <c r="Q325" i="24"/>
  <c r="P325" i="24" s="1"/>
  <c r="V325" i="24" s="1"/>
  <c r="B325" i="24" s="1"/>
  <c r="D325" i="24" s="1"/>
  <c r="E325" i="24" s="1"/>
  <c r="F325" i="24" s="1"/>
  <c r="Q221" i="24"/>
  <c r="Q194" i="24"/>
  <c r="P194" i="24" s="1"/>
  <c r="V194" i="24" s="1"/>
  <c r="B194" i="24" s="1"/>
  <c r="W194" i="24" s="1"/>
  <c r="Q117" i="24"/>
  <c r="P117" i="24" s="1"/>
  <c r="V117" i="24" s="1"/>
  <c r="B117" i="24" s="1"/>
  <c r="W117" i="24" s="1"/>
  <c r="Q148" i="24"/>
  <c r="P148" i="24" s="1"/>
  <c r="V148" i="24" s="1"/>
  <c r="B148" i="24" s="1"/>
  <c r="W148" i="24" s="1"/>
  <c r="Q199" i="24"/>
  <c r="Q255" i="24"/>
  <c r="P255" i="24" s="1"/>
  <c r="V255" i="24" s="1"/>
  <c r="B255" i="24" s="1"/>
  <c r="W255" i="24" s="1"/>
  <c r="Q70" i="24"/>
  <c r="P70" i="24" s="1"/>
  <c r="V70" i="24" s="1"/>
  <c r="B70" i="24" s="1"/>
  <c r="W70" i="24" s="1"/>
  <c r="Q103" i="24"/>
  <c r="P103" i="24" s="1"/>
  <c r="V103" i="24" s="1"/>
  <c r="B103" i="24" s="1"/>
  <c r="D103" i="24" s="1"/>
  <c r="E103" i="24" s="1"/>
  <c r="F103" i="24" s="1"/>
  <c r="Q318" i="24"/>
  <c r="P318" i="24" s="1"/>
  <c r="V318" i="24" s="1"/>
  <c r="B318" i="24" s="1"/>
  <c r="D318" i="24" s="1"/>
  <c r="E318" i="24" s="1"/>
  <c r="F318" i="24" s="1"/>
  <c r="Q373" i="24"/>
  <c r="P373" i="24" s="1"/>
  <c r="V373" i="24" s="1"/>
  <c r="B373" i="24" s="1"/>
  <c r="W373" i="24" s="1"/>
  <c r="Q96" i="24"/>
  <c r="Q106" i="24"/>
  <c r="P106" i="24" s="1"/>
  <c r="V106" i="24" s="1"/>
  <c r="B106" i="24" s="1"/>
  <c r="W106" i="24" s="1"/>
  <c r="Q155" i="24"/>
  <c r="P155" i="24" s="1"/>
  <c r="V155" i="24" s="1"/>
  <c r="B155" i="24" s="1"/>
  <c r="W155" i="24" s="1"/>
  <c r="Q273" i="24"/>
  <c r="P273" i="24" s="1"/>
  <c r="V273" i="24" s="1"/>
  <c r="B273" i="24" s="1"/>
  <c r="D273" i="24" s="1"/>
  <c r="E273" i="24" s="1"/>
  <c r="F273" i="24" s="1"/>
  <c r="Q145" i="24"/>
  <c r="Q100" i="24"/>
  <c r="P100" i="24" s="1"/>
  <c r="V100" i="24" s="1"/>
  <c r="B100" i="24" s="1"/>
  <c r="D100" i="24" s="1"/>
  <c r="E100" i="24" s="1"/>
  <c r="F100" i="24" s="1"/>
  <c r="Q339" i="24"/>
  <c r="Q130" i="24"/>
  <c r="P130" i="24" s="1"/>
  <c r="V130" i="24" s="1"/>
  <c r="B130" i="24" s="1"/>
  <c r="D130" i="24" s="1"/>
  <c r="E130" i="24" s="1"/>
  <c r="F130" i="24" s="1"/>
  <c r="Q150" i="24"/>
  <c r="P150" i="24" s="1"/>
  <c r="V150" i="24" s="1"/>
  <c r="B150" i="24" s="1"/>
  <c r="D150" i="24" s="1"/>
  <c r="E150" i="24" s="1"/>
  <c r="F150" i="24" s="1"/>
  <c r="Q217" i="24"/>
  <c r="P217" i="24" s="1"/>
  <c r="V217" i="24" s="1"/>
  <c r="B217" i="24" s="1"/>
  <c r="W217" i="24" s="1"/>
  <c r="AE18" i="24"/>
  <c r="AE301" i="24"/>
  <c r="AE114" i="24"/>
  <c r="AE279" i="24"/>
  <c r="AE331" i="24"/>
  <c r="AE47" i="24"/>
  <c r="AE81" i="24"/>
  <c r="AE312" i="24"/>
  <c r="AE365" i="24"/>
  <c r="AE131" i="24"/>
  <c r="AE146" i="24"/>
  <c r="AE192" i="24"/>
  <c r="AE215" i="24"/>
  <c r="AE52" i="24"/>
  <c r="AE314" i="24"/>
  <c r="AE117" i="24"/>
  <c r="AE174" i="24"/>
  <c r="AE275" i="24"/>
  <c r="AE45" i="24"/>
  <c r="AE48" i="24"/>
  <c r="AE151" i="24"/>
  <c r="AE216" i="24"/>
  <c r="AE76" i="24"/>
  <c r="AE188" i="24"/>
  <c r="AE324" i="24"/>
  <c r="AE187" i="24"/>
  <c r="AE164" i="24"/>
  <c r="AE202" i="24"/>
  <c r="AE285" i="24"/>
  <c r="AE83" i="24"/>
  <c r="AE122" i="24"/>
  <c r="AE351" i="24"/>
  <c r="AE244" i="24"/>
  <c r="AE281" i="24"/>
  <c r="AE27" i="24"/>
  <c r="AE229" i="24"/>
  <c r="AE246" i="24"/>
  <c r="AE267" i="24"/>
  <c r="AE78" i="24"/>
  <c r="AE364" i="24"/>
  <c r="AE124" i="24"/>
  <c r="AE262" i="24"/>
  <c r="AE59" i="24"/>
  <c r="AE102" i="24"/>
  <c r="AE105" i="24"/>
  <c r="AE175" i="24"/>
  <c r="AE327" i="24"/>
  <c r="AE225" i="24"/>
  <c r="AE82" i="24"/>
  <c r="AE355" i="24"/>
  <c r="AE53" i="24"/>
  <c r="AE271" i="24"/>
  <c r="AE220" i="24"/>
  <c r="AE201" i="24"/>
  <c r="AE356" i="24"/>
  <c r="AE54" i="24"/>
  <c r="AE251" i="24"/>
  <c r="AE57" i="24"/>
  <c r="AE132" i="24"/>
  <c r="AE127" i="24"/>
  <c r="AE297" i="24"/>
  <c r="AE270" i="24"/>
  <c r="AE367" i="24"/>
  <c r="AE199" i="24"/>
  <c r="AE97" i="24"/>
  <c r="AE17" i="24"/>
  <c r="AE227" i="24"/>
  <c r="AE266" i="24"/>
  <c r="AE349" i="24"/>
  <c r="AE154" i="24"/>
  <c r="AE278" i="24"/>
  <c r="AE354" i="24"/>
  <c r="AE214" i="24"/>
  <c r="AE236" i="24"/>
  <c r="AE316" i="24"/>
  <c r="AE30" i="24"/>
  <c r="AE171" i="24"/>
  <c r="AE166" i="24"/>
  <c r="AE69" i="24"/>
  <c r="AE306" i="24"/>
  <c r="AE32" i="24"/>
  <c r="AE326" i="24"/>
  <c r="AE77" i="24"/>
  <c r="AE170" i="24"/>
  <c r="AE179" i="24"/>
  <c r="AE221" i="24"/>
  <c r="AE88" i="24"/>
  <c r="AE212" i="24"/>
  <c r="AE290" i="24"/>
  <c r="AE150" i="24"/>
  <c r="AE181" i="24"/>
  <c r="Q111" i="24"/>
  <c r="P111" i="24" s="1"/>
  <c r="V111" i="24" s="1"/>
  <c r="B111" i="24" s="1"/>
  <c r="D111" i="24" s="1"/>
  <c r="E111" i="24" s="1"/>
  <c r="F111" i="24" s="1"/>
  <c r="Q350" i="24"/>
  <c r="Q58" i="24"/>
  <c r="P58" i="24" s="1"/>
  <c r="V58" i="24" s="1"/>
  <c r="B58" i="24" s="1"/>
  <c r="W58" i="24" s="1"/>
  <c r="Q27" i="24"/>
  <c r="P27" i="24" s="1"/>
  <c r="V27" i="24" s="1"/>
  <c r="B27" i="24" s="1"/>
  <c r="D27" i="24" s="1"/>
  <c r="E27" i="24" s="1"/>
  <c r="F27" i="24" s="1"/>
  <c r="Q31" i="24"/>
  <c r="P31" i="24" s="1"/>
  <c r="V31" i="24" s="1"/>
  <c r="B31" i="24" s="1"/>
  <c r="D31" i="24" s="1"/>
  <c r="E31" i="24" s="1"/>
  <c r="F31" i="24" s="1"/>
  <c r="Q379" i="24"/>
  <c r="Q94" i="24"/>
  <c r="P94" i="24" s="1"/>
  <c r="V94" i="24" s="1"/>
  <c r="B94" i="24" s="1"/>
  <c r="W94" i="24" s="1"/>
  <c r="Q265" i="24"/>
  <c r="Q135" i="24"/>
  <c r="P135" i="24" s="1"/>
  <c r="V135" i="24" s="1"/>
  <c r="B135" i="24" s="1"/>
  <c r="W135" i="24" s="1"/>
  <c r="Q250" i="24"/>
  <c r="Q294" i="24"/>
  <c r="P294" i="24" s="1"/>
  <c r="V294" i="24" s="1"/>
  <c r="B294" i="24" s="1"/>
  <c r="D294" i="24" s="1"/>
  <c r="E294" i="24" s="1"/>
  <c r="F294" i="24" s="1"/>
  <c r="Q177" i="24"/>
  <c r="Q86" i="24"/>
  <c r="P86" i="24" s="1"/>
  <c r="V86" i="24" s="1"/>
  <c r="B86" i="24" s="1"/>
  <c r="W86" i="24" s="1"/>
  <c r="Q340" i="24"/>
  <c r="P340" i="24" s="1"/>
  <c r="V340" i="24" s="1"/>
  <c r="B340" i="24" s="1"/>
  <c r="D340" i="24" s="1"/>
  <c r="E340" i="24" s="1"/>
  <c r="F340" i="24" s="1"/>
  <c r="Q157" i="24"/>
  <c r="P157" i="24" s="1"/>
  <c r="V157" i="24" s="1"/>
  <c r="B157" i="24" s="1"/>
  <c r="D157" i="24" s="1"/>
  <c r="E157" i="24" s="1"/>
  <c r="F157" i="24" s="1"/>
  <c r="Q225" i="24"/>
  <c r="P225" i="24" s="1"/>
  <c r="V225" i="24" s="1"/>
  <c r="B225" i="24" s="1"/>
  <c r="W225" i="24" s="1"/>
  <c r="Q223" i="24"/>
  <c r="P223" i="24" s="1"/>
  <c r="V223" i="24" s="1"/>
  <c r="B223" i="24" s="1"/>
  <c r="W223" i="24" s="1"/>
  <c r="Q190" i="24"/>
  <c r="P190" i="24" s="1"/>
  <c r="V190" i="24" s="1"/>
  <c r="B190" i="24" s="1"/>
  <c r="W190" i="24" s="1"/>
  <c r="Q296" i="24"/>
  <c r="P296" i="24" s="1"/>
  <c r="V296" i="24" s="1"/>
  <c r="B296" i="24" s="1"/>
  <c r="W296" i="24" s="1"/>
  <c r="Q204" i="24"/>
  <c r="Q166" i="24"/>
  <c r="P166" i="24" s="1"/>
  <c r="V166" i="24" s="1"/>
  <c r="B166" i="24" s="1"/>
  <c r="D166" i="24" s="1"/>
  <c r="E166" i="24" s="1"/>
  <c r="F166" i="24" s="1"/>
  <c r="Q252" i="24"/>
  <c r="P252" i="24" s="1"/>
  <c r="V252" i="24" s="1"/>
  <c r="B252" i="24" s="1"/>
  <c r="W252" i="24" s="1"/>
  <c r="Q282" i="24"/>
  <c r="P282" i="24" s="1"/>
  <c r="V282" i="24" s="1"/>
  <c r="B282" i="24" s="1"/>
  <c r="D282" i="24" s="1"/>
  <c r="E282" i="24" s="1"/>
  <c r="F282" i="24" s="1"/>
  <c r="Q187" i="24"/>
  <c r="P187" i="24" s="1"/>
  <c r="V187" i="24" s="1"/>
  <c r="B187" i="24" s="1"/>
  <c r="W187" i="24" s="1"/>
  <c r="Q132" i="24"/>
  <c r="P132" i="24" s="1"/>
  <c r="V132" i="24" s="1"/>
  <c r="B132" i="24" s="1"/>
  <c r="W132" i="24" s="1"/>
  <c r="Q271" i="24"/>
  <c r="Q83" i="24"/>
  <c r="P83" i="24" s="1"/>
  <c r="V83" i="24" s="1"/>
  <c r="B83" i="24" s="1"/>
  <c r="D83" i="24" s="1"/>
  <c r="E83" i="24" s="1"/>
  <c r="F83" i="24" s="1"/>
  <c r="Q324" i="24"/>
  <c r="Q222" i="24"/>
  <c r="P222" i="24" s="1"/>
  <c r="V222" i="24" s="1"/>
  <c r="B222" i="24" s="1"/>
  <c r="W222" i="24" s="1"/>
  <c r="Q138" i="24"/>
  <c r="Q64" i="24"/>
  <c r="P64" i="24" s="1"/>
  <c r="V64" i="24" s="1"/>
  <c r="B64" i="24" s="1"/>
  <c r="W64" i="24" s="1"/>
  <c r="Q366" i="24"/>
  <c r="Q24" i="24"/>
  <c r="P24" i="24" s="1"/>
  <c r="V24" i="24" s="1"/>
  <c r="B24" i="24" s="1"/>
  <c r="D24" i="24" s="1"/>
  <c r="E24" i="24" s="1"/>
  <c r="F24" i="24" s="1"/>
  <c r="Q235" i="24"/>
  <c r="P235" i="24" s="1"/>
  <c r="V235" i="24" s="1"/>
  <c r="B235" i="24" s="1"/>
  <c r="W235" i="24" s="1"/>
  <c r="Q369" i="24"/>
  <c r="P369" i="24" s="1"/>
  <c r="V369" i="24" s="1"/>
  <c r="B369" i="24" s="1"/>
  <c r="W369" i="24" s="1"/>
  <c r="Q363" i="24"/>
  <c r="Q184" i="24"/>
  <c r="P184" i="24" s="1"/>
  <c r="V184" i="24" s="1"/>
  <c r="B184" i="24" s="1"/>
  <c r="D184" i="24" s="1"/>
  <c r="E184" i="24" s="1"/>
  <c r="F184" i="24" s="1"/>
  <c r="Q102" i="24"/>
  <c r="Q321" i="24"/>
  <c r="P321" i="24" s="1"/>
  <c r="V321" i="24" s="1"/>
  <c r="B321" i="24" s="1"/>
  <c r="D321" i="24" s="1"/>
  <c r="E321" i="24" s="1"/>
  <c r="F321" i="24" s="1"/>
  <c r="Q247" i="24"/>
  <c r="Q59" i="24"/>
  <c r="P59" i="24" s="1"/>
  <c r="V59" i="24" s="1"/>
  <c r="B59" i="24" s="1"/>
  <c r="W59" i="24" s="1"/>
  <c r="Q63" i="24"/>
  <c r="P63" i="24" s="1"/>
  <c r="V63" i="24" s="1"/>
  <c r="B63" i="24" s="1"/>
  <c r="W63" i="24" s="1"/>
  <c r="Q115" i="24"/>
  <c r="P115" i="24" s="1"/>
  <c r="V115" i="24" s="1"/>
  <c r="B115" i="24" s="1"/>
  <c r="W115" i="24" s="1"/>
  <c r="Q327" i="24"/>
  <c r="P327" i="24" s="1"/>
  <c r="V327" i="24" s="1"/>
  <c r="B327" i="24" s="1"/>
  <c r="D327" i="24" s="1"/>
  <c r="E327" i="24" s="1"/>
  <c r="F327" i="24" s="1"/>
  <c r="Q141" i="24"/>
  <c r="P141" i="24" s="1"/>
  <c r="V141" i="24" s="1"/>
  <c r="B141" i="24" s="1"/>
  <c r="D141" i="24" s="1"/>
  <c r="E141" i="24" s="1"/>
  <c r="F141" i="24" s="1"/>
  <c r="Q18" i="24"/>
  <c r="P18" i="24" s="1"/>
  <c r="V18" i="24" s="1"/>
  <c r="B18" i="24" s="1"/>
  <c r="W18" i="24" s="1"/>
  <c r="Q34" i="24"/>
  <c r="P34" i="24" s="1"/>
  <c r="V34" i="24" s="1"/>
  <c r="B34" i="24" s="1"/>
  <c r="D34" i="24" s="1"/>
  <c r="E34" i="24" s="1"/>
  <c r="F34" i="24" s="1"/>
  <c r="Q306" i="24"/>
  <c r="P306" i="24" s="1"/>
  <c r="V306" i="24" s="1"/>
  <c r="B306" i="24" s="1"/>
  <c r="D306" i="24" s="1"/>
  <c r="E306" i="24" s="1"/>
  <c r="F306" i="24" s="1"/>
  <c r="Q32" i="24"/>
  <c r="P32" i="24" s="1"/>
  <c r="V32" i="24" s="1"/>
  <c r="B32" i="24" s="1"/>
  <c r="W32" i="24" s="1"/>
  <c r="Q178" i="24"/>
  <c r="Q337" i="24"/>
  <c r="P337" i="24" s="1"/>
  <c r="V337" i="24" s="1"/>
  <c r="B337" i="24" s="1"/>
  <c r="D337" i="24" s="1"/>
  <c r="E337" i="24" s="1"/>
  <c r="F337" i="24" s="1"/>
  <c r="Q196" i="24"/>
  <c r="Q376" i="24"/>
  <c r="P376" i="24" s="1"/>
  <c r="V376" i="24" s="1"/>
  <c r="B376" i="24" s="1"/>
  <c r="D376" i="24" s="1"/>
  <c r="E376" i="24" s="1"/>
  <c r="F376" i="24" s="1"/>
  <c r="Q66" i="24"/>
  <c r="P66" i="24" s="1"/>
  <c r="V66" i="24" s="1"/>
  <c r="B66" i="24" s="1"/>
  <c r="D66" i="24" s="1"/>
  <c r="E66" i="24" s="1"/>
  <c r="F66" i="24" s="1"/>
  <c r="Q97" i="24"/>
  <c r="P97" i="24" s="1"/>
  <c r="V97" i="24" s="1"/>
  <c r="B97" i="24" s="1"/>
  <c r="W97" i="24" s="1"/>
  <c r="Q227" i="24"/>
  <c r="Q22" i="24"/>
  <c r="P22" i="24" s="1"/>
  <c r="V22" i="24" s="1"/>
  <c r="B22" i="24" s="1"/>
  <c r="W22" i="24" s="1"/>
  <c r="Q95" i="24"/>
  <c r="P95" i="24" s="1"/>
  <c r="V95" i="24" s="1"/>
  <c r="B95" i="24" s="1"/>
  <c r="W95" i="24" s="1"/>
  <c r="Q285" i="24"/>
  <c r="P285" i="24" s="1"/>
  <c r="V285" i="24" s="1"/>
  <c r="B285" i="24" s="1"/>
  <c r="W285" i="24" s="1"/>
  <c r="Q146" i="24"/>
  <c r="P146" i="24" s="1"/>
  <c r="V146" i="24" s="1"/>
  <c r="B146" i="24" s="1"/>
  <c r="W146" i="24" s="1"/>
  <c r="Q254" i="24"/>
  <c r="P254" i="24" s="1"/>
  <c r="V254" i="24" s="1"/>
  <c r="B254" i="24" s="1"/>
  <c r="W254" i="24" s="1"/>
  <c r="Q276" i="24"/>
  <c r="Q264" i="24"/>
  <c r="P264" i="24" s="1"/>
  <c r="V264" i="24" s="1"/>
  <c r="B264" i="24" s="1"/>
  <c r="W264" i="24" s="1"/>
  <c r="Q357" i="24"/>
  <c r="Q216" i="24"/>
  <c r="P216" i="24" s="1"/>
  <c r="V216" i="24" s="1"/>
  <c r="B216" i="24" s="1"/>
  <c r="W216" i="24" s="1"/>
  <c r="Q29" i="24"/>
  <c r="P29" i="24" s="1"/>
  <c r="V29" i="24" s="1"/>
  <c r="B29" i="24" s="1"/>
  <c r="Q131" i="24"/>
  <c r="P131" i="24" s="1"/>
  <c r="V131" i="24" s="1"/>
  <c r="B131" i="24" s="1"/>
  <c r="W131" i="24" s="1"/>
  <c r="Q101" i="24"/>
  <c r="Q79" i="24"/>
  <c r="P79" i="24" s="1"/>
  <c r="V79" i="24" s="1"/>
  <c r="B79" i="24" s="1"/>
  <c r="W79" i="24" s="1"/>
  <c r="Q89" i="24"/>
  <c r="Q28" i="24"/>
  <c r="P28" i="24" s="1"/>
  <c r="V28" i="24" s="1"/>
  <c r="B28" i="24" s="1"/>
  <c r="W28" i="24" s="1"/>
  <c r="Q81" i="24"/>
  <c r="P81" i="24" s="1"/>
  <c r="V81" i="24" s="1"/>
  <c r="B81" i="24" s="1"/>
  <c r="D81" i="24" s="1"/>
  <c r="E81" i="24" s="1"/>
  <c r="F81" i="24" s="1"/>
  <c r="Q231" i="24"/>
  <c r="P231" i="24" s="1"/>
  <c r="V231" i="24" s="1"/>
  <c r="B231" i="24" s="1"/>
  <c r="W231" i="24" s="1"/>
  <c r="Q198" i="24"/>
  <c r="Q378" i="24"/>
  <c r="P378" i="24" s="1"/>
  <c r="V378" i="24" s="1"/>
  <c r="B378" i="24" s="1"/>
  <c r="D378" i="24" s="1"/>
  <c r="E378" i="24" s="1"/>
  <c r="F378" i="24" s="1"/>
  <c r="Q289" i="24"/>
  <c r="Q149" i="24"/>
  <c r="P149" i="24" s="1"/>
  <c r="V149" i="24" s="1"/>
  <c r="Q123" i="24"/>
  <c r="Q62" i="24"/>
  <c r="P62" i="24" s="1"/>
  <c r="V62" i="24" s="1"/>
  <c r="B62" i="24" s="1"/>
  <c r="W62" i="24" s="1"/>
  <c r="Q229" i="24"/>
  <c r="P229" i="24" s="1"/>
  <c r="V229" i="24" s="1"/>
  <c r="B229" i="24" s="1"/>
  <c r="W229" i="24" s="1"/>
  <c r="Q72" i="24"/>
  <c r="P72" i="24" s="1"/>
  <c r="V72" i="24" s="1"/>
  <c r="B72" i="24" s="1"/>
  <c r="W72" i="24" s="1"/>
  <c r="Q257" i="24"/>
  <c r="P257" i="24" s="1"/>
  <c r="V257" i="24" s="1"/>
  <c r="B257" i="24" s="1"/>
  <c r="D257" i="24" s="1"/>
  <c r="E257" i="24" s="1"/>
  <c r="F257" i="24" s="1"/>
  <c r="I61" i="23"/>
  <c r="J61" i="23"/>
  <c r="J133" i="23"/>
  <c r="I133" i="23"/>
  <c r="I259" i="23"/>
  <c r="J259" i="23"/>
  <c r="V15" i="22"/>
  <c r="B15" i="22" s="1"/>
  <c r="AJ6" i="22" s="1"/>
  <c r="P382" i="22"/>
  <c r="P383" i="22"/>
  <c r="P381" i="22"/>
  <c r="AL7" i="18"/>
  <c r="Y15" i="18"/>
  <c r="AL6" i="18" s="1"/>
  <c r="AL12" i="18" s="1"/>
  <c r="AJ4" i="18" s="1"/>
  <c r="P15" i="19" s="1"/>
  <c r="Z9" i="18"/>
  <c r="Z381" i="18"/>
  <c r="Z383" i="18"/>
  <c r="Z382" i="18"/>
  <c r="J382" i="18"/>
  <c r="J383" i="18"/>
  <c r="J381" i="18"/>
  <c r="C15" i="6"/>
  <c r="AA88" i="22"/>
  <c r="Z88" i="22" s="1"/>
  <c r="Y88" i="22" s="1"/>
  <c r="H88" i="22"/>
  <c r="G88" i="22"/>
  <c r="CC88" i="6" s="1"/>
  <c r="S381" i="23"/>
  <c r="S382" i="23"/>
  <c r="S383" i="23"/>
  <c r="R15" i="23"/>
  <c r="T15" i="24"/>
  <c r="U383" i="24"/>
  <c r="U382" i="24"/>
  <c r="E149" i="22"/>
  <c r="AC7" i="7"/>
  <c r="E7" i="6"/>
  <c r="AA333" i="22"/>
  <c r="Z333" i="22" s="1"/>
  <c r="Y333" i="22" s="1"/>
  <c r="H333" i="22"/>
  <c r="G333" i="22"/>
  <c r="CC333" i="6" s="1"/>
  <c r="V383" i="20"/>
  <c r="J258" i="22"/>
  <c r="I258" i="22"/>
  <c r="H258" i="23" s="1"/>
  <c r="I258" i="23" s="1"/>
  <c r="I272" i="22"/>
  <c r="J272" i="22"/>
  <c r="Q211" i="24"/>
  <c r="P211" i="24" s="1"/>
  <c r="V211" i="24" s="1"/>
  <c r="B211" i="24" s="1"/>
  <c r="D211" i="24" s="1"/>
  <c r="E211" i="24" s="1"/>
  <c r="F211" i="24" s="1"/>
  <c r="Q161" i="24"/>
  <c r="P161" i="24" s="1"/>
  <c r="V161" i="24" s="1"/>
  <c r="B161" i="24" s="1"/>
  <c r="D161" i="24" s="1"/>
  <c r="E161" i="24" s="1"/>
  <c r="F161" i="24" s="1"/>
  <c r="Q82" i="24"/>
  <c r="P82" i="24" s="1"/>
  <c r="V82" i="24" s="1"/>
  <c r="B82" i="24" s="1"/>
  <c r="W82" i="24" s="1"/>
  <c r="Q360" i="24"/>
  <c r="Q20" i="24"/>
  <c r="P20" i="24" s="1"/>
  <c r="V20" i="24" s="1"/>
  <c r="B20" i="24" s="1"/>
  <c r="D20" i="24" s="1"/>
  <c r="E20" i="24" s="1"/>
  <c r="F20" i="24" s="1"/>
  <c r="Q240" i="24"/>
  <c r="P240" i="24" s="1"/>
  <c r="V240" i="24" s="1"/>
  <c r="B240" i="24" s="1"/>
  <c r="W240" i="24" s="1"/>
  <c r="Q297" i="24"/>
  <c r="P297" i="24" s="1"/>
  <c r="V297" i="24" s="1"/>
  <c r="B297" i="24" s="1"/>
  <c r="D297" i="24" s="1"/>
  <c r="E297" i="24" s="1"/>
  <c r="F297" i="24" s="1"/>
  <c r="Q73" i="24"/>
  <c r="Q23" i="24"/>
  <c r="P23" i="24" s="1"/>
  <c r="V23" i="24" s="1"/>
  <c r="B23" i="24" s="1"/>
  <c r="D23" i="24" s="1"/>
  <c r="E23" i="24" s="1"/>
  <c r="F23" i="24" s="1"/>
  <c r="Q121" i="24"/>
  <c r="Q374" i="24"/>
  <c r="P374" i="24" s="1"/>
  <c r="V374" i="24" s="1"/>
  <c r="B374" i="24" s="1"/>
  <c r="W374" i="24" s="1"/>
  <c r="Q49" i="24"/>
  <c r="P49" i="24" s="1"/>
  <c r="V49" i="24" s="1"/>
  <c r="B49" i="24" s="1"/>
  <c r="D49" i="24" s="1"/>
  <c r="E49" i="24" s="1"/>
  <c r="F49" i="24" s="1"/>
  <c r="Q69" i="24"/>
  <c r="P69" i="24" s="1"/>
  <c r="V69" i="24" s="1"/>
  <c r="B69" i="24" s="1"/>
  <c r="D69" i="24" s="1"/>
  <c r="E69" i="24" s="1"/>
  <c r="F69" i="24" s="1"/>
  <c r="I383" i="18"/>
  <c r="B15" i="6"/>
  <c r="I382" i="18"/>
  <c r="I381" i="18"/>
  <c r="AA119" i="22"/>
  <c r="Z119" i="22" s="1"/>
  <c r="Y119" i="22" s="1"/>
  <c r="G119" i="22"/>
  <c r="CC119" i="6" s="1"/>
  <c r="H119" i="22"/>
  <c r="G241" i="22"/>
  <c r="CC241" i="6" s="1"/>
  <c r="H241" i="22"/>
  <c r="AA241" i="22"/>
  <c r="Z241" i="22" s="1"/>
  <c r="Y241" i="22" s="1"/>
  <c r="H302" i="22"/>
  <c r="G302" i="22"/>
  <c r="CC302" i="6" s="1"/>
  <c r="AA302" i="22"/>
  <c r="Z302" i="22" s="1"/>
  <c r="Y302" i="22" s="1"/>
  <c r="T379" i="24"/>
  <c r="S379" i="24" s="1"/>
  <c r="R379" i="24" s="1"/>
  <c r="AZ16" i="7"/>
  <c r="BF11" i="7" s="1"/>
  <c r="U11" i="25" s="1"/>
  <c r="G363" i="22"/>
  <c r="CC363" i="6" s="1"/>
  <c r="AA363" i="22"/>
  <c r="Z363" i="22" s="1"/>
  <c r="Y363" i="22" s="1"/>
  <c r="H363" i="22"/>
  <c r="H380" i="22"/>
  <c r="G380" i="22"/>
  <c r="CC380" i="6" s="1"/>
  <c r="AA380" i="22"/>
  <c r="Z380" i="22" s="1"/>
  <c r="Y380" i="22" s="1"/>
  <c r="H210" i="22"/>
  <c r="G210" i="22"/>
  <c r="CC210" i="6" s="1"/>
  <c r="AA210" i="22"/>
  <c r="Z210" i="22" s="1"/>
  <c r="Y210" i="22" s="1"/>
  <c r="AK6" i="20"/>
  <c r="B382" i="20"/>
  <c r="B383" i="20"/>
  <c r="B381" i="20"/>
  <c r="W15" i="20"/>
  <c r="H9" i="20"/>
  <c r="B16" i="19" s="1"/>
  <c r="B32" i="19" s="1"/>
  <c r="AJ6" i="20"/>
  <c r="D15" i="20"/>
  <c r="AJ7" i="20" s="1"/>
  <c r="V381" i="20"/>
  <c r="AA180" i="22"/>
  <c r="Z180" i="22" s="1"/>
  <c r="Y180" i="22" s="1"/>
  <c r="G180" i="22"/>
  <c r="CC180" i="6" s="1"/>
  <c r="H180" i="22"/>
  <c r="H60" i="22"/>
  <c r="G60" i="22"/>
  <c r="CC60" i="6" s="1"/>
  <c r="AA60" i="22"/>
  <c r="Z60" i="22" s="1"/>
  <c r="Y60" i="22" s="1"/>
  <c r="AE348" i="24"/>
  <c r="AE62" i="24"/>
  <c r="AE235" i="24"/>
  <c r="AE198" i="24"/>
  <c r="AE133" i="24"/>
  <c r="AE338" i="24"/>
  <c r="AE377" i="24"/>
  <c r="AE294" i="24"/>
  <c r="AE26" i="24"/>
  <c r="AE328" i="24"/>
  <c r="AE113" i="24"/>
  <c r="AE157" i="24"/>
  <c r="AE126" i="24"/>
  <c r="AE350" i="24"/>
  <c r="AE21" i="24"/>
  <c r="AE56" i="24"/>
  <c r="AE264" i="24"/>
  <c r="AE223" i="24"/>
  <c r="AE289" i="24"/>
  <c r="AE180" i="24"/>
  <c r="AE55" i="24"/>
  <c r="AE153" i="24"/>
  <c r="AE112" i="24"/>
  <c r="AE155" i="24"/>
  <c r="AE226" i="24"/>
  <c r="AE357" i="24"/>
  <c r="AE291" i="24"/>
  <c r="AE308" i="24"/>
  <c r="AE58" i="24"/>
  <c r="AE41" i="24"/>
  <c r="AE360" i="24"/>
  <c r="AE140" i="24"/>
  <c r="AE177" i="24"/>
  <c r="AE111" i="24"/>
  <c r="AE284" i="24"/>
  <c r="AE341" i="24"/>
  <c r="AE107" i="24"/>
  <c r="AE134" i="24"/>
  <c r="AE375" i="24"/>
  <c r="AE274" i="24"/>
  <c r="AE249" i="24"/>
  <c r="AE228" i="24"/>
  <c r="AE319" i="24"/>
  <c r="AE361" i="24"/>
  <c r="AE302" i="24"/>
  <c r="AE61" i="24"/>
  <c r="AE273" i="24"/>
  <c r="AE71" i="24"/>
  <c r="AE106" i="24"/>
  <c r="AE323" i="24"/>
  <c r="AE242" i="24"/>
  <c r="AE98" i="24"/>
  <c r="AE23" i="24"/>
  <c r="AE257" i="24"/>
  <c r="AE75" i="24"/>
  <c r="AE309" i="24"/>
  <c r="AE268" i="24"/>
  <c r="AE143" i="24"/>
  <c r="AE209" i="24"/>
  <c r="AE156" i="24"/>
  <c r="AE376" i="24"/>
  <c r="AE73" i="24"/>
  <c r="AE74" i="24"/>
  <c r="AE292" i="24"/>
  <c r="AE259" i="24"/>
  <c r="AE325" i="24"/>
  <c r="AE210" i="24"/>
  <c r="AE123" i="24"/>
  <c r="AE128" i="24"/>
  <c r="AE185" i="24"/>
  <c r="AE87" i="24"/>
  <c r="AE196" i="24"/>
  <c r="AE321" i="24"/>
  <c r="AE255" i="24"/>
  <c r="AE248" i="24"/>
  <c r="AE40" i="24"/>
  <c r="AE359" i="24"/>
  <c r="AE334" i="24"/>
  <c r="AE110" i="24"/>
  <c r="AE125" i="24"/>
  <c r="AE145" i="24"/>
  <c r="AE344" i="24"/>
  <c r="AE42" i="24"/>
  <c r="AE195" i="24"/>
  <c r="AE178" i="24"/>
  <c r="AE34" i="24"/>
  <c r="AE320" i="24"/>
  <c r="AE129" i="24"/>
  <c r="AE90" i="24"/>
  <c r="AE39" i="24"/>
  <c r="AE241" i="24"/>
  <c r="AE93" i="24"/>
  <c r="AE318" i="24"/>
  <c r="AE24" i="24"/>
  <c r="AE159" i="24"/>
  <c r="AE148" i="24"/>
  <c r="AE89" i="24"/>
  <c r="AE219" i="24"/>
  <c r="AE38" i="24"/>
  <c r="AE340" i="24"/>
  <c r="AE72" i="24"/>
  <c r="AE366" i="24"/>
  <c r="AE189" i="24"/>
  <c r="AE254" i="24"/>
  <c r="AE211" i="24"/>
  <c r="AE277" i="24"/>
  <c r="AE186" i="24"/>
  <c r="AE43" i="24"/>
  <c r="AE109" i="24"/>
  <c r="AE100" i="24"/>
  <c r="AE310" i="24"/>
  <c r="AE311" i="24"/>
  <c r="AE19" i="24"/>
  <c r="AE240" i="24"/>
  <c r="AE322" i="24"/>
  <c r="AE96" i="24"/>
  <c r="AE101" i="24"/>
  <c r="AE35" i="24"/>
  <c r="AE182" i="24"/>
  <c r="AE205" i="24"/>
  <c r="AE139" i="24"/>
  <c r="AE234" i="24"/>
  <c r="AE373" i="24"/>
  <c r="AE307" i="24"/>
  <c r="AE300" i="24"/>
  <c r="AE335" i="24"/>
  <c r="AE252" i="24"/>
  <c r="AE265" i="24"/>
  <c r="AE31" i="24"/>
  <c r="AE86" i="24"/>
  <c r="AE315" i="24"/>
  <c r="AE91" i="24"/>
  <c r="AE293" i="24"/>
  <c r="AE276" i="24"/>
  <c r="AE203" i="24"/>
  <c r="AE46" i="24"/>
  <c r="AE332" i="24"/>
  <c r="AE222" i="24"/>
  <c r="AE213" i="24"/>
  <c r="AE362" i="24"/>
  <c r="AE68" i="24"/>
  <c r="AE247" i="24"/>
  <c r="AE208" i="24"/>
  <c r="AE130" i="24"/>
  <c r="AE99" i="24"/>
  <c r="AE152" i="24"/>
  <c r="AE167" i="24"/>
  <c r="AE369" i="24"/>
  <c r="AE29" i="24"/>
  <c r="AE60" i="24"/>
  <c r="AE286" i="24"/>
  <c r="AE263" i="24"/>
  <c r="AE329" i="24"/>
  <c r="AE200" i="24"/>
  <c r="AE95" i="24"/>
  <c r="AE161" i="24"/>
  <c r="AE116" i="24"/>
  <c r="AE336" i="24"/>
  <c r="AE25" i="24"/>
  <c r="AE50" i="24"/>
  <c r="AE283" i="24"/>
  <c r="AE288" i="24"/>
  <c r="AE70" i="24"/>
  <c r="AE65" i="24"/>
  <c r="AE372" i="24"/>
  <c r="AE120" i="24"/>
  <c r="AE169" i="24"/>
  <c r="AE103" i="24"/>
  <c r="AE204" i="24"/>
  <c r="AE305" i="24"/>
  <c r="AE239" i="24"/>
  <c r="AE158" i="24"/>
  <c r="AE85" i="24"/>
  <c r="AE298" i="24"/>
  <c r="AE353" i="24"/>
  <c r="AE119" i="24"/>
  <c r="AE144" i="24"/>
  <c r="AE64" i="24"/>
  <c r="AE358" i="24"/>
  <c r="AE141" i="24"/>
  <c r="AE138" i="24"/>
  <c r="AE115" i="24"/>
  <c r="AE317" i="24"/>
  <c r="Q207" i="24"/>
  <c r="P207" i="24" s="1"/>
  <c r="V207" i="24" s="1"/>
  <c r="B207" i="24" s="1"/>
  <c r="W207" i="24" s="1"/>
  <c r="Q272" i="24"/>
  <c r="P272" i="24" s="1"/>
  <c r="AH64" i="7" s="1"/>
  <c r="Q354" i="24"/>
  <c r="P354" i="24" s="1"/>
  <c r="V354" i="24" s="1"/>
  <c r="B354" i="24" s="1"/>
  <c r="W354" i="24" s="1"/>
  <c r="Q76" i="24"/>
  <c r="P76" i="24" s="1"/>
  <c r="V76" i="24" s="1"/>
  <c r="B76" i="24" s="1"/>
  <c r="D76" i="24" s="1"/>
  <c r="E76" i="24" s="1"/>
  <c r="F76" i="24" s="1"/>
  <c r="Q320" i="24"/>
  <c r="Q197" i="24"/>
  <c r="P197" i="24" s="1"/>
  <c r="V197" i="24" s="1"/>
  <c r="B197" i="24" s="1"/>
  <c r="W197" i="24" s="1"/>
  <c r="Q300" i="24"/>
  <c r="Q107" i="24"/>
  <c r="P107" i="24" s="1"/>
  <c r="V107" i="24" s="1"/>
  <c r="B107" i="24" s="1"/>
  <c r="W107" i="24" s="1"/>
  <c r="Q275" i="24"/>
  <c r="P275" i="24" s="1"/>
  <c r="V275" i="24" s="1"/>
  <c r="B275" i="24" s="1"/>
  <c r="W275" i="24" s="1"/>
  <c r="Q136" i="24"/>
  <c r="P136" i="24" s="1"/>
  <c r="V136" i="24" s="1"/>
  <c r="B136" i="24" s="1"/>
  <c r="D136" i="24" s="1"/>
  <c r="E136" i="24" s="1"/>
  <c r="F136" i="24" s="1"/>
  <c r="Q286" i="24"/>
  <c r="Q331" i="24"/>
  <c r="P331" i="24" s="1"/>
  <c r="V331" i="24" s="1"/>
  <c r="B331" i="24" s="1"/>
  <c r="D331" i="24" s="1"/>
  <c r="E331" i="24" s="1"/>
  <c r="F331" i="24" s="1"/>
  <c r="Q68" i="24"/>
  <c r="Q246" i="24"/>
  <c r="P246" i="24" s="1"/>
  <c r="V246" i="24" s="1"/>
  <c r="B246" i="24" s="1"/>
  <c r="W246" i="24" s="1"/>
  <c r="Q105" i="24"/>
  <c r="P105" i="24" s="1"/>
  <c r="V105" i="24" s="1"/>
  <c r="B105" i="24" s="1"/>
  <c r="W105" i="24" s="1"/>
  <c r="Q152" i="24"/>
  <c r="P152" i="24" s="1"/>
  <c r="V152" i="24" s="1"/>
  <c r="B152" i="24" s="1"/>
  <c r="D152" i="24" s="1"/>
  <c r="E152" i="24" s="1"/>
  <c r="F152" i="24" s="1"/>
  <c r="Q205" i="24"/>
  <c r="Q291" i="24"/>
  <c r="P291" i="24" s="1"/>
  <c r="V291" i="24" s="1"/>
  <c r="B291" i="24" s="1"/>
  <c r="D291" i="24" s="1"/>
  <c r="E291" i="24" s="1"/>
  <c r="F291" i="24" s="1"/>
  <c r="Q61" i="24"/>
  <c r="P61" i="24" s="1"/>
  <c r="V61" i="24" s="1"/>
  <c r="B61" i="24" s="1"/>
  <c r="D61" i="24" s="1"/>
  <c r="E61" i="24" s="1"/>
  <c r="F61" i="24" s="1"/>
  <c r="Q75" i="24"/>
  <c r="P75" i="24" s="1"/>
  <c r="V75" i="24" s="1"/>
  <c r="B75" i="24" s="1"/>
  <c r="W75" i="24" s="1"/>
  <c r="Q352" i="24"/>
  <c r="Q332" i="24"/>
  <c r="P332" i="24" s="1"/>
  <c r="V332" i="24" s="1"/>
  <c r="B332" i="24" s="1"/>
  <c r="D332" i="24" s="1"/>
  <c r="E332" i="24" s="1"/>
  <c r="F332" i="24" s="1"/>
  <c r="Q74" i="24"/>
  <c r="Q245" i="24"/>
  <c r="P245" i="24" s="1"/>
  <c r="V245" i="24" s="1"/>
  <c r="B245" i="24" s="1"/>
  <c r="D245" i="24" s="1"/>
  <c r="E245" i="24" s="1"/>
  <c r="F245" i="24" s="1"/>
  <c r="Q128" i="24"/>
  <c r="Q375" i="24"/>
  <c r="P375" i="24" s="1"/>
  <c r="V375" i="24" s="1"/>
  <c r="B375" i="24" s="1"/>
  <c r="W375" i="24" s="1"/>
  <c r="Q270" i="24"/>
  <c r="Q60" i="24"/>
  <c r="P60" i="24" s="1"/>
  <c r="AH57" i="7" s="1"/>
  <c r="Q280" i="24"/>
  <c r="P280" i="24" s="1"/>
  <c r="V280" i="24" s="1"/>
  <c r="B280" i="24" s="1"/>
  <c r="D280" i="24" s="1"/>
  <c r="E280" i="24" s="1"/>
  <c r="F280" i="24" s="1"/>
  <c r="Q370" i="24"/>
  <c r="P370" i="24" s="1"/>
  <c r="V370" i="24" s="1"/>
  <c r="B370" i="24" s="1"/>
  <c r="W370" i="24" s="1"/>
  <c r="Q143" i="24"/>
  <c r="Q174" i="24"/>
  <c r="P174" i="24" s="1"/>
  <c r="V174" i="24" s="1"/>
  <c r="B174" i="24" s="1"/>
  <c r="W174" i="24" s="1"/>
  <c r="Q228" i="24"/>
  <c r="P228" i="24" s="1"/>
  <c r="V228" i="24" s="1"/>
  <c r="B228" i="24" s="1"/>
  <c r="W228" i="24" s="1"/>
  <c r="Q364" i="24"/>
  <c r="P364" i="24" s="1"/>
  <c r="V364" i="24" s="1"/>
  <c r="B364" i="24" s="1"/>
  <c r="W364" i="24" s="1"/>
  <c r="Q208" i="24"/>
  <c r="Q260" i="24"/>
  <c r="P260" i="24" s="1"/>
  <c r="V260" i="24" s="1"/>
  <c r="B260" i="24" s="1"/>
  <c r="D260" i="24" s="1"/>
  <c r="E260" i="24" s="1"/>
  <c r="F260" i="24" s="1"/>
  <c r="Q56" i="24"/>
  <c r="P56" i="24" s="1"/>
  <c r="V56" i="24" s="1"/>
  <c r="B56" i="24" s="1"/>
  <c r="D56" i="24" s="1"/>
  <c r="E56" i="24" s="1"/>
  <c r="F56" i="24" s="1"/>
  <c r="Q57" i="24"/>
  <c r="P57" i="24" s="1"/>
  <c r="V57" i="24" s="1"/>
  <c r="B57" i="24" s="1"/>
  <c r="D57" i="24" s="1"/>
  <c r="E57" i="24" s="1"/>
  <c r="F57" i="24" s="1"/>
  <c r="Q65" i="24"/>
  <c r="Q181" i="24"/>
  <c r="P181" i="24" s="1"/>
  <c r="V181" i="24" s="1"/>
  <c r="B181" i="24" s="1"/>
  <c r="W181" i="24" s="1"/>
  <c r="Q162" i="24"/>
  <c r="Q301" i="24"/>
  <c r="P301" i="24" s="1"/>
  <c r="V301" i="24" s="1"/>
  <c r="B301" i="24" s="1"/>
  <c r="D301" i="24" s="1"/>
  <c r="E301" i="24" s="1"/>
  <c r="F301" i="24" s="1"/>
  <c r="Q191" i="24"/>
  <c r="P191" i="24" s="1"/>
  <c r="V191" i="24" s="1"/>
  <c r="B191" i="24" s="1"/>
  <c r="W191" i="24" s="1"/>
  <c r="Q186" i="24"/>
  <c r="P186" i="24" s="1"/>
  <c r="V186" i="24" s="1"/>
  <c r="B186" i="24" s="1"/>
  <c r="W186" i="24" s="1"/>
  <c r="Q243" i="24"/>
  <c r="Q377" i="24"/>
  <c r="P377" i="24" s="1"/>
  <c r="V377" i="24" s="1"/>
  <c r="B377" i="24" s="1"/>
  <c r="D377" i="24" s="1"/>
  <c r="E377" i="24" s="1"/>
  <c r="F377" i="24" s="1"/>
  <c r="Q50" i="24"/>
  <c r="P50" i="24" s="1"/>
  <c r="V50" i="24" s="1"/>
  <c r="B50" i="24" s="1"/>
  <c r="W50" i="24" s="1"/>
  <c r="Q319" i="24"/>
  <c r="P319" i="24" s="1"/>
  <c r="V319" i="24" s="1"/>
  <c r="B319" i="24" s="1"/>
  <c r="D319" i="24" s="1"/>
  <c r="E319" i="24" s="1"/>
  <c r="F319" i="24" s="1"/>
  <c r="G319" i="24" s="1"/>
  <c r="CE319" i="6" s="1"/>
  <c r="Q180" i="24"/>
  <c r="P180" i="24" s="1"/>
  <c r="V180" i="24" s="1"/>
  <c r="Q315" i="24"/>
  <c r="P315" i="24" s="1"/>
  <c r="V315" i="24" s="1"/>
  <c r="B315" i="24" s="1"/>
  <c r="W315" i="24" s="1"/>
  <c r="Q193" i="24"/>
  <c r="P193" i="24" s="1"/>
  <c r="V193" i="24" s="1"/>
  <c r="B193" i="24" s="1"/>
  <c r="W193" i="24" s="1"/>
  <c r="Q158" i="24"/>
  <c r="P158" i="24" s="1"/>
  <c r="V158" i="24" s="1"/>
  <c r="B158" i="24" s="1"/>
  <c r="W158" i="24" s="1"/>
  <c r="Q175" i="24"/>
  <c r="P175" i="24" s="1"/>
  <c r="V175" i="24" s="1"/>
  <c r="B175" i="24" s="1"/>
  <c r="W175" i="24" s="1"/>
  <c r="Q329" i="24"/>
  <c r="P329" i="24" s="1"/>
  <c r="V329" i="24" s="1"/>
  <c r="B329" i="24" s="1"/>
  <c r="W329" i="24" s="1"/>
  <c r="Q234" i="24"/>
  <c r="Q44" i="24"/>
  <c r="P44" i="24" s="1"/>
  <c r="V44" i="24" s="1"/>
  <c r="B44" i="24" s="1"/>
  <c r="D44" i="24" s="1"/>
  <c r="E44" i="24" s="1"/>
  <c r="F44" i="24" s="1"/>
  <c r="Q302" i="24"/>
  <c r="Q359" i="24"/>
  <c r="P359" i="24" s="1"/>
  <c r="V359" i="24" s="1"/>
  <c r="B359" i="24" s="1"/>
  <c r="W359" i="24" s="1"/>
  <c r="Q112" i="24"/>
  <c r="Q261" i="24"/>
  <c r="P261" i="24" s="1"/>
  <c r="V261" i="24" s="1"/>
  <c r="B261" i="24" s="1"/>
  <c r="W261" i="24" s="1"/>
  <c r="Q90" i="24"/>
  <c r="P90" i="24" s="1"/>
  <c r="V90" i="24" s="1"/>
  <c r="B90" i="24" s="1"/>
  <c r="D90" i="24" s="1"/>
  <c r="E90" i="24" s="1"/>
  <c r="F90" i="24" s="1"/>
  <c r="Q349" i="24"/>
  <c r="P349" i="24" s="1"/>
  <c r="V349" i="24" s="1"/>
  <c r="B349" i="24" s="1"/>
  <c r="W349" i="24" s="1"/>
  <c r="Q336" i="24"/>
  <c r="P336" i="24" s="1"/>
  <c r="V336" i="24" s="1"/>
  <c r="B336" i="24" s="1"/>
  <c r="D336" i="24" s="1"/>
  <c r="E336" i="24" s="1"/>
  <c r="F336" i="24" s="1"/>
  <c r="Q43" i="24"/>
  <c r="P43" i="24" s="1"/>
  <c r="V43" i="24" s="1"/>
  <c r="B43" i="24" s="1"/>
  <c r="W43" i="24" s="1"/>
  <c r="Q189" i="24"/>
  <c r="P189" i="24" s="1"/>
  <c r="V189" i="24" s="1"/>
  <c r="B189" i="24" s="1"/>
  <c r="W189" i="24" s="1"/>
  <c r="Q307" i="24"/>
  <c r="P307" i="24" s="1"/>
  <c r="V307" i="24" s="1"/>
  <c r="B307" i="24" s="1"/>
  <c r="W307" i="24" s="1"/>
  <c r="Q179" i="24"/>
  <c r="Q168" i="24"/>
  <c r="P168" i="24" s="1"/>
  <c r="V168" i="24" s="1"/>
  <c r="B168" i="24" s="1"/>
  <c r="D168" i="24" s="1"/>
  <c r="E168" i="24" s="1"/>
  <c r="F168" i="24" s="1"/>
  <c r="Q169" i="24"/>
  <c r="Q165" i="24"/>
  <c r="P165" i="24" s="1"/>
  <c r="V165" i="24" s="1"/>
  <c r="B165" i="24" s="1"/>
  <c r="W165" i="24" s="1"/>
  <c r="Q84" i="24"/>
  <c r="Q206" i="24"/>
  <c r="P206" i="24" s="1"/>
  <c r="V206" i="24" s="1"/>
  <c r="B206" i="24" s="1"/>
  <c r="W206" i="24" s="1"/>
  <c r="Q36" i="24"/>
  <c r="P36" i="24" s="1"/>
  <c r="V36" i="24" s="1"/>
  <c r="B36" i="24" s="1"/>
  <c r="D36" i="24" s="1"/>
  <c r="E36" i="24" s="1"/>
  <c r="F36" i="24" s="1"/>
  <c r="Q367" i="24"/>
  <c r="P367" i="24" s="1"/>
  <c r="V367" i="24" s="1"/>
  <c r="B367" i="24" s="1"/>
  <c r="W367" i="24" s="1"/>
  <c r="Q147" i="24"/>
  <c r="Q258" i="24"/>
  <c r="P258" i="24" s="1"/>
  <c r="V258" i="24" s="1"/>
  <c r="B258" i="24" s="1"/>
  <c r="W258" i="24" s="1"/>
  <c r="Q259" i="24"/>
  <c r="P259" i="24" s="1"/>
  <c r="V259" i="24" s="1"/>
  <c r="B259" i="24" s="1"/>
  <c r="W259" i="24" s="1"/>
  <c r="Q170" i="24"/>
  <c r="P170" i="24" s="1"/>
  <c r="V170" i="24" s="1"/>
  <c r="B170" i="24" s="1"/>
  <c r="D170" i="24" s="1"/>
  <c r="E170" i="24" s="1"/>
  <c r="F170" i="24" s="1"/>
  <c r="Q159" i="24"/>
  <c r="Q244" i="24"/>
  <c r="P244" i="24" s="1"/>
  <c r="V244" i="24" s="1"/>
  <c r="B244" i="24" s="1"/>
  <c r="D244" i="24" s="1"/>
  <c r="E244" i="24" s="1"/>
  <c r="F244" i="24" s="1"/>
  <c r="Q114" i="24"/>
  <c r="P114" i="24" s="1"/>
  <c r="V114" i="24" s="1"/>
  <c r="B114" i="24" s="1"/>
  <c r="W114" i="24" s="1"/>
  <c r="Q322" i="24"/>
  <c r="P322" i="24" s="1"/>
  <c r="V322" i="24" s="1"/>
  <c r="B322" i="24" s="1"/>
  <c r="D322" i="24" s="1"/>
  <c r="E322" i="24" s="1"/>
  <c r="F322" i="24" s="1"/>
  <c r="Q125" i="24"/>
  <c r="Q212" i="24"/>
  <c r="P212" i="24" s="1"/>
  <c r="V212" i="24" s="1"/>
  <c r="B212" i="24" s="1"/>
  <c r="D212" i="24" s="1"/>
  <c r="E212" i="24" s="1"/>
  <c r="F212" i="24" s="1"/>
  <c r="Q122" i="24"/>
  <c r="P122" i="24" s="1"/>
  <c r="V122" i="24" s="1"/>
  <c r="B122" i="24" s="1"/>
  <c r="D122" i="24" s="1"/>
  <c r="E122" i="24" s="1"/>
  <c r="F122" i="24" s="1"/>
  <c r="Q292" i="24"/>
  <c r="P292" i="24" s="1"/>
  <c r="V292" i="24" s="1"/>
  <c r="B292" i="24" s="1"/>
  <c r="D292" i="24" s="1"/>
  <c r="E292" i="24" s="1"/>
  <c r="F292" i="24" s="1"/>
  <c r="Q248" i="24"/>
  <c r="P248" i="24" s="1"/>
  <c r="V248" i="24" s="1"/>
  <c r="B248" i="24" s="1"/>
  <c r="D248" i="24" s="1"/>
  <c r="E248" i="24" s="1"/>
  <c r="F248" i="24" s="1"/>
  <c r="Q140" i="24"/>
  <c r="P140" i="24" s="1"/>
  <c r="V140" i="24" s="1"/>
  <c r="B140" i="24" s="1"/>
  <c r="D140" i="24" s="1"/>
  <c r="E140" i="24" s="1"/>
  <c r="F140" i="24" s="1"/>
  <c r="Q42" i="24"/>
  <c r="Q334" i="24"/>
  <c r="P334" i="24" s="1"/>
  <c r="V334" i="24" s="1"/>
  <c r="B334" i="24" s="1"/>
  <c r="D334" i="24" s="1"/>
  <c r="E334" i="24" s="1"/>
  <c r="F334" i="24" s="1"/>
  <c r="Q203" i="24"/>
  <c r="Q328" i="24"/>
  <c r="P328" i="24" s="1"/>
  <c r="V328" i="24" s="1"/>
  <c r="B328" i="24" s="1"/>
  <c r="D328" i="24" s="1"/>
  <c r="E328" i="24" s="1"/>
  <c r="F328" i="24" s="1"/>
  <c r="Q91" i="24"/>
  <c r="P91" i="24" s="1"/>
  <c r="V91" i="24" s="1"/>
  <c r="B91" i="24" s="1"/>
  <c r="D91" i="24" s="1"/>
  <c r="E91" i="24" s="1"/>
  <c r="F91" i="24" s="1"/>
  <c r="Q242" i="24"/>
  <c r="P242" i="24" s="1"/>
  <c r="V242" i="24" s="1"/>
  <c r="B242" i="24" s="1"/>
  <c r="W242" i="24" s="1"/>
  <c r="Q314" i="24"/>
  <c r="Q38" i="24"/>
  <c r="P38" i="24" s="1"/>
  <c r="V38" i="24" s="1"/>
  <c r="B38" i="24" s="1"/>
  <c r="W38" i="24" s="1"/>
  <c r="Q365" i="24"/>
  <c r="P365" i="24" s="1"/>
  <c r="V365" i="24" s="1"/>
  <c r="B365" i="24" s="1"/>
  <c r="W365" i="24" s="1"/>
  <c r="Q326" i="24"/>
  <c r="P326" i="24" s="1"/>
  <c r="V326" i="24" s="1"/>
  <c r="B326" i="24" s="1"/>
  <c r="D326" i="24" s="1"/>
  <c r="E326" i="24" s="1"/>
  <c r="F326" i="24" s="1"/>
  <c r="Q173" i="24"/>
  <c r="Q167" i="24"/>
  <c r="P167" i="24" s="1"/>
  <c r="V167" i="24" s="1"/>
  <c r="B167" i="24" s="1"/>
  <c r="D167" i="24" s="1"/>
  <c r="E167" i="24" s="1"/>
  <c r="F167" i="24" s="1"/>
  <c r="Q236" i="24"/>
  <c r="P236" i="24" s="1"/>
  <c r="V236" i="24" s="1"/>
  <c r="B236" i="24" s="1"/>
  <c r="W236" i="24" s="1"/>
  <c r="Q78" i="24"/>
  <c r="P78" i="24" s="1"/>
  <c r="V78" i="24" s="1"/>
  <c r="B78" i="24" s="1"/>
  <c r="W78" i="24" s="1"/>
  <c r="Q347" i="24"/>
  <c r="P347" i="24" s="1"/>
  <c r="V347" i="24" s="1"/>
  <c r="B347" i="24" s="1"/>
  <c r="D347" i="24" s="1"/>
  <c r="E347" i="24" s="1"/>
  <c r="F347" i="24" s="1"/>
  <c r="Q85" i="24"/>
  <c r="P85" i="24" s="1"/>
  <c r="V85" i="24" s="1"/>
  <c r="B85" i="24" s="1"/>
  <c r="W85" i="24" s="1"/>
  <c r="Q293" i="24"/>
  <c r="Q109" i="24"/>
  <c r="P109" i="24" s="1"/>
  <c r="V109" i="24" s="1"/>
  <c r="B109" i="24" s="1"/>
  <c r="D109" i="24" s="1"/>
  <c r="E109" i="24" s="1"/>
  <c r="F109" i="24" s="1"/>
  <c r="Q47" i="24"/>
  <c r="Q310" i="24"/>
  <c r="P310" i="24" s="1"/>
  <c r="V310" i="24" s="1"/>
  <c r="B310" i="24" s="1"/>
  <c r="W310" i="24" s="1"/>
  <c r="Q355" i="24"/>
  <c r="P355" i="24" s="1"/>
  <c r="V355" i="24" s="1"/>
  <c r="B355" i="24" s="1"/>
  <c r="W355" i="24" s="1"/>
  <c r="Q108" i="24"/>
  <c r="P108" i="24" s="1"/>
  <c r="V108" i="24" s="1"/>
  <c r="B108" i="24" s="1"/>
  <c r="W108" i="24" s="1"/>
  <c r="Q33" i="24"/>
  <c r="P33" i="24" s="1"/>
  <c r="V33" i="24" s="1"/>
  <c r="B33" i="24" s="1"/>
  <c r="W33" i="24" s="1"/>
  <c r="Q200" i="24"/>
  <c r="P200" i="24" s="1"/>
  <c r="V200" i="24" s="1"/>
  <c r="B200" i="24" s="1"/>
  <c r="D200" i="24" s="1"/>
  <c r="E200" i="24" s="1"/>
  <c r="F200" i="24" s="1"/>
  <c r="Q176" i="24"/>
  <c r="P176" i="24" s="1"/>
  <c r="V176" i="24" s="1"/>
  <c r="B176" i="24" s="1"/>
  <c r="W176" i="24" s="1"/>
  <c r="Q195" i="24"/>
  <c r="P195" i="24" s="1"/>
  <c r="V195" i="24" s="1"/>
  <c r="B195" i="24" s="1"/>
  <c r="W195" i="24" s="1"/>
  <c r="Q35" i="24"/>
  <c r="Q210" i="24"/>
  <c r="P210" i="24" s="1"/>
  <c r="AH62" i="7" s="1"/>
  <c r="Q311" i="24"/>
  <c r="P311" i="24" s="1"/>
  <c r="V311" i="24" s="1"/>
  <c r="B311" i="24" s="1"/>
  <c r="D311" i="24" s="1"/>
  <c r="E311" i="24" s="1"/>
  <c r="F311" i="24" s="1"/>
  <c r="Q171" i="24"/>
  <c r="P171" i="24" s="1"/>
  <c r="V171" i="24" s="1"/>
  <c r="B171" i="24" s="1"/>
  <c r="W171" i="24" s="1"/>
  <c r="Q188" i="24"/>
  <c r="P188" i="24" s="1"/>
  <c r="V188" i="24" s="1"/>
  <c r="B188" i="24" s="1"/>
  <c r="W188" i="24" s="1"/>
  <c r="Q224" i="24"/>
  <c r="P224" i="24" s="1"/>
  <c r="V224" i="24" s="1"/>
  <c r="B224" i="24" s="1"/>
  <c r="D224" i="24" s="1"/>
  <c r="E224" i="24" s="1"/>
  <c r="F224" i="24" s="1"/>
  <c r="Q253" i="24"/>
  <c r="P253" i="24" s="1"/>
  <c r="V253" i="24" s="1"/>
  <c r="B253" i="24" s="1"/>
  <c r="D253" i="24" s="1"/>
  <c r="E253" i="24" s="1"/>
  <c r="F253" i="24" s="1"/>
  <c r="Q104" i="24"/>
  <c r="P104" i="24" s="1"/>
  <c r="V104" i="24" s="1"/>
  <c r="B104" i="24" s="1"/>
  <c r="W104" i="24" s="1"/>
  <c r="Q351" i="24"/>
  <c r="Q342" i="24"/>
  <c r="P342" i="24" s="1"/>
  <c r="V342" i="24" s="1"/>
  <c r="B342" i="24" s="1"/>
  <c r="W342" i="24" s="1"/>
  <c r="Q55" i="24"/>
  <c r="Q348" i="24"/>
  <c r="P348" i="24" s="1"/>
  <c r="V348" i="24" s="1"/>
  <c r="B348" i="24" s="1"/>
  <c r="W348" i="24" s="1"/>
  <c r="Q164" i="24"/>
  <c r="P164" i="24" s="1"/>
  <c r="V164" i="24" s="1"/>
  <c r="B164" i="24" s="1"/>
  <c r="D164" i="24" s="1"/>
  <c r="E164" i="24" s="1"/>
  <c r="F164" i="24" s="1"/>
  <c r="Q344" i="24"/>
  <c r="P344" i="24" s="1"/>
  <c r="V344" i="24" s="1"/>
  <c r="B344" i="24" s="1"/>
  <c r="D344" i="24" s="1"/>
  <c r="E344" i="24" s="1"/>
  <c r="F344" i="24" s="1"/>
  <c r="Q98" i="24"/>
  <c r="Q45" i="24"/>
  <c r="P45" i="24" s="1"/>
  <c r="V45" i="24" s="1"/>
  <c r="B45" i="24" s="1"/>
  <c r="W45" i="24" s="1"/>
  <c r="Q120" i="24"/>
  <c r="P120" i="24" s="1"/>
  <c r="V120" i="24" s="1"/>
  <c r="B120" i="24" s="1"/>
  <c r="D120" i="24" s="1"/>
  <c r="E120" i="24" s="1"/>
  <c r="F120" i="24" s="1"/>
  <c r="Q256" i="24"/>
  <c r="P256" i="24" s="1"/>
  <c r="V256" i="24" s="1"/>
  <c r="B256" i="24" s="1"/>
  <c r="D256" i="24" s="1"/>
  <c r="E256" i="24" s="1"/>
  <c r="F256" i="24" s="1"/>
  <c r="Q233" i="24"/>
  <c r="P233" i="24" s="1"/>
  <c r="V233" i="24" s="1"/>
  <c r="B233" i="24" s="1"/>
  <c r="D233" i="24" s="1"/>
  <c r="E233" i="24" s="1"/>
  <c r="F233" i="24" s="1"/>
  <c r="Q17" i="24"/>
  <c r="P17" i="24" s="1"/>
  <c r="V17" i="24" s="1"/>
  <c r="B17" i="24" s="1"/>
  <c r="D17" i="24" s="1"/>
  <c r="E17" i="24" s="1"/>
  <c r="F17" i="24" s="1"/>
  <c r="Q213" i="24"/>
  <c r="P213" i="24" s="1"/>
  <c r="V213" i="24" s="1"/>
  <c r="B213" i="24" s="1"/>
  <c r="W213" i="24" s="1"/>
  <c r="Q137" i="24"/>
  <c r="P137" i="24" s="1"/>
  <c r="V137" i="24" s="1"/>
  <c r="B137" i="24" s="1"/>
  <c r="W137" i="24" s="1"/>
  <c r="Q92" i="24"/>
  <c r="Q338" i="24"/>
  <c r="P338" i="24" s="1"/>
  <c r="V338" i="24" s="1"/>
  <c r="B338" i="24" s="1"/>
  <c r="D338" i="24" s="1"/>
  <c r="E338" i="24" s="1"/>
  <c r="F338" i="24" s="1"/>
  <c r="Q26" i="24"/>
  <c r="Q266" i="24"/>
  <c r="P266" i="24" s="1"/>
  <c r="V266" i="24" s="1"/>
  <c r="B266" i="24" s="1"/>
  <c r="D266" i="24" s="1"/>
  <c r="E266" i="24" s="1"/>
  <c r="F266" i="24" s="1"/>
  <c r="Q87" i="24"/>
  <c r="Q358" i="24"/>
  <c r="P358" i="24" s="1"/>
  <c r="V358" i="24" s="1"/>
  <c r="B358" i="24" s="1"/>
  <c r="W358" i="24" s="1"/>
  <c r="Q335" i="24"/>
  <c r="Q88" i="24"/>
  <c r="P88" i="24" s="1"/>
  <c r="V88" i="24" s="1"/>
  <c r="Q37" i="24"/>
  <c r="Q185" i="24"/>
  <c r="P185" i="24" s="1"/>
  <c r="V185" i="24" s="1"/>
  <c r="B185" i="24" s="1"/>
  <c r="D185" i="24" s="1"/>
  <c r="E185" i="24" s="1"/>
  <c r="F185" i="24" s="1"/>
  <c r="Q172" i="24"/>
  <c r="P172" i="24" s="1"/>
  <c r="V172" i="24" s="1"/>
  <c r="B172" i="24" s="1"/>
  <c r="D172" i="24" s="1"/>
  <c r="E172" i="24" s="1"/>
  <c r="F172" i="24" s="1"/>
  <c r="Q201" i="24"/>
  <c r="P201" i="24" s="1"/>
  <c r="V201" i="24" s="1"/>
  <c r="B201" i="24" s="1"/>
  <c r="D201" i="24" s="1"/>
  <c r="E201" i="24" s="1"/>
  <c r="F201" i="24" s="1"/>
  <c r="Q295" i="24"/>
  <c r="P295" i="24" s="1"/>
  <c r="V295" i="24" s="1"/>
  <c r="B295" i="24" s="1"/>
  <c r="D295" i="24" s="1"/>
  <c r="E295" i="24" s="1"/>
  <c r="F295" i="24" s="1"/>
  <c r="Q93" i="24"/>
  <c r="P93" i="24" s="1"/>
  <c r="V93" i="24" s="1"/>
  <c r="B93" i="24" s="1"/>
  <c r="W93" i="24" s="1"/>
  <c r="Q67" i="24"/>
  <c r="Q163" i="24"/>
  <c r="P163" i="24" s="1"/>
  <c r="V163" i="24" s="1"/>
  <c r="B163" i="24" s="1"/>
  <c r="D163" i="24" s="1"/>
  <c r="E163" i="24" s="1"/>
  <c r="F163" i="24" s="1"/>
  <c r="Q192" i="24"/>
  <c r="P192" i="24" s="1"/>
  <c r="V192" i="24" s="1"/>
  <c r="B192" i="24" s="1"/>
  <c r="W192" i="24" s="1"/>
  <c r="Q232" i="24"/>
  <c r="P232" i="24" s="1"/>
  <c r="V232" i="24" s="1"/>
  <c r="B232" i="24" s="1"/>
  <c r="D232" i="24" s="1"/>
  <c r="E232" i="24" s="1"/>
  <c r="F232" i="24" s="1"/>
  <c r="Q249" i="24"/>
  <c r="Q124" i="24"/>
  <c r="P124" i="24" s="1"/>
  <c r="V124" i="24" s="1"/>
  <c r="B124" i="24" s="1"/>
  <c r="D124" i="24" s="1"/>
  <c r="E124" i="24" s="1"/>
  <c r="F124" i="24" s="1"/>
  <c r="Q371" i="24"/>
  <c r="P371" i="24" s="1"/>
  <c r="V371" i="24" s="1"/>
  <c r="B371" i="24" s="1"/>
  <c r="W371" i="24" s="1"/>
  <c r="Q278" i="24"/>
  <c r="P278" i="24" s="1"/>
  <c r="V278" i="24" s="1"/>
  <c r="B278" i="24" s="1"/>
  <c r="W278" i="24" s="1"/>
  <c r="Q40" i="24"/>
  <c r="Q218" i="24"/>
  <c r="P218" i="24" s="1"/>
  <c r="V218" i="24" s="1"/>
  <c r="B218" i="24" s="1"/>
  <c r="W218" i="24" s="1"/>
  <c r="Q309" i="24"/>
  <c r="P309" i="24" s="1"/>
  <c r="V309" i="24" s="1"/>
  <c r="B309" i="24" s="1"/>
  <c r="D309" i="24" s="1"/>
  <c r="E309" i="24" s="1"/>
  <c r="F309" i="24" s="1"/>
  <c r="Q239" i="24"/>
  <c r="P239" i="24" s="1"/>
  <c r="V239" i="24" s="1"/>
  <c r="B239" i="24" s="1"/>
  <c r="W239" i="24" s="1"/>
  <c r="Q299" i="24"/>
  <c r="Q308" i="24"/>
  <c r="P308" i="24" s="1"/>
  <c r="V308" i="24" s="1"/>
  <c r="B308" i="24" s="1"/>
  <c r="W308" i="24" s="1"/>
  <c r="Q219" i="24"/>
  <c r="P219" i="24" s="1"/>
  <c r="V219" i="24" s="1"/>
  <c r="B219" i="24" s="1"/>
  <c r="W219" i="24" s="1"/>
  <c r="Q25" i="24"/>
  <c r="P25" i="24" s="1"/>
  <c r="V25" i="24" s="1"/>
  <c r="B25" i="24" s="1"/>
  <c r="D25" i="24" s="1"/>
  <c r="E25" i="24" s="1"/>
  <c r="F25" i="24" s="1"/>
  <c r="Q214" i="24"/>
  <c r="Q144" i="24"/>
  <c r="P144" i="24" s="1"/>
  <c r="V144" i="24" s="1"/>
  <c r="B144" i="24" s="1"/>
  <c r="D144" i="24" s="1"/>
  <c r="E144" i="24" s="1"/>
  <c r="F144" i="24" s="1"/>
  <c r="Q99" i="24"/>
  <c r="P99" i="24" s="1"/>
  <c r="V99" i="24" s="1"/>
  <c r="B99" i="24" s="1"/>
  <c r="W99" i="24" s="1"/>
  <c r="Q279" i="24"/>
  <c r="P279" i="24" s="1"/>
  <c r="V279" i="24" s="1"/>
  <c r="B279" i="24" s="1"/>
  <c r="W279" i="24" s="1"/>
  <c r="Q156" i="24"/>
  <c r="Q133" i="24"/>
  <c r="P133" i="24" s="1"/>
  <c r="V133" i="24" s="1"/>
  <c r="B133" i="24" s="1"/>
  <c r="W133" i="24" s="1"/>
  <c r="Q304" i="24"/>
  <c r="Q151" i="24"/>
  <c r="P151" i="24" s="1"/>
  <c r="V151" i="24" s="1"/>
  <c r="B151" i="24" s="1"/>
  <c r="D151" i="24" s="1"/>
  <c r="E151" i="24" s="1"/>
  <c r="F151" i="24" s="1"/>
  <c r="Q21" i="24"/>
  <c r="P21" i="24" s="1"/>
  <c r="V21" i="24" s="1"/>
  <c r="B21" i="24" s="1"/>
  <c r="W21" i="24" s="1"/>
  <c r="Q372" i="24"/>
  <c r="P372" i="24" s="1"/>
  <c r="V372" i="24" s="1"/>
  <c r="B372" i="24" s="1"/>
  <c r="D372" i="24" s="1"/>
  <c r="E372" i="24" s="1"/>
  <c r="F372" i="24" s="1"/>
  <c r="Q139" i="24"/>
  <c r="P139" i="24" s="1"/>
  <c r="V139" i="24" s="1"/>
  <c r="B139" i="24" s="1"/>
  <c r="W139" i="24" s="1"/>
  <c r="Q39" i="24"/>
  <c r="P39" i="24" s="1"/>
  <c r="V39" i="24" s="1"/>
  <c r="B39" i="24" s="1"/>
  <c r="D39" i="24" s="1"/>
  <c r="E39" i="24" s="1"/>
  <c r="F39" i="24" s="1"/>
  <c r="Q41" i="24"/>
  <c r="P41" i="24" s="1"/>
  <c r="V41" i="24" s="1"/>
  <c r="B41" i="24" s="1"/>
  <c r="Q346" i="24"/>
  <c r="P346" i="24" s="1"/>
  <c r="V346" i="24" s="1"/>
  <c r="B346" i="24" s="1"/>
  <c r="W346" i="24" s="1"/>
  <c r="Q54" i="24"/>
  <c r="Q30" i="24"/>
  <c r="P30" i="24" s="1"/>
  <c r="V30" i="24" s="1"/>
  <c r="B30" i="24" s="1"/>
  <c r="W30" i="24" s="1"/>
  <c r="Q298" i="24"/>
  <c r="Q268" i="24"/>
  <c r="P268" i="24" s="1"/>
  <c r="V268" i="24" s="1"/>
  <c r="B268" i="24" s="1"/>
  <c r="D268" i="24" s="1"/>
  <c r="E268" i="24" s="1"/>
  <c r="F268" i="24" s="1"/>
  <c r="Q343" i="24"/>
  <c r="P343" i="24" s="1"/>
  <c r="V343" i="24" s="1"/>
  <c r="B343" i="24" s="1"/>
  <c r="W343" i="24" s="1"/>
  <c r="Q313" i="24"/>
  <c r="P313" i="24" s="1"/>
  <c r="V313" i="24" s="1"/>
  <c r="B313" i="24" s="1"/>
  <c r="W313" i="24" s="1"/>
  <c r="D105" i="24"/>
  <c r="E105" i="24" s="1"/>
  <c r="F105" i="24" s="1"/>
  <c r="G105" i="24" s="1"/>
  <c r="CE105" i="6" s="1"/>
  <c r="Q142" i="24"/>
  <c r="P142" i="24" s="1"/>
  <c r="V142" i="24" s="1"/>
  <c r="B142" i="24" s="1"/>
  <c r="I224" i="23"/>
  <c r="J224" i="23"/>
  <c r="D302" i="23"/>
  <c r="E302" i="23" s="1"/>
  <c r="F302" i="23" s="1"/>
  <c r="W302" i="23"/>
  <c r="I84" i="23"/>
  <c r="J84" i="23"/>
  <c r="H166" i="23"/>
  <c r="G166" i="23"/>
  <c r="CD166" i="6" s="1"/>
  <c r="D272" i="23"/>
  <c r="E272" i="23" s="1"/>
  <c r="F272" i="23" s="1"/>
  <c r="W272" i="23"/>
  <c r="J27" i="23"/>
  <c r="I27" i="23"/>
  <c r="I132" i="23"/>
  <c r="J132" i="23"/>
  <c r="I377" i="23"/>
  <c r="J377" i="23"/>
  <c r="J215" i="23"/>
  <c r="I215" i="23"/>
  <c r="J181" i="23"/>
  <c r="I181" i="23"/>
  <c r="J291" i="23"/>
  <c r="I291" i="23"/>
  <c r="AE12" i="25"/>
  <c r="J298" i="23"/>
  <c r="I298" i="23"/>
  <c r="AZ15" i="7"/>
  <c r="P379" i="24"/>
  <c r="Q12" i="25"/>
  <c r="I294" i="23"/>
  <c r="J294" i="23"/>
  <c r="J122" i="23"/>
  <c r="I326" i="23"/>
  <c r="J326" i="23"/>
  <c r="I139" i="23"/>
  <c r="J139" i="23"/>
  <c r="I350" i="23"/>
  <c r="J350" i="23"/>
  <c r="H105" i="23"/>
  <c r="G105" i="23"/>
  <c r="CD105" i="6" s="1"/>
  <c r="J372" i="23"/>
  <c r="I372" i="23"/>
  <c r="J212" i="23"/>
  <c r="I212" i="23"/>
  <c r="I73" i="23"/>
  <c r="J73" i="23"/>
  <c r="J378" i="23"/>
  <c r="I378" i="23"/>
  <c r="I173" i="23"/>
  <c r="J173" i="23"/>
  <c r="J188" i="23"/>
  <c r="I188" i="23"/>
  <c r="J218" i="23"/>
  <c r="I218" i="23"/>
  <c r="J161" i="23"/>
  <c r="I161" i="23"/>
  <c r="G74" i="23"/>
  <c r="CD74" i="6" s="1"/>
  <c r="J332" i="23"/>
  <c r="I332" i="23"/>
  <c r="I174" i="23"/>
  <c r="J174" i="23"/>
  <c r="I357" i="23"/>
  <c r="J357" i="23"/>
  <c r="H74" i="23"/>
  <c r="J150" i="23"/>
  <c r="I150" i="23"/>
  <c r="J121" i="23"/>
  <c r="I121" i="23"/>
  <c r="J72" i="23"/>
  <c r="I72" i="23"/>
  <c r="I322" i="23"/>
  <c r="J322" i="23"/>
  <c r="I236" i="23"/>
  <c r="J236" i="23"/>
  <c r="J365" i="23"/>
  <c r="I365" i="23"/>
  <c r="J351" i="23"/>
  <c r="I351" i="23"/>
  <c r="J276" i="23"/>
  <c r="I276" i="23"/>
  <c r="J364" i="23"/>
  <c r="I364" i="23"/>
  <c r="G88" i="23"/>
  <c r="CD88" i="6" s="1"/>
  <c r="J368" i="23"/>
  <c r="I368" i="23"/>
  <c r="I57" i="23"/>
  <c r="J57" i="23"/>
  <c r="I268" i="23"/>
  <c r="J268" i="23"/>
  <c r="J233" i="23"/>
  <c r="I233" i="23"/>
  <c r="I19" i="23"/>
  <c r="J19" i="23"/>
  <c r="I191" i="23"/>
  <c r="J191" i="23"/>
  <c r="J115" i="23"/>
  <c r="I115" i="23"/>
  <c r="J113" i="23"/>
  <c r="I113" i="23"/>
  <c r="J79" i="23"/>
  <c r="I79" i="23"/>
  <c r="I283" i="23"/>
  <c r="J283" i="23"/>
  <c r="I376" i="23"/>
  <c r="J376" i="23"/>
  <c r="I59" i="23"/>
  <c r="J59" i="23"/>
  <c r="I240" i="23"/>
  <c r="J240" i="23"/>
  <c r="I53" i="23"/>
  <c r="J53" i="23"/>
  <c r="J341" i="23"/>
  <c r="I341" i="23"/>
  <c r="J205" i="23"/>
  <c r="I205" i="23"/>
  <c r="I209" i="23"/>
  <c r="J209" i="23"/>
  <c r="J226" i="23"/>
  <c r="I226" i="23"/>
  <c r="I89" i="23"/>
  <c r="J89" i="23"/>
  <c r="G180" i="23"/>
  <c r="CD180" i="6" s="1"/>
  <c r="I271" i="23"/>
  <c r="J271" i="23"/>
  <c r="J20" i="23"/>
  <c r="I20" i="23"/>
  <c r="J330" i="23"/>
  <c r="I330" i="23"/>
  <c r="I242" i="23"/>
  <c r="J242" i="23"/>
  <c r="G349" i="23"/>
  <c r="CD349" i="6" s="1"/>
  <c r="H349" i="23"/>
  <c r="J199" i="23"/>
  <c r="I199" i="23"/>
  <c r="I56" i="23"/>
  <c r="J56" i="23"/>
  <c r="J257" i="23"/>
  <c r="I257" i="23"/>
  <c r="I82" i="23"/>
  <c r="J82" i="23"/>
  <c r="J16" i="23"/>
  <c r="I16" i="23"/>
  <c r="I143" i="23"/>
  <c r="J143" i="23"/>
  <c r="G29" i="23"/>
  <c r="CD29" i="6" s="1"/>
  <c r="H29" i="23"/>
  <c r="I50" i="23"/>
  <c r="J50" i="23"/>
  <c r="I141" i="23"/>
  <c r="J141" i="23"/>
  <c r="J99" i="23"/>
  <c r="I99" i="23"/>
  <c r="I195" i="23"/>
  <c r="J195" i="23"/>
  <c r="I182" i="23"/>
  <c r="J182" i="23"/>
  <c r="I317" i="23"/>
  <c r="J317" i="23"/>
  <c r="I156" i="23"/>
  <c r="J156" i="23"/>
  <c r="J183" i="23"/>
  <c r="I183" i="23"/>
  <c r="J26" i="23"/>
  <c r="I26" i="23"/>
  <c r="J361" i="23"/>
  <c r="I361" i="23"/>
  <c r="J243" i="23"/>
  <c r="I243" i="23"/>
  <c r="J40" i="23"/>
  <c r="I40" i="23"/>
  <c r="J293" i="23"/>
  <c r="I293" i="23"/>
  <c r="J232" i="23"/>
  <c r="I232" i="23"/>
  <c r="I170" i="23"/>
  <c r="J170" i="23"/>
  <c r="J187" i="23"/>
  <c r="I187" i="23"/>
  <c r="J97" i="23"/>
  <c r="I97" i="23"/>
  <c r="I287" i="23"/>
  <c r="J287" i="23"/>
  <c r="J109" i="23"/>
  <c r="I109" i="23"/>
  <c r="I299" i="23"/>
  <c r="J299" i="23"/>
  <c r="J275" i="23"/>
  <c r="I275" i="23"/>
  <c r="J184" i="23"/>
  <c r="I184" i="23"/>
  <c r="J261" i="23"/>
  <c r="I261" i="23"/>
  <c r="J331" i="23"/>
  <c r="I331" i="23"/>
  <c r="J176" i="23"/>
  <c r="I176" i="23"/>
  <c r="I123" i="23"/>
  <c r="J123" i="23"/>
  <c r="J266" i="23"/>
  <c r="I266" i="23"/>
  <c r="I128" i="23"/>
  <c r="I87" i="23"/>
  <c r="J87" i="23"/>
  <c r="I18" i="23"/>
  <c r="J18" i="23"/>
  <c r="I162" i="23"/>
  <c r="J162" i="23"/>
  <c r="I125" i="23"/>
  <c r="J125" i="23"/>
  <c r="I91" i="23"/>
  <c r="J91" i="23"/>
  <c r="I260" i="23"/>
  <c r="J260" i="23"/>
  <c r="I370" i="23"/>
  <c r="J370" i="23"/>
  <c r="J137" i="23"/>
  <c r="I137" i="23"/>
  <c r="J189" i="23"/>
  <c r="I189" i="23"/>
  <c r="J313" i="23"/>
  <c r="I313" i="23"/>
  <c r="J78" i="23"/>
  <c r="I78" i="23"/>
  <c r="J85" i="23"/>
  <c r="I200" i="23"/>
  <c r="J200" i="23"/>
  <c r="J157" i="23"/>
  <c r="I157" i="23"/>
  <c r="I146" i="23"/>
  <c r="J146" i="23"/>
  <c r="J207" i="23"/>
  <c r="I207" i="23"/>
  <c r="J131" i="23"/>
  <c r="I131" i="23"/>
  <c r="I279" i="23"/>
  <c r="J279" i="23"/>
  <c r="J69" i="23"/>
  <c r="I69" i="23"/>
  <c r="I245" i="23"/>
  <c r="J245" i="23"/>
  <c r="I102" i="23"/>
  <c r="J102" i="23"/>
  <c r="I348" i="23"/>
  <c r="J348" i="23"/>
  <c r="I107" i="23"/>
  <c r="J107" i="23"/>
  <c r="I305" i="23"/>
  <c r="J305" i="23"/>
  <c r="I366" i="23"/>
  <c r="J366" i="23"/>
  <c r="G119" i="23"/>
  <c r="CD119" i="6" s="1"/>
  <c r="J217" i="23"/>
  <c r="I217" i="23"/>
  <c r="J118" i="23"/>
  <c r="I118" i="23"/>
  <c r="J203" i="23"/>
  <c r="I203" i="23"/>
  <c r="I42" i="23"/>
  <c r="J42" i="23"/>
  <c r="I307" i="23"/>
  <c r="J307" i="23"/>
  <c r="D210" i="23"/>
  <c r="E210" i="23" s="1"/>
  <c r="F210" i="23" s="1"/>
  <c r="W210" i="23"/>
  <c r="I93" i="23"/>
  <c r="J93" i="23"/>
  <c r="J284" i="23"/>
  <c r="I284" i="23"/>
  <c r="I155" i="23"/>
  <c r="J155" i="23"/>
  <c r="J336" i="23"/>
  <c r="I336" i="23"/>
  <c r="J192" i="23"/>
  <c r="I192" i="23"/>
  <c r="I290" i="23"/>
  <c r="J290" i="23"/>
  <c r="Q283" i="24"/>
  <c r="P283" i="24" s="1"/>
  <c r="V283" i="24" s="1"/>
  <c r="B283" i="24" s="1"/>
  <c r="I295" i="23"/>
  <c r="J295" i="23"/>
  <c r="J230" i="23"/>
  <c r="I230" i="23"/>
  <c r="I342" i="23"/>
  <c r="J342" i="23"/>
  <c r="J334" i="23"/>
  <c r="I334" i="23"/>
  <c r="I362" i="23"/>
  <c r="J362" i="23"/>
  <c r="J320" i="23"/>
  <c r="I320" i="23"/>
  <c r="J252" i="23"/>
  <c r="I252" i="23"/>
  <c r="J285" i="23"/>
  <c r="I285" i="23"/>
  <c r="I315" i="23"/>
  <c r="J315" i="23"/>
  <c r="J246" i="23"/>
  <c r="I246" i="23"/>
  <c r="I193" i="23"/>
  <c r="J193" i="23"/>
  <c r="J373" i="23"/>
  <c r="I373" i="23"/>
  <c r="J117" i="23"/>
  <c r="I117" i="23"/>
  <c r="J114" i="23"/>
  <c r="I114" i="23"/>
  <c r="D333" i="23"/>
  <c r="E333" i="23" s="1"/>
  <c r="F333" i="23" s="1"/>
  <c r="W333" i="23"/>
  <c r="J197" i="23"/>
  <c r="I197" i="23"/>
  <c r="J44" i="23"/>
  <c r="I44" i="23"/>
  <c r="I211" i="23"/>
  <c r="J211" i="23"/>
  <c r="I96" i="23"/>
  <c r="J96" i="23"/>
  <c r="I202" i="23"/>
  <c r="J202" i="23"/>
  <c r="I270" i="23"/>
  <c r="J270" i="23"/>
  <c r="J68" i="23"/>
  <c r="I68" i="23"/>
  <c r="J296" i="23"/>
  <c r="I296" i="23"/>
  <c r="J33" i="23"/>
  <c r="I33" i="23"/>
  <c r="I152" i="23"/>
  <c r="J152" i="23"/>
  <c r="J23" i="23"/>
  <c r="I23" i="23"/>
  <c r="J49" i="23"/>
  <c r="I49" i="23"/>
  <c r="J45" i="23"/>
  <c r="I45" i="23"/>
  <c r="J244" i="23"/>
  <c r="I244" i="23"/>
  <c r="J221" i="23"/>
  <c r="I221" i="23"/>
  <c r="I154" i="23"/>
  <c r="J154" i="23"/>
  <c r="D241" i="23"/>
  <c r="E241" i="23" s="1"/>
  <c r="F241" i="23" s="1"/>
  <c r="W241" i="23"/>
  <c r="J194" i="23"/>
  <c r="I194" i="23"/>
  <c r="I129" i="23"/>
  <c r="J129" i="23"/>
  <c r="J310" i="23"/>
  <c r="I310" i="23"/>
  <c r="J327" i="23"/>
  <c r="I327" i="23"/>
  <c r="J219" i="23"/>
  <c r="I219" i="23"/>
  <c r="J32" i="23"/>
  <c r="I32" i="23"/>
  <c r="J312" i="23"/>
  <c r="I312" i="23"/>
  <c r="J213" i="23"/>
  <c r="I213" i="23"/>
  <c r="J144" i="23"/>
  <c r="I144" i="23"/>
  <c r="I346" i="23"/>
  <c r="J346" i="23"/>
  <c r="J34" i="23"/>
  <c r="I34" i="23"/>
  <c r="H46" i="23"/>
  <c r="G46" i="23"/>
  <c r="CD46" i="6" s="1"/>
  <c r="I177" i="23"/>
  <c r="G135" i="23"/>
  <c r="CD135" i="6" s="1"/>
  <c r="H135" i="23"/>
  <c r="J138" i="23"/>
  <c r="I138" i="23"/>
  <c r="J371" i="23"/>
  <c r="I371" i="23"/>
  <c r="J55" i="23"/>
  <c r="I55" i="23"/>
  <c r="J54" i="23"/>
  <c r="I54" i="23"/>
  <c r="J300" i="23"/>
  <c r="I300" i="23"/>
  <c r="J35" i="23"/>
  <c r="I35" i="23"/>
  <c r="J190" i="23"/>
  <c r="I190" i="23"/>
  <c r="J292" i="23"/>
  <c r="I292" i="23"/>
  <c r="I31" i="23"/>
  <c r="J31" i="23"/>
  <c r="J108" i="23"/>
  <c r="I108" i="23"/>
  <c r="I111" i="23"/>
  <c r="J111" i="23"/>
  <c r="J185" i="23"/>
  <c r="I185" i="23"/>
  <c r="J124" i="23"/>
  <c r="I124" i="23"/>
  <c r="J265" i="23"/>
  <c r="I265" i="23"/>
  <c r="J100" i="23"/>
  <c r="I100" i="23"/>
  <c r="I318" i="23"/>
  <c r="J318" i="23"/>
  <c r="I237" i="23"/>
  <c r="J237" i="23"/>
  <c r="I140" i="23"/>
  <c r="J140" i="23"/>
  <c r="I345" i="23"/>
  <c r="J345" i="23"/>
  <c r="I234" i="23"/>
  <c r="J234" i="23"/>
  <c r="J316" i="23"/>
  <c r="I316" i="23"/>
  <c r="I43" i="23"/>
  <c r="J43" i="23"/>
  <c r="J248" i="23"/>
  <c r="I248" i="23"/>
  <c r="J250" i="23"/>
  <c r="I250" i="23"/>
  <c r="I153" i="23"/>
  <c r="J153" i="23"/>
  <c r="J325" i="23"/>
  <c r="I325" i="23"/>
  <c r="J235" i="23"/>
  <c r="I235" i="23"/>
  <c r="J204" i="23"/>
  <c r="I204" i="23"/>
  <c r="I159" i="23"/>
  <c r="J159" i="23"/>
  <c r="G379" i="23"/>
  <c r="CD379" i="6" s="1"/>
  <c r="I247" i="23"/>
  <c r="J247" i="23"/>
  <c r="J228" i="23"/>
  <c r="I228" i="23"/>
  <c r="J198" i="23"/>
  <c r="I198" i="23"/>
  <c r="J220" i="23"/>
  <c r="I220" i="23"/>
  <c r="I167" i="23"/>
  <c r="J167" i="23"/>
  <c r="J282" i="23"/>
  <c r="I282" i="23"/>
  <c r="J171" i="23"/>
  <c r="I171" i="23"/>
  <c r="I277" i="23"/>
  <c r="J277" i="23"/>
  <c r="J324" i="23"/>
  <c r="I324" i="23"/>
  <c r="J338" i="23"/>
  <c r="I338" i="23"/>
  <c r="I304" i="23"/>
  <c r="J304" i="23"/>
  <c r="I273" i="23"/>
  <c r="J273" i="23"/>
  <c r="J216" i="23"/>
  <c r="I216" i="23"/>
  <c r="J222" i="23"/>
  <c r="I222" i="23"/>
  <c r="I344" i="23"/>
  <c r="J344" i="23"/>
  <c r="J51" i="23"/>
  <c r="I51" i="23"/>
  <c r="J263" i="23"/>
  <c r="I263" i="23"/>
  <c r="I163" i="23"/>
  <c r="J163" i="23"/>
  <c r="J347" i="23"/>
  <c r="I347" i="23"/>
  <c r="I328" i="23"/>
  <c r="J328" i="23"/>
  <c r="I65" i="23"/>
  <c r="J65" i="23"/>
  <c r="J280" i="23"/>
  <c r="I280" i="23"/>
  <c r="I165" i="23"/>
  <c r="J165" i="23"/>
  <c r="I130" i="23"/>
  <c r="J130" i="23"/>
  <c r="J335" i="23"/>
  <c r="I335" i="23"/>
  <c r="J110" i="23"/>
  <c r="I110" i="23"/>
  <c r="I343" i="23"/>
  <c r="J343" i="23"/>
  <c r="J142" i="23"/>
  <c r="I142" i="23"/>
  <c r="J41" i="23"/>
  <c r="I41" i="23"/>
  <c r="J367" i="23"/>
  <c r="I367" i="23"/>
  <c r="I36" i="23"/>
  <c r="J36" i="23"/>
  <c r="J288" i="23"/>
  <c r="I288" i="23"/>
  <c r="I25" i="23"/>
  <c r="J25" i="23"/>
  <c r="J37" i="23"/>
  <c r="I37" i="23"/>
  <c r="J281" i="23"/>
  <c r="I281" i="23"/>
  <c r="I160" i="23"/>
  <c r="J160" i="23"/>
  <c r="I353" i="23"/>
  <c r="J353" i="23"/>
  <c r="I238" i="23"/>
  <c r="J238" i="23"/>
  <c r="J340" i="23"/>
  <c r="I340" i="23"/>
  <c r="J267" i="23"/>
  <c r="I267" i="23"/>
  <c r="I286" i="23"/>
  <c r="J286" i="23"/>
  <c r="I303" i="23"/>
  <c r="J303" i="23"/>
  <c r="J30" i="23"/>
  <c r="I30" i="23"/>
  <c r="I359" i="23"/>
  <c r="J359" i="23"/>
  <c r="I274" i="23"/>
  <c r="J274" i="23"/>
  <c r="J321" i="23"/>
  <c r="I321" i="23"/>
  <c r="J28" i="23"/>
  <c r="I28" i="23"/>
  <c r="J329" i="23"/>
  <c r="I329" i="23"/>
  <c r="J70" i="23"/>
  <c r="I70" i="23"/>
  <c r="J77" i="23"/>
  <c r="I77" i="23"/>
  <c r="J256" i="23"/>
  <c r="I256" i="23"/>
  <c r="I323" i="23"/>
  <c r="J323" i="23"/>
  <c r="J178" i="23"/>
  <c r="I178" i="23"/>
  <c r="J17" i="23"/>
  <c r="I17" i="23"/>
  <c r="I134" i="23"/>
  <c r="J134" i="23"/>
  <c r="J147" i="23"/>
  <c r="I147" i="23"/>
  <c r="J311" i="23"/>
  <c r="I311" i="23"/>
  <c r="I63" i="23"/>
  <c r="J63" i="23"/>
  <c r="I47" i="23"/>
  <c r="J47" i="23"/>
  <c r="J306" i="23"/>
  <c r="I306" i="23"/>
  <c r="J80" i="23"/>
  <c r="I80" i="23"/>
  <c r="I354" i="23"/>
  <c r="J354" i="23"/>
  <c r="J62" i="23"/>
  <c r="I62" i="23"/>
  <c r="J251" i="23" l="1"/>
  <c r="I339" i="23"/>
  <c r="I94" i="23"/>
  <c r="I145" i="23"/>
  <c r="I254" i="23"/>
  <c r="I208" i="23"/>
  <c r="I52" i="23"/>
  <c r="I98" i="23"/>
  <c r="I179" i="23"/>
  <c r="J90" i="23"/>
  <c r="D16" i="24"/>
  <c r="E16" i="24" s="1"/>
  <c r="F16" i="24" s="1"/>
  <c r="G16" i="24" s="1"/>
  <c r="CE16" i="6" s="1"/>
  <c r="I262" i="23"/>
  <c r="H262" i="24" s="1"/>
  <c r="I231" i="23"/>
  <c r="I136" i="23"/>
  <c r="H136" i="24" s="1"/>
  <c r="I148" i="23"/>
  <c r="J301" i="23"/>
  <c r="W330" i="24"/>
  <c r="P127" i="24"/>
  <c r="V127" i="24" s="1"/>
  <c r="B127" i="24" s="1"/>
  <c r="D127" i="24" s="1"/>
  <c r="E127" i="24" s="1"/>
  <c r="F127" i="24" s="1"/>
  <c r="H127" i="24" s="1"/>
  <c r="P230" i="24"/>
  <c r="V230" i="24" s="1"/>
  <c r="B230" i="24" s="1"/>
  <c r="D230" i="24" s="1"/>
  <c r="E230" i="24" s="1"/>
  <c r="F230" i="24" s="1"/>
  <c r="H230" i="24" s="1"/>
  <c r="P48" i="24"/>
  <c r="V48" i="24" s="1"/>
  <c r="B48" i="24" s="1"/>
  <c r="D48" i="24" s="1"/>
  <c r="E48" i="24" s="1"/>
  <c r="F48" i="24" s="1"/>
  <c r="G48" i="24" s="1"/>
  <c r="CE48" i="6" s="1"/>
  <c r="I101" i="23"/>
  <c r="I255" i="23"/>
  <c r="P298" i="24"/>
  <c r="V298" i="24" s="1"/>
  <c r="B298" i="24" s="1"/>
  <c r="W298" i="24" s="1"/>
  <c r="P54" i="24"/>
  <c r="V54" i="24" s="1"/>
  <c r="B54" i="24" s="1"/>
  <c r="W54" i="24" s="1"/>
  <c r="P304" i="24"/>
  <c r="V304" i="24" s="1"/>
  <c r="B304" i="24" s="1"/>
  <c r="W304" i="24" s="1"/>
  <c r="P156" i="24"/>
  <c r="V156" i="24" s="1"/>
  <c r="B156" i="24" s="1"/>
  <c r="W156" i="24" s="1"/>
  <c r="P214" i="24"/>
  <c r="V214" i="24" s="1"/>
  <c r="B214" i="24" s="1"/>
  <c r="W214" i="24" s="1"/>
  <c r="P299" i="24"/>
  <c r="V299" i="24" s="1"/>
  <c r="B299" i="24" s="1"/>
  <c r="W299" i="24" s="1"/>
  <c r="P40" i="24"/>
  <c r="V40" i="24" s="1"/>
  <c r="B40" i="24" s="1"/>
  <c r="D40" i="24" s="1"/>
  <c r="E40" i="24" s="1"/>
  <c r="F40" i="24" s="1"/>
  <c r="G40" i="24" s="1"/>
  <c r="CE40" i="6" s="1"/>
  <c r="P249" i="24"/>
  <c r="V249" i="24" s="1"/>
  <c r="B249" i="24" s="1"/>
  <c r="D249" i="24" s="1"/>
  <c r="E249" i="24" s="1"/>
  <c r="F249" i="24" s="1"/>
  <c r="G249" i="24" s="1"/>
  <c r="CE249" i="6" s="1"/>
  <c r="P67" i="24"/>
  <c r="V67" i="24" s="1"/>
  <c r="B67" i="24" s="1"/>
  <c r="W67" i="24" s="1"/>
  <c r="P37" i="24"/>
  <c r="V37" i="24" s="1"/>
  <c r="B37" i="24" s="1"/>
  <c r="D37" i="24" s="1"/>
  <c r="E37" i="24" s="1"/>
  <c r="F37" i="24" s="1"/>
  <c r="G37" i="24" s="1"/>
  <c r="CE37" i="6" s="1"/>
  <c r="P335" i="24"/>
  <c r="V335" i="24" s="1"/>
  <c r="B335" i="24" s="1"/>
  <c r="W335" i="24" s="1"/>
  <c r="P87" i="24"/>
  <c r="V87" i="24" s="1"/>
  <c r="B87" i="24" s="1"/>
  <c r="D87" i="24" s="1"/>
  <c r="E87" i="24" s="1"/>
  <c r="F87" i="24" s="1"/>
  <c r="G87" i="24" s="1"/>
  <c r="CE87" i="6" s="1"/>
  <c r="P26" i="24"/>
  <c r="V26" i="24" s="1"/>
  <c r="B26" i="24" s="1"/>
  <c r="D26" i="24" s="1"/>
  <c r="E26" i="24" s="1"/>
  <c r="F26" i="24" s="1"/>
  <c r="H26" i="24" s="1"/>
  <c r="P92" i="24"/>
  <c r="V92" i="24" s="1"/>
  <c r="B92" i="24" s="1"/>
  <c r="D92" i="24" s="1"/>
  <c r="E92" i="24" s="1"/>
  <c r="F92" i="24" s="1"/>
  <c r="G92" i="24" s="1"/>
  <c r="CE92" i="6" s="1"/>
  <c r="P98" i="24"/>
  <c r="V98" i="24" s="1"/>
  <c r="B98" i="24" s="1"/>
  <c r="D98" i="24" s="1"/>
  <c r="E98" i="24" s="1"/>
  <c r="F98" i="24" s="1"/>
  <c r="G98" i="24" s="1"/>
  <c r="CE98" i="6" s="1"/>
  <c r="P55" i="24"/>
  <c r="V55" i="24" s="1"/>
  <c r="B55" i="24" s="1"/>
  <c r="D55" i="24" s="1"/>
  <c r="E55" i="24" s="1"/>
  <c r="F55" i="24" s="1"/>
  <c r="G55" i="24" s="1"/>
  <c r="CE55" i="6" s="1"/>
  <c r="P351" i="24"/>
  <c r="V351" i="24" s="1"/>
  <c r="B351" i="24" s="1"/>
  <c r="D351" i="24" s="1"/>
  <c r="E351" i="24" s="1"/>
  <c r="F351" i="24" s="1"/>
  <c r="G351" i="24" s="1"/>
  <c r="CE351" i="6" s="1"/>
  <c r="P35" i="24"/>
  <c r="V35" i="24" s="1"/>
  <c r="B35" i="24" s="1"/>
  <c r="W35" i="24" s="1"/>
  <c r="P47" i="24"/>
  <c r="V47" i="24" s="1"/>
  <c r="B47" i="24" s="1"/>
  <c r="D47" i="24" s="1"/>
  <c r="E47" i="24" s="1"/>
  <c r="F47" i="24" s="1"/>
  <c r="G47" i="24" s="1"/>
  <c r="CE47" i="6" s="1"/>
  <c r="P293" i="24"/>
  <c r="V293" i="24" s="1"/>
  <c r="B293" i="24" s="1"/>
  <c r="W293" i="24" s="1"/>
  <c r="P173" i="24"/>
  <c r="V173" i="24" s="1"/>
  <c r="B173" i="24" s="1"/>
  <c r="W173" i="24" s="1"/>
  <c r="P314" i="24"/>
  <c r="V314" i="24" s="1"/>
  <c r="B314" i="24" s="1"/>
  <c r="D314" i="24" s="1"/>
  <c r="E314" i="24" s="1"/>
  <c r="F314" i="24" s="1"/>
  <c r="G314" i="24" s="1"/>
  <c r="CE314" i="6" s="1"/>
  <c r="P203" i="24"/>
  <c r="V203" i="24" s="1"/>
  <c r="B203" i="24" s="1"/>
  <c r="W203" i="24" s="1"/>
  <c r="P42" i="24"/>
  <c r="V42" i="24" s="1"/>
  <c r="B42" i="24" s="1"/>
  <c r="D42" i="24" s="1"/>
  <c r="E42" i="24" s="1"/>
  <c r="F42" i="24" s="1"/>
  <c r="H42" i="24" s="1"/>
  <c r="P125" i="24"/>
  <c r="V125" i="24" s="1"/>
  <c r="B125" i="24" s="1"/>
  <c r="D125" i="24" s="1"/>
  <c r="E125" i="24" s="1"/>
  <c r="F125" i="24" s="1"/>
  <c r="G125" i="24" s="1"/>
  <c r="CE125" i="6" s="1"/>
  <c r="P159" i="24"/>
  <c r="V159" i="24" s="1"/>
  <c r="B159" i="24" s="1"/>
  <c r="D159" i="24" s="1"/>
  <c r="E159" i="24" s="1"/>
  <c r="F159" i="24" s="1"/>
  <c r="H159" i="24" s="1"/>
  <c r="P147" i="24"/>
  <c r="V147" i="24" s="1"/>
  <c r="B147" i="24" s="1"/>
  <c r="W147" i="24" s="1"/>
  <c r="P84" i="24"/>
  <c r="V84" i="24" s="1"/>
  <c r="B84" i="24" s="1"/>
  <c r="W84" i="24" s="1"/>
  <c r="P169" i="24"/>
  <c r="V169" i="24" s="1"/>
  <c r="B169" i="24" s="1"/>
  <c r="W169" i="24" s="1"/>
  <c r="P179" i="24"/>
  <c r="V179" i="24" s="1"/>
  <c r="B179" i="24" s="1"/>
  <c r="W179" i="24" s="1"/>
  <c r="P112" i="24"/>
  <c r="V112" i="24" s="1"/>
  <c r="B112" i="24" s="1"/>
  <c r="D112" i="24" s="1"/>
  <c r="E112" i="24" s="1"/>
  <c r="F112" i="24" s="1"/>
  <c r="H112" i="24" s="1"/>
  <c r="P302" i="24"/>
  <c r="V302" i="24" s="1"/>
  <c r="B302" i="24" s="1"/>
  <c r="W302" i="24" s="1"/>
  <c r="P234" i="24"/>
  <c r="V234" i="24" s="1"/>
  <c r="B234" i="24" s="1"/>
  <c r="W234" i="24" s="1"/>
  <c r="P243" i="24"/>
  <c r="V243" i="24" s="1"/>
  <c r="B243" i="24" s="1"/>
  <c r="D243" i="24" s="1"/>
  <c r="E243" i="24" s="1"/>
  <c r="F243" i="24" s="1"/>
  <c r="H243" i="24" s="1"/>
  <c r="P162" i="24"/>
  <c r="V162" i="24" s="1"/>
  <c r="B162" i="24" s="1"/>
  <c r="D162" i="24" s="1"/>
  <c r="E162" i="24" s="1"/>
  <c r="F162" i="24" s="1"/>
  <c r="H162" i="24" s="1"/>
  <c r="P65" i="24"/>
  <c r="V65" i="24" s="1"/>
  <c r="B65" i="24" s="1"/>
  <c r="D65" i="24" s="1"/>
  <c r="E65" i="24" s="1"/>
  <c r="F65" i="24" s="1"/>
  <c r="G65" i="24" s="1"/>
  <c r="CE65" i="6" s="1"/>
  <c r="P208" i="24"/>
  <c r="V208" i="24" s="1"/>
  <c r="B208" i="24" s="1"/>
  <c r="W208" i="24" s="1"/>
  <c r="P143" i="24"/>
  <c r="V143" i="24" s="1"/>
  <c r="B143" i="24" s="1"/>
  <c r="D143" i="24" s="1"/>
  <c r="E143" i="24" s="1"/>
  <c r="F143" i="24" s="1"/>
  <c r="H143" i="24" s="1"/>
  <c r="P270" i="24"/>
  <c r="V270" i="24" s="1"/>
  <c r="B270" i="24" s="1"/>
  <c r="W270" i="24" s="1"/>
  <c r="P128" i="24"/>
  <c r="V128" i="24" s="1"/>
  <c r="B128" i="24" s="1"/>
  <c r="D128" i="24" s="1"/>
  <c r="E128" i="24" s="1"/>
  <c r="F128" i="24" s="1"/>
  <c r="H128" i="24" s="1"/>
  <c r="P74" i="24"/>
  <c r="V74" i="24" s="1"/>
  <c r="B74" i="24" s="1"/>
  <c r="D74" i="24" s="1"/>
  <c r="E74" i="24" s="1"/>
  <c r="F74" i="24" s="1"/>
  <c r="G74" i="24" s="1"/>
  <c r="CE74" i="6" s="1"/>
  <c r="P352" i="24"/>
  <c r="V352" i="24" s="1"/>
  <c r="B352" i="24" s="1"/>
  <c r="D352" i="24" s="1"/>
  <c r="E352" i="24" s="1"/>
  <c r="F352" i="24" s="1"/>
  <c r="H352" i="24" s="1"/>
  <c r="P205" i="24"/>
  <c r="V205" i="24" s="1"/>
  <c r="B205" i="24" s="1"/>
  <c r="D205" i="24" s="1"/>
  <c r="E205" i="24" s="1"/>
  <c r="F205" i="24" s="1"/>
  <c r="H205" i="24" s="1"/>
  <c r="P68" i="24"/>
  <c r="V68" i="24" s="1"/>
  <c r="B68" i="24" s="1"/>
  <c r="W68" i="24" s="1"/>
  <c r="P286" i="24"/>
  <c r="V286" i="24" s="1"/>
  <c r="B286" i="24" s="1"/>
  <c r="W286" i="24" s="1"/>
  <c r="P300" i="24"/>
  <c r="V300" i="24" s="1"/>
  <c r="B300" i="24" s="1"/>
  <c r="W300" i="24" s="1"/>
  <c r="P320" i="24"/>
  <c r="V320" i="24" s="1"/>
  <c r="B320" i="24" s="1"/>
  <c r="D320" i="24" s="1"/>
  <c r="E320" i="24" s="1"/>
  <c r="F320" i="24" s="1"/>
  <c r="H320" i="24" s="1"/>
  <c r="J48" i="23"/>
  <c r="P121" i="24"/>
  <c r="V121" i="24" s="1"/>
  <c r="B121" i="24" s="1"/>
  <c r="W121" i="24" s="1"/>
  <c r="P73" i="24"/>
  <c r="V73" i="24" s="1"/>
  <c r="B73" i="24" s="1"/>
  <c r="D73" i="24" s="1"/>
  <c r="E73" i="24" s="1"/>
  <c r="F73" i="24" s="1"/>
  <c r="G73" i="24" s="1"/>
  <c r="CE73" i="6" s="1"/>
  <c r="P360" i="24"/>
  <c r="V360" i="24" s="1"/>
  <c r="B360" i="24" s="1"/>
  <c r="D360" i="24" s="1"/>
  <c r="E360" i="24" s="1"/>
  <c r="F360" i="24" s="1"/>
  <c r="G360" i="24" s="1"/>
  <c r="CE360" i="6" s="1"/>
  <c r="U381" i="24"/>
  <c r="P123" i="24"/>
  <c r="V123" i="24" s="1"/>
  <c r="B123" i="24" s="1"/>
  <c r="D123" i="24" s="1"/>
  <c r="E123" i="24" s="1"/>
  <c r="F123" i="24" s="1"/>
  <c r="G123" i="24" s="1"/>
  <c r="CE123" i="6" s="1"/>
  <c r="P289" i="24"/>
  <c r="V289" i="24" s="1"/>
  <c r="B289" i="24" s="1"/>
  <c r="W289" i="24" s="1"/>
  <c r="P198" i="24"/>
  <c r="V198" i="24" s="1"/>
  <c r="B198" i="24" s="1"/>
  <c r="D198" i="24" s="1"/>
  <c r="E198" i="24" s="1"/>
  <c r="F198" i="24" s="1"/>
  <c r="G198" i="24" s="1"/>
  <c r="CE198" i="6" s="1"/>
  <c r="P89" i="24"/>
  <c r="V89" i="24" s="1"/>
  <c r="B89" i="24" s="1"/>
  <c r="W89" i="24" s="1"/>
  <c r="P101" i="24"/>
  <c r="V101" i="24" s="1"/>
  <c r="B101" i="24" s="1"/>
  <c r="W101" i="24" s="1"/>
  <c r="P357" i="24"/>
  <c r="V357" i="24" s="1"/>
  <c r="B357" i="24" s="1"/>
  <c r="W357" i="24" s="1"/>
  <c r="P276" i="24"/>
  <c r="V276" i="24" s="1"/>
  <c r="B276" i="24" s="1"/>
  <c r="D276" i="24" s="1"/>
  <c r="E276" i="24" s="1"/>
  <c r="F276" i="24" s="1"/>
  <c r="H276" i="24" s="1"/>
  <c r="P227" i="24"/>
  <c r="V227" i="24" s="1"/>
  <c r="B227" i="24" s="1"/>
  <c r="W227" i="24" s="1"/>
  <c r="P196" i="24"/>
  <c r="V196" i="24" s="1"/>
  <c r="B196" i="24" s="1"/>
  <c r="D196" i="24" s="1"/>
  <c r="E196" i="24" s="1"/>
  <c r="F196" i="24" s="1"/>
  <c r="G196" i="24" s="1"/>
  <c r="CE196" i="6" s="1"/>
  <c r="P178" i="24"/>
  <c r="V178" i="24" s="1"/>
  <c r="B178" i="24" s="1"/>
  <c r="W178" i="24" s="1"/>
  <c r="P247" i="24"/>
  <c r="V247" i="24" s="1"/>
  <c r="B247" i="24" s="1"/>
  <c r="D247" i="24" s="1"/>
  <c r="E247" i="24" s="1"/>
  <c r="F247" i="24" s="1"/>
  <c r="H247" i="24" s="1"/>
  <c r="P102" i="24"/>
  <c r="V102" i="24" s="1"/>
  <c r="B102" i="24" s="1"/>
  <c r="W102" i="24" s="1"/>
  <c r="P363" i="24"/>
  <c r="V363" i="24" s="1"/>
  <c r="B363" i="24" s="1"/>
  <c r="P366" i="24"/>
  <c r="V366" i="24" s="1"/>
  <c r="B366" i="24" s="1"/>
  <c r="D366" i="24" s="1"/>
  <c r="E366" i="24" s="1"/>
  <c r="F366" i="24" s="1"/>
  <c r="G366" i="24" s="1"/>
  <c r="CE366" i="6" s="1"/>
  <c r="P138" i="24"/>
  <c r="V138" i="24" s="1"/>
  <c r="B138" i="24" s="1"/>
  <c r="W138" i="24" s="1"/>
  <c r="P324" i="24"/>
  <c r="V324" i="24" s="1"/>
  <c r="B324" i="24" s="1"/>
  <c r="W324" i="24" s="1"/>
  <c r="P271" i="24"/>
  <c r="V271" i="24" s="1"/>
  <c r="B271" i="24" s="1"/>
  <c r="D271" i="24" s="1"/>
  <c r="E271" i="24" s="1"/>
  <c r="F271" i="24" s="1"/>
  <c r="H271" i="24" s="1"/>
  <c r="P204" i="24"/>
  <c r="V204" i="24" s="1"/>
  <c r="B204" i="24" s="1"/>
  <c r="W204" i="24" s="1"/>
  <c r="P177" i="24"/>
  <c r="V177" i="24" s="1"/>
  <c r="B177" i="24" s="1"/>
  <c r="W177" i="24" s="1"/>
  <c r="P250" i="24"/>
  <c r="V250" i="24" s="1"/>
  <c r="B250" i="24" s="1"/>
  <c r="D250" i="24" s="1"/>
  <c r="E250" i="24" s="1"/>
  <c r="F250" i="24" s="1"/>
  <c r="G250" i="24" s="1"/>
  <c r="CE250" i="6" s="1"/>
  <c r="P265" i="24"/>
  <c r="V265" i="24" s="1"/>
  <c r="B265" i="24" s="1"/>
  <c r="W265" i="24" s="1"/>
  <c r="P350" i="24"/>
  <c r="V350" i="24" s="1"/>
  <c r="B350" i="24" s="1"/>
  <c r="D350" i="24" s="1"/>
  <c r="E350" i="24" s="1"/>
  <c r="F350" i="24" s="1"/>
  <c r="H350" i="24" s="1"/>
  <c r="P339" i="24"/>
  <c r="V339" i="24" s="1"/>
  <c r="B339" i="24" s="1"/>
  <c r="W339" i="24" s="1"/>
  <c r="P145" i="24"/>
  <c r="V145" i="24" s="1"/>
  <c r="B145" i="24" s="1"/>
  <c r="W145" i="24" s="1"/>
  <c r="P96" i="24"/>
  <c r="V96" i="24" s="1"/>
  <c r="B96" i="24" s="1"/>
  <c r="W96" i="24" s="1"/>
  <c r="P199" i="24"/>
  <c r="V199" i="24" s="1"/>
  <c r="B199" i="24" s="1"/>
  <c r="D199" i="24" s="1"/>
  <c r="E199" i="24" s="1"/>
  <c r="F199" i="24" s="1"/>
  <c r="H199" i="24" s="1"/>
  <c r="P221" i="24"/>
  <c r="V221" i="24" s="1"/>
  <c r="B221" i="24" s="1"/>
  <c r="D221" i="24" s="1"/>
  <c r="E221" i="24" s="1"/>
  <c r="F221" i="24" s="1"/>
  <c r="H221" i="24" s="1"/>
  <c r="P368" i="24"/>
  <c r="V368" i="24" s="1"/>
  <c r="B368" i="24" s="1"/>
  <c r="D368" i="24" s="1"/>
  <c r="E368" i="24" s="1"/>
  <c r="F368" i="24" s="1"/>
  <c r="G368" i="24" s="1"/>
  <c r="CE368" i="6" s="1"/>
  <c r="P251" i="24"/>
  <c r="V251" i="24" s="1"/>
  <c r="B251" i="24" s="1"/>
  <c r="D251" i="24" s="1"/>
  <c r="E251" i="24" s="1"/>
  <c r="F251" i="24" s="1"/>
  <c r="G251" i="24" s="1"/>
  <c r="CE251" i="6" s="1"/>
  <c r="P154" i="24"/>
  <c r="V154" i="24" s="1"/>
  <c r="B154" i="24" s="1"/>
  <c r="D154" i="24" s="1"/>
  <c r="E154" i="24" s="1"/>
  <c r="F154" i="24" s="1"/>
  <c r="G154" i="24" s="1"/>
  <c r="CE154" i="6" s="1"/>
  <c r="P284" i="24"/>
  <c r="V284" i="24" s="1"/>
  <c r="B284" i="24" s="1"/>
  <c r="D284" i="24" s="1"/>
  <c r="E284" i="24" s="1"/>
  <c r="F284" i="24" s="1"/>
  <c r="H284" i="24" s="1"/>
  <c r="P77" i="24"/>
  <c r="V77" i="24" s="1"/>
  <c r="B77" i="24" s="1"/>
  <c r="W77" i="24" s="1"/>
  <c r="P290" i="24"/>
  <c r="V290" i="24" s="1"/>
  <c r="B290" i="24" s="1"/>
  <c r="D290" i="24" s="1"/>
  <c r="E290" i="24" s="1"/>
  <c r="F290" i="24" s="1"/>
  <c r="H290" i="24" s="1"/>
  <c r="P71" i="24"/>
  <c r="V71" i="24" s="1"/>
  <c r="B71" i="24" s="1"/>
  <c r="W71" i="24" s="1"/>
  <c r="P220" i="24"/>
  <c r="V220" i="24" s="1"/>
  <c r="B220" i="24" s="1"/>
  <c r="W220" i="24" s="1"/>
  <c r="P110" i="24"/>
  <c r="V110" i="24" s="1"/>
  <c r="B110" i="24" s="1"/>
  <c r="W110" i="24" s="1"/>
  <c r="I253" i="23"/>
  <c r="H253" i="24" s="1"/>
  <c r="I309" i="23"/>
  <c r="H309" i="24" s="1"/>
  <c r="J297" i="23"/>
  <c r="J358" i="23"/>
  <c r="J112" i="23"/>
  <c r="I169" i="23"/>
  <c r="I289" i="23"/>
  <c r="J352" i="23"/>
  <c r="J81" i="23"/>
  <c r="I314" i="23"/>
  <c r="H314" i="24" s="1"/>
  <c r="J66" i="23"/>
  <c r="I278" i="23"/>
  <c r="I83" i="23"/>
  <c r="H83" i="24" s="1"/>
  <c r="J214" i="23"/>
  <c r="I158" i="23"/>
  <c r="J58" i="23"/>
  <c r="I116" i="23"/>
  <c r="H116" i="24" s="1"/>
  <c r="I116" i="24" s="1"/>
  <c r="I269" i="23"/>
  <c r="I71" i="23"/>
  <c r="J64" i="23"/>
  <c r="J201" i="23"/>
  <c r="I86" i="23"/>
  <c r="I225" i="23"/>
  <c r="J206" i="23"/>
  <c r="J22" i="23"/>
  <c r="J38" i="23"/>
  <c r="I104" i="23"/>
  <c r="I95" i="23"/>
  <c r="J168" i="23"/>
  <c r="I126" i="23"/>
  <c r="H126" i="24" s="1"/>
  <c r="I103" i="23"/>
  <c r="H103" i="24" s="1"/>
  <c r="I264" i="23"/>
  <c r="I369" i="23"/>
  <c r="I375" i="23"/>
  <c r="J127" i="23"/>
  <c r="J106" i="23"/>
  <c r="J308" i="23"/>
  <c r="I172" i="23"/>
  <c r="H172" i="24" s="1"/>
  <c r="J67" i="23"/>
  <c r="J239" i="23"/>
  <c r="I21" i="23"/>
  <c r="J24" i="23"/>
  <c r="P119" i="24"/>
  <c r="AA60" i="23"/>
  <c r="Z60" i="23" s="1"/>
  <c r="Y60" i="23" s="1"/>
  <c r="E15" i="19"/>
  <c r="D31" i="19"/>
  <c r="I374" i="23"/>
  <c r="J151" i="23"/>
  <c r="I356" i="23"/>
  <c r="H356" i="24" s="1"/>
  <c r="I186" i="23"/>
  <c r="AE382" i="24"/>
  <c r="J75" i="23"/>
  <c r="I249" i="23"/>
  <c r="J337" i="23"/>
  <c r="J360" i="23"/>
  <c r="J120" i="23"/>
  <c r="I39" i="23"/>
  <c r="H39" i="24" s="1"/>
  <c r="D22" i="24"/>
  <c r="E22" i="24" s="1"/>
  <c r="F22" i="24" s="1"/>
  <c r="G22" i="24" s="1"/>
  <c r="CE22" i="6" s="1"/>
  <c r="J229" i="23"/>
  <c r="J164" i="23"/>
  <c r="J355" i="23"/>
  <c r="D62" i="24"/>
  <c r="E62" i="24" s="1"/>
  <c r="F62" i="24" s="1"/>
  <c r="G62" i="24" s="1"/>
  <c r="CE62" i="6" s="1"/>
  <c r="W103" i="24"/>
  <c r="D28" i="24"/>
  <c r="E28" i="24" s="1"/>
  <c r="F28" i="24" s="1"/>
  <c r="H28" i="24" s="1"/>
  <c r="D129" i="24"/>
  <c r="E129" i="24" s="1"/>
  <c r="F129" i="24" s="1"/>
  <c r="H129" i="24" s="1"/>
  <c r="I129" i="24" s="1"/>
  <c r="D296" i="24"/>
  <c r="E296" i="24" s="1"/>
  <c r="F296" i="24" s="1"/>
  <c r="H296" i="24" s="1"/>
  <c r="W53" i="24"/>
  <c r="J223" i="23"/>
  <c r="I175" i="23"/>
  <c r="W100" i="24"/>
  <c r="W321" i="24"/>
  <c r="AH63" i="7"/>
  <c r="D345" i="24"/>
  <c r="E345" i="24" s="1"/>
  <c r="F345" i="24" s="1"/>
  <c r="H345" i="24" s="1"/>
  <c r="D194" i="24"/>
  <c r="E194" i="24" s="1"/>
  <c r="F194" i="24" s="1"/>
  <c r="G194" i="24" s="1"/>
  <c r="CE194" i="6" s="1"/>
  <c r="D52" i="24"/>
  <c r="E52" i="24" s="1"/>
  <c r="F52" i="24" s="1"/>
  <c r="G52" i="24" s="1"/>
  <c r="CE52" i="6" s="1"/>
  <c r="W267" i="24"/>
  <c r="W211" i="24"/>
  <c r="D269" i="24"/>
  <c r="E269" i="24" s="1"/>
  <c r="F269" i="24" s="1"/>
  <c r="G269" i="24" s="1"/>
  <c r="CE269" i="6" s="1"/>
  <c r="D131" i="24"/>
  <c r="E131" i="24" s="1"/>
  <c r="F131" i="24" s="1"/>
  <c r="H131" i="24" s="1"/>
  <c r="D254" i="24"/>
  <c r="E254" i="24" s="1"/>
  <c r="F254" i="24" s="1"/>
  <c r="H254" i="24" s="1"/>
  <c r="D316" i="24"/>
  <c r="E316" i="24" s="1"/>
  <c r="F316" i="24" s="1"/>
  <c r="H316" i="24" s="1"/>
  <c r="D106" i="24"/>
  <c r="E106" i="24" s="1"/>
  <c r="F106" i="24" s="1"/>
  <c r="G106" i="24" s="1"/>
  <c r="CE106" i="6" s="1"/>
  <c r="D183" i="24"/>
  <c r="E183" i="24" s="1"/>
  <c r="F183" i="24" s="1"/>
  <c r="H183" i="24" s="1"/>
  <c r="D369" i="24"/>
  <c r="E369" i="24" s="1"/>
  <c r="F369" i="24" s="1"/>
  <c r="D113" i="24"/>
  <c r="E113" i="24" s="1"/>
  <c r="F113" i="24" s="1"/>
  <c r="H113" i="24" s="1"/>
  <c r="W282" i="24"/>
  <c r="W157" i="24"/>
  <c r="W312" i="24"/>
  <c r="I92" i="23"/>
  <c r="D72" i="24"/>
  <c r="E72" i="24" s="1"/>
  <c r="F72" i="24" s="1"/>
  <c r="H72" i="24" s="1"/>
  <c r="W341" i="24"/>
  <c r="D231" i="24"/>
  <c r="E231" i="24" s="1"/>
  <c r="F231" i="24" s="1"/>
  <c r="H231" i="24" s="1"/>
  <c r="W277" i="24"/>
  <c r="W237" i="24"/>
  <c r="D202" i="24"/>
  <c r="E202" i="24" s="1"/>
  <c r="F202" i="24" s="1"/>
  <c r="H202" i="24" s="1"/>
  <c r="W362" i="24"/>
  <c r="D97" i="24"/>
  <c r="E97" i="24" s="1"/>
  <c r="F97" i="24" s="1"/>
  <c r="G97" i="24" s="1"/>
  <c r="CE97" i="6" s="1"/>
  <c r="W337" i="24"/>
  <c r="D317" i="24"/>
  <c r="E317" i="24" s="1"/>
  <c r="F317" i="24" s="1"/>
  <c r="G317" i="24" s="1"/>
  <c r="CE317" i="6" s="1"/>
  <c r="W303" i="24"/>
  <c r="W141" i="24"/>
  <c r="D59" i="24"/>
  <c r="E59" i="24" s="1"/>
  <c r="F59" i="24" s="1"/>
  <c r="H59" i="24" s="1"/>
  <c r="D323" i="24"/>
  <c r="E323" i="24" s="1"/>
  <c r="F323" i="24" s="1"/>
  <c r="G323" i="24" s="1"/>
  <c r="CE323" i="6" s="1"/>
  <c r="D281" i="24"/>
  <c r="E281" i="24" s="1"/>
  <c r="F281" i="24" s="1"/>
  <c r="H281" i="24" s="1"/>
  <c r="W262" i="24"/>
  <c r="D222" i="24"/>
  <c r="E222" i="24" s="1"/>
  <c r="F222" i="24" s="1"/>
  <c r="G222" i="24" s="1"/>
  <c r="CE222" i="6" s="1"/>
  <c r="D132" i="24"/>
  <c r="E132" i="24" s="1"/>
  <c r="F132" i="24" s="1"/>
  <c r="H132" i="24" s="1"/>
  <c r="D305" i="24"/>
  <c r="E305" i="24" s="1"/>
  <c r="F305" i="24" s="1"/>
  <c r="H305" i="24" s="1"/>
  <c r="D148" i="24"/>
  <c r="E148" i="24" s="1"/>
  <c r="F148" i="24" s="1"/>
  <c r="G148" i="24" s="1"/>
  <c r="CE148" i="6" s="1"/>
  <c r="W51" i="24"/>
  <c r="W294" i="24"/>
  <c r="AH66" i="7"/>
  <c r="D58" i="24"/>
  <c r="E58" i="24" s="1"/>
  <c r="F58" i="24" s="1"/>
  <c r="H58" i="24" s="1"/>
  <c r="W325" i="24"/>
  <c r="D135" i="24"/>
  <c r="E135" i="24" s="1"/>
  <c r="F135" i="24" s="1"/>
  <c r="G135" i="24" s="1"/>
  <c r="CE135" i="6" s="1"/>
  <c r="I379" i="22"/>
  <c r="H379" i="23" s="1"/>
  <c r="J379" i="23" s="1"/>
  <c r="W109" i="24"/>
  <c r="W23" i="24"/>
  <c r="W69" i="24"/>
  <c r="D82" i="24"/>
  <c r="E82" i="24" s="1"/>
  <c r="F82" i="24" s="1"/>
  <c r="G82" i="24" s="1"/>
  <c r="CE82" i="6" s="1"/>
  <c r="D239" i="24"/>
  <c r="E239" i="24" s="1"/>
  <c r="F239" i="24" s="1"/>
  <c r="G239" i="24" s="1"/>
  <c r="CE239" i="6" s="1"/>
  <c r="W57" i="24"/>
  <c r="D258" i="24"/>
  <c r="E258" i="24" s="1"/>
  <c r="F258" i="24" s="1"/>
  <c r="G258" i="24" s="1"/>
  <c r="CE258" i="6" s="1"/>
  <c r="D374" i="24"/>
  <c r="E374" i="24" s="1"/>
  <c r="F374" i="24" s="1"/>
  <c r="H374" i="24" s="1"/>
  <c r="D217" i="24"/>
  <c r="E217" i="24" s="1"/>
  <c r="F217" i="24" s="1"/>
  <c r="G217" i="24" s="1"/>
  <c r="CE217" i="6" s="1"/>
  <c r="W297" i="24"/>
  <c r="W20" i="24"/>
  <c r="AH60" i="7"/>
  <c r="W378" i="24"/>
  <c r="W130" i="24"/>
  <c r="D79" i="24"/>
  <c r="E79" i="24" s="1"/>
  <c r="F79" i="24" s="1"/>
  <c r="H79" i="24" s="1"/>
  <c r="D216" i="24"/>
  <c r="E216" i="24" s="1"/>
  <c r="F216" i="24" s="1"/>
  <c r="G216" i="24" s="1"/>
  <c r="CE216" i="6" s="1"/>
  <c r="D264" i="24"/>
  <c r="E264" i="24" s="1"/>
  <c r="F264" i="24" s="1"/>
  <c r="D285" i="24"/>
  <c r="E285" i="24" s="1"/>
  <c r="F285" i="24" s="1"/>
  <c r="G285" i="24" s="1"/>
  <c r="CE285" i="6" s="1"/>
  <c r="W273" i="24"/>
  <c r="W376" i="24"/>
  <c r="D32" i="24"/>
  <c r="E32" i="24" s="1"/>
  <c r="F32" i="24" s="1"/>
  <c r="H32" i="24" s="1"/>
  <c r="W34" i="24"/>
  <c r="D115" i="24"/>
  <c r="E115" i="24" s="1"/>
  <c r="F115" i="24" s="1"/>
  <c r="H115" i="24" s="1"/>
  <c r="J115" i="24" s="1"/>
  <c r="D373" i="24"/>
  <c r="E373" i="24" s="1"/>
  <c r="F373" i="24" s="1"/>
  <c r="G373" i="24" s="1"/>
  <c r="CE373" i="6" s="1"/>
  <c r="W184" i="24"/>
  <c r="W24" i="24"/>
  <c r="D64" i="24"/>
  <c r="E64" i="24" s="1"/>
  <c r="F64" i="24" s="1"/>
  <c r="G64" i="24" s="1"/>
  <c r="CE64" i="6" s="1"/>
  <c r="W83" i="24"/>
  <c r="D255" i="24"/>
  <c r="E255" i="24" s="1"/>
  <c r="F255" i="24" s="1"/>
  <c r="W166" i="24"/>
  <c r="D223" i="24"/>
  <c r="E223" i="24" s="1"/>
  <c r="F223" i="24" s="1"/>
  <c r="H223" i="24" s="1"/>
  <c r="D86" i="24"/>
  <c r="E86" i="24" s="1"/>
  <c r="F86" i="24" s="1"/>
  <c r="G86" i="24" s="1"/>
  <c r="CE86" i="6" s="1"/>
  <c r="D94" i="24"/>
  <c r="E94" i="24" s="1"/>
  <c r="F94" i="24" s="1"/>
  <c r="W31" i="24"/>
  <c r="W111" i="24"/>
  <c r="D46" i="24"/>
  <c r="E46" i="24" s="1"/>
  <c r="F46" i="24" s="1"/>
  <c r="G46" i="24" s="1"/>
  <c r="CE46" i="6" s="1"/>
  <c r="W17" i="24"/>
  <c r="D206" i="24"/>
  <c r="E206" i="24" s="1"/>
  <c r="F206" i="24" s="1"/>
  <c r="H206" i="24" s="1"/>
  <c r="W331" i="24"/>
  <c r="W185" i="24"/>
  <c r="D171" i="24"/>
  <c r="E171" i="24" s="1"/>
  <c r="F171" i="24" s="1"/>
  <c r="H171" i="24" s="1"/>
  <c r="W334" i="24"/>
  <c r="D329" i="24"/>
  <c r="E329" i="24" s="1"/>
  <c r="F329" i="24" s="1"/>
  <c r="G329" i="24" s="1"/>
  <c r="CE329" i="6" s="1"/>
  <c r="D375" i="24"/>
  <c r="E375" i="24" s="1"/>
  <c r="F375" i="24" s="1"/>
  <c r="G375" i="24" s="1"/>
  <c r="CE375" i="6" s="1"/>
  <c r="W76" i="24"/>
  <c r="D279" i="24"/>
  <c r="E279" i="24" s="1"/>
  <c r="F279" i="24" s="1"/>
  <c r="G279" i="24" s="1"/>
  <c r="CE279" i="6" s="1"/>
  <c r="W232" i="24"/>
  <c r="D358" i="24"/>
  <c r="E358" i="24" s="1"/>
  <c r="F358" i="24" s="1"/>
  <c r="H358" i="24" s="1"/>
  <c r="D348" i="24"/>
  <c r="E348" i="24" s="1"/>
  <c r="F348" i="24" s="1"/>
  <c r="G348" i="24" s="1"/>
  <c r="CE348" i="6" s="1"/>
  <c r="D195" i="24"/>
  <c r="E195" i="24" s="1"/>
  <c r="F195" i="24" s="1"/>
  <c r="H195" i="24" s="1"/>
  <c r="W326" i="24"/>
  <c r="W322" i="24"/>
  <c r="D43" i="24"/>
  <c r="E43" i="24" s="1"/>
  <c r="F43" i="24" s="1"/>
  <c r="H43" i="24" s="1"/>
  <c r="W377" i="24"/>
  <c r="D370" i="24"/>
  <c r="E370" i="24" s="1"/>
  <c r="F370" i="24" s="1"/>
  <c r="G370" i="24" s="1"/>
  <c r="CE370" i="6" s="1"/>
  <c r="W291" i="24"/>
  <c r="D107" i="24"/>
  <c r="E107" i="24" s="1"/>
  <c r="F107" i="24" s="1"/>
  <c r="H107" i="24" s="1"/>
  <c r="D121" i="24"/>
  <c r="E121" i="24" s="1"/>
  <c r="F121" i="24" s="1"/>
  <c r="G121" i="24" s="1"/>
  <c r="CE121" i="6" s="1"/>
  <c r="W81" i="24"/>
  <c r="W27" i="24"/>
  <c r="D240" i="24"/>
  <c r="E240" i="24" s="1"/>
  <c r="F240" i="24" s="1"/>
  <c r="H240" i="24" s="1"/>
  <c r="D361" i="24"/>
  <c r="E361" i="24" s="1"/>
  <c r="F361" i="24" s="1"/>
  <c r="G361" i="24" s="1"/>
  <c r="CE361" i="6" s="1"/>
  <c r="D18" i="24"/>
  <c r="E18" i="24" s="1"/>
  <c r="F18" i="24" s="1"/>
  <c r="H18" i="24" s="1"/>
  <c r="W318" i="24"/>
  <c r="D70" i="24"/>
  <c r="E70" i="24" s="1"/>
  <c r="F70" i="24" s="1"/>
  <c r="G70" i="24" s="1"/>
  <c r="CE70" i="6" s="1"/>
  <c r="D118" i="24"/>
  <c r="E118" i="24" s="1"/>
  <c r="F118" i="24" s="1"/>
  <c r="H118" i="24" s="1"/>
  <c r="W257" i="24"/>
  <c r="W161" i="24"/>
  <c r="W160" i="24"/>
  <c r="W263" i="24"/>
  <c r="D146" i="24"/>
  <c r="E146" i="24" s="1"/>
  <c r="F146" i="24" s="1"/>
  <c r="G146" i="24" s="1"/>
  <c r="CE146" i="6" s="1"/>
  <c r="D95" i="24"/>
  <c r="E95" i="24" s="1"/>
  <c r="F95" i="24" s="1"/>
  <c r="G95" i="24" s="1"/>
  <c r="CE95" i="6" s="1"/>
  <c r="W66" i="24"/>
  <c r="D155" i="24"/>
  <c r="E155" i="24" s="1"/>
  <c r="F155" i="24" s="1"/>
  <c r="H155" i="24" s="1"/>
  <c r="W116" i="24"/>
  <c r="D274" i="24"/>
  <c r="E274" i="24" s="1"/>
  <c r="F274" i="24" s="1"/>
  <c r="G274" i="24" s="1"/>
  <c r="CE274" i="6" s="1"/>
  <c r="W153" i="24"/>
  <c r="W356" i="24"/>
  <c r="D287" i="24"/>
  <c r="E287" i="24" s="1"/>
  <c r="F287" i="24" s="1"/>
  <c r="G287" i="24" s="1"/>
  <c r="CE287" i="6" s="1"/>
  <c r="W340" i="24"/>
  <c r="D117" i="24"/>
  <c r="E117" i="24" s="1"/>
  <c r="F117" i="24" s="1"/>
  <c r="G117" i="24" s="1"/>
  <c r="CE117" i="6" s="1"/>
  <c r="W353" i="24"/>
  <c r="V379" i="24"/>
  <c r="B379" i="24" s="1"/>
  <c r="D379" i="24" s="1"/>
  <c r="E379" i="24" s="1"/>
  <c r="F379" i="24" s="1"/>
  <c r="D43" i="19"/>
  <c r="D41" i="24"/>
  <c r="E41" i="24" s="1"/>
  <c r="F41" i="24" s="1"/>
  <c r="G41" i="24" s="1"/>
  <c r="CE41" i="6" s="1"/>
  <c r="W41" i="24"/>
  <c r="W49" i="24"/>
  <c r="D229" i="24"/>
  <c r="E229" i="24" s="1"/>
  <c r="F229" i="24" s="1"/>
  <c r="G229" i="24" s="1"/>
  <c r="CE229" i="6" s="1"/>
  <c r="W150" i="24"/>
  <c r="W226" i="24"/>
  <c r="AH56" i="7"/>
  <c r="D209" i="24"/>
  <c r="E209" i="24" s="1"/>
  <c r="F209" i="24" s="1"/>
  <c r="H209" i="24" s="1"/>
  <c r="W215" i="24"/>
  <c r="W19" i="24"/>
  <c r="D134" i="24"/>
  <c r="E134" i="24" s="1"/>
  <c r="F134" i="24" s="1"/>
  <c r="H134" i="24" s="1"/>
  <c r="D238" i="24"/>
  <c r="E238" i="24" s="1"/>
  <c r="F238" i="24" s="1"/>
  <c r="G238" i="24" s="1"/>
  <c r="CE238" i="6" s="1"/>
  <c r="W306" i="24"/>
  <c r="W327" i="24"/>
  <c r="D63" i="24"/>
  <c r="E63" i="24" s="1"/>
  <c r="F63" i="24" s="1"/>
  <c r="G63" i="24" s="1"/>
  <c r="CE63" i="6" s="1"/>
  <c r="D182" i="24"/>
  <c r="E182" i="24" s="1"/>
  <c r="F182" i="24" s="1"/>
  <c r="H182" i="24" s="1"/>
  <c r="D235" i="24"/>
  <c r="E235" i="24" s="1"/>
  <c r="F235" i="24" s="1"/>
  <c r="G235" i="24" s="1"/>
  <c r="CE235" i="6" s="1"/>
  <c r="D187" i="24"/>
  <c r="E187" i="24" s="1"/>
  <c r="F187" i="24" s="1"/>
  <c r="G187" i="24" s="1"/>
  <c r="CE187" i="6" s="1"/>
  <c r="D252" i="24"/>
  <c r="E252" i="24" s="1"/>
  <c r="F252" i="24" s="1"/>
  <c r="H252" i="24" s="1"/>
  <c r="W126" i="24"/>
  <c r="D190" i="24"/>
  <c r="E190" i="24" s="1"/>
  <c r="F190" i="24" s="1"/>
  <c r="G190" i="24" s="1"/>
  <c r="CE190" i="6" s="1"/>
  <c r="D225" i="24"/>
  <c r="E225" i="24" s="1"/>
  <c r="F225" i="24" s="1"/>
  <c r="D80" i="24"/>
  <c r="E80" i="24" s="1"/>
  <c r="F80" i="24" s="1"/>
  <c r="H80" i="24" s="1"/>
  <c r="J258" i="23"/>
  <c r="W25" i="24"/>
  <c r="D278" i="24"/>
  <c r="E278" i="24" s="1"/>
  <c r="F278" i="24" s="1"/>
  <c r="D93" i="24"/>
  <c r="E93" i="24" s="1"/>
  <c r="F93" i="24" s="1"/>
  <c r="G93" i="24" s="1"/>
  <c r="CE93" i="6" s="1"/>
  <c r="AH58" i="7"/>
  <c r="W338" i="24"/>
  <c r="D45" i="24"/>
  <c r="E45" i="24" s="1"/>
  <c r="F45" i="24" s="1"/>
  <c r="G45" i="24" s="1"/>
  <c r="CE45" i="6" s="1"/>
  <c r="D104" i="24"/>
  <c r="E104" i="24" s="1"/>
  <c r="F104" i="24" s="1"/>
  <c r="V210" i="24"/>
  <c r="D108" i="24"/>
  <c r="E108" i="24" s="1"/>
  <c r="F108" i="24" s="1"/>
  <c r="G108" i="24" s="1"/>
  <c r="CE108" i="6" s="1"/>
  <c r="D78" i="24"/>
  <c r="E78" i="24" s="1"/>
  <c r="F78" i="24" s="1"/>
  <c r="G78" i="24" s="1"/>
  <c r="CE78" i="6" s="1"/>
  <c r="D242" i="24"/>
  <c r="E242" i="24" s="1"/>
  <c r="F242" i="24" s="1"/>
  <c r="H242" i="24" s="1"/>
  <c r="W292" i="24"/>
  <c r="W170" i="24"/>
  <c r="W168" i="24"/>
  <c r="D359" i="24"/>
  <c r="E359" i="24" s="1"/>
  <c r="F359" i="24" s="1"/>
  <c r="H359" i="24" s="1"/>
  <c r="D315" i="24"/>
  <c r="E315" i="24" s="1"/>
  <c r="F315" i="24" s="1"/>
  <c r="G315" i="24" s="1"/>
  <c r="CE315" i="6" s="1"/>
  <c r="W301" i="24"/>
  <c r="D364" i="24"/>
  <c r="E364" i="24" s="1"/>
  <c r="F364" i="24" s="1"/>
  <c r="H364" i="24" s="1"/>
  <c r="V60" i="24"/>
  <c r="B60" i="24" s="1"/>
  <c r="W332" i="24"/>
  <c r="D246" i="24"/>
  <c r="E246" i="24" s="1"/>
  <c r="F246" i="24" s="1"/>
  <c r="G246" i="24" s="1"/>
  <c r="CE246" i="6" s="1"/>
  <c r="W136" i="24"/>
  <c r="D197" i="24"/>
  <c r="E197" i="24" s="1"/>
  <c r="F197" i="24" s="1"/>
  <c r="G197" i="24" s="1"/>
  <c r="CE197" i="6" s="1"/>
  <c r="V272" i="24"/>
  <c r="W372" i="24"/>
  <c r="D349" i="24"/>
  <c r="E349" i="24" s="1"/>
  <c r="F349" i="24" s="1"/>
  <c r="G349" i="24" s="1"/>
  <c r="CE349" i="6" s="1"/>
  <c r="AG379" i="23"/>
  <c r="AF379" i="23" s="1"/>
  <c r="AD379" i="23" s="1"/>
  <c r="AA379" i="23" s="1"/>
  <c r="Z379" i="23" s="1"/>
  <c r="Y379" i="23" s="1"/>
  <c r="AG15" i="23"/>
  <c r="AH383" i="23"/>
  <c r="AH382" i="23"/>
  <c r="AH381" i="23"/>
  <c r="AF381" i="22"/>
  <c r="AD15" i="22"/>
  <c r="AF383" i="22"/>
  <c r="AF382" i="22"/>
  <c r="AI32" i="24"/>
  <c r="AH32" i="24" s="1"/>
  <c r="AG32" i="24" s="1"/>
  <c r="AF32" i="24" s="1"/>
  <c r="AI202" i="24"/>
  <c r="AH202" i="24" s="1"/>
  <c r="AG202" i="24" s="1"/>
  <c r="AF202" i="24" s="1"/>
  <c r="AI340" i="24"/>
  <c r="AH340" i="24" s="1"/>
  <c r="AG340" i="24" s="1"/>
  <c r="AF340" i="24" s="1"/>
  <c r="AI141" i="24"/>
  <c r="AH141" i="24" s="1"/>
  <c r="AG141" i="24" s="1"/>
  <c r="AF141" i="24" s="1"/>
  <c r="AI279" i="24"/>
  <c r="AH279" i="24" s="1"/>
  <c r="AG279" i="24" s="1"/>
  <c r="AF279" i="24" s="1"/>
  <c r="AI52" i="24"/>
  <c r="AH52" i="24" s="1"/>
  <c r="AG52" i="24" s="1"/>
  <c r="AF52" i="24" s="1"/>
  <c r="AI273" i="24"/>
  <c r="AH273" i="24" s="1"/>
  <c r="AG273" i="24" s="1"/>
  <c r="AF273" i="24" s="1"/>
  <c r="AI135" i="24"/>
  <c r="AH135" i="24" s="1"/>
  <c r="AI358" i="24"/>
  <c r="AH358" i="24" s="1"/>
  <c r="AG358" i="24" s="1"/>
  <c r="AF358" i="24" s="1"/>
  <c r="AI226" i="24"/>
  <c r="AH226" i="24" s="1"/>
  <c r="AG226" i="24" s="1"/>
  <c r="AF226" i="24" s="1"/>
  <c r="AI88" i="24"/>
  <c r="AH88" i="24" s="1"/>
  <c r="AG88" i="24" s="1"/>
  <c r="AF88" i="24" s="1"/>
  <c r="AI307" i="24"/>
  <c r="AH307" i="24" s="1"/>
  <c r="AG307" i="24" s="1"/>
  <c r="AF307" i="24" s="1"/>
  <c r="AI300" i="24"/>
  <c r="AH300" i="24" s="1"/>
  <c r="AG300" i="24" s="1"/>
  <c r="AF300" i="24" s="1"/>
  <c r="AI85" i="24"/>
  <c r="AH85" i="24" s="1"/>
  <c r="AG85" i="24" s="1"/>
  <c r="AF85" i="24" s="1"/>
  <c r="AI223" i="24"/>
  <c r="AH223" i="24" s="1"/>
  <c r="AG223" i="24" s="1"/>
  <c r="AF223" i="24" s="1"/>
  <c r="AI377" i="24"/>
  <c r="AH377" i="24" s="1"/>
  <c r="AG377" i="24" s="1"/>
  <c r="AF377" i="24" s="1"/>
  <c r="AI158" i="24"/>
  <c r="AH158" i="24" s="1"/>
  <c r="AG158" i="24" s="1"/>
  <c r="AF158" i="24" s="1"/>
  <c r="AI175" i="24"/>
  <c r="AH175" i="24" s="1"/>
  <c r="AG175" i="24" s="1"/>
  <c r="AF175" i="24" s="1"/>
  <c r="AI37" i="24"/>
  <c r="AH37" i="24" s="1"/>
  <c r="AI252" i="24"/>
  <c r="AH252" i="24" s="1"/>
  <c r="AG252" i="24" s="1"/>
  <c r="AF252" i="24" s="1"/>
  <c r="AI128" i="24"/>
  <c r="AH128" i="24" s="1"/>
  <c r="AG128" i="24" s="1"/>
  <c r="AF128" i="24" s="1"/>
  <c r="AI347" i="24"/>
  <c r="AH347" i="24" s="1"/>
  <c r="AG347" i="24" s="1"/>
  <c r="AF347" i="24" s="1"/>
  <c r="AI201" i="24"/>
  <c r="AH201" i="24" s="1"/>
  <c r="AG201" i="24" s="1"/>
  <c r="AF201" i="24" s="1"/>
  <c r="AI45" i="24"/>
  <c r="AH45" i="24" s="1"/>
  <c r="AG45" i="24" s="1"/>
  <c r="AF45" i="24" s="1"/>
  <c r="AI183" i="24"/>
  <c r="AH183" i="24" s="1"/>
  <c r="AI321" i="24"/>
  <c r="AH321" i="24" s="1"/>
  <c r="AG321" i="24" s="1"/>
  <c r="AF321" i="24" s="1"/>
  <c r="AI118" i="24"/>
  <c r="AH118" i="24" s="1"/>
  <c r="AG118" i="24" s="1"/>
  <c r="AF118" i="24" s="1"/>
  <c r="AI264" i="24"/>
  <c r="AH264" i="24" s="1"/>
  <c r="AG264" i="24" s="1"/>
  <c r="AF264" i="24" s="1"/>
  <c r="AI33" i="24"/>
  <c r="AH33" i="24" s="1"/>
  <c r="AG33" i="24" s="1"/>
  <c r="AF33" i="24" s="1"/>
  <c r="AI292" i="24"/>
  <c r="AH292" i="24" s="1"/>
  <c r="AG292" i="24" s="1"/>
  <c r="AF292" i="24" s="1"/>
  <c r="AI154" i="24"/>
  <c r="AH154" i="24" s="1"/>
  <c r="AG154" i="24" s="1"/>
  <c r="AF154" i="24" s="1"/>
  <c r="AI15" i="24"/>
  <c r="AI241" i="24"/>
  <c r="AH241" i="24" s="1"/>
  <c r="AG241" i="24" s="1"/>
  <c r="AF241" i="24" s="1"/>
  <c r="AI103" i="24"/>
  <c r="AH103" i="24" s="1"/>
  <c r="AG103" i="24" s="1"/>
  <c r="AF103" i="24" s="1"/>
  <c r="AI326" i="24"/>
  <c r="AH326" i="24" s="1"/>
  <c r="AG326" i="24" s="1"/>
  <c r="AF326" i="24" s="1"/>
  <c r="AI281" i="24"/>
  <c r="AH281" i="24" s="1"/>
  <c r="AG281" i="24" s="1"/>
  <c r="AF281" i="24" s="1"/>
  <c r="AI62" i="24"/>
  <c r="AH62" i="24" s="1"/>
  <c r="AG62" i="24" s="1"/>
  <c r="AF62" i="24" s="1"/>
  <c r="AI208" i="24"/>
  <c r="AH208" i="24" s="1"/>
  <c r="AG208" i="24" s="1"/>
  <c r="AF208" i="24" s="1"/>
  <c r="AI362" i="24"/>
  <c r="AH362" i="24" s="1"/>
  <c r="AG362" i="24" s="1"/>
  <c r="AF362" i="24" s="1"/>
  <c r="AI139" i="24"/>
  <c r="AH139" i="24" s="1"/>
  <c r="AG139" i="24" s="1"/>
  <c r="AF139" i="24" s="1"/>
  <c r="AI194" i="24"/>
  <c r="AH194" i="24" s="1"/>
  <c r="AG194" i="24" s="1"/>
  <c r="AF194" i="24" s="1"/>
  <c r="AI56" i="24"/>
  <c r="AH56" i="24" s="1"/>
  <c r="AG56" i="24" s="1"/>
  <c r="AF56" i="24" s="1"/>
  <c r="AI275" i="24"/>
  <c r="AH275" i="24" s="1"/>
  <c r="AG275" i="24" s="1"/>
  <c r="AF275" i="24" s="1"/>
  <c r="AI143" i="24"/>
  <c r="AH143" i="24" s="1"/>
  <c r="AG143" i="24" s="1"/>
  <c r="AF143" i="24" s="1"/>
  <c r="AI366" i="24"/>
  <c r="AH366" i="24" s="1"/>
  <c r="AG366" i="24" s="1"/>
  <c r="AF366" i="24" s="1"/>
  <c r="AI220" i="24"/>
  <c r="AH220" i="24" s="1"/>
  <c r="AG220" i="24" s="1"/>
  <c r="AF220" i="24" s="1"/>
  <c r="AI22" i="24"/>
  <c r="AH22" i="24" s="1"/>
  <c r="AI168" i="24"/>
  <c r="AH168" i="24" s="1"/>
  <c r="AG168" i="24" s="1"/>
  <c r="AF168" i="24" s="1"/>
  <c r="AI306" i="24"/>
  <c r="AH306" i="24" s="1"/>
  <c r="AG306" i="24" s="1"/>
  <c r="AF306" i="24" s="1"/>
  <c r="AI99" i="24"/>
  <c r="AH99" i="24" s="1"/>
  <c r="AG99" i="24" s="1"/>
  <c r="AF99" i="24" s="1"/>
  <c r="AI245" i="24"/>
  <c r="AH245" i="24" s="1"/>
  <c r="AG245" i="24" s="1"/>
  <c r="AF245" i="24" s="1"/>
  <c r="AI96" i="24"/>
  <c r="AH96" i="24" s="1"/>
  <c r="AG96" i="24" s="1"/>
  <c r="AF96" i="24" s="1"/>
  <c r="AI315" i="24"/>
  <c r="AH315" i="24" s="1"/>
  <c r="AG315" i="24" s="1"/>
  <c r="AF315" i="24" s="1"/>
  <c r="AI169" i="24"/>
  <c r="AH169" i="24" s="1"/>
  <c r="AG169" i="24" s="1"/>
  <c r="AF169" i="24" s="1"/>
  <c r="AI368" i="24"/>
  <c r="AH368" i="24" s="1"/>
  <c r="AG368" i="24" s="1"/>
  <c r="AF368" i="24" s="1"/>
  <c r="AI260" i="24"/>
  <c r="AH260" i="24" s="1"/>
  <c r="AG260" i="24" s="1"/>
  <c r="AF260" i="24" s="1"/>
  <c r="AI122" i="24"/>
  <c r="AH122" i="24" s="1"/>
  <c r="AG122" i="24" s="1"/>
  <c r="AF122" i="24" s="1"/>
  <c r="AI349" i="24"/>
  <c r="AH349" i="24" s="1"/>
  <c r="AG349" i="24" s="1"/>
  <c r="AF349" i="24" s="1"/>
  <c r="AI266" i="24"/>
  <c r="AH266" i="24" s="1"/>
  <c r="AG266" i="24" s="1"/>
  <c r="AF266" i="24" s="1"/>
  <c r="AI43" i="24"/>
  <c r="AH43" i="24" s="1"/>
  <c r="AG43" i="24" s="1"/>
  <c r="AF43" i="24" s="1"/>
  <c r="AI205" i="24"/>
  <c r="AH205" i="24" s="1"/>
  <c r="AG205" i="24" s="1"/>
  <c r="AF205" i="24" s="1"/>
  <c r="AI343" i="24"/>
  <c r="AH343" i="24" s="1"/>
  <c r="AI116" i="24"/>
  <c r="AH116" i="24" s="1"/>
  <c r="AG116" i="24" s="1"/>
  <c r="AF116" i="24" s="1"/>
  <c r="AI209" i="24"/>
  <c r="AH209" i="24" s="1"/>
  <c r="AG209" i="24" s="1"/>
  <c r="AF209" i="24" s="1"/>
  <c r="AI71" i="24"/>
  <c r="AH71" i="24" s="1"/>
  <c r="AG71" i="24" s="1"/>
  <c r="AF71" i="24" s="1"/>
  <c r="AI294" i="24"/>
  <c r="AH294" i="24" s="1"/>
  <c r="AG294" i="24" s="1"/>
  <c r="AF294" i="24" s="1"/>
  <c r="AI162" i="24"/>
  <c r="AH162" i="24" s="1"/>
  <c r="AG162" i="24" s="1"/>
  <c r="AF162" i="24" s="1"/>
  <c r="AI24" i="24"/>
  <c r="AH24" i="24" s="1"/>
  <c r="AG24" i="24" s="1"/>
  <c r="AF24" i="24" s="1"/>
  <c r="AI243" i="24"/>
  <c r="AH243" i="24" s="1"/>
  <c r="AG243" i="24" s="1"/>
  <c r="AF243" i="24" s="1"/>
  <c r="AI364" i="24"/>
  <c r="AH364" i="24" s="1"/>
  <c r="AG364" i="24" s="1"/>
  <c r="AF364" i="24" s="1"/>
  <c r="AI149" i="24"/>
  <c r="AH149" i="24" s="1"/>
  <c r="AG149" i="24" s="1"/>
  <c r="AF149" i="24" s="1"/>
  <c r="AI287" i="24"/>
  <c r="AH287" i="24" s="1"/>
  <c r="AG287" i="24" s="1"/>
  <c r="AF287" i="24" s="1"/>
  <c r="AI76" i="24"/>
  <c r="AH76" i="24" s="1"/>
  <c r="AG76" i="24" s="1"/>
  <c r="AF76" i="24" s="1"/>
  <c r="AI222" i="24"/>
  <c r="AH222" i="24" s="1"/>
  <c r="AG222" i="24" s="1"/>
  <c r="AF222" i="24" s="1"/>
  <c r="AI111" i="24"/>
  <c r="AH111" i="24" s="1"/>
  <c r="AG111" i="24" s="1"/>
  <c r="AF111" i="24" s="1"/>
  <c r="AI334" i="24"/>
  <c r="AH334" i="24" s="1"/>
  <c r="AG334" i="24" s="1"/>
  <c r="AF334" i="24" s="1"/>
  <c r="AI188" i="24"/>
  <c r="AH188" i="24" s="1"/>
  <c r="AG188" i="24" s="1"/>
  <c r="AF188" i="24" s="1"/>
  <c r="AI64" i="24"/>
  <c r="AH64" i="24" s="1"/>
  <c r="AG64" i="24" s="1"/>
  <c r="AF64" i="24" s="1"/>
  <c r="AI283" i="24"/>
  <c r="AH283" i="24" s="1"/>
  <c r="AG283" i="24" s="1"/>
  <c r="AF283" i="24" s="1"/>
  <c r="AI137" i="24"/>
  <c r="AH137" i="24" s="1"/>
  <c r="AG137" i="24" s="1"/>
  <c r="AF137" i="24" s="1"/>
  <c r="AI109" i="24"/>
  <c r="AH109" i="24" s="1"/>
  <c r="AG109" i="24" s="1"/>
  <c r="AF109" i="24" s="1"/>
  <c r="AI247" i="24"/>
  <c r="AH247" i="24" s="1"/>
  <c r="AG247" i="24" s="1"/>
  <c r="AF247" i="24" s="1"/>
  <c r="AI20" i="24"/>
  <c r="AH20" i="24" s="1"/>
  <c r="AG20" i="24" s="1"/>
  <c r="AF20" i="24" s="1"/>
  <c r="AI182" i="24"/>
  <c r="AH182" i="24" s="1"/>
  <c r="AG182" i="24" s="1"/>
  <c r="AF182" i="24" s="1"/>
  <c r="AI328" i="24"/>
  <c r="AH328" i="24" s="1"/>
  <c r="AG328" i="24" s="1"/>
  <c r="AF328" i="24" s="1"/>
  <c r="AI97" i="24"/>
  <c r="AH97" i="24" s="1"/>
  <c r="AG97" i="24" s="1"/>
  <c r="AF97" i="24" s="1"/>
  <c r="AI228" i="24"/>
  <c r="AH228" i="24" s="1"/>
  <c r="AG228" i="24" s="1"/>
  <c r="AF228" i="24" s="1"/>
  <c r="AI90" i="24"/>
  <c r="AH90" i="24" s="1"/>
  <c r="AG90" i="24" s="1"/>
  <c r="AF90" i="24" s="1"/>
  <c r="AI317" i="24"/>
  <c r="AH317" i="24" s="1"/>
  <c r="AG317" i="24" s="1"/>
  <c r="AF317" i="24" s="1"/>
  <c r="AI177" i="24"/>
  <c r="AH177" i="24" s="1"/>
  <c r="AG177" i="24" s="1"/>
  <c r="AF177" i="24" s="1"/>
  <c r="AI39" i="24"/>
  <c r="AH39" i="24" s="1"/>
  <c r="AG39" i="24" s="1"/>
  <c r="AF39" i="24" s="1"/>
  <c r="AI262" i="24"/>
  <c r="AH262" i="24" s="1"/>
  <c r="AG262" i="24" s="1"/>
  <c r="AF262" i="24" s="1"/>
  <c r="AI126" i="24"/>
  <c r="AH126" i="24" s="1"/>
  <c r="AG126" i="24" s="1"/>
  <c r="AF126" i="24" s="1"/>
  <c r="AI355" i="24"/>
  <c r="AH355" i="24" s="1"/>
  <c r="AG355" i="24" s="1"/>
  <c r="AF355" i="24" s="1"/>
  <c r="AI274" i="24"/>
  <c r="AH274" i="24" s="1"/>
  <c r="AG274" i="24" s="1"/>
  <c r="AF274" i="24" s="1"/>
  <c r="AI282" i="24"/>
  <c r="AH282" i="24" s="1"/>
  <c r="AG282" i="24" s="1"/>
  <c r="AF282" i="24" s="1"/>
  <c r="AI369" i="24"/>
  <c r="AH369" i="24" s="1"/>
  <c r="AG369" i="24" s="1"/>
  <c r="AF369" i="24" s="1"/>
  <c r="AI93" i="24"/>
  <c r="AH93" i="24" s="1"/>
  <c r="AG93" i="24" s="1"/>
  <c r="AF93" i="24" s="1"/>
  <c r="AI299" i="24"/>
  <c r="AH299" i="24" s="1"/>
  <c r="AI234" i="24"/>
  <c r="AH234" i="24" s="1"/>
  <c r="AG234" i="24" s="1"/>
  <c r="AF234" i="24" s="1"/>
  <c r="AI322" i="24"/>
  <c r="AH322" i="24" s="1"/>
  <c r="AG322" i="24" s="1"/>
  <c r="AF322" i="24" s="1"/>
  <c r="AI38" i="24"/>
  <c r="AH38" i="24" s="1"/>
  <c r="AG38" i="24" s="1"/>
  <c r="AF38" i="24" s="1"/>
  <c r="AI133" i="24"/>
  <c r="AH133" i="24" s="1"/>
  <c r="AG133" i="24" s="1"/>
  <c r="AF133" i="24" s="1"/>
  <c r="AI259" i="24"/>
  <c r="AH259" i="24" s="1"/>
  <c r="AG259" i="24" s="1"/>
  <c r="AF259" i="24" s="1"/>
  <c r="AI178" i="24"/>
  <c r="AH178" i="24" s="1"/>
  <c r="AG178" i="24" s="1"/>
  <c r="AF178" i="24" s="1"/>
  <c r="AI117" i="24"/>
  <c r="AH117" i="24" s="1"/>
  <c r="AG117" i="24" s="1"/>
  <c r="AF117" i="24" s="1"/>
  <c r="AI78" i="24"/>
  <c r="AH78" i="24" s="1"/>
  <c r="AG78" i="24" s="1"/>
  <c r="AF78" i="24" s="1"/>
  <c r="AI240" i="24"/>
  <c r="AH240" i="24" s="1"/>
  <c r="AG240" i="24" s="1"/>
  <c r="AF240" i="24" s="1"/>
  <c r="AI179" i="24"/>
  <c r="AH179" i="24" s="1"/>
  <c r="AG179" i="24" s="1"/>
  <c r="AF179" i="24" s="1"/>
  <c r="AI138" i="24"/>
  <c r="AH138" i="24" s="1"/>
  <c r="AG138" i="24" s="1"/>
  <c r="AF138" i="24" s="1"/>
  <c r="AI77" i="24"/>
  <c r="AH77" i="24" s="1"/>
  <c r="AG77" i="24" s="1"/>
  <c r="AF77" i="24" s="1"/>
  <c r="AI353" i="24"/>
  <c r="AH353" i="24" s="1"/>
  <c r="AG353" i="24" s="1"/>
  <c r="AF353" i="24" s="1"/>
  <c r="AI199" i="24"/>
  <c r="AH199" i="24" s="1"/>
  <c r="AG199" i="24" s="1"/>
  <c r="AF199" i="24" s="1"/>
  <c r="AI290" i="24"/>
  <c r="AH290" i="24" s="1"/>
  <c r="AG290" i="24" s="1"/>
  <c r="AF290" i="24" s="1"/>
  <c r="AI371" i="24"/>
  <c r="AH371" i="24" s="1"/>
  <c r="AG371" i="24" s="1"/>
  <c r="AF371" i="24" s="1"/>
  <c r="AI21" i="24"/>
  <c r="AH21" i="24" s="1"/>
  <c r="AG21" i="24" s="1"/>
  <c r="AF21" i="24" s="1"/>
  <c r="AI313" i="24"/>
  <c r="AH313" i="24" s="1"/>
  <c r="AI239" i="24"/>
  <c r="AH239" i="24" s="1"/>
  <c r="AG239" i="24" s="1"/>
  <c r="AF239" i="24" s="1"/>
  <c r="AI316" i="24"/>
  <c r="AH316" i="24" s="1"/>
  <c r="AG316" i="24" s="1"/>
  <c r="AF316" i="24" s="1"/>
  <c r="AI46" i="24"/>
  <c r="AH46" i="24" s="1"/>
  <c r="AG46" i="24" s="1"/>
  <c r="AF46" i="24" s="1"/>
  <c r="AI342" i="24"/>
  <c r="AH342" i="24" s="1"/>
  <c r="AG342" i="24" s="1"/>
  <c r="AF342" i="24" s="1"/>
  <c r="AI257" i="24"/>
  <c r="AH257" i="24" s="1"/>
  <c r="AG257" i="24" s="1"/>
  <c r="AF257" i="24" s="1"/>
  <c r="AI200" i="24"/>
  <c r="AH200" i="24" s="1"/>
  <c r="AG200" i="24" s="1"/>
  <c r="AF200" i="24" s="1"/>
  <c r="AI356" i="24"/>
  <c r="AH356" i="24" s="1"/>
  <c r="AG356" i="24" s="1"/>
  <c r="AF356" i="24" s="1"/>
  <c r="AI319" i="24"/>
  <c r="AH319" i="24" s="1"/>
  <c r="AG319" i="24" s="1"/>
  <c r="AF319" i="24" s="1"/>
  <c r="AI167" i="24"/>
  <c r="AH167" i="24" s="1"/>
  <c r="AG167" i="24" s="1"/>
  <c r="AF167" i="24" s="1"/>
  <c r="AI217" i="24"/>
  <c r="AH217" i="24" s="1"/>
  <c r="AG217" i="24" s="1"/>
  <c r="AF217" i="24" s="1"/>
  <c r="AI144" i="24"/>
  <c r="AH144" i="24" s="1"/>
  <c r="AG144" i="24" s="1"/>
  <c r="AF144" i="24" s="1"/>
  <c r="AI75" i="24"/>
  <c r="AH75" i="24" s="1"/>
  <c r="AG75" i="24" s="1"/>
  <c r="AF75" i="24" s="1"/>
  <c r="AI120" i="24"/>
  <c r="AH120" i="24" s="1"/>
  <c r="AG120" i="24" s="1"/>
  <c r="AF120" i="24" s="1"/>
  <c r="AI207" i="24"/>
  <c r="AH207" i="24" s="1"/>
  <c r="AG207" i="24" s="1"/>
  <c r="AF207" i="24" s="1"/>
  <c r="AI284" i="24"/>
  <c r="AH284" i="24" s="1"/>
  <c r="AG284" i="24" s="1"/>
  <c r="AF284" i="24" s="1"/>
  <c r="AI104" i="24"/>
  <c r="AH104" i="24" s="1"/>
  <c r="AG104" i="24" s="1"/>
  <c r="AF104" i="24" s="1"/>
  <c r="AI35" i="24"/>
  <c r="AH35" i="24" s="1"/>
  <c r="AG35" i="24" s="1"/>
  <c r="AF35" i="24" s="1"/>
  <c r="AI160" i="24"/>
  <c r="AH160" i="24" s="1"/>
  <c r="AI233" i="24"/>
  <c r="AH233" i="24" s="1"/>
  <c r="AI324" i="24"/>
  <c r="AH324" i="24" s="1"/>
  <c r="AG324" i="24" s="1"/>
  <c r="AF324" i="24" s="1"/>
  <c r="AI278" i="24"/>
  <c r="AH278" i="24" s="1"/>
  <c r="AG278" i="24" s="1"/>
  <c r="AF278" i="24" s="1"/>
  <c r="AI272" i="24"/>
  <c r="AH272" i="24" s="1"/>
  <c r="AG272" i="24" s="1"/>
  <c r="AF272" i="24" s="1"/>
  <c r="AI203" i="24"/>
  <c r="AH203" i="24" s="1"/>
  <c r="AG203" i="24" s="1"/>
  <c r="AF203" i="24" s="1"/>
  <c r="AI357" i="24"/>
  <c r="AH357" i="24" s="1"/>
  <c r="AG357" i="24" s="1"/>
  <c r="AF357" i="24" s="1"/>
  <c r="AI79" i="24"/>
  <c r="AH79" i="24" s="1"/>
  <c r="AG79" i="24" s="1"/>
  <c r="AF79" i="24" s="1"/>
  <c r="AI156" i="24"/>
  <c r="AH156" i="24" s="1"/>
  <c r="AG156" i="24" s="1"/>
  <c r="AF156" i="24" s="1"/>
  <c r="AI232" i="24"/>
  <c r="AH232" i="24" s="1"/>
  <c r="AG232" i="24" s="1"/>
  <c r="AF232" i="24" s="1"/>
  <c r="AI163" i="24"/>
  <c r="AH163" i="24" s="1"/>
  <c r="AG163" i="24" s="1"/>
  <c r="AF163" i="24" s="1"/>
  <c r="AI82" i="24"/>
  <c r="AH82" i="24" s="1"/>
  <c r="AG82" i="24" s="1"/>
  <c r="AF82" i="24" s="1"/>
  <c r="AI105" i="24"/>
  <c r="AH105" i="24" s="1"/>
  <c r="AG105" i="24" s="1"/>
  <c r="AF105" i="24" s="1"/>
  <c r="AI196" i="24"/>
  <c r="AH196" i="24" s="1"/>
  <c r="AG196" i="24" s="1"/>
  <c r="AF196" i="24" s="1"/>
  <c r="AI285" i="24"/>
  <c r="AH285" i="24" s="1"/>
  <c r="AG285" i="24" s="1"/>
  <c r="AF285" i="24" s="1"/>
  <c r="AI107" i="24"/>
  <c r="AH107" i="24" s="1"/>
  <c r="AG107" i="24" s="1"/>
  <c r="AF107" i="24" s="1"/>
  <c r="AI42" i="24"/>
  <c r="AH42" i="24" s="1"/>
  <c r="AG42" i="24" s="1"/>
  <c r="AF42" i="24" s="1"/>
  <c r="AI145" i="24"/>
  <c r="AH145" i="24" s="1"/>
  <c r="AG145" i="24" s="1"/>
  <c r="AF145" i="24" s="1"/>
  <c r="AI230" i="24"/>
  <c r="AH230" i="24" s="1"/>
  <c r="AG230" i="24" s="1"/>
  <c r="AF230" i="24" s="1"/>
  <c r="AI325" i="24"/>
  <c r="AH325" i="24" s="1"/>
  <c r="AG325" i="24" s="1"/>
  <c r="AF325" i="24" s="1"/>
  <c r="AI365" i="24"/>
  <c r="AH365" i="24" s="1"/>
  <c r="AG365" i="24" s="1"/>
  <c r="AF365" i="24" s="1"/>
  <c r="AI351" i="24"/>
  <c r="AH351" i="24" s="1"/>
  <c r="AG351" i="24" s="1"/>
  <c r="AF351" i="24" s="1"/>
  <c r="AI286" i="24"/>
  <c r="AH286" i="24" s="1"/>
  <c r="AG286" i="24" s="1"/>
  <c r="AF286" i="24" s="1"/>
  <c r="AI270" i="24"/>
  <c r="AH270" i="24" s="1"/>
  <c r="AG270" i="24" s="1"/>
  <c r="AF270" i="24" s="1"/>
  <c r="AI48" i="24"/>
  <c r="AH48" i="24" s="1"/>
  <c r="AG48" i="24" s="1"/>
  <c r="AF48" i="24" s="1"/>
  <c r="AI73" i="24"/>
  <c r="AH73" i="24" s="1"/>
  <c r="AG73" i="24" s="1"/>
  <c r="AF73" i="24" s="1"/>
  <c r="AI311" i="24"/>
  <c r="AH311" i="24" s="1"/>
  <c r="AG311" i="24" s="1"/>
  <c r="AF311" i="24" s="1"/>
  <c r="AI246" i="24"/>
  <c r="AH246" i="24" s="1"/>
  <c r="AG246" i="24" s="1"/>
  <c r="AF246" i="24" s="1"/>
  <c r="AI161" i="24"/>
  <c r="AH161" i="24" s="1"/>
  <c r="AG161" i="24" s="1"/>
  <c r="AF161" i="24" s="1"/>
  <c r="AI26" i="24"/>
  <c r="AH26" i="24" s="1"/>
  <c r="AG26" i="24" s="1"/>
  <c r="AF26" i="24" s="1"/>
  <c r="AI113" i="24"/>
  <c r="AH113" i="24" s="1"/>
  <c r="AG113" i="24" s="1"/>
  <c r="AF113" i="24" s="1"/>
  <c r="AI198" i="24"/>
  <c r="AH198" i="24" s="1"/>
  <c r="AG198" i="24" s="1"/>
  <c r="AF198" i="24" s="1"/>
  <c r="AI190" i="24"/>
  <c r="AH190" i="24" s="1"/>
  <c r="AI121" i="24"/>
  <c r="AH121" i="24" s="1"/>
  <c r="AG121" i="24" s="1"/>
  <c r="AF121" i="24" s="1"/>
  <c r="AI66" i="24"/>
  <c r="AH66" i="24" s="1"/>
  <c r="AI147" i="24"/>
  <c r="AH147" i="24" s="1"/>
  <c r="AI238" i="24"/>
  <c r="AH238" i="24" s="1"/>
  <c r="AG238" i="24" s="1"/>
  <c r="AF238" i="24" s="1"/>
  <c r="AI150" i="24"/>
  <c r="AH150" i="24" s="1"/>
  <c r="AG150" i="24" s="1"/>
  <c r="AF150" i="24" s="1"/>
  <c r="AI65" i="24"/>
  <c r="AH65" i="24" s="1"/>
  <c r="AG65" i="24" s="1"/>
  <c r="AF65" i="24" s="1"/>
  <c r="AI373" i="24"/>
  <c r="AH373" i="24" s="1"/>
  <c r="AG373" i="24" s="1"/>
  <c r="AF373" i="24" s="1"/>
  <c r="AI187" i="24"/>
  <c r="AH187" i="24" s="1"/>
  <c r="AG187" i="24" s="1"/>
  <c r="AF187" i="24" s="1"/>
  <c r="AI127" i="24"/>
  <c r="AH127" i="24" s="1"/>
  <c r="AG127" i="24" s="1"/>
  <c r="AF127" i="24" s="1"/>
  <c r="AI359" i="24"/>
  <c r="AH359" i="24" s="1"/>
  <c r="AG359" i="24" s="1"/>
  <c r="AF359" i="24" s="1"/>
  <c r="AI25" i="24"/>
  <c r="AH25" i="24" s="1"/>
  <c r="AG25" i="24" s="1"/>
  <c r="AF25" i="24" s="1"/>
  <c r="AI333" i="24"/>
  <c r="AH333" i="24" s="1"/>
  <c r="AI244" i="24"/>
  <c r="AH244" i="24" s="1"/>
  <c r="AG244" i="24" s="1"/>
  <c r="AF244" i="24" s="1"/>
  <c r="AI312" i="24"/>
  <c r="AH312" i="24" s="1"/>
  <c r="AG312" i="24" s="1"/>
  <c r="AF312" i="24" s="1"/>
  <c r="AI34" i="24"/>
  <c r="AH34" i="24" s="1"/>
  <c r="AG34" i="24" s="1"/>
  <c r="AF34" i="24" s="1"/>
  <c r="AI115" i="24"/>
  <c r="AH115" i="24" s="1"/>
  <c r="AG115" i="24" s="1"/>
  <c r="AF115" i="24" s="1"/>
  <c r="AI131" i="24"/>
  <c r="AH131" i="24" s="1"/>
  <c r="AG131" i="24" s="1"/>
  <c r="AF131" i="24" s="1"/>
  <c r="AI277" i="24"/>
  <c r="AH277" i="24" s="1"/>
  <c r="AG277" i="24" s="1"/>
  <c r="AF277" i="24" s="1"/>
  <c r="AI50" i="24"/>
  <c r="AH50" i="24" s="1"/>
  <c r="AG50" i="24" s="1"/>
  <c r="AF50" i="24" s="1"/>
  <c r="AI204" i="24"/>
  <c r="AH204" i="24" s="1"/>
  <c r="AG204" i="24" s="1"/>
  <c r="AF204" i="24" s="1"/>
  <c r="AI350" i="24"/>
  <c r="AH350" i="24" s="1"/>
  <c r="AG350" i="24" s="1"/>
  <c r="AF350" i="24" s="1"/>
  <c r="AI352" i="24"/>
  <c r="AH352" i="24" s="1"/>
  <c r="AG352" i="24" s="1"/>
  <c r="AF352" i="24" s="1"/>
  <c r="AI206" i="24"/>
  <c r="AH206" i="24" s="1"/>
  <c r="AG206" i="24" s="1"/>
  <c r="AF206" i="24" s="1"/>
  <c r="AI60" i="24"/>
  <c r="AH60" i="24" s="1"/>
  <c r="AG60" i="24" s="1"/>
  <c r="AF60" i="24" s="1"/>
  <c r="AI112" i="24"/>
  <c r="AH112" i="24" s="1"/>
  <c r="AG112" i="24" s="1"/>
  <c r="AF112" i="24" s="1"/>
  <c r="AI155" i="24"/>
  <c r="AH155" i="24" s="1"/>
  <c r="AG155" i="24" s="1"/>
  <c r="AF155" i="24" s="1"/>
  <c r="AI378" i="24"/>
  <c r="AH378" i="24" s="1"/>
  <c r="AG378" i="24" s="1"/>
  <c r="AF378" i="24" s="1"/>
  <c r="AI237" i="24"/>
  <c r="AH237" i="24" s="1"/>
  <c r="AG237" i="24" s="1"/>
  <c r="AF237" i="24" s="1"/>
  <c r="AI375" i="24"/>
  <c r="AH375" i="24" s="1"/>
  <c r="AG375" i="24" s="1"/>
  <c r="AF375" i="24" s="1"/>
  <c r="AI148" i="24"/>
  <c r="AH148" i="24" s="1"/>
  <c r="AG148" i="24" s="1"/>
  <c r="AF148" i="24" s="1"/>
  <c r="AI310" i="24"/>
  <c r="AH310" i="24" s="1"/>
  <c r="AG310" i="24" s="1"/>
  <c r="AF310" i="24" s="1"/>
  <c r="AI87" i="24"/>
  <c r="AH87" i="24" s="1"/>
  <c r="AG87" i="24" s="1"/>
  <c r="AF87" i="24" s="1"/>
  <c r="AI225" i="24"/>
  <c r="AH225" i="24" s="1"/>
  <c r="AG225" i="24" s="1"/>
  <c r="AF225" i="24" s="1"/>
  <c r="AI100" i="24"/>
  <c r="AH100" i="24" s="1"/>
  <c r="AG100" i="24" s="1"/>
  <c r="AF100" i="24" s="1"/>
  <c r="AI327" i="24"/>
  <c r="AH327" i="24" s="1"/>
  <c r="AG327" i="24" s="1"/>
  <c r="AF327" i="24" s="1"/>
  <c r="AI189" i="24"/>
  <c r="AH189" i="24" s="1"/>
  <c r="AG189" i="24" s="1"/>
  <c r="AF189" i="24" s="1"/>
  <c r="AI49" i="24"/>
  <c r="AH49" i="24" s="1"/>
  <c r="AG49" i="24" s="1"/>
  <c r="AF49" i="24" s="1"/>
  <c r="AI280" i="24"/>
  <c r="AH280" i="24" s="1"/>
  <c r="AG280" i="24" s="1"/>
  <c r="AF280" i="24" s="1"/>
  <c r="AI134" i="24"/>
  <c r="AH134" i="24" s="1"/>
  <c r="AG134" i="24" s="1"/>
  <c r="AF134" i="24" s="1"/>
  <c r="AI108" i="24"/>
  <c r="AH108" i="24" s="1"/>
  <c r="AG108" i="24" s="1"/>
  <c r="AF108" i="24" s="1"/>
  <c r="AI254" i="24"/>
  <c r="AH254" i="24" s="1"/>
  <c r="AG254" i="24" s="1"/>
  <c r="AF254" i="24" s="1"/>
  <c r="AI31" i="24"/>
  <c r="AH31" i="24" s="1"/>
  <c r="AG31" i="24" s="1"/>
  <c r="AF31" i="24" s="1"/>
  <c r="AI185" i="24"/>
  <c r="AH185" i="24" s="1"/>
  <c r="AG185" i="24" s="1"/>
  <c r="AF185" i="24" s="1"/>
  <c r="AI331" i="24"/>
  <c r="AH331" i="24" s="1"/>
  <c r="AG331" i="24" s="1"/>
  <c r="AF331" i="24" s="1"/>
  <c r="AI367" i="24"/>
  <c r="AH367" i="24" s="1"/>
  <c r="AG367" i="24" s="1"/>
  <c r="AF367" i="24" s="1"/>
  <c r="AI229" i="24"/>
  <c r="AH229" i="24" s="1"/>
  <c r="AG229" i="24" s="1"/>
  <c r="AF229" i="24" s="1"/>
  <c r="AI83" i="24"/>
  <c r="AH83" i="24" s="1"/>
  <c r="AG83" i="24" s="1"/>
  <c r="AF83" i="24" s="1"/>
  <c r="AI320" i="24"/>
  <c r="AH320" i="24" s="1"/>
  <c r="AG320" i="24" s="1"/>
  <c r="AF320" i="24" s="1"/>
  <c r="AI174" i="24"/>
  <c r="AH174" i="24" s="1"/>
  <c r="AG174" i="24" s="1"/>
  <c r="AF174" i="24" s="1"/>
  <c r="AI28" i="24"/>
  <c r="AH28" i="24" s="1"/>
  <c r="AG28" i="24" s="1"/>
  <c r="AF28" i="24" s="1"/>
  <c r="AI214" i="24"/>
  <c r="AH214" i="24" s="1"/>
  <c r="AG214" i="24" s="1"/>
  <c r="AF214" i="24" s="1"/>
  <c r="AI360" i="24"/>
  <c r="AH360" i="24" s="1"/>
  <c r="AG360" i="24" s="1"/>
  <c r="AF360" i="24" s="1"/>
  <c r="AI129" i="24"/>
  <c r="AH129" i="24" s="1"/>
  <c r="AG129" i="24" s="1"/>
  <c r="AF129" i="24" s="1"/>
  <c r="AI291" i="24"/>
  <c r="AH291" i="24" s="1"/>
  <c r="AG291" i="24" s="1"/>
  <c r="AF291" i="24" s="1"/>
  <c r="AI72" i="24"/>
  <c r="AH72" i="24" s="1"/>
  <c r="AG72" i="24" s="1"/>
  <c r="AF72" i="24" s="1"/>
  <c r="AI210" i="24"/>
  <c r="AH210" i="24" s="1"/>
  <c r="AG210" i="24" s="1"/>
  <c r="AF210" i="24" s="1"/>
  <c r="AI123" i="24"/>
  <c r="AH123" i="24" s="1"/>
  <c r="AG123" i="24" s="1"/>
  <c r="AF123" i="24" s="1"/>
  <c r="AI346" i="24"/>
  <c r="AH346" i="24" s="1"/>
  <c r="AG346" i="24" s="1"/>
  <c r="AF346" i="24" s="1"/>
  <c r="AI191" i="24"/>
  <c r="AH191" i="24" s="1"/>
  <c r="AG191" i="24" s="1"/>
  <c r="AF191" i="24" s="1"/>
  <c r="AI68" i="24"/>
  <c r="AH68" i="24" s="1"/>
  <c r="AG68" i="24" s="1"/>
  <c r="AF68" i="24" s="1"/>
  <c r="AI295" i="24"/>
  <c r="AH295" i="24" s="1"/>
  <c r="AI157" i="24"/>
  <c r="AH157" i="24" s="1"/>
  <c r="AG157" i="24" s="1"/>
  <c r="AF157" i="24" s="1"/>
  <c r="AI89" i="24"/>
  <c r="AH89" i="24" s="1"/>
  <c r="AG89" i="24" s="1"/>
  <c r="AF89" i="24" s="1"/>
  <c r="AI235" i="24"/>
  <c r="AH235" i="24" s="1"/>
  <c r="AG235" i="24" s="1"/>
  <c r="AF235" i="24" s="1"/>
  <c r="AI18" i="24"/>
  <c r="AH18" i="24" s="1"/>
  <c r="AG18" i="24" s="1"/>
  <c r="AF18" i="24" s="1"/>
  <c r="AI170" i="24"/>
  <c r="AH170" i="24" s="1"/>
  <c r="AG170" i="24" s="1"/>
  <c r="AF170" i="24" s="1"/>
  <c r="AI308" i="24"/>
  <c r="AH308" i="24" s="1"/>
  <c r="AG308" i="24" s="1"/>
  <c r="AF308" i="24" s="1"/>
  <c r="AI16" i="24"/>
  <c r="AH16" i="24" s="1"/>
  <c r="AG16" i="24" s="1"/>
  <c r="AF16" i="24" s="1"/>
  <c r="AI248" i="24"/>
  <c r="AH248" i="24" s="1"/>
  <c r="AG248" i="24" s="1"/>
  <c r="AF248" i="24" s="1"/>
  <c r="AI102" i="24"/>
  <c r="AH102" i="24" s="1"/>
  <c r="AG102" i="24" s="1"/>
  <c r="AF102" i="24" s="1"/>
  <c r="AI335" i="24"/>
  <c r="AH335" i="24" s="1"/>
  <c r="AG335" i="24" s="1"/>
  <c r="AF335" i="24" s="1"/>
  <c r="AI197" i="24"/>
  <c r="AH197" i="24" s="1"/>
  <c r="AI51" i="24"/>
  <c r="AH51" i="24" s="1"/>
  <c r="AI195" i="24"/>
  <c r="AH195" i="24" s="1"/>
  <c r="AG195" i="24" s="1"/>
  <c r="AF195" i="24" s="1"/>
  <c r="AI341" i="24"/>
  <c r="AH341" i="24" s="1"/>
  <c r="AG341" i="24" s="1"/>
  <c r="AF341" i="24" s="1"/>
  <c r="AI114" i="24"/>
  <c r="AH114" i="24" s="1"/>
  <c r="AG114" i="24" s="1"/>
  <c r="AF114" i="24" s="1"/>
  <c r="AI268" i="24"/>
  <c r="AH268" i="24" s="1"/>
  <c r="AG268" i="24" s="1"/>
  <c r="AF268" i="24" s="1"/>
  <c r="AI53" i="24"/>
  <c r="AH53" i="24" s="1"/>
  <c r="AG53" i="24" s="1"/>
  <c r="AF53" i="24" s="1"/>
  <c r="AI288" i="24"/>
  <c r="AH288" i="24" s="1"/>
  <c r="AG288" i="24" s="1"/>
  <c r="AF288" i="24" s="1"/>
  <c r="AI142" i="24"/>
  <c r="AH142" i="24" s="1"/>
  <c r="AG142" i="24" s="1"/>
  <c r="AF142" i="24" s="1"/>
  <c r="AI361" i="24"/>
  <c r="AH361" i="24" s="1"/>
  <c r="AG361" i="24" s="1"/>
  <c r="AF361" i="24" s="1"/>
  <c r="AI176" i="24"/>
  <c r="AH176" i="24" s="1"/>
  <c r="AG176" i="24" s="1"/>
  <c r="AF176" i="24" s="1"/>
  <c r="AI91" i="24"/>
  <c r="AH91" i="24" s="1"/>
  <c r="AG91" i="24" s="1"/>
  <c r="AF91" i="24" s="1"/>
  <c r="AI314" i="24"/>
  <c r="AH314" i="24" s="1"/>
  <c r="AG314" i="24" s="1"/>
  <c r="AF314" i="24" s="1"/>
  <c r="AI301" i="24"/>
  <c r="AH301" i="24" s="1"/>
  <c r="AG301" i="24" s="1"/>
  <c r="AF301" i="24" s="1"/>
  <c r="AI74" i="24"/>
  <c r="AH74" i="24" s="1"/>
  <c r="AG74" i="24" s="1"/>
  <c r="AF74" i="24" s="1"/>
  <c r="AI212" i="24"/>
  <c r="AH212" i="24" s="1"/>
  <c r="AG212" i="24" s="1"/>
  <c r="AF212" i="24" s="1"/>
  <c r="AI374" i="24"/>
  <c r="AH374" i="24" s="1"/>
  <c r="AG374" i="24" s="1"/>
  <c r="AF374" i="24" s="1"/>
  <c r="AI151" i="24"/>
  <c r="AH151" i="24" s="1"/>
  <c r="AG151" i="24" s="1"/>
  <c r="AF151" i="24" s="1"/>
  <c r="AI289" i="24"/>
  <c r="AH289" i="24" s="1"/>
  <c r="AG289" i="24" s="1"/>
  <c r="AF289" i="24" s="1"/>
  <c r="AI36" i="24"/>
  <c r="AH36" i="24" s="1"/>
  <c r="AG36" i="24" s="1"/>
  <c r="AF36" i="24" s="1"/>
  <c r="AI263" i="24"/>
  <c r="AH263" i="24" s="1"/>
  <c r="AG263" i="24" s="1"/>
  <c r="AF263" i="24" s="1"/>
  <c r="AI125" i="24"/>
  <c r="AH125" i="24" s="1"/>
  <c r="AG125" i="24" s="1"/>
  <c r="AF125" i="24" s="1"/>
  <c r="AI354" i="24"/>
  <c r="AH354" i="24" s="1"/>
  <c r="AG354" i="24" s="1"/>
  <c r="AF354" i="24" s="1"/>
  <c r="AI216" i="24"/>
  <c r="AH216" i="24" s="1"/>
  <c r="AG216" i="24" s="1"/>
  <c r="AF216" i="24" s="1"/>
  <c r="AI70" i="24"/>
  <c r="AH70" i="24" s="1"/>
  <c r="AG70" i="24" s="1"/>
  <c r="AF70" i="24" s="1"/>
  <c r="AI172" i="24"/>
  <c r="AH172" i="24" s="1"/>
  <c r="AI318" i="24"/>
  <c r="AH318" i="24" s="1"/>
  <c r="AG318" i="24" s="1"/>
  <c r="AF318" i="24" s="1"/>
  <c r="AI95" i="24"/>
  <c r="AH95" i="24" s="1"/>
  <c r="AG95" i="24" s="1"/>
  <c r="AF95" i="24" s="1"/>
  <c r="AI249" i="24"/>
  <c r="AH249" i="24" s="1"/>
  <c r="AG249" i="24" s="1"/>
  <c r="AF249" i="24" s="1"/>
  <c r="AI30" i="24"/>
  <c r="AH30" i="24" s="1"/>
  <c r="AG30" i="24" s="1"/>
  <c r="AF30" i="24" s="1"/>
  <c r="AI303" i="24"/>
  <c r="AH303" i="24" s="1"/>
  <c r="AG303" i="24" s="1"/>
  <c r="AF303" i="24" s="1"/>
  <c r="AI165" i="24"/>
  <c r="AH165" i="24" s="1"/>
  <c r="AG165" i="24" s="1"/>
  <c r="AF165" i="24" s="1"/>
  <c r="AI19" i="24"/>
  <c r="AH19" i="24" s="1"/>
  <c r="AG19" i="24" s="1"/>
  <c r="AF19" i="24" s="1"/>
  <c r="AI256" i="24"/>
  <c r="AH256" i="24" s="1"/>
  <c r="AG256" i="24" s="1"/>
  <c r="AF256" i="24" s="1"/>
  <c r="AI110" i="24"/>
  <c r="AH110" i="24" s="1"/>
  <c r="AG110" i="24" s="1"/>
  <c r="AF110" i="24" s="1"/>
  <c r="AI329" i="24"/>
  <c r="AH329" i="24" s="1"/>
  <c r="AG329" i="24" s="1"/>
  <c r="AF329" i="24" s="1"/>
  <c r="AI345" i="24"/>
  <c r="AH345" i="24" s="1"/>
  <c r="AG345" i="24" s="1"/>
  <c r="AF345" i="24" s="1"/>
  <c r="AI193" i="24"/>
  <c r="AH193" i="24" s="1"/>
  <c r="AG193" i="24" s="1"/>
  <c r="AF193" i="24" s="1"/>
  <c r="AI136" i="24"/>
  <c r="AH136" i="24" s="1"/>
  <c r="AG136" i="24" s="1"/>
  <c r="AF136" i="24" s="1"/>
  <c r="AI59" i="24"/>
  <c r="AH59" i="24" s="1"/>
  <c r="AG59" i="24" s="1"/>
  <c r="AF59" i="24" s="1"/>
  <c r="AI255" i="24"/>
  <c r="AH255" i="24" s="1"/>
  <c r="AG255" i="24" s="1"/>
  <c r="AF255" i="24" s="1"/>
  <c r="AI231" i="24"/>
  <c r="AH231" i="24" s="1"/>
  <c r="AI153" i="24"/>
  <c r="AH153" i="24" s="1"/>
  <c r="AG153" i="24" s="1"/>
  <c r="AF153" i="24" s="1"/>
  <c r="AI80" i="24"/>
  <c r="AH80" i="24" s="1"/>
  <c r="AG80" i="24" s="1"/>
  <c r="AF80" i="24" s="1"/>
  <c r="AI372" i="24"/>
  <c r="AH372" i="24" s="1"/>
  <c r="AG372" i="24" s="1"/>
  <c r="AF372" i="24" s="1"/>
  <c r="AI184" i="24"/>
  <c r="AH184" i="24" s="1"/>
  <c r="AG184" i="24" s="1"/>
  <c r="AF184" i="24" s="1"/>
  <c r="AI271" i="24"/>
  <c r="AH271" i="24" s="1"/>
  <c r="AG271" i="24" s="1"/>
  <c r="AF271" i="24" s="1"/>
  <c r="AI348" i="24"/>
  <c r="AH348" i="24" s="1"/>
  <c r="AG348" i="24" s="1"/>
  <c r="AF348" i="24" s="1"/>
  <c r="AI40" i="24"/>
  <c r="AH40" i="24" s="1"/>
  <c r="AG40" i="24" s="1"/>
  <c r="AF40" i="24" s="1"/>
  <c r="AI332" i="24"/>
  <c r="AH332" i="24" s="1"/>
  <c r="AG332" i="24" s="1"/>
  <c r="AF332" i="24" s="1"/>
  <c r="AI224" i="24"/>
  <c r="AH224" i="24" s="1"/>
  <c r="AG224" i="24" s="1"/>
  <c r="AF224" i="24" s="1"/>
  <c r="AI297" i="24"/>
  <c r="AH297" i="24" s="1"/>
  <c r="AG297" i="24" s="1"/>
  <c r="AF297" i="24" s="1"/>
  <c r="AI27" i="24"/>
  <c r="AH27" i="24" s="1"/>
  <c r="AG27" i="24" s="1"/>
  <c r="AF27" i="24" s="1"/>
  <c r="AI67" i="24"/>
  <c r="AH67" i="24" s="1"/>
  <c r="AI276" i="24"/>
  <c r="AH276" i="24" s="1"/>
  <c r="AG276" i="24" s="1"/>
  <c r="AF276" i="24" s="1"/>
  <c r="AI215" i="24"/>
  <c r="AH215" i="24" s="1"/>
  <c r="AG215" i="24" s="1"/>
  <c r="AF215" i="24" s="1"/>
  <c r="AI337" i="24"/>
  <c r="AH337" i="24" s="1"/>
  <c r="AG337" i="24" s="1"/>
  <c r="AF337" i="24" s="1"/>
  <c r="AI61" i="24"/>
  <c r="AH61" i="24" s="1"/>
  <c r="AG61" i="24" s="1"/>
  <c r="AF61" i="24" s="1"/>
  <c r="AI152" i="24"/>
  <c r="AH152" i="24" s="1"/>
  <c r="AG152" i="24" s="1"/>
  <c r="AF152" i="24" s="1"/>
  <c r="AI236" i="24"/>
  <c r="AH236" i="24" s="1"/>
  <c r="AG236" i="24" s="1"/>
  <c r="AF236" i="24" s="1"/>
  <c r="AI159" i="24"/>
  <c r="AH159" i="24" s="1"/>
  <c r="AG159" i="24" s="1"/>
  <c r="AF159" i="24" s="1"/>
  <c r="AI94" i="24"/>
  <c r="AH94" i="24" s="1"/>
  <c r="AG94" i="24" s="1"/>
  <c r="AF94" i="24" s="1"/>
  <c r="AI101" i="24"/>
  <c r="AH101" i="24" s="1"/>
  <c r="AG101" i="24" s="1"/>
  <c r="AF101" i="24" s="1"/>
  <c r="AI192" i="24"/>
  <c r="AH192" i="24" s="1"/>
  <c r="AG192" i="24" s="1"/>
  <c r="AF192" i="24" s="1"/>
  <c r="AI265" i="24"/>
  <c r="AH265" i="24" s="1"/>
  <c r="AG265" i="24" s="1"/>
  <c r="AF265" i="24" s="1"/>
  <c r="AI119" i="24"/>
  <c r="AH119" i="24" s="1"/>
  <c r="AG119" i="24" s="1"/>
  <c r="AF119" i="24" s="1"/>
  <c r="AI54" i="24"/>
  <c r="AH54" i="24" s="1"/>
  <c r="AG54" i="24" s="1"/>
  <c r="AF54" i="24" s="1"/>
  <c r="AI338" i="24"/>
  <c r="AH338" i="24" s="1"/>
  <c r="AG338" i="24" s="1"/>
  <c r="AF338" i="24" s="1"/>
  <c r="AI218" i="24"/>
  <c r="AH218" i="24" s="1"/>
  <c r="AI305" i="24"/>
  <c r="AH305" i="24" s="1"/>
  <c r="AG305" i="24" s="1"/>
  <c r="AF305" i="24" s="1"/>
  <c r="AI29" i="24"/>
  <c r="AH29" i="24" s="1"/>
  <c r="AG29" i="24" s="1"/>
  <c r="AF29" i="24" s="1"/>
  <c r="AI363" i="24"/>
  <c r="AH363" i="24" s="1"/>
  <c r="AI298" i="24"/>
  <c r="AH298" i="24" s="1"/>
  <c r="AG298" i="24" s="1"/>
  <c r="AF298" i="24" s="1"/>
  <c r="AI258" i="24"/>
  <c r="AH258" i="24" s="1"/>
  <c r="AI339" i="24"/>
  <c r="AH339" i="24" s="1"/>
  <c r="AG339" i="24" s="1"/>
  <c r="AF339" i="24" s="1"/>
  <c r="AI69" i="24"/>
  <c r="AH69" i="24" s="1"/>
  <c r="AG69" i="24" s="1"/>
  <c r="AF69" i="24" s="1"/>
  <c r="AI323" i="24"/>
  <c r="AH323" i="24" s="1"/>
  <c r="AG323" i="24" s="1"/>
  <c r="AF323" i="24" s="1"/>
  <c r="AI242" i="24"/>
  <c r="AH242" i="24" s="1"/>
  <c r="AG242" i="24" s="1"/>
  <c r="AF242" i="24" s="1"/>
  <c r="AI181" i="24"/>
  <c r="AH181" i="24" s="1"/>
  <c r="AG181" i="24" s="1"/>
  <c r="AF181" i="24" s="1"/>
  <c r="AI379" i="24"/>
  <c r="AI304" i="24"/>
  <c r="AH304" i="24" s="1"/>
  <c r="AI186" i="24"/>
  <c r="AH186" i="24" s="1"/>
  <c r="AG186" i="24" s="1"/>
  <c r="AF186" i="24" s="1"/>
  <c r="AI55" i="24"/>
  <c r="AH55" i="24" s="1"/>
  <c r="AG55" i="24" s="1"/>
  <c r="AF55" i="24" s="1"/>
  <c r="AI57" i="24"/>
  <c r="AH57" i="24" s="1"/>
  <c r="AG57" i="24" s="1"/>
  <c r="AF57" i="24" s="1"/>
  <c r="AI130" i="24"/>
  <c r="AH130" i="24" s="1"/>
  <c r="AG130" i="24" s="1"/>
  <c r="AF130" i="24" s="1"/>
  <c r="AI211" i="24"/>
  <c r="AH211" i="24" s="1"/>
  <c r="AG211" i="24" s="1"/>
  <c r="AF211" i="24" s="1"/>
  <c r="AI302" i="24"/>
  <c r="AH302" i="24" s="1"/>
  <c r="AG302" i="24" s="1"/>
  <c r="AF302" i="24" s="1"/>
  <c r="AI86" i="24"/>
  <c r="AH86" i="24" s="1"/>
  <c r="AG86" i="24" s="1"/>
  <c r="AF86" i="24" s="1"/>
  <c r="AI370" i="24"/>
  <c r="AH370" i="24" s="1"/>
  <c r="AG370" i="24" s="1"/>
  <c r="AF370" i="24" s="1"/>
  <c r="AI309" i="24"/>
  <c r="AH309" i="24" s="1"/>
  <c r="AG309" i="24" s="1"/>
  <c r="AF309" i="24" s="1"/>
  <c r="AI251" i="24"/>
  <c r="AH251" i="24" s="1"/>
  <c r="AG251" i="24" s="1"/>
  <c r="AF251" i="24" s="1"/>
  <c r="AI63" i="24"/>
  <c r="AH63" i="24" s="1"/>
  <c r="AG63" i="24" s="1"/>
  <c r="AF63" i="24" s="1"/>
  <c r="AI58" i="24"/>
  <c r="AH58" i="24" s="1"/>
  <c r="AG58" i="24" s="1"/>
  <c r="AF58" i="24" s="1"/>
  <c r="AI330" i="24"/>
  <c r="AH330" i="24" s="1"/>
  <c r="AG330" i="24" s="1"/>
  <c r="AF330" i="24" s="1"/>
  <c r="AI269" i="24"/>
  <c r="AH269" i="24" s="1"/>
  <c r="AG269" i="24" s="1"/>
  <c r="AF269" i="24" s="1"/>
  <c r="AI180" i="24"/>
  <c r="AH180" i="24" s="1"/>
  <c r="AG180" i="24" s="1"/>
  <c r="AF180" i="24" s="1"/>
  <c r="AI376" i="24"/>
  <c r="AH376" i="24" s="1"/>
  <c r="AG376" i="24" s="1"/>
  <c r="AF376" i="24" s="1"/>
  <c r="AI98" i="24"/>
  <c r="AH98" i="24" s="1"/>
  <c r="AG98" i="24" s="1"/>
  <c r="AF98" i="24" s="1"/>
  <c r="AI250" i="24"/>
  <c r="AH250" i="24" s="1"/>
  <c r="AG250" i="24" s="1"/>
  <c r="AF250" i="24" s="1"/>
  <c r="AI213" i="24"/>
  <c r="AH213" i="24" s="1"/>
  <c r="AG213" i="24" s="1"/>
  <c r="AF213" i="24" s="1"/>
  <c r="AI140" i="24"/>
  <c r="AH140" i="24" s="1"/>
  <c r="AG140" i="24" s="1"/>
  <c r="AF140" i="24" s="1"/>
  <c r="AI47" i="24"/>
  <c r="AH47" i="24" s="1"/>
  <c r="AG47" i="24" s="1"/>
  <c r="AF47" i="24" s="1"/>
  <c r="AI124" i="24"/>
  <c r="AH124" i="24" s="1"/>
  <c r="AG124" i="24" s="1"/>
  <c r="AF124" i="24" s="1"/>
  <c r="AI219" i="24"/>
  <c r="AH219" i="24" s="1"/>
  <c r="AG219" i="24" s="1"/>
  <c r="AF219" i="24" s="1"/>
  <c r="AI173" i="24"/>
  <c r="AH173" i="24" s="1"/>
  <c r="AG173" i="24" s="1"/>
  <c r="AF173" i="24" s="1"/>
  <c r="AI84" i="24"/>
  <c r="AH84" i="24" s="1"/>
  <c r="AI23" i="24"/>
  <c r="AH23" i="24" s="1"/>
  <c r="AG23" i="24" s="1"/>
  <c r="AF23" i="24" s="1"/>
  <c r="AI164" i="24"/>
  <c r="AH164" i="24" s="1"/>
  <c r="AG164" i="24" s="1"/>
  <c r="AF164" i="24" s="1"/>
  <c r="AI253" i="24"/>
  <c r="AH253" i="24" s="1"/>
  <c r="AG253" i="24" s="1"/>
  <c r="AF253" i="24" s="1"/>
  <c r="AI344" i="24"/>
  <c r="AH344" i="24" s="1"/>
  <c r="AG344" i="24" s="1"/>
  <c r="AF344" i="24" s="1"/>
  <c r="AI44" i="24"/>
  <c r="AH44" i="24" s="1"/>
  <c r="AG44" i="24" s="1"/>
  <c r="AF44" i="24" s="1"/>
  <c r="AI336" i="24"/>
  <c r="AH336" i="24" s="1"/>
  <c r="AG336" i="24" s="1"/>
  <c r="AF336" i="24" s="1"/>
  <c r="AI267" i="24"/>
  <c r="AH267" i="24" s="1"/>
  <c r="AG267" i="24" s="1"/>
  <c r="AF267" i="24" s="1"/>
  <c r="AI293" i="24"/>
  <c r="AH293" i="24" s="1"/>
  <c r="AG293" i="24" s="1"/>
  <c r="AF293" i="24" s="1"/>
  <c r="AI17" i="24"/>
  <c r="AH17" i="24" s="1"/>
  <c r="AG17" i="24" s="1"/>
  <c r="AF17" i="24" s="1"/>
  <c r="AI92" i="24"/>
  <c r="AH92" i="24" s="1"/>
  <c r="AG92" i="24" s="1"/>
  <c r="AF92" i="24" s="1"/>
  <c r="AI296" i="24"/>
  <c r="AH296" i="24" s="1"/>
  <c r="AG296" i="24" s="1"/>
  <c r="AF296" i="24" s="1"/>
  <c r="AI227" i="24"/>
  <c r="AH227" i="24" s="1"/>
  <c r="AG227" i="24" s="1"/>
  <c r="AF227" i="24" s="1"/>
  <c r="AI146" i="24"/>
  <c r="AH146" i="24" s="1"/>
  <c r="AG146" i="24" s="1"/>
  <c r="AF146" i="24" s="1"/>
  <c r="AI41" i="24"/>
  <c r="AH41" i="24" s="1"/>
  <c r="AG41" i="24" s="1"/>
  <c r="AF41" i="24" s="1"/>
  <c r="AI132" i="24"/>
  <c r="AH132" i="24" s="1"/>
  <c r="AG132" i="24" s="1"/>
  <c r="AF132" i="24" s="1"/>
  <c r="AI221" i="24"/>
  <c r="AH221" i="24" s="1"/>
  <c r="AG221" i="24" s="1"/>
  <c r="AF221" i="24" s="1"/>
  <c r="AI171" i="24"/>
  <c r="AH171" i="24" s="1"/>
  <c r="AG171" i="24" s="1"/>
  <c r="AF171" i="24" s="1"/>
  <c r="AI106" i="24"/>
  <c r="AH106" i="24" s="1"/>
  <c r="AG106" i="24" s="1"/>
  <c r="AF106" i="24" s="1"/>
  <c r="AI81" i="24"/>
  <c r="AH81" i="24" s="1"/>
  <c r="AG81" i="24" s="1"/>
  <c r="AF81" i="24" s="1"/>
  <c r="AI166" i="24"/>
  <c r="AH166" i="24" s="1"/>
  <c r="AG166" i="24" s="1"/>
  <c r="AF166" i="24" s="1"/>
  <c r="AI261" i="24"/>
  <c r="AH261" i="24" s="1"/>
  <c r="AG261" i="24" s="1"/>
  <c r="AF261" i="24" s="1"/>
  <c r="AD193" i="24"/>
  <c r="I60" i="22"/>
  <c r="H60" i="23" s="1"/>
  <c r="J60" i="22"/>
  <c r="J180" i="22"/>
  <c r="I180" i="22"/>
  <c r="H180" i="23" s="1"/>
  <c r="AJ5" i="22"/>
  <c r="D15" i="22"/>
  <c r="AJ8" i="22" s="1"/>
  <c r="B382" i="22"/>
  <c r="B383" i="22"/>
  <c r="AK6" i="22"/>
  <c r="B381" i="22"/>
  <c r="W15" i="22"/>
  <c r="H9" i="22"/>
  <c r="B17" i="19" s="1"/>
  <c r="J380" i="22"/>
  <c r="I380" i="22"/>
  <c r="H380" i="23" s="1"/>
  <c r="U10" i="25"/>
  <c r="U159" i="25" s="1"/>
  <c r="T159" i="25" s="1"/>
  <c r="S159" i="25" s="1"/>
  <c r="R159" i="25" s="1"/>
  <c r="BA15" i="6"/>
  <c r="B13" i="6"/>
  <c r="B12" i="6"/>
  <c r="F149" i="22"/>
  <c r="R383" i="23"/>
  <c r="R381" i="23"/>
  <c r="R382" i="23"/>
  <c r="P15" i="23"/>
  <c r="V381" i="22"/>
  <c r="V382" i="22"/>
  <c r="B67" i="19"/>
  <c r="N67" i="19" s="1"/>
  <c r="V383" i="22"/>
  <c r="D383" i="20"/>
  <c r="E15" i="20"/>
  <c r="AJ8" i="20"/>
  <c r="D382" i="20"/>
  <c r="D9" i="20"/>
  <c r="D11" i="20" s="1"/>
  <c r="D381" i="20"/>
  <c r="I210" i="22"/>
  <c r="H210" i="23" s="1"/>
  <c r="J210" i="22"/>
  <c r="I363" i="22"/>
  <c r="H363" i="23" s="1"/>
  <c r="I363" i="23" s="1"/>
  <c r="J363" i="22"/>
  <c r="AI11" i="25"/>
  <c r="BE16" i="7"/>
  <c r="U32" i="25"/>
  <c r="T32" i="25" s="1"/>
  <c r="S32" i="25" s="1"/>
  <c r="R32" i="25" s="1"/>
  <c r="U54" i="25"/>
  <c r="T54" i="25" s="1"/>
  <c r="S54" i="25" s="1"/>
  <c r="R54" i="25" s="1"/>
  <c r="U91" i="25"/>
  <c r="T91" i="25" s="1"/>
  <c r="S91" i="25" s="1"/>
  <c r="R91" i="25" s="1"/>
  <c r="U19" i="25"/>
  <c r="T19" i="25" s="1"/>
  <c r="S19" i="25" s="1"/>
  <c r="R19" i="25" s="1"/>
  <c r="U79" i="25"/>
  <c r="T79" i="25" s="1"/>
  <c r="S79" i="25" s="1"/>
  <c r="R79" i="25" s="1"/>
  <c r="U28" i="25"/>
  <c r="T28" i="25" s="1"/>
  <c r="S28" i="25" s="1"/>
  <c r="R28" i="25" s="1"/>
  <c r="J302" i="22"/>
  <c r="I302" i="22"/>
  <c r="H302" i="23" s="1"/>
  <c r="I241" i="22"/>
  <c r="H241" i="23" s="1"/>
  <c r="J241" i="22"/>
  <c r="J119" i="22"/>
  <c r="I119" i="22"/>
  <c r="H119" i="23" s="1"/>
  <c r="I119" i="23" s="1"/>
  <c r="J333" i="22"/>
  <c r="I333" i="22"/>
  <c r="H333" i="23" s="1"/>
  <c r="S15" i="24"/>
  <c r="T382" i="24"/>
  <c r="T383" i="24"/>
  <c r="T381" i="24"/>
  <c r="J88" i="22"/>
  <c r="I88" i="22"/>
  <c r="H88" i="23" s="1"/>
  <c r="I88" i="23" s="1"/>
  <c r="C13" i="6"/>
  <c r="C12" i="6"/>
  <c r="AL5" i="18"/>
  <c r="AL11" i="18" s="1"/>
  <c r="Y383" i="18"/>
  <c r="Y381" i="18"/>
  <c r="AM6" i="18"/>
  <c r="AM12" i="18" s="1"/>
  <c r="Y382" i="18"/>
  <c r="X9" i="18"/>
  <c r="AH61" i="7"/>
  <c r="D343" i="24"/>
  <c r="E343" i="24" s="1"/>
  <c r="F343" i="24" s="1"/>
  <c r="H343" i="24" s="1"/>
  <c r="D275" i="24"/>
  <c r="E275" i="24" s="1"/>
  <c r="F275" i="24" s="1"/>
  <c r="G275" i="24" s="1"/>
  <c r="CE275" i="6" s="1"/>
  <c r="D354" i="24"/>
  <c r="E354" i="24" s="1"/>
  <c r="F354" i="24" s="1"/>
  <c r="H354" i="24" s="1"/>
  <c r="D207" i="24"/>
  <c r="E207" i="24" s="1"/>
  <c r="F207" i="24" s="1"/>
  <c r="G207" i="24" s="1"/>
  <c r="CE207" i="6" s="1"/>
  <c r="D313" i="24"/>
  <c r="E313" i="24" s="1"/>
  <c r="F313" i="24" s="1"/>
  <c r="H313" i="24" s="1"/>
  <c r="W268" i="24"/>
  <c r="D30" i="24"/>
  <c r="E30" i="24" s="1"/>
  <c r="F30" i="24" s="1"/>
  <c r="G30" i="24" s="1"/>
  <c r="CE30" i="6" s="1"/>
  <c r="D346" i="24"/>
  <c r="E346" i="24" s="1"/>
  <c r="F346" i="24" s="1"/>
  <c r="H346" i="24" s="1"/>
  <c r="W151" i="24"/>
  <c r="D133" i="24"/>
  <c r="E133" i="24" s="1"/>
  <c r="F133" i="24" s="1"/>
  <c r="H133" i="24" s="1"/>
  <c r="W144" i="24"/>
  <c r="D308" i="24"/>
  <c r="E308" i="24" s="1"/>
  <c r="F308" i="24" s="1"/>
  <c r="H308" i="24" s="1"/>
  <c r="D218" i="24"/>
  <c r="E218" i="24" s="1"/>
  <c r="F218" i="24" s="1"/>
  <c r="G218" i="24" s="1"/>
  <c r="CE218" i="6" s="1"/>
  <c r="W124" i="24"/>
  <c r="W163" i="24"/>
  <c r="W201" i="24"/>
  <c r="W266" i="24"/>
  <c r="D137" i="24"/>
  <c r="E137" i="24" s="1"/>
  <c r="F137" i="24" s="1"/>
  <c r="G137" i="24" s="1"/>
  <c r="CE137" i="6" s="1"/>
  <c r="W256" i="24"/>
  <c r="W344" i="24"/>
  <c r="D342" i="24"/>
  <c r="E342" i="24" s="1"/>
  <c r="F342" i="24" s="1"/>
  <c r="G342" i="24" s="1"/>
  <c r="CE342" i="6" s="1"/>
  <c r="W224" i="24"/>
  <c r="W200" i="24"/>
  <c r="D310" i="24"/>
  <c r="E310" i="24" s="1"/>
  <c r="F310" i="24" s="1"/>
  <c r="H310" i="24" s="1"/>
  <c r="D85" i="24"/>
  <c r="E85" i="24" s="1"/>
  <c r="F85" i="24" s="1"/>
  <c r="W167" i="24"/>
  <c r="D38" i="24"/>
  <c r="E38" i="24" s="1"/>
  <c r="F38" i="24" s="1"/>
  <c r="H38" i="24" s="1"/>
  <c r="W328" i="24"/>
  <c r="W140" i="24"/>
  <c r="W212" i="24"/>
  <c r="W244" i="24"/>
  <c r="D367" i="24"/>
  <c r="E367" i="24" s="1"/>
  <c r="F367" i="24" s="1"/>
  <c r="H367" i="24" s="1"/>
  <c r="D165" i="24"/>
  <c r="E165" i="24" s="1"/>
  <c r="F165" i="24" s="1"/>
  <c r="D307" i="24"/>
  <c r="E307" i="24" s="1"/>
  <c r="F307" i="24" s="1"/>
  <c r="G307" i="24" s="1"/>
  <c r="CE307" i="6" s="1"/>
  <c r="D261" i="24"/>
  <c r="E261" i="24" s="1"/>
  <c r="F261" i="24" s="1"/>
  <c r="W44" i="24"/>
  <c r="D158" i="24"/>
  <c r="E158" i="24" s="1"/>
  <c r="F158" i="24" s="1"/>
  <c r="G158" i="24" s="1"/>
  <c r="CE158" i="6" s="1"/>
  <c r="D186" i="24"/>
  <c r="E186" i="24" s="1"/>
  <c r="F186" i="24" s="1"/>
  <c r="G186" i="24" s="1"/>
  <c r="CE186" i="6" s="1"/>
  <c r="D181" i="24"/>
  <c r="E181" i="24" s="1"/>
  <c r="F181" i="24" s="1"/>
  <c r="W260" i="24"/>
  <c r="D174" i="24"/>
  <c r="E174" i="24" s="1"/>
  <c r="F174" i="24" s="1"/>
  <c r="H174" i="24" s="1"/>
  <c r="W245" i="24"/>
  <c r="D75" i="24"/>
  <c r="E75" i="24" s="1"/>
  <c r="F75" i="24" s="1"/>
  <c r="W152" i="24"/>
  <c r="W39" i="24"/>
  <c r="AH65" i="7"/>
  <c r="W36" i="24"/>
  <c r="D189" i="24"/>
  <c r="E189" i="24" s="1"/>
  <c r="F189" i="24" s="1"/>
  <c r="H189" i="24" s="1"/>
  <c r="W336" i="24"/>
  <c r="D234" i="24"/>
  <c r="E234" i="24" s="1"/>
  <c r="F234" i="24" s="1"/>
  <c r="G234" i="24" s="1"/>
  <c r="CE234" i="6" s="1"/>
  <c r="D175" i="24"/>
  <c r="E175" i="24" s="1"/>
  <c r="F175" i="24" s="1"/>
  <c r="D193" i="24"/>
  <c r="E193" i="24" s="1"/>
  <c r="F193" i="24" s="1"/>
  <c r="D50" i="24"/>
  <c r="E50" i="24" s="1"/>
  <c r="F50" i="24" s="1"/>
  <c r="G50" i="24" s="1"/>
  <c r="CE50" i="6" s="1"/>
  <c r="D191" i="24"/>
  <c r="E191" i="24" s="1"/>
  <c r="F191" i="24" s="1"/>
  <c r="G191" i="24" s="1"/>
  <c r="CE191" i="6" s="1"/>
  <c r="W56" i="24"/>
  <c r="D228" i="24"/>
  <c r="E228" i="24" s="1"/>
  <c r="F228" i="24" s="1"/>
  <c r="G228" i="24" s="1"/>
  <c r="CE228" i="6" s="1"/>
  <c r="W280" i="24"/>
  <c r="W142" i="24"/>
  <c r="D142" i="24"/>
  <c r="E142" i="24" s="1"/>
  <c r="F142" i="24" s="1"/>
  <c r="H142" i="24" s="1"/>
  <c r="I142" i="24" s="1"/>
  <c r="D99" i="24"/>
  <c r="E99" i="24" s="1"/>
  <c r="F99" i="24" s="1"/>
  <c r="D219" i="24"/>
  <c r="E219" i="24" s="1"/>
  <c r="F219" i="24" s="1"/>
  <c r="H219" i="24" s="1"/>
  <c r="W309" i="24"/>
  <c r="D371" i="24"/>
  <c r="E371" i="24" s="1"/>
  <c r="F371" i="24" s="1"/>
  <c r="D192" i="24"/>
  <c r="E192" i="24" s="1"/>
  <c r="F192" i="24" s="1"/>
  <c r="W295" i="24"/>
  <c r="W172" i="24"/>
  <c r="D213" i="24"/>
  <c r="E213" i="24" s="1"/>
  <c r="F213" i="24" s="1"/>
  <c r="H213" i="24" s="1"/>
  <c r="W233" i="24"/>
  <c r="W120" i="24"/>
  <c r="W164" i="24"/>
  <c r="W253" i="24"/>
  <c r="D188" i="24"/>
  <c r="E188" i="24" s="1"/>
  <c r="F188" i="24" s="1"/>
  <c r="G188" i="24" s="1"/>
  <c r="CE188" i="6" s="1"/>
  <c r="W311" i="24"/>
  <c r="D176" i="24"/>
  <c r="E176" i="24" s="1"/>
  <c r="F176" i="24" s="1"/>
  <c r="H176" i="24" s="1"/>
  <c r="D33" i="24"/>
  <c r="E33" i="24" s="1"/>
  <c r="F33" i="24" s="1"/>
  <c r="G33" i="24" s="1"/>
  <c r="CE33" i="6" s="1"/>
  <c r="D355" i="24"/>
  <c r="E355" i="24" s="1"/>
  <c r="F355" i="24" s="1"/>
  <c r="H355" i="24" s="1"/>
  <c r="W347" i="24"/>
  <c r="D236" i="24"/>
  <c r="E236" i="24" s="1"/>
  <c r="F236" i="24" s="1"/>
  <c r="H236" i="24" s="1"/>
  <c r="D365" i="24"/>
  <c r="E365" i="24" s="1"/>
  <c r="F365" i="24" s="1"/>
  <c r="H365" i="24" s="1"/>
  <c r="W91" i="24"/>
  <c r="W248" i="24"/>
  <c r="W122" i="24"/>
  <c r="D114" i="24"/>
  <c r="E114" i="24" s="1"/>
  <c r="F114" i="24" s="1"/>
  <c r="G114" i="24" s="1"/>
  <c r="CE114" i="6" s="1"/>
  <c r="D259" i="24"/>
  <c r="E259" i="24" s="1"/>
  <c r="F259" i="24" s="1"/>
  <c r="G259" i="24" s="1"/>
  <c r="CE259" i="6" s="1"/>
  <c r="W90" i="24"/>
  <c r="W61" i="24"/>
  <c r="D139" i="24"/>
  <c r="E139" i="24" s="1"/>
  <c r="F139" i="24" s="1"/>
  <c r="D21" i="24"/>
  <c r="E21" i="24" s="1"/>
  <c r="F21" i="24" s="1"/>
  <c r="G21" i="24" s="1"/>
  <c r="CE21" i="6" s="1"/>
  <c r="H319" i="24"/>
  <c r="J319" i="24" s="1"/>
  <c r="AE383" i="24"/>
  <c r="AE381" i="24"/>
  <c r="W319" i="24"/>
  <c r="H328" i="24"/>
  <c r="J328" i="24" s="1"/>
  <c r="H140" i="24"/>
  <c r="I140" i="24" s="1"/>
  <c r="H327" i="24"/>
  <c r="I327" i="24" s="1"/>
  <c r="H372" i="24"/>
  <c r="J372" i="24" s="1"/>
  <c r="H248" i="24"/>
  <c r="J248" i="24" s="1"/>
  <c r="H292" i="24"/>
  <c r="I292" i="24" s="1"/>
  <c r="H69" i="24"/>
  <c r="J69" i="24" s="1"/>
  <c r="H257" i="24"/>
  <c r="I257" i="24" s="1"/>
  <c r="I135" i="23"/>
  <c r="J135" i="23"/>
  <c r="J46" i="23"/>
  <c r="I46" i="23"/>
  <c r="AA241" i="23"/>
  <c r="Z241" i="23" s="1"/>
  <c r="Y241" i="23" s="1"/>
  <c r="G241" i="23"/>
  <c r="CD241" i="6" s="1"/>
  <c r="W283" i="24"/>
  <c r="D283" i="24"/>
  <c r="E283" i="24" s="1"/>
  <c r="F283" i="24" s="1"/>
  <c r="H283" i="24" s="1"/>
  <c r="G268" i="24"/>
  <c r="CE268" i="6" s="1"/>
  <c r="H151" i="24"/>
  <c r="G151" i="24"/>
  <c r="CE151" i="6" s="1"/>
  <c r="H144" i="24"/>
  <c r="G144" i="24"/>
  <c r="CE144" i="6" s="1"/>
  <c r="H25" i="24"/>
  <c r="G25" i="24"/>
  <c r="CE25" i="6" s="1"/>
  <c r="H124" i="24"/>
  <c r="G124" i="24"/>
  <c r="CE124" i="6" s="1"/>
  <c r="H232" i="24"/>
  <c r="G232" i="24"/>
  <c r="CE232" i="6" s="1"/>
  <c r="H163" i="24"/>
  <c r="G163" i="24"/>
  <c r="CE163" i="6" s="1"/>
  <c r="G201" i="24"/>
  <c r="CE201" i="6" s="1"/>
  <c r="H201" i="24"/>
  <c r="G172" i="24"/>
  <c r="CE172" i="6" s="1"/>
  <c r="H185" i="24"/>
  <c r="G185" i="24"/>
  <c r="CE185" i="6" s="1"/>
  <c r="B88" i="24"/>
  <c r="G266" i="24"/>
  <c r="CE266" i="6" s="1"/>
  <c r="H266" i="24"/>
  <c r="H338" i="24"/>
  <c r="G338" i="24"/>
  <c r="CE338" i="6" s="1"/>
  <c r="G17" i="24"/>
  <c r="CE17" i="6" s="1"/>
  <c r="H17" i="24"/>
  <c r="G256" i="24"/>
  <c r="CE256" i="6" s="1"/>
  <c r="H256" i="24"/>
  <c r="G120" i="24"/>
  <c r="CE120" i="6" s="1"/>
  <c r="H120" i="24"/>
  <c r="G344" i="24"/>
  <c r="CE344" i="6" s="1"/>
  <c r="H344" i="24"/>
  <c r="G164" i="24"/>
  <c r="CE164" i="6" s="1"/>
  <c r="H164" i="24"/>
  <c r="H224" i="24"/>
  <c r="G224" i="24"/>
  <c r="CE224" i="6" s="1"/>
  <c r="G200" i="24"/>
  <c r="CE200" i="6" s="1"/>
  <c r="H200" i="24"/>
  <c r="G109" i="24"/>
  <c r="CE109" i="6" s="1"/>
  <c r="H109" i="24"/>
  <c r="G347" i="24"/>
  <c r="CE347" i="6" s="1"/>
  <c r="H347" i="24"/>
  <c r="H167" i="24"/>
  <c r="G167" i="24"/>
  <c r="CE167" i="6" s="1"/>
  <c r="H326" i="24"/>
  <c r="G326" i="24"/>
  <c r="CE326" i="6" s="1"/>
  <c r="G328" i="24"/>
  <c r="CE328" i="6" s="1"/>
  <c r="G334" i="24"/>
  <c r="CE334" i="6" s="1"/>
  <c r="H334" i="24"/>
  <c r="G140" i="24"/>
  <c r="CE140" i="6" s="1"/>
  <c r="G248" i="24"/>
  <c r="CE248" i="6" s="1"/>
  <c r="G292" i="24"/>
  <c r="CE292" i="6" s="1"/>
  <c r="G212" i="24"/>
  <c r="CE212" i="6" s="1"/>
  <c r="G322" i="24"/>
  <c r="CE322" i="6" s="1"/>
  <c r="H322" i="24"/>
  <c r="H244" i="24"/>
  <c r="G244" i="24"/>
  <c r="CE244" i="6" s="1"/>
  <c r="H170" i="24"/>
  <c r="G170" i="24"/>
  <c r="CE170" i="6" s="1"/>
  <c r="H36" i="24"/>
  <c r="G36" i="24"/>
  <c r="CE36" i="6" s="1"/>
  <c r="H168" i="24"/>
  <c r="G168" i="24"/>
  <c r="CE168" i="6" s="1"/>
  <c r="H44" i="24"/>
  <c r="G44" i="24"/>
  <c r="CE44" i="6" s="1"/>
  <c r="H377" i="24"/>
  <c r="G377" i="24"/>
  <c r="CE377" i="6" s="1"/>
  <c r="G243" i="24"/>
  <c r="CE243" i="6" s="1"/>
  <c r="G301" i="24"/>
  <c r="CE301" i="6" s="1"/>
  <c r="H301" i="24"/>
  <c r="G162" i="24"/>
  <c r="CE162" i="6" s="1"/>
  <c r="H57" i="24"/>
  <c r="G57" i="24"/>
  <c r="CE57" i="6" s="1"/>
  <c r="G56" i="24"/>
  <c r="CE56" i="6" s="1"/>
  <c r="H56" i="24"/>
  <c r="H260" i="24"/>
  <c r="G260" i="24"/>
  <c r="CE260" i="6" s="1"/>
  <c r="G280" i="24"/>
  <c r="CE280" i="6" s="1"/>
  <c r="H280" i="24"/>
  <c r="G128" i="24"/>
  <c r="CE128" i="6" s="1"/>
  <c r="H245" i="24"/>
  <c r="G245" i="24"/>
  <c r="CE245" i="6" s="1"/>
  <c r="G332" i="24"/>
  <c r="CE332" i="6" s="1"/>
  <c r="H332" i="24"/>
  <c r="H291" i="24"/>
  <c r="G291" i="24"/>
  <c r="CE291" i="6" s="1"/>
  <c r="G152" i="24"/>
  <c r="CE152" i="6" s="1"/>
  <c r="H152" i="24"/>
  <c r="G331" i="24"/>
  <c r="CE331" i="6" s="1"/>
  <c r="H331" i="24"/>
  <c r="G136" i="24"/>
  <c r="CE136" i="6" s="1"/>
  <c r="G76" i="24"/>
  <c r="CE76" i="6" s="1"/>
  <c r="G210" i="23"/>
  <c r="CD210" i="6" s="1"/>
  <c r="AA210" i="23"/>
  <c r="Z210" i="23" s="1"/>
  <c r="Y210" i="23" s="1"/>
  <c r="J29" i="23"/>
  <c r="I29" i="23"/>
  <c r="H268" i="24"/>
  <c r="I74" i="23"/>
  <c r="J74" i="23"/>
  <c r="H212" i="24"/>
  <c r="G39" i="24"/>
  <c r="CE39" i="6" s="1"/>
  <c r="G372" i="24"/>
  <c r="CE372" i="6" s="1"/>
  <c r="G23" i="24"/>
  <c r="CE23" i="6" s="1"/>
  <c r="H23" i="24"/>
  <c r="H297" i="24"/>
  <c r="G297" i="24"/>
  <c r="CE297" i="6" s="1"/>
  <c r="H20" i="24"/>
  <c r="G20" i="24"/>
  <c r="CE20" i="6" s="1"/>
  <c r="H360" i="24"/>
  <c r="G341" i="24"/>
  <c r="CE341" i="6" s="1"/>
  <c r="H341" i="24"/>
  <c r="B149" i="24"/>
  <c r="H161" i="24"/>
  <c r="G161" i="24"/>
  <c r="CE161" i="6" s="1"/>
  <c r="G150" i="24"/>
  <c r="CE150" i="6" s="1"/>
  <c r="H150" i="24"/>
  <c r="G211" i="24"/>
  <c r="CE211" i="6" s="1"/>
  <c r="H211" i="24"/>
  <c r="Q382" i="24"/>
  <c r="Q381" i="24"/>
  <c r="H378" i="24"/>
  <c r="G378" i="24"/>
  <c r="CE378" i="6" s="1"/>
  <c r="H198" i="24"/>
  <c r="G130" i="24"/>
  <c r="CE130" i="6" s="1"/>
  <c r="H130" i="24"/>
  <c r="G81" i="24"/>
  <c r="CE81" i="6" s="1"/>
  <c r="H81" i="24"/>
  <c r="H160" i="24"/>
  <c r="G160" i="24"/>
  <c r="CE160" i="6" s="1"/>
  <c r="H100" i="24"/>
  <c r="G100" i="24"/>
  <c r="CE100" i="6" s="1"/>
  <c r="G19" i="24"/>
  <c r="CE19" i="6" s="1"/>
  <c r="H19" i="24"/>
  <c r="H362" i="24"/>
  <c r="G362" i="24"/>
  <c r="CE362" i="6" s="1"/>
  <c r="G273" i="24"/>
  <c r="CE273" i="6" s="1"/>
  <c r="H273" i="24"/>
  <c r="H376" i="24"/>
  <c r="G376" i="24"/>
  <c r="CE376" i="6" s="1"/>
  <c r="H337" i="24"/>
  <c r="G337" i="24"/>
  <c r="CE337" i="6" s="1"/>
  <c r="H34" i="24"/>
  <c r="G34" i="24"/>
  <c r="CE34" i="6" s="1"/>
  <c r="G303" i="24"/>
  <c r="CE303" i="6" s="1"/>
  <c r="H303" i="24"/>
  <c r="G141" i="24"/>
  <c r="CE141" i="6" s="1"/>
  <c r="H141" i="24"/>
  <c r="G321" i="24"/>
  <c r="CE321" i="6" s="1"/>
  <c r="H321" i="24"/>
  <c r="H184" i="24"/>
  <c r="G184" i="24"/>
  <c r="CE184" i="6" s="1"/>
  <c r="H318" i="24"/>
  <c r="G318" i="24"/>
  <c r="CE318" i="6" s="1"/>
  <c r="G153" i="24"/>
  <c r="CE153" i="6" s="1"/>
  <c r="H153" i="24"/>
  <c r="H24" i="24"/>
  <c r="G24" i="24"/>
  <c r="CE24" i="6" s="1"/>
  <c r="G103" i="24"/>
  <c r="CE103" i="6" s="1"/>
  <c r="D288" i="24"/>
  <c r="E288" i="24" s="1"/>
  <c r="F288" i="24" s="1"/>
  <c r="W288" i="24"/>
  <c r="G262" i="24"/>
  <c r="CE262" i="6" s="1"/>
  <c r="G356" i="24"/>
  <c r="CE356" i="6" s="1"/>
  <c r="B241" i="24"/>
  <c r="G340" i="24"/>
  <c r="CE340" i="6" s="1"/>
  <c r="H340" i="24"/>
  <c r="G221" i="24"/>
  <c r="CE221" i="6" s="1"/>
  <c r="G27" i="24"/>
  <c r="CE27" i="6" s="1"/>
  <c r="H27" i="24"/>
  <c r="H312" i="24"/>
  <c r="G312" i="24"/>
  <c r="CE312" i="6" s="1"/>
  <c r="H272" i="23"/>
  <c r="AA272" i="23"/>
  <c r="Z272" i="23" s="1"/>
  <c r="Y272" i="23" s="1"/>
  <c r="G272" i="23"/>
  <c r="CD272" i="6" s="1"/>
  <c r="H76" i="24"/>
  <c r="G333" i="23"/>
  <c r="CD333" i="6" s="1"/>
  <c r="AA333" i="23"/>
  <c r="Z333" i="23" s="1"/>
  <c r="Y333" i="23" s="1"/>
  <c r="G309" i="24"/>
  <c r="CE309" i="6" s="1"/>
  <c r="G295" i="24"/>
  <c r="CE295" i="6" s="1"/>
  <c r="H295" i="24"/>
  <c r="G233" i="24"/>
  <c r="CE233" i="6" s="1"/>
  <c r="H233" i="24"/>
  <c r="G253" i="24"/>
  <c r="CE253" i="6" s="1"/>
  <c r="G311" i="24"/>
  <c r="CE311" i="6" s="1"/>
  <c r="H311" i="24"/>
  <c r="H91" i="24"/>
  <c r="G91" i="24"/>
  <c r="CE91" i="6" s="1"/>
  <c r="H122" i="24"/>
  <c r="G122" i="24"/>
  <c r="CE122" i="6" s="1"/>
  <c r="G336" i="24"/>
  <c r="CE336" i="6" s="1"/>
  <c r="H336" i="24"/>
  <c r="G90" i="24"/>
  <c r="CE90" i="6" s="1"/>
  <c r="H90" i="24"/>
  <c r="B180" i="24"/>
  <c r="G61" i="24"/>
  <c r="CE61" i="6" s="1"/>
  <c r="H61" i="24"/>
  <c r="J349" i="23"/>
  <c r="I349" i="23"/>
  <c r="I105" i="23"/>
  <c r="H105" i="24" s="1"/>
  <c r="I105" i="24" s="1"/>
  <c r="J105" i="23"/>
  <c r="G69" i="24"/>
  <c r="CE69" i="6" s="1"/>
  <c r="G257" i="24"/>
  <c r="CE257" i="6" s="1"/>
  <c r="H49" i="24"/>
  <c r="G49" i="24"/>
  <c r="CE49" i="6" s="1"/>
  <c r="G267" i="24"/>
  <c r="CE267" i="6" s="1"/>
  <c r="H267" i="24"/>
  <c r="Q383" i="24"/>
  <c r="G226" i="24"/>
  <c r="CE226" i="6" s="1"/>
  <c r="H226" i="24"/>
  <c r="G277" i="24"/>
  <c r="CE277" i="6" s="1"/>
  <c r="H277" i="24"/>
  <c r="H263" i="24"/>
  <c r="G263" i="24"/>
  <c r="CE263" i="6" s="1"/>
  <c r="D29" i="24"/>
  <c r="E29" i="24" s="1"/>
  <c r="F29" i="24" s="1"/>
  <c r="W29" i="24"/>
  <c r="G237" i="24"/>
  <c r="CE237" i="6" s="1"/>
  <c r="H237" i="24"/>
  <c r="H215" i="24"/>
  <c r="G215" i="24"/>
  <c r="CE215" i="6" s="1"/>
  <c r="G66" i="24"/>
  <c r="CE66" i="6" s="1"/>
  <c r="H66" i="24"/>
  <c r="G53" i="24"/>
  <c r="CE53" i="6" s="1"/>
  <c r="H53" i="24"/>
  <c r="G306" i="24"/>
  <c r="CE306" i="6" s="1"/>
  <c r="H306" i="24"/>
  <c r="G327" i="24"/>
  <c r="CE327" i="6" s="1"/>
  <c r="G116" i="24"/>
  <c r="CE116" i="6" s="1"/>
  <c r="G83" i="24"/>
  <c r="CE83" i="6" s="1"/>
  <c r="G271" i="24"/>
  <c r="CE271" i="6" s="1"/>
  <c r="G282" i="24"/>
  <c r="CE282" i="6" s="1"/>
  <c r="H282" i="24"/>
  <c r="G166" i="24"/>
  <c r="CE166" i="6" s="1"/>
  <c r="G126" i="24"/>
  <c r="CE126" i="6" s="1"/>
  <c r="G330" i="24"/>
  <c r="CE330" i="6" s="1"/>
  <c r="H330" i="24"/>
  <c r="G157" i="24"/>
  <c r="CE157" i="6" s="1"/>
  <c r="H157" i="24"/>
  <c r="G51" i="24"/>
  <c r="CE51" i="6" s="1"/>
  <c r="H51" i="24"/>
  <c r="G294" i="24"/>
  <c r="CE294" i="6" s="1"/>
  <c r="H294" i="24"/>
  <c r="B333" i="24"/>
  <c r="G353" i="24"/>
  <c r="CE353" i="6" s="1"/>
  <c r="H353" i="24"/>
  <c r="BE15" i="7"/>
  <c r="Q10" i="25"/>
  <c r="AE11" i="25" s="1"/>
  <c r="H31" i="24"/>
  <c r="G31" i="24"/>
  <c r="CE31" i="6" s="1"/>
  <c r="H111" i="24"/>
  <c r="G111" i="24"/>
  <c r="CE111" i="6" s="1"/>
  <c r="G325" i="24"/>
  <c r="CE325" i="6" s="1"/>
  <c r="H325" i="24"/>
  <c r="J166" i="23"/>
  <c r="I166" i="23"/>
  <c r="H166" i="24" s="1"/>
  <c r="G302" i="23"/>
  <c r="CD302" i="6" s="1"/>
  <c r="AA302" i="23"/>
  <c r="Z302" i="23" s="1"/>
  <c r="Y302" i="23" s="1"/>
  <c r="H369" i="24" l="1"/>
  <c r="H351" i="24"/>
  <c r="J351" i="24" s="1"/>
  <c r="W162" i="24"/>
  <c r="D169" i="24"/>
  <c r="E169" i="24" s="1"/>
  <c r="F169" i="24" s="1"/>
  <c r="H169" i="24" s="1"/>
  <c r="H94" i="24"/>
  <c r="W230" i="24"/>
  <c r="H366" i="24"/>
  <c r="H73" i="24"/>
  <c r="J73" i="24" s="1"/>
  <c r="H87" i="24"/>
  <c r="J87" i="24" s="1"/>
  <c r="U126" i="25"/>
  <c r="T126" i="25" s="1"/>
  <c r="S126" i="25" s="1"/>
  <c r="R126" i="25" s="1"/>
  <c r="U228" i="25"/>
  <c r="T228" i="25" s="1"/>
  <c r="S228" i="25" s="1"/>
  <c r="R228" i="25" s="1"/>
  <c r="H65" i="24"/>
  <c r="J65" i="24" s="1"/>
  <c r="G42" i="24"/>
  <c r="CE42" i="6" s="1"/>
  <c r="H55" i="24"/>
  <c r="J55" i="24" s="1"/>
  <c r="W352" i="24"/>
  <c r="W92" i="24"/>
  <c r="D156" i="24"/>
  <c r="E156" i="24" s="1"/>
  <c r="F156" i="24" s="1"/>
  <c r="G156" i="24" s="1"/>
  <c r="CE156" i="6" s="1"/>
  <c r="W65" i="24"/>
  <c r="W368" i="24"/>
  <c r="W199" i="24"/>
  <c r="W366" i="24"/>
  <c r="D102" i="24"/>
  <c r="E102" i="24" s="1"/>
  <c r="F102" i="24" s="1"/>
  <c r="G102" i="24" s="1"/>
  <c r="CE102" i="6" s="1"/>
  <c r="D77" i="24"/>
  <c r="E77" i="24" s="1"/>
  <c r="F77" i="24" s="1"/>
  <c r="G77" i="24" s="1"/>
  <c r="CE77" i="6" s="1"/>
  <c r="D357" i="24"/>
  <c r="E357" i="24" s="1"/>
  <c r="F357" i="24" s="1"/>
  <c r="H357" i="24" s="1"/>
  <c r="J357" i="24" s="1"/>
  <c r="H98" i="24"/>
  <c r="I98" i="24" s="1"/>
  <c r="G350" i="24"/>
  <c r="CE350" i="6" s="1"/>
  <c r="H154" i="24"/>
  <c r="I154" i="24" s="1"/>
  <c r="G199" i="24"/>
  <c r="CE199" i="6" s="1"/>
  <c r="K69" i="19"/>
  <c r="G143" i="24"/>
  <c r="CE143" i="6" s="1"/>
  <c r="G69" i="19"/>
  <c r="D302" i="24"/>
  <c r="E302" i="24" s="1"/>
  <c r="F302" i="24" s="1"/>
  <c r="G302" i="24" s="1"/>
  <c r="CE302" i="6" s="1"/>
  <c r="H37" i="24"/>
  <c r="J37" i="24" s="1"/>
  <c r="H368" i="24"/>
  <c r="I368" i="24" s="1"/>
  <c r="H250" i="24"/>
  <c r="I250" i="24" s="1"/>
  <c r="G127" i="24"/>
  <c r="CE127" i="6" s="1"/>
  <c r="G352" i="24"/>
  <c r="CE352" i="6" s="1"/>
  <c r="G159" i="24"/>
  <c r="CE159" i="6" s="1"/>
  <c r="W37" i="24"/>
  <c r="W249" i="24"/>
  <c r="D179" i="24"/>
  <c r="E179" i="24" s="1"/>
  <c r="F179" i="24" s="1"/>
  <c r="H179" i="24" s="1"/>
  <c r="I179" i="24" s="1"/>
  <c r="D84" i="24"/>
  <c r="E84" i="24" s="1"/>
  <c r="F84" i="24" s="1"/>
  <c r="H84" i="24" s="1"/>
  <c r="J84" i="24" s="1"/>
  <c r="D300" i="24"/>
  <c r="E300" i="24" s="1"/>
  <c r="F300" i="24" s="1"/>
  <c r="H300" i="24" s="1"/>
  <c r="I300" i="24" s="1"/>
  <c r="D68" i="24"/>
  <c r="E68" i="24" s="1"/>
  <c r="F68" i="24" s="1"/>
  <c r="G68" i="24" s="1"/>
  <c r="CE68" i="6" s="1"/>
  <c r="W350" i="24"/>
  <c r="W250" i="24"/>
  <c r="H255" i="24"/>
  <c r="I255" i="24" s="1"/>
  <c r="H264" i="24"/>
  <c r="J264" i="24" s="1"/>
  <c r="H92" i="24"/>
  <c r="I92" i="24" s="1"/>
  <c r="W48" i="24"/>
  <c r="H48" i="24"/>
  <c r="I48" i="24" s="1"/>
  <c r="W159" i="24"/>
  <c r="W42" i="24"/>
  <c r="W314" i="24"/>
  <c r="D293" i="24"/>
  <c r="E293" i="24" s="1"/>
  <c r="F293" i="24" s="1"/>
  <c r="H293" i="24" s="1"/>
  <c r="J293" i="24" s="1"/>
  <c r="D35" i="24"/>
  <c r="E35" i="24" s="1"/>
  <c r="F35" i="24" s="1"/>
  <c r="G35" i="24" s="1"/>
  <c r="CE35" i="6" s="1"/>
  <c r="W55" i="24"/>
  <c r="W87" i="24"/>
  <c r="D299" i="24"/>
  <c r="E299" i="24" s="1"/>
  <c r="F299" i="24" s="1"/>
  <c r="G299" i="24" s="1"/>
  <c r="CE299" i="6" s="1"/>
  <c r="W128" i="24"/>
  <c r="W143" i="24"/>
  <c r="W243" i="24"/>
  <c r="D54" i="24"/>
  <c r="E54" i="24" s="1"/>
  <c r="F54" i="24" s="1"/>
  <c r="H54" i="24" s="1"/>
  <c r="J54" i="24" s="1"/>
  <c r="D324" i="24"/>
  <c r="E324" i="24" s="1"/>
  <c r="F324" i="24" s="1"/>
  <c r="H324" i="24" s="1"/>
  <c r="J324" i="24" s="1"/>
  <c r="D145" i="24"/>
  <c r="E145" i="24" s="1"/>
  <c r="F145" i="24" s="1"/>
  <c r="G145" i="24" s="1"/>
  <c r="CE145" i="6" s="1"/>
  <c r="D289" i="24"/>
  <c r="E289" i="24" s="1"/>
  <c r="F289" i="24" s="1"/>
  <c r="G289" i="24" s="1"/>
  <c r="CE289" i="6" s="1"/>
  <c r="D71" i="24"/>
  <c r="E71" i="24" s="1"/>
  <c r="F71" i="24" s="1"/>
  <c r="H71" i="24" s="1"/>
  <c r="J71" i="24" s="1"/>
  <c r="D110" i="24"/>
  <c r="E110" i="24" s="1"/>
  <c r="F110" i="24" s="1"/>
  <c r="H110" i="24" s="1"/>
  <c r="I110" i="24" s="1"/>
  <c r="D178" i="24"/>
  <c r="E178" i="24" s="1"/>
  <c r="F178" i="24" s="1"/>
  <c r="H178" i="24" s="1"/>
  <c r="J178" i="24" s="1"/>
  <c r="W73" i="24"/>
  <c r="D204" i="24"/>
  <c r="E204" i="24" s="1"/>
  <c r="F204" i="24" s="1"/>
  <c r="G204" i="24" s="1"/>
  <c r="CE204" i="6" s="1"/>
  <c r="D227" i="24"/>
  <c r="E227" i="24" s="1"/>
  <c r="F227" i="24" s="1"/>
  <c r="G227" i="24" s="1"/>
  <c r="CE227" i="6" s="1"/>
  <c r="W154" i="24"/>
  <c r="D89" i="24"/>
  <c r="E89" i="24" s="1"/>
  <c r="F89" i="24" s="1"/>
  <c r="H89" i="24" s="1"/>
  <c r="J89" i="24" s="1"/>
  <c r="W127" i="24"/>
  <c r="H249" i="24"/>
  <c r="I249" i="24" s="1"/>
  <c r="D265" i="24"/>
  <c r="E265" i="24" s="1"/>
  <c r="F265" i="24" s="1"/>
  <c r="G265" i="24" s="1"/>
  <c r="CE265" i="6" s="1"/>
  <c r="G230" i="24"/>
  <c r="CE230" i="6" s="1"/>
  <c r="I69" i="19"/>
  <c r="H16" i="24"/>
  <c r="I16" i="24" s="1"/>
  <c r="G276" i="24"/>
  <c r="CE276" i="6" s="1"/>
  <c r="G320" i="24"/>
  <c r="CE320" i="6" s="1"/>
  <c r="H125" i="24"/>
  <c r="I125" i="24" s="1"/>
  <c r="H40" i="24"/>
  <c r="I40" i="24" s="1"/>
  <c r="W112" i="24"/>
  <c r="W360" i="24"/>
  <c r="W74" i="24"/>
  <c r="W284" i="24"/>
  <c r="D138" i="24"/>
  <c r="E138" i="24" s="1"/>
  <c r="F138" i="24" s="1"/>
  <c r="H138" i="24" s="1"/>
  <c r="J138" i="24" s="1"/>
  <c r="W247" i="24"/>
  <c r="L69" i="19"/>
  <c r="G284" i="24"/>
  <c r="CE284" i="6" s="1"/>
  <c r="H251" i="24"/>
  <c r="J251" i="24" s="1"/>
  <c r="G247" i="24"/>
  <c r="CE247" i="6" s="1"/>
  <c r="G290" i="24"/>
  <c r="CE290" i="6" s="1"/>
  <c r="H123" i="24"/>
  <c r="J123" i="24" s="1"/>
  <c r="G205" i="24"/>
  <c r="CE205" i="6" s="1"/>
  <c r="G112" i="24"/>
  <c r="CE112" i="6" s="1"/>
  <c r="H47" i="24"/>
  <c r="I47" i="24" s="1"/>
  <c r="G26" i="24"/>
  <c r="CE26" i="6" s="1"/>
  <c r="W98" i="24"/>
  <c r="W320" i="24"/>
  <c r="W196" i="24"/>
  <c r="J69" i="19"/>
  <c r="H69" i="19"/>
  <c r="H225" i="24"/>
  <c r="J225" i="24" s="1"/>
  <c r="AH67" i="7"/>
  <c r="D101" i="24"/>
  <c r="E101" i="24" s="1"/>
  <c r="F101" i="24" s="1"/>
  <c r="G101" i="24" s="1"/>
  <c r="CE101" i="6" s="1"/>
  <c r="W290" i="24"/>
  <c r="W123" i="24"/>
  <c r="U302" i="25"/>
  <c r="T302" i="25" s="1"/>
  <c r="S302" i="25" s="1"/>
  <c r="R302" i="25" s="1"/>
  <c r="U184" i="25"/>
  <c r="T184" i="25" s="1"/>
  <c r="S184" i="25" s="1"/>
  <c r="R184" i="25" s="1"/>
  <c r="F69" i="19"/>
  <c r="D69" i="19"/>
  <c r="W205" i="24"/>
  <c r="W125" i="24"/>
  <c r="D203" i="24"/>
  <c r="E203" i="24" s="1"/>
  <c r="F203" i="24" s="1"/>
  <c r="G203" i="24" s="1"/>
  <c r="CE203" i="6" s="1"/>
  <c r="D173" i="24"/>
  <c r="E173" i="24" s="1"/>
  <c r="F173" i="24" s="1"/>
  <c r="H173" i="24" s="1"/>
  <c r="I173" i="24" s="1"/>
  <c r="W47" i="24"/>
  <c r="W351" i="24"/>
  <c r="W26" i="24"/>
  <c r="D335" i="24"/>
  <c r="E335" i="24" s="1"/>
  <c r="F335" i="24" s="1"/>
  <c r="H335" i="24" s="1"/>
  <c r="J335" i="24" s="1"/>
  <c r="D67" i="24"/>
  <c r="E67" i="24" s="1"/>
  <c r="F67" i="24" s="1"/>
  <c r="H67" i="24" s="1"/>
  <c r="I67" i="24" s="1"/>
  <c r="W40" i="24"/>
  <c r="D214" i="24"/>
  <c r="E214" i="24" s="1"/>
  <c r="F214" i="24" s="1"/>
  <c r="H214" i="24" s="1"/>
  <c r="J214" i="24" s="1"/>
  <c r="D270" i="24"/>
  <c r="E270" i="24" s="1"/>
  <c r="F270" i="24" s="1"/>
  <c r="G270" i="24" s="1"/>
  <c r="CE270" i="6" s="1"/>
  <c r="D208" i="24"/>
  <c r="E208" i="24" s="1"/>
  <c r="F208" i="24" s="1"/>
  <c r="H208" i="24" s="1"/>
  <c r="J208" i="24" s="1"/>
  <c r="D147" i="24"/>
  <c r="E147" i="24" s="1"/>
  <c r="F147" i="24" s="1"/>
  <c r="H147" i="24" s="1"/>
  <c r="I147" i="24" s="1"/>
  <c r="D286" i="24"/>
  <c r="E286" i="24" s="1"/>
  <c r="F286" i="24" s="1"/>
  <c r="H286" i="24" s="1"/>
  <c r="I286" i="24" s="1"/>
  <c r="D304" i="24"/>
  <c r="E304" i="24" s="1"/>
  <c r="F304" i="24" s="1"/>
  <c r="H304" i="24" s="1"/>
  <c r="J304" i="24" s="1"/>
  <c r="D298" i="24"/>
  <c r="E298" i="24" s="1"/>
  <c r="F298" i="24" s="1"/>
  <c r="G298" i="24" s="1"/>
  <c r="CE298" i="6" s="1"/>
  <c r="U92" i="25"/>
  <c r="T92" i="25" s="1"/>
  <c r="S92" i="25" s="1"/>
  <c r="R92" i="25" s="1"/>
  <c r="U62" i="25"/>
  <c r="T62" i="25" s="1"/>
  <c r="S62" i="25" s="1"/>
  <c r="R62" i="25" s="1"/>
  <c r="U70" i="25"/>
  <c r="T70" i="25" s="1"/>
  <c r="S70" i="25" s="1"/>
  <c r="R70" i="25" s="1"/>
  <c r="U53" i="25"/>
  <c r="T53" i="25" s="1"/>
  <c r="S53" i="25" s="1"/>
  <c r="R53" i="25" s="1"/>
  <c r="U37" i="25"/>
  <c r="T37" i="25" s="1"/>
  <c r="S37" i="25" s="1"/>
  <c r="R37" i="25" s="1"/>
  <c r="U280" i="25"/>
  <c r="T280" i="25" s="1"/>
  <c r="S280" i="25" s="1"/>
  <c r="R280" i="25" s="1"/>
  <c r="U368" i="25"/>
  <c r="T368" i="25" s="1"/>
  <c r="S368" i="25" s="1"/>
  <c r="R368" i="25" s="1"/>
  <c r="U318" i="25"/>
  <c r="T318" i="25" s="1"/>
  <c r="S318" i="25" s="1"/>
  <c r="R318" i="25" s="1"/>
  <c r="U227" i="25"/>
  <c r="T227" i="25" s="1"/>
  <c r="S227" i="25" s="1"/>
  <c r="R227" i="25" s="1"/>
  <c r="U288" i="25"/>
  <c r="T288" i="25" s="1"/>
  <c r="S288" i="25" s="1"/>
  <c r="R288" i="25" s="1"/>
  <c r="AD191" i="24"/>
  <c r="AA191" i="24" s="1"/>
  <c r="Z191" i="24" s="1"/>
  <c r="Y191" i="24" s="1"/>
  <c r="W221" i="24"/>
  <c r="D177" i="24"/>
  <c r="E177" i="24" s="1"/>
  <c r="F177" i="24" s="1"/>
  <c r="H177" i="24" s="1"/>
  <c r="J177" i="24" s="1"/>
  <c r="D220" i="24"/>
  <c r="E220" i="24" s="1"/>
  <c r="F220" i="24" s="1"/>
  <c r="G220" i="24" s="1"/>
  <c r="CE220" i="6" s="1"/>
  <c r="W276" i="24"/>
  <c r="W198" i="24"/>
  <c r="W251" i="24"/>
  <c r="W271" i="24"/>
  <c r="H196" i="24"/>
  <c r="J196" i="24" s="1"/>
  <c r="D96" i="24"/>
  <c r="E96" i="24" s="1"/>
  <c r="F96" i="24" s="1"/>
  <c r="G96" i="24" s="1"/>
  <c r="CE96" i="6" s="1"/>
  <c r="D339" i="24"/>
  <c r="E339" i="24" s="1"/>
  <c r="F339" i="24" s="1"/>
  <c r="G339" i="24" s="1"/>
  <c r="CE339" i="6" s="1"/>
  <c r="U305" i="25"/>
  <c r="T305" i="25" s="1"/>
  <c r="S305" i="25" s="1"/>
  <c r="R305" i="25" s="1"/>
  <c r="H278" i="24"/>
  <c r="J278" i="24" s="1"/>
  <c r="U234" i="25"/>
  <c r="T234" i="25" s="1"/>
  <c r="S234" i="25" s="1"/>
  <c r="R234" i="25" s="1"/>
  <c r="U347" i="25"/>
  <c r="T347" i="25" s="1"/>
  <c r="S347" i="25" s="1"/>
  <c r="R347" i="25" s="1"/>
  <c r="U301" i="25"/>
  <c r="T301" i="25" s="1"/>
  <c r="S301" i="25" s="1"/>
  <c r="R301" i="25" s="1"/>
  <c r="U166" i="25"/>
  <c r="T166" i="25" s="1"/>
  <c r="S166" i="25" s="1"/>
  <c r="R166" i="25" s="1"/>
  <c r="U291" i="25"/>
  <c r="T291" i="25" s="1"/>
  <c r="S291" i="25" s="1"/>
  <c r="R291" i="25" s="1"/>
  <c r="U108" i="25"/>
  <c r="T108" i="25" s="1"/>
  <c r="S108" i="25" s="1"/>
  <c r="R108" i="25" s="1"/>
  <c r="U265" i="25"/>
  <c r="T265" i="25" s="1"/>
  <c r="S265" i="25" s="1"/>
  <c r="R265" i="25" s="1"/>
  <c r="U188" i="25"/>
  <c r="T188" i="25" s="1"/>
  <c r="S188" i="25" s="1"/>
  <c r="R188" i="25" s="1"/>
  <c r="U112" i="25"/>
  <c r="T112" i="25" s="1"/>
  <c r="S112" i="25" s="1"/>
  <c r="R112" i="25" s="1"/>
  <c r="U331" i="25"/>
  <c r="T331" i="25" s="1"/>
  <c r="S331" i="25" s="1"/>
  <c r="R331" i="25" s="1"/>
  <c r="U115" i="25"/>
  <c r="T115" i="25" s="1"/>
  <c r="S115" i="25" s="1"/>
  <c r="R115" i="25" s="1"/>
  <c r="H104" i="24"/>
  <c r="J104" i="24" s="1"/>
  <c r="AH59" i="7"/>
  <c r="V119" i="24"/>
  <c r="E40" i="19"/>
  <c r="BG16" i="7"/>
  <c r="U60" i="25"/>
  <c r="T60" i="25" s="1"/>
  <c r="S60" i="25" s="1"/>
  <c r="R60" i="25" s="1"/>
  <c r="U30" i="25"/>
  <c r="T30" i="25" s="1"/>
  <c r="S30" i="25" s="1"/>
  <c r="R30" i="25" s="1"/>
  <c r="U15" i="25"/>
  <c r="U81" i="25"/>
  <c r="T81" i="25" s="1"/>
  <c r="S81" i="25" s="1"/>
  <c r="R81" i="25" s="1"/>
  <c r="U25" i="25"/>
  <c r="T25" i="25" s="1"/>
  <c r="S25" i="25" s="1"/>
  <c r="R25" i="25" s="1"/>
  <c r="U86" i="25"/>
  <c r="T86" i="25" s="1"/>
  <c r="S86" i="25" s="1"/>
  <c r="R86" i="25" s="1"/>
  <c r="U57" i="25"/>
  <c r="T57" i="25" s="1"/>
  <c r="S57" i="25" s="1"/>
  <c r="R57" i="25" s="1"/>
  <c r="U27" i="25"/>
  <c r="T27" i="25" s="1"/>
  <c r="S27" i="25" s="1"/>
  <c r="R27" i="25" s="1"/>
  <c r="U103" i="25"/>
  <c r="T103" i="25" s="1"/>
  <c r="S103" i="25" s="1"/>
  <c r="R103" i="25" s="1"/>
  <c r="U102" i="25"/>
  <c r="T102" i="25" s="1"/>
  <c r="S102" i="25" s="1"/>
  <c r="R102" i="25" s="1"/>
  <c r="U67" i="25"/>
  <c r="T67" i="25" s="1"/>
  <c r="S67" i="25" s="1"/>
  <c r="R67" i="25" s="1"/>
  <c r="U146" i="25"/>
  <c r="T146" i="25" s="1"/>
  <c r="S146" i="25" s="1"/>
  <c r="R146" i="25" s="1"/>
  <c r="U365" i="25"/>
  <c r="T365" i="25" s="1"/>
  <c r="S365" i="25" s="1"/>
  <c r="R365" i="25" s="1"/>
  <c r="U211" i="25"/>
  <c r="T211" i="25" s="1"/>
  <c r="S211" i="25" s="1"/>
  <c r="R211" i="25" s="1"/>
  <c r="U201" i="25"/>
  <c r="T201" i="25" s="1"/>
  <c r="S201" i="25" s="1"/>
  <c r="R201" i="25" s="1"/>
  <c r="U244" i="25"/>
  <c r="T244" i="25" s="1"/>
  <c r="S244" i="25" s="1"/>
  <c r="R244" i="25" s="1"/>
  <c r="U378" i="25"/>
  <c r="T378" i="25" s="1"/>
  <c r="S378" i="25" s="1"/>
  <c r="R378" i="25" s="1"/>
  <c r="U113" i="25"/>
  <c r="T113" i="25" s="1"/>
  <c r="S113" i="25" s="1"/>
  <c r="R113" i="25" s="1"/>
  <c r="U167" i="25"/>
  <c r="T167" i="25" s="1"/>
  <c r="S167" i="25" s="1"/>
  <c r="R167" i="25" s="1"/>
  <c r="U242" i="25"/>
  <c r="T242" i="25" s="1"/>
  <c r="S242" i="25" s="1"/>
  <c r="R242" i="25" s="1"/>
  <c r="U376" i="25"/>
  <c r="T376" i="25" s="1"/>
  <c r="S376" i="25" s="1"/>
  <c r="R376" i="25" s="1"/>
  <c r="U285" i="25"/>
  <c r="T285" i="25" s="1"/>
  <c r="S285" i="25" s="1"/>
  <c r="R285" i="25" s="1"/>
  <c r="U165" i="25"/>
  <c r="T165" i="25" s="1"/>
  <c r="S165" i="25" s="1"/>
  <c r="R165" i="25" s="1"/>
  <c r="U245" i="25"/>
  <c r="T245" i="25" s="1"/>
  <c r="S245" i="25" s="1"/>
  <c r="R245" i="25" s="1"/>
  <c r="U219" i="25"/>
  <c r="T219" i="25" s="1"/>
  <c r="S219" i="25" s="1"/>
  <c r="R219" i="25" s="1"/>
  <c r="U212" i="25"/>
  <c r="T212" i="25" s="1"/>
  <c r="S212" i="25" s="1"/>
  <c r="R212" i="25" s="1"/>
  <c r="U300" i="25"/>
  <c r="T300" i="25" s="1"/>
  <c r="S300" i="25" s="1"/>
  <c r="R300" i="25" s="1"/>
  <c r="U164" i="25"/>
  <c r="T164" i="25" s="1"/>
  <c r="S164" i="25" s="1"/>
  <c r="R164" i="25" s="1"/>
  <c r="U284" i="25"/>
  <c r="T284" i="25" s="1"/>
  <c r="S284" i="25" s="1"/>
  <c r="R284" i="25" s="1"/>
  <c r="U314" i="25"/>
  <c r="T314" i="25" s="1"/>
  <c r="S314" i="25" s="1"/>
  <c r="R314" i="25" s="1"/>
  <c r="U169" i="25"/>
  <c r="T169" i="25" s="1"/>
  <c r="S169" i="25" s="1"/>
  <c r="R169" i="25" s="1"/>
  <c r="U263" i="25"/>
  <c r="T263" i="25" s="1"/>
  <c r="S263" i="25" s="1"/>
  <c r="R263" i="25" s="1"/>
  <c r="U338" i="25"/>
  <c r="T338" i="25" s="1"/>
  <c r="S338" i="25" s="1"/>
  <c r="R338" i="25" s="1"/>
  <c r="AD260" i="24"/>
  <c r="AA260" i="24" s="1"/>
  <c r="Z260" i="24" s="1"/>
  <c r="Y260" i="24" s="1"/>
  <c r="AD347" i="24"/>
  <c r="AA347" i="24" s="1"/>
  <c r="Z347" i="24" s="1"/>
  <c r="Y347" i="24" s="1"/>
  <c r="F15" i="19"/>
  <c r="F31" i="19" s="1"/>
  <c r="E31" i="19"/>
  <c r="U267" i="25"/>
  <c r="T267" i="25" s="1"/>
  <c r="S267" i="25" s="1"/>
  <c r="R267" i="25" s="1"/>
  <c r="U74" i="25"/>
  <c r="T74" i="25" s="1"/>
  <c r="S74" i="25" s="1"/>
  <c r="R74" i="25" s="1"/>
  <c r="U50" i="25"/>
  <c r="T50" i="25" s="1"/>
  <c r="S50" i="25" s="1"/>
  <c r="R50" i="25" s="1"/>
  <c r="U63" i="25"/>
  <c r="T63" i="25" s="1"/>
  <c r="S63" i="25" s="1"/>
  <c r="R63" i="25" s="1"/>
  <c r="U35" i="25"/>
  <c r="T35" i="25" s="1"/>
  <c r="S35" i="25" s="1"/>
  <c r="R35" i="25" s="1"/>
  <c r="U72" i="25"/>
  <c r="T72" i="25" s="1"/>
  <c r="S72" i="25" s="1"/>
  <c r="R72" i="25" s="1"/>
  <c r="U95" i="25"/>
  <c r="T95" i="25" s="1"/>
  <c r="S95" i="25" s="1"/>
  <c r="R95" i="25" s="1"/>
  <c r="U29" i="25"/>
  <c r="T29" i="25" s="1"/>
  <c r="S29" i="25" s="1"/>
  <c r="R29" i="25" s="1"/>
  <c r="U51" i="25"/>
  <c r="T51" i="25" s="1"/>
  <c r="S51" i="25" s="1"/>
  <c r="R51" i="25" s="1"/>
  <c r="U73" i="25"/>
  <c r="T73" i="25" s="1"/>
  <c r="S73" i="25" s="1"/>
  <c r="R73" i="25" s="1"/>
  <c r="U39" i="25"/>
  <c r="T39" i="25" s="1"/>
  <c r="S39" i="25" s="1"/>
  <c r="R39" i="25" s="1"/>
  <c r="U59" i="25"/>
  <c r="T59" i="25" s="1"/>
  <c r="S59" i="25" s="1"/>
  <c r="R59" i="25" s="1"/>
  <c r="U76" i="25"/>
  <c r="T76" i="25" s="1"/>
  <c r="S76" i="25" s="1"/>
  <c r="R76" i="25" s="1"/>
  <c r="U84" i="25"/>
  <c r="T84" i="25" s="1"/>
  <c r="S84" i="25" s="1"/>
  <c r="R84" i="25" s="1"/>
  <c r="U64" i="25"/>
  <c r="T64" i="25" s="1"/>
  <c r="S64" i="25" s="1"/>
  <c r="R64" i="25" s="1"/>
  <c r="U80" i="25"/>
  <c r="T80" i="25" s="1"/>
  <c r="S80" i="25" s="1"/>
  <c r="R80" i="25" s="1"/>
  <c r="U23" i="25"/>
  <c r="T23" i="25" s="1"/>
  <c r="S23" i="25" s="1"/>
  <c r="R23" i="25" s="1"/>
  <c r="U43" i="25"/>
  <c r="T43" i="25" s="1"/>
  <c r="S43" i="25" s="1"/>
  <c r="R43" i="25" s="1"/>
  <c r="U66" i="25"/>
  <c r="T66" i="25" s="1"/>
  <c r="S66" i="25" s="1"/>
  <c r="R66" i="25" s="1"/>
  <c r="U71" i="25"/>
  <c r="T71" i="25" s="1"/>
  <c r="S71" i="25" s="1"/>
  <c r="R71" i="25" s="1"/>
  <c r="U49" i="25"/>
  <c r="T49" i="25" s="1"/>
  <c r="S49" i="25" s="1"/>
  <c r="R49" i="25" s="1"/>
  <c r="U42" i="25"/>
  <c r="T42" i="25" s="1"/>
  <c r="S42" i="25" s="1"/>
  <c r="R42" i="25" s="1"/>
  <c r="U36" i="25"/>
  <c r="T36" i="25" s="1"/>
  <c r="S36" i="25" s="1"/>
  <c r="R36" i="25" s="1"/>
  <c r="U342" i="25"/>
  <c r="T342" i="25" s="1"/>
  <c r="S342" i="25" s="1"/>
  <c r="R342" i="25" s="1"/>
  <c r="U222" i="25"/>
  <c r="T222" i="25" s="1"/>
  <c r="S222" i="25" s="1"/>
  <c r="R222" i="25" s="1"/>
  <c r="U332" i="25"/>
  <c r="T332" i="25" s="1"/>
  <c r="S332" i="25" s="1"/>
  <c r="R332" i="25" s="1"/>
  <c r="U177" i="25"/>
  <c r="T177" i="25" s="1"/>
  <c r="S177" i="25" s="1"/>
  <c r="R177" i="25" s="1"/>
  <c r="U320" i="25"/>
  <c r="T320" i="25" s="1"/>
  <c r="S320" i="25" s="1"/>
  <c r="R320" i="25" s="1"/>
  <c r="U193" i="25"/>
  <c r="T193" i="25" s="1"/>
  <c r="S193" i="25" s="1"/>
  <c r="R193" i="25" s="1"/>
  <c r="U119" i="25"/>
  <c r="T119" i="25" s="1"/>
  <c r="S119" i="25" s="1"/>
  <c r="R119" i="25" s="1"/>
  <c r="U259" i="25"/>
  <c r="T259" i="25" s="1"/>
  <c r="S259" i="25" s="1"/>
  <c r="R259" i="25" s="1"/>
  <c r="U210" i="25"/>
  <c r="T210" i="25" s="1"/>
  <c r="S210" i="25" s="1"/>
  <c r="R210" i="25" s="1"/>
  <c r="U286" i="25"/>
  <c r="T286" i="25" s="1"/>
  <c r="S286" i="25" s="1"/>
  <c r="R286" i="25" s="1"/>
  <c r="U247" i="25"/>
  <c r="T247" i="25" s="1"/>
  <c r="S247" i="25" s="1"/>
  <c r="R247" i="25" s="1"/>
  <c r="U140" i="25"/>
  <c r="T140" i="25" s="1"/>
  <c r="S140" i="25" s="1"/>
  <c r="R140" i="25" s="1"/>
  <c r="U335" i="25"/>
  <c r="T335" i="25" s="1"/>
  <c r="S335" i="25" s="1"/>
  <c r="R335" i="25" s="1"/>
  <c r="U260" i="25"/>
  <c r="T260" i="25" s="1"/>
  <c r="S260" i="25" s="1"/>
  <c r="R260" i="25" s="1"/>
  <c r="U120" i="25"/>
  <c r="T120" i="25" s="1"/>
  <c r="S120" i="25" s="1"/>
  <c r="R120" i="25" s="1"/>
  <c r="U233" i="25"/>
  <c r="T233" i="25" s="1"/>
  <c r="S233" i="25" s="1"/>
  <c r="R233" i="25" s="1"/>
  <c r="U333" i="25"/>
  <c r="T333" i="25" s="1"/>
  <c r="S333" i="25" s="1"/>
  <c r="R333" i="25" s="1"/>
  <c r="U276" i="25"/>
  <c r="T276" i="25" s="1"/>
  <c r="S276" i="25" s="1"/>
  <c r="R276" i="25" s="1"/>
  <c r="U144" i="25"/>
  <c r="T144" i="25" s="1"/>
  <c r="S144" i="25" s="1"/>
  <c r="R144" i="25" s="1"/>
  <c r="U346" i="25"/>
  <c r="T346" i="25" s="1"/>
  <c r="S346" i="25" s="1"/>
  <c r="R346" i="25" s="1"/>
  <c r="U243" i="25"/>
  <c r="T243" i="25" s="1"/>
  <c r="S243" i="25" s="1"/>
  <c r="R243" i="25" s="1"/>
  <c r="U194" i="25"/>
  <c r="T194" i="25" s="1"/>
  <c r="S194" i="25" s="1"/>
  <c r="R194" i="25" s="1"/>
  <c r="U379" i="25"/>
  <c r="T379" i="25" s="1"/>
  <c r="S379" i="25" s="1"/>
  <c r="R379" i="25" s="1"/>
  <c r="U328" i="25"/>
  <c r="T328" i="25" s="1"/>
  <c r="S328" i="25" s="1"/>
  <c r="R328" i="25" s="1"/>
  <c r="U161" i="25"/>
  <c r="T161" i="25" s="1"/>
  <c r="S161" i="25" s="1"/>
  <c r="R161" i="25" s="1"/>
  <c r="U311" i="25"/>
  <c r="T311" i="25" s="1"/>
  <c r="S311" i="25" s="1"/>
  <c r="R311" i="25" s="1"/>
  <c r="U143" i="25"/>
  <c r="T143" i="25" s="1"/>
  <c r="S143" i="25" s="1"/>
  <c r="R143" i="25" s="1"/>
  <c r="U192" i="25"/>
  <c r="T192" i="25" s="1"/>
  <c r="S192" i="25" s="1"/>
  <c r="R192" i="25" s="1"/>
  <c r="U141" i="25"/>
  <c r="T141" i="25" s="1"/>
  <c r="S141" i="25" s="1"/>
  <c r="R141" i="25" s="1"/>
  <c r="U149" i="25"/>
  <c r="T149" i="25" s="1"/>
  <c r="S149" i="25" s="1"/>
  <c r="R149" i="25" s="1"/>
  <c r="U282" i="25"/>
  <c r="T282" i="25" s="1"/>
  <c r="S282" i="25" s="1"/>
  <c r="R282" i="25" s="1"/>
  <c r="U326" i="25"/>
  <c r="T326" i="25" s="1"/>
  <c r="S326" i="25" s="1"/>
  <c r="R326" i="25" s="1"/>
  <c r="U130" i="25"/>
  <c r="T130" i="25" s="1"/>
  <c r="S130" i="25" s="1"/>
  <c r="R130" i="25" s="1"/>
  <c r="U206" i="25"/>
  <c r="T206" i="25" s="1"/>
  <c r="S206" i="25" s="1"/>
  <c r="R206" i="25" s="1"/>
  <c r="U327" i="25"/>
  <c r="T327" i="25" s="1"/>
  <c r="S327" i="25" s="1"/>
  <c r="R327" i="25" s="1"/>
  <c r="U255" i="25"/>
  <c r="T255" i="25" s="1"/>
  <c r="S255" i="25" s="1"/>
  <c r="R255" i="25" s="1"/>
  <c r="U304" i="25"/>
  <c r="T304" i="25" s="1"/>
  <c r="S304" i="25" s="1"/>
  <c r="R304" i="25" s="1"/>
  <c r="U125" i="25"/>
  <c r="T125" i="25" s="1"/>
  <c r="S125" i="25" s="1"/>
  <c r="R125" i="25" s="1"/>
  <c r="U296" i="25"/>
  <c r="T296" i="25" s="1"/>
  <c r="S296" i="25" s="1"/>
  <c r="R296" i="25" s="1"/>
  <c r="U118" i="25"/>
  <c r="T118" i="25" s="1"/>
  <c r="S118" i="25" s="1"/>
  <c r="R118" i="25" s="1"/>
  <c r="U235" i="25"/>
  <c r="T235" i="25" s="1"/>
  <c r="S235" i="25" s="1"/>
  <c r="R235" i="25" s="1"/>
  <c r="U329" i="25"/>
  <c r="T329" i="25" s="1"/>
  <c r="S329" i="25" s="1"/>
  <c r="R329" i="25" s="1"/>
  <c r="U173" i="25"/>
  <c r="T173" i="25" s="1"/>
  <c r="S173" i="25" s="1"/>
  <c r="R173" i="25" s="1"/>
  <c r="U116" i="25"/>
  <c r="T116" i="25" s="1"/>
  <c r="S116" i="25" s="1"/>
  <c r="R116" i="25" s="1"/>
  <c r="U240" i="25"/>
  <c r="T240" i="25" s="1"/>
  <c r="S240" i="25" s="1"/>
  <c r="R240" i="25" s="1"/>
  <c r="AD108" i="24"/>
  <c r="AA108" i="24" s="1"/>
  <c r="Z108" i="24" s="1"/>
  <c r="Y108" i="24" s="1"/>
  <c r="AD20" i="24"/>
  <c r="AA20" i="24" s="1"/>
  <c r="Z20" i="24" s="1"/>
  <c r="Y20" i="24" s="1"/>
  <c r="AD162" i="24"/>
  <c r="AA162" i="24" s="1"/>
  <c r="Z162" i="24" s="1"/>
  <c r="Y162" i="24" s="1"/>
  <c r="AD142" i="24"/>
  <c r="AA142" i="24" s="1"/>
  <c r="Z142" i="24" s="1"/>
  <c r="Y142" i="24" s="1"/>
  <c r="AD269" i="24"/>
  <c r="AA269" i="24" s="1"/>
  <c r="Z269" i="24" s="1"/>
  <c r="Y269" i="24" s="1"/>
  <c r="U354" i="25"/>
  <c r="T354" i="25" s="1"/>
  <c r="S354" i="25" s="1"/>
  <c r="R354" i="25" s="1"/>
  <c r="U250" i="25"/>
  <c r="T250" i="25" s="1"/>
  <c r="S250" i="25" s="1"/>
  <c r="R250" i="25" s="1"/>
  <c r="U190" i="25"/>
  <c r="T190" i="25" s="1"/>
  <c r="S190" i="25" s="1"/>
  <c r="R190" i="25" s="1"/>
  <c r="G32" i="24"/>
  <c r="CE32" i="6" s="1"/>
  <c r="G132" i="24"/>
  <c r="CE132" i="6" s="1"/>
  <c r="H258" i="24"/>
  <c r="I258" i="24" s="1"/>
  <c r="AA193" i="24"/>
  <c r="Z193" i="24" s="1"/>
  <c r="Y193" i="24" s="1"/>
  <c r="U163" i="25"/>
  <c r="T163" i="25" s="1"/>
  <c r="S163" i="25" s="1"/>
  <c r="R163" i="25" s="1"/>
  <c r="U174" i="25"/>
  <c r="T174" i="25" s="1"/>
  <c r="S174" i="25" s="1"/>
  <c r="R174" i="25" s="1"/>
  <c r="U186" i="25"/>
  <c r="T186" i="25" s="1"/>
  <c r="S186" i="25" s="1"/>
  <c r="R186" i="25" s="1"/>
  <c r="G28" i="24"/>
  <c r="CE28" i="6" s="1"/>
  <c r="H62" i="24"/>
  <c r="I62" i="24" s="1"/>
  <c r="H22" i="24"/>
  <c r="J22" i="24" s="1"/>
  <c r="G296" i="24"/>
  <c r="CE296" i="6" s="1"/>
  <c r="G281" i="24"/>
  <c r="CE281" i="6" s="1"/>
  <c r="H52" i="24"/>
  <c r="J52" i="24" s="1"/>
  <c r="H63" i="24"/>
  <c r="J63" i="24" s="1"/>
  <c r="G264" i="24"/>
  <c r="CE264" i="6" s="1"/>
  <c r="G345" i="24"/>
  <c r="CE345" i="6" s="1"/>
  <c r="H323" i="24"/>
  <c r="I323" i="24" s="1"/>
  <c r="G369" i="24"/>
  <c r="CE369" i="6" s="1"/>
  <c r="H375" i="24"/>
  <c r="J375" i="24" s="1"/>
  <c r="H373" i="24"/>
  <c r="J373" i="24" s="1"/>
  <c r="H106" i="24"/>
  <c r="J106" i="24" s="1"/>
  <c r="G254" i="24"/>
  <c r="CE254" i="6" s="1"/>
  <c r="H269" i="24"/>
  <c r="I269" i="24" s="1"/>
  <c r="G72" i="24"/>
  <c r="CE72" i="6" s="1"/>
  <c r="H194" i="24"/>
  <c r="J194" i="24" s="1"/>
  <c r="H121" i="24"/>
  <c r="J121" i="24" s="1"/>
  <c r="I379" i="23"/>
  <c r="H379" i="24" s="1"/>
  <c r="G59" i="24"/>
  <c r="CE59" i="6" s="1"/>
  <c r="G129" i="24"/>
  <c r="CE129" i="6" s="1"/>
  <c r="H95" i="24"/>
  <c r="I95" i="24" s="1"/>
  <c r="G231" i="24"/>
  <c r="CE231" i="6" s="1"/>
  <c r="H82" i="24"/>
  <c r="I82" i="24" s="1"/>
  <c r="G374" i="24"/>
  <c r="CE374" i="6" s="1"/>
  <c r="H279" i="24"/>
  <c r="J279" i="24" s="1"/>
  <c r="G305" i="24"/>
  <c r="CE305" i="6" s="1"/>
  <c r="H222" i="24"/>
  <c r="J222" i="24" s="1"/>
  <c r="G359" i="24"/>
  <c r="CE359" i="6" s="1"/>
  <c r="G104" i="24"/>
  <c r="CE104" i="6" s="1"/>
  <c r="H239" i="24"/>
  <c r="I239" i="24" s="1"/>
  <c r="G58" i="24"/>
  <c r="CE58" i="6" s="1"/>
  <c r="G316" i="24"/>
  <c r="CE316" i="6" s="1"/>
  <c r="H148" i="24"/>
  <c r="I148" i="24" s="1"/>
  <c r="G113" i="24"/>
  <c r="CE113" i="6" s="1"/>
  <c r="G183" i="24"/>
  <c r="CE183" i="6" s="1"/>
  <c r="H97" i="24"/>
  <c r="I97" i="24" s="1"/>
  <c r="G202" i="24"/>
  <c r="CE202" i="6" s="1"/>
  <c r="G131" i="24"/>
  <c r="CE131" i="6" s="1"/>
  <c r="G94" i="24"/>
  <c r="CE94" i="6" s="1"/>
  <c r="G255" i="24"/>
  <c r="CE255" i="6" s="1"/>
  <c r="H317" i="24"/>
  <c r="J317" i="24" s="1"/>
  <c r="H146" i="24"/>
  <c r="J146" i="24" s="1"/>
  <c r="H135" i="24"/>
  <c r="I135" i="24" s="1"/>
  <c r="H41" i="24"/>
  <c r="J41" i="24" s="1"/>
  <c r="H175" i="24"/>
  <c r="J175" i="24" s="1"/>
  <c r="H246" i="24"/>
  <c r="J246" i="24" s="1"/>
  <c r="H370" i="24"/>
  <c r="J370" i="24" s="1"/>
  <c r="H93" i="24"/>
  <c r="J93" i="24" s="1"/>
  <c r="H235" i="24"/>
  <c r="J235" i="24" s="1"/>
  <c r="G182" i="24"/>
  <c r="CE182" i="6" s="1"/>
  <c r="H285" i="24"/>
  <c r="J285" i="24" s="1"/>
  <c r="H216" i="24"/>
  <c r="I216" i="24" s="1"/>
  <c r="G206" i="24"/>
  <c r="CE206" i="6" s="1"/>
  <c r="G195" i="24"/>
  <c r="CE195" i="6" s="1"/>
  <c r="G358" i="24"/>
  <c r="CE358" i="6" s="1"/>
  <c r="H86" i="24"/>
  <c r="I86" i="24" s="1"/>
  <c r="H77" i="24"/>
  <c r="J77" i="24" s="1"/>
  <c r="G134" i="24"/>
  <c r="CE134" i="6" s="1"/>
  <c r="G79" i="24"/>
  <c r="CE79" i="6" s="1"/>
  <c r="H217" i="24"/>
  <c r="J217" i="24" s="1"/>
  <c r="H197" i="24"/>
  <c r="I197" i="24" s="1"/>
  <c r="H329" i="24"/>
  <c r="I329" i="24" s="1"/>
  <c r="G171" i="24"/>
  <c r="CE171" i="6" s="1"/>
  <c r="G80" i="24"/>
  <c r="CE80" i="6" s="1"/>
  <c r="G223" i="24"/>
  <c r="CE223" i="6" s="1"/>
  <c r="H64" i="24"/>
  <c r="J64" i="24" s="1"/>
  <c r="H361" i="24"/>
  <c r="I361" i="24" s="1"/>
  <c r="H74" i="24"/>
  <c r="I74" i="24" s="1"/>
  <c r="U55" i="25"/>
  <c r="T55" i="25" s="1"/>
  <c r="S55" i="25" s="1"/>
  <c r="R55" i="25" s="1"/>
  <c r="U75" i="25"/>
  <c r="T75" i="25" s="1"/>
  <c r="S75" i="25" s="1"/>
  <c r="R75" i="25" s="1"/>
  <c r="U87" i="25"/>
  <c r="T87" i="25" s="1"/>
  <c r="S87" i="25" s="1"/>
  <c r="R87" i="25" s="1"/>
  <c r="U31" i="25"/>
  <c r="T31" i="25" s="1"/>
  <c r="S31" i="25" s="1"/>
  <c r="R31" i="25" s="1"/>
  <c r="U26" i="25"/>
  <c r="T26" i="25" s="1"/>
  <c r="S26" i="25" s="1"/>
  <c r="R26" i="25" s="1"/>
  <c r="U45" i="25"/>
  <c r="T45" i="25" s="1"/>
  <c r="S45" i="25" s="1"/>
  <c r="R45" i="25" s="1"/>
  <c r="U97" i="25"/>
  <c r="T97" i="25" s="1"/>
  <c r="S97" i="25" s="1"/>
  <c r="R97" i="25" s="1"/>
  <c r="U88" i="25"/>
  <c r="T88" i="25" s="1"/>
  <c r="S88" i="25" s="1"/>
  <c r="R88" i="25" s="1"/>
  <c r="U61" i="25"/>
  <c r="T61" i="25" s="1"/>
  <c r="S61" i="25" s="1"/>
  <c r="R61" i="25" s="1"/>
  <c r="U46" i="25"/>
  <c r="T46" i="25" s="1"/>
  <c r="S46" i="25" s="1"/>
  <c r="R46" i="25" s="1"/>
  <c r="U58" i="25"/>
  <c r="T58" i="25" s="1"/>
  <c r="S58" i="25" s="1"/>
  <c r="R58" i="25" s="1"/>
  <c r="U77" i="25"/>
  <c r="T77" i="25" s="1"/>
  <c r="S77" i="25" s="1"/>
  <c r="R77" i="25" s="1"/>
  <c r="U20" i="25"/>
  <c r="T20" i="25" s="1"/>
  <c r="S20" i="25" s="1"/>
  <c r="R20" i="25" s="1"/>
  <c r="U90" i="25"/>
  <c r="T90" i="25" s="1"/>
  <c r="S90" i="25" s="1"/>
  <c r="R90" i="25" s="1"/>
  <c r="U47" i="25"/>
  <c r="T47" i="25" s="1"/>
  <c r="S47" i="25" s="1"/>
  <c r="R47" i="25" s="1"/>
  <c r="U56" i="25"/>
  <c r="T56" i="25" s="1"/>
  <c r="S56" i="25" s="1"/>
  <c r="R56" i="25" s="1"/>
  <c r="U16" i="25"/>
  <c r="T16" i="25" s="1"/>
  <c r="S16" i="25" s="1"/>
  <c r="R16" i="25" s="1"/>
  <c r="U94" i="25"/>
  <c r="T94" i="25" s="1"/>
  <c r="S94" i="25" s="1"/>
  <c r="R94" i="25" s="1"/>
  <c r="U68" i="25"/>
  <c r="T68" i="25" s="1"/>
  <c r="S68" i="25" s="1"/>
  <c r="R68" i="25" s="1"/>
  <c r="U65" i="25"/>
  <c r="T65" i="25" s="1"/>
  <c r="S65" i="25" s="1"/>
  <c r="R65" i="25" s="1"/>
  <c r="U44" i="25"/>
  <c r="T44" i="25" s="1"/>
  <c r="S44" i="25" s="1"/>
  <c r="R44" i="25" s="1"/>
  <c r="U17" i="25"/>
  <c r="T17" i="25" s="1"/>
  <c r="S17" i="25" s="1"/>
  <c r="R17" i="25" s="1"/>
  <c r="U101" i="25"/>
  <c r="T101" i="25" s="1"/>
  <c r="S101" i="25" s="1"/>
  <c r="R101" i="25" s="1"/>
  <c r="U33" i="25"/>
  <c r="T33" i="25" s="1"/>
  <c r="S33" i="25" s="1"/>
  <c r="R33" i="25" s="1"/>
  <c r="U18" i="25"/>
  <c r="T18" i="25" s="1"/>
  <c r="S18" i="25" s="1"/>
  <c r="R18" i="25" s="1"/>
  <c r="U24" i="25"/>
  <c r="T24" i="25" s="1"/>
  <c r="S24" i="25" s="1"/>
  <c r="R24" i="25" s="1"/>
  <c r="U21" i="25"/>
  <c r="T21" i="25" s="1"/>
  <c r="S21" i="25" s="1"/>
  <c r="R21" i="25" s="1"/>
  <c r="U22" i="25"/>
  <c r="T22" i="25" s="1"/>
  <c r="S22" i="25" s="1"/>
  <c r="R22" i="25" s="1"/>
  <c r="U82" i="25"/>
  <c r="T82" i="25" s="1"/>
  <c r="S82" i="25" s="1"/>
  <c r="R82" i="25" s="1"/>
  <c r="U38" i="25"/>
  <c r="T38" i="25" s="1"/>
  <c r="S38" i="25" s="1"/>
  <c r="R38" i="25" s="1"/>
  <c r="U98" i="25"/>
  <c r="T98" i="25" s="1"/>
  <c r="S98" i="25" s="1"/>
  <c r="R98" i="25" s="1"/>
  <c r="U69" i="25"/>
  <c r="T69" i="25" s="1"/>
  <c r="S69" i="25" s="1"/>
  <c r="R69" i="25" s="1"/>
  <c r="U89" i="25"/>
  <c r="T89" i="25" s="1"/>
  <c r="S89" i="25" s="1"/>
  <c r="R89" i="25" s="1"/>
  <c r="U96" i="25"/>
  <c r="T96" i="25" s="1"/>
  <c r="S96" i="25" s="1"/>
  <c r="R96" i="25" s="1"/>
  <c r="U85" i="25"/>
  <c r="T85" i="25" s="1"/>
  <c r="S85" i="25" s="1"/>
  <c r="R85" i="25" s="1"/>
  <c r="U48" i="25"/>
  <c r="T48" i="25" s="1"/>
  <c r="S48" i="25" s="1"/>
  <c r="R48" i="25" s="1"/>
  <c r="U100" i="25"/>
  <c r="T100" i="25" s="1"/>
  <c r="S100" i="25" s="1"/>
  <c r="R100" i="25" s="1"/>
  <c r="U52" i="25"/>
  <c r="T52" i="25" s="1"/>
  <c r="S52" i="25" s="1"/>
  <c r="R52" i="25" s="1"/>
  <c r="U99" i="25"/>
  <c r="T99" i="25" s="1"/>
  <c r="S99" i="25" s="1"/>
  <c r="R99" i="25" s="1"/>
  <c r="U34" i="25"/>
  <c r="T34" i="25" s="1"/>
  <c r="S34" i="25" s="1"/>
  <c r="R34" i="25" s="1"/>
  <c r="U83" i="25"/>
  <c r="T83" i="25" s="1"/>
  <c r="S83" i="25" s="1"/>
  <c r="R83" i="25" s="1"/>
  <c r="U40" i="25"/>
  <c r="T40" i="25" s="1"/>
  <c r="S40" i="25" s="1"/>
  <c r="R40" i="25" s="1"/>
  <c r="U41" i="25"/>
  <c r="T41" i="25" s="1"/>
  <c r="S41" i="25" s="1"/>
  <c r="R41" i="25" s="1"/>
  <c r="U93" i="25"/>
  <c r="T93" i="25" s="1"/>
  <c r="S93" i="25" s="1"/>
  <c r="R93" i="25" s="1"/>
  <c r="U78" i="25"/>
  <c r="T78" i="25" s="1"/>
  <c r="S78" i="25" s="1"/>
  <c r="R78" i="25" s="1"/>
  <c r="U179" i="25"/>
  <c r="T179" i="25" s="1"/>
  <c r="S179" i="25" s="1"/>
  <c r="R179" i="25" s="1"/>
  <c r="U128" i="25"/>
  <c r="T128" i="25" s="1"/>
  <c r="S128" i="25" s="1"/>
  <c r="R128" i="25" s="1"/>
  <c r="U289" i="25"/>
  <c r="T289" i="25" s="1"/>
  <c r="S289" i="25" s="1"/>
  <c r="R289" i="25" s="1"/>
  <c r="U373" i="25"/>
  <c r="T373" i="25" s="1"/>
  <c r="S373" i="25" s="1"/>
  <c r="R373" i="25" s="1"/>
  <c r="U185" i="25"/>
  <c r="T185" i="25" s="1"/>
  <c r="S185" i="25" s="1"/>
  <c r="R185" i="25" s="1"/>
  <c r="U230" i="25"/>
  <c r="T230" i="25" s="1"/>
  <c r="S230" i="25" s="1"/>
  <c r="R230" i="25" s="1"/>
  <c r="U271" i="25"/>
  <c r="T271" i="25" s="1"/>
  <c r="S271" i="25" s="1"/>
  <c r="R271" i="25" s="1"/>
  <c r="U196" i="25"/>
  <c r="T196" i="25" s="1"/>
  <c r="S196" i="25" s="1"/>
  <c r="R196" i="25" s="1"/>
  <c r="U133" i="25"/>
  <c r="T133" i="25" s="1"/>
  <c r="S133" i="25" s="1"/>
  <c r="R133" i="25" s="1"/>
  <c r="U266" i="25"/>
  <c r="T266" i="25" s="1"/>
  <c r="S266" i="25" s="1"/>
  <c r="R266" i="25" s="1"/>
  <c r="U374" i="25"/>
  <c r="T374" i="25" s="1"/>
  <c r="S374" i="25" s="1"/>
  <c r="R374" i="25" s="1"/>
  <c r="U340" i="25"/>
  <c r="T340" i="25" s="1"/>
  <c r="S340" i="25" s="1"/>
  <c r="R340" i="25" s="1"/>
  <c r="U277" i="25"/>
  <c r="T277" i="25" s="1"/>
  <c r="S277" i="25" s="1"/>
  <c r="R277" i="25" s="1"/>
  <c r="U298" i="25"/>
  <c r="T298" i="25" s="1"/>
  <c r="S298" i="25" s="1"/>
  <c r="R298" i="25" s="1"/>
  <c r="U348" i="25"/>
  <c r="T348" i="25" s="1"/>
  <c r="S348" i="25" s="1"/>
  <c r="R348" i="25" s="1"/>
  <c r="U150" i="25"/>
  <c r="T150" i="25" s="1"/>
  <c r="S150" i="25" s="1"/>
  <c r="R150" i="25" s="1"/>
  <c r="U319" i="25"/>
  <c r="T319" i="25" s="1"/>
  <c r="S319" i="25" s="1"/>
  <c r="R319" i="25" s="1"/>
  <c r="U353" i="25"/>
  <c r="T353" i="25" s="1"/>
  <c r="S353" i="25" s="1"/>
  <c r="R353" i="25" s="1"/>
  <c r="U139" i="25"/>
  <c r="T139" i="25" s="1"/>
  <c r="S139" i="25" s="1"/>
  <c r="R139" i="25" s="1"/>
  <c r="U181" i="25"/>
  <c r="T181" i="25" s="1"/>
  <c r="S181" i="25" s="1"/>
  <c r="R181" i="25" s="1"/>
  <c r="U344" i="25"/>
  <c r="T344" i="25" s="1"/>
  <c r="S344" i="25" s="1"/>
  <c r="R344" i="25" s="1"/>
  <c r="U122" i="25"/>
  <c r="T122" i="25" s="1"/>
  <c r="S122" i="25" s="1"/>
  <c r="R122" i="25" s="1"/>
  <c r="U249" i="25"/>
  <c r="T249" i="25" s="1"/>
  <c r="S249" i="25" s="1"/>
  <c r="R249" i="25" s="1"/>
  <c r="U275" i="25"/>
  <c r="T275" i="25" s="1"/>
  <c r="S275" i="25" s="1"/>
  <c r="R275" i="25" s="1"/>
  <c r="U317" i="25"/>
  <c r="T317" i="25" s="1"/>
  <c r="S317" i="25" s="1"/>
  <c r="R317" i="25" s="1"/>
  <c r="U226" i="25"/>
  <c r="T226" i="25" s="1"/>
  <c r="S226" i="25" s="1"/>
  <c r="R226" i="25" s="1"/>
  <c r="U369" i="25"/>
  <c r="T369" i="25" s="1"/>
  <c r="S369" i="25" s="1"/>
  <c r="R369" i="25" s="1"/>
  <c r="U155" i="25"/>
  <c r="T155" i="25" s="1"/>
  <c r="S155" i="25" s="1"/>
  <c r="R155" i="25" s="1"/>
  <c r="U197" i="25"/>
  <c r="T197" i="25" s="1"/>
  <c r="S197" i="25" s="1"/>
  <c r="R197" i="25" s="1"/>
  <c r="U360" i="25"/>
  <c r="T360" i="25" s="1"/>
  <c r="S360" i="25" s="1"/>
  <c r="R360" i="25" s="1"/>
  <c r="U330" i="25"/>
  <c r="T330" i="25" s="1"/>
  <c r="S330" i="25" s="1"/>
  <c r="R330" i="25" s="1"/>
  <c r="U124" i="25"/>
  <c r="T124" i="25" s="1"/>
  <c r="S124" i="25" s="1"/>
  <c r="R124" i="25" s="1"/>
  <c r="U182" i="25"/>
  <c r="T182" i="25" s="1"/>
  <c r="S182" i="25" s="1"/>
  <c r="R182" i="25" s="1"/>
  <c r="U351" i="25"/>
  <c r="T351" i="25" s="1"/>
  <c r="S351" i="25" s="1"/>
  <c r="R351" i="25" s="1"/>
  <c r="U129" i="25"/>
  <c r="T129" i="25" s="1"/>
  <c r="S129" i="25" s="1"/>
  <c r="R129" i="25" s="1"/>
  <c r="U171" i="25"/>
  <c r="T171" i="25" s="1"/>
  <c r="S171" i="25" s="1"/>
  <c r="R171" i="25" s="1"/>
  <c r="U213" i="25"/>
  <c r="T213" i="25" s="1"/>
  <c r="S213" i="25" s="1"/>
  <c r="R213" i="25" s="1"/>
  <c r="U104" i="25"/>
  <c r="T104" i="25" s="1"/>
  <c r="S104" i="25" s="1"/>
  <c r="R104" i="25" s="1"/>
  <c r="U215" i="25"/>
  <c r="T215" i="25" s="1"/>
  <c r="S215" i="25" s="1"/>
  <c r="R215" i="25" s="1"/>
  <c r="U217" i="25"/>
  <c r="T217" i="25" s="1"/>
  <c r="S217" i="25" s="1"/>
  <c r="R217" i="25" s="1"/>
  <c r="U364" i="25"/>
  <c r="T364" i="25" s="1"/>
  <c r="S364" i="25" s="1"/>
  <c r="R364" i="25" s="1"/>
  <c r="U134" i="25"/>
  <c r="T134" i="25" s="1"/>
  <c r="S134" i="25" s="1"/>
  <c r="R134" i="25" s="1"/>
  <c r="U303" i="25"/>
  <c r="T303" i="25" s="1"/>
  <c r="S303" i="25" s="1"/>
  <c r="R303" i="25" s="1"/>
  <c r="U337" i="25"/>
  <c r="T337" i="25" s="1"/>
  <c r="S337" i="25" s="1"/>
  <c r="R337" i="25" s="1"/>
  <c r="U123" i="25"/>
  <c r="T123" i="25" s="1"/>
  <c r="S123" i="25" s="1"/>
  <c r="R123" i="25" s="1"/>
  <c r="U270" i="25"/>
  <c r="T270" i="25" s="1"/>
  <c r="S270" i="25" s="1"/>
  <c r="R270" i="25" s="1"/>
  <c r="U352" i="25"/>
  <c r="T352" i="25" s="1"/>
  <c r="S352" i="25" s="1"/>
  <c r="R352" i="25" s="1"/>
  <c r="U106" i="25"/>
  <c r="T106" i="25" s="1"/>
  <c r="S106" i="25" s="1"/>
  <c r="R106" i="25" s="1"/>
  <c r="U214" i="25"/>
  <c r="T214" i="25" s="1"/>
  <c r="S214" i="25" s="1"/>
  <c r="R214" i="25" s="1"/>
  <c r="U308" i="25"/>
  <c r="T308" i="25" s="1"/>
  <c r="S308" i="25" s="1"/>
  <c r="R308" i="25" s="1"/>
  <c r="U152" i="25"/>
  <c r="T152" i="25" s="1"/>
  <c r="S152" i="25" s="1"/>
  <c r="R152" i="25" s="1"/>
  <c r="U204" i="25"/>
  <c r="T204" i="25" s="1"/>
  <c r="S204" i="25" s="1"/>
  <c r="R204" i="25" s="1"/>
  <c r="U358" i="25"/>
  <c r="T358" i="25" s="1"/>
  <c r="S358" i="25" s="1"/>
  <c r="R358" i="25" s="1"/>
  <c r="U290" i="25"/>
  <c r="T290" i="25" s="1"/>
  <c r="S290" i="25" s="1"/>
  <c r="R290" i="25" s="1"/>
  <c r="U366" i="25"/>
  <c r="T366" i="25" s="1"/>
  <c r="S366" i="25" s="1"/>
  <c r="R366" i="25" s="1"/>
  <c r="U231" i="25"/>
  <c r="T231" i="25" s="1"/>
  <c r="S231" i="25" s="1"/>
  <c r="R231" i="25" s="1"/>
  <c r="U355" i="25"/>
  <c r="T355" i="25" s="1"/>
  <c r="S355" i="25" s="1"/>
  <c r="R355" i="25" s="1"/>
  <c r="U287" i="25"/>
  <c r="T287" i="25" s="1"/>
  <c r="S287" i="25" s="1"/>
  <c r="R287" i="25" s="1"/>
  <c r="U363" i="25"/>
  <c r="T363" i="25" s="1"/>
  <c r="S363" i="25" s="1"/>
  <c r="R363" i="25" s="1"/>
  <c r="U208" i="25"/>
  <c r="T208" i="25" s="1"/>
  <c r="S208" i="25" s="1"/>
  <c r="R208" i="25" s="1"/>
  <c r="U279" i="25"/>
  <c r="T279" i="25" s="1"/>
  <c r="S279" i="25" s="1"/>
  <c r="R279" i="25" s="1"/>
  <c r="U153" i="25"/>
  <c r="T153" i="25" s="1"/>
  <c r="S153" i="25" s="1"/>
  <c r="R153" i="25" s="1"/>
  <c r="U195" i="25"/>
  <c r="T195" i="25" s="1"/>
  <c r="S195" i="25" s="1"/>
  <c r="R195" i="25" s="1"/>
  <c r="U221" i="25"/>
  <c r="T221" i="25" s="1"/>
  <c r="S221" i="25" s="1"/>
  <c r="R221" i="25" s="1"/>
  <c r="U239" i="25"/>
  <c r="T239" i="25" s="1"/>
  <c r="S239" i="25" s="1"/>
  <c r="R239" i="25" s="1"/>
  <c r="U273" i="25"/>
  <c r="T273" i="25" s="1"/>
  <c r="S273" i="25" s="1"/>
  <c r="R273" i="25" s="1"/>
  <c r="U315" i="25"/>
  <c r="T315" i="25" s="1"/>
  <c r="S315" i="25" s="1"/>
  <c r="R315" i="25" s="1"/>
  <c r="U357" i="25"/>
  <c r="T357" i="25" s="1"/>
  <c r="S357" i="25" s="1"/>
  <c r="R357" i="25" s="1"/>
  <c r="U264" i="25"/>
  <c r="T264" i="25" s="1"/>
  <c r="S264" i="25" s="1"/>
  <c r="R264" i="25" s="1"/>
  <c r="U137" i="25"/>
  <c r="T137" i="25" s="1"/>
  <c r="S137" i="25" s="1"/>
  <c r="R137" i="25" s="1"/>
  <c r="U237" i="25"/>
  <c r="T237" i="25" s="1"/>
  <c r="S237" i="25" s="1"/>
  <c r="R237" i="25" s="1"/>
  <c r="U180" i="25"/>
  <c r="T180" i="25" s="1"/>
  <c r="S180" i="25" s="1"/>
  <c r="R180" i="25" s="1"/>
  <c r="U117" i="25"/>
  <c r="T117" i="25" s="1"/>
  <c r="S117" i="25" s="1"/>
  <c r="R117" i="25" s="1"/>
  <c r="U183" i="25"/>
  <c r="T183" i="25" s="1"/>
  <c r="S183" i="25" s="1"/>
  <c r="R183" i="25" s="1"/>
  <c r="U339" i="25"/>
  <c r="T339" i="25" s="1"/>
  <c r="S339" i="25" s="1"/>
  <c r="R339" i="25" s="1"/>
  <c r="U162" i="25"/>
  <c r="T162" i="25" s="1"/>
  <c r="S162" i="25" s="1"/>
  <c r="R162" i="25" s="1"/>
  <c r="U238" i="25"/>
  <c r="T238" i="25" s="1"/>
  <c r="S238" i="25" s="1"/>
  <c r="R238" i="25" s="1"/>
  <c r="U359" i="25"/>
  <c r="T359" i="25" s="1"/>
  <c r="S359" i="25" s="1"/>
  <c r="R359" i="25" s="1"/>
  <c r="U316" i="25"/>
  <c r="T316" i="25" s="1"/>
  <c r="S316" i="25" s="1"/>
  <c r="R316" i="25" s="1"/>
  <c r="U269" i="25"/>
  <c r="T269" i="25" s="1"/>
  <c r="S269" i="25" s="1"/>
  <c r="R269" i="25" s="1"/>
  <c r="U306" i="25"/>
  <c r="T306" i="25" s="1"/>
  <c r="S306" i="25" s="1"/>
  <c r="R306" i="25" s="1"/>
  <c r="U154" i="25"/>
  <c r="T154" i="25" s="1"/>
  <c r="S154" i="25" s="1"/>
  <c r="R154" i="25" s="1"/>
  <c r="U170" i="25"/>
  <c r="T170" i="25" s="1"/>
  <c r="S170" i="25" s="1"/>
  <c r="R170" i="25" s="1"/>
  <c r="U220" i="25"/>
  <c r="T220" i="25" s="1"/>
  <c r="S220" i="25" s="1"/>
  <c r="R220" i="25" s="1"/>
  <c r="U278" i="25"/>
  <c r="T278" i="25" s="1"/>
  <c r="S278" i="25" s="1"/>
  <c r="R278" i="25" s="1"/>
  <c r="U191" i="25"/>
  <c r="T191" i="25" s="1"/>
  <c r="S191" i="25" s="1"/>
  <c r="R191" i="25" s="1"/>
  <c r="U225" i="25"/>
  <c r="T225" i="25" s="1"/>
  <c r="S225" i="25" s="1"/>
  <c r="R225" i="25" s="1"/>
  <c r="U372" i="25"/>
  <c r="T372" i="25" s="1"/>
  <c r="S372" i="25" s="1"/>
  <c r="R372" i="25" s="1"/>
  <c r="U158" i="25"/>
  <c r="T158" i="25" s="1"/>
  <c r="S158" i="25" s="1"/>
  <c r="R158" i="25" s="1"/>
  <c r="U135" i="25"/>
  <c r="T135" i="25" s="1"/>
  <c r="S135" i="25" s="1"/>
  <c r="R135" i="25" s="1"/>
  <c r="U377" i="25"/>
  <c r="T377" i="25" s="1"/>
  <c r="S377" i="25" s="1"/>
  <c r="R377" i="25" s="1"/>
  <c r="U189" i="25"/>
  <c r="T189" i="25" s="1"/>
  <c r="S189" i="25" s="1"/>
  <c r="R189" i="25" s="1"/>
  <c r="U132" i="25"/>
  <c r="T132" i="25" s="1"/>
  <c r="S132" i="25" s="1"/>
  <c r="R132" i="25" s="1"/>
  <c r="U232" i="25"/>
  <c r="T232" i="25" s="1"/>
  <c r="S232" i="25" s="1"/>
  <c r="R232" i="25" s="1"/>
  <c r="U356" i="25"/>
  <c r="T356" i="25" s="1"/>
  <c r="S356" i="25" s="1"/>
  <c r="R356" i="25" s="1"/>
  <c r="U151" i="25"/>
  <c r="T151" i="25" s="1"/>
  <c r="S151" i="25" s="1"/>
  <c r="R151" i="25" s="1"/>
  <c r="AD280" i="24"/>
  <c r="AA280" i="24" s="1"/>
  <c r="Z280" i="24" s="1"/>
  <c r="Y280" i="24" s="1"/>
  <c r="AD230" i="24"/>
  <c r="AA230" i="24" s="1"/>
  <c r="Z230" i="24" s="1"/>
  <c r="Y230" i="24" s="1"/>
  <c r="AD253" i="24"/>
  <c r="AA253" i="24" s="1"/>
  <c r="Z253" i="24" s="1"/>
  <c r="Y253" i="24" s="1"/>
  <c r="AD237" i="24"/>
  <c r="AA237" i="24" s="1"/>
  <c r="Z237" i="24" s="1"/>
  <c r="Y237" i="24" s="1"/>
  <c r="H46" i="24"/>
  <c r="I46" i="24" s="1"/>
  <c r="G18" i="24"/>
  <c r="CE18" i="6" s="1"/>
  <c r="H228" i="24"/>
  <c r="J228" i="24" s="1"/>
  <c r="G278" i="24"/>
  <c r="CE278" i="6" s="1"/>
  <c r="H287" i="24"/>
  <c r="J287" i="24" s="1"/>
  <c r="H190" i="24"/>
  <c r="I190" i="24" s="1"/>
  <c r="G118" i="24"/>
  <c r="CE118" i="6" s="1"/>
  <c r="H70" i="24"/>
  <c r="I70" i="24" s="1"/>
  <c r="G115" i="24"/>
  <c r="CE115" i="6" s="1"/>
  <c r="G107" i="24"/>
  <c r="CE107" i="6" s="1"/>
  <c r="C69" i="19"/>
  <c r="G43" i="24"/>
  <c r="CE43" i="6" s="1"/>
  <c r="G242" i="24"/>
  <c r="CE242" i="6" s="1"/>
  <c r="H108" i="24"/>
  <c r="J108" i="24" s="1"/>
  <c r="H348" i="24"/>
  <c r="I348" i="24" s="1"/>
  <c r="W379" i="24"/>
  <c r="H187" i="24"/>
  <c r="J187" i="24" s="1"/>
  <c r="G240" i="24"/>
  <c r="CE240" i="6" s="1"/>
  <c r="H274" i="24"/>
  <c r="I274" i="24" s="1"/>
  <c r="G354" i="24"/>
  <c r="CE354" i="6" s="1"/>
  <c r="G300" i="24"/>
  <c r="CE300" i="6" s="1"/>
  <c r="G193" i="24"/>
  <c r="CE193" i="6" s="1"/>
  <c r="G308" i="24"/>
  <c r="CE308" i="6" s="1"/>
  <c r="G54" i="24"/>
  <c r="CE54" i="6" s="1"/>
  <c r="J274" i="24"/>
  <c r="J119" i="23"/>
  <c r="I343" i="24"/>
  <c r="J343" i="24"/>
  <c r="H218" i="24"/>
  <c r="J218" i="24" s="1"/>
  <c r="G343" i="24"/>
  <c r="CE343" i="6" s="1"/>
  <c r="M69" i="19"/>
  <c r="J180" i="23"/>
  <c r="G155" i="24"/>
  <c r="CE155" i="6" s="1"/>
  <c r="H186" i="24"/>
  <c r="J186" i="24" s="1"/>
  <c r="B210" i="24"/>
  <c r="D210" i="24" s="1"/>
  <c r="E210" i="24" s="1"/>
  <c r="F210" i="24" s="1"/>
  <c r="H117" i="24"/>
  <c r="I117" i="24" s="1"/>
  <c r="G225" i="24"/>
  <c r="CE225" i="6" s="1"/>
  <c r="H229" i="24"/>
  <c r="I229" i="24" s="1"/>
  <c r="G252" i="24"/>
  <c r="CE252" i="6" s="1"/>
  <c r="B272" i="24"/>
  <c r="W272" i="24" s="1"/>
  <c r="G364" i="24"/>
  <c r="CE364" i="6" s="1"/>
  <c r="H315" i="24"/>
  <c r="I315" i="24" s="1"/>
  <c r="H78" i="24"/>
  <c r="J78" i="24" s="1"/>
  <c r="H45" i="24"/>
  <c r="I45" i="24" s="1"/>
  <c r="I180" i="23"/>
  <c r="H238" i="24"/>
  <c r="J238" i="24" s="1"/>
  <c r="G209" i="24"/>
  <c r="CE209" i="6" s="1"/>
  <c r="G367" i="24"/>
  <c r="CE367" i="6" s="1"/>
  <c r="G310" i="24"/>
  <c r="CE310" i="6" s="1"/>
  <c r="H307" i="24"/>
  <c r="J307" i="24" s="1"/>
  <c r="H137" i="24"/>
  <c r="J137" i="24" s="1"/>
  <c r="G133" i="24"/>
  <c r="CE133" i="6" s="1"/>
  <c r="G346" i="24"/>
  <c r="CE346" i="6" s="1"/>
  <c r="J88" i="23"/>
  <c r="J363" i="23"/>
  <c r="H349" i="24"/>
  <c r="I349" i="24" s="1"/>
  <c r="H275" i="24"/>
  <c r="J275" i="24" s="1"/>
  <c r="H193" i="24"/>
  <c r="J193" i="24" s="1"/>
  <c r="AG304" i="24"/>
  <c r="AF304" i="24" s="1"/>
  <c r="AD304" i="24" s="1"/>
  <c r="AG218" i="24"/>
  <c r="AF218" i="24" s="1"/>
  <c r="AD218" i="24" s="1"/>
  <c r="AA218" i="24" s="1"/>
  <c r="Z218" i="24" s="1"/>
  <c r="Y218" i="24" s="1"/>
  <c r="AG197" i="24"/>
  <c r="AF197" i="24" s="1"/>
  <c r="AD197" i="24" s="1"/>
  <c r="AA197" i="24" s="1"/>
  <c r="Z197" i="24" s="1"/>
  <c r="Y197" i="24" s="1"/>
  <c r="AG333" i="24"/>
  <c r="AF333" i="24" s="1"/>
  <c r="AD333" i="24" s="1"/>
  <c r="AG66" i="24"/>
  <c r="AF66" i="24" s="1"/>
  <c r="AD66" i="24" s="1"/>
  <c r="AA66" i="24" s="1"/>
  <c r="Z66" i="24" s="1"/>
  <c r="Y66" i="24" s="1"/>
  <c r="AG190" i="24"/>
  <c r="AF190" i="24" s="1"/>
  <c r="AD190" i="24" s="1"/>
  <c r="AA190" i="24" s="1"/>
  <c r="Z190" i="24" s="1"/>
  <c r="Y190" i="24" s="1"/>
  <c r="AG160" i="24"/>
  <c r="AF160" i="24" s="1"/>
  <c r="AD160" i="24" s="1"/>
  <c r="AA160" i="24" s="1"/>
  <c r="Z160" i="24" s="1"/>
  <c r="Y160" i="24" s="1"/>
  <c r="AG313" i="24"/>
  <c r="AF313" i="24" s="1"/>
  <c r="AD313" i="24" s="1"/>
  <c r="AA313" i="24" s="1"/>
  <c r="Z313" i="24" s="1"/>
  <c r="Y313" i="24" s="1"/>
  <c r="AG299" i="24"/>
  <c r="AF299" i="24" s="1"/>
  <c r="AD299" i="24" s="1"/>
  <c r="AA299" i="24" s="1"/>
  <c r="Z299" i="24" s="1"/>
  <c r="Y299" i="24" s="1"/>
  <c r="AG22" i="24"/>
  <c r="AF22" i="24" s="1"/>
  <c r="AD22" i="24" s="1"/>
  <c r="AA22" i="24" s="1"/>
  <c r="Z22" i="24" s="1"/>
  <c r="Y22" i="24" s="1"/>
  <c r="AG183" i="24"/>
  <c r="AF183" i="24" s="1"/>
  <c r="AD183" i="24" s="1"/>
  <c r="AA183" i="24" s="1"/>
  <c r="Z183" i="24" s="1"/>
  <c r="Y183" i="24" s="1"/>
  <c r="AG37" i="24"/>
  <c r="AF37" i="24" s="1"/>
  <c r="AD37" i="24" s="1"/>
  <c r="AA37" i="24" s="1"/>
  <c r="Z37" i="24" s="1"/>
  <c r="Y37" i="24" s="1"/>
  <c r="AD245" i="24"/>
  <c r="AA245" i="24" s="1"/>
  <c r="Z245" i="24" s="1"/>
  <c r="Y245" i="24" s="1"/>
  <c r="AD250" i="24"/>
  <c r="AA250" i="24" s="1"/>
  <c r="Z250" i="24" s="1"/>
  <c r="Y250" i="24" s="1"/>
  <c r="AD371" i="24"/>
  <c r="AA371" i="24" s="1"/>
  <c r="Z371" i="24" s="1"/>
  <c r="Y371" i="24" s="1"/>
  <c r="AD184" i="24"/>
  <c r="AA184" i="24" s="1"/>
  <c r="Z184" i="24" s="1"/>
  <c r="Y184" i="24" s="1"/>
  <c r="AD337" i="24"/>
  <c r="AA337" i="24" s="1"/>
  <c r="Z337" i="24" s="1"/>
  <c r="Y337" i="24" s="1"/>
  <c r="AD63" i="24"/>
  <c r="AA63" i="24" s="1"/>
  <c r="Z63" i="24" s="1"/>
  <c r="Y63" i="24" s="1"/>
  <c r="AD163" i="24"/>
  <c r="AA163" i="24" s="1"/>
  <c r="Z163" i="24" s="1"/>
  <c r="Y163" i="24" s="1"/>
  <c r="AD243" i="24"/>
  <c r="AA243" i="24" s="1"/>
  <c r="Z243" i="24" s="1"/>
  <c r="Y243" i="24" s="1"/>
  <c r="AD80" i="24"/>
  <c r="AA80" i="24" s="1"/>
  <c r="Z80" i="24" s="1"/>
  <c r="Y80" i="24" s="1"/>
  <c r="AD301" i="24"/>
  <c r="AA301" i="24" s="1"/>
  <c r="Z301" i="24" s="1"/>
  <c r="Y301" i="24" s="1"/>
  <c r="AD47" i="24"/>
  <c r="AA47" i="24" s="1"/>
  <c r="Z47" i="24" s="1"/>
  <c r="Y47" i="24" s="1"/>
  <c r="AD131" i="24"/>
  <c r="AA131" i="24" s="1"/>
  <c r="Z131" i="24" s="1"/>
  <c r="Y131" i="24" s="1"/>
  <c r="AD52" i="24"/>
  <c r="AA52" i="24" s="1"/>
  <c r="Z52" i="24" s="1"/>
  <c r="Y52" i="24" s="1"/>
  <c r="AD275" i="24"/>
  <c r="AA275" i="24" s="1"/>
  <c r="Z275" i="24" s="1"/>
  <c r="Y275" i="24" s="1"/>
  <c r="AD216" i="24"/>
  <c r="AA216" i="24" s="1"/>
  <c r="Z216" i="24" s="1"/>
  <c r="Y216" i="24" s="1"/>
  <c r="AD187" i="24"/>
  <c r="AA187" i="24" s="1"/>
  <c r="Z187" i="24" s="1"/>
  <c r="Y187" i="24" s="1"/>
  <c r="AD83" i="24"/>
  <c r="AA83" i="24" s="1"/>
  <c r="Z83" i="24" s="1"/>
  <c r="Y83" i="24" s="1"/>
  <c r="AD281" i="24"/>
  <c r="AA281" i="24" s="1"/>
  <c r="Z281" i="24" s="1"/>
  <c r="Y281" i="24" s="1"/>
  <c r="AD267" i="24"/>
  <c r="AA267" i="24" s="1"/>
  <c r="Z267" i="24" s="1"/>
  <c r="Y267" i="24" s="1"/>
  <c r="AD262" i="24"/>
  <c r="AA262" i="24" s="1"/>
  <c r="Z262" i="24" s="1"/>
  <c r="Y262" i="24" s="1"/>
  <c r="AD175" i="24"/>
  <c r="AA175" i="24" s="1"/>
  <c r="Z175" i="24" s="1"/>
  <c r="Y175" i="24" s="1"/>
  <c r="AD355" i="24"/>
  <c r="AA355" i="24" s="1"/>
  <c r="Z355" i="24" s="1"/>
  <c r="Y355" i="24" s="1"/>
  <c r="AD201" i="24"/>
  <c r="AA201" i="24" s="1"/>
  <c r="Z201" i="24" s="1"/>
  <c r="Y201" i="24" s="1"/>
  <c r="AD57" i="24"/>
  <c r="AA57" i="24" s="1"/>
  <c r="Z57" i="24" s="1"/>
  <c r="Y57" i="24" s="1"/>
  <c r="AD270" i="24"/>
  <c r="AD17" i="24"/>
  <c r="AA17" i="24" s="1"/>
  <c r="Z17" i="24" s="1"/>
  <c r="Y17" i="24" s="1"/>
  <c r="AD154" i="24"/>
  <c r="AA154" i="24" s="1"/>
  <c r="Z154" i="24" s="1"/>
  <c r="Y154" i="24" s="1"/>
  <c r="AD236" i="24"/>
  <c r="AA236" i="24" s="1"/>
  <c r="Z236" i="24" s="1"/>
  <c r="Y236" i="24" s="1"/>
  <c r="AD166" i="24"/>
  <c r="AA166" i="24" s="1"/>
  <c r="Z166" i="24" s="1"/>
  <c r="Y166" i="24" s="1"/>
  <c r="AD326" i="24"/>
  <c r="AA326" i="24" s="1"/>
  <c r="Z326" i="24" s="1"/>
  <c r="Y326" i="24" s="1"/>
  <c r="AD221" i="24"/>
  <c r="AA221" i="24" s="1"/>
  <c r="Z221" i="24" s="1"/>
  <c r="Y221" i="24" s="1"/>
  <c r="AD150" i="24"/>
  <c r="AA150" i="24" s="1"/>
  <c r="Z150" i="24" s="1"/>
  <c r="Y150" i="24" s="1"/>
  <c r="AD348" i="24"/>
  <c r="AA348" i="24" s="1"/>
  <c r="Z348" i="24" s="1"/>
  <c r="Y348" i="24" s="1"/>
  <c r="AD133" i="24"/>
  <c r="AA133" i="24" s="1"/>
  <c r="Z133" i="24" s="1"/>
  <c r="Y133" i="24" s="1"/>
  <c r="AD26" i="24"/>
  <c r="AA26" i="24" s="1"/>
  <c r="Z26" i="24" s="1"/>
  <c r="Y26" i="24" s="1"/>
  <c r="AD126" i="24"/>
  <c r="AA126" i="24" s="1"/>
  <c r="Z126" i="24" s="1"/>
  <c r="Y126" i="24" s="1"/>
  <c r="AD264" i="24"/>
  <c r="AA264" i="24" s="1"/>
  <c r="Z264" i="24" s="1"/>
  <c r="Y264" i="24" s="1"/>
  <c r="AD55" i="24"/>
  <c r="AA55" i="24" s="1"/>
  <c r="Z55" i="24" s="1"/>
  <c r="Y55" i="24" s="1"/>
  <c r="AD226" i="24"/>
  <c r="AA226" i="24" s="1"/>
  <c r="Z226" i="24" s="1"/>
  <c r="Y226" i="24" s="1"/>
  <c r="AD58" i="24"/>
  <c r="AA58" i="24" s="1"/>
  <c r="Z58" i="24" s="1"/>
  <c r="Y58" i="24" s="1"/>
  <c r="AD177" i="24"/>
  <c r="AD107" i="24"/>
  <c r="AA107" i="24" s="1"/>
  <c r="Z107" i="24" s="1"/>
  <c r="Y107" i="24" s="1"/>
  <c r="AD249" i="24"/>
  <c r="AA249" i="24" s="1"/>
  <c r="Z249" i="24" s="1"/>
  <c r="Y249" i="24" s="1"/>
  <c r="AD302" i="24"/>
  <c r="AD106" i="24"/>
  <c r="AA106" i="24" s="1"/>
  <c r="Z106" i="24" s="1"/>
  <c r="Y106" i="24" s="1"/>
  <c r="AD23" i="24"/>
  <c r="AA23" i="24" s="1"/>
  <c r="Z23" i="24" s="1"/>
  <c r="Y23" i="24" s="1"/>
  <c r="AD268" i="24"/>
  <c r="AA268" i="24" s="1"/>
  <c r="Z268" i="24" s="1"/>
  <c r="Y268" i="24" s="1"/>
  <c r="AD376" i="24"/>
  <c r="AA376" i="24" s="1"/>
  <c r="Z376" i="24" s="1"/>
  <c r="Y376" i="24" s="1"/>
  <c r="AD259" i="24"/>
  <c r="AA259" i="24" s="1"/>
  <c r="Z259" i="24" s="1"/>
  <c r="Y259" i="24" s="1"/>
  <c r="AD128" i="24"/>
  <c r="AA128" i="24" s="1"/>
  <c r="Z128" i="24" s="1"/>
  <c r="Y128" i="24" s="1"/>
  <c r="AD321" i="24"/>
  <c r="AA321" i="24" s="1"/>
  <c r="Z321" i="24" s="1"/>
  <c r="Y321" i="24" s="1"/>
  <c r="AD359" i="24"/>
  <c r="AA359" i="24" s="1"/>
  <c r="Z359" i="24" s="1"/>
  <c r="Y359" i="24" s="1"/>
  <c r="AD145" i="24"/>
  <c r="AD178" i="24"/>
  <c r="AD90" i="24"/>
  <c r="AA90" i="24" s="1"/>
  <c r="Z90" i="24" s="1"/>
  <c r="Y90" i="24" s="1"/>
  <c r="AD318" i="24"/>
  <c r="AA318" i="24" s="1"/>
  <c r="Z318" i="24" s="1"/>
  <c r="Y318" i="24" s="1"/>
  <c r="AD89" i="24"/>
  <c r="AD72" i="24"/>
  <c r="AA72" i="24" s="1"/>
  <c r="Z72" i="24" s="1"/>
  <c r="Y72" i="24" s="1"/>
  <c r="AD211" i="24"/>
  <c r="AA211" i="24" s="1"/>
  <c r="Z211" i="24" s="1"/>
  <c r="Y211" i="24" s="1"/>
  <c r="AD109" i="24"/>
  <c r="AA109" i="24" s="1"/>
  <c r="Z109" i="24" s="1"/>
  <c r="Y109" i="24" s="1"/>
  <c r="AD19" i="24"/>
  <c r="AA19" i="24" s="1"/>
  <c r="Z19" i="24" s="1"/>
  <c r="Y19" i="24" s="1"/>
  <c r="AD101" i="24"/>
  <c r="AD139" i="24"/>
  <c r="AD300" i="24"/>
  <c r="AD31" i="24"/>
  <c r="AA31" i="24" s="1"/>
  <c r="Z31" i="24" s="1"/>
  <c r="Y31" i="24" s="1"/>
  <c r="AD293" i="24"/>
  <c r="AD332" i="24"/>
  <c r="AA332" i="24" s="1"/>
  <c r="Z332" i="24" s="1"/>
  <c r="Y332" i="24" s="1"/>
  <c r="AD68" i="24"/>
  <c r="AD99" i="24"/>
  <c r="AA99" i="24" s="1"/>
  <c r="Z99" i="24" s="1"/>
  <c r="Y99" i="24" s="1"/>
  <c r="AD29" i="24"/>
  <c r="AA29" i="24" s="1"/>
  <c r="Z29" i="24" s="1"/>
  <c r="Y29" i="24" s="1"/>
  <c r="AD329" i="24"/>
  <c r="AA329" i="24" s="1"/>
  <c r="Z329" i="24" s="1"/>
  <c r="Y329" i="24" s="1"/>
  <c r="AD116" i="24"/>
  <c r="AA116" i="24" s="1"/>
  <c r="Z116" i="24" s="1"/>
  <c r="Y116" i="24" s="1"/>
  <c r="AD283" i="24"/>
  <c r="AA283" i="24" s="1"/>
  <c r="Z283" i="24" s="1"/>
  <c r="Y283" i="24" s="1"/>
  <c r="AD372" i="24"/>
  <c r="AA372" i="24" s="1"/>
  <c r="Z372" i="24" s="1"/>
  <c r="Y372" i="24" s="1"/>
  <c r="AD204" i="24"/>
  <c r="AD85" i="24"/>
  <c r="AA85" i="24" s="1"/>
  <c r="Z85" i="24" s="1"/>
  <c r="Y85" i="24" s="1"/>
  <c r="AD144" i="24"/>
  <c r="AA144" i="24" s="1"/>
  <c r="Z144" i="24" s="1"/>
  <c r="Y144" i="24" s="1"/>
  <c r="AD138" i="24"/>
  <c r="AG381" i="23"/>
  <c r="AG383" i="23"/>
  <c r="AG382" i="23"/>
  <c r="AF15" i="23"/>
  <c r="AD94" i="24"/>
  <c r="AA94" i="24" s="1"/>
  <c r="Z94" i="24" s="1"/>
  <c r="Y94" i="24" s="1"/>
  <c r="AD104" i="24"/>
  <c r="AA104" i="24" s="1"/>
  <c r="Z104" i="24" s="1"/>
  <c r="Y104" i="24" s="1"/>
  <c r="AD207" i="24"/>
  <c r="AA207" i="24" s="1"/>
  <c r="Z207" i="24" s="1"/>
  <c r="Y207" i="24" s="1"/>
  <c r="AD49" i="24"/>
  <c r="AA49" i="24" s="1"/>
  <c r="Z49" i="24" s="1"/>
  <c r="Y49" i="24" s="1"/>
  <c r="AD33" i="24"/>
  <c r="AA33" i="24" s="1"/>
  <c r="Z33" i="24" s="1"/>
  <c r="Y33" i="24" s="1"/>
  <c r="AD345" i="24"/>
  <c r="AA345" i="24" s="1"/>
  <c r="Z345" i="24" s="1"/>
  <c r="Y345" i="24" s="1"/>
  <c r="AD346" i="24"/>
  <c r="AA346" i="24" s="1"/>
  <c r="Z346" i="24" s="1"/>
  <c r="Y346" i="24" s="1"/>
  <c r="AD118" i="24"/>
  <c r="AA118" i="24" s="1"/>
  <c r="Z118" i="24" s="1"/>
  <c r="Y118" i="24" s="1"/>
  <c r="AD303" i="24"/>
  <c r="AA303" i="24" s="1"/>
  <c r="Z303" i="24" s="1"/>
  <c r="Y303" i="24" s="1"/>
  <c r="AD194" i="24"/>
  <c r="AA194" i="24" s="1"/>
  <c r="Z194" i="24" s="1"/>
  <c r="Y194" i="24" s="1"/>
  <c r="AD352" i="24"/>
  <c r="AA352" i="24" s="1"/>
  <c r="Z352" i="24" s="1"/>
  <c r="Y352" i="24" s="1"/>
  <c r="AD282" i="24"/>
  <c r="AA282" i="24" s="1"/>
  <c r="Z282" i="24" s="1"/>
  <c r="Y282" i="24" s="1"/>
  <c r="AD261" i="24"/>
  <c r="AA261" i="24" s="1"/>
  <c r="Z261" i="24" s="1"/>
  <c r="Y261" i="24" s="1"/>
  <c r="AD176" i="24"/>
  <c r="AA176" i="24" s="1"/>
  <c r="Z176" i="24" s="1"/>
  <c r="Y176" i="24" s="1"/>
  <c r="AD121" i="24"/>
  <c r="AA121" i="24" s="1"/>
  <c r="Z121" i="24" s="1"/>
  <c r="Y121" i="24" s="1"/>
  <c r="AD378" i="24"/>
  <c r="AA378" i="24" s="1"/>
  <c r="Z378" i="24" s="1"/>
  <c r="Y378" i="24" s="1"/>
  <c r="AD18" i="24"/>
  <c r="AA18" i="24" s="1"/>
  <c r="Z18" i="24" s="1"/>
  <c r="Y18" i="24" s="1"/>
  <c r="AD331" i="24"/>
  <c r="AA331" i="24" s="1"/>
  <c r="Z331" i="24" s="1"/>
  <c r="Y331" i="24" s="1"/>
  <c r="AD365" i="24"/>
  <c r="AA365" i="24" s="1"/>
  <c r="Z365" i="24" s="1"/>
  <c r="Y365" i="24" s="1"/>
  <c r="AD215" i="24"/>
  <c r="AA215" i="24" s="1"/>
  <c r="Z215" i="24" s="1"/>
  <c r="Y215" i="24" s="1"/>
  <c r="AD174" i="24"/>
  <c r="AA174" i="24" s="1"/>
  <c r="Z174" i="24" s="1"/>
  <c r="Y174" i="24" s="1"/>
  <c r="AD151" i="24"/>
  <c r="AA151" i="24" s="1"/>
  <c r="Z151" i="24" s="1"/>
  <c r="Y151" i="24" s="1"/>
  <c r="AD324" i="24"/>
  <c r="AD285" i="24"/>
  <c r="AA285" i="24" s="1"/>
  <c r="Z285" i="24" s="1"/>
  <c r="Y285" i="24" s="1"/>
  <c r="AD244" i="24"/>
  <c r="AA244" i="24" s="1"/>
  <c r="Z244" i="24" s="1"/>
  <c r="Y244" i="24" s="1"/>
  <c r="AD246" i="24"/>
  <c r="AA246" i="24" s="1"/>
  <c r="Z246" i="24" s="1"/>
  <c r="Y246" i="24" s="1"/>
  <c r="AD124" i="24"/>
  <c r="AA124" i="24" s="1"/>
  <c r="Z124" i="24" s="1"/>
  <c r="Y124" i="24" s="1"/>
  <c r="AD105" i="24"/>
  <c r="AA105" i="24" s="1"/>
  <c r="Z105" i="24" s="1"/>
  <c r="Y105" i="24" s="1"/>
  <c r="AD82" i="24"/>
  <c r="AA82" i="24" s="1"/>
  <c r="Z82" i="24" s="1"/>
  <c r="Y82" i="24" s="1"/>
  <c r="AD220" i="24"/>
  <c r="AD251" i="24"/>
  <c r="AA251" i="24" s="1"/>
  <c r="Z251" i="24" s="1"/>
  <c r="Y251" i="24" s="1"/>
  <c r="AD297" i="24"/>
  <c r="AA297" i="24" s="1"/>
  <c r="Z297" i="24" s="1"/>
  <c r="Y297" i="24" s="1"/>
  <c r="AD97" i="24"/>
  <c r="AA97" i="24" s="1"/>
  <c r="Z97" i="24" s="1"/>
  <c r="Y97" i="24" s="1"/>
  <c r="AD349" i="24"/>
  <c r="AA349" i="24" s="1"/>
  <c r="Z349" i="24" s="1"/>
  <c r="Y349" i="24" s="1"/>
  <c r="AD214" i="24"/>
  <c r="AD171" i="24"/>
  <c r="AA171" i="24" s="1"/>
  <c r="Z171" i="24" s="1"/>
  <c r="Y171" i="24" s="1"/>
  <c r="AD32" i="24"/>
  <c r="AA32" i="24" s="1"/>
  <c r="Z32" i="24" s="1"/>
  <c r="Y32" i="24" s="1"/>
  <c r="AD179" i="24"/>
  <c r="AD290" i="24"/>
  <c r="AA290" i="24" s="1"/>
  <c r="Z290" i="24" s="1"/>
  <c r="Y290" i="24" s="1"/>
  <c r="AD198" i="24"/>
  <c r="AA198" i="24" s="1"/>
  <c r="Z198" i="24" s="1"/>
  <c r="Y198" i="24" s="1"/>
  <c r="AD294" i="24"/>
  <c r="AA294" i="24" s="1"/>
  <c r="Z294" i="24" s="1"/>
  <c r="Y294" i="24" s="1"/>
  <c r="AD157" i="24"/>
  <c r="AA157" i="24" s="1"/>
  <c r="Z157" i="24" s="1"/>
  <c r="Y157" i="24" s="1"/>
  <c r="AD56" i="24"/>
  <c r="AA56" i="24" s="1"/>
  <c r="Z56" i="24" s="1"/>
  <c r="Y56" i="24" s="1"/>
  <c r="AD180" i="24"/>
  <c r="AD155" i="24"/>
  <c r="AA155" i="24" s="1"/>
  <c r="Z155" i="24" s="1"/>
  <c r="Y155" i="24" s="1"/>
  <c r="AD308" i="24"/>
  <c r="AA308" i="24" s="1"/>
  <c r="Z308" i="24" s="1"/>
  <c r="Y308" i="24" s="1"/>
  <c r="AD140" i="24"/>
  <c r="AA140" i="24" s="1"/>
  <c r="Z140" i="24" s="1"/>
  <c r="Y140" i="24" s="1"/>
  <c r="AD341" i="24"/>
  <c r="AA341" i="24" s="1"/>
  <c r="Z341" i="24" s="1"/>
  <c r="Y341" i="24" s="1"/>
  <c r="AD274" i="24"/>
  <c r="AA274" i="24" s="1"/>
  <c r="Z274" i="24" s="1"/>
  <c r="Y274" i="24" s="1"/>
  <c r="AD361" i="24"/>
  <c r="AA361" i="24" s="1"/>
  <c r="Z361" i="24" s="1"/>
  <c r="Y361" i="24" s="1"/>
  <c r="AD71" i="24"/>
  <c r="AD98" i="24"/>
  <c r="AA98" i="24" s="1"/>
  <c r="Z98" i="24" s="1"/>
  <c r="Y98" i="24" s="1"/>
  <c r="AD309" i="24"/>
  <c r="AA309" i="24" s="1"/>
  <c r="Z309" i="24" s="1"/>
  <c r="Y309" i="24" s="1"/>
  <c r="AD156" i="24"/>
  <c r="AD292" i="24"/>
  <c r="AA292" i="24" s="1"/>
  <c r="Z292" i="24" s="1"/>
  <c r="Y292" i="24" s="1"/>
  <c r="AD123" i="24"/>
  <c r="AA123" i="24" s="1"/>
  <c r="Z123" i="24" s="1"/>
  <c r="Y123" i="24" s="1"/>
  <c r="AD196" i="24"/>
  <c r="AA196" i="24" s="1"/>
  <c r="Z196" i="24" s="1"/>
  <c r="Y196" i="24" s="1"/>
  <c r="AD40" i="24"/>
  <c r="AA40" i="24" s="1"/>
  <c r="Z40" i="24" s="1"/>
  <c r="Y40" i="24" s="1"/>
  <c r="AD125" i="24"/>
  <c r="AA125" i="24" s="1"/>
  <c r="Z125" i="24" s="1"/>
  <c r="Y125" i="24" s="1"/>
  <c r="AD195" i="24"/>
  <c r="AA195" i="24" s="1"/>
  <c r="Z195" i="24" s="1"/>
  <c r="Y195" i="24" s="1"/>
  <c r="AD129" i="24"/>
  <c r="AA129" i="24" s="1"/>
  <c r="Z129" i="24" s="1"/>
  <c r="Y129" i="24" s="1"/>
  <c r="AD93" i="24"/>
  <c r="AA93" i="24" s="1"/>
  <c r="Z93" i="24" s="1"/>
  <c r="Y93" i="24" s="1"/>
  <c r="AD148" i="24"/>
  <c r="AA148" i="24" s="1"/>
  <c r="Z148" i="24" s="1"/>
  <c r="Y148" i="24" s="1"/>
  <c r="AD340" i="24"/>
  <c r="AA340" i="24" s="1"/>
  <c r="Z340" i="24" s="1"/>
  <c r="Y340" i="24" s="1"/>
  <c r="AD254" i="24"/>
  <c r="AA254" i="24" s="1"/>
  <c r="Z254" i="24" s="1"/>
  <c r="Y254" i="24" s="1"/>
  <c r="AD43" i="24"/>
  <c r="AA43" i="24" s="1"/>
  <c r="Z43" i="24" s="1"/>
  <c r="Y43" i="24" s="1"/>
  <c r="AD311" i="24"/>
  <c r="AA311" i="24" s="1"/>
  <c r="Z311" i="24" s="1"/>
  <c r="Y311" i="24" s="1"/>
  <c r="AD96" i="24"/>
  <c r="AD205" i="24"/>
  <c r="AA205" i="24" s="1"/>
  <c r="Z205" i="24" s="1"/>
  <c r="Y205" i="24" s="1"/>
  <c r="AD307" i="24"/>
  <c r="AA307" i="24" s="1"/>
  <c r="Z307" i="24" s="1"/>
  <c r="Y307" i="24" s="1"/>
  <c r="AD265" i="24"/>
  <c r="AD91" i="24"/>
  <c r="AA91" i="24" s="1"/>
  <c r="Z91" i="24" s="1"/>
  <c r="Y91" i="24" s="1"/>
  <c r="AD46" i="24"/>
  <c r="AA46" i="24" s="1"/>
  <c r="Z46" i="24" s="1"/>
  <c r="Y46" i="24" s="1"/>
  <c r="AD362" i="24"/>
  <c r="AA362" i="24" s="1"/>
  <c r="Z362" i="24" s="1"/>
  <c r="Y362" i="24" s="1"/>
  <c r="AD130" i="24"/>
  <c r="AA130" i="24" s="1"/>
  <c r="Z130" i="24" s="1"/>
  <c r="Y130" i="24" s="1"/>
  <c r="AD369" i="24"/>
  <c r="AA369" i="24" s="1"/>
  <c r="Z369" i="24" s="1"/>
  <c r="Y369" i="24" s="1"/>
  <c r="AD263" i="24"/>
  <c r="AA263" i="24" s="1"/>
  <c r="Z263" i="24" s="1"/>
  <c r="Y263" i="24" s="1"/>
  <c r="AD161" i="24"/>
  <c r="AA161" i="24" s="1"/>
  <c r="Z161" i="24" s="1"/>
  <c r="Y161" i="24" s="1"/>
  <c r="AD50" i="24"/>
  <c r="AA50" i="24" s="1"/>
  <c r="Z50" i="24" s="1"/>
  <c r="Y50" i="24" s="1"/>
  <c r="AD65" i="24"/>
  <c r="AA65" i="24" s="1"/>
  <c r="Z65" i="24" s="1"/>
  <c r="Y65" i="24" s="1"/>
  <c r="AD103" i="24"/>
  <c r="AA103" i="24" s="1"/>
  <c r="Z103" i="24" s="1"/>
  <c r="Y103" i="24" s="1"/>
  <c r="AD158" i="24"/>
  <c r="AA158" i="24" s="1"/>
  <c r="Z158" i="24" s="1"/>
  <c r="Y158" i="24" s="1"/>
  <c r="AD119" i="24"/>
  <c r="AD141" i="24"/>
  <c r="AA141" i="24" s="1"/>
  <c r="Z141" i="24" s="1"/>
  <c r="Y141" i="24" s="1"/>
  <c r="AA139" i="24"/>
  <c r="Z139" i="24" s="1"/>
  <c r="Y139" i="24" s="1"/>
  <c r="AJ9" i="20"/>
  <c r="AJ11" i="20" s="1"/>
  <c r="AK7" i="20"/>
  <c r="AG84" i="24"/>
  <c r="AF84" i="24" s="1"/>
  <c r="AD84" i="24" s="1"/>
  <c r="AH379" i="24"/>
  <c r="AI12" i="25"/>
  <c r="AI299" i="25" s="1"/>
  <c r="AH299" i="25" s="1"/>
  <c r="AG299" i="25" s="1"/>
  <c r="AF299" i="25" s="1"/>
  <c r="AG258" i="24"/>
  <c r="AF258" i="24" s="1"/>
  <c r="AD258" i="24" s="1"/>
  <c r="AA258" i="24" s="1"/>
  <c r="Z258" i="24" s="1"/>
  <c r="Y258" i="24" s="1"/>
  <c r="AG363" i="24"/>
  <c r="AF363" i="24" s="1"/>
  <c r="AD363" i="24" s="1"/>
  <c r="AG67" i="24"/>
  <c r="AF67" i="24" s="1"/>
  <c r="AD67" i="24" s="1"/>
  <c r="AG231" i="24"/>
  <c r="AF231" i="24" s="1"/>
  <c r="AD231" i="24" s="1"/>
  <c r="AA231" i="24" s="1"/>
  <c r="Z231" i="24" s="1"/>
  <c r="Y231" i="24" s="1"/>
  <c r="AG172" i="24"/>
  <c r="AF172" i="24" s="1"/>
  <c r="AD172" i="24" s="1"/>
  <c r="AA172" i="24" s="1"/>
  <c r="Z172" i="24" s="1"/>
  <c r="Y172" i="24" s="1"/>
  <c r="AG51" i="24"/>
  <c r="AF51" i="24" s="1"/>
  <c r="AD51" i="24" s="1"/>
  <c r="AA51" i="24" s="1"/>
  <c r="Z51" i="24" s="1"/>
  <c r="Y51" i="24" s="1"/>
  <c r="AG295" i="24"/>
  <c r="AF295" i="24" s="1"/>
  <c r="AD295" i="24" s="1"/>
  <c r="AA295" i="24" s="1"/>
  <c r="Z295" i="24" s="1"/>
  <c r="Y295" i="24" s="1"/>
  <c r="AG147" i="24"/>
  <c r="AF147" i="24" s="1"/>
  <c r="AD147" i="24" s="1"/>
  <c r="AG233" i="24"/>
  <c r="AF233" i="24" s="1"/>
  <c r="AD233" i="24" s="1"/>
  <c r="AA233" i="24" s="1"/>
  <c r="Z233" i="24" s="1"/>
  <c r="Y233" i="24" s="1"/>
  <c r="AG343" i="24"/>
  <c r="AF343" i="24" s="1"/>
  <c r="AD343" i="24" s="1"/>
  <c r="AA343" i="24" s="1"/>
  <c r="Z343" i="24" s="1"/>
  <c r="Y343" i="24" s="1"/>
  <c r="AI382" i="24"/>
  <c r="AI381" i="24"/>
  <c r="AI383" i="24"/>
  <c r="AH15" i="24"/>
  <c r="AG135" i="24"/>
  <c r="AF135" i="24" s="1"/>
  <c r="AD135" i="24" s="1"/>
  <c r="AA135" i="24" s="1"/>
  <c r="Z135" i="24" s="1"/>
  <c r="Y135" i="24" s="1"/>
  <c r="AD383" i="22"/>
  <c r="AD382" i="22"/>
  <c r="AD381" i="22"/>
  <c r="AD217" i="24"/>
  <c r="AA217" i="24" s="1"/>
  <c r="Z217" i="24" s="1"/>
  <c r="Y217" i="24" s="1"/>
  <c r="AD256" i="24"/>
  <c r="AA256" i="24" s="1"/>
  <c r="Z256" i="24" s="1"/>
  <c r="Y256" i="24" s="1"/>
  <c r="AD165" i="24"/>
  <c r="AA165" i="24" s="1"/>
  <c r="Z165" i="24" s="1"/>
  <c r="Y165" i="24" s="1"/>
  <c r="AD168" i="24"/>
  <c r="AA168" i="24" s="1"/>
  <c r="Z168" i="24" s="1"/>
  <c r="Y168" i="24" s="1"/>
  <c r="AD272" i="24"/>
  <c r="AD368" i="24"/>
  <c r="AA368" i="24" s="1"/>
  <c r="Z368" i="24" s="1"/>
  <c r="Y368" i="24" s="1"/>
  <c r="AD79" i="24"/>
  <c r="AA79" i="24" s="1"/>
  <c r="Z79" i="24" s="1"/>
  <c r="Y79" i="24" s="1"/>
  <c r="AD36" i="24"/>
  <c r="AA36" i="24" s="1"/>
  <c r="Z36" i="24" s="1"/>
  <c r="Y36" i="24" s="1"/>
  <c r="AD137" i="24"/>
  <c r="AA137" i="24" s="1"/>
  <c r="Z137" i="24" s="1"/>
  <c r="Y137" i="24" s="1"/>
  <c r="AD287" i="24"/>
  <c r="AA287" i="24" s="1"/>
  <c r="Z287" i="24" s="1"/>
  <c r="Y287" i="24" s="1"/>
  <c r="AD279" i="24"/>
  <c r="AA279" i="24" s="1"/>
  <c r="Z279" i="24" s="1"/>
  <c r="Y279" i="24" s="1"/>
  <c r="AD312" i="24"/>
  <c r="AA312" i="24" s="1"/>
  <c r="Z312" i="24" s="1"/>
  <c r="Y312" i="24" s="1"/>
  <c r="AD192" i="24"/>
  <c r="AA192" i="24" s="1"/>
  <c r="Z192" i="24" s="1"/>
  <c r="Y192" i="24" s="1"/>
  <c r="AD117" i="24"/>
  <c r="AA117" i="24" s="1"/>
  <c r="Z117" i="24" s="1"/>
  <c r="Y117" i="24" s="1"/>
  <c r="AD48" i="24"/>
  <c r="AA48" i="24" s="1"/>
  <c r="Z48" i="24" s="1"/>
  <c r="Y48" i="24" s="1"/>
  <c r="AD188" i="24"/>
  <c r="AA188" i="24" s="1"/>
  <c r="Z188" i="24" s="1"/>
  <c r="Y188" i="24" s="1"/>
  <c r="AD202" i="24"/>
  <c r="AA202" i="24" s="1"/>
  <c r="Z202" i="24" s="1"/>
  <c r="Y202" i="24" s="1"/>
  <c r="AD351" i="24"/>
  <c r="AA351" i="24" s="1"/>
  <c r="Z351" i="24" s="1"/>
  <c r="Y351" i="24" s="1"/>
  <c r="AD229" i="24"/>
  <c r="AA229" i="24" s="1"/>
  <c r="Z229" i="24" s="1"/>
  <c r="Y229" i="24" s="1"/>
  <c r="AD364" i="24"/>
  <c r="AA364" i="24" s="1"/>
  <c r="Z364" i="24" s="1"/>
  <c r="Y364" i="24" s="1"/>
  <c r="AD102" i="24"/>
  <c r="AD225" i="24"/>
  <c r="AA225" i="24" s="1"/>
  <c r="Z225" i="24" s="1"/>
  <c r="Y225" i="24" s="1"/>
  <c r="AD271" i="24"/>
  <c r="AA271" i="24" s="1"/>
  <c r="Z271" i="24" s="1"/>
  <c r="Y271" i="24" s="1"/>
  <c r="AD54" i="24"/>
  <c r="AD127" i="24"/>
  <c r="AA127" i="24" s="1"/>
  <c r="Z127" i="24" s="1"/>
  <c r="Y127" i="24" s="1"/>
  <c r="AD199" i="24"/>
  <c r="AA199" i="24" s="1"/>
  <c r="Z199" i="24" s="1"/>
  <c r="Y199" i="24" s="1"/>
  <c r="AD266" i="24"/>
  <c r="AA266" i="24" s="1"/>
  <c r="Z266" i="24" s="1"/>
  <c r="Y266" i="24" s="1"/>
  <c r="AD354" i="24"/>
  <c r="AA354" i="24" s="1"/>
  <c r="Z354" i="24" s="1"/>
  <c r="Y354" i="24" s="1"/>
  <c r="AD30" i="24"/>
  <c r="AA30" i="24" s="1"/>
  <c r="Z30" i="24" s="1"/>
  <c r="Y30" i="24" s="1"/>
  <c r="AD306" i="24"/>
  <c r="AA306" i="24" s="1"/>
  <c r="Z306" i="24" s="1"/>
  <c r="Y306" i="24" s="1"/>
  <c r="AD170" i="24"/>
  <c r="AA170" i="24" s="1"/>
  <c r="Z170" i="24" s="1"/>
  <c r="Y170" i="24" s="1"/>
  <c r="AD212" i="24"/>
  <c r="AA212" i="24" s="1"/>
  <c r="Z212" i="24" s="1"/>
  <c r="Y212" i="24" s="1"/>
  <c r="AD235" i="24"/>
  <c r="AA235" i="24" s="1"/>
  <c r="Z235" i="24" s="1"/>
  <c r="Y235" i="24" s="1"/>
  <c r="AD377" i="24"/>
  <c r="AA377" i="24" s="1"/>
  <c r="Z377" i="24" s="1"/>
  <c r="Y377" i="24" s="1"/>
  <c r="AD113" i="24"/>
  <c r="AA113" i="24" s="1"/>
  <c r="Z113" i="24" s="1"/>
  <c r="Y113" i="24" s="1"/>
  <c r="AD21" i="24"/>
  <c r="AA21" i="24" s="1"/>
  <c r="Z21" i="24" s="1"/>
  <c r="Y21" i="24" s="1"/>
  <c r="AD289" i="24"/>
  <c r="AD112" i="24"/>
  <c r="AA112" i="24" s="1"/>
  <c r="Z112" i="24" s="1"/>
  <c r="Y112" i="24" s="1"/>
  <c r="AD291" i="24"/>
  <c r="AA291" i="24" s="1"/>
  <c r="Z291" i="24" s="1"/>
  <c r="Y291" i="24" s="1"/>
  <c r="AD360" i="24"/>
  <c r="AA360" i="24" s="1"/>
  <c r="Z360" i="24" s="1"/>
  <c r="Y360" i="24" s="1"/>
  <c r="AD284" i="24"/>
  <c r="AA284" i="24" s="1"/>
  <c r="Z284" i="24" s="1"/>
  <c r="Y284" i="24" s="1"/>
  <c r="AD375" i="24"/>
  <c r="AA375" i="24" s="1"/>
  <c r="Z375" i="24" s="1"/>
  <c r="Y375" i="24" s="1"/>
  <c r="AD319" i="24"/>
  <c r="AA319" i="24" s="1"/>
  <c r="Z319" i="24" s="1"/>
  <c r="Y319" i="24" s="1"/>
  <c r="AD273" i="24"/>
  <c r="AA273" i="24" s="1"/>
  <c r="Z273" i="24" s="1"/>
  <c r="Y273" i="24" s="1"/>
  <c r="AD242" i="24"/>
  <c r="AA242" i="24" s="1"/>
  <c r="Z242" i="24" s="1"/>
  <c r="Y242" i="24" s="1"/>
  <c r="AD75" i="24"/>
  <c r="AA75" i="24" s="1"/>
  <c r="Z75" i="24" s="1"/>
  <c r="Y75" i="24" s="1"/>
  <c r="AD209" i="24"/>
  <c r="AA209" i="24" s="1"/>
  <c r="Z209" i="24" s="1"/>
  <c r="Y209" i="24" s="1"/>
  <c r="AD74" i="24"/>
  <c r="AA74" i="24" s="1"/>
  <c r="Z74" i="24" s="1"/>
  <c r="Y74" i="24" s="1"/>
  <c r="AD210" i="24"/>
  <c r="AD87" i="24"/>
  <c r="AA87" i="24" s="1"/>
  <c r="Z87" i="24" s="1"/>
  <c r="Y87" i="24" s="1"/>
  <c r="AD248" i="24"/>
  <c r="AA248" i="24" s="1"/>
  <c r="Z248" i="24" s="1"/>
  <c r="Y248" i="24" s="1"/>
  <c r="AD110" i="24"/>
  <c r="AD42" i="24"/>
  <c r="AA42" i="24" s="1"/>
  <c r="Z42" i="24" s="1"/>
  <c r="Y42" i="24" s="1"/>
  <c r="AD320" i="24"/>
  <c r="AA320" i="24" s="1"/>
  <c r="Z320" i="24" s="1"/>
  <c r="Y320" i="24" s="1"/>
  <c r="AD241" i="24"/>
  <c r="AD159" i="24"/>
  <c r="AA159" i="24" s="1"/>
  <c r="Z159" i="24" s="1"/>
  <c r="Y159" i="24" s="1"/>
  <c r="AD38" i="24"/>
  <c r="AA38" i="24" s="1"/>
  <c r="Z38" i="24" s="1"/>
  <c r="Y38" i="24" s="1"/>
  <c r="AD189" i="24"/>
  <c r="AA189" i="24" s="1"/>
  <c r="Z189" i="24" s="1"/>
  <c r="Y189" i="24" s="1"/>
  <c r="AD186" i="24"/>
  <c r="AA186" i="24" s="1"/>
  <c r="Z186" i="24" s="1"/>
  <c r="Y186" i="24" s="1"/>
  <c r="AD310" i="24"/>
  <c r="AA310" i="24" s="1"/>
  <c r="Z310" i="24" s="1"/>
  <c r="Y310" i="24" s="1"/>
  <c r="AD322" i="24"/>
  <c r="AA322" i="24" s="1"/>
  <c r="Z322" i="24" s="1"/>
  <c r="Y322" i="24" s="1"/>
  <c r="AD182" i="24"/>
  <c r="AA182" i="24" s="1"/>
  <c r="Z182" i="24" s="1"/>
  <c r="Y182" i="24" s="1"/>
  <c r="AD373" i="24"/>
  <c r="AA373" i="24" s="1"/>
  <c r="Z373" i="24" s="1"/>
  <c r="Y373" i="24" s="1"/>
  <c r="AD252" i="24"/>
  <c r="AA252" i="24" s="1"/>
  <c r="Z252" i="24" s="1"/>
  <c r="Y252" i="24" s="1"/>
  <c r="AD315" i="24"/>
  <c r="AA315" i="24" s="1"/>
  <c r="Z315" i="24" s="1"/>
  <c r="Y315" i="24" s="1"/>
  <c r="AD203" i="24"/>
  <c r="AD213" i="24"/>
  <c r="AA213" i="24" s="1"/>
  <c r="Z213" i="24" s="1"/>
  <c r="Y213" i="24" s="1"/>
  <c r="AD208" i="24"/>
  <c r="AD167" i="24"/>
  <c r="AA167" i="24" s="1"/>
  <c r="Z167" i="24" s="1"/>
  <c r="Y167" i="24" s="1"/>
  <c r="AD286" i="24"/>
  <c r="AD95" i="24"/>
  <c r="AA95" i="24" s="1"/>
  <c r="Z95" i="24" s="1"/>
  <c r="Y95" i="24" s="1"/>
  <c r="AD25" i="24"/>
  <c r="AA25" i="24" s="1"/>
  <c r="Z25" i="24" s="1"/>
  <c r="Y25" i="24" s="1"/>
  <c r="AD70" i="24"/>
  <c r="AA70" i="24" s="1"/>
  <c r="Z70" i="24" s="1"/>
  <c r="Y70" i="24" s="1"/>
  <c r="AD169" i="24"/>
  <c r="AD239" i="24"/>
  <c r="AA239" i="24" s="1"/>
  <c r="Z239" i="24" s="1"/>
  <c r="Y239" i="24" s="1"/>
  <c r="AD353" i="24"/>
  <c r="AA353" i="24" s="1"/>
  <c r="Z353" i="24" s="1"/>
  <c r="Y353" i="24" s="1"/>
  <c r="AD358" i="24"/>
  <c r="AA358" i="24" s="1"/>
  <c r="Z358" i="24" s="1"/>
  <c r="Y358" i="24" s="1"/>
  <c r="AD317" i="24"/>
  <c r="AA317" i="24" s="1"/>
  <c r="Z317" i="24" s="1"/>
  <c r="Y317" i="24" s="1"/>
  <c r="AD224" i="24"/>
  <c r="AA224" i="24" s="1"/>
  <c r="Z224" i="24" s="1"/>
  <c r="Y224" i="24" s="1"/>
  <c r="AD370" i="24"/>
  <c r="AA370" i="24" s="1"/>
  <c r="Z370" i="24" s="1"/>
  <c r="Y370" i="24" s="1"/>
  <c r="AD342" i="24"/>
  <c r="AA342" i="24" s="1"/>
  <c r="Z342" i="24" s="1"/>
  <c r="Y342" i="24" s="1"/>
  <c r="AD330" i="24"/>
  <c r="AA330" i="24" s="1"/>
  <c r="Z330" i="24" s="1"/>
  <c r="Y330" i="24" s="1"/>
  <c r="AD232" i="24"/>
  <c r="AA232" i="24" s="1"/>
  <c r="Z232" i="24" s="1"/>
  <c r="Y232" i="24" s="1"/>
  <c r="AD28" i="24"/>
  <c r="AA28" i="24" s="1"/>
  <c r="Z28" i="24" s="1"/>
  <c r="Y28" i="24" s="1"/>
  <c r="AD238" i="24"/>
  <c r="AA238" i="24" s="1"/>
  <c r="Z238" i="24" s="1"/>
  <c r="Y238" i="24" s="1"/>
  <c r="AD16" i="24"/>
  <c r="AA16" i="24" s="1"/>
  <c r="Z16" i="24" s="1"/>
  <c r="Y16" i="24" s="1"/>
  <c r="AD374" i="24"/>
  <c r="AA374" i="24" s="1"/>
  <c r="Z374" i="24" s="1"/>
  <c r="Y374" i="24" s="1"/>
  <c r="AD173" i="24"/>
  <c r="AD44" i="24"/>
  <c r="AA44" i="24" s="1"/>
  <c r="Z44" i="24" s="1"/>
  <c r="Y44" i="24" s="1"/>
  <c r="AD136" i="24"/>
  <c r="AA136" i="24" s="1"/>
  <c r="Z136" i="24" s="1"/>
  <c r="Y136" i="24" s="1"/>
  <c r="AD92" i="24"/>
  <c r="AA92" i="24" s="1"/>
  <c r="Z92" i="24" s="1"/>
  <c r="Y92" i="24" s="1"/>
  <c r="AD296" i="24"/>
  <c r="AA296" i="24" s="1"/>
  <c r="Z296" i="24" s="1"/>
  <c r="Y296" i="24" s="1"/>
  <c r="AD149" i="24"/>
  <c r="AD339" i="24"/>
  <c r="AD206" i="24"/>
  <c r="AA206" i="24" s="1"/>
  <c r="Z206" i="24" s="1"/>
  <c r="Y206" i="24" s="1"/>
  <c r="AD114" i="24"/>
  <c r="AA114" i="24" s="1"/>
  <c r="Z114" i="24" s="1"/>
  <c r="Y114" i="24" s="1"/>
  <c r="AD81" i="24"/>
  <c r="AA81" i="24" s="1"/>
  <c r="Z81" i="24" s="1"/>
  <c r="Y81" i="24" s="1"/>
  <c r="AD146" i="24"/>
  <c r="AA146" i="24" s="1"/>
  <c r="Z146" i="24" s="1"/>
  <c r="Y146" i="24" s="1"/>
  <c r="AD314" i="24"/>
  <c r="AA314" i="24" s="1"/>
  <c r="Z314" i="24" s="1"/>
  <c r="Y314" i="24" s="1"/>
  <c r="AD45" i="24"/>
  <c r="AA45" i="24" s="1"/>
  <c r="Z45" i="24" s="1"/>
  <c r="Y45" i="24" s="1"/>
  <c r="AD76" i="24"/>
  <c r="AA76" i="24" s="1"/>
  <c r="Z76" i="24" s="1"/>
  <c r="Y76" i="24" s="1"/>
  <c r="AD164" i="24"/>
  <c r="AA164" i="24" s="1"/>
  <c r="Z164" i="24" s="1"/>
  <c r="Y164" i="24" s="1"/>
  <c r="AD122" i="24"/>
  <c r="AA122" i="24" s="1"/>
  <c r="Z122" i="24" s="1"/>
  <c r="Y122" i="24" s="1"/>
  <c r="AD27" i="24"/>
  <c r="AA27" i="24" s="1"/>
  <c r="Z27" i="24" s="1"/>
  <c r="Y27" i="24" s="1"/>
  <c r="AD78" i="24"/>
  <c r="AA78" i="24" s="1"/>
  <c r="Z78" i="24" s="1"/>
  <c r="Y78" i="24" s="1"/>
  <c r="AD59" i="24"/>
  <c r="AA59" i="24" s="1"/>
  <c r="Z59" i="24" s="1"/>
  <c r="Y59" i="24" s="1"/>
  <c r="AD327" i="24"/>
  <c r="AA327" i="24" s="1"/>
  <c r="Z327" i="24" s="1"/>
  <c r="Y327" i="24" s="1"/>
  <c r="AD53" i="24"/>
  <c r="AA53" i="24" s="1"/>
  <c r="Z53" i="24" s="1"/>
  <c r="Y53" i="24" s="1"/>
  <c r="AD356" i="24"/>
  <c r="AA356" i="24" s="1"/>
  <c r="Z356" i="24" s="1"/>
  <c r="Y356" i="24" s="1"/>
  <c r="AD132" i="24"/>
  <c r="AA132" i="24" s="1"/>
  <c r="Z132" i="24" s="1"/>
  <c r="Y132" i="24" s="1"/>
  <c r="AD367" i="24"/>
  <c r="AA367" i="24" s="1"/>
  <c r="Z367" i="24" s="1"/>
  <c r="Y367" i="24" s="1"/>
  <c r="AD227" i="24"/>
  <c r="AD278" i="24"/>
  <c r="AA278" i="24" s="1"/>
  <c r="Z278" i="24" s="1"/>
  <c r="Y278" i="24" s="1"/>
  <c r="AD316" i="24"/>
  <c r="AA316" i="24" s="1"/>
  <c r="Z316" i="24" s="1"/>
  <c r="Y316" i="24" s="1"/>
  <c r="AD69" i="24"/>
  <c r="AA69" i="24" s="1"/>
  <c r="Z69" i="24" s="1"/>
  <c r="Y69" i="24" s="1"/>
  <c r="AD77" i="24"/>
  <c r="AD88" i="24"/>
  <c r="AD181" i="24"/>
  <c r="AA181" i="24" s="1"/>
  <c r="Z181" i="24" s="1"/>
  <c r="Y181" i="24" s="1"/>
  <c r="AD62" i="24"/>
  <c r="AA62" i="24" s="1"/>
  <c r="Z62" i="24" s="1"/>
  <c r="Y62" i="24" s="1"/>
  <c r="AD338" i="24"/>
  <c r="AA338" i="24" s="1"/>
  <c r="Z338" i="24" s="1"/>
  <c r="Y338" i="24" s="1"/>
  <c r="AD328" i="24"/>
  <c r="AA328" i="24" s="1"/>
  <c r="Z328" i="24" s="1"/>
  <c r="Y328" i="24" s="1"/>
  <c r="AD350" i="24"/>
  <c r="AA350" i="24" s="1"/>
  <c r="Z350" i="24" s="1"/>
  <c r="Y350" i="24" s="1"/>
  <c r="AD223" i="24"/>
  <c r="AA223" i="24" s="1"/>
  <c r="Z223" i="24" s="1"/>
  <c r="Y223" i="24" s="1"/>
  <c r="AD153" i="24"/>
  <c r="AA153" i="24" s="1"/>
  <c r="Z153" i="24" s="1"/>
  <c r="Y153" i="24" s="1"/>
  <c r="AD357" i="24"/>
  <c r="AD41" i="24"/>
  <c r="AA41" i="24" s="1"/>
  <c r="Z41" i="24" s="1"/>
  <c r="Y41" i="24" s="1"/>
  <c r="AD111" i="24"/>
  <c r="AA111" i="24" s="1"/>
  <c r="Z111" i="24" s="1"/>
  <c r="Y111" i="24" s="1"/>
  <c r="AD134" i="24"/>
  <c r="AA134" i="24" s="1"/>
  <c r="Z134" i="24" s="1"/>
  <c r="Y134" i="24" s="1"/>
  <c r="AD228" i="24"/>
  <c r="AA228" i="24" s="1"/>
  <c r="Z228" i="24" s="1"/>
  <c r="Y228" i="24" s="1"/>
  <c r="AD61" i="24"/>
  <c r="AA61" i="24" s="1"/>
  <c r="Z61" i="24" s="1"/>
  <c r="Y61" i="24" s="1"/>
  <c r="AD323" i="24"/>
  <c r="AA323" i="24" s="1"/>
  <c r="Z323" i="24" s="1"/>
  <c r="Y323" i="24" s="1"/>
  <c r="AD257" i="24"/>
  <c r="AA257" i="24" s="1"/>
  <c r="Z257" i="24" s="1"/>
  <c r="Y257" i="24" s="1"/>
  <c r="AD143" i="24"/>
  <c r="AA143" i="24" s="1"/>
  <c r="Z143" i="24" s="1"/>
  <c r="Y143" i="24" s="1"/>
  <c r="AD73" i="24"/>
  <c r="AA73" i="24" s="1"/>
  <c r="Z73" i="24" s="1"/>
  <c r="Y73" i="24" s="1"/>
  <c r="AD325" i="24"/>
  <c r="AA325" i="24" s="1"/>
  <c r="Z325" i="24" s="1"/>
  <c r="Y325" i="24" s="1"/>
  <c r="AD185" i="24"/>
  <c r="AA185" i="24" s="1"/>
  <c r="Z185" i="24" s="1"/>
  <c r="Y185" i="24" s="1"/>
  <c r="AD255" i="24"/>
  <c r="AA255" i="24" s="1"/>
  <c r="Z255" i="24" s="1"/>
  <c r="Y255" i="24" s="1"/>
  <c r="AD334" i="24"/>
  <c r="AA334" i="24" s="1"/>
  <c r="Z334" i="24" s="1"/>
  <c r="Y334" i="24" s="1"/>
  <c r="AD344" i="24"/>
  <c r="AA344" i="24" s="1"/>
  <c r="Z344" i="24" s="1"/>
  <c r="Y344" i="24" s="1"/>
  <c r="AD34" i="24"/>
  <c r="AA34" i="24" s="1"/>
  <c r="Z34" i="24" s="1"/>
  <c r="Y34" i="24" s="1"/>
  <c r="AD39" i="24"/>
  <c r="AA39" i="24" s="1"/>
  <c r="Z39" i="24" s="1"/>
  <c r="Y39" i="24" s="1"/>
  <c r="AD24" i="24"/>
  <c r="AA24" i="24" s="1"/>
  <c r="Z24" i="24" s="1"/>
  <c r="Y24" i="24" s="1"/>
  <c r="AD219" i="24"/>
  <c r="AA219" i="24" s="1"/>
  <c r="Z219" i="24" s="1"/>
  <c r="Y219" i="24" s="1"/>
  <c r="AD366" i="24"/>
  <c r="AA366" i="24" s="1"/>
  <c r="Z366" i="24" s="1"/>
  <c r="Y366" i="24" s="1"/>
  <c r="AD277" i="24"/>
  <c r="AA277" i="24" s="1"/>
  <c r="Z277" i="24" s="1"/>
  <c r="Y277" i="24" s="1"/>
  <c r="AD100" i="24"/>
  <c r="AA100" i="24" s="1"/>
  <c r="Z100" i="24" s="1"/>
  <c r="Y100" i="24" s="1"/>
  <c r="AD240" i="24"/>
  <c r="AA240" i="24" s="1"/>
  <c r="Z240" i="24" s="1"/>
  <c r="Y240" i="24" s="1"/>
  <c r="AD35" i="24"/>
  <c r="AD234" i="24"/>
  <c r="AA234" i="24" s="1"/>
  <c r="Z234" i="24" s="1"/>
  <c r="Y234" i="24" s="1"/>
  <c r="AD335" i="24"/>
  <c r="AD86" i="24"/>
  <c r="AA86" i="24" s="1"/>
  <c r="Z86" i="24" s="1"/>
  <c r="Y86" i="24" s="1"/>
  <c r="AD276" i="24"/>
  <c r="AA276" i="24" s="1"/>
  <c r="Z276" i="24" s="1"/>
  <c r="Y276" i="24" s="1"/>
  <c r="AD222" i="24"/>
  <c r="AA222" i="24" s="1"/>
  <c r="Z222" i="24" s="1"/>
  <c r="Y222" i="24" s="1"/>
  <c r="AD247" i="24"/>
  <c r="AA247" i="24" s="1"/>
  <c r="Z247" i="24" s="1"/>
  <c r="Y247" i="24" s="1"/>
  <c r="AD152" i="24"/>
  <c r="AA152" i="24" s="1"/>
  <c r="Z152" i="24" s="1"/>
  <c r="Y152" i="24" s="1"/>
  <c r="AD60" i="24"/>
  <c r="AD200" i="24"/>
  <c r="AA200" i="24" s="1"/>
  <c r="Z200" i="24" s="1"/>
  <c r="Y200" i="24" s="1"/>
  <c r="AD336" i="24"/>
  <c r="AA336" i="24" s="1"/>
  <c r="Z336" i="24" s="1"/>
  <c r="Y336" i="24" s="1"/>
  <c r="AD288" i="24"/>
  <c r="AA288" i="24" s="1"/>
  <c r="Z288" i="24" s="1"/>
  <c r="Y288" i="24" s="1"/>
  <c r="AD120" i="24"/>
  <c r="AA120" i="24" s="1"/>
  <c r="Z120" i="24" s="1"/>
  <c r="Y120" i="24" s="1"/>
  <c r="AD305" i="24"/>
  <c r="AA305" i="24" s="1"/>
  <c r="Z305" i="24" s="1"/>
  <c r="Y305" i="24" s="1"/>
  <c r="AD298" i="24"/>
  <c r="AD64" i="24"/>
  <c r="AA64" i="24" s="1"/>
  <c r="Z64" i="24" s="1"/>
  <c r="Y64" i="24" s="1"/>
  <c r="AD115" i="24"/>
  <c r="AA115" i="24" s="1"/>
  <c r="Z115" i="24" s="1"/>
  <c r="Y115" i="24" s="1"/>
  <c r="G181" i="24"/>
  <c r="CE181" i="6" s="1"/>
  <c r="H165" i="24"/>
  <c r="I165" i="24" s="1"/>
  <c r="U309" i="25"/>
  <c r="T309" i="25" s="1"/>
  <c r="S309" i="25" s="1"/>
  <c r="R309" i="25" s="1"/>
  <c r="U216" i="25"/>
  <c r="T216" i="25" s="1"/>
  <c r="S216" i="25" s="1"/>
  <c r="R216" i="25" s="1"/>
  <c r="U375" i="25"/>
  <c r="T375" i="25" s="1"/>
  <c r="S375" i="25" s="1"/>
  <c r="R375" i="25" s="1"/>
  <c r="U121" i="25"/>
  <c r="T121" i="25" s="1"/>
  <c r="S121" i="25" s="1"/>
  <c r="R121" i="25" s="1"/>
  <c r="U268" i="25"/>
  <c r="T268" i="25" s="1"/>
  <c r="S268" i="25" s="1"/>
  <c r="R268" i="25" s="1"/>
  <c r="U294" i="25"/>
  <c r="T294" i="25" s="1"/>
  <c r="S294" i="25" s="1"/>
  <c r="R294" i="25" s="1"/>
  <c r="U207" i="25"/>
  <c r="T207" i="25" s="1"/>
  <c r="S207" i="25" s="1"/>
  <c r="R207" i="25" s="1"/>
  <c r="U241" i="25"/>
  <c r="T241" i="25" s="1"/>
  <c r="S241" i="25" s="1"/>
  <c r="R241" i="25" s="1"/>
  <c r="U283" i="25"/>
  <c r="T283" i="25" s="1"/>
  <c r="S283" i="25" s="1"/>
  <c r="R283" i="25" s="1"/>
  <c r="U325" i="25"/>
  <c r="T325" i="25" s="1"/>
  <c r="S325" i="25" s="1"/>
  <c r="R325" i="25" s="1"/>
  <c r="U310" i="25"/>
  <c r="T310" i="25" s="1"/>
  <c r="S310" i="25" s="1"/>
  <c r="R310" i="25" s="1"/>
  <c r="U236" i="25"/>
  <c r="T236" i="25" s="1"/>
  <c r="S236" i="25" s="1"/>
  <c r="R236" i="25" s="1"/>
  <c r="U156" i="25"/>
  <c r="T156" i="25" s="1"/>
  <c r="S156" i="25" s="1"/>
  <c r="R156" i="25" s="1"/>
  <c r="U297" i="25"/>
  <c r="T297" i="25" s="1"/>
  <c r="S297" i="25" s="1"/>
  <c r="R297" i="25" s="1"/>
  <c r="U258" i="25"/>
  <c r="T258" i="25" s="1"/>
  <c r="S258" i="25" s="1"/>
  <c r="R258" i="25" s="1"/>
  <c r="U256" i="25"/>
  <c r="T256" i="25" s="1"/>
  <c r="S256" i="25" s="1"/>
  <c r="R256" i="25" s="1"/>
  <c r="U202" i="25"/>
  <c r="T202" i="25" s="1"/>
  <c r="S202" i="25" s="1"/>
  <c r="R202" i="25" s="1"/>
  <c r="U370" i="25"/>
  <c r="T370" i="25" s="1"/>
  <c r="S370" i="25" s="1"/>
  <c r="R370" i="25" s="1"/>
  <c r="U343" i="25"/>
  <c r="T343" i="25" s="1"/>
  <c r="S343" i="25" s="1"/>
  <c r="R343" i="25" s="1"/>
  <c r="U157" i="25"/>
  <c r="T157" i="25" s="1"/>
  <c r="S157" i="25" s="1"/>
  <c r="R157" i="25" s="1"/>
  <c r="U224" i="25"/>
  <c r="T224" i="25" s="1"/>
  <c r="S224" i="25" s="1"/>
  <c r="R224" i="25" s="1"/>
  <c r="U274" i="25"/>
  <c r="T274" i="25" s="1"/>
  <c r="S274" i="25" s="1"/>
  <c r="R274" i="25" s="1"/>
  <c r="U110" i="25"/>
  <c r="T110" i="25" s="1"/>
  <c r="S110" i="25" s="1"/>
  <c r="R110" i="25" s="1"/>
  <c r="U107" i="25"/>
  <c r="T107" i="25" s="1"/>
  <c r="S107" i="25" s="1"/>
  <c r="R107" i="25" s="1"/>
  <c r="U198" i="25"/>
  <c r="T198" i="25" s="1"/>
  <c r="S198" i="25" s="1"/>
  <c r="R198" i="25" s="1"/>
  <c r="U334" i="25"/>
  <c r="T334" i="25" s="1"/>
  <c r="S334" i="25" s="1"/>
  <c r="R334" i="25" s="1"/>
  <c r="H191" i="24"/>
  <c r="J191" i="24" s="1"/>
  <c r="H139" i="24"/>
  <c r="J139" i="24" s="1"/>
  <c r="H30" i="24"/>
  <c r="J30" i="24" s="1"/>
  <c r="U252" i="25"/>
  <c r="T252" i="25" s="1"/>
  <c r="S252" i="25" s="1"/>
  <c r="R252" i="25" s="1"/>
  <c r="U223" i="25"/>
  <c r="T223" i="25" s="1"/>
  <c r="S223" i="25" s="1"/>
  <c r="R223" i="25" s="1"/>
  <c r="U148" i="25"/>
  <c r="T148" i="25" s="1"/>
  <c r="S148" i="25" s="1"/>
  <c r="R148" i="25" s="1"/>
  <c r="U272" i="25"/>
  <c r="T272" i="25" s="1"/>
  <c r="S272" i="25" s="1"/>
  <c r="R272" i="25" s="1"/>
  <c r="U105" i="25"/>
  <c r="T105" i="25" s="1"/>
  <c r="S105" i="25" s="1"/>
  <c r="R105" i="25" s="1"/>
  <c r="U371" i="25"/>
  <c r="T371" i="25" s="1"/>
  <c r="S371" i="25" s="1"/>
  <c r="R371" i="25" s="1"/>
  <c r="U322" i="25"/>
  <c r="T322" i="25" s="1"/>
  <c r="S322" i="25" s="1"/>
  <c r="R322" i="25" s="1"/>
  <c r="U142" i="25"/>
  <c r="T142" i="25" s="1"/>
  <c r="S142" i="25" s="1"/>
  <c r="R142" i="25" s="1"/>
  <c r="U199" i="25"/>
  <c r="T199" i="25" s="1"/>
  <c r="S199" i="25" s="1"/>
  <c r="R199" i="25" s="1"/>
  <c r="U109" i="25"/>
  <c r="T109" i="25" s="1"/>
  <c r="S109" i="25" s="1"/>
  <c r="R109" i="25" s="1"/>
  <c r="U350" i="25"/>
  <c r="T350" i="25" s="1"/>
  <c r="S350" i="25" s="1"/>
  <c r="R350" i="25" s="1"/>
  <c r="U253" i="25"/>
  <c r="T253" i="25" s="1"/>
  <c r="S253" i="25" s="1"/>
  <c r="R253" i="25" s="1"/>
  <c r="U168" i="25"/>
  <c r="T168" i="25" s="1"/>
  <c r="S168" i="25" s="1"/>
  <c r="R168" i="25" s="1"/>
  <c r="U178" i="25"/>
  <c r="T178" i="25" s="1"/>
  <c r="S178" i="25" s="1"/>
  <c r="R178" i="25" s="1"/>
  <c r="U336" i="25"/>
  <c r="T336" i="25" s="1"/>
  <c r="S336" i="25" s="1"/>
  <c r="R336" i="25" s="1"/>
  <c r="U172" i="25"/>
  <c r="T172" i="25" s="1"/>
  <c r="S172" i="25" s="1"/>
  <c r="R172" i="25" s="1"/>
  <c r="U111" i="25"/>
  <c r="T111" i="25" s="1"/>
  <c r="S111" i="25" s="1"/>
  <c r="R111" i="25" s="1"/>
  <c r="U292" i="25"/>
  <c r="T292" i="25" s="1"/>
  <c r="S292" i="25" s="1"/>
  <c r="R292" i="25" s="1"/>
  <c r="U160" i="25"/>
  <c r="T160" i="25" s="1"/>
  <c r="S160" i="25" s="1"/>
  <c r="R160" i="25" s="1"/>
  <c r="AJ3" i="18"/>
  <c r="O15" i="19" s="1"/>
  <c r="M15" i="19" s="1"/>
  <c r="AL13" i="18"/>
  <c r="S382" i="24"/>
  <c r="S381" i="24"/>
  <c r="S383" i="24"/>
  <c r="R15" i="24"/>
  <c r="AI281" i="25"/>
  <c r="AH281" i="25" s="1"/>
  <c r="AG281" i="25" s="1"/>
  <c r="AF281" i="25" s="1"/>
  <c r="AI340" i="25"/>
  <c r="AH340" i="25" s="1"/>
  <c r="AG340" i="25" s="1"/>
  <c r="AF340" i="25" s="1"/>
  <c r="AI373" i="25"/>
  <c r="AH373" i="25" s="1"/>
  <c r="AG373" i="25" s="1"/>
  <c r="AF373" i="25" s="1"/>
  <c r="AI155" i="25"/>
  <c r="AH155" i="25" s="1"/>
  <c r="AG155" i="25" s="1"/>
  <c r="AF155" i="25" s="1"/>
  <c r="AI185" i="25"/>
  <c r="AH185" i="25" s="1"/>
  <c r="AG185" i="25" s="1"/>
  <c r="AF185" i="25" s="1"/>
  <c r="AI177" i="25"/>
  <c r="AH177" i="25" s="1"/>
  <c r="AG177" i="25" s="1"/>
  <c r="AF177" i="25" s="1"/>
  <c r="AI361" i="25"/>
  <c r="AH361" i="25" s="1"/>
  <c r="AG361" i="25" s="1"/>
  <c r="AF361" i="25" s="1"/>
  <c r="AI238" i="25"/>
  <c r="AH238" i="25" s="1"/>
  <c r="AG238" i="25" s="1"/>
  <c r="AF238" i="25" s="1"/>
  <c r="AI356" i="25"/>
  <c r="AH356" i="25" s="1"/>
  <c r="AG356" i="25" s="1"/>
  <c r="AF356" i="25" s="1"/>
  <c r="AI115" i="25"/>
  <c r="AH115" i="25" s="1"/>
  <c r="AG115" i="25" s="1"/>
  <c r="AF115" i="25" s="1"/>
  <c r="AI106" i="25"/>
  <c r="AH106" i="25" s="1"/>
  <c r="AG106" i="25" s="1"/>
  <c r="AF106" i="25" s="1"/>
  <c r="AI290" i="25"/>
  <c r="AH290" i="25" s="1"/>
  <c r="AG290" i="25" s="1"/>
  <c r="AF290" i="25" s="1"/>
  <c r="AI355" i="25"/>
  <c r="AH355" i="25" s="1"/>
  <c r="AG355" i="25" s="1"/>
  <c r="AF355" i="25" s="1"/>
  <c r="AI252" i="25"/>
  <c r="AH252" i="25" s="1"/>
  <c r="AG252" i="25" s="1"/>
  <c r="AF252" i="25" s="1"/>
  <c r="AI157" i="25"/>
  <c r="AH157" i="25" s="1"/>
  <c r="AG157" i="25" s="1"/>
  <c r="AF157" i="25" s="1"/>
  <c r="AI341" i="25"/>
  <c r="AH341" i="25" s="1"/>
  <c r="AG341" i="25" s="1"/>
  <c r="AF341" i="25" s="1"/>
  <c r="AI348" i="25"/>
  <c r="AH348" i="25" s="1"/>
  <c r="AG348" i="25" s="1"/>
  <c r="AF348" i="25" s="1"/>
  <c r="AI274" i="25"/>
  <c r="AH274" i="25" s="1"/>
  <c r="AG274" i="25" s="1"/>
  <c r="AF274" i="25" s="1"/>
  <c r="AI140" i="25"/>
  <c r="AH140" i="25" s="1"/>
  <c r="AG140" i="25" s="1"/>
  <c r="AF140" i="25" s="1"/>
  <c r="AI200" i="25"/>
  <c r="AH200" i="25" s="1"/>
  <c r="AG200" i="25" s="1"/>
  <c r="AF200" i="25" s="1"/>
  <c r="AI258" i="25"/>
  <c r="AH258" i="25" s="1"/>
  <c r="AG258" i="25" s="1"/>
  <c r="AF258" i="25" s="1"/>
  <c r="AI104" i="25"/>
  <c r="AH104" i="25" s="1"/>
  <c r="AG104" i="25" s="1"/>
  <c r="AF104" i="25" s="1"/>
  <c r="AI171" i="25"/>
  <c r="AH171" i="25" s="1"/>
  <c r="AG171" i="25" s="1"/>
  <c r="AF171" i="25" s="1"/>
  <c r="AI206" i="25"/>
  <c r="AH206" i="25" s="1"/>
  <c r="AG206" i="25" s="1"/>
  <c r="AF206" i="25" s="1"/>
  <c r="AI113" i="25"/>
  <c r="AH113" i="25" s="1"/>
  <c r="AG113" i="25" s="1"/>
  <c r="AF113" i="25" s="1"/>
  <c r="AI257" i="25"/>
  <c r="AH257" i="25" s="1"/>
  <c r="AG257" i="25" s="1"/>
  <c r="AF257" i="25" s="1"/>
  <c r="AI317" i="25"/>
  <c r="AH317" i="25" s="1"/>
  <c r="AG317" i="25" s="1"/>
  <c r="AF317" i="25" s="1"/>
  <c r="AI284" i="25"/>
  <c r="AH284" i="25" s="1"/>
  <c r="AG284" i="25" s="1"/>
  <c r="AF284" i="25" s="1"/>
  <c r="AI339" i="25"/>
  <c r="AH339" i="25" s="1"/>
  <c r="AG339" i="25" s="1"/>
  <c r="AF339" i="25" s="1"/>
  <c r="AI149" i="25"/>
  <c r="AH149" i="25" s="1"/>
  <c r="AG149" i="25" s="1"/>
  <c r="AF149" i="25" s="1"/>
  <c r="AI243" i="25"/>
  <c r="AH243" i="25" s="1"/>
  <c r="AG243" i="25" s="1"/>
  <c r="AF243" i="25" s="1"/>
  <c r="AI235" i="25"/>
  <c r="AH235" i="25" s="1"/>
  <c r="AG235" i="25" s="1"/>
  <c r="AF235" i="25" s="1"/>
  <c r="AI210" i="25"/>
  <c r="AH210" i="25" s="1"/>
  <c r="AG210" i="25" s="1"/>
  <c r="AF210" i="25" s="1"/>
  <c r="AI322" i="25"/>
  <c r="AH322" i="25" s="1"/>
  <c r="AG322" i="25" s="1"/>
  <c r="AF322" i="25" s="1"/>
  <c r="P381" i="23"/>
  <c r="P383" i="23"/>
  <c r="P382" i="23"/>
  <c r="V15" i="23"/>
  <c r="N4" i="6"/>
  <c r="U295" i="25"/>
  <c r="T295" i="25" s="1"/>
  <c r="S295" i="25" s="1"/>
  <c r="R295" i="25" s="1"/>
  <c r="U361" i="25"/>
  <c r="T361" i="25" s="1"/>
  <c r="S361" i="25" s="1"/>
  <c r="R361" i="25" s="1"/>
  <c r="U147" i="25"/>
  <c r="T147" i="25" s="1"/>
  <c r="S147" i="25" s="1"/>
  <c r="R147" i="25" s="1"/>
  <c r="U205" i="25"/>
  <c r="T205" i="25" s="1"/>
  <c r="S205" i="25" s="1"/>
  <c r="R205" i="25" s="1"/>
  <c r="U114" i="25"/>
  <c r="T114" i="25" s="1"/>
  <c r="S114" i="25" s="1"/>
  <c r="R114" i="25" s="1"/>
  <c r="U257" i="25"/>
  <c r="T257" i="25" s="1"/>
  <c r="S257" i="25" s="1"/>
  <c r="R257" i="25" s="1"/>
  <c r="U299" i="25"/>
  <c r="T299" i="25" s="1"/>
  <c r="S299" i="25" s="1"/>
  <c r="R299" i="25" s="1"/>
  <c r="U341" i="25"/>
  <c r="T341" i="25" s="1"/>
  <c r="S341" i="25" s="1"/>
  <c r="R341" i="25" s="1"/>
  <c r="U248" i="25"/>
  <c r="T248" i="25" s="1"/>
  <c r="S248" i="25" s="1"/>
  <c r="R248" i="25" s="1"/>
  <c r="U218" i="25"/>
  <c r="T218" i="25" s="1"/>
  <c r="S218" i="25" s="1"/>
  <c r="R218" i="25" s="1"/>
  <c r="U345" i="25"/>
  <c r="T345" i="25" s="1"/>
  <c r="S345" i="25" s="1"/>
  <c r="R345" i="25" s="1"/>
  <c r="U131" i="25"/>
  <c r="T131" i="25" s="1"/>
  <c r="S131" i="25" s="1"/>
  <c r="R131" i="25" s="1"/>
  <c r="U262" i="25"/>
  <c r="T262" i="25" s="1"/>
  <c r="S262" i="25" s="1"/>
  <c r="R262" i="25" s="1"/>
  <c r="U175" i="25"/>
  <c r="T175" i="25" s="1"/>
  <c r="S175" i="25" s="1"/>
  <c r="R175" i="25" s="1"/>
  <c r="U209" i="25"/>
  <c r="T209" i="25" s="1"/>
  <c r="S209" i="25" s="1"/>
  <c r="R209" i="25" s="1"/>
  <c r="U251" i="25"/>
  <c r="T251" i="25" s="1"/>
  <c r="S251" i="25" s="1"/>
  <c r="R251" i="25" s="1"/>
  <c r="U293" i="25"/>
  <c r="T293" i="25" s="1"/>
  <c r="S293" i="25" s="1"/>
  <c r="R293" i="25" s="1"/>
  <c r="U200" i="25"/>
  <c r="T200" i="25" s="1"/>
  <c r="S200" i="25" s="1"/>
  <c r="R200" i="25" s="1"/>
  <c r="U362" i="25"/>
  <c r="T362" i="25" s="1"/>
  <c r="S362" i="25" s="1"/>
  <c r="R362" i="25" s="1"/>
  <c r="U323" i="25"/>
  <c r="T323" i="25" s="1"/>
  <c r="S323" i="25" s="1"/>
  <c r="R323" i="25" s="1"/>
  <c r="U127" i="25"/>
  <c r="T127" i="25" s="1"/>
  <c r="S127" i="25" s="1"/>
  <c r="R127" i="25" s="1"/>
  <c r="U203" i="25"/>
  <c r="T203" i="25" s="1"/>
  <c r="S203" i="25" s="1"/>
  <c r="R203" i="25" s="1"/>
  <c r="U176" i="25"/>
  <c r="T176" i="25" s="1"/>
  <c r="S176" i="25" s="1"/>
  <c r="R176" i="25" s="1"/>
  <c r="U313" i="25"/>
  <c r="T313" i="25" s="1"/>
  <c r="S313" i="25" s="1"/>
  <c r="R313" i="25" s="1"/>
  <c r="U324" i="25"/>
  <c r="T324" i="25" s="1"/>
  <c r="S324" i="25" s="1"/>
  <c r="R324" i="25" s="1"/>
  <c r="U261" i="25"/>
  <c r="T261" i="25" s="1"/>
  <c r="S261" i="25" s="1"/>
  <c r="R261" i="25" s="1"/>
  <c r="U138" i="25"/>
  <c r="T138" i="25" s="1"/>
  <c r="S138" i="25" s="1"/>
  <c r="R138" i="25" s="1"/>
  <c r="U246" i="25"/>
  <c r="T246" i="25" s="1"/>
  <c r="S246" i="25" s="1"/>
  <c r="R246" i="25" s="1"/>
  <c r="U321" i="25"/>
  <c r="T321" i="25" s="1"/>
  <c r="S321" i="25" s="1"/>
  <c r="R321" i="25" s="1"/>
  <c r="U254" i="25"/>
  <c r="T254" i="25" s="1"/>
  <c r="S254" i="25" s="1"/>
  <c r="R254" i="25" s="1"/>
  <c r="U312" i="25"/>
  <c r="T312" i="25" s="1"/>
  <c r="S312" i="25" s="1"/>
  <c r="R312" i="25" s="1"/>
  <c r="U281" i="25"/>
  <c r="T281" i="25" s="1"/>
  <c r="S281" i="25" s="1"/>
  <c r="R281" i="25" s="1"/>
  <c r="U307" i="25"/>
  <c r="T307" i="25" s="1"/>
  <c r="S307" i="25" s="1"/>
  <c r="R307" i="25" s="1"/>
  <c r="U349" i="25"/>
  <c r="T349" i="25" s="1"/>
  <c r="S349" i="25" s="1"/>
  <c r="R349" i="25" s="1"/>
  <c r="U367" i="25"/>
  <c r="T367" i="25" s="1"/>
  <c r="S367" i="25" s="1"/>
  <c r="R367" i="25" s="1"/>
  <c r="U145" i="25"/>
  <c r="T145" i="25" s="1"/>
  <c r="S145" i="25" s="1"/>
  <c r="R145" i="25" s="1"/>
  <c r="U187" i="25"/>
  <c r="T187" i="25" s="1"/>
  <c r="S187" i="25" s="1"/>
  <c r="R187" i="25" s="1"/>
  <c r="U229" i="25"/>
  <c r="T229" i="25" s="1"/>
  <c r="S229" i="25" s="1"/>
  <c r="R229" i="25" s="1"/>
  <c r="U136" i="25"/>
  <c r="T136" i="25" s="1"/>
  <c r="S136" i="25" s="1"/>
  <c r="R136" i="25" s="1"/>
  <c r="J380" i="23"/>
  <c r="I380" i="23"/>
  <c r="H380" i="24" s="1"/>
  <c r="AJ7" i="22"/>
  <c r="D383" i="22"/>
  <c r="E15" i="22"/>
  <c r="AJ10" i="22" s="1"/>
  <c r="AJ12" i="22" s="1"/>
  <c r="D382" i="22"/>
  <c r="D9" i="22"/>
  <c r="D11" i="22" s="1"/>
  <c r="D381" i="22"/>
  <c r="J15" i="19"/>
  <c r="J31" i="19" s="1"/>
  <c r="AA11" i="18"/>
  <c r="AA5" i="18" s="1"/>
  <c r="I15" i="19" s="1"/>
  <c r="Z11" i="18"/>
  <c r="Z5" i="18" s="1"/>
  <c r="H15" i="19" s="1"/>
  <c r="Y11" i="18"/>
  <c r="AM13" i="18"/>
  <c r="AK4" i="18"/>
  <c r="R15" i="19" s="1"/>
  <c r="T15" i="25"/>
  <c r="E9" i="20"/>
  <c r="E11" i="20" s="1"/>
  <c r="AJ10" i="20"/>
  <c r="AJ12" i="20" s="1"/>
  <c r="E381" i="20"/>
  <c r="E382" i="20"/>
  <c r="E383" i="20"/>
  <c r="F15" i="20"/>
  <c r="AK8" i="20"/>
  <c r="G149" i="22"/>
  <c r="CC149" i="6" s="1"/>
  <c r="H149" i="22"/>
  <c r="AA149" i="22"/>
  <c r="BF16" i="7"/>
  <c r="I60" i="23"/>
  <c r="J60" i="23"/>
  <c r="H207" i="24"/>
  <c r="J207" i="24" s="1"/>
  <c r="G75" i="24"/>
  <c r="CE75" i="6" s="1"/>
  <c r="G174" i="24"/>
  <c r="CE174" i="6" s="1"/>
  <c r="H158" i="24"/>
  <c r="J158" i="24" s="1"/>
  <c r="H261" i="24"/>
  <c r="J261" i="24" s="1"/>
  <c r="G38" i="24"/>
  <c r="CE38" i="6" s="1"/>
  <c r="H75" i="24"/>
  <c r="I75" i="24" s="1"/>
  <c r="G261" i="24"/>
  <c r="CE261" i="6" s="1"/>
  <c r="H85" i="24"/>
  <c r="J85" i="24" s="1"/>
  <c r="H342" i="24"/>
  <c r="J342" i="24" s="1"/>
  <c r="G313" i="24"/>
  <c r="CE313" i="6" s="1"/>
  <c r="H181" i="24"/>
  <c r="I181" i="24" s="1"/>
  <c r="G165" i="24"/>
  <c r="CE165" i="6" s="1"/>
  <c r="G85" i="24"/>
  <c r="CE85" i="6" s="1"/>
  <c r="I319" i="24"/>
  <c r="H203" i="24"/>
  <c r="J203" i="24" s="1"/>
  <c r="H234" i="24"/>
  <c r="J234" i="24" s="1"/>
  <c r="G189" i="24"/>
  <c r="CE189" i="6" s="1"/>
  <c r="H188" i="24"/>
  <c r="J188" i="24" s="1"/>
  <c r="G213" i="24"/>
  <c r="CE213" i="6" s="1"/>
  <c r="I372" i="24"/>
  <c r="G365" i="24"/>
  <c r="CE365" i="6" s="1"/>
  <c r="G355" i="24"/>
  <c r="CE355" i="6" s="1"/>
  <c r="G176" i="24"/>
  <c r="CE176" i="6" s="1"/>
  <c r="G192" i="24"/>
  <c r="CE192" i="6" s="1"/>
  <c r="G371" i="24"/>
  <c r="CE371" i="6" s="1"/>
  <c r="G236" i="24"/>
  <c r="CE236" i="6" s="1"/>
  <c r="G139" i="24"/>
  <c r="CE139" i="6" s="1"/>
  <c r="H50" i="24"/>
  <c r="I50" i="24" s="1"/>
  <c r="G175" i="24"/>
  <c r="CE175" i="6" s="1"/>
  <c r="H114" i="24"/>
  <c r="I114" i="24" s="1"/>
  <c r="H192" i="24"/>
  <c r="J192" i="24" s="1"/>
  <c r="H371" i="24"/>
  <c r="J371" i="24" s="1"/>
  <c r="G219" i="24"/>
  <c r="CE219" i="6" s="1"/>
  <c r="H99" i="24"/>
  <c r="I99" i="24" s="1"/>
  <c r="H259" i="24"/>
  <c r="I259" i="24" s="1"/>
  <c r="G99" i="24"/>
  <c r="CE99" i="6" s="1"/>
  <c r="I328" i="24"/>
  <c r="H21" i="24"/>
  <c r="I21" i="24" s="1"/>
  <c r="H33" i="24"/>
  <c r="J33" i="24" s="1"/>
  <c r="G142" i="24"/>
  <c r="CE142" i="6" s="1"/>
  <c r="J142" i="24"/>
  <c r="J116" i="24"/>
  <c r="J327" i="24"/>
  <c r="J257" i="24"/>
  <c r="I248" i="24"/>
  <c r="I69" i="24"/>
  <c r="J292" i="24"/>
  <c r="J140" i="24"/>
  <c r="J129" i="24"/>
  <c r="I115" i="24"/>
  <c r="J105" i="24"/>
  <c r="I302" i="23"/>
  <c r="J302" i="23"/>
  <c r="J111" i="24"/>
  <c r="I111" i="24"/>
  <c r="I31" i="24"/>
  <c r="J31" i="24"/>
  <c r="Q58" i="25"/>
  <c r="Q221" i="25"/>
  <c r="Q318" i="25"/>
  <c r="P318" i="25" s="1"/>
  <c r="V318" i="25" s="1"/>
  <c r="B318" i="25" s="1"/>
  <c r="Q317" i="25"/>
  <c r="Q153" i="25"/>
  <c r="Q307" i="25"/>
  <c r="Q28" i="25"/>
  <c r="P28" i="25" s="1"/>
  <c r="V28" i="25" s="1"/>
  <c r="B28" i="25" s="1"/>
  <c r="Q85" i="25"/>
  <c r="Q50" i="25"/>
  <c r="Q196" i="25"/>
  <c r="Q142" i="25"/>
  <c r="Q203" i="25"/>
  <c r="Q125" i="25"/>
  <c r="Q210" i="25"/>
  <c r="Q84" i="25"/>
  <c r="P84" i="25" s="1"/>
  <c r="V84" i="25" s="1"/>
  <c r="B84" i="25" s="1"/>
  <c r="Q57" i="25"/>
  <c r="Q275" i="25"/>
  <c r="Q220" i="25"/>
  <c r="Q126" i="25"/>
  <c r="P126" i="25" s="1"/>
  <c r="V126" i="25" s="1"/>
  <c r="B126" i="25" s="1"/>
  <c r="Q207" i="25"/>
  <c r="Q349" i="25"/>
  <c r="Q366" i="25"/>
  <c r="Q107" i="25"/>
  <c r="Q208" i="25"/>
  <c r="Q63" i="25"/>
  <c r="P63" i="25" s="1"/>
  <c r="V63" i="25" s="1"/>
  <c r="B63" i="25" s="1"/>
  <c r="Q282" i="25"/>
  <c r="Q342" i="25"/>
  <c r="P342" i="25" s="1"/>
  <c r="V342" i="25" s="1"/>
  <c r="B342" i="25" s="1"/>
  <c r="Q199" i="25"/>
  <c r="Q262" i="25"/>
  <c r="Q27" i="25"/>
  <c r="Q144" i="25"/>
  <c r="P144" i="25" s="1"/>
  <c r="V144" i="25" s="1"/>
  <c r="B144" i="25" s="1"/>
  <c r="Q138" i="25"/>
  <c r="Q95" i="25"/>
  <c r="Q378" i="25"/>
  <c r="Q337" i="25"/>
  <c r="Q163" i="25"/>
  <c r="Q297" i="25"/>
  <c r="Q300" i="25"/>
  <c r="Q231" i="25"/>
  <c r="Q30" i="25"/>
  <c r="Q198" i="25"/>
  <c r="Q80" i="25"/>
  <c r="Q127" i="25"/>
  <c r="Q369" i="25"/>
  <c r="Q174" i="25"/>
  <c r="P174" i="25" s="1"/>
  <c r="V174" i="25" s="1"/>
  <c r="B174" i="25" s="1"/>
  <c r="Q263" i="25"/>
  <c r="Q345" i="25"/>
  <c r="Q88" i="25"/>
  <c r="Q55" i="25"/>
  <c r="Q281" i="25"/>
  <c r="Q224" i="25"/>
  <c r="Q102" i="25"/>
  <c r="Q213" i="25"/>
  <c r="Q375" i="25"/>
  <c r="Q344" i="25"/>
  <c r="Q113" i="25"/>
  <c r="Q162" i="25"/>
  <c r="Q253" i="25"/>
  <c r="Q280" i="25"/>
  <c r="P280" i="25" s="1"/>
  <c r="V280" i="25" s="1"/>
  <c r="B280" i="25" s="1"/>
  <c r="Q214" i="25"/>
  <c r="Q185" i="25"/>
  <c r="Q347" i="25"/>
  <c r="Q356" i="25"/>
  <c r="Q117" i="25"/>
  <c r="Q178" i="25"/>
  <c r="Q132" i="25"/>
  <c r="Q15" i="25"/>
  <c r="Q235" i="25"/>
  <c r="Q251" i="25"/>
  <c r="Q164" i="25"/>
  <c r="Q101" i="25"/>
  <c r="Q331" i="25"/>
  <c r="Q278" i="25"/>
  <c r="Q237" i="25"/>
  <c r="Q250" i="25"/>
  <c r="Q355" i="25"/>
  <c r="Q193" i="25"/>
  <c r="Q246" i="25"/>
  <c r="Q264" i="25"/>
  <c r="Q261" i="25"/>
  <c r="Q35" i="25"/>
  <c r="Q128" i="25"/>
  <c r="Q170" i="25"/>
  <c r="Q103" i="25"/>
  <c r="Q370" i="25"/>
  <c r="Q236" i="25"/>
  <c r="Q98" i="25"/>
  <c r="Q36" i="25"/>
  <c r="Q165" i="25"/>
  <c r="P165" i="25" s="1"/>
  <c r="V165" i="25" s="1"/>
  <c r="B165" i="25" s="1"/>
  <c r="Q306" i="25"/>
  <c r="Q22" i="25"/>
  <c r="BG15" i="7"/>
  <c r="AE352" i="25"/>
  <c r="AE138" i="25"/>
  <c r="AE285" i="25"/>
  <c r="AE71" i="25"/>
  <c r="AE222" i="25"/>
  <c r="AE369" i="25"/>
  <c r="AE155" i="25"/>
  <c r="AE290" i="25"/>
  <c r="AE76" i="25"/>
  <c r="AE223" i="25"/>
  <c r="AE374" i="25"/>
  <c r="AE144" i="25"/>
  <c r="AE291" i="25"/>
  <c r="AE77" i="25"/>
  <c r="AE228" i="25"/>
  <c r="AE375" i="25"/>
  <c r="AE161" i="25"/>
  <c r="AE312" i="25"/>
  <c r="AE82" i="25"/>
  <c r="AE293" i="25"/>
  <c r="AE79" i="25"/>
  <c r="AE230" i="25"/>
  <c r="AE377" i="25"/>
  <c r="AE256" i="25"/>
  <c r="AE147" i="25"/>
  <c r="AE42" i="25"/>
  <c r="AE298" i="25"/>
  <c r="AE189" i="25"/>
  <c r="AE84" i="25"/>
  <c r="AE340" i="25"/>
  <c r="AE231" i="25"/>
  <c r="AE126" i="25"/>
  <c r="AE15" i="25"/>
  <c r="AE273" i="25"/>
  <c r="AE168" i="25"/>
  <c r="AE59" i="25"/>
  <c r="AE315" i="25"/>
  <c r="AE194" i="25"/>
  <c r="AE85" i="25"/>
  <c r="AE341" i="25"/>
  <c r="AE236" i="25"/>
  <c r="AE127" i="25"/>
  <c r="AE22" i="25"/>
  <c r="AE278" i="25"/>
  <c r="AE169" i="25"/>
  <c r="AE48" i="25"/>
  <c r="AE304" i="25"/>
  <c r="AE195" i="25"/>
  <c r="AE90" i="25"/>
  <c r="AE346" i="25"/>
  <c r="AE237" i="25"/>
  <c r="AE132" i="25"/>
  <c r="AE23" i="25"/>
  <c r="AE279" i="25"/>
  <c r="AE174" i="25"/>
  <c r="AE65" i="25"/>
  <c r="AE321" i="25"/>
  <c r="AE216" i="25"/>
  <c r="AE107" i="25"/>
  <c r="AE363" i="25"/>
  <c r="AE242" i="25"/>
  <c r="AE133" i="25"/>
  <c r="AE28" i="25"/>
  <c r="AE284" i="25"/>
  <c r="AE175" i="25"/>
  <c r="AE70" i="25"/>
  <c r="AE326" i="25"/>
  <c r="AE217" i="25"/>
  <c r="AE160" i="25"/>
  <c r="AE307" i="25"/>
  <c r="AE93" i="25"/>
  <c r="AE244" i="25"/>
  <c r="AE30" i="25"/>
  <c r="AE177" i="25"/>
  <c r="AE328" i="25"/>
  <c r="AE98" i="25"/>
  <c r="AE245" i="25"/>
  <c r="AE31" i="25"/>
  <c r="AE182" i="25"/>
  <c r="AE329" i="25"/>
  <c r="AE99" i="25"/>
  <c r="AE250" i="25"/>
  <c r="AE36" i="25"/>
  <c r="AE183" i="25"/>
  <c r="AE334" i="25"/>
  <c r="AE120" i="25"/>
  <c r="AE267" i="25"/>
  <c r="AE338" i="25"/>
  <c r="AE124" i="25"/>
  <c r="AE271" i="25"/>
  <c r="AE57" i="25"/>
  <c r="AE224" i="25"/>
  <c r="AE371" i="25"/>
  <c r="AE157" i="25"/>
  <c r="AE308" i="25"/>
  <c r="AE94" i="25"/>
  <c r="AE241" i="25"/>
  <c r="AE27" i="25"/>
  <c r="AE162" i="25"/>
  <c r="AE309" i="25"/>
  <c r="AE95" i="25"/>
  <c r="AE246" i="25"/>
  <c r="AE17" i="25"/>
  <c r="AE163" i="25"/>
  <c r="AE314" i="25"/>
  <c r="AE100" i="25"/>
  <c r="AE247" i="25"/>
  <c r="AE33" i="25"/>
  <c r="AE184" i="25"/>
  <c r="AE331" i="25"/>
  <c r="AE165" i="25"/>
  <c r="AE316" i="25"/>
  <c r="AE102" i="25"/>
  <c r="AE249" i="25"/>
  <c r="AE192" i="25"/>
  <c r="AE83" i="25"/>
  <c r="AE339" i="25"/>
  <c r="AE234" i="25"/>
  <c r="AE125" i="25"/>
  <c r="AE20" i="25"/>
  <c r="AE276" i="25"/>
  <c r="AE167" i="25"/>
  <c r="AE62" i="25"/>
  <c r="AE318" i="25"/>
  <c r="AE209" i="25"/>
  <c r="AE104" i="25"/>
  <c r="AE360" i="25"/>
  <c r="AE251" i="25"/>
  <c r="AE130" i="25"/>
  <c r="AE21" i="25"/>
  <c r="AE277" i="25"/>
  <c r="AE172" i="25"/>
  <c r="AE63" i="25"/>
  <c r="AE319" i="25"/>
  <c r="AE214" i="25"/>
  <c r="AE105" i="25"/>
  <c r="AE361" i="25"/>
  <c r="AE240" i="25"/>
  <c r="AE131" i="25"/>
  <c r="AE26" i="25"/>
  <c r="AE282" i="25"/>
  <c r="AE173" i="25"/>
  <c r="AE68" i="25"/>
  <c r="AE324" i="25"/>
  <c r="AE215" i="25"/>
  <c r="AE110" i="25"/>
  <c r="AE366" i="25"/>
  <c r="AE257" i="25"/>
  <c r="AE152" i="25"/>
  <c r="AE43" i="25"/>
  <c r="AE299" i="25"/>
  <c r="AE178" i="25"/>
  <c r="AE69" i="25"/>
  <c r="AE325" i="25"/>
  <c r="AE220" i="25"/>
  <c r="AE111" i="25"/>
  <c r="AE367" i="25"/>
  <c r="AE262" i="25"/>
  <c r="AE153" i="25"/>
  <c r="AE32" i="25"/>
  <c r="AE179" i="25"/>
  <c r="AE330" i="25"/>
  <c r="AE116" i="25"/>
  <c r="AE263" i="25"/>
  <c r="AE49" i="25"/>
  <c r="AE200" i="25"/>
  <c r="AE347" i="25"/>
  <c r="AE117" i="25"/>
  <c r="AE268" i="25"/>
  <c r="AE54" i="25"/>
  <c r="AE201" i="25"/>
  <c r="AE336" i="25"/>
  <c r="AE122" i="25"/>
  <c r="AE269" i="25"/>
  <c r="AE55" i="25"/>
  <c r="AE206" i="25"/>
  <c r="AE353" i="25"/>
  <c r="AE139" i="25"/>
  <c r="AE274" i="25"/>
  <c r="AE357" i="25"/>
  <c r="AE143" i="25"/>
  <c r="AE294" i="25"/>
  <c r="Q172" i="25"/>
  <c r="Q157" i="25"/>
  <c r="Q354" i="25"/>
  <c r="P354" i="25" s="1"/>
  <c r="V354" i="25" s="1"/>
  <c r="B354" i="25" s="1"/>
  <c r="Q315" i="25"/>
  <c r="Q119" i="25"/>
  <c r="P119" i="25" s="1"/>
  <c r="Q20" i="25"/>
  <c r="Q234" i="25"/>
  <c r="P234" i="25" s="1"/>
  <c r="V234" i="25" s="1"/>
  <c r="B234" i="25" s="1"/>
  <c r="Q89" i="25"/>
  <c r="Q96" i="25"/>
  <c r="Q66" i="25"/>
  <c r="Q51" i="25"/>
  <c r="Q156" i="25"/>
  <c r="Q277" i="25"/>
  <c r="Q21" i="25"/>
  <c r="Q232" i="25"/>
  <c r="Q239" i="25"/>
  <c r="Q182" i="25"/>
  <c r="Q308" i="25"/>
  <c r="Q177" i="25"/>
  <c r="Q334" i="25"/>
  <c r="Q339" i="25"/>
  <c r="Q139" i="25"/>
  <c r="Q186" i="25"/>
  <c r="Q61" i="25"/>
  <c r="Q152" i="25"/>
  <c r="Q279" i="25"/>
  <c r="Q23" i="25"/>
  <c r="Q212" i="25"/>
  <c r="Q249" i="25"/>
  <c r="Q110" i="25"/>
  <c r="Q288" i="25"/>
  <c r="P288" i="25" s="1"/>
  <c r="V288" i="25" s="1"/>
  <c r="Q211" i="25"/>
  <c r="Q230" i="25"/>
  <c r="Q320" i="25"/>
  <c r="Q181" i="25"/>
  <c r="Q330" i="25"/>
  <c r="Q343" i="25"/>
  <c r="Q143" i="25"/>
  <c r="Q376" i="25"/>
  <c r="P376" i="25" s="1"/>
  <c r="V376" i="25" s="1"/>
  <c r="B376" i="25" s="1"/>
  <c r="Q202" i="25"/>
  <c r="Q81" i="25"/>
  <c r="Q112" i="25"/>
  <c r="Q34" i="25"/>
  <c r="Q43" i="25"/>
  <c r="Q123" i="25"/>
  <c r="Q350" i="25"/>
  <c r="Q365" i="25"/>
  <c r="P365" i="25" s="1"/>
  <c r="V365" i="25" s="1"/>
  <c r="B365" i="25" s="1"/>
  <c r="Q191" i="25"/>
  <c r="Q190" i="25"/>
  <c r="P190" i="25" s="1"/>
  <c r="V190" i="25" s="1"/>
  <c r="B190" i="25" s="1"/>
  <c r="Q252" i="25"/>
  <c r="Q259" i="25"/>
  <c r="Q41" i="25"/>
  <c r="Q116" i="25"/>
  <c r="Q146" i="25"/>
  <c r="Q109" i="25"/>
  <c r="Q309" i="25"/>
  <c r="Q361" i="25"/>
  <c r="Q91" i="25"/>
  <c r="P91" i="25" s="1"/>
  <c r="V91" i="25" s="1"/>
  <c r="B91" i="25" s="1"/>
  <c r="Q226" i="25"/>
  <c r="Q16" i="25"/>
  <c r="Q129" i="25"/>
  <c r="Q333" i="25"/>
  <c r="Q360" i="25"/>
  <c r="Q159" i="25"/>
  <c r="P159" i="25" s="1"/>
  <c r="V159" i="25" s="1"/>
  <c r="B159" i="25" s="1"/>
  <c r="Q359" i="25"/>
  <c r="Q305" i="25"/>
  <c r="Q197" i="25"/>
  <c r="Q304" i="25"/>
  <c r="Q166" i="25"/>
  <c r="P166" i="25" s="1"/>
  <c r="V166" i="25" s="1"/>
  <c r="Q227" i="25"/>
  <c r="Q256" i="25"/>
  <c r="Q46" i="25"/>
  <c r="Q265" i="25"/>
  <c r="P265" i="25" s="1"/>
  <c r="V265" i="25" s="1"/>
  <c r="B265" i="25" s="1"/>
  <c r="Q180" i="25"/>
  <c r="Q39" i="25"/>
  <c r="Q17" i="25"/>
  <c r="Q120" i="25"/>
  <c r="P120" i="25" s="1"/>
  <c r="V120" i="25" s="1"/>
  <c r="B120" i="25" s="1"/>
  <c r="Q77" i="25"/>
  <c r="Q303" i="25"/>
  <c r="Q76" i="25"/>
  <c r="Q187" i="25"/>
  <c r="Q206" i="25"/>
  <c r="Q292" i="25"/>
  <c r="Q255" i="25"/>
  <c r="Q37" i="25"/>
  <c r="P37" i="25" s="1"/>
  <c r="V37" i="25" s="1"/>
  <c r="B37" i="25" s="1"/>
  <c r="Q124" i="25"/>
  <c r="Q130" i="25"/>
  <c r="P130" i="25" s="1"/>
  <c r="V130" i="25" s="1"/>
  <c r="B130" i="25" s="1"/>
  <c r="Q105" i="25"/>
  <c r="Q368" i="25"/>
  <c r="P368" i="25" s="1"/>
  <c r="V368" i="25" s="1"/>
  <c r="B368" i="25" s="1"/>
  <c r="Q335" i="25"/>
  <c r="Q173" i="25"/>
  <c r="P173" i="25" s="1"/>
  <c r="V173" i="25" s="1"/>
  <c r="B173" i="25" s="1"/>
  <c r="Q332" i="25"/>
  <c r="Q222" i="25"/>
  <c r="Q183" i="25"/>
  <c r="Q357" i="25"/>
  <c r="Q358" i="25"/>
  <c r="Q115" i="25"/>
  <c r="P115" i="25" s="1"/>
  <c r="V115" i="25" s="1"/>
  <c r="B115" i="25" s="1"/>
  <c r="Q218" i="25"/>
  <c r="Q104" i="25"/>
  <c r="Q47" i="25"/>
  <c r="Q241" i="25"/>
  <c r="Q298" i="25"/>
  <c r="Q296" i="25"/>
  <c r="P296" i="25" s="1"/>
  <c r="V296" i="25" s="1"/>
  <c r="B296" i="25" s="1"/>
  <c r="Q24" i="25"/>
  <c r="Q87" i="25"/>
  <c r="Q106" i="25"/>
  <c r="Q160" i="25"/>
  <c r="Q19" i="25"/>
  <c r="P19" i="25" s="1"/>
  <c r="V19" i="25" s="1"/>
  <c r="B19" i="25" s="1"/>
  <c r="Q245" i="25"/>
  <c r="Q294" i="25"/>
  <c r="Q301" i="25"/>
  <c r="P301" i="25" s="1"/>
  <c r="V301" i="25" s="1"/>
  <c r="B301" i="25" s="1"/>
  <c r="Q145" i="25"/>
  <c r="Q290" i="25"/>
  <c r="Q329" i="25"/>
  <c r="Q289" i="25"/>
  <c r="Q72" i="25"/>
  <c r="Q131" i="25"/>
  <c r="Q373" i="25"/>
  <c r="Q158" i="25"/>
  <c r="Q268" i="25"/>
  <c r="Q283" i="25"/>
  <c r="Q65" i="25"/>
  <c r="Q100" i="25"/>
  <c r="Q242" i="25"/>
  <c r="Q133" i="25"/>
  <c r="Q340" i="25"/>
  <c r="Q363" i="25"/>
  <c r="Q201" i="25"/>
  <c r="Q150" i="25"/>
  <c r="Q248" i="25"/>
  <c r="P248" i="25" s="1"/>
  <c r="V248" i="25" s="1"/>
  <c r="B248" i="25" s="1"/>
  <c r="Q269" i="25"/>
  <c r="Q59" i="25"/>
  <c r="Q266" i="25"/>
  <c r="Q346" i="25"/>
  <c r="Q195" i="25"/>
  <c r="Q244" i="25"/>
  <c r="Q45" i="25"/>
  <c r="Q93" i="25"/>
  <c r="Q82" i="25"/>
  <c r="Q148" i="25"/>
  <c r="Q25" i="25"/>
  <c r="P25" i="25" s="1"/>
  <c r="V25" i="25" s="1"/>
  <c r="B25" i="25" s="1"/>
  <c r="Q243" i="25"/>
  <c r="Q284" i="25"/>
  <c r="P284" i="25" s="1"/>
  <c r="V284" i="25" s="1"/>
  <c r="B284" i="25" s="1"/>
  <c r="Q254" i="25"/>
  <c r="Q175" i="25"/>
  <c r="Q311" i="25"/>
  <c r="Q48" i="25"/>
  <c r="Q75" i="25"/>
  <c r="Q94" i="25"/>
  <c r="Q215" i="25"/>
  <c r="Q316" i="25"/>
  <c r="Q326" i="25"/>
  <c r="Q147" i="25"/>
  <c r="Q319" i="25"/>
  <c r="Q40" i="25"/>
  <c r="Q79" i="25"/>
  <c r="P79" i="25" s="1"/>
  <c r="V79" i="25" s="1"/>
  <c r="B79" i="25" s="1"/>
  <c r="Q273" i="25"/>
  <c r="Q240" i="25"/>
  <c r="Q348" i="25"/>
  <c r="Q33" i="25"/>
  <c r="Q114" i="25"/>
  <c r="Q372" i="25"/>
  <c r="Q169" i="25"/>
  <c r="P169" i="25" s="1"/>
  <c r="V169" i="25" s="1"/>
  <c r="B169" i="25" s="1"/>
  <c r="Q302" i="25"/>
  <c r="P302" i="25" s="1"/>
  <c r="Q18" i="25"/>
  <c r="Q155" i="25"/>
  <c r="Q313" i="25"/>
  <c r="Q379" i="25"/>
  <c r="Q223" i="25"/>
  <c r="Q62" i="25"/>
  <c r="Q188" i="25"/>
  <c r="P188" i="25" s="1"/>
  <c r="V188" i="25" s="1"/>
  <c r="B188" i="25" s="1"/>
  <c r="Q291" i="25"/>
  <c r="Q73" i="25"/>
  <c r="P73" i="25" s="1"/>
  <c r="V73" i="25" s="1"/>
  <c r="B73" i="25" s="1"/>
  <c r="Q52" i="25"/>
  <c r="Q274" i="25"/>
  <c r="Q141" i="25"/>
  <c r="Q312" i="25"/>
  <c r="Q97" i="25"/>
  <c r="Q327" i="25"/>
  <c r="P327" i="25" s="1"/>
  <c r="V327" i="25" s="1"/>
  <c r="B327" i="25" s="1"/>
  <c r="Q293" i="25"/>
  <c r="P293" i="25" s="1"/>
  <c r="V293" i="25" s="1"/>
  <c r="B293" i="25" s="1"/>
  <c r="Q233" i="25"/>
  <c r="Q184" i="25"/>
  <c r="Q70" i="25"/>
  <c r="P70" i="25" s="1"/>
  <c r="V70" i="25" s="1"/>
  <c r="B70" i="25" s="1"/>
  <c r="AE96" i="25"/>
  <c r="AE243" i="25"/>
  <c r="AE29" i="25"/>
  <c r="AE180" i="25"/>
  <c r="AE327" i="25"/>
  <c r="AE113" i="25"/>
  <c r="AE264" i="25"/>
  <c r="AE34" i="25"/>
  <c r="AE181" i="25"/>
  <c r="AE332" i="25"/>
  <c r="AE118" i="25"/>
  <c r="AE265" i="25"/>
  <c r="AE35" i="25"/>
  <c r="AE186" i="25"/>
  <c r="AE333" i="25"/>
  <c r="AE119" i="25"/>
  <c r="AE270" i="25"/>
  <c r="AE56" i="25"/>
  <c r="AE203" i="25"/>
  <c r="AE37" i="25"/>
  <c r="AE188" i="25"/>
  <c r="AE335" i="25"/>
  <c r="AE121" i="25"/>
  <c r="AE128" i="25"/>
  <c r="AE19" i="25"/>
  <c r="AE275" i="25"/>
  <c r="AE170" i="25"/>
  <c r="AE61" i="25"/>
  <c r="AE317" i="25"/>
  <c r="AE212" i="25"/>
  <c r="AE103" i="25"/>
  <c r="AE359" i="25"/>
  <c r="AE254" i="25"/>
  <c r="AE145" i="25"/>
  <c r="AE40" i="25"/>
  <c r="AE296" i="25"/>
  <c r="AE187" i="25"/>
  <c r="AE66" i="25"/>
  <c r="AE322" i="25"/>
  <c r="AE213" i="25"/>
  <c r="AE108" i="25"/>
  <c r="AE364" i="25"/>
  <c r="AE255" i="25"/>
  <c r="AE150" i="25"/>
  <c r="AE41" i="25"/>
  <c r="AE297" i="25"/>
  <c r="AE176" i="25"/>
  <c r="AE67" i="25"/>
  <c r="AE323" i="25"/>
  <c r="AE218" i="25"/>
  <c r="AE109" i="25"/>
  <c r="AE365" i="25"/>
  <c r="AE260" i="25"/>
  <c r="AE151" i="25"/>
  <c r="AE46" i="25"/>
  <c r="AE302" i="25"/>
  <c r="AE193" i="25"/>
  <c r="AE88" i="25"/>
  <c r="AE344" i="25"/>
  <c r="AE235" i="25"/>
  <c r="AE114" i="25"/>
  <c r="AE370" i="25"/>
  <c r="AE261" i="25"/>
  <c r="AE156" i="25"/>
  <c r="AE47" i="25"/>
  <c r="AE303" i="25"/>
  <c r="AE198" i="25"/>
  <c r="AE89" i="25"/>
  <c r="AE345" i="25"/>
  <c r="AE51" i="25"/>
  <c r="AE202" i="25"/>
  <c r="AE349" i="25"/>
  <c r="AE135" i="25"/>
  <c r="AE286" i="25"/>
  <c r="AE72" i="25"/>
  <c r="AE219" i="25"/>
  <c r="AE354" i="25"/>
  <c r="AE140" i="25"/>
  <c r="AE287" i="25"/>
  <c r="AE73" i="25"/>
  <c r="AE208" i="25"/>
  <c r="AE355" i="25"/>
  <c r="AE141" i="25"/>
  <c r="AE292" i="25"/>
  <c r="AE78" i="25"/>
  <c r="AE225" i="25"/>
  <c r="AE376" i="25"/>
  <c r="AE146" i="25"/>
  <c r="AE229" i="25"/>
  <c r="AE18" i="25"/>
  <c r="AE166" i="25"/>
  <c r="AE313" i="25"/>
  <c r="AE115" i="25"/>
  <c r="AE266" i="25"/>
  <c r="AE52" i="25"/>
  <c r="AE199" i="25"/>
  <c r="AE350" i="25"/>
  <c r="AE136" i="25"/>
  <c r="AE283" i="25"/>
  <c r="AE53" i="25"/>
  <c r="AE204" i="25"/>
  <c r="AE351" i="25"/>
  <c r="AE137" i="25"/>
  <c r="AE272" i="25"/>
  <c r="AE58" i="25"/>
  <c r="AE205" i="25"/>
  <c r="AE356" i="25"/>
  <c r="AE142" i="25"/>
  <c r="AE289" i="25"/>
  <c r="AE75" i="25"/>
  <c r="AE210" i="25"/>
  <c r="AE60" i="25"/>
  <c r="AE207" i="25"/>
  <c r="AE358" i="25"/>
  <c r="AE64" i="25"/>
  <c r="AE320" i="25"/>
  <c r="AE211" i="25"/>
  <c r="AE106" i="25"/>
  <c r="AE362" i="25"/>
  <c r="AE253" i="25"/>
  <c r="AE148" i="25"/>
  <c r="AE39" i="25"/>
  <c r="AE295" i="25"/>
  <c r="AE190" i="25"/>
  <c r="AE81" i="25"/>
  <c r="AE337" i="25"/>
  <c r="AE232" i="25"/>
  <c r="AE123" i="25"/>
  <c r="AE379" i="25"/>
  <c r="AE258" i="25"/>
  <c r="AE149" i="25"/>
  <c r="AE44" i="25"/>
  <c r="AE300" i="25"/>
  <c r="AE191" i="25"/>
  <c r="AE86" i="25"/>
  <c r="AE342" i="25"/>
  <c r="AE233" i="25"/>
  <c r="AE112" i="25"/>
  <c r="AE368" i="25"/>
  <c r="AE259" i="25"/>
  <c r="AE154" i="25"/>
  <c r="AE45" i="25"/>
  <c r="AE301" i="25"/>
  <c r="AE196" i="25"/>
  <c r="AE87" i="25"/>
  <c r="AE343" i="25"/>
  <c r="AE238" i="25"/>
  <c r="AE129" i="25"/>
  <c r="AE24" i="25"/>
  <c r="AE280" i="25"/>
  <c r="AE171" i="25"/>
  <c r="AE50" i="25"/>
  <c r="AE306" i="25"/>
  <c r="AE197" i="25"/>
  <c r="AE92" i="25"/>
  <c r="AE348" i="25"/>
  <c r="AE239" i="25"/>
  <c r="AE134" i="25"/>
  <c r="AE25" i="25"/>
  <c r="AE281" i="25"/>
  <c r="AE288" i="25"/>
  <c r="AE74" i="25"/>
  <c r="AE221" i="25"/>
  <c r="AE372" i="25"/>
  <c r="AE158" i="25"/>
  <c r="AE305" i="25"/>
  <c r="AE91" i="25"/>
  <c r="AE226" i="25"/>
  <c r="AE373" i="25"/>
  <c r="AE159" i="25"/>
  <c r="AE310" i="25"/>
  <c r="AE80" i="25"/>
  <c r="AE227" i="25"/>
  <c r="AE378" i="25"/>
  <c r="AE164" i="25"/>
  <c r="AE311" i="25"/>
  <c r="AE97" i="25"/>
  <c r="AE248" i="25"/>
  <c r="AE16" i="25"/>
  <c r="AE101" i="25"/>
  <c r="AE252" i="25"/>
  <c r="AE38" i="25"/>
  <c r="AE185" i="25"/>
  <c r="Q285" i="25"/>
  <c r="Q29" i="25"/>
  <c r="Q216" i="25"/>
  <c r="Q247" i="25"/>
  <c r="Q86" i="25"/>
  <c r="Q276" i="25"/>
  <c r="Q217" i="25"/>
  <c r="Q238" i="25"/>
  <c r="Q322" i="25"/>
  <c r="Q179" i="25"/>
  <c r="Q324" i="25"/>
  <c r="Q353" i="25"/>
  <c r="Q149" i="25"/>
  <c r="Q362" i="25"/>
  <c r="P362" i="25" s="1"/>
  <c r="V362" i="25" s="1"/>
  <c r="B362" i="25" s="1"/>
  <c r="Q299" i="25"/>
  <c r="Q111" i="25"/>
  <c r="Q68" i="25"/>
  <c r="Q74" i="25"/>
  <c r="Q49" i="25"/>
  <c r="Q176" i="25"/>
  <c r="P176" i="25" s="1"/>
  <c r="V176" i="25" s="1"/>
  <c r="B176" i="25" s="1"/>
  <c r="Q267" i="25"/>
  <c r="Q44" i="25"/>
  <c r="Q189" i="25"/>
  <c r="Q321" i="25"/>
  <c r="P321" i="25" s="1"/>
  <c r="V321" i="25" s="1"/>
  <c r="B321" i="25" s="1"/>
  <c r="Q351" i="25"/>
  <c r="Q151" i="25"/>
  <c r="Q352" i="25"/>
  <c r="Q325" i="25"/>
  <c r="Q121" i="25"/>
  <c r="Q32" i="25"/>
  <c r="P32" i="25" s="1"/>
  <c r="V32" i="25" s="1"/>
  <c r="B32" i="25" s="1"/>
  <c r="Q194" i="25"/>
  <c r="Q83" i="25"/>
  <c r="Q92" i="25"/>
  <c r="P92" i="25" s="1"/>
  <c r="V92" i="25" s="1"/>
  <c r="B92" i="25" s="1"/>
  <c r="Q90" i="25"/>
  <c r="Q53" i="25"/>
  <c r="P53" i="25" s="1"/>
  <c r="V53" i="25" s="1"/>
  <c r="B53" i="25" s="1"/>
  <c r="Q168" i="25"/>
  <c r="Q271" i="25"/>
  <c r="Q54" i="25"/>
  <c r="P54" i="25" s="1"/>
  <c r="V54" i="25" s="1"/>
  <c r="B54" i="25" s="1"/>
  <c r="Q260" i="25"/>
  <c r="Q209" i="25"/>
  <c r="P209" i="25" s="1"/>
  <c r="V209" i="25" s="1"/>
  <c r="B209" i="25" s="1"/>
  <c r="Q270" i="25"/>
  <c r="Q371" i="25"/>
  <c r="Q171" i="25"/>
  <c r="Q204" i="25"/>
  <c r="Q323" i="25"/>
  <c r="Q161" i="25"/>
  <c r="Q328" i="25"/>
  <c r="Q310" i="25"/>
  <c r="Q229" i="25"/>
  <c r="Q38" i="25"/>
  <c r="Q192" i="25"/>
  <c r="Q42" i="25"/>
  <c r="Q71" i="25"/>
  <c r="P71" i="25" s="1"/>
  <c r="V71" i="25" s="1"/>
  <c r="B71" i="25" s="1"/>
  <c r="Q56" i="25"/>
  <c r="Q377" i="25"/>
  <c r="Q140" i="25"/>
  <c r="Q134" i="25"/>
  <c r="Q219" i="25"/>
  <c r="Q272" i="25"/>
  <c r="Q78" i="25"/>
  <c r="Q257" i="25"/>
  <c r="Q228" i="25"/>
  <c r="P228" i="25" s="1"/>
  <c r="V228" i="25" s="1"/>
  <c r="B228" i="25" s="1"/>
  <c r="Q31" i="25"/>
  <c r="Q287" i="25"/>
  <c r="Q136" i="25"/>
  <c r="Q69" i="25"/>
  <c r="Q154" i="25"/>
  <c r="Q60" i="25"/>
  <c r="Q99" i="25"/>
  <c r="Q258" i="25"/>
  <c r="Q374" i="25"/>
  <c r="Q137" i="25"/>
  <c r="Q341" i="25"/>
  <c r="Q336" i="25"/>
  <c r="Q167" i="25"/>
  <c r="P167" i="25" s="1"/>
  <c r="V167" i="25" s="1"/>
  <c r="B167" i="25" s="1"/>
  <c r="Q367" i="25"/>
  <c r="P367" i="25" s="1"/>
  <c r="V367" i="25" s="1"/>
  <c r="B367" i="25" s="1"/>
  <c r="Q286" i="25"/>
  <c r="Q205" i="25"/>
  <c r="Q364" i="25"/>
  <c r="Q122" i="25"/>
  <c r="Q314" i="25"/>
  <c r="Q225" i="25"/>
  <c r="Q118" i="25"/>
  <c r="Q200" i="25"/>
  <c r="Q26" i="25"/>
  <c r="Q67" i="25"/>
  <c r="Q64" i="25"/>
  <c r="Q295" i="25"/>
  <c r="P295" i="25" s="1"/>
  <c r="V295" i="25" s="1"/>
  <c r="B295" i="25" s="1"/>
  <c r="Q135" i="25"/>
  <c r="Q338" i="25"/>
  <c r="Q108" i="25"/>
  <c r="P108" i="25" s="1"/>
  <c r="V108" i="25" s="1"/>
  <c r="B108" i="25" s="1"/>
  <c r="I353" i="24"/>
  <c r="J353" i="24"/>
  <c r="J154" i="24"/>
  <c r="I51" i="24"/>
  <c r="J51" i="24"/>
  <c r="J230" i="24"/>
  <c r="I230" i="24"/>
  <c r="J199" i="24"/>
  <c r="I199" i="24"/>
  <c r="J252" i="24"/>
  <c r="I252" i="24"/>
  <c r="I271" i="24"/>
  <c r="J271" i="24"/>
  <c r="J83" i="24"/>
  <c r="I83" i="24"/>
  <c r="I113" i="24"/>
  <c r="J113" i="24"/>
  <c r="J366" i="24"/>
  <c r="I366" i="24"/>
  <c r="I182" i="24"/>
  <c r="J182" i="24"/>
  <c r="J32" i="24"/>
  <c r="I32" i="24"/>
  <c r="J53" i="24"/>
  <c r="I53" i="24"/>
  <c r="I155" i="24"/>
  <c r="J155" i="24"/>
  <c r="I254" i="24"/>
  <c r="J254" i="24"/>
  <c r="I264" i="24"/>
  <c r="I237" i="24"/>
  <c r="J237" i="24"/>
  <c r="G29" i="24"/>
  <c r="CE29" i="6" s="1"/>
  <c r="H29" i="24"/>
  <c r="I79" i="24"/>
  <c r="J79" i="24"/>
  <c r="J277" i="24"/>
  <c r="I277" i="24"/>
  <c r="J226" i="24"/>
  <c r="I226" i="24"/>
  <c r="J28" i="24"/>
  <c r="I28" i="24"/>
  <c r="I72" i="24"/>
  <c r="J72" i="24"/>
  <c r="I374" i="24"/>
  <c r="J374" i="24"/>
  <c r="J61" i="24"/>
  <c r="I61" i="24"/>
  <c r="W60" i="24"/>
  <c r="D60" i="24"/>
  <c r="E60" i="24" s="1"/>
  <c r="F60" i="24" s="1"/>
  <c r="J143" i="24"/>
  <c r="I143" i="24"/>
  <c r="J174" i="24"/>
  <c r="I174" i="24"/>
  <c r="I364" i="24"/>
  <c r="J364" i="24"/>
  <c r="W180" i="24"/>
  <c r="D180" i="24"/>
  <c r="E180" i="24" s="1"/>
  <c r="F180" i="24" s="1"/>
  <c r="I359" i="24"/>
  <c r="J359" i="24"/>
  <c r="I90" i="24"/>
  <c r="J90" i="24"/>
  <c r="J206" i="24"/>
  <c r="I206" i="24"/>
  <c r="J367" i="24"/>
  <c r="I367" i="24"/>
  <c r="J91" i="24"/>
  <c r="I91" i="24"/>
  <c r="I242" i="24"/>
  <c r="J242" i="24"/>
  <c r="I310" i="24"/>
  <c r="J310" i="24"/>
  <c r="I311" i="24"/>
  <c r="J311" i="24"/>
  <c r="I171" i="24"/>
  <c r="J171" i="24"/>
  <c r="J253" i="24"/>
  <c r="I253" i="24"/>
  <c r="J213" i="24"/>
  <c r="I213" i="24"/>
  <c r="J92" i="24"/>
  <c r="I358" i="24"/>
  <c r="J358" i="24"/>
  <c r="I295" i="24"/>
  <c r="J295" i="24"/>
  <c r="J309" i="24"/>
  <c r="I309" i="24"/>
  <c r="J308" i="24"/>
  <c r="I308" i="24"/>
  <c r="I76" i="24"/>
  <c r="J76" i="24"/>
  <c r="I312" i="24"/>
  <c r="J312" i="24"/>
  <c r="J80" i="24"/>
  <c r="I80" i="24"/>
  <c r="J58" i="24"/>
  <c r="I58" i="24"/>
  <c r="G379" i="24"/>
  <c r="CE379" i="6" s="1"/>
  <c r="I94" i="24"/>
  <c r="J94" i="24"/>
  <c r="J345" i="24"/>
  <c r="I345" i="24"/>
  <c r="J296" i="24"/>
  <c r="I296" i="24"/>
  <c r="J255" i="24"/>
  <c r="I132" i="24"/>
  <c r="J132" i="24"/>
  <c r="I103" i="24"/>
  <c r="J103" i="24"/>
  <c r="J281" i="24"/>
  <c r="I281" i="24"/>
  <c r="J153" i="24"/>
  <c r="I153" i="24"/>
  <c r="I34" i="24"/>
  <c r="J34" i="24"/>
  <c r="J337" i="24"/>
  <c r="I337" i="24"/>
  <c r="I376" i="24"/>
  <c r="J376" i="24"/>
  <c r="J19" i="24"/>
  <c r="I19" i="24"/>
  <c r="J209" i="24"/>
  <c r="I209" i="24"/>
  <c r="I100" i="24"/>
  <c r="J100" i="24"/>
  <c r="J81" i="24"/>
  <c r="I81" i="24"/>
  <c r="I198" i="24"/>
  <c r="J198" i="24"/>
  <c r="I378" i="24"/>
  <c r="J378" i="24"/>
  <c r="J211" i="24"/>
  <c r="I211" i="24"/>
  <c r="W149" i="24"/>
  <c r="D149" i="24"/>
  <c r="E149" i="24" s="1"/>
  <c r="F149" i="24" s="1"/>
  <c r="J341" i="24"/>
  <c r="I341" i="24"/>
  <c r="I20" i="24"/>
  <c r="J20" i="24"/>
  <c r="J297" i="24"/>
  <c r="I297" i="24"/>
  <c r="J23" i="24"/>
  <c r="I23" i="24"/>
  <c r="I39" i="24"/>
  <c r="J39" i="24"/>
  <c r="J212" i="24"/>
  <c r="I212" i="24"/>
  <c r="J283" i="24"/>
  <c r="I283" i="24"/>
  <c r="I210" i="23"/>
  <c r="J210" i="23"/>
  <c r="J320" i="24"/>
  <c r="I320" i="24"/>
  <c r="J136" i="24"/>
  <c r="I136" i="24"/>
  <c r="I205" i="24"/>
  <c r="J205" i="24"/>
  <c r="I352" i="24"/>
  <c r="J352" i="24"/>
  <c r="J245" i="24"/>
  <c r="I245" i="24"/>
  <c r="J56" i="24"/>
  <c r="I56" i="24"/>
  <c r="J57" i="24"/>
  <c r="I57" i="24"/>
  <c r="J162" i="24"/>
  <c r="I162" i="24"/>
  <c r="J243" i="24"/>
  <c r="I243" i="24"/>
  <c r="J377" i="24"/>
  <c r="I377" i="24"/>
  <c r="J36" i="24"/>
  <c r="I36" i="24"/>
  <c r="I170" i="24"/>
  <c r="J170" i="24"/>
  <c r="I244" i="24"/>
  <c r="J244" i="24"/>
  <c r="J322" i="24"/>
  <c r="I322" i="24"/>
  <c r="J334" i="24"/>
  <c r="I334" i="24"/>
  <c r="I365" i="24"/>
  <c r="J365" i="24"/>
  <c r="I236" i="24"/>
  <c r="J236" i="24"/>
  <c r="J347" i="24"/>
  <c r="I347" i="24"/>
  <c r="I109" i="24"/>
  <c r="J109" i="24"/>
  <c r="I355" i="24"/>
  <c r="J355" i="24"/>
  <c r="I200" i="24"/>
  <c r="J200" i="24"/>
  <c r="I176" i="24"/>
  <c r="J176" i="24"/>
  <c r="J344" i="24"/>
  <c r="I344" i="24"/>
  <c r="J120" i="24"/>
  <c r="I120" i="24"/>
  <c r="I338" i="24"/>
  <c r="J338" i="24"/>
  <c r="I266" i="24"/>
  <c r="J266" i="24"/>
  <c r="W88" i="24"/>
  <c r="D88" i="24"/>
  <c r="E88" i="24" s="1"/>
  <c r="F88" i="24" s="1"/>
  <c r="J185" i="24"/>
  <c r="I185" i="24"/>
  <c r="J172" i="24"/>
  <c r="I172" i="24"/>
  <c r="I124" i="24"/>
  <c r="J124" i="24"/>
  <c r="J219" i="24"/>
  <c r="I219" i="24"/>
  <c r="J25" i="24"/>
  <c r="I25" i="24"/>
  <c r="J166" i="24"/>
  <c r="I166" i="24"/>
  <c r="J325" i="24"/>
  <c r="I325" i="24"/>
  <c r="I350" i="24"/>
  <c r="J350" i="24"/>
  <c r="D333" i="24"/>
  <c r="E333" i="24" s="1"/>
  <c r="F333" i="24" s="1"/>
  <c r="W333" i="24"/>
  <c r="I294" i="24"/>
  <c r="J294" i="24"/>
  <c r="I157" i="24"/>
  <c r="J157" i="24"/>
  <c r="I330" i="24"/>
  <c r="J330" i="24"/>
  <c r="I126" i="24"/>
  <c r="J126" i="24"/>
  <c r="J118" i="24"/>
  <c r="I118" i="24"/>
  <c r="I282" i="24"/>
  <c r="J282" i="24"/>
  <c r="J284" i="24"/>
  <c r="I284" i="24"/>
  <c r="J369" i="24"/>
  <c r="I369" i="24"/>
  <c r="J59" i="24"/>
  <c r="I59" i="24"/>
  <c r="I183" i="24"/>
  <c r="J183" i="24"/>
  <c r="J18" i="24"/>
  <c r="I18" i="24"/>
  <c r="J306" i="24"/>
  <c r="I306" i="24"/>
  <c r="J66" i="24"/>
  <c r="I66" i="24"/>
  <c r="I134" i="24"/>
  <c r="J134" i="24"/>
  <c r="J215" i="24"/>
  <c r="I215" i="24"/>
  <c r="I202" i="24"/>
  <c r="J202" i="24"/>
  <c r="I263" i="24"/>
  <c r="J263" i="24"/>
  <c r="J131" i="24"/>
  <c r="I131" i="24"/>
  <c r="J231" i="24"/>
  <c r="I231" i="24"/>
  <c r="I267" i="24"/>
  <c r="J267" i="24"/>
  <c r="I49" i="24"/>
  <c r="J49" i="24"/>
  <c r="I107" i="24"/>
  <c r="J107" i="24"/>
  <c r="I65" i="24"/>
  <c r="J336" i="24"/>
  <c r="I336" i="24"/>
  <c r="I43" i="24"/>
  <c r="J43" i="24"/>
  <c r="I189" i="24"/>
  <c r="J189" i="24"/>
  <c r="J122" i="24"/>
  <c r="I122" i="24"/>
  <c r="I38" i="24"/>
  <c r="J38" i="24"/>
  <c r="J195" i="24"/>
  <c r="I195" i="24"/>
  <c r="J98" i="24"/>
  <c r="I233" i="24"/>
  <c r="J233" i="24"/>
  <c r="I87" i="24"/>
  <c r="I37" i="24"/>
  <c r="I133" i="24"/>
  <c r="J133" i="24"/>
  <c r="J346" i="24"/>
  <c r="I346" i="24"/>
  <c r="I313" i="24"/>
  <c r="J313" i="24"/>
  <c r="J333" i="23"/>
  <c r="I333" i="23"/>
  <c r="J272" i="23"/>
  <c r="I272" i="23"/>
  <c r="J368" i="24"/>
  <c r="J27" i="24"/>
  <c r="I27" i="24"/>
  <c r="J221" i="24"/>
  <c r="I221" i="24"/>
  <c r="J250" i="24"/>
  <c r="I177" i="24"/>
  <c r="J340" i="24"/>
  <c r="I340" i="24"/>
  <c r="I223" i="24"/>
  <c r="J223" i="24"/>
  <c r="I305" i="24"/>
  <c r="J305" i="24"/>
  <c r="W241" i="24"/>
  <c r="D241" i="24"/>
  <c r="E241" i="24" s="1"/>
  <c r="F241" i="24" s="1"/>
  <c r="I356" i="24"/>
  <c r="J356" i="24"/>
  <c r="I262" i="24"/>
  <c r="J262" i="24"/>
  <c r="G288" i="24"/>
  <c r="CE288" i="6" s="1"/>
  <c r="H288" i="24"/>
  <c r="J24" i="24"/>
  <c r="I24" i="24"/>
  <c r="W363" i="24"/>
  <c r="D363" i="24"/>
  <c r="E363" i="24" s="1"/>
  <c r="F363" i="24" s="1"/>
  <c r="I318" i="24"/>
  <c r="J318" i="24"/>
  <c r="I184" i="24"/>
  <c r="J184" i="24"/>
  <c r="I321" i="24"/>
  <c r="J321" i="24"/>
  <c r="I247" i="24"/>
  <c r="J247" i="24"/>
  <c r="I141" i="24"/>
  <c r="J141" i="24"/>
  <c r="J303" i="24"/>
  <c r="I303" i="24"/>
  <c r="I316" i="24"/>
  <c r="J316" i="24"/>
  <c r="I273" i="24"/>
  <c r="J273" i="24"/>
  <c r="J362" i="24"/>
  <c r="I362" i="24"/>
  <c r="I276" i="24"/>
  <c r="J276" i="24"/>
  <c r="I160" i="24"/>
  <c r="J160" i="24"/>
  <c r="J290" i="24"/>
  <c r="I290" i="24"/>
  <c r="I130" i="24"/>
  <c r="J130" i="24"/>
  <c r="I127" i="24"/>
  <c r="J127" i="24"/>
  <c r="J150" i="24"/>
  <c r="I150" i="24"/>
  <c r="J161" i="24"/>
  <c r="I161" i="24"/>
  <c r="I360" i="24"/>
  <c r="J360" i="24"/>
  <c r="I240" i="24"/>
  <c r="J240" i="24"/>
  <c r="I268" i="24"/>
  <c r="J268" i="24"/>
  <c r="I42" i="24"/>
  <c r="J42" i="24"/>
  <c r="J354" i="24"/>
  <c r="I354" i="24"/>
  <c r="J300" i="24"/>
  <c r="I331" i="24"/>
  <c r="J331" i="24"/>
  <c r="J152" i="24"/>
  <c r="I152" i="24"/>
  <c r="J291" i="24"/>
  <c r="I291" i="24"/>
  <c r="I332" i="24"/>
  <c r="J332" i="24"/>
  <c r="I128" i="24"/>
  <c r="J128" i="24"/>
  <c r="I280" i="24"/>
  <c r="J280" i="24"/>
  <c r="J260" i="24"/>
  <c r="I260" i="24"/>
  <c r="I301" i="24"/>
  <c r="J301" i="24"/>
  <c r="I44" i="24"/>
  <c r="J44" i="24"/>
  <c r="I112" i="24"/>
  <c r="J112" i="24"/>
  <c r="J168" i="24"/>
  <c r="I168" i="24"/>
  <c r="J159" i="24"/>
  <c r="I159" i="24"/>
  <c r="J125" i="24"/>
  <c r="J314" i="24"/>
  <c r="I314" i="24"/>
  <c r="I326" i="24"/>
  <c r="J326" i="24"/>
  <c r="I167" i="24"/>
  <c r="J167" i="24"/>
  <c r="I224" i="24"/>
  <c r="J224" i="24"/>
  <c r="I164" i="24"/>
  <c r="J164" i="24"/>
  <c r="I256" i="24"/>
  <c r="J256" i="24"/>
  <c r="J17" i="24"/>
  <c r="I17" i="24"/>
  <c r="I26" i="24"/>
  <c r="J26" i="24"/>
  <c r="I201" i="24"/>
  <c r="J201" i="24"/>
  <c r="I163" i="24"/>
  <c r="J163" i="24"/>
  <c r="I232" i="24"/>
  <c r="J232" i="24"/>
  <c r="J249" i="24"/>
  <c r="J144" i="24"/>
  <c r="I144" i="24"/>
  <c r="J151" i="24"/>
  <c r="I151" i="24"/>
  <c r="G283" i="24"/>
  <c r="CE283" i="6" s="1"/>
  <c r="J241" i="23"/>
  <c r="I241" i="23"/>
  <c r="I357" i="24" l="1"/>
  <c r="I351" i="24"/>
  <c r="I55" i="24"/>
  <c r="G84" i="24"/>
  <c r="CE84" i="6" s="1"/>
  <c r="AA289" i="24"/>
  <c r="Z289" i="24" s="1"/>
  <c r="Y289" i="24" s="1"/>
  <c r="AA324" i="24"/>
  <c r="Z324" i="24" s="1"/>
  <c r="Y324" i="24" s="1"/>
  <c r="AA89" i="24"/>
  <c r="Z89" i="24" s="1"/>
  <c r="Y89" i="24" s="1"/>
  <c r="G110" i="24"/>
  <c r="CE110" i="6" s="1"/>
  <c r="I89" i="24"/>
  <c r="J110" i="24"/>
  <c r="J40" i="24"/>
  <c r="J147" i="24"/>
  <c r="I225" i="24"/>
  <c r="I73" i="24"/>
  <c r="P184" i="25"/>
  <c r="V184" i="25" s="1"/>
  <c r="B184" i="25" s="1"/>
  <c r="P227" i="25"/>
  <c r="V227" i="25" s="1"/>
  <c r="B227" i="25" s="1"/>
  <c r="P331" i="25"/>
  <c r="V331" i="25" s="1"/>
  <c r="B331" i="25" s="1"/>
  <c r="P347" i="25"/>
  <c r="V347" i="25" s="1"/>
  <c r="B347" i="25" s="1"/>
  <c r="D347" i="25" s="1"/>
  <c r="E347" i="25" s="1"/>
  <c r="F347" i="25" s="1"/>
  <c r="AA169" i="24"/>
  <c r="Z169" i="24" s="1"/>
  <c r="Y169" i="24" s="1"/>
  <c r="G357" i="24"/>
  <c r="CE357" i="6" s="1"/>
  <c r="I169" i="24"/>
  <c r="J169" i="24"/>
  <c r="I178" i="24"/>
  <c r="I138" i="24"/>
  <c r="I251" i="24"/>
  <c r="G169" i="24"/>
  <c r="CE169" i="6" s="1"/>
  <c r="G179" i="24"/>
  <c r="CE179" i="6" s="1"/>
  <c r="I41" i="24"/>
  <c r="J48" i="24"/>
  <c r="I293" i="24"/>
  <c r="J16" i="24"/>
  <c r="I335" i="24"/>
  <c r="I324" i="24"/>
  <c r="H156" i="24"/>
  <c r="J156" i="24" s="1"/>
  <c r="G173" i="24"/>
  <c r="CE173" i="6" s="1"/>
  <c r="AA77" i="24"/>
  <c r="Z77" i="24" s="1"/>
  <c r="Y77" i="24" s="1"/>
  <c r="AA156" i="24"/>
  <c r="Z156" i="24" s="1"/>
  <c r="Y156" i="24" s="1"/>
  <c r="AA179" i="24"/>
  <c r="Z179" i="24" s="1"/>
  <c r="Y179" i="24" s="1"/>
  <c r="AA300" i="24"/>
  <c r="Z300" i="24" s="1"/>
  <c r="Y300" i="24" s="1"/>
  <c r="AA357" i="24"/>
  <c r="Z357" i="24" s="1"/>
  <c r="Y357" i="24" s="1"/>
  <c r="AA102" i="24"/>
  <c r="Z102" i="24" s="1"/>
  <c r="Y102" i="24" s="1"/>
  <c r="AA71" i="24"/>
  <c r="Z71" i="24" s="1"/>
  <c r="Y71" i="24" s="1"/>
  <c r="AA204" i="24"/>
  <c r="Z204" i="24" s="1"/>
  <c r="Y204" i="24" s="1"/>
  <c r="AA145" i="24"/>
  <c r="Z145" i="24" s="1"/>
  <c r="Y145" i="24" s="1"/>
  <c r="H35" i="24"/>
  <c r="I35" i="24" s="1"/>
  <c r="H102" i="24"/>
  <c r="I102" i="24" s="1"/>
  <c r="H145" i="24"/>
  <c r="I145" i="24" s="1"/>
  <c r="J286" i="24"/>
  <c r="J47" i="24"/>
  <c r="H302" i="24"/>
  <c r="J302" i="24" s="1"/>
  <c r="I54" i="24"/>
  <c r="H68" i="24"/>
  <c r="J68" i="24" s="1"/>
  <c r="AA35" i="24"/>
  <c r="Z35" i="24" s="1"/>
  <c r="Y35" i="24" s="1"/>
  <c r="AA54" i="24"/>
  <c r="Z54" i="24" s="1"/>
  <c r="Y54" i="24" s="1"/>
  <c r="AA84" i="24"/>
  <c r="Z84" i="24" s="1"/>
  <c r="Y84" i="24" s="1"/>
  <c r="AA68" i="24"/>
  <c r="Z68" i="24" s="1"/>
  <c r="Y68" i="24" s="1"/>
  <c r="AA178" i="24"/>
  <c r="Z178" i="24" s="1"/>
  <c r="Y178" i="24" s="1"/>
  <c r="AA302" i="24"/>
  <c r="Z302" i="24" s="1"/>
  <c r="Y302" i="24" s="1"/>
  <c r="H265" i="24"/>
  <c r="J265" i="24" s="1"/>
  <c r="G178" i="24"/>
  <c r="CE178" i="6" s="1"/>
  <c r="H204" i="24"/>
  <c r="J204" i="24" s="1"/>
  <c r="G71" i="24"/>
  <c r="CE71" i="6" s="1"/>
  <c r="I123" i="24"/>
  <c r="I304" i="24"/>
  <c r="J173" i="24"/>
  <c r="G293" i="24"/>
  <c r="CE293" i="6" s="1"/>
  <c r="H299" i="24"/>
  <c r="I299" i="24" s="1"/>
  <c r="AA335" i="24"/>
  <c r="Z335" i="24" s="1"/>
  <c r="Y335" i="24" s="1"/>
  <c r="AA227" i="24"/>
  <c r="Z227" i="24" s="1"/>
  <c r="Y227" i="24" s="1"/>
  <c r="AA339" i="24"/>
  <c r="Z339" i="24" s="1"/>
  <c r="Y339" i="24" s="1"/>
  <c r="AA173" i="24"/>
  <c r="Z173" i="24" s="1"/>
  <c r="Y173" i="24" s="1"/>
  <c r="AA110" i="24"/>
  <c r="Z110" i="24" s="1"/>
  <c r="Y110" i="24" s="1"/>
  <c r="AA147" i="24"/>
  <c r="Z147" i="24" s="1"/>
  <c r="Y147" i="24" s="1"/>
  <c r="AA293" i="24"/>
  <c r="Z293" i="24" s="1"/>
  <c r="Y293" i="24" s="1"/>
  <c r="AA101" i="24"/>
  <c r="Z101" i="24" s="1"/>
  <c r="Y101" i="24" s="1"/>
  <c r="H289" i="24"/>
  <c r="J289" i="24" s="1"/>
  <c r="H227" i="24"/>
  <c r="G324" i="24"/>
  <c r="CE324" i="6" s="1"/>
  <c r="G89" i="24"/>
  <c r="CE89" i="6" s="1"/>
  <c r="G177" i="24"/>
  <c r="CE177" i="6" s="1"/>
  <c r="H339" i="24"/>
  <c r="J339" i="24" s="1"/>
  <c r="AA265" i="24"/>
  <c r="Z265" i="24" s="1"/>
  <c r="Y265" i="24" s="1"/>
  <c r="G138" i="24"/>
  <c r="CE138" i="6" s="1"/>
  <c r="G286" i="24"/>
  <c r="CE286" i="6" s="1"/>
  <c r="J67" i="24"/>
  <c r="AA138" i="24"/>
  <c r="Z138" i="24" s="1"/>
  <c r="Y138" i="24" s="1"/>
  <c r="H220" i="24"/>
  <c r="J220" i="24" s="1"/>
  <c r="G147" i="24"/>
  <c r="CE147" i="6" s="1"/>
  <c r="H270" i="24"/>
  <c r="J270" i="24" s="1"/>
  <c r="AA177" i="24"/>
  <c r="Z177" i="24" s="1"/>
  <c r="Y177" i="24" s="1"/>
  <c r="AA270" i="24"/>
  <c r="Z270" i="24" s="1"/>
  <c r="Y270" i="24" s="1"/>
  <c r="AA304" i="24"/>
  <c r="Z304" i="24" s="1"/>
  <c r="Y304" i="24" s="1"/>
  <c r="G335" i="24"/>
  <c r="CE335" i="6" s="1"/>
  <c r="H101" i="24"/>
  <c r="I101" i="24" s="1"/>
  <c r="G304" i="24"/>
  <c r="CE304" i="6" s="1"/>
  <c r="I196" i="24"/>
  <c r="I208" i="24"/>
  <c r="I214" i="24"/>
  <c r="AA67" i="24"/>
  <c r="Z67" i="24" s="1"/>
  <c r="Y67" i="24" s="1"/>
  <c r="AA214" i="24"/>
  <c r="Z214" i="24" s="1"/>
  <c r="Y214" i="24" s="1"/>
  <c r="H96" i="24"/>
  <c r="J96" i="24" s="1"/>
  <c r="P291" i="25"/>
  <c r="V291" i="25" s="1"/>
  <c r="B291" i="25" s="1"/>
  <c r="D291" i="25" s="1"/>
  <c r="E291" i="25" s="1"/>
  <c r="F291" i="25" s="1"/>
  <c r="P62" i="25"/>
  <c r="V62" i="25" s="1"/>
  <c r="B62" i="25" s="1"/>
  <c r="W62" i="25" s="1"/>
  <c r="P305" i="25"/>
  <c r="V305" i="25" s="1"/>
  <c r="B305" i="25" s="1"/>
  <c r="W305" i="25" s="1"/>
  <c r="P112" i="25"/>
  <c r="V112" i="25" s="1"/>
  <c r="B112" i="25" s="1"/>
  <c r="D112" i="25" s="1"/>
  <c r="E112" i="25" s="1"/>
  <c r="F112" i="25" s="1"/>
  <c r="G214" i="24"/>
  <c r="CE214" i="6" s="1"/>
  <c r="G67" i="24"/>
  <c r="CE67" i="6" s="1"/>
  <c r="G208" i="24"/>
  <c r="CE208" i="6" s="1"/>
  <c r="AA298" i="24"/>
  <c r="Z298" i="24" s="1"/>
  <c r="Y298" i="24" s="1"/>
  <c r="AA286" i="24"/>
  <c r="Z286" i="24" s="1"/>
  <c r="Y286" i="24" s="1"/>
  <c r="AA208" i="24"/>
  <c r="Z208" i="24" s="1"/>
  <c r="Y208" i="24" s="1"/>
  <c r="AA203" i="24"/>
  <c r="Z203" i="24" s="1"/>
  <c r="Y203" i="24" s="1"/>
  <c r="AA96" i="24"/>
  <c r="Z96" i="24" s="1"/>
  <c r="Y96" i="24" s="1"/>
  <c r="AA220" i="24"/>
  <c r="Z220" i="24" s="1"/>
  <c r="Y220" i="24" s="1"/>
  <c r="H298" i="24"/>
  <c r="J298" i="24" s="1"/>
  <c r="I71" i="24"/>
  <c r="I278" i="24"/>
  <c r="P122" i="25"/>
  <c r="V122" i="25" s="1"/>
  <c r="B122" i="25" s="1"/>
  <c r="W122" i="25" s="1"/>
  <c r="P137" i="25"/>
  <c r="V137" i="25" s="1"/>
  <c r="B137" i="25" s="1"/>
  <c r="D137" i="25" s="1"/>
  <c r="E137" i="25" s="1"/>
  <c r="F137" i="25" s="1"/>
  <c r="P258" i="25"/>
  <c r="V258" i="25" s="1"/>
  <c r="B258" i="25" s="1"/>
  <c r="W258" i="25" s="1"/>
  <c r="P287" i="25"/>
  <c r="V287" i="25" s="1"/>
  <c r="B287" i="25" s="1"/>
  <c r="W287" i="25" s="1"/>
  <c r="P78" i="25"/>
  <c r="V78" i="25" s="1"/>
  <c r="B78" i="25" s="1"/>
  <c r="W78" i="25" s="1"/>
  <c r="P140" i="25"/>
  <c r="V140" i="25" s="1"/>
  <c r="B140" i="25" s="1"/>
  <c r="W140" i="25" s="1"/>
  <c r="P310" i="25"/>
  <c r="V310" i="25" s="1"/>
  <c r="B310" i="25" s="1"/>
  <c r="W310" i="25" s="1"/>
  <c r="P204" i="25"/>
  <c r="V204" i="25" s="1"/>
  <c r="B204" i="25" s="1"/>
  <c r="D204" i="25" s="1"/>
  <c r="E204" i="25" s="1"/>
  <c r="F204" i="25" s="1"/>
  <c r="P371" i="25"/>
  <c r="V371" i="25" s="1"/>
  <c r="B371" i="25" s="1"/>
  <c r="D371" i="25" s="1"/>
  <c r="E371" i="25" s="1"/>
  <c r="F371" i="25" s="1"/>
  <c r="P83" i="25"/>
  <c r="V83" i="25" s="1"/>
  <c r="B83" i="25" s="1"/>
  <c r="D83" i="25" s="1"/>
  <c r="E83" i="25" s="1"/>
  <c r="F83" i="25" s="1"/>
  <c r="P151" i="25"/>
  <c r="V151" i="25" s="1"/>
  <c r="B151" i="25" s="1"/>
  <c r="D151" i="25" s="1"/>
  <c r="E151" i="25" s="1"/>
  <c r="F151" i="25" s="1"/>
  <c r="P44" i="25"/>
  <c r="V44" i="25" s="1"/>
  <c r="B44" i="25" s="1"/>
  <c r="W44" i="25" s="1"/>
  <c r="P353" i="25"/>
  <c r="V353" i="25" s="1"/>
  <c r="B353" i="25" s="1"/>
  <c r="W353" i="25" s="1"/>
  <c r="P276" i="25"/>
  <c r="V276" i="25" s="1"/>
  <c r="B276" i="25" s="1"/>
  <c r="D276" i="25" s="1"/>
  <c r="E276" i="25" s="1"/>
  <c r="F276" i="25" s="1"/>
  <c r="P97" i="25"/>
  <c r="V97" i="25" s="1"/>
  <c r="B97" i="25" s="1"/>
  <c r="D97" i="25" s="1"/>
  <c r="E97" i="25" s="1"/>
  <c r="F97" i="25" s="1"/>
  <c r="P155" i="25"/>
  <c r="V155" i="25" s="1"/>
  <c r="B155" i="25" s="1"/>
  <c r="W155" i="25" s="1"/>
  <c r="P372" i="25"/>
  <c r="V372" i="25" s="1"/>
  <c r="B372" i="25" s="1"/>
  <c r="D372" i="25" s="1"/>
  <c r="E372" i="25" s="1"/>
  <c r="F372" i="25" s="1"/>
  <c r="P326" i="25"/>
  <c r="V326" i="25" s="1"/>
  <c r="B326" i="25" s="1"/>
  <c r="W326" i="25" s="1"/>
  <c r="P311" i="25"/>
  <c r="V311" i="25" s="1"/>
  <c r="B311" i="25" s="1"/>
  <c r="D311" i="25" s="1"/>
  <c r="E311" i="25" s="1"/>
  <c r="F311" i="25" s="1"/>
  <c r="P244" i="25"/>
  <c r="V244" i="25" s="1"/>
  <c r="B244" i="25" s="1"/>
  <c r="D244" i="25" s="1"/>
  <c r="E244" i="25" s="1"/>
  <c r="F244" i="25" s="1"/>
  <c r="P346" i="25"/>
  <c r="V346" i="25" s="1"/>
  <c r="B346" i="25" s="1"/>
  <c r="W346" i="25" s="1"/>
  <c r="P340" i="25"/>
  <c r="V340" i="25" s="1"/>
  <c r="B340" i="25" s="1"/>
  <c r="D340" i="25" s="1"/>
  <c r="E340" i="25" s="1"/>
  <c r="F340" i="25" s="1"/>
  <c r="P242" i="25"/>
  <c r="V242" i="25" s="1"/>
  <c r="B242" i="25" s="1"/>
  <c r="D242" i="25" s="1"/>
  <c r="E242" i="25" s="1"/>
  <c r="F242" i="25" s="1"/>
  <c r="P268" i="25"/>
  <c r="V268" i="25" s="1"/>
  <c r="B268" i="25" s="1"/>
  <c r="W268" i="25" s="1"/>
  <c r="P373" i="25"/>
  <c r="V373" i="25" s="1"/>
  <c r="B373" i="25" s="1"/>
  <c r="D373" i="25" s="1"/>
  <c r="E373" i="25" s="1"/>
  <c r="F373" i="25" s="1"/>
  <c r="P329" i="25"/>
  <c r="V329" i="25" s="1"/>
  <c r="B329" i="25" s="1"/>
  <c r="D329" i="25" s="1"/>
  <c r="E329" i="25" s="1"/>
  <c r="F329" i="25" s="1"/>
  <c r="P106" i="25"/>
  <c r="V106" i="25" s="1"/>
  <c r="B106" i="25" s="1"/>
  <c r="D106" i="25" s="1"/>
  <c r="E106" i="25" s="1"/>
  <c r="F106" i="25" s="1"/>
  <c r="P298" i="25"/>
  <c r="V298" i="25" s="1"/>
  <c r="B298" i="25" s="1"/>
  <c r="W298" i="25" s="1"/>
  <c r="P47" i="25"/>
  <c r="V47" i="25" s="1"/>
  <c r="B47" i="25" s="1"/>
  <c r="D47" i="25" s="1"/>
  <c r="E47" i="25" s="1"/>
  <c r="F47" i="25" s="1"/>
  <c r="P183" i="25"/>
  <c r="V183" i="25" s="1"/>
  <c r="B183" i="25" s="1"/>
  <c r="D183" i="25" s="1"/>
  <c r="E183" i="25" s="1"/>
  <c r="F183" i="25" s="1"/>
  <c r="P124" i="25"/>
  <c r="V124" i="25" s="1"/>
  <c r="B124" i="25" s="1"/>
  <c r="W124" i="25" s="1"/>
  <c r="P255" i="25"/>
  <c r="V255" i="25" s="1"/>
  <c r="B255" i="25" s="1"/>
  <c r="D255" i="25" s="1"/>
  <c r="E255" i="25" s="1"/>
  <c r="F255" i="25" s="1"/>
  <c r="P206" i="25"/>
  <c r="V206" i="25" s="1"/>
  <c r="B206" i="25" s="1"/>
  <c r="D206" i="25" s="1"/>
  <c r="E206" i="25" s="1"/>
  <c r="F206" i="25" s="1"/>
  <c r="P76" i="25"/>
  <c r="V76" i="25" s="1"/>
  <c r="B76" i="25" s="1"/>
  <c r="D76" i="25" s="1"/>
  <c r="E76" i="25" s="1"/>
  <c r="F76" i="25" s="1"/>
  <c r="P180" i="25"/>
  <c r="AH73" i="7" s="1"/>
  <c r="P16" i="25"/>
  <c r="V16" i="25" s="1"/>
  <c r="B16" i="25" s="1"/>
  <c r="W16" i="25" s="1"/>
  <c r="P309" i="25"/>
  <c r="V309" i="25" s="1"/>
  <c r="B309" i="25" s="1"/>
  <c r="W309" i="25" s="1"/>
  <c r="P146" i="25"/>
  <c r="V146" i="25" s="1"/>
  <c r="B146" i="25" s="1"/>
  <c r="D146" i="25" s="1"/>
  <c r="E146" i="25" s="1"/>
  <c r="F146" i="25" s="1"/>
  <c r="P41" i="25"/>
  <c r="V41" i="25" s="1"/>
  <c r="B41" i="25" s="1"/>
  <c r="W41" i="25" s="1"/>
  <c r="P191" i="25"/>
  <c r="V191" i="25" s="1"/>
  <c r="B191" i="25" s="1"/>
  <c r="W191" i="25" s="1"/>
  <c r="P202" i="25"/>
  <c r="V202" i="25" s="1"/>
  <c r="B202" i="25" s="1"/>
  <c r="W202" i="25" s="1"/>
  <c r="P211" i="25"/>
  <c r="V211" i="25" s="1"/>
  <c r="B211" i="25" s="1"/>
  <c r="W211" i="25" s="1"/>
  <c r="P110" i="25"/>
  <c r="V110" i="25" s="1"/>
  <c r="B110" i="25" s="1"/>
  <c r="D110" i="25" s="1"/>
  <c r="E110" i="25" s="1"/>
  <c r="F110" i="25" s="1"/>
  <c r="P212" i="25"/>
  <c r="V212" i="25" s="1"/>
  <c r="B212" i="25" s="1"/>
  <c r="W212" i="25" s="1"/>
  <c r="P61" i="25"/>
  <c r="V61" i="25" s="1"/>
  <c r="B61" i="25" s="1"/>
  <c r="W61" i="25" s="1"/>
  <c r="P308" i="25"/>
  <c r="V308" i="25" s="1"/>
  <c r="B308" i="25" s="1"/>
  <c r="W308" i="25" s="1"/>
  <c r="P21" i="25"/>
  <c r="V21" i="25" s="1"/>
  <c r="B21" i="25" s="1"/>
  <c r="W21" i="25" s="1"/>
  <c r="P156" i="25"/>
  <c r="V156" i="25" s="1"/>
  <c r="B156" i="25" s="1"/>
  <c r="W156" i="25" s="1"/>
  <c r="P66" i="25"/>
  <c r="V66" i="25" s="1"/>
  <c r="B66" i="25" s="1"/>
  <c r="D66" i="25" s="1"/>
  <c r="E66" i="25" s="1"/>
  <c r="F66" i="25" s="1"/>
  <c r="P89" i="25"/>
  <c r="V89" i="25" s="1"/>
  <c r="B89" i="25" s="1"/>
  <c r="W89" i="25" s="1"/>
  <c r="P20" i="25"/>
  <c r="V20" i="25" s="1"/>
  <c r="B20" i="25" s="1"/>
  <c r="W20" i="25" s="1"/>
  <c r="P36" i="25"/>
  <c r="V36" i="25" s="1"/>
  <c r="B36" i="25" s="1"/>
  <c r="D36" i="25" s="1"/>
  <c r="E36" i="25" s="1"/>
  <c r="F36" i="25" s="1"/>
  <c r="P128" i="25"/>
  <c r="V128" i="25" s="1"/>
  <c r="B128" i="25" s="1"/>
  <c r="W128" i="25" s="1"/>
  <c r="P164" i="25"/>
  <c r="V164" i="25" s="1"/>
  <c r="B164" i="25" s="1"/>
  <c r="D164" i="25" s="1"/>
  <c r="E164" i="25" s="1"/>
  <c r="F164" i="25" s="1"/>
  <c r="P113" i="25"/>
  <c r="V113" i="25" s="1"/>
  <c r="B113" i="25" s="1"/>
  <c r="W113" i="25" s="1"/>
  <c r="P102" i="25"/>
  <c r="V102" i="25" s="1"/>
  <c r="B102" i="25" s="1"/>
  <c r="D102" i="25" s="1"/>
  <c r="E102" i="25" s="1"/>
  <c r="F102" i="25" s="1"/>
  <c r="P263" i="25"/>
  <c r="V263" i="25" s="1"/>
  <c r="B263" i="25" s="1"/>
  <c r="W263" i="25" s="1"/>
  <c r="P30" i="25"/>
  <c r="V30" i="25" s="1"/>
  <c r="B30" i="25" s="1"/>
  <c r="D30" i="25" s="1"/>
  <c r="E30" i="25" s="1"/>
  <c r="F30" i="25" s="1"/>
  <c r="P163" i="25"/>
  <c r="V163" i="25" s="1"/>
  <c r="B163" i="25" s="1"/>
  <c r="D163" i="25" s="1"/>
  <c r="E163" i="25" s="1"/>
  <c r="F163" i="25" s="1"/>
  <c r="P27" i="25"/>
  <c r="V27" i="25" s="1"/>
  <c r="B27" i="25" s="1"/>
  <c r="W27" i="25" s="1"/>
  <c r="P208" i="25"/>
  <c r="V208" i="25" s="1"/>
  <c r="B208" i="25" s="1"/>
  <c r="W208" i="25" s="1"/>
  <c r="P220" i="25"/>
  <c r="V220" i="25" s="1"/>
  <c r="B220" i="25" s="1"/>
  <c r="W220" i="25" s="1"/>
  <c r="P196" i="25"/>
  <c r="V196" i="25" s="1"/>
  <c r="B196" i="25" s="1"/>
  <c r="P85" i="25"/>
  <c r="V85" i="25" s="1"/>
  <c r="B85" i="25" s="1"/>
  <c r="W85" i="25" s="1"/>
  <c r="P221" i="25"/>
  <c r="V221" i="25" s="1"/>
  <c r="B221" i="25" s="1"/>
  <c r="D221" i="25" s="1"/>
  <c r="E221" i="25" s="1"/>
  <c r="F221" i="25" s="1"/>
  <c r="I104" i="24"/>
  <c r="J323" i="24"/>
  <c r="I52" i="24"/>
  <c r="J258" i="24"/>
  <c r="P135" i="25"/>
  <c r="V135" i="25" s="1"/>
  <c r="B135" i="25" s="1"/>
  <c r="W135" i="25" s="1"/>
  <c r="P26" i="25"/>
  <c r="V26" i="25" s="1"/>
  <c r="B26" i="25" s="1"/>
  <c r="W26" i="25" s="1"/>
  <c r="P314" i="25"/>
  <c r="V314" i="25" s="1"/>
  <c r="B314" i="25" s="1"/>
  <c r="W314" i="25" s="1"/>
  <c r="P341" i="25"/>
  <c r="V341" i="25" s="1"/>
  <c r="B341" i="25" s="1"/>
  <c r="D341" i="25" s="1"/>
  <c r="E341" i="25" s="1"/>
  <c r="F341" i="25" s="1"/>
  <c r="P99" i="25"/>
  <c r="V99" i="25" s="1"/>
  <c r="B99" i="25" s="1"/>
  <c r="D99" i="25" s="1"/>
  <c r="E99" i="25" s="1"/>
  <c r="F99" i="25" s="1"/>
  <c r="P154" i="25"/>
  <c r="V154" i="25" s="1"/>
  <c r="B154" i="25" s="1"/>
  <c r="D154" i="25" s="1"/>
  <c r="E154" i="25" s="1"/>
  <c r="F154" i="25" s="1"/>
  <c r="P257" i="25"/>
  <c r="V257" i="25" s="1"/>
  <c r="B257" i="25" s="1"/>
  <c r="D257" i="25" s="1"/>
  <c r="E257" i="25" s="1"/>
  <c r="F257" i="25" s="1"/>
  <c r="P134" i="25"/>
  <c r="V134" i="25" s="1"/>
  <c r="B134" i="25" s="1"/>
  <c r="W134" i="25" s="1"/>
  <c r="P229" i="25"/>
  <c r="V229" i="25" s="1"/>
  <c r="B229" i="25" s="1"/>
  <c r="W229" i="25" s="1"/>
  <c r="P323" i="25"/>
  <c r="V323" i="25" s="1"/>
  <c r="B323" i="25" s="1"/>
  <c r="D323" i="25" s="1"/>
  <c r="E323" i="25" s="1"/>
  <c r="F323" i="25" s="1"/>
  <c r="P171" i="25"/>
  <c r="V171" i="25" s="1"/>
  <c r="B171" i="25" s="1"/>
  <c r="D171" i="25" s="1"/>
  <c r="E171" i="25" s="1"/>
  <c r="F171" i="25" s="1"/>
  <c r="P270" i="25"/>
  <c r="V270" i="25" s="1"/>
  <c r="B270" i="25" s="1"/>
  <c r="D270" i="25" s="1"/>
  <c r="E270" i="25" s="1"/>
  <c r="F270" i="25" s="1"/>
  <c r="P351" i="25"/>
  <c r="V351" i="25" s="1"/>
  <c r="B351" i="25" s="1"/>
  <c r="W351" i="25" s="1"/>
  <c r="P189" i="25"/>
  <c r="V189" i="25" s="1"/>
  <c r="B189" i="25" s="1"/>
  <c r="W189" i="25" s="1"/>
  <c r="P267" i="25"/>
  <c r="V267" i="25" s="1"/>
  <c r="B267" i="25" s="1"/>
  <c r="D267" i="25" s="1"/>
  <c r="E267" i="25" s="1"/>
  <c r="F267" i="25" s="1"/>
  <c r="P68" i="25"/>
  <c r="V68" i="25" s="1"/>
  <c r="B68" i="25" s="1"/>
  <c r="W68" i="25" s="1"/>
  <c r="P217" i="25"/>
  <c r="V217" i="25" s="1"/>
  <c r="B217" i="25" s="1"/>
  <c r="W217" i="25" s="1"/>
  <c r="P86" i="25"/>
  <c r="V86" i="25" s="1"/>
  <c r="B86" i="25" s="1"/>
  <c r="D86" i="25" s="1"/>
  <c r="E86" i="25" s="1"/>
  <c r="F86" i="25" s="1"/>
  <c r="P285" i="25"/>
  <c r="V285" i="25" s="1"/>
  <c r="B285" i="25" s="1"/>
  <c r="D285" i="25" s="1"/>
  <c r="E285" i="25" s="1"/>
  <c r="F285" i="25" s="1"/>
  <c r="P313" i="25"/>
  <c r="V313" i="25" s="1"/>
  <c r="B313" i="25" s="1"/>
  <c r="W313" i="25" s="1"/>
  <c r="P18" i="25"/>
  <c r="V18" i="25" s="1"/>
  <c r="B18" i="25" s="1"/>
  <c r="D18" i="25" s="1"/>
  <c r="E18" i="25" s="1"/>
  <c r="F18" i="25" s="1"/>
  <c r="P273" i="25"/>
  <c r="V273" i="25" s="1"/>
  <c r="B273" i="25" s="1"/>
  <c r="D273" i="25" s="1"/>
  <c r="E273" i="25" s="1"/>
  <c r="F273" i="25" s="1"/>
  <c r="P175" i="25"/>
  <c r="V175" i="25" s="1"/>
  <c r="B175" i="25" s="1"/>
  <c r="W175" i="25" s="1"/>
  <c r="P82" i="25"/>
  <c r="V82" i="25" s="1"/>
  <c r="B82" i="25" s="1"/>
  <c r="W82" i="25" s="1"/>
  <c r="P266" i="25"/>
  <c r="V266" i="25" s="1"/>
  <c r="B266" i="25" s="1"/>
  <c r="W266" i="25" s="1"/>
  <c r="P269" i="25"/>
  <c r="V269" i="25" s="1"/>
  <c r="B269" i="25" s="1"/>
  <c r="D269" i="25" s="1"/>
  <c r="E269" i="25" s="1"/>
  <c r="F269" i="25" s="1"/>
  <c r="P150" i="25"/>
  <c r="V150" i="25" s="1"/>
  <c r="B150" i="25" s="1"/>
  <c r="W150" i="25" s="1"/>
  <c r="P100" i="25"/>
  <c r="V100" i="25" s="1"/>
  <c r="B100" i="25" s="1"/>
  <c r="D100" i="25" s="1"/>
  <c r="E100" i="25" s="1"/>
  <c r="F100" i="25" s="1"/>
  <c r="P131" i="25"/>
  <c r="V131" i="25" s="1"/>
  <c r="B131" i="25" s="1"/>
  <c r="W131" i="25" s="1"/>
  <c r="P290" i="25"/>
  <c r="V290" i="25" s="1"/>
  <c r="B290" i="25" s="1"/>
  <c r="W290" i="25" s="1"/>
  <c r="P245" i="25"/>
  <c r="V245" i="25" s="1"/>
  <c r="B245" i="25" s="1"/>
  <c r="D245" i="25" s="1"/>
  <c r="E245" i="25" s="1"/>
  <c r="F245" i="25" s="1"/>
  <c r="P87" i="25"/>
  <c r="V87" i="25" s="1"/>
  <c r="B87" i="25" s="1"/>
  <c r="W87" i="25" s="1"/>
  <c r="P104" i="25"/>
  <c r="V104" i="25" s="1"/>
  <c r="B104" i="25" s="1"/>
  <c r="D104" i="25" s="1"/>
  <c r="E104" i="25" s="1"/>
  <c r="F104" i="25" s="1"/>
  <c r="P357" i="25"/>
  <c r="V357" i="25" s="1"/>
  <c r="B357" i="25" s="1"/>
  <c r="W357" i="25" s="1"/>
  <c r="P359" i="25"/>
  <c r="V359" i="25" s="1"/>
  <c r="B359" i="25" s="1"/>
  <c r="D359" i="25" s="1"/>
  <c r="E359" i="25" s="1"/>
  <c r="F359" i="25" s="1"/>
  <c r="P360" i="25"/>
  <c r="V360" i="25" s="1"/>
  <c r="B360" i="25" s="1"/>
  <c r="D360" i="25" s="1"/>
  <c r="E360" i="25" s="1"/>
  <c r="F360" i="25" s="1"/>
  <c r="P226" i="25"/>
  <c r="V226" i="25" s="1"/>
  <c r="B226" i="25" s="1"/>
  <c r="D226" i="25" s="1"/>
  <c r="E226" i="25" s="1"/>
  <c r="F226" i="25" s="1"/>
  <c r="P361" i="25"/>
  <c r="V361" i="25" s="1"/>
  <c r="B361" i="25" s="1"/>
  <c r="D361" i="25" s="1"/>
  <c r="E361" i="25" s="1"/>
  <c r="F361" i="25" s="1"/>
  <c r="P81" i="25"/>
  <c r="V81" i="25" s="1"/>
  <c r="B81" i="25" s="1"/>
  <c r="D81" i="25" s="1"/>
  <c r="E81" i="25" s="1"/>
  <c r="F81" i="25" s="1"/>
  <c r="P181" i="25"/>
  <c r="V181" i="25" s="1"/>
  <c r="B181" i="25" s="1"/>
  <c r="W181" i="25" s="1"/>
  <c r="P230" i="25"/>
  <c r="V230" i="25" s="1"/>
  <c r="B230" i="25" s="1"/>
  <c r="D230" i="25" s="1"/>
  <c r="E230" i="25" s="1"/>
  <c r="F230" i="25" s="1"/>
  <c r="P232" i="25"/>
  <c r="V232" i="25" s="1"/>
  <c r="B232" i="25" s="1"/>
  <c r="W232" i="25" s="1"/>
  <c r="P98" i="25"/>
  <c r="V98" i="25" s="1"/>
  <c r="B98" i="25" s="1"/>
  <c r="D98" i="25" s="1"/>
  <c r="E98" i="25" s="1"/>
  <c r="F98" i="25" s="1"/>
  <c r="P101" i="25"/>
  <c r="V101" i="25" s="1"/>
  <c r="B101" i="25" s="1"/>
  <c r="D101" i="25" s="1"/>
  <c r="E101" i="25" s="1"/>
  <c r="F101" i="25" s="1"/>
  <c r="P251" i="25"/>
  <c r="V251" i="25" s="1"/>
  <c r="B251" i="25" s="1"/>
  <c r="W251" i="25" s="1"/>
  <c r="P162" i="25"/>
  <c r="V162" i="25" s="1"/>
  <c r="B162" i="25" s="1"/>
  <c r="D162" i="25" s="1"/>
  <c r="E162" i="25" s="1"/>
  <c r="F162" i="25" s="1"/>
  <c r="P55" i="25"/>
  <c r="V55" i="25" s="1"/>
  <c r="B55" i="25" s="1"/>
  <c r="D55" i="25" s="1"/>
  <c r="E55" i="25" s="1"/>
  <c r="F55" i="25" s="1"/>
  <c r="P231" i="25"/>
  <c r="V231" i="25" s="1"/>
  <c r="B231" i="25" s="1"/>
  <c r="W231" i="25" s="1"/>
  <c r="P337" i="25"/>
  <c r="V337" i="25" s="1"/>
  <c r="B337" i="25" s="1"/>
  <c r="W337" i="25" s="1"/>
  <c r="P349" i="25"/>
  <c r="V349" i="25" s="1"/>
  <c r="B349" i="25" s="1"/>
  <c r="P275" i="25"/>
  <c r="V275" i="25" s="1"/>
  <c r="B275" i="25" s="1"/>
  <c r="W275" i="25" s="1"/>
  <c r="P153" i="25"/>
  <c r="V153" i="25" s="1"/>
  <c r="B153" i="25" s="1"/>
  <c r="W153" i="25" s="1"/>
  <c r="P58" i="25"/>
  <c r="V58" i="25" s="1"/>
  <c r="B58" i="25" s="1"/>
  <c r="D58" i="25" s="1"/>
  <c r="E58" i="25" s="1"/>
  <c r="F58" i="25" s="1"/>
  <c r="B119" i="24"/>
  <c r="E69" i="19"/>
  <c r="P138" i="25"/>
  <c r="V138" i="25" s="1"/>
  <c r="B138" i="25" s="1"/>
  <c r="D138" i="25" s="1"/>
  <c r="E138" i="25" s="1"/>
  <c r="F138" i="25" s="1"/>
  <c r="P307" i="25"/>
  <c r="V307" i="25" s="1"/>
  <c r="B307" i="25" s="1"/>
  <c r="W307" i="25" s="1"/>
  <c r="E41" i="19"/>
  <c r="P338" i="25"/>
  <c r="V338" i="25" s="1"/>
  <c r="B338" i="25" s="1"/>
  <c r="W338" i="25" s="1"/>
  <c r="P67" i="25"/>
  <c r="V67" i="25" s="1"/>
  <c r="B67" i="25" s="1"/>
  <c r="W67" i="25" s="1"/>
  <c r="P225" i="25"/>
  <c r="V225" i="25" s="1"/>
  <c r="B225" i="25" s="1"/>
  <c r="D225" i="25" s="1"/>
  <c r="E225" i="25" s="1"/>
  <c r="F225" i="25" s="1"/>
  <c r="P60" i="25"/>
  <c r="AH69" i="7" s="1"/>
  <c r="P69" i="25"/>
  <c r="V69" i="25" s="1"/>
  <c r="B69" i="25" s="1"/>
  <c r="D69" i="25" s="1"/>
  <c r="E69" i="25" s="1"/>
  <c r="F69" i="25" s="1"/>
  <c r="P219" i="25"/>
  <c r="V219" i="25" s="1"/>
  <c r="B219" i="25" s="1"/>
  <c r="W219" i="25" s="1"/>
  <c r="P56" i="25"/>
  <c r="V56" i="25" s="1"/>
  <c r="B56" i="25" s="1"/>
  <c r="W56" i="25" s="1"/>
  <c r="P42" i="25"/>
  <c r="V42" i="25" s="1"/>
  <c r="B42" i="25" s="1"/>
  <c r="W42" i="25" s="1"/>
  <c r="P38" i="25"/>
  <c r="V38" i="25" s="1"/>
  <c r="B38" i="25" s="1"/>
  <c r="D38" i="25" s="1"/>
  <c r="E38" i="25" s="1"/>
  <c r="F38" i="25" s="1"/>
  <c r="P161" i="25"/>
  <c r="V161" i="25" s="1"/>
  <c r="B161" i="25" s="1"/>
  <c r="W161" i="25" s="1"/>
  <c r="P90" i="25"/>
  <c r="V90" i="25" s="1"/>
  <c r="B90" i="25" s="1"/>
  <c r="D90" i="25" s="1"/>
  <c r="E90" i="25" s="1"/>
  <c r="F90" i="25" s="1"/>
  <c r="P74" i="25"/>
  <c r="V74" i="25" s="1"/>
  <c r="B74" i="25" s="1"/>
  <c r="P179" i="25"/>
  <c r="V179" i="25" s="1"/>
  <c r="B179" i="25" s="1"/>
  <c r="W179" i="25" s="1"/>
  <c r="P238" i="25"/>
  <c r="V238" i="25" s="1"/>
  <c r="B238" i="25" s="1"/>
  <c r="D238" i="25" s="1"/>
  <c r="E238" i="25" s="1"/>
  <c r="F238" i="25" s="1"/>
  <c r="P247" i="25"/>
  <c r="V247" i="25" s="1"/>
  <c r="B247" i="25" s="1"/>
  <c r="W247" i="25" s="1"/>
  <c r="P29" i="25"/>
  <c r="AH68" i="7" s="1"/>
  <c r="P141" i="25"/>
  <c r="V141" i="25" s="1"/>
  <c r="B141" i="25" s="1"/>
  <c r="W141" i="25" s="1"/>
  <c r="P52" i="25"/>
  <c r="V52" i="25" s="1"/>
  <c r="B52" i="25" s="1"/>
  <c r="D52" i="25" s="1"/>
  <c r="E52" i="25" s="1"/>
  <c r="F52" i="25" s="1"/>
  <c r="P33" i="25"/>
  <c r="V33" i="25" s="1"/>
  <c r="B33" i="25" s="1"/>
  <c r="D33" i="25" s="1"/>
  <c r="E33" i="25" s="1"/>
  <c r="F33" i="25" s="1"/>
  <c r="P240" i="25"/>
  <c r="V240" i="25" s="1"/>
  <c r="B240" i="25" s="1"/>
  <c r="D240" i="25" s="1"/>
  <c r="E240" i="25" s="1"/>
  <c r="F240" i="25" s="1"/>
  <c r="P319" i="25"/>
  <c r="V319" i="25" s="1"/>
  <c r="B319" i="25" s="1"/>
  <c r="D319" i="25" s="1"/>
  <c r="E319" i="25" s="1"/>
  <c r="F319" i="25" s="1"/>
  <c r="P215" i="25"/>
  <c r="V215" i="25" s="1"/>
  <c r="B215" i="25" s="1"/>
  <c r="W215" i="25" s="1"/>
  <c r="P75" i="25"/>
  <c r="V75" i="25" s="1"/>
  <c r="B75" i="25" s="1"/>
  <c r="W75" i="25" s="1"/>
  <c r="P243" i="25"/>
  <c r="V243" i="25" s="1"/>
  <c r="B243" i="25" s="1"/>
  <c r="D243" i="25" s="1"/>
  <c r="E243" i="25" s="1"/>
  <c r="F243" i="25" s="1"/>
  <c r="P93" i="25"/>
  <c r="V93" i="25" s="1"/>
  <c r="B93" i="25" s="1"/>
  <c r="D93" i="25" s="1"/>
  <c r="E93" i="25" s="1"/>
  <c r="F93" i="25" s="1"/>
  <c r="P59" i="25"/>
  <c r="V59" i="25" s="1"/>
  <c r="B59" i="25" s="1"/>
  <c r="D59" i="25" s="1"/>
  <c r="E59" i="25" s="1"/>
  <c r="F59" i="25" s="1"/>
  <c r="P201" i="25"/>
  <c r="V201" i="25" s="1"/>
  <c r="B201" i="25" s="1"/>
  <c r="D201" i="25" s="1"/>
  <c r="E201" i="25" s="1"/>
  <c r="F201" i="25" s="1"/>
  <c r="P65" i="25"/>
  <c r="V65" i="25" s="1"/>
  <c r="B65" i="25" s="1"/>
  <c r="W65" i="25" s="1"/>
  <c r="P72" i="25"/>
  <c r="V72" i="25" s="1"/>
  <c r="B72" i="25" s="1"/>
  <c r="D72" i="25" s="1"/>
  <c r="E72" i="25" s="1"/>
  <c r="F72" i="25" s="1"/>
  <c r="P24" i="25"/>
  <c r="V24" i="25" s="1"/>
  <c r="B24" i="25" s="1"/>
  <c r="D24" i="25" s="1"/>
  <c r="E24" i="25" s="1"/>
  <c r="F24" i="25" s="1"/>
  <c r="P358" i="25"/>
  <c r="V358" i="25" s="1"/>
  <c r="B358" i="25" s="1"/>
  <c r="D358" i="25" s="1"/>
  <c r="E358" i="25" s="1"/>
  <c r="F358" i="25" s="1"/>
  <c r="P332" i="25"/>
  <c r="V332" i="25" s="1"/>
  <c r="B332" i="25" s="1"/>
  <c r="D332" i="25" s="1"/>
  <c r="E332" i="25" s="1"/>
  <c r="F332" i="25" s="1"/>
  <c r="P335" i="25"/>
  <c r="V335" i="25" s="1"/>
  <c r="B335" i="25" s="1"/>
  <c r="W335" i="25" s="1"/>
  <c r="P77" i="25"/>
  <c r="V77" i="25" s="1"/>
  <c r="B77" i="25" s="1"/>
  <c r="W77" i="25" s="1"/>
  <c r="P17" i="25"/>
  <c r="V17" i="25" s="1"/>
  <c r="B17" i="25" s="1"/>
  <c r="W17" i="25" s="1"/>
  <c r="P46" i="25"/>
  <c r="V46" i="25" s="1"/>
  <c r="B46" i="25" s="1"/>
  <c r="D46" i="25" s="1"/>
  <c r="E46" i="25" s="1"/>
  <c r="F46" i="25" s="1"/>
  <c r="H46" i="25" s="1"/>
  <c r="P304" i="25"/>
  <c r="V304" i="25" s="1"/>
  <c r="B304" i="25" s="1"/>
  <c r="W304" i="25" s="1"/>
  <c r="P333" i="25"/>
  <c r="AH78" i="7" s="1"/>
  <c r="P43" i="25"/>
  <c r="V43" i="25" s="1"/>
  <c r="B43" i="25" s="1"/>
  <c r="D43" i="25" s="1"/>
  <c r="E43" i="25" s="1"/>
  <c r="F43" i="25" s="1"/>
  <c r="P143" i="25"/>
  <c r="V143" i="25" s="1"/>
  <c r="B143" i="25" s="1"/>
  <c r="W143" i="25" s="1"/>
  <c r="P330" i="25"/>
  <c r="V330" i="25" s="1"/>
  <c r="B330" i="25" s="1"/>
  <c r="W330" i="25" s="1"/>
  <c r="P320" i="25"/>
  <c r="V320" i="25" s="1"/>
  <c r="B320" i="25" s="1"/>
  <c r="W320" i="25" s="1"/>
  <c r="P279" i="25"/>
  <c r="V279" i="25" s="1"/>
  <c r="B279" i="25" s="1"/>
  <c r="W279" i="25" s="1"/>
  <c r="P139" i="25"/>
  <c r="V139" i="25" s="1"/>
  <c r="B139" i="25" s="1"/>
  <c r="W139" i="25" s="1"/>
  <c r="P239" i="25"/>
  <c r="V239" i="25" s="1"/>
  <c r="B239" i="25" s="1"/>
  <c r="D239" i="25" s="1"/>
  <c r="E239" i="25" s="1"/>
  <c r="F239" i="25" s="1"/>
  <c r="P315" i="25"/>
  <c r="V315" i="25" s="1"/>
  <c r="B315" i="25" s="1"/>
  <c r="W315" i="25" s="1"/>
  <c r="P306" i="25"/>
  <c r="V306" i="25" s="1"/>
  <c r="B306" i="25" s="1"/>
  <c r="D306" i="25" s="1"/>
  <c r="E306" i="25" s="1"/>
  <c r="F306" i="25" s="1"/>
  <c r="P103" i="25"/>
  <c r="V103" i="25" s="1"/>
  <c r="B103" i="25" s="1"/>
  <c r="D103" i="25" s="1"/>
  <c r="E103" i="25" s="1"/>
  <c r="F103" i="25" s="1"/>
  <c r="P355" i="25"/>
  <c r="V355" i="25" s="1"/>
  <c r="B355" i="25" s="1"/>
  <c r="W355" i="25" s="1"/>
  <c r="P237" i="25"/>
  <c r="V237" i="25" s="1"/>
  <c r="B237" i="25" s="1"/>
  <c r="W237" i="25" s="1"/>
  <c r="P235" i="25"/>
  <c r="V235" i="25" s="1"/>
  <c r="B235" i="25" s="1"/>
  <c r="W235" i="25" s="1"/>
  <c r="P132" i="25"/>
  <c r="V132" i="25" s="1"/>
  <c r="B132" i="25" s="1"/>
  <c r="D132" i="25" s="1"/>
  <c r="E132" i="25" s="1"/>
  <c r="F132" i="25" s="1"/>
  <c r="P117" i="25"/>
  <c r="V117" i="25" s="1"/>
  <c r="B117" i="25" s="1"/>
  <c r="W117" i="25" s="1"/>
  <c r="P214" i="25"/>
  <c r="V214" i="25" s="1"/>
  <c r="B214" i="25" s="1"/>
  <c r="D214" i="25" s="1"/>
  <c r="E214" i="25" s="1"/>
  <c r="F214" i="25" s="1"/>
  <c r="P88" i="25"/>
  <c r="V88" i="25" s="1"/>
  <c r="B88" i="25" s="1"/>
  <c r="P369" i="25"/>
  <c r="V369" i="25" s="1"/>
  <c r="B369" i="25" s="1"/>
  <c r="D369" i="25" s="1"/>
  <c r="E369" i="25" s="1"/>
  <c r="F369" i="25" s="1"/>
  <c r="P80" i="25"/>
  <c r="V80" i="25" s="1"/>
  <c r="B80" i="25" s="1"/>
  <c r="W80" i="25" s="1"/>
  <c r="P300" i="25"/>
  <c r="V300" i="25" s="1"/>
  <c r="B300" i="25" s="1"/>
  <c r="D300" i="25" s="1"/>
  <c r="E300" i="25" s="1"/>
  <c r="F300" i="25" s="1"/>
  <c r="P378" i="25"/>
  <c r="V378" i="25" s="1"/>
  <c r="B378" i="25" s="1"/>
  <c r="D378" i="25" s="1"/>
  <c r="E378" i="25" s="1"/>
  <c r="F378" i="25" s="1"/>
  <c r="P282" i="25"/>
  <c r="V282" i="25" s="1"/>
  <c r="B282" i="25" s="1"/>
  <c r="W282" i="25" s="1"/>
  <c r="P366" i="25"/>
  <c r="V366" i="25" s="1"/>
  <c r="B366" i="25" s="1"/>
  <c r="W366" i="25" s="1"/>
  <c r="P57" i="25"/>
  <c r="V57" i="25" s="1"/>
  <c r="B57" i="25" s="1"/>
  <c r="D57" i="25" s="1"/>
  <c r="E57" i="25" s="1"/>
  <c r="F57" i="25" s="1"/>
  <c r="P210" i="25"/>
  <c r="V210" i="25" s="1"/>
  <c r="B210" i="25" s="1"/>
  <c r="P317" i="25"/>
  <c r="V317" i="25" s="1"/>
  <c r="B317" i="25" s="1"/>
  <c r="W317" i="25" s="1"/>
  <c r="AI306" i="25"/>
  <c r="AH306" i="25" s="1"/>
  <c r="AG306" i="25" s="1"/>
  <c r="AF306" i="25" s="1"/>
  <c r="AI285" i="25"/>
  <c r="AH285" i="25" s="1"/>
  <c r="AG285" i="25" s="1"/>
  <c r="AF285" i="25" s="1"/>
  <c r="AI321" i="25"/>
  <c r="AH321" i="25" s="1"/>
  <c r="AG321" i="25" s="1"/>
  <c r="AF321" i="25" s="1"/>
  <c r="AI280" i="25"/>
  <c r="AH280" i="25" s="1"/>
  <c r="AG280" i="25" s="1"/>
  <c r="AF280" i="25" s="1"/>
  <c r="AI325" i="25"/>
  <c r="AH325" i="25" s="1"/>
  <c r="AG325" i="25" s="1"/>
  <c r="AF325" i="25" s="1"/>
  <c r="AI330" i="25"/>
  <c r="AH330" i="25" s="1"/>
  <c r="AG330" i="25" s="1"/>
  <c r="AF330" i="25" s="1"/>
  <c r="AI187" i="25"/>
  <c r="AH187" i="25" s="1"/>
  <c r="AG187" i="25" s="1"/>
  <c r="AF187" i="25" s="1"/>
  <c r="AI245" i="25"/>
  <c r="AH245" i="25" s="1"/>
  <c r="AG245" i="25" s="1"/>
  <c r="AF245" i="25" s="1"/>
  <c r="AI262" i="25"/>
  <c r="AH262" i="25" s="1"/>
  <c r="AG262" i="25" s="1"/>
  <c r="AF262" i="25" s="1"/>
  <c r="AI297" i="25"/>
  <c r="AH297" i="25" s="1"/>
  <c r="AG297" i="25" s="1"/>
  <c r="AF297" i="25" s="1"/>
  <c r="AI230" i="25"/>
  <c r="AH230" i="25" s="1"/>
  <c r="AG230" i="25" s="1"/>
  <c r="AF230" i="25" s="1"/>
  <c r="AI240" i="25"/>
  <c r="AH240" i="25" s="1"/>
  <c r="AG240" i="25" s="1"/>
  <c r="AF240" i="25" s="1"/>
  <c r="AI352" i="25"/>
  <c r="AH352" i="25" s="1"/>
  <c r="AG352" i="25" s="1"/>
  <c r="AF352" i="25" s="1"/>
  <c r="AI178" i="25"/>
  <c r="AH178" i="25" s="1"/>
  <c r="AG178" i="25" s="1"/>
  <c r="AF178" i="25" s="1"/>
  <c r="AI221" i="25"/>
  <c r="AH221" i="25" s="1"/>
  <c r="AG221" i="25" s="1"/>
  <c r="AF221" i="25" s="1"/>
  <c r="AI365" i="25"/>
  <c r="AH365" i="25" s="1"/>
  <c r="AG365" i="25" s="1"/>
  <c r="AF365" i="25" s="1"/>
  <c r="AI212" i="25"/>
  <c r="AH212" i="25" s="1"/>
  <c r="AG212" i="25" s="1"/>
  <c r="AF212" i="25" s="1"/>
  <c r="AI333" i="25"/>
  <c r="AH333" i="25" s="1"/>
  <c r="AG333" i="25" s="1"/>
  <c r="AF333" i="25" s="1"/>
  <c r="AI366" i="25"/>
  <c r="AH366" i="25" s="1"/>
  <c r="AG366" i="25" s="1"/>
  <c r="AF366" i="25" s="1"/>
  <c r="AI169" i="25"/>
  <c r="AH169" i="25" s="1"/>
  <c r="AG169" i="25" s="1"/>
  <c r="AF169" i="25" s="1"/>
  <c r="AI241" i="25"/>
  <c r="AH241" i="25" s="1"/>
  <c r="AG241" i="25" s="1"/>
  <c r="AF241" i="25" s="1"/>
  <c r="AI378" i="25"/>
  <c r="AH378" i="25" s="1"/>
  <c r="AG378" i="25" s="1"/>
  <c r="AF378" i="25" s="1"/>
  <c r="AI237" i="25"/>
  <c r="AH237" i="25" s="1"/>
  <c r="AG237" i="25" s="1"/>
  <c r="AF237" i="25" s="1"/>
  <c r="AI118" i="25"/>
  <c r="AH118" i="25" s="1"/>
  <c r="AG118" i="25" s="1"/>
  <c r="AF118" i="25" s="1"/>
  <c r="AI295" i="25"/>
  <c r="AH295" i="25" s="1"/>
  <c r="AG295" i="25" s="1"/>
  <c r="AF295" i="25" s="1"/>
  <c r="AI198" i="25"/>
  <c r="AH198" i="25" s="1"/>
  <c r="AG198" i="25" s="1"/>
  <c r="AF198" i="25" s="1"/>
  <c r="AI220" i="25"/>
  <c r="AH220" i="25" s="1"/>
  <c r="AG220" i="25" s="1"/>
  <c r="AF220" i="25" s="1"/>
  <c r="AI172" i="25"/>
  <c r="AH172" i="25" s="1"/>
  <c r="AG172" i="25" s="1"/>
  <c r="AF172" i="25" s="1"/>
  <c r="AI349" i="25"/>
  <c r="AH349" i="25" s="1"/>
  <c r="AG349" i="25" s="1"/>
  <c r="AF349" i="25" s="1"/>
  <c r="AI338" i="25"/>
  <c r="AH338" i="25" s="1"/>
  <c r="AG338" i="25" s="1"/>
  <c r="AF338" i="25" s="1"/>
  <c r="AI334" i="25"/>
  <c r="AH334" i="25" s="1"/>
  <c r="AG334" i="25" s="1"/>
  <c r="AF334" i="25" s="1"/>
  <c r="AI368" i="25"/>
  <c r="AH368" i="25" s="1"/>
  <c r="AG368" i="25" s="1"/>
  <c r="AF368" i="25" s="1"/>
  <c r="AI201" i="25"/>
  <c r="AH201" i="25" s="1"/>
  <c r="AG201" i="25" s="1"/>
  <c r="AF201" i="25" s="1"/>
  <c r="AI160" i="25"/>
  <c r="AH160" i="25" s="1"/>
  <c r="AG160" i="25" s="1"/>
  <c r="AF160" i="25" s="1"/>
  <c r="AI375" i="25"/>
  <c r="AH375" i="25" s="1"/>
  <c r="AG375" i="25" s="1"/>
  <c r="AF375" i="25" s="1"/>
  <c r="H39" i="19"/>
  <c r="H31" i="19"/>
  <c r="I39" i="19"/>
  <c r="I31" i="19"/>
  <c r="P64" i="25"/>
  <c r="V64" i="25" s="1"/>
  <c r="B64" i="25" s="1"/>
  <c r="W64" i="25" s="1"/>
  <c r="P118" i="25"/>
  <c r="V118" i="25" s="1"/>
  <c r="B118" i="25" s="1"/>
  <c r="D118" i="25" s="1"/>
  <c r="E118" i="25" s="1"/>
  <c r="F118" i="25" s="1"/>
  <c r="P364" i="25"/>
  <c r="V364" i="25" s="1"/>
  <c r="B364" i="25" s="1"/>
  <c r="W364" i="25" s="1"/>
  <c r="P286" i="25"/>
  <c r="V286" i="25" s="1"/>
  <c r="B286" i="25" s="1"/>
  <c r="D286" i="25" s="1"/>
  <c r="E286" i="25" s="1"/>
  <c r="F286" i="25" s="1"/>
  <c r="P374" i="25"/>
  <c r="V374" i="25" s="1"/>
  <c r="B374" i="25" s="1"/>
  <c r="D374" i="25" s="1"/>
  <c r="E374" i="25" s="1"/>
  <c r="F374" i="25" s="1"/>
  <c r="P31" i="25"/>
  <c r="V31" i="25" s="1"/>
  <c r="B31" i="25" s="1"/>
  <c r="W31" i="25" s="1"/>
  <c r="P377" i="25"/>
  <c r="V377" i="25" s="1"/>
  <c r="B377" i="25" s="1"/>
  <c r="W377" i="25" s="1"/>
  <c r="P192" i="25"/>
  <c r="V192" i="25" s="1"/>
  <c r="B192" i="25" s="1"/>
  <c r="W192" i="25" s="1"/>
  <c r="P328" i="25"/>
  <c r="V328" i="25" s="1"/>
  <c r="B328" i="25" s="1"/>
  <c r="W328" i="25" s="1"/>
  <c r="P260" i="25"/>
  <c r="V260" i="25" s="1"/>
  <c r="B260" i="25" s="1"/>
  <c r="D260" i="25" s="1"/>
  <c r="E260" i="25" s="1"/>
  <c r="F260" i="25" s="1"/>
  <c r="P271" i="25"/>
  <c r="V271" i="25" s="1"/>
  <c r="B271" i="25" s="1"/>
  <c r="D271" i="25" s="1"/>
  <c r="E271" i="25" s="1"/>
  <c r="F271" i="25" s="1"/>
  <c r="P194" i="25"/>
  <c r="V194" i="25" s="1"/>
  <c r="B194" i="25" s="1"/>
  <c r="D194" i="25" s="1"/>
  <c r="E194" i="25" s="1"/>
  <c r="F194" i="25" s="1"/>
  <c r="P352" i="25"/>
  <c r="V352" i="25" s="1"/>
  <c r="B352" i="25" s="1"/>
  <c r="D352" i="25" s="1"/>
  <c r="E352" i="25" s="1"/>
  <c r="F352" i="25" s="1"/>
  <c r="P49" i="25"/>
  <c r="V49" i="25" s="1"/>
  <c r="B49" i="25" s="1"/>
  <c r="W49" i="25" s="1"/>
  <c r="P149" i="25"/>
  <c r="AH72" i="7" s="1"/>
  <c r="P233" i="25"/>
  <c r="V233" i="25" s="1"/>
  <c r="B233" i="25" s="1"/>
  <c r="D233" i="25" s="1"/>
  <c r="E233" i="25" s="1"/>
  <c r="F233" i="25" s="1"/>
  <c r="P348" i="25"/>
  <c r="V348" i="25" s="1"/>
  <c r="B348" i="25" s="1"/>
  <c r="D348" i="25" s="1"/>
  <c r="E348" i="25" s="1"/>
  <c r="F348" i="25" s="1"/>
  <c r="P40" i="25"/>
  <c r="V40" i="25" s="1"/>
  <c r="B40" i="25" s="1"/>
  <c r="W40" i="25" s="1"/>
  <c r="P316" i="25"/>
  <c r="V316" i="25" s="1"/>
  <c r="B316" i="25" s="1"/>
  <c r="W316" i="25" s="1"/>
  <c r="P94" i="25"/>
  <c r="V94" i="25" s="1"/>
  <c r="B94" i="25" s="1"/>
  <c r="D94" i="25" s="1"/>
  <c r="E94" i="25" s="1"/>
  <c r="F94" i="25" s="1"/>
  <c r="P48" i="25"/>
  <c r="V48" i="25" s="1"/>
  <c r="B48" i="25" s="1"/>
  <c r="W48" i="25" s="1"/>
  <c r="P45" i="25"/>
  <c r="V45" i="25" s="1"/>
  <c r="B45" i="25" s="1"/>
  <c r="W45" i="25" s="1"/>
  <c r="P195" i="25"/>
  <c r="V195" i="25" s="1"/>
  <c r="B195" i="25" s="1"/>
  <c r="D195" i="25" s="1"/>
  <c r="E195" i="25" s="1"/>
  <c r="F195" i="25" s="1"/>
  <c r="P363" i="25"/>
  <c r="AH79" i="7" s="1"/>
  <c r="P133" i="25"/>
  <c r="V133" i="25" s="1"/>
  <c r="B133" i="25" s="1"/>
  <c r="W133" i="25" s="1"/>
  <c r="P158" i="25"/>
  <c r="V158" i="25" s="1"/>
  <c r="B158" i="25" s="1"/>
  <c r="W158" i="25" s="1"/>
  <c r="P289" i="25"/>
  <c r="V289" i="25" s="1"/>
  <c r="B289" i="25" s="1"/>
  <c r="D289" i="25" s="1"/>
  <c r="E289" i="25" s="1"/>
  <c r="F289" i="25" s="1"/>
  <c r="P222" i="25"/>
  <c r="V222" i="25" s="1"/>
  <c r="B222" i="25" s="1"/>
  <c r="W222" i="25" s="1"/>
  <c r="P303" i="25"/>
  <c r="V303" i="25" s="1"/>
  <c r="B303" i="25" s="1"/>
  <c r="W303" i="25" s="1"/>
  <c r="P39" i="25"/>
  <c r="V39" i="25" s="1"/>
  <c r="B39" i="25" s="1"/>
  <c r="D39" i="25" s="1"/>
  <c r="E39" i="25" s="1"/>
  <c r="F39" i="25" s="1"/>
  <c r="P197" i="25"/>
  <c r="V197" i="25" s="1"/>
  <c r="B197" i="25" s="1"/>
  <c r="D197" i="25" s="1"/>
  <c r="E197" i="25" s="1"/>
  <c r="F197" i="25" s="1"/>
  <c r="P129" i="25"/>
  <c r="V129" i="25" s="1"/>
  <c r="B129" i="25" s="1"/>
  <c r="W129" i="25" s="1"/>
  <c r="P116" i="25"/>
  <c r="V116" i="25" s="1"/>
  <c r="B116" i="25" s="1"/>
  <c r="D116" i="25" s="1"/>
  <c r="E116" i="25" s="1"/>
  <c r="F116" i="25" s="1"/>
  <c r="P259" i="25"/>
  <c r="V259" i="25" s="1"/>
  <c r="B259" i="25" s="1"/>
  <c r="D259" i="25" s="1"/>
  <c r="E259" i="25" s="1"/>
  <c r="F259" i="25" s="1"/>
  <c r="P123" i="25"/>
  <c r="V123" i="25" s="1"/>
  <c r="B123" i="25" s="1"/>
  <c r="D123" i="25" s="1"/>
  <c r="E123" i="25" s="1"/>
  <c r="F123" i="25" s="1"/>
  <c r="P34" i="25"/>
  <c r="V34" i="25" s="1"/>
  <c r="B34" i="25" s="1"/>
  <c r="W34" i="25" s="1"/>
  <c r="P249" i="25"/>
  <c r="V249" i="25" s="1"/>
  <c r="B249" i="25" s="1"/>
  <c r="D249" i="25" s="1"/>
  <c r="E249" i="25" s="1"/>
  <c r="F249" i="25" s="1"/>
  <c r="P23" i="25"/>
  <c r="V23" i="25" s="1"/>
  <c r="B23" i="25" s="1"/>
  <c r="D23" i="25" s="1"/>
  <c r="E23" i="25" s="1"/>
  <c r="F23" i="25" s="1"/>
  <c r="P152" i="25"/>
  <c r="V152" i="25" s="1"/>
  <c r="B152" i="25" s="1"/>
  <c r="D152" i="25" s="1"/>
  <c r="E152" i="25" s="1"/>
  <c r="F152" i="25" s="1"/>
  <c r="P186" i="25"/>
  <c r="V186" i="25" s="1"/>
  <c r="B186" i="25" s="1"/>
  <c r="W186" i="25" s="1"/>
  <c r="P339" i="25"/>
  <c r="V339" i="25" s="1"/>
  <c r="B339" i="25" s="1"/>
  <c r="D339" i="25" s="1"/>
  <c r="E339" i="25" s="1"/>
  <c r="F339" i="25" s="1"/>
  <c r="P177" i="25"/>
  <c r="V177" i="25" s="1"/>
  <c r="B177" i="25" s="1"/>
  <c r="D177" i="25" s="1"/>
  <c r="E177" i="25" s="1"/>
  <c r="F177" i="25" s="1"/>
  <c r="P182" i="25"/>
  <c r="V182" i="25" s="1"/>
  <c r="B182" i="25" s="1"/>
  <c r="W182" i="25" s="1"/>
  <c r="P277" i="25"/>
  <c r="V277" i="25" s="1"/>
  <c r="B277" i="25" s="1"/>
  <c r="D277" i="25" s="1"/>
  <c r="E277" i="25" s="1"/>
  <c r="F277" i="25" s="1"/>
  <c r="P51" i="25"/>
  <c r="V51" i="25" s="1"/>
  <c r="B51" i="25" s="1"/>
  <c r="W51" i="25" s="1"/>
  <c r="P96" i="25"/>
  <c r="V96" i="25" s="1"/>
  <c r="B96" i="25" s="1"/>
  <c r="D96" i="25" s="1"/>
  <c r="E96" i="25" s="1"/>
  <c r="F96" i="25" s="1"/>
  <c r="P22" i="25"/>
  <c r="V22" i="25" s="1"/>
  <c r="B22" i="25" s="1"/>
  <c r="D22" i="25" s="1"/>
  <c r="E22" i="25" s="1"/>
  <c r="F22" i="25" s="1"/>
  <c r="P170" i="25"/>
  <c r="V170" i="25" s="1"/>
  <c r="B170" i="25" s="1"/>
  <c r="W170" i="25" s="1"/>
  <c r="P35" i="25"/>
  <c r="V35" i="25" s="1"/>
  <c r="B35" i="25" s="1"/>
  <c r="W35" i="25" s="1"/>
  <c r="P264" i="25"/>
  <c r="V264" i="25" s="1"/>
  <c r="B264" i="25" s="1"/>
  <c r="D264" i="25" s="1"/>
  <c r="E264" i="25" s="1"/>
  <c r="F264" i="25" s="1"/>
  <c r="P193" i="25"/>
  <c r="V193" i="25" s="1"/>
  <c r="B193" i="25" s="1"/>
  <c r="W193" i="25" s="1"/>
  <c r="P250" i="25"/>
  <c r="V250" i="25" s="1"/>
  <c r="B250" i="25" s="1"/>
  <c r="D250" i="25" s="1"/>
  <c r="E250" i="25" s="1"/>
  <c r="F250" i="25" s="1"/>
  <c r="P278" i="25"/>
  <c r="V278" i="25" s="1"/>
  <c r="B278" i="25" s="1"/>
  <c r="W278" i="25" s="1"/>
  <c r="P356" i="25"/>
  <c r="V356" i="25" s="1"/>
  <c r="B356" i="25" s="1"/>
  <c r="D356" i="25" s="1"/>
  <c r="E356" i="25" s="1"/>
  <c r="F356" i="25" s="1"/>
  <c r="P185" i="25"/>
  <c r="V185" i="25" s="1"/>
  <c r="B185" i="25" s="1"/>
  <c r="D185" i="25" s="1"/>
  <c r="E185" i="25" s="1"/>
  <c r="F185" i="25" s="1"/>
  <c r="P344" i="25"/>
  <c r="V344" i="25" s="1"/>
  <c r="B344" i="25" s="1"/>
  <c r="D344" i="25" s="1"/>
  <c r="E344" i="25" s="1"/>
  <c r="F344" i="25" s="1"/>
  <c r="P213" i="25"/>
  <c r="V213" i="25" s="1"/>
  <c r="B213" i="25" s="1"/>
  <c r="D213" i="25" s="1"/>
  <c r="E213" i="25" s="1"/>
  <c r="F213" i="25" s="1"/>
  <c r="P95" i="25"/>
  <c r="V95" i="25" s="1"/>
  <c r="B95" i="25" s="1"/>
  <c r="D95" i="25" s="1"/>
  <c r="E95" i="25" s="1"/>
  <c r="F95" i="25" s="1"/>
  <c r="P125" i="25"/>
  <c r="V125" i="25" s="1"/>
  <c r="B125" i="25" s="1"/>
  <c r="D125" i="25" s="1"/>
  <c r="E125" i="25" s="1"/>
  <c r="F125" i="25" s="1"/>
  <c r="P50" i="25"/>
  <c r="V50" i="25" s="1"/>
  <c r="B50" i="25" s="1"/>
  <c r="D50" i="25" s="1"/>
  <c r="E50" i="25" s="1"/>
  <c r="F50" i="25" s="1"/>
  <c r="AI173" i="25"/>
  <c r="AH173" i="25" s="1"/>
  <c r="AG173" i="25" s="1"/>
  <c r="AF173" i="25" s="1"/>
  <c r="AI255" i="25"/>
  <c r="AH255" i="25" s="1"/>
  <c r="AG255" i="25" s="1"/>
  <c r="AF255" i="25" s="1"/>
  <c r="AI369" i="25"/>
  <c r="AH369" i="25" s="1"/>
  <c r="AG369" i="25" s="1"/>
  <c r="AF369" i="25" s="1"/>
  <c r="AI121" i="25"/>
  <c r="AH121" i="25" s="1"/>
  <c r="AG121" i="25" s="1"/>
  <c r="AF121" i="25" s="1"/>
  <c r="AI328" i="25"/>
  <c r="AH328" i="25" s="1"/>
  <c r="AG328" i="25" s="1"/>
  <c r="AF328" i="25" s="1"/>
  <c r="AI351" i="25"/>
  <c r="AH351" i="25" s="1"/>
  <c r="AG351" i="25" s="1"/>
  <c r="AF351" i="25" s="1"/>
  <c r="AI167" i="25"/>
  <c r="AH167" i="25" s="1"/>
  <c r="AG167" i="25" s="1"/>
  <c r="AF167" i="25" s="1"/>
  <c r="AI217" i="25"/>
  <c r="AH217" i="25" s="1"/>
  <c r="AG217" i="25" s="1"/>
  <c r="AF217" i="25" s="1"/>
  <c r="AI129" i="25"/>
  <c r="AH129" i="25" s="1"/>
  <c r="AG129" i="25" s="1"/>
  <c r="AF129" i="25" s="1"/>
  <c r="AI233" i="25"/>
  <c r="AH233" i="25" s="1"/>
  <c r="AG233" i="25" s="1"/>
  <c r="AF233" i="25" s="1"/>
  <c r="AI263" i="25"/>
  <c r="AH263" i="25" s="1"/>
  <c r="AG263" i="25" s="1"/>
  <c r="AF263" i="25" s="1"/>
  <c r="AI166" i="25"/>
  <c r="AH166" i="25" s="1"/>
  <c r="AG166" i="25" s="1"/>
  <c r="AF166" i="25" s="1"/>
  <c r="AI193" i="25"/>
  <c r="AH193" i="25" s="1"/>
  <c r="AG193" i="25" s="1"/>
  <c r="AF193" i="25" s="1"/>
  <c r="AI151" i="25"/>
  <c r="AH151" i="25" s="1"/>
  <c r="AG151" i="25" s="1"/>
  <c r="AF151" i="25" s="1"/>
  <c r="AI216" i="25"/>
  <c r="AH216" i="25" s="1"/>
  <c r="AG216" i="25" s="1"/>
  <c r="AF216" i="25" s="1"/>
  <c r="AI288" i="25"/>
  <c r="AH288" i="25" s="1"/>
  <c r="AG288" i="25" s="1"/>
  <c r="AF288" i="25" s="1"/>
  <c r="AI119" i="25"/>
  <c r="AH119" i="25" s="1"/>
  <c r="AG119" i="25" s="1"/>
  <c r="AF119" i="25" s="1"/>
  <c r="AI364" i="25"/>
  <c r="AH364" i="25" s="1"/>
  <c r="AG364" i="25" s="1"/>
  <c r="AF364" i="25" s="1"/>
  <c r="AI180" i="25"/>
  <c r="AH180" i="25" s="1"/>
  <c r="AG180" i="25" s="1"/>
  <c r="AF180" i="25" s="1"/>
  <c r="AI267" i="25"/>
  <c r="AH267" i="25" s="1"/>
  <c r="AG267" i="25" s="1"/>
  <c r="AF267" i="25" s="1"/>
  <c r="AI122" i="25"/>
  <c r="AH122" i="25" s="1"/>
  <c r="AG122" i="25" s="1"/>
  <c r="AF122" i="25" s="1"/>
  <c r="AI346" i="25"/>
  <c r="AH346" i="25" s="1"/>
  <c r="AG346" i="25" s="1"/>
  <c r="AF346" i="25" s="1"/>
  <c r="AI309" i="25"/>
  <c r="AH309" i="25" s="1"/>
  <c r="AG309" i="25" s="1"/>
  <c r="AF309" i="25" s="1"/>
  <c r="AI276" i="25"/>
  <c r="AH276" i="25" s="1"/>
  <c r="AG276" i="25" s="1"/>
  <c r="AF276" i="25" s="1"/>
  <c r="AI188" i="25"/>
  <c r="AH188" i="25" s="1"/>
  <c r="AG188" i="25" s="1"/>
  <c r="AF188" i="25" s="1"/>
  <c r="AI247" i="25"/>
  <c r="AH247" i="25" s="1"/>
  <c r="AG247" i="25" s="1"/>
  <c r="AF247" i="25" s="1"/>
  <c r="AI343" i="25"/>
  <c r="AH343" i="25" s="1"/>
  <c r="AG343" i="25" s="1"/>
  <c r="AF343" i="25" s="1"/>
  <c r="AI342" i="25"/>
  <c r="AH342" i="25" s="1"/>
  <c r="AG342" i="25" s="1"/>
  <c r="AF342" i="25" s="1"/>
  <c r="AI158" i="25"/>
  <c r="AH158" i="25" s="1"/>
  <c r="AG158" i="25" s="1"/>
  <c r="AF158" i="25" s="1"/>
  <c r="AI336" i="25"/>
  <c r="AH336" i="25" s="1"/>
  <c r="AG336" i="25" s="1"/>
  <c r="AF336" i="25" s="1"/>
  <c r="AI259" i="25"/>
  <c r="AH259" i="25" s="1"/>
  <c r="AG259" i="25" s="1"/>
  <c r="AF259" i="25" s="1"/>
  <c r="AI329" i="25"/>
  <c r="AH329" i="25" s="1"/>
  <c r="AG329" i="25" s="1"/>
  <c r="AF329" i="25" s="1"/>
  <c r="AI145" i="25"/>
  <c r="AH145" i="25" s="1"/>
  <c r="AG145" i="25" s="1"/>
  <c r="AF145" i="25" s="1"/>
  <c r="AI153" i="25"/>
  <c r="AH153" i="25" s="1"/>
  <c r="AG153" i="25" s="1"/>
  <c r="AF153" i="25" s="1"/>
  <c r="AI163" i="25"/>
  <c r="AH163" i="25" s="1"/>
  <c r="AG163" i="25" s="1"/>
  <c r="AF163" i="25" s="1"/>
  <c r="AI282" i="25"/>
  <c r="AH282" i="25" s="1"/>
  <c r="AG282" i="25" s="1"/>
  <c r="AF282" i="25" s="1"/>
  <c r="AI323" i="25"/>
  <c r="AH323" i="25" s="1"/>
  <c r="AG323" i="25" s="1"/>
  <c r="AF323" i="25" s="1"/>
  <c r="AI127" i="25"/>
  <c r="AH127" i="25" s="1"/>
  <c r="AG127" i="25" s="1"/>
  <c r="AF127" i="25" s="1"/>
  <c r="AI203" i="25"/>
  <c r="AH203" i="25" s="1"/>
  <c r="AG203" i="25" s="1"/>
  <c r="AF203" i="25" s="1"/>
  <c r="AI199" i="25"/>
  <c r="AH199" i="25" s="1"/>
  <c r="AG199" i="25" s="1"/>
  <c r="AF199" i="25" s="1"/>
  <c r="AI275" i="25"/>
  <c r="AH275" i="25" s="1"/>
  <c r="AG275" i="25" s="1"/>
  <c r="AF275" i="25" s="1"/>
  <c r="AI249" i="25"/>
  <c r="AH249" i="25" s="1"/>
  <c r="AG249" i="25" s="1"/>
  <c r="AF249" i="25" s="1"/>
  <c r="AI311" i="25"/>
  <c r="AH311" i="25" s="1"/>
  <c r="AG311" i="25" s="1"/>
  <c r="AF311" i="25" s="1"/>
  <c r="AI156" i="25"/>
  <c r="AH156" i="25" s="1"/>
  <c r="AG156" i="25" s="1"/>
  <c r="AF156" i="25" s="1"/>
  <c r="AI353" i="25"/>
  <c r="AH353" i="25" s="1"/>
  <c r="AG353" i="25" s="1"/>
  <c r="AF353" i="25" s="1"/>
  <c r="AI332" i="25"/>
  <c r="AH332" i="25" s="1"/>
  <c r="AG332" i="25" s="1"/>
  <c r="AF332" i="25" s="1"/>
  <c r="AI265" i="25"/>
  <c r="AH265" i="25" s="1"/>
  <c r="AG265" i="25" s="1"/>
  <c r="AF265" i="25" s="1"/>
  <c r="AI253" i="25"/>
  <c r="AH253" i="25" s="1"/>
  <c r="AG253" i="25" s="1"/>
  <c r="AF253" i="25" s="1"/>
  <c r="AI337" i="25"/>
  <c r="AH337" i="25" s="1"/>
  <c r="AG337" i="25" s="1"/>
  <c r="AF337" i="25" s="1"/>
  <c r="AI146" i="25"/>
  <c r="AH146" i="25" s="1"/>
  <c r="AG146" i="25" s="1"/>
  <c r="AF146" i="25" s="1"/>
  <c r="AI232" i="25"/>
  <c r="AH232" i="25" s="1"/>
  <c r="AG232" i="25" s="1"/>
  <c r="AF232" i="25" s="1"/>
  <c r="AI289" i="25"/>
  <c r="AH289" i="25" s="1"/>
  <c r="AG289" i="25" s="1"/>
  <c r="AF289" i="25" s="1"/>
  <c r="AI154" i="25"/>
  <c r="AH154" i="25" s="1"/>
  <c r="AG154" i="25" s="1"/>
  <c r="AF154" i="25" s="1"/>
  <c r="AI130" i="25"/>
  <c r="AH130" i="25" s="1"/>
  <c r="AG130" i="25" s="1"/>
  <c r="AF130" i="25" s="1"/>
  <c r="AI214" i="25"/>
  <c r="AH214" i="25" s="1"/>
  <c r="AG214" i="25" s="1"/>
  <c r="AF214" i="25" s="1"/>
  <c r="AI139" i="25"/>
  <c r="AH139" i="25" s="1"/>
  <c r="AG139" i="25" s="1"/>
  <c r="AF139" i="25" s="1"/>
  <c r="AI135" i="25"/>
  <c r="AH135" i="25" s="1"/>
  <c r="AG135" i="25" s="1"/>
  <c r="AF135" i="25" s="1"/>
  <c r="AI211" i="25"/>
  <c r="AH211" i="25" s="1"/>
  <c r="AG211" i="25" s="1"/>
  <c r="AF211" i="25" s="1"/>
  <c r="AI271" i="25"/>
  <c r="AH271" i="25" s="1"/>
  <c r="AG271" i="25" s="1"/>
  <c r="AF271" i="25" s="1"/>
  <c r="AI250" i="25"/>
  <c r="AH250" i="25" s="1"/>
  <c r="AG250" i="25" s="1"/>
  <c r="AF250" i="25" s="1"/>
  <c r="AI242" i="25"/>
  <c r="AH242" i="25" s="1"/>
  <c r="AG242" i="25" s="1"/>
  <c r="AF242" i="25" s="1"/>
  <c r="AI260" i="25"/>
  <c r="AH260" i="25" s="1"/>
  <c r="AG260" i="25" s="1"/>
  <c r="AF260" i="25" s="1"/>
  <c r="AI226" i="25"/>
  <c r="AH226" i="25" s="1"/>
  <c r="AG226" i="25" s="1"/>
  <c r="AF226" i="25" s="1"/>
  <c r="AI159" i="25"/>
  <c r="AH159" i="25" s="1"/>
  <c r="AG159" i="25" s="1"/>
  <c r="AF159" i="25" s="1"/>
  <c r="AI298" i="25"/>
  <c r="AH298" i="25" s="1"/>
  <c r="AG298" i="25" s="1"/>
  <c r="AF298" i="25" s="1"/>
  <c r="AI126" i="25"/>
  <c r="AH126" i="25" s="1"/>
  <c r="AG126" i="25" s="1"/>
  <c r="AF126" i="25" s="1"/>
  <c r="AI165" i="25"/>
  <c r="AH165" i="25" s="1"/>
  <c r="AG165" i="25" s="1"/>
  <c r="AF165" i="25" s="1"/>
  <c r="AI123" i="25"/>
  <c r="AH123" i="25" s="1"/>
  <c r="AG123" i="25" s="1"/>
  <c r="AF123" i="25" s="1"/>
  <c r="AI272" i="25"/>
  <c r="AH272" i="25" s="1"/>
  <c r="AG272" i="25" s="1"/>
  <c r="AF272" i="25" s="1"/>
  <c r="P121" i="25"/>
  <c r="V121" i="25" s="1"/>
  <c r="B121" i="25" s="1"/>
  <c r="D121" i="25" s="1"/>
  <c r="E121" i="25" s="1"/>
  <c r="F121" i="25" s="1"/>
  <c r="P322" i="25"/>
  <c r="V322" i="25" s="1"/>
  <c r="B322" i="25" s="1"/>
  <c r="D322" i="25" s="1"/>
  <c r="E322" i="25" s="1"/>
  <c r="F322" i="25" s="1"/>
  <c r="P216" i="25"/>
  <c r="V216" i="25" s="1"/>
  <c r="B216" i="25" s="1"/>
  <c r="W216" i="25" s="1"/>
  <c r="AD311" i="25"/>
  <c r="AD159" i="25"/>
  <c r="AD281" i="25"/>
  <c r="AD348" i="25"/>
  <c r="AD280" i="25"/>
  <c r="AD342" i="25"/>
  <c r="AD258" i="25"/>
  <c r="AD253" i="25"/>
  <c r="AD106" i="25"/>
  <c r="AD351" i="25"/>
  <c r="AD146" i="25"/>
  <c r="AD355" i="25"/>
  <c r="AD140" i="25"/>
  <c r="AD156" i="25"/>
  <c r="AD235" i="25"/>
  <c r="AD151" i="25"/>
  <c r="AD212" i="25"/>
  <c r="AD113" i="25"/>
  <c r="AD243" i="25"/>
  <c r="P274" i="25"/>
  <c r="V274" i="25" s="1"/>
  <c r="B274" i="25" s="1"/>
  <c r="D274" i="25" s="1"/>
  <c r="E274" i="25" s="1"/>
  <c r="F274" i="25" s="1"/>
  <c r="P160" i="25"/>
  <c r="V160" i="25" s="1"/>
  <c r="B160" i="25" s="1"/>
  <c r="W160" i="25" s="1"/>
  <c r="P241" i="25"/>
  <c r="AH75" i="7" s="1"/>
  <c r="P256" i="25"/>
  <c r="V256" i="25" s="1"/>
  <c r="B256" i="25" s="1"/>
  <c r="W256" i="25" s="1"/>
  <c r="AD274" i="25"/>
  <c r="AD353" i="25"/>
  <c r="AD201" i="25"/>
  <c r="AD220" i="25"/>
  <c r="AD282" i="25"/>
  <c r="AD361" i="25"/>
  <c r="AD130" i="25"/>
  <c r="AD339" i="25"/>
  <c r="AD241" i="25"/>
  <c r="AD334" i="25"/>
  <c r="AD321" i="25"/>
  <c r="AD155" i="25"/>
  <c r="P370" i="25"/>
  <c r="V370" i="25" s="1"/>
  <c r="B370" i="25" s="1"/>
  <c r="D370" i="25" s="1"/>
  <c r="E370" i="25" s="1"/>
  <c r="F370" i="25" s="1"/>
  <c r="P297" i="25"/>
  <c r="V297" i="25" s="1"/>
  <c r="B297" i="25" s="1"/>
  <c r="D297" i="25" s="1"/>
  <c r="E297" i="25" s="1"/>
  <c r="F297" i="25" s="1"/>
  <c r="P107" i="25"/>
  <c r="V107" i="25" s="1"/>
  <c r="B107" i="25" s="1"/>
  <c r="D107" i="25" s="1"/>
  <c r="E107" i="25" s="1"/>
  <c r="F107" i="25" s="1"/>
  <c r="AI239" i="25"/>
  <c r="AH239" i="25" s="1"/>
  <c r="AG239" i="25" s="1"/>
  <c r="AF239" i="25" s="1"/>
  <c r="AI110" i="25"/>
  <c r="AH110" i="25" s="1"/>
  <c r="AG110" i="25" s="1"/>
  <c r="AF110" i="25" s="1"/>
  <c r="AI108" i="25"/>
  <c r="AH108" i="25" s="1"/>
  <c r="AG108" i="25" s="1"/>
  <c r="AF108" i="25" s="1"/>
  <c r="AI184" i="25"/>
  <c r="AH184" i="25" s="1"/>
  <c r="AG184" i="25" s="1"/>
  <c r="AF184" i="25" s="1"/>
  <c r="AI222" i="25"/>
  <c r="AH222" i="25" s="1"/>
  <c r="AG222" i="25" s="1"/>
  <c r="AF222" i="25" s="1"/>
  <c r="AI147" i="25"/>
  <c r="AH147" i="25" s="1"/>
  <c r="AG147" i="25" s="1"/>
  <c r="AF147" i="25" s="1"/>
  <c r="AI143" i="25"/>
  <c r="AH143" i="25" s="1"/>
  <c r="AG143" i="25" s="1"/>
  <c r="AF143" i="25" s="1"/>
  <c r="AI264" i="25"/>
  <c r="AH264" i="25" s="1"/>
  <c r="AG264" i="25" s="1"/>
  <c r="AF264" i="25" s="1"/>
  <c r="AI261" i="25"/>
  <c r="AH261" i="25" s="1"/>
  <c r="AG261" i="25" s="1"/>
  <c r="AF261" i="25" s="1"/>
  <c r="AI279" i="25"/>
  <c r="AH279" i="25" s="1"/>
  <c r="AG279" i="25" s="1"/>
  <c r="AF279" i="25" s="1"/>
  <c r="AI204" i="25"/>
  <c r="AH204" i="25" s="1"/>
  <c r="AG204" i="25" s="1"/>
  <c r="AF204" i="25" s="1"/>
  <c r="AI137" i="25"/>
  <c r="AH137" i="25" s="1"/>
  <c r="AG137" i="25" s="1"/>
  <c r="AF137" i="25" s="1"/>
  <c r="AI234" i="25"/>
  <c r="AH234" i="25" s="1"/>
  <c r="AG234" i="25" s="1"/>
  <c r="AF234" i="25" s="1"/>
  <c r="AI318" i="25"/>
  <c r="AH318" i="25" s="1"/>
  <c r="AG318" i="25" s="1"/>
  <c r="AF318" i="25" s="1"/>
  <c r="AI335" i="25"/>
  <c r="AH335" i="25" s="1"/>
  <c r="AG335" i="25" s="1"/>
  <c r="AF335" i="25" s="1"/>
  <c r="AI291" i="25"/>
  <c r="AH291" i="25" s="1"/>
  <c r="AG291" i="25" s="1"/>
  <c r="AF291" i="25" s="1"/>
  <c r="AI196" i="25"/>
  <c r="AH196" i="25" s="1"/>
  <c r="AG196" i="25" s="1"/>
  <c r="AF196" i="25" s="1"/>
  <c r="AI363" i="25"/>
  <c r="AH363" i="25" s="1"/>
  <c r="AG363" i="25" s="1"/>
  <c r="AF363" i="25" s="1"/>
  <c r="AI300" i="25"/>
  <c r="AH300" i="25" s="1"/>
  <c r="AG300" i="25" s="1"/>
  <c r="AF300" i="25" s="1"/>
  <c r="AI376" i="25"/>
  <c r="AH376" i="25" s="1"/>
  <c r="AG376" i="25" s="1"/>
  <c r="AF376" i="25" s="1"/>
  <c r="AI116" i="25"/>
  <c r="AH116" i="25" s="1"/>
  <c r="AG116" i="25" s="1"/>
  <c r="AF116" i="25" s="1"/>
  <c r="AI192" i="25"/>
  <c r="AH192" i="25" s="1"/>
  <c r="AG192" i="25" s="1"/>
  <c r="AF192" i="25" s="1"/>
  <c r="AI229" i="25"/>
  <c r="AH229" i="25" s="1"/>
  <c r="AG229" i="25" s="1"/>
  <c r="AF229" i="25" s="1"/>
  <c r="AI313" i="25"/>
  <c r="AH313" i="25" s="1"/>
  <c r="AG313" i="25" s="1"/>
  <c r="AF313" i="25" s="1"/>
  <c r="AI292" i="25"/>
  <c r="AH292" i="25" s="1"/>
  <c r="AG292" i="25" s="1"/>
  <c r="AF292" i="25" s="1"/>
  <c r="AI251" i="25"/>
  <c r="AH251" i="25" s="1"/>
  <c r="AG251" i="25" s="1"/>
  <c r="AF251" i="25" s="1"/>
  <c r="AI218" i="25"/>
  <c r="AH218" i="25" s="1"/>
  <c r="AG218" i="25" s="1"/>
  <c r="AF218" i="25" s="1"/>
  <c r="AI112" i="25"/>
  <c r="AH112" i="25" s="1"/>
  <c r="AG112" i="25" s="1"/>
  <c r="AF112" i="25" s="1"/>
  <c r="AI182" i="25"/>
  <c r="AH182" i="25" s="1"/>
  <c r="AG182" i="25" s="1"/>
  <c r="AF182" i="25" s="1"/>
  <c r="AI170" i="25"/>
  <c r="AH170" i="25" s="1"/>
  <c r="AG170" i="25" s="1"/>
  <c r="AF170" i="25" s="1"/>
  <c r="AI254" i="25"/>
  <c r="AH254" i="25" s="1"/>
  <c r="AG254" i="25" s="1"/>
  <c r="AF254" i="25" s="1"/>
  <c r="AI331" i="25"/>
  <c r="AH331" i="25" s="1"/>
  <c r="AG331" i="25" s="1"/>
  <c r="AF331" i="25" s="1"/>
  <c r="AI186" i="25"/>
  <c r="AH186" i="25" s="1"/>
  <c r="AG186" i="25" s="1"/>
  <c r="AF186" i="25" s="1"/>
  <c r="AI324" i="25"/>
  <c r="AH324" i="25" s="1"/>
  <c r="AG324" i="25" s="1"/>
  <c r="AF324" i="25" s="1"/>
  <c r="AI213" i="25"/>
  <c r="AH213" i="25" s="1"/>
  <c r="AG213" i="25" s="1"/>
  <c r="AF213" i="25" s="1"/>
  <c r="AI150" i="25"/>
  <c r="AH150" i="25" s="1"/>
  <c r="AG150" i="25" s="1"/>
  <c r="AF150" i="25" s="1"/>
  <c r="AI138" i="25"/>
  <c r="AH138" i="25" s="1"/>
  <c r="AG138" i="25" s="1"/>
  <c r="AF138" i="25" s="1"/>
  <c r="AI327" i="25"/>
  <c r="AH327" i="25" s="1"/>
  <c r="AG327" i="25" s="1"/>
  <c r="AF327" i="25" s="1"/>
  <c r="AI256" i="25"/>
  <c r="AH256" i="25" s="1"/>
  <c r="AG256" i="25" s="1"/>
  <c r="AF256" i="25" s="1"/>
  <c r="AI357" i="25"/>
  <c r="AH357" i="25" s="1"/>
  <c r="AG357" i="25" s="1"/>
  <c r="AF357" i="25" s="1"/>
  <c r="AI377" i="25"/>
  <c r="AH377" i="25" s="1"/>
  <c r="AG377" i="25" s="1"/>
  <c r="AF377" i="25" s="1"/>
  <c r="AI269" i="25"/>
  <c r="AH269" i="25" s="1"/>
  <c r="AG269" i="25" s="1"/>
  <c r="AF269" i="25" s="1"/>
  <c r="AI114" i="25"/>
  <c r="AH114" i="25" s="1"/>
  <c r="AG114" i="25" s="1"/>
  <c r="AF114" i="25" s="1"/>
  <c r="AI132" i="25"/>
  <c r="AH132" i="25" s="1"/>
  <c r="AG132" i="25" s="1"/>
  <c r="AF132" i="25" s="1"/>
  <c r="AI162" i="25"/>
  <c r="AH162" i="25" s="1"/>
  <c r="AG162" i="25" s="1"/>
  <c r="AF162" i="25" s="1"/>
  <c r="AI246" i="25"/>
  <c r="AH246" i="25" s="1"/>
  <c r="AG246" i="25" s="1"/>
  <c r="AF246" i="25" s="1"/>
  <c r="AI125" i="25"/>
  <c r="AH125" i="25" s="1"/>
  <c r="AG125" i="25" s="1"/>
  <c r="AF125" i="25" s="1"/>
  <c r="AI209" i="25"/>
  <c r="AH209" i="25" s="1"/>
  <c r="AG209" i="25" s="1"/>
  <c r="AF209" i="25" s="1"/>
  <c r="AI283" i="25"/>
  <c r="AH283" i="25" s="1"/>
  <c r="AG283" i="25" s="1"/>
  <c r="AF283" i="25" s="1"/>
  <c r="AI326" i="25"/>
  <c r="AH326" i="25" s="1"/>
  <c r="AG326" i="25" s="1"/>
  <c r="AF326" i="25" s="1"/>
  <c r="AI314" i="25"/>
  <c r="AH314" i="25" s="1"/>
  <c r="AG314" i="25" s="1"/>
  <c r="AF314" i="25" s="1"/>
  <c r="AI144" i="25"/>
  <c r="AH144" i="25" s="1"/>
  <c r="AG144" i="25" s="1"/>
  <c r="AF144" i="25" s="1"/>
  <c r="AI111" i="25"/>
  <c r="AH111" i="25" s="1"/>
  <c r="AG111" i="25" s="1"/>
  <c r="AF111" i="25" s="1"/>
  <c r="AI304" i="25"/>
  <c r="AH304" i="25" s="1"/>
  <c r="AG304" i="25" s="1"/>
  <c r="AF304" i="25" s="1"/>
  <c r="AI191" i="25"/>
  <c r="AH191" i="25" s="1"/>
  <c r="AG191" i="25" s="1"/>
  <c r="AF191" i="25" s="1"/>
  <c r="AI120" i="25"/>
  <c r="AH120" i="25" s="1"/>
  <c r="AG120" i="25" s="1"/>
  <c r="AF120" i="25" s="1"/>
  <c r="AI372" i="25"/>
  <c r="AH372" i="25" s="1"/>
  <c r="AG372" i="25" s="1"/>
  <c r="AF372" i="25" s="1"/>
  <c r="AI305" i="25"/>
  <c r="AH305" i="25" s="1"/>
  <c r="AG305" i="25" s="1"/>
  <c r="AF305" i="25" s="1"/>
  <c r="AI141" i="25"/>
  <c r="AH141" i="25" s="1"/>
  <c r="AG141" i="25" s="1"/>
  <c r="AF141" i="25" s="1"/>
  <c r="AI133" i="25"/>
  <c r="AH133" i="25" s="1"/>
  <c r="AG133" i="25" s="1"/>
  <c r="AF133" i="25" s="1"/>
  <c r="AI302" i="25"/>
  <c r="AH302" i="25" s="1"/>
  <c r="AG302" i="25" s="1"/>
  <c r="AF302" i="25" s="1"/>
  <c r="AI354" i="25"/>
  <c r="AH354" i="25" s="1"/>
  <c r="AG354" i="25" s="1"/>
  <c r="AF354" i="25" s="1"/>
  <c r="AI287" i="25"/>
  <c r="AH287" i="25" s="1"/>
  <c r="AG287" i="25" s="1"/>
  <c r="AF287" i="25" s="1"/>
  <c r="AI107" i="25"/>
  <c r="AH107" i="25" s="1"/>
  <c r="AG107" i="25" s="1"/>
  <c r="AF107" i="25" s="1"/>
  <c r="AI359" i="25"/>
  <c r="AH359" i="25" s="1"/>
  <c r="AG359" i="25" s="1"/>
  <c r="AF359" i="25" s="1"/>
  <c r="AI179" i="25"/>
  <c r="AH179" i="25" s="1"/>
  <c r="AG179" i="25" s="1"/>
  <c r="AF179" i="25" s="1"/>
  <c r="AI207" i="25"/>
  <c r="AH207" i="25" s="1"/>
  <c r="AG207" i="25" s="1"/>
  <c r="AF207" i="25" s="1"/>
  <c r="AI296" i="25"/>
  <c r="AH296" i="25" s="1"/>
  <c r="AG296" i="25" s="1"/>
  <c r="AF296" i="25" s="1"/>
  <c r="AI270" i="25"/>
  <c r="AH270" i="25" s="1"/>
  <c r="AG270" i="25" s="1"/>
  <c r="AF270" i="25" s="1"/>
  <c r="AI197" i="25"/>
  <c r="AH197" i="25" s="1"/>
  <c r="AG197" i="25" s="1"/>
  <c r="AF197" i="25" s="1"/>
  <c r="AI134" i="25"/>
  <c r="AH134" i="25" s="1"/>
  <c r="AG134" i="25" s="1"/>
  <c r="AF134" i="25" s="1"/>
  <c r="AI215" i="25"/>
  <c r="AH215" i="25" s="1"/>
  <c r="AG215" i="25" s="1"/>
  <c r="AF215" i="25" s="1"/>
  <c r="AI176" i="25"/>
  <c r="AH176" i="25" s="1"/>
  <c r="AG176" i="25" s="1"/>
  <c r="AF176" i="25" s="1"/>
  <c r="AI194" i="25"/>
  <c r="AH194" i="25" s="1"/>
  <c r="AG194" i="25" s="1"/>
  <c r="AF194" i="25" s="1"/>
  <c r="AI236" i="25"/>
  <c r="AH236" i="25" s="1"/>
  <c r="AG236" i="25" s="1"/>
  <c r="AF236" i="25" s="1"/>
  <c r="AI278" i="25"/>
  <c r="AH278" i="25" s="1"/>
  <c r="AG278" i="25" s="1"/>
  <c r="AF278" i="25" s="1"/>
  <c r="AI312" i="25"/>
  <c r="AH312" i="25" s="1"/>
  <c r="AG312" i="25" s="1"/>
  <c r="AF312" i="25" s="1"/>
  <c r="AI266" i="25"/>
  <c r="AH266" i="25" s="1"/>
  <c r="AG266" i="25" s="1"/>
  <c r="AF266" i="25" s="1"/>
  <c r="AI308" i="25"/>
  <c r="AH308" i="25" s="1"/>
  <c r="AG308" i="25" s="1"/>
  <c r="AF308" i="25" s="1"/>
  <c r="AI350" i="25"/>
  <c r="AH350" i="25" s="1"/>
  <c r="AG350" i="25" s="1"/>
  <c r="AF350" i="25" s="1"/>
  <c r="AI128" i="25"/>
  <c r="AH128" i="25" s="1"/>
  <c r="AG128" i="25" s="1"/>
  <c r="AF128" i="25" s="1"/>
  <c r="AI347" i="25"/>
  <c r="AH347" i="25" s="1"/>
  <c r="AG347" i="25" s="1"/>
  <c r="AF347" i="25" s="1"/>
  <c r="AI358" i="25"/>
  <c r="AH358" i="25" s="1"/>
  <c r="AG358" i="25" s="1"/>
  <c r="AF358" i="25" s="1"/>
  <c r="AI136" i="25"/>
  <c r="AH136" i="25" s="1"/>
  <c r="AG136" i="25" s="1"/>
  <c r="AF136" i="25" s="1"/>
  <c r="AI164" i="25"/>
  <c r="AH164" i="25" s="1"/>
  <c r="AG164" i="25" s="1"/>
  <c r="AF164" i="25" s="1"/>
  <c r="AI208" i="25"/>
  <c r="AH208" i="25" s="1"/>
  <c r="AG208" i="25" s="1"/>
  <c r="AF208" i="25" s="1"/>
  <c r="AI370" i="25"/>
  <c r="AH370" i="25" s="1"/>
  <c r="AG370" i="25" s="1"/>
  <c r="AF370" i="25" s="1"/>
  <c r="AI303" i="25"/>
  <c r="AH303" i="25" s="1"/>
  <c r="AG303" i="25" s="1"/>
  <c r="AF303" i="25" s="1"/>
  <c r="AI174" i="25"/>
  <c r="AH174" i="25" s="1"/>
  <c r="AG174" i="25" s="1"/>
  <c r="AF174" i="25" s="1"/>
  <c r="AI131" i="25"/>
  <c r="AH131" i="25" s="1"/>
  <c r="AG131" i="25" s="1"/>
  <c r="AF131" i="25" s="1"/>
  <c r="AI181" i="25"/>
  <c r="AH181" i="25" s="1"/>
  <c r="AG181" i="25" s="1"/>
  <c r="AF181" i="25" s="1"/>
  <c r="AI223" i="25"/>
  <c r="AH223" i="25" s="1"/>
  <c r="AG223" i="25" s="1"/>
  <c r="AF223" i="25" s="1"/>
  <c r="AI374" i="25"/>
  <c r="AH374" i="25" s="1"/>
  <c r="AG374" i="25" s="1"/>
  <c r="AF374" i="25" s="1"/>
  <c r="AI152" i="25"/>
  <c r="AH152" i="25" s="1"/>
  <c r="AG152" i="25" s="1"/>
  <c r="AF152" i="25" s="1"/>
  <c r="AI362" i="25"/>
  <c r="AH362" i="25" s="1"/>
  <c r="AG362" i="25" s="1"/>
  <c r="AF362" i="25" s="1"/>
  <c r="AI148" i="25"/>
  <c r="AH148" i="25" s="1"/>
  <c r="AG148" i="25" s="1"/>
  <c r="AF148" i="25" s="1"/>
  <c r="AI190" i="25"/>
  <c r="AH190" i="25" s="1"/>
  <c r="AG190" i="25" s="1"/>
  <c r="AF190" i="25" s="1"/>
  <c r="AI224" i="25"/>
  <c r="AH224" i="25" s="1"/>
  <c r="AG224" i="25" s="1"/>
  <c r="AF224" i="25" s="1"/>
  <c r="AI371" i="25"/>
  <c r="AH371" i="25" s="1"/>
  <c r="AG371" i="25" s="1"/>
  <c r="AF371" i="25" s="1"/>
  <c r="AI293" i="25"/>
  <c r="AH293" i="25" s="1"/>
  <c r="AG293" i="25" s="1"/>
  <c r="AF293" i="25" s="1"/>
  <c r="AI345" i="25"/>
  <c r="AH345" i="25" s="1"/>
  <c r="AG345" i="25" s="1"/>
  <c r="AF345" i="25" s="1"/>
  <c r="AI205" i="25"/>
  <c r="AH205" i="25" s="1"/>
  <c r="AG205" i="25" s="1"/>
  <c r="AF205" i="25" s="1"/>
  <c r="AI142" i="25"/>
  <c r="AH142" i="25" s="1"/>
  <c r="AG142" i="25" s="1"/>
  <c r="AF142" i="25" s="1"/>
  <c r="AI379" i="25"/>
  <c r="AH379" i="25" s="1"/>
  <c r="AG379" i="25" s="1"/>
  <c r="AF379" i="25" s="1"/>
  <c r="AI367" i="25"/>
  <c r="AH367" i="25" s="1"/>
  <c r="AG367" i="25" s="1"/>
  <c r="AF367" i="25" s="1"/>
  <c r="AI301" i="25"/>
  <c r="AH301" i="25" s="1"/>
  <c r="AG301" i="25" s="1"/>
  <c r="AF301" i="25" s="1"/>
  <c r="AI195" i="25"/>
  <c r="AH195" i="25" s="1"/>
  <c r="AG195" i="25" s="1"/>
  <c r="AF195" i="25" s="1"/>
  <c r="AI277" i="25"/>
  <c r="AH277" i="25" s="1"/>
  <c r="AG277" i="25" s="1"/>
  <c r="AF277" i="25" s="1"/>
  <c r="AI319" i="25"/>
  <c r="AH319" i="25" s="1"/>
  <c r="AG319" i="25" s="1"/>
  <c r="AF319" i="25" s="1"/>
  <c r="AI105" i="25"/>
  <c r="AH105" i="25" s="1"/>
  <c r="AG105" i="25" s="1"/>
  <c r="AF105" i="25" s="1"/>
  <c r="AI248" i="25"/>
  <c r="AH248" i="25" s="1"/>
  <c r="AG248" i="25" s="1"/>
  <c r="AF248" i="25" s="1"/>
  <c r="AI202" i="25"/>
  <c r="AH202" i="25" s="1"/>
  <c r="AG202" i="25" s="1"/>
  <c r="AF202" i="25" s="1"/>
  <c r="AI244" i="25"/>
  <c r="AH244" i="25" s="1"/>
  <c r="AG244" i="25" s="1"/>
  <c r="AF244" i="25" s="1"/>
  <c r="AI286" i="25"/>
  <c r="AH286" i="25" s="1"/>
  <c r="AG286" i="25" s="1"/>
  <c r="AF286" i="25" s="1"/>
  <c r="AI320" i="25"/>
  <c r="AH320" i="25" s="1"/>
  <c r="AG320" i="25" s="1"/>
  <c r="AF320" i="25" s="1"/>
  <c r="AI219" i="25"/>
  <c r="AH219" i="25" s="1"/>
  <c r="AG219" i="25" s="1"/>
  <c r="AF219" i="25" s="1"/>
  <c r="AI124" i="25"/>
  <c r="AH124" i="25" s="1"/>
  <c r="AG124" i="25" s="1"/>
  <c r="AF124" i="25" s="1"/>
  <c r="AI294" i="25"/>
  <c r="AH294" i="25" s="1"/>
  <c r="AG294" i="25" s="1"/>
  <c r="AF294" i="25" s="1"/>
  <c r="AI360" i="25"/>
  <c r="AH360" i="25" s="1"/>
  <c r="AG360" i="25" s="1"/>
  <c r="AF360" i="25" s="1"/>
  <c r="AI183" i="25"/>
  <c r="AH183" i="25" s="1"/>
  <c r="AG183" i="25" s="1"/>
  <c r="AF183" i="25" s="1"/>
  <c r="AI227" i="25"/>
  <c r="AH227" i="25" s="1"/>
  <c r="AG227" i="25" s="1"/>
  <c r="AF227" i="25" s="1"/>
  <c r="AI175" i="25"/>
  <c r="AH175" i="25" s="1"/>
  <c r="AG175" i="25" s="1"/>
  <c r="AF175" i="25" s="1"/>
  <c r="AI109" i="25"/>
  <c r="AH109" i="25" s="1"/>
  <c r="AG109" i="25" s="1"/>
  <c r="AF109" i="25" s="1"/>
  <c r="AI225" i="25"/>
  <c r="AH225" i="25" s="1"/>
  <c r="AG225" i="25" s="1"/>
  <c r="AF225" i="25" s="1"/>
  <c r="AI315" i="25"/>
  <c r="AH315" i="25" s="1"/>
  <c r="AG315" i="25" s="1"/>
  <c r="AF315" i="25" s="1"/>
  <c r="AI117" i="25"/>
  <c r="AH117" i="25" s="1"/>
  <c r="AG117" i="25" s="1"/>
  <c r="AF117" i="25" s="1"/>
  <c r="AI268" i="25"/>
  <c r="AH268" i="25" s="1"/>
  <c r="AG268" i="25" s="1"/>
  <c r="AF268" i="25" s="1"/>
  <c r="AI310" i="25"/>
  <c r="AH310" i="25" s="1"/>
  <c r="AG310" i="25" s="1"/>
  <c r="AF310" i="25" s="1"/>
  <c r="AI344" i="25"/>
  <c r="AH344" i="25" s="1"/>
  <c r="AG344" i="25" s="1"/>
  <c r="AF344" i="25" s="1"/>
  <c r="AI189" i="25"/>
  <c r="AH189" i="25" s="1"/>
  <c r="AG189" i="25" s="1"/>
  <c r="AF189" i="25" s="1"/>
  <c r="AI231" i="25"/>
  <c r="AH231" i="25" s="1"/>
  <c r="AG231" i="25" s="1"/>
  <c r="AF231" i="25" s="1"/>
  <c r="AI273" i="25"/>
  <c r="AH273" i="25" s="1"/>
  <c r="AG273" i="25" s="1"/>
  <c r="AF273" i="25" s="1"/>
  <c r="AI307" i="25"/>
  <c r="AH307" i="25" s="1"/>
  <c r="AG307" i="25" s="1"/>
  <c r="AF307" i="25" s="1"/>
  <c r="AI316" i="25"/>
  <c r="AH316" i="25" s="1"/>
  <c r="AG316" i="25" s="1"/>
  <c r="AF316" i="25" s="1"/>
  <c r="AI168" i="25"/>
  <c r="AH168" i="25" s="1"/>
  <c r="AG168" i="25" s="1"/>
  <c r="AF168" i="25" s="1"/>
  <c r="AI228" i="25"/>
  <c r="AH228" i="25" s="1"/>
  <c r="AG228" i="25" s="1"/>
  <c r="AF228" i="25" s="1"/>
  <c r="AI161" i="25"/>
  <c r="AH161" i="25" s="1"/>
  <c r="AG161" i="25" s="1"/>
  <c r="AF161" i="25" s="1"/>
  <c r="AD294" i="25"/>
  <c r="AD234" i="25"/>
  <c r="AD363" i="25"/>
  <c r="AD312" i="25"/>
  <c r="P253" i="25"/>
  <c r="V253" i="25" s="1"/>
  <c r="B253" i="25" s="1"/>
  <c r="W253" i="25" s="1"/>
  <c r="P375" i="25"/>
  <c r="V375" i="25" s="1"/>
  <c r="B375" i="25" s="1"/>
  <c r="D375" i="25" s="1"/>
  <c r="E375" i="25" s="1"/>
  <c r="F375" i="25" s="1"/>
  <c r="P207" i="25"/>
  <c r="V207" i="25" s="1"/>
  <c r="B207" i="25" s="1"/>
  <c r="D207" i="25" s="1"/>
  <c r="E207" i="25" s="1"/>
  <c r="F207" i="25" s="1"/>
  <c r="I375" i="24"/>
  <c r="J62" i="24"/>
  <c r="I106" i="24"/>
  <c r="I108" i="24"/>
  <c r="J101" i="24"/>
  <c r="J190" i="24"/>
  <c r="I222" i="24"/>
  <c r="I96" i="24"/>
  <c r="I22" i="24"/>
  <c r="I121" i="24"/>
  <c r="I279" i="24"/>
  <c r="I63" i="24"/>
  <c r="I146" i="24"/>
  <c r="J86" i="24"/>
  <c r="J239" i="24"/>
  <c r="I370" i="24"/>
  <c r="J82" i="24"/>
  <c r="J95" i="24"/>
  <c r="I373" i="24"/>
  <c r="J315" i="24"/>
  <c r="J97" i="24"/>
  <c r="J179" i="24"/>
  <c r="I194" i="24"/>
  <c r="I217" i="24"/>
  <c r="I85" i="24"/>
  <c r="I93" i="24"/>
  <c r="J269" i="24"/>
  <c r="I228" i="24"/>
  <c r="J148" i="24"/>
  <c r="J361" i="24"/>
  <c r="I235" i="24"/>
  <c r="I204" i="24"/>
  <c r="I307" i="24"/>
  <c r="J197" i="24"/>
  <c r="J70" i="24"/>
  <c r="I175" i="24"/>
  <c r="J45" i="24"/>
  <c r="I339" i="24"/>
  <c r="I285" i="24"/>
  <c r="I371" i="24"/>
  <c r="I64" i="24"/>
  <c r="I287" i="24"/>
  <c r="I218" i="24"/>
  <c r="J329" i="24"/>
  <c r="I317" i="24"/>
  <c r="I78" i="24"/>
  <c r="I246" i="24"/>
  <c r="J216" i="24"/>
  <c r="I186" i="24"/>
  <c r="J74" i="24"/>
  <c r="J46" i="24"/>
  <c r="J165" i="24"/>
  <c r="J181" i="24"/>
  <c r="I265" i="24"/>
  <c r="I238" i="24"/>
  <c r="W210" i="24"/>
  <c r="I193" i="24"/>
  <c r="D272" i="24"/>
  <c r="E272" i="24" s="1"/>
  <c r="F272" i="24" s="1"/>
  <c r="H272" i="24" s="1"/>
  <c r="J135" i="24"/>
  <c r="I77" i="24"/>
  <c r="J117" i="24"/>
  <c r="I137" i="24"/>
  <c r="J229" i="24"/>
  <c r="I187" i="24"/>
  <c r="J348" i="24"/>
  <c r="I275" i="24"/>
  <c r="I158" i="24"/>
  <c r="J349" i="24"/>
  <c r="AJ13" i="20"/>
  <c r="I139" i="24"/>
  <c r="J114" i="24"/>
  <c r="I191" i="24"/>
  <c r="I207" i="24"/>
  <c r="C16" i="19"/>
  <c r="F40" i="19"/>
  <c r="P336" i="25"/>
  <c r="V336" i="25" s="1"/>
  <c r="B336" i="25" s="1"/>
  <c r="W336" i="25" s="1"/>
  <c r="P168" i="25"/>
  <c r="V168" i="25" s="1"/>
  <c r="B168" i="25" s="1"/>
  <c r="D168" i="25" s="1"/>
  <c r="E168" i="25" s="1"/>
  <c r="F168" i="25" s="1"/>
  <c r="P325" i="25"/>
  <c r="V325" i="25" s="1"/>
  <c r="B325" i="25" s="1"/>
  <c r="W325" i="25" s="1"/>
  <c r="P111" i="25"/>
  <c r="V111" i="25" s="1"/>
  <c r="B111" i="25" s="1"/>
  <c r="D111" i="25" s="1"/>
  <c r="E111" i="25" s="1"/>
  <c r="F111" i="25" s="1"/>
  <c r="AD185" i="25"/>
  <c r="AD252" i="25"/>
  <c r="AD373" i="25"/>
  <c r="AD221" i="25"/>
  <c r="AD306" i="25"/>
  <c r="AD171" i="25"/>
  <c r="AD238" i="25"/>
  <c r="AD149" i="25"/>
  <c r="AD295" i="25"/>
  <c r="AD210" i="25"/>
  <c r="AD356" i="25"/>
  <c r="AD115" i="25"/>
  <c r="AD166" i="25"/>
  <c r="AD260" i="25"/>
  <c r="AD322" i="25"/>
  <c r="AD317" i="25"/>
  <c r="P148" i="25"/>
  <c r="V148" i="25" s="1"/>
  <c r="B148" i="25" s="1"/>
  <c r="W148" i="25" s="1"/>
  <c r="P294" i="25"/>
  <c r="V294" i="25" s="1"/>
  <c r="B294" i="25" s="1"/>
  <c r="D294" i="25" s="1"/>
  <c r="E294" i="25" s="1"/>
  <c r="F294" i="25" s="1"/>
  <c r="P105" i="25"/>
  <c r="V105" i="25" s="1"/>
  <c r="B105" i="25" s="1"/>
  <c r="W105" i="25" s="1"/>
  <c r="P252" i="25"/>
  <c r="V252" i="25" s="1"/>
  <c r="B252" i="25" s="1"/>
  <c r="D252" i="25" s="1"/>
  <c r="E252" i="25" s="1"/>
  <c r="F252" i="25" s="1"/>
  <c r="P350" i="25"/>
  <c r="V350" i="25" s="1"/>
  <c r="B350" i="25" s="1"/>
  <c r="D350" i="25" s="1"/>
  <c r="E350" i="25" s="1"/>
  <c r="F350" i="25" s="1"/>
  <c r="P334" i="25"/>
  <c r="V334" i="25" s="1"/>
  <c r="B334" i="25" s="1"/>
  <c r="D334" i="25" s="1"/>
  <c r="E334" i="25" s="1"/>
  <c r="F334" i="25" s="1"/>
  <c r="P157" i="25"/>
  <c r="V157" i="25" s="1"/>
  <c r="B157" i="25" s="1"/>
  <c r="D157" i="25" s="1"/>
  <c r="E157" i="25" s="1"/>
  <c r="F157" i="25" s="1"/>
  <c r="AD139" i="25"/>
  <c r="AD206" i="25"/>
  <c r="AD336" i="25"/>
  <c r="AD200" i="25"/>
  <c r="AD325" i="25"/>
  <c r="AD257" i="25"/>
  <c r="AD104" i="25"/>
  <c r="AD249" i="25"/>
  <c r="AD157" i="25"/>
  <c r="AD250" i="25"/>
  <c r="AD177" i="25"/>
  <c r="AD284" i="25"/>
  <c r="AD127" i="25"/>
  <c r="AD341" i="25"/>
  <c r="AD126" i="25"/>
  <c r="AD340" i="25"/>
  <c r="AD230" i="25"/>
  <c r="AD290" i="25"/>
  <c r="P236" i="25"/>
  <c r="V236" i="25" s="1"/>
  <c r="B236" i="25" s="1"/>
  <c r="D236" i="25" s="1"/>
  <c r="E236" i="25" s="1"/>
  <c r="F236" i="25" s="1"/>
  <c r="P199" i="25"/>
  <c r="V199" i="25" s="1"/>
  <c r="B199" i="25" s="1"/>
  <c r="D199" i="25" s="1"/>
  <c r="E199" i="25" s="1"/>
  <c r="F199" i="25" s="1"/>
  <c r="J21" i="24"/>
  <c r="AH381" i="24"/>
  <c r="AH382" i="24"/>
  <c r="AH383" i="24"/>
  <c r="AG15" i="24"/>
  <c r="AI77" i="25"/>
  <c r="AH77" i="25" s="1"/>
  <c r="AG77" i="25" s="1"/>
  <c r="AF77" i="25" s="1"/>
  <c r="AI102" i="25"/>
  <c r="AH102" i="25" s="1"/>
  <c r="AG102" i="25" s="1"/>
  <c r="AF102" i="25" s="1"/>
  <c r="AI51" i="25"/>
  <c r="AH51" i="25" s="1"/>
  <c r="AG51" i="25" s="1"/>
  <c r="AF51" i="25" s="1"/>
  <c r="AI84" i="25"/>
  <c r="AH84" i="25" s="1"/>
  <c r="AG84" i="25" s="1"/>
  <c r="AF84" i="25" s="1"/>
  <c r="AI88" i="25"/>
  <c r="AH88" i="25" s="1"/>
  <c r="AG88" i="25" s="1"/>
  <c r="AF88" i="25" s="1"/>
  <c r="AI46" i="25"/>
  <c r="AH46" i="25" s="1"/>
  <c r="AG46" i="25" s="1"/>
  <c r="AF46" i="25" s="1"/>
  <c r="AI80" i="25"/>
  <c r="AH80" i="25" s="1"/>
  <c r="AG80" i="25" s="1"/>
  <c r="AF80" i="25" s="1"/>
  <c r="AI72" i="25"/>
  <c r="AH72" i="25" s="1"/>
  <c r="AG72" i="25" s="1"/>
  <c r="AF72" i="25" s="1"/>
  <c r="AI30" i="25"/>
  <c r="AH30" i="25" s="1"/>
  <c r="AG30" i="25" s="1"/>
  <c r="AF30" i="25" s="1"/>
  <c r="AI63" i="25"/>
  <c r="AH63" i="25" s="1"/>
  <c r="AG63" i="25" s="1"/>
  <c r="AF63" i="25" s="1"/>
  <c r="AI48" i="25"/>
  <c r="AH48" i="25" s="1"/>
  <c r="AG48" i="25" s="1"/>
  <c r="AF48" i="25" s="1"/>
  <c r="AI69" i="25"/>
  <c r="AH69" i="25" s="1"/>
  <c r="AG69" i="25" s="1"/>
  <c r="AF69" i="25" s="1"/>
  <c r="AI58" i="25"/>
  <c r="AH58" i="25" s="1"/>
  <c r="AG58" i="25" s="1"/>
  <c r="AF58" i="25" s="1"/>
  <c r="AI79" i="25"/>
  <c r="AH79" i="25" s="1"/>
  <c r="AG79" i="25" s="1"/>
  <c r="AF79" i="25" s="1"/>
  <c r="AI39" i="25"/>
  <c r="AH39" i="25" s="1"/>
  <c r="AG39" i="25" s="1"/>
  <c r="AF39" i="25" s="1"/>
  <c r="AI76" i="25"/>
  <c r="AH76" i="25" s="1"/>
  <c r="AG76" i="25" s="1"/>
  <c r="AF76" i="25" s="1"/>
  <c r="AI23" i="25"/>
  <c r="AH23" i="25" s="1"/>
  <c r="AG23" i="25" s="1"/>
  <c r="AF23" i="25" s="1"/>
  <c r="AI97" i="25"/>
  <c r="AH97" i="25" s="1"/>
  <c r="AG97" i="25" s="1"/>
  <c r="AF97" i="25" s="1"/>
  <c r="AI38" i="25"/>
  <c r="AH38" i="25" s="1"/>
  <c r="AG38" i="25" s="1"/>
  <c r="AF38" i="25" s="1"/>
  <c r="AI19" i="25"/>
  <c r="AH19" i="25" s="1"/>
  <c r="AG19" i="25" s="1"/>
  <c r="AF19" i="25" s="1"/>
  <c r="AI52" i="25"/>
  <c r="AH52" i="25" s="1"/>
  <c r="AG52" i="25" s="1"/>
  <c r="AF52" i="25" s="1"/>
  <c r="AI22" i="25"/>
  <c r="AH22" i="25" s="1"/>
  <c r="AG22" i="25" s="1"/>
  <c r="AF22" i="25" s="1"/>
  <c r="AI68" i="25"/>
  <c r="AH68" i="25" s="1"/>
  <c r="AG68" i="25" s="1"/>
  <c r="AF68" i="25" s="1"/>
  <c r="AI32" i="25"/>
  <c r="AH32" i="25" s="1"/>
  <c r="AG32" i="25" s="1"/>
  <c r="AF32" i="25" s="1"/>
  <c r="AI70" i="25"/>
  <c r="AH70" i="25" s="1"/>
  <c r="AG70" i="25" s="1"/>
  <c r="AF70" i="25" s="1"/>
  <c r="AI57" i="25"/>
  <c r="AH57" i="25" s="1"/>
  <c r="AG57" i="25" s="1"/>
  <c r="AF57" i="25" s="1"/>
  <c r="AI82" i="25"/>
  <c r="AH82" i="25" s="1"/>
  <c r="AG82" i="25" s="1"/>
  <c r="AF82" i="25" s="1"/>
  <c r="AI74" i="25"/>
  <c r="AH74" i="25" s="1"/>
  <c r="AG74" i="25" s="1"/>
  <c r="AF74" i="25" s="1"/>
  <c r="AI45" i="25"/>
  <c r="AH45" i="25" s="1"/>
  <c r="AG45" i="25" s="1"/>
  <c r="AF45" i="25" s="1"/>
  <c r="AI24" i="25"/>
  <c r="AH24" i="25" s="1"/>
  <c r="AG24" i="25" s="1"/>
  <c r="AF24" i="25" s="1"/>
  <c r="AI47" i="25"/>
  <c r="AH47" i="25" s="1"/>
  <c r="AG47" i="25" s="1"/>
  <c r="AF47" i="25" s="1"/>
  <c r="AI66" i="25"/>
  <c r="AH66" i="25" s="1"/>
  <c r="AG66" i="25" s="1"/>
  <c r="AF66" i="25" s="1"/>
  <c r="AI92" i="25"/>
  <c r="AH92" i="25" s="1"/>
  <c r="AG92" i="25" s="1"/>
  <c r="AF92" i="25" s="1"/>
  <c r="AI40" i="25"/>
  <c r="AH40" i="25" s="1"/>
  <c r="AG40" i="25" s="1"/>
  <c r="AF40" i="25" s="1"/>
  <c r="AI103" i="25"/>
  <c r="AH103" i="25" s="1"/>
  <c r="AG103" i="25" s="1"/>
  <c r="AF103" i="25" s="1"/>
  <c r="AI31" i="25"/>
  <c r="AH31" i="25" s="1"/>
  <c r="AG31" i="25" s="1"/>
  <c r="AF31" i="25" s="1"/>
  <c r="AI49" i="25"/>
  <c r="AH49" i="25" s="1"/>
  <c r="AG49" i="25" s="1"/>
  <c r="AF49" i="25" s="1"/>
  <c r="AI91" i="25"/>
  <c r="AH91" i="25" s="1"/>
  <c r="AG91" i="25" s="1"/>
  <c r="AF91" i="25" s="1"/>
  <c r="AI100" i="25"/>
  <c r="AH100" i="25" s="1"/>
  <c r="AG100" i="25" s="1"/>
  <c r="AF100" i="25" s="1"/>
  <c r="AI37" i="25"/>
  <c r="AH37" i="25" s="1"/>
  <c r="AG37" i="25" s="1"/>
  <c r="AF37" i="25" s="1"/>
  <c r="AI20" i="25"/>
  <c r="AH20" i="25" s="1"/>
  <c r="AG20" i="25" s="1"/>
  <c r="AF20" i="25" s="1"/>
  <c r="AI65" i="25"/>
  <c r="AH65" i="25" s="1"/>
  <c r="AG65" i="25" s="1"/>
  <c r="AF65" i="25" s="1"/>
  <c r="AI55" i="25"/>
  <c r="AH55" i="25" s="1"/>
  <c r="AG55" i="25" s="1"/>
  <c r="AF55" i="25" s="1"/>
  <c r="AI29" i="25"/>
  <c r="AH29" i="25" s="1"/>
  <c r="AG29" i="25" s="1"/>
  <c r="AF29" i="25" s="1"/>
  <c r="AI67" i="25"/>
  <c r="AH67" i="25" s="1"/>
  <c r="AG67" i="25" s="1"/>
  <c r="AF67" i="25" s="1"/>
  <c r="AI25" i="25"/>
  <c r="AH25" i="25" s="1"/>
  <c r="AG25" i="25" s="1"/>
  <c r="AF25" i="25" s="1"/>
  <c r="AI17" i="25"/>
  <c r="AH17" i="25" s="1"/>
  <c r="AG17" i="25" s="1"/>
  <c r="AF17" i="25" s="1"/>
  <c r="AI15" i="25"/>
  <c r="AH15" i="25" s="1"/>
  <c r="AG15" i="25" s="1"/>
  <c r="AI42" i="25"/>
  <c r="AH42" i="25" s="1"/>
  <c r="AG42" i="25" s="1"/>
  <c r="AF42" i="25" s="1"/>
  <c r="AI54" i="25"/>
  <c r="AH54" i="25" s="1"/>
  <c r="AG54" i="25" s="1"/>
  <c r="AF54" i="25" s="1"/>
  <c r="AI28" i="25"/>
  <c r="AH28" i="25" s="1"/>
  <c r="AG28" i="25" s="1"/>
  <c r="AF28" i="25" s="1"/>
  <c r="AI36" i="25"/>
  <c r="AH36" i="25" s="1"/>
  <c r="AG36" i="25" s="1"/>
  <c r="AF36" i="25" s="1"/>
  <c r="AI64" i="25"/>
  <c r="AH64" i="25" s="1"/>
  <c r="AG64" i="25" s="1"/>
  <c r="AF64" i="25" s="1"/>
  <c r="AI93" i="25"/>
  <c r="AH93" i="25" s="1"/>
  <c r="AG93" i="25" s="1"/>
  <c r="AF93" i="25" s="1"/>
  <c r="AI21" i="25"/>
  <c r="AH21" i="25" s="1"/>
  <c r="AG21" i="25" s="1"/>
  <c r="AF21" i="25" s="1"/>
  <c r="AI87" i="25"/>
  <c r="AH87" i="25" s="1"/>
  <c r="AG87" i="25" s="1"/>
  <c r="AF87" i="25" s="1"/>
  <c r="AI35" i="25"/>
  <c r="AH35" i="25" s="1"/>
  <c r="AG35" i="25" s="1"/>
  <c r="AF35" i="25" s="1"/>
  <c r="AI89" i="25"/>
  <c r="AH89" i="25" s="1"/>
  <c r="AG89" i="25" s="1"/>
  <c r="AF89" i="25" s="1"/>
  <c r="AI81" i="25"/>
  <c r="AH81" i="25" s="1"/>
  <c r="AG81" i="25" s="1"/>
  <c r="AF81" i="25" s="1"/>
  <c r="AI43" i="25"/>
  <c r="AH43" i="25" s="1"/>
  <c r="AG43" i="25" s="1"/>
  <c r="AF43" i="25" s="1"/>
  <c r="AI34" i="25"/>
  <c r="AH34" i="25" s="1"/>
  <c r="AG34" i="25" s="1"/>
  <c r="AF34" i="25" s="1"/>
  <c r="AI90" i="25"/>
  <c r="AH90" i="25" s="1"/>
  <c r="AG90" i="25" s="1"/>
  <c r="AF90" i="25" s="1"/>
  <c r="AI59" i="25"/>
  <c r="AH59" i="25" s="1"/>
  <c r="AG59" i="25" s="1"/>
  <c r="AF59" i="25" s="1"/>
  <c r="AI101" i="25"/>
  <c r="AH101" i="25" s="1"/>
  <c r="AG101" i="25" s="1"/>
  <c r="AF101" i="25" s="1"/>
  <c r="AI94" i="25"/>
  <c r="AH94" i="25" s="1"/>
  <c r="AG94" i="25" s="1"/>
  <c r="AF94" i="25" s="1"/>
  <c r="AI56" i="25"/>
  <c r="AH56" i="25" s="1"/>
  <c r="AG56" i="25" s="1"/>
  <c r="AF56" i="25" s="1"/>
  <c r="AI85" i="25"/>
  <c r="AH85" i="25" s="1"/>
  <c r="AG85" i="25" s="1"/>
  <c r="AF85" i="25" s="1"/>
  <c r="AI50" i="25"/>
  <c r="AH50" i="25" s="1"/>
  <c r="AG50" i="25" s="1"/>
  <c r="AF50" i="25" s="1"/>
  <c r="AI61" i="25"/>
  <c r="AH61" i="25" s="1"/>
  <c r="AG61" i="25" s="1"/>
  <c r="AF61" i="25" s="1"/>
  <c r="AI78" i="25"/>
  <c r="AH78" i="25" s="1"/>
  <c r="AG78" i="25" s="1"/>
  <c r="AF78" i="25" s="1"/>
  <c r="AI18" i="25"/>
  <c r="AH18" i="25" s="1"/>
  <c r="AG18" i="25" s="1"/>
  <c r="AF18" i="25" s="1"/>
  <c r="AI83" i="25"/>
  <c r="AH83" i="25" s="1"/>
  <c r="AG83" i="25" s="1"/>
  <c r="AF83" i="25" s="1"/>
  <c r="AI44" i="25"/>
  <c r="AH44" i="25" s="1"/>
  <c r="AG44" i="25" s="1"/>
  <c r="AF44" i="25" s="1"/>
  <c r="AI62" i="25"/>
  <c r="AH62" i="25" s="1"/>
  <c r="AG62" i="25" s="1"/>
  <c r="AF62" i="25" s="1"/>
  <c r="AI95" i="25"/>
  <c r="AH95" i="25" s="1"/>
  <c r="AG95" i="25" s="1"/>
  <c r="AF95" i="25" s="1"/>
  <c r="AI75" i="25"/>
  <c r="AH75" i="25" s="1"/>
  <c r="AG75" i="25" s="1"/>
  <c r="AF75" i="25" s="1"/>
  <c r="AI26" i="25"/>
  <c r="AH26" i="25" s="1"/>
  <c r="AG26" i="25" s="1"/>
  <c r="AF26" i="25" s="1"/>
  <c r="AI16" i="25"/>
  <c r="AH16" i="25" s="1"/>
  <c r="AG16" i="25" s="1"/>
  <c r="AF16" i="25" s="1"/>
  <c r="AI60" i="25"/>
  <c r="AH60" i="25" s="1"/>
  <c r="AG60" i="25" s="1"/>
  <c r="AF60" i="25" s="1"/>
  <c r="AI73" i="25"/>
  <c r="AH73" i="25" s="1"/>
  <c r="AG73" i="25" s="1"/>
  <c r="AF73" i="25" s="1"/>
  <c r="AI98" i="25"/>
  <c r="AH98" i="25" s="1"/>
  <c r="AG98" i="25" s="1"/>
  <c r="AF98" i="25" s="1"/>
  <c r="AI86" i="25"/>
  <c r="AH86" i="25" s="1"/>
  <c r="AG86" i="25" s="1"/>
  <c r="AF86" i="25" s="1"/>
  <c r="AI33" i="25"/>
  <c r="AH33" i="25" s="1"/>
  <c r="AG33" i="25" s="1"/>
  <c r="AF33" i="25" s="1"/>
  <c r="AI27" i="25"/>
  <c r="AH27" i="25" s="1"/>
  <c r="AG27" i="25" s="1"/>
  <c r="AF27" i="25" s="1"/>
  <c r="AI96" i="25"/>
  <c r="AH96" i="25" s="1"/>
  <c r="AG96" i="25" s="1"/>
  <c r="AF96" i="25" s="1"/>
  <c r="AI53" i="25"/>
  <c r="AH53" i="25" s="1"/>
  <c r="AG53" i="25" s="1"/>
  <c r="AF53" i="25" s="1"/>
  <c r="AI99" i="25"/>
  <c r="AH99" i="25" s="1"/>
  <c r="AG99" i="25" s="1"/>
  <c r="AF99" i="25" s="1"/>
  <c r="AI71" i="25"/>
  <c r="AH71" i="25" s="1"/>
  <c r="AG71" i="25" s="1"/>
  <c r="AF71" i="25" s="1"/>
  <c r="AI41" i="25"/>
  <c r="AH41" i="25" s="1"/>
  <c r="AG41" i="25" s="1"/>
  <c r="AF41" i="25" s="1"/>
  <c r="AD57" i="25"/>
  <c r="AK9" i="20"/>
  <c r="AK11" i="20" s="1"/>
  <c r="AM9" i="20"/>
  <c r="J75" i="24"/>
  <c r="P200" i="25"/>
  <c r="V200" i="25" s="1"/>
  <c r="B200" i="25" s="1"/>
  <c r="W200" i="25" s="1"/>
  <c r="P205" i="25"/>
  <c r="V205" i="25" s="1"/>
  <c r="B205" i="25" s="1"/>
  <c r="W205" i="25" s="1"/>
  <c r="AD87" i="25"/>
  <c r="P254" i="25"/>
  <c r="V254" i="25" s="1"/>
  <c r="B254" i="25" s="1"/>
  <c r="D254" i="25" s="1"/>
  <c r="E254" i="25" s="1"/>
  <c r="F254" i="25" s="1"/>
  <c r="P145" i="25"/>
  <c r="V145" i="25" s="1"/>
  <c r="B145" i="25" s="1"/>
  <c r="W145" i="25" s="1"/>
  <c r="P218" i="25"/>
  <c r="V218" i="25" s="1"/>
  <c r="B218" i="25" s="1"/>
  <c r="D218" i="25" s="1"/>
  <c r="E218" i="25" s="1"/>
  <c r="F218" i="25" s="1"/>
  <c r="AD71" i="25"/>
  <c r="P261" i="25"/>
  <c r="V261" i="25" s="1"/>
  <c r="B261" i="25" s="1"/>
  <c r="W261" i="25" s="1"/>
  <c r="P246" i="25"/>
  <c r="V246" i="25" s="1"/>
  <c r="B246" i="25" s="1"/>
  <c r="W246" i="25" s="1"/>
  <c r="P281" i="25"/>
  <c r="V281" i="25" s="1"/>
  <c r="B281" i="25" s="1"/>
  <c r="W281" i="25" s="1"/>
  <c r="P203" i="25"/>
  <c r="V203" i="25" s="1"/>
  <c r="B203" i="25" s="1"/>
  <c r="W203" i="25" s="1"/>
  <c r="AG379" i="24"/>
  <c r="AF379" i="24" s="1"/>
  <c r="AD379" i="24" s="1"/>
  <c r="AA379" i="24" s="1"/>
  <c r="Z379" i="24" s="1"/>
  <c r="Y379" i="24" s="1"/>
  <c r="AF383" i="23"/>
  <c r="AF381" i="23"/>
  <c r="AF382" i="23"/>
  <c r="AD15" i="23"/>
  <c r="I192" i="24"/>
  <c r="I84" i="24"/>
  <c r="I261" i="24"/>
  <c r="I203" i="24"/>
  <c r="I342" i="24"/>
  <c r="J259" i="24"/>
  <c r="P136" i="25"/>
  <c r="V136" i="25" s="1"/>
  <c r="B136" i="25" s="1"/>
  <c r="D136" i="25" s="1"/>
  <c r="E136" i="25" s="1"/>
  <c r="F136" i="25" s="1"/>
  <c r="P272" i="25"/>
  <c r="V272" i="25" s="1"/>
  <c r="P299" i="25"/>
  <c r="V299" i="25" s="1"/>
  <c r="B299" i="25" s="1"/>
  <c r="W299" i="25" s="1"/>
  <c r="P324" i="25"/>
  <c r="V324" i="25" s="1"/>
  <c r="B324" i="25" s="1"/>
  <c r="D324" i="25" s="1"/>
  <c r="E324" i="25" s="1"/>
  <c r="F324" i="25" s="1"/>
  <c r="AD142" i="25"/>
  <c r="AD313" i="25"/>
  <c r="AD302" i="25"/>
  <c r="P312" i="25"/>
  <c r="V312" i="25" s="1"/>
  <c r="B312" i="25" s="1"/>
  <c r="D312" i="25" s="1"/>
  <c r="E312" i="25" s="1"/>
  <c r="F312" i="25" s="1"/>
  <c r="P223" i="25"/>
  <c r="V223" i="25" s="1"/>
  <c r="B223" i="25" s="1"/>
  <c r="W223" i="25" s="1"/>
  <c r="P114" i="25"/>
  <c r="V114" i="25" s="1"/>
  <c r="B114" i="25" s="1"/>
  <c r="D114" i="25" s="1"/>
  <c r="E114" i="25" s="1"/>
  <c r="F114" i="25" s="1"/>
  <c r="P147" i="25"/>
  <c r="V147" i="25" s="1"/>
  <c r="B147" i="25" s="1"/>
  <c r="W147" i="25" s="1"/>
  <c r="P283" i="25"/>
  <c r="V283" i="25" s="1"/>
  <c r="B283" i="25" s="1"/>
  <c r="W283" i="25" s="1"/>
  <c r="P292" i="25"/>
  <c r="V292" i="25" s="1"/>
  <c r="B292" i="25" s="1"/>
  <c r="W292" i="25" s="1"/>
  <c r="P187" i="25"/>
  <c r="V187" i="25" s="1"/>
  <c r="B187" i="25" s="1"/>
  <c r="D187" i="25" s="1"/>
  <c r="E187" i="25" s="1"/>
  <c r="F187" i="25" s="1"/>
  <c r="P109" i="25"/>
  <c r="V109" i="25" s="1"/>
  <c r="B109" i="25" s="1"/>
  <c r="D109" i="25" s="1"/>
  <c r="E109" i="25" s="1"/>
  <c r="F109" i="25" s="1"/>
  <c r="P343" i="25"/>
  <c r="V343" i="25" s="1"/>
  <c r="B343" i="25" s="1"/>
  <c r="D343" i="25" s="1"/>
  <c r="E343" i="25" s="1"/>
  <c r="F343" i="25" s="1"/>
  <c r="P172" i="25"/>
  <c r="V172" i="25" s="1"/>
  <c r="B172" i="25" s="1"/>
  <c r="W172" i="25" s="1"/>
  <c r="AD268" i="25"/>
  <c r="AD299" i="25"/>
  <c r="AD314" i="25"/>
  <c r="AD236" i="25"/>
  <c r="P178" i="25"/>
  <c r="V178" i="25" s="1"/>
  <c r="B178" i="25" s="1"/>
  <c r="D178" i="25" s="1"/>
  <c r="E178" i="25" s="1"/>
  <c r="F178" i="25" s="1"/>
  <c r="P224" i="25"/>
  <c r="V224" i="25" s="1"/>
  <c r="B224" i="25" s="1"/>
  <c r="D224" i="25" s="1"/>
  <c r="E224" i="25" s="1"/>
  <c r="F224" i="25" s="1"/>
  <c r="P345" i="25"/>
  <c r="V345" i="25" s="1"/>
  <c r="B345" i="25" s="1"/>
  <c r="D345" i="25" s="1"/>
  <c r="E345" i="25" s="1"/>
  <c r="F345" i="25" s="1"/>
  <c r="P127" i="25"/>
  <c r="V127" i="25" s="1"/>
  <c r="B127" i="25" s="1"/>
  <c r="D127" i="25" s="1"/>
  <c r="E127" i="25" s="1"/>
  <c r="F127" i="25" s="1"/>
  <c r="P198" i="25"/>
  <c r="V198" i="25" s="1"/>
  <c r="B198" i="25" s="1"/>
  <c r="D198" i="25" s="1"/>
  <c r="E198" i="25" s="1"/>
  <c r="F198" i="25" s="1"/>
  <c r="P262" i="25"/>
  <c r="V262" i="25" s="1"/>
  <c r="B262" i="25" s="1"/>
  <c r="W262" i="25" s="1"/>
  <c r="P142" i="25"/>
  <c r="V142" i="25" s="1"/>
  <c r="B142" i="25" s="1"/>
  <c r="D142" i="25" s="1"/>
  <c r="E142" i="25" s="1"/>
  <c r="F142" i="25" s="1"/>
  <c r="I30" i="24"/>
  <c r="U381" i="25"/>
  <c r="U382" i="25"/>
  <c r="U383" i="25"/>
  <c r="J149" i="22"/>
  <c r="I149" i="22"/>
  <c r="H149" i="23" s="1"/>
  <c r="J380" i="24"/>
  <c r="I380" i="24"/>
  <c r="H380" i="25" s="1"/>
  <c r="B15" i="23"/>
  <c r="V381" i="23"/>
  <c r="V382" i="23"/>
  <c r="V383" i="23"/>
  <c r="B68" i="19"/>
  <c r="N68" i="19" s="1"/>
  <c r="R381" i="24"/>
  <c r="R383" i="24"/>
  <c r="R382" i="24"/>
  <c r="P15" i="24"/>
  <c r="Z149" i="22"/>
  <c r="F382" i="20"/>
  <c r="F381" i="20"/>
  <c r="AM10" i="20"/>
  <c r="AA15" i="20"/>
  <c r="AK10" i="20"/>
  <c r="AK12" i="20" s="1"/>
  <c r="F383" i="20"/>
  <c r="H15" i="20"/>
  <c r="F9" i="20"/>
  <c r="G15" i="20"/>
  <c r="CB15" i="6" s="1"/>
  <c r="S15" i="25"/>
  <c r="T381" i="25"/>
  <c r="T383" i="25"/>
  <c r="T382" i="25"/>
  <c r="AJ9" i="22"/>
  <c r="AJ11" i="22" s="1"/>
  <c r="AJ13" i="22" s="1"/>
  <c r="E382" i="22"/>
  <c r="AK8" i="22"/>
  <c r="E383" i="22"/>
  <c r="E381" i="22"/>
  <c r="E9" i="22"/>
  <c r="E11" i="22" s="1"/>
  <c r="F15" i="22"/>
  <c r="I188" i="24"/>
  <c r="I234" i="24"/>
  <c r="J99" i="24"/>
  <c r="J50" i="24"/>
  <c r="I33" i="24"/>
  <c r="I156" i="24"/>
  <c r="AA363" i="24"/>
  <c r="Z363" i="24" s="1"/>
  <c r="Y363" i="24" s="1"/>
  <c r="G363" i="24"/>
  <c r="CE363" i="6" s="1"/>
  <c r="H363" i="24"/>
  <c r="J288" i="24"/>
  <c r="I288" i="24"/>
  <c r="G333" i="24"/>
  <c r="CE333" i="6" s="1"/>
  <c r="AA333" i="24"/>
  <c r="Z333" i="24" s="1"/>
  <c r="Y333" i="24" s="1"/>
  <c r="H333" i="24"/>
  <c r="G210" i="24"/>
  <c r="CE210" i="6" s="1"/>
  <c r="H210" i="24"/>
  <c r="AA210" i="24"/>
  <c r="Z210" i="24" s="1"/>
  <c r="Y210" i="24" s="1"/>
  <c r="I29" i="24"/>
  <c r="J29" i="24"/>
  <c r="W295" i="25"/>
  <c r="D295" i="25"/>
  <c r="E295" i="25" s="1"/>
  <c r="F295" i="25" s="1"/>
  <c r="D367" i="25"/>
  <c r="E367" i="25" s="1"/>
  <c r="F367" i="25" s="1"/>
  <c r="W367" i="25"/>
  <c r="D228" i="25"/>
  <c r="E228" i="25" s="1"/>
  <c r="F228" i="25" s="1"/>
  <c r="W228" i="25"/>
  <c r="W209" i="25"/>
  <c r="D209" i="25"/>
  <c r="E209" i="25" s="1"/>
  <c r="F209" i="25" s="1"/>
  <c r="D54" i="25"/>
  <c r="E54" i="25" s="1"/>
  <c r="F54" i="25" s="1"/>
  <c r="W54" i="25"/>
  <c r="D32" i="25"/>
  <c r="E32" i="25" s="1"/>
  <c r="F32" i="25" s="1"/>
  <c r="W32" i="25"/>
  <c r="W321" i="25"/>
  <c r="D321" i="25"/>
  <c r="E321" i="25" s="1"/>
  <c r="F321" i="25" s="1"/>
  <c r="D176" i="25"/>
  <c r="E176" i="25" s="1"/>
  <c r="F176" i="25" s="1"/>
  <c r="W176" i="25"/>
  <c r="W362" i="25"/>
  <c r="D362" i="25"/>
  <c r="E362" i="25" s="1"/>
  <c r="F362" i="25" s="1"/>
  <c r="W184" i="25"/>
  <c r="D184" i="25"/>
  <c r="E184" i="25" s="1"/>
  <c r="F184" i="25" s="1"/>
  <c r="D293" i="25"/>
  <c r="E293" i="25" s="1"/>
  <c r="F293" i="25" s="1"/>
  <c r="W293" i="25"/>
  <c r="BF15" i="7"/>
  <c r="P379" i="25"/>
  <c r="AH77" i="7"/>
  <c r="V302" i="25"/>
  <c r="B302" i="25" s="1"/>
  <c r="W79" i="25"/>
  <c r="D79" i="25"/>
  <c r="E79" i="25" s="1"/>
  <c r="F79" i="25" s="1"/>
  <c r="D248" i="25"/>
  <c r="E248" i="25" s="1"/>
  <c r="F248" i="25" s="1"/>
  <c r="W248" i="25"/>
  <c r="W19" i="25"/>
  <c r="D19" i="25"/>
  <c r="E19" i="25" s="1"/>
  <c r="F19" i="25" s="1"/>
  <c r="V180" i="25"/>
  <c r="B180" i="25" s="1"/>
  <c r="D159" i="25"/>
  <c r="E159" i="25" s="1"/>
  <c r="F159" i="25" s="1"/>
  <c r="W159" i="25"/>
  <c r="D91" i="25"/>
  <c r="E91" i="25" s="1"/>
  <c r="F91" i="25" s="1"/>
  <c r="W91" i="25"/>
  <c r="D331" i="25"/>
  <c r="E331" i="25" s="1"/>
  <c r="F331" i="25" s="1"/>
  <c r="W331" i="25"/>
  <c r="W347" i="25"/>
  <c r="G241" i="24"/>
  <c r="CE241" i="6" s="1"/>
  <c r="H241" i="24"/>
  <c r="AA241" i="24"/>
  <c r="Z241" i="24" s="1"/>
  <c r="Y241" i="24" s="1"/>
  <c r="G88" i="24"/>
  <c r="CE88" i="6" s="1"/>
  <c r="H88" i="24"/>
  <c r="AA88" i="24"/>
  <c r="Z88" i="24" s="1"/>
  <c r="Y88" i="24" s="1"/>
  <c r="G149" i="24"/>
  <c r="CE149" i="6" s="1"/>
  <c r="AA149" i="24"/>
  <c r="Z149" i="24" s="1"/>
  <c r="Y149" i="24" s="1"/>
  <c r="I379" i="24"/>
  <c r="J379" i="24"/>
  <c r="AA180" i="24"/>
  <c r="Z180" i="24" s="1"/>
  <c r="Y180" i="24" s="1"/>
  <c r="H180" i="24"/>
  <c r="G180" i="24"/>
  <c r="CE180" i="6" s="1"/>
  <c r="H60" i="24"/>
  <c r="AA60" i="24"/>
  <c r="Z60" i="24" s="1"/>
  <c r="Y60" i="24" s="1"/>
  <c r="G60" i="24"/>
  <c r="CE60" i="6" s="1"/>
  <c r="W108" i="25"/>
  <c r="D108" i="25"/>
  <c r="E108" i="25" s="1"/>
  <c r="F108" i="25" s="1"/>
  <c r="D167" i="25"/>
  <c r="E167" i="25" s="1"/>
  <c r="F167" i="25" s="1"/>
  <c r="W167" i="25"/>
  <c r="W71" i="25"/>
  <c r="D71" i="25"/>
  <c r="E71" i="25" s="1"/>
  <c r="F71" i="25" s="1"/>
  <c r="W53" i="25"/>
  <c r="D53" i="25"/>
  <c r="E53" i="25" s="1"/>
  <c r="F53" i="25" s="1"/>
  <c r="D92" i="25"/>
  <c r="E92" i="25" s="1"/>
  <c r="F92" i="25" s="1"/>
  <c r="W92" i="25"/>
  <c r="W70" i="25"/>
  <c r="D70" i="25"/>
  <c r="E70" i="25" s="1"/>
  <c r="F70" i="25" s="1"/>
  <c r="W327" i="25"/>
  <c r="D327" i="25"/>
  <c r="E327" i="25" s="1"/>
  <c r="F327" i="25" s="1"/>
  <c r="W73" i="25"/>
  <c r="D73" i="25"/>
  <c r="E73" i="25" s="1"/>
  <c r="F73" i="25" s="1"/>
  <c r="W188" i="25"/>
  <c r="D188" i="25"/>
  <c r="E188" i="25" s="1"/>
  <c r="F188" i="25" s="1"/>
  <c r="D169" i="25"/>
  <c r="E169" i="25" s="1"/>
  <c r="F169" i="25" s="1"/>
  <c r="W169" i="25"/>
  <c r="W284" i="25"/>
  <c r="D284" i="25"/>
  <c r="E284" i="25" s="1"/>
  <c r="F284" i="25" s="1"/>
  <c r="D25" i="25"/>
  <c r="E25" i="25" s="1"/>
  <c r="F25" i="25" s="1"/>
  <c r="W25" i="25"/>
  <c r="W301" i="25"/>
  <c r="D301" i="25"/>
  <c r="E301" i="25" s="1"/>
  <c r="F301" i="25" s="1"/>
  <c r="D296" i="25"/>
  <c r="E296" i="25" s="1"/>
  <c r="F296" i="25" s="1"/>
  <c r="W296" i="25"/>
  <c r="D115" i="25"/>
  <c r="E115" i="25" s="1"/>
  <c r="F115" i="25" s="1"/>
  <c r="W115" i="25"/>
  <c r="W173" i="25"/>
  <c r="D173" i="25"/>
  <c r="E173" i="25" s="1"/>
  <c r="F173" i="25" s="1"/>
  <c r="W368" i="25"/>
  <c r="D368" i="25"/>
  <c r="E368" i="25" s="1"/>
  <c r="F368" i="25" s="1"/>
  <c r="W130" i="25"/>
  <c r="D130" i="25"/>
  <c r="E130" i="25" s="1"/>
  <c r="F130" i="25" s="1"/>
  <c r="D37" i="25"/>
  <c r="E37" i="25" s="1"/>
  <c r="F37" i="25" s="1"/>
  <c r="W37" i="25"/>
  <c r="W120" i="25"/>
  <c r="D120" i="25"/>
  <c r="E120" i="25" s="1"/>
  <c r="F120" i="25" s="1"/>
  <c r="W265" i="25"/>
  <c r="D265" i="25"/>
  <c r="E265" i="25" s="1"/>
  <c r="F265" i="25" s="1"/>
  <c r="B166" i="25"/>
  <c r="D190" i="25"/>
  <c r="E190" i="25" s="1"/>
  <c r="F190" i="25" s="1"/>
  <c r="W190" i="25"/>
  <c r="D365" i="25"/>
  <c r="E365" i="25" s="1"/>
  <c r="F365" i="25" s="1"/>
  <c r="W365" i="25"/>
  <c r="W376" i="25"/>
  <c r="D376" i="25"/>
  <c r="E376" i="25" s="1"/>
  <c r="F376" i="25" s="1"/>
  <c r="B288" i="25"/>
  <c r="W234" i="25"/>
  <c r="D234" i="25"/>
  <c r="E234" i="25" s="1"/>
  <c r="F234" i="25" s="1"/>
  <c r="V119" i="25"/>
  <c r="AH71" i="7"/>
  <c r="W354" i="25"/>
  <c r="D354" i="25"/>
  <c r="E354" i="25" s="1"/>
  <c r="F354" i="25" s="1"/>
  <c r="AE382" i="25"/>
  <c r="AE383" i="25"/>
  <c r="AE381" i="25"/>
  <c r="W165" i="25"/>
  <c r="D165" i="25"/>
  <c r="E165" i="25" s="1"/>
  <c r="F165" i="25" s="1"/>
  <c r="Q381" i="25"/>
  <c r="Q382" i="25"/>
  <c r="Q383" i="25"/>
  <c r="W280" i="25"/>
  <c r="D280" i="25"/>
  <c r="E280" i="25" s="1"/>
  <c r="F280" i="25" s="1"/>
  <c r="W174" i="25"/>
  <c r="D174" i="25"/>
  <c r="E174" i="25" s="1"/>
  <c r="F174" i="25" s="1"/>
  <c r="D144" i="25"/>
  <c r="E144" i="25" s="1"/>
  <c r="F144" i="25" s="1"/>
  <c r="W144" i="25"/>
  <c r="W342" i="25"/>
  <c r="D342" i="25"/>
  <c r="E342" i="25" s="1"/>
  <c r="F342" i="25" s="1"/>
  <c r="W63" i="25"/>
  <c r="D63" i="25"/>
  <c r="E63" i="25" s="1"/>
  <c r="F63" i="25" s="1"/>
  <c r="D126" i="25"/>
  <c r="E126" i="25" s="1"/>
  <c r="F126" i="25" s="1"/>
  <c r="W126" i="25"/>
  <c r="W84" i="25"/>
  <c r="D84" i="25"/>
  <c r="E84" i="25" s="1"/>
  <c r="F84" i="25" s="1"/>
  <c r="W28" i="25"/>
  <c r="D28" i="25"/>
  <c r="E28" i="25" s="1"/>
  <c r="F28" i="25" s="1"/>
  <c r="W318" i="25"/>
  <c r="D318" i="25"/>
  <c r="E318" i="25" s="1"/>
  <c r="F318" i="25" s="1"/>
  <c r="I68" i="24" l="1"/>
  <c r="AD377" i="25"/>
  <c r="AD124" i="25"/>
  <c r="AD360" i="25"/>
  <c r="AD367" i="25"/>
  <c r="AD128" i="25"/>
  <c r="AD191" i="25"/>
  <c r="W255" i="25"/>
  <c r="W245" i="25"/>
  <c r="J299" i="24"/>
  <c r="I302" i="24"/>
  <c r="J102" i="24"/>
  <c r="I289" i="24"/>
  <c r="H289" i="25" s="1"/>
  <c r="D89" i="25"/>
  <c r="E89" i="25" s="1"/>
  <c r="F89" i="25" s="1"/>
  <c r="H89" i="25" s="1"/>
  <c r="W204" i="25"/>
  <c r="J35" i="24"/>
  <c r="J145" i="24"/>
  <c r="J227" i="24"/>
  <c r="I227" i="24"/>
  <c r="D27" i="25"/>
  <c r="E27" i="25" s="1"/>
  <c r="F27" i="25" s="1"/>
  <c r="H27" i="25" s="1"/>
  <c r="W112" i="25"/>
  <c r="D75" i="25"/>
  <c r="E75" i="25" s="1"/>
  <c r="F75" i="25" s="1"/>
  <c r="H75" i="25" s="1"/>
  <c r="W291" i="25"/>
  <c r="D258" i="25"/>
  <c r="E258" i="25" s="1"/>
  <c r="F258" i="25" s="1"/>
  <c r="AA258" i="25" s="1"/>
  <c r="Z258" i="25" s="1"/>
  <c r="Y258" i="25" s="1"/>
  <c r="W171" i="25"/>
  <c r="W102" i="25"/>
  <c r="D212" i="25"/>
  <c r="E212" i="25" s="1"/>
  <c r="F212" i="25" s="1"/>
  <c r="AA212" i="25" s="1"/>
  <c r="Z212" i="25" s="1"/>
  <c r="Y212" i="25" s="1"/>
  <c r="D16" i="25"/>
  <c r="E16" i="25" s="1"/>
  <c r="F16" i="25" s="1"/>
  <c r="G16" i="25" s="1"/>
  <c r="CF16" i="6" s="1"/>
  <c r="W329" i="25"/>
  <c r="D62" i="25"/>
  <c r="E62" i="25" s="1"/>
  <c r="F62" i="25" s="1"/>
  <c r="H62" i="25" s="1"/>
  <c r="W276" i="25"/>
  <c r="W137" i="25"/>
  <c r="W359" i="25"/>
  <c r="W39" i="25"/>
  <c r="D175" i="25"/>
  <c r="E175" i="25" s="1"/>
  <c r="F175" i="25" s="1"/>
  <c r="G175" i="25" s="1"/>
  <c r="CF175" i="6" s="1"/>
  <c r="D85" i="25"/>
  <c r="E85" i="25" s="1"/>
  <c r="F85" i="25" s="1"/>
  <c r="G85" i="25" s="1"/>
  <c r="CF85" i="6" s="1"/>
  <c r="W30" i="25"/>
  <c r="W164" i="25"/>
  <c r="W239" i="25"/>
  <c r="D330" i="25"/>
  <c r="E330" i="25" s="1"/>
  <c r="F330" i="25" s="1"/>
  <c r="D191" i="25"/>
  <c r="E191" i="25" s="1"/>
  <c r="F191" i="25" s="1"/>
  <c r="H191" i="25" s="1"/>
  <c r="D304" i="25"/>
  <c r="E304" i="25" s="1"/>
  <c r="F304" i="25" s="1"/>
  <c r="G304" i="25" s="1"/>
  <c r="CF304" i="6" s="1"/>
  <c r="W358" i="25"/>
  <c r="W340" i="25"/>
  <c r="D155" i="25"/>
  <c r="E155" i="25" s="1"/>
  <c r="F155" i="25" s="1"/>
  <c r="G155" i="25" s="1"/>
  <c r="CF155" i="6" s="1"/>
  <c r="D44" i="25"/>
  <c r="E44" i="25" s="1"/>
  <c r="F44" i="25" s="1"/>
  <c r="H44" i="25" s="1"/>
  <c r="D287" i="25"/>
  <c r="E287" i="25" s="1"/>
  <c r="F287" i="25" s="1"/>
  <c r="G287" i="25" s="1"/>
  <c r="CF287" i="6" s="1"/>
  <c r="I220" i="24"/>
  <c r="D202" i="25"/>
  <c r="E202" i="25" s="1"/>
  <c r="F202" i="25" s="1"/>
  <c r="G202" i="25" s="1"/>
  <c r="CF202" i="6" s="1"/>
  <c r="D305" i="25"/>
  <c r="E305" i="25" s="1"/>
  <c r="F305" i="25" s="1"/>
  <c r="G305" i="25" s="1"/>
  <c r="CF305" i="6" s="1"/>
  <c r="W58" i="25"/>
  <c r="W81" i="25"/>
  <c r="V241" i="25"/>
  <c r="B241" i="25" s="1"/>
  <c r="D241" i="25" s="1"/>
  <c r="E241" i="25" s="1"/>
  <c r="F241" i="25" s="1"/>
  <c r="V363" i="25"/>
  <c r="B363" i="25" s="1"/>
  <c r="W363" i="25" s="1"/>
  <c r="W267" i="25"/>
  <c r="W257" i="25"/>
  <c r="D220" i="25"/>
  <c r="E220" i="25" s="1"/>
  <c r="F220" i="25" s="1"/>
  <c r="AA220" i="25" s="1"/>
  <c r="Z220" i="25" s="1"/>
  <c r="Y220" i="25" s="1"/>
  <c r="W378" i="25"/>
  <c r="AH70" i="7"/>
  <c r="D235" i="25"/>
  <c r="E235" i="25" s="1"/>
  <c r="F235" i="25" s="1"/>
  <c r="AA235" i="25" s="1"/>
  <c r="Z235" i="25" s="1"/>
  <c r="Y235" i="25" s="1"/>
  <c r="W36" i="25"/>
  <c r="D156" i="25"/>
  <c r="E156" i="25" s="1"/>
  <c r="F156" i="25" s="1"/>
  <c r="AA156" i="25" s="1"/>
  <c r="Z156" i="25" s="1"/>
  <c r="Y156" i="25" s="1"/>
  <c r="D308" i="25"/>
  <c r="E308" i="25" s="1"/>
  <c r="F308" i="25" s="1"/>
  <c r="G308" i="25" s="1"/>
  <c r="CF308" i="6" s="1"/>
  <c r="D211" i="25"/>
  <c r="E211" i="25" s="1"/>
  <c r="F211" i="25" s="1"/>
  <c r="H211" i="25" s="1"/>
  <c r="W146" i="25"/>
  <c r="W76" i="25"/>
  <c r="W183" i="25"/>
  <c r="D298" i="25"/>
  <c r="E298" i="25" s="1"/>
  <c r="F298" i="25" s="1"/>
  <c r="G298" i="25" s="1"/>
  <c r="CF298" i="6" s="1"/>
  <c r="D268" i="25"/>
  <c r="E268" i="25" s="1"/>
  <c r="F268" i="25" s="1"/>
  <c r="AA268" i="25" s="1"/>
  <c r="Z268" i="25" s="1"/>
  <c r="Y268" i="25" s="1"/>
  <c r="W244" i="25"/>
  <c r="D326" i="25"/>
  <c r="E326" i="25" s="1"/>
  <c r="F326" i="25" s="1"/>
  <c r="H326" i="25" s="1"/>
  <c r="D179" i="25"/>
  <c r="E179" i="25" s="1"/>
  <c r="F179" i="25" s="1"/>
  <c r="G179" i="25" s="1"/>
  <c r="CF179" i="6" s="1"/>
  <c r="W83" i="25"/>
  <c r="D140" i="25"/>
  <c r="E140" i="25" s="1"/>
  <c r="F140" i="25" s="1"/>
  <c r="H140" i="25" s="1"/>
  <c r="W69" i="25"/>
  <c r="I298" i="24"/>
  <c r="I270" i="24"/>
  <c r="H270" i="25" s="1"/>
  <c r="AD222" i="25"/>
  <c r="AD168" i="25"/>
  <c r="AA168" i="25" s="1"/>
  <c r="Z168" i="25" s="1"/>
  <c r="Y168" i="25" s="1"/>
  <c r="AD174" i="25"/>
  <c r="AA174" i="25" s="1"/>
  <c r="Z174" i="25" s="1"/>
  <c r="Y174" i="25" s="1"/>
  <c r="AD308" i="25"/>
  <c r="AA308" i="25" s="1"/>
  <c r="Z308" i="25" s="1"/>
  <c r="Y308" i="25" s="1"/>
  <c r="AD125" i="25"/>
  <c r="AA125" i="25" s="1"/>
  <c r="Z125" i="25" s="1"/>
  <c r="Y125" i="25" s="1"/>
  <c r="AD116" i="25"/>
  <c r="AA116" i="25" s="1"/>
  <c r="Z116" i="25" s="1"/>
  <c r="Y116" i="25" s="1"/>
  <c r="AD186" i="25"/>
  <c r="AD213" i="25"/>
  <c r="AA213" i="25" s="1"/>
  <c r="Z213" i="25" s="1"/>
  <c r="Y213" i="25" s="1"/>
  <c r="AD320" i="25"/>
  <c r="AD134" i="25"/>
  <c r="AD83" i="25"/>
  <c r="AA83" i="25" s="1"/>
  <c r="Z83" i="25" s="1"/>
  <c r="Y83" i="25" s="1"/>
  <c r="AD46" i="25"/>
  <c r="AA46" i="25" s="1"/>
  <c r="Z46" i="25" s="1"/>
  <c r="Y46" i="25" s="1"/>
  <c r="AD97" i="25"/>
  <c r="AA97" i="25" s="1"/>
  <c r="Z97" i="25" s="1"/>
  <c r="Y97" i="25" s="1"/>
  <c r="AD79" i="25"/>
  <c r="AD330" i="25"/>
  <c r="AD333" i="25"/>
  <c r="AD135" i="25"/>
  <c r="AD232" i="25"/>
  <c r="W66" i="25"/>
  <c r="W110" i="25"/>
  <c r="D275" i="25"/>
  <c r="E275" i="25" s="1"/>
  <c r="F275" i="25" s="1"/>
  <c r="H275" i="25" s="1"/>
  <c r="W98" i="25"/>
  <c r="W226" i="25"/>
  <c r="D131" i="25"/>
  <c r="E131" i="25" s="1"/>
  <c r="F131" i="25" s="1"/>
  <c r="G131" i="25" s="1"/>
  <c r="CF131" i="6" s="1"/>
  <c r="D266" i="25"/>
  <c r="E266" i="25" s="1"/>
  <c r="F266" i="25" s="1"/>
  <c r="G266" i="25" s="1"/>
  <c r="CF266" i="6" s="1"/>
  <c r="W274" i="25"/>
  <c r="D351" i="25"/>
  <c r="E351" i="25" s="1"/>
  <c r="F351" i="25" s="1"/>
  <c r="G351" i="25" s="1"/>
  <c r="CF351" i="6" s="1"/>
  <c r="D229" i="25"/>
  <c r="E229" i="25" s="1"/>
  <c r="F229" i="25" s="1"/>
  <c r="G229" i="25" s="1"/>
  <c r="CF229" i="6" s="1"/>
  <c r="D366" i="25"/>
  <c r="E366" i="25" s="1"/>
  <c r="F366" i="25" s="1"/>
  <c r="H366" i="25" s="1"/>
  <c r="D17" i="25"/>
  <c r="E17" i="25" s="1"/>
  <c r="F17" i="25" s="1"/>
  <c r="G17" i="25" s="1"/>
  <c r="CF17" i="6" s="1"/>
  <c r="W201" i="25"/>
  <c r="W33" i="25"/>
  <c r="W38" i="25"/>
  <c r="D338" i="25"/>
  <c r="E338" i="25" s="1"/>
  <c r="F338" i="25" s="1"/>
  <c r="G338" i="25" s="1"/>
  <c r="CF338" i="6" s="1"/>
  <c r="D135" i="25"/>
  <c r="E135" i="25" s="1"/>
  <c r="F135" i="25" s="1"/>
  <c r="G135" i="25" s="1"/>
  <c r="CF135" i="6" s="1"/>
  <c r="D124" i="25"/>
  <c r="E124" i="25" s="1"/>
  <c r="F124" i="25" s="1"/>
  <c r="AA124" i="25" s="1"/>
  <c r="Z124" i="25" s="1"/>
  <c r="Y124" i="25" s="1"/>
  <c r="W47" i="25"/>
  <c r="W97" i="25"/>
  <c r="D353" i="25"/>
  <c r="E353" i="25" s="1"/>
  <c r="F353" i="25" s="1"/>
  <c r="G353" i="25" s="1"/>
  <c r="CF353" i="6" s="1"/>
  <c r="D263" i="25"/>
  <c r="E263" i="25" s="1"/>
  <c r="F263" i="25" s="1"/>
  <c r="H263" i="25" s="1"/>
  <c r="D113" i="25"/>
  <c r="E113" i="25" s="1"/>
  <c r="F113" i="25" s="1"/>
  <c r="H113" i="25" s="1"/>
  <c r="D128" i="25"/>
  <c r="E128" i="25" s="1"/>
  <c r="F128" i="25" s="1"/>
  <c r="H128" i="25" s="1"/>
  <c r="D309" i="25"/>
  <c r="E309" i="25" s="1"/>
  <c r="F309" i="25" s="1"/>
  <c r="H309" i="25" s="1"/>
  <c r="W373" i="25"/>
  <c r="W311" i="25"/>
  <c r="W371" i="25"/>
  <c r="W221" i="25"/>
  <c r="D208" i="25"/>
  <c r="E208" i="25" s="1"/>
  <c r="F208" i="25" s="1"/>
  <c r="G208" i="25" s="1"/>
  <c r="CF208" i="6" s="1"/>
  <c r="W163" i="25"/>
  <c r="D20" i="25"/>
  <c r="E20" i="25" s="1"/>
  <c r="F20" i="25" s="1"/>
  <c r="G20" i="25" s="1"/>
  <c r="CF20" i="6" s="1"/>
  <c r="D21" i="25"/>
  <c r="E21" i="25" s="1"/>
  <c r="F21" i="25" s="1"/>
  <c r="H21" i="25" s="1"/>
  <c r="D61" i="25"/>
  <c r="E61" i="25" s="1"/>
  <c r="F61" i="25" s="1"/>
  <c r="H61" i="25" s="1"/>
  <c r="D41" i="25"/>
  <c r="E41" i="25" s="1"/>
  <c r="F41" i="25" s="1"/>
  <c r="G41" i="25" s="1"/>
  <c r="CF41" i="6" s="1"/>
  <c r="W206" i="25"/>
  <c r="W106" i="25"/>
  <c r="W242" i="25"/>
  <c r="D346" i="25"/>
  <c r="E346" i="25" s="1"/>
  <c r="F346" i="25" s="1"/>
  <c r="G346" i="25" s="1"/>
  <c r="CF346" i="6" s="1"/>
  <c r="W372" i="25"/>
  <c r="W151" i="25"/>
  <c r="D310" i="25"/>
  <c r="E310" i="25" s="1"/>
  <c r="F310" i="25" s="1"/>
  <c r="H310" i="25" s="1"/>
  <c r="D78" i="25"/>
  <c r="E78" i="25" s="1"/>
  <c r="F78" i="25" s="1"/>
  <c r="G78" i="25" s="1"/>
  <c r="CF78" i="6" s="1"/>
  <c r="D122" i="25"/>
  <c r="E122" i="25" s="1"/>
  <c r="F122" i="25" s="1"/>
  <c r="H122" i="25" s="1"/>
  <c r="AD228" i="25"/>
  <c r="AA228" i="25" s="1"/>
  <c r="Z228" i="25" s="1"/>
  <c r="Y228" i="25" s="1"/>
  <c r="AD304" i="25"/>
  <c r="AD107" i="25"/>
  <c r="AA107" i="25" s="1"/>
  <c r="Z107" i="25" s="1"/>
  <c r="Y107" i="25" s="1"/>
  <c r="AD215" i="25"/>
  <c r="AD305" i="25"/>
  <c r="AA305" i="25" s="1"/>
  <c r="Z305" i="25" s="1"/>
  <c r="Y305" i="25" s="1"/>
  <c r="AD31" i="25"/>
  <c r="AD32" i="25"/>
  <c r="AA32" i="25" s="1"/>
  <c r="Z32" i="25" s="1"/>
  <c r="Y32" i="25" s="1"/>
  <c r="AD19" i="25"/>
  <c r="AA19" i="25" s="1"/>
  <c r="Z19" i="25" s="1"/>
  <c r="Y19" i="25" s="1"/>
  <c r="AD78" i="25"/>
  <c r="AD25" i="25"/>
  <c r="AA25" i="25" s="1"/>
  <c r="Z25" i="25" s="1"/>
  <c r="Y25" i="25" s="1"/>
  <c r="AD22" i="25"/>
  <c r="AA22" i="25" s="1"/>
  <c r="Z22" i="25" s="1"/>
  <c r="Y22" i="25" s="1"/>
  <c r="AD240" i="25"/>
  <c r="AA240" i="25" s="1"/>
  <c r="Z240" i="25" s="1"/>
  <c r="Y240" i="25" s="1"/>
  <c r="AD316" i="25"/>
  <c r="AD318" i="25"/>
  <c r="AA318" i="25" s="1"/>
  <c r="Z318" i="25" s="1"/>
  <c r="Y318" i="25" s="1"/>
  <c r="AD328" i="25"/>
  <c r="AI381" i="25"/>
  <c r="AD326" i="25"/>
  <c r="AD192" i="25"/>
  <c r="AD209" i="25"/>
  <c r="AD277" i="25"/>
  <c r="AA277" i="25" s="1"/>
  <c r="Z277" i="25" s="1"/>
  <c r="Y277" i="25" s="1"/>
  <c r="AD179" i="25"/>
  <c r="AD347" i="25"/>
  <c r="AA347" i="25" s="1"/>
  <c r="Z347" i="25" s="1"/>
  <c r="Y347" i="25" s="1"/>
  <c r="AD286" i="25"/>
  <c r="AA286" i="25" s="1"/>
  <c r="Z286" i="25" s="1"/>
  <c r="Y286" i="25" s="1"/>
  <c r="AD136" i="25"/>
  <c r="AA136" i="25" s="1"/>
  <c r="Z136" i="25" s="1"/>
  <c r="Y136" i="25" s="1"/>
  <c r="AD58" i="25"/>
  <c r="AA58" i="25" s="1"/>
  <c r="Z58" i="25" s="1"/>
  <c r="Y58" i="25" s="1"/>
  <c r="AD67" i="25"/>
  <c r="AD375" i="25"/>
  <c r="AA375" i="25" s="1"/>
  <c r="Z375" i="25" s="1"/>
  <c r="Y375" i="25" s="1"/>
  <c r="AD346" i="25"/>
  <c r="AD217" i="25"/>
  <c r="AD329" i="25"/>
  <c r="AA329" i="25" s="1"/>
  <c r="Z329" i="25" s="1"/>
  <c r="Y329" i="25" s="1"/>
  <c r="AD262" i="25"/>
  <c r="AD121" i="25"/>
  <c r="AA121" i="25" s="1"/>
  <c r="Z121" i="25" s="1"/>
  <c r="Y121" i="25" s="1"/>
  <c r="AD187" i="25"/>
  <c r="AD255" i="25"/>
  <c r="AA255" i="25" s="1"/>
  <c r="Z255" i="25" s="1"/>
  <c r="Y255" i="25" s="1"/>
  <c r="AD289" i="25"/>
  <c r="AA289" i="25" s="1"/>
  <c r="Z289" i="25" s="1"/>
  <c r="Y289" i="25" s="1"/>
  <c r="AD211" i="25"/>
  <c r="AD233" i="25"/>
  <c r="AA233" i="25" s="1"/>
  <c r="Z233" i="25" s="1"/>
  <c r="Y233" i="25" s="1"/>
  <c r="AD288" i="25"/>
  <c r="AD194" i="25"/>
  <c r="AA194" i="25" s="1"/>
  <c r="Z194" i="25" s="1"/>
  <c r="Y194" i="25" s="1"/>
  <c r="AD120" i="25"/>
  <c r="AA120" i="25" s="1"/>
  <c r="Z120" i="25" s="1"/>
  <c r="Y120" i="25" s="1"/>
  <c r="AD110" i="25"/>
  <c r="AA110" i="25" s="1"/>
  <c r="Z110" i="25" s="1"/>
  <c r="Y110" i="25" s="1"/>
  <c r="AD352" i="25"/>
  <c r="AA352" i="25" s="1"/>
  <c r="Z352" i="25" s="1"/>
  <c r="Y352" i="25" s="1"/>
  <c r="AD237" i="25"/>
  <c r="AD267" i="25"/>
  <c r="AA267" i="25" s="1"/>
  <c r="Z267" i="25" s="1"/>
  <c r="Y267" i="25" s="1"/>
  <c r="AD247" i="25"/>
  <c r="AD276" i="25"/>
  <c r="AA276" i="25" s="1"/>
  <c r="Z276" i="25" s="1"/>
  <c r="Y276" i="25" s="1"/>
  <c r="AD366" i="25"/>
  <c r="AD153" i="25"/>
  <c r="AD332" i="25"/>
  <c r="AA332" i="25" s="1"/>
  <c r="Z332" i="25" s="1"/>
  <c r="Y332" i="25" s="1"/>
  <c r="AD364" i="25"/>
  <c r="AD349" i="25"/>
  <c r="AD199" i="25"/>
  <c r="AA199" i="25" s="1"/>
  <c r="Z199" i="25" s="1"/>
  <c r="Y199" i="25" s="1"/>
  <c r="W339" i="25"/>
  <c r="D87" i="25"/>
  <c r="E87" i="25" s="1"/>
  <c r="F87" i="25" s="1"/>
  <c r="G87" i="25" s="1"/>
  <c r="CF87" i="6" s="1"/>
  <c r="D290" i="25"/>
  <c r="E290" i="25" s="1"/>
  <c r="F290" i="25" s="1"/>
  <c r="H290" i="25" s="1"/>
  <c r="W100" i="25"/>
  <c r="W323" i="25"/>
  <c r="D134" i="25"/>
  <c r="E134" i="25" s="1"/>
  <c r="F134" i="25" s="1"/>
  <c r="H134" i="25" s="1"/>
  <c r="W154" i="25"/>
  <c r="W125" i="25"/>
  <c r="D231" i="25"/>
  <c r="E231" i="25" s="1"/>
  <c r="F231" i="25" s="1"/>
  <c r="G231" i="25" s="1"/>
  <c r="CF231" i="6" s="1"/>
  <c r="W101" i="25"/>
  <c r="D26" i="25"/>
  <c r="E26" i="25" s="1"/>
  <c r="F26" i="25" s="1"/>
  <c r="H26" i="25" s="1"/>
  <c r="D182" i="25"/>
  <c r="E182" i="25" s="1"/>
  <c r="F182" i="25" s="1"/>
  <c r="H182" i="25" s="1"/>
  <c r="W361" i="25"/>
  <c r="W360" i="25"/>
  <c r="W195" i="25"/>
  <c r="W348" i="25"/>
  <c r="W86" i="25"/>
  <c r="D189" i="25"/>
  <c r="E189" i="25" s="1"/>
  <c r="F189" i="25" s="1"/>
  <c r="H189" i="25" s="1"/>
  <c r="W341" i="25"/>
  <c r="W138" i="25"/>
  <c r="W103" i="25"/>
  <c r="V29" i="25"/>
  <c r="B29" i="25" s="1"/>
  <c r="W29" i="25" s="1"/>
  <c r="D337" i="25"/>
  <c r="E337" i="25" s="1"/>
  <c r="F337" i="25" s="1"/>
  <c r="G337" i="25" s="1"/>
  <c r="CF337" i="6" s="1"/>
  <c r="W55" i="25"/>
  <c r="D251" i="25"/>
  <c r="E251" i="25" s="1"/>
  <c r="F251" i="25" s="1"/>
  <c r="H251" i="25" s="1"/>
  <c r="W250" i="25"/>
  <c r="W230" i="25"/>
  <c r="W104" i="25"/>
  <c r="D150" i="25"/>
  <c r="E150" i="25" s="1"/>
  <c r="F150" i="25" s="1"/>
  <c r="G150" i="25" s="1"/>
  <c r="CF150" i="6" s="1"/>
  <c r="W94" i="25"/>
  <c r="W18" i="25"/>
  <c r="W285" i="25"/>
  <c r="D217" i="25"/>
  <c r="E217" i="25" s="1"/>
  <c r="F217" i="25" s="1"/>
  <c r="G217" i="25" s="1"/>
  <c r="CF217" i="6" s="1"/>
  <c r="W121" i="25"/>
  <c r="D31" i="25"/>
  <c r="E31" i="25" s="1"/>
  <c r="F31" i="25" s="1"/>
  <c r="G31" i="25" s="1"/>
  <c r="CF31" i="6" s="1"/>
  <c r="W99" i="25"/>
  <c r="D314" i="25"/>
  <c r="E314" i="25" s="1"/>
  <c r="F314" i="25" s="1"/>
  <c r="H314" i="25" s="1"/>
  <c r="D307" i="25"/>
  <c r="E307" i="25" s="1"/>
  <c r="F307" i="25" s="1"/>
  <c r="H307" i="25" s="1"/>
  <c r="AH74" i="7"/>
  <c r="D80" i="25"/>
  <c r="E80" i="25" s="1"/>
  <c r="F80" i="25" s="1"/>
  <c r="G80" i="25" s="1"/>
  <c r="CF80" i="6" s="1"/>
  <c r="D117" i="25"/>
  <c r="E117" i="25" s="1"/>
  <c r="F117" i="25" s="1"/>
  <c r="G117" i="25" s="1"/>
  <c r="CF117" i="6" s="1"/>
  <c r="D355" i="25"/>
  <c r="E355" i="25" s="1"/>
  <c r="F355" i="25" s="1"/>
  <c r="AA355" i="25" s="1"/>
  <c r="Z355" i="25" s="1"/>
  <c r="Y355" i="25" s="1"/>
  <c r="W306" i="25"/>
  <c r="D279" i="25"/>
  <c r="E279" i="25" s="1"/>
  <c r="F279" i="25" s="1"/>
  <c r="H279" i="25" s="1"/>
  <c r="W43" i="25"/>
  <c r="D335" i="25"/>
  <c r="E335" i="25" s="1"/>
  <c r="F335" i="25" s="1"/>
  <c r="H335" i="25" s="1"/>
  <c r="W72" i="25"/>
  <c r="W93" i="25"/>
  <c r="W319" i="25"/>
  <c r="D141" i="25"/>
  <c r="E141" i="25" s="1"/>
  <c r="F141" i="25" s="1"/>
  <c r="G141" i="25" s="1"/>
  <c r="CF141" i="6" s="1"/>
  <c r="D247" i="25"/>
  <c r="E247" i="25" s="1"/>
  <c r="F247" i="25" s="1"/>
  <c r="G247" i="25" s="1"/>
  <c r="CF247" i="6" s="1"/>
  <c r="W90" i="25"/>
  <c r="D56" i="25"/>
  <c r="E56" i="25" s="1"/>
  <c r="F56" i="25" s="1"/>
  <c r="H56" i="25" s="1"/>
  <c r="W225" i="25"/>
  <c r="W107" i="25"/>
  <c r="W356" i="25"/>
  <c r="D170" i="25"/>
  <c r="E170" i="25" s="1"/>
  <c r="F170" i="25" s="1"/>
  <c r="G170" i="25" s="1"/>
  <c r="CF170" i="6" s="1"/>
  <c r="W96" i="25"/>
  <c r="W177" i="25"/>
  <c r="W23" i="25"/>
  <c r="D34" i="25"/>
  <c r="E34" i="25" s="1"/>
  <c r="F34" i="25" s="1"/>
  <c r="H34" i="25" s="1"/>
  <c r="D129" i="25"/>
  <c r="E129" i="25" s="1"/>
  <c r="F129" i="25" s="1"/>
  <c r="G129" i="25" s="1"/>
  <c r="CF129" i="6" s="1"/>
  <c r="D158" i="25"/>
  <c r="E158" i="25" s="1"/>
  <c r="F158" i="25" s="1"/>
  <c r="H158" i="25" s="1"/>
  <c r="D216" i="25"/>
  <c r="E216" i="25" s="1"/>
  <c r="F216" i="25" s="1"/>
  <c r="H216" i="25" s="1"/>
  <c r="W260" i="25"/>
  <c r="W118" i="25"/>
  <c r="W375" i="25"/>
  <c r="D153" i="25"/>
  <c r="E153" i="25" s="1"/>
  <c r="F153" i="25" s="1"/>
  <c r="G153" i="25" s="1"/>
  <c r="CF153" i="6" s="1"/>
  <c r="W162" i="25"/>
  <c r="D232" i="25"/>
  <c r="E232" i="25" s="1"/>
  <c r="F232" i="25" s="1"/>
  <c r="H232" i="25" s="1"/>
  <c r="D181" i="25"/>
  <c r="E181" i="25" s="1"/>
  <c r="F181" i="25" s="1"/>
  <c r="H181" i="25" s="1"/>
  <c r="W123" i="25"/>
  <c r="D357" i="25"/>
  <c r="E357" i="25" s="1"/>
  <c r="F357" i="25" s="1"/>
  <c r="H357" i="25" s="1"/>
  <c r="D160" i="25"/>
  <c r="E160" i="25" s="1"/>
  <c r="F160" i="25" s="1"/>
  <c r="H160" i="25" s="1"/>
  <c r="W269" i="25"/>
  <c r="D82" i="25"/>
  <c r="E82" i="25" s="1"/>
  <c r="F82" i="25" s="1"/>
  <c r="G82" i="25" s="1"/>
  <c r="CF82" i="6" s="1"/>
  <c r="W273" i="25"/>
  <c r="D313" i="25"/>
  <c r="E313" i="25" s="1"/>
  <c r="F313" i="25" s="1"/>
  <c r="G313" i="25" s="1"/>
  <c r="CF313" i="6" s="1"/>
  <c r="D68" i="25"/>
  <c r="E68" i="25" s="1"/>
  <c r="F68" i="25" s="1"/>
  <c r="G68" i="25" s="1"/>
  <c r="CF68" i="6" s="1"/>
  <c r="W270" i="25"/>
  <c r="D377" i="25"/>
  <c r="E377" i="25" s="1"/>
  <c r="F377" i="25" s="1"/>
  <c r="G377" i="25" s="1"/>
  <c r="CF377" i="6" s="1"/>
  <c r="W374" i="25"/>
  <c r="D317" i="25"/>
  <c r="E317" i="25" s="1"/>
  <c r="F317" i="25" s="1"/>
  <c r="AA317" i="25" s="1"/>
  <c r="Z317" i="25" s="1"/>
  <c r="Y317" i="25" s="1"/>
  <c r="W57" i="25"/>
  <c r="V333" i="25"/>
  <c r="L70" i="19" s="1"/>
  <c r="D65" i="25"/>
  <c r="E65" i="25" s="1"/>
  <c r="F65" i="25" s="1"/>
  <c r="G65" i="25" s="1"/>
  <c r="CF65" i="6" s="1"/>
  <c r="V60" i="25"/>
  <c r="C70" i="19" s="1"/>
  <c r="W213" i="25"/>
  <c r="V149" i="25"/>
  <c r="B149" i="25" s="1"/>
  <c r="D143" i="25"/>
  <c r="E143" i="25" s="1"/>
  <c r="F143" i="25" s="1"/>
  <c r="H143" i="25" s="1"/>
  <c r="W240" i="25"/>
  <c r="AI383" i="25"/>
  <c r="AD374" i="25"/>
  <c r="AA374" i="25" s="1"/>
  <c r="Z374" i="25" s="1"/>
  <c r="Y374" i="25" s="1"/>
  <c r="AD161" i="25"/>
  <c r="AD231" i="25"/>
  <c r="AD315" i="25"/>
  <c r="AD182" i="25"/>
  <c r="AD371" i="25"/>
  <c r="AA371" i="25" s="1"/>
  <c r="Z371" i="25" s="1"/>
  <c r="Y371" i="25" s="1"/>
  <c r="AD162" i="25"/>
  <c r="AA162" i="25" s="1"/>
  <c r="Z162" i="25" s="1"/>
  <c r="Y162" i="25" s="1"/>
  <c r="AD143" i="25"/>
  <c r="AD335" i="25"/>
  <c r="AD359" i="25"/>
  <c r="AA359" i="25" s="1"/>
  <c r="Z359" i="25" s="1"/>
  <c r="Y359" i="25" s="1"/>
  <c r="AD218" i="25"/>
  <c r="AA218" i="25" s="1"/>
  <c r="Z218" i="25" s="1"/>
  <c r="Y218" i="25" s="1"/>
  <c r="AD370" i="25"/>
  <c r="AA370" i="25" s="1"/>
  <c r="Z370" i="25" s="1"/>
  <c r="Y370" i="25" s="1"/>
  <c r="AD292" i="25"/>
  <c r="AD358" i="25"/>
  <c r="AA358" i="25" s="1"/>
  <c r="Z358" i="25" s="1"/>
  <c r="Y358" i="25" s="1"/>
  <c r="AD190" i="25"/>
  <c r="AA190" i="25" s="1"/>
  <c r="Z190" i="25" s="1"/>
  <c r="Y190" i="25" s="1"/>
  <c r="AD196" i="25"/>
  <c r="AD372" i="25"/>
  <c r="AA372" i="25" s="1"/>
  <c r="Z372" i="25" s="1"/>
  <c r="Y372" i="25" s="1"/>
  <c r="AD248" i="25"/>
  <c r="AA248" i="25" s="1"/>
  <c r="Z248" i="25" s="1"/>
  <c r="Y248" i="25" s="1"/>
  <c r="AD65" i="25"/>
  <c r="AD27" i="25"/>
  <c r="AD43" i="25"/>
  <c r="AA43" i="25" s="1"/>
  <c r="Z43" i="25" s="1"/>
  <c r="Y43" i="25" s="1"/>
  <c r="AD54" i="25"/>
  <c r="AA54" i="25" s="1"/>
  <c r="Z54" i="25" s="1"/>
  <c r="Y54" i="25" s="1"/>
  <c r="AD29" i="25"/>
  <c r="AD40" i="25"/>
  <c r="AD72" i="25"/>
  <c r="AA72" i="25" s="1"/>
  <c r="Z72" i="25" s="1"/>
  <c r="Y72" i="25" s="1"/>
  <c r="AD24" i="25"/>
  <c r="AA24" i="25" s="1"/>
  <c r="Z24" i="25" s="1"/>
  <c r="Y24" i="25" s="1"/>
  <c r="AD91" i="25"/>
  <c r="AA91" i="25" s="1"/>
  <c r="Z91" i="25" s="1"/>
  <c r="Y91" i="25" s="1"/>
  <c r="AD84" i="25"/>
  <c r="AA84" i="25" s="1"/>
  <c r="Z84" i="25" s="1"/>
  <c r="Y84" i="25" s="1"/>
  <c r="AD90" i="25"/>
  <c r="AA90" i="25" s="1"/>
  <c r="Z90" i="25" s="1"/>
  <c r="Y90" i="25" s="1"/>
  <c r="AD102" i="25"/>
  <c r="AA102" i="25" s="1"/>
  <c r="Z102" i="25" s="1"/>
  <c r="Y102" i="25" s="1"/>
  <c r="AD369" i="25"/>
  <c r="AA369" i="25" s="1"/>
  <c r="Z369" i="25" s="1"/>
  <c r="Y369" i="25" s="1"/>
  <c r="AD271" i="25"/>
  <c r="AA271" i="25" s="1"/>
  <c r="Z271" i="25" s="1"/>
  <c r="Y271" i="25" s="1"/>
  <c r="AD309" i="25"/>
  <c r="AD188" i="25"/>
  <c r="AA188" i="25" s="1"/>
  <c r="Z188" i="25" s="1"/>
  <c r="Y188" i="25" s="1"/>
  <c r="AD323" i="25"/>
  <c r="AA323" i="25" s="1"/>
  <c r="Z323" i="25" s="1"/>
  <c r="Y323" i="25" s="1"/>
  <c r="AD193" i="25"/>
  <c r="AD154" i="25"/>
  <c r="AA154" i="25" s="1"/>
  <c r="Z154" i="25" s="1"/>
  <c r="Y154" i="25" s="1"/>
  <c r="AD158" i="25"/>
  <c r="AD138" i="25"/>
  <c r="AA138" i="25" s="1"/>
  <c r="Z138" i="25" s="1"/>
  <c r="Y138" i="25" s="1"/>
  <c r="AD256" i="25"/>
  <c r="AD285" i="25"/>
  <c r="AA285" i="25" s="1"/>
  <c r="Z285" i="25" s="1"/>
  <c r="Y285" i="25" s="1"/>
  <c r="AD298" i="25"/>
  <c r="AD275" i="25"/>
  <c r="AD145" i="25"/>
  <c r="AD297" i="25"/>
  <c r="AA297" i="25" s="1"/>
  <c r="Z297" i="25" s="1"/>
  <c r="Y297" i="25" s="1"/>
  <c r="AD337" i="25"/>
  <c r="AJ5" i="23"/>
  <c r="AK5" i="23"/>
  <c r="AD307" i="25"/>
  <c r="W119" i="24"/>
  <c r="D119" i="24"/>
  <c r="E119" i="24" s="1"/>
  <c r="F119" i="24" s="1"/>
  <c r="W297" i="25"/>
  <c r="D278" i="25"/>
  <c r="E278" i="25" s="1"/>
  <c r="F278" i="25" s="1"/>
  <c r="H278" i="25" s="1"/>
  <c r="D193" i="25"/>
  <c r="E193" i="25" s="1"/>
  <c r="F193" i="25" s="1"/>
  <c r="AA193" i="25" s="1"/>
  <c r="Z193" i="25" s="1"/>
  <c r="Y193" i="25" s="1"/>
  <c r="W22" i="25"/>
  <c r="W300" i="25"/>
  <c r="W132" i="25"/>
  <c r="D139" i="25"/>
  <c r="E139" i="25" s="1"/>
  <c r="F139" i="25" s="1"/>
  <c r="H139" i="25" s="1"/>
  <c r="W332" i="25"/>
  <c r="W243" i="25"/>
  <c r="D42" i="25"/>
  <c r="E42" i="25" s="1"/>
  <c r="F42" i="25" s="1"/>
  <c r="H42" i="25" s="1"/>
  <c r="AD62" i="25"/>
  <c r="AD242" i="25"/>
  <c r="AA242" i="25" s="1"/>
  <c r="Z242" i="25" s="1"/>
  <c r="Y242" i="25" s="1"/>
  <c r="AD165" i="25"/>
  <c r="AA165" i="25" s="1"/>
  <c r="Z165" i="25" s="1"/>
  <c r="Y165" i="25" s="1"/>
  <c r="AD214" i="25"/>
  <c r="AA214" i="25" s="1"/>
  <c r="Z214" i="25" s="1"/>
  <c r="Y214" i="25" s="1"/>
  <c r="AD265" i="25"/>
  <c r="AA265" i="25" s="1"/>
  <c r="Z265" i="25" s="1"/>
  <c r="Y265" i="25" s="1"/>
  <c r="AD343" i="25"/>
  <c r="AA343" i="25" s="1"/>
  <c r="Z343" i="25" s="1"/>
  <c r="Y343" i="25" s="1"/>
  <c r="G46" i="25"/>
  <c r="CF46" i="6" s="1"/>
  <c r="W185" i="25"/>
  <c r="D35" i="25"/>
  <c r="E35" i="25" s="1"/>
  <c r="F35" i="25" s="1"/>
  <c r="G35" i="25" s="1"/>
  <c r="CF35" i="6" s="1"/>
  <c r="W370" i="25"/>
  <c r="D51" i="25"/>
  <c r="E51" i="25" s="1"/>
  <c r="F51" i="25" s="1"/>
  <c r="G51" i="25" s="1"/>
  <c r="CF51" i="6" s="1"/>
  <c r="W152" i="25"/>
  <c r="W249" i="25"/>
  <c r="W116" i="25"/>
  <c r="W197" i="25"/>
  <c r="D256" i="25"/>
  <c r="E256" i="25" s="1"/>
  <c r="F256" i="25" s="1"/>
  <c r="D303" i="25"/>
  <c r="E303" i="25" s="1"/>
  <c r="F303" i="25" s="1"/>
  <c r="G303" i="25" s="1"/>
  <c r="CF303" i="6" s="1"/>
  <c r="W289" i="25"/>
  <c r="D133" i="25"/>
  <c r="E133" i="25" s="1"/>
  <c r="F133" i="25" s="1"/>
  <c r="H133" i="25" s="1"/>
  <c r="D48" i="25"/>
  <c r="E48" i="25" s="1"/>
  <c r="F48" i="25" s="1"/>
  <c r="H48" i="25" s="1"/>
  <c r="D316" i="25"/>
  <c r="E316" i="25" s="1"/>
  <c r="F316" i="25" s="1"/>
  <c r="AA316" i="25" s="1"/>
  <c r="Z316" i="25" s="1"/>
  <c r="Y316" i="25" s="1"/>
  <c r="W322" i="25"/>
  <c r="W352" i="25"/>
  <c r="W271" i="25"/>
  <c r="D328" i="25"/>
  <c r="E328" i="25" s="1"/>
  <c r="F328" i="25" s="1"/>
  <c r="AA328" i="25" s="1"/>
  <c r="Z328" i="25" s="1"/>
  <c r="Y328" i="25" s="1"/>
  <c r="D364" i="25"/>
  <c r="E364" i="25" s="1"/>
  <c r="F364" i="25" s="1"/>
  <c r="G364" i="25" s="1"/>
  <c r="CF364" i="6" s="1"/>
  <c r="D64" i="25"/>
  <c r="E64" i="25" s="1"/>
  <c r="F64" i="25" s="1"/>
  <c r="G64" i="25" s="1"/>
  <c r="CF64" i="6" s="1"/>
  <c r="D282" i="25"/>
  <c r="E282" i="25" s="1"/>
  <c r="F282" i="25" s="1"/>
  <c r="H282" i="25" s="1"/>
  <c r="W369" i="25"/>
  <c r="W214" i="25"/>
  <c r="D237" i="25"/>
  <c r="E237" i="25" s="1"/>
  <c r="F237" i="25" s="1"/>
  <c r="G237" i="25" s="1"/>
  <c r="CF237" i="6" s="1"/>
  <c r="D315" i="25"/>
  <c r="E315" i="25" s="1"/>
  <c r="F315" i="25" s="1"/>
  <c r="H315" i="25" s="1"/>
  <c r="D320" i="25"/>
  <c r="E320" i="25" s="1"/>
  <c r="F320" i="25" s="1"/>
  <c r="G320" i="25" s="1"/>
  <c r="CF320" i="6" s="1"/>
  <c r="D77" i="25"/>
  <c r="E77" i="25" s="1"/>
  <c r="F77" i="25" s="1"/>
  <c r="H77" i="25" s="1"/>
  <c r="W24" i="25"/>
  <c r="W59" i="25"/>
  <c r="D215" i="25"/>
  <c r="E215" i="25" s="1"/>
  <c r="F215" i="25" s="1"/>
  <c r="G215" i="25" s="1"/>
  <c r="CF215" i="6" s="1"/>
  <c r="W52" i="25"/>
  <c r="W238" i="25"/>
  <c r="D161" i="25"/>
  <c r="E161" i="25" s="1"/>
  <c r="F161" i="25" s="1"/>
  <c r="H161" i="25" s="1"/>
  <c r="D219" i="25"/>
  <c r="E219" i="25" s="1"/>
  <c r="F219" i="25" s="1"/>
  <c r="G219" i="25" s="1"/>
  <c r="CF219" i="6" s="1"/>
  <c r="D67" i="25"/>
  <c r="E67" i="25" s="1"/>
  <c r="F67" i="25" s="1"/>
  <c r="H67" i="25" s="1"/>
  <c r="W46" i="25"/>
  <c r="AH383" i="25"/>
  <c r="AD291" i="25"/>
  <c r="AA291" i="25" s="1"/>
  <c r="Z291" i="25" s="1"/>
  <c r="Y291" i="25" s="1"/>
  <c r="AD147" i="25"/>
  <c r="AD175" i="25"/>
  <c r="AD184" i="25"/>
  <c r="AA184" i="25" s="1"/>
  <c r="Z184" i="25" s="1"/>
  <c r="Y184" i="25" s="1"/>
  <c r="AD131" i="25"/>
  <c r="AD152" i="25"/>
  <c r="AA152" i="25" s="1"/>
  <c r="Z152" i="25" s="1"/>
  <c r="Y152" i="25" s="1"/>
  <c r="AD296" i="25"/>
  <c r="AA296" i="25" s="1"/>
  <c r="Z296" i="25" s="1"/>
  <c r="Y296" i="25" s="1"/>
  <c r="AD150" i="25"/>
  <c r="AD303" i="25"/>
  <c r="AD219" i="25"/>
  <c r="AD225" i="25"/>
  <c r="AA225" i="25" s="1"/>
  <c r="Z225" i="25" s="1"/>
  <c r="Y225" i="25" s="1"/>
  <c r="AD266" i="25"/>
  <c r="AD205" i="25"/>
  <c r="AD112" i="25"/>
  <c r="AA112" i="25" s="1"/>
  <c r="Z112" i="25" s="1"/>
  <c r="Y112" i="25" s="1"/>
  <c r="AD197" i="25"/>
  <c r="AA197" i="25" s="1"/>
  <c r="Z197" i="25" s="1"/>
  <c r="Y197" i="25" s="1"/>
  <c r="AD59" i="25"/>
  <c r="AA59" i="25" s="1"/>
  <c r="Z59" i="25" s="1"/>
  <c r="Y59" i="25" s="1"/>
  <c r="AD98" i="25"/>
  <c r="AA98" i="25" s="1"/>
  <c r="Z98" i="25" s="1"/>
  <c r="Y98" i="25" s="1"/>
  <c r="AD94" i="25"/>
  <c r="AA94" i="25" s="1"/>
  <c r="Z94" i="25" s="1"/>
  <c r="Y94" i="25" s="1"/>
  <c r="AD100" i="25"/>
  <c r="AA100" i="25" s="1"/>
  <c r="Z100" i="25" s="1"/>
  <c r="Y100" i="25" s="1"/>
  <c r="AD20" i="25"/>
  <c r="AD60" i="25"/>
  <c r="AD216" i="25"/>
  <c r="AD338" i="25"/>
  <c r="AD163" i="25"/>
  <c r="AA163" i="25" s="1"/>
  <c r="Z163" i="25" s="1"/>
  <c r="Y163" i="25" s="1"/>
  <c r="AD167" i="25"/>
  <c r="AA167" i="25" s="1"/>
  <c r="Z167" i="25" s="1"/>
  <c r="Y167" i="25" s="1"/>
  <c r="AD172" i="25"/>
  <c r="AD173" i="25"/>
  <c r="AA173" i="25" s="1"/>
  <c r="Z173" i="25" s="1"/>
  <c r="Y173" i="25" s="1"/>
  <c r="AD178" i="25"/>
  <c r="AA178" i="25" s="1"/>
  <c r="Z178" i="25" s="1"/>
  <c r="Y178" i="25" s="1"/>
  <c r="AD263" i="25"/>
  <c r="AD118" i="25"/>
  <c r="AA118" i="25" s="1"/>
  <c r="Z118" i="25" s="1"/>
  <c r="Y118" i="25" s="1"/>
  <c r="AD203" i="25"/>
  <c r="AD198" i="25"/>
  <c r="AA198" i="25" s="1"/>
  <c r="Z198" i="25" s="1"/>
  <c r="Y198" i="25" s="1"/>
  <c r="AD368" i="25"/>
  <c r="AA368" i="25" s="1"/>
  <c r="Z368" i="25" s="1"/>
  <c r="Y368" i="25" s="1"/>
  <c r="AD144" i="25"/>
  <c r="AA144" i="25" s="1"/>
  <c r="Z144" i="25" s="1"/>
  <c r="Y144" i="25" s="1"/>
  <c r="AD293" i="25"/>
  <c r="AA293" i="25" s="1"/>
  <c r="Z293" i="25" s="1"/>
  <c r="Y293" i="25" s="1"/>
  <c r="AD189" i="25"/>
  <c r="AD132" i="25"/>
  <c r="AA132" i="25" s="1"/>
  <c r="Z132" i="25" s="1"/>
  <c r="Y132" i="25" s="1"/>
  <c r="AD246" i="25"/>
  <c r="AD105" i="25"/>
  <c r="AD269" i="25"/>
  <c r="AA269" i="25" s="1"/>
  <c r="Z269" i="25" s="1"/>
  <c r="Y269" i="25" s="1"/>
  <c r="AD169" i="25"/>
  <c r="AA169" i="25" s="1"/>
  <c r="Z169" i="25" s="1"/>
  <c r="Y169" i="25" s="1"/>
  <c r="AD160" i="25"/>
  <c r="AD245" i="25"/>
  <c r="AA245" i="25" s="1"/>
  <c r="Z245" i="25" s="1"/>
  <c r="Y245" i="25" s="1"/>
  <c r="AD122" i="25"/>
  <c r="AD180" i="25"/>
  <c r="AD119" i="25"/>
  <c r="AD365" i="25"/>
  <c r="AA365" i="25" s="1"/>
  <c r="Z365" i="25" s="1"/>
  <c r="Y365" i="25" s="1"/>
  <c r="AD272" i="25"/>
  <c r="AD259" i="25"/>
  <c r="AA259" i="25" s="1"/>
  <c r="Z259" i="25" s="1"/>
  <c r="Y259" i="25" s="1"/>
  <c r="AD129" i="25"/>
  <c r="AD226" i="25"/>
  <c r="AA226" i="25" s="1"/>
  <c r="Z226" i="25" s="1"/>
  <c r="Y226" i="25" s="1"/>
  <c r="AD378" i="25"/>
  <c r="AA378" i="25" s="1"/>
  <c r="Z378" i="25" s="1"/>
  <c r="Y378" i="25" s="1"/>
  <c r="W50" i="25"/>
  <c r="W95" i="25"/>
  <c r="W344" i="25"/>
  <c r="W264" i="25"/>
  <c r="W277" i="25"/>
  <c r="D186" i="25"/>
  <c r="E186" i="25" s="1"/>
  <c r="F186" i="25" s="1"/>
  <c r="H186" i="25" s="1"/>
  <c r="W259" i="25"/>
  <c r="D222" i="25"/>
  <c r="E222" i="25" s="1"/>
  <c r="F222" i="25" s="1"/>
  <c r="D45" i="25"/>
  <c r="E45" i="25" s="1"/>
  <c r="F45" i="25" s="1"/>
  <c r="G45" i="25" s="1"/>
  <c r="CF45" i="6" s="1"/>
  <c r="D40" i="25"/>
  <c r="E40" i="25" s="1"/>
  <c r="F40" i="25" s="1"/>
  <c r="W233" i="25"/>
  <c r="D49" i="25"/>
  <c r="E49" i="25" s="1"/>
  <c r="F49" i="25" s="1"/>
  <c r="G49" i="25" s="1"/>
  <c r="CF49" i="6" s="1"/>
  <c r="W194" i="25"/>
  <c r="D192" i="25"/>
  <c r="E192" i="25" s="1"/>
  <c r="F192" i="25" s="1"/>
  <c r="G192" i="25" s="1"/>
  <c r="CF192" i="6" s="1"/>
  <c r="W286" i="25"/>
  <c r="W207" i="25"/>
  <c r="AD96" i="25"/>
  <c r="AA96" i="25" s="1"/>
  <c r="Z96" i="25" s="1"/>
  <c r="Y96" i="25" s="1"/>
  <c r="AD35" i="25"/>
  <c r="AD103" i="25"/>
  <c r="AA103" i="25" s="1"/>
  <c r="Z103" i="25" s="1"/>
  <c r="Y103" i="25" s="1"/>
  <c r="AD41" i="25"/>
  <c r="AD47" i="25"/>
  <c r="AA47" i="25" s="1"/>
  <c r="Z47" i="25" s="1"/>
  <c r="Y47" i="25" s="1"/>
  <c r="AD51" i="25"/>
  <c r="AD80" i="25"/>
  <c r="AD223" i="25"/>
  <c r="AD273" i="25"/>
  <c r="AA273" i="25" s="1"/>
  <c r="Z273" i="25" s="1"/>
  <c r="Y273" i="25" s="1"/>
  <c r="AD278" i="25"/>
  <c r="AD279" i="25"/>
  <c r="AD133" i="25"/>
  <c r="AD183" i="25"/>
  <c r="AA183" i="25" s="1"/>
  <c r="Z183" i="25" s="1"/>
  <c r="Y183" i="25" s="1"/>
  <c r="AD224" i="25"/>
  <c r="AA224" i="25" s="1"/>
  <c r="Z224" i="25" s="1"/>
  <c r="Y224" i="25" s="1"/>
  <c r="AD331" i="25"/>
  <c r="AA331" i="25" s="1"/>
  <c r="Z331" i="25" s="1"/>
  <c r="Y331" i="25" s="1"/>
  <c r="AD251" i="25"/>
  <c r="AD324" i="25"/>
  <c r="AA324" i="25" s="1"/>
  <c r="Z324" i="25" s="1"/>
  <c r="Y324" i="25" s="1"/>
  <c r="AD117" i="25"/>
  <c r="AD357" i="25"/>
  <c r="AD123" i="25"/>
  <c r="AA123" i="25" s="1"/>
  <c r="Z123" i="25" s="1"/>
  <c r="Y123" i="25" s="1"/>
  <c r="AD86" i="25"/>
  <c r="AA86" i="25" s="1"/>
  <c r="Z86" i="25" s="1"/>
  <c r="Y86" i="25" s="1"/>
  <c r="AD16" i="25"/>
  <c r="AD36" i="25"/>
  <c r="AA36" i="25" s="1"/>
  <c r="Z36" i="25" s="1"/>
  <c r="Y36" i="25" s="1"/>
  <c r="AD73" i="25"/>
  <c r="AA73" i="25" s="1"/>
  <c r="Z73" i="25" s="1"/>
  <c r="Y73" i="25" s="1"/>
  <c r="AD74" i="25"/>
  <c r="AD195" i="25"/>
  <c r="AA195" i="25" s="1"/>
  <c r="Z195" i="25" s="1"/>
  <c r="Y195" i="25" s="1"/>
  <c r="AD244" i="25"/>
  <c r="AA244" i="25" s="1"/>
  <c r="Z244" i="25" s="1"/>
  <c r="Y244" i="25" s="1"/>
  <c r="AD319" i="25"/>
  <c r="AA319" i="25" s="1"/>
  <c r="Z319" i="25" s="1"/>
  <c r="Y319" i="25" s="1"/>
  <c r="AD111" i="25"/>
  <c r="AA111" i="25" s="1"/>
  <c r="Z111" i="25" s="1"/>
  <c r="Y111" i="25" s="1"/>
  <c r="AD264" i="25"/>
  <c r="AA264" i="25" s="1"/>
  <c r="Z264" i="25" s="1"/>
  <c r="Y264" i="25" s="1"/>
  <c r="AD170" i="25"/>
  <c r="AD109" i="25"/>
  <c r="AA109" i="25" s="1"/>
  <c r="Z109" i="25" s="1"/>
  <c r="Y109" i="25" s="1"/>
  <c r="AD345" i="25"/>
  <c r="AA345" i="25" s="1"/>
  <c r="Z345" i="25" s="1"/>
  <c r="Y345" i="25" s="1"/>
  <c r="AD208" i="25"/>
  <c r="AD283" i="25"/>
  <c r="AD362" i="25"/>
  <c r="AA362" i="25" s="1"/>
  <c r="Z362" i="25" s="1"/>
  <c r="Y362" i="25" s="1"/>
  <c r="AD310" i="25"/>
  <c r="AD327" i="25"/>
  <c r="AA327" i="25" s="1"/>
  <c r="Z327" i="25" s="1"/>
  <c r="Y327" i="25" s="1"/>
  <c r="AD254" i="25"/>
  <c r="AA254" i="25" s="1"/>
  <c r="Z254" i="25" s="1"/>
  <c r="Y254" i="25" s="1"/>
  <c r="AD344" i="25"/>
  <c r="AA344" i="25" s="1"/>
  <c r="Z344" i="25" s="1"/>
  <c r="Y344" i="25" s="1"/>
  <c r="AD202" i="25"/>
  <c r="AD141" i="25"/>
  <c r="AD350" i="25"/>
  <c r="AA350" i="25" s="1"/>
  <c r="Z350" i="25" s="1"/>
  <c r="Y350" i="25" s="1"/>
  <c r="AD207" i="25"/>
  <c r="AA207" i="25" s="1"/>
  <c r="Z207" i="25" s="1"/>
  <c r="Y207" i="25" s="1"/>
  <c r="AD379" i="25"/>
  <c r="AD239" i="25"/>
  <c r="AA239" i="25" s="1"/>
  <c r="Z239" i="25" s="1"/>
  <c r="Y239" i="25" s="1"/>
  <c r="AD270" i="25"/>
  <c r="AA270" i="25" s="1"/>
  <c r="Z270" i="25" s="1"/>
  <c r="Y270" i="25" s="1"/>
  <c r="AD176" i="25"/>
  <c r="AA176" i="25" s="1"/>
  <c r="Z176" i="25" s="1"/>
  <c r="Y176" i="25" s="1"/>
  <c r="AD114" i="25"/>
  <c r="AA114" i="25" s="1"/>
  <c r="Z114" i="25" s="1"/>
  <c r="Y114" i="25" s="1"/>
  <c r="AD354" i="25"/>
  <c r="AA354" i="25" s="1"/>
  <c r="Z354" i="25" s="1"/>
  <c r="Y354" i="25" s="1"/>
  <c r="AD229" i="25"/>
  <c r="AD137" i="25"/>
  <c r="AA137" i="25" s="1"/>
  <c r="Z137" i="25" s="1"/>
  <c r="Y137" i="25" s="1"/>
  <c r="AD301" i="25"/>
  <c r="AA301" i="25" s="1"/>
  <c r="Z301" i="25" s="1"/>
  <c r="Y301" i="25" s="1"/>
  <c r="AD164" i="25"/>
  <c r="AA164" i="25" s="1"/>
  <c r="Z164" i="25" s="1"/>
  <c r="Y164" i="25" s="1"/>
  <c r="AD181" i="25"/>
  <c r="AD108" i="25"/>
  <c r="AA108" i="25" s="1"/>
  <c r="Z108" i="25" s="1"/>
  <c r="Y108" i="25" s="1"/>
  <c r="AD261" i="25"/>
  <c r="AD287" i="25"/>
  <c r="AD376" i="25"/>
  <c r="AA376" i="25" s="1"/>
  <c r="Z376" i="25" s="1"/>
  <c r="Y376" i="25" s="1"/>
  <c r="AD204" i="25"/>
  <c r="AA204" i="25" s="1"/>
  <c r="Z204" i="25" s="1"/>
  <c r="Y204" i="25" s="1"/>
  <c r="AD148" i="25"/>
  <c r="AD300" i="25"/>
  <c r="AA300" i="25" s="1"/>
  <c r="Z300" i="25" s="1"/>
  <c r="Y300" i="25" s="1"/>
  <c r="AD227" i="25"/>
  <c r="D253" i="25"/>
  <c r="E253" i="25" s="1"/>
  <c r="F253" i="25" s="1"/>
  <c r="G253" i="25" s="1"/>
  <c r="CF253" i="6" s="1"/>
  <c r="W136" i="25"/>
  <c r="W252" i="25"/>
  <c r="W218" i="25"/>
  <c r="D325" i="25"/>
  <c r="E325" i="25" s="1"/>
  <c r="F325" i="25" s="1"/>
  <c r="H325" i="25" s="1"/>
  <c r="D262" i="25"/>
  <c r="E262" i="25" s="1"/>
  <c r="F262" i="25" s="1"/>
  <c r="AA272" i="24"/>
  <c r="Z272" i="24" s="1"/>
  <c r="Y272" i="24" s="1"/>
  <c r="D223" i="25"/>
  <c r="E223" i="25" s="1"/>
  <c r="F223" i="25" s="1"/>
  <c r="W236" i="25"/>
  <c r="W224" i="25"/>
  <c r="W109" i="25"/>
  <c r="D292" i="25"/>
  <c r="E292" i="25" s="1"/>
  <c r="F292" i="25" s="1"/>
  <c r="D299" i="25"/>
  <c r="E299" i="25" s="1"/>
  <c r="F299" i="25" s="1"/>
  <c r="H299" i="25" s="1"/>
  <c r="D281" i="25"/>
  <c r="E281" i="25" s="1"/>
  <c r="F281" i="25" s="1"/>
  <c r="AA281" i="25" s="1"/>
  <c r="Z281" i="25" s="1"/>
  <c r="Y281" i="25" s="1"/>
  <c r="W334" i="25"/>
  <c r="W324" i="25"/>
  <c r="AH76" i="7"/>
  <c r="G272" i="24"/>
  <c r="CE272" i="6" s="1"/>
  <c r="D203" i="25"/>
  <c r="E203" i="25" s="1"/>
  <c r="F203" i="25" s="1"/>
  <c r="H203" i="25" s="1"/>
  <c r="W142" i="25"/>
  <c r="W111" i="25"/>
  <c r="W343" i="25"/>
  <c r="W157" i="25"/>
  <c r="W350" i="25"/>
  <c r="D148" i="25"/>
  <c r="E148" i="25" s="1"/>
  <c r="F148" i="25" s="1"/>
  <c r="G148" i="25" s="1"/>
  <c r="CF148" i="6" s="1"/>
  <c r="D200" i="25"/>
  <c r="E200" i="25" s="1"/>
  <c r="F200" i="25" s="1"/>
  <c r="G200" i="25" s="1"/>
  <c r="CF200" i="6" s="1"/>
  <c r="W127" i="25"/>
  <c r="D172" i="25"/>
  <c r="E172" i="25" s="1"/>
  <c r="F172" i="25" s="1"/>
  <c r="G172" i="25" s="1"/>
  <c r="CF172" i="6" s="1"/>
  <c r="D147" i="25"/>
  <c r="E147" i="25" s="1"/>
  <c r="F147" i="25" s="1"/>
  <c r="H147" i="25" s="1"/>
  <c r="D261" i="25"/>
  <c r="E261" i="25" s="1"/>
  <c r="F261" i="25" s="1"/>
  <c r="G261" i="25" s="1"/>
  <c r="CF261" i="6" s="1"/>
  <c r="W294" i="25"/>
  <c r="W254" i="25"/>
  <c r="D336" i="25"/>
  <c r="E336" i="25" s="1"/>
  <c r="F336" i="25" s="1"/>
  <c r="G336" i="25" s="1"/>
  <c r="CF336" i="6" s="1"/>
  <c r="W198" i="25"/>
  <c r="W345" i="25"/>
  <c r="W178" i="25"/>
  <c r="W187" i="25"/>
  <c r="D283" i="25"/>
  <c r="E283" i="25" s="1"/>
  <c r="F283" i="25" s="1"/>
  <c r="G283" i="25" s="1"/>
  <c r="CF283" i="6" s="1"/>
  <c r="W114" i="25"/>
  <c r="W312" i="25"/>
  <c r="W199" i="25"/>
  <c r="D246" i="25"/>
  <c r="E246" i="25" s="1"/>
  <c r="F246" i="25" s="1"/>
  <c r="G246" i="25" s="1"/>
  <c r="CF246" i="6" s="1"/>
  <c r="D145" i="25"/>
  <c r="E145" i="25" s="1"/>
  <c r="F145" i="25" s="1"/>
  <c r="W168" i="25"/>
  <c r="D105" i="25"/>
  <c r="E105" i="25" s="1"/>
  <c r="F105" i="25" s="1"/>
  <c r="H105" i="25" s="1"/>
  <c r="J105" i="25" s="1"/>
  <c r="D205" i="25"/>
  <c r="E205" i="25" s="1"/>
  <c r="F205" i="25" s="1"/>
  <c r="H205" i="25" s="1"/>
  <c r="V379" i="25"/>
  <c r="D44" i="19"/>
  <c r="D33" i="19" s="1"/>
  <c r="C17" i="19"/>
  <c r="F41" i="19"/>
  <c r="AI382" i="25"/>
  <c r="AH381" i="25"/>
  <c r="AH382" i="25"/>
  <c r="AD77" i="25"/>
  <c r="AD48" i="25"/>
  <c r="AD70" i="25"/>
  <c r="AA70" i="25" s="1"/>
  <c r="Z70" i="25" s="1"/>
  <c r="Y70" i="25" s="1"/>
  <c r="AD21" i="25"/>
  <c r="AD52" i="25"/>
  <c r="AA52" i="25" s="1"/>
  <c r="Z52" i="25" s="1"/>
  <c r="Y52" i="25" s="1"/>
  <c r="AD81" i="25"/>
  <c r="AA81" i="25" s="1"/>
  <c r="Z81" i="25" s="1"/>
  <c r="Y81" i="25" s="1"/>
  <c r="AD92" i="25"/>
  <c r="AA92" i="25" s="1"/>
  <c r="Z92" i="25" s="1"/>
  <c r="Y92" i="25" s="1"/>
  <c r="AD23" i="25"/>
  <c r="AA23" i="25" s="1"/>
  <c r="Z23" i="25" s="1"/>
  <c r="Y23" i="25" s="1"/>
  <c r="AD88" i="25"/>
  <c r="AD38" i="25"/>
  <c r="AA38" i="25" s="1"/>
  <c r="Z38" i="25" s="1"/>
  <c r="Y38" i="25" s="1"/>
  <c r="AK13" i="20"/>
  <c r="AD381" i="23"/>
  <c r="AD383" i="23"/>
  <c r="AD382" i="23"/>
  <c r="AD42" i="25"/>
  <c r="AD33" i="25"/>
  <c r="AA33" i="25" s="1"/>
  <c r="Z33" i="25" s="1"/>
  <c r="Y33" i="25" s="1"/>
  <c r="AD26" i="25"/>
  <c r="AD64" i="25"/>
  <c r="AD34" i="25"/>
  <c r="AD44" i="25"/>
  <c r="AG381" i="24"/>
  <c r="AF15" i="24"/>
  <c r="AG383" i="24"/>
  <c r="AG382" i="24"/>
  <c r="AD76" i="25"/>
  <c r="AA76" i="25" s="1"/>
  <c r="Z76" i="25" s="1"/>
  <c r="Y76" i="25" s="1"/>
  <c r="AD85" i="25"/>
  <c r="AD93" i="25"/>
  <c r="AA93" i="25" s="1"/>
  <c r="Z93" i="25" s="1"/>
  <c r="Y93" i="25" s="1"/>
  <c r="AD99" i="25"/>
  <c r="AA99" i="25" s="1"/>
  <c r="Z99" i="25" s="1"/>
  <c r="Y99" i="25" s="1"/>
  <c r="AD17" i="25"/>
  <c r="AD68" i="25"/>
  <c r="AD49" i="25"/>
  <c r="AD56" i="25"/>
  <c r="AD61" i="25"/>
  <c r="AD89" i="25"/>
  <c r="AA89" i="25" s="1"/>
  <c r="Z89" i="25" s="1"/>
  <c r="Y89" i="25" s="1"/>
  <c r="AD53" i="25"/>
  <c r="AA53" i="25" s="1"/>
  <c r="Z53" i="25" s="1"/>
  <c r="Y53" i="25" s="1"/>
  <c r="AD39" i="25"/>
  <c r="AA39" i="25" s="1"/>
  <c r="Z39" i="25" s="1"/>
  <c r="Y39" i="25" s="1"/>
  <c r="AD50" i="25"/>
  <c r="AA50" i="25" s="1"/>
  <c r="Z50" i="25" s="1"/>
  <c r="Y50" i="25" s="1"/>
  <c r="AL9" i="20"/>
  <c r="AM7" i="20"/>
  <c r="AD82" i="25"/>
  <c r="AD28" i="25"/>
  <c r="AA28" i="25" s="1"/>
  <c r="Z28" i="25" s="1"/>
  <c r="Y28" i="25" s="1"/>
  <c r="AD30" i="25"/>
  <c r="AA30" i="25" s="1"/>
  <c r="Z30" i="25" s="1"/>
  <c r="Y30" i="25" s="1"/>
  <c r="AD95" i="25"/>
  <c r="AA95" i="25" s="1"/>
  <c r="Z95" i="25" s="1"/>
  <c r="Y95" i="25" s="1"/>
  <c r="AD63" i="25"/>
  <c r="AA63" i="25" s="1"/>
  <c r="Z63" i="25" s="1"/>
  <c r="Y63" i="25" s="1"/>
  <c r="AD69" i="25"/>
  <c r="AA69" i="25" s="1"/>
  <c r="Z69" i="25" s="1"/>
  <c r="Y69" i="25" s="1"/>
  <c r="AD55" i="25"/>
  <c r="AA55" i="25" s="1"/>
  <c r="Z55" i="25" s="1"/>
  <c r="Y55" i="25" s="1"/>
  <c r="AD37" i="25"/>
  <c r="AA37" i="25" s="1"/>
  <c r="Z37" i="25" s="1"/>
  <c r="Y37" i="25" s="1"/>
  <c r="AD66" i="25"/>
  <c r="AA66" i="25" s="1"/>
  <c r="Z66" i="25" s="1"/>
  <c r="Y66" i="25" s="1"/>
  <c r="AD18" i="25"/>
  <c r="AA18" i="25" s="1"/>
  <c r="Z18" i="25" s="1"/>
  <c r="Y18" i="25" s="1"/>
  <c r="AD75" i="25"/>
  <c r="AA75" i="25" s="1"/>
  <c r="Z75" i="25" s="1"/>
  <c r="Y75" i="25" s="1"/>
  <c r="AD45" i="25"/>
  <c r="AA45" i="25" s="1"/>
  <c r="Z45" i="25" s="1"/>
  <c r="Y45" i="25" s="1"/>
  <c r="AD101" i="25"/>
  <c r="AA101" i="25" s="1"/>
  <c r="Z101" i="25" s="1"/>
  <c r="Y101" i="25" s="1"/>
  <c r="AM10" i="22"/>
  <c r="AK10" i="22"/>
  <c r="AK12" i="22" s="1"/>
  <c r="AK13" i="22" s="1"/>
  <c r="F381" i="22"/>
  <c r="F383" i="22"/>
  <c r="G15" i="22"/>
  <c r="CC15" i="6" s="1"/>
  <c r="F382" i="22"/>
  <c r="AA15" i="22"/>
  <c r="AL10" i="22" s="1"/>
  <c r="F9" i="22"/>
  <c r="S381" i="25"/>
  <c r="S383" i="25"/>
  <c r="S382" i="25"/>
  <c r="R15" i="25"/>
  <c r="G16" i="19"/>
  <c r="J40" i="19" s="1"/>
  <c r="AB9" i="20"/>
  <c r="F11" i="20"/>
  <c r="AM8" i="20"/>
  <c r="AL10" i="20"/>
  <c r="AA9" i="20"/>
  <c r="Z15" i="20"/>
  <c r="AL7" i="20" s="1"/>
  <c r="AA381" i="20"/>
  <c r="AA383" i="20"/>
  <c r="AA382" i="20"/>
  <c r="P383" i="24"/>
  <c r="V15" i="24"/>
  <c r="B15" i="24" s="1"/>
  <c r="AJ6" i="24" s="1"/>
  <c r="P382" i="24"/>
  <c r="P381" i="24"/>
  <c r="AG381" i="25"/>
  <c r="AG383" i="25"/>
  <c r="AG382" i="25"/>
  <c r="AF15" i="25"/>
  <c r="I380" i="25"/>
  <c r="J380" i="25"/>
  <c r="I149" i="23"/>
  <c r="H149" i="24" s="1"/>
  <c r="I149" i="24" s="1"/>
  <c r="J149" i="23"/>
  <c r="G382" i="20"/>
  <c r="G381" i="20"/>
  <c r="G383" i="20"/>
  <c r="G12" i="20" s="1"/>
  <c r="J15" i="20"/>
  <c r="I15" i="20"/>
  <c r="H15" i="22" s="1"/>
  <c r="Y149" i="22"/>
  <c r="B383" i="23"/>
  <c r="W15" i="23"/>
  <c r="B381" i="23"/>
  <c r="AK6" i="23"/>
  <c r="D15" i="23"/>
  <c r="AJ7" i="23" s="1"/>
  <c r="B382" i="23"/>
  <c r="AJ6" i="23"/>
  <c r="H9" i="23"/>
  <c r="B18" i="19" s="1"/>
  <c r="K70" i="19"/>
  <c r="K58" i="19" s="1"/>
  <c r="G70" i="19"/>
  <c r="G58" i="19" s="1"/>
  <c r="G318" i="25"/>
  <c r="CF318" i="6" s="1"/>
  <c r="H318" i="25"/>
  <c r="H28" i="25"/>
  <c r="G28" i="25"/>
  <c r="CF28" i="6" s="1"/>
  <c r="G50" i="25"/>
  <c r="CF50" i="6" s="1"/>
  <c r="H50" i="25"/>
  <c r="G142" i="25"/>
  <c r="CF142" i="6" s="1"/>
  <c r="AA142" i="25"/>
  <c r="Z142" i="25" s="1"/>
  <c r="Y142" i="25" s="1"/>
  <c r="H142" i="25"/>
  <c r="H125" i="25"/>
  <c r="G125" i="25"/>
  <c r="CF125" i="6" s="1"/>
  <c r="H84" i="25"/>
  <c r="G84" i="25"/>
  <c r="CF84" i="6" s="1"/>
  <c r="H63" i="25"/>
  <c r="G63" i="25"/>
  <c r="CF63" i="6" s="1"/>
  <c r="H342" i="25"/>
  <c r="G342" i="25"/>
  <c r="CF342" i="6" s="1"/>
  <c r="AA342" i="25"/>
  <c r="Z342" i="25" s="1"/>
  <c r="Y342" i="25" s="1"/>
  <c r="G127" i="25"/>
  <c r="CF127" i="6" s="1"/>
  <c r="AA127" i="25"/>
  <c r="Z127" i="25" s="1"/>
  <c r="Y127" i="25" s="1"/>
  <c r="H127" i="25"/>
  <c r="H174" i="25"/>
  <c r="G174" i="25"/>
  <c r="CF174" i="6" s="1"/>
  <c r="G55" i="25"/>
  <c r="CF55" i="6" s="1"/>
  <c r="H55" i="25"/>
  <c r="G213" i="25"/>
  <c r="CF213" i="6" s="1"/>
  <c r="H213" i="25"/>
  <c r="G280" i="25"/>
  <c r="CF280" i="6" s="1"/>
  <c r="H280" i="25"/>
  <c r="AA280" i="25"/>
  <c r="Z280" i="25" s="1"/>
  <c r="Y280" i="25" s="1"/>
  <c r="AA185" i="25"/>
  <c r="Z185" i="25" s="1"/>
  <c r="Y185" i="25" s="1"/>
  <c r="H185" i="25"/>
  <c r="G185" i="25"/>
  <c r="CF185" i="6" s="1"/>
  <c r="H250" i="25"/>
  <c r="AA250" i="25"/>
  <c r="Z250" i="25" s="1"/>
  <c r="Y250" i="25" s="1"/>
  <c r="G250" i="25"/>
  <c r="CF250" i="6" s="1"/>
  <c r="G264" i="25"/>
  <c r="CF264" i="6" s="1"/>
  <c r="H264" i="25"/>
  <c r="G370" i="25"/>
  <c r="CF370" i="6" s="1"/>
  <c r="H370" i="25"/>
  <c r="G165" i="25"/>
  <c r="CF165" i="6" s="1"/>
  <c r="H165" i="25"/>
  <c r="H22" i="25"/>
  <c r="G22" i="25"/>
  <c r="CF22" i="6" s="1"/>
  <c r="G354" i="25"/>
  <c r="CF354" i="6" s="1"/>
  <c r="H354" i="25"/>
  <c r="H234" i="25"/>
  <c r="G234" i="25"/>
  <c r="CF234" i="6" s="1"/>
  <c r="AA234" i="25"/>
  <c r="Z234" i="25" s="1"/>
  <c r="Y234" i="25" s="1"/>
  <c r="AA249" i="25"/>
  <c r="Z249" i="25" s="1"/>
  <c r="Y249" i="25" s="1"/>
  <c r="H249" i="25"/>
  <c r="G249" i="25"/>
  <c r="CF249" i="6" s="1"/>
  <c r="W288" i="25"/>
  <c r="D288" i="25"/>
  <c r="E288" i="25" s="1"/>
  <c r="F288" i="25" s="1"/>
  <c r="G230" i="25"/>
  <c r="CF230" i="6" s="1"/>
  <c r="AA230" i="25"/>
  <c r="Z230" i="25" s="1"/>
  <c r="Y230" i="25" s="1"/>
  <c r="H230" i="25"/>
  <c r="G343" i="25"/>
  <c r="CF343" i="6" s="1"/>
  <c r="H343" i="25"/>
  <c r="G376" i="25"/>
  <c r="CF376" i="6" s="1"/>
  <c r="H376" i="25"/>
  <c r="G81" i="25"/>
  <c r="CF81" i="6" s="1"/>
  <c r="H81" i="25"/>
  <c r="G123" i="25"/>
  <c r="CF123" i="6" s="1"/>
  <c r="H123" i="25"/>
  <c r="G259" i="25"/>
  <c r="CF259" i="6" s="1"/>
  <c r="H259" i="25"/>
  <c r="H116" i="25"/>
  <c r="G116" i="25"/>
  <c r="CF116" i="6" s="1"/>
  <c r="H109" i="25"/>
  <c r="G109" i="25"/>
  <c r="CF109" i="6" s="1"/>
  <c r="H361" i="25"/>
  <c r="G361" i="25"/>
  <c r="CF361" i="6" s="1"/>
  <c r="AA361" i="25"/>
  <c r="Z361" i="25" s="1"/>
  <c r="Y361" i="25" s="1"/>
  <c r="H226" i="25"/>
  <c r="G226" i="25"/>
  <c r="CF226" i="6" s="1"/>
  <c r="G359" i="25"/>
  <c r="CF359" i="6" s="1"/>
  <c r="H359" i="25"/>
  <c r="G265" i="25"/>
  <c r="CF265" i="6" s="1"/>
  <c r="H265" i="25"/>
  <c r="H120" i="25"/>
  <c r="G120" i="25"/>
  <c r="CF120" i="6" s="1"/>
  <c r="H130" i="25"/>
  <c r="AA130" i="25"/>
  <c r="Z130" i="25" s="1"/>
  <c r="Y130" i="25" s="1"/>
  <c r="G130" i="25"/>
  <c r="CF130" i="6" s="1"/>
  <c r="G368" i="25"/>
  <c r="CF368" i="6" s="1"/>
  <c r="H368" i="25"/>
  <c r="H173" i="25"/>
  <c r="G173" i="25"/>
  <c r="CF173" i="6" s="1"/>
  <c r="AA104" i="25"/>
  <c r="Z104" i="25" s="1"/>
  <c r="Y104" i="25" s="1"/>
  <c r="H104" i="25"/>
  <c r="G104" i="25"/>
  <c r="CF104" i="6" s="1"/>
  <c r="H301" i="25"/>
  <c r="G301" i="25"/>
  <c r="CF301" i="6" s="1"/>
  <c r="H195" i="25"/>
  <c r="G195" i="25"/>
  <c r="CF195" i="6" s="1"/>
  <c r="AA284" i="25"/>
  <c r="Z284" i="25" s="1"/>
  <c r="Y284" i="25" s="1"/>
  <c r="G284" i="25"/>
  <c r="CF284" i="6" s="1"/>
  <c r="H284" i="25"/>
  <c r="G188" i="25"/>
  <c r="CF188" i="6" s="1"/>
  <c r="H188" i="25"/>
  <c r="G73" i="25"/>
  <c r="CF73" i="6" s="1"/>
  <c r="H73" i="25"/>
  <c r="H327" i="25"/>
  <c r="G327" i="25"/>
  <c r="CF327" i="6" s="1"/>
  <c r="G70" i="25"/>
  <c r="CF70" i="6" s="1"/>
  <c r="H70" i="25"/>
  <c r="G285" i="25"/>
  <c r="CF285" i="6" s="1"/>
  <c r="H285" i="25"/>
  <c r="H86" i="25"/>
  <c r="G86" i="25"/>
  <c r="CF86" i="6" s="1"/>
  <c r="H267" i="25"/>
  <c r="G267" i="25"/>
  <c r="CF267" i="6" s="1"/>
  <c r="H53" i="25"/>
  <c r="G53" i="25"/>
  <c r="CF53" i="6" s="1"/>
  <c r="G271" i="25"/>
  <c r="CF271" i="6" s="1"/>
  <c r="H271" i="25"/>
  <c r="AA71" i="25"/>
  <c r="Z71" i="25" s="1"/>
  <c r="Y71" i="25" s="1"/>
  <c r="G71" i="25"/>
  <c r="CF71" i="6" s="1"/>
  <c r="H71" i="25"/>
  <c r="G374" i="25"/>
  <c r="CF374" i="6" s="1"/>
  <c r="H374" i="25"/>
  <c r="H341" i="25"/>
  <c r="AA341" i="25"/>
  <c r="Z341" i="25" s="1"/>
  <c r="Y341" i="25" s="1"/>
  <c r="G341" i="25"/>
  <c r="CF341" i="6" s="1"/>
  <c r="H108" i="25"/>
  <c r="G108" i="25"/>
  <c r="CF108" i="6" s="1"/>
  <c r="I272" i="24"/>
  <c r="J272" i="24"/>
  <c r="I241" i="24"/>
  <c r="J241" i="24"/>
  <c r="H221" i="25"/>
  <c r="AA221" i="25"/>
  <c r="Z221" i="25" s="1"/>
  <c r="Y221" i="25" s="1"/>
  <c r="G221" i="25"/>
  <c r="CF221" i="6" s="1"/>
  <c r="H70" i="19"/>
  <c r="AA57" i="25"/>
  <c r="Z57" i="25" s="1"/>
  <c r="Y57" i="25" s="1"/>
  <c r="G57" i="25"/>
  <c r="CF57" i="6" s="1"/>
  <c r="H57" i="25"/>
  <c r="H138" i="25"/>
  <c r="G138" i="25"/>
  <c r="CF138" i="6" s="1"/>
  <c r="H378" i="25"/>
  <c r="G378" i="25"/>
  <c r="CF378" i="6" s="1"/>
  <c r="G300" i="25"/>
  <c r="CF300" i="6" s="1"/>
  <c r="H300" i="25"/>
  <c r="H30" i="25"/>
  <c r="G30" i="25"/>
  <c r="CF30" i="6" s="1"/>
  <c r="G369" i="25"/>
  <c r="CF369" i="6" s="1"/>
  <c r="H369" i="25"/>
  <c r="W88" i="25"/>
  <c r="D88" i="25"/>
  <c r="E88" i="25" s="1"/>
  <c r="F88" i="25" s="1"/>
  <c r="H375" i="25"/>
  <c r="G375" i="25"/>
  <c r="CF375" i="6" s="1"/>
  <c r="H214" i="25"/>
  <c r="G214" i="25"/>
  <c r="CF214" i="6" s="1"/>
  <c r="H347" i="25"/>
  <c r="G347" i="25"/>
  <c r="CF347" i="6" s="1"/>
  <c r="G132" i="25"/>
  <c r="CF132" i="6" s="1"/>
  <c r="H132" i="25"/>
  <c r="H164" i="25"/>
  <c r="G164" i="25"/>
  <c r="CF164" i="6" s="1"/>
  <c r="H103" i="25"/>
  <c r="G103" i="25"/>
  <c r="CF103" i="6" s="1"/>
  <c r="G236" i="25"/>
  <c r="CF236" i="6" s="1"/>
  <c r="H236" i="25"/>
  <c r="AA236" i="25"/>
  <c r="Z236" i="25" s="1"/>
  <c r="Y236" i="25" s="1"/>
  <c r="H36" i="25"/>
  <c r="G36" i="25"/>
  <c r="CF36" i="6" s="1"/>
  <c r="G306" i="25"/>
  <c r="CF306" i="6" s="1"/>
  <c r="H306" i="25"/>
  <c r="AA306" i="25"/>
  <c r="Z306" i="25" s="1"/>
  <c r="Y306" i="25" s="1"/>
  <c r="H239" i="25"/>
  <c r="G239" i="25"/>
  <c r="CF239" i="6" s="1"/>
  <c r="H110" i="25"/>
  <c r="G110" i="25"/>
  <c r="CF110" i="6" s="1"/>
  <c r="G43" i="25"/>
  <c r="CF43" i="6" s="1"/>
  <c r="H43" i="25"/>
  <c r="AA252" i="25"/>
  <c r="Z252" i="25" s="1"/>
  <c r="Y252" i="25" s="1"/>
  <c r="G252" i="25"/>
  <c r="CF252" i="6" s="1"/>
  <c r="H252" i="25"/>
  <c r="D180" i="25"/>
  <c r="E180" i="25" s="1"/>
  <c r="F180" i="25" s="1"/>
  <c r="W180" i="25"/>
  <c r="H206" i="25"/>
  <c r="G206" i="25"/>
  <c r="CF206" i="6" s="1"/>
  <c r="AA206" i="25"/>
  <c r="Z206" i="25" s="1"/>
  <c r="Y206" i="25" s="1"/>
  <c r="H19" i="25"/>
  <c r="G19" i="25"/>
  <c r="CF19" i="6" s="1"/>
  <c r="H329" i="25"/>
  <c r="G329" i="25"/>
  <c r="CF329" i="6" s="1"/>
  <c r="G340" i="25"/>
  <c r="CF340" i="6" s="1"/>
  <c r="AA340" i="25"/>
  <c r="Z340" i="25" s="1"/>
  <c r="Y340" i="25" s="1"/>
  <c r="H340" i="25"/>
  <c r="G311" i="25"/>
  <c r="CF311" i="6" s="1"/>
  <c r="AA311" i="25"/>
  <c r="Z311" i="25" s="1"/>
  <c r="Y311" i="25" s="1"/>
  <c r="H311" i="25"/>
  <c r="G79" i="25"/>
  <c r="CF79" i="6" s="1"/>
  <c r="H79" i="25"/>
  <c r="AA79" i="25"/>
  <c r="Z79" i="25" s="1"/>
  <c r="Y79" i="25" s="1"/>
  <c r="G372" i="25"/>
  <c r="CF372" i="6" s="1"/>
  <c r="H372" i="25"/>
  <c r="D302" i="25"/>
  <c r="E302" i="25" s="1"/>
  <c r="F302" i="25" s="1"/>
  <c r="W302" i="25"/>
  <c r="G291" i="25"/>
  <c r="CF291" i="6" s="1"/>
  <c r="H291" i="25"/>
  <c r="G97" i="25"/>
  <c r="CF97" i="6" s="1"/>
  <c r="H97" i="25"/>
  <c r="G184" i="25"/>
  <c r="CF184" i="6" s="1"/>
  <c r="H184" i="25"/>
  <c r="H362" i="25"/>
  <c r="G362" i="25"/>
  <c r="CF362" i="6" s="1"/>
  <c r="H111" i="25"/>
  <c r="G111" i="25"/>
  <c r="CF111" i="6" s="1"/>
  <c r="D70" i="19"/>
  <c r="AA321" i="25"/>
  <c r="Z321" i="25" s="1"/>
  <c r="Y321" i="25" s="1"/>
  <c r="H321" i="25"/>
  <c r="G321" i="25"/>
  <c r="CF321" i="6" s="1"/>
  <c r="H83" i="25"/>
  <c r="G83" i="25"/>
  <c r="CF83" i="6" s="1"/>
  <c r="H90" i="25"/>
  <c r="G90" i="25"/>
  <c r="CF90" i="6" s="1"/>
  <c r="AA209" i="25"/>
  <c r="Z209" i="25" s="1"/>
  <c r="Y209" i="25" s="1"/>
  <c r="H209" i="25"/>
  <c r="G209" i="25"/>
  <c r="CF209" i="6" s="1"/>
  <c r="H204" i="25"/>
  <c r="G204" i="25"/>
  <c r="CF204" i="6" s="1"/>
  <c r="H38" i="25"/>
  <c r="G38" i="25"/>
  <c r="CF38" i="6" s="1"/>
  <c r="G69" i="25"/>
  <c r="CF69" i="6" s="1"/>
  <c r="H69" i="25"/>
  <c r="H137" i="25"/>
  <c r="G137" i="25"/>
  <c r="CF137" i="6" s="1"/>
  <c r="H225" i="25"/>
  <c r="G225" i="25"/>
  <c r="CF225" i="6" s="1"/>
  <c r="H295" i="25"/>
  <c r="G295" i="25"/>
  <c r="CF295" i="6" s="1"/>
  <c r="AA295" i="25"/>
  <c r="Z295" i="25" s="1"/>
  <c r="Y295" i="25" s="1"/>
  <c r="I333" i="24"/>
  <c r="J333" i="24"/>
  <c r="G58" i="25"/>
  <c r="CF58" i="6" s="1"/>
  <c r="H58" i="25"/>
  <c r="H126" i="25"/>
  <c r="G126" i="25"/>
  <c r="CF126" i="6" s="1"/>
  <c r="AA126" i="25"/>
  <c r="Z126" i="25" s="1"/>
  <c r="Y126" i="25" s="1"/>
  <c r="D349" i="25"/>
  <c r="E349" i="25" s="1"/>
  <c r="F349" i="25" s="1"/>
  <c r="W349" i="25"/>
  <c r="G107" i="25"/>
  <c r="CF107" i="6" s="1"/>
  <c r="H107" i="25"/>
  <c r="G144" i="25"/>
  <c r="CF144" i="6" s="1"/>
  <c r="H144" i="25"/>
  <c r="H95" i="25"/>
  <c r="G95" i="25"/>
  <c r="CF95" i="6" s="1"/>
  <c r="H297" i="25"/>
  <c r="G297" i="25"/>
  <c r="CF297" i="6" s="1"/>
  <c r="G198" i="25"/>
  <c r="CF198" i="6" s="1"/>
  <c r="H198" i="25"/>
  <c r="H345" i="25"/>
  <c r="G345" i="25"/>
  <c r="CF345" i="6" s="1"/>
  <c r="G224" i="25"/>
  <c r="CF224" i="6" s="1"/>
  <c r="H224" i="25"/>
  <c r="H344" i="25"/>
  <c r="G344" i="25"/>
  <c r="CF344" i="6" s="1"/>
  <c r="H162" i="25"/>
  <c r="G162" i="25"/>
  <c r="CF162" i="6" s="1"/>
  <c r="H356" i="25"/>
  <c r="G356" i="25"/>
  <c r="CF356" i="6" s="1"/>
  <c r="AA356" i="25"/>
  <c r="Z356" i="25" s="1"/>
  <c r="Y356" i="25" s="1"/>
  <c r="G178" i="25"/>
  <c r="CF178" i="6" s="1"/>
  <c r="H178" i="25"/>
  <c r="G101" i="25"/>
  <c r="CF101" i="6" s="1"/>
  <c r="H101" i="25"/>
  <c r="G98" i="25"/>
  <c r="CF98" i="6" s="1"/>
  <c r="H98" i="25"/>
  <c r="B119" i="25"/>
  <c r="E70" i="19"/>
  <c r="H96" i="25"/>
  <c r="G96" i="25"/>
  <c r="CF96" i="6" s="1"/>
  <c r="H277" i="25"/>
  <c r="G277" i="25"/>
  <c r="CF277" i="6" s="1"/>
  <c r="G177" i="25"/>
  <c r="CF177" i="6" s="1"/>
  <c r="AA177" i="25"/>
  <c r="Z177" i="25" s="1"/>
  <c r="Y177" i="25" s="1"/>
  <c r="H177" i="25"/>
  <c r="AA339" i="25"/>
  <c r="Z339" i="25" s="1"/>
  <c r="Y339" i="25" s="1"/>
  <c r="G339" i="25"/>
  <c r="CF339" i="6" s="1"/>
  <c r="H339" i="25"/>
  <c r="H152" i="25"/>
  <c r="G152" i="25"/>
  <c r="CF152" i="6" s="1"/>
  <c r="H23" i="25"/>
  <c r="G23" i="25"/>
  <c r="CF23" i="6" s="1"/>
  <c r="H365" i="25"/>
  <c r="G365" i="25"/>
  <c r="CF365" i="6" s="1"/>
  <c r="H190" i="25"/>
  <c r="G190" i="25"/>
  <c r="CF190" i="6" s="1"/>
  <c r="G360" i="25"/>
  <c r="CF360" i="6" s="1"/>
  <c r="H360" i="25"/>
  <c r="AA360" i="25"/>
  <c r="Z360" i="25" s="1"/>
  <c r="Y360" i="25" s="1"/>
  <c r="G197" i="25"/>
  <c r="CF197" i="6" s="1"/>
  <c r="H197" i="25"/>
  <c r="W166" i="25"/>
  <c r="D166" i="25"/>
  <c r="E166" i="25" s="1"/>
  <c r="F166" i="25" s="1"/>
  <c r="G39" i="25"/>
  <c r="CF39" i="6" s="1"/>
  <c r="H39" i="25"/>
  <c r="G187" i="25"/>
  <c r="CF187" i="6" s="1"/>
  <c r="H187" i="25"/>
  <c r="AA187" i="25"/>
  <c r="Z187" i="25" s="1"/>
  <c r="Y187" i="25" s="1"/>
  <c r="G37" i="25"/>
  <c r="CF37" i="6" s="1"/>
  <c r="H37" i="25"/>
  <c r="H115" i="25"/>
  <c r="G115" i="25"/>
  <c r="CF115" i="6" s="1"/>
  <c r="AA115" i="25"/>
  <c r="Z115" i="25" s="1"/>
  <c r="Y115" i="25" s="1"/>
  <c r="H296" i="25"/>
  <c r="G296" i="25"/>
  <c r="CF296" i="6" s="1"/>
  <c r="G245" i="25"/>
  <c r="CF245" i="6" s="1"/>
  <c r="H245" i="25"/>
  <c r="G289" i="25"/>
  <c r="CF289" i="6" s="1"/>
  <c r="G100" i="25"/>
  <c r="CF100" i="6" s="1"/>
  <c r="H100" i="25"/>
  <c r="G269" i="25"/>
  <c r="CF269" i="6" s="1"/>
  <c r="H269" i="25"/>
  <c r="G25" i="25"/>
  <c r="CF25" i="6" s="1"/>
  <c r="H94" i="25"/>
  <c r="G94" i="25"/>
  <c r="CF94" i="6" s="1"/>
  <c r="G273" i="25"/>
  <c r="CF273" i="6" s="1"/>
  <c r="H273" i="25"/>
  <c r="H348" i="25"/>
  <c r="AA348" i="25"/>
  <c r="Z348" i="25" s="1"/>
  <c r="Y348" i="25" s="1"/>
  <c r="G348" i="25"/>
  <c r="CF348" i="6" s="1"/>
  <c r="H114" i="25"/>
  <c r="G114" i="25"/>
  <c r="CF114" i="6" s="1"/>
  <c r="G169" i="25"/>
  <c r="CF169" i="6" s="1"/>
  <c r="H169" i="25"/>
  <c r="H18" i="25"/>
  <c r="G18" i="25"/>
  <c r="CF18" i="6" s="1"/>
  <c r="H274" i="25"/>
  <c r="AA274" i="25"/>
  <c r="Z274" i="25" s="1"/>
  <c r="Y274" i="25" s="1"/>
  <c r="G274" i="25"/>
  <c r="CF274" i="6" s="1"/>
  <c r="G312" i="25"/>
  <c r="CF312" i="6" s="1"/>
  <c r="H312" i="25"/>
  <c r="AA312" i="25"/>
  <c r="Z312" i="25" s="1"/>
  <c r="Y312" i="25" s="1"/>
  <c r="H233" i="25"/>
  <c r="G233" i="25"/>
  <c r="CF233" i="6" s="1"/>
  <c r="G322" i="25"/>
  <c r="CF322" i="6" s="1"/>
  <c r="AA322" i="25"/>
  <c r="Z322" i="25" s="1"/>
  <c r="Y322" i="25" s="1"/>
  <c r="H322" i="25"/>
  <c r="G324" i="25"/>
  <c r="CF324" i="6" s="1"/>
  <c r="H324" i="25"/>
  <c r="H352" i="25"/>
  <c r="G352" i="25"/>
  <c r="CF352" i="6" s="1"/>
  <c r="G121" i="25"/>
  <c r="CF121" i="6" s="1"/>
  <c r="H121" i="25"/>
  <c r="G194" i="25"/>
  <c r="CF194" i="6" s="1"/>
  <c r="H194" i="25"/>
  <c r="G92" i="25"/>
  <c r="CF92" i="6" s="1"/>
  <c r="H92" i="25"/>
  <c r="H260" i="25"/>
  <c r="AA260" i="25"/>
  <c r="Z260" i="25" s="1"/>
  <c r="Y260" i="25" s="1"/>
  <c r="G260" i="25"/>
  <c r="CF260" i="6" s="1"/>
  <c r="G270" i="25"/>
  <c r="CF270" i="6" s="1"/>
  <c r="H171" i="25"/>
  <c r="G171" i="25"/>
  <c r="CF171" i="6" s="1"/>
  <c r="AA171" i="25"/>
  <c r="Z171" i="25" s="1"/>
  <c r="Y171" i="25" s="1"/>
  <c r="G323" i="25"/>
  <c r="CF323" i="6" s="1"/>
  <c r="H323" i="25"/>
  <c r="B272" i="25"/>
  <c r="J70" i="19"/>
  <c r="H257" i="25"/>
  <c r="G257" i="25"/>
  <c r="CF257" i="6" s="1"/>
  <c r="AA257" i="25"/>
  <c r="Z257" i="25" s="1"/>
  <c r="Y257" i="25" s="1"/>
  <c r="H136" i="25"/>
  <c r="G136" i="25"/>
  <c r="CF136" i="6" s="1"/>
  <c r="G154" i="25"/>
  <c r="CF154" i="6" s="1"/>
  <c r="H154" i="25"/>
  <c r="G99" i="25"/>
  <c r="CF99" i="6" s="1"/>
  <c r="H99" i="25"/>
  <c r="G167" i="25"/>
  <c r="CF167" i="6" s="1"/>
  <c r="H167" i="25"/>
  <c r="H286" i="25"/>
  <c r="G286" i="25"/>
  <c r="CF286" i="6" s="1"/>
  <c r="G118" i="25"/>
  <c r="CF118" i="6" s="1"/>
  <c r="H118" i="25"/>
  <c r="I60" i="24"/>
  <c r="J60" i="24"/>
  <c r="J180" i="24"/>
  <c r="I180" i="24"/>
  <c r="J88" i="24"/>
  <c r="I88" i="24"/>
  <c r="H25" i="25"/>
  <c r="W196" i="25"/>
  <c r="D196" i="25"/>
  <c r="E196" i="25" s="1"/>
  <c r="F196" i="25" s="1"/>
  <c r="W210" i="25"/>
  <c r="D210" i="25"/>
  <c r="E210" i="25" s="1"/>
  <c r="F210" i="25" s="1"/>
  <c r="H207" i="25"/>
  <c r="G207" i="25"/>
  <c r="CF207" i="6" s="1"/>
  <c r="H199" i="25"/>
  <c r="G199" i="25"/>
  <c r="CF199" i="6" s="1"/>
  <c r="H163" i="25"/>
  <c r="G163" i="25"/>
  <c r="CF163" i="6" s="1"/>
  <c r="H102" i="25"/>
  <c r="G102" i="25"/>
  <c r="CF102" i="6" s="1"/>
  <c r="G331" i="25"/>
  <c r="CF331" i="6" s="1"/>
  <c r="H331" i="25"/>
  <c r="G157" i="25"/>
  <c r="CF157" i="6" s="1"/>
  <c r="AA157" i="25"/>
  <c r="Z157" i="25" s="1"/>
  <c r="Y157" i="25" s="1"/>
  <c r="H157" i="25"/>
  <c r="G89" i="25"/>
  <c r="CF89" i="6" s="1"/>
  <c r="H66" i="25"/>
  <c r="G66" i="25"/>
  <c r="CF66" i="6" s="1"/>
  <c r="H334" i="25"/>
  <c r="AA334" i="25"/>
  <c r="Z334" i="25" s="1"/>
  <c r="Y334" i="25" s="1"/>
  <c r="G334" i="25"/>
  <c r="CF334" i="6" s="1"/>
  <c r="H330" i="25"/>
  <c r="H112" i="25"/>
  <c r="G112" i="25"/>
  <c r="CF112" i="6" s="1"/>
  <c r="H350" i="25"/>
  <c r="G350" i="25"/>
  <c r="CF350" i="6" s="1"/>
  <c r="G146" i="25"/>
  <c r="CF146" i="6" s="1"/>
  <c r="H146" i="25"/>
  <c r="AA146" i="25"/>
  <c r="Z146" i="25" s="1"/>
  <c r="Y146" i="25" s="1"/>
  <c r="H91" i="25"/>
  <c r="G91" i="25"/>
  <c r="CF91" i="6" s="1"/>
  <c r="AA159" i="25"/>
  <c r="Z159" i="25" s="1"/>
  <c r="Y159" i="25" s="1"/>
  <c r="G159" i="25"/>
  <c r="CF159" i="6" s="1"/>
  <c r="H159" i="25"/>
  <c r="D227" i="25"/>
  <c r="E227" i="25" s="1"/>
  <c r="F227" i="25" s="1"/>
  <c r="W227" i="25"/>
  <c r="H76" i="25"/>
  <c r="G76" i="25"/>
  <c r="CF76" i="6" s="1"/>
  <c r="H255" i="25"/>
  <c r="G255" i="25"/>
  <c r="CF255" i="6" s="1"/>
  <c r="G332" i="25"/>
  <c r="CF332" i="6" s="1"/>
  <c r="H332" i="25"/>
  <c r="G183" i="25"/>
  <c r="CF183" i="6" s="1"/>
  <c r="H183" i="25"/>
  <c r="G358" i="25"/>
  <c r="CF358" i="6" s="1"/>
  <c r="H358" i="25"/>
  <c r="G218" i="25"/>
  <c r="CF218" i="6" s="1"/>
  <c r="H218" i="25"/>
  <c r="G47" i="25"/>
  <c r="CF47" i="6" s="1"/>
  <c r="H47" i="25"/>
  <c r="H24" i="25"/>
  <c r="G24" i="25"/>
  <c r="CF24" i="6" s="1"/>
  <c r="G106" i="25"/>
  <c r="CF106" i="6" s="1"/>
  <c r="AA106" i="25"/>
  <c r="Z106" i="25" s="1"/>
  <c r="Y106" i="25" s="1"/>
  <c r="H106" i="25"/>
  <c r="H294" i="25"/>
  <c r="G294" i="25"/>
  <c r="CF294" i="6" s="1"/>
  <c r="AA294" i="25"/>
  <c r="Z294" i="25" s="1"/>
  <c r="Y294" i="25" s="1"/>
  <c r="G72" i="25"/>
  <c r="CF72" i="6" s="1"/>
  <c r="H72" i="25"/>
  <c r="H373" i="25"/>
  <c r="G373" i="25"/>
  <c r="CF373" i="6" s="1"/>
  <c r="AA373" i="25"/>
  <c r="Z373" i="25" s="1"/>
  <c r="Y373" i="25" s="1"/>
  <c r="H242" i="25"/>
  <c r="G242" i="25"/>
  <c r="CF242" i="6" s="1"/>
  <c r="G201" i="25"/>
  <c r="CF201" i="6" s="1"/>
  <c r="H201" i="25"/>
  <c r="AA201" i="25"/>
  <c r="Z201" i="25" s="1"/>
  <c r="Y201" i="25" s="1"/>
  <c r="H248" i="25"/>
  <c r="G248" i="25"/>
  <c r="CF248" i="6" s="1"/>
  <c r="H59" i="25"/>
  <c r="G59" i="25"/>
  <c r="CF59" i="6" s="1"/>
  <c r="G244" i="25"/>
  <c r="CF244" i="6" s="1"/>
  <c r="H244" i="25"/>
  <c r="H93" i="25"/>
  <c r="G93" i="25"/>
  <c r="CF93" i="6" s="1"/>
  <c r="G243" i="25"/>
  <c r="CF243" i="6" s="1"/>
  <c r="H243" i="25"/>
  <c r="AA243" i="25"/>
  <c r="Z243" i="25" s="1"/>
  <c r="Y243" i="25" s="1"/>
  <c r="H254" i="25"/>
  <c r="G254" i="25"/>
  <c r="CF254" i="6" s="1"/>
  <c r="G319" i="25"/>
  <c r="CF319" i="6" s="1"/>
  <c r="H319" i="25"/>
  <c r="H240" i="25"/>
  <c r="G240" i="25"/>
  <c r="CF240" i="6" s="1"/>
  <c r="G33" i="25"/>
  <c r="CF33" i="6" s="1"/>
  <c r="H33" i="25"/>
  <c r="H52" i="25"/>
  <c r="G52" i="25"/>
  <c r="CF52" i="6" s="1"/>
  <c r="G293" i="25"/>
  <c r="CF293" i="6" s="1"/>
  <c r="H293" i="25"/>
  <c r="H276" i="25"/>
  <c r="G276" i="25"/>
  <c r="CF276" i="6" s="1"/>
  <c r="G238" i="25"/>
  <c r="CF238" i="6" s="1"/>
  <c r="AA238" i="25"/>
  <c r="Z238" i="25" s="1"/>
  <c r="Y238" i="25" s="1"/>
  <c r="H238" i="25"/>
  <c r="W74" i="25"/>
  <c r="D74" i="25"/>
  <c r="E74" i="25" s="1"/>
  <c r="F74" i="25" s="1"/>
  <c r="G176" i="25"/>
  <c r="CF176" i="6" s="1"/>
  <c r="H176" i="25"/>
  <c r="H151" i="25"/>
  <c r="AA151" i="25"/>
  <c r="Z151" i="25" s="1"/>
  <c r="Y151" i="25" s="1"/>
  <c r="G151" i="25"/>
  <c r="CF151" i="6" s="1"/>
  <c r="H32" i="25"/>
  <c r="G32" i="25"/>
  <c r="CF32" i="6" s="1"/>
  <c r="H168" i="25"/>
  <c r="G168" i="25"/>
  <c r="CF168" i="6" s="1"/>
  <c r="G54" i="25"/>
  <c r="CF54" i="6" s="1"/>
  <c r="H54" i="25"/>
  <c r="H371" i="25"/>
  <c r="G371" i="25"/>
  <c r="CF371" i="6" s="1"/>
  <c r="G228" i="25"/>
  <c r="CF228" i="6" s="1"/>
  <c r="H228" i="25"/>
  <c r="G367" i="25"/>
  <c r="CF367" i="6" s="1"/>
  <c r="H367" i="25"/>
  <c r="AA367" i="25"/>
  <c r="Z367" i="25" s="1"/>
  <c r="Y367" i="25" s="1"/>
  <c r="I210" i="24"/>
  <c r="J210" i="24"/>
  <c r="J363" i="24"/>
  <c r="I363" i="24"/>
  <c r="J46" i="25"/>
  <c r="I46" i="25"/>
  <c r="AA179" i="25" l="1"/>
  <c r="Z179" i="25" s="1"/>
  <c r="Y179" i="25" s="1"/>
  <c r="G62" i="25"/>
  <c r="CF62" i="6" s="1"/>
  <c r="H304" i="25"/>
  <c r="I304" i="25" s="1"/>
  <c r="H305" i="25"/>
  <c r="I305" i="25" s="1"/>
  <c r="G235" i="25"/>
  <c r="CF235" i="6" s="1"/>
  <c r="G326" i="25"/>
  <c r="CF326" i="6" s="1"/>
  <c r="G212" i="25"/>
  <c r="CF212" i="6" s="1"/>
  <c r="H308" i="25"/>
  <c r="I308" i="25" s="1"/>
  <c r="G220" i="25"/>
  <c r="CF220" i="6" s="1"/>
  <c r="H202" i="25"/>
  <c r="J202" i="25" s="1"/>
  <c r="H268" i="25"/>
  <c r="J268" i="25" s="1"/>
  <c r="H212" i="25"/>
  <c r="I212" i="25" s="1"/>
  <c r="W241" i="25"/>
  <c r="I70" i="19"/>
  <c r="I59" i="19" s="1"/>
  <c r="H175" i="25"/>
  <c r="J175" i="25" s="1"/>
  <c r="AA287" i="25"/>
  <c r="Z287" i="25" s="1"/>
  <c r="Y287" i="25" s="1"/>
  <c r="AA20" i="25"/>
  <c r="Z20" i="25" s="1"/>
  <c r="Y20" i="25" s="1"/>
  <c r="AA307" i="25"/>
  <c r="Z307" i="25" s="1"/>
  <c r="Y307" i="25" s="1"/>
  <c r="AA65" i="25"/>
  <c r="Z65" i="25" s="1"/>
  <c r="Y65" i="25" s="1"/>
  <c r="AA335" i="25"/>
  <c r="Z335" i="25" s="1"/>
  <c r="Y335" i="25" s="1"/>
  <c r="AA182" i="25"/>
  <c r="Z182" i="25" s="1"/>
  <c r="Y182" i="25" s="1"/>
  <c r="AA330" i="25"/>
  <c r="Z330" i="25" s="1"/>
  <c r="Y330" i="25" s="1"/>
  <c r="G44" i="25"/>
  <c r="CF44" i="6" s="1"/>
  <c r="G330" i="25"/>
  <c r="CF330" i="6" s="1"/>
  <c r="H85" i="25"/>
  <c r="I85" i="25" s="1"/>
  <c r="G75" i="25"/>
  <c r="CF75" i="6" s="1"/>
  <c r="H16" i="25"/>
  <c r="J16" i="25" s="1"/>
  <c r="G27" i="25"/>
  <c r="CF27" i="6" s="1"/>
  <c r="H258" i="25"/>
  <c r="J258" i="25" s="1"/>
  <c r="G156" i="25"/>
  <c r="CF156" i="6" s="1"/>
  <c r="G258" i="25"/>
  <c r="CF258" i="6" s="1"/>
  <c r="AA62" i="25"/>
  <c r="Z62" i="25" s="1"/>
  <c r="Y62" i="25" s="1"/>
  <c r="AA337" i="25"/>
  <c r="Z337" i="25" s="1"/>
  <c r="Y337" i="25" s="1"/>
  <c r="AA298" i="25"/>
  <c r="Z298" i="25" s="1"/>
  <c r="Y298" i="25" s="1"/>
  <c r="AA158" i="25"/>
  <c r="Z158" i="25" s="1"/>
  <c r="Y158" i="25" s="1"/>
  <c r="AA27" i="25"/>
  <c r="Z27" i="25" s="1"/>
  <c r="Y27" i="25" s="1"/>
  <c r="AA85" i="25"/>
  <c r="Z85" i="25" s="1"/>
  <c r="Y85" i="25" s="1"/>
  <c r="AA44" i="25"/>
  <c r="Z44" i="25" s="1"/>
  <c r="Y44" i="25" s="1"/>
  <c r="AA16" i="25"/>
  <c r="Z16" i="25" s="1"/>
  <c r="Y16" i="25" s="1"/>
  <c r="AA304" i="25"/>
  <c r="Z304" i="25" s="1"/>
  <c r="Y304" i="25" s="1"/>
  <c r="G268" i="25"/>
  <c r="CF268" i="6" s="1"/>
  <c r="H287" i="25"/>
  <c r="I287" i="25" s="1"/>
  <c r="H155" i="25"/>
  <c r="I155" i="25" s="1"/>
  <c r="AA191" i="25"/>
  <c r="Z191" i="25" s="1"/>
  <c r="Y191" i="25" s="1"/>
  <c r="H220" i="25"/>
  <c r="I220" i="25" s="1"/>
  <c r="H131" i="25"/>
  <c r="J131" i="25" s="1"/>
  <c r="AA155" i="25"/>
  <c r="Z155" i="25" s="1"/>
  <c r="Y155" i="25" s="1"/>
  <c r="G191" i="25"/>
  <c r="CF191" i="6" s="1"/>
  <c r="AA202" i="25"/>
  <c r="Z202" i="25" s="1"/>
  <c r="Y202" i="25" s="1"/>
  <c r="AA175" i="25"/>
  <c r="Z175" i="25" s="1"/>
  <c r="Y175" i="25" s="1"/>
  <c r="AA326" i="25"/>
  <c r="Z326" i="25" s="1"/>
  <c r="Y326" i="25" s="1"/>
  <c r="H298" i="25"/>
  <c r="I298" i="25" s="1"/>
  <c r="D363" i="25"/>
  <c r="E363" i="25" s="1"/>
  <c r="F363" i="25" s="1"/>
  <c r="AA363" i="25" s="1"/>
  <c r="Z363" i="25" s="1"/>
  <c r="Y363" i="25" s="1"/>
  <c r="G140" i="25"/>
  <c r="CF140" i="6" s="1"/>
  <c r="G211" i="25"/>
  <c r="CF211" i="6" s="1"/>
  <c r="H156" i="25"/>
  <c r="I156" i="25" s="1"/>
  <c r="H179" i="25"/>
  <c r="I179" i="25" s="1"/>
  <c r="AA140" i="25"/>
  <c r="Z140" i="25" s="1"/>
  <c r="Y140" i="25" s="1"/>
  <c r="AA353" i="25"/>
  <c r="Z353" i="25" s="1"/>
  <c r="Y353" i="25" s="1"/>
  <c r="H235" i="25"/>
  <c r="J235" i="25" s="1"/>
  <c r="M70" i="19"/>
  <c r="M58" i="19" s="1"/>
  <c r="AA211" i="25"/>
  <c r="Z211" i="25" s="1"/>
  <c r="Y211" i="25" s="1"/>
  <c r="H78" i="25"/>
  <c r="I78" i="25" s="1"/>
  <c r="G113" i="25"/>
  <c r="CF113" i="6" s="1"/>
  <c r="AA56" i="25"/>
  <c r="Z56" i="25" s="1"/>
  <c r="Y56" i="25" s="1"/>
  <c r="AA68" i="25"/>
  <c r="Z68" i="25" s="1"/>
  <c r="Y68" i="25" s="1"/>
  <c r="AA64" i="25"/>
  <c r="Z64" i="25" s="1"/>
  <c r="Y64" i="25" s="1"/>
  <c r="AA21" i="25"/>
  <c r="Z21" i="25" s="1"/>
  <c r="Y21" i="25" s="1"/>
  <c r="AA145" i="25"/>
  <c r="Z145" i="25" s="1"/>
  <c r="Y145" i="25" s="1"/>
  <c r="AA117" i="25"/>
  <c r="Z117" i="25" s="1"/>
  <c r="Y117" i="25" s="1"/>
  <c r="AA41" i="25"/>
  <c r="Z41" i="25" s="1"/>
  <c r="Y41" i="25" s="1"/>
  <c r="AA40" i="25"/>
  <c r="Z40" i="25" s="1"/>
  <c r="Y40" i="25" s="1"/>
  <c r="AA222" i="25"/>
  <c r="Z222" i="25" s="1"/>
  <c r="Y222" i="25" s="1"/>
  <c r="AA61" i="25"/>
  <c r="Z61" i="25" s="1"/>
  <c r="Y61" i="25" s="1"/>
  <c r="AA17" i="25"/>
  <c r="Z17" i="25" s="1"/>
  <c r="Y17" i="25" s="1"/>
  <c r="AA42" i="25"/>
  <c r="Z42" i="25" s="1"/>
  <c r="Y42" i="25" s="1"/>
  <c r="AA77" i="25"/>
  <c r="Z77" i="25" s="1"/>
  <c r="Y77" i="25" s="1"/>
  <c r="AA292" i="25"/>
  <c r="Z292" i="25" s="1"/>
  <c r="Y292" i="25" s="1"/>
  <c r="AA229" i="25"/>
  <c r="Z229" i="25" s="1"/>
  <c r="Y229" i="25" s="1"/>
  <c r="AA310" i="25"/>
  <c r="Z310" i="25" s="1"/>
  <c r="Y310" i="25" s="1"/>
  <c r="AA279" i="25"/>
  <c r="Z279" i="25" s="1"/>
  <c r="Y279" i="25" s="1"/>
  <c r="AA80" i="25"/>
  <c r="Z80" i="25" s="1"/>
  <c r="Y80" i="25" s="1"/>
  <c r="AA263" i="25"/>
  <c r="Z263" i="25" s="1"/>
  <c r="Y263" i="25" s="1"/>
  <c r="AA338" i="25"/>
  <c r="Z338" i="25" s="1"/>
  <c r="Y338" i="25" s="1"/>
  <c r="H338" i="25"/>
  <c r="J338" i="25" s="1"/>
  <c r="H229" i="25"/>
  <c r="I229" i="25" s="1"/>
  <c r="H17" i="25"/>
  <c r="I17" i="25" s="1"/>
  <c r="AA366" i="25"/>
  <c r="Z366" i="25" s="1"/>
  <c r="Y366" i="25" s="1"/>
  <c r="H351" i="25"/>
  <c r="J351" i="25" s="1"/>
  <c r="H266" i="25"/>
  <c r="I266" i="25" s="1"/>
  <c r="G275" i="25"/>
  <c r="CF275" i="6" s="1"/>
  <c r="G309" i="25"/>
  <c r="CF309" i="6" s="1"/>
  <c r="G366" i="25"/>
  <c r="CF366" i="6" s="1"/>
  <c r="AA351" i="25"/>
  <c r="Z351" i="25" s="1"/>
  <c r="Y351" i="25" s="1"/>
  <c r="AA135" i="25"/>
  <c r="Z135" i="25" s="1"/>
  <c r="Y135" i="25" s="1"/>
  <c r="G263" i="25"/>
  <c r="CF263" i="6" s="1"/>
  <c r="AA189" i="25"/>
  <c r="Z189" i="25" s="1"/>
  <c r="Y189" i="25" s="1"/>
  <c r="AA131" i="25"/>
  <c r="Z131" i="25" s="1"/>
  <c r="Y131" i="25" s="1"/>
  <c r="H346" i="25"/>
  <c r="I346" i="25" s="1"/>
  <c r="AA113" i="25"/>
  <c r="Z113" i="25" s="1"/>
  <c r="Y113" i="25" s="1"/>
  <c r="H353" i="25"/>
  <c r="J353" i="25" s="1"/>
  <c r="H41" i="25"/>
  <c r="J41" i="25" s="1"/>
  <c r="G21" i="25"/>
  <c r="CF21" i="6" s="1"/>
  <c r="H135" i="25"/>
  <c r="J135" i="25" s="1"/>
  <c r="AA266" i="25"/>
  <c r="Z266" i="25" s="1"/>
  <c r="Y266" i="25" s="1"/>
  <c r="AA275" i="25"/>
  <c r="Z275" i="25" s="1"/>
  <c r="Y275" i="25" s="1"/>
  <c r="G124" i="25"/>
  <c r="CF124" i="6" s="1"/>
  <c r="H80" i="25"/>
  <c r="I80" i="25" s="1"/>
  <c r="H208" i="25"/>
  <c r="I208" i="25" s="1"/>
  <c r="AA309" i="25"/>
  <c r="Z309" i="25" s="1"/>
  <c r="Y309" i="25" s="1"/>
  <c r="H20" i="25"/>
  <c r="I20" i="25" s="1"/>
  <c r="H124" i="25"/>
  <c r="J124" i="25" s="1"/>
  <c r="G61" i="25"/>
  <c r="CF61" i="6" s="1"/>
  <c r="G134" i="25"/>
  <c r="CF134" i="6" s="1"/>
  <c r="G122" i="25"/>
  <c r="CF122" i="6" s="1"/>
  <c r="G310" i="25"/>
  <c r="CF310" i="6" s="1"/>
  <c r="D29" i="25"/>
  <c r="E29" i="25" s="1"/>
  <c r="F29" i="25" s="1"/>
  <c r="H29" i="25" s="1"/>
  <c r="H141" i="25"/>
  <c r="I141" i="25" s="1"/>
  <c r="G128" i="25"/>
  <c r="CF128" i="6" s="1"/>
  <c r="G216" i="25"/>
  <c r="CF216" i="6" s="1"/>
  <c r="G160" i="25"/>
  <c r="CF160" i="6" s="1"/>
  <c r="G279" i="25"/>
  <c r="CF279" i="6" s="1"/>
  <c r="H313" i="25"/>
  <c r="J313" i="25" s="1"/>
  <c r="H82" i="25"/>
  <c r="I82" i="25" s="1"/>
  <c r="G182" i="25"/>
  <c r="CF182" i="6" s="1"/>
  <c r="AA128" i="25"/>
  <c r="Z128" i="25" s="1"/>
  <c r="Y128" i="25" s="1"/>
  <c r="H87" i="25"/>
  <c r="I87" i="25" s="1"/>
  <c r="G232" i="25"/>
  <c r="CF232" i="6" s="1"/>
  <c r="AA208" i="25"/>
  <c r="Z208" i="25" s="1"/>
  <c r="Y208" i="25" s="1"/>
  <c r="AA122" i="25"/>
  <c r="Z122" i="25" s="1"/>
  <c r="Y122" i="25" s="1"/>
  <c r="AA78" i="25"/>
  <c r="Z78" i="25" s="1"/>
  <c r="Y78" i="25" s="1"/>
  <c r="AA346" i="25"/>
  <c r="Z346" i="25" s="1"/>
  <c r="Y346" i="25" s="1"/>
  <c r="AA217" i="25"/>
  <c r="Z217" i="25" s="1"/>
  <c r="Y217" i="25" s="1"/>
  <c r="H150" i="25"/>
  <c r="J150" i="25" s="1"/>
  <c r="G56" i="25"/>
  <c r="CF56" i="6" s="1"/>
  <c r="H247" i="25"/>
  <c r="J247" i="25" s="1"/>
  <c r="H170" i="25"/>
  <c r="J170" i="25" s="1"/>
  <c r="B333" i="25"/>
  <c r="D333" i="25" s="1"/>
  <c r="E333" i="25" s="1"/>
  <c r="F333" i="25" s="1"/>
  <c r="H237" i="25"/>
  <c r="I237" i="25" s="1"/>
  <c r="AA314" i="25"/>
  <c r="Z314" i="25" s="1"/>
  <c r="Y314" i="25" s="1"/>
  <c r="G34" i="25"/>
  <c r="CF34" i="6" s="1"/>
  <c r="G26" i="25"/>
  <c r="CF26" i="6" s="1"/>
  <c r="AA31" i="25"/>
  <c r="Z31" i="25" s="1"/>
  <c r="Y31" i="25" s="1"/>
  <c r="AA247" i="25"/>
  <c r="Z247" i="25" s="1"/>
  <c r="Y247" i="25" s="1"/>
  <c r="G314" i="25"/>
  <c r="CF314" i="6" s="1"/>
  <c r="AA290" i="25"/>
  <c r="Z290" i="25" s="1"/>
  <c r="Y290" i="25" s="1"/>
  <c r="G251" i="25"/>
  <c r="CF251" i="6" s="1"/>
  <c r="H231" i="25"/>
  <c r="I231" i="25" s="1"/>
  <c r="H117" i="25"/>
  <c r="I117" i="25" s="1"/>
  <c r="H377" i="25"/>
  <c r="J377" i="25" s="1"/>
  <c r="H192" i="25"/>
  <c r="I192" i="25" s="1"/>
  <c r="H68" i="25"/>
  <c r="J68" i="25" s="1"/>
  <c r="G40" i="25"/>
  <c r="CF40" i="6" s="1"/>
  <c r="G158" i="25"/>
  <c r="CF158" i="6" s="1"/>
  <c r="G357" i="25"/>
  <c r="CF357" i="6" s="1"/>
  <c r="AA303" i="25"/>
  <c r="Z303" i="25" s="1"/>
  <c r="Y303" i="25" s="1"/>
  <c r="G186" i="25"/>
  <c r="CF186" i="6" s="1"/>
  <c r="H337" i="25"/>
  <c r="I337" i="25" s="1"/>
  <c r="H217" i="25"/>
  <c r="I217" i="25" s="1"/>
  <c r="G290" i="25"/>
  <c r="CF290" i="6" s="1"/>
  <c r="H51" i="25"/>
  <c r="J51" i="25" s="1"/>
  <c r="AA251" i="25"/>
  <c r="Z251" i="25" s="1"/>
  <c r="Y251" i="25" s="1"/>
  <c r="H215" i="25"/>
  <c r="J215" i="25" s="1"/>
  <c r="G317" i="25"/>
  <c r="CF317" i="6" s="1"/>
  <c r="H64" i="25"/>
  <c r="I64" i="25" s="1"/>
  <c r="H31" i="25"/>
  <c r="I31" i="25" s="1"/>
  <c r="H328" i="25"/>
  <c r="J328" i="25" s="1"/>
  <c r="G316" i="25"/>
  <c r="CF316" i="6" s="1"/>
  <c r="G193" i="25"/>
  <c r="CF193" i="6" s="1"/>
  <c r="AA262" i="25"/>
  <c r="Z262" i="25" s="1"/>
  <c r="Y262" i="25" s="1"/>
  <c r="G307" i="25"/>
  <c r="CF307" i="6" s="1"/>
  <c r="AA134" i="25"/>
  <c r="Z134" i="25" s="1"/>
  <c r="Y134" i="25" s="1"/>
  <c r="G335" i="25"/>
  <c r="CF335" i="6" s="1"/>
  <c r="H355" i="25"/>
  <c r="I355" i="25" s="1"/>
  <c r="G189" i="25"/>
  <c r="CF189" i="6" s="1"/>
  <c r="AA87" i="25"/>
  <c r="Z87" i="25" s="1"/>
  <c r="Y87" i="25" s="1"/>
  <c r="AA34" i="25"/>
  <c r="Z34" i="25" s="1"/>
  <c r="Y34" i="25" s="1"/>
  <c r="AA26" i="25"/>
  <c r="Z26" i="25" s="1"/>
  <c r="Y26" i="25" s="1"/>
  <c r="AA170" i="25"/>
  <c r="Z170" i="25" s="1"/>
  <c r="Y170" i="25" s="1"/>
  <c r="AA150" i="25"/>
  <c r="Z150" i="25" s="1"/>
  <c r="Y150" i="25" s="1"/>
  <c r="AA231" i="25"/>
  <c r="Z231" i="25" s="1"/>
  <c r="Y231" i="25" s="1"/>
  <c r="AA313" i="25"/>
  <c r="Z313" i="25" s="1"/>
  <c r="Y313" i="25" s="1"/>
  <c r="H129" i="25"/>
  <c r="J129" i="25" s="1"/>
  <c r="H65" i="25"/>
  <c r="J65" i="25" s="1"/>
  <c r="G355" i="25"/>
  <c r="CF355" i="6" s="1"/>
  <c r="F70" i="19"/>
  <c r="F57" i="19" s="1"/>
  <c r="AA232" i="25"/>
  <c r="Z232" i="25" s="1"/>
  <c r="Y232" i="25" s="1"/>
  <c r="H153" i="25"/>
  <c r="I153" i="25" s="1"/>
  <c r="AA141" i="25"/>
  <c r="Z141" i="25" s="1"/>
  <c r="Y141" i="25" s="1"/>
  <c r="H262" i="25"/>
  <c r="J262" i="25" s="1"/>
  <c r="AA153" i="25"/>
  <c r="Z153" i="25" s="1"/>
  <c r="Y153" i="25" s="1"/>
  <c r="AA82" i="25"/>
  <c r="Z82" i="25" s="1"/>
  <c r="Y82" i="25" s="1"/>
  <c r="AA129" i="25"/>
  <c r="Z129" i="25" s="1"/>
  <c r="Y129" i="25" s="1"/>
  <c r="AA160" i="25"/>
  <c r="Z160" i="25" s="1"/>
  <c r="Y160" i="25" s="1"/>
  <c r="AA216" i="25"/>
  <c r="Z216" i="25" s="1"/>
  <c r="Y216" i="25" s="1"/>
  <c r="AA161" i="25"/>
  <c r="Z161" i="25" s="1"/>
  <c r="Y161" i="25" s="1"/>
  <c r="B60" i="25"/>
  <c r="W60" i="25" s="1"/>
  <c r="AA143" i="25"/>
  <c r="Z143" i="25" s="1"/>
  <c r="Y143" i="25" s="1"/>
  <c r="AA320" i="25"/>
  <c r="Z320" i="25" s="1"/>
  <c r="Y320" i="25" s="1"/>
  <c r="AA139" i="25"/>
  <c r="Z139" i="25" s="1"/>
  <c r="Y139" i="25" s="1"/>
  <c r="AA237" i="25"/>
  <c r="Z237" i="25" s="1"/>
  <c r="Y237" i="25" s="1"/>
  <c r="AA215" i="25"/>
  <c r="Z215" i="25" s="1"/>
  <c r="Y215" i="25" s="1"/>
  <c r="AA253" i="25"/>
  <c r="Z253" i="25" s="1"/>
  <c r="Y253" i="25" s="1"/>
  <c r="G328" i="25"/>
  <c r="CF328" i="6" s="1"/>
  <c r="H49" i="25"/>
  <c r="J49" i="25" s="1"/>
  <c r="H316" i="25"/>
  <c r="J316" i="25" s="1"/>
  <c r="G222" i="25"/>
  <c r="CF222" i="6" s="1"/>
  <c r="H303" i="25"/>
  <c r="I303" i="25" s="1"/>
  <c r="AA186" i="25"/>
  <c r="Z186" i="25" s="1"/>
  <c r="Y186" i="25" s="1"/>
  <c r="AA219" i="25"/>
  <c r="Z219" i="25" s="1"/>
  <c r="Y219" i="25" s="1"/>
  <c r="AA133" i="25"/>
  <c r="Z133" i="25" s="1"/>
  <c r="Y133" i="25" s="1"/>
  <c r="AA51" i="25"/>
  <c r="Z51" i="25" s="1"/>
  <c r="Y51" i="25" s="1"/>
  <c r="AA35" i="25"/>
  <c r="Z35" i="25" s="1"/>
  <c r="Y35" i="25" s="1"/>
  <c r="AA181" i="25"/>
  <c r="Z181" i="25" s="1"/>
  <c r="Y181" i="25" s="1"/>
  <c r="H219" i="25"/>
  <c r="J219" i="25" s="1"/>
  <c r="G143" i="25"/>
  <c r="CF143" i="6" s="1"/>
  <c r="H320" i="25"/>
  <c r="J320" i="25" s="1"/>
  <c r="G139" i="25"/>
  <c r="CF139" i="6" s="1"/>
  <c r="G133" i="25"/>
  <c r="CF133" i="6" s="1"/>
  <c r="G181" i="25"/>
  <c r="CF181" i="6" s="1"/>
  <c r="H253" i="25"/>
  <c r="J253" i="25" s="1"/>
  <c r="H317" i="25"/>
  <c r="I317" i="25" s="1"/>
  <c r="AA377" i="25"/>
  <c r="Z377" i="25" s="1"/>
  <c r="Y377" i="25" s="1"/>
  <c r="AA192" i="25"/>
  <c r="Z192" i="25" s="1"/>
  <c r="Y192" i="25" s="1"/>
  <c r="H40" i="25"/>
  <c r="I40" i="25" s="1"/>
  <c r="H222" i="25"/>
  <c r="I222" i="25" s="1"/>
  <c r="H35" i="25"/>
  <c r="J35" i="25" s="1"/>
  <c r="H193" i="25"/>
  <c r="J193" i="25" s="1"/>
  <c r="AA357" i="25"/>
  <c r="Z357" i="25" s="1"/>
  <c r="Y357" i="25" s="1"/>
  <c r="AA315" i="25"/>
  <c r="Z315" i="25" s="1"/>
  <c r="Y315" i="25" s="1"/>
  <c r="AA256" i="25"/>
  <c r="Z256" i="25" s="1"/>
  <c r="Y256" i="25" s="1"/>
  <c r="AA67" i="25"/>
  <c r="Z67" i="25" s="1"/>
  <c r="Y67" i="25" s="1"/>
  <c r="G48" i="25"/>
  <c r="CF48" i="6" s="1"/>
  <c r="G42" i="25"/>
  <c r="CF42" i="6" s="1"/>
  <c r="G282" i="25"/>
  <c r="CF282" i="6" s="1"/>
  <c r="AA364" i="25"/>
  <c r="Z364" i="25" s="1"/>
  <c r="Y364" i="25" s="1"/>
  <c r="G77" i="25"/>
  <c r="CF77" i="6" s="1"/>
  <c r="AA223" i="25"/>
  <c r="Z223" i="25" s="1"/>
  <c r="Y223" i="25" s="1"/>
  <c r="AA278" i="25"/>
  <c r="Z278" i="25" s="1"/>
  <c r="Y278" i="25" s="1"/>
  <c r="G119" i="24"/>
  <c r="CE119" i="6" s="1"/>
  <c r="H119" i="24"/>
  <c r="AA119" i="24"/>
  <c r="Z119" i="24" s="1"/>
  <c r="Y119" i="24" s="1"/>
  <c r="G67" i="25"/>
  <c r="CF67" i="6" s="1"/>
  <c r="AA282" i="25"/>
  <c r="Z282" i="25" s="1"/>
  <c r="Y282" i="25" s="1"/>
  <c r="H364" i="25"/>
  <c r="I364" i="25" s="1"/>
  <c r="H256" i="25"/>
  <c r="I256" i="25" s="1"/>
  <c r="G278" i="25"/>
  <c r="CF278" i="6" s="1"/>
  <c r="H45" i="25"/>
  <c r="I45" i="25" s="1"/>
  <c r="G161" i="25"/>
  <c r="CF161" i="6" s="1"/>
  <c r="G315" i="25"/>
  <c r="CF315" i="6" s="1"/>
  <c r="G256" i="25"/>
  <c r="CF256" i="6" s="1"/>
  <c r="AA48" i="25"/>
  <c r="Z48" i="25" s="1"/>
  <c r="Y48" i="25" s="1"/>
  <c r="AA49" i="25"/>
  <c r="Z49" i="25" s="1"/>
  <c r="Y49" i="25" s="1"/>
  <c r="G325" i="25"/>
  <c r="CF325" i="6" s="1"/>
  <c r="AA299" i="25"/>
  <c r="Z299" i="25" s="1"/>
  <c r="Y299" i="25" s="1"/>
  <c r="AA325" i="25"/>
  <c r="Z325" i="25" s="1"/>
  <c r="Y325" i="25" s="1"/>
  <c r="G147" i="25"/>
  <c r="CF147" i="6" s="1"/>
  <c r="H223" i="25"/>
  <c r="J223" i="25" s="1"/>
  <c r="G223" i="25"/>
  <c r="CF223" i="6" s="1"/>
  <c r="G292" i="25"/>
  <c r="CF292" i="6" s="1"/>
  <c r="H281" i="25"/>
  <c r="I281" i="25" s="1"/>
  <c r="G262" i="25"/>
  <c r="CF262" i="6" s="1"/>
  <c r="H200" i="25"/>
  <c r="J200" i="25" s="1"/>
  <c r="H292" i="25"/>
  <c r="J292" i="25" s="1"/>
  <c r="G281" i="25"/>
  <c r="CF281" i="6" s="1"/>
  <c r="G299" i="25"/>
  <c r="CF299" i="6" s="1"/>
  <c r="H336" i="25"/>
  <c r="I336" i="25" s="1"/>
  <c r="G203" i="25"/>
  <c r="CF203" i="6" s="1"/>
  <c r="AA148" i="25"/>
  <c r="Z148" i="25" s="1"/>
  <c r="Y148" i="25" s="1"/>
  <c r="G145" i="25"/>
  <c r="CF145" i="6" s="1"/>
  <c r="AA203" i="25"/>
  <c r="Z203" i="25" s="1"/>
  <c r="Y203" i="25" s="1"/>
  <c r="AA200" i="25"/>
  <c r="Z200" i="25" s="1"/>
  <c r="Y200" i="25" s="1"/>
  <c r="H261" i="25"/>
  <c r="I261" i="25" s="1"/>
  <c r="H172" i="25"/>
  <c r="I172" i="25" s="1"/>
  <c r="AA205" i="25"/>
  <c r="Z205" i="25" s="1"/>
  <c r="Y205" i="25" s="1"/>
  <c r="AA336" i="25"/>
  <c r="Z336" i="25" s="1"/>
  <c r="Y336" i="25" s="1"/>
  <c r="H148" i="25"/>
  <c r="J148" i="25" s="1"/>
  <c r="AA261" i="25"/>
  <c r="Z261" i="25" s="1"/>
  <c r="Y261" i="25" s="1"/>
  <c r="AA172" i="25"/>
  <c r="Z172" i="25" s="1"/>
  <c r="Y172" i="25" s="1"/>
  <c r="AA246" i="25"/>
  <c r="Z246" i="25" s="1"/>
  <c r="Y246" i="25" s="1"/>
  <c r="I105" i="25"/>
  <c r="AA147" i="25"/>
  <c r="Z147" i="25" s="1"/>
  <c r="Y147" i="25" s="1"/>
  <c r="AA283" i="25"/>
  <c r="Z283" i="25" s="1"/>
  <c r="Y283" i="25" s="1"/>
  <c r="G205" i="25"/>
  <c r="CF205" i="6" s="1"/>
  <c r="H246" i="25"/>
  <c r="I246" i="25" s="1"/>
  <c r="H283" i="25"/>
  <c r="I283" i="25" s="1"/>
  <c r="H145" i="25"/>
  <c r="J145" i="25" s="1"/>
  <c r="AA105" i="25"/>
  <c r="Z105" i="25" s="1"/>
  <c r="Y105" i="25" s="1"/>
  <c r="J149" i="24"/>
  <c r="G105" i="25"/>
  <c r="CF105" i="6" s="1"/>
  <c r="B379" i="25"/>
  <c r="W379" i="25" s="1"/>
  <c r="D16" i="19"/>
  <c r="G40" i="19"/>
  <c r="AF381" i="24"/>
  <c r="AD15" i="24"/>
  <c r="AF383" i="24"/>
  <c r="AF382" i="24"/>
  <c r="G59" i="19"/>
  <c r="J15" i="22"/>
  <c r="I15" i="22"/>
  <c r="AJ5" i="24"/>
  <c r="D15" i="24"/>
  <c r="AJ8" i="24" s="1"/>
  <c r="H9" i="24"/>
  <c r="B19" i="19" s="1"/>
  <c r="B383" i="24"/>
  <c r="W15" i="24"/>
  <c r="B381" i="24"/>
  <c r="B382" i="24"/>
  <c r="AK6" i="24"/>
  <c r="D383" i="23"/>
  <c r="D382" i="23"/>
  <c r="AJ8" i="23"/>
  <c r="D381" i="23"/>
  <c r="E15" i="23"/>
  <c r="D9" i="23"/>
  <c r="D11" i="23" s="1"/>
  <c r="J383" i="20"/>
  <c r="J382" i="20"/>
  <c r="J381" i="20"/>
  <c r="Z381" i="20"/>
  <c r="Y15" i="20"/>
  <c r="AL8" i="20"/>
  <c r="Z382" i="20"/>
  <c r="Z383" i="20"/>
  <c r="Z9" i="20"/>
  <c r="AL9" i="22"/>
  <c r="AA383" i="22"/>
  <c r="AA9" i="22"/>
  <c r="AM8" i="22"/>
  <c r="Z15" i="22"/>
  <c r="AL8" i="22" s="1"/>
  <c r="AA382" i="22"/>
  <c r="AA381" i="22"/>
  <c r="I382" i="20"/>
  <c r="I383" i="20"/>
  <c r="I381" i="20"/>
  <c r="AI7" i="7"/>
  <c r="F7" i="6"/>
  <c r="AF381" i="25"/>
  <c r="AF382" i="25"/>
  <c r="AF383" i="25"/>
  <c r="AD15" i="25"/>
  <c r="V383" i="24"/>
  <c r="B69" i="19"/>
  <c r="N69" i="19" s="1"/>
  <c r="V381" i="24"/>
  <c r="V382" i="24"/>
  <c r="R381" i="25"/>
  <c r="R383" i="25"/>
  <c r="R382" i="25"/>
  <c r="P15" i="25"/>
  <c r="G17" i="19"/>
  <c r="J41" i="19" s="1"/>
  <c r="AB9" i="22"/>
  <c r="F11" i="22"/>
  <c r="G382" i="22"/>
  <c r="G383" i="22"/>
  <c r="G12" i="22" s="1"/>
  <c r="G381" i="22"/>
  <c r="K57" i="19"/>
  <c r="G57" i="19"/>
  <c r="K59" i="19"/>
  <c r="C57" i="19"/>
  <c r="C59" i="19"/>
  <c r="C58" i="19"/>
  <c r="J56" i="25"/>
  <c r="I56" i="25"/>
  <c r="J371" i="25"/>
  <c r="I371" i="25"/>
  <c r="J168" i="25"/>
  <c r="I168" i="25"/>
  <c r="I151" i="25"/>
  <c r="J151" i="25"/>
  <c r="I238" i="25"/>
  <c r="J238" i="25"/>
  <c r="I52" i="25"/>
  <c r="J52" i="25"/>
  <c r="I33" i="25"/>
  <c r="J33" i="25"/>
  <c r="J254" i="25"/>
  <c r="I254" i="25"/>
  <c r="I243" i="25"/>
  <c r="J243" i="25"/>
  <c r="J244" i="25"/>
  <c r="I244" i="25"/>
  <c r="J59" i="25"/>
  <c r="I59" i="25"/>
  <c r="J248" i="25"/>
  <c r="I248" i="25"/>
  <c r="I242" i="25"/>
  <c r="J242" i="25"/>
  <c r="J72" i="25"/>
  <c r="I72" i="25"/>
  <c r="J294" i="25"/>
  <c r="I294" i="25"/>
  <c r="J24" i="25"/>
  <c r="I24" i="25"/>
  <c r="I183" i="25"/>
  <c r="J183" i="25"/>
  <c r="I332" i="25"/>
  <c r="J332" i="25"/>
  <c r="L58" i="19"/>
  <c r="L57" i="19"/>
  <c r="L59" i="19"/>
  <c r="I91" i="25"/>
  <c r="J91" i="25"/>
  <c r="I146" i="25"/>
  <c r="J146" i="25"/>
  <c r="J112" i="25"/>
  <c r="I112" i="25"/>
  <c r="I143" i="25"/>
  <c r="J143" i="25"/>
  <c r="J279" i="25"/>
  <c r="I279" i="25"/>
  <c r="J139" i="25"/>
  <c r="I139" i="25"/>
  <c r="I89" i="25"/>
  <c r="J89" i="25"/>
  <c r="J315" i="25"/>
  <c r="I315" i="25"/>
  <c r="I157" i="25"/>
  <c r="J157" i="25"/>
  <c r="I113" i="25"/>
  <c r="J113" i="25"/>
  <c r="J199" i="25"/>
  <c r="I199" i="25"/>
  <c r="I282" i="25"/>
  <c r="J282" i="25"/>
  <c r="J207" i="25"/>
  <c r="I207" i="25"/>
  <c r="J307" i="25"/>
  <c r="I307" i="25"/>
  <c r="J25" i="25"/>
  <c r="I25" i="25"/>
  <c r="J286" i="25"/>
  <c r="I286" i="25"/>
  <c r="I167" i="25"/>
  <c r="J167" i="25"/>
  <c r="I99" i="25"/>
  <c r="J99" i="25"/>
  <c r="J136" i="25"/>
  <c r="I136" i="25"/>
  <c r="J58" i="19"/>
  <c r="J59" i="19"/>
  <c r="J57" i="19"/>
  <c r="I134" i="25"/>
  <c r="J134" i="25"/>
  <c r="I323" i="25"/>
  <c r="J323" i="25"/>
  <c r="J92" i="25"/>
  <c r="I92" i="25"/>
  <c r="J194" i="25"/>
  <c r="I194" i="25"/>
  <c r="I121" i="25"/>
  <c r="J121" i="25"/>
  <c r="I324" i="25"/>
  <c r="J324" i="25"/>
  <c r="J322" i="25"/>
  <c r="I322" i="25"/>
  <c r="J233" i="25"/>
  <c r="I233" i="25"/>
  <c r="I312" i="25"/>
  <c r="J312" i="25"/>
  <c r="J274" i="25"/>
  <c r="I274" i="25"/>
  <c r="J18" i="25"/>
  <c r="I18" i="25"/>
  <c r="I169" i="25"/>
  <c r="J169" i="25"/>
  <c r="J348" i="25"/>
  <c r="I348" i="25"/>
  <c r="J273" i="25"/>
  <c r="I273" i="25"/>
  <c r="J94" i="25"/>
  <c r="I94" i="25"/>
  <c r="I48" i="25"/>
  <c r="J48" i="25"/>
  <c r="I269" i="25"/>
  <c r="J269" i="25"/>
  <c r="I290" i="25"/>
  <c r="J290" i="25"/>
  <c r="I296" i="25"/>
  <c r="J296" i="25"/>
  <c r="H241" i="25"/>
  <c r="G241" i="25"/>
  <c r="CF241" i="6" s="1"/>
  <c r="AA241" i="25"/>
  <c r="Z241" i="25" s="1"/>
  <c r="Y241" i="25" s="1"/>
  <c r="J37" i="25"/>
  <c r="I37" i="25"/>
  <c r="J39" i="25"/>
  <c r="I39" i="25"/>
  <c r="I197" i="25"/>
  <c r="J197" i="25"/>
  <c r="J34" i="25"/>
  <c r="I34" i="25"/>
  <c r="I181" i="25"/>
  <c r="J181" i="25"/>
  <c r="J23" i="25"/>
  <c r="I23" i="25"/>
  <c r="J177" i="25"/>
  <c r="I177" i="25"/>
  <c r="I277" i="25"/>
  <c r="J277" i="25"/>
  <c r="W119" i="25"/>
  <c r="D119" i="25"/>
  <c r="E119" i="25" s="1"/>
  <c r="F119" i="25" s="1"/>
  <c r="J98" i="25"/>
  <c r="I98" i="25"/>
  <c r="J251" i="25"/>
  <c r="I251" i="25"/>
  <c r="I356" i="25"/>
  <c r="J356" i="25"/>
  <c r="J344" i="25"/>
  <c r="I344" i="25"/>
  <c r="I345" i="25"/>
  <c r="J345" i="25"/>
  <c r="J95" i="25"/>
  <c r="I95" i="25"/>
  <c r="J144" i="25"/>
  <c r="I144" i="25"/>
  <c r="AA349" i="25"/>
  <c r="Z349" i="25" s="1"/>
  <c r="Y349" i="25" s="1"/>
  <c r="G349" i="25"/>
  <c r="CF349" i="6" s="1"/>
  <c r="H349" i="25"/>
  <c r="I275" i="25"/>
  <c r="J275" i="25"/>
  <c r="J58" i="25"/>
  <c r="I58" i="25"/>
  <c r="J295" i="25"/>
  <c r="I295" i="25"/>
  <c r="J225" i="25"/>
  <c r="I225" i="25"/>
  <c r="J122" i="25"/>
  <c r="I122" i="25"/>
  <c r="I137" i="25"/>
  <c r="J137" i="25"/>
  <c r="I69" i="25"/>
  <c r="J69" i="25"/>
  <c r="I38" i="25"/>
  <c r="J38" i="25"/>
  <c r="I204" i="25"/>
  <c r="J204" i="25"/>
  <c r="I209" i="25"/>
  <c r="J209" i="25"/>
  <c r="J90" i="25"/>
  <c r="I90" i="25"/>
  <c r="I83" i="25"/>
  <c r="J83" i="25"/>
  <c r="I321" i="25"/>
  <c r="J321" i="25"/>
  <c r="D59" i="19"/>
  <c r="D58" i="19"/>
  <c r="D57" i="19"/>
  <c r="J184" i="25"/>
  <c r="I184" i="25"/>
  <c r="G302" i="25"/>
  <c r="CF302" i="6" s="1"/>
  <c r="H302" i="25"/>
  <c r="AA302" i="25"/>
  <c r="Z302" i="25" s="1"/>
  <c r="Y302" i="25" s="1"/>
  <c r="J372" i="25"/>
  <c r="I372" i="25"/>
  <c r="J340" i="25"/>
  <c r="I340" i="25"/>
  <c r="J19" i="25"/>
  <c r="I19" i="25"/>
  <c r="I335" i="25"/>
  <c r="J335" i="25"/>
  <c r="J77" i="25"/>
  <c r="I77" i="25"/>
  <c r="J191" i="25"/>
  <c r="I191" i="25"/>
  <c r="I211" i="25"/>
  <c r="J211" i="25"/>
  <c r="I306" i="25"/>
  <c r="J306" i="25"/>
  <c r="I36" i="25"/>
  <c r="J36" i="25"/>
  <c r="J236" i="25"/>
  <c r="I236" i="25"/>
  <c r="I103" i="25"/>
  <c r="J103" i="25"/>
  <c r="I132" i="25"/>
  <c r="J132" i="25"/>
  <c r="J300" i="25"/>
  <c r="I300" i="25"/>
  <c r="I203" i="25"/>
  <c r="J203" i="25"/>
  <c r="I108" i="25"/>
  <c r="J108" i="25"/>
  <c r="I26" i="25"/>
  <c r="J26" i="25"/>
  <c r="J271" i="25"/>
  <c r="I271" i="25"/>
  <c r="I53" i="25"/>
  <c r="J53" i="25"/>
  <c r="J267" i="25"/>
  <c r="I267" i="25"/>
  <c r="D149" i="25"/>
  <c r="E149" i="25" s="1"/>
  <c r="F149" i="25" s="1"/>
  <c r="W149" i="25"/>
  <c r="J70" i="25"/>
  <c r="I70" i="25"/>
  <c r="I175" i="25"/>
  <c r="I284" i="25"/>
  <c r="J284" i="25"/>
  <c r="J195" i="25"/>
  <c r="I195" i="25"/>
  <c r="I301" i="25"/>
  <c r="J301" i="25"/>
  <c r="I160" i="25"/>
  <c r="J160" i="25"/>
  <c r="J368" i="25"/>
  <c r="I368" i="25"/>
  <c r="I359" i="25"/>
  <c r="J359" i="25"/>
  <c r="I361" i="25"/>
  <c r="J361" i="25"/>
  <c r="I116" i="25"/>
  <c r="J116" i="25"/>
  <c r="I259" i="25"/>
  <c r="J259" i="25"/>
  <c r="J123" i="25"/>
  <c r="I123" i="25"/>
  <c r="I81" i="25"/>
  <c r="J81" i="25"/>
  <c r="I376" i="25"/>
  <c r="J376" i="25"/>
  <c r="J343" i="25"/>
  <c r="I343" i="25"/>
  <c r="J230" i="25"/>
  <c r="I230" i="25"/>
  <c r="I249" i="25"/>
  <c r="J249" i="25"/>
  <c r="J232" i="25"/>
  <c r="I232" i="25"/>
  <c r="I234" i="25"/>
  <c r="J234" i="25"/>
  <c r="I165" i="25"/>
  <c r="J165" i="25"/>
  <c r="I264" i="25"/>
  <c r="J264" i="25"/>
  <c r="I280" i="25"/>
  <c r="J280" i="25"/>
  <c r="I213" i="25"/>
  <c r="J213" i="25"/>
  <c r="J55" i="25"/>
  <c r="I55" i="25"/>
  <c r="J174" i="25"/>
  <c r="I174" i="25"/>
  <c r="J342" i="25"/>
  <c r="I342" i="25"/>
  <c r="I63" i="25"/>
  <c r="J63" i="25"/>
  <c r="I84" i="25"/>
  <c r="J84" i="25"/>
  <c r="I125" i="25"/>
  <c r="J125" i="25"/>
  <c r="J28" i="25"/>
  <c r="I28" i="25"/>
  <c r="J318" i="25"/>
  <c r="I318" i="25"/>
  <c r="I67" i="25"/>
  <c r="J67" i="25"/>
  <c r="I367" i="25"/>
  <c r="J367" i="25"/>
  <c r="I228" i="25"/>
  <c r="J228" i="25"/>
  <c r="J42" i="25"/>
  <c r="I42" i="25"/>
  <c r="J161" i="25"/>
  <c r="I161" i="25"/>
  <c r="I54" i="25"/>
  <c r="J54" i="25"/>
  <c r="J32" i="25"/>
  <c r="I32" i="25"/>
  <c r="I44" i="25"/>
  <c r="J44" i="25"/>
  <c r="I176" i="25"/>
  <c r="J176" i="25"/>
  <c r="AA74" i="25"/>
  <c r="Z74" i="25" s="1"/>
  <c r="Y74" i="25" s="1"/>
  <c r="H74" i="25"/>
  <c r="G74" i="25"/>
  <c r="CF74" i="6" s="1"/>
  <c r="J276" i="25"/>
  <c r="I276" i="25"/>
  <c r="I293" i="25"/>
  <c r="J293" i="25"/>
  <c r="I62" i="25"/>
  <c r="J62" i="25"/>
  <c r="J240" i="25"/>
  <c r="I240" i="25"/>
  <c r="I319" i="25"/>
  <c r="J319" i="25"/>
  <c r="I326" i="25"/>
  <c r="J326" i="25"/>
  <c r="I93" i="25"/>
  <c r="J93" i="25"/>
  <c r="J201" i="25"/>
  <c r="I201" i="25"/>
  <c r="I373" i="25"/>
  <c r="J373" i="25"/>
  <c r="I106" i="25"/>
  <c r="J106" i="25"/>
  <c r="J47" i="25"/>
  <c r="I47" i="25"/>
  <c r="J218" i="25"/>
  <c r="I218" i="25"/>
  <c r="J358" i="25"/>
  <c r="I358" i="25"/>
  <c r="I255" i="25"/>
  <c r="J255" i="25"/>
  <c r="J76" i="25"/>
  <c r="I76" i="25"/>
  <c r="G227" i="25"/>
  <c r="CF227" i="6" s="1"/>
  <c r="H227" i="25"/>
  <c r="AA227" i="25"/>
  <c r="Z227" i="25" s="1"/>
  <c r="Y227" i="25" s="1"/>
  <c r="J159" i="25"/>
  <c r="I159" i="25"/>
  <c r="J350" i="25"/>
  <c r="I350" i="25"/>
  <c r="J330" i="25"/>
  <c r="I330" i="25"/>
  <c r="J61" i="25"/>
  <c r="I61" i="25"/>
  <c r="J334" i="25"/>
  <c r="I334" i="25"/>
  <c r="J66" i="25"/>
  <c r="I66" i="25"/>
  <c r="J331" i="25"/>
  <c r="I331" i="25"/>
  <c r="I102" i="25"/>
  <c r="J102" i="25"/>
  <c r="I163" i="25"/>
  <c r="J163" i="25"/>
  <c r="H210" i="25"/>
  <c r="G210" i="25"/>
  <c r="CF210" i="6" s="1"/>
  <c r="AA210" i="25"/>
  <c r="Z210" i="25" s="1"/>
  <c r="Y210" i="25" s="1"/>
  <c r="G196" i="25"/>
  <c r="CF196" i="6" s="1"/>
  <c r="H196" i="25"/>
  <c r="AA196" i="25"/>
  <c r="Z196" i="25" s="1"/>
  <c r="Y196" i="25" s="1"/>
  <c r="I118" i="25"/>
  <c r="J118" i="25"/>
  <c r="J314" i="25"/>
  <c r="I314" i="25"/>
  <c r="J154" i="25"/>
  <c r="I154" i="25"/>
  <c r="J257" i="25"/>
  <c r="I257" i="25"/>
  <c r="D272" i="25"/>
  <c r="E272" i="25" s="1"/>
  <c r="F272" i="25" s="1"/>
  <c r="W272" i="25"/>
  <c r="J171" i="25"/>
  <c r="I171" i="25"/>
  <c r="I270" i="25"/>
  <c r="J270" i="25"/>
  <c r="I260" i="25"/>
  <c r="J260" i="25"/>
  <c r="I352" i="25"/>
  <c r="J352" i="25"/>
  <c r="I299" i="25"/>
  <c r="J299" i="25"/>
  <c r="J114" i="25"/>
  <c r="I114" i="25"/>
  <c r="I133" i="25"/>
  <c r="J133" i="25"/>
  <c r="I100" i="25"/>
  <c r="J100" i="25"/>
  <c r="I289" i="25"/>
  <c r="J289" i="25"/>
  <c r="J245" i="25"/>
  <c r="I245" i="25"/>
  <c r="J115" i="25"/>
  <c r="I115" i="25"/>
  <c r="J187" i="25"/>
  <c r="I187" i="25"/>
  <c r="AA166" i="25"/>
  <c r="Z166" i="25" s="1"/>
  <c r="Y166" i="25" s="1"/>
  <c r="H166" i="25"/>
  <c r="G166" i="25"/>
  <c r="CF166" i="6" s="1"/>
  <c r="I360" i="25"/>
  <c r="J360" i="25"/>
  <c r="I190" i="25"/>
  <c r="J190" i="25"/>
  <c r="I365" i="25"/>
  <c r="J365" i="25"/>
  <c r="J152" i="25"/>
  <c r="I152" i="25"/>
  <c r="J339" i="25"/>
  <c r="I339" i="25"/>
  <c r="J182" i="25"/>
  <c r="I182" i="25"/>
  <c r="I96" i="25"/>
  <c r="J96" i="25"/>
  <c r="E59" i="19"/>
  <c r="E58" i="19"/>
  <c r="E57" i="19"/>
  <c r="I278" i="25"/>
  <c r="J278" i="25"/>
  <c r="I101" i="25"/>
  <c r="J101" i="25"/>
  <c r="J178" i="25"/>
  <c r="I178" i="25"/>
  <c r="I162" i="25"/>
  <c r="J162" i="25"/>
  <c r="I224" i="25"/>
  <c r="J224" i="25"/>
  <c r="I198" i="25"/>
  <c r="J198" i="25"/>
  <c r="J297" i="25"/>
  <c r="I297" i="25"/>
  <c r="J107" i="25"/>
  <c r="I107" i="25"/>
  <c r="I126" i="25"/>
  <c r="J126" i="25"/>
  <c r="J205" i="25"/>
  <c r="I205" i="25"/>
  <c r="I140" i="25"/>
  <c r="J140" i="25"/>
  <c r="I310" i="25"/>
  <c r="J310" i="25"/>
  <c r="I325" i="25"/>
  <c r="J325" i="25"/>
  <c r="J111" i="25"/>
  <c r="I111" i="25"/>
  <c r="I362" i="25"/>
  <c r="J362" i="25"/>
  <c r="I97" i="25"/>
  <c r="J97" i="25"/>
  <c r="J291" i="25"/>
  <c r="I291" i="25"/>
  <c r="J155" i="25"/>
  <c r="J79" i="25"/>
  <c r="I79" i="25"/>
  <c r="I75" i="25"/>
  <c r="J75" i="25"/>
  <c r="J311" i="25"/>
  <c r="I311" i="25"/>
  <c r="J329" i="25"/>
  <c r="I329" i="25"/>
  <c r="I206" i="25"/>
  <c r="J206" i="25"/>
  <c r="G180" i="25"/>
  <c r="CF180" i="6" s="1"/>
  <c r="AA180" i="25"/>
  <c r="Z180" i="25" s="1"/>
  <c r="Y180" i="25" s="1"/>
  <c r="H180" i="25"/>
  <c r="J305" i="25"/>
  <c r="J309" i="25"/>
  <c r="I309" i="25"/>
  <c r="I252" i="25"/>
  <c r="J252" i="25"/>
  <c r="I43" i="25"/>
  <c r="J43" i="25"/>
  <c r="I110" i="25"/>
  <c r="J110" i="25"/>
  <c r="J239" i="25"/>
  <c r="I239" i="25"/>
  <c r="J21" i="25"/>
  <c r="I21" i="25"/>
  <c r="I128" i="25"/>
  <c r="J128" i="25"/>
  <c r="I164" i="25"/>
  <c r="J164" i="25"/>
  <c r="I347" i="25"/>
  <c r="J347" i="25"/>
  <c r="J214" i="25"/>
  <c r="I214" i="25"/>
  <c r="I375" i="25"/>
  <c r="J375" i="25"/>
  <c r="G88" i="25"/>
  <c r="CF88" i="6" s="1"/>
  <c r="H88" i="25"/>
  <c r="AA88" i="25"/>
  <c r="Z88" i="25" s="1"/>
  <c r="Y88" i="25" s="1"/>
  <c r="J263" i="25"/>
  <c r="I263" i="25"/>
  <c r="J369" i="25"/>
  <c r="I369" i="25"/>
  <c r="J30" i="25"/>
  <c r="I30" i="25"/>
  <c r="J378" i="25"/>
  <c r="I378" i="25"/>
  <c r="I138" i="25"/>
  <c r="J138" i="25"/>
  <c r="I27" i="25"/>
  <c r="J27" i="25"/>
  <c r="I366" i="25"/>
  <c r="J366" i="25"/>
  <c r="J57" i="25"/>
  <c r="I57" i="25"/>
  <c r="H59" i="19"/>
  <c r="H58" i="19"/>
  <c r="H57" i="19"/>
  <c r="J221" i="25"/>
  <c r="I221" i="25"/>
  <c r="J341" i="25"/>
  <c r="I341" i="25"/>
  <c r="J374" i="25"/>
  <c r="I374" i="25"/>
  <c r="J71" i="25"/>
  <c r="I71" i="25"/>
  <c r="I189" i="25"/>
  <c r="J189" i="25"/>
  <c r="J86" i="25"/>
  <c r="I86" i="25"/>
  <c r="J216" i="25"/>
  <c r="I216" i="25"/>
  <c r="I285" i="25"/>
  <c r="J285" i="25"/>
  <c r="I327" i="25"/>
  <c r="J327" i="25"/>
  <c r="J73" i="25"/>
  <c r="I73" i="25"/>
  <c r="I188" i="25"/>
  <c r="J188" i="25"/>
  <c r="J147" i="25"/>
  <c r="I147" i="25"/>
  <c r="I158" i="25"/>
  <c r="J158" i="25"/>
  <c r="I104" i="25"/>
  <c r="J104" i="25"/>
  <c r="J357" i="25"/>
  <c r="I357" i="25"/>
  <c r="I173" i="25"/>
  <c r="J173" i="25"/>
  <c r="I130" i="25"/>
  <c r="J130" i="25"/>
  <c r="I120" i="25"/>
  <c r="J120" i="25"/>
  <c r="J265" i="25"/>
  <c r="I265" i="25"/>
  <c r="I226" i="25"/>
  <c r="J226" i="25"/>
  <c r="J109" i="25"/>
  <c r="I109" i="25"/>
  <c r="AA288" i="25"/>
  <c r="Z288" i="25" s="1"/>
  <c r="Y288" i="25" s="1"/>
  <c r="H288" i="25"/>
  <c r="G288" i="25"/>
  <c r="CF288" i="6" s="1"/>
  <c r="J186" i="25"/>
  <c r="I186" i="25"/>
  <c r="I354" i="25"/>
  <c r="J354" i="25"/>
  <c r="I22" i="25"/>
  <c r="J22" i="25"/>
  <c r="I370" i="25"/>
  <c r="J370" i="25"/>
  <c r="I250" i="25"/>
  <c r="J250" i="25"/>
  <c r="I185" i="25"/>
  <c r="J185" i="25"/>
  <c r="J127" i="25"/>
  <c r="I127" i="25"/>
  <c r="I142" i="25"/>
  <c r="J142" i="25"/>
  <c r="J50" i="25"/>
  <c r="I50" i="25"/>
  <c r="J308" i="25" l="1"/>
  <c r="J304" i="25"/>
  <c r="I16" i="25"/>
  <c r="J85" i="25"/>
  <c r="I268" i="25"/>
  <c r="I202" i="25"/>
  <c r="I258" i="25"/>
  <c r="I58" i="19"/>
  <c r="J212" i="25"/>
  <c r="I57" i="19"/>
  <c r="J156" i="25"/>
  <c r="J287" i="25"/>
  <c r="J229" i="25"/>
  <c r="J298" i="25"/>
  <c r="I131" i="25"/>
  <c r="I235" i="25"/>
  <c r="J179" i="25"/>
  <c r="I351" i="25"/>
  <c r="G363" i="25"/>
  <c r="CF363" i="6" s="1"/>
  <c r="J220" i="25"/>
  <c r="I170" i="25"/>
  <c r="J78" i="25"/>
  <c r="M57" i="19"/>
  <c r="J17" i="25"/>
  <c r="J20" i="25"/>
  <c r="H363" i="25"/>
  <c r="J363" i="25" s="1"/>
  <c r="J208" i="25"/>
  <c r="J346" i="25"/>
  <c r="I338" i="25"/>
  <c r="M59" i="19"/>
  <c r="I353" i="25"/>
  <c r="J266" i="25"/>
  <c r="J82" i="25"/>
  <c r="I41" i="25"/>
  <c r="I247" i="25"/>
  <c r="J80" i="25"/>
  <c r="I135" i="25"/>
  <c r="J192" i="25"/>
  <c r="AA29" i="25"/>
  <c r="Z29" i="25" s="1"/>
  <c r="Y29" i="25" s="1"/>
  <c r="J87" i="25"/>
  <c r="I313" i="25"/>
  <c r="I124" i="25"/>
  <c r="I193" i="25"/>
  <c r="J141" i="25"/>
  <c r="J117" i="25"/>
  <c r="G29" i="25"/>
  <c r="CF29" i="6" s="1"/>
  <c r="I253" i="25"/>
  <c r="J237" i="25"/>
  <c r="I150" i="25"/>
  <c r="I68" i="25"/>
  <c r="I377" i="25"/>
  <c r="J231" i="25"/>
  <c r="W333" i="25"/>
  <c r="I328" i="25"/>
  <c r="J64" i="25"/>
  <c r="I215" i="25"/>
  <c r="I51" i="25"/>
  <c r="J217" i="25"/>
  <c r="I129" i="25"/>
  <c r="J40" i="25"/>
  <c r="I262" i="25"/>
  <c r="F59" i="19"/>
  <c r="J31" i="25"/>
  <c r="J337" i="25"/>
  <c r="I316" i="25"/>
  <c r="J303" i="25"/>
  <c r="J355" i="25"/>
  <c r="D60" i="25"/>
  <c r="E60" i="25" s="1"/>
  <c r="F60" i="25" s="1"/>
  <c r="AA60" i="25" s="1"/>
  <c r="Z60" i="25" s="1"/>
  <c r="Y60" i="25" s="1"/>
  <c r="I35" i="25"/>
  <c r="I49" i="25"/>
  <c r="I320" i="25"/>
  <c r="I219" i="25"/>
  <c r="J153" i="25"/>
  <c r="F58" i="19"/>
  <c r="I65" i="25"/>
  <c r="J222" i="25"/>
  <c r="J317" i="25"/>
  <c r="J364" i="25"/>
  <c r="J45" i="25"/>
  <c r="J256" i="25"/>
  <c r="I223" i="25"/>
  <c r="AJ9" i="23"/>
  <c r="AJ11" i="23" s="1"/>
  <c r="AK7" i="23"/>
  <c r="I119" i="24"/>
  <c r="H119" i="25" s="1"/>
  <c r="J119" i="24"/>
  <c r="E42" i="19"/>
  <c r="E16" i="19"/>
  <c r="F16" i="19" s="1"/>
  <c r="I292" i="25"/>
  <c r="J281" i="25"/>
  <c r="I200" i="25"/>
  <c r="J336" i="25"/>
  <c r="J261" i="25"/>
  <c r="I148" i="25"/>
  <c r="J172" i="25"/>
  <c r="I145" i="25"/>
  <c r="J246" i="25"/>
  <c r="J283" i="25"/>
  <c r="D379" i="25"/>
  <c r="E379" i="25" s="1"/>
  <c r="F379" i="25" s="1"/>
  <c r="G379" i="25" s="1"/>
  <c r="CF379" i="6" s="1"/>
  <c r="D17" i="19"/>
  <c r="G41" i="19"/>
  <c r="AD381" i="24"/>
  <c r="AD382" i="24"/>
  <c r="AD383" i="24"/>
  <c r="AL5" i="20"/>
  <c r="AL11" i="20" s="1"/>
  <c r="AJ3" i="20" s="1"/>
  <c r="O16" i="19" s="1"/>
  <c r="M16" i="19" s="1"/>
  <c r="AM5" i="20"/>
  <c r="AM11" i="20" s="1"/>
  <c r="AK3" i="20" s="1"/>
  <c r="Q16" i="19" s="1"/>
  <c r="N16" i="19" s="1"/>
  <c r="P381" i="25"/>
  <c r="P382" i="25"/>
  <c r="P383" i="25"/>
  <c r="V15" i="25"/>
  <c r="AD381" i="25"/>
  <c r="AD383" i="25"/>
  <c r="AD382" i="25"/>
  <c r="Y381" i="20"/>
  <c r="Y382" i="20"/>
  <c r="X9" i="20"/>
  <c r="AL6" i="20"/>
  <c r="AL12" i="20" s="1"/>
  <c r="Y383" i="20"/>
  <c r="AM6" i="20"/>
  <c r="AM12" i="20" s="1"/>
  <c r="AJ7" i="24"/>
  <c r="D9" i="24"/>
  <c r="D11" i="24" s="1"/>
  <c r="D383" i="24"/>
  <c r="E15" i="24"/>
  <c r="AJ10" i="24" s="1"/>
  <c r="AJ12" i="24" s="1"/>
  <c r="D382" i="24"/>
  <c r="D381" i="24"/>
  <c r="I381" i="22"/>
  <c r="I383" i="22"/>
  <c r="I382" i="22"/>
  <c r="AO7" i="7"/>
  <c r="G7" i="6"/>
  <c r="AL7" i="22"/>
  <c r="Z9" i="22"/>
  <c r="Z381" i="22"/>
  <c r="Y15" i="22"/>
  <c r="AL6" i="22" s="1"/>
  <c r="AL12" i="22" s="1"/>
  <c r="AJ4" i="22" s="1"/>
  <c r="P17" i="19" s="1"/>
  <c r="Z382" i="22"/>
  <c r="Z383" i="22"/>
  <c r="E9" i="23"/>
  <c r="E11" i="23" s="1"/>
  <c r="AJ10" i="23"/>
  <c r="AJ12" i="23" s="1"/>
  <c r="AK8" i="23"/>
  <c r="E383" i="23"/>
  <c r="E382" i="23"/>
  <c r="E381" i="23"/>
  <c r="F15" i="23"/>
  <c r="J381" i="22"/>
  <c r="J382" i="22"/>
  <c r="J383" i="22"/>
  <c r="J288" i="25"/>
  <c r="I288" i="25"/>
  <c r="I29" i="25"/>
  <c r="J29" i="25"/>
  <c r="H272" i="25"/>
  <c r="G272" i="25"/>
  <c r="CF272" i="6" s="1"/>
  <c r="AA272" i="25"/>
  <c r="Z272" i="25" s="1"/>
  <c r="Y272" i="25" s="1"/>
  <c r="J196" i="25"/>
  <c r="I196" i="25"/>
  <c r="I210" i="25"/>
  <c r="J210" i="25"/>
  <c r="J227" i="25"/>
  <c r="I227" i="25"/>
  <c r="H149" i="25"/>
  <c r="AA149" i="25"/>
  <c r="Z149" i="25" s="1"/>
  <c r="Y149" i="25" s="1"/>
  <c r="G149" i="25"/>
  <c r="CF149" i="6" s="1"/>
  <c r="I349" i="25"/>
  <c r="J349" i="25"/>
  <c r="I363" i="25"/>
  <c r="J88" i="25"/>
  <c r="I88" i="25"/>
  <c r="J180" i="25"/>
  <c r="I180" i="25"/>
  <c r="I166" i="25"/>
  <c r="J166" i="25"/>
  <c r="AA333" i="25"/>
  <c r="Z333" i="25" s="1"/>
  <c r="Y333" i="25" s="1"/>
  <c r="H333" i="25"/>
  <c r="G333" i="25"/>
  <c r="CF333" i="6" s="1"/>
  <c r="I74" i="25"/>
  <c r="J74" i="25"/>
  <c r="J302" i="25"/>
  <c r="I302" i="25"/>
  <c r="AA119" i="25"/>
  <c r="Z119" i="25" s="1"/>
  <c r="Y119" i="25" s="1"/>
  <c r="G119" i="25"/>
  <c r="CF119" i="6" s="1"/>
  <c r="J241" i="25"/>
  <c r="I241" i="25"/>
  <c r="G60" i="25" l="1"/>
  <c r="CF60" i="6" s="1"/>
  <c r="H60" i="25"/>
  <c r="I60" i="25" s="1"/>
  <c r="AJ13" i="23"/>
  <c r="AM9" i="23"/>
  <c r="AK9" i="23"/>
  <c r="AK11" i="23" s="1"/>
  <c r="E17" i="19"/>
  <c r="F17" i="19" s="1"/>
  <c r="E43" i="19"/>
  <c r="H379" i="25"/>
  <c r="J379" i="25" s="1"/>
  <c r="AA379" i="25"/>
  <c r="Z379" i="25" s="1"/>
  <c r="Y379" i="25" s="1"/>
  <c r="C18" i="19"/>
  <c r="F42" i="19"/>
  <c r="F381" i="23"/>
  <c r="AM10" i="23"/>
  <c r="F383" i="23"/>
  <c r="G15" i="23"/>
  <c r="CD15" i="6" s="1"/>
  <c r="F9" i="23"/>
  <c r="AA15" i="23"/>
  <c r="H15" i="23"/>
  <c r="AK10" i="23"/>
  <c r="AK12" i="23" s="1"/>
  <c r="F382" i="23"/>
  <c r="J16" i="19"/>
  <c r="Z11" i="20"/>
  <c r="Z5" i="20" s="1"/>
  <c r="H16" i="19" s="1"/>
  <c r="AA11" i="20"/>
  <c r="AA5" i="20" s="1"/>
  <c r="I16" i="19" s="1"/>
  <c r="AL5" i="22"/>
  <c r="AL11" i="22" s="1"/>
  <c r="Y383" i="22"/>
  <c r="Y382" i="22"/>
  <c r="AM6" i="22"/>
  <c r="AM12" i="22" s="1"/>
  <c r="Y381" i="22"/>
  <c r="X9" i="22"/>
  <c r="AJ9" i="24"/>
  <c r="AJ11" i="24" s="1"/>
  <c r="AJ13" i="24" s="1"/>
  <c r="F15" i="24"/>
  <c r="E382" i="24"/>
  <c r="AK8" i="24"/>
  <c r="E383" i="24"/>
  <c r="E381" i="24"/>
  <c r="E9" i="24"/>
  <c r="E11" i="24" s="1"/>
  <c r="AK4" i="20"/>
  <c r="R16" i="19" s="1"/>
  <c r="N17" i="19" s="1"/>
  <c r="AM13" i="20"/>
  <c r="AJ4" i="20"/>
  <c r="P16" i="19" s="1"/>
  <c r="AL13" i="20"/>
  <c r="Y11" i="20"/>
  <c r="V380" i="25"/>
  <c r="V381" i="25" s="1"/>
  <c r="B15" i="25"/>
  <c r="V382" i="25"/>
  <c r="B70" i="19"/>
  <c r="V383" i="25"/>
  <c r="I119" i="25"/>
  <c r="J119" i="25"/>
  <c r="I333" i="25"/>
  <c r="J333" i="25"/>
  <c r="J149" i="25"/>
  <c r="I149" i="25"/>
  <c r="I272" i="25"/>
  <c r="J272" i="25"/>
  <c r="J60" i="25" l="1"/>
  <c r="AK13" i="23"/>
  <c r="AL9" i="23"/>
  <c r="AM7" i="23"/>
  <c r="I40" i="19"/>
  <c r="H40" i="19"/>
  <c r="I379" i="25"/>
  <c r="C19" i="19"/>
  <c r="F43" i="19"/>
  <c r="AJ5" i="25"/>
  <c r="AK6" i="25"/>
  <c r="AJ3" i="22"/>
  <c r="O17" i="19" s="1"/>
  <c r="AL13" i="22"/>
  <c r="B59" i="19"/>
  <c r="B57" i="19"/>
  <c r="B58" i="19"/>
  <c r="N70" i="19"/>
  <c r="AK5" i="25"/>
  <c r="B381" i="25"/>
  <c r="B382" i="25"/>
  <c r="H9" i="25"/>
  <c r="B20" i="19" s="1"/>
  <c r="D15" i="25"/>
  <c r="AJ7" i="25" s="1"/>
  <c r="B383" i="25"/>
  <c r="AJ6" i="25"/>
  <c r="W15" i="25"/>
  <c r="M17" i="19"/>
  <c r="G15" i="24"/>
  <c r="CE15" i="6" s="1"/>
  <c r="F381" i="24"/>
  <c r="AA15" i="24"/>
  <c r="AL10" i="24" s="1"/>
  <c r="F382" i="24"/>
  <c r="AM10" i="24"/>
  <c r="AK10" i="24"/>
  <c r="AK12" i="24" s="1"/>
  <c r="AK13" i="24" s="1"/>
  <c r="F9" i="24"/>
  <c r="F383" i="24"/>
  <c r="Y11" i="22"/>
  <c r="J17" i="19"/>
  <c r="AA11" i="22"/>
  <c r="AA5" i="22" s="1"/>
  <c r="I17" i="19" s="1"/>
  <c r="Z11" i="22"/>
  <c r="Z5" i="22" s="1"/>
  <c r="H17" i="19" s="1"/>
  <c r="AM13" i="22"/>
  <c r="AK4" i="22"/>
  <c r="R17" i="19" s="1"/>
  <c r="Z15" i="23"/>
  <c r="AL7" i="23" s="1"/>
  <c r="AL10" i="23"/>
  <c r="AA382" i="23"/>
  <c r="AM8" i="23"/>
  <c r="AA383" i="23"/>
  <c r="AA381" i="23"/>
  <c r="AA9" i="23"/>
  <c r="G381" i="23"/>
  <c r="G383" i="23"/>
  <c r="G12" i="23" s="1"/>
  <c r="G382" i="23"/>
  <c r="J15" i="23"/>
  <c r="I15" i="23"/>
  <c r="F11" i="23"/>
  <c r="AB9" i="23"/>
  <c r="G18" i="19"/>
  <c r="J42" i="19" s="1"/>
  <c r="I41" i="19" l="1"/>
  <c r="H41" i="19"/>
  <c r="D18" i="19"/>
  <c r="G42" i="19"/>
  <c r="I381" i="23"/>
  <c r="I383" i="23"/>
  <c r="I382" i="23"/>
  <c r="H15" i="24"/>
  <c r="G19" i="19"/>
  <c r="J43" i="19" s="1"/>
  <c r="F11" i="24"/>
  <c r="AB9" i="24"/>
  <c r="AL9" i="24"/>
  <c r="AA382" i="24"/>
  <c r="AA381" i="24"/>
  <c r="Z15" i="24"/>
  <c r="AL8" i="24" s="1"/>
  <c r="AA383" i="24"/>
  <c r="AM8" i="24"/>
  <c r="AA9" i="24"/>
  <c r="G381" i="24"/>
  <c r="G382" i="24"/>
  <c r="G383" i="24"/>
  <c r="G12" i="24" s="1"/>
  <c r="B9" i="19"/>
  <c r="N58" i="19"/>
  <c r="N59" i="19"/>
  <c r="N57" i="19"/>
  <c r="J383" i="23"/>
  <c r="J382" i="23"/>
  <c r="J381" i="23"/>
  <c r="H7" i="6"/>
  <c r="AU7" i="7"/>
  <c r="Z381" i="23"/>
  <c r="AL8" i="23"/>
  <c r="Y15" i="23"/>
  <c r="Z9" i="23"/>
  <c r="Z382" i="23"/>
  <c r="Z383" i="23"/>
  <c r="E15" i="25"/>
  <c r="D383" i="25"/>
  <c r="D9" i="25"/>
  <c r="D11" i="25" s="1"/>
  <c r="D381" i="25"/>
  <c r="AJ8" i="25"/>
  <c r="D382" i="25"/>
  <c r="AL5" i="23" l="1"/>
  <c r="AL11" i="23" s="1"/>
  <c r="AJ3" i="23" s="1"/>
  <c r="O18" i="19" s="1"/>
  <c r="M18" i="19" s="1"/>
  <c r="AM5" i="23"/>
  <c r="AM11" i="23" s="1"/>
  <c r="AK3" i="23" s="1"/>
  <c r="Q18" i="19" s="1"/>
  <c r="N18" i="19" s="1"/>
  <c r="E44" i="19"/>
  <c r="E18" i="19"/>
  <c r="F18" i="19" s="1"/>
  <c r="D19" i="19"/>
  <c r="G43" i="19"/>
  <c r="AJ9" i="25"/>
  <c r="AJ11" i="25" s="1"/>
  <c r="AK8" i="25"/>
  <c r="AK7" i="25"/>
  <c r="F15" i="25"/>
  <c r="E9" i="25"/>
  <c r="E11" i="25" s="1"/>
  <c r="E383" i="25"/>
  <c r="E382" i="25"/>
  <c r="AJ10" i="25"/>
  <c r="AJ12" i="25" s="1"/>
  <c r="E381" i="25"/>
  <c r="Y383" i="23"/>
  <c r="Y382" i="23"/>
  <c r="AM6" i="23"/>
  <c r="AM12" i="23" s="1"/>
  <c r="X9" i="23"/>
  <c r="Y11" i="23" s="1"/>
  <c r="Y381" i="23"/>
  <c r="AL6" i="23"/>
  <c r="AL12" i="23" s="1"/>
  <c r="I15" i="24"/>
  <c r="J15" i="24"/>
  <c r="I7" i="6"/>
  <c r="BA7" i="7"/>
  <c r="AL7" i="24"/>
  <c r="Z9" i="24"/>
  <c r="Y15" i="24"/>
  <c r="AL6" i="24" s="1"/>
  <c r="AL12" i="24" s="1"/>
  <c r="AJ4" i="24" s="1"/>
  <c r="P19" i="19" s="1"/>
  <c r="Z383" i="24"/>
  <c r="Z382" i="24"/>
  <c r="Z381" i="24"/>
  <c r="E19" i="19" l="1"/>
  <c r="F19" i="19" s="1"/>
  <c r="E33" i="19"/>
  <c r="AJ13" i="25"/>
  <c r="C20" i="19"/>
  <c r="F44" i="19"/>
  <c r="AM10" i="25"/>
  <c r="AK10" i="25"/>
  <c r="AK12" i="25" s="1"/>
  <c r="AL5" i="24"/>
  <c r="Y381" i="24"/>
  <c r="Y383" i="24"/>
  <c r="X9" i="24"/>
  <c r="Y11" i="24" s="1"/>
  <c r="Y382" i="24"/>
  <c r="AM6" i="24"/>
  <c r="AM12" i="24" s="1"/>
  <c r="AL11" i="24"/>
  <c r="J383" i="24"/>
  <c r="J381" i="24"/>
  <c r="J382" i="24"/>
  <c r="AJ4" i="23"/>
  <c r="P18" i="19" s="1"/>
  <c r="AL13" i="23"/>
  <c r="Z11" i="23"/>
  <c r="Z5" i="23" s="1"/>
  <c r="H18" i="19" s="1"/>
  <c r="AA11" i="23"/>
  <c r="AA5" i="23" s="1"/>
  <c r="I18" i="19" s="1"/>
  <c r="J18" i="19"/>
  <c r="I381" i="24"/>
  <c r="I382" i="24"/>
  <c r="I383" i="24"/>
  <c r="AM13" i="23"/>
  <c r="AK4" i="23"/>
  <c r="R18" i="19" s="1"/>
  <c r="N19" i="19" s="1"/>
  <c r="AK9" i="25"/>
  <c r="AK11" i="25" s="1"/>
  <c r="AM9" i="25"/>
  <c r="G15" i="25"/>
  <c r="CF15" i="6" s="1"/>
  <c r="J2" i="6" s="1"/>
  <c r="F9" i="25"/>
  <c r="AA15" i="25"/>
  <c r="F382" i="25"/>
  <c r="F383" i="25"/>
  <c r="F381" i="25"/>
  <c r="H15" i="25"/>
  <c r="H42" i="19" l="1"/>
  <c r="C9" i="19"/>
  <c r="I42" i="19"/>
  <c r="F33" i="19"/>
  <c r="AK13" i="25"/>
  <c r="AL9" i="25"/>
  <c r="AM8" i="25"/>
  <c r="J15" i="25"/>
  <c r="I15" i="25"/>
  <c r="AM7" i="25"/>
  <c r="AL10" i="25"/>
  <c r="AA9" i="25"/>
  <c r="AA383" i="25"/>
  <c r="AA381" i="25"/>
  <c r="AA382" i="25"/>
  <c r="Z15" i="25"/>
  <c r="AL7" i="25" s="1"/>
  <c r="G383" i="25"/>
  <c r="G12" i="25" s="1"/>
  <c r="G381" i="25"/>
  <c r="G382" i="25"/>
  <c r="AK4" i="24"/>
  <c r="R19" i="19" s="1"/>
  <c r="AM13" i="24"/>
  <c r="J19" i="19"/>
  <c r="AA11" i="24"/>
  <c r="AA5" i="24" s="1"/>
  <c r="I19" i="19" s="1"/>
  <c r="Z11" i="24"/>
  <c r="Z5" i="24" s="1"/>
  <c r="H19" i="19" s="1"/>
  <c r="F11" i="25"/>
  <c r="G20" i="19"/>
  <c r="J44" i="19" s="1"/>
  <c r="J33" i="19" s="1"/>
  <c r="AB9" i="25"/>
  <c r="AJ3" i="24"/>
  <c r="O19" i="19" s="1"/>
  <c r="M19" i="19" s="1"/>
  <c r="AL13" i="24"/>
  <c r="H43" i="19" l="1"/>
  <c r="I43" i="19"/>
  <c r="D20" i="19"/>
  <c r="G44" i="19"/>
  <c r="D9" i="19"/>
  <c r="BG7" i="7"/>
  <c r="J7" i="6"/>
  <c r="I381" i="25"/>
  <c r="I382" i="25"/>
  <c r="I383" i="25"/>
  <c r="G9" i="19"/>
  <c r="Z381" i="25"/>
  <c r="Z9" i="25"/>
  <c r="Z383" i="25"/>
  <c r="Y15" i="25"/>
  <c r="Z382" i="25"/>
  <c r="AL8" i="25"/>
  <c r="J383" i="25"/>
  <c r="J381" i="25"/>
  <c r="J382" i="25"/>
  <c r="E20" i="19" l="1"/>
  <c r="E9" i="19" s="1"/>
  <c r="G33" i="19"/>
  <c r="AL5" i="25"/>
  <c r="AL11" i="25" s="1"/>
  <c r="AJ3" i="25" s="1"/>
  <c r="O20" i="19" s="1"/>
  <c r="M20" i="19" s="1"/>
  <c r="AM6" i="25"/>
  <c r="AM12" i="25" s="1"/>
  <c r="AK4" i="25" s="1"/>
  <c r="R20" i="19" s="1"/>
  <c r="F20" i="19"/>
  <c r="AM5" i="25"/>
  <c r="AM11" i="25" s="1"/>
  <c r="Y383" i="25"/>
  <c r="Y382" i="25"/>
  <c r="Y381" i="25"/>
  <c r="AL6" i="25"/>
  <c r="AL12" i="25" s="1"/>
  <c r="X9" i="25"/>
  <c r="Z11" i="25" s="1"/>
  <c r="Z5" i="25" s="1"/>
  <c r="H20" i="19" s="1"/>
  <c r="O35" i="19" l="1"/>
  <c r="N35" i="19" s="1"/>
  <c r="O33" i="19"/>
  <c r="N33" i="19" s="1"/>
  <c r="O34" i="19"/>
  <c r="O36" i="19"/>
  <c r="N36" i="19" s="1"/>
  <c r="H44" i="19"/>
  <c r="H33" i="19" s="1"/>
  <c r="AL13" i="25"/>
  <c r="AJ4" i="25"/>
  <c r="P20" i="19" s="1"/>
  <c r="AK3" i="25"/>
  <c r="Q20" i="19" s="1"/>
  <c r="N20" i="19" s="1"/>
  <c r="AM13" i="25"/>
  <c r="F9" i="19"/>
  <c r="H9" i="19"/>
  <c r="J20" i="19"/>
  <c r="Y11" i="25"/>
  <c r="AA11" i="25"/>
  <c r="AA5" i="25" s="1"/>
  <c r="I20" i="19" s="1"/>
  <c r="N34" i="19" l="1"/>
  <c r="N32" i="19" s="1"/>
  <c r="O32" i="19"/>
  <c r="I44" i="19"/>
  <c r="I33" i="19" s="1"/>
  <c r="I9" i="19"/>
  <c r="J9" i="19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dont valeur &lt;à "H_i"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juste inférieure à"H_i"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  <comment ref="BH14" authorId="0" shapeId="0">
      <text>
        <r>
          <rPr>
            <sz val="9"/>
            <color indexed="81"/>
            <rFont val="Tahoma"/>
            <family val="2"/>
          </rPr>
          <t>Utiliser les données suivantes en fonction de la pente choisie:
'[Masqu_vg.xls]ERP lisse'! AP15:AW380 pour 33% de pente
'[Masqu_vg.xls]ERP lisse'!  V15:AC380 pour 25% de pente
'[Masqu_vg.xls]ERP lisse'!  B15:I380 pour 10% de pente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  <author>Eric N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157" authorId="1" shapeId="0">
      <text>
        <r>
          <rPr>
            <b/>
            <sz val="9"/>
            <color indexed="81"/>
            <rFont val="Tahoma"/>
            <family val="2"/>
          </rPr>
          <t>Eric N:</t>
        </r>
        <r>
          <rPr>
            <sz val="9"/>
            <color indexed="81"/>
            <rFont val="Tahoma"/>
            <family val="2"/>
          </rPr>
          <t xml:space="preserve">
Pose PV terminée</t>
        </r>
      </text>
    </comment>
    <comment ref="A268" authorId="0" shapeId="0">
      <text>
        <r>
          <rPr>
            <sz val="9"/>
            <color indexed="81"/>
            <rFont val="Tahoma"/>
            <family val="2"/>
          </rPr>
          <t>Date réelle de mise en service ENEDIS</t>
        </r>
      </text>
    </comment>
    <comment ref="B268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69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0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1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2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4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5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7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8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9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0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1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2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4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5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7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A288" authorId="0" shapeId="0">
      <text>
        <r>
          <rPr>
            <sz val="9"/>
            <color indexed="81"/>
            <rFont val="Tahoma"/>
            <family val="2"/>
          </rPr>
          <t>Date programmation onduleur et début affichage sur le site SE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B27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Excédent du 26 Fév et 17 sept</t>
        </r>
      </text>
    </comment>
  </commentList>
</comments>
</file>

<file path=xl/sharedStrings.xml><?xml version="1.0" encoding="utf-8"?>
<sst xmlns="http://schemas.openxmlformats.org/spreadsheetml/2006/main" count="2142" uniqueCount="364">
  <si>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</si>
  <si>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</si>
  <si>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</si>
  <si>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</si>
  <si>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</si>
  <si>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</si>
  <si>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</si>
  <si>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</si>
  <si>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</si>
  <si>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</si>
  <si>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</si>
  <si>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</si>
  <si>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</si>
  <si>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</si>
  <si>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</si>
  <si>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</si>
  <si>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</si>
  <si>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</si>
  <si>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</si>
  <si>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</si>
  <si>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</si>
  <si>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</si>
  <si>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</si>
  <si>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</si>
  <si>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</si>
  <si>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</si>
  <si>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</si>
  <si>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</si>
  <si>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</si>
  <si>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</si>
  <si>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</si>
  <si>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</si>
  <si>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</si>
  <si>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</si>
  <si>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</si>
  <si>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</si>
  <si>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</si>
  <si>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</si>
  <si>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</si>
  <si>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</si>
  <si>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</si>
  <si>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</si>
  <si>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</si>
  <si>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</si>
  <si>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</si>
  <si>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</si>
  <si>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</si>
  <si>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</si>
  <si>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</si>
  <si>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</si>
  <si>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</si>
  <si>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</si>
  <si>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</si>
  <si>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</si>
  <si>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</si>
  <si>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</si>
  <si>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</si>
  <si>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</si>
  <si>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</si>
  <si>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</si>
  <si>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</si>
  <si>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</si>
  <si>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</si>
  <si>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</si>
  <si>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</si>
  <si>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</si>
  <si>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</si>
  <si>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</si>
  <si>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</si>
  <si>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</si>
  <si>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</si>
  <si>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</si>
  <si>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</si>
  <si>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</si>
  <si>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</si>
  <si>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</si>
  <si>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</si>
  <si>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</si>
  <si>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</si>
  <si>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</si>
  <si>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</si>
  <si>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</si>
  <si>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</si>
  <si>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</si>
  <si>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</si>
  <si>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</si>
  <si>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</si>
  <si>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</si>
  <si>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</si>
  <si>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</si>
  <si>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</si>
  <si>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</si>
  <si>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</si>
  <si>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</si>
  <si>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</si>
  <si>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</si>
  <si>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</si>
  <si>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</si>
  <si>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</si>
  <si>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</si>
  <si>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</si>
  <si>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</si>
  <si>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</si>
  <si>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</si>
  <si>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</si>
  <si>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</si>
  <si>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</si>
  <si>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</si>
  <si>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</si>
  <si>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</si>
  <si>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</si>
  <si>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</si>
  <si>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</si>
  <si>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</si>
  <si>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</si>
  <si>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</si>
  <si>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</si>
  <si>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</si>
  <si>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</si>
  <si>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</si>
  <si>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</si>
  <si>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</si>
  <si>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</si>
  <si>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</si>
  <si>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</si>
  <si>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</si>
  <si>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</si>
  <si>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</si>
  <si>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</si>
  <si>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</si>
  <si>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</si>
  <si>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</si>
  <si>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</si>
  <si>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</si>
  <si>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</si>
  <si>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</si>
  <si>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</si>
  <si>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</si>
  <si>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</si>
  <si>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</si>
  <si>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</si>
  <si>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</si>
  <si>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</si>
  <si>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</si>
  <si>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</si>
  <si>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</si>
  <si>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</si>
  <si>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</si>
  <si>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</si>
  <si>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</si>
  <si>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</si>
  <si>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</si>
  <si>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</si>
  <si>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</si>
  <si>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</si>
  <si>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</si>
  <si>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2</t>
  </si>
  <si>
    <t>Arbre 4</t>
  </si>
  <si>
    <t>Arbre 5</t>
  </si>
  <si>
    <t>Arbre 6</t>
  </si>
  <si>
    <t>Arbre 8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</si>
  <si>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</si>
  <si>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</si>
  <si>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</si>
  <si>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</si>
  <si>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</si>
  <si>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</si>
  <si>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A la nouvelle année changer la référence de feuille annuelle (+1) dans colonnes 'C' et 'D'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</si>
  <si>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</si>
  <si>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</si>
  <si>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</si>
  <si>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>Calibrations rapports d'angle/H photos de référence</t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</si>
  <si>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</si>
  <si>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</si>
  <si>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</si>
  <si>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</si>
  <si>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</si>
  <si>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</si>
  <si>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</si>
  <si>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</si>
  <si>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</si>
  <si>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</si>
  <si>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</si>
  <si>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</si>
  <si>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</si>
  <si>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</si>
  <si>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</si>
  <si>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</si>
  <si>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</si>
  <si>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Hauteur initiale de référence =  mesure: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</si>
  <si>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</si>
  <si>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</si>
  <si>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</si>
  <si>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</si>
  <si>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</si>
  <si>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</si>
  <si>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</si>
  <si>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</si>
  <si>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</si>
  <si>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</si>
  <si>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Pousse en Hauteur: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</si>
  <si>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</si>
  <si>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</si>
  <si>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</si>
  <si>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</si>
  <si>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</si>
  <si>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</si>
  <si>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</si>
  <si>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</si>
  <si>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</si>
  <si>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Date de mesure Masque à 0m: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</si>
  <si>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</si>
  <si>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</si>
  <si>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</si>
  <si>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</si>
  <si>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</si>
  <si>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</si>
  <si>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</si>
  <si>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</si>
  <si>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</si>
  <si>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</si>
  <si>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</si>
  <si>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</si>
  <si>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</si>
  <si>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</si>
  <si>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</si>
  <si>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</si>
  <si>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</si>
  <si>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</si>
  <si>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</si>
  <si>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</si>
  <si>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</si>
  <si>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</si>
  <si>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</si>
  <si>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</si>
  <si>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</si>
  <si>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</si>
  <si>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</si>
  <si>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</si>
  <si>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</si>
  <si>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</si>
  <si>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</si>
  <si>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</si>
  <si>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</si>
  <si>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</si>
  <si>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</si>
  <si>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</si>
  <si>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</si>
  <si>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</si>
  <si>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</si>
  <si>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</si>
  <si>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</si>
  <si>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</si>
  <si>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</si>
  <si>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</si>
  <si>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</si>
  <si>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</si>
  <si>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</si>
  <si>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</si>
  <si>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</si>
  <si>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</si>
  <si>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</si>
  <si>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</si>
  <si>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</si>
  <si>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</si>
  <si>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</si>
  <si>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</si>
  <si>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</si>
  <si>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</si>
  <si>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</si>
  <si>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</si>
  <si>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</si>
  <si>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</si>
  <si>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</si>
  <si>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</si>
  <si>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</si>
  <si>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</si>
  <si>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</si>
  <si>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</si>
  <si>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</si>
  <si>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</si>
  <si>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</si>
  <si>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</si>
  <si>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</si>
  <si>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Arbre 7</t>
  </si>
  <si>
    <t>Creux 3</t>
  </si>
  <si>
    <t>Arbre 9</t>
  </si>
  <si>
    <t>Crèche Ayguesvives</t>
  </si>
  <si>
    <t>barrière bois / mur gauche</t>
  </si>
  <si>
    <t>barrière bois à l'angle droit</t>
  </si>
  <si>
    <t>Observ. 1: loin (rond point)</t>
  </si>
  <si>
    <t>Observ. 2 près champ PV</t>
  </si>
  <si>
    <t>Observ. 3: trottoir coté cyprès</t>
  </si>
  <si>
    <t>Hauteur 0 = sol trottoir Crêche</t>
  </si>
  <si>
    <t>Photo1: Ayguesvives Crêche loin</t>
  </si>
  <si>
    <t>Photo2 : Ayguesvives Crêche Pano</t>
  </si>
  <si>
    <t>Photo 3: 2022-01-06 Facade crêche Ayg</t>
  </si>
  <si>
    <t>Creux 2</t>
  </si>
  <si>
    <t>Toiture</t>
  </si>
  <si>
    <t>Groupe arbre 1 Est</t>
  </si>
  <si>
    <t>Groupe arbre 1 Ouest</t>
  </si>
  <si>
    <t>Groupe arbre 1 Sud</t>
  </si>
  <si>
    <t>Groupe arbre 1 SO</t>
  </si>
  <si>
    <t>Batiment p1</t>
  </si>
  <si>
    <t>Arbre 3g</t>
  </si>
  <si>
    <t>Arbre 3d</t>
  </si>
  <si>
    <t>Creux 1 (A4)</t>
  </si>
  <si>
    <t>Date de relevé:</t>
  </si>
  <si>
    <t>Azimut Gauche:</t>
  </si>
  <si>
    <t>Azimut Dr.:</t>
  </si>
  <si>
    <t>Sélection champ PV</t>
  </si>
  <si>
    <t>normale</t>
  </si>
  <si>
    <t>Gauche / Droite:</t>
  </si>
  <si>
    <t>Centre du champ PV D.C.:</t>
  </si>
  <si>
    <t>Centre du champ PV G.C.:</t>
  </si>
  <si>
    <t>Externe ou Centre (E/C):</t>
  </si>
  <si>
    <t>Centre du champ PV D.E.:</t>
  </si>
  <si>
    <t>Centre du champ PV G.E.:</t>
  </si>
  <si>
    <t>Azimut</t>
  </si>
  <si>
    <t>Rampant</t>
  </si>
  <si>
    <t>Seuil Az</t>
  </si>
  <si>
    <t>Elevation</t>
  </si>
  <si>
    <t>Ecart Azimut mini entre points du masque</t>
  </si>
  <si>
    <r>
      <rPr>
        <sz val="8"/>
        <color indexed="23"/>
        <rFont val="Calibri"/>
        <family val="2"/>
      </rPr>
      <t>Δ azimut</t>
    </r>
  </si>
  <si>
    <t>Ecart Az &lt;</t>
  </si>
  <si>
    <t>Décalage</t>
  </si>
  <si>
    <t>Shift G/D</t>
  </si>
  <si>
    <t>Configu. Zone 1</t>
  </si>
  <si>
    <t>Configu. Zone 3</t>
  </si>
  <si>
    <t>Configu. Zone 4</t>
  </si>
  <si>
    <t>G</t>
  </si>
  <si>
    <t>elev moy</t>
  </si>
  <si>
    <t>n° zone:</t>
  </si>
  <si>
    <t>: Hauteur champ PV sélectionnée</t>
  </si>
  <si>
    <t>E</t>
  </si>
  <si>
    <t>référence pousse en hauteur:</t>
  </si>
  <si>
    <t>Données à calculer dans 'Masqu_vg4' et à importer</t>
  </si>
  <si>
    <t>: Pousse en hauteur initiale</t>
  </si>
  <si>
    <t>Configu. Zone 2</t>
  </si>
  <si>
    <t>Version précédente pour les écarts azimut et remises en forme: éventuellement recalculer les masques avec dernière version mais pas indispensable</t>
  </si>
  <si>
    <t>Répartition modules et puissance</t>
  </si>
  <si>
    <t>Azimut(s) G &amp; D:</t>
  </si>
  <si>
    <t>Seuil forte prod.: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</si>
  <si>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</si>
  <si>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</si>
  <si>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</si>
  <si>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</si>
  <si>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</si>
  <si>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</si>
  <si>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</si>
  <si>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</si>
  <si>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</si>
  <si>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</si>
  <si>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</si>
  <si>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I</t>
  </si>
  <si>
    <t>Compilation Ratios /MaxiM</t>
  </si>
  <si>
    <t>Moyenne ratios forte prod. &gt;0,97 :</t>
  </si>
  <si>
    <t>Cumul 22</t>
  </si>
  <si>
    <t>periode net</t>
  </si>
  <si>
    <t>gain par an</t>
  </si>
  <si>
    <t>moyennes annuelles</t>
  </si>
  <si>
    <t>Gains depuis le "début" ou depuis dernière "action":</t>
  </si>
  <si>
    <t>action</t>
  </si>
  <si>
    <t>23 hors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</si>
</sst>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b/>
      <sz val="9"/>
      <color indexed="81"/>
      <name val="Tahoma"/>
      <family val="2"/>
    </font>
    <font>
      <sz val="8"/>
      <color indexed="23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b/>
      <sz val="12"/>
      <color theme="8" tint="-0.249977111117893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6" applyNumberFormat="0" applyAlignment="0" applyProtection="0"/>
    <xf numFmtId="0" fontId="15" fillId="0" borderId="57" applyNumberFormat="0" applyFill="0" applyAlignment="0" applyProtection="0"/>
    <xf numFmtId="0" fontId="11" fillId="27" borderId="58" applyNumberFormat="0" applyFont="0" applyAlignment="0" applyProtection="0"/>
    <xf numFmtId="0" fontId="16" fillId="28" borderId="56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0" applyNumberFormat="0" applyFill="0" applyAlignment="0" applyProtection="0"/>
    <xf numFmtId="0" fontId="24" fillId="0" borderId="61" applyNumberFormat="0" applyFill="0" applyAlignment="0" applyProtection="0"/>
    <xf numFmtId="0" fontId="25" fillId="0" borderId="62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3" applyNumberFormat="0" applyFill="0" applyAlignment="0" applyProtection="0"/>
    <xf numFmtId="0" fontId="27" fillId="32" borderId="64" applyNumberFormat="0" applyAlignment="0" applyProtection="0"/>
  </cellStyleXfs>
  <cellXfs count="1279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5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0" fontId="37" fillId="0" borderId="13" xfId="0" applyFont="1" applyBorder="1" applyAlignment="1" applyProtection="1">
      <alignment horizontal="center"/>
    </xf>
    <xf numFmtId="1" fontId="40" fillId="0" borderId="5" xfId="0" applyNumberFormat="1" applyFont="1" applyBorder="1" applyAlignment="1" applyProtection="1">
      <alignment horizontal="center"/>
    </xf>
    <xf numFmtId="0" fontId="37" fillId="0" borderId="2" xfId="0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0" fontId="34" fillId="0" borderId="0" xfId="0" applyFont="1" applyBorder="1" applyAlignment="1" applyProtection="1"/>
    <xf numFmtId="0" fontId="34" fillId="0" borderId="6" xfId="0" applyFont="1" applyBorder="1" applyAlignment="1" applyProtection="1">
      <alignment horizontal="center"/>
    </xf>
    <xf numFmtId="0" fontId="34" fillId="0" borderId="8" xfId="0" applyFont="1" applyBorder="1" applyAlignment="1" applyProtection="1">
      <alignment horizontal="center"/>
    </xf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0" fontId="34" fillId="34" borderId="0" xfId="33" applyNumberFormat="1" applyFont="1" applyFill="1" applyBorder="1" applyAlignment="1" applyProtection="1">
      <alignment horizontal="center"/>
    </xf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5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34" borderId="8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0" borderId="20" xfId="0" applyNumberFormat="1" applyFont="1" applyBorder="1" applyProtection="1">
      <protection locked="0"/>
    </xf>
    <xf numFmtId="2" fontId="77" fillId="0" borderId="21" xfId="0" applyNumberFormat="1" applyFont="1" applyBorder="1" applyProtection="1">
      <protection locked="0"/>
    </xf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2" fontId="36" fillId="0" borderId="0" xfId="0" applyNumberFormat="1" applyFont="1" applyBorder="1" applyProtection="1"/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75" fontId="78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0" fontId="31" fillId="0" borderId="0" xfId="0" applyFont="1" applyFill="1" applyAlignment="1" applyProtection="1"/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/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80" fillId="0" borderId="15" xfId="33" applyNumberFormat="1" applyFont="1" applyFill="1" applyBorder="1" applyAlignment="1" applyProtection="1">
      <alignment horizontal="center"/>
      <protection locked="0"/>
    </xf>
    <xf numFmtId="168" fontId="80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48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171" fontId="31" fillId="0" borderId="4" xfId="0" applyNumberFormat="1" applyFont="1" applyBorder="1" applyProtection="1"/>
    <xf numFmtId="0" fontId="80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8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79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171" fontId="31" fillId="34" borderId="23" xfId="0" applyNumberFormat="1" applyFont="1" applyFill="1" applyBorder="1" applyProtection="1"/>
    <xf numFmtId="2" fontId="32" fillId="34" borderId="1" xfId="0" applyNumberFormat="1" applyFont="1" applyFill="1" applyBorder="1" applyProtection="1"/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10" fontId="39" fillId="34" borderId="2" xfId="33" applyNumberFormat="1" applyFont="1" applyFill="1" applyBorder="1" applyAlignment="1" applyProtection="1">
      <alignment horizontal="center"/>
    </xf>
    <xf numFmtId="2" fontId="44" fillId="34" borderId="10" xfId="33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  <protection locked="0"/>
    </xf>
    <xf numFmtId="2" fontId="32" fillId="0" borderId="20" xfId="0" applyNumberFormat="1" applyFont="1" applyBorder="1" applyProtection="1"/>
    <xf numFmtId="2" fontId="32" fillId="0" borderId="21" xfId="0" applyNumberFormat="1" applyFont="1" applyBorder="1" applyProtection="1"/>
    <xf numFmtId="2" fontId="32" fillId="0" borderId="22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1" fontId="32" fillId="0" borderId="21" xfId="0" applyNumberFormat="1" applyFont="1" applyBorder="1" applyProtection="1"/>
    <xf numFmtId="1" fontId="32" fillId="0" borderId="24" xfId="0" applyNumberFormat="1" applyFont="1" applyBorder="1" applyProtection="1"/>
    <xf numFmtId="0" fontId="32" fillId="34" borderId="22" xfId="0" applyFont="1" applyFill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179" fontId="95" fillId="0" borderId="15" xfId="0" applyNumberFormat="1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6" fillId="0" borderId="0" xfId="33" applyNumberFormat="1" applyFont="1" applyFill="1" applyBorder="1" applyAlignment="1" applyProtection="1">
      <alignment horizontal="center"/>
    </xf>
    <xf numFmtId="168" fontId="97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70" fontId="34" fillId="0" borderId="0" xfId="0" applyNumberFormat="1" applyFont="1" applyAlignment="1" applyProtection="1">
      <alignment horizontal="left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8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8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5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9" fillId="0" borderId="26" xfId="31" applyNumberFormat="1" applyFont="1" applyFill="1" applyBorder="1" applyAlignment="1" applyProtection="1">
      <alignment horizontal="center" vertical="center"/>
    </xf>
    <xf numFmtId="0" fontId="100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1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0" fontId="38" fillId="0" borderId="0" xfId="0" applyFont="1" applyBorder="1" applyAlignment="1" applyProtection="1">
      <alignment horizontal="center"/>
      <protection locked="0"/>
    </xf>
    <xf numFmtId="179" fontId="38" fillId="0" borderId="2" xfId="0" applyNumberFormat="1" applyFont="1" applyBorder="1" applyAlignment="1" applyProtection="1">
      <alignment horizontal="center"/>
      <protection locked="0"/>
    </xf>
    <xf numFmtId="0" fontId="37" fillId="0" borderId="0" xfId="0" applyFont="1" applyBorder="1" applyAlignment="1" applyProtection="1">
      <alignment horizontal="center"/>
      <protection locked="0"/>
    </xf>
    <xf numFmtId="179" fontId="38" fillId="0" borderId="0" xfId="0" applyNumberFormat="1" applyFont="1" applyBorder="1" applyAlignment="1" applyProtection="1">
      <alignment horizontal="center"/>
      <protection locked="0"/>
    </xf>
    <xf numFmtId="185" fontId="34" fillId="0" borderId="0" xfId="31" applyNumberFormat="1" applyFont="1" applyBorder="1" applyProtection="1">
      <protection locked="0"/>
    </xf>
    <xf numFmtId="0" fontId="102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3" fillId="0" borderId="0" xfId="0" applyFont="1" applyProtection="1"/>
    <xf numFmtId="0" fontId="103" fillId="0" borderId="0" xfId="0" applyFont="1" applyBorder="1" applyProtection="1"/>
    <xf numFmtId="0" fontId="103" fillId="0" borderId="0" xfId="0" applyFont="1" applyAlignment="1" applyProtection="1">
      <alignment horizontal="center"/>
    </xf>
    <xf numFmtId="0" fontId="103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32" fillId="0" borderId="0" xfId="0" applyFont="1" applyAlignment="1" applyProtection="1">
      <alignment horizontal="left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4" fillId="0" borderId="0" xfId="0" applyFont="1" applyAlignment="1" applyProtection="1">
      <alignment horizontal="left"/>
    </xf>
    <xf numFmtId="0" fontId="83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179" fontId="36" fillId="0" borderId="0" xfId="0" applyNumberFormat="1" applyFont="1" applyFill="1" applyBorder="1" applyProtection="1"/>
    <xf numFmtId="0" fontId="38" fillId="0" borderId="0" xfId="0" applyFont="1" applyBorder="1" applyAlignment="1" applyProtection="1">
      <alignment horizontal="center"/>
    </xf>
    <xf numFmtId="179" fontId="38" fillId="0" borderId="0" xfId="0" applyNumberFormat="1" applyFont="1" applyFill="1" applyBorder="1" applyProtection="1"/>
    <xf numFmtId="179" fontId="36" fillId="0" borderId="0" xfId="0" applyNumberFormat="1" applyFont="1" applyBorder="1" applyProtection="1"/>
    <xf numFmtId="0" fontId="37" fillId="0" borderId="0" xfId="0" applyFont="1" applyBorder="1" applyAlignment="1" applyProtection="1">
      <alignment horizontal="center"/>
    </xf>
    <xf numFmtId="179" fontId="37" fillId="0" borderId="0" xfId="0" applyNumberFormat="1" applyFont="1" applyBorder="1" applyProtection="1"/>
    <xf numFmtId="0" fontId="37" fillId="0" borderId="0" xfId="0" applyFont="1" applyBorder="1" applyAlignment="1" applyProtection="1">
      <alignment horizontal="right"/>
    </xf>
    <xf numFmtId="1" fontId="32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left"/>
    </xf>
    <xf numFmtId="0" fontId="36" fillId="0" borderId="0" xfId="0" applyFont="1" applyBorder="1" applyAlignment="1" applyProtection="1">
      <alignment horizontal="right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183" fontId="37" fillId="0" borderId="0" xfId="0" applyNumberFormat="1" applyFont="1" applyBorder="1" applyProtection="1"/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7" fillId="0" borderId="0" xfId="33" applyNumberFormat="1" applyFont="1" applyBorder="1" applyAlignment="1" applyProtection="1">
      <alignment horizontal="center" vertical="center"/>
    </xf>
    <xf numFmtId="2" fontId="34" fillId="34" borderId="22" xfId="0" applyNumberFormat="1" applyFont="1" applyFill="1" applyBorder="1" applyProtection="1"/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86" fillId="0" borderId="3" xfId="33" applyNumberFormat="1" applyFont="1" applyBorder="1" applyAlignment="1" applyProtection="1">
      <alignment horizont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5" fillId="0" borderId="27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166" fontId="105" fillId="0" borderId="28" xfId="33" applyNumberFormat="1" applyFont="1" applyBorder="1" applyAlignment="1" applyProtection="1">
      <alignment horizontal="center"/>
      <protection locked="0"/>
    </xf>
    <xf numFmtId="166" fontId="104" fillId="0" borderId="29" xfId="33" applyNumberFormat="1" applyFont="1" applyBorder="1" applyAlignment="1" applyProtection="1">
      <alignment horizontal="center"/>
      <protection locked="0"/>
    </xf>
    <xf numFmtId="166" fontId="105" fillId="0" borderId="29" xfId="33" applyNumberFormat="1" applyFont="1" applyBorder="1" applyAlignment="1" applyProtection="1">
      <alignment horizontal="center"/>
      <protection locked="0"/>
    </xf>
    <xf numFmtId="186" fontId="50" fillId="0" borderId="0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/>
    </xf>
    <xf numFmtId="0" fontId="106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6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2" fontId="32" fillId="0" borderId="13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2" fontId="32" fillId="0" borderId="2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1" fontId="32" fillId="0" borderId="4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30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7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5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8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9" fillId="0" borderId="0" xfId="0" applyFont="1" applyAlignment="1" applyProtection="1">
      <alignment horizontal="left"/>
      <protection locked="0"/>
    </xf>
    <xf numFmtId="179" fontId="38" fillId="0" borderId="4" xfId="0" applyNumberFormat="1" applyFont="1" applyBorder="1" applyAlignment="1" applyProtection="1">
      <alignment horizontal="center"/>
      <protection locked="0"/>
    </xf>
    <xf numFmtId="167" fontId="83" fillId="0" borderId="0" xfId="0" applyNumberFormat="1" applyFont="1" applyProtection="1"/>
    <xf numFmtId="0" fontId="110" fillId="0" borderId="0" xfId="0" applyFont="1" applyProtection="1"/>
    <xf numFmtId="0" fontId="83" fillId="0" borderId="0" xfId="0" applyFont="1" applyBorder="1" applyAlignment="1" applyProtection="1">
      <alignment horizontal="right"/>
    </xf>
    <xf numFmtId="179" fontId="33" fillId="0" borderId="0" xfId="0" applyNumberFormat="1" applyFont="1" applyBorder="1" applyAlignment="1" applyProtection="1">
      <alignment horizontal="center"/>
    </xf>
    <xf numFmtId="179" fontId="83" fillId="0" borderId="0" xfId="0" applyNumberFormat="1" applyFont="1" applyBorder="1" applyAlignment="1" applyProtection="1">
      <alignment horizontal="center"/>
    </xf>
    <xf numFmtId="166" fontId="111" fillId="0" borderId="31" xfId="33" applyNumberFormat="1" applyFont="1" applyBorder="1" applyAlignment="1" applyProtection="1">
      <alignment horizontal="center"/>
      <protection locked="0"/>
    </xf>
    <xf numFmtId="0" fontId="109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2" fillId="0" borderId="29" xfId="0" applyNumberFormat="1" applyFont="1" applyFill="1" applyBorder="1" applyProtection="1">
      <protection locked="0"/>
    </xf>
    <xf numFmtId="0" fontId="112" fillId="0" borderId="0" xfId="0" applyFont="1" applyAlignment="1" applyProtection="1">
      <alignment horizontal="center"/>
    </xf>
    <xf numFmtId="2" fontId="112" fillId="34" borderId="29" xfId="0" applyNumberFormat="1" applyFont="1" applyFill="1" applyBorder="1" applyProtection="1">
      <protection locked="0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183" fontId="52" fillId="0" borderId="1" xfId="0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4" fillId="0" borderId="27" xfId="33" applyNumberFormat="1" applyFont="1" applyBorder="1" applyAlignment="1" applyProtection="1">
      <alignment horizontal="center"/>
      <protection locked="0"/>
    </xf>
    <xf numFmtId="167" fontId="104" fillId="0" borderId="29" xfId="33" applyNumberFormat="1" applyFont="1" applyBorder="1" applyAlignment="1" applyProtection="1">
      <alignment horizontal="center"/>
      <protection locked="0"/>
    </xf>
    <xf numFmtId="0" fontId="74" fillId="0" borderId="0" xfId="0" applyFont="1" applyProtection="1"/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3" fillId="0" borderId="0" xfId="0" applyNumberFormat="1" applyFont="1" applyFill="1" applyBorder="1" applyAlignment="1" applyProtection="1">
      <alignment horizontal="center"/>
    </xf>
    <xf numFmtId="1" fontId="98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2" fontId="112" fillId="34" borderId="0" xfId="0" applyNumberFormat="1" applyFont="1" applyFill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2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13" xfId="0" applyNumberFormat="1" applyFont="1" applyBorder="1" applyAlignment="1" applyProtection="1">
      <alignment horizontal="center"/>
    </xf>
    <xf numFmtId="176" fontId="32" fillId="0" borderId="11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2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4" fillId="0" borderId="13" xfId="0" applyNumberFormat="1" applyFont="1" applyBorder="1" applyAlignment="1" applyProtection="1">
      <alignment horizontal="center"/>
    </xf>
    <xf numFmtId="1" fontId="114" fillId="0" borderId="11" xfId="0" applyNumberFormat="1" applyFont="1" applyBorder="1" applyAlignment="1" applyProtection="1">
      <alignment horizontal="center"/>
    </xf>
    <xf numFmtId="1" fontId="114" fillId="0" borderId="2" xfId="0" applyNumberFormat="1" applyFont="1" applyBorder="1" applyAlignment="1" applyProtection="1">
      <alignment horizontal="center"/>
    </xf>
    <xf numFmtId="1" fontId="114" fillId="0" borderId="10" xfId="0" applyNumberFormat="1" applyFont="1" applyBorder="1" applyAlignment="1" applyProtection="1">
      <alignment horizontal="center"/>
    </xf>
    <xf numFmtId="1" fontId="114" fillId="0" borderId="17" xfId="0" applyNumberFormat="1" applyFont="1" applyBorder="1" applyAlignment="1" applyProtection="1">
      <alignment horizontal="center"/>
    </xf>
    <xf numFmtId="1" fontId="114" fillId="0" borderId="32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5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6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7" fillId="0" borderId="0" xfId="0" applyNumberFormat="1" applyFont="1" applyAlignment="1" applyProtection="1">
      <alignment horizontal="center"/>
    </xf>
    <xf numFmtId="2" fontId="36" fillId="0" borderId="5" xfId="0" applyNumberFormat="1" applyFont="1" applyBorder="1" applyProtection="1">
      <protection locked="0"/>
    </xf>
    <xf numFmtId="179" fontId="36" fillId="0" borderId="5" xfId="0" applyNumberFormat="1" applyFont="1" applyBorder="1" applyProtection="1">
      <protection locked="0"/>
    </xf>
    <xf numFmtId="2" fontId="36" fillId="0" borderId="0" xfId="0" applyNumberFormat="1" applyFont="1" applyBorder="1" applyProtection="1">
      <protection locked="0"/>
    </xf>
    <xf numFmtId="179" fontId="36" fillId="0" borderId="0" xfId="0" applyNumberFormat="1" applyFont="1" applyBorder="1" applyProtection="1">
      <protection locked="0"/>
    </xf>
    <xf numFmtId="179" fontId="37" fillId="0" borderId="0" xfId="0" applyNumberFormat="1" applyFont="1" applyBorder="1" applyProtection="1">
      <protection locked="0"/>
    </xf>
    <xf numFmtId="179" fontId="37" fillId="0" borderId="2" xfId="0" applyNumberFormat="1" applyFont="1" applyBorder="1" applyAlignment="1" applyProtection="1">
      <alignment horizontal="center"/>
      <protection locked="0"/>
    </xf>
    <xf numFmtId="2" fontId="34" fillId="0" borderId="0" xfId="0" applyNumberFormat="1" applyFont="1" applyBorder="1" applyProtection="1">
      <protection locked="0"/>
    </xf>
    <xf numFmtId="0" fontId="37" fillId="0" borderId="7" xfId="0" applyFont="1" applyBorder="1" applyProtection="1">
      <protection locked="0"/>
    </xf>
    <xf numFmtId="187" fontId="37" fillId="0" borderId="2" xfId="31" applyNumberFormat="1" applyFont="1" applyBorder="1" applyAlignment="1" applyProtection="1">
      <alignment horizontal="center"/>
      <protection locked="0"/>
    </xf>
    <xf numFmtId="187" fontId="37" fillId="0" borderId="0" xfId="31" applyNumberFormat="1" applyFont="1" applyBorder="1" applyAlignment="1" applyProtection="1">
      <alignment horizontal="center"/>
      <protection locked="0"/>
    </xf>
    <xf numFmtId="187" fontId="37" fillId="0" borderId="10" xfId="31" applyNumberFormat="1" applyFont="1" applyBorder="1" applyAlignment="1" applyProtection="1">
      <alignment horizontal="center"/>
      <protection locked="0"/>
    </xf>
    <xf numFmtId="187" fontId="50" fillId="0" borderId="7" xfId="31" applyNumberFormat="1" applyFont="1" applyBorder="1" applyAlignment="1" applyProtection="1">
      <alignment horizontal="center"/>
      <protection locked="0"/>
    </xf>
    <xf numFmtId="2" fontId="95" fillId="0" borderId="0" xfId="0" applyNumberFormat="1" applyFont="1" applyBorder="1" applyProtection="1">
      <protection locked="0"/>
    </xf>
    <xf numFmtId="0" fontId="34" fillId="0" borderId="0" xfId="0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9" fontId="118" fillId="0" borderId="19" xfId="33" applyFont="1" applyBorder="1" applyAlignment="1" applyProtection="1">
      <alignment horizontal="center" vertical="center"/>
      <protection locked="0"/>
    </xf>
    <xf numFmtId="173" fontId="118" fillId="0" borderId="19" xfId="0" applyNumberFormat="1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34" fillId="0" borderId="0" xfId="0" applyNumberFormat="1" applyFont="1" applyAlignment="1" applyProtection="1">
      <alignment horizontal="center" vertical="center"/>
    </xf>
    <xf numFmtId="0" fontId="36" fillId="0" borderId="0" xfId="0" applyFont="1" applyBorder="1" applyAlignment="1" applyProtection="1">
      <alignment horizontal="left"/>
    </xf>
    <xf numFmtId="173" fontId="38" fillId="0" borderId="0" xfId="0" applyNumberFormat="1" applyFont="1" applyAlignment="1" applyProtection="1">
      <alignment horizontal="center" vertical="center"/>
    </xf>
    <xf numFmtId="2" fontId="38" fillId="0" borderId="0" xfId="0" applyNumberFormat="1" applyFont="1" applyAlignment="1" applyProtection="1">
      <alignment horizontal="center" vertical="center"/>
    </xf>
    <xf numFmtId="2" fontId="36" fillId="0" borderId="33" xfId="0" applyNumberFormat="1" applyFont="1" applyBorder="1" applyProtection="1">
      <protection locked="0"/>
    </xf>
    <xf numFmtId="179" fontId="36" fillId="0" borderId="33" xfId="0" applyNumberFormat="1" applyFont="1" applyBorder="1" applyProtection="1">
      <protection locked="0"/>
    </xf>
    <xf numFmtId="179" fontId="95" fillId="0" borderId="25" xfId="0" applyNumberFormat="1" applyFont="1" applyBorder="1" applyAlignment="1" applyProtection="1">
      <alignment horizontal="center"/>
      <protection locked="0"/>
    </xf>
    <xf numFmtId="179" fontId="95" fillId="0" borderId="34" xfId="0" applyNumberFormat="1" applyFont="1" applyBorder="1" applyAlignment="1" applyProtection="1">
      <alignment horizontal="center"/>
      <protection locked="0"/>
    </xf>
    <xf numFmtId="179" fontId="95" fillId="0" borderId="35" xfId="0" applyNumberFormat="1" applyFont="1" applyBorder="1" applyAlignment="1" applyProtection="1">
      <alignment horizontal="center"/>
      <protection locked="0"/>
    </xf>
    <xf numFmtId="179" fontId="95" fillId="0" borderId="36" xfId="0" applyNumberFormat="1" applyFont="1" applyBorder="1" applyAlignment="1" applyProtection="1">
      <alignment horizontal="center"/>
      <protection locked="0"/>
    </xf>
    <xf numFmtId="0" fontId="32" fillId="0" borderId="7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left"/>
    </xf>
    <xf numFmtId="2" fontId="36" fillId="0" borderId="1" xfId="0" applyNumberFormat="1" applyFont="1" applyBorder="1" applyProtection="1">
      <protection locked="0"/>
    </xf>
    <xf numFmtId="179" fontId="36" fillId="0" borderId="1" xfId="0" applyNumberFormat="1" applyFont="1" applyBorder="1" applyProtection="1">
      <protection locked="0"/>
    </xf>
    <xf numFmtId="179" fontId="37" fillId="0" borderId="1" xfId="0" applyNumberFormat="1" applyFont="1" applyBorder="1" applyProtection="1">
      <protection locked="0"/>
    </xf>
    <xf numFmtId="0" fontId="34" fillId="0" borderId="0" xfId="0" applyFont="1" applyAlignment="1" applyProtection="1">
      <alignment horizontal="left" vertical="top"/>
    </xf>
    <xf numFmtId="0" fontId="119" fillId="33" borderId="3" xfId="0" applyFont="1" applyFill="1" applyBorder="1" applyAlignment="1" applyProtection="1">
      <alignment horizontal="right"/>
    </xf>
    <xf numFmtId="0" fontId="33" fillId="0" borderId="0" xfId="0" applyFont="1" applyAlignment="1" applyProtection="1">
      <alignment horizontal="center"/>
    </xf>
    <xf numFmtId="179" fontId="37" fillId="33" borderId="33" xfId="0" applyNumberFormat="1" applyFont="1" applyFill="1" applyBorder="1" applyAlignment="1" applyProtection="1">
      <alignment horizontal="center"/>
      <protection locked="0"/>
    </xf>
    <xf numFmtId="179" fontId="37" fillId="33" borderId="0" xfId="0" applyNumberFormat="1" applyFont="1" applyFill="1" applyBorder="1" applyAlignment="1" applyProtection="1">
      <alignment horizontal="center"/>
      <protection locked="0"/>
    </xf>
    <xf numFmtId="179" fontId="38" fillId="33" borderId="0" xfId="0" applyNumberFormat="1" applyFont="1" applyFill="1" applyBorder="1" applyAlignment="1" applyProtection="1">
      <alignment horizontal="center"/>
      <protection locked="0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31" fillId="0" borderId="33" xfId="0" applyFont="1" applyBorder="1" applyAlignment="1" applyProtection="1">
      <alignment horizontal="right"/>
    </xf>
    <xf numFmtId="179" fontId="37" fillId="33" borderId="37" xfId="0" applyNumberFormat="1" applyFont="1" applyFill="1" applyBorder="1" applyProtection="1">
      <protection locked="0"/>
    </xf>
    <xf numFmtId="179" fontId="37" fillId="33" borderId="10" xfId="0" applyNumberFormat="1" applyFont="1" applyFill="1" applyBorder="1" applyProtection="1">
      <protection locked="0"/>
    </xf>
    <xf numFmtId="179" fontId="38" fillId="33" borderId="10" xfId="0" applyNumberFormat="1" applyFont="1" applyFill="1" applyBorder="1" applyProtection="1">
      <protection locked="0"/>
    </xf>
    <xf numFmtId="179" fontId="95" fillId="0" borderId="33" xfId="0" applyNumberFormat="1" applyFont="1" applyBorder="1" applyAlignment="1" applyProtection="1">
      <alignment horizontal="center"/>
      <protection locked="0"/>
    </xf>
    <xf numFmtId="179" fontId="95" fillId="0" borderId="38" xfId="0" applyNumberFormat="1" applyFont="1" applyBorder="1" applyAlignment="1" applyProtection="1">
      <alignment horizontal="center"/>
      <protection locked="0"/>
    </xf>
    <xf numFmtId="2" fontId="38" fillId="0" borderId="0" xfId="0" applyNumberFormat="1" applyFont="1" applyBorder="1" applyProtection="1">
      <protection locked="0"/>
    </xf>
    <xf numFmtId="0" fontId="31" fillId="0" borderId="0" xfId="0" applyFont="1" applyBorder="1" applyAlignment="1" applyProtection="1">
      <alignment horizontal="right"/>
    </xf>
    <xf numFmtId="179" fontId="95" fillId="0" borderId="0" xfId="0" applyNumberFormat="1" applyFont="1" applyBorder="1" applyAlignment="1" applyProtection="1">
      <alignment horizontal="center"/>
      <protection locked="0"/>
    </xf>
    <xf numFmtId="179" fontId="95" fillId="0" borderId="39" xfId="0" applyNumberFormat="1" applyFont="1" applyBorder="1" applyAlignment="1" applyProtection="1">
      <alignment horizontal="center"/>
      <protection locked="0"/>
    </xf>
    <xf numFmtId="179" fontId="38" fillId="0" borderId="0" xfId="0" applyNumberFormat="1" applyFont="1" applyBorder="1" applyProtection="1">
      <protection locked="0"/>
    </xf>
    <xf numFmtId="0" fontId="32" fillId="0" borderId="0" xfId="0" applyFont="1" applyBorder="1" applyAlignment="1" applyProtection="1">
      <alignment horizontal="right"/>
    </xf>
    <xf numFmtId="0" fontId="38" fillId="0" borderId="40" xfId="0" applyFont="1" applyBorder="1" applyAlignment="1" applyProtection="1">
      <alignment horizontal="center"/>
      <protection locked="0"/>
    </xf>
    <xf numFmtId="179" fontId="95" fillId="0" borderId="40" xfId="0" applyNumberFormat="1" applyFont="1" applyBorder="1" applyAlignment="1" applyProtection="1">
      <alignment horizontal="center"/>
      <protection locked="0"/>
    </xf>
    <xf numFmtId="0" fontId="95" fillId="0" borderId="33" xfId="0" applyFont="1" applyBorder="1" applyAlignment="1" applyProtection="1">
      <alignment horizontal="center"/>
      <protection locked="0"/>
    </xf>
    <xf numFmtId="0" fontId="95" fillId="0" borderId="0" xfId="0" applyFont="1" applyBorder="1" applyAlignment="1" applyProtection="1">
      <alignment horizontal="center"/>
      <protection locked="0"/>
    </xf>
    <xf numFmtId="0" fontId="95" fillId="0" borderId="41" xfId="0" applyFont="1" applyBorder="1" applyAlignment="1" applyProtection="1">
      <alignment horizontal="right"/>
      <protection locked="0"/>
    </xf>
    <xf numFmtId="0" fontId="95" fillId="0" borderId="26" xfId="0" applyFont="1" applyBorder="1" applyAlignment="1" applyProtection="1">
      <alignment horizontal="right"/>
      <protection locked="0"/>
    </xf>
    <xf numFmtId="0" fontId="95" fillId="0" borderId="42" xfId="0" applyFont="1" applyBorder="1" applyAlignment="1" applyProtection="1">
      <alignment horizontal="right"/>
      <protection locked="0"/>
    </xf>
    <xf numFmtId="179" fontId="34" fillId="0" borderId="0" xfId="0" applyNumberFormat="1" applyFont="1" applyBorder="1" applyAlignment="1" applyProtection="1">
      <alignment horizontal="center"/>
    </xf>
    <xf numFmtId="2" fontId="111" fillId="0" borderId="38" xfId="0" applyNumberFormat="1" applyFont="1" applyBorder="1" applyProtection="1">
      <protection locked="0"/>
    </xf>
    <xf numFmtId="2" fontId="111" fillId="0" borderId="39" xfId="0" applyNumberFormat="1" applyFont="1" applyBorder="1" applyProtection="1">
      <protection locked="0"/>
    </xf>
    <xf numFmtId="2" fontId="86" fillId="0" borderId="39" xfId="0" applyNumberFormat="1" applyFont="1" applyBorder="1" applyProtection="1">
      <protection locked="0"/>
    </xf>
    <xf numFmtId="2" fontId="86" fillId="0" borderId="43" xfId="0" applyNumberFormat="1" applyFont="1" applyBorder="1" applyProtection="1">
      <protection locked="0"/>
    </xf>
    <xf numFmtId="179" fontId="95" fillId="0" borderId="41" xfId="0" applyNumberFormat="1" applyFont="1" applyBorder="1" applyAlignment="1" applyProtection="1">
      <alignment horizontal="center"/>
      <protection locked="0"/>
    </xf>
    <xf numFmtId="179" fontId="95" fillId="0" borderId="26" xfId="0" applyNumberFormat="1" applyFont="1" applyBorder="1" applyAlignment="1" applyProtection="1">
      <alignment horizontal="center"/>
      <protection locked="0"/>
    </xf>
    <xf numFmtId="179" fontId="95" fillId="0" borderId="42" xfId="0" applyNumberFormat="1" applyFont="1" applyBorder="1" applyAlignment="1" applyProtection="1">
      <alignment horizontal="center"/>
      <protection locked="0"/>
    </xf>
    <xf numFmtId="179" fontId="95" fillId="0" borderId="43" xfId="0" applyNumberFormat="1" applyFont="1" applyBorder="1" applyAlignment="1" applyProtection="1">
      <alignment horizontal="center"/>
      <protection locked="0"/>
    </xf>
    <xf numFmtId="0" fontId="38" fillId="0" borderId="41" xfId="0" applyFont="1" applyBorder="1" applyAlignment="1" applyProtection="1">
      <alignment horizontal="right"/>
      <protection locked="0"/>
    </xf>
    <xf numFmtId="0" fontId="38" fillId="0" borderId="33" xfId="0" applyFont="1" applyBorder="1" applyAlignment="1" applyProtection="1">
      <alignment horizontal="center"/>
      <protection locked="0"/>
    </xf>
    <xf numFmtId="0" fontId="38" fillId="0" borderId="26" xfId="0" applyFont="1" applyBorder="1" applyAlignment="1" applyProtection="1">
      <alignment horizontal="right"/>
      <protection locked="0"/>
    </xf>
    <xf numFmtId="0" fontId="115" fillId="0" borderId="26" xfId="0" applyFont="1" applyBorder="1" applyAlignment="1" applyProtection="1">
      <alignment horizontal="right"/>
      <protection locked="0"/>
    </xf>
    <xf numFmtId="2" fontId="111" fillId="0" borderId="35" xfId="0" applyNumberFormat="1" applyFont="1" applyBorder="1" applyProtection="1">
      <protection locked="0"/>
    </xf>
    <xf numFmtId="2" fontId="111" fillId="0" borderId="43" xfId="0" applyNumberFormat="1" applyFont="1" applyBorder="1" applyProtection="1">
      <protection locked="0"/>
    </xf>
    <xf numFmtId="0" fontId="31" fillId="0" borderId="2" xfId="0" applyFont="1" applyBorder="1" applyAlignment="1" applyProtection="1">
      <alignment horizontal="right"/>
      <protection locked="0"/>
    </xf>
    <xf numFmtId="179" fontId="38" fillId="0" borderId="26" xfId="0" applyNumberFormat="1" applyFont="1" applyBorder="1" applyAlignment="1" applyProtection="1">
      <alignment horizontal="center"/>
      <protection locked="0"/>
    </xf>
    <xf numFmtId="179" fontId="38" fillId="0" borderId="39" xfId="0" applyNumberFormat="1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2" fontId="111" fillId="0" borderId="44" xfId="0" applyNumberFormat="1" applyFont="1" applyBorder="1" applyProtection="1">
      <protection locked="0"/>
    </xf>
    <xf numFmtId="2" fontId="111" fillId="0" borderId="34" xfId="0" applyNumberFormat="1" applyFont="1" applyBorder="1" applyProtection="1">
      <protection locked="0"/>
    </xf>
    <xf numFmtId="2" fontId="111" fillId="0" borderId="45" xfId="0" applyNumberFormat="1" applyFont="1" applyBorder="1" applyProtection="1">
      <protection locked="0"/>
    </xf>
    <xf numFmtId="2" fontId="111" fillId="0" borderId="46" xfId="0" applyNumberFormat="1" applyFont="1" applyBorder="1" applyProtection="1">
      <protection locked="0"/>
    </xf>
    <xf numFmtId="2" fontId="111" fillId="0" borderId="47" xfId="0" applyNumberFormat="1" applyFont="1" applyBorder="1" applyProtection="1">
      <protection locked="0"/>
    </xf>
    <xf numFmtId="179" fontId="95" fillId="0" borderId="44" xfId="0" applyNumberFormat="1" applyFont="1" applyBorder="1" applyAlignment="1" applyProtection="1">
      <alignment horizontal="center"/>
      <protection locked="0"/>
    </xf>
    <xf numFmtId="179" fontId="95" fillId="0" borderId="45" xfId="0" applyNumberFormat="1" applyFont="1" applyBorder="1" applyAlignment="1" applyProtection="1">
      <alignment horizontal="center"/>
      <protection locked="0"/>
    </xf>
    <xf numFmtId="179" fontId="95" fillId="0" borderId="46" xfId="0" applyNumberFormat="1" applyFont="1" applyBorder="1" applyAlignment="1" applyProtection="1">
      <alignment horizontal="center"/>
      <protection locked="0"/>
    </xf>
    <xf numFmtId="179" fontId="95" fillId="0" borderId="47" xfId="0" applyNumberFormat="1" applyFont="1" applyBorder="1" applyAlignment="1" applyProtection="1">
      <alignment horizontal="center"/>
      <protection locked="0"/>
    </xf>
    <xf numFmtId="2" fontId="111" fillId="0" borderId="27" xfId="0" applyNumberFormat="1" applyFont="1" applyFill="1" applyBorder="1" applyAlignment="1" applyProtection="1">
      <alignment horizontal="center"/>
      <protection locked="0"/>
    </xf>
    <xf numFmtId="2" fontId="111" fillId="0" borderId="28" xfId="0" applyNumberFormat="1" applyFont="1" applyBorder="1" applyAlignment="1" applyProtection="1">
      <alignment horizontal="center"/>
      <protection locked="0"/>
    </xf>
    <xf numFmtId="2" fontId="111" fillId="0" borderId="29" xfId="0" applyNumberFormat="1" applyFont="1" applyBorder="1" applyAlignment="1" applyProtection="1">
      <alignment horizont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1" fontId="55" fillId="0" borderId="48" xfId="0" applyNumberFormat="1" applyFont="1" applyBorder="1" applyAlignment="1" applyProtection="1">
      <alignment horizontal="center"/>
      <protection locked="0"/>
    </xf>
    <xf numFmtId="1" fontId="55" fillId="0" borderId="49" xfId="0" applyNumberFormat="1" applyFont="1" applyBorder="1" applyAlignment="1" applyProtection="1">
      <alignment horizontal="center"/>
      <protection locked="0"/>
    </xf>
    <xf numFmtId="166" fontId="55" fillId="0" borderId="50" xfId="0" applyNumberFormat="1" applyFont="1" applyBorder="1" applyAlignment="1" applyProtection="1">
      <alignment horizontal="center"/>
      <protection locked="0"/>
    </xf>
    <xf numFmtId="0" fontId="36" fillId="33" borderId="7" xfId="0" applyFont="1" applyFill="1" applyBorder="1" applyProtection="1"/>
    <xf numFmtId="0" fontId="95" fillId="0" borderId="19" xfId="0" applyFont="1" applyBorder="1" applyAlignment="1" applyProtection="1">
      <alignment horizontal="center"/>
      <protection locked="0"/>
    </xf>
    <xf numFmtId="2" fontId="38" fillId="0" borderId="51" xfId="0" applyNumberFormat="1" applyFont="1" applyBorder="1" applyProtection="1">
      <protection locked="0"/>
    </xf>
    <xf numFmtId="179" fontId="38" fillId="0" borderId="1" xfId="0" applyNumberFormat="1" applyFont="1" applyBorder="1" applyProtection="1">
      <protection locked="0"/>
    </xf>
    <xf numFmtId="2" fontId="38" fillId="0" borderId="1" xfId="0" applyNumberFormat="1" applyFont="1" applyBorder="1" applyProtection="1">
      <protection locked="0"/>
    </xf>
    <xf numFmtId="179" fontId="38" fillId="33" borderId="9" xfId="0" applyNumberFormat="1" applyFont="1" applyFill="1" applyBorder="1" applyProtection="1">
      <protection locked="0"/>
    </xf>
    <xf numFmtId="179" fontId="38" fillId="33" borderId="1" xfId="0" applyNumberFormat="1" applyFont="1" applyFill="1" applyBorder="1" applyAlignment="1" applyProtection="1">
      <alignment horizontal="center"/>
      <protection locked="0"/>
    </xf>
    <xf numFmtId="0" fontId="32" fillId="0" borderId="52" xfId="0" applyFont="1" applyBorder="1" applyAlignment="1" applyProtection="1">
      <alignment horizontal="right"/>
    </xf>
    <xf numFmtId="2" fontId="36" fillId="0" borderId="53" xfId="0" applyNumberFormat="1" applyFont="1" applyBorder="1" applyProtection="1">
      <protection locked="0"/>
    </xf>
    <xf numFmtId="179" fontId="37" fillId="0" borderId="5" xfId="0" applyNumberFormat="1" applyFont="1" applyBorder="1" applyProtection="1">
      <protection locked="0"/>
    </xf>
    <xf numFmtId="179" fontId="38" fillId="0" borderId="13" xfId="0" applyNumberFormat="1" applyFont="1" applyBorder="1" applyAlignment="1" applyProtection="1">
      <alignment horizontal="center"/>
      <protection locked="0"/>
    </xf>
    <xf numFmtId="2" fontId="34" fillId="0" borderId="33" xfId="0" applyNumberFormat="1" applyFont="1" applyBorder="1" applyProtection="1">
      <protection locked="0"/>
    </xf>
    <xf numFmtId="1" fontId="34" fillId="0" borderId="3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  <protection locked="0"/>
    </xf>
    <xf numFmtId="179" fontId="37" fillId="0" borderId="10" xfId="0" applyNumberFormat="1" applyFont="1" applyBorder="1" applyAlignment="1" applyProtection="1">
      <alignment horizontal="center"/>
      <protection locked="0"/>
    </xf>
    <xf numFmtId="179" fontId="50" fillId="0" borderId="7" xfId="0" applyNumberFormat="1" applyFont="1" applyBorder="1" applyAlignment="1" applyProtection="1">
      <alignment horizontal="center"/>
      <protection locked="0"/>
    </xf>
    <xf numFmtId="0" fontId="37" fillId="0" borderId="7" xfId="0" applyFont="1" applyBorder="1" applyAlignment="1" applyProtection="1">
      <alignment horizontal="left"/>
      <protection locked="0"/>
    </xf>
    <xf numFmtId="1" fontId="37" fillId="0" borderId="2" xfId="0" applyNumberFormat="1" applyFont="1" applyBorder="1" applyAlignment="1" applyProtection="1">
      <alignment horizontal="center"/>
      <protection locked="0"/>
    </xf>
    <xf numFmtId="1" fontId="37" fillId="0" borderId="0" xfId="0" applyNumberFormat="1" applyFont="1" applyBorder="1" applyAlignment="1" applyProtection="1">
      <alignment horizontal="center"/>
      <protection locked="0"/>
    </xf>
    <xf numFmtId="1" fontId="37" fillId="0" borderId="10" xfId="0" applyNumberFormat="1" applyFont="1" applyBorder="1" applyAlignment="1" applyProtection="1">
      <alignment horizontal="center"/>
      <protection locked="0"/>
    </xf>
    <xf numFmtId="187" fontId="50" fillId="0" borderId="0" xfId="31" applyNumberFormat="1" applyFont="1" applyBorder="1" applyAlignment="1" applyProtection="1">
      <alignment horizontal="center"/>
      <protection locked="0"/>
    </xf>
    <xf numFmtId="0" fontId="37" fillId="0" borderId="8" xfId="0" applyFont="1" applyBorder="1" applyAlignment="1" applyProtection="1">
      <alignment horizontal="left"/>
      <protection locked="0"/>
    </xf>
    <xf numFmtId="1" fontId="37" fillId="0" borderId="4" xfId="0" applyNumberFormat="1" applyFont="1" applyBorder="1" applyAlignment="1" applyProtection="1">
      <alignment horizontal="center"/>
      <protection locked="0"/>
    </xf>
    <xf numFmtId="1" fontId="37" fillId="0" borderId="1" xfId="0" applyNumberFormat="1" applyFont="1" applyBorder="1" applyAlignment="1" applyProtection="1">
      <alignment horizontal="center"/>
      <protection locked="0"/>
    </xf>
    <xf numFmtId="1" fontId="37" fillId="0" borderId="9" xfId="0" applyNumberFormat="1" applyFont="1" applyBorder="1" applyAlignment="1" applyProtection="1">
      <alignment horizontal="center"/>
      <protection locked="0"/>
    </xf>
    <xf numFmtId="187" fontId="50" fillId="0" borderId="8" xfId="31" applyNumberFormat="1" applyFont="1" applyBorder="1" applyAlignment="1" applyProtection="1">
      <alignment horizontal="center"/>
      <protection locked="0"/>
    </xf>
    <xf numFmtId="187" fontId="37" fillId="0" borderId="4" xfId="31" applyNumberFormat="1" applyFont="1" applyBorder="1" applyAlignment="1" applyProtection="1">
      <alignment horizontal="center"/>
      <protection locked="0"/>
    </xf>
    <xf numFmtId="187" fontId="50" fillId="0" borderId="1" xfId="31" applyNumberFormat="1" applyFont="1" applyBorder="1" applyAlignment="1" applyProtection="1">
      <alignment horizontal="center"/>
      <protection locked="0"/>
    </xf>
    <xf numFmtId="187" fontId="37" fillId="0" borderId="1" xfId="31" applyNumberFormat="1" applyFont="1" applyBorder="1" applyAlignment="1" applyProtection="1">
      <alignment horizontal="center"/>
      <protection locked="0"/>
    </xf>
    <xf numFmtId="187" fontId="37" fillId="0" borderId="9" xfId="31" applyNumberFormat="1" applyFont="1" applyBorder="1" applyAlignment="1" applyProtection="1">
      <alignment horizontal="center"/>
      <protection locked="0"/>
    </xf>
    <xf numFmtId="0" fontId="32" fillId="0" borderId="8" xfId="0" applyFont="1" applyBorder="1" applyAlignment="1" applyProtection="1">
      <alignment horizontal="right"/>
    </xf>
    <xf numFmtId="179" fontId="37" fillId="0" borderId="4" xfId="0" applyNumberFormat="1" applyFont="1" applyBorder="1" applyAlignment="1" applyProtection="1">
      <alignment horizontal="center"/>
      <protection locked="0"/>
    </xf>
    <xf numFmtId="179" fontId="37" fillId="0" borderId="1" xfId="0" applyNumberFormat="1" applyFont="1" applyBorder="1" applyAlignment="1" applyProtection="1">
      <alignment horizontal="center"/>
      <protection locked="0"/>
    </xf>
    <xf numFmtId="179" fontId="37" fillId="0" borderId="9" xfId="0" applyNumberFormat="1" applyFont="1" applyBorder="1" applyAlignment="1" applyProtection="1">
      <alignment horizontal="center"/>
      <protection locked="0"/>
    </xf>
    <xf numFmtId="179" fontId="50" fillId="0" borderId="8" xfId="0" applyNumberFormat="1" applyFont="1" applyBorder="1" applyAlignment="1" applyProtection="1">
      <alignment horizontal="center"/>
      <protection locked="0"/>
    </xf>
    <xf numFmtId="0" fontId="30" fillId="0" borderId="0" xfId="0" quotePrefix="1" applyFont="1" applyAlignment="1" applyProtection="1">
      <alignment horizontal="center"/>
    </xf>
    <xf numFmtId="179" fontId="34" fillId="0" borderId="10" xfId="0" applyNumberFormat="1" applyFont="1" applyBorder="1" applyAlignment="1" applyProtection="1">
      <alignment horizontal="center" vertical="center"/>
    </xf>
    <xf numFmtId="179" fontId="34" fillId="0" borderId="9" xfId="0" applyNumberFormat="1" applyFont="1" applyBorder="1" applyAlignment="1" applyProtection="1">
      <alignment horizontal="center" vertical="center"/>
    </xf>
    <xf numFmtId="15" fontId="118" fillId="0" borderId="0" xfId="0" applyNumberFormat="1" applyFont="1" applyBorder="1" applyAlignment="1" applyProtection="1">
      <alignment horizontal="center" vertical="center"/>
      <protection locked="0"/>
    </xf>
    <xf numFmtId="0" fontId="38" fillId="0" borderId="10" xfId="0" applyFont="1" applyBorder="1" applyAlignment="1" applyProtection="1">
      <alignment horizontal="left"/>
    </xf>
    <xf numFmtId="0" fontId="38" fillId="0" borderId="33" xfId="0" applyFont="1" applyFill="1" applyBorder="1" applyAlignment="1" applyProtection="1">
      <alignment horizontal="left"/>
    </xf>
    <xf numFmtId="0" fontId="38" fillId="0" borderId="0" xfId="0" applyFont="1" applyFill="1" applyBorder="1" applyAlignment="1" applyProtection="1">
      <alignment horizontal="left"/>
    </xf>
    <xf numFmtId="1" fontId="38" fillId="0" borderId="0" xfId="0" applyNumberFormat="1" applyFont="1" applyBorder="1" applyAlignment="1" applyProtection="1">
      <alignment horizontal="left"/>
      <protection locked="0"/>
    </xf>
    <xf numFmtId="0" fontId="38" fillId="0" borderId="54" xfId="0" applyFont="1" applyFill="1" applyBorder="1" applyAlignment="1" applyProtection="1">
      <alignment horizontal="left"/>
    </xf>
    <xf numFmtId="0" fontId="38" fillId="0" borderId="2" xfId="0" applyFont="1" applyFill="1" applyBorder="1" applyAlignment="1" applyProtection="1">
      <alignment horizontal="left"/>
    </xf>
    <xf numFmtId="179" fontId="38" fillId="0" borderId="0" xfId="0" applyNumberFormat="1" applyFont="1" applyAlignment="1" applyProtection="1">
      <alignment horizontal="center"/>
    </xf>
    <xf numFmtId="0" fontId="34" fillId="0" borderId="55" xfId="0" applyFont="1" applyBorder="1" applyAlignment="1" applyProtection="1">
      <alignment horizontal="right"/>
      <protection locked="0"/>
    </xf>
    <xf numFmtId="0" fontId="34" fillId="0" borderId="0" xfId="0" applyFont="1" applyBorder="1" applyAlignment="1" applyProtection="1">
      <alignment horizontal="right"/>
      <protection locked="0"/>
    </xf>
    <xf numFmtId="0" fontId="32" fillId="0" borderId="0" xfId="0" applyFont="1" applyBorder="1" applyAlignment="1" applyProtection="1">
      <alignment horizontal="right"/>
      <protection locked="0"/>
    </xf>
    <xf numFmtId="0" fontId="31" fillId="0" borderId="0" xfId="0" applyFont="1" applyBorder="1" applyAlignment="1" applyProtection="1">
      <alignment horizontal="right"/>
      <protection locked="0"/>
    </xf>
    <xf numFmtId="0" fontId="34" fillId="0" borderId="1" xfId="0" applyFont="1" applyBorder="1" applyAlignment="1" applyProtection="1">
      <alignment horizontal="right"/>
      <protection locked="0"/>
    </xf>
    <xf numFmtId="0" fontId="34" fillId="0" borderId="6" xfId="0" applyFont="1" applyFill="1" applyBorder="1" applyAlignment="1" applyProtection="1">
      <alignment horizontal="left"/>
    </xf>
    <xf numFmtId="1" fontId="95" fillId="0" borderId="20" xfId="0" applyNumberFormat="1" applyFont="1" applyBorder="1" applyAlignment="1" applyProtection="1">
      <alignment horizontal="left"/>
      <protection locked="0"/>
    </xf>
    <xf numFmtId="1" fontId="95" fillId="0" borderId="21" xfId="0" applyNumberFormat="1" applyFont="1" applyBorder="1" applyAlignment="1" applyProtection="1">
      <alignment horizontal="left"/>
      <protection locked="0"/>
    </xf>
    <xf numFmtId="1" fontId="95" fillId="0" borderId="22" xfId="0" applyNumberFormat="1" applyFont="1" applyBorder="1" applyAlignment="1" applyProtection="1">
      <alignment horizontal="left"/>
      <protection locked="0"/>
    </xf>
    <xf numFmtId="0" fontId="37" fillId="0" borderId="0" xfId="0" applyFont="1" applyAlignment="1" applyProtection="1">
      <alignment horizontal="center"/>
      <protection locked="0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4" fillId="0" borderId="4" xfId="0" applyNumberFormat="1" applyFont="1" applyBorder="1" applyAlignment="1" applyProtection="1">
      <alignment horizontal="center"/>
    </xf>
    <xf numFmtId="2" fontId="36" fillId="0" borderId="15" xfId="0" applyNumberFormat="1" applyFont="1" applyBorder="1" applyProtection="1"/>
    <xf numFmtId="0" fontId="37" fillId="0" borderId="0" xfId="0" applyFont="1" applyProtection="1">
      <protection locked="0"/>
    </xf>
    <xf numFmtId="0" fontId="36" fillId="0" borderId="0" xfId="0" applyFont="1" applyAlignment="1" applyProtection="1">
      <alignment horizontal="center"/>
      <protection locked="0"/>
    </xf>
    <xf numFmtId="0" fontId="49" fillId="0" borderId="0" xfId="0" applyFont="1" applyAlignment="1" applyProtection="1">
      <alignment horizontal="center"/>
      <protection locked="0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3" xfId="0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79" fontId="37" fillId="0" borderId="12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left"/>
      <protection locked="0"/>
    </xf>
    <xf numFmtId="179" fontId="38" fillId="0" borderId="0" xfId="0" applyNumberFormat="1" applyFont="1" applyProtection="1"/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left"/>
    </xf>
    <xf numFmtId="179" fontId="36" fillId="0" borderId="2" xfId="0" applyNumberFormat="1" applyFont="1" applyBorder="1" applyAlignment="1" applyProtection="1">
      <alignment horizontal="center"/>
      <protection locked="0"/>
    </xf>
    <xf numFmtId="183" fontId="41" fillId="0" borderId="1" xfId="0" applyNumberFormat="1" applyFont="1" applyBorder="1" applyAlignment="1" applyProtection="1">
      <alignment horizontal="right" vertical="center"/>
      <protection locked="0"/>
    </xf>
    <xf numFmtId="0" fontId="32" fillId="0" borderId="2" xfId="0" applyFont="1" applyBorder="1" applyAlignment="1" applyProtection="1">
      <alignment horizontal="right"/>
      <protection locked="0"/>
    </xf>
    <xf numFmtId="0" fontId="34" fillId="0" borderId="2" xfId="0" applyFont="1" applyBorder="1" applyAlignment="1" applyProtection="1">
      <alignment horizontal="right"/>
      <protection locked="0"/>
    </xf>
    <xf numFmtId="168" fontId="32" fillId="0" borderId="15" xfId="33" applyNumberFormat="1" applyFont="1" applyBorder="1" applyAlignment="1" applyProtection="1">
      <alignment horizontal="right" vertical="center" wrapText="1"/>
    </xf>
    <xf numFmtId="1" fontId="30" fillId="33" borderId="3" xfId="0" applyNumberFormat="1" applyFont="1" applyFill="1" applyBorder="1" applyAlignment="1" applyProtection="1">
      <alignment horizontal="center" vertical="center" wrapText="1"/>
    </xf>
    <xf numFmtId="166" fontId="32" fillId="0" borderId="6" xfId="0" applyNumberFormat="1" applyFont="1" applyFill="1" applyBorder="1" applyAlignment="1" applyProtection="1">
      <alignment horizontal="center"/>
    </xf>
    <xf numFmtId="166" fontId="32" fillId="0" borderId="7" xfId="0" applyNumberFormat="1" applyFont="1" applyFill="1" applyBorder="1" applyAlignment="1" applyProtection="1">
      <alignment horizontal="center"/>
    </xf>
    <xf numFmtId="166" fontId="32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6" fillId="0" borderId="0" xfId="0" applyFont="1" applyAlignment="1" applyProtection="1">
      <alignment horizontal="left"/>
    </xf>
    <xf numFmtId="1" fontId="52" fillId="0" borderId="0" xfId="0" applyNumberFormat="1" applyFont="1" applyAlignment="1" applyProtection="1">
      <alignment horizontal="left"/>
    </xf>
    <xf numFmtId="179" fontId="38" fillId="37" borderId="11" xfId="0" applyNumberFormat="1" applyFont="1" applyFill="1" applyBorder="1" applyAlignment="1" applyProtection="1">
      <alignment horizontal="center"/>
      <protection locked="0"/>
    </xf>
    <xf numFmtId="179" fontId="38" fillId="37" borderId="10" xfId="0" applyNumberFormat="1" applyFont="1" applyFill="1" applyBorder="1" applyAlignment="1" applyProtection="1">
      <alignment horizontal="center"/>
      <protection locked="0"/>
    </xf>
    <xf numFmtId="179" fontId="37" fillId="37" borderId="10" xfId="0" applyNumberFormat="1" applyFont="1" applyFill="1" applyBorder="1" applyAlignment="1" applyProtection="1">
      <alignment horizontal="center"/>
      <protection locked="0"/>
    </xf>
    <xf numFmtId="179" fontId="38" fillId="37" borderId="9" xfId="0" applyNumberFormat="1" applyFont="1" applyFill="1" applyBorder="1" applyAlignment="1" applyProtection="1">
      <alignment horizontal="center"/>
      <protection locked="0"/>
    </xf>
    <xf numFmtId="179" fontId="38" fillId="37" borderId="13" xfId="0" applyNumberFormat="1" applyFont="1" applyFill="1" applyBorder="1" applyAlignment="1" applyProtection="1">
      <alignment horizontal="center"/>
      <protection locked="0"/>
    </xf>
    <xf numFmtId="179" fontId="38" fillId="37" borderId="2" xfId="0" applyNumberFormat="1" applyFont="1" applyFill="1" applyBorder="1" applyAlignment="1" applyProtection="1">
      <alignment horizontal="center"/>
      <protection locked="0"/>
    </xf>
    <xf numFmtId="179" fontId="38" fillId="37" borderId="4" xfId="0" applyNumberFormat="1" applyFont="1" applyFill="1" applyBorder="1" applyAlignment="1" applyProtection="1">
      <alignment horizontal="center"/>
      <protection locked="0"/>
    </xf>
    <xf numFmtId="179" fontId="50" fillId="37" borderId="0" xfId="0" applyNumberFormat="1" applyFont="1" applyFill="1" applyBorder="1" applyAlignment="1" applyProtection="1">
      <alignment horizontal="center"/>
    </xf>
    <xf numFmtId="179" fontId="37" fillId="37" borderId="0" xfId="0" applyNumberFormat="1" applyFont="1" applyFill="1" applyBorder="1" applyAlignment="1" applyProtection="1">
      <alignment horizontal="center"/>
    </xf>
    <xf numFmtId="179" fontId="37" fillId="37" borderId="1" xfId="0" applyNumberFormat="1" applyFont="1" applyFill="1" applyBorder="1" applyAlignment="1" applyProtection="1">
      <alignment horizontal="center"/>
    </xf>
    <xf numFmtId="179" fontId="38" fillId="37" borderId="0" xfId="0" applyNumberFormat="1" applyFont="1" applyFill="1" applyBorder="1" applyAlignment="1" applyProtection="1">
      <alignment horizontal="center"/>
    </xf>
    <xf numFmtId="0" fontId="100" fillId="37" borderId="0" xfId="0" applyFont="1" applyFill="1" applyProtection="1"/>
    <xf numFmtId="0" fontId="31" fillId="0" borderId="1" xfId="0" applyFont="1" applyBorder="1" applyAlignment="1" applyProtection="1">
      <alignment horizontal="right"/>
      <protection locked="0"/>
    </xf>
    <xf numFmtId="0" fontId="36" fillId="0" borderId="0" xfId="0" applyFont="1"/>
    <xf numFmtId="0" fontId="37" fillId="0" borderId="5" xfId="0" applyFont="1" applyFill="1" applyBorder="1" applyAlignment="1" applyProtection="1">
      <alignment wrapText="1"/>
    </xf>
    <xf numFmtId="0" fontId="37" fillId="0" borderId="1" xfId="0" applyFont="1" applyFill="1" applyBorder="1" applyAlignment="1" applyProtection="1">
      <alignment wrapText="1"/>
    </xf>
    <xf numFmtId="0" fontId="37" fillId="0" borderId="1" xfId="0" applyFont="1" applyFill="1" applyBorder="1" applyAlignment="1" applyProtection="1">
      <alignment horizontal="right"/>
    </xf>
    <xf numFmtId="2" fontId="55" fillId="0" borderId="19" xfId="0" applyNumberFormat="1" applyFont="1" applyBorder="1" applyAlignment="1" applyProtection="1">
      <alignment horizontal="center" vertical="center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2" fontId="32" fillId="0" borderId="20" xfId="0" applyNumberFormat="1" applyFont="1" applyBorder="1" applyProtection="1">
      <protection locked="0"/>
    </xf>
    <xf numFmtId="2" fontId="32" fillId="0" borderId="21" xfId="0" applyNumberFormat="1" applyFont="1" applyBorder="1" applyProtection="1">
      <protection locked="0"/>
    </xf>
    <xf numFmtId="2" fontId="100" fillId="0" borderId="0" xfId="0" applyNumberFormat="1" applyFont="1" applyFill="1" applyBorder="1" applyProtection="1">
      <protection locked="0"/>
    </xf>
    <xf numFmtId="2" fontId="93" fillId="34" borderId="22" xfId="0" applyNumberFormat="1" applyFont="1" applyFill="1" applyBorder="1" applyProtection="1">
      <protection locked="0"/>
    </xf>
    <xf numFmtId="10" fontId="80" fillId="38" borderId="19" xfId="0" applyNumberFormat="1" applyFont="1" applyFill="1" applyBorder="1" applyAlignment="1" applyProtection="1">
      <alignment horizontal="center" vertical="center"/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7" fillId="0" borderId="0" xfId="33" applyNumberFormat="1" applyFont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68" fontId="62" fillId="0" borderId="13" xfId="33" applyNumberFormat="1" applyFont="1" applyBorder="1" applyAlignment="1" applyProtection="1">
      <alignment horizontal="center"/>
    </xf>
    <xf numFmtId="168" fontId="40" fillId="0" borderId="5" xfId="33" applyNumberFormat="1" applyFont="1" applyBorder="1" applyAlignment="1" applyProtection="1">
      <alignment horizontal="center"/>
    </xf>
    <xf numFmtId="168" fontId="73" fillId="0" borderId="11" xfId="33" applyNumberFormat="1" applyFont="1" applyBorder="1" applyAlignment="1" applyProtection="1">
      <alignment horizontal="center"/>
    </xf>
    <xf numFmtId="168" fontId="40" fillId="0" borderId="13" xfId="33" applyNumberFormat="1" applyFont="1" applyBorder="1" applyAlignment="1" applyProtection="1">
      <alignment horizontal="center"/>
    </xf>
    <xf numFmtId="10" fontId="73" fillId="0" borderId="5" xfId="33" applyNumberFormat="1" applyFont="1" applyBorder="1" applyAlignment="1" applyProtection="1">
      <alignment horizontal="center"/>
    </xf>
    <xf numFmtId="168" fontId="37" fillId="0" borderId="11" xfId="33" applyNumberFormat="1" applyFont="1" applyBorder="1" applyAlignment="1" applyProtection="1">
      <alignment horizontal="center"/>
    </xf>
    <xf numFmtId="10" fontId="114" fillId="0" borderId="11" xfId="33" applyNumberFormat="1" applyFont="1" applyBorder="1" applyAlignment="1" applyProtection="1">
      <alignment horizontal="center"/>
    </xf>
    <xf numFmtId="168" fontId="40" fillId="0" borderId="2" xfId="33" applyNumberFormat="1" applyFont="1" applyBorder="1" applyAlignment="1" applyProtection="1">
      <alignment horizontal="center"/>
    </xf>
    <xf numFmtId="10" fontId="73" fillId="0" borderId="0" xfId="33" applyNumberFormat="1" applyFont="1" applyBorder="1" applyAlignment="1" applyProtection="1">
      <alignment horizontal="center"/>
    </xf>
    <xf numFmtId="168" fontId="37" fillId="0" borderId="10" xfId="33" applyNumberFormat="1" applyFont="1" applyBorder="1" applyAlignment="1" applyProtection="1">
      <alignment horizontal="center"/>
    </xf>
    <xf numFmtId="10" fontId="114" fillId="0" borderId="10" xfId="33" applyNumberFormat="1" applyFont="1" applyBorder="1" applyAlignment="1" applyProtection="1">
      <alignment horizontal="center"/>
    </xf>
    <xf numFmtId="168" fontId="62" fillId="0" borderId="17" xfId="33" applyNumberFormat="1" applyFont="1" applyBorder="1" applyAlignment="1" applyProtection="1">
      <alignment horizontal="center"/>
    </xf>
    <xf numFmtId="168" fontId="40" fillId="0" borderId="18" xfId="33" applyNumberFormat="1" applyFont="1" applyBorder="1" applyAlignment="1" applyProtection="1">
      <alignment horizontal="center"/>
    </xf>
    <xf numFmtId="168" fontId="73" fillId="0" borderId="32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2" xfId="33" applyNumberFormat="1" applyFont="1" applyBorder="1" applyAlignment="1" applyProtection="1">
      <alignment horizontal="center"/>
    </xf>
    <xf numFmtId="10" fontId="114" fillId="0" borderId="32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168" fontId="66" fillId="38" borderId="15" xfId="33" applyNumberFormat="1" applyFont="1" applyFill="1" applyBorder="1" applyAlignment="1" applyProtection="1">
      <alignment horizontal="center"/>
      <protection locked="0"/>
    </xf>
    <xf numFmtId="9" fontId="66" fillId="38" borderId="19" xfId="33" applyFont="1" applyFill="1" applyBorder="1" applyAlignment="1" applyProtection="1">
      <alignment horizontal="center" vertical="center"/>
      <protection locked="0"/>
    </xf>
    <xf numFmtId="0" fontId="0" fillId="33" borderId="3" xfId="0" applyFill="1" applyBorder="1" applyAlignment="1" applyProtection="1">
      <alignment horizontal="center" vertical="center"/>
    </xf>
    <xf numFmtId="166" fontId="31" fillId="0" borderId="2" xfId="0" quotePrefix="1" applyNumberFormat="1" applyFont="1" applyBorder="1" applyProtection="1"/>
    <xf numFmtId="166" fontId="31" fillId="0" borderId="0" xfId="0" quotePrefix="1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2" xfId="0" applyNumberFormat="1" applyFont="1" applyBorder="1" applyProtection="1"/>
    <xf numFmtId="166" fontId="31" fillId="0" borderId="4" xfId="0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9" xfId="0" quotePrefix="1" applyNumberFormat="1" applyFont="1" applyBorder="1" applyProtection="1"/>
    <xf numFmtId="0" fontId="31" fillId="38" borderId="0" xfId="0" applyFont="1" applyFill="1" applyAlignment="1" applyProtection="1">
      <alignment horizontal="right"/>
    </xf>
    <xf numFmtId="166" fontId="52" fillId="38" borderId="3" xfId="0" applyNumberFormat="1" applyFont="1" applyFill="1" applyBorder="1" applyAlignment="1" applyProtection="1">
      <alignment horizontal="center" vertical="center"/>
    </xf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</xf>
    <xf numFmtId="1" fontId="66" fillId="0" borderId="3" xfId="0" applyNumberFormat="1" applyFont="1" applyBorder="1" applyAlignment="1" applyProtection="1">
      <alignment horizontal="center"/>
    </xf>
    <xf numFmtId="174" fontId="66" fillId="38" borderId="15" xfId="33" applyNumberFormat="1" applyFont="1" applyFill="1" applyBorder="1" applyAlignment="1" applyProtection="1">
      <alignment horizontal="center"/>
      <protection locked="0"/>
    </xf>
    <xf numFmtId="0" fontId="85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 applyAlignment="1" applyProtection="1">
      <alignment horizontal="left"/>
      <protection locked="0"/>
    </xf>
    <xf numFmtId="10" fontId="66" fillId="0" borderId="3" xfId="33" applyNumberFormat="1" applyFont="1" applyBorder="1" applyAlignment="1" applyProtection="1">
      <alignment horizontal="center"/>
    </xf>
    <xf numFmtId="1" fontId="34" fillId="0" borderId="6" xfId="0" applyNumberFormat="1" applyFont="1" applyBorder="1" applyAlignment="1" applyProtection="1">
      <alignment horizontal="center"/>
      <protection locked="0"/>
    </xf>
    <xf numFmtId="10" fontId="34" fillId="0" borderId="6" xfId="33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121" fillId="0" borderId="48" xfId="0" applyFont="1" applyBorder="1" applyAlignment="1" applyProtection="1">
      <alignment horizontal="center"/>
      <protection locked="0"/>
    </xf>
    <xf numFmtId="0" fontId="121" fillId="0" borderId="50" xfId="0" applyFont="1" applyBorder="1" applyAlignment="1" applyProtection="1">
      <alignment horizontal="center"/>
      <protection locked="0"/>
    </xf>
    <xf numFmtId="15" fontId="118" fillId="0" borderId="48" xfId="0" applyNumberFormat="1" applyFont="1" applyBorder="1" applyAlignment="1" applyProtection="1">
      <alignment horizontal="center" vertical="center"/>
      <protection locked="0"/>
    </xf>
    <xf numFmtId="15" fontId="118" fillId="0" borderId="50" xfId="0" applyNumberFormat="1" applyFont="1" applyBorder="1" applyAlignment="1" applyProtection="1">
      <alignment horizontal="center" vertical="center"/>
      <protection locked="0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186" fontId="52" fillId="0" borderId="1" xfId="0" applyNumberFormat="1" applyFont="1" applyBorder="1" applyAlignment="1" applyProtection="1">
      <alignment horizontal="center"/>
    </xf>
    <xf numFmtId="0" fontId="28" fillId="0" borderId="13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 vertical="center"/>
    </xf>
    <xf numFmtId="0" fontId="28" fillId="0" borderId="4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6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182" fontId="90" fillId="0" borderId="15" xfId="33" applyNumberFormat="1" applyFont="1" applyFill="1" applyBorder="1" applyAlignment="1" applyProtection="1">
      <alignment horizontal="center"/>
    </xf>
    <xf numFmtId="0" fontId="52" fillId="38" borderId="14" xfId="0" applyFont="1" applyFill="1" applyBorder="1" applyAlignment="1" applyProtection="1">
      <alignment horizontal="center" vertical="center"/>
    </xf>
    <xf numFmtId="0" fontId="52" fillId="38" borderId="15" xfId="0" applyFont="1" applyFill="1" applyBorder="1" applyAlignment="1" applyProtection="1">
      <alignment horizontal="center" vertical="center"/>
    </xf>
    <xf numFmtId="0" fontId="52" fillId="38" borderId="12" xfId="0" applyFont="1" applyFill="1" applyBorder="1" applyAlignment="1" applyProtection="1">
      <alignment horizontal="center" vertical="center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0" fontId="52" fillId="0" borderId="1" xfId="0" applyFont="1" applyBorder="1" applyAlignment="1" applyProtection="1">
      <alignment horizontal="center" vertical="center"/>
    </xf>
    <xf numFmtId="183" fontId="75" fillId="0" borderId="48" xfId="0" applyNumberFormat="1" applyFont="1" applyBorder="1" applyAlignment="1" applyProtection="1">
      <alignment horizontal="center" vertical="center"/>
      <protection locked="0"/>
    </xf>
    <xf numFmtId="183" fontId="75" fillId="0" borderId="50" xfId="0" applyNumberFormat="1" applyFont="1" applyBorder="1" applyAlignment="1" applyProtection="1">
      <alignment horizontal="center" vertical="center"/>
      <protection locked="0"/>
    </xf>
    <xf numFmtId="0" fontId="122" fillId="0" borderId="0" xfId="0" applyFont="1" applyBorder="1" applyAlignment="1" applyProtection="1">
      <alignment horizontal="center"/>
    </xf>
    <xf numFmtId="168" fontId="66" fillId="0" borderId="48" xfId="33" applyNumberFormat="1" applyFont="1" applyBorder="1" applyAlignment="1" applyProtection="1">
      <alignment horizontal="center" vertical="center"/>
      <protection locked="0"/>
    </xf>
    <xf numFmtId="168" fontId="66" fillId="0" borderId="50" xfId="33" applyNumberFormat="1" applyFont="1" applyBorder="1" applyAlignment="1" applyProtection="1">
      <alignment horizontal="center" vertical="center"/>
      <protection locked="0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48" xfId="0" applyNumberFormat="1" applyFont="1" applyBorder="1" applyAlignment="1" applyProtection="1">
      <alignment horizontal="center" vertical="center"/>
      <protection locked="0"/>
    </xf>
    <xf numFmtId="14" fontId="55" fillId="0" borderId="50" xfId="0" applyNumberFormat="1" applyFont="1" applyBorder="1" applyAlignment="1" applyProtection="1">
      <alignment horizontal="center" vertical="center"/>
      <protection locked="0"/>
    </xf>
    <xf numFmtId="0" fontId="123" fillId="0" borderId="48" xfId="0" applyFont="1" applyBorder="1" applyAlignment="1" applyProtection="1">
      <alignment horizontal="center" vertical="center"/>
      <protection locked="0"/>
    </xf>
    <xf numFmtId="0" fontId="123" fillId="0" borderId="49" xfId="0" applyFont="1" applyBorder="1" applyAlignment="1" applyProtection="1">
      <alignment horizontal="center" vertical="center"/>
      <protection locked="0"/>
    </xf>
    <xf numFmtId="0" fontId="123" fillId="0" borderId="50" xfId="0" applyFont="1" applyBorder="1" applyAlignment="1" applyProtection="1">
      <alignment horizontal="center" vertical="center"/>
      <protection locked="0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49"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strike val="0"/>
      </font>
      <fill>
        <patternFill>
          <bgColor theme="7" tint="0.79998168889431442"/>
        </patternFill>
      </fill>
    </dxf>
    <dxf>
      <font>
        <b/>
        <i val="0"/>
        <strike val="0"/>
      </font>
      <fill>
        <patternFill>
          <bgColor theme="7" tint="0.79998168889431442"/>
        </patternFill>
      </fill>
    </dxf>
    <dxf>
      <font>
        <b/>
        <i val="0"/>
        <strike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strike val="0"/>
      </font>
      <fill>
        <patternFill>
          <bgColor theme="7" tint="0.79998168889431442"/>
        </patternFill>
      </fill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499984740745262"/>
        <name val="Calibri Light"/>
        <scheme val="none"/>
      </font>
    </dxf>
    <dxf>
      <font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7.1285156979938238</c:v>
                </c:pt>
                <c:pt idx="6">
                  <c:v>6.8551390095802134</c:v>
                </c:pt>
                <c:pt idx="7">
                  <c:v>6.2136952139925832</c:v>
                </c:pt>
                <c:pt idx="8">
                  <c:v>5.0596487502679999</c:v>
                </c:pt>
                <c:pt idx="9">
                  <c:v>3.5826908244988829</c:v>
                </c:pt>
                <c:pt idx="10">
                  <c:v>2.4733880525311016</c:v>
                </c:pt>
                <c:pt idx="11">
                  <c:v>1.9660733151224226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2.334340335896667</c:v>
                </c:pt>
                <c:pt idx="1">
                  <c:v>3.3385140341218453</c:v>
                </c:pt>
                <c:pt idx="2">
                  <c:v>4.6591326973634146</c:v>
                </c:pt>
                <c:pt idx="3">
                  <c:v>5.9333232707213179</c:v>
                </c:pt>
                <c:pt idx="4">
                  <c:v>6.5719265420036059</c:v>
                </c:pt>
                <c:pt idx="5">
                  <c:v>6.6130477494298994</c:v>
                </c:pt>
                <c:pt idx="6">
                  <c:v>6.314338850513785</c:v>
                </c:pt>
                <c:pt idx="7">
                  <c:v>5.7071268188215116</c:v>
                </c:pt>
                <c:pt idx="8">
                  <c:v>4.6533485562687158</c:v>
                </c:pt>
                <c:pt idx="9">
                  <c:v>3.3003993186877225</c:v>
                </c:pt>
                <c:pt idx="10">
                  <c:v>2.2667871903093553</c:v>
                </c:pt>
                <c:pt idx="11">
                  <c:v>1.7930768341683665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2.1455619762568023</c:v>
                </c:pt>
                <c:pt idx="1">
                  <c:v>3.1209431124573968</c:v>
                </c:pt>
                <c:pt idx="2">
                  <c:v>4.395357819129992</c:v>
                </c:pt>
                <c:pt idx="3">
                  <c:v>5.5859455723093445</c:v>
                </c:pt>
                <c:pt idx="4">
                  <c:v>6.1725414322514149</c:v>
                </c:pt>
                <c:pt idx="5">
                  <c:v>6.2040410361794018</c:v>
                </c:pt>
                <c:pt idx="6">
                  <c:v>5.9255359152014355</c:v>
                </c:pt>
                <c:pt idx="7">
                  <c:v>5.3539697422131862</c:v>
                </c:pt>
                <c:pt idx="8">
                  <c:v>4.3524748919928298</c:v>
                </c:pt>
                <c:pt idx="9">
                  <c:v>3.0778351542484454</c:v>
                </c:pt>
                <c:pt idx="10">
                  <c:v>2.1016230062577317</c:v>
                </c:pt>
                <c:pt idx="11">
                  <c:v>1.6703019559637595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2.0198670360203037</c:v>
                </c:pt>
                <c:pt idx="1">
                  <c:v>2.9565124490714911</c:v>
                </c:pt>
                <c:pt idx="2">
                  <c:v>4.1831342730603565</c:v>
                </c:pt>
                <c:pt idx="3">
                  <c:v>5.5961544751414172</c:v>
                </c:pt>
                <c:pt idx="4">
                  <c:v>6.6120250157883618</c:v>
                </c:pt>
                <c:pt idx="5">
                  <c:v>6.6193741755963016</c:v>
                </c:pt>
                <c:pt idx="6">
                  <c:v>6.2852315387977038</c:v>
                </c:pt>
                <c:pt idx="7">
                  <c:v>5.6436280752607706</c:v>
                </c:pt>
                <c:pt idx="8">
                  <c:v>4.5712134013947896</c:v>
                </c:pt>
                <c:pt idx="9">
                  <c:v>3.20621316666388</c:v>
                </c:pt>
                <c:pt idx="10">
                  <c:v>2.1471083034435474</c:v>
                </c:pt>
                <c:pt idx="11">
                  <c:v>1.6679527448849525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2.0119973627678243</c:v>
                </c:pt>
                <c:pt idx="1">
                  <c:v>2.9621480477254862</c:v>
                </c:pt>
                <c:pt idx="2">
                  <c:v>4.2034835870439409</c:v>
                </c:pt>
                <c:pt idx="3">
                  <c:v>5.3677391420321525</c:v>
                </c:pt>
                <c:pt idx="4">
                  <c:v>5.9565464935414321</c:v>
                </c:pt>
                <c:pt idx="5">
                  <c:v>5.9906744612021789</c:v>
                </c:pt>
                <c:pt idx="6">
                  <c:v>5.7191565814078364</c:v>
                </c:pt>
                <c:pt idx="7">
                  <c:v>5.1627077459455473</c:v>
                </c:pt>
                <c:pt idx="8">
                  <c:v>4.2021935079353376</c:v>
                </c:pt>
                <c:pt idx="9">
                  <c:v>3.0849450173893818</c:v>
                </c:pt>
                <c:pt idx="10">
                  <c:v>2.2272161294296389</c:v>
                </c:pt>
                <c:pt idx="11">
                  <c:v>1.7059313466855124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2.07951474263088</c:v>
                </c:pt>
                <c:pt idx="1">
                  <c:v>3.0945347980089748</c:v>
                </c:pt>
                <c:pt idx="2">
                  <c:v>4.4312858271110489</c:v>
                </c:pt>
                <c:pt idx="3">
                  <c:v>5.6705709615981137</c:v>
                </c:pt>
                <c:pt idx="4">
                  <c:v>6.3053679513301173</c:v>
                </c:pt>
                <c:pt idx="5">
                  <c:v>6.3497615215731651</c:v>
                </c:pt>
                <c:pt idx="6">
                  <c:v>6.0587460553558472</c:v>
                </c:pt>
                <c:pt idx="7">
                  <c:v>5.4551723690504197</c:v>
                </c:pt>
                <c:pt idx="8">
                  <c:v>4.4251575631381819</c:v>
                </c:pt>
                <c:pt idx="9">
                  <c:v>3.0685664838791258</c:v>
                </c:pt>
                <c:pt idx="10">
                  <c:v>2.0154695507392866</c:v>
                </c:pt>
                <c:pt idx="11">
                  <c:v>1.5249606385850727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1.884378404007514</c:v>
                </c:pt>
                <c:pt idx="1">
                  <c:v>2.8425630412574239</c:v>
                </c:pt>
                <c:pt idx="2">
                  <c:v>4.1168830422426241</c:v>
                </c:pt>
                <c:pt idx="3">
                  <c:v>5.2892050421554417</c:v>
                </c:pt>
                <c:pt idx="4">
                  <c:v>6.5034603667745516</c:v>
                </c:pt>
                <c:pt idx="5">
                  <c:v>6.5526350357127656</c:v>
                </c:pt>
                <c:pt idx="6">
                  <c:v>6.247179665058237</c:v>
                </c:pt>
                <c:pt idx="7">
                  <c:v>5.609582652210797</c:v>
                </c:pt>
                <c:pt idx="8">
                  <c:v>4.5337957262841</c:v>
                </c:pt>
                <c:pt idx="9">
                  <c:v>3.1028393692134966</c:v>
                </c:pt>
                <c:pt idx="10">
                  <c:v>2.0018824785299012</c:v>
                </c:pt>
                <c:pt idx="11">
                  <c:v>1.4881189115447562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1.85539408107421</c:v>
                </c:pt>
                <c:pt idx="1">
                  <c:v>2.8498109118441293</c:v>
                </c:pt>
                <c:pt idx="2">
                  <c:v>4.1725619856310008</c:v>
                </c:pt>
                <c:pt idx="3">
                  <c:v>5.4416052178300918</c:v>
                </c:pt>
                <c:pt idx="4">
                  <c:v>6.0222692557516408</c:v>
                </c:pt>
                <c:pt idx="5">
                  <c:v>6.0569825530535502</c:v>
                </c:pt>
                <c:pt idx="6">
                  <c:v>5.7847488746203481</c:v>
                </c:pt>
                <c:pt idx="7">
                  <c:v>5.2347908010535491</c:v>
                </c:pt>
                <c:pt idx="8">
                  <c:v>4.2762854281190252</c:v>
                </c:pt>
                <c:pt idx="9">
                  <c:v>3.041145275470404</c:v>
                </c:pt>
                <c:pt idx="10">
                  <c:v>2.1115482264311924</c:v>
                </c:pt>
                <c:pt idx="11">
                  <c:v>1.6856245988046119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2.0066905553748455</c:v>
                </c:pt>
                <c:pt idx="1">
                  <c:v>2.8751910443588926</c:v>
                </c:pt>
                <c:pt idx="2">
                  <c:v>4.020494712749052</c:v>
                </c:pt>
                <c:pt idx="3">
                  <c:v>5.1507725300491947</c:v>
                </c:pt>
                <c:pt idx="4">
                  <c:v>6.4049133034522976</c:v>
                </c:pt>
                <c:pt idx="5">
                  <c:v>6.442658456875483</c:v>
                </c:pt>
                <c:pt idx="6">
                  <c:v>6.1463257107850584</c:v>
                </c:pt>
                <c:pt idx="7">
                  <c:v>5.5484431196343538</c:v>
                </c:pt>
                <c:pt idx="8">
                  <c:v>4.5180388629891084</c:v>
                </c:pt>
                <c:pt idx="9">
                  <c:v>3.1993908027464886</c:v>
                </c:pt>
                <c:pt idx="10">
                  <c:v>2.1942168852093538</c:v>
                </c:pt>
                <c:pt idx="11">
                  <c:v>1.7337238277755025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2.0714531348490337</c:v>
                </c:pt>
                <c:pt idx="1">
                  <c:v>2.9890285876379541</c:v>
                </c:pt>
                <c:pt idx="2">
                  <c:v>4.1886434999831721</c:v>
                </c:pt>
                <c:pt idx="3">
                  <c:v>5.3401869775164306</c:v>
                </c:pt>
                <c:pt idx="4">
                  <c:v>5.9187959539279014</c:v>
                </c:pt>
                <c:pt idx="5">
                  <c:v>5.9545730633171585</c:v>
                </c:pt>
                <c:pt idx="6">
                  <c:v>5.6862813285907183</c:v>
                </c:pt>
                <c:pt idx="7">
                  <c:v>5.1393037681959539</c:v>
                </c:pt>
                <c:pt idx="8">
                  <c:v>4.1891561101420187</c:v>
                </c:pt>
                <c:pt idx="9">
                  <c:v>2.9663379986612735</c:v>
                </c:pt>
                <c:pt idx="10">
                  <c:v>2.0195250550482569</c:v>
                </c:pt>
                <c:pt idx="11">
                  <c:v>1.5864541402340151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908080"/>
        <c:axId val="626905336"/>
      </c:lineChart>
      <c:dateAx>
        <c:axId val="626908080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26905336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626905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2690808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15.28509473888287</c:v>
                </c:pt>
                <c:pt idx="1">
                  <c:v>15.402732457131682</c:v>
                </c:pt>
                <c:pt idx="2">
                  <c:v>15.528361467319153</c:v>
                </c:pt>
                <c:pt idx="3">
                  <c:v>15.66175053087122</c:v>
                </c:pt>
                <c:pt idx="4">
                  <c:v>15.802668552085711</c:v>
                </c:pt>
                <c:pt idx="5">
                  <c:v>15.95088456958325</c:v>
                </c:pt>
                <c:pt idx="6">
                  <c:v>16.106167735484835</c:v>
                </c:pt>
                <c:pt idx="7">
                  <c:v>16.26828732917042</c:v>
                </c:pt>
                <c:pt idx="8">
                  <c:v>16.439025567908065</c:v>
                </c:pt>
                <c:pt idx="9">
                  <c:v>16.619790143939859</c:v>
                </c:pt>
                <c:pt idx="10">
                  <c:v>16.809660474262145</c:v>
                </c:pt>
                <c:pt idx="11">
                  <c:v>17.007986690387046</c:v>
                </c:pt>
                <c:pt idx="12">
                  <c:v>17.214119450892476</c:v>
                </c:pt>
                <c:pt idx="13">
                  <c:v>17.427409961775041</c:v>
                </c:pt>
                <c:pt idx="14">
                  <c:v>17.647209965509333</c:v>
                </c:pt>
                <c:pt idx="15">
                  <c:v>17.873205531508837</c:v>
                </c:pt>
                <c:pt idx="16">
                  <c:v>18.104797639646772</c:v>
                </c:pt>
                <c:pt idx="17">
                  <c:v>18.341339792132246</c:v>
                </c:pt>
                <c:pt idx="18">
                  <c:v>18.582185978695858</c:v>
                </c:pt>
                <c:pt idx="19">
                  <c:v>18.826684365001871</c:v>
                </c:pt>
                <c:pt idx="20">
                  <c:v>19.074180910805222</c:v>
                </c:pt>
                <c:pt idx="21">
                  <c:v>19.324027109648124</c:v>
                </c:pt>
                <c:pt idx="22">
                  <c:v>19.577820865013361</c:v>
                </c:pt>
                <c:pt idx="23">
                  <c:v>19.837993636384031</c:v>
                </c:pt>
                <c:pt idx="24">
                  <c:v>20.104341429928692</c:v>
                </c:pt>
                <c:pt idx="25">
                  <c:v>20.376565979493918</c:v>
                </c:pt>
                <c:pt idx="26">
                  <c:v>20.654369267503871</c:v>
                </c:pt>
                <c:pt idx="27">
                  <c:v>20.937453535291915</c:v>
                </c:pt>
                <c:pt idx="28">
                  <c:v>21.225521302318803</c:v>
                </c:pt>
                <c:pt idx="29">
                  <c:v>21.518842188122886</c:v>
                </c:pt>
                <c:pt idx="30">
                  <c:v>21.816785045523407</c:v>
                </c:pt>
                <c:pt idx="31">
                  <c:v>22.119052846261049</c:v>
                </c:pt>
                <c:pt idx="32">
                  <c:v>22.425348864455561</c:v>
                </c:pt>
                <c:pt idx="33">
                  <c:v>22.735376696697301</c:v>
                </c:pt>
                <c:pt idx="34">
                  <c:v>23.048840271388858</c:v>
                </c:pt>
                <c:pt idx="35">
                  <c:v>23.365443864450473</c:v>
                </c:pt>
                <c:pt idx="36">
                  <c:v>23.685410848879172</c:v>
                </c:pt>
                <c:pt idx="37">
                  <c:v>24.009212091799146</c:v>
                </c:pt>
                <c:pt idx="38">
                  <c:v>24.336342840918611</c:v>
                </c:pt>
                <c:pt idx="39">
                  <c:v>24.666897165931456</c:v>
                </c:pt>
                <c:pt idx="40">
                  <c:v>25.000969201724796</c:v>
                </c:pt>
                <c:pt idx="41">
                  <c:v>25.338653158581007</c:v>
                </c:pt>
                <c:pt idx="42">
                  <c:v>25.680043315371741</c:v>
                </c:pt>
                <c:pt idx="43">
                  <c:v>26.02494373010116</c:v>
                </c:pt>
                <c:pt idx="44">
                  <c:v>26.372886056038467</c:v>
                </c:pt>
                <c:pt idx="45">
                  <c:v>26.723966314145741</c:v>
                </c:pt>
                <c:pt idx="46">
                  <c:v>27.078280620411917</c:v>
                </c:pt>
                <c:pt idx="47">
                  <c:v>27.435925184536607</c:v>
                </c:pt>
                <c:pt idx="48">
                  <c:v>27.796996293678355</c:v>
                </c:pt>
                <c:pt idx="49">
                  <c:v>28.161590313292539</c:v>
                </c:pt>
                <c:pt idx="50">
                  <c:v>28.530401592102091</c:v>
                </c:pt>
                <c:pt idx="51">
                  <c:v>28.903273881001692</c:v>
                </c:pt>
                <c:pt idx="52">
                  <c:v>29.279833041770864</c:v>
                </c:pt>
                <c:pt idx="53">
                  <c:v>29.659693981982699</c:v>
                </c:pt>
                <c:pt idx="54">
                  <c:v>30.042469158989032</c:v>
                </c:pt>
                <c:pt idx="55">
                  <c:v>30.427771335400347</c:v>
                </c:pt>
                <c:pt idx="56">
                  <c:v>30.815213565631471</c:v>
                </c:pt>
                <c:pt idx="57">
                  <c:v>31.203610548120221</c:v>
                </c:pt>
                <c:pt idx="58">
                  <c:v>31.592861243160208</c:v>
                </c:pt>
                <c:pt idx="59">
                  <c:v>31.982577909685407</c:v>
                </c:pt>
                <c:pt idx="60">
                  <c:v>32.372372933057179</c:v>
                </c:pt>
                <c:pt idx="61">
                  <c:v>32.76185880905517</c:v>
                </c:pt>
                <c:pt idx="62">
                  <c:v>33.15064813892424</c:v>
                </c:pt>
                <c:pt idx="63">
                  <c:v>33.538353621080361</c:v>
                </c:pt>
                <c:pt idx="64">
                  <c:v>33.926811447600016</c:v>
                </c:pt>
                <c:pt idx="65">
                  <c:v>34.317460757082209</c:v>
                </c:pt>
                <c:pt idx="66">
                  <c:v>34.710243323873193</c:v>
                </c:pt>
                <c:pt idx="67">
                  <c:v>35.104575554291365</c:v>
                </c:pt>
                <c:pt idx="68">
                  <c:v>35.499874040022952</c:v>
                </c:pt>
                <c:pt idx="69">
                  <c:v>35.895555545723496</c:v>
                </c:pt>
                <c:pt idx="70">
                  <c:v>36.291037003977188</c:v>
                </c:pt>
                <c:pt idx="71">
                  <c:v>36.685899939184871</c:v>
                </c:pt>
                <c:pt idx="72">
                  <c:v>37.080364133915985</c:v>
                </c:pt>
                <c:pt idx="73">
                  <c:v>37.473848133989783</c:v>
                </c:pt>
                <c:pt idx="74">
                  <c:v>37.865770742775496</c:v>
                </c:pt>
                <c:pt idx="75">
                  <c:v>38.255551022967353</c:v>
                </c:pt>
                <c:pt idx="76">
                  <c:v>38.642608299706914</c:v>
                </c:pt>
                <c:pt idx="77">
                  <c:v>39.026362163672971</c:v>
                </c:pt>
                <c:pt idx="78">
                  <c:v>39.409348919139944</c:v>
                </c:pt>
                <c:pt idx="79">
                  <c:v>39.794069237038919</c:v>
                </c:pt>
                <c:pt idx="80">
                  <c:v>40.180015222354868</c:v>
                </c:pt>
                <c:pt idx="81">
                  <c:v>40.566411878074135</c:v>
                </c:pt>
                <c:pt idx="82">
                  <c:v>40.952484723607981</c:v>
                </c:pt>
                <c:pt idx="83">
                  <c:v>41.337459803935779</c:v>
                </c:pt>
                <c:pt idx="84">
                  <c:v>41.720563707081489</c:v>
                </c:pt>
                <c:pt idx="85">
                  <c:v>42.101116639648041</c:v>
                </c:pt>
                <c:pt idx="86">
                  <c:v>42.478182122410729</c:v>
                </c:pt>
                <c:pt idx="87">
                  <c:v>42.850988590763571</c:v>
                </c:pt>
                <c:pt idx="88">
                  <c:v>43.218765096458512</c:v>
                </c:pt>
                <c:pt idx="89">
                  <c:v>43.580741324159327</c:v>
                </c:pt>
                <c:pt idx="90">
                  <c:v>43.936147610563573</c:v>
                </c:pt>
                <c:pt idx="91">
                  <c:v>44.28421497403712</c:v>
                </c:pt>
                <c:pt idx="92">
                  <c:v>44.626721575268974</c:v>
                </c:pt>
                <c:pt idx="93">
                  <c:v>44.965895255532928</c:v>
                </c:pt>
                <c:pt idx="94">
                  <c:v>45.301349559539631</c:v>
                </c:pt>
                <c:pt idx="95">
                  <c:v>45.632794691357184</c:v>
                </c:pt>
                <c:pt idx="96">
                  <c:v>45.959941175058638</c:v>
                </c:pt>
                <c:pt idx="97">
                  <c:v>46.282499863806663</c:v>
                </c:pt>
                <c:pt idx="98">
                  <c:v>46.600181969740291</c:v>
                </c:pt>
                <c:pt idx="99">
                  <c:v>46.912820623001245</c:v>
                </c:pt>
                <c:pt idx="100">
                  <c:v>47.220034127205437</c:v>
                </c:pt>
                <c:pt idx="101">
                  <c:v>47.521534910007134</c:v>
                </c:pt>
                <c:pt idx="102">
                  <c:v>47.817035831811999</c:v>
                </c:pt>
                <c:pt idx="103">
                  <c:v>48.10625020874533</c:v>
                </c:pt>
                <c:pt idx="104">
                  <c:v>48.388891835284483</c:v>
                </c:pt>
                <c:pt idx="105">
                  <c:v>48.664674998903145</c:v>
                </c:pt>
                <c:pt idx="106">
                  <c:v>48.93465532880122</c:v>
                </c:pt>
                <c:pt idx="107">
                  <c:v>49.199948751116089</c:v>
                </c:pt>
                <c:pt idx="108">
                  <c:v>49.460137041578847</c:v>
                </c:pt>
                <c:pt idx="109">
                  <c:v>49.714934432125759</c:v>
                </c:pt>
                <c:pt idx="110">
                  <c:v>49.964055165112164</c:v>
                </c:pt>
                <c:pt idx="111">
                  <c:v>50.207214129292424</c:v>
                </c:pt>
                <c:pt idx="112">
                  <c:v>50.444127427481085</c:v>
                </c:pt>
                <c:pt idx="113">
                  <c:v>50.674415900655056</c:v>
                </c:pt>
                <c:pt idx="114">
                  <c:v>50.897673571671305</c:v>
                </c:pt>
                <c:pt idx="115">
                  <c:v>51.11361793047341</c:v>
                </c:pt>
                <c:pt idx="116">
                  <c:v>51.321967142164354</c:v>
                </c:pt>
                <c:pt idx="117">
                  <c:v>51.522440061300983</c:v>
                </c:pt>
                <c:pt idx="118">
                  <c:v>51.714756249611852</c:v>
                </c:pt>
                <c:pt idx="119">
                  <c:v>51.898636007432636</c:v>
                </c:pt>
                <c:pt idx="120">
                  <c:v>52.073689077235819</c:v>
                </c:pt>
                <c:pt idx="121">
                  <c:v>52.23979829178424</c:v>
                </c:pt>
                <c:pt idx="122">
                  <c:v>52.397190677482023</c:v>
                </c:pt>
                <c:pt idx="123">
                  <c:v>52.546362785339419</c:v>
                </c:pt>
                <c:pt idx="124">
                  <c:v>52.687707059724332</c:v>
                </c:pt>
                <c:pt idx="125">
                  <c:v>52.821613959226127</c:v>
                </c:pt>
                <c:pt idx="126">
                  <c:v>52.948473964868889</c:v>
                </c:pt>
                <c:pt idx="127">
                  <c:v>53.068552962149973</c:v>
                </c:pt>
                <c:pt idx="128">
                  <c:v>53.182334965311355</c:v>
                </c:pt>
                <c:pt idx="129">
                  <c:v>53.290208341430798</c:v>
                </c:pt>
                <c:pt idx="130">
                  <c:v>53.39256136172483</c:v>
                </c:pt>
                <c:pt idx="131">
                  <c:v>53.489782193150027</c:v>
                </c:pt>
                <c:pt idx="132">
                  <c:v>53.582258890796503</c:v>
                </c:pt>
                <c:pt idx="133">
                  <c:v>53.670379380644775</c:v>
                </c:pt>
                <c:pt idx="134">
                  <c:v>53.75296377605229</c:v>
                </c:pt>
                <c:pt idx="135">
                  <c:v>53.828728531606302</c:v>
                </c:pt>
                <c:pt idx="136">
                  <c:v>53.898144364330932</c:v>
                </c:pt>
                <c:pt idx="137">
                  <c:v>53.961506770829466</c:v>
                </c:pt>
                <c:pt idx="138">
                  <c:v>54.019111185669999</c:v>
                </c:pt>
                <c:pt idx="139">
                  <c:v>54.071252961100583</c:v>
                </c:pt>
                <c:pt idx="140">
                  <c:v>54.118227339864042</c:v>
                </c:pt>
                <c:pt idx="141">
                  <c:v>54.160281667370256</c:v>
                </c:pt>
                <c:pt idx="142">
                  <c:v>54.197843805164844</c:v>
                </c:pt>
                <c:pt idx="143">
                  <c:v>54.231210392558189</c:v>
                </c:pt>
                <c:pt idx="144">
                  <c:v>54.260677717754241</c:v>
                </c:pt>
                <c:pt idx="145">
                  <c:v>54.286541885416128</c:v>
                </c:pt>
                <c:pt idx="146">
                  <c:v>54.309098784240263</c:v>
                </c:pt>
                <c:pt idx="147">
                  <c:v>54.328644048039443</c:v>
                </c:pt>
                <c:pt idx="148">
                  <c:v>54.344353740789984</c:v>
                </c:pt>
                <c:pt idx="149">
                  <c:v>54.355285038980512</c:v>
                </c:pt>
                <c:pt idx="150">
                  <c:v>54.361685777422402</c:v>
                </c:pt>
                <c:pt idx="151">
                  <c:v>54.363758352974848</c:v>
                </c:pt>
                <c:pt idx="152">
                  <c:v>54.361704835273599</c:v>
                </c:pt>
                <c:pt idx="153">
                  <c:v>54.355726923849474</c:v>
                </c:pt>
                <c:pt idx="154">
                  <c:v>54.346025913736668</c:v>
                </c:pt>
                <c:pt idx="155">
                  <c:v>54.332787282342018</c:v>
                </c:pt>
                <c:pt idx="156">
                  <c:v>54.316259358563599</c:v>
                </c:pt>
                <c:pt idx="157">
                  <c:v>54.296641806191978</c:v>
                </c:pt>
                <c:pt idx="158">
                  <c:v>54.274133732453024</c:v>
                </c:pt>
                <c:pt idx="159">
                  <c:v>54.248933656133346</c:v>
                </c:pt>
                <c:pt idx="160">
                  <c:v>54.221239478097374</c:v>
                </c:pt>
                <c:pt idx="161">
                  <c:v>54.191248453151388</c:v>
                </c:pt>
                <c:pt idx="162">
                  <c:v>54.158278144629065</c:v>
                </c:pt>
                <c:pt idx="163">
                  <c:v>54.121638924259543</c:v>
                </c:pt>
                <c:pt idx="164">
                  <c:v>54.081586603428811</c:v>
                </c:pt>
                <c:pt idx="165">
                  <c:v>54.038317405471233</c:v>
                </c:pt>
                <c:pt idx="166">
                  <c:v>53.992026771847222</c:v>
                </c:pt>
                <c:pt idx="167">
                  <c:v>53.942909349478697</c:v>
                </c:pt>
                <c:pt idx="168">
                  <c:v>53.891158981478043</c:v>
                </c:pt>
                <c:pt idx="169">
                  <c:v>53.83696086743506</c:v>
                </c:pt>
                <c:pt idx="170">
                  <c:v>53.780523791232817</c:v>
                </c:pt>
                <c:pt idx="171">
                  <c:v>53.72203927841548</c:v>
                </c:pt>
                <c:pt idx="172">
                  <c:v>53.661698048974387</c:v>
                </c:pt>
                <c:pt idx="173">
                  <c:v>53.599690111879916</c:v>
                </c:pt>
                <c:pt idx="174">
                  <c:v>53.53620469726765</c:v>
                </c:pt>
                <c:pt idx="175">
                  <c:v>53.471430192882018</c:v>
                </c:pt>
                <c:pt idx="176">
                  <c:v>53.405491691535353</c:v>
                </c:pt>
                <c:pt idx="177">
                  <c:v>53.338246178617432</c:v>
                </c:pt>
                <c:pt idx="178">
                  <c:v>53.269513051452712</c:v>
                </c:pt>
                <c:pt idx="179">
                  <c:v>53.199103246897387</c:v>
                </c:pt>
                <c:pt idx="180">
                  <c:v>53.126827394637857</c:v>
                </c:pt>
                <c:pt idx="181">
                  <c:v>53.052495835881452</c:v>
                </c:pt>
                <c:pt idx="182">
                  <c:v>52.975918642730143</c:v>
                </c:pt>
                <c:pt idx="183">
                  <c:v>52.896843605706017</c:v>
                </c:pt>
                <c:pt idx="184">
                  <c:v>52.815088500313422</c:v>
                </c:pt>
                <c:pt idx="185">
                  <c:v>52.730462516210956</c:v>
                </c:pt>
                <c:pt idx="186">
                  <c:v>52.642774694866546</c:v>
                </c:pt>
                <c:pt idx="187">
                  <c:v>52.551833959175603</c:v>
                </c:pt>
                <c:pt idx="188">
                  <c:v>52.457449143074761</c:v>
                </c:pt>
                <c:pt idx="189">
                  <c:v>52.359429026801855</c:v>
                </c:pt>
                <c:pt idx="190">
                  <c:v>52.257644729040607</c:v>
                </c:pt>
                <c:pt idx="191">
                  <c:v>52.152167426664896</c:v>
                </c:pt>
                <c:pt idx="192">
                  <c:v>52.043198001536325</c:v>
                </c:pt>
                <c:pt idx="193">
                  <c:v>51.930918981607874</c:v>
                </c:pt>
                <c:pt idx="194">
                  <c:v>51.81551273380741</c:v>
                </c:pt>
                <c:pt idx="195">
                  <c:v>51.697161495244394</c:v>
                </c:pt>
                <c:pt idx="196">
                  <c:v>51.576047415682432</c:v>
                </c:pt>
                <c:pt idx="197">
                  <c:v>51.452295292560123</c:v>
                </c:pt>
                <c:pt idx="198">
                  <c:v>51.32615034312466</c:v>
                </c:pt>
                <c:pt idx="199">
                  <c:v>51.197794467596722</c:v>
                </c:pt>
                <c:pt idx="200">
                  <c:v>51.067409612055833</c:v>
                </c:pt>
                <c:pt idx="201">
                  <c:v>50.935177796130873</c:v>
                </c:pt>
                <c:pt idx="202">
                  <c:v>50.801281130874393</c:v>
                </c:pt>
                <c:pt idx="203">
                  <c:v>50.66590184308712</c:v>
                </c:pt>
                <c:pt idx="204">
                  <c:v>50.52916014697967</c:v>
                </c:pt>
                <c:pt idx="205">
                  <c:v>50.390759497718093</c:v>
                </c:pt>
                <c:pt idx="206">
                  <c:v>50.250558370890843</c:v>
                </c:pt>
                <c:pt idx="207">
                  <c:v>50.108366181152867</c:v>
                </c:pt>
                <c:pt idx="208">
                  <c:v>49.963992808311602</c:v>
                </c:pt>
                <c:pt idx="209">
                  <c:v>49.817248594371094</c:v>
                </c:pt>
                <c:pt idx="210">
                  <c:v>49.667944337433795</c:v>
                </c:pt>
                <c:pt idx="211">
                  <c:v>49.515699082154306</c:v>
                </c:pt>
                <c:pt idx="212">
                  <c:v>49.360383417716264</c:v>
                </c:pt>
                <c:pt idx="213">
                  <c:v>49.201809467890079</c:v>
                </c:pt>
                <c:pt idx="214">
                  <c:v>49.03978977955537</c:v>
                </c:pt>
                <c:pt idx="215">
                  <c:v>48.874137300164925</c:v>
                </c:pt>
                <c:pt idx="216">
                  <c:v>48.704665372923301</c:v>
                </c:pt>
                <c:pt idx="217">
                  <c:v>48.531187710800602</c:v>
                </c:pt>
                <c:pt idx="218">
                  <c:v>48.354790749630062</c:v>
                </c:pt>
                <c:pt idx="219">
                  <c:v>48.176362928596653</c:v>
                </c:pt>
                <c:pt idx="220">
                  <c:v>47.99570388344241</c:v>
                </c:pt>
                <c:pt idx="221">
                  <c:v>47.812442346402449</c:v>
                </c:pt>
                <c:pt idx="222">
                  <c:v>47.626207403976352</c:v>
                </c:pt>
                <c:pt idx="223">
                  <c:v>47.436628481430354</c:v>
                </c:pt>
                <c:pt idx="224">
                  <c:v>47.243335324692325</c:v>
                </c:pt>
                <c:pt idx="225">
                  <c:v>47.046068110589381</c:v>
                </c:pt>
                <c:pt idx="226">
                  <c:v>46.844651144054133</c:v>
                </c:pt>
                <c:pt idx="227">
                  <c:v>46.638715662050473</c:v>
                </c:pt>
                <c:pt idx="228">
                  <c:v>46.427893121040405</c:v>
                </c:pt>
                <c:pt idx="229">
                  <c:v>46.211815178528269</c:v>
                </c:pt>
                <c:pt idx="230">
                  <c:v>45.990113687958576</c:v>
                </c:pt>
                <c:pt idx="231">
                  <c:v>45.762420680413065</c:v>
                </c:pt>
                <c:pt idx="232">
                  <c:v>45.529700068135256</c:v>
                </c:pt>
                <c:pt idx="233">
                  <c:v>45.293189373498286</c:v>
                </c:pt>
                <c:pt idx="234">
                  <c:v>45.052778431723119</c:v>
                </c:pt>
                <c:pt idx="235">
                  <c:v>44.808284294019884</c:v>
                </c:pt>
                <c:pt idx="236">
                  <c:v>44.559523961131987</c:v>
                </c:pt>
                <c:pt idx="237">
                  <c:v>44.30631462961145</c:v>
                </c:pt>
                <c:pt idx="238">
                  <c:v>44.048473535690135</c:v>
                </c:pt>
                <c:pt idx="239">
                  <c:v>43.785955022968174</c:v>
                </c:pt>
                <c:pt idx="240">
                  <c:v>43.518464542965916</c:v>
                </c:pt>
                <c:pt idx="241">
                  <c:v>43.24581922987722</c:v>
                </c:pt>
                <c:pt idx="242">
                  <c:v>42.967836277330612</c:v>
                </c:pt>
                <c:pt idx="243">
                  <c:v>42.684332936786724</c:v>
                </c:pt>
                <c:pt idx="244">
                  <c:v>42.395126516220337</c:v>
                </c:pt>
                <c:pt idx="245">
                  <c:v>42.10003438138547</c:v>
                </c:pt>
                <c:pt idx="246">
                  <c:v>41.798332960368825</c:v>
                </c:pt>
                <c:pt idx="247">
                  <c:v>41.489840899788639</c:v>
                </c:pt>
                <c:pt idx="248">
                  <c:v>41.174873891427907</c:v>
                </c:pt>
                <c:pt idx="249">
                  <c:v>40.853898385303253</c:v>
                </c:pt>
                <c:pt idx="250">
                  <c:v>40.527380580952915</c:v>
                </c:pt>
                <c:pt idx="251">
                  <c:v>40.195786425797969</c:v>
                </c:pt>
                <c:pt idx="252">
                  <c:v>39.859581627632494</c:v>
                </c:pt>
                <c:pt idx="253">
                  <c:v>39.519353383270406</c:v>
                </c:pt>
                <c:pt idx="254">
                  <c:v>39.175429682507009</c:v>
                </c:pt>
                <c:pt idx="255">
                  <c:v>38.828275579218442</c:v>
                </c:pt>
                <c:pt idx="256">
                  <c:v>38.478355887032293</c:v>
                </c:pt>
                <c:pt idx="257">
                  <c:v>38.126135186896718</c:v>
                </c:pt>
                <c:pt idx="258">
                  <c:v>37.772077827217196</c:v>
                </c:pt>
                <c:pt idx="259">
                  <c:v>37.416647919399736</c:v>
                </c:pt>
                <c:pt idx="260">
                  <c:v>37.057346085927328</c:v>
                </c:pt>
                <c:pt idx="261">
                  <c:v>36.691780332201468</c:v>
                </c:pt>
                <c:pt idx="262">
                  <c:v>36.320675481099947</c:v>
                </c:pt>
                <c:pt idx="263">
                  <c:v>35.944865470330427</c:v>
                </c:pt>
                <c:pt idx="264">
                  <c:v>35.565183802076653</c:v>
                </c:pt>
                <c:pt idx="265">
                  <c:v>35.18246156654839</c:v>
                </c:pt>
                <c:pt idx="266">
                  <c:v>34.797530384495929</c:v>
                </c:pt>
                <c:pt idx="267">
                  <c:v>34.410482684971413</c:v>
                </c:pt>
                <c:pt idx="268">
                  <c:v>34.022026765231224</c:v>
                </c:pt>
                <c:pt idx="269">
                  <c:v>33.63299279022079</c:v>
                </c:pt>
                <c:pt idx="270">
                  <c:v>33.244210504138039</c:v>
                </c:pt>
                <c:pt idx="271">
                  <c:v>32.856509244751976</c:v>
                </c:pt>
                <c:pt idx="272">
                  <c:v>32.47071795934135</c:v>
                </c:pt>
                <c:pt idx="273">
                  <c:v>32.08766522557864</c:v>
                </c:pt>
                <c:pt idx="274">
                  <c:v>31.704093453866101</c:v>
                </c:pt>
                <c:pt idx="275">
                  <c:v>31.316168750317441</c:v>
                </c:pt>
                <c:pt idx="276">
                  <c:v>30.924955241218839</c:v>
                </c:pt>
                <c:pt idx="277">
                  <c:v>30.531373450852193</c:v>
                </c:pt>
                <c:pt idx="278">
                  <c:v>30.136343403940003</c:v>
                </c:pt>
                <c:pt idx="279">
                  <c:v>29.740784666569105</c:v>
                </c:pt>
                <c:pt idx="280">
                  <c:v>29.345616395466397</c:v>
                </c:pt>
                <c:pt idx="281">
                  <c:v>28.951686776600777</c:v>
                </c:pt>
                <c:pt idx="282">
                  <c:v>28.560662800349011</c:v>
                </c:pt>
                <c:pt idx="283">
                  <c:v>28.173464556478166</c:v>
                </c:pt>
                <c:pt idx="284">
                  <c:v>27.791011890694289</c:v>
                </c:pt>
                <c:pt idx="285">
                  <c:v>27.414224450007378</c:v>
                </c:pt>
                <c:pt idx="286">
                  <c:v>27.044021748563981</c:v>
                </c:pt>
                <c:pt idx="287">
                  <c:v>26.681323218958294</c:v>
                </c:pt>
                <c:pt idx="288">
                  <c:v>26.325337395205295</c:v>
                </c:pt>
                <c:pt idx="289">
                  <c:v>25.974208353942682</c:v>
                </c:pt>
                <c:pt idx="290">
                  <c:v>25.628295125748405</c:v>
                </c:pt>
                <c:pt idx="291">
                  <c:v>25.287315286226228</c:v>
                </c:pt>
                <c:pt idx="292">
                  <c:v>28.470700886158969</c:v>
                </c:pt>
                <c:pt idx="293">
                  <c:v>28.084868689347239</c:v>
                </c:pt>
                <c:pt idx="294">
                  <c:v>27.703837336108272</c:v>
                </c:pt>
                <c:pt idx="295">
                  <c:v>27.327235511131647</c:v>
                </c:pt>
                <c:pt idx="296">
                  <c:v>26.954811414368528</c:v>
                </c:pt>
                <c:pt idx="297">
                  <c:v>26.586236461448781</c:v>
                </c:pt>
                <c:pt idx="298">
                  <c:v>26.221190164902747</c:v>
                </c:pt>
                <c:pt idx="299">
                  <c:v>25.859352420636583</c:v>
                </c:pt>
                <c:pt idx="300">
                  <c:v>25.50040351969589</c:v>
                </c:pt>
                <c:pt idx="301">
                  <c:v>25.144024145465234</c:v>
                </c:pt>
                <c:pt idx="302">
                  <c:v>24.789772548928497</c:v>
                </c:pt>
                <c:pt idx="303">
                  <c:v>24.43867456286188</c:v>
                </c:pt>
                <c:pt idx="304">
                  <c:v>24.091451096883997</c:v>
                </c:pt>
                <c:pt idx="305">
                  <c:v>23.748521472289983</c:v>
                </c:pt>
                <c:pt idx="306">
                  <c:v>23.410304751888553</c:v>
                </c:pt>
                <c:pt idx="307">
                  <c:v>23.077219742349662</c:v>
                </c:pt>
                <c:pt idx="308">
                  <c:v>22.749684997907156</c:v>
                </c:pt>
                <c:pt idx="309">
                  <c:v>22.428963040544271</c:v>
                </c:pt>
                <c:pt idx="310">
                  <c:v>22.115524688994409</c:v>
                </c:pt>
                <c:pt idx="311">
                  <c:v>21.80978840084979</c:v>
                </c:pt>
                <c:pt idx="312">
                  <c:v>21.512172319753514</c:v>
                </c:pt>
                <c:pt idx="313">
                  <c:v>21.223094266053991</c:v>
                </c:pt>
                <c:pt idx="314">
                  <c:v>20.942971727120689</c:v>
                </c:pt>
                <c:pt idx="315">
                  <c:v>20.672221838898704</c:v>
                </c:pt>
                <c:pt idx="316">
                  <c:v>20.410894018285219</c:v>
                </c:pt>
                <c:pt idx="317">
                  <c:v>20.158403528098212</c:v>
                </c:pt>
                <c:pt idx="318">
                  <c:v>19.913452864862741</c:v>
                </c:pt>
                <c:pt idx="319">
                  <c:v>19.675723976353588</c:v>
                </c:pt>
                <c:pt idx="320">
                  <c:v>19.444899138575426</c:v>
                </c:pt>
                <c:pt idx="321">
                  <c:v>19.220660953616797</c:v>
                </c:pt>
                <c:pt idx="322">
                  <c:v>19.002692335181941</c:v>
                </c:pt>
                <c:pt idx="323">
                  <c:v>18.790063047365642</c:v>
                </c:pt>
                <c:pt idx="324">
                  <c:v>18.581609807799321</c:v>
                </c:pt>
                <c:pt idx="325">
                  <c:v>18.377016228668388</c:v>
                </c:pt>
                <c:pt idx="326">
                  <c:v>18.175976453731824</c:v>
                </c:pt>
                <c:pt idx="327">
                  <c:v>17.978178621357138</c:v>
                </c:pt>
                <c:pt idx="328">
                  <c:v>17.783303077062556</c:v>
                </c:pt>
                <c:pt idx="329">
                  <c:v>17.591030558416694</c:v>
                </c:pt>
                <c:pt idx="330">
                  <c:v>17.399786523928771</c:v>
                </c:pt>
                <c:pt idx="331">
                  <c:v>17.209100642619504</c:v>
                </c:pt>
                <c:pt idx="332">
                  <c:v>17.020055781314547</c:v>
                </c:pt>
                <c:pt idx="333">
                  <c:v>16.83358904522931</c:v>
                </c:pt>
                <c:pt idx="334">
                  <c:v>16.650636677591766</c:v>
                </c:pt>
                <c:pt idx="335">
                  <c:v>16.472134052596065</c:v>
                </c:pt>
                <c:pt idx="336">
                  <c:v>16.299015649607689</c:v>
                </c:pt>
                <c:pt idx="337">
                  <c:v>16.132913710436156</c:v>
                </c:pt>
                <c:pt idx="338">
                  <c:v>15.975373549748612</c:v>
                </c:pt>
                <c:pt idx="339">
                  <c:v>15.827326197455051</c:v>
                </c:pt>
                <c:pt idx="340">
                  <c:v>15.689701718282111</c:v>
                </c:pt>
                <c:pt idx="341">
                  <c:v>15.563429224774955</c:v>
                </c:pt>
                <c:pt idx="342">
                  <c:v>15.449436897088871</c:v>
                </c:pt>
                <c:pt idx="343">
                  <c:v>15.348651989872122</c:v>
                </c:pt>
                <c:pt idx="344">
                  <c:v>15.259401398637459</c:v>
                </c:pt>
                <c:pt idx="345">
                  <c:v>15.179465448063191</c:v>
                </c:pt>
                <c:pt idx="346">
                  <c:v>15.108878696246451</c:v>
                </c:pt>
                <c:pt idx="347">
                  <c:v>15.047747694422062</c:v>
                </c:pt>
                <c:pt idx="348">
                  <c:v>14.996178907689847</c:v>
                </c:pt>
                <c:pt idx="349">
                  <c:v>14.954278735627787</c:v>
                </c:pt>
                <c:pt idx="350">
                  <c:v>14.922153526898448</c:v>
                </c:pt>
                <c:pt idx="351">
                  <c:v>14.900102672678795</c:v>
                </c:pt>
                <c:pt idx="352">
                  <c:v>14.88753533205117</c:v>
                </c:pt>
                <c:pt idx="353">
                  <c:v>14.884557863736832</c:v>
                </c:pt>
                <c:pt idx="354">
                  <c:v>14.891276574172661</c:v>
                </c:pt>
                <c:pt idx="355">
                  <c:v>14.907797705468676</c:v>
                </c:pt>
                <c:pt idx="356">
                  <c:v>14.934233981522974</c:v>
                </c:pt>
                <c:pt idx="357">
                  <c:v>14.97068761191251</c:v>
                </c:pt>
                <c:pt idx="358">
                  <c:v>15.017551400148765</c:v>
                </c:pt>
                <c:pt idx="359">
                  <c:v>15.074978050149104</c:v>
                </c:pt>
                <c:pt idx="360">
                  <c:v>15.143419818277122</c:v>
                </c:pt>
                <c:pt idx="361">
                  <c:v>15.222438957150963</c:v>
                </c:pt>
                <c:pt idx="362">
                  <c:v>15.311791111487869</c:v>
                </c:pt>
                <c:pt idx="363">
                  <c:v>15.411232196643088</c:v>
                </c:pt>
                <c:pt idx="364">
                  <c:v>15.520518374818712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15.487</c:v>
                </c:pt>
                <c:pt idx="1">
                  <c:v>13.262</c:v>
                </c:pt>
                <c:pt idx="2">
                  <c:v>12.878</c:v>
                </c:pt>
                <c:pt idx="3">
                  <c:v>13.521000000000001</c:v>
                </c:pt>
                <c:pt idx="4">
                  <c:v>10.683</c:v>
                </c:pt>
                <c:pt idx="5">
                  <c:v>16.338999999999999</c:v>
                </c:pt>
                <c:pt idx="6">
                  <c:v>8.1850000000000005</c:v>
                </c:pt>
                <c:pt idx="7">
                  <c:v>6.6420000000000003</c:v>
                </c:pt>
                <c:pt idx="8">
                  <c:v>2.0020000000000002</c:v>
                </c:pt>
                <c:pt idx="9">
                  <c:v>1.694</c:v>
                </c:pt>
                <c:pt idx="10">
                  <c:v>17.167000000000002</c:v>
                </c:pt>
                <c:pt idx="11">
                  <c:v>15.641</c:v>
                </c:pt>
                <c:pt idx="12">
                  <c:v>5.75</c:v>
                </c:pt>
                <c:pt idx="13">
                  <c:v>17.759</c:v>
                </c:pt>
                <c:pt idx="14">
                  <c:v>17.904</c:v>
                </c:pt>
                <c:pt idx="15">
                  <c:v>17.887</c:v>
                </c:pt>
                <c:pt idx="16">
                  <c:v>14.324</c:v>
                </c:pt>
                <c:pt idx="17">
                  <c:v>3.9670000000000001</c:v>
                </c:pt>
                <c:pt idx="18">
                  <c:v>9.7170000000000005</c:v>
                </c:pt>
                <c:pt idx="19">
                  <c:v>5.7350000000000003</c:v>
                </c:pt>
                <c:pt idx="20">
                  <c:v>14.041</c:v>
                </c:pt>
                <c:pt idx="21">
                  <c:v>19.2</c:v>
                </c:pt>
                <c:pt idx="22">
                  <c:v>19.242000000000001</c:v>
                </c:pt>
                <c:pt idx="23">
                  <c:v>19.664000000000001</c:v>
                </c:pt>
                <c:pt idx="24">
                  <c:v>19.893000000000001</c:v>
                </c:pt>
                <c:pt idx="25">
                  <c:v>19.984000000000002</c:v>
                </c:pt>
                <c:pt idx="26">
                  <c:v>19.498999999999999</c:v>
                </c:pt>
                <c:pt idx="27">
                  <c:v>4.0780000000000003</c:v>
                </c:pt>
                <c:pt idx="28">
                  <c:v>6.3760000000000003</c:v>
                </c:pt>
                <c:pt idx="29">
                  <c:v>4.6399999999999997</c:v>
                </c:pt>
                <c:pt idx="30">
                  <c:v>10.402000000000001</c:v>
                </c:pt>
                <c:pt idx="31">
                  <c:v>10.226000000000001</c:v>
                </c:pt>
                <c:pt idx="32">
                  <c:v>5.3420000000000005</c:v>
                </c:pt>
                <c:pt idx="33">
                  <c:v>12.773</c:v>
                </c:pt>
                <c:pt idx="34">
                  <c:v>10.649000000000001</c:v>
                </c:pt>
                <c:pt idx="35">
                  <c:v>9.2240000000000002</c:v>
                </c:pt>
                <c:pt idx="36">
                  <c:v>17.120999999999999</c:v>
                </c:pt>
                <c:pt idx="37">
                  <c:v>11.866</c:v>
                </c:pt>
                <c:pt idx="38">
                  <c:v>24.670999999999999</c:v>
                </c:pt>
                <c:pt idx="39">
                  <c:v>24.707000000000001</c:v>
                </c:pt>
                <c:pt idx="40">
                  <c:v>23.974</c:v>
                </c:pt>
                <c:pt idx="41">
                  <c:v>12.641999999999999</c:v>
                </c:pt>
                <c:pt idx="42">
                  <c:v>21.612000000000002</c:v>
                </c:pt>
                <c:pt idx="43">
                  <c:v>25.189</c:v>
                </c:pt>
                <c:pt idx="44">
                  <c:v>14.8</c:v>
                </c:pt>
                <c:pt idx="45">
                  <c:v>18.019000000000002</c:v>
                </c:pt>
                <c:pt idx="46">
                  <c:v>9.1910000000000007</c:v>
                </c:pt>
                <c:pt idx="47">
                  <c:v>10.678000000000001</c:v>
                </c:pt>
                <c:pt idx="48">
                  <c:v>25.205000000000002</c:v>
                </c:pt>
                <c:pt idx="49">
                  <c:v>15.212</c:v>
                </c:pt>
                <c:pt idx="50">
                  <c:v>18.201000000000001</c:v>
                </c:pt>
                <c:pt idx="51">
                  <c:v>18.683</c:v>
                </c:pt>
                <c:pt idx="52">
                  <c:v>27.613</c:v>
                </c:pt>
                <c:pt idx="53">
                  <c:v>29.231999999999999</c:v>
                </c:pt>
                <c:pt idx="54">
                  <c:v>17.593</c:v>
                </c:pt>
                <c:pt idx="55">
                  <c:v>26.035</c:v>
                </c:pt>
                <c:pt idx="56">
                  <c:v>31.767999999999997</c:v>
                </c:pt>
                <c:pt idx="57">
                  <c:v>24.251999999999999</c:v>
                </c:pt>
                <c:pt idx="58">
                  <c:v>28.876000000000001</c:v>
                </c:pt>
                <c:pt idx="59">
                  <c:v>31.743000000000002</c:v>
                </c:pt>
                <c:pt idx="60">
                  <c:v>14.734</c:v>
                </c:pt>
                <c:pt idx="61">
                  <c:v>30.45</c:v>
                </c:pt>
                <c:pt idx="62">
                  <c:v>5.7869999999999999</c:v>
                </c:pt>
                <c:pt idx="63">
                  <c:v>12.968</c:v>
                </c:pt>
                <c:pt idx="64">
                  <c:v>19.019000000000002</c:v>
                </c:pt>
                <c:pt idx="65">
                  <c:v>32.423000000000002</c:v>
                </c:pt>
                <c:pt idx="66">
                  <c:v>26.154</c:v>
                </c:pt>
                <c:pt idx="67">
                  <c:v>27.23</c:v>
                </c:pt>
                <c:pt idx="68">
                  <c:v>19.099</c:v>
                </c:pt>
                <c:pt idx="69">
                  <c:v>13.583</c:v>
                </c:pt>
                <c:pt idx="70">
                  <c:v>12.874000000000001</c:v>
                </c:pt>
                <c:pt idx="71">
                  <c:v>8.5</c:v>
                </c:pt>
                <c:pt idx="72">
                  <c:v>11.707000000000001</c:v>
                </c:pt>
                <c:pt idx="73">
                  <c:v>13.528</c:v>
                </c:pt>
                <c:pt idx="74">
                  <c:v>11.872</c:v>
                </c:pt>
                <c:pt idx="75">
                  <c:v>10.411</c:v>
                </c:pt>
                <c:pt idx="76">
                  <c:v>13.065</c:v>
                </c:pt>
                <c:pt idx="77">
                  <c:v>26.310000000000002</c:v>
                </c:pt>
                <c:pt idx="78">
                  <c:v>29.673000000000002</c:v>
                </c:pt>
                <c:pt idx="79">
                  <c:v>39.774999999999999</c:v>
                </c:pt>
                <c:pt idx="80">
                  <c:v>36.786999999999999</c:v>
                </c:pt>
                <c:pt idx="81">
                  <c:v>41.564</c:v>
                </c:pt>
                <c:pt idx="82">
                  <c:v>40.971000000000004</c:v>
                </c:pt>
                <c:pt idx="83">
                  <c:v>37.500999999999998</c:v>
                </c:pt>
                <c:pt idx="84">
                  <c:v>40.496000000000002</c:v>
                </c:pt>
                <c:pt idx="85">
                  <c:v>39.975999999999999</c:v>
                </c:pt>
                <c:pt idx="86">
                  <c:v>31.091000000000001</c:v>
                </c:pt>
                <c:pt idx="87">
                  <c:v>25.670999999999999</c:v>
                </c:pt>
                <c:pt idx="88">
                  <c:v>7.2350000000000003</c:v>
                </c:pt>
                <c:pt idx="89">
                  <c:v>25.263999999999999</c:v>
                </c:pt>
                <c:pt idx="90">
                  <c:v>27.538</c:v>
                </c:pt>
                <c:pt idx="91">
                  <c:v>18.657</c:v>
                </c:pt>
                <c:pt idx="92">
                  <c:v>23.099</c:v>
                </c:pt>
                <c:pt idx="93">
                  <c:v>40.005000000000003</c:v>
                </c:pt>
                <c:pt idx="94">
                  <c:v>46.294000000000004</c:v>
                </c:pt>
                <c:pt idx="95">
                  <c:v>11.761000000000001</c:v>
                </c:pt>
                <c:pt idx="96">
                  <c:v>35.58</c:v>
                </c:pt>
                <c:pt idx="97">
                  <c:v>27.792999999999999</c:v>
                </c:pt>
                <c:pt idx="98">
                  <c:v>33.727000000000004</c:v>
                </c:pt>
                <c:pt idx="99">
                  <c:v>47.76</c:v>
                </c:pt>
                <c:pt idx="100">
                  <c:v>36.545000000000002</c:v>
                </c:pt>
                <c:pt idx="101">
                  <c:v>33.576000000000001</c:v>
                </c:pt>
                <c:pt idx="102">
                  <c:v>7.4</c:v>
                </c:pt>
                <c:pt idx="103">
                  <c:v>36.18</c:v>
                </c:pt>
                <c:pt idx="104">
                  <c:v>40.172000000000004</c:v>
                </c:pt>
                <c:pt idx="105">
                  <c:v>43.076999999999998</c:v>
                </c:pt>
                <c:pt idx="106">
                  <c:v>48.896000000000001</c:v>
                </c:pt>
                <c:pt idx="107">
                  <c:v>39.289000000000001</c:v>
                </c:pt>
                <c:pt idx="108">
                  <c:v>10.734999999999999</c:v>
                </c:pt>
                <c:pt idx="109">
                  <c:v>10.134</c:v>
                </c:pt>
                <c:pt idx="110">
                  <c:v>9.67</c:v>
                </c:pt>
                <c:pt idx="111">
                  <c:v>29.245000000000001</c:v>
                </c:pt>
                <c:pt idx="112">
                  <c:v>8.4589999999999996</c:v>
                </c:pt>
                <c:pt idx="113">
                  <c:v>36.160000000000004</c:v>
                </c:pt>
                <c:pt idx="114">
                  <c:v>45.116</c:v>
                </c:pt>
                <c:pt idx="115">
                  <c:v>50.033999999999999</c:v>
                </c:pt>
                <c:pt idx="116">
                  <c:v>35.692</c:v>
                </c:pt>
                <c:pt idx="117">
                  <c:v>21.865000000000002</c:v>
                </c:pt>
                <c:pt idx="118">
                  <c:v>41.082000000000001</c:v>
                </c:pt>
                <c:pt idx="119">
                  <c:v>42.902999999999999</c:v>
                </c:pt>
                <c:pt idx="120">
                  <c:v>42.316000000000003</c:v>
                </c:pt>
                <c:pt idx="121">
                  <c:v>25.867000000000001</c:v>
                </c:pt>
                <c:pt idx="122">
                  <c:v>30.568000000000001</c:v>
                </c:pt>
                <c:pt idx="123">
                  <c:v>0.77600000000000002</c:v>
                </c:pt>
                <c:pt idx="124">
                  <c:v>35.660000000000004</c:v>
                </c:pt>
                <c:pt idx="125">
                  <c:v>33.054000000000002</c:v>
                </c:pt>
                <c:pt idx="126">
                  <c:v>45.404000000000003</c:v>
                </c:pt>
                <c:pt idx="127">
                  <c:v>46.183999999999997</c:v>
                </c:pt>
                <c:pt idx="128">
                  <c:v>51.277999999999999</c:v>
                </c:pt>
                <c:pt idx="129">
                  <c:v>47.069000000000003</c:v>
                </c:pt>
                <c:pt idx="130">
                  <c:v>51.579000000000001</c:v>
                </c:pt>
                <c:pt idx="131">
                  <c:v>40.228000000000002</c:v>
                </c:pt>
                <c:pt idx="132">
                  <c:v>42.926000000000002</c:v>
                </c:pt>
                <c:pt idx="133">
                  <c:v>44.243000000000002</c:v>
                </c:pt>
                <c:pt idx="134">
                  <c:v>47.861000000000004</c:v>
                </c:pt>
                <c:pt idx="135">
                  <c:v>46.652000000000001</c:v>
                </c:pt>
                <c:pt idx="136">
                  <c:v>50.298000000000002</c:v>
                </c:pt>
                <c:pt idx="137">
                  <c:v>48.944000000000003</c:v>
                </c:pt>
                <c:pt idx="138">
                  <c:v>50.725999999999999</c:v>
                </c:pt>
                <c:pt idx="139">
                  <c:v>44.178000000000004</c:v>
                </c:pt>
                <c:pt idx="140">
                  <c:v>44.82</c:v>
                </c:pt>
                <c:pt idx="141">
                  <c:v>31.847999999999999</c:v>
                </c:pt>
                <c:pt idx="142">
                  <c:v>16.434999999999999</c:v>
                </c:pt>
                <c:pt idx="143">
                  <c:v>13.693</c:v>
                </c:pt>
                <c:pt idx="144">
                  <c:v>38.094000000000001</c:v>
                </c:pt>
                <c:pt idx="145">
                  <c:v>20.006</c:v>
                </c:pt>
                <c:pt idx="146">
                  <c:v>37.920999999999999</c:v>
                </c:pt>
                <c:pt idx="147">
                  <c:v>50.63</c:v>
                </c:pt>
                <c:pt idx="148">
                  <c:v>55.258000000000003</c:v>
                </c:pt>
                <c:pt idx="149">
                  <c:v>47.244</c:v>
                </c:pt>
                <c:pt idx="150">
                  <c:v>50.640999999999998</c:v>
                </c:pt>
                <c:pt idx="151">
                  <c:v>52.082000000000001</c:v>
                </c:pt>
                <c:pt idx="152">
                  <c:v>40.902999999999999</c:v>
                </c:pt>
                <c:pt idx="153">
                  <c:v>49.57</c:v>
                </c:pt>
                <c:pt idx="154">
                  <c:v>28.148</c:v>
                </c:pt>
                <c:pt idx="155">
                  <c:v>29.403000000000002</c:v>
                </c:pt>
                <c:pt idx="156">
                  <c:v>39.231000000000002</c:v>
                </c:pt>
                <c:pt idx="157">
                  <c:v>29.524000000000001</c:v>
                </c:pt>
                <c:pt idx="158">
                  <c:v>20.77</c:v>
                </c:pt>
                <c:pt idx="159">
                  <c:v>41.311999999999998</c:v>
                </c:pt>
                <c:pt idx="160">
                  <c:v>54.264000000000003</c:v>
                </c:pt>
                <c:pt idx="161">
                  <c:v>50.908999999999999</c:v>
                </c:pt>
                <c:pt idx="162">
                  <c:v>40.176000000000002</c:v>
                </c:pt>
                <c:pt idx="163">
                  <c:v>49.356999999999999</c:v>
                </c:pt>
                <c:pt idx="164">
                  <c:v>42.39</c:v>
                </c:pt>
                <c:pt idx="165">
                  <c:v>50.067999999999998</c:v>
                </c:pt>
                <c:pt idx="166">
                  <c:v>46.478999999999999</c:v>
                </c:pt>
                <c:pt idx="167">
                  <c:v>47.948999999999998</c:v>
                </c:pt>
                <c:pt idx="168">
                  <c:v>49.847000000000001</c:v>
                </c:pt>
                <c:pt idx="169">
                  <c:v>51.084000000000003</c:v>
                </c:pt>
                <c:pt idx="170">
                  <c:v>30.336000000000002</c:v>
                </c:pt>
                <c:pt idx="171">
                  <c:v>18.010999999999999</c:v>
                </c:pt>
                <c:pt idx="172">
                  <c:v>43.499000000000002</c:v>
                </c:pt>
                <c:pt idx="173">
                  <c:v>38.550000000000004</c:v>
                </c:pt>
                <c:pt idx="174">
                  <c:v>40.767000000000003</c:v>
                </c:pt>
                <c:pt idx="175">
                  <c:v>28.555</c:v>
                </c:pt>
                <c:pt idx="176">
                  <c:v>10.912000000000001</c:v>
                </c:pt>
                <c:pt idx="177">
                  <c:v>16.202000000000002</c:v>
                </c:pt>
                <c:pt idx="178">
                  <c:v>55.283000000000001</c:v>
                </c:pt>
                <c:pt idx="179">
                  <c:v>51.337000000000003</c:v>
                </c:pt>
                <c:pt idx="180">
                  <c:v>12.435</c:v>
                </c:pt>
                <c:pt idx="181">
                  <c:v>50.725999999999999</c:v>
                </c:pt>
                <c:pt idx="182">
                  <c:v>47.237000000000002</c:v>
                </c:pt>
                <c:pt idx="183">
                  <c:v>39.971000000000004</c:v>
                </c:pt>
                <c:pt idx="184">
                  <c:v>41.944000000000003</c:v>
                </c:pt>
                <c:pt idx="185">
                  <c:v>50.567</c:v>
                </c:pt>
                <c:pt idx="186">
                  <c:v>39.177999999999997</c:v>
                </c:pt>
                <c:pt idx="187">
                  <c:v>48.654000000000003</c:v>
                </c:pt>
                <c:pt idx="188">
                  <c:v>53.4</c:v>
                </c:pt>
                <c:pt idx="189">
                  <c:v>52.456000000000003</c:v>
                </c:pt>
                <c:pt idx="190">
                  <c:v>51.931000000000004</c:v>
                </c:pt>
                <c:pt idx="191">
                  <c:v>50.145000000000003</c:v>
                </c:pt>
                <c:pt idx="192">
                  <c:v>50.247999999999998</c:v>
                </c:pt>
                <c:pt idx="193">
                  <c:v>49.942</c:v>
                </c:pt>
                <c:pt idx="194">
                  <c:v>49.314</c:v>
                </c:pt>
                <c:pt idx="195">
                  <c:v>47.65</c:v>
                </c:pt>
                <c:pt idx="196">
                  <c:v>49.075000000000003</c:v>
                </c:pt>
                <c:pt idx="197">
                  <c:v>48.241</c:v>
                </c:pt>
                <c:pt idx="198">
                  <c:v>48.506</c:v>
                </c:pt>
                <c:pt idx="199">
                  <c:v>39.231999999999999</c:v>
                </c:pt>
                <c:pt idx="200">
                  <c:v>37.633000000000003</c:v>
                </c:pt>
                <c:pt idx="201">
                  <c:v>47.606000000000002</c:v>
                </c:pt>
                <c:pt idx="202">
                  <c:v>35.859000000000002</c:v>
                </c:pt>
                <c:pt idx="203">
                  <c:v>44.782000000000004</c:v>
                </c:pt>
                <c:pt idx="204">
                  <c:v>47.195</c:v>
                </c:pt>
                <c:pt idx="205">
                  <c:v>28.515000000000001</c:v>
                </c:pt>
                <c:pt idx="206">
                  <c:v>48.259</c:v>
                </c:pt>
                <c:pt idx="207">
                  <c:v>50.792999999999999</c:v>
                </c:pt>
                <c:pt idx="208">
                  <c:v>43.308999999999997</c:v>
                </c:pt>
                <c:pt idx="209">
                  <c:v>25.097000000000001</c:v>
                </c:pt>
                <c:pt idx="210">
                  <c:v>42.59</c:v>
                </c:pt>
                <c:pt idx="211">
                  <c:v>47.018000000000001</c:v>
                </c:pt>
                <c:pt idx="212">
                  <c:v>48.814999999999998</c:v>
                </c:pt>
                <c:pt idx="213">
                  <c:v>47.084000000000003</c:v>
                </c:pt>
                <c:pt idx="214">
                  <c:v>45.349000000000004</c:v>
                </c:pt>
                <c:pt idx="215">
                  <c:v>42.122999999999998</c:v>
                </c:pt>
                <c:pt idx="216">
                  <c:v>41.227000000000004</c:v>
                </c:pt>
                <c:pt idx="217">
                  <c:v>43.703000000000003</c:v>
                </c:pt>
                <c:pt idx="218">
                  <c:v>46.533000000000001</c:v>
                </c:pt>
                <c:pt idx="219">
                  <c:v>47.182000000000002</c:v>
                </c:pt>
                <c:pt idx="220">
                  <c:v>45.375</c:v>
                </c:pt>
                <c:pt idx="221">
                  <c:v>43.692</c:v>
                </c:pt>
                <c:pt idx="222">
                  <c:v>39.579000000000001</c:v>
                </c:pt>
                <c:pt idx="223">
                  <c:v>42.08</c:v>
                </c:pt>
                <c:pt idx="224">
                  <c:v>28.382000000000001</c:v>
                </c:pt>
                <c:pt idx="225">
                  <c:v>30.538</c:v>
                </c:pt>
                <c:pt idx="226">
                  <c:v>35.814999999999998</c:v>
                </c:pt>
                <c:pt idx="227">
                  <c:v>28.574000000000002</c:v>
                </c:pt>
                <c:pt idx="228">
                  <c:v>20.706</c:v>
                </c:pt>
                <c:pt idx="229">
                  <c:v>34.908999999999999</c:v>
                </c:pt>
                <c:pt idx="230">
                  <c:v>36.142000000000003</c:v>
                </c:pt>
                <c:pt idx="231">
                  <c:v>42.597000000000001</c:v>
                </c:pt>
                <c:pt idx="232">
                  <c:v>27.969000000000001</c:v>
                </c:pt>
                <c:pt idx="233">
                  <c:v>22.432000000000002</c:v>
                </c:pt>
                <c:pt idx="234">
                  <c:v>39.762999999999998</c:v>
                </c:pt>
                <c:pt idx="235">
                  <c:v>40.149000000000001</c:v>
                </c:pt>
                <c:pt idx="236">
                  <c:v>30.59</c:v>
                </c:pt>
                <c:pt idx="237">
                  <c:v>37.052</c:v>
                </c:pt>
                <c:pt idx="238">
                  <c:v>43.109000000000002</c:v>
                </c:pt>
                <c:pt idx="239">
                  <c:v>41.576000000000001</c:v>
                </c:pt>
                <c:pt idx="240">
                  <c:v>29.215</c:v>
                </c:pt>
                <c:pt idx="241">
                  <c:v>40.679000000000002</c:v>
                </c:pt>
                <c:pt idx="242">
                  <c:v>19.103000000000002</c:v>
                </c:pt>
                <c:pt idx="243">
                  <c:v>38.491999999999997</c:v>
                </c:pt>
                <c:pt idx="244">
                  <c:v>33.459000000000003</c:v>
                </c:pt>
                <c:pt idx="245">
                  <c:v>27.536999999999999</c:v>
                </c:pt>
                <c:pt idx="246">
                  <c:v>40.078000000000003</c:v>
                </c:pt>
                <c:pt idx="247">
                  <c:v>34.605000000000004</c:v>
                </c:pt>
                <c:pt idx="248">
                  <c:v>38.82</c:v>
                </c:pt>
                <c:pt idx="249">
                  <c:v>31.304000000000002</c:v>
                </c:pt>
                <c:pt idx="250">
                  <c:v>33.694000000000003</c:v>
                </c:pt>
                <c:pt idx="251">
                  <c:v>19.161999999999999</c:v>
                </c:pt>
                <c:pt idx="252">
                  <c:v>37.688000000000002</c:v>
                </c:pt>
                <c:pt idx="253">
                  <c:v>37.550000000000004</c:v>
                </c:pt>
                <c:pt idx="254">
                  <c:v>26.103999999999999</c:v>
                </c:pt>
                <c:pt idx="255">
                  <c:v>10.839</c:v>
                </c:pt>
                <c:pt idx="256">
                  <c:v>31.693999999999999</c:v>
                </c:pt>
                <c:pt idx="257">
                  <c:v>34.590000000000003</c:v>
                </c:pt>
                <c:pt idx="258">
                  <c:v>23.876999999999999</c:v>
                </c:pt>
                <c:pt idx="259">
                  <c:v>37.487000000000002</c:v>
                </c:pt>
                <c:pt idx="260">
                  <c:v>37.786000000000001</c:v>
                </c:pt>
                <c:pt idx="261">
                  <c:v>36.234999999999999</c:v>
                </c:pt>
                <c:pt idx="262">
                  <c:v>37.151000000000003</c:v>
                </c:pt>
                <c:pt idx="263">
                  <c:v>36.085000000000001</c:v>
                </c:pt>
                <c:pt idx="264">
                  <c:v>34.875999999999998</c:v>
                </c:pt>
                <c:pt idx="265">
                  <c:v>22.462</c:v>
                </c:pt>
                <c:pt idx="266">
                  <c:v>15.074</c:v>
                </c:pt>
                <c:pt idx="267">
                  <c:v>25.178000000000001</c:v>
                </c:pt>
                <c:pt idx="268">
                  <c:v>27.033999999999999</c:v>
                </c:pt>
                <c:pt idx="269">
                  <c:v>13.207000000000001</c:v>
                </c:pt>
                <c:pt idx="270">
                  <c:v>15.538</c:v>
                </c:pt>
                <c:pt idx="271">
                  <c:v>20.772000000000002</c:v>
                </c:pt>
                <c:pt idx="272">
                  <c:v>23.993000000000002</c:v>
                </c:pt>
                <c:pt idx="273">
                  <c:v>28.869</c:v>
                </c:pt>
                <c:pt idx="274">
                  <c:v>30.493000000000002</c:v>
                </c:pt>
                <c:pt idx="275">
                  <c:v>28.765000000000001</c:v>
                </c:pt>
                <c:pt idx="276">
                  <c:v>30.751000000000001</c:v>
                </c:pt>
                <c:pt idx="277">
                  <c:v>31.05</c:v>
                </c:pt>
                <c:pt idx="278">
                  <c:v>13.339</c:v>
                </c:pt>
                <c:pt idx="279">
                  <c:v>22.899000000000001</c:v>
                </c:pt>
                <c:pt idx="280">
                  <c:v>14.02</c:v>
                </c:pt>
                <c:pt idx="281">
                  <c:v>28.311</c:v>
                </c:pt>
                <c:pt idx="282">
                  <c:v>24.173999999999999</c:v>
                </c:pt>
                <c:pt idx="283">
                  <c:v>20.891000000000002</c:v>
                </c:pt>
                <c:pt idx="284">
                  <c:v>22.529</c:v>
                </c:pt>
                <c:pt idx="285">
                  <c:v>18.576000000000001</c:v>
                </c:pt>
                <c:pt idx="286">
                  <c:v>15.584</c:v>
                </c:pt>
                <c:pt idx="287">
                  <c:v>26.393000000000001</c:v>
                </c:pt>
                <c:pt idx="288">
                  <c:v>24.541</c:v>
                </c:pt>
                <c:pt idx="289">
                  <c:v>15.634</c:v>
                </c:pt>
                <c:pt idx="290">
                  <c:v>24.43</c:v>
                </c:pt>
                <c:pt idx="291">
                  <c:v>13.204000000000001</c:v>
                </c:pt>
                <c:pt idx="292">
                  <c:v>8.3460000000000001</c:v>
                </c:pt>
                <c:pt idx="293">
                  <c:v>14.589</c:v>
                </c:pt>
                <c:pt idx="294">
                  <c:v>25.846</c:v>
                </c:pt>
                <c:pt idx="295">
                  <c:v>17.457000000000001</c:v>
                </c:pt>
                <c:pt idx="296">
                  <c:v>20.626000000000001</c:v>
                </c:pt>
                <c:pt idx="297">
                  <c:v>19.053000000000001</c:v>
                </c:pt>
                <c:pt idx="298">
                  <c:v>15.084</c:v>
                </c:pt>
                <c:pt idx="299">
                  <c:v>12.048</c:v>
                </c:pt>
                <c:pt idx="300">
                  <c:v>16.384</c:v>
                </c:pt>
                <c:pt idx="301">
                  <c:v>20.785</c:v>
                </c:pt>
                <c:pt idx="302">
                  <c:v>17.899000000000001</c:v>
                </c:pt>
                <c:pt idx="303">
                  <c:v>17.417999999999999</c:v>
                </c:pt>
                <c:pt idx="304">
                  <c:v>16.423999999999999</c:v>
                </c:pt>
                <c:pt idx="305">
                  <c:v>22.218</c:v>
                </c:pt>
                <c:pt idx="306">
                  <c:v>5.8420000000000005</c:v>
                </c:pt>
                <c:pt idx="307">
                  <c:v>12.067</c:v>
                </c:pt>
                <c:pt idx="308">
                  <c:v>21.105</c:v>
                </c:pt>
                <c:pt idx="309">
                  <c:v>21.13</c:v>
                </c:pt>
                <c:pt idx="310">
                  <c:v>20.961000000000002</c:v>
                </c:pt>
                <c:pt idx="311">
                  <c:v>13.845000000000001</c:v>
                </c:pt>
                <c:pt idx="312">
                  <c:v>8.18</c:v>
                </c:pt>
                <c:pt idx="313">
                  <c:v>18.385000000000002</c:v>
                </c:pt>
                <c:pt idx="314">
                  <c:v>18.93</c:v>
                </c:pt>
                <c:pt idx="315">
                  <c:v>18.772000000000002</c:v>
                </c:pt>
                <c:pt idx="316">
                  <c:v>16.641000000000002</c:v>
                </c:pt>
                <c:pt idx="317">
                  <c:v>9.5980000000000008</c:v>
                </c:pt>
                <c:pt idx="318">
                  <c:v>11.686</c:v>
                </c:pt>
                <c:pt idx="319">
                  <c:v>18.298999999999999</c:v>
                </c:pt>
                <c:pt idx="320">
                  <c:v>12.005000000000001</c:v>
                </c:pt>
                <c:pt idx="321">
                  <c:v>11.348000000000001</c:v>
                </c:pt>
                <c:pt idx="322">
                  <c:v>8.3409999999999993</c:v>
                </c:pt>
                <c:pt idx="323">
                  <c:v>13.629</c:v>
                </c:pt>
                <c:pt idx="324">
                  <c:v>3.2509999999999999</c:v>
                </c:pt>
                <c:pt idx="325">
                  <c:v>8.6059999999999999</c:v>
                </c:pt>
                <c:pt idx="326">
                  <c:v>12.782999999999999</c:v>
                </c:pt>
                <c:pt idx="327">
                  <c:v>11.544</c:v>
                </c:pt>
                <c:pt idx="328">
                  <c:v>4.7309999999999999</c:v>
                </c:pt>
                <c:pt idx="329">
                  <c:v>10.143000000000001</c:v>
                </c:pt>
                <c:pt idx="330">
                  <c:v>12.02</c:v>
                </c:pt>
                <c:pt idx="331">
                  <c:v>9.463000000000001</c:v>
                </c:pt>
                <c:pt idx="332">
                  <c:v>10.695</c:v>
                </c:pt>
                <c:pt idx="333">
                  <c:v>4.3369999999999997</c:v>
                </c:pt>
                <c:pt idx="334">
                  <c:v>3.7480000000000002</c:v>
                </c:pt>
                <c:pt idx="335">
                  <c:v>5.1660000000000004</c:v>
                </c:pt>
                <c:pt idx="336">
                  <c:v>8.1020000000000003</c:v>
                </c:pt>
                <c:pt idx="337">
                  <c:v>13.736000000000001</c:v>
                </c:pt>
                <c:pt idx="338">
                  <c:v>16.091000000000001</c:v>
                </c:pt>
                <c:pt idx="339">
                  <c:v>11.532999999999999</c:v>
                </c:pt>
                <c:pt idx="340">
                  <c:v>14.173999999999999</c:v>
                </c:pt>
                <c:pt idx="341">
                  <c:v>4.2270000000000003</c:v>
                </c:pt>
                <c:pt idx="342">
                  <c:v>8.0500000000000007</c:v>
                </c:pt>
                <c:pt idx="343">
                  <c:v>11.782</c:v>
                </c:pt>
                <c:pt idx="344">
                  <c:v>12.332000000000001</c:v>
                </c:pt>
                <c:pt idx="345">
                  <c:v>4.28</c:v>
                </c:pt>
                <c:pt idx="346">
                  <c:v>5.149</c:v>
                </c:pt>
                <c:pt idx="347">
                  <c:v>12.117000000000001</c:v>
                </c:pt>
                <c:pt idx="348">
                  <c:v>5.9379999999999997</c:v>
                </c:pt>
                <c:pt idx="349">
                  <c:v>5.2410000000000005</c:v>
                </c:pt>
                <c:pt idx="350">
                  <c:v>3.2469999999999999</c:v>
                </c:pt>
                <c:pt idx="351">
                  <c:v>12.638</c:v>
                </c:pt>
                <c:pt idx="352">
                  <c:v>12.391999999999999</c:v>
                </c:pt>
                <c:pt idx="353">
                  <c:v>3.9380000000000002</c:v>
                </c:pt>
                <c:pt idx="354">
                  <c:v>14.356</c:v>
                </c:pt>
                <c:pt idx="355">
                  <c:v>12.734</c:v>
                </c:pt>
                <c:pt idx="356">
                  <c:v>13.343</c:v>
                </c:pt>
                <c:pt idx="357">
                  <c:v>15.194000000000001</c:v>
                </c:pt>
                <c:pt idx="358">
                  <c:v>8.59</c:v>
                </c:pt>
                <c:pt idx="359">
                  <c:v>13.361000000000001</c:v>
                </c:pt>
                <c:pt idx="360">
                  <c:v>6.367</c:v>
                </c:pt>
                <c:pt idx="361">
                  <c:v>14.171000000000001</c:v>
                </c:pt>
                <c:pt idx="362">
                  <c:v>9.5250000000000004</c:v>
                </c:pt>
                <c:pt idx="363">
                  <c:v>12.11</c:v>
                </c:pt>
                <c:pt idx="364">
                  <c:v>9.4570000000000007</c:v>
                </c:pt>
                <c:pt idx="365">
                  <c:v>3.6450000000000005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'2022'!$W$14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6600104"/>
        <c:axId val="476599712"/>
      </c:lineChart>
      <c:dateAx>
        <c:axId val="476600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599712"/>
        <c:crosses val="autoZero"/>
        <c:auto val="1"/>
        <c:lblOffset val="100"/>
        <c:baseTimeUnit val="days"/>
        <c:majorUnit val="1"/>
        <c:majorTimeUnit val="months"/>
      </c:dateAx>
      <c:valAx>
        <c:axId val="47659971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60010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15.368271929612888</c:v>
                </c:pt>
                <c:pt idx="1">
                  <c:v>15.486785998948809</c:v>
                </c:pt>
                <c:pt idx="2">
                  <c:v>15.613169812319768</c:v>
                </c:pt>
                <c:pt idx="3">
                  <c:v>15.747199171306381</c:v>
                </c:pt>
                <c:pt idx="4">
                  <c:v>15.888649825259945</c:v>
                </c:pt>
                <c:pt idx="5">
                  <c:v>16.037297465462007</c:v>
                </c:pt>
                <c:pt idx="6">
                  <c:v>16.192917707213123</c:v>
                </c:pt>
                <c:pt idx="7">
                  <c:v>16.355286105888407</c:v>
                </c:pt>
                <c:pt idx="8">
                  <c:v>16.526156829019943</c:v>
                </c:pt>
                <c:pt idx="9">
                  <c:v>16.706799036926451</c:v>
                </c:pt>
                <c:pt idx="10">
                  <c:v>16.896352658946306</c:v>
                </c:pt>
                <c:pt idx="11">
                  <c:v>17.094181611499693</c:v>
                </c:pt>
                <c:pt idx="12">
                  <c:v>17.299649898223475</c:v>
                </c:pt>
                <c:pt idx="13">
                  <c:v>17.512121636726896</c:v>
                </c:pt>
                <c:pt idx="14">
                  <c:v>17.73096105457509</c:v>
                </c:pt>
                <c:pt idx="15">
                  <c:v>17.955615728424029</c:v>
                </c:pt>
                <c:pt idx="16">
                  <c:v>18.18546701173981</c:v>
                </c:pt>
                <c:pt idx="17">
                  <c:v>18.419879696171741</c:v>
                </c:pt>
                <c:pt idx="18">
                  <c:v>18.65821872137785</c:v>
                </c:pt>
                <c:pt idx="19">
                  <c:v>18.899844983369928</c:v>
                </c:pt>
                <c:pt idx="20">
                  <c:v>19.14411774621761</c:v>
                </c:pt>
                <c:pt idx="21">
                  <c:v>19.390399793345512</c:v>
                </c:pt>
                <c:pt idx="22">
                  <c:v>19.640266722204917</c:v>
                </c:pt>
                <c:pt idx="23">
                  <c:v>19.896103242437011</c:v>
                </c:pt>
                <c:pt idx="24">
                  <c:v>20.157829735244615</c:v>
                </c:pt>
                <c:pt idx="25">
                  <c:v>20.425155364146075</c:v>
                </c:pt>
                <c:pt idx="26">
                  <c:v>20.697789362364489</c:v>
                </c:pt>
                <c:pt idx="27">
                  <c:v>20.97544104215444</c:v>
                </c:pt>
                <c:pt idx="28">
                  <c:v>21.257819812775764</c:v>
                </c:pt>
                <c:pt idx="29">
                  <c:v>21.545386557585189</c:v>
                </c:pt>
                <c:pt idx="30">
                  <c:v>21.837766788176626</c:v>
                </c:pt>
                <c:pt idx="31">
                  <c:v>22.134669770326145</c:v>
                </c:pt>
                <c:pt idx="32">
                  <c:v>22.435804856378251</c:v>
                </c:pt>
                <c:pt idx="33">
                  <c:v>22.740881508838498</c:v>
                </c:pt>
                <c:pt idx="34">
                  <c:v>23.049609313201746</c:v>
                </c:pt>
                <c:pt idx="35">
                  <c:v>23.361697996894222</c:v>
                </c:pt>
                <c:pt idx="36">
                  <c:v>23.677369588428927</c:v>
                </c:pt>
                <c:pt idx="37">
                  <c:v>23.99702698701963</c:v>
                </c:pt>
                <c:pt idx="38">
                  <c:v>24.320186715963516</c:v>
                </c:pt>
                <c:pt idx="39">
                  <c:v>24.646943229707926</c:v>
                </c:pt>
                <c:pt idx="40">
                  <c:v>24.977391083239294</c:v>
                </c:pt>
                <c:pt idx="41">
                  <c:v>25.311624942437298</c:v>
                </c:pt>
                <c:pt idx="42">
                  <c:v>25.649739577529125</c:v>
                </c:pt>
                <c:pt idx="43">
                  <c:v>25.991041986245719</c:v>
                </c:pt>
                <c:pt idx="44">
                  <c:v>26.33487907417075</c:v>
                </c:pt>
                <c:pt idx="45">
                  <c:v>26.681347384062658</c:v>
                </c:pt>
                <c:pt idx="46">
                  <c:v>27.030543561403789</c:v>
                </c:pt>
                <c:pt idx="47">
                  <c:v>27.382564344164379</c:v>
                </c:pt>
                <c:pt idx="48">
                  <c:v>27.737506537794292</c:v>
                </c:pt>
                <c:pt idx="49">
                  <c:v>28.095467007130996</c:v>
                </c:pt>
                <c:pt idx="50">
                  <c:v>28.457134175987747</c:v>
                </c:pt>
                <c:pt idx="51">
                  <c:v>28.82234051942163</c:v>
                </c:pt>
                <c:pt idx="52">
                  <c:v>29.190779642732799</c:v>
                </c:pt>
                <c:pt idx="53">
                  <c:v>29.56207045794784</c:v>
                </c:pt>
                <c:pt idx="54">
                  <c:v>29.935830366850265</c:v>
                </c:pt>
                <c:pt idx="55">
                  <c:v>30.311676839517116</c:v>
                </c:pt>
                <c:pt idx="56">
                  <c:v>30.689227403316821</c:v>
                </c:pt>
                <c:pt idx="57">
                  <c:v>31.067846917153421</c:v>
                </c:pt>
                <c:pt idx="58">
                  <c:v>31.447935378151055</c:v>
                </c:pt>
                <c:pt idx="59">
                  <c:v>31.829108424661911</c:v>
                </c:pt>
                <c:pt idx="60">
                  <c:v>32.210981603567937</c:v>
                </c:pt>
                <c:pt idx="61">
                  <c:v>32.593170353433749</c:v>
                </c:pt>
                <c:pt idx="62">
                  <c:v>32.975289998759891</c:v>
                </c:pt>
                <c:pt idx="63">
                  <c:v>33.356955741085166</c:v>
                </c:pt>
                <c:pt idx="64">
                  <c:v>33.739986601087836</c:v>
                </c:pt>
                <c:pt idx="65">
                  <c:v>34.12603210917559</c:v>
                </c:pt>
                <c:pt idx="66">
                  <c:v>34.515049317826659</c:v>
                </c:pt>
                <c:pt idx="67">
                  <c:v>34.906459620356166</c:v>
                </c:pt>
                <c:pt idx="68">
                  <c:v>35.299684253641757</c:v>
                </c:pt>
                <c:pt idx="69">
                  <c:v>35.694144285651859</c:v>
                </c:pt>
                <c:pt idx="70">
                  <c:v>36.089260610414833</c:v>
                </c:pt>
                <c:pt idx="71">
                  <c:v>36.484592712875454</c:v>
                </c:pt>
                <c:pt idx="72">
                  <c:v>36.879820000603871</c:v>
                </c:pt>
                <c:pt idx="73">
                  <c:v>37.27436449441106</c:v>
                </c:pt>
                <c:pt idx="74">
                  <c:v>37.667648146806094</c:v>
                </c:pt>
                <c:pt idx="75">
                  <c:v>38.059092846863521</c:v>
                </c:pt>
                <c:pt idx="76">
                  <c:v>38.448120426552748</c:v>
                </c:pt>
                <c:pt idx="77">
                  <c:v>38.834152667146853</c:v>
                </c:pt>
                <c:pt idx="78">
                  <c:v>39.219706348116524</c:v>
                </c:pt>
                <c:pt idx="79">
                  <c:v>39.6072513786632</c:v>
                </c:pt>
                <c:pt idx="80">
                  <c:v>39.99606049419927</c:v>
                </c:pt>
                <c:pt idx="81">
                  <c:v>40.385363479936586</c:v>
                </c:pt>
                <c:pt idx="82">
                  <c:v>40.774390229888645</c:v>
                </c:pt>
                <c:pt idx="83">
                  <c:v>41.162370761396375</c:v>
                </c:pt>
                <c:pt idx="84">
                  <c:v>41.548535237984503</c:v>
                </c:pt>
                <c:pt idx="85">
                  <c:v>41.932169130278872</c:v>
                </c:pt>
                <c:pt idx="86">
                  <c:v>42.312364098914664</c:v>
                </c:pt>
                <c:pt idx="87">
                  <c:v>42.688350974848618</c:v>
                </c:pt>
                <c:pt idx="88">
                  <c:v>43.059360830901312</c:v>
                </c:pt>
                <c:pt idx="89">
                  <c:v>43.424625003787654</c:v>
                </c:pt>
                <c:pt idx="90">
                  <c:v>43.783375118663244</c:v>
                </c:pt>
                <c:pt idx="91">
                  <c:v>44.134843124079502</c:v>
                </c:pt>
                <c:pt idx="92">
                  <c:v>44.480794851044948</c:v>
                </c:pt>
                <c:pt idx="93">
                  <c:v>44.823402814606382</c:v>
                </c:pt>
                <c:pt idx="94">
                  <c:v>45.162293800939175</c:v>
                </c:pt>
                <c:pt idx="95">
                  <c:v>45.497177540677328</c:v>
                </c:pt>
                <c:pt idx="96">
                  <c:v>45.827763974638437</c:v>
                </c:pt>
                <c:pt idx="97">
                  <c:v>46.153763265495336</c:v>
                </c:pt>
                <c:pt idx="98">
                  <c:v>46.474885830085007</c:v>
                </c:pt>
                <c:pt idx="99">
                  <c:v>46.790919306155956</c:v>
                </c:pt>
                <c:pt idx="100">
                  <c:v>47.101518721226789</c:v>
                </c:pt>
                <c:pt idx="101">
                  <c:v>47.406395423418395</c:v>
                </c:pt>
                <c:pt idx="102">
                  <c:v>47.705261098417736</c:v>
                </c:pt>
                <c:pt idx="103">
                  <c:v>47.997827794585909</c:v>
                </c:pt>
                <c:pt idx="104">
                  <c:v>48.283807947663291</c:v>
                </c:pt>
                <c:pt idx="105">
                  <c:v>48.56291439744048</c:v>
                </c:pt>
                <c:pt idx="106">
                  <c:v>48.836196735427222</c:v>
                </c:pt>
                <c:pt idx="107">
                  <c:v>49.10474670068978</c:v>
                </c:pt>
                <c:pt idx="108">
                  <c:v>49.36818732529013</c:v>
                </c:pt>
                <c:pt idx="109">
                  <c:v>55.464089651955945</c:v>
                </c:pt>
                <c:pt idx="110">
                  <c:v>55.729118348360487</c:v>
                </c:pt>
                <c:pt idx="111">
                  <c:v>55.987470447608729</c:v>
                </c:pt>
                <c:pt idx="112">
                  <c:v>56.238835178292199</c:v>
                </c:pt>
                <c:pt idx="113">
                  <c:v>56.482818548949204</c:v>
                </c:pt>
                <c:pt idx="114">
                  <c:v>56.719022731232997</c:v>
                </c:pt>
                <c:pt idx="115">
                  <c:v>56.947138254657247</c:v>
                </c:pt>
                <c:pt idx="116">
                  <c:v>57.166856286277316</c:v>
                </c:pt>
                <c:pt idx="117">
                  <c:v>57.377868630635611</c:v>
                </c:pt>
                <c:pt idx="118">
                  <c:v>57.579867734149126</c:v>
                </c:pt>
                <c:pt idx="119">
                  <c:v>57.772546705518813</c:v>
                </c:pt>
                <c:pt idx="120">
                  <c:v>57.955475526134528</c:v>
                </c:pt>
                <c:pt idx="121">
                  <c:v>58.128557506115229</c:v>
                </c:pt>
                <c:pt idx="122">
                  <c:v>58.292180951372607</c:v>
                </c:pt>
                <c:pt idx="123">
                  <c:v>58.446781674571596</c:v>
                </c:pt>
                <c:pt idx="124">
                  <c:v>58.592794803301281</c:v>
                </c:pt>
                <c:pt idx="125">
                  <c:v>58.730654808208776</c:v>
                </c:pt>
                <c:pt idx="126">
                  <c:v>58.860795497857531</c:v>
                </c:pt>
                <c:pt idx="127">
                  <c:v>58.983559837664941</c:v>
                </c:pt>
                <c:pt idx="128">
                  <c:v>59.099464515990668</c:v>
                </c:pt>
                <c:pt idx="129">
                  <c:v>59.208940897329306</c:v>
                </c:pt>
                <c:pt idx="130">
                  <c:v>59.31241968684251</c:v>
                </c:pt>
                <c:pt idx="131">
                  <c:v>59.410330935723437</c:v>
                </c:pt>
                <c:pt idx="132">
                  <c:v>59.503104048262443</c:v>
                </c:pt>
                <c:pt idx="133">
                  <c:v>59.591167779013226</c:v>
                </c:pt>
                <c:pt idx="134">
                  <c:v>59.673210439845221</c:v>
                </c:pt>
                <c:pt idx="135">
                  <c:v>59.747829490855757</c:v>
                </c:pt>
                <c:pt idx="136">
                  <c:v>59.815514487616745</c:v>
                </c:pt>
                <c:pt idx="137">
                  <c:v>59.876591108623288</c:v>
                </c:pt>
                <c:pt idx="138">
                  <c:v>59.931384583905142</c:v>
                </c:pt>
                <c:pt idx="139">
                  <c:v>59.980219695835373</c:v>
                </c:pt>
                <c:pt idx="140">
                  <c:v>60.023420773044606</c:v>
                </c:pt>
                <c:pt idx="141">
                  <c:v>60.061270110865657</c:v>
                </c:pt>
                <c:pt idx="142">
                  <c:v>60.094185582492905</c:v>
                </c:pt>
                <c:pt idx="143">
                  <c:v>60.122491001558217</c:v>
                </c:pt>
                <c:pt idx="144">
                  <c:v>60.146509600103279</c:v>
                </c:pt>
                <c:pt idx="145">
                  <c:v>60.166564170261744</c:v>
                </c:pt>
                <c:pt idx="146">
                  <c:v>60.182977057713316</c:v>
                </c:pt>
                <c:pt idx="147">
                  <c:v>60.196070147998981</c:v>
                </c:pt>
                <c:pt idx="148">
                  <c:v>60.204925015996999</c:v>
                </c:pt>
                <c:pt idx="149">
                  <c:v>60.2085120017707</c:v>
                </c:pt>
                <c:pt idx="150">
                  <c:v>60.207075668076847</c:v>
                </c:pt>
                <c:pt idx="151">
                  <c:v>60.200835066966832</c:v>
                </c:pt>
                <c:pt idx="152">
                  <c:v>60.190008918436746</c:v>
                </c:pt>
                <c:pt idx="153">
                  <c:v>60.174815593523142</c:v>
                </c:pt>
                <c:pt idx="154">
                  <c:v>60.155473105798627</c:v>
                </c:pt>
                <c:pt idx="155">
                  <c:v>60.132188888167704</c:v>
                </c:pt>
                <c:pt idx="156">
                  <c:v>60.105222719790866</c:v>
                </c:pt>
                <c:pt idx="157">
                  <c:v>60.07479153958937</c:v>
                </c:pt>
                <c:pt idx="158">
                  <c:v>60.041111865071343</c:v>
                </c:pt>
                <c:pt idx="159">
                  <c:v>60.004399777974498</c:v>
                </c:pt>
                <c:pt idx="160">
                  <c:v>59.964870910546317</c:v>
                </c:pt>
                <c:pt idx="161">
                  <c:v>59.922740431186313</c:v>
                </c:pt>
                <c:pt idx="162">
                  <c:v>59.87725123392287</c:v>
                </c:pt>
                <c:pt idx="163">
                  <c:v>59.827643798071719</c:v>
                </c:pt>
                <c:pt idx="164">
                  <c:v>59.774179623815144</c:v>
                </c:pt>
                <c:pt idx="165">
                  <c:v>59.717074761023568</c:v>
                </c:pt>
                <c:pt idx="166">
                  <c:v>59.656544714282646</c:v>
                </c:pt>
                <c:pt idx="167">
                  <c:v>59.592804431750835</c:v>
                </c:pt>
                <c:pt idx="168">
                  <c:v>59.526068295085111</c:v>
                </c:pt>
                <c:pt idx="169">
                  <c:v>59.456546269430021</c:v>
                </c:pt>
                <c:pt idx="170">
                  <c:v>59.384462281254748</c:v>
                </c:pt>
                <c:pt idx="171">
                  <c:v>59.310028989883662</c:v>
                </c:pt>
                <c:pt idx="172">
                  <c:v>59.233458462525491</c:v>
                </c:pt>
                <c:pt idx="173">
                  <c:v>59.154962242389274</c:v>
                </c:pt>
                <c:pt idx="174">
                  <c:v>59.074751280905488</c:v>
                </c:pt>
                <c:pt idx="175">
                  <c:v>58.993035874910206</c:v>
                </c:pt>
                <c:pt idx="176">
                  <c:v>58.909956738192406</c:v>
                </c:pt>
                <c:pt idx="177">
                  <c:v>58.825367189773971</c:v>
                </c:pt>
                <c:pt idx="178">
                  <c:v>58.739066680035187</c:v>
                </c:pt>
                <c:pt idx="179">
                  <c:v>58.650850734936085</c:v>
                </c:pt>
                <c:pt idx="180">
                  <c:v>58.560514991761089</c:v>
                </c:pt>
                <c:pt idx="181">
                  <c:v>58.467855200010455</c:v>
                </c:pt>
                <c:pt idx="182">
                  <c:v>58.372667221693789</c:v>
                </c:pt>
                <c:pt idx="183">
                  <c:v>58.274699206020706</c:v>
                </c:pt>
                <c:pt idx="184">
                  <c:v>58.173751215252537</c:v>
                </c:pt>
                <c:pt idx="185">
                  <c:v>58.069619249362013</c:v>
                </c:pt>
                <c:pt idx="186">
                  <c:v>57.96209945996813</c:v>
                </c:pt>
                <c:pt idx="187">
                  <c:v>57.850988157708258</c:v>
                </c:pt>
                <c:pt idx="188">
                  <c:v>57.7360818193185</c:v>
                </c:pt>
                <c:pt idx="189">
                  <c:v>57.617177100834105</c:v>
                </c:pt>
                <c:pt idx="190">
                  <c:v>57.494139450111099</c:v>
                </c:pt>
                <c:pt idx="191">
                  <c:v>57.36706380804592</c:v>
                </c:pt>
                <c:pt idx="192">
                  <c:v>57.236169612778724</c:v>
                </c:pt>
                <c:pt idx="193">
                  <c:v>57.101664469422424</c:v>
                </c:pt>
                <c:pt idx="194">
                  <c:v>56.963755595155988</c:v>
                </c:pt>
                <c:pt idx="195">
                  <c:v>56.822649829022254</c:v>
                </c:pt>
                <c:pt idx="196">
                  <c:v>56.678553655806773</c:v>
                </c:pt>
                <c:pt idx="197">
                  <c:v>56.53163965169103</c:v>
                </c:pt>
                <c:pt idx="198">
                  <c:v>56.382162525633476</c:v>
                </c:pt>
                <c:pt idx="199">
                  <c:v>56.230327721477991</c:v>
                </c:pt>
                <c:pt idx="200">
                  <c:v>56.076340395391675</c:v>
                </c:pt>
                <c:pt idx="201">
                  <c:v>55.920405433511476</c:v>
                </c:pt>
                <c:pt idx="202">
                  <c:v>55.762727460898326</c:v>
                </c:pt>
                <c:pt idx="203">
                  <c:v>55.603510859646661</c:v>
                </c:pt>
                <c:pt idx="204">
                  <c:v>55.442891586817247</c:v>
                </c:pt>
                <c:pt idx="205">
                  <c:v>55.280619866523708</c:v>
                </c:pt>
                <c:pt idx="206">
                  <c:v>55.116535798680658</c:v>
                </c:pt>
                <c:pt idx="207">
                  <c:v>54.950434575383497</c:v>
                </c:pt>
                <c:pt idx="208">
                  <c:v>54.782111818292819</c:v>
                </c:pt>
                <c:pt idx="209">
                  <c:v>54.611363577918461</c:v>
                </c:pt>
                <c:pt idx="210">
                  <c:v>54.437986330802133</c:v>
                </c:pt>
                <c:pt idx="211">
                  <c:v>54.261606671378566</c:v>
                </c:pt>
                <c:pt idx="212">
                  <c:v>54.08205667092399</c:v>
                </c:pt>
                <c:pt idx="213">
                  <c:v>53.899134200381468</c:v>
                </c:pt>
                <c:pt idx="214">
                  <c:v>53.712637544507288</c:v>
                </c:pt>
                <c:pt idx="215">
                  <c:v>53.522365386359276</c:v>
                </c:pt>
                <c:pt idx="216">
                  <c:v>53.328116811877443</c:v>
                </c:pt>
                <c:pt idx="217">
                  <c:v>53.129691291865086</c:v>
                </c:pt>
                <c:pt idx="218">
                  <c:v>52.928280372010242</c:v>
                </c:pt>
                <c:pt idx="219">
                  <c:v>52.724844697938593</c:v>
                </c:pt>
                <c:pt idx="220">
                  <c:v>52.51909290660587</c:v>
                </c:pt>
                <c:pt idx="221">
                  <c:v>52.310620095201486</c:v>
                </c:pt>
                <c:pt idx="222">
                  <c:v>52.09902200281654</c:v>
                </c:pt>
                <c:pt idx="223">
                  <c:v>51.883895001720838</c:v>
                </c:pt>
                <c:pt idx="224">
                  <c:v>51.664836085524605</c:v>
                </c:pt>
                <c:pt idx="225">
                  <c:v>51.441501819947703</c:v>
                </c:pt>
                <c:pt idx="226">
                  <c:v>51.213661008810952</c:v>
                </c:pt>
                <c:pt idx="227">
                  <c:v>50.980912531865386</c:v>
                </c:pt>
                <c:pt idx="228">
                  <c:v>50.742855838848847</c:v>
                </c:pt>
                <c:pt idx="229">
                  <c:v>50.499090933383748</c:v>
                </c:pt>
                <c:pt idx="230">
                  <c:v>50.249218370930429</c:v>
                </c:pt>
                <c:pt idx="231">
                  <c:v>49.992839241792282</c:v>
                </c:pt>
                <c:pt idx="232">
                  <c:v>49.731007591342014</c:v>
                </c:pt>
                <c:pt idx="233">
                  <c:v>49.46502838323736</c:v>
                </c:pt>
                <c:pt idx="234">
                  <c:v>49.194797654874243</c:v>
                </c:pt>
                <c:pt idx="235">
                  <c:v>48.92011773782707</c:v>
                </c:pt>
                <c:pt idx="236">
                  <c:v>48.640791108984807</c:v>
                </c:pt>
                <c:pt idx="237">
                  <c:v>48.356620580740575</c:v>
                </c:pt>
                <c:pt idx="238">
                  <c:v>48.067409179731278</c:v>
                </c:pt>
                <c:pt idx="239">
                  <c:v>47.77308794575692</c:v>
                </c:pt>
                <c:pt idx="240">
                  <c:v>47.473401190878924</c:v>
                </c:pt>
                <c:pt idx="241">
                  <c:v>47.168152628865016</c:v>
                </c:pt>
                <c:pt idx="242">
                  <c:v>46.857146182204595</c:v>
                </c:pt>
                <c:pt idx="243">
                  <c:v>46.54018598064453</c:v>
                </c:pt>
                <c:pt idx="244">
                  <c:v>46.21707636001058</c:v>
                </c:pt>
                <c:pt idx="245">
                  <c:v>45.887621863910525</c:v>
                </c:pt>
                <c:pt idx="246">
                  <c:v>45.551038891227257</c:v>
                </c:pt>
                <c:pt idx="247">
                  <c:v>45.207105990076919</c:v>
                </c:pt>
                <c:pt idx="248">
                  <c:v>44.856216763375301</c:v>
                </c:pt>
                <c:pt idx="249">
                  <c:v>44.498881874986409</c:v>
                </c:pt>
                <c:pt idx="250">
                  <c:v>44.135611287878419</c:v>
                </c:pt>
                <c:pt idx="251">
                  <c:v>43.766914264333145</c:v>
                </c:pt>
                <c:pt idx="252">
                  <c:v>43.393299381791316</c:v>
                </c:pt>
                <c:pt idx="253">
                  <c:v>43.015370192250707</c:v>
                </c:pt>
                <c:pt idx="254">
                  <c:v>42.633505745242047</c:v>
                </c:pt>
                <c:pt idx="255">
                  <c:v>42.248212533849447</c:v>
                </c:pt>
                <c:pt idx="256">
                  <c:v>41.859996387036297</c:v>
                </c:pt>
                <c:pt idx="257">
                  <c:v>41.469362481086975</c:v>
                </c:pt>
                <c:pt idx="258">
                  <c:v>41.076815343296019</c:v>
                </c:pt>
                <c:pt idx="259">
                  <c:v>40.682858850955434</c:v>
                </c:pt>
                <c:pt idx="260">
                  <c:v>40.284782862129731</c:v>
                </c:pt>
                <c:pt idx="261">
                  <c:v>39.880311192899917</c:v>
                </c:pt>
                <c:pt idx="262">
                  <c:v>39.470261749537137</c:v>
                </c:pt>
                <c:pt idx="263">
                  <c:v>39.055542184538893</c:v>
                </c:pt>
                <c:pt idx="264">
                  <c:v>38.637058968195142</c:v>
                </c:pt>
                <c:pt idx="265">
                  <c:v>38.215715806199896</c:v>
                </c:pt>
                <c:pt idx="266">
                  <c:v>37.792416040193146</c:v>
                </c:pt>
                <c:pt idx="267">
                  <c:v>37.367804462667252</c:v>
                </c:pt>
                <c:pt idx="268">
                  <c:v>36.942687189801624</c:v>
                </c:pt>
                <c:pt idx="269">
                  <c:v>36.517964935068683</c:v>
                </c:pt>
                <c:pt idx="270">
                  <c:v>36.094537295231603</c:v>
                </c:pt>
                <c:pt idx="271">
                  <c:v>35.673302762288941</c:v>
                </c:pt>
                <c:pt idx="272">
                  <c:v>35.255158735889474</c:v>
                </c:pt>
                <c:pt idx="273">
                  <c:v>34.84100153979054</c:v>
                </c:pt>
                <c:pt idx="274">
                  <c:v>34.427308928077451</c:v>
                </c:pt>
                <c:pt idx="275">
                  <c:v>34.009845089071057</c:v>
                </c:pt>
                <c:pt idx="276">
                  <c:v>33.58944543564828</c:v>
                </c:pt>
                <c:pt idx="277">
                  <c:v>33.167107487831508</c:v>
                </c:pt>
                <c:pt idx="278">
                  <c:v>32.743827525479809</c:v>
                </c:pt>
                <c:pt idx="279">
                  <c:v>32.320600616600963</c:v>
                </c:pt>
                <c:pt idx="280">
                  <c:v>31.898420653567857</c:v>
                </c:pt>
                <c:pt idx="281">
                  <c:v>31.477755135355828</c:v>
                </c:pt>
                <c:pt idx="282">
                  <c:v>31.059855974317216</c:v>
                </c:pt>
                <c:pt idx="283">
                  <c:v>30.645713710668403</c:v>
                </c:pt>
                <c:pt idx="284">
                  <c:v>30.236317845738139</c:v>
                </c:pt>
                <c:pt idx="285">
                  <c:v>29.832656877688823</c:v>
                </c:pt>
                <c:pt idx="286">
                  <c:v>29.43571835943672</c:v>
                </c:pt>
                <c:pt idx="287">
                  <c:v>29.046488941215326</c:v>
                </c:pt>
                <c:pt idx="288">
                  <c:v>28.664110448786381</c:v>
                </c:pt>
                <c:pt idx="289">
                  <c:v>28.286566972247318</c:v>
                </c:pt>
                <c:pt idx="290">
                  <c:v>27.914339891844797</c:v>
                </c:pt>
                <c:pt idx="291">
                  <c:v>27.547122638426828</c:v>
                </c:pt>
                <c:pt idx="292">
                  <c:v>27.184608951101037</c:v>
                </c:pt>
                <c:pt idx="293">
                  <c:v>26.826492893283437</c:v>
                </c:pt>
                <c:pt idx="294">
                  <c:v>26.472468862649833</c:v>
                </c:pt>
                <c:pt idx="295">
                  <c:v>26.122219332937309</c:v>
                </c:pt>
                <c:pt idx="296">
                  <c:v>25.775959504611993</c:v>
                </c:pt>
                <c:pt idx="297">
                  <c:v>25.433379080075465</c:v>
                </c:pt>
                <c:pt idx="298">
                  <c:v>25.094172640176907</c:v>
                </c:pt>
                <c:pt idx="299">
                  <c:v>24.758035086580119</c:v>
                </c:pt>
                <c:pt idx="300">
                  <c:v>24.42466166204586</c:v>
                </c:pt>
                <c:pt idx="301">
                  <c:v>24.093747957320439</c:v>
                </c:pt>
                <c:pt idx="302">
                  <c:v>23.764873984307354</c:v>
                </c:pt>
                <c:pt idx="303">
                  <c:v>23.438649472339439</c:v>
                </c:pt>
                <c:pt idx="304">
                  <c:v>23.11576181246409</c:v>
                </c:pt>
                <c:pt idx="305">
                  <c:v>22.796603403392218</c:v>
                </c:pt>
                <c:pt idx="306">
                  <c:v>22.4815665606694</c:v>
                </c:pt>
                <c:pt idx="307">
                  <c:v>22.171043531366816</c:v>
                </c:pt>
                <c:pt idx="308">
                  <c:v>21.865426508642837</c:v>
                </c:pt>
                <c:pt idx="309">
                  <c:v>21.565705815209199</c:v>
                </c:pt>
                <c:pt idx="310">
                  <c:v>21.272286188913132</c:v>
                </c:pt>
                <c:pt idx="311">
                  <c:v>20.985560153714399</c:v>
                </c:pt>
                <c:pt idx="312">
                  <c:v>20.705920167311266</c:v>
                </c:pt>
                <c:pt idx="313">
                  <c:v>20.433758616911838</c:v>
                </c:pt>
                <c:pt idx="314">
                  <c:v>20.169467813188017</c:v>
                </c:pt>
                <c:pt idx="315">
                  <c:v>19.913439974509263</c:v>
                </c:pt>
                <c:pt idx="316">
                  <c:v>19.665720301287955</c:v>
                </c:pt>
                <c:pt idx="317">
                  <c:v>19.426224151183696</c:v>
                </c:pt>
                <c:pt idx="318">
                  <c:v>19.194083244410837</c:v>
                </c:pt>
                <c:pt idx="319">
                  <c:v>18.968996839939972</c:v>
                </c:pt>
                <c:pt idx="320">
                  <c:v>18.7506645697074</c:v>
                </c:pt>
                <c:pt idx="321">
                  <c:v>18.538786432717895</c:v>
                </c:pt>
                <c:pt idx="322">
                  <c:v>18.333062777423894</c:v>
                </c:pt>
                <c:pt idx="323">
                  <c:v>18.133099563173072</c:v>
                </c:pt>
                <c:pt idx="324">
                  <c:v>17.937997839039404</c:v>
                </c:pt>
                <c:pt idx="325">
                  <c:v>17.747458883401627</c:v>
                </c:pt>
                <c:pt idx="326">
                  <c:v>17.561191433589123</c:v>
                </c:pt>
                <c:pt idx="327">
                  <c:v>17.378900030940841</c:v>
                </c:pt>
                <c:pt idx="328">
                  <c:v>17.20028376098529</c:v>
                </c:pt>
                <c:pt idx="329">
                  <c:v>17.02504202099977</c:v>
                </c:pt>
                <c:pt idx="330">
                  <c:v>16.851688314308866</c:v>
                </c:pt>
                <c:pt idx="331">
                  <c:v>16.679480177330991</c:v>
                </c:pt>
                <c:pt idx="332">
                  <c:v>16.508971697863629</c:v>
                </c:pt>
                <c:pt idx="333">
                  <c:v>16.341049345161061</c:v>
                </c:pt>
                <c:pt idx="334">
                  <c:v>16.176598946905219</c:v>
                </c:pt>
                <c:pt idx="335">
                  <c:v>16.016505667243344</c:v>
                </c:pt>
                <c:pt idx="336">
                  <c:v>15.861653967251874</c:v>
                </c:pt>
                <c:pt idx="337">
                  <c:v>15.713197552955647</c:v>
                </c:pt>
                <c:pt idx="338">
                  <c:v>15.572113825526699</c:v>
                </c:pt>
                <c:pt idx="339">
                  <c:v>15.439284772548119</c:v>
                </c:pt>
                <c:pt idx="340">
                  <c:v>15.315591571529168</c:v>
                </c:pt>
                <c:pt idx="341">
                  <c:v>15.201914572157751</c:v>
                </c:pt>
                <c:pt idx="342">
                  <c:v>15.099133286218173</c:v>
                </c:pt>
                <c:pt idx="343">
                  <c:v>15.008126366659525</c:v>
                </c:pt>
                <c:pt idx="344">
                  <c:v>14.927315619758328</c:v>
                </c:pt>
                <c:pt idx="345">
                  <c:v>14.854606409777714</c:v>
                </c:pt>
                <c:pt idx="346">
                  <c:v>14.790294806135762</c:v>
                </c:pt>
                <c:pt idx="347">
                  <c:v>14.734483808298013</c:v>
                </c:pt>
                <c:pt idx="348">
                  <c:v>14.6872762872918</c:v>
                </c:pt>
                <c:pt idx="349">
                  <c:v>14.648774993950845</c:v>
                </c:pt>
                <c:pt idx="350">
                  <c:v>14.619082561964941</c:v>
                </c:pt>
                <c:pt idx="351">
                  <c:v>14.598446469091058</c:v>
                </c:pt>
                <c:pt idx="352">
                  <c:v>14.586699778412338</c:v>
                </c:pt>
                <c:pt idx="353">
                  <c:v>14.583944832549854</c:v>
                </c:pt>
                <c:pt idx="354">
                  <c:v>14.590283872158778</c:v>
                </c:pt>
                <c:pt idx="355">
                  <c:v>14.60581902298293</c:v>
                </c:pt>
                <c:pt idx="356">
                  <c:v>14.630656336377983</c:v>
                </c:pt>
                <c:pt idx="357">
                  <c:v>14.664895468435548</c:v>
                </c:pt>
                <c:pt idx="358">
                  <c:v>14.708906695964959</c:v>
                </c:pt>
                <c:pt idx="359">
                  <c:v>14.762833404596284</c:v>
                </c:pt>
                <c:pt idx="360">
                  <c:v>14.826712461219817</c:v>
                </c:pt>
                <c:pt idx="361">
                  <c:v>14.900166620424692</c:v>
                </c:pt>
                <c:pt idx="362">
                  <c:v>14.982963804312424</c:v>
                </c:pt>
                <c:pt idx="363">
                  <c:v>15.074872131855106</c:v>
                </c:pt>
                <c:pt idx="364">
                  <c:v>15.175659908347008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9.6940000000000008</c:v>
                </c:pt>
                <c:pt idx="1">
                  <c:v>3.641</c:v>
                </c:pt>
                <c:pt idx="2">
                  <c:v>15.146000000000001</c:v>
                </c:pt>
                <c:pt idx="3">
                  <c:v>14.407999999999999</c:v>
                </c:pt>
                <c:pt idx="4">
                  <c:v>3.0030000000000001</c:v>
                </c:pt>
                <c:pt idx="5">
                  <c:v>6.7480000000000002</c:v>
                </c:pt>
                <c:pt idx="6">
                  <c:v>9.7959999999999994</c:v>
                </c:pt>
                <c:pt idx="7">
                  <c:v>12.209</c:v>
                </c:pt>
                <c:pt idx="8">
                  <c:v>4.7060000000000004</c:v>
                </c:pt>
                <c:pt idx="9">
                  <c:v>4.3490000000000002</c:v>
                </c:pt>
                <c:pt idx="10">
                  <c:v>5.8230000000000004</c:v>
                </c:pt>
                <c:pt idx="11">
                  <c:v>11.917</c:v>
                </c:pt>
                <c:pt idx="12">
                  <c:v>11.734999999999999</c:v>
                </c:pt>
                <c:pt idx="13">
                  <c:v>8.9939999999999998</c:v>
                </c:pt>
                <c:pt idx="14">
                  <c:v>13.046000000000001</c:v>
                </c:pt>
                <c:pt idx="15">
                  <c:v>12.416</c:v>
                </c:pt>
                <c:pt idx="16">
                  <c:v>5.7030000000000003</c:v>
                </c:pt>
                <c:pt idx="17">
                  <c:v>17.900000000000002</c:v>
                </c:pt>
                <c:pt idx="18">
                  <c:v>18.187999999999999</c:v>
                </c:pt>
                <c:pt idx="19">
                  <c:v>5.6420000000000003</c:v>
                </c:pt>
                <c:pt idx="20">
                  <c:v>10.298999999999999</c:v>
                </c:pt>
                <c:pt idx="21">
                  <c:v>5.2090000000000005</c:v>
                </c:pt>
                <c:pt idx="22">
                  <c:v>8.3689999999999998</c:v>
                </c:pt>
                <c:pt idx="23">
                  <c:v>13.127000000000001</c:v>
                </c:pt>
                <c:pt idx="24">
                  <c:v>6.49</c:v>
                </c:pt>
                <c:pt idx="25">
                  <c:v>14.714</c:v>
                </c:pt>
                <c:pt idx="26">
                  <c:v>6.0360000000000005</c:v>
                </c:pt>
                <c:pt idx="27">
                  <c:v>14.030000000000001</c:v>
                </c:pt>
                <c:pt idx="28">
                  <c:v>11.552</c:v>
                </c:pt>
                <c:pt idx="29">
                  <c:v>6.7320000000000002</c:v>
                </c:pt>
                <c:pt idx="30">
                  <c:v>8.0609999999999999</c:v>
                </c:pt>
                <c:pt idx="31">
                  <c:v>9.1140000000000008</c:v>
                </c:pt>
                <c:pt idx="32">
                  <c:v>20.164999999999999</c:v>
                </c:pt>
                <c:pt idx="33">
                  <c:v>16.405999999999999</c:v>
                </c:pt>
                <c:pt idx="34">
                  <c:v>13.152000000000001</c:v>
                </c:pt>
                <c:pt idx="35">
                  <c:v>8.6150000000000002</c:v>
                </c:pt>
                <c:pt idx="36">
                  <c:v>7.1779999999999999</c:v>
                </c:pt>
                <c:pt idx="37">
                  <c:v>17.277999999999999</c:v>
                </c:pt>
                <c:pt idx="38">
                  <c:v>3.7760000000000002</c:v>
                </c:pt>
                <c:pt idx="39">
                  <c:v>11.749000000000001</c:v>
                </c:pt>
                <c:pt idx="40">
                  <c:v>12.111000000000001</c:v>
                </c:pt>
                <c:pt idx="41">
                  <c:v>22.641000000000002</c:v>
                </c:pt>
                <c:pt idx="42">
                  <c:v>3.96</c:v>
                </c:pt>
                <c:pt idx="43">
                  <c:v>7.5949999999999998</c:v>
                </c:pt>
                <c:pt idx="44">
                  <c:v>24.530999999999999</c:v>
                </c:pt>
                <c:pt idx="45">
                  <c:v>25.387</c:v>
                </c:pt>
                <c:pt idx="46">
                  <c:v>24.269000000000002</c:v>
                </c:pt>
                <c:pt idx="47">
                  <c:v>25.754000000000001</c:v>
                </c:pt>
                <c:pt idx="48">
                  <c:v>12.734</c:v>
                </c:pt>
                <c:pt idx="49">
                  <c:v>27.277000000000001</c:v>
                </c:pt>
                <c:pt idx="50">
                  <c:v>23.471</c:v>
                </c:pt>
                <c:pt idx="51">
                  <c:v>9.1300000000000008</c:v>
                </c:pt>
                <c:pt idx="52">
                  <c:v>7.4939999999999998</c:v>
                </c:pt>
                <c:pt idx="53">
                  <c:v>24.658000000000001</c:v>
                </c:pt>
                <c:pt idx="54">
                  <c:v>28.626000000000001</c:v>
                </c:pt>
                <c:pt idx="55">
                  <c:v>27.233000000000001</c:v>
                </c:pt>
                <c:pt idx="56">
                  <c:v>8.0190000000000001</c:v>
                </c:pt>
                <c:pt idx="57">
                  <c:v>30.206</c:v>
                </c:pt>
                <c:pt idx="58">
                  <c:v>26.405999999999999</c:v>
                </c:pt>
                <c:pt idx="59">
                  <c:v>28.622</c:v>
                </c:pt>
                <c:pt idx="60">
                  <c:v>13.72</c:v>
                </c:pt>
                <c:pt idx="61">
                  <c:v>15.528</c:v>
                </c:pt>
                <c:pt idx="62">
                  <c:v>25.321000000000002</c:v>
                </c:pt>
                <c:pt idx="63">
                  <c:v>26.384</c:v>
                </c:pt>
                <c:pt idx="64">
                  <c:v>9.8759999999999994</c:v>
                </c:pt>
                <c:pt idx="65">
                  <c:v>9.8759999999999994</c:v>
                </c:pt>
                <c:pt idx="66">
                  <c:v>20.462</c:v>
                </c:pt>
                <c:pt idx="67">
                  <c:v>33.305999999999997</c:v>
                </c:pt>
                <c:pt idx="68">
                  <c:v>33.302999999999997</c:v>
                </c:pt>
                <c:pt idx="69">
                  <c:v>27.286000000000001</c:v>
                </c:pt>
                <c:pt idx="70">
                  <c:v>23.544</c:v>
                </c:pt>
                <c:pt idx="71">
                  <c:v>34.084000000000003</c:v>
                </c:pt>
                <c:pt idx="72">
                  <c:v>21.911000000000001</c:v>
                </c:pt>
                <c:pt idx="73">
                  <c:v>15.933</c:v>
                </c:pt>
                <c:pt idx="74">
                  <c:v>28.667999999999999</c:v>
                </c:pt>
                <c:pt idx="75">
                  <c:v>21.314</c:v>
                </c:pt>
                <c:pt idx="76">
                  <c:v>16.925000000000001</c:v>
                </c:pt>
                <c:pt idx="77">
                  <c:v>11.249000000000001</c:v>
                </c:pt>
                <c:pt idx="78">
                  <c:v>32.963999999999999</c:v>
                </c:pt>
                <c:pt idx="79">
                  <c:v>34.633000000000003</c:v>
                </c:pt>
                <c:pt idx="80">
                  <c:v>32.366999999999997</c:v>
                </c:pt>
                <c:pt idx="81">
                  <c:v>40.332000000000001</c:v>
                </c:pt>
                <c:pt idx="82">
                  <c:v>40.003999999999998</c:v>
                </c:pt>
                <c:pt idx="83">
                  <c:v>29.972000000000001</c:v>
                </c:pt>
                <c:pt idx="84">
                  <c:v>34.170999999999999</c:v>
                </c:pt>
                <c:pt idx="85">
                  <c:v>35.109000000000002</c:v>
                </c:pt>
                <c:pt idx="86">
                  <c:v>41.093000000000004</c:v>
                </c:pt>
                <c:pt idx="87">
                  <c:v>42.800000000000004</c:v>
                </c:pt>
                <c:pt idx="88">
                  <c:v>40.03</c:v>
                </c:pt>
                <c:pt idx="89">
                  <c:v>38.808999999999997</c:v>
                </c:pt>
                <c:pt idx="90">
                  <c:v>40.055</c:v>
                </c:pt>
                <c:pt idx="91">
                  <c:v>34.615000000000002</c:v>
                </c:pt>
                <c:pt idx="92">
                  <c:v>41.596000000000004</c:v>
                </c:pt>
                <c:pt idx="93">
                  <c:v>42.883000000000003</c:v>
                </c:pt>
                <c:pt idx="94">
                  <c:v>42.069000000000003</c:v>
                </c:pt>
                <c:pt idx="95">
                  <c:v>28.307000000000002</c:v>
                </c:pt>
                <c:pt idx="96">
                  <c:v>45.983000000000004</c:v>
                </c:pt>
                <c:pt idx="97">
                  <c:v>44.197000000000003</c:v>
                </c:pt>
                <c:pt idx="98">
                  <c:v>26.923999999999999</c:v>
                </c:pt>
                <c:pt idx="99">
                  <c:v>26.733000000000001</c:v>
                </c:pt>
                <c:pt idx="100">
                  <c:v>6.8520000000000003</c:v>
                </c:pt>
                <c:pt idx="101">
                  <c:v>38.105000000000004</c:v>
                </c:pt>
                <c:pt idx="102">
                  <c:v>42.017000000000003</c:v>
                </c:pt>
                <c:pt idx="103">
                  <c:v>47.728999999999999</c:v>
                </c:pt>
                <c:pt idx="104">
                  <c:v>47.686999999999998</c:v>
                </c:pt>
                <c:pt idx="105">
                  <c:v>39.49</c:v>
                </c:pt>
                <c:pt idx="106">
                  <c:v>45.006999999999998</c:v>
                </c:pt>
                <c:pt idx="107">
                  <c:v>30.34</c:v>
                </c:pt>
                <c:pt idx="108">
                  <c:v>48.005000000000003</c:v>
                </c:pt>
                <c:pt idx="109">
                  <c:v>38.661000000000001</c:v>
                </c:pt>
                <c:pt idx="110">
                  <c:v>52.526000000000003</c:v>
                </c:pt>
                <c:pt idx="111">
                  <c:v>56.244</c:v>
                </c:pt>
                <c:pt idx="112">
                  <c:v>55.462000000000003</c:v>
                </c:pt>
                <c:pt idx="113">
                  <c:v>51.889000000000003</c:v>
                </c:pt>
                <c:pt idx="114">
                  <c:v>27.455000000000002</c:v>
                </c:pt>
                <c:pt idx="115">
                  <c:v>6.3390000000000004</c:v>
                </c:pt>
                <c:pt idx="116">
                  <c:v>20.199000000000002</c:v>
                </c:pt>
                <c:pt idx="117">
                  <c:v>15.522</c:v>
                </c:pt>
                <c:pt idx="118">
                  <c:v>24.664000000000001</c:v>
                </c:pt>
                <c:pt idx="119">
                  <c:v>17.413</c:v>
                </c:pt>
                <c:pt idx="120">
                  <c:v>20.716000000000001</c:v>
                </c:pt>
                <c:pt idx="121">
                  <c:v>37.628</c:v>
                </c:pt>
                <c:pt idx="122">
                  <c:v>56.5</c:v>
                </c:pt>
                <c:pt idx="123">
                  <c:v>49.078000000000003</c:v>
                </c:pt>
                <c:pt idx="124">
                  <c:v>34.927999999999997</c:v>
                </c:pt>
                <c:pt idx="125">
                  <c:v>36.480000000000004</c:v>
                </c:pt>
                <c:pt idx="126">
                  <c:v>33.375999999999998</c:v>
                </c:pt>
                <c:pt idx="127">
                  <c:v>54.282000000000004</c:v>
                </c:pt>
                <c:pt idx="128">
                  <c:v>21.091000000000001</c:v>
                </c:pt>
                <c:pt idx="129">
                  <c:v>41.518999999999998</c:v>
                </c:pt>
                <c:pt idx="130">
                  <c:v>35.090000000000003</c:v>
                </c:pt>
                <c:pt idx="131">
                  <c:v>35.834000000000003</c:v>
                </c:pt>
                <c:pt idx="132">
                  <c:v>45.780999999999999</c:v>
                </c:pt>
                <c:pt idx="133">
                  <c:v>43.622999999999998</c:v>
                </c:pt>
                <c:pt idx="134">
                  <c:v>20.536999999999999</c:v>
                </c:pt>
                <c:pt idx="135">
                  <c:v>13.355</c:v>
                </c:pt>
                <c:pt idx="136">
                  <c:v>55.688000000000002</c:v>
                </c:pt>
                <c:pt idx="137">
                  <c:v>35.975000000000001</c:v>
                </c:pt>
                <c:pt idx="138">
                  <c:v>51.048999999999999</c:v>
                </c:pt>
                <c:pt idx="139">
                  <c:v>59.570999999999998</c:v>
                </c:pt>
                <c:pt idx="140">
                  <c:v>39.204999999999998</c:v>
                </c:pt>
                <c:pt idx="141">
                  <c:v>34.116</c:v>
                </c:pt>
                <c:pt idx="142">
                  <c:v>35.953000000000003</c:v>
                </c:pt>
                <c:pt idx="143">
                  <c:v>26.771000000000001</c:v>
                </c:pt>
                <c:pt idx="144">
                  <c:v>48.471000000000004</c:v>
                </c:pt>
                <c:pt idx="145">
                  <c:v>50.410000000000004</c:v>
                </c:pt>
                <c:pt idx="146">
                  <c:v>58.756</c:v>
                </c:pt>
                <c:pt idx="147">
                  <c:v>40.381</c:v>
                </c:pt>
                <c:pt idx="148">
                  <c:v>38.247999999999998</c:v>
                </c:pt>
                <c:pt idx="149">
                  <c:v>49.085999999999999</c:v>
                </c:pt>
                <c:pt idx="150">
                  <c:v>55.582999999999998</c:v>
                </c:pt>
                <c:pt idx="151">
                  <c:v>33.552</c:v>
                </c:pt>
                <c:pt idx="152">
                  <c:v>37.823</c:v>
                </c:pt>
                <c:pt idx="153">
                  <c:v>49.435000000000002</c:v>
                </c:pt>
                <c:pt idx="154">
                  <c:v>10.468999999999999</c:v>
                </c:pt>
                <c:pt idx="155">
                  <c:v>44.358000000000004</c:v>
                </c:pt>
                <c:pt idx="156">
                  <c:v>45.085000000000001</c:v>
                </c:pt>
                <c:pt idx="157">
                  <c:v>53.442999999999998</c:v>
                </c:pt>
                <c:pt idx="158">
                  <c:v>59.395000000000003</c:v>
                </c:pt>
                <c:pt idx="159">
                  <c:v>55.822000000000003</c:v>
                </c:pt>
                <c:pt idx="160">
                  <c:v>56.725000000000001</c:v>
                </c:pt>
                <c:pt idx="161">
                  <c:v>44.243000000000002</c:v>
                </c:pt>
                <c:pt idx="162">
                  <c:v>48.768000000000001</c:v>
                </c:pt>
                <c:pt idx="163">
                  <c:v>56.935000000000002</c:v>
                </c:pt>
                <c:pt idx="164">
                  <c:v>50.631999999999998</c:v>
                </c:pt>
                <c:pt idx="165">
                  <c:v>51.433</c:v>
                </c:pt>
                <c:pt idx="166">
                  <c:v>47.806000000000004</c:v>
                </c:pt>
                <c:pt idx="167">
                  <c:v>15.699</c:v>
                </c:pt>
                <c:pt idx="168">
                  <c:v>40.069000000000003</c:v>
                </c:pt>
                <c:pt idx="169">
                  <c:v>32.505000000000003</c:v>
                </c:pt>
                <c:pt idx="170">
                  <c:v>34.221000000000004</c:v>
                </c:pt>
                <c:pt idx="171">
                  <c:v>35.709000000000003</c:v>
                </c:pt>
                <c:pt idx="172">
                  <c:v>39.161999999999999</c:v>
                </c:pt>
                <c:pt idx="173">
                  <c:v>24.852</c:v>
                </c:pt>
                <c:pt idx="174">
                  <c:v>38.573</c:v>
                </c:pt>
                <c:pt idx="175">
                  <c:v>53.660000000000004</c:v>
                </c:pt>
                <c:pt idx="176">
                  <c:v>55.934000000000005</c:v>
                </c:pt>
                <c:pt idx="177">
                  <c:v>8.2379999999999995</c:v>
                </c:pt>
                <c:pt idx="178">
                  <c:v>24.722999999999999</c:v>
                </c:pt>
                <c:pt idx="179">
                  <c:v>37.445999999999998</c:v>
                </c:pt>
                <c:pt idx="180">
                  <c:v>48.052</c:v>
                </c:pt>
                <c:pt idx="181">
                  <c:v>54.118000000000002</c:v>
                </c:pt>
                <c:pt idx="182">
                  <c:v>52.317999999999998</c:v>
                </c:pt>
                <c:pt idx="183">
                  <c:v>33.305999999999997</c:v>
                </c:pt>
                <c:pt idx="184">
                  <c:v>34.670999999999999</c:v>
                </c:pt>
                <c:pt idx="185">
                  <c:v>57.122</c:v>
                </c:pt>
                <c:pt idx="186">
                  <c:v>21.157</c:v>
                </c:pt>
                <c:pt idx="187">
                  <c:v>35.736000000000004</c:v>
                </c:pt>
                <c:pt idx="188">
                  <c:v>50.313000000000002</c:v>
                </c:pt>
                <c:pt idx="189">
                  <c:v>56.79</c:v>
                </c:pt>
                <c:pt idx="190">
                  <c:v>49.432000000000002</c:v>
                </c:pt>
                <c:pt idx="191">
                  <c:v>48.47</c:v>
                </c:pt>
                <c:pt idx="192">
                  <c:v>13.351000000000001</c:v>
                </c:pt>
                <c:pt idx="193">
                  <c:v>29.574999999999999</c:v>
                </c:pt>
                <c:pt idx="194">
                  <c:v>30.906000000000002</c:v>
                </c:pt>
                <c:pt idx="195">
                  <c:v>36.911999999999999</c:v>
                </c:pt>
                <c:pt idx="196">
                  <c:v>39.752000000000002</c:v>
                </c:pt>
                <c:pt idx="197">
                  <c:v>55.93</c:v>
                </c:pt>
                <c:pt idx="198">
                  <c:v>50.512</c:v>
                </c:pt>
                <c:pt idx="199">
                  <c:v>55.09</c:v>
                </c:pt>
                <c:pt idx="200">
                  <c:v>43.725000000000001</c:v>
                </c:pt>
                <c:pt idx="201">
                  <c:v>45.905999999999999</c:v>
                </c:pt>
                <c:pt idx="202">
                  <c:v>51.035000000000004</c:v>
                </c:pt>
                <c:pt idx="203">
                  <c:v>41.771999999999998</c:v>
                </c:pt>
                <c:pt idx="204">
                  <c:v>32.413000000000004</c:v>
                </c:pt>
                <c:pt idx="205">
                  <c:v>35.039000000000001</c:v>
                </c:pt>
                <c:pt idx="206">
                  <c:v>33.027000000000001</c:v>
                </c:pt>
                <c:pt idx="207">
                  <c:v>45.777000000000001</c:v>
                </c:pt>
                <c:pt idx="208">
                  <c:v>26.85</c:v>
                </c:pt>
                <c:pt idx="209">
                  <c:v>51.692999999999998</c:v>
                </c:pt>
                <c:pt idx="210">
                  <c:v>17.55</c:v>
                </c:pt>
                <c:pt idx="211">
                  <c:v>12.67</c:v>
                </c:pt>
                <c:pt idx="212">
                  <c:v>44.197000000000003</c:v>
                </c:pt>
                <c:pt idx="213">
                  <c:v>51.238</c:v>
                </c:pt>
                <c:pt idx="214">
                  <c:v>34.192</c:v>
                </c:pt>
                <c:pt idx="215">
                  <c:v>32.395000000000003</c:v>
                </c:pt>
                <c:pt idx="216">
                  <c:v>45.670999999999999</c:v>
                </c:pt>
                <c:pt idx="217">
                  <c:v>19.554000000000002</c:v>
                </c:pt>
                <c:pt idx="218">
                  <c:v>22.836000000000002</c:v>
                </c:pt>
                <c:pt idx="219">
                  <c:v>33.94</c:v>
                </c:pt>
                <c:pt idx="220">
                  <c:v>50.850999999999999</c:v>
                </c:pt>
                <c:pt idx="221">
                  <c:v>46.613</c:v>
                </c:pt>
                <c:pt idx="222">
                  <c:v>46.283999999999999</c:v>
                </c:pt>
                <c:pt idx="223">
                  <c:v>44.838000000000001</c:v>
                </c:pt>
                <c:pt idx="224">
                  <c:v>30.603000000000002</c:v>
                </c:pt>
                <c:pt idx="225">
                  <c:v>44.997</c:v>
                </c:pt>
                <c:pt idx="226">
                  <c:v>20.007999999999999</c:v>
                </c:pt>
                <c:pt idx="227">
                  <c:v>30.35</c:v>
                </c:pt>
                <c:pt idx="228">
                  <c:v>39.215000000000003</c:v>
                </c:pt>
                <c:pt idx="229">
                  <c:v>48.224000000000004</c:v>
                </c:pt>
                <c:pt idx="230">
                  <c:v>43.695</c:v>
                </c:pt>
                <c:pt idx="231">
                  <c:v>47.02</c:v>
                </c:pt>
                <c:pt idx="232">
                  <c:v>43.865000000000002</c:v>
                </c:pt>
                <c:pt idx="233">
                  <c:v>18.937000000000001</c:v>
                </c:pt>
                <c:pt idx="234">
                  <c:v>44.185000000000002</c:v>
                </c:pt>
                <c:pt idx="235">
                  <c:v>41.091000000000001</c:v>
                </c:pt>
                <c:pt idx="236">
                  <c:v>43.957999999999998</c:v>
                </c:pt>
                <c:pt idx="237">
                  <c:v>45.865000000000002</c:v>
                </c:pt>
                <c:pt idx="238">
                  <c:v>41.984999999999999</c:v>
                </c:pt>
                <c:pt idx="239">
                  <c:v>47.134</c:v>
                </c:pt>
                <c:pt idx="240">
                  <c:v>46.454000000000001</c:v>
                </c:pt>
                <c:pt idx="241">
                  <c:v>44.889000000000003</c:v>
                </c:pt>
                <c:pt idx="242">
                  <c:v>44.777000000000001</c:v>
                </c:pt>
                <c:pt idx="243">
                  <c:v>27.41</c:v>
                </c:pt>
                <c:pt idx="244">
                  <c:v>20.096</c:v>
                </c:pt>
                <c:pt idx="245">
                  <c:v>26.44</c:v>
                </c:pt>
                <c:pt idx="246">
                  <c:v>38.380000000000003</c:v>
                </c:pt>
                <c:pt idx="247">
                  <c:v>39.279000000000003</c:v>
                </c:pt>
                <c:pt idx="248">
                  <c:v>42.808999999999997</c:v>
                </c:pt>
                <c:pt idx="249">
                  <c:v>33.24</c:v>
                </c:pt>
                <c:pt idx="250">
                  <c:v>28.942</c:v>
                </c:pt>
                <c:pt idx="251">
                  <c:v>17.519000000000002</c:v>
                </c:pt>
                <c:pt idx="252">
                  <c:v>36.542000000000002</c:v>
                </c:pt>
                <c:pt idx="253">
                  <c:v>36.712000000000003</c:v>
                </c:pt>
                <c:pt idx="254">
                  <c:v>40.073999999999998</c:v>
                </c:pt>
                <c:pt idx="255">
                  <c:v>28.632000000000001</c:v>
                </c:pt>
                <c:pt idx="256">
                  <c:v>18.204000000000001</c:v>
                </c:pt>
                <c:pt idx="257">
                  <c:v>26.949000000000002</c:v>
                </c:pt>
                <c:pt idx="258">
                  <c:v>20.657</c:v>
                </c:pt>
                <c:pt idx="259">
                  <c:v>38.264000000000003</c:v>
                </c:pt>
                <c:pt idx="260">
                  <c:v>8.2919999999999998</c:v>
                </c:pt>
                <c:pt idx="261">
                  <c:v>26.262</c:v>
                </c:pt>
                <c:pt idx="262">
                  <c:v>25.257000000000001</c:v>
                </c:pt>
                <c:pt idx="263">
                  <c:v>12.683</c:v>
                </c:pt>
                <c:pt idx="264">
                  <c:v>35.630000000000003</c:v>
                </c:pt>
                <c:pt idx="265">
                  <c:v>29.523</c:v>
                </c:pt>
                <c:pt idx="266">
                  <c:v>31.622</c:v>
                </c:pt>
                <c:pt idx="267">
                  <c:v>26.774000000000001</c:v>
                </c:pt>
                <c:pt idx="268">
                  <c:v>28.007999999999999</c:v>
                </c:pt>
                <c:pt idx="269">
                  <c:v>22.265000000000001</c:v>
                </c:pt>
                <c:pt idx="270">
                  <c:v>22.994</c:v>
                </c:pt>
                <c:pt idx="271">
                  <c:v>22.952999999999999</c:v>
                </c:pt>
                <c:pt idx="272">
                  <c:v>19.527999999999999</c:v>
                </c:pt>
                <c:pt idx="273">
                  <c:v>26.873000000000001</c:v>
                </c:pt>
                <c:pt idx="274">
                  <c:v>32.999000000000002</c:v>
                </c:pt>
                <c:pt idx="275">
                  <c:v>5.9610000000000003</c:v>
                </c:pt>
                <c:pt idx="276">
                  <c:v>30.236000000000001</c:v>
                </c:pt>
                <c:pt idx="277">
                  <c:v>11.391999999999999</c:v>
                </c:pt>
                <c:pt idx="278">
                  <c:v>27.939</c:v>
                </c:pt>
                <c:pt idx="279">
                  <c:v>32.383000000000003</c:v>
                </c:pt>
                <c:pt idx="280">
                  <c:v>31.577000000000002</c:v>
                </c:pt>
                <c:pt idx="281">
                  <c:v>14.040000000000001</c:v>
                </c:pt>
                <c:pt idx="282">
                  <c:v>21.03</c:v>
                </c:pt>
                <c:pt idx="283">
                  <c:v>30.654</c:v>
                </c:pt>
                <c:pt idx="284">
                  <c:v>29.843</c:v>
                </c:pt>
                <c:pt idx="285">
                  <c:v>28.673999999999999</c:v>
                </c:pt>
                <c:pt idx="286">
                  <c:v>30.28</c:v>
                </c:pt>
                <c:pt idx="287">
                  <c:v>26.427</c:v>
                </c:pt>
                <c:pt idx="288">
                  <c:v>27.669</c:v>
                </c:pt>
                <c:pt idx="289">
                  <c:v>25.927</c:v>
                </c:pt>
                <c:pt idx="290">
                  <c:v>26.995000000000001</c:v>
                </c:pt>
                <c:pt idx="291">
                  <c:v>25.779</c:v>
                </c:pt>
                <c:pt idx="292">
                  <c:v>20.817</c:v>
                </c:pt>
                <c:pt idx="293">
                  <c:v>9.918000000000001</c:v>
                </c:pt>
                <c:pt idx="294">
                  <c:v>11.723000000000001</c:v>
                </c:pt>
                <c:pt idx="295">
                  <c:v>26.516999999999999</c:v>
                </c:pt>
                <c:pt idx="296">
                  <c:v>26.676000000000002</c:v>
                </c:pt>
                <c:pt idx="297">
                  <c:v>25.524000000000001</c:v>
                </c:pt>
                <c:pt idx="298">
                  <c:v>18.208000000000002</c:v>
                </c:pt>
                <c:pt idx="299">
                  <c:v>25.305</c:v>
                </c:pt>
                <c:pt idx="300">
                  <c:v>24.492000000000001</c:v>
                </c:pt>
                <c:pt idx="301">
                  <c:v>14.891</c:v>
                </c:pt>
                <c:pt idx="302">
                  <c:v>10.71</c:v>
                </c:pt>
                <c:pt idx="303">
                  <c:v>15.945</c:v>
                </c:pt>
                <c:pt idx="304">
                  <c:v>14.865</c:v>
                </c:pt>
                <c:pt idx="305">
                  <c:v>22.253</c:v>
                </c:pt>
                <c:pt idx="306">
                  <c:v>14.064</c:v>
                </c:pt>
                <c:pt idx="307">
                  <c:v>12.248000000000001</c:v>
                </c:pt>
                <c:pt idx="308">
                  <c:v>10.967000000000001</c:v>
                </c:pt>
                <c:pt idx="309">
                  <c:v>16.545999999999999</c:v>
                </c:pt>
                <c:pt idx="310">
                  <c:v>8.8729999999999993</c:v>
                </c:pt>
                <c:pt idx="311">
                  <c:v>17.332000000000001</c:v>
                </c:pt>
                <c:pt idx="312">
                  <c:v>15.175000000000001</c:v>
                </c:pt>
                <c:pt idx="313">
                  <c:v>5.6959999999999997</c:v>
                </c:pt>
                <c:pt idx="314">
                  <c:v>7.9379999999999997</c:v>
                </c:pt>
                <c:pt idx="315">
                  <c:v>7.7620000000000005</c:v>
                </c:pt>
                <c:pt idx="316">
                  <c:v>5.4409999999999998</c:v>
                </c:pt>
                <c:pt idx="317">
                  <c:v>4.6850000000000005</c:v>
                </c:pt>
                <c:pt idx="318">
                  <c:v>5.8710000000000004</c:v>
                </c:pt>
                <c:pt idx="319">
                  <c:v>7.9169999999999998</c:v>
                </c:pt>
                <c:pt idx="320">
                  <c:v>2.8559999999999999</c:v>
                </c:pt>
                <c:pt idx="321">
                  <c:v>15.101000000000001</c:v>
                </c:pt>
                <c:pt idx="322">
                  <c:v>18.172000000000001</c:v>
                </c:pt>
                <c:pt idx="323">
                  <c:v>14.737</c:v>
                </c:pt>
                <c:pt idx="324">
                  <c:v>7.8289999999999997</c:v>
                </c:pt>
                <c:pt idx="325">
                  <c:v>13.764000000000001</c:v>
                </c:pt>
                <c:pt idx="326">
                  <c:v>10.104000000000001</c:v>
                </c:pt>
                <c:pt idx="327">
                  <c:v>0.99299999999999999</c:v>
                </c:pt>
                <c:pt idx="328">
                  <c:v>11.627000000000001</c:v>
                </c:pt>
                <c:pt idx="329">
                  <c:v>6.7160000000000002</c:v>
                </c:pt>
                <c:pt idx="330">
                  <c:v>9.4039999999999999</c:v>
                </c:pt>
                <c:pt idx="331">
                  <c:v>5.681</c:v>
                </c:pt>
                <c:pt idx="332">
                  <c:v>6.4290000000000003</c:v>
                </c:pt>
                <c:pt idx="333">
                  <c:v>16.058</c:v>
                </c:pt>
                <c:pt idx="334">
                  <c:v>4.2450000000000001</c:v>
                </c:pt>
                <c:pt idx="335">
                  <c:v>7.1390000000000002</c:v>
                </c:pt>
                <c:pt idx="336">
                  <c:v>11.233000000000001</c:v>
                </c:pt>
                <c:pt idx="337">
                  <c:v>5.8159999999999998</c:v>
                </c:pt>
                <c:pt idx="338">
                  <c:v>6.2350000000000003</c:v>
                </c:pt>
                <c:pt idx="339">
                  <c:v>8.8949999999999996</c:v>
                </c:pt>
                <c:pt idx="340">
                  <c:v>5.351</c:v>
                </c:pt>
                <c:pt idx="341">
                  <c:v>8.3759999999999994</c:v>
                </c:pt>
                <c:pt idx="342">
                  <c:v>7.0200000000000005</c:v>
                </c:pt>
                <c:pt idx="343">
                  <c:v>2.39</c:v>
                </c:pt>
                <c:pt idx="344">
                  <c:v>9.0969999999999995</c:v>
                </c:pt>
                <c:pt idx="345">
                  <c:v>14.519</c:v>
                </c:pt>
                <c:pt idx="346">
                  <c:v>14.739000000000001</c:v>
                </c:pt>
                <c:pt idx="347">
                  <c:v>14.703000000000001</c:v>
                </c:pt>
                <c:pt idx="348">
                  <c:v>14.256</c:v>
                </c:pt>
                <c:pt idx="349">
                  <c:v>14.348000000000001</c:v>
                </c:pt>
                <c:pt idx="350">
                  <c:v>14.338000000000001</c:v>
                </c:pt>
                <c:pt idx="351">
                  <c:v>14.623000000000001</c:v>
                </c:pt>
                <c:pt idx="352">
                  <c:v>14.279</c:v>
                </c:pt>
                <c:pt idx="353">
                  <c:v>14.923</c:v>
                </c:pt>
                <c:pt idx="354">
                  <c:v>12.535</c:v>
                </c:pt>
                <c:pt idx="355">
                  <c:v>14.135</c:v>
                </c:pt>
                <c:pt idx="356">
                  <c:v>5.45</c:v>
                </c:pt>
                <c:pt idx="357">
                  <c:v>8.6</c:v>
                </c:pt>
                <c:pt idx="358">
                  <c:v>8.06</c:v>
                </c:pt>
                <c:pt idx="359">
                  <c:v>9.5839999999999996</c:v>
                </c:pt>
                <c:pt idx="360">
                  <c:v>9.8140000000000001</c:v>
                </c:pt>
                <c:pt idx="361">
                  <c:v>5.0460000000000003</c:v>
                </c:pt>
                <c:pt idx="362">
                  <c:v>5.1290000000000004</c:v>
                </c:pt>
                <c:pt idx="363">
                  <c:v>12.805</c:v>
                </c:pt>
                <c:pt idx="364">
                  <c:v>14.612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6608728"/>
        <c:axId val="476609120"/>
      </c:lineChart>
      <c:dateAx>
        <c:axId val="476608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609120"/>
        <c:crosses val="autoZero"/>
        <c:auto val="1"/>
        <c:lblOffset val="100"/>
        <c:baseTimeUnit val="days"/>
        <c:majorUnit val="1"/>
        <c:majorTimeUnit val="months"/>
      </c:dateAx>
      <c:valAx>
        <c:axId val="47660912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60872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471508030408118"/>
          <c:h val="0.14979940361897107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'2018'!$V$14</c:f>
              <c:strCache>
                <c:ptCount val="1"/>
                <c:pt idx="0">
                  <c:v>Enveloppe 2018</c:v>
                </c:pt>
              </c:strCache>
            </c:strRef>
          </c:tx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'2018'!Env_an</c:f>
              <c:numCache>
                <c:formatCode>0.00</c:formatCode>
                <c:ptCount val="366"/>
                <c:pt idx="0">
                  <c:v>18.847767112827942</c:v>
                </c:pt>
                <c:pt idx="1">
                  <c:v>18.982285596803933</c:v>
                </c:pt>
                <c:pt idx="2">
                  <c:v>19.125742032914971</c:v>
                </c:pt>
                <c:pt idx="3">
                  <c:v>19.277874054856291</c:v>
                </c:pt>
                <c:pt idx="4">
                  <c:v>19.438419302022055</c:v>
                </c:pt>
                <c:pt idx="5">
                  <c:v>19.607115415941674</c:v>
                </c:pt>
                <c:pt idx="6">
                  <c:v>19.783700022600829</c:v>
                </c:pt>
                <c:pt idx="7">
                  <c:v>19.967910754092582</c:v>
                </c:pt>
                <c:pt idx="8">
                  <c:v>20.161787318912342</c:v>
                </c:pt>
                <c:pt idx="9">
                  <c:v>20.367051265209472</c:v>
                </c:pt>
                <c:pt idx="10">
                  <c:v>20.582962921047859</c:v>
                </c:pt>
                <c:pt idx="11">
                  <c:v>20.808782592422986</c:v>
                </c:pt>
                <c:pt idx="12">
                  <c:v>21.043770575173575</c:v>
                </c:pt>
                <c:pt idx="13">
                  <c:v>21.287187174153956</c:v>
                </c:pt>
                <c:pt idx="14">
                  <c:v>21.538292686220885</c:v>
                </c:pt>
                <c:pt idx="15">
                  <c:v>21.796347946086374</c:v>
                </c:pt>
                <c:pt idx="16">
                  <c:v>22.060613475140087</c:v>
                </c:pt>
                <c:pt idx="17">
                  <c:v>22.330349751515985</c:v>
                </c:pt>
                <c:pt idx="18">
                  <c:v>22.604817266446211</c:v>
                </c:pt>
                <c:pt idx="19">
                  <c:v>22.883276522376452</c:v>
                </c:pt>
                <c:pt idx="20">
                  <c:v>23.164988038278061</c:v>
                </c:pt>
                <c:pt idx="21">
                  <c:v>23.449212353530292</c:v>
                </c:pt>
                <c:pt idx="22">
                  <c:v>23.737786874615537</c:v>
                </c:pt>
                <c:pt idx="23">
                  <c:v>24.032818892313482</c:v>
                </c:pt>
                <c:pt idx="24">
                  <c:v>24.333972649942609</c:v>
                </c:pt>
                <c:pt idx="25">
                  <c:v>24.640912652328772</c:v>
                </c:pt>
                <c:pt idx="26">
                  <c:v>24.953303439129449</c:v>
                </c:pt>
                <c:pt idx="27">
                  <c:v>25.270809580143791</c:v>
                </c:pt>
                <c:pt idx="28">
                  <c:v>25.593095681182891</c:v>
                </c:pt>
                <c:pt idx="29">
                  <c:v>25.919825602966064</c:v>
                </c:pt>
                <c:pt idx="30">
                  <c:v>26.250662372960626</c:v>
                </c:pt>
                <c:pt idx="31">
                  <c:v>26.585270296370336</c:v>
                </c:pt>
                <c:pt idx="32">
                  <c:v>26.923313687078959</c:v>
                </c:pt>
                <c:pt idx="33">
                  <c:v>27.264456873536059</c:v>
                </c:pt>
                <c:pt idx="34">
                  <c:v>27.608364193128676</c:v>
                </c:pt>
                <c:pt idx="35">
                  <c:v>27.954699994784768</c:v>
                </c:pt>
                <c:pt idx="36">
                  <c:v>28.303725729547043</c:v>
                </c:pt>
                <c:pt idx="37">
                  <c:v>28.655999512673574</c:v>
                </c:pt>
                <c:pt idx="38">
                  <c:v>29.011631688034157</c:v>
                </c:pt>
                <c:pt idx="39">
                  <c:v>29.370733905229024</c:v>
                </c:pt>
                <c:pt idx="40">
                  <c:v>29.73341778022662</c:v>
                </c:pt>
                <c:pt idx="41">
                  <c:v>30.099794901343195</c:v>
                </c:pt>
                <c:pt idx="42">
                  <c:v>30.469976816392041</c:v>
                </c:pt>
                <c:pt idx="43">
                  <c:v>30.844074131003346</c:v>
                </c:pt>
                <c:pt idx="44">
                  <c:v>31.222199911209881</c:v>
                </c:pt>
                <c:pt idx="45">
                  <c:v>31.604465697781972</c:v>
                </c:pt>
                <c:pt idx="46">
                  <c:v>31.990982990839566</c:v>
                </c:pt>
                <c:pt idx="47">
                  <c:v>32.381863254892814</c:v>
                </c:pt>
                <c:pt idx="48">
                  <c:v>32.777217906839553</c:v>
                </c:pt>
                <c:pt idx="49">
                  <c:v>33.177158323789897</c:v>
                </c:pt>
                <c:pt idx="50">
                  <c:v>33.582486205157146</c:v>
                </c:pt>
                <c:pt idx="51">
                  <c:v>33.99362996143838</c:v>
                </c:pt>
                <c:pt idx="52">
                  <c:v>34.410144952926565</c:v>
                </c:pt>
                <c:pt idx="53">
                  <c:v>34.831583118482513</c:v>
                </c:pt>
                <c:pt idx="54">
                  <c:v>35.257496371230161</c:v>
                </c:pt>
                <c:pt idx="55">
                  <c:v>35.687436609545962</c:v>
                </c:pt>
                <c:pt idx="56">
                  <c:v>36.120955705643382</c:v>
                </c:pt>
                <c:pt idx="57">
                  <c:v>36.557605649242419</c:v>
                </c:pt>
                <c:pt idx="58">
                  <c:v>36.99694011626034</c:v>
                </c:pt>
                <c:pt idx="59">
                  <c:v>37.438511177483846</c:v>
                </c:pt>
                <c:pt idx="60">
                  <c:v>37.881870902941969</c:v>
                </c:pt>
                <c:pt idx="61">
                  <c:v>38.326571354113753</c:v>
                </c:pt>
                <c:pt idx="62">
                  <c:v>38.772164588265703</c:v>
                </c:pt>
                <c:pt idx="63">
                  <c:v>39.218202658155555</c:v>
                </c:pt>
                <c:pt idx="64">
                  <c:v>39.666812535765935</c:v>
                </c:pt>
                <c:pt idx="65">
                  <c:v>40.119972528069574</c:v>
                </c:pt>
                <c:pt idx="66">
                  <c:v>40.577010973062762</c:v>
                </c:pt>
                <c:pt idx="67">
                  <c:v>41.037256095627619</c:v>
                </c:pt>
                <c:pt idx="68">
                  <c:v>41.500036124093675</c:v>
                </c:pt>
                <c:pt idx="69">
                  <c:v>41.964679286996393</c:v>
                </c:pt>
                <c:pt idx="70">
                  <c:v>42.4305138172966</c:v>
                </c:pt>
                <c:pt idx="71">
                  <c:v>42.896869170002766</c:v>
                </c:pt>
                <c:pt idx="72">
                  <c:v>43.363073477347235</c:v>
                </c:pt>
                <c:pt idx="73">
                  <c:v>43.828455118091313</c:v>
                </c:pt>
                <c:pt idx="74">
                  <c:v>44.292342484847886</c:v>
                </c:pt>
                <c:pt idx="75">
                  <c:v>44.754063985860022</c:v>
                </c:pt>
                <c:pt idx="76">
                  <c:v>45.212948046799823</c:v>
                </c:pt>
                <c:pt idx="77">
                  <c:v>45.668323111005996</c:v>
                </c:pt>
                <c:pt idx="78">
                  <c:v>46.123137467149775</c:v>
                </c:pt>
                <c:pt idx="79">
                  <c:v>46.580191286807178</c:v>
                </c:pt>
                <c:pt idx="80">
                  <c:v>47.038588158985654</c:v>
                </c:pt>
                <c:pt idx="81">
                  <c:v>47.497432716522304</c:v>
                </c:pt>
                <c:pt idx="82">
                  <c:v>47.955829618321978</c:v>
                </c:pt>
                <c:pt idx="83">
                  <c:v>48.41288354846904</c:v>
                </c:pt>
                <c:pt idx="84">
                  <c:v>48.867699223369925</c:v>
                </c:pt>
                <c:pt idx="85">
                  <c:v>49.319382429522285</c:v>
                </c:pt>
                <c:pt idx="86">
                  <c:v>49.767035805235771</c:v>
                </c:pt>
                <c:pt idx="87">
                  <c:v>50.209764021511127</c:v>
                </c:pt>
                <c:pt idx="88">
                  <c:v>50.646671779410433</c:v>
                </c:pt>
                <c:pt idx="89">
                  <c:v>51.076863807272375</c:v>
                </c:pt>
                <c:pt idx="90">
                  <c:v>51.499444859523898</c:v>
                </c:pt>
                <c:pt idx="91">
                  <c:v>51.913519726399983</c:v>
                </c:pt>
                <c:pt idx="92">
                  <c:v>52.321159992809065</c:v>
                </c:pt>
                <c:pt idx="93">
                  <c:v>52.724811638755583</c:v>
                </c:pt>
                <c:pt idx="94">
                  <c:v>53.124137369290111</c:v>
                </c:pt>
                <c:pt idx="95">
                  <c:v>53.518801783188025</c:v>
                </c:pt>
                <c:pt idx="96">
                  <c:v>53.908469514821356</c:v>
                </c:pt>
                <c:pt idx="97">
                  <c:v>54.292805225629252</c:v>
                </c:pt>
                <c:pt idx="98">
                  <c:v>54.671473619290737</c:v>
                </c:pt>
                <c:pt idx="99">
                  <c:v>55.044139359882969</c:v>
                </c:pt>
                <c:pt idx="100">
                  <c:v>55.410465335203227</c:v>
                </c:pt>
                <c:pt idx="101">
                  <c:v>55.770116134486145</c:v>
                </c:pt>
                <c:pt idx="102">
                  <c:v>56.122756371349382</c:v>
                </c:pt>
                <c:pt idx="103">
                  <c:v>56.468050687209626</c:v>
                </c:pt>
                <c:pt idx="104">
                  <c:v>56.805663753717724</c:v>
                </c:pt>
                <c:pt idx="105">
                  <c:v>57.135260265266332</c:v>
                </c:pt>
                <c:pt idx="106">
                  <c:v>57.458072299245373</c:v>
                </c:pt>
                <c:pt idx="107">
                  <c:v>57.775332875894115</c:v>
                </c:pt>
                <c:pt idx="108">
                  <c:v>58.086704787541464</c:v>
                </c:pt>
                <c:pt idx="109">
                  <c:v>58.391852727277936</c:v>
                </c:pt>
                <c:pt idx="110">
                  <c:v>58.690441405578824</c:v>
                </c:pt>
                <c:pt idx="111">
                  <c:v>58.982135547710932</c:v>
                </c:pt>
                <c:pt idx="112">
                  <c:v>59.266599922292464</c:v>
                </c:pt>
                <c:pt idx="113">
                  <c:v>59.543496698872481</c:v>
                </c:pt>
                <c:pt idx="114">
                  <c:v>59.812490535534629</c:v>
                </c:pt>
                <c:pt idx="115">
                  <c:v>60.07324597653836</c:v>
                </c:pt>
                <c:pt idx="116">
                  <c:v>60.325427580754884</c:v>
                </c:pt>
                <c:pt idx="117">
                  <c:v>60.568699911723023</c:v>
                </c:pt>
                <c:pt idx="118">
                  <c:v>60.802727532147479</c:v>
                </c:pt>
                <c:pt idx="119">
                  <c:v>61.027175015130801</c:v>
                </c:pt>
                <c:pt idx="120">
                  <c:v>61.241576328441667</c:v>
                </c:pt>
                <c:pt idx="121">
                  <c:v>61.445979595002399</c:v>
                </c:pt>
                <c:pt idx="122">
                  <c:v>61.640830639218429</c:v>
                </c:pt>
                <c:pt idx="123">
                  <c:v>61.826576650701469</c:v>
                </c:pt>
                <c:pt idx="124">
                  <c:v>62.003664749975108</c:v>
                </c:pt>
                <c:pt idx="125">
                  <c:v>62.172542008788064</c:v>
                </c:pt>
                <c:pt idx="126">
                  <c:v>62.333655435856947</c:v>
                </c:pt>
                <c:pt idx="127">
                  <c:v>62.487448362372625</c:v>
                </c:pt>
                <c:pt idx="128">
                  <c:v>62.634371702552848</c:v>
                </c:pt>
                <c:pt idx="129">
                  <c:v>62.774872334786139</c:v>
                </c:pt>
                <c:pt idx="130">
                  <c:v>62.909397074177122</c:v>
                </c:pt>
                <c:pt idx="131">
                  <c:v>63.038392672653266</c:v>
                </c:pt>
                <c:pt idx="132">
                  <c:v>63.162305821600739</c:v>
                </c:pt>
                <c:pt idx="133">
                  <c:v>63.28158314475548</c:v>
                </c:pt>
                <c:pt idx="134">
                  <c:v>63.394823980208379</c:v>
                </c:pt>
                <c:pt idx="135">
                  <c:v>63.50055125470282</c:v>
                </c:pt>
                <c:pt idx="136">
                  <c:v>63.599112709212108</c:v>
                </c:pt>
                <c:pt idx="137">
                  <c:v>63.690843813055714</c:v>
                </c:pt>
                <c:pt idx="138">
                  <c:v>63.776080011291391</c:v>
                </c:pt>
                <c:pt idx="139">
                  <c:v>63.85515672670406</c:v>
                </c:pt>
                <c:pt idx="140">
                  <c:v>63.928409355315083</c:v>
                </c:pt>
                <c:pt idx="141">
                  <c:v>63.996170191420468</c:v>
                </c:pt>
                <c:pt idx="142">
                  <c:v>64.058780021261597</c:v>
                </c:pt>
                <c:pt idx="143">
                  <c:v>64.116574385458463</c:v>
                </c:pt>
                <c:pt idx="144">
                  <c:v>64.169888802664232</c:v>
                </c:pt>
                <c:pt idx="145">
                  <c:v>64.219058776773039</c:v>
                </c:pt>
                <c:pt idx="146">
                  <c:v>64.264419799436226</c:v>
                </c:pt>
                <c:pt idx="147">
                  <c:v>64.306307345741999</c:v>
                </c:pt>
                <c:pt idx="148">
                  <c:v>64.343732098683716</c:v>
                </c:pt>
                <c:pt idx="149">
                  <c:v>64.375628297049076</c:v>
                </c:pt>
                <c:pt idx="150">
                  <c:v>64.402221859444708</c:v>
                </c:pt>
                <c:pt idx="151">
                  <c:v>64.42373631630872</c:v>
                </c:pt>
                <c:pt idx="152">
                  <c:v>64.440395189448154</c:v>
                </c:pt>
                <c:pt idx="153">
                  <c:v>64.452421990405298</c:v>
                </c:pt>
                <c:pt idx="154">
                  <c:v>64.460040228184212</c:v>
                </c:pt>
                <c:pt idx="155">
                  <c:v>64.463472670058152</c:v>
                </c:pt>
                <c:pt idx="156">
                  <c:v>64.462947236318612</c:v>
                </c:pt>
                <c:pt idx="157">
                  <c:v>64.458687663636155</c:v>
                </c:pt>
                <c:pt idx="158">
                  <c:v>64.450917686587616</c:v>
                </c:pt>
                <c:pt idx="159">
                  <c:v>64.439861038636494</c:v>
                </c:pt>
                <c:pt idx="160">
                  <c:v>64.425741453436544</c:v>
                </c:pt>
                <c:pt idx="161">
                  <c:v>64.408782664965472</c:v>
                </c:pt>
                <c:pt idx="162">
                  <c:v>64.388163504438907</c:v>
                </c:pt>
                <c:pt idx="163">
                  <c:v>64.363063632898047</c:v>
                </c:pt>
                <c:pt idx="164">
                  <c:v>64.333709311447521</c:v>
                </c:pt>
                <c:pt idx="165">
                  <c:v>64.300324457157075</c:v>
                </c:pt>
                <c:pt idx="166">
                  <c:v>64.263132987935307</c:v>
                </c:pt>
                <c:pt idx="167">
                  <c:v>64.222358822029051</c:v>
                </c:pt>
                <c:pt idx="168">
                  <c:v>64.178225877336487</c:v>
                </c:pt>
                <c:pt idx="169">
                  <c:v>64.130958985810906</c:v>
                </c:pt>
                <c:pt idx="170">
                  <c:v>64.080783085397897</c:v>
                </c:pt>
                <c:pt idx="171">
                  <c:v>64.027922184342501</c:v>
                </c:pt>
                <c:pt idx="172">
                  <c:v>63.972600286933485</c:v>
                </c:pt>
                <c:pt idx="173">
                  <c:v>63.915041409644736</c:v>
                </c:pt>
                <c:pt idx="174">
                  <c:v>63.855469564578407</c:v>
                </c:pt>
                <c:pt idx="175">
                  <c:v>63.794108751092551</c:v>
                </c:pt>
                <c:pt idx="176">
                  <c:v>63.731108332106501</c:v>
                </c:pt>
                <c:pt idx="177">
                  <c:v>63.666318041711897</c:v>
                </c:pt>
                <c:pt idx="178">
                  <c:v>63.599512975510891</c:v>
                </c:pt>
                <c:pt idx="179">
                  <c:v>63.530469225568837</c:v>
                </c:pt>
                <c:pt idx="180">
                  <c:v>63.458962884406098</c:v>
                </c:pt>
                <c:pt idx="181">
                  <c:v>63.384770044436031</c:v>
                </c:pt>
                <c:pt idx="182">
                  <c:v>63.307666795330334</c:v>
                </c:pt>
                <c:pt idx="183">
                  <c:v>63.227425959648713</c:v>
                </c:pt>
                <c:pt idx="184">
                  <c:v>63.143822401936333</c:v>
                </c:pt>
                <c:pt idx="185">
                  <c:v>63.056632071487847</c:v>
                </c:pt>
                <c:pt idx="186">
                  <c:v>62.965630924401616</c:v>
                </c:pt>
                <c:pt idx="187">
                  <c:v>62.870594922536867</c:v>
                </c:pt>
                <c:pt idx="188">
                  <c:v>62.771300031215688</c:v>
                </c:pt>
                <c:pt idx="189">
                  <c:v>62.667522222748957</c:v>
                </c:pt>
                <c:pt idx="190">
                  <c:v>62.559112109924506</c:v>
                </c:pt>
                <c:pt idx="191">
                  <c:v>62.446211372354426</c:v>
                </c:pt>
                <c:pt idx="192">
                  <c:v>62.329044887941301</c:v>
                </c:pt>
                <c:pt idx="193">
                  <c:v>62.207836311119223</c:v>
                </c:pt>
                <c:pt idx="194">
                  <c:v>62.082809314059936</c:v>
                </c:pt>
                <c:pt idx="195">
                  <c:v>61.954187577029117</c:v>
                </c:pt>
                <c:pt idx="196">
                  <c:v>61.82219479447371</c:v>
                </c:pt>
                <c:pt idx="197">
                  <c:v>61.687049513625766</c:v>
                </c:pt>
                <c:pt idx="198">
                  <c:v>61.548979074861201</c:v>
                </c:pt>
                <c:pt idx="199">
                  <c:v>61.408207181074474</c:v>
                </c:pt>
                <c:pt idx="200">
                  <c:v>61.264957545699559</c:v>
                </c:pt>
                <c:pt idx="201">
                  <c:v>61.119453895857148</c:v>
                </c:pt>
                <c:pt idx="202">
                  <c:v>60.971919967093683</c:v>
                </c:pt>
                <c:pt idx="203">
                  <c:v>60.822579509274071</c:v>
                </c:pt>
                <c:pt idx="204">
                  <c:v>60.671581650585033</c:v>
                </c:pt>
                <c:pt idx="205">
                  <c:v>60.518762208764343</c:v>
                </c:pt>
                <c:pt idx="206">
                  <c:v>60.363905199796157</c:v>
                </c:pt>
                <c:pt idx="207">
                  <c:v>60.206786508199343</c:v>
                </c:pt>
                <c:pt idx="208">
                  <c:v>60.047182034824942</c:v>
                </c:pt>
                <c:pt idx="209">
                  <c:v>59.884867695325667</c:v>
                </c:pt>
                <c:pt idx="210">
                  <c:v>59.719619417426252</c:v>
                </c:pt>
                <c:pt idx="211">
                  <c:v>59.551170529827317</c:v>
                </c:pt>
                <c:pt idx="212">
                  <c:v>59.379302042735532</c:v>
                </c:pt>
                <c:pt idx="213">
                  <c:v>59.187842451696064</c:v>
                </c:pt>
                <c:pt idx="214">
                  <c:v>58.992628256389388</c:v>
                </c:pt>
                <c:pt idx="215">
                  <c:v>58.793438328780162</c:v>
                </c:pt>
                <c:pt idx="216">
                  <c:v>58.590051806625155</c:v>
                </c:pt>
                <c:pt idx="217">
                  <c:v>58.382248080792692</c:v>
                </c:pt>
                <c:pt idx="218">
                  <c:v>58.171334368918949</c:v>
                </c:pt>
                <c:pt idx="219">
                  <c:v>57.958449136427411</c:v>
                </c:pt>
                <c:pt idx="220">
                  <c:v>57.743162333890162</c:v>
                </c:pt>
                <c:pt idx="221">
                  <c:v>57.52502885769843</c:v>
                </c:pt>
                <c:pt idx="222">
                  <c:v>57.303604104140483</c:v>
                </c:pt>
                <c:pt idx="223">
                  <c:v>57.078443969905194</c:v>
                </c:pt>
                <c:pt idx="224">
                  <c:v>56.849104849114447</c:v>
                </c:pt>
                <c:pt idx="225">
                  <c:v>56.615151766542148</c:v>
                </c:pt>
                <c:pt idx="226">
                  <c:v>56.376186828154118</c:v>
                </c:pt>
                <c:pt idx="227">
                  <c:v>56.131768263275191</c:v>
                </c:pt>
                <c:pt idx="228">
                  <c:v>55.881454767468398</c:v>
                </c:pt>
                <c:pt idx="229">
                  <c:v>55.624805494435613</c:v>
                </c:pt>
                <c:pt idx="230">
                  <c:v>55.361380062966745</c:v>
                </c:pt>
                <c:pt idx="231">
                  <c:v>55.090738547044658</c:v>
                </c:pt>
                <c:pt idx="232">
                  <c:v>54.814037593705805</c:v>
                </c:pt>
                <c:pt idx="233">
                  <c:v>54.53258014427103</c:v>
                </c:pt>
                <c:pt idx="234">
                  <c:v>54.246166610547462</c:v>
                </c:pt>
                <c:pt idx="235">
                  <c:v>53.954578675639624</c:v>
                </c:pt>
                <c:pt idx="236">
                  <c:v>53.657598225595059</c:v>
                </c:pt>
                <c:pt idx="237">
                  <c:v>53.355007381094907</c:v>
                </c:pt>
                <c:pt idx="238">
                  <c:v>53.046588475228432</c:v>
                </c:pt>
                <c:pt idx="239">
                  <c:v>52.732142486490211</c:v>
                </c:pt>
                <c:pt idx="240">
                  <c:v>52.411443897560339</c:v>
                </c:pt>
                <c:pt idx="241">
                  <c:v>52.084275720012833</c:v>
                </c:pt>
                <c:pt idx="242">
                  <c:v>51.75042117678467</c:v>
                </c:pt>
                <c:pt idx="243">
                  <c:v>51.409663700905114</c:v>
                </c:pt>
                <c:pt idx="244">
                  <c:v>51.061786934606573</c:v>
                </c:pt>
                <c:pt idx="245">
                  <c:v>50.706574731761037</c:v>
                </c:pt>
                <c:pt idx="246">
                  <c:v>50.343163952884311</c:v>
                </c:pt>
                <c:pt idx="247">
                  <c:v>49.971232512505402</c:v>
                </c:pt>
                <c:pt idx="248">
                  <c:v>49.591342721221288</c:v>
                </c:pt>
                <c:pt idx="249">
                  <c:v>49.204055358174791</c:v>
                </c:pt>
                <c:pt idx="250">
                  <c:v>48.809930604535978</c:v>
                </c:pt>
                <c:pt idx="251">
                  <c:v>48.409528037912189</c:v>
                </c:pt>
                <c:pt idx="252">
                  <c:v>48.00340664430334</c:v>
                </c:pt>
                <c:pt idx="253">
                  <c:v>47.592156686249147</c:v>
                </c:pt>
                <c:pt idx="254">
                  <c:v>47.176317317251318</c:v>
                </c:pt>
                <c:pt idx="255">
                  <c:v>46.756445781371184</c:v>
                </c:pt>
                <c:pt idx="256">
                  <c:v>46.333098730839495</c:v>
                </c:pt>
                <c:pt idx="257">
                  <c:v>45.906832235854637</c:v>
                </c:pt>
                <c:pt idx="258">
                  <c:v>45.478201786213297</c:v>
                </c:pt>
                <c:pt idx="259">
                  <c:v>45.047762288097871</c:v>
                </c:pt>
                <c:pt idx="260">
                  <c:v>44.612530519273925</c:v>
                </c:pt>
                <c:pt idx="261">
                  <c:v>44.169868846615316</c:v>
                </c:pt>
                <c:pt idx="262">
                  <c:v>43.720754858612722</c:v>
                </c:pt>
                <c:pt idx="263">
                  <c:v>43.266187864472244</c:v>
                </c:pt>
                <c:pt idx="264">
                  <c:v>42.807166134316205</c:v>
                </c:pt>
                <c:pt idx="265">
                  <c:v>42.344686557140967</c:v>
                </c:pt>
                <c:pt idx="266">
                  <c:v>41.879745153680879</c:v>
                </c:pt>
                <c:pt idx="267">
                  <c:v>41.413368164823979</c:v>
                </c:pt>
                <c:pt idx="268">
                  <c:v>40.946517674348001</c:v>
                </c:pt>
                <c:pt idx="269">
                  <c:v>40.480186890660548</c:v>
                </c:pt>
                <c:pt idx="270">
                  <c:v>40.01536800791127</c:v>
                </c:pt>
                <c:pt idx="271">
                  <c:v>39.553052208829229</c:v>
                </c:pt>
                <c:pt idx="272">
                  <c:v>39.094229666987246</c:v>
                </c:pt>
                <c:pt idx="273">
                  <c:v>38.63988955237815</c:v>
                </c:pt>
                <c:pt idx="274">
                  <c:v>38.186154579176808</c:v>
                </c:pt>
                <c:pt idx="275">
                  <c:v>37.729234661148574</c:v>
                </c:pt>
                <c:pt idx="276">
                  <c:v>37.270184899493181</c:v>
                </c:pt>
                <c:pt idx="277">
                  <c:v>36.810107461627474</c:v>
                </c:pt>
                <c:pt idx="278">
                  <c:v>36.350103383529401</c:v>
                </c:pt>
                <c:pt idx="279">
                  <c:v>35.891272572274943</c:v>
                </c:pt>
                <c:pt idx="280">
                  <c:v>35.434713815586122</c:v>
                </c:pt>
                <c:pt idx="281">
                  <c:v>34.981518388177129</c:v>
                </c:pt>
                <c:pt idx="282">
                  <c:v>34.532751577543657</c:v>
                </c:pt>
                <c:pt idx="283">
                  <c:v>34.089508789141334</c:v>
                </c:pt>
                <c:pt idx="284">
                  <c:v>33.652884344795659</c:v>
                </c:pt>
                <c:pt idx="285">
                  <c:v>33.223971481085108</c:v>
                </c:pt>
                <c:pt idx="286">
                  <c:v>32.803862371465897</c:v>
                </c:pt>
                <c:pt idx="287">
                  <c:v>32.393648130991039</c:v>
                </c:pt>
                <c:pt idx="288">
                  <c:v>31.992387690605185</c:v>
                </c:pt>
                <c:pt idx="289">
                  <c:v>31.598061484000173</c:v>
                </c:pt>
                <c:pt idx="290">
                  <c:v>31.21032415474944</c:v>
                </c:pt>
                <c:pt idx="291">
                  <c:v>30.828840695539789</c:v>
                </c:pt>
                <c:pt idx="292">
                  <c:v>30.453276394437943</c:v>
                </c:pt>
                <c:pt idx="293">
                  <c:v>30.083296837044589</c:v>
                </c:pt>
                <c:pt idx="294">
                  <c:v>29.718567901207841</c:v>
                </c:pt>
                <c:pt idx="295">
                  <c:v>29.358394283137187</c:v>
                </c:pt>
                <c:pt idx="296">
                  <c:v>29.002447922221524</c:v>
                </c:pt>
                <c:pt idx="297">
                  <c:v>28.650394775282962</c:v>
                </c:pt>
                <c:pt idx="298">
                  <c:v>28.301901466051131</c:v>
                </c:pt>
                <c:pt idx="299">
                  <c:v>27.956634900813267</c:v>
                </c:pt>
                <c:pt idx="300">
                  <c:v>27.614262280222921</c:v>
                </c:pt>
                <c:pt idx="301">
                  <c:v>27.274451096001258</c:v>
                </c:pt>
                <c:pt idx="302">
                  <c:v>26.936741460226123</c:v>
                </c:pt>
                <c:pt idx="303">
                  <c:v>26.600950685232583</c:v>
                </c:pt>
                <c:pt idx="304">
                  <c:v>26.26764132412336</c:v>
                </c:pt>
                <c:pt idx="305">
                  <c:v>25.937246886598736</c:v>
                </c:pt>
                <c:pt idx="306">
                  <c:v>25.610200535845507</c:v>
                </c:pt>
                <c:pt idx="307">
                  <c:v>25.286935103410649</c:v>
                </c:pt>
                <c:pt idx="308">
                  <c:v>24.967883105736774</c:v>
                </c:pt>
                <c:pt idx="309">
                  <c:v>24.6537620590972</c:v>
                </c:pt>
                <c:pt idx="310">
                  <c:v>24.345367603688906</c:v>
                </c:pt>
                <c:pt idx="311">
                  <c:v>24.043131978698291</c:v>
                </c:pt>
                <c:pt idx="312">
                  <c:v>23.747487104995209</c:v>
                </c:pt>
                <c:pt idx="313">
                  <c:v>23.458864592526634</c:v>
                </c:pt>
                <c:pt idx="314">
                  <c:v>23.177695747529253</c:v>
                </c:pt>
                <c:pt idx="315">
                  <c:v>22.904411570821338</c:v>
                </c:pt>
                <c:pt idx="316">
                  <c:v>22.63906089969003</c:v>
                </c:pt>
                <c:pt idx="317">
                  <c:v>22.381611855144385</c:v>
                </c:pt>
                <c:pt idx="318">
                  <c:v>22.131967181020833</c:v>
                </c:pt>
                <c:pt idx="319">
                  <c:v>21.889795177709146</c:v>
                </c:pt>
                <c:pt idx="320">
                  <c:v>21.654764438094556</c:v>
                </c:pt>
                <c:pt idx="321">
                  <c:v>21.426543847153901</c:v>
                </c:pt>
                <c:pt idx="322">
                  <c:v>21.204802568673763</c:v>
                </c:pt>
                <c:pt idx="323">
                  <c:v>20.989329282490147</c:v>
                </c:pt>
                <c:pt idx="324">
                  <c:v>20.77950742027641</c:v>
                </c:pt>
                <c:pt idx="325">
                  <c:v>20.575006914038621</c:v>
                </c:pt>
                <c:pt idx="326">
                  <c:v>20.375499216913166</c:v>
                </c:pt>
                <c:pt idx="327">
                  <c:v>20.180655235376971</c:v>
                </c:pt>
                <c:pt idx="328">
                  <c:v>19.990145098976225</c:v>
                </c:pt>
                <c:pt idx="329">
                  <c:v>19.803639188734721</c:v>
                </c:pt>
                <c:pt idx="330">
                  <c:v>19.619502841678752</c:v>
                </c:pt>
                <c:pt idx="331">
                  <c:v>19.43691206557196</c:v>
                </c:pt>
                <c:pt idx="332">
                  <c:v>19.256415086805276</c:v>
                </c:pt>
                <c:pt idx="333">
                  <c:v>19.078988251976767</c:v>
                </c:pt>
                <c:pt idx="334">
                  <c:v>18.905607116833671</c:v>
                </c:pt>
                <c:pt idx="335">
                  <c:v>18.737246449454844</c:v>
                </c:pt>
                <c:pt idx="336">
                  <c:v>18.574880213889028</c:v>
                </c:pt>
                <c:pt idx="337">
                  <c:v>18.419423709581153</c:v>
                </c:pt>
                <c:pt idx="338">
                  <c:v>18.271730165907037</c:v>
                </c:pt>
                <c:pt idx="339">
                  <c:v>18.132771225483516</c:v>
                </c:pt>
                <c:pt idx="340">
                  <c:v>18.003517719565643</c:v>
                </c:pt>
                <c:pt idx="341">
                  <c:v>17.884939658890623</c:v>
                </c:pt>
                <c:pt idx="342">
                  <c:v>17.778006231477651</c:v>
                </c:pt>
                <c:pt idx="343">
                  <c:v>17.683685786878787</c:v>
                </c:pt>
                <c:pt idx="344">
                  <c:v>17.600243400743821</c:v>
                </c:pt>
                <c:pt idx="345">
                  <c:v>17.525375937646999</c:v>
                </c:pt>
                <c:pt idx="346">
                  <c:v>17.459210507657758</c:v>
                </c:pt>
                <c:pt idx="347">
                  <c:v>17.401862349625425</c:v>
                </c:pt>
                <c:pt idx="348">
                  <c:v>17.353446603151127</c:v>
                </c:pt>
                <c:pt idx="349">
                  <c:v>17.314078308101607</c:v>
                </c:pt>
                <c:pt idx="350">
                  <c:v>17.283872397900303</c:v>
                </c:pt>
                <c:pt idx="351">
                  <c:v>17.262894882778994</c:v>
                </c:pt>
                <c:pt idx="352">
                  <c:v>17.251318227291677</c:v>
                </c:pt>
                <c:pt idx="353">
                  <c:v>17.249257015003288</c:v>
                </c:pt>
                <c:pt idx="354">
                  <c:v>17.25682571585417</c:v>
                </c:pt>
                <c:pt idx="355">
                  <c:v>17.274138662862313</c:v>
                </c:pt>
                <c:pt idx="356">
                  <c:v>17.301312190708142</c:v>
                </c:pt>
                <c:pt idx="357">
                  <c:v>17.338458444031225</c:v>
                </c:pt>
                <c:pt idx="358">
                  <c:v>17.385981212365291</c:v>
                </c:pt>
                <c:pt idx="359">
                  <c:v>17.444034594612337</c:v>
                </c:pt>
                <c:pt idx="360">
                  <c:v>17.512301166609564</c:v>
                </c:pt>
                <c:pt idx="361">
                  <c:v>17.59057032067869</c:v>
                </c:pt>
                <c:pt idx="362">
                  <c:v>17.678582837479009</c:v>
                </c:pt>
                <c:pt idx="363">
                  <c:v>17.776079711858731</c:v>
                </c:pt>
                <c:pt idx="364">
                  <c:v>17.882802154233435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'2018'!$B$15:$B$380</c:f>
              <c:numCache>
                <c:formatCode>0</c:formatCode>
                <c:ptCount val="366"/>
                <c:pt idx="273" formatCode="0.00">
                  <c:v>2.129</c:v>
                </c:pt>
                <c:pt idx="274" formatCode="0.00">
                  <c:v>35.54</c:v>
                </c:pt>
                <c:pt idx="275" formatCode="0.00">
                  <c:v>35.398000000000003</c:v>
                </c:pt>
                <c:pt idx="276" formatCode="0.00">
                  <c:v>35.271999999999998</c:v>
                </c:pt>
                <c:pt idx="277" formatCode="0.00">
                  <c:v>34.72</c:v>
                </c:pt>
                <c:pt idx="278" formatCode="0.00">
                  <c:v>33.353999999999999</c:v>
                </c:pt>
                <c:pt idx="279" formatCode="0.00">
                  <c:v>15.315</c:v>
                </c:pt>
                <c:pt idx="280" formatCode="0.00">
                  <c:v>14.872</c:v>
                </c:pt>
                <c:pt idx="281" formatCode="0.00">
                  <c:v>31.266999999999999</c:v>
                </c:pt>
                <c:pt idx="282" formatCode="0.00">
                  <c:v>21.789000000000001</c:v>
                </c:pt>
                <c:pt idx="283" formatCode="0.00">
                  <c:v>25.135999999999999</c:v>
                </c:pt>
                <c:pt idx="284" formatCode="0.00">
                  <c:v>30.405999999999999</c:v>
                </c:pt>
                <c:pt idx="285" formatCode="0.00">
                  <c:v>23.381</c:v>
                </c:pt>
                <c:pt idx="286" formatCode="0.00">
                  <c:v>30.224</c:v>
                </c:pt>
                <c:pt idx="287" formatCode="0.00">
                  <c:v>11.084</c:v>
                </c:pt>
                <c:pt idx="288" formatCode="0.00">
                  <c:v>20.001000000000001</c:v>
                </c:pt>
                <c:pt idx="289" formatCode="0.00">
                  <c:v>21.099</c:v>
                </c:pt>
                <c:pt idx="290" formatCode="0.00">
                  <c:v>9.6959999999999997</c:v>
                </c:pt>
                <c:pt idx="291" formatCode="0.00">
                  <c:v>20.974</c:v>
                </c:pt>
                <c:pt idx="292" formatCode="0.00">
                  <c:v>12.381</c:v>
                </c:pt>
                <c:pt idx="293" formatCode="0.00">
                  <c:v>16.425000000000001</c:v>
                </c:pt>
                <c:pt idx="294" formatCode="0.00">
                  <c:v>20.061</c:v>
                </c:pt>
                <c:pt idx="295" formatCode="0.00">
                  <c:v>28.835000000000001</c:v>
                </c:pt>
                <c:pt idx="296" formatCode="0.00">
                  <c:v>28.495000000000001</c:v>
                </c:pt>
                <c:pt idx="297" formatCode="0.00">
                  <c:v>27.832999999999998</c:v>
                </c:pt>
                <c:pt idx="298" formatCode="0.00">
                  <c:v>3.9929999999999999</c:v>
                </c:pt>
                <c:pt idx="299" formatCode="0.00">
                  <c:v>7.7910000000000004</c:v>
                </c:pt>
                <c:pt idx="300" formatCode="0.00">
                  <c:v>3.3420000000000001</c:v>
                </c:pt>
                <c:pt idx="301" formatCode="0.00">
                  <c:v>5.0030000000000001</c:v>
                </c:pt>
                <c:pt idx="302" formatCode="0.00">
                  <c:v>24.145</c:v>
                </c:pt>
                <c:pt idx="303" formatCode="0.00">
                  <c:v>11.532999999999999</c:v>
                </c:pt>
                <c:pt idx="304" formatCode="0.00">
                  <c:v>19.146999999999998</c:v>
                </c:pt>
                <c:pt idx="305" formatCode="0.00">
                  <c:v>8.1479999999999997</c:v>
                </c:pt>
                <c:pt idx="306" formatCode="0.00">
                  <c:v>22.582999999999998</c:v>
                </c:pt>
                <c:pt idx="307" formatCode="0.00">
                  <c:v>18.388999999999999</c:v>
                </c:pt>
                <c:pt idx="308" formatCode="0.00">
                  <c:v>10.568</c:v>
                </c:pt>
                <c:pt idx="309" formatCode="0.00">
                  <c:v>18.738</c:v>
                </c:pt>
                <c:pt idx="310" formatCode="0.00">
                  <c:v>10.808999999999999</c:v>
                </c:pt>
                <c:pt idx="311" formatCode="0.00">
                  <c:v>13.313000000000001</c:v>
                </c:pt>
                <c:pt idx="312" formatCode="0.00">
                  <c:v>3.798</c:v>
                </c:pt>
                <c:pt idx="313" formatCode="0.00">
                  <c:v>15.11</c:v>
                </c:pt>
                <c:pt idx="314" formatCode="0.00">
                  <c:v>19.414000000000001</c:v>
                </c:pt>
                <c:pt idx="315" formatCode="0.00">
                  <c:v>20.757000000000001</c:v>
                </c:pt>
                <c:pt idx="316" formatCode="0.00">
                  <c:v>7.5250000000000004</c:v>
                </c:pt>
                <c:pt idx="317" formatCode="0.00">
                  <c:v>15.919</c:v>
                </c:pt>
                <c:pt idx="318" formatCode="0.00">
                  <c:v>14.42</c:v>
                </c:pt>
                <c:pt idx="319" formatCode="0.00">
                  <c:v>20.081</c:v>
                </c:pt>
                <c:pt idx="320" formatCode="0.00">
                  <c:v>21.167999999999999</c:v>
                </c:pt>
                <c:pt idx="321" formatCode="0.00">
                  <c:v>18.733000000000001</c:v>
                </c:pt>
                <c:pt idx="322" formatCode="0.00">
                  <c:v>14.209</c:v>
                </c:pt>
                <c:pt idx="323" formatCode="0.00">
                  <c:v>11.016999999999999</c:v>
                </c:pt>
                <c:pt idx="324" formatCode="0.00">
                  <c:v>20.134</c:v>
                </c:pt>
                <c:pt idx="325" formatCode="0.00">
                  <c:v>18.757999999999999</c:v>
                </c:pt>
                <c:pt idx="326" formatCode="0.00">
                  <c:v>13.324</c:v>
                </c:pt>
                <c:pt idx="327" formatCode="0.00">
                  <c:v>16.37</c:v>
                </c:pt>
                <c:pt idx="328" formatCode="0.00">
                  <c:v>9.59</c:v>
                </c:pt>
                <c:pt idx="329" formatCode="0.00">
                  <c:v>4.3220000000000001</c:v>
                </c:pt>
                <c:pt idx="330" formatCode="0.00">
                  <c:v>18.015999999999998</c:v>
                </c:pt>
                <c:pt idx="331" formatCode="0.00">
                  <c:v>14.510999999999999</c:v>
                </c:pt>
                <c:pt idx="332" formatCode="0.00">
                  <c:v>19.163</c:v>
                </c:pt>
                <c:pt idx="333" formatCode="0.00">
                  <c:v>7.9089999999999998</c:v>
                </c:pt>
                <c:pt idx="334" formatCode="0.00">
                  <c:v>15.340999999999999</c:v>
                </c:pt>
                <c:pt idx="335" formatCode="0.00">
                  <c:v>7.2949999999999999</c:v>
                </c:pt>
                <c:pt idx="336" formatCode="0.00">
                  <c:v>8.6690000000000005</c:v>
                </c:pt>
                <c:pt idx="337" formatCode="0.00">
                  <c:v>4.7720000000000002</c:v>
                </c:pt>
                <c:pt idx="338" formatCode="0.00">
                  <c:v>15.334</c:v>
                </c:pt>
                <c:pt idx="339" formatCode="0.00">
                  <c:v>12.791</c:v>
                </c:pt>
                <c:pt idx="340" formatCode="0.00">
                  <c:v>15.94</c:v>
                </c:pt>
                <c:pt idx="341" formatCode="0.00">
                  <c:v>11.874000000000001</c:v>
                </c:pt>
                <c:pt idx="342" formatCode="0.00">
                  <c:v>5.0990000000000002</c:v>
                </c:pt>
                <c:pt idx="343" formatCode="0.00">
                  <c:v>11.51</c:v>
                </c:pt>
                <c:pt idx="344" formatCode="0.00">
                  <c:v>14.571</c:v>
                </c:pt>
                <c:pt idx="345" formatCode="0.00">
                  <c:v>3.661</c:v>
                </c:pt>
                <c:pt idx="346" formatCode="0.00">
                  <c:v>1.7330000000000001</c:v>
                </c:pt>
                <c:pt idx="347" formatCode="0.00">
                  <c:v>1.909</c:v>
                </c:pt>
                <c:pt idx="348" formatCode="0.00">
                  <c:v>5.8079999999999998</c:v>
                </c:pt>
                <c:pt idx="349" formatCode="0.00">
                  <c:v>2.903</c:v>
                </c:pt>
                <c:pt idx="350" formatCode="0.00">
                  <c:v>14.638999999999999</c:v>
                </c:pt>
                <c:pt idx="351" formatCode="0.00">
                  <c:v>10.794</c:v>
                </c:pt>
                <c:pt idx="352" formatCode="0.00">
                  <c:v>15.696</c:v>
                </c:pt>
                <c:pt idx="353" formatCode="0.00">
                  <c:v>10.593</c:v>
                </c:pt>
                <c:pt idx="354" formatCode="0.00">
                  <c:v>8.0779999999999994</c:v>
                </c:pt>
                <c:pt idx="355" formatCode="0.00">
                  <c:v>6.8490000000000002</c:v>
                </c:pt>
                <c:pt idx="356" formatCode="0.00">
                  <c:v>4.476</c:v>
                </c:pt>
                <c:pt idx="357" formatCode="0.00">
                  <c:v>4.9989999999999997</c:v>
                </c:pt>
                <c:pt idx="358" formatCode="0.00">
                  <c:v>13.336</c:v>
                </c:pt>
                <c:pt idx="359" formatCode="0.00">
                  <c:v>16.808</c:v>
                </c:pt>
                <c:pt idx="360" formatCode="0.00">
                  <c:v>17.027999999999999</c:v>
                </c:pt>
                <c:pt idx="361" formatCode="0.00">
                  <c:v>2.9510000000000001</c:v>
                </c:pt>
                <c:pt idx="362" formatCode="0.00">
                  <c:v>3.24</c:v>
                </c:pt>
                <c:pt idx="363" formatCode="0.00">
                  <c:v>3.2</c:v>
                </c:pt>
                <c:pt idx="364" formatCode="0.00">
                  <c:v>5.282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6609904"/>
        <c:axId val="476610296"/>
      </c:lineChart>
      <c:dateAx>
        <c:axId val="476609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610296"/>
        <c:crosses val="autoZero"/>
        <c:auto val="1"/>
        <c:lblOffset val="100"/>
        <c:baseTimeUnit val="days"/>
        <c:majorUnit val="1"/>
        <c:majorTimeUnit val="months"/>
      </c:dateAx>
      <c:valAx>
        <c:axId val="47661029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60990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2.3271460905971431E-5</c:v>
                </c:pt>
                <c:pt idx="214">
                  <c:v>4.6542380251035631E-5</c:v>
                </c:pt>
                <c:pt idx="215">
                  <c:v>6.9812758047849144E-5</c:v>
                </c:pt>
                <c:pt idx="216">
                  <c:v>9.3082594308957489E-5</c:v>
                </c:pt>
                <c:pt idx="217">
                  <c:v>1.1635188904701721E-4</c:v>
                </c:pt>
                <c:pt idx="218">
                  <c:v>1.396206422744628E-4</c:v>
                </c:pt>
                <c:pt idx="219">
                  <c:v>1.6288885400417286E-4</c:v>
                </c:pt>
                <c:pt idx="220">
                  <c:v>1.8615652424858187E-4</c:v>
                </c:pt>
                <c:pt idx="221">
                  <c:v>2.0942365302023536E-4</c:v>
                </c:pt>
                <c:pt idx="222">
                  <c:v>2.3269024033190089E-4</c:v>
                </c:pt>
                <c:pt idx="223">
                  <c:v>2.5595628619601296E-4</c:v>
                </c:pt>
                <c:pt idx="224">
                  <c:v>2.7922179062522812E-4</c:v>
                </c:pt>
                <c:pt idx="225">
                  <c:v>3.0248675363231392E-4</c:v>
                </c:pt>
                <c:pt idx="226">
                  <c:v>3.2575117522959385E-4</c:v>
                </c:pt>
                <c:pt idx="227">
                  <c:v>3.4901505542983546E-4</c:v>
                </c:pt>
                <c:pt idx="228">
                  <c:v>3.7227839424558429E-4</c:v>
                </c:pt>
                <c:pt idx="229">
                  <c:v>3.9554119168949686E-4</c:v>
                </c:pt>
                <c:pt idx="230">
                  <c:v>4.1880344777400769E-4</c:v>
                </c:pt>
                <c:pt idx="231">
                  <c:v>4.4206516251199535E-4</c:v>
                </c:pt>
                <c:pt idx="232">
                  <c:v>4.6532633591578332E-4</c:v>
                </c:pt>
                <c:pt idx="233">
                  <c:v>4.8858696799813917E-4</c:v>
                </c:pt>
                <c:pt idx="234">
                  <c:v>5.1184705877160841E-4</c:v>
                </c:pt>
                <c:pt idx="235">
                  <c:v>5.3510660824873657E-4</c:v>
                </c:pt>
                <c:pt idx="236">
                  <c:v>5.5836561644218019E-4</c:v>
                </c:pt>
                <c:pt idx="237">
                  <c:v>5.8162408336459581E-4</c:v>
                </c:pt>
                <c:pt idx="238">
                  <c:v>6.0488200902841793E-4</c:v>
                </c:pt>
                <c:pt idx="239">
                  <c:v>6.2813939344641412E-4</c:v>
                </c:pt>
                <c:pt idx="240">
                  <c:v>6.5139623663101887E-4</c:v>
                </c:pt>
                <c:pt idx="241">
                  <c:v>6.7465253859488872E-4</c:v>
                </c:pt>
                <c:pt idx="242">
                  <c:v>6.9790829935068022E-4</c:v>
                </c:pt>
                <c:pt idx="243">
                  <c:v>7.2116351891104991E-4</c:v>
                </c:pt>
                <c:pt idx="244">
                  <c:v>7.4441819728832126E-4</c:v>
                </c:pt>
                <c:pt idx="245">
                  <c:v>7.6767233449537287E-4</c:v>
                </c:pt>
                <c:pt idx="246">
                  <c:v>7.9092593054463922E-4</c:v>
                </c:pt>
                <c:pt idx="247">
                  <c:v>8.1417898544866585E-4</c:v>
                </c:pt>
                <c:pt idx="248">
                  <c:v>8.3743149922022031E-4</c:v>
                </c:pt>
                <c:pt idx="249">
                  <c:v>8.6068347187184813E-4</c:v>
                </c:pt>
                <c:pt idx="250">
                  <c:v>8.839349034159838E-4</c:v>
                </c:pt>
                <c:pt idx="251">
                  <c:v>9.0718579386550591E-4</c:v>
                </c:pt>
                <c:pt idx="252">
                  <c:v>9.3043614323273793E-4</c:v>
                </c:pt>
                <c:pt idx="253">
                  <c:v>9.5368595153033642E-4</c:v>
                </c:pt>
                <c:pt idx="254">
                  <c:v>9.769352187709579E-4</c:v>
                </c:pt>
                <c:pt idx="255">
                  <c:v>1.0001839449671479E-3</c:v>
                </c:pt>
                <c:pt idx="256">
                  <c:v>1.023432130131563E-3</c:v>
                </c:pt>
                <c:pt idx="257">
                  <c:v>1.0466797742767486E-3</c:v>
                </c:pt>
                <c:pt idx="258">
                  <c:v>1.0699268774152504E-3</c:v>
                </c:pt>
                <c:pt idx="259">
                  <c:v>1.0931734395597248E-3</c:v>
                </c:pt>
                <c:pt idx="260">
                  <c:v>1.1164194607228284E-3</c:v>
                </c:pt>
                <c:pt idx="261">
                  <c:v>1.1396649409168846E-3</c:v>
                </c:pt>
                <c:pt idx="262">
                  <c:v>1.1629098801547721E-3</c:v>
                </c:pt>
                <c:pt idx="263">
                  <c:v>1.1861542784489254E-3</c:v>
                </c:pt>
                <c:pt idx="264">
                  <c:v>1.209398135812001E-3</c:v>
                </c:pt>
                <c:pt idx="265">
                  <c:v>1.2326414522565443E-3</c:v>
                </c:pt>
                <c:pt idx="266">
                  <c:v>1.255884227795101E-3</c:v>
                </c:pt>
                <c:pt idx="267">
                  <c:v>1.2791264624404386E-3</c:v>
                </c:pt>
                <c:pt idx="268">
                  <c:v>1.3023681562048806E-3</c:v>
                </c:pt>
                <c:pt idx="269">
                  <c:v>1.3256093091013055E-3</c:v>
                </c:pt>
                <c:pt idx="270">
                  <c:v>1.3488499211420368E-3</c:v>
                </c:pt>
                <c:pt idx="271">
                  <c:v>1.3720899923398422E-3</c:v>
                </c:pt>
                <c:pt idx="272">
                  <c:v>1.395329522707156E-3</c:v>
                </c:pt>
                <c:pt idx="273">
                  <c:v>1.418568512256746E-3</c:v>
                </c:pt>
                <c:pt idx="274">
                  <c:v>1.4418069610010464E-3</c:v>
                </c:pt>
                <c:pt idx="275">
                  <c:v>1.465044868952603E-3</c:v>
                </c:pt>
                <c:pt idx="276">
                  <c:v>1.4882822361241832E-3</c:v>
                </c:pt>
                <c:pt idx="277">
                  <c:v>1.5115190625283326E-3</c:v>
                </c:pt>
                <c:pt idx="278">
                  <c:v>1.5347553481774856E-3</c:v>
                </c:pt>
                <c:pt idx="279">
                  <c:v>1.5579910930844099E-3</c:v>
                </c:pt>
                <c:pt idx="280">
                  <c:v>1.5812262972615398E-3</c:v>
                </c:pt>
                <c:pt idx="281">
                  <c:v>1.6044609607216431E-3</c:v>
                </c:pt>
                <c:pt idx="282">
                  <c:v>1.6276950834770432E-3</c:v>
                </c:pt>
                <c:pt idx="283">
                  <c:v>1.6509286655405075E-3</c:v>
                </c:pt>
                <c:pt idx="284">
                  <c:v>1.6741617069245818E-3</c:v>
                </c:pt>
                <c:pt idx="285">
                  <c:v>1.6973942076418114E-3</c:v>
                </c:pt>
                <c:pt idx="286">
                  <c:v>1.7206261677048529E-3</c:v>
                </c:pt>
                <c:pt idx="287">
                  <c:v>1.7438575871262518E-3</c:v>
                </c:pt>
                <c:pt idx="288">
                  <c:v>1.7670884659185537E-3</c:v>
                </c:pt>
                <c:pt idx="289">
                  <c:v>1.7903188040944151E-3</c:v>
                </c:pt>
                <c:pt idx="290">
                  <c:v>1.8135486016662705E-3</c:v>
                </c:pt>
                <c:pt idx="291">
                  <c:v>1.8367778586468875E-3</c:v>
                </c:pt>
                <c:pt idx="292">
                  <c:v>1.8600065750488115E-3</c:v>
                </c:pt>
                <c:pt idx="293">
                  <c:v>1.8832347508844771E-3</c:v>
                </c:pt>
                <c:pt idx="294">
                  <c:v>1.9064623861665408E-3</c:v>
                </c:pt>
                <c:pt idx="295">
                  <c:v>1.9296894809076592E-3</c:v>
                </c:pt>
                <c:pt idx="296">
                  <c:v>1.9529160351202668E-3</c:v>
                </c:pt>
                <c:pt idx="297">
                  <c:v>1.9761420488171311E-3</c:v>
                </c:pt>
                <c:pt idx="298">
                  <c:v>1.9993675220106866E-3</c:v>
                </c:pt>
                <c:pt idx="299">
                  <c:v>2.0225924547134788E-3</c:v>
                </c:pt>
                <c:pt idx="300">
                  <c:v>2.0458168469382754E-3</c:v>
                </c:pt>
                <c:pt idx="301">
                  <c:v>2.0690406986973997E-3</c:v>
                </c:pt>
                <c:pt idx="302">
                  <c:v>2.0922640100036194E-3</c:v>
                </c:pt>
                <c:pt idx="303">
                  <c:v>2.1154867808694799E-3</c:v>
                </c:pt>
                <c:pt idx="304">
                  <c:v>2.1387090113076379E-3</c:v>
                </c:pt>
                <c:pt idx="305">
                  <c:v>2.1619307013304168E-3</c:v>
                </c:pt>
                <c:pt idx="306">
                  <c:v>2.1851518509505841E-3</c:v>
                </c:pt>
                <c:pt idx="307">
                  <c:v>2.2083724601806853E-3</c:v>
                </c:pt>
                <c:pt idx="308">
                  <c:v>2.2315925290332661E-3</c:v>
                </c:pt>
                <c:pt idx="309">
                  <c:v>2.2548120575209829E-3</c:v>
                </c:pt>
                <c:pt idx="310">
                  <c:v>2.2780310456562702E-3</c:v>
                </c:pt>
                <c:pt idx="311">
                  <c:v>2.3012494934518957E-3</c:v>
                </c:pt>
                <c:pt idx="312">
                  <c:v>2.3244674009201827E-3</c:v>
                </c:pt>
                <c:pt idx="313">
                  <c:v>2.3476847680738988E-3</c:v>
                </c:pt>
                <c:pt idx="314">
                  <c:v>2.3709015949255896E-3</c:v>
                </c:pt>
                <c:pt idx="315">
                  <c:v>2.3941178814878006E-3</c:v>
                </c:pt>
                <c:pt idx="316">
                  <c:v>2.4173336277730773E-3</c:v>
                </c:pt>
                <c:pt idx="317">
                  <c:v>2.4405488337940762E-3</c:v>
                </c:pt>
                <c:pt idx="318">
                  <c:v>2.4637634995632318E-3</c:v>
                </c:pt>
                <c:pt idx="319">
                  <c:v>2.4869776250933118E-3</c:v>
                </c:pt>
                <c:pt idx="320">
                  <c:v>2.5101912103966395E-3</c:v>
                </c:pt>
                <c:pt idx="321">
                  <c:v>2.5334042554859826E-3</c:v>
                </c:pt>
                <c:pt idx="322">
                  <c:v>2.5566167603738865E-3</c:v>
                </c:pt>
                <c:pt idx="323">
                  <c:v>2.5798287250728968E-3</c:v>
                </c:pt>
                <c:pt idx="324">
                  <c:v>2.6030401495955591E-3</c:v>
                </c:pt>
                <c:pt idx="325">
                  <c:v>2.6262510339544187E-3</c:v>
                </c:pt>
                <c:pt idx="326">
                  <c:v>2.6494613781621323E-3</c:v>
                </c:pt>
                <c:pt idx="327">
                  <c:v>2.6726711822312454E-3</c:v>
                </c:pt>
                <c:pt idx="328">
                  <c:v>2.6958804461743036E-3</c:v>
                </c:pt>
                <c:pt idx="329">
                  <c:v>2.7190891700038522E-3</c:v>
                </c:pt>
                <c:pt idx="330">
                  <c:v>2.7422973537325479E-3</c:v>
                </c:pt>
                <c:pt idx="331">
                  <c:v>2.7655049973728252E-3</c:v>
                </c:pt>
                <c:pt idx="332">
                  <c:v>2.7887121009373406E-3</c:v>
                </c:pt>
                <c:pt idx="333">
                  <c:v>2.8119186644387506E-3</c:v>
                </c:pt>
                <c:pt idx="334">
                  <c:v>2.8351246878893788E-3</c:v>
                </c:pt>
                <c:pt idx="335">
                  <c:v>2.8583301713021037E-3</c:v>
                </c:pt>
                <c:pt idx="336">
                  <c:v>2.8815351146892487E-3</c:v>
                </c:pt>
                <c:pt idx="337">
                  <c:v>2.9047395180633595E-3</c:v>
                </c:pt>
                <c:pt idx="338">
                  <c:v>2.9279433814372036E-3</c:v>
                </c:pt>
                <c:pt idx="339">
                  <c:v>2.9511467048233264E-3</c:v>
                </c:pt>
                <c:pt idx="340">
                  <c:v>2.9743494882340515E-3</c:v>
                </c:pt>
                <c:pt idx="341">
                  <c:v>2.9975517316822575E-3</c:v>
                </c:pt>
                <c:pt idx="342">
                  <c:v>3.0207534351802678E-3</c:v>
                </c:pt>
                <c:pt idx="343">
                  <c:v>3.043954598740739E-3</c:v>
                </c:pt>
                <c:pt idx="344">
                  <c:v>3.0671552223763277E-3</c:v>
                </c:pt>
                <c:pt idx="345">
                  <c:v>3.0903553060994682E-3</c:v>
                </c:pt>
                <c:pt idx="346">
                  <c:v>3.1135548499227061E-3</c:v>
                </c:pt>
                <c:pt idx="347">
                  <c:v>3.1367538538586981E-3</c:v>
                </c:pt>
                <c:pt idx="348">
                  <c:v>3.1599523179199895E-3</c:v>
                </c:pt>
                <c:pt idx="349">
                  <c:v>3.183150242119126E-3</c:v>
                </c:pt>
                <c:pt idx="350">
                  <c:v>3.206347626468764E-3</c:v>
                </c:pt>
                <c:pt idx="351">
                  <c:v>3.2295444709812271E-3</c:v>
                </c:pt>
                <c:pt idx="352">
                  <c:v>3.2527407756692828E-3</c:v>
                </c:pt>
                <c:pt idx="353">
                  <c:v>3.2759365405454766E-3</c:v>
                </c:pt>
                <c:pt idx="354">
                  <c:v>3.299131765622354E-3</c:v>
                </c:pt>
                <c:pt idx="355">
                  <c:v>3.3223264509124606E-3</c:v>
                </c:pt>
                <c:pt idx="356">
                  <c:v>3.3455205964282309E-3</c:v>
                </c:pt>
                <c:pt idx="357">
                  <c:v>3.3687142021824323E-3</c:v>
                </c:pt>
                <c:pt idx="358">
                  <c:v>3.3919072681876106E-3</c:v>
                </c:pt>
                <c:pt idx="359">
                  <c:v>3.4150997944562E-3</c:v>
                </c:pt>
                <c:pt idx="360">
                  <c:v>3.4382917810007463E-3</c:v>
                </c:pt>
                <c:pt idx="361">
                  <c:v>3.4614832278340169E-3</c:v>
                </c:pt>
                <c:pt idx="362">
                  <c:v>3.4846741349683352E-3</c:v>
                </c:pt>
                <c:pt idx="363">
                  <c:v>3.507864502416469E-3</c:v>
                </c:pt>
                <c:pt idx="364">
                  <c:v>3.5310543301907416E-3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2.4609239568395408E-4</c:v>
                </c:pt>
                <c:pt idx="214">
                  <c:v>4.9190401202021158E-4</c:v>
                </c:pt>
                <c:pt idx="215">
                  <c:v>7.3743258401956795E-4</c:v>
                </c:pt>
                <c:pt idx="216">
                  <c:v>9.8267598440006463E-4</c:v>
                </c:pt>
                <c:pt idx="217">
                  <c:v>1.2276321871482429E-3</c:v>
                </c:pt>
                <c:pt idx="218">
                  <c:v>1.4722992331848797E-3</c:v>
                </c:pt>
                <c:pt idx="219">
                  <c:v>1.7166751982972382E-3</c:v>
                </c:pt>
                <c:pt idx="220">
                  <c:v>1.9607581634538871E-3</c:v>
                </c:pt>
                <c:pt idx="221">
                  <c:v>2.204546187571424E-3</c:v>
                </c:pt>
                <c:pt idx="222">
                  <c:v>2.4480372827571594E-3</c:v>
                </c:pt>
                <c:pt idx="223">
                  <c:v>2.6912293920074012E-3</c:v>
                </c:pt>
                <c:pt idx="224">
                  <c:v>2.9341203692994089E-3</c:v>
                </c:pt>
                <c:pt idx="225">
                  <c:v>3.1767079619744627E-3</c:v>
                </c:pt>
                <c:pt idx="226">
                  <c:v>3.4189897952745974E-3</c:v>
                </c:pt>
                <c:pt idx="227">
                  <c:v>3.6609633588611514E-3</c:v>
                </c:pt>
                <c:pt idx="228">
                  <c:v>3.9026259951164843E-3</c:v>
                </c:pt>
                <c:pt idx="229">
                  <c:v>4.1439748890046745E-3</c:v>
                </c:pt>
                <c:pt idx="230">
                  <c:v>4.3850070592488452E-3</c:v>
                </c:pt>
                <c:pt idx="231">
                  <c:v>4.625719350568663E-3</c:v>
                </c:pt>
                <c:pt idx="232">
                  <c:v>4.8661084267122628E-3</c:v>
                </c:pt>
                <c:pt idx="233">
                  <c:v>5.1061707640148507E-3</c:v>
                </c:pt>
                <c:pt idx="234">
                  <c:v>5.345902645217413E-3</c:v>
                </c:pt>
                <c:pt idx="235">
                  <c:v>5.5853001532878864E-3</c:v>
                </c:pt>
                <c:pt idx="236">
                  <c:v>5.8243591649994623E-3</c:v>
                </c:pt>
                <c:pt idx="237">
                  <c:v>6.0630753440400979E-3</c:v>
                </c:pt>
                <c:pt idx="238">
                  <c:v>6.3014441334496452E-3</c:v>
                </c:pt>
                <c:pt idx="239">
                  <c:v>6.5394607472098543E-3</c:v>
                </c:pt>
                <c:pt idx="240">
                  <c:v>6.7771201608444031E-3</c:v>
                </c:pt>
                <c:pt idx="241">
                  <c:v>7.0144171009216003E-3</c:v>
                </c:pt>
                <c:pt idx="242">
                  <c:v>7.2513460333923762E-3</c:v>
                </c:pt>
                <c:pt idx="243">
                  <c:v>7.4879011507370434E-3</c:v>
                </c:pt>
                <c:pt idx="244">
                  <c:v>7.724076357938761E-3</c:v>
                </c:pt>
                <c:pt idx="245">
                  <c:v>7.9598652573465295E-3</c:v>
                </c:pt>
                <c:pt idx="246">
                  <c:v>8.1952611325363141E-3</c:v>
                </c:pt>
                <c:pt idx="247">
                  <c:v>8.4302569313248251E-3</c:v>
                </c:pt>
                <c:pt idx="248">
                  <c:v>8.6648452481355494E-3</c:v>
                </c:pt>
                <c:pt idx="249">
                  <c:v>8.8990183059604756E-3</c:v>
                </c:pt>
                <c:pt idx="250">
                  <c:v>9.1327679382019709E-3</c:v>
                </c:pt>
                <c:pt idx="251">
                  <c:v>9.3660855707185832E-3</c:v>
                </c:pt>
                <c:pt idx="252">
                  <c:v>9.598962204432954E-3</c:v>
                </c:pt>
                <c:pt idx="253">
                  <c:v>9.8313883988921814E-3</c:v>
                </c:pt>
                <c:pt idx="254">
                  <c:v>1.0063354257195799E-2</c:v>
                </c:pt>
                <c:pt idx="255">
                  <c:v>1.0294849412729099E-2</c:v>
                </c:pt>
                <c:pt idx="256">
                  <c:v>1.0525863018153982E-2</c:v>
                </c:pt>
                <c:pt idx="257">
                  <c:v>1.0756383737119145E-2</c:v>
                </c:pt>
                <c:pt idx="258">
                  <c:v>1.0986399739153904E-2</c:v>
                </c:pt>
                <c:pt idx="259">
                  <c:v>1.1215898698206639E-2</c:v>
                </c:pt>
                <c:pt idx="260">
                  <c:v>1.1444867795277321E-2</c:v>
                </c:pt>
                <c:pt idx="261">
                  <c:v>1.1673293725576104E-2</c:v>
                </c:pt>
                <c:pt idx="262">
                  <c:v>1.19011627106157E-2</c:v>
                </c:pt>
                <c:pt idx="263">
                  <c:v>1.2128460515612447E-2</c:v>
                </c:pt>
                <c:pt idx="264">
                  <c:v>1.2355172472534003E-2</c:v>
                </c:pt>
                <c:pt idx="265">
                  <c:v>1.2581283509085722E-2</c:v>
                </c:pt>
                <c:pt idx="266">
                  <c:v>1.2806778183877284E-2</c:v>
                </c:pt>
                <c:pt idx="267">
                  <c:v>1.3031640727955089E-2</c:v>
                </c:pt>
                <c:pt idx="268">
                  <c:v>1.3255855092823191E-2</c:v>
                </c:pt>
                <c:pt idx="269">
                  <c:v>1.3479405005010601E-2</c:v>
                </c:pt>
                <c:pt idx="270">
                  <c:v>1.3702274027171614E-2</c:v>
                </c:pt>
                <c:pt idx="271">
                  <c:v>1.3924445625633743E-2</c:v>
                </c:pt>
                <c:pt idx="272">
                  <c:v>1.4145903244231201E-2</c:v>
                </c:pt>
                <c:pt idx="273">
                  <c:v>1.4366630384185711E-2</c:v>
                </c:pt>
                <c:pt idx="274">
                  <c:v>1.4586610689718062E-2</c:v>
                </c:pt>
                <c:pt idx="275">
                  <c:v>1.4805828038997073E-2</c:v>
                </c:pt>
                <c:pt idx="276">
                  <c:v>1.5024266639955177E-2</c:v>
                </c:pt>
                <c:pt idx="277">
                  <c:v>1.5241911130427147E-2</c:v>
                </c:pt>
                <c:pt idx="278">
                  <c:v>1.5458746681995299E-2</c:v>
                </c:pt>
                <c:pt idx="279">
                  <c:v>1.5674759106859223E-2</c:v>
                </c:pt>
                <c:pt idx="280">
                  <c:v>1.5889934966983592E-2</c:v>
                </c:pt>
                <c:pt idx="281">
                  <c:v>1.610426168472183E-2</c:v>
                </c:pt>
                <c:pt idx="282">
                  <c:v>1.6317727654062412E-2</c:v>
                </c:pt>
                <c:pt idx="283">
                  <c:v>1.6530322351600901E-2</c:v>
                </c:pt>
                <c:pt idx="284">
                  <c:v>1.6742036446305678E-2</c:v>
                </c:pt>
                <c:pt idx="285">
                  <c:v>1.6952861907117884E-2</c:v>
                </c:pt>
                <c:pt idx="286">
                  <c:v>1.7162792107407371E-2</c:v>
                </c:pt>
                <c:pt idx="287">
                  <c:v>1.7371821925298868E-2</c:v>
                </c:pt>
                <c:pt idx="288">
                  <c:v>1.7579947838881668E-2</c:v>
                </c:pt>
                <c:pt idx="289">
                  <c:v>1.7787168015328484E-2</c:v>
                </c:pt>
                <c:pt idx="290">
                  <c:v>1.7993482392969155E-2</c:v>
                </c:pt>
                <c:pt idx="291">
                  <c:v>1.819889275539565E-2</c:v>
                </c:pt>
                <c:pt idx="292">
                  <c:v>1.840340279671691E-2</c:v>
                </c:pt>
                <c:pt idx="293">
                  <c:v>1.860701817713125E-2</c:v>
                </c:pt>
                <c:pt idx="294">
                  <c:v>1.8809746568045869E-2</c:v>
                </c:pt>
                <c:pt idx="295">
                  <c:v>1.9011597686041489E-2</c:v>
                </c:pt>
                <c:pt idx="296">
                  <c:v>1.9212583315058009E-2</c:v>
                </c:pt>
                <c:pt idx="297">
                  <c:v>1.9412717316264146E-2</c:v>
                </c:pt>
                <c:pt idx="298">
                  <c:v>1.9612015625165478E-2</c:v>
                </c:pt>
                <c:pt idx="299">
                  <c:v>1.9810496235606281E-2</c:v>
                </c:pt>
                <c:pt idx="300">
                  <c:v>2.0008179170425137E-2</c:v>
                </c:pt>
                <c:pt idx="301">
                  <c:v>2.0205086438633793E-2</c:v>
                </c:pt>
                <c:pt idx="302">
                  <c:v>2.0401241979102612E-2</c:v>
                </c:pt>
                <c:pt idx="303">
                  <c:v>2.0596671590850865E-2</c:v>
                </c:pt>
                <c:pt idx="304">
                  <c:v>2.0791402850158479E-2</c:v>
                </c:pt>
                <c:pt idx="305">
                  <c:v>2.0985465014831929E-2</c:v>
                </c:pt>
                <c:pt idx="306">
                  <c:v>2.1178888916074012E-2</c:v>
                </c:pt>
                <c:pt idx="307">
                  <c:v>2.1371706838521815E-2</c:v>
                </c:pt>
                <c:pt idx="308">
                  <c:v>2.1563952389127682E-2</c:v>
                </c:pt>
                <c:pt idx="309">
                  <c:v>2.1755660355664654E-2</c:v>
                </c:pt>
                <c:pt idx="310">
                  <c:v>2.1946866555739426E-2</c:v>
                </c:pt>
                <c:pt idx="311">
                  <c:v>2.2137607677289436E-2</c:v>
                </c:pt>
                <c:pt idx="312">
                  <c:v>2.2327921111628523E-2</c:v>
                </c:pt>
                <c:pt idx="313">
                  <c:v>2.2517844780182903E-2</c:v>
                </c:pt>
                <c:pt idx="314">
                  <c:v>2.2707416956128539E-2</c:v>
                </c:pt>
                <c:pt idx="315">
                  <c:v>2.2896676082199242E-2</c:v>
                </c:pt>
                <c:pt idx="316">
                  <c:v>2.3085660585982569E-2</c:v>
                </c:pt>
                <c:pt idx="317">
                  <c:v>2.3274408694056593E-2</c:v>
                </c:pt>
                <c:pt idx="318">
                  <c:v>2.3462958246344576E-2</c:v>
                </c:pt>
                <c:pt idx="319">
                  <c:v>2.3651346512076406E-2</c:v>
                </c:pt>
                <c:pt idx="320">
                  <c:v>2.3839610008744874E-2</c:v>
                </c:pt>
                <c:pt idx="321">
                  <c:v>2.4027784325431088E-2</c:v>
                </c:pt>
                <c:pt idx="322">
                  <c:v>2.4215903951847167E-2</c:v>
                </c:pt>
                <c:pt idx="323">
                  <c:v>2.4404002114405739E-2</c:v>
                </c:pt>
                <c:pt idx="324">
                  <c:v>2.4592110620574262E-2</c:v>
                </c:pt>
                <c:pt idx="325">
                  <c:v>2.4780259712710147E-2</c:v>
                </c:pt>
                <c:pt idx="326">
                  <c:v>2.4968477932497374E-2</c:v>
                </c:pt>
                <c:pt idx="327">
                  <c:v>2.515679199702147E-2</c:v>
                </c:pt>
                <c:pt idx="328">
                  <c:v>2.5345226687424026E-2</c:v>
                </c:pt>
                <c:pt idx="329">
                  <c:v>2.5533804750974651E-2</c:v>
                </c:pt>
                <c:pt idx="330">
                  <c:v>2.5722546817285651E-2</c:v>
                </c:pt>
                <c:pt idx="331">
                  <c:v>2.5911471329276452E-2</c:v>
                </c:pt>
                <c:pt idx="332">
                  <c:v>2.6100594489368738E-2</c:v>
                </c:pt>
                <c:pt idx="333">
                  <c:v>2.6289930221264364E-2</c:v>
                </c:pt>
                <c:pt idx="334">
                  <c:v>2.6479490147524015E-2</c:v>
                </c:pt>
                <c:pt idx="335">
                  <c:v>2.6669283583029672E-2</c:v>
                </c:pt>
                <c:pt idx="336">
                  <c:v>2.6859317544276694E-2</c:v>
                </c:pt>
                <c:pt idx="337">
                  <c:v>2.7049596774305813E-2</c:v>
                </c:pt>
                <c:pt idx="338">
                  <c:v>2.7240123782950373E-2</c:v>
                </c:pt>
                <c:pt idx="339">
                  <c:v>2.7430898901942818E-2</c:v>
                </c:pt>
                <c:pt idx="340">
                  <c:v>2.7621920354297447E-2</c:v>
                </c:pt>
                <c:pt idx="341">
                  <c:v>2.7813184337264658E-2</c:v>
                </c:pt>
                <c:pt idx="342">
                  <c:v>2.8004685118036787E-2</c:v>
                </c:pt>
                <c:pt idx="343">
                  <c:v>2.8196415141279029E-2</c:v>
                </c:pt>
                <c:pt idx="344">
                  <c:v>2.8388365147460258E-2</c:v>
                </c:pt>
                <c:pt idx="345">
                  <c:v>2.8580524300870696E-2</c:v>
                </c:pt>
                <c:pt idx="346">
                  <c:v>2.8772880326135248E-2</c:v>
                </c:pt>
                <c:pt idx="347">
                  <c:v>2.896541965196581E-2</c:v>
                </c:pt>
                <c:pt idx="348">
                  <c:v>2.9158127560840942E-2</c:v>
                </c:pt>
                <c:pt idx="349">
                  <c:v>2.9350988343260789E-2</c:v>
                </c:pt>
                <c:pt idx="350">
                  <c:v>2.9543985455196112E-2</c:v>
                </c:pt>
                <c:pt idx="351">
                  <c:v>2.9737101677334999E-2</c:v>
                </c:pt>
                <c:pt idx="352">
                  <c:v>2.9930319274729628E-2</c:v>
                </c:pt>
                <c:pt idx="353">
                  <c:v>3.0123620155456242E-2</c:v>
                </c:pt>
                <c:pt idx="354">
                  <c:v>3.0316986026926826E-2</c:v>
                </c:pt>
                <c:pt idx="355">
                  <c:v>3.0510398548528484E-2</c:v>
                </c:pt>
                <c:pt idx="356">
                  <c:v>3.0703839479316361E-2</c:v>
                </c:pt>
                <c:pt idx="357">
                  <c:v>3.0897290819548635E-2</c:v>
                </c:pt>
                <c:pt idx="358">
                  <c:v>3.1090734944924907E-2</c:v>
                </c:pt>
                <c:pt idx="359">
                  <c:v>3.1284154732474062E-2</c:v>
                </c:pt>
                <c:pt idx="360">
                  <c:v>3.1477533677130069E-2</c:v>
                </c:pt>
                <c:pt idx="361">
                  <c:v>3.167085599813757E-2</c:v>
                </c:pt>
                <c:pt idx="362">
                  <c:v>3.1864106734538218E-2</c:v>
                </c:pt>
                <c:pt idx="363">
                  <c:v>3.2057271829104859E-2</c:v>
                </c:pt>
                <c:pt idx="364">
                  <c:v>3.2250338200212551E-2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'2018'!Pvg</c:f>
              <c:numCache>
                <c:formatCode>0.00%</c:formatCode>
                <c:ptCount val="366"/>
                <c:pt idx="0">
                  <c:v>2.2760147144448417E-8</c:v>
                </c:pt>
                <c:pt idx="1">
                  <c:v>5.7910848535932362E-7</c:v>
                </c:pt>
                <c:pt idx="2">
                  <c:v>1.1592814385957304E-6</c:v>
                </c:pt>
                <c:pt idx="3">
                  <c:v>1.7646730472581472E-6</c:v>
                </c:pt>
                <c:pt idx="4">
                  <c:v>2.3967662185242445E-6</c:v>
                </c:pt>
                <c:pt idx="5">
                  <c:v>3.0571357864592667E-6</c:v>
                </c:pt>
                <c:pt idx="6">
                  <c:v>3.7474516929645806E-6</c:v>
                </c:pt>
                <c:pt idx="7">
                  <c:v>4.4694823053203502E-6</c:v>
                </c:pt>
                <c:pt idx="8">
                  <c:v>5.2245013022508213E-6</c:v>
                </c:pt>
                <c:pt idx="9">
                  <c:v>6.0098385893859723E-6</c:v>
                </c:pt>
                <c:pt idx="10">
                  <c:v>6.823761843351309E-6</c:v>
                </c:pt>
                <c:pt idx="11">
                  <c:v>7.6660225504370688E-6</c:v>
                </c:pt>
                <c:pt idx="12">
                  <c:v>8.5364565372692783E-6</c:v>
                </c:pt>
                <c:pt idx="13">
                  <c:v>9.4349894125170683E-6</c:v>
                </c:pt>
                <c:pt idx="14">
                  <c:v>1.0361640881883173E-5</c:v>
                </c:pt>
                <c:pt idx="15">
                  <c:v>1.1292150047489642E-5</c:v>
                </c:pt>
                <c:pt idx="16">
                  <c:v>1.2217298602021585E-5</c:v>
                </c:pt>
                <c:pt idx="17">
                  <c:v>1.3130634750746381E-5</c:v>
                </c:pt>
                <c:pt idx="18">
                  <c:v>1.4025526783410218E-5</c:v>
                </c:pt>
                <c:pt idx="19">
                  <c:v>1.4895224040977533E-5</c:v>
                </c:pt>
                <c:pt idx="20">
                  <c:v>1.5732805776881479E-5</c:v>
                </c:pt>
                <c:pt idx="21">
                  <c:v>1.6531045482387724E-5</c:v>
                </c:pt>
                <c:pt idx="22">
                  <c:v>1.7280554520018191E-5</c:v>
                </c:pt>
                <c:pt idx="23">
                  <c:v>1.7943969891725145E-5</c:v>
                </c:pt>
                <c:pt idx="24">
                  <c:v>1.8519977803656928E-5</c:v>
                </c:pt>
                <c:pt idx="25">
                  <c:v>1.8996693784048707E-5</c:v>
                </c:pt>
                <c:pt idx="26">
                  <c:v>1.9361755626801205E-5</c:v>
                </c:pt>
                <c:pt idx="27">
                  <c:v>1.9602283973556695E-5</c:v>
                </c:pt>
                <c:pt idx="28">
                  <c:v>1.9704839025634901E-5</c:v>
                </c:pt>
                <c:pt idx="29">
                  <c:v>1.9685567453179286E-5</c:v>
                </c:pt>
                <c:pt idx="30">
                  <c:v>1.9591614264438139E-5</c:v>
                </c:pt>
                <c:pt idx="31">
                  <c:v>1.9419862971640624E-5</c:v>
                </c:pt>
                <c:pt idx="32">
                  <c:v>1.9167018209895422E-5</c:v>
                </c:pt>
                <c:pt idx="33">
                  <c:v>1.882958862777502E-5</c:v>
                </c:pt>
                <c:pt idx="34">
                  <c:v>1.8403869334078279E-5</c:v>
                </c:pt>
                <c:pt idx="35">
                  <c:v>1.7885923816309809E-5</c:v>
                </c:pt>
                <c:pt idx="36">
                  <c:v>1.7271200910624296E-5</c:v>
                </c:pt>
                <c:pt idx="37">
                  <c:v>1.6620640625958745E-5</c:v>
                </c:pt>
                <c:pt idx="38">
                  <c:v>1.5991197235467816E-5</c:v>
                </c:pt>
                <c:pt idx="39">
                  <c:v>1.5392643710625864E-5</c:v>
                </c:pt>
                <c:pt idx="40">
                  <c:v>1.4835292655083201E-5</c:v>
                </c:pt>
                <c:pt idx="41">
                  <c:v>1.4330026071362151E-5</c:v>
                </c:pt>
                <c:pt idx="42">
                  <c:v>1.3888326177870986E-5</c:v>
                </c:pt>
                <c:pt idx="43">
                  <c:v>1.3551746654348656E-5</c:v>
                </c:pt>
                <c:pt idx="44">
                  <c:v>1.3280921241450593E-5</c:v>
                </c:pt>
                <c:pt idx="45">
                  <c:v>1.3086649634967459E-5</c:v>
                </c:pt>
                <c:pt idx="46">
                  <c:v>1.2980324390517619E-5</c:v>
                </c:pt>
                <c:pt idx="47">
                  <c:v>1.2973960944205904E-5</c:v>
                </c:pt>
                <c:pt idx="48">
                  <c:v>1.308022878780669E-5</c:v>
                </c:pt>
                <c:pt idx="49">
                  <c:v>1.3312483836835179E-5</c:v>
                </c:pt>
                <c:pt idx="50">
                  <c:v>1.3684520738798912E-5</c:v>
                </c:pt>
                <c:pt idx="51">
                  <c:v>1.4212977397153135E-5</c:v>
                </c:pt>
                <c:pt idx="52">
                  <c:v>1.4799875296928327E-5</c:v>
                </c:pt>
                <c:pt idx="53">
                  <c:v>1.5450219161575314E-5</c:v>
                </c:pt>
                <c:pt idx="54">
                  <c:v>1.6169351313477482E-5</c:v>
                </c:pt>
                <c:pt idx="55">
                  <c:v>1.6962902451922173E-5</c:v>
                </c:pt>
                <c:pt idx="56">
                  <c:v>1.7836811543318854E-5</c:v>
                </c:pt>
                <c:pt idx="57">
                  <c:v>1.8793589299053956E-5</c:v>
                </c:pt>
                <c:pt idx="58">
                  <c:v>1.9790079972106118E-5</c:v>
                </c:pt>
                <c:pt idx="59">
                  <c:v>2.0827957999724436E-5</c:v>
                </c:pt>
                <c:pt idx="60">
                  <c:v>2.1908984376174501E-5</c:v>
                </c:pt>
                <c:pt idx="61">
                  <c:v>2.3035010438559724E-5</c:v>
                </c:pt>
                <c:pt idx="62">
                  <c:v>2.4207981844791831E-5</c:v>
                </c:pt>
                <c:pt idx="63">
                  <c:v>2.5429942766228495E-5</c:v>
                </c:pt>
                <c:pt idx="64">
                  <c:v>2.6701306956455412E-5</c:v>
                </c:pt>
                <c:pt idx="65">
                  <c:v>2.8007252192533236E-5</c:v>
                </c:pt>
                <c:pt idx="66">
                  <c:v>2.9345222340348912E-5</c:v>
                </c:pt>
                <c:pt idx="67">
                  <c:v>3.0715592773804448E-5</c:v>
                </c:pt>
                <c:pt idx="68">
                  <c:v>3.2118752566060731E-5</c:v>
                </c:pt>
                <c:pt idx="69">
                  <c:v>3.3555101287267649E-5</c:v>
                </c:pt>
                <c:pt idx="70">
                  <c:v>3.5025045559943809E-5</c:v>
                </c:pt>
                <c:pt idx="71">
                  <c:v>3.6500529365667098E-5</c:v>
                </c:pt>
                <c:pt idx="72">
                  <c:v>3.7985308862509309E-5</c:v>
                </c:pt>
                <c:pt idx="73">
                  <c:v>3.9477465564825903E-5</c:v>
                </c:pt>
                <c:pt idx="74">
                  <c:v>4.0974922613123769E-5</c:v>
                </c:pt>
                <c:pt idx="75">
                  <c:v>4.247542853560168E-5</c:v>
                </c:pt>
                <c:pt idx="76">
                  <c:v>4.397653994895973E-5</c:v>
                </c:pt>
                <c:pt idx="77">
                  <c:v>4.5475603127380206E-5</c:v>
                </c:pt>
                <c:pt idx="78">
                  <c:v>4.6966049819363123E-5</c:v>
                </c:pt>
                <c:pt idx="79">
                  <c:v>4.8416537778200252E-5</c:v>
                </c:pt>
                <c:pt idx="80">
                  <c:v>4.9845646418185521E-5</c:v>
                </c:pt>
                <c:pt idx="81">
                  <c:v>5.1249384204247501E-5</c:v>
                </c:pt>
                <c:pt idx="82">
                  <c:v>5.2623477507083374E-5</c:v>
                </c:pt>
                <c:pt idx="83">
                  <c:v>5.3963343897814392E-5</c:v>
                </c:pt>
                <c:pt idx="84">
                  <c:v>5.526406373838333E-5</c:v>
                </c:pt>
                <c:pt idx="85">
                  <c:v>5.6499274957299871E-5</c:v>
                </c:pt>
                <c:pt idx="86">
                  <c:v>5.7706907616131997E-5</c:v>
                </c:pt>
                <c:pt idx="87">
                  <c:v>5.8883064972959459E-5</c:v>
                </c:pt>
                <c:pt idx="88">
                  <c:v>6.0023531833367335E-5</c:v>
                </c:pt>
                <c:pt idx="89">
                  <c:v>6.1123747872060712E-5</c:v>
                </c:pt>
                <c:pt idx="90">
                  <c:v>6.2178779177176244E-5</c:v>
                </c:pt>
                <c:pt idx="91">
                  <c:v>6.3183287848024748E-5</c:v>
                </c:pt>
                <c:pt idx="92">
                  <c:v>6.4127863290463818E-5</c:v>
                </c:pt>
                <c:pt idx="93">
                  <c:v>6.4979666199785037E-5</c:v>
                </c:pt>
                <c:pt idx="94">
                  <c:v>6.5768383845123165E-5</c:v>
                </c:pt>
                <c:pt idx="95">
                  <c:v>6.6487470688972135E-5</c:v>
                </c:pt>
                <c:pt idx="96">
                  <c:v>6.7129948623714249E-5</c:v>
                </c:pt>
                <c:pt idx="97">
                  <c:v>6.7688383804026883E-5</c:v>
                </c:pt>
                <c:pt idx="98">
                  <c:v>6.8154862570941524E-5</c:v>
                </c:pt>
                <c:pt idx="99">
                  <c:v>6.8522319236517936E-5</c:v>
                </c:pt>
                <c:pt idx="100">
                  <c:v>6.8815872212245772E-5</c:v>
                </c:pt>
                <c:pt idx="101">
                  <c:v>6.9029454715095132E-5</c:v>
                </c:pt>
                <c:pt idx="102">
                  <c:v>6.9156639146823263E-5</c:v>
                </c:pt>
                <c:pt idx="103">
                  <c:v>6.9190620575453865E-5</c:v>
                </c:pt>
                <c:pt idx="104">
                  <c:v>6.9124199758607561E-5</c:v>
                </c:pt>
                <c:pt idx="105">
                  <c:v>6.8949765722043816E-5</c:v>
                </c:pt>
                <c:pt idx="106">
                  <c:v>6.865740509890832E-5</c:v>
                </c:pt>
                <c:pt idx="107">
                  <c:v>6.8220990321647909E-5</c:v>
                </c:pt>
                <c:pt idx="108">
                  <c:v>6.7666336063493534E-5</c:v>
                </c:pt>
                <c:pt idx="109">
                  <c:v>6.698606701222369E-5</c:v>
                </c:pt>
                <c:pt idx="110">
                  <c:v>6.6172651230250881E-5</c:v>
                </c:pt>
                <c:pt idx="111">
                  <c:v>6.5218195359148141E-5</c:v>
                </c:pt>
                <c:pt idx="112">
                  <c:v>6.4114245113692882E-5</c:v>
                </c:pt>
                <c:pt idx="113">
                  <c:v>6.289599600280283E-5</c:v>
                </c:pt>
                <c:pt idx="114">
                  <c:v>6.1556265696528382E-5</c:v>
                </c:pt>
                <c:pt idx="115">
                  <c:v>6.008969438918273E-5</c:v>
                </c:pt>
                <c:pt idx="116">
                  <c:v>5.8490763208310844E-5</c:v>
                </c:pt>
                <c:pt idx="117">
                  <c:v>5.6753794962700787E-5</c:v>
                </c:pt>
                <c:pt idx="118">
                  <c:v>5.4872955246517669E-5</c:v>
                </c:pt>
                <c:pt idx="119">
                  <c:v>5.2842253888794591E-5</c:v>
                </c:pt>
                <c:pt idx="120">
                  <c:v>5.065565480121881E-5</c:v>
                </c:pt>
                <c:pt idx="121">
                  <c:v>4.8441409002350074E-5</c:v>
                </c:pt>
                <c:pt idx="122">
                  <c:v>4.623062620948628E-5</c:v>
                </c:pt>
                <c:pt idx="123">
                  <c:v>4.4032125169136105E-5</c:v>
                </c:pt>
                <c:pt idx="124">
                  <c:v>4.1855595626247581E-5</c:v>
                </c:pt>
                <c:pt idx="125">
                  <c:v>3.9711627244349532E-5</c:v>
                </c:pt>
                <c:pt idx="126">
                  <c:v>3.7611736412224579E-5</c:v>
                </c:pt>
                <c:pt idx="127">
                  <c:v>3.5626268438531461E-5</c:v>
                </c:pt>
                <c:pt idx="128">
                  <c:v>3.3703941319080015E-5</c:v>
                </c:pt>
                <c:pt idx="129">
                  <c:v>3.1858365626317185E-5</c:v>
                </c:pt>
                <c:pt idx="130">
                  <c:v>3.0104110334843989E-5</c:v>
                </c:pt>
                <c:pt idx="131">
                  <c:v>2.8456712274910622E-5</c:v>
                </c:pt>
                <c:pt idx="132">
                  <c:v>2.6932680889380355E-5</c:v>
                </c:pt>
                <c:pt idx="133">
                  <c:v>2.5549497827791596E-5</c:v>
                </c:pt>
                <c:pt idx="134">
                  <c:v>2.4326319694099343E-5</c:v>
                </c:pt>
                <c:pt idx="135">
                  <c:v>2.3310002672417699E-5</c:v>
                </c:pt>
                <c:pt idx="136">
                  <c:v>2.2312224222255325E-5</c:v>
                </c:pt>
                <c:pt idx="137">
                  <c:v>2.133859614421782E-5</c:v>
                </c:pt>
                <c:pt idx="138">
                  <c:v>2.039510255741495E-5</c:v>
                </c:pt>
                <c:pt idx="139">
                  <c:v>1.948810005511945E-5</c:v>
                </c:pt>
                <c:pt idx="140">
                  <c:v>1.8624315909669985E-5</c:v>
                </c:pt>
                <c:pt idx="141">
                  <c:v>1.7859002219449518E-5</c:v>
                </c:pt>
                <c:pt idx="142">
                  <c:v>1.7114669157367896E-5</c:v>
                </c:pt>
                <c:pt idx="143">
                  <c:v>1.6395967718605415E-5</c:v>
                </c:pt>
                <c:pt idx="144">
                  <c:v>1.5707903895934159E-5</c:v>
                </c:pt>
                <c:pt idx="145">
                  <c:v>1.5055720359595493E-5</c:v>
                </c:pt>
                <c:pt idx="146">
                  <c:v>1.444488873324369E-5</c:v>
                </c:pt>
                <c:pt idx="147">
                  <c:v>1.3881100298488412E-5</c:v>
                </c:pt>
                <c:pt idx="148">
                  <c:v>1.3370530384747448E-5</c:v>
                </c:pt>
                <c:pt idx="149">
                  <c:v>1.2947444956731343E-5</c:v>
                </c:pt>
                <c:pt idx="150">
                  <c:v>1.2580312381907554E-5</c:v>
                </c:pt>
                <c:pt idx="151">
                  <c:v>1.227478393178714E-5</c:v>
                </c:pt>
                <c:pt idx="152">
                  <c:v>1.2036665174986175E-5</c:v>
                </c:pt>
                <c:pt idx="153">
                  <c:v>1.1871903662507129E-5</c:v>
                </c:pt>
                <c:pt idx="154">
                  <c:v>1.178657565429072E-5</c:v>
                </c:pt>
                <c:pt idx="155">
                  <c:v>1.1798269276797696E-5</c:v>
                </c:pt>
                <c:pt idx="156">
                  <c:v>1.1844663904712304E-5</c:v>
                </c:pt>
                <c:pt idx="157">
                  <c:v>1.192837039158701E-5</c:v>
                </c:pt>
                <c:pt idx="158">
                  <c:v>1.2052036245878107E-5</c:v>
                </c:pt>
                <c:pt idx="159">
                  <c:v>1.2218338832830778E-5</c:v>
                </c:pt>
                <c:pt idx="160">
                  <c:v>1.2429978348616634E-5</c:v>
                </c:pt>
                <c:pt idx="161">
                  <c:v>1.2689670609307944E-5</c:v>
                </c:pt>
                <c:pt idx="162">
                  <c:v>1.3000350664928868E-5</c:v>
                </c:pt>
                <c:pt idx="163">
                  <c:v>1.3352194677515563E-5</c:v>
                </c:pt>
                <c:pt idx="164">
                  <c:v>1.370868860949835E-5</c:v>
                </c:pt>
                <c:pt idx="165">
                  <c:v>1.4069686245575482E-5</c:v>
                </c:pt>
                <c:pt idx="166">
                  <c:v>1.4435036735614283E-5</c:v>
                </c:pt>
                <c:pt idx="167">
                  <c:v>1.4804585087798912E-5</c:v>
                </c:pt>
                <c:pt idx="168">
                  <c:v>1.5178172669819348E-5</c:v>
                </c:pt>
                <c:pt idx="169">
                  <c:v>1.5541388765731181E-5</c:v>
                </c:pt>
                <c:pt idx="170">
                  <c:v>1.5878108668235515E-5</c:v>
                </c:pt>
                <c:pt idx="171">
                  <c:v>1.6186684057876045E-5</c:v>
                </c:pt>
                <c:pt idx="172">
                  <c:v>1.6465479942112219E-5</c:v>
                </c:pt>
                <c:pt idx="173">
                  <c:v>1.6712707450242978E-5</c:v>
                </c:pt>
                <c:pt idx="174">
                  <c:v>1.6926580363397955E-5</c:v>
                </c:pt>
                <c:pt idx="175">
                  <c:v>1.7105501130647483E-5</c:v>
                </c:pt>
                <c:pt idx="176">
                  <c:v>1.7247923747695286E-5</c:v>
                </c:pt>
                <c:pt idx="177">
                  <c:v>1.7369392344393843E-5</c:v>
                </c:pt>
                <c:pt idx="178">
                  <c:v>1.7485632783949249E-5</c:v>
                </c:pt>
                <c:pt idx="179">
                  <c:v>1.7596701231896303E-5</c:v>
                </c:pt>
                <c:pt idx="180">
                  <c:v>1.7702666722630844E-5</c:v>
                </c:pt>
                <c:pt idx="181">
                  <c:v>1.780361070300849E-5</c:v>
                </c:pt>
                <c:pt idx="182">
                  <c:v>1.7899626543836113E-5</c:v>
                </c:pt>
                <c:pt idx="183">
                  <c:v>1.8042535101420779E-5</c:v>
                </c:pt>
                <c:pt idx="184">
                  <c:v>1.82520521465151E-5</c:v>
                </c:pt>
                <c:pt idx="185">
                  <c:v>1.8530805544396467E-5</c:v>
                </c:pt>
                <c:pt idx="186">
                  <c:v>1.8881382265941623E-5</c:v>
                </c:pt>
                <c:pt idx="187">
                  <c:v>1.9306330522931444E-5</c:v>
                </c:pt>
                <c:pt idx="188">
                  <c:v>1.9808162567167767E-5</c:v>
                </c:pt>
                <c:pt idx="189">
                  <c:v>2.0389358138775168E-5</c:v>
                </c:pt>
                <c:pt idx="190">
                  <c:v>2.1052343439836985E-5</c:v>
                </c:pt>
                <c:pt idx="191">
                  <c:v>2.1919216912308781E-5</c:v>
                </c:pt>
                <c:pt idx="192">
                  <c:v>2.2975605480394134E-5</c:v>
                </c:pt>
                <c:pt idx="193">
                  <c:v>2.4226728279974784E-5</c:v>
                </c:pt>
                <c:pt idx="194">
                  <c:v>2.5677698540531755E-5</c:v>
                </c:pt>
                <c:pt idx="195">
                  <c:v>2.7333522277589277E-5</c:v>
                </c:pt>
                <c:pt idx="196">
                  <c:v>2.9199097273958321E-5</c:v>
                </c:pt>
                <c:pt idx="197">
                  <c:v>3.1362848910708448E-5</c:v>
                </c:pt>
                <c:pt idx="198">
                  <c:v>3.3771153511351802E-5</c:v>
                </c:pt>
                <c:pt idx="199">
                  <c:v>3.642919955754303E-5</c:v>
                </c:pt>
                <c:pt idx="200">
                  <c:v>3.9342051098779563E-5</c:v>
                </c:pt>
                <c:pt idx="201">
                  <c:v>4.2514647365478118E-5</c:v>
                </c:pt>
                <c:pt idx="202">
                  <c:v>4.595180237000502E-5</c:v>
                </c:pt>
                <c:pt idx="203">
                  <c:v>4.9658204427856443E-5</c:v>
                </c:pt>
                <c:pt idx="204">
                  <c:v>5.3638394921166492E-5</c:v>
                </c:pt>
                <c:pt idx="205">
                  <c:v>5.8141239335438103E-5</c:v>
                </c:pt>
                <c:pt idx="206">
                  <c:v>6.3040113970427056E-5</c:v>
                </c:pt>
                <c:pt idx="207">
                  <c:v>6.8342265346272397E-5</c:v>
                </c:pt>
                <c:pt idx="208">
                  <c:v>7.4054931217414912E-5</c:v>
                </c:pt>
                <c:pt idx="209">
                  <c:v>8.0185369405813656E-5</c:v>
                </c:pt>
                <c:pt idx="210">
                  <c:v>8.6740887679375033E-5</c:v>
                </c:pt>
                <c:pt idx="211">
                  <c:v>9.4444389035426953E-5</c:v>
                </c:pt>
                <c:pt idx="212">
                  <c:v>1.032244373350518E-4</c:v>
                </c:pt>
                <c:pt idx="213">
                  <c:v>1.1310198273688619E-4</c:v>
                </c:pt>
                <c:pt idx="214">
                  <c:v>1.2409810200234768E-4</c:v>
                </c:pt>
                <c:pt idx="215">
                  <c:v>1.3623408579317519E-4</c:v>
                </c:pt>
                <c:pt idx="216">
                  <c:v>1.4953152902108139E-4</c:v>
                </c:pt>
                <c:pt idx="217">
                  <c:v>1.640124244507269E-4</c:v>
                </c:pt>
                <c:pt idx="218">
                  <c:v>1.7969454159261255E-4</c:v>
                </c:pt>
                <c:pt idx="219">
                  <c:v>1.9691199255431798E-4</c:v>
                </c:pt>
                <c:pt idx="220">
                  <c:v>2.1542091124535843E-4</c:v>
                </c:pt>
                <c:pt idx="221">
                  <c:v>2.3524458173682845E-4</c:v>
                </c:pt>
                <c:pt idx="222">
                  <c:v>2.5640713800409936E-4</c:v>
                </c:pt>
                <c:pt idx="223">
                  <c:v>2.7893372272646454E-4</c:v>
                </c:pt>
                <c:pt idx="224">
                  <c:v>3.0285065326080381E-4</c:v>
                </c:pt>
                <c:pt idx="225">
                  <c:v>3.280419975434613E-4</c:v>
                </c:pt>
                <c:pt idx="226">
                  <c:v>3.537421249664739E-4</c:v>
                </c:pt>
                <c:pt idx="227">
                  <c:v>3.7996340423513883E-4</c:v>
                </c:pt>
                <c:pt idx="228">
                  <c:v>4.067196720519564E-4</c:v>
                </c:pt>
                <c:pt idx="229">
                  <c:v>4.3402631751849376E-4</c:v>
                </c:pt>
                <c:pt idx="230">
                  <c:v>4.6190037313933839E-4</c:v>
                </c:pt>
                <c:pt idx="231">
                  <c:v>4.903606135548415E-4</c:v>
                </c:pt>
                <c:pt idx="232">
                  <c:v>5.1941254555868809E-4</c:v>
                </c:pt>
                <c:pt idx="233">
                  <c:v>5.4907506646622055E-4</c:v>
                </c:pt>
                <c:pt idx="234">
                  <c:v>5.7901418792610164E-4</c:v>
                </c:pt>
                <c:pt idx="235">
                  <c:v>6.0924077100664323E-4</c:v>
                </c:pt>
                <c:pt idx="236">
                  <c:v>6.3976709757618115E-4</c:v>
                </c:pt>
                <c:pt idx="237">
                  <c:v>6.7060631471353607E-4</c:v>
                </c:pt>
                <c:pt idx="238">
                  <c:v>7.0177283672975615E-4</c:v>
                </c:pt>
                <c:pt idx="239">
                  <c:v>7.3293314998680473E-4</c:v>
                </c:pt>
                <c:pt idx="240">
                  <c:v>7.6425586097013311E-4</c:v>
                </c:pt>
                <c:pt idx="241">
                  <c:v>7.957549921409089E-4</c:v>
                </c:pt>
                <c:pt idx="242">
                  <c:v>8.2744585700822112E-4</c:v>
                </c:pt>
                <c:pt idx="243">
                  <c:v>8.5934511319116669E-4</c:v>
                </c:pt>
                <c:pt idx="244">
                  <c:v>8.9147082199407155E-4</c:v>
                </c:pt>
                <c:pt idx="245">
                  <c:v>9.2384251510641306E-4</c:v>
                </c:pt>
                <c:pt idx="246">
                  <c:v>9.5649355390774551E-4</c:v>
                </c:pt>
                <c:pt idx="247">
                  <c:v>9.8900013283900398E-4</c:v>
                </c:pt>
                <c:pt idx="248">
                  <c:v>1.0213422589846475E-3</c:v>
                </c:pt>
                <c:pt idx="249">
                  <c:v>1.0535167973640218E-3</c:v>
                </c:pt>
                <c:pt idx="250">
                  <c:v>1.085519175324863E-3</c:v>
                </c:pt>
                <c:pt idx="251">
                  <c:v>1.1173433208004914E-3</c:v>
                </c:pt>
                <c:pt idx="252">
                  <c:v>1.1489815959459589E-3</c:v>
                </c:pt>
                <c:pt idx="253">
                  <c:v>1.1797558498202272E-3</c:v>
                </c:pt>
                <c:pt idx="254">
                  <c:v>1.2100321900370388E-3</c:v>
                </c:pt>
                <c:pt idx="255">
                  <c:v>1.2397892137601951E-3</c:v>
                </c:pt>
                <c:pt idx="256">
                  <c:v>1.2690032674140227E-3</c:v>
                </c:pt>
                <c:pt idx="257">
                  <c:v>1.2976483708963796E-3</c:v>
                </c:pt>
                <c:pt idx="258">
                  <c:v>1.3256961419581103E-3</c:v>
                </c:pt>
                <c:pt idx="259">
                  <c:v>1.3531157215629882E-3</c:v>
                </c:pt>
                <c:pt idx="260">
                  <c:v>1.3799829668363266E-3</c:v>
                </c:pt>
                <c:pt idx="261">
                  <c:v>1.4052927412395355E-3</c:v>
                </c:pt>
                <c:pt idx="262">
                  <c:v>1.4294957980472193E-3</c:v>
                </c:pt>
                <c:pt idx="263">
                  <c:v>1.4525328380796242E-3</c:v>
                </c:pt>
                <c:pt idx="264">
                  <c:v>1.4743391957445461E-3</c:v>
                </c:pt>
                <c:pt idx="265">
                  <c:v>1.4948526790937633E-3</c:v>
                </c:pt>
                <c:pt idx="266">
                  <c:v>1.5140018998643381E-3</c:v>
                </c:pt>
                <c:pt idx="267">
                  <c:v>1.530956603763372E-3</c:v>
                </c:pt>
                <c:pt idx="268">
                  <c:v>1.5463861095192915E-3</c:v>
                </c:pt>
                <c:pt idx="269">
                  <c:v>1.5601959801261334E-3</c:v>
                </c:pt>
                <c:pt idx="270">
                  <c:v>1.5722860617485557E-3</c:v>
                </c:pt>
                <c:pt idx="271">
                  <c:v>1.5825506005937855E-3</c:v>
                </c:pt>
                <c:pt idx="272">
                  <c:v>1.5908784234699579E-3</c:v>
                </c:pt>
                <c:pt idx="273">
                  <c:v>1.59715319175249E-3</c:v>
                </c:pt>
                <c:pt idx="274">
                  <c:v>1.601457435081136E-3</c:v>
                </c:pt>
                <c:pt idx="275">
                  <c:v>1.6036124108908937E-3</c:v>
                </c:pt>
                <c:pt idx="276">
                  <c:v>1.6047810527013283E-3</c:v>
                </c:pt>
                <c:pt idx="277">
                  <c:v>1.6048761344128338E-3</c:v>
                </c:pt>
                <c:pt idx="278">
                  <c:v>1.6038058515949044E-3</c:v>
                </c:pt>
                <c:pt idx="279">
                  <c:v>1.6014738680573909E-3</c:v>
                </c:pt>
                <c:pt idx="280">
                  <c:v>1.5977794237821356E-3</c:v>
                </c:pt>
                <c:pt idx="281">
                  <c:v>1.592800085694327E-3</c:v>
                </c:pt>
                <c:pt idx="282">
                  <c:v>1.5873383352921302E-3</c:v>
                </c:pt>
                <c:pt idx="283">
                  <c:v>1.5813259872493543E-3</c:v>
                </c:pt>
                <c:pt idx="284">
                  <c:v>1.5746926302477543E-3</c:v>
                </c:pt>
                <c:pt idx="285">
                  <c:v>1.567365803066002E-3</c:v>
                </c:pt>
                <c:pt idx="286">
                  <c:v>1.5592712370172171E-3</c:v>
                </c:pt>
                <c:pt idx="287">
                  <c:v>1.55033317401997E-3</c:v>
                </c:pt>
                <c:pt idx="288">
                  <c:v>1.5405724175774646E-3</c:v>
                </c:pt>
                <c:pt idx="289">
                  <c:v>1.5341040316711786E-3</c:v>
                </c:pt>
                <c:pt idx="290">
                  <c:v>1.531401504341287E-3</c:v>
                </c:pt>
                <c:pt idx="291">
                  <c:v>1.5326312011539362E-3</c:v>
                </c:pt>
                <c:pt idx="292">
                  <c:v>1.5379625662662235E-3</c:v>
                </c:pt>
                <c:pt idx="293">
                  <c:v>1.5475683809808649E-3</c:v>
                </c:pt>
                <c:pt idx="294">
                  <c:v>1.5616250691680121E-3</c:v>
                </c:pt>
                <c:pt idx="295">
                  <c:v>1.5926059996950472E-3</c:v>
                </c:pt>
                <c:pt idx="296">
                  <c:v>1.6409585874633769E-3</c:v>
                </c:pt>
                <c:pt idx="297">
                  <c:v>1.7073554153258159E-3</c:v>
                </c:pt>
                <c:pt idx="298">
                  <c:v>1.7924749461228403E-3</c:v>
                </c:pt>
                <c:pt idx="299">
                  <c:v>1.8970166599752978E-3</c:v>
                </c:pt>
                <c:pt idx="300">
                  <c:v>2.0217035492748098E-3</c:v>
                </c:pt>
                <c:pt idx="301">
                  <c:v>2.1672849229414461E-3</c:v>
                </c:pt>
                <c:pt idx="302">
                  <c:v>2.3345505883930438E-3</c:v>
                </c:pt>
                <c:pt idx="303">
                  <c:v>2.5330470695278467E-3</c:v>
                </c:pt>
                <c:pt idx="304">
                  <c:v>2.7589831439936924E-3</c:v>
                </c:pt>
                <c:pt idx="305">
                  <c:v>3.013287435910947E-3</c:v>
                </c:pt>
                <c:pt idx="306">
                  <c:v>3.2968949554907723E-3</c:v>
                </c:pt>
                <c:pt idx="307">
                  <c:v>3.6107410324723371E-3</c:v>
                </c:pt>
                <c:pt idx="308">
                  <c:v>3.9557544609235551E-3</c:v>
                </c:pt>
                <c:pt idx="309">
                  <c:v>4.3213271568062692E-3</c:v>
                </c:pt>
                <c:pt idx="310">
                  <c:v>4.6930557146779451E-3</c:v>
                </c:pt>
                <c:pt idx="311">
                  <c:v>5.0708027396144453E-3</c:v>
                </c:pt>
                <c:pt idx="312">
                  <c:v>5.4543867567028769E-3</c:v>
                </c:pt>
                <c:pt idx="313">
                  <c:v>5.8435789028378343E-3</c:v>
                </c:pt>
                <c:pt idx="314">
                  <c:v>6.2380996479532609E-3</c:v>
                </c:pt>
                <c:pt idx="315">
                  <c:v>6.6376156029990061E-3</c:v>
                </c:pt>
                <c:pt idx="316">
                  <c:v>7.0418544134250426E-3</c:v>
                </c:pt>
                <c:pt idx="317">
                  <c:v>7.4316911151891306E-3</c:v>
                </c:pt>
                <c:pt idx="318">
                  <c:v>7.7958006314856679E-3</c:v>
                </c:pt>
                <c:pt idx="319">
                  <c:v>8.1330616689952191E-3</c:v>
                </c:pt>
                <c:pt idx="320">
                  <c:v>8.4423768961514045E-3</c:v>
                </c:pt>
                <c:pt idx="321">
                  <c:v>8.7226736411210055E-3</c:v>
                </c:pt>
                <c:pt idx="322">
                  <c:v>8.972904200919108E-3</c:v>
                </c:pt>
                <c:pt idx="323">
                  <c:v>9.1864172448241199E-3</c:v>
                </c:pt>
                <c:pt idx="324">
                  <c:v>9.375694869775214E-3</c:v>
                </c:pt>
                <c:pt idx="325">
                  <c:v>9.5399981823029844E-3</c:v>
                </c:pt>
                <c:pt idx="326">
                  <c:v>9.6785475501450346E-3</c:v>
                </c:pt>
                <c:pt idx="327">
                  <c:v>9.7906193538074855E-3</c:v>
                </c:pt>
                <c:pt idx="328">
                  <c:v>9.8755574596977782E-3</c:v>
                </c:pt>
                <c:pt idx="329">
                  <c:v>9.9327223375041598E-3</c:v>
                </c:pt>
                <c:pt idx="330">
                  <c:v>9.9621440145908919E-3</c:v>
                </c:pt>
                <c:pt idx="331">
                  <c:v>9.9665386468818073E-3</c:v>
                </c:pt>
                <c:pt idx="332">
                  <c:v>9.9667737588366584E-3</c:v>
                </c:pt>
                <c:pt idx="333">
                  <c:v>9.9622539604754118E-3</c:v>
                </c:pt>
                <c:pt idx="334">
                  <c:v>9.9523662297064108E-3</c:v>
                </c:pt>
                <c:pt idx="335">
                  <c:v>9.9364827579420181E-3</c:v>
                </c:pt>
                <c:pt idx="336">
                  <c:v>9.9139646549182281E-3</c:v>
                </c:pt>
                <c:pt idx="337">
                  <c:v>9.8872773085634334E-3</c:v>
                </c:pt>
                <c:pt idx="338">
                  <c:v>9.8623054273534721E-3</c:v>
                </c:pt>
                <c:pt idx="339">
                  <c:v>9.8386212815663922E-3</c:v>
                </c:pt>
                <c:pt idx="340">
                  <c:v>9.8157843145917582E-3</c:v>
                </c:pt>
                <c:pt idx="341">
                  <c:v>9.7933424883397593E-3</c:v>
                </c:pt>
                <c:pt idx="342">
                  <c:v>9.7708342625229174E-3</c:v>
                </c:pt>
                <c:pt idx="343">
                  <c:v>9.7477912462476078E-3</c:v>
                </c:pt>
                <c:pt idx="344">
                  <c:v>9.725220032007072E-3</c:v>
                </c:pt>
                <c:pt idx="345">
                  <c:v>9.70444838677848E-3</c:v>
                </c:pt>
                <c:pt idx="346">
                  <c:v>9.6848153671411606E-3</c:v>
                </c:pt>
                <c:pt idx="347">
                  <c:v>9.6663162807671538E-3</c:v>
                </c:pt>
                <c:pt idx="348">
                  <c:v>9.6489434142431416E-3</c:v>
                </c:pt>
                <c:pt idx="349">
                  <c:v>9.6326860748402899E-3</c:v>
                </c:pt>
                <c:pt idx="350">
                  <c:v>9.6175306609938317E-3</c:v>
                </c:pt>
                <c:pt idx="351">
                  <c:v>9.6062610724019296E-3</c:v>
                </c:pt>
                <c:pt idx="352">
                  <c:v>9.5955479676984607E-3</c:v>
                </c:pt>
                <c:pt idx="353">
                  <c:v>9.5853650877341847E-3</c:v>
                </c:pt>
                <c:pt idx="354">
                  <c:v>9.5756853743828273E-3</c:v>
                </c:pt>
                <c:pt idx="355">
                  <c:v>9.5664812138765223E-3</c:v>
                </c:pt>
                <c:pt idx="356">
                  <c:v>9.5576037935299254E-3</c:v>
                </c:pt>
                <c:pt idx="357">
                  <c:v>9.5491366228843775E-3</c:v>
                </c:pt>
                <c:pt idx="358">
                  <c:v>9.5408503388327744E-3</c:v>
                </c:pt>
                <c:pt idx="359">
                  <c:v>9.5326539053452852E-3</c:v>
                </c:pt>
                <c:pt idx="360">
                  <c:v>9.5279490827457885E-3</c:v>
                </c:pt>
                <c:pt idx="361">
                  <c:v>9.5240746377895161E-3</c:v>
                </c:pt>
                <c:pt idx="362">
                  <c:v>9.5211458446559857E-3</c:v>
                </c:pt>
                <c:pt idx="363">
                  <c:v>9.5192726752997281E-3</c:v>
                </c:pt>
                <c:pt idx="364">
                  <c:v>9.51855933062613E-3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6611080"/>
        <c:axId val="476611472"/>
      </c:lineChart>
      <c:dateAx>
        <c:axId val="4766110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611472"/>
        <c:crosses val="autoZero"/>
        <c:auto val="1"/>
        <c:lblOffset val="100"/>
        <c:baseTimeUnit val="days"/>
        <c:majorUnit val="1"/>
        <c:majorTimeUnit val="months"/>
      </c:dateAx>
      <c:valAx>
        <c:axId val="47661147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6110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3.5542436183039205E-3</c:v>
                </c:pt>
                <c:pt idx="1">
                  <c:v>3.5774323667685515E-3</c:v>
                </c:pt>
                <c:pt idx="2">
                  <c:v>3.6006205755970688E-3</c:v>
                </c:pt>
                <c:pt idx="3">
                  <c:v>3.6238082448020181E-3</c:v>
                </c:pt>
                <c:pt idx="4">
                  <c:v>3.6469953743961669E-3</c:v>
                </c:pt>
                <c:pt idx="5">
                  <c:v>3.6701819643918387E-3</c:v>
                </c:pt>
                <c:pt idx="6">
                  <c:v>3.6933680148016901E-3</c:v>
                </c:pt>
                <c:pt idx="7">
                  <c:v>3.7165535256382665E-3</c:v>
                </c:pt>
                <c:pt idx="8">
                  <c:v>3.7397384969142244E-3</c:v>
                </c:pt>
                <c:pt idx="9">
                  <c:v>3.7629229286418875E-3</c:v>
                </c:pt>
                <c:pt idx="10">
                  <c:v>3.7861068208341342E-3</c:v>
                </c:pt>
                <c:pt idx="11">
                  <c:v>3.809290173503177E-3</c:v>
                </c:pt>
                <c:pt idx="12">
                  <c:v>3.8324729866617835E-3</c:v>
                </c:pt>
                <c:pt idx="13">
                  <c:v>3.8556552603224992E-3</c:v>
                </c:pt>
                <c:pt idx="14">
                  <c:v>3.8788369944978696E-3</c:v>
                </c:pt>
                <c:pt idx="15">
                  <c:v>3.9020181892003292E-3</c:v>
                </c:pt>
                <c:pt idx="16">
                  <c:v>3.9251988444425345E-3</c:v>
                </c:pt>
                <c:pt idx="17">
                  <c:v>3.9483789602370312E-3</c:v>
                </c:pt>
                <c:pt idx="18">
                  <c:v>3.9715585365964756E-3</c:v>
                </c:pt>
                <c:pt idx="19">
                  <c:v>3.9947375735331914E-3</c:v>
                </c:pt>
                <c:pt idx="20">
                  <c:v>4.017916071059946E-3</c:v>
                </c:pt>
                <c:pt idx="21">
                  <c:v>4.0410940291890629E-3</c:v>
                </c:pt>
                <c:pt idx="22">
                  <c:v>4.0642714479333097E-3</c:v>
                </c:pt>
                <c:pt idx="23">
                  <c:v>4.087448327305232E-3</c:v>
                </c:pt>
                <c:pt idx="24">
                  <c:v>4.1106246673172642E-3</c:v>
                </c:pt>
                <c:pt idx="25">
                  <c:v>4.1338004679819518E-3</c:v>
                </c:pt>
                <c:pt idx="26">
                  <c:v>4.1569757293119514E-3</c:v>
                </c:pt>
                <c:pt idx="27">
                  <c:v>4.1801504513198084E-3</c:v>
                </c:pt>
                <c:pt idx="28">
                  <c:v>4.2033246340179575E-3</c:v>
                </c:pt>
                <c:pt idx="29">
                  <c:v>4.2264982774190551E-3</c:v>
                </c:pt>
                <c:pt idx="30">
                  <c:v>4.2496713815355358E-3</c:v>
                </c:pt>
                <c:pt idx="31">
                  <c:v>4.2728439463801671E-3</c:v>
                </c:pt>
                <c:pt idx="32">
                  <c:v>4.2960159719652724E-3</c:v>
                </c:pt>
                <c:pt idx="33">
                  <c:v>4.3191874583035084E-3</c:v>
                </c:pt>
                <c:pt idx="34">
                  <c:v>4.3423584054073094E-3</c:v>
                </c:pt>
                <c:pt idx="35">
                  <c:v>4.3655288132894432E-3</c:v>
                </c:pt>
                <c:pt idx="36">
                  <c:v>4.3886986819623441E-3</c:v>
                </c:pt>
                <c:pt idx="37">
                  <c:v>4.4118680114384468E-3</c:v>
                </c:pt>
                <c:pt idx="38">
                  <c:v>4.4350368017305186E-3</c:v>
                </c:pt>
                <c:pt idx="39">
                  <c:v>4.4582050528509942E-3</c:v>
                </c:pt>
                <c:pt idx="40">
                  <c:v>4.4813727648123081E-3</c:v>
                </c:pt>
                <c:pt idx="41">
                  <c:v>4.5045399376272277E-3</c:v>
                </c:pt>
                <c:pt idx="42">
                  <c:v>4.5277065713080766E-3</c:v>
                </c:pt>
                <c:pt idx="43">
                  <c:v>4.5508726658676224E-3</c:v>
                </c:pt>
                <c:pt idx="44">
                  <c:v>4.5740382213182995E-3</c:v>
                </c:pt>
                <c:pt idx="45">
                  <c:v>4.5972032376726535E-3</c:v>
                </c:pt>
                <c:pt idx="46">
                  <c:v>4.6203677149431188E-3</c:v>
                </c:pt>
                <c:pt idx="47">
                  <c:v>4.6435316531424631E-3</c:v>
                </c:pt>
                <c:pt idx="48">
                  <c:v>4.6666950522831208E-3</c:v>
                </c:pt>
                <c:pt idx="49">
                  <c:v>4.6898579123776374E-3</c:v>
                </c:pt>
                <c:pt idx="50">
                  <c:v>4.7130202334385585E-3</c:v>
                </c:pt>
                <c:pt idx="51">
                  <c:v>4.7361820154784295E-3</c:v>
                </c:pt>
                <c:pt idx="52">
                  <c:v>4.7593432585097961E-3</c:v>
                </c:pt>
                <c:pt idx="53">
                  <c:v>4.7825039625452037E-3</c:v>
                </c:pt>
                <c:pt idx="54">
                  <c:v>4.8056641275970868E-3</c:v>
                </c:pt>
                <c:pt idx="55">
                  <c:v>4.828823753678213E-3</c:v>
                </c:pt>
                <c:pt idx="56">
                  <c:v>4.8519828408010168E-3</c:v>
                </c:pt>
                <c:pt idx="57">
                  <c:v>4.8751413889780437E-3</c:v>
                </c:pt>
                <c:pt idx="58">
                  <c:v>4.8982993982217282E-3</c:v>
                </c:pt>
                <c:pt idx="59">
                  <c:v>4.9214568685447269E-3</c:v>
                </c:pt>
                <c:pt idx="60">
                  <c:v>4.9446137999595852E-3</c:v>
                </c:pt>
                <c:pt idx="61">
                  <c:v>4.9677701924788487E-3</c:v>
                </c:pt>
                <c:pt idx="62">
                  <c:v>4.9909260461149518E-3</c:v>
                </c:pt>
                <c:pt idx="63">
                  <c:v>5.0140813608805512E-3</c:v>
                </c:pt>
                <c:pt idx="64">
                  <c:v>5.0372361367881924E-3</c:v>
                </c:pt>
                <c:pt idx="65">
                  <c:v>5.0603903738503098E-3</c:v>
                </c:pt>
                <c:pt idx="66">
                  <c:v>5.0835440720795599E-3</c:v>
                </c:pt>
                <c:pt idx="67">
                  <c:v>5.1066972314883774E-3</c:v>
                </c:pt>
                <c:pt idx="68">
                  <c:v>5.1298498520894187E-3</c:v>
                </c:pt>
                <c:pt idx="69">
                  <c:v>5.1530019338951183E-3</c:v>
                </c:pt>
                <c:pt idx="70">
                  <c:v>5.1761534769180217E-3</c:v>
                </c:pt>
                <c:pt idx="71">
                  <c:v>5.1993044811706746E-3</c:v>
                </c:pt>
                <c:pt idx="72">
                  <c:v>5.2224549466657333E-3</c:v>
                </c:pt>
                <c:pt idx="73">
                  <c:v>5.2456048734155214E-3</c:v>
                </c:pt>
                <c:pt idx="74">
                  <c:v>5.2687542614328065E-3</c:v>
                </c:pt>
                <c:pt idx="75">
                  <c:v>5.2919031107299119E-3</c:v>
                </c:pt>
                <c:pt idx="76">
                  <c:v>5.3150514213196054E-3</c:v>
                </c:pt>
                <c:pt idx="77">
                  <c:v>5.3381991932142103E-3</c:v>
                </c:pt>
                <c:pt idx="78">
                  <c:v>5.3613464264262722E-3</c:v>
                </c:pt>
                <c:pt idx="79">
                  <c:v>5.3844931209685587E-3</c:v>
                </c:pt>
                <c:pt idx="80">
                  <c:v>5.4076392768533932E-3</c:v>
                </c:pt>
                <c:pt idx="81">
                  <c:v>5.4307848940933212E-3</c:v>
                </c:pt>
                <c:pt idx="82">
                  <c:v>5.4539299727008883E-3</c:v>
                </c:pt>
                <c:pt idx="83">
                  <c:v>5.477074512688751E-3</c:v>
                </c:pt>
                <c:pt idx="84">
                  <c:v>5.5002185140693438E-3</c:v>
                </c:pt>
                <c:pt idx="85">
                  <c:v>5.5233619768552122E-3</c:v>
                </c:pt>
                <c:pt idx="86">
                  <c:v>5.5465049010587908E-3</c:v>
                </c:pt>
                <c:pt idx="87">
                  <c:v>5.569647286692847E-3</c:v>
                </c:pt>
                <c:pt idx="88">
                  <c:v>5.5927891337697044E-3</c:v>
                </c:pt>
                <c:pt idx="89">
                  <c:v>5.6159304423020195E-3</c:v>
                </c:pt>
                <c:pt idx="90">
                  <c:v>5.6390712123022269E-3</c:v>
                </c:pt>
                <c:pt idx="91">
                  <c:v>5.6622114437829829E-3</c:v>
                </c:pt>
                <c:pt idx="92">
                  <c:v>5.6853511367567222E-3</c:v>
                </c:pt>
                <c:pt idx="93">
                  <c:v>5.7084902912359903E-3</c:v>
                </c:pt>
                <c:pt idx="94">
                  <c:v>5.7316289072333326E-3</c:v>
                </c:pt>
                <c:pt idx="95">
                  <c:v>5.7547669847611838E-3</c:v>
                </c:pt>
                <c:pt idx="96">
                  <c:v>5.7779045238323112E-3</c:v>
                </c:pt>
                <c:pt idx="97">
                  <c:v>5.8010415244590385E-3</c:v>
                </c:pt>
                <c:pt idx="98">
                  <c:v>5.8241779866539112E-3</c:v>
                </c:pt>
                <c:pt idx="99">
                  <c:v>5.8473139104295857E-3</c:v>
                </c:pt>
                <c:pt idx="100">
                  <c:v>5.8704492957984966E-3</c:v>
                </c:pt>
                <c:pt idx="101">
                  <c:v>5.8935841427731894E-3</c:v>
                </c:pt>
                <c:pt idx="102">
                  <c:v>5.9167184513662097E-3</c:v>
                </c:pt>
                <c:pt idx="103">
                  <c:v>5.9398522215899918E-3</c:v>
                </c:pt>
                <c:pt idx="104">
                  <c:v>5.9629854534571924E-3</c:v>
                </c:pt>
                <c:pt idx="105">
                  <c:v>5.986118146980357E-3</c:v>
                </c:pt>
                <c:pt idx="106">
                  <c:v>6.0092503021719201E-3</c:v>
                </c:pt>
                <c:pt idx="107">
                  <c:v>6.0323819190444272E-3</c:v>
                </c:pt>
                <c:pt idx="108">
                  <c:v>6.0555129976103128E-3</c:v>
                </c:pt>
                <c:pt idx="109">
                  <c:v>6.0786435378823445E-3</c:v>
                </c:pt>
                <c:pt idx="110">
                  <c:v>6.1017735398728457E-3</c:v>
                </c:pt>
                <c:pt idx="111">
                  <c:v>6.1249030035944729E-3</c:v>
                </c:pt>
                <c:pt idx="112">
                  <c:v>6.1480319290596608E-3</c:v>
                </c:pt>
                <c:pt idx="113">
                  <c:v>6.1711603162809547E-3</c:v>
                </c:pt>
                <c:pt idx="114">
                  <c:v>6.1942881652709003E-3</c:v>
                </c:pt>
                <c:pt idx="115">
                  <c:v>6.217415476041932E-3</c:v>
                </c:pt>
                <c:pt idx="116">
                  <c:v>6.2405422486067064E-3</c:v>
                </c:pt>
                <c:pt idx="117">
                  <c:v>6.2636684829777689E-3</c:v>
                </c:pt>
                <c:pt idx="118">
                  <c:v>6.2867941791674431E-3</c:v>
                </c:pt>
                <c:pt idx="119">
                  <c:v>6.3099193371884965E-3</c:v>
                </c:pt>
                <c:pt idx="120">
                  <c:v>6.3330439570532526E-3</c:v>
                </c:pt>
                <c:pt idx="121">
                  <c:v>6.356168038774368E-3</c:v>
                </c:pt>
                <c:pt idx="122">
                  <c:v>6.3792915823643881E-3</c:v>
                </c:pt>
                <c:pt idx="123">
                  <c:v>6.4024145878356364E-3</c:v>
                </c:pt>
                <c:pt idx="124">
                  <c:v>6.4255370552008806E-3</c:v>
                </c:pt>
                <c:pt idx="125">
                  <c:v>6.448658984472444E-3</c:v>
                </c:pt>
                <c:pt idx="126">
                  <c:v>6.4717803756629833E-3</c:v>
                </c:pt>
                <c:pt idx="127">
                  <c:v>6.4949012287849328E-3</c:v>
                </c:pt>
                <c:pt idx="128">
                  <c:v>6.5180215438508382E-3</c:v>
                </c:pt>
                <c:pt idx="129">
                  <c:v>6.541141320873356E-3</c:v>
                </c:pt>
                <c:pt idx="130">
                  <c:v>6.5642605598648096E-3</c:v>
                </c:pt>
                <c:pt idx="131">
                  <c:v>6.5873792608377446E-3</c:v>
                </c:pt>
                <c:pt idx="132">
                  <c:v>6.6104974238048175E-3</c:v>
                </c:pt>
                <c:pt idx="133">
                  <c:v>6.6336150487783518E-3</c:v>
                </c:pt>
                <c:pt idx="134">
                  <c:v>6.6567321357711151E-3</c:v>
                </c:pt>
                <c:pt idx="135">
                  <c:v>6.6798486847954308E-3</c:v>
                </c:pt>
                <c:pt idx="136">
                  <c:v>6.7029646958638445E-3</c:v>
                </c:pt>
                <c:pt idx="137">
                  <c:v>6.7260801689890126E-3</c:v>
                </c:pt>
                <c:pt idx="138">
                  <c:v>6.7491951041832587E-3</c:v>
                </c:pt>
                <c:pt idx="139">
                  <c:v>6.7723095014592394E-3</c:v>
                </c:pt>
                <c:pt idx="140">
                  <c:v>6.795423360829389E-3</c:v>
                </c:pt>
                <c:pt idx="141">
                  <c:v>6.8185366823062532E-3</c:v>
                </c:pt>
                <c:pt idx="142">
                  <c:v>6.8416494659023774E-3</c:v>
                </c:pt>
                <c:pt idx="143">
                  <c:v>6.8647617116303072E-3</c:v>
                </c:pt>
                <c:pt idx="144">
                  <c:v>6.8878734195024771E-3</c:v>
                </c:pt>
                <c:pt idx="145">
                  <c:v>6.9109845895314326E-3</c:v>
                </c:pt>
                <c:pt idx="146">
                  <c:v>6.9340952217297191E-3</c:v>
                </c:pt>
                <c:pt idx="147">
                  <c:v>6.9572053161097713E-3</c:v>
                </c:pt>
                <c:pt idx="148">
                  <c:v>6.9803148726842457E-3</c:v>
                </c:pt>
                <c:pt idx="149">
                  <c:v>7.0034238914655766E-3</c:v>
                </c:pt>
                <c:pt idx="150">
                  <c:v>7.0265323724661988E-3</c:v>
                </c:pt>
                <c:pt idx="151">
                  <c:v>7.0496403156987686E-3</c:v>
                </c:pt>
                <c:pt idx="152">
                  <c:v>7.0727477211758316E-3</c:v>
                </c:pt>
                <c:pt idx="153">
                  <c:v>7.0958545889097113E-3</c:v>
                </c:pt>
                <c:pt idx="154">
                  <c:v>7.1189609189129532E-3</c:v>
                </c:pt>
                <c:pt idx="155">
                  <c:v>7.1420667111982139E-3</c:v>
                </c:pt>
                <c:pt idx="156">
                  <c:v>7.1651719657779278E-3</c:v>
                </c:pt>
                <c:pt idx="157">
                  <c:v>7.1882766826646405E-3</c:v>
                </c:pt>
                <c:pt idx="158">
                  <c:v>7.2113808618707864E-3</c:v>
                </c:pt>
                <c:pt idx="159">
                  <c:v>7.2344845034090222E-3</c:v>
                </c:pt>
                <c:pt idx="160">
                  <c:v>7.2575876072916712E-3</c:v>
                </c:pt>
                <c:pt idx="161">
                  <c:v>7.28069017353139E-3</c:v>
                </c:pt>
                <c:pt idx="162">
                  <c:v>7.3037922021406132E-3</c:v>
                </c:pt>
                <c:pt idx="163">
                  <c:v>7.3268936931318862E-3</c:v>
                </c:pt>
                <c:pt idx="164">
                  <c:v>7.3499946465177546E-3</c:v>
                </c:pt>
                <c:pt idx="165">
                  <c:v>7.3730950623106528E-3</c:v>
                </c:pt>
                <c:pt idx="166">
                  <c:v>7.3961949405231264E-3</c:v>
                </c:pt>
                <c:pt idx="167">
                  <c:v>7.4192942811676099E-3</c:v>
                </c:pt>
                <c:pt idx="168">
                  <c:v>7.4423930842568708E-3</c:v>
                </c:pt>
                <c:pt idx="169">
                  <c:v>7.4654913498031217E-3</c:v>
                </c:pt>
                <c:pt idx="170">
                  <c:v>7.4885890778190189E-3</c:v>
                </c:pt>
                <c:pt idx="171">
                  <c:v>7.5116862683169972E-3</c:v>
                </c:pt>
                <c:pt idx="172">
                  <c:v>7.5347829213096018E-3</c:v>
                </c:pt>
                <c:pt idx="173">
                  <c:v>7.5578790368093784E-3</c:v>
                </c:pt>
                <c:pt idx="174">
                  <c:v>7.5809746148288726E-3</c:v>
                </c:pt>
                <c:pt idx="175">
                  <c:v>7.6040696553804077E-3</c:v>
                </c:pt>
                <c:pt idx="176">
                  <c:v>7.6271641584767513E-3</c:v>
                </c:pt>
                <c:pt idx="177">
                  <c:v>7.650258124130116E-3</c:v>
                </c:pt>
                <c:pt idx="178">
                  <c:v>7.6733515523532692E-3</c:v>
                </c:pt>
                <c:pt idx="179">
                  <c:v>7.6964444431585344E-3</c:v>
                </c:pt>
                <c:pt idx="180">
                  <c:v>7.7195367965585682E-3</c:v>
                </c:pt>
                <c:pt idx="181">
                  <c:v>7.742628612565805E-3</c:v>
                </c:pt>
                <c:pt idx="182">
                  <c:v>7.7657198911926795E-3</c:v>
                </c:pt>
                <c:pt idx="183">
                  <c:v>7.788810632451848E-3</c:v>
                </c:pt>
                <c:pt idx="184">
                  <c:v>7.8119008363556341E-3</c:v>
                </c:pt>
                <c:pt idx="185">
                  <c:v>7.8349905029166944E-3</c:v>
                </c:pt>
                <c:pt idx="186">
                  <c:v>7.8580796321474633E-3</c:v>
                </c:pt>
                <c:pt idx="187">
                  <c:v>7.8811682240604863E-3</c:v>
                </c:pt>
                <c:pt idx="188">
                  <c:v>7.904256278668309E-3</c:v>
                </c:pt>
                <c:pt idx="189">
                  <c:v>7.9273437959832549E-3</c:v>
                </c:pt>
                <c:pt idx="190">
                  <c:v>7.9504307760179804E-3</c:v>
                </c:pt>
                <c:pt idx="191">
                  <c:v>7.9735172187850312E-3</c:v>
                </c:pt>
                <c:pt idx="192">
                  <c:v>7.9966031242967306E-3</c:v>
                </c:pt>
                <c:pt idx="193">
                  <c:v>8.0196884925657352E-3</c:v>
                </c:pt>
                <c:pt idx="194">
                  <c:v>8.0427733236044796E-3</c:v>
                </c:pt>
                <c:pt idx="195">
                  <c:v>8.0658576174255092E-3</c:v>
                </c:pt>
                <c:pt idx="196">
                  <c:v>8.0889413740412586E-3</c:v>
                </c:pt>
                <c:pt idx="197">
                  <c:v>8.1120245934642732E-3</c:v>
                </c:pt>
                <c:pt idx="198">
                  <c:v>8.1351072757069876E-3</c:v>
                </c:pt>
                <c:pt idx="199">
                  <c:v>8.1581894207820582E-3</c:v>
                </c:pt>
                <c:pt idx="200">
                  <c:v>8.1812710287019197E-3</c:v>
                </c:pt>
                <c:pt idx="201">
                  <c:v>8.2043520994788954E-3</c:v>
                </c:pt>
                <c:pt idx="202">
                  <c:v>8.227432633125753E-3</c:v>
                </c:pt>
                <c:pt idx="203">
                  <c:v>8.2505126296548159E-3</c:v>
                </c:pt>
                <c:pt idx="204">
                  <c:v>8.2735920890787407E-3</c:v>
                </c:pt>
                <c:pt idx="205">
                  <c:v>8.2966710114098507E-3</c:v>
                </c:pt>
                <c:pt idx="206">
                  <c:v>8.3197493966606917E-3</c:v>
                </c:pt>
                <c:pt idx="207">
                  <c:v>8.34282724484392E-3</c:v>
                </c:pt>
                <c:pt idx="208">
                  <c:v>8.3659045559717482E-3</c:v>
                </c:pt>
                <c:pt idx="209">
                  <c:v>8.3889813300569438E-3</c:v>
                </c:pt>
                <c:pt idx="210">
                  <c:v>8.4120575671118303E-3</c:v>
                </c:pt>
                <c:pt idx="211">
                  <c:v>8.4351332671490642E-3</c:v>
                </c:pt>
                <c:pt idx="212">
                  <c:v>8.458208430180969E-3</c:v>
                </c:pt>
                <c:pt idx="213">
                  <c:v>8.4812830562200903E-3</c:v>
                </c:pt>
                <c:pt idx="214">
                  <c:v>8.5043571452789735E-3</c:v>
                </c:pt>
                <c:pt idx="215">
                  <c:v>8.5274306973701641E-3</c:v>
                </c:pt>
                <c:pt idx="216">
                  <c:v>8.5505037125059857E-3</c:v>
                </c:pt>
                <c:pt idx="217">
                  <c:v>8.5735761906990948E-3</c:v>
                </c:pt>
                <c:pt idx="218">
                  <c:v>8.5966481319619259E-3</c:v>
                </c:pt>
                <c:pt idx="219">
                  <c:v>8.6197195363070245E-3</c:v>
                </c:pt>
                <c:pt idx="220">
                  <c:v>8.642790403746714E-3</c:v>
                </c:pt>
                <c:pt idx="221">
                  <c:v>8.6658607342937621E-3</c:v>
                </c:pt>
                <c:pt idx="222">
                  <c:v>8.6889305279603812E-3</c:v>
                </c:pt>
                <c:pt idx="223">
                  <c:v>8.7119997847592279E-3</c:v>
                </c:pt>
                <c:pt idx="224">
                  <c:v>8.7350685047028476E-3</c:v>
                </c:pt>
                <c:pt idx="225">
                  <c:v>8.7581366878035638E-3</c:v>
                </c:pt>
                <c:pt idx="226">
                  <c:v>8.7812043340740331E-3</c:v>
                </c:pt>
                <c:pt idx="227">
                  <c:v>8.80427144352669E-3</c:v>
                </c:pt>
                <c:pt idx="228">
                  <c:v>8.827338016173969E-3</c:v>
                </c:pt>
                <c:pt idx="229">
                  <c:v>8.8504040520283045E-3</c:v>
                </c:pt>
                <c:pt idx="230">
                  <c:v>8.8734695511024642E-3</c:v>
                </c:pt>
                <c:pt idx="231">
                  <c:v>8.8965345134086604E-3</c:v>
                </c:pt>
                <c:pt idx="232">
                  <c:v>8.9195989389594388E-3</c:v>
                </c:pt>
                <c:pt idx="233">
                  <c:v>8.9426628277674558E-3</c:v>
                </c:pt>
                <c:pt idx="234">
                  <c:v>8.9657261798450349E-3</c:v>
                </c:pt>
                <c:pt idx="235">
                  <c:v>8.9887889952047217E-3</c:v>
                </c:pt>
                <c:pt idx="236">
                  <c:v>9.0118512738590617E-3</c:v>
                </c:pt>
                <c:pt idx="237">
                  <c:v>9.0349130158203783E-3</c:v>
                </c:pt>
                <c:pt idx="238">
                  <c:v>9.0579742211013281E-3</c:v>
                </c:pt>
                <c:pt idx="239">
                  <c:v>9.0810348897143456E-3</c:v>
                </c:pt>
                <c:pt idx="240">
                  <c:v>9.1040950216718652E-3</c:v>
                </c:pt>
                <c:pt idx="241">
                  <c:v>9.1271546169864326E-3</c:v>
                </c:pt>
                <c:pt idx="242">
                  <c:v>9.1502136756705932E-3</c:v>
                </c:pt>
                <c:pt idx="243">
                  <c:v>9.1732721977367815E-3</c:v>
                </c:pt>
                <c:pt idx="244">
                  <c:v>9.196330183197432E-3</c:v>
                </c:pt>
                <c:pt idx="245">
                  <c:v>9.2193876320649792E-3</c:v>
                </c:pt>
                <c:pt idx="246">
                  <c:v>9.2424445443521908E-3</c:v>
                </c:pt>
                <c:pt idx="247">
                  <c:v>9.265500920071168E-3</c:v>
                </c:pt>
                <c:pt idx="248">
                  <c:v>9.2885567592347895E-3</c:v>
                </c:pt>
                <c:pt idx="249">
                  <c:v>9.3116120618552678E-3</c:v>
                </c:pt>
                <c:pt idx="250">
                  <c:v>9.3346668279451483E-3</c:v>
                </c:pt>
                <c:pt idx="251">
                  <c:v>9.3577210575169767E-3</c:v>
                </c:pt>
                <c:pt idx="252">
                  <c:v>9.3807747505831873E-3</c:v>
                </c:pt>
                <c:pt idx="253">
                  <c:v>9.4038279071563258E-3</c:v>
                </c:pt>
                <c:pt idx="254">
                  <c:v>9.4268805272487155E-3</c:v>
                </c:pt>
                <c:pt idx="255">
                  <c:v>9.4499326108731241E-3</c:v>
                </c:pt>
                <c:pt idx="256">
                  <c:v>9.472984158041764E-3</c:v>
                </c:pt>
                <c:pt idx="257">
                  <c:v>9.4960351687671807E-3</c:v>
                </c:pt>
                <c:pt idx="258">
                  <c:v>9.5190856430620308E-3</c:v>
                </c:pt>
                <c:pt idx="259">
                  <c:v>9.5421355809385267E-3</c:v>
                </c:pt>
                <c:pt idx="260">
                  <c:v>9.5651849824094359E-3</c:v>
                </c:pt>
                <c:pt idx="261">
                  <c:v>9.5882338474869711E-3</c:v>
                </c:pt>
                <c:pt idx="262">
                  <c:v>9.6112821761837886E-3</c:v>
                </c:pt>
                <c:pt idx="263">
                  <c:v>9.634329968512434E-3</c:v>
                </c:pt>
                <c:pt idx="264">
                  <c:v>9.6573772244851197E-3</c:v>
                </c:pt>
                <c:pt idx="265">
                  <c:v>9.6804239441146134E-3</c:v>
                </c:pt>
                <c:pt idx="266">
                  <c:v>9.7034701274132384E-3</c:v>
                </c:pt>
                <c:pt idx="267">
                  <c:v>9.7265157743934294E-3</c:v>
                </c:pt>
                <c:pt idx="268">
                  <c:v>9.7495608850678428E-3</c:v>
                </c:pt>
                <c:pt idx="269">
                  <c:v>9.7726054594488021E-3</c:v>
                </c:pt>
                <c:pt idx="270">
                  <c:v>9.7956494975488528E-3</c:v>
                </c:pt>
                <c:pt idx="271">
                  <c:v>9.8186929993805405E-3</c:v>
                </c:pt>
                <c:pt idx="272">
                  <c:v>9.8417359649561886E-3</c:v>
                </c:pt>
                <c:pt idx="273">
                  <c:v>9.8647783942884537E-3</c:v>
                </c:pt>
                <c:pt idx="274">
                  <c:v>9.8878202873896592E-3</c:v>
                </c:pt>
                <c:pt idx="275">
                  <c:v>9.9108616442723507E-3</c:v>
                </c:pt>
                <c:pt idx="276">
                  <c:v>9.9339024649490737E-3</c:v>
                </c:pt>
                <c:pt idx="277">
                  <c:v>9.9569427494321516E-3</c:v>
                </c:pt>
                <c:pt idx="278">
                  <c:v>9.9799824977342411E-3</c:v>
                </c:pt>
                <c:pt idx="279">
                  <c:v>1.0003021709867665E-2</c:v>
                </c:pt>
                <c:pt idx="280">
                  <c:v>1.002606038584497E-2</c:v>
                </c:pt>
                <c:pt idx="281">
                  <c:v>1.0049098525678701E-2</c:v>
                </c:pt>
                <c:pt idx="282">
                  <c:v>1.0072136129381182E-2</c:v>
                </c:pt>
                <c:pt idx="283">
                  <c:v>1.0095173196964957E-2</c:v>
                </c:pt>
                <c:pt idx="284">
                  <c:v>1.0118209728442573E-2</c:v>
                </c:pt>
                <c:pt idx="285">
                  <c:v>1.0141245723826353E-2</c:v>
                </c:pt>
                <c:pt idx="286">
                  <c:v>1.0164281183128954E-2</c:v>
                </c:pt>
                <c:pt idx="287">
                  <c:v>1.0187316106362698E-2</c:v>
                </c:pt>
                <c:pt idx="288">
                  <c:v>1.0210350493540243E-2</c:v>
                </c:pt>
                <c:pt idx="289">
                  <c:v>1.0233384344673802E-2</c:v>
                </c:pt>
                <c:pt idx="290">
                  <c:v>1.025641765977614E-2</c:v>
                </c:pt>
                <c:pt idx="291">
                  <c:v>1.0279450438859472E-2</c:v>
                </c:pt>
                <c:pt idx="292">
                  <c:v>1.0302482681936453E-2</c:v>
                </c:pt>
                <c:pt idx="293">
                  <c:v>1.0325514389019408E-2</c:v>
                </c:pt>
                <c:pt idx="294">
                  <c:v>1.0348545560120992E-2</c:v>
                </c:pt>
                <c:pt idx="295">
                  <c:v>1.0371576195253529E-2</c:v>
                </c:pt>
                <c:pt idx="296">
                  <c:v>1.0394606294429565E-2</c:v>
                </c:pt>
                <c:pt idx="297">
                  <c:v>1.0417635857661423E-2</c:v>
                </c:pt>
                <c:pt idx="298">
                  <c:v>1.044066488496187E-2</c:v>
                </c:pt>
                <c:pt idx="299">
                  <c:v>1.0463693376343119E-2</c:v>
                </c:pt>
                <c:pt idx="300">
                  <c:v>1.0486721331817717E-2</c:v>
                </c:pt>
                <c:pt idx="301">
                  <c:v>1.0509748751398207E-2</c:v>
                </c:pt>
                <c:pt idx="302">
                  <c:v>1.0532775635097025E-2</c:v>
                </c:pt>
                <c:pt idx="303">
                  <c:v>1.0555801982926605E-2</c:v>
                </c:pt>
                <c:pt idx="304">
                  <c:v>1.0578827794899381E-2</c:v>
                </c:pt>
                <c:pt idx="305">
                  <c:v>1.06018530710279E-2</c:v>
                </c:pt>
                <c:pt idx="306">
                  <c:v>1.0624877811324596E-2</c:v>
                </c:pt>
                <c:pt idx="307">
                  <c:v>1.0647902015801902E-2</c:v>
                </c:pt>
                <c:pt idx="308">
                  <c:v>1.0670925684472365E-2</c:v>
                </c:pt>
                <c:pt idx="309">
                  <c:v>1.0693948817348531E-2</c:v>
                </c:pt>
                <c:pt idx="310">
                  <c:v>1.0716971414442611E-2</c:v>
                </c:pt>
                <c:pt idx="311">
                  <c:v>1.0739993475767262E-2</c:v>
                </c:pt>
                <c:pt idx="312">
                  <c:v>1.076301500133503E-2</c:v>
                </c:pt>
                <c:pt idx="313">
                  <c:v>1.0786035991158127E-2</c:v>
                </c:pt>
                <c:pt idx="314">
                  <c:v>1.080905644524921E-2</c:v>
                </c:pt>
                <c:pt idx="315">
                  <c:v>1.0832076363620713E-2</c:v>
                </c:pt>
                <c:pt idx="316">
                  <c:v>1.0855095746285071E-2</c:v>
                </c:pt>
                <c:pt idx="317">
                  <c:v>1.0878114593254717E-2</c:v>
                </c:pt>
                <c:pt idx="318">
                  <c:v>1.0901132904542199E-2</c:v>
                </c:pt>
                <c:pt idx="319">
                  <c:v>1.092415068015995E-2</c:v>
                </c:pt>
                <c:pt idx="320">
                  <c:v>1.0947167920120404E-2</c:v>
                </c:pt>
                <c:pt idx="321">
                  <c:v>1.0970184624436108E-2</c:v>
                </c:pt>
                <c:pt idx="322">
                  <c:v>1.0993200793119495E-2</c:v>
                </c:pt>
                <c:pt idx="323">
                  <c:v>1.1016216426183001E-2</c:v>
                </c:pt>
                <c:pt idx="324">
                  <c:v>1.1039231523639059E-2</c:v>
                </c:pt>
                <c:pt idx="325">
                  <c:v>1.1062246085500216E-2</c:v>
                </c:pt>
                <c:pt idx="326">
                  <c:v>1.1085260111778905E-2</c:v>
                </c:pt>
                <c:pt idx="327">
                  <c:v>1.1108273602487562E-2</c:v>
                </c:pt>
                <c:pt idx="328">
                  <c:v>1.113128655763862E-2</c:v>
                </c:pt>
                <c:pt idx="329">
                  <c:v>1.1154298977244625E-2</c:v>
                </c:pt>
                <c:pt idx="330">
                  <c:v>1.1177310861318013E-2</c:v>
                </c:pt>
                <c:pt idx="331">
                  <c:v>1.1200322209871327E-2</c:v>
                </c:pt>
                <c:pt idx="332">
                  <c:v>1.1223333022916782E-2</c:v>
                </c:pt>
                <c:pt idx="333">
                  <c:v>1.1246343300467143E-2</c:v>
                </c:pt>
                <c:pt idx="334">
                  <c:v>1.1269353042534624E-2</c:v>
                </c:pt>
                <c:pt idx="335">
                  <c:v>1.1292362249131882E-2</c:v>
                </c:pt>
                <c:pt idx="336">
                  <c:v>1.1315370920271239E-2</c:v>
                </c:pt>
                <c:pt idx="337">
                  <c:v>1.1338379055965131E-2</c:v>
                </c:pt>
                <c:pt idx="338">
                  <c:v>1.1361386656226213E-2</c:v>
                </c:pt>
                <c:pt idx="339">
                  <c:v>1.138439372106681E-2</c:v>
                </c:pt>
                <c:pt idx="340">
                  <c:v>1.1407400250499355E-2</c:v>
                </c:pt>
                <c:pt idx="341">
                  <c:v>1.1430406244536284E-2</c:v>
                </c:pt>
                <c:pt idx="342">
                  <c:v>1.1453411703190253E-2</c:v>
                </c:pt>
                <c:pt idx="343">
                  <c:v>1.1476416626473585E-2</c:v>
                </c:pt>
                <c:pt idx="344">
                  <c:v>1.1499421014398603E-2</c:v>
                </c:pt>
                <c:pt idx="345">
                  <c:v>1.1522424866978076E-2</c:v>
                </c:pt>
                <c:pt idx="346">
                  <c:v>1.1545428184224216E-2</c:v>
                </c:pt>
                <c:pt idx="347">
                  <c:v>1.1568430966149568E-2</c:v>
                </c:pt>
                <c:pt idx="348">
                  <c:v>1.1591433212766566E-2</c:v>
                </c:pt>
                <c:pt idx="349">
                  <c:v>1.1614434924087647E-2</c:v>
                </c:pt>
                <c:pt idx="350">
                  <c:v>1.1637436100125353E-2</c:v>
                </c:pt>
                <c:pt idx="351">
                  <c:v>1.1660436740892122E-2</c:v>
                </c:pt>
                <c:pt idx="352">
                  <c:v>1.1683436846400275E-2</c:v>
                </c:pt>
                <c:pt idx="353">
                  <c:v>1.1706436416662469E-2</c:v>
                </c:pt>
                <c:pt idx="354">
                  <c:v>1.1729435451691028E-2</c:v>
                </c:pt>
                <c:pt idx="355">
                  <c:v>1.1752433951498387E-2</c:v>
                </c:pt>
                <c:pt idx="356">
                  <c:v>1.177543191609709E-2</c:v>
                </c:pt>
                <c:pt idx="357">
                  <c:v>1.1798429345499573E-2</c:v>
                </c:pt>
                <c:pt idx="358">
                  <c:v>1.182142623971838E-2</c:v>
                </c:pt>
                <c:pt idx="359">
                  <c:v>1.1844422598765725E-2</c:v>
                </c:pt>
                <c:pt idx="360">
                  <c:v>1.1867418422654263E-2</c:v>
                </c:pt>
                <c:pt idx="361">
                  <c:v>1.1890413711396319E-2</c:v>
                </c:pt>
                <c:pt idx="362">
                  <c:v>1.1913408465004438E-2</c:v>
                </c:pt>
                <c:pt idx="363">
                  <c:v>1.1936402683491054E-2</c:v>
                </c:pt>
                <c:pt idx="364">
                  <c:v>1.1959396366868713E-2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3.2443293801260369E-2</c:v>
                </c:pt>
                <c:pt idx="1">
                  <c:v>3.2636127667386397E-2</c:v>
                </c:pt>
                <c:pt idx="2">
                  <c:v>3.2828829949347368E-2</c:v>
                </c:pt>
                <c:pt idx="3">
                  <c:v>3.3021391934564319E-2</c:v>
                </c:pt>
                <c:pt idx="4">
                  <c:v>3.3213806055463611E-2</c:v>
                </c:pt>
                <c:pt idx="5">
                  <c:v>3.3406065885368305E-2</c:v>
                </c:pt>
                <c:pt idx="6">
                  <c:v>3.3598166122317009E-2</c:v>
                </c:pt>
                <c:pt idx="7">
                  <c:v>3.3790102561303534E-2</c:v>
                </c:pt>
                <c:pt idx="8">
                  <c:v>3.3981872055542046E-2</c:v>
                </c:pt>
                <c:pt idx="9">
                  <c:v>3.4173472467464591E-2</c:v>
                </c:pt>
                <c:pt idx="10">
                  <c:v>3.4364902610254051E-2</c:v>
                </c:pt>
                <c:pt idx="11">
                  <c:v>3.4556162180800085E-2</c:v>
                </c:pt>
                <c:pt idx="12">
                  <c:v>3.4747251685042266E-2</c:v>
                </c:pt>
                <c:pt idx="13">
                  <c:v>3.4938172356728817E-2</c:v>
                </c:pt>
                <c:pt idx="14">
                  <c:v>3.5128926070673513E-2</c:v>
                </c:pt>
                <c:pt idx="15">
                  <c:v>3.531951525163475E-2</c:v>
                </c:pt>
                <c:pt idx="16">
                  <c:v>3.5509942779970584E-2</c:v>
                </c:pt>
                <c:pt idx="17">
                  <c:v>3.5700211895240981E-2</c:v>
                </c:pt>
                <c:pt idx="18">
                  <c:v>3.5890326098933611E-2</c:v>
                </c:pt>
                <c:pt idx="19">
                  <c:v>3.6080289057481459E-2</c:v>
                </c:pt>
                <c:pt idx="20">
                  <c:v>3.6270104506722196E-2</c:v>
                </c:pt>
                <c:pt idx="21">
                  <c:v>3.645977615891683E-2</c:v>
                </c:pt>
                <c:pt idx="22">
                  <c:v>3.6649307613402897E-2</c:v>
                </c:pt>
                <c:pt idx="23">
                  <c:v>3.6838702271904007E-2</c:v>
                </c:pt>
                <c:pt idx="24">
                  <c:v>3.7027963259453796E-2</c:v>
                </c:pt>
                <c:pt idx="25">
                  <c:v>3.7217093351818956E-2</c:v>
                </c:pt>
                <c:pt idx="26">
                  <c:v>3.7406094910225132E-2</c:v>
                </c:pt>
                <c:pt idx="27">
                  <c:v>3.7594969824099649E-2</c:v>
                </c:pt>
                <c:pt idx="28">
                  <c:v>3.778371946245003E-2</c:v>
                </c:pt>
                <c:pt idx="29">
                  <c:v>3.7972344634395847E-2</c:v>
                </c:pt>
                <c:pt idx="30">
                  <c:v>3.8160845559266569E-2</c:v>
                </c:pt>
                <c:pt idx="31">
                  <c:v>3.8349221846568873E-2</c:v>
                </c:pt>
                <c:pt idx="32">
                  <c:v>3.8537472486017743E-2</c:v>
                </c:pt>
                <c:pt idx="33">
                  <c:v>3.8725595847713547E-2</c:v>
                </c:pt>
                <c:pt idx="34">
                  <c:v>3.8913589692437509E-2</c:v>
                </c:pt>
                <c:pt idx="35">
                  <c:v>3.9101451191929135E-2</c:v>
                </c:pt>
                <c:pt idx="36">
                  <c:v>3.9289176958902605E-2</c:v>
                </c:pt>
                <c:pt idx="37">
                  <c:v>3.9476763086458241E-2</c:v>
                </c:pt>
                <c:pt idx="38">
                  <c:v>3.9664205196447318E-2</c:v>
                </c:pt>
                <c:pt idx="39">
                  <c:v>3.985149849625786E-2</c:v>
                </c:pt>
                <c:pt idx="40">
                  <c:v>4.0038637843405736E-2</c:v>
                </c:pt>
                <c:pt idx="41">
                  <c:v>4.0225617817237887E-2</c:v>
                </c:pt>
                <c:pt idx="42">
                  <c:v>4.04124327969883E-2</c:v>
                </c:pt>
                <c:pt idx="43">
                  <c:v>4.0599077045367783E-2</c:v>
                </c:pt>
                <c:pt idx="44">
                  <c:v>4.0785544796820089E-2</c:v>
                </c:pt>
                <c:pt idx="45">
                  <c:v>4.0971830349538295E-2</c:v>
                </c:pt>
                <c:pt idx="46">
                  <c:v>4.1157928160306299E-2</c:v>
                </c:pt>
                <c:pt idx="47">
                  <c:v>4.1343832941213146E-2</c:v>
                </c:pt>
                <c:pt idx="48">
                  <c:v>4.1529539757279681E-2</c:v>
                </c:pt>
                <c:pt idx="49">
                  <c:v>4.1715044124040652E-2</c:v>
                </c:pt>
                <c:pt idx="50">
                  <c:v>4.1900342104138497E-2</c:v>
                </c:pt>
                <c:pt idx="51">
                  <c:v>4.208543040200851E-2</c:v>
                </c:pt>
                <c:pt idx="52">
                  <c:v>4.2270306455767417E-2</c:v>
                </c:pt>
                <c:pt idx="53">
                  <c:v>4.2454968525460497E-2</c:v>
                </c:pt>
                <c:pt idx="54">
                  <c:v>4.2639415776870908E-2</c:v>
                </c:pt>
                <c:pt idx="55">
                  <c:v>4.2823648360154419E-2</c:v>
                </c:pt>
                <c:pt idx="56">
                  <c:v>4.3007667482626299E-2</c:v>
                </c:pt>
                <c:pt idx="57">
                  <c:v>4.319147547509862E-2</c:v>
                </c:pt>
                <c:pt idx="58">
                  <c:v>4.3375075851241632E-2</c:v>
                </c:pt>
                <c:pt idx="59">
                  <c:v>4.355847335952303E-2</c:v>
                </c:pt>
                <c:pt idx="60">
                  <c:v>4.3741674027361351E-2</c:v>
                </c:pt>
                <c:pt idx="61">
                  <c:v>4.3924685197215284E-2</c:v>
                </c:pt>
                <c:pt idx="62">
                  <c:v>4.4107515554416207E-2</c:v>
                </c:pt>
                <c:pt idx="63">
                  <c:v>4.4290175146636759E-2</c:v>
                </c:pt>
                <c:pt idx="64">
                  <c:v>4.4472675394973862E-2</c:v>
                </c:pt>
                <c:pt idx="65">
                  <c:v>4.4655029096705552E-2</c:v>
                </c:pt>
                <c:pt idx="66">
                  <c:v>4.4837250419861925E-2</c:v>
                </c:pt>
                <c:pt idx="67">
                  <c:v>4.5019354889824892E-2</c:v>
                </c:pt>
                <c:pt idx="68">
                  <c:v>4.5201359368241614E-2</c:v>
                </c:pt>
                <c:pt idx="69">
                  <c:v>4.5383282024602276E-2</c:v>
                </c:pt>
                <c:pt idx="70">
                  <c:v>4.5565142300889976E-2</c:v>
                </c:pt>
                <c:pt idx="71">
                  <c:v>4.5746960869762252E-2</c:v>
                </c:pt>
                <c:pt idx="72">
                  <c:v>4.5928759586768023E-2</c:v>
                </c:pt>
                <c:pt idx="73">
                  <c:v>4.6110561437138112E-2</c:v>
                </c:pt>
                <c:pt idx="74">
                  <c:v>4.6292390477716751E-2</c:v>
                </c:pt>
                <c:pt idx="75">
                  <c:v>4.6474271774618707E-2</c:v>
                </c:pt>
                <c:pt idx="76">
                  <c:v>4.6656231337208739E-2</c:v>
                </c:pt>
                <c:pt idx="77">
                  <c:v>4.6838296049000576E-2</c:v>
                </c:pt>
                <c:pt idx="78">
                  <c:v>4.7020493596067206E-2</c:v>
                </c:pt>
                <c:pt idx="79">
                  <c:v>4.7202852393539101E-2</c:v>
                </c:pt>
                <c:pt idx="80">
                  <c:v>4.7385401510744461E-2</c:v>
                </c:pt>
                <c:pt idx="81">
                  <c:v>4.7568170595516435E-2</c:v>
                </c:pt>
                <c:pt idx="82">
                  <c:v>4.7751189798155104E-2</c:v>
                </c:pt>
                <c:pt idx="83">
                  <c:v>4.7934489695489739E-2</c:v>
                </c:pt>
                <c:pt idx="84">
                  <c:v>4.8118101215438885E-2</c:v>
                </c:pt>
                <c:pt idx="85">
                  <c:v>4.8302055562413057E-2</c:v>
                </c:pt>
                <c:pt idx="86">
                  <c:v>4.8486384143848232E-2</c:v>
                </c:pt>
                <c:pt idx="87">
                  <c:v>4.8671118498100241E-2</c:v>
                </c:pt>
                <c:pt idx="88">
                  <c:v>4.8856290223867678E-2</c:v>
                </c:pt>
                <c:pt idx="89">
                  <c:v>4.9041930911250045E-2</c:v>
                </c:pt>
                <c:pt idx="90">
                  <c:v>4.9228072074485943E-2</c:v>
                </c:pt>
                <c:pt idx="91">
                  <c:v>4.9414745086354801E-2</c:v>
                </c:pt>
                <c:pt idx="92">
                  <c:v>4.960198111416781E-2</c:v>
                </c:pt>
                <c:pt idx="93">
                  <c:v>4.97898110572172E-2</c:v>
                </c:pt>
                <c:pt idx="94">
                  <c:v>4.9978265485502063E-2</c:v>
                </c:pt>
                <c:pt idx="95">
                  <c:v>5.0167374579501212E-2</c:v>
                </c:pt>
                <c:pt idx="96">
                  <c:v>5.0357168070722956E-2</c:v>
                </c:pt>
                <c:pt idx="97">
                  <c:v>5.0547675182725967E-2</c:v>
                </c:pt>
                <c:pt idx="98">
                  <c:v>5.0738924572277667E-2</c:v>
                </c:pt>
                <c:pt idx="99">
                  <c:v>5.0930944270295909E-2</c:v>
                </c:pt>
                <c:pt idx="100">
                  <c:v>5.1123761622207171E-2</c:v>
                </c:pt>
                <c:pt idx="101">
                  <c:v>5.1317403227349893E-2</c:v>
                </c:pt>
                <c:pt idx="102">
                  <c:v>5.1511894877056132E-2</c:v>
                </c:pt>
                <c:pt idx="103">
                  <c:v>5.1707261491057699E-2</c:v>
                </c:pt>
                <c:pt idx="104">
                  <c:v>5.1903527051883828E-2</c:v>
                </c:pt>
                <c:pt idx="105">
                  <c:v>5.2100714536948436E-2</c:v>
                </c:pt>
                <c:pt idx="106">
                  <c:v>5.2298845848062478E-2</c:v>
                </c:pt>
                <c:pt idx="107">
                  <c:v>5.2497941738154259E-2</c:v>
                </c:pt>
                <c:pt idx="108">
                  <c:v>5.2698021735033101E-2</c:v>
                </c:pt>
                <c:pt idx="109">
                  <c:v>5.2899104062093354E-2</c:v>
                </c:pt>
                <c:pt idx="110">
                  <c:v>5.3101205555922112E-2</c:v>
                </c:pt>
                <c:pt idx="111">
                  <c:v>5.3304341580846119E-2</c:v>
                </c:pt>
                <c:pt idx="112">
                  <c:v>5.3508525940529926E-2</c:v>
                </c:pt>
                <c:pt idx="113">
                  <c:v>5.3713770786817772E-2</c:v>
                </c:pt>
                <c:pt idx="114">
                  <c:v>5.3920086526093876E-2</c:v>
                </c:pt>
                <c:pt idx="115">
                  <c:v>5.4127481723520346E-2</c:v>
                </c:pt>
                <c:pt idx="116">
                  <c:v>5.4335963005595539E-2</c:v>
                </c:pt>
                <c:pt idx="117">
                  <c:v>5.4545534961560033E-2</c:v>
                </c:pt>
                <c:pt idx="118">
                  <c:v>5.4756200044257596E-2</c:v>
                </c:pt>
                <c:pt idx="119">
                  <c:v>5.4967958471137363E-2</c:v>
                </c:pt>
                <c:pt idx="120">
                  <c:v>5.518080812615718E-2</c:v>
                </c:pt>
                <c:pt idx="121">
                  <c:v>5.5394744463415142E-2</c:v>
                </c:pt>
                <c:pt idx="122">
                  <c:v>5.5609760413398761E-2</c:v>
                </c:pt>
                <c:pt idx="123">
                  <c:v>5.5825846292794815E-2</c:v>
                </c:pt>
                <c:pt idx="124">
                  <c:v>5.6042989718846546E-2</c:v>
                </c:pt>
                <c:pt idx="125">
                  <c:v>5.6261175529282517E-2</c:v>
                </c:pt>
                <c:pt idx="126">
                  <c:v>5.6480385708864086E-2</c:v>
                </c:pt>
                <c:pt idx="127">
                  <c:v>5.6700599323613772E-2</c:v>
                </c:pt>
                <c:pt idx="128">
                  <c:v>5.6921792463789013E-2</c:v>
                </c:pt>
                <c:pt idx="129">
                  <c:v>5.7143938196654427E-2</c:v>
                </c:pt>
                <c:pt idx="130">
                  <c:v>5.7367006530085467E-2</c:v>
                </c:pt>
                <c:pt idx="131">
                  <c:v>5.7590964387999544E-2</c:v>
                </c:pt>
                <c:pt idx="132">
                  <c:v>5.7815775598563802E-2</c:v>
                </c:pt>
                <c:pt idx="133">
                  <c:v>5.8041400896068553E-2</c:v>
                </c:pt>
                <c:pt idx="134">
                  <c:v>5.8267797937282595E-2</c:v>
                </c:pt>
                <c:pt idx="135">
                  <c:v>5.8494921333022164E-2</c:v>
                </c:pt>
                <c:pt idx="136">
                  <c:v>5.8722722695569309E-2</c:v>
                </c:pt>
                <c:pt idx="137">
                  <c:v>5.8951150702469715E-2</c:v>
                </c:pt>
                <c:pt idx="138">
                  <c:v>5.9180151177122539E-2</c:v>
                </c:pt>
                <c:pt idx="139">
                  <c:v>5.9409667186450542E-2</c:v>
                </c:pt>
                <c:pt idx="140">
                  <c:v>5.9639639155805182E-2</c:v>
                </c:pt>
                <c:pt idx="141">
                  <c:v>5.987000500112212E-2</c:v>
                </c:pt>
                <c:pt idx="142">
                  <c:v>6.0100700278197416E-2</c:v>
                </c:pt>
                <c:pt idx="143">
                  <c:v>6.0331658348805578E-2</c:v>
                </c:pt>
                <c:pt idx="144">
                  <c:v>6.0562810563229583E-2</c:v>
                </c:pt>
                <c:pt idx="145">
                  <c:v>6.0794086458620528E-2</c:v>
                </c:pt>
                <c:pt idx="146">
                  <c:v>6.102541397245223E-2</c:v>
                </c:pt>
                <c:pt idx="147">
                  <c:v>6.1256719670187441E-2</c:v>
                </c:pt>
                <c:pt idx="148">
                  <c:v>6.1487928986125012E-2</c:v>
                </c:pt>
                <c:pt idx="149">
                  <c:v>6.171896647625779E-2</c:v>
                </c:pt>
                <c:pt idx="150">
                  <c:v>6.1949756081836713E-2</c:v>
                </c:pt>
                <c:pt idx="151">
                  <c:v>6.2180221402211154E-2</c:v>
                </c:pt>
                <c:pt idx="152">
                  <c:v>6.2410285975399979E-2</c:v>
                </c:pt>
                <c:pt idx="153">
                  <c:v>6.2639873564743209E-2</c:v>
                </c:pt>
                <c:pt idx="154">
                  <c:v>6.2868908449892624E-2</c:v>
                </c:pt>
                <c:pt idx="155">
                  <c:v>6.3097315720320388E-2</c:v>
                </c:pt>
                <c:pt idx="156">
                  <c:v>6.3325021569462209E-2</c:v>
                </c:pt>
                <c:pt idx="157">
                  <c:v>6.3551953587562895E-2</c:v>
                </c:pt>
                <c:pt idx="158">
                  <c:v>6.3778041051259879E-2</c:v>
                </c:pt>
                <c:pt idx="159">
                  <c:v>6.4003215207927205E-2</c:v>
                </c:pt>
                <c:pt idx="160">
                  <c:v>6.4227409552803344E-2</c:v>
                </c:pt>
                <c:pt idx="161">
                  <c:v>6.4450560096947704E-2</c:v>
                </c:pt>
                <c:pt idx="162">
                  <c:v>6.4672605624108578E-2</c:v>
                </c:pt>
                <c:pt idx="163">
                  <c:v>6.4893487934641017E-2</c:v>
                </c:pt>
                <c:pt idx="164">
                  <c:v>6.511315207468639E-2</c:v>
                </c:pt>
                <c:pt idx="165">
                  <c:v>6.5331546548915889E-2</c:v>
                </c:pt>
                <c:pt idx="166">
                  <c:v>6.5548623515246443E-2</c:v>
                </c:pt>
                <c:pt idx="167">
                  <c:v>6.5764338960059857E-2</c:v>
                </c:pt>
                <c:pt idx="168">
                  <c:v>6.5978652852592398E-2</c:v>
                </c:pt>
                <c:pt idx="169">
                  <c:v>6.6191529277312353E-2</c:v>
                </c:pt>
                <c:pt idx="170">
                  <c:v>6.6402936543265123E-2</c:v>
                </c:pt>
                <c:pt idx="171">
                  <c:v>6.6612847269538131E-2</c:v>
                </c:pt>
                <c:pt idx="172">
                  <c:v>6.6821238446179848E-2</c:v>
                </c:pt>
                <c:pt idx="173">
                  <c:v>6.7028091470097584E-2</c:v>
                </c:pt>
                <c:pt idx="174">
                  <c:v>6.7233392155651925E-2</c:v>
                </c:pt>
                <c:pt idx="175">
                  <c:v>6.7437130719867233E-2</c:v>
                </c:pt>
                <c:pt idx="176">
                  <c:v>6.7639301742377284E-2</c:v>
                </c:pt>
                <c:pt idx="177">
                  <c:v>6.7839904100426326E-2</c:v>
                </c:pt>
                <c:pt idx="178">
                  <c:v>6.8038940879446494E-2</c:v>
                </c:pt>
                <c:pt idx="179">
                  <c:v>6.8236419259927003E-2</c:v>
                </c:pt>
                <c:pt idx="180">
                  <c:v>6.8432350381480711E-2</c:v>
                </c:pt>
                <c:pt idx="181">
                  <c:v>6.8626749185196928E-2</c:v>
                </c:pt>
                <c:pt idx="182">
                  <c:v>6.8819634235541174E-2</c:v>
                </c:pt>
                <c:pt idx="183">
                  <c:v>6.901102752322559E-2</c:v>
                </c:pt>
                <c:pt idx="184">
                  <c:v>6.9200954250622129E-2</c:v>
                </c:pt>
                <c:pt idx="185">
                  <c:v>6.9389442601426626E-2</c:v>
                </c:pt>
                <c:pt idx="186">
                  <c:v>6.9576523496400186E-2</c:v>
                </c:pt>
                <c:pt idx="187">
                  <c:v>6.9762230337117689E-2</c:v>
                </c:pt>
                <c:pt idx="188">
                  <c:v>6.994659873973802E-2</c:v>
                </c:pt>
                <c:pt idx="189">
                  <c:v>7.0129666260876009E-2</c:v>
                </c:pt>
                <c:pt idx="190">
                  <c:v>7.0311472117703638E-2</c:v>
                </c:pt>
                <c:pt idx="191">
                  <c:v>7.0492056904433123E-2</c:v>
                </c:pt>
                <c:pt idx="192">
                  <c:v>7.0671462307343474E-2</c:v>
                </c:pt>
                <c:pt idx="193">
                  <c:v>7.0849730820495171E-2</c:v>
                </c:pt>
                <c:pt idx="194">
                  <c:v>7.1026905464246684E-2</c:v>
                </c:pt>
                <c:pt idx="195">
                  <c:v>7.1203029508630375E-2</c:v>
                </c:pt>
                <c:pt idx="196">
                  <c:v>7.1378146203573384E-2</c:v>
                </c:pt>
                <c:pt idx="197">
                  <c:v>7.1552298517857563E-2</c:v>
                </c:pt>
                <c:pt idx="198">
                  <c:v>7.1725528888602466E-2</c:v>
                </c:pt>
                <c:pt idx="199">
                  <c:v>7.1897878982930583E-2</c:v>
                </c:pt>
                <c:pt idx="200">
                  <c:v>7.2069389473332829E-2</c:v>
                </c:pt>
                <c:pt idx="201">
                  <c:v>7.2240099828097482E-2</c:v>
                </c:pt>
                <c:pt idx="202">
                  <c:v>7.241004811799992E-2</c:v>
                </c:pt>
                <c:pt idx="203">
                  <c:v>7.2579270840272533E-2</c:v>
                </c:pt>
                <c:pt idx="204">
                  <c:v>7.2747802760690275E-2</c:v>
                </c:pt>
                <c:pt idx="205">
                  <c:v>7.2915676774413685E-2</c:v>
                </c:pt>
                <c:pt idx="206">
                  <c:v>7.3082923786036549E-2</c:v>
                </c:pt>
                <c:pt idx="207">
                  <c:v>7.3249572609085614E-2</c:v>
                </c:pt>
                <c:pt idx="208">
                  <c:v>7.3415649885021014E-2</c:v>
                </c:pt>
                <c:pt idx="209">
                  <c:v>7.3581180021589282E-2</c:v>
                </c:pt>
                <c:pt idx="210">
                  <c:v>7.374618515018716E-2</c:v>
                </c:pt>
                <c:pt idx="211">
                  <c:v>7.3910685101707702E-2</c:v>
                </c:pt>
                <c:pt idx="212">
                  <c:v>7.407469740016058E-2</c:v>
                </c:pt>
                <c:pt idx="213">
                  <c:v>7.4238237273190302E-2</c:v>
                </c:pt>
                <c:pt idx="214">
                  <c:v>7.4401317678457618E-2</c:v>
                </c:pt>
                <c:pt idx="215">
                  <c:v>7.4563949344706046E-2</c:v>
                </c:pt>
                <c:pt idx="216">
                  <c:v>7.4726140826207446E-2</c:v>
                </c:pt>
                <c:pt idx="217">
                  <c:v>7.4887898569166736E-2</c:v>
                </c:pt>
                <c:pt idx="218">
                  <c:v>7.5049226988572582E-2</c:v>
                </c:pt>
                <c:pt idx="219">
                  <c:v>7.5210128553904076E-2</c:v>
                </c:pt>
                <c:pt idx="220">
                  <c:v>7.5370603882048179E-2</c:v>
                </c:pt>
                <c:pt idx="221">
                  <c:v>7.5530651835744464E-2</c:v>
                </c:pt>
                <c:pt idx="222">
                  <c:v>7.5690269625860673E-2</c:v>
                </c:pt>
                <c:pt idx="223">
                  <c:v>7.5849452915805332E-2</c:v>
                </c:pt>
                <c:pt idx="224">
                  <c:v>7.600819592641056E-2</c:v>
                </c:pt>
                <c:pt idx="225">
                  <c:v>7.6166491539664372E-2</c:v>
                </c:pt>
                <c:pt idx="226">
                  <c:v>7.6324331399736572E-2</c:v>
                </c:pt>
                <c:pt idx="227">
                  <c:v>7.6481706009828912E-2</c:v>
                </c:pt>
                <c:pt idx="228">
                  <c:v>7.6638604823481851E-2</c:v>
                </c:pt>
                <c:pt idx="229">
                  <c:v>7.6795016329091303E-2</c:v>
                </c:pt>
                <c:pt idx="230">
                  <c:v>7.695092812652396E-2</c:v>
                </c:pt>
                <c:pt idx="231">
                  <c:v>7.7106326994869773E-2</c:v>
                </c:pt>
                <c:pt idx="232">
                  <c:v>7.7261198950531934E-2</c:v>
                </c:pt>
                <c:pt idx="233">
                  <c:v>7.7415529295027541E-2</c:v>
                </c:pt>
                <c:pt idx="234">
                  <c:v>7.756930265205253E-2</c:v>
                </c:pt>
                <c:pt idx="235">
                  <c:v>7.7722502993552892E-2</c:v>
                </c:pt>
                <c:pt idx="236">
                  <c:v>7.7875113654733846E-2</c:v>
                </c:pt>
                <c:pt idx="237">
                  <c:v>7.802711733813382E-2</c:v>
                </c:pt>
                <c:pt idx="238">
                  <c:v>7.8178496107081871E-2</c:v>
                </c:pt>
                <c:pt idx="239">
                  <c:v>7.8329231369047916E-2</c:v>
                </c:pt>
                <c:pt idx="240">
                  <c:v>7.8479303849580212E-2</c:v>
                </c:pt>
                <c:pt idx="241">
                  <c:v>7.8628693557702189E-2</c:v>
                </c:pt>
                <c:pt idx="242">
                  <c:v>7.8777379743810189E-2</c:v>
                </c:pt>
                <c:pt idx="243">
                  <c:v>7.892534085126908E-2</c:v>
                </c:pt>
                <c:pt idx="244">
                  <c:v>7.9072554463047395E-2</c:v>
                </c:pt>
                <c:pt idx="245">
                  <c:v>7.9218997244860437E-2</c:v>
                </c:pt>
                <c:pt idx="246">
                  <c:v>7.9364644886401312E-2</c:v>
                </c:pt>
                <c:pt idx="247">
                  <c:v>7.9509472042330692E-2</c:v>
                </c:pt>
                <c:pt idx="248">
                  <c:v>7.9653452274769249E-2</c:v>
                </c:pt>
                <c:pt idx="249">
                  <c:v>7.9796557999086012E-2</c:v>
                </c:pt>
                <c:pt idx="250">
                  <c:v>7.9938760434805745E-2</c:v>
                </c:pt>
                <c:pt idx="251">
                  <c:v>8.0080029563462801E-2</c:v>
                </c:pt>
                <c:pt idx="252">
                  <c:v>8.0220334095212384E-2</c:v>
                </c:pt>
                <c:pt idx="253">
                  <c:v>8.0359641445969049E-2</c:v>
                </c:pt>
                <c:pt idx="254">
                  <c:v>8.0497917726777793E-2</c:v>
                </c:pt>
                <c:pt idx="255">
                  <c:v>8.0635127747035615E-2</c:v>
                </c:pt>
                <c:pt idx="256">
                  <c:v>8.0771235033072888E-2</c:v>
                </c:pt>
                <c:pt idx="257">
                  <c:v>8.0906201863471278E-2</c:v>
                </c:pt>
                <c:pt idx="258">
                  <c:v>8.1039989322344852E-2</c:v>
                </c:pt>
                <c:pt idx="259">
                  <c:v>8.1172557371638795E-2</c:v>
                </c:pt>
                <c:pt idx="260">
                  <c:v>8.1303864943313861E-2</c:v>
                </c:pt>
                <c:pt idx="261">
                  <c:v>8.1433870052078541E-2</c:v>
                </c:pt>
                <c:pt idx="262">
                  <c:v>8.1562529929115626E-2</c:v>
                </c:pt>
                <c:pt idx="263">
                  <c:v>8.1689801177018059E-2</c:v>
                </c:pt>
                <c:pt idx="264">
                  <c:v>8.1815639945912913E-2</c:v>
                </c:pt>
                <c:pt idx="265">
                  <c:v>8.1940002130504355E-2</c:v>
                </c:pt>
                <c:pt idx="266">
                  <c:v>8.2062843587518502E-2</c:v>
                </c:pt>
                <c:pt idx="267">
                  <c:v>8.2184120372781014E-2</c:v>
                </c:pt>
                <c:pt idx="268">
                  <c:v>8.2303788996906671E-2</c:v>
                </c:pt>
                <c:pt idx="269">
                  <c:v>8.2421806698335723E-2</c:v>
                </c:pt>
                <c:pt idx="270">
                  <c:v>8.2538131732208586E-2</c:v>
                </c:pt>
                <c:pt idx="271">
                  <c:v>8.2652723673341366E-2</c:v>
                </c:pt>
                <c:pt idx="272">
                  <c:v>8.2765543731344191E-2</c:v>
                </c:pt>
                <c:pt idx="273">
                  <c:v>8.2876555075718741E-2</c:v>
                </c:pt>
                <c:pt idx="274">
                  <c:v>8.2985723168583186E-2</c:v>
                </c:pt>
                <c:pt idx="275">
                  <c:v>8.3093016102503067E-2</c:v>
                </c:pt>
                <c:pt idx="276">
                  <c:v>8.3198404940757614E-2</c:v>
                </c:pt>
                <c:pt idx="277">
                  <c:v>8.3301864057245864E-2</c:v>
                </c:pt>
                <c:pt idx="278">
                  <c:v>8.3403371473135549E-2</c:v>
                </c:pt>
                <c:pt idx="279">
                  <c:v>8.3502909187283855E-2</c:v>
                </c:pt>
                <c:pt idx="280">
                  <c:v>8.3600463497411168E-2</c:v>
                </c:pt>
                <c:pt idx="281">
                  <c:v>8.3696025308990493E-2</c:v>
                </c:pt>
                <c:pt idx="282">
                  <c:v>8.3789590428825778E-2</c:v>
                </c:pt>
                <c:pt idx="283">
                  <c:v>8.3881159840332328E-2</c:v>
                </c:pt>
                <c:pt idx="284">
                  <c:v>8.3970739957601348E-2</c:v>
                </c:pt>
                <c:pt idx="285">
                  <c:v>8.4058342855430873E-2</c:v>
                </c:pt>
                <c:pt idx="286">
                  <c:v>8.4143986472632396E-2</c:v>
                </c:pt>
                <c:pt idx="287">
                  <c:v>8.4227694786079693E-2</c:v>
                </c:pt>
                <c:pt idx="288">
                  <c:v>8.4309497953148668E-2</c:v>
                </c:pt>
                <c:pt idx="289">
                  <c:v>8.4389432420407792E-2</c:v>
                </c:pt>
                <c:pt idx="290">
                  <c:v>8.4467540996650659E-2</c:v>
                </c:pt>
                <c:pt idx="291">
                  <c:v>8.4543872888618948E-2</c:v>
                </c:pt>
                <c:pt idx="292">
                  <c:v>8.4618483698039662E-2</c:v>
                </c:pt>
                <c:pt idx="293">
                  <c:v>8.4691435378894023E-2</c:v>
                </c:pt>
                <c:pt idx="294">
                  <c:v>8.4762796154144684E-2</c:v>
                </c:pt>
                <c:pt idx="295">
                  <c:v>8.4832640391469871E-2</c:v>
                </c:pt>
                <c:pt idx="296">
                  <c:v>8.4901048437882584E-2</c:v>
                </c:pt>
                <c:pt idx="297">
                  <c:v>8.4968106413453551E-2</c:v>
                </c:pt>
                <c:pt idx="298">
                  <c:v>8.5033905964695303E-2</c:v>
                </c:pt>
                <c:pt idx="299">
                  <c:v>8.5098543978508509E-2</c:v>
                </c:pt>
                <c:pt idx="300">
                  <c:v>8.5162122257929615E-2</c:v>
                </c:pt>
                <c:pt idx="301">
                  <c:v>8.5224747161252265E-2</c:v>
                </c:pt>
                <c:pt idx="302">
                  <c:v>8.5286529206418632E-2</c:v>
                </c:pt>
                <c:pt idx="303">
                  <c:v>8.5347582642888498E-2</c:v>
                </c:pt>
                <c:pt idx="304">
                  <c:v>8.5408024993489706E-2</c:v>
                </c:pt>
                <c:pt idx="305">
                  <c:v>8.5467976569031892E-2</c:v>
                </c:pt>
                <c:pt idx="306">
                  <c:v>8.5527559958722507E-2</c:v>
                </c:pt>
                <c:pt idx="307">
                  <c:v>8.5586899499657115E-2</c:v>
                </c:pt>
                <c:pt idx="308">
                  <c:v>8.5646120728864072E-2</c:v>
                </c:pt>
                <c:pt idx="309">
                  <c:v>8.5705349821562943E-2</c:v>
                </c:pt>
                <c:pt idx="310">
                  <c:v>8.5764713019445687E-2</c:v>
                </c:pt>
                <c:pt idx="311">
                  <c:v>8.5824336052907943E-2</c:v>
                </c:pt>
                <c:pt idx="312">
                  <c:v>8.5884343561242804E-2</c:v>
                </c:pt>
                <c:pt idx="313">
                  <c:v>8.594485851486143E-2</c:v>
                </c:pt>
                <c:pt idx="314">
                  <c:v>8.6006001643620683E-2</c:v>
                </c:pt>
                <c:pt idx="315">
                  <c:v>8.6067890875321851E-2</c:v>
                </c:pt>
                <c:pt idx="316">
                  <c:v>8.6130640788389515E-2</c:v>
                </c:pt>
                <c:pt idx="317">
                  <c:v>8.6194362082653464E-2</c:v>
                </c:pt>
                <c:pt idx="318">
                  <c:v>8.6259161072034421E-2</c:v>
                </c:pt>
                <c:pt idx="319">
                  <c:v>8.6325139202779511E-2</c:v>
                </c:pt>
                <c:pt idx="320">
                  <c:v>8.6392392600706663E-2</c:v>
                </c:pt>
                <c:pt idx="321">
                  <c:v>8.6461011650700401E-2</c:v>
                </c:pt>
                <c:pt idx="322">
                  <c:v>8.6531080611456451E-2</c:v>
                </c:pt>
                <c:pt idx="323">
                  <c:v>8.6602677268199438E-2</c:v>
                </c:pt>
                <c:pt idx="324">
                  <c:v>8.6675872625804132E-2</c:v>
                </c:pt>
                <c:pt idx="325">
                  <c:v>8.6750730644432325E-2</c:v>
                </c:pt>
                <c:pt idx="326">
                  <c:v>8.682730801946241E-2</c:v>
                </c:pt>
                <c:pt idx="327">
                  <c:v>8.6905654007137442E-2</c:v>
                </c:pt>
                <c:pt idx="328">
                  <c:v>8.6985810296994467E-2</c:v>
                </c:pt>
                <c:pt idx="329">
                  <c:v>8.7067810931764605E-2</c:v>
                </c:pt>
                <c:pt idx="330">
                  <c:v>8.7151682275055792E-2</c:v>
                </c:pt>
                <c:pt idx="331">
                  <c:v>8.7237443026749115E-2</c:v>
                </c:pt>
                <c:pt idx="332">
                  <c:v>8.732510428566001E-2</c:v>
                </c:pt>
                <c:pt idx="333">
                  <c:v>8.7414669658641211E-2</c:v>
                </c:pt>
                <c:pt idx="334">
                  <c:v>8.7506135414936459E-2</c:v>
                </c:pt>
                <c:pt idx="335">
                  <c:v>8.7599490684239056E-2</c:v>
                </c:pt>
                <c:pt idx="336">
                  <c:v>8.7694717696567073E-2</c:v>
                </c:pt>
                <c:pt idx="337">
                  <c:v>8.7791792061744325E-2</c:v>
                </c:pt>
                <c:pt idx="338">
                  <c:v>8.7890683085971366E-2</c:v>
                </c:pt>
                <c:pt idx="339">
                  <c:v>8.7991354122692114E-2</c:v>
                </c:pt>
                <c:pt idx="340">
                  <c:v>8.8093762954705196E-2</c:v>
                </c:pt>
                <c:pt idx="341">
                  <c:v>8.8197862204244276E-2</c:v>
                </c:pt>
                <c:pt idx="342">
                  <c:v>8.8303599767551921E-2</c:v>
                </c:pt>
                <c:pt idx="343">
                  <c:v>8.8410919270309127E-2</c:v>
                </c:pt>
                <c:pt idx="344">
                  <c:v>8.8519760540146875E-2</c:v>
                </c:pt>
                <c:pt idx="345">
                  <c:v>8.8630060092369012E-2</c:v>
                </c:pt>
                <c:pt idx="346">
                  <c:v>8.8741751624951376E-2</c:v>
                </c:pt>
                <c:pt idx="347">
                  <c:v>8.8854766518852324E-2</c:v>
                </c:pt>
                <c:pt idx="348">
                  <c:v>8.8969034339675901E-2</c:v>
                </c:pt>
                <c:pt idx="349">
                  <c:v>8.9084483336771075E-2</c:v>
                </c:pt>
                <c:pt idx="350">
                  <c:v>8.9201040935923306E-2</c:v>
                </c:pt>
                <c:pt idx="351">
                  <c:v>8.9318634221905502E-2</c:v>
                </c:pt>
                <c:pt idx="352">
                  <c:v>8.9437190407294892E-2</c:v>
                </c:pt>
                <c:pt idx="353">
                  <c:v>8.9556637284133545E-2</c:v>
                </c:pt>
                <c:pt idx="354">
                  <c:v>8.9676903655211165E-2</c:v>
                </c:pt>
                <c:pt idx="355">
                  <c:v>8.9797919741974819E-2</c:v>
                </c:pt>
                <c:pt idx="356">
                  <c:v>8.9919617566321955E-2</c:v>
                </c:pt>
                <c:pt idx="357">
                  <c:v>9.0041931303805917E-2</c:v>
                </c:pt>
                <c:pt idx="358">
                  <c:v>9.0164797606075334E-2</c:v>
                </c:pt>
                <c:pt idx="359">
                  <c:v>9.0288155890677471E-2</c:v>
                </c:pt>
                <c:pt idx="360">
                  <c:v>9.0411948596676853E-2</c:v>
                </c:pt>
                <c:pt idx="361">
                  <c:v>9.0536121404872189E-2</c:v>
                </c:pt>
                <c:pt idx="362">
                  <c:v>9.0660623421733727E-2</c:v>
                </c:pt>
                <c:pt idx="363">
                  <c:v>9.0785407326523931E-2</c:v>
                </c:pt>
                <c:pt idx="364">
                  <c:v>9.0910429481407803E-2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9.5191266191640457E-3</c:v>
                </c:pt>
                <c:pt idx="1">
                  <c:v>9.5222209770875338E-3</c:v>
                </c:pt>
                <c:pt idx="2">
                  <c:v>9.5274040232533053E-3</c:v>
                </c:pt>
                <c:pt idx="3">
                  <c:v>9.5347404751506895E-3</c:v>
                </c:pt>
                <c:pt idx="4">
                  <c:v>9.5442871977475269E-3</c:v>
                </c:pt>
                <c:pt idx="5">
                  <c:v>9.5560934026975661E-3</c:v>
                </c:pt>
                <c:pt idx="6">
                  <c:v>9.570200908398635E-3</c:v>
                </c:pt>
                <c:pt idx="7">
                  <c:v>9.5866444258793891E-3</c:v>
                </c:pt>
                <c:pt idx="8">
                  <c:v>9.6043551489699841E-3</c:v>
                </c:pt>
                <c:pt idx="9">
                  <c:v>9.6163469932552294E-3</c:v>
                </c:pt>
                <c:pt idx="10">
                  <c:v>9.6201604805003574E-3</c:v>
                </c:pt>
                <c:pt idx="11">
                  <c:v>9.6163553136769386E-3</c:v>
                </c:pt>
                <c:pt idx="12">
                  <c:v>9.6054886193603153E-3</c:v>
                </c:pt>
                <c:pt idx="13">
                  <c:v>9.5881101003914559E-3</c:v>
                </c:pt>
                <c:pt idx="14">
                  <c:v>9.5647579417170985E-3</c:v>
                </c:pt>
                <c:pt idx="15">
                  <c:v>9.515413096706702E-3</c:v>
                </c:pt>
                <c:pt idx="16">
                  <c:v>9.4384195281814482E-3</c:v>
                </c:pt>
                <c:pt idx="17">
                  <c:v>9.3350770581017099E-3</c:v>
                </c:pt>
                <c:pt idx="18">
                  <c:v>9.2066546834245998E-3</c:v>
                </c:pt>
                <c:pt idx="19">
                  <c:v>9.0544323435096351E-3</c:v>
                </c:pt>
                <c:pt idx="20">
                  <c:v>8.8796616800353688E-3</c:v>
                </c:pt>
                <c:pt idx="21">
                  <c:v>8.6834971736711557E-3</c:v>
                </c:pt>
                <c:pt idx="22">
                  <c:v>8.4661120980245395E-3</c:v>
                </c:pt>
                <c:pt idx="23">
                  <c:v>8.2151970772153891E-3</c:v>
                </c:pt>
                <c:pt idx="24">
                  <c:v>7.9374046223655275E-3</c:v>
                </c:pt>
                <c:pt idx="25">
                  <c:v>7.6340299586056121E-3</c:v>
                </c:pt>
                <c:pt idx="26">
                  <c:v>7.3063265262372562E-3</c:v>
                </c:pt>
                <c:pt idx="27">
                  <c:v>6.9555019639881976E-3</c:v>
                </c:pt>
                <c:pt idx="28">
                  <c:v>6.5827148445602585E-3</c:v>
                </c:pt>
                <c:pt idx="29">
                  <c:v>6.1985795907845333E-3</c:v>
                </c:pt>
                <c:pt idx="30">
                  <c:v>5.8209169332110707E-3</c:v>
                </c:pt>
                <c:pt idx="31">
                  <c:v>5.4497416936284933E-3</c:v>
                </c:pt>
                <c:pt idx="32">
                  <c:v>5.0850421184722898E-3</c:v>
                </c:pt>
                <c:pt idx="33">
                  <c:v>4.7267822736728566E-3</c:v>
                </c:pt>
                <c:pt idx="34">
                  <c:v>4.374904305019264E-3</c:v>
                </c:pt>
                <c:pt idx="35">
                  <c:v>4.0293305561965604E-3</c:v>
                </c:pt>
                <c:pt idx="36">
                  <c:v>3.6898877037334684E-3</c:v>
                </c:pt>
                <c:pt idx="37">
                  <c:v>3.3697349323178402E-3</c:v>
                </c:pt>
                <c:pt idx="38">
                  <c:v>3.0786297297015056E-3</c:v>
                </c:pt>
                <c:pt idx="39">
                  <c:v>2.8156170537797787E-3</c:v>
                </c:pt>
                <c:pt idx="40">
                  <c:v>2.5797718610770983E-3</c:v>
                </c:pt>
                <c:pt idx="41">
                  <c:v>2.3701977077775277E-3</c:v>
                </c:pt>
                <c:pt idx="42">
                  <c:v>2.1860254732950428E-3</c:v>
                </c:pt>
                <c:pt idx="43">
                  <c:v>2.0308238831675484E-3</c:v>
                </c:pt>
                <c:pt idx="44">
                  <c:v>1.8957031717205866E-3</c:v>
                </c:pt>
                <c:pt idx="45">
                  <c:v>1.7799980254596273E-3</c:v>
                </c:pt>
                <c:pt idx="46">
                  <c:v>1.6830626114525619E-3</c:v>
                </c:pt>
                <c:pt idx="47">
                  <c:v>1.6042698859012837E-3</c:v>
                </c:pt>
                <c:pt idx="48">
                  <c:v>1.5430109644387492E-3</c:v>
                </c:pt>
                <c:pt idx="49">
                  <c:v>1.4986945470875678E-3</c:v>
                </c:pt>
                <c:pt idx="50">
                  <c:v>1.4707161606237406E-3</c:v>
                </c:pt>
                <c:pt idx="51">
                  <c:v>1.4587076866516141E-3</c:v>
                </c:pt>
                <c:pt idx="52">
                  <c:v>1.4509690540810318E-3</c:v>
                </c:pt>
                <c:pt idx="53">
                  <c:v>1.44736894601952E-3</c:v>
                </c:pt>
                <c:pt idx="54">
                  <c:v>1.44778606509802E-3</c:v>
                </c:pt>
                <c:pt idx="55">
                  <c:v>1.4521023727148042E-3</c:v>
                </c:pt>
                <c:pt idx="56">
                  <c:v>1.460203547335587E-3</c:v>
                </c:pt>
                <c:pt idx="57">
                  <c:v>1.4716851175049035E-3</c:v>
                </c:pt>
                <c:pt idx="58">
                  <c:v>1.4827500318150629E-3</c:v>
                </c:pt>
                <c:pt idx="59">
                  <c:v>1.4934310444639685E-3</c:v>
                </c:pt>
                <c:pt idx="60">
                  <c:v>1.5037601280185693E-3</c:v>
                </c:pt>
                <c:pt idx="61">
                  <c:v>1.5137684640200242E-3</c:v>
                </c:pt>
                <c:pt idx="62">
                  <c:v>1.5234864417092344E-3</c:v>
                </c:pt>
                <c:pt idx="63">
                  <c:v>1.5329436645518774E-3</c:v>
                </c:pt>
                <c:pt idx="64">
                  <c:v>1.542068858055221E-3</c:v>
                </c:pt>
                <c:pt idx="65">
                  <c:v>1.5499575796202156E-3</c:v>
                </c:pt>
                <c:pt idx="66">
                  <c:v>1.5565052570878505E-3</c:v>
                </c:pt>
                <c:pt idx="67">
                  <c:v>1.5617810485338238E-3</c:v>
                </c:pt>
                <c:pt idx="68">
                  <c:v>1.5658519678309894E-3</c:v>
                </c:pt>
                <c:pt idx="69">
                  <c:v>1.5687827545470252E-3</c:v>
                </c:pt>
                <c:pt idx="70">
                  <c:v>1.5706357743868775E-3</c:v>
                </c:pt>
                <c:pt idx="71">
                  <c:v>1.5702463442654124E-3</c:v>
                </c:pt>
                <c:pt idx="72">
                  <c:v>1.5679587814662233E-3</c:v>
                </c:pt>
                <c:pt idx="73">
                  <c:v>1.5638547398404523E-3</c:v>
                </c:pt>
                <c:pt idx="74">
                  <c:v>1.5580117449570752E-3</c:v>
                </c:pt>
                <c:pt idx="75">
                  <c:v>1.5505031437760041E-3</c:v>
                </c:pt>
                <c:pt idx="76">
                  <c:v>1.5413980764298714E-3</c:v>
                </c:pt>
                <c:pt idx="77">
                  <c:v>1.5307614663886231E-3</c:v>
                </c:pt>
                <c:pt idx="78">
                  <c:v>1.5185348947551155E-3</c:v>
                </c:pt>
                <c:pt idx="79">
                  <c:v>1.5039127402871829E-3</c:v>
                </c:pt>
                <c:pt idx="80">
                  <c:v>1.487719275159184E-3</c:v>
                </c:pt>
                <c:pt idx="81">
                  <c:v>1.4700234349910748E-3</c:v>
                </c:pt>
                <c:pt idx="82">
                  <c:v>1.450889806473635E-3</c:v>
                </c:pt>
                <c:pt idx="83">
                  <c:v>1.430378531919151E-3</c:v>
                </c:pt>
                <c:pt idx="84">
                  <c:v>1.4085452396593212E-3</c:v>
                </c:pt>
                <c:pt idx="85">
                  <c:v>1.3849244002817416E-3</c:v>
                </c:pt>
                <c:pt idx="86">
                  <c:v>1.3606499382714562E-3</c:v>
                </c:pt>
                <c:pt idx="87">
                  <c:v>1.3357512023155821E-3</c:v>
                </c:pt>
                <c:pt idx="88">
                  <c:v>1.3102539190958146E-3</c:v>
                </c:pt>
                <c:pt idx="89">
                  <c:v>1.2841802435003603E-3</c:v>
                </c:pt>
                <c:pt idx="90">
                  <c:v>1.2575488074588147E-3</c:v>
                </c:pt>
                <c:pt idx="91">
                  <c:v>1.2303747652810052E-3</c:v>
                </c:pt>
                <c:pt idx="92">
                  <c:v>1.2026016438406268E-3</c:v>
                </c:pt>
                <c:pt idx="93">
                  <c:v>1.1737649042445047E-3</c:v>
                </c:pt>
                <c:pt idx="94">
                  <c:v>1.1445632700842466E-3</c:v>
                </c:pt>
                <c:pt idx="95">
                  <c:v>1.1149964140781598E-3</c:v>
                </c:pt>
                <c:pt idx="96">
                  <c:v>1.0850625406557137E-3</c:v>
                </c:pt>
                <c:pt idx="97">
                  <c:v>1.0547583897240588E-3</c:v>
                </c:pt>
                <c:pt idx="98">
                  <c:v>1.0240792371015107E-3</c:v>
                </c:pt>
                <c:pt idx="99">
                  <c:v>9.9303849639002469E-4</c:v>
                </c:pt>
                <c:pt idx="100">
                  <c:v>9.6210272138721683E-4</c:v>
                </c:pt>
                <c:pt idx="101">
                  <c:v>9.3125718077498385E-4</c:v>
                </c:pt>
                <c:pt idx="102">
                  <c:v>9.0048642839968491E-4</c:v>
                </c:pt>
                <c:pt idx="103">
                  <c:v>8.6977429797396833E-4</c:v>
                </c:pt>
                <c:pt idx="104">
                  <c:v>8.3910389521809139E-4</c:v>
                </c:pt>
                <c:pt idx="105">
                  <c:v>8.0845758757380152E-4</c:v>
                </c:pt>
                <c:pt idx="106">
                  <c:v>7.7779577519760063E-4</c:v>
                </c:pt>
                <c:pt idx="107">
                  <c:v>7.4690832555765019E-4</c:v>
                </c:pt>
                <c:pt idx="108">
                  <c:v>7.1616455406663701E-4</c:v>
                </c:pt>
                <c:pt idx="109">
                  <c:v>6.8554789850611933E-4</c:v>
                </c:pt>
                <c:pt idx="110">
                  <c:v>6.5504302436166189E-4</c:v>
                </c:pt>
                <c:pt idx="111">
                  <c:v>6.2463365895800641E-4</c:v>
                </c:pt>
                <c:pt idx="112">
                  <c:v>5.9430086910601608E-4</c:v>
                </c:pt>
                <c:pt idx="113">
                  <c:v>5.6442019991465226E-4</c:v>
                </c:pt>
                <c:pt idx="114">
                  <c:v>5.3495174656576308E-4</c:v>
                </c:pt>
                <c:pt idx="115">
                  <c:v>5.0587451614907293E-4</c:v>
                </c:pt>
                <c:pt idx="116">
                  <c:v>4.7716745148355504E-4</c:v>
                </c:pt>
                <c:pt idx="117">
                  <c:v>4.4920723582552612E-4</c:v>
                </c:pt>
                <c:pt idx="118">
                  <c:v>4.224000697191923E-4</c:v>
                </c:pt>
                <c:pt idx="119">
                  <c:v>3.9580492702363118E-4</c:v>
                </c:pt>
                <c:pt idx="120">
                  <c:v>3.6939930209027154E-4</c:v>
                </c:pt>
                <c:pt idx="121">
                  <c:v>3.4410832861376574E-4</c:v>
                </c:pt>
                <c:pt idx="122">
                  <c:v>3.2009067367196341E-4</c:v>
                </c:pt>
                <c:pt idx="123">
                  <c:v>2.9733438465438919E-4</c:v>
                </c:pt>
                <c:pt idx="124">
                  <c:v>2.7583067381911836E-4</c:v>
                </c:pt>
                <c:pt idx="125">
                  <c:v>2.5557380741207669E-4</c:v>
                </c:pt>
                <c:pt idx="126">
                  <c:v>2.3656100152926558E-4</c:v>
                </c:pt>
                <c:pt idx="127">
                  <c:v>2.1914442632079507E-4</c:v>
                </c:pt>
                <c:pt idx="128">
                  <c:v>2.0291622497085372E-4</c:v>
                </c:pt>
                <c:pt idx="129">
                  <c:v>1.8788064174178078E-4</c:v>
                </c:pt>
                <c:pt idx="130">
                  <c:v>1.7404436638727359E-4</c:v>
                </c:pt>
                <c:pt idx="131">
                  <c:v>1.6141644436455964E-4</c:v>
                </c:pt>
                <c:pt idx="132">
                  <c:v>1.5000818532254152E-4</c:v>
                </c:pt>
                <c:pt idx="133">
                  <c:v>1.3983306874077809E-4</c:v>
                </c:pt>
                <c:pt idx="134">
                  <c:v>1.3091045988783078E-4</c:v>
                </c:pt>
                <c:pt idx="135">
                  <c:v>1.2337641609806382E-4</c:v>
                </c:pt>
                <c:pt idx="136">
                  <c:v>1.1622713228007498E-4</c:v>
                </c:pt>
                <c:pt idx="137">
                  <c:v>1.0946277698311297E-4</c:v>
                </c:pt>
                <c:pt idx="138">
                  <c:v>1.0308432916058063E-4</c:v>
                </c:pt>
                <c:pt idx="139">
                  <c:v>9.7093556226087027E-5</c:v>
                </c:pt>
                <c:pt idx="140">
                  <c:v>9.1492991415804688E-5</c:v>
                </c:pt>
                <c:pt idx="141">
                  <c:v>8.6503986381635491E-5</c:v>
                </c:pt>
                <c:pt idx="142">
                  <c:v>8.1742198315540453E-5</c:v>
                </c:pt>
                <c:pt idx="143">
                  <c:v>7.720767875395767E-5</c:v>
                </c:pt>
                <c:pt idx="144">
                  <c:v>7.2901461288922125E-5</c:v>
                </c:pt>
                <c:pt idx="145">
                  <c:v>6.8825001549664333E-5</c:v>
                </c:pt>
                <c:pt idx="146">
                  <c:v>6.4980167098496828E-5</c:v>
                </c:pt>
                <c:pt idx="147">
                  <c:v>6.1369226227881088E-5</c:v>
                </c:pt>
                <c:pt idx="148">
                  <c:v>5.7996029569724102E-5</c:v>
                </c:pt>
                <c:pt idx="149">
                  <c:v>5.5007630871955564E-5</c:v>
                </c:pt>
                <c:pt idx="150">
                  <c:v>5.2302459626377067E-5</c:v>
                </c:pt>
                <c:pt idx="151">
                  <c:v>4.9891705170126821E-5</c:v>
                </c:pt>
                <c:pt idx="152">
                  <c:v>4.778702889812932E-5</c:v>
                </c:pt>
                <c:pt idx="153">
                  <c:v>4.6000534275226952E-5</c:v>
                </c:pt>
                <c:pt idx="154">
                  <c:v>4.4544734717073313E-5</c:v>
                </c:pt>
                <c:pt idx="155">
                  <c:v>4.3474733939244711E-5</c:v>
                </c:pt>
                <c:pt idx="156">
                  <c:v>4.2554750207386481E-5</c:v>
                </c:pt>
                <c:pt idx="157">
                  <c:v>4.1792476380047892E-5</c:v>
                </c:pt>
                <c:pt idx="158">
                  <c:v>4.1195781714961223E-5</c:v>
                </c:pt>
                <c:pt idx="159">
                  <c:v>4.0772689953278933E-5</c:v>
                </c:pt>
                <c:pt idx="160">
                  <c:v>4.0531356564819732E-5</c:v>
                </c:pt>
                <c:pt idx="161">
                  <c:v>4.0480045278146045E-5</c:v>
                </c:pt>
                <c:pt idx="162">
                  <c:v>4.0627763322186671E-5</c:v>
                </c:pt>
                <c:pt idx="163">
                  <c:v>4.0962884694487236E-5</c:v>
                </c:pt>
                <c:pt idx="164">
                  <c:v>4.1315181708165353E-5</c:v>
                </c:pt>
                <c:pt idx="165">
                  <c:v>4.1686275701706962E-5</c:v>
                </c:pt>
                <c:pt idx="166">
                  <c:v>4.2077797049535595E-5</c:v>
                </c:pt>
                <c:pt idx="167">
                  <c:v>4.2491381368404423E-5</c:v>
                </c:pt>
                <c:pt idx="168">
                  <c:v>4.2928665706509123E-5</c:v>
                </c:pt>
                <c:pt idx="169">
                  <c:v>4.3371640026608794E-5</c:v>
                </c:pt>
                <c:pt idx="170">
                  <c:v>4.3773802366391335E-5</c:v>
                </c:pt>
                <c:pt idx="171">
                  <c:v>4.4135958316850581E-5</c:v>
                </c:pt>
                <c:pt idx="172">
                  <c:v>4.4458888922266227E-5</c:v>
                </c:pt>
                <c:pt idx="173">
                  <c:v>4.4742892271526677E-5</c:v>
                </c:pt>
                <c:pt idx="174">
                  <c:v>4.4988205796446857E-5</c:v>
                </c:pt>
                <c:pt idx="175">
                  <c:v>4.5195483217672266E-5</c:v>
                </c:pt>
                <c:pt idx="176">
                  <c:v>4.536540777863525E-5</c:v>
                </c:pt>
                <c:pt idx="177">
                  <c:v>4.5550509908013514E-5</c:v>
                </c:pt>
                <c:pt idx="178">
                  <c:v>4.577115112767459E-5</c:v>
                </c:pt>
                <c:pt idx="179">
                  <c:v>4.6029008994980212E-5</c:v>
                </c:pt>
                <c:pt idx="180">
                  <c:v>4.6325735313868098E-5</c:v>
                </c:pt>
                <c:pt idx="181">
                  <c:v>4.6662956224024063E-5</c:v>
                </c:pt>
                <c:pt idx="182">
                  <c:v>4.7042272693516071E-5</c:v>
                </c:pt>
                <c:pt idx="183">
                  <c:v>4.7690355006310074E-5</c:v>
                </c:pt>
                <c:pt idx="184">
                  <c:v>4.8632804583773126E-5</c:v>
                </c:pt>
                <c:pt idx="185">
                  <c:v>4.9877341891392716E-5</c:v>
                </c:pt>
                <c:pt idx="186">
                  <c:v>5.1431580705502208E-5</c:v>
                </c:pt>
                <c:pt idx="187">
                  <c:v>5.3303040802846956E-5</c:v>
                </c:pt>
                <c:pt idx="188">
                  <c:v>5.5499162690427819E-5</c:v>
                </c:pt>
                <c:pt idx="189">
                  <c:v>5.8027324329793794E-5</c:v>
                </c:pt>
                <c:pt idx="190">
                  <c:v>6.0894787181763814E-5</c:v>
                </c:pt>
                <c:pt idx="191">
                  <c:v>6.4442223592892482E-5</c:v>
                </c:pt>
                <c:pt idx="192">
                  <c:v>6.8625357519342393E-5</c:v>
                </c:pt>
                <c:pt idx="193">
                  <c:v>7.345626773073947E-5</c:v>
                </c:pt>
                <c:pt idx="194">
                  <c:v>7.8946877127001184E-5</c:v>
                </c:pt>
                <c:pt idx="195">
                  <c:v>8.5108946583405042E-5</c:v>
                </c:pt>
                <c:pt idx="196">
                  <c:v>9.1954069266858682E-5</c:v>
                </c:pt>
                <c:pt idx="197">
                  <c:v>9.9602574972444167E-5</c:v>
                </c:pt>
                <c:pt idx="198">
                  <c:v>1.0780936137336822E-4</c:v>
                </c:pt>
                <c:pt idx="199">
                  <c:v>1.1658001853421022E-4</c:v>
                </c:pt>
                <c:pt idx="200">
                  <c:v>1.2592010225192669E-4</c:v>
                </c:pt>
                <c:pt idx="201">
                  <c:v>1.3583512758282923E-4</c:v>
                </c:pt>
                <c:pt idx="202">
                  <c:v>1.4633056189161889E-4</c:v>
                </c:pt>
                <c:pt idx="203">
                  <c:v>1.574118173223413E-4</c:v>
                </c:pt>
                <c:pt idx="204">
                  <c:v>1.6908417762033466E-4</c:v>
                </c:pt>
                <c:pt idx="205">
                  <c:v>1.8200189036354618E-4</c:v>
                </c:pt>
                <c:pt idx="206">
                  <c:v>1.9581660453421454E-4</c:v>
                </c:pt>
                <c:pt idx="207">
                  <c:v>2.1053996989556868E-4</c:v>
                </c:pt>
                <c:pt idx="208">
                  <c:v>2.2618395544559178E-4</c:v>
                </c:pt>
                <c:pt idx="209">
                  <c:v>2.427609040720746E-4</c:v>
                </c:pt>
                <c:pt idx="210">
                  <c:v>2.6028358907573696E-4</c:v>
                </c:pt>
                <c:pt idx="211">
                  <c:v>2.8047504855878099E-4</c:v>
                </c:pt>
                <c:pt idx="212">
                  <c:v>3.0326387956540967E-4</c:v>
                </c:pt>
                <c:pt idx="213">
                  <c:v>3.2869059977075007E-4</c:v>
                </c:pt>
                <c:pt idx="214">
                  <c:v>3.5679669356030201E-4</c:v>
                </c:pt>
                <c:pt idx="215">
                  <c:v>3.8762479174751124E-4</c:v>
                </c:pt>
                <c:pt idx="216">
                  <c:v>4.2121885826867657E-4</c:v>
                </c:pt>
                <c:pt idx="217">
                  <c:v>4.5762438454892093E-4</c:v>
                </c:pt>
                <c:pt idx="218">
                  <c:v>4.9687554592463582E-4</c:v>
                </c:pt>
                <c:pt idx="219">
                  <c:v>5.3984119980614428E-4</c:v>
                </c:pt>
                <c:pt idx="220">
                  <c:v>5.8587753086123816E-4</c:v>
                </c:pt>
                <c:pt idx="221">
                  <c:v>6.3503528388291289E-4</c:v>
                </c:pt>
                <c:pt idx="222">
                  <c:v>6.8736772956483447E-4</c:v>
                </c:pt>
                <c:pt idx="223">
                  <c:v>7.4293101841653463E-4</c:v>
                </c:pt>
                <c:pt idx="224">
                  <c:v>8.0178455201287654E-4</c:v>
                </c:pt>
                <c:pt idx="225">
                  <c:v>8.635701152258404E-4</c:v>
                </c:pt>
                <c:pt idx="226">
                  <c:v>9.2649782347536546E-4</c:v>
                </c:pt>
                <c:pt idx="227">
                  <c:v>9.9060129177766325E-4</c:v>
                </c:pt>
                <c:pt idx="228">
                  <c:v>1.0559175825259621E-3</c:v>
                </c:pt>
                <c:pt idx="229">
                  <c:v>1.122487405718143E-3</c:v>
                </c:pt>
                <c:pt idx="230">
                  <c:v>1.1903553357475096E-3</c:v>
                </c:pt>
                <c:pt idx="231">
                  <c:v>1.2595700474683383E-3</c:v>
                </c:pt>
                <c:pt idx="232">
                  <c:v>1.3301458601478085E-3</c:v>
                </c:pt>
                <c:pt idx="233">
                  <c:v>1.401499250251998E-3</c:v>
                </c:pt>
                <c:pt idx="234">
                  <c:v>1.4727476882048555E-3</c:v>
                </c:pt>
                <c:pt idx="235">
                  <c:v>1.5439061755863467E-3</c:v>
                </c:pt>
                <c:pt idx="236">
                  <c:v>1.614992490335528E-3</c:v>
                </c:pt>
                <c:pt idx="237">
                  <c:v>1.6860256999348614E-3</c:v>
                </c:pt>
                <c:pt idx="238">
                  <c:v>1.7570271044975679E-3</c:v>
                </c:pt>
                <c:pt idx="239">
                  <c:v>1.8270529728566E-3</c:v>
                </c:pt>
                <c:pt idx="240">
                  <c:v>1.8965720348146857E-3</c:v>
                </c:pt>
                <c:pt idx="241">
                  <c:v>1.9656012994043854E-3</c:v>
                </c:pt>
                <c:pt idx="242">
                  <c:v>2.0341596179272348E-3</c:v>
                </c:pt>
                <c:pt idx="243">
                  <c:v>2.1022677049946361E-3</c:v>
                </c:pt>
                <c:pt idx="244">
                  <c:v>2.1699481672364999E-3</c:v>
                </c:pt>
                <c:pt idx="245">
                  <c:v>2.2372255402251236E-3</c:v>
                </c:pt>
                <c:pt idx="246">
                  <c:v>2.3041559278297037E-3</c:v>
                </c:pt>
                <c:pt idx="247">
                  <c:v>2.3701058995577247E-3</c:v>
                </c:pt>
                <c:pt idx="248">
                  <c:v>2.4357201539552632E-3</c:v>
                </c:pt>
                <c:pt idx="249">
                  <c:v>2.5009933836128038E-3</c:v>
                </c:pt>
                <c:pt idx="250">
                  <c:v>2.5659170494946038E-3</c:v>
                </c:pt>
                <c:pt idx="251">
                  <c:v>2.6304792634730349E-3</c:v>
                </c:pt>
                <c:pt idx="252">
                  <c:v>2.6946646600929909E-3</c:v>
                </c:pt>
                <c:pt idx="253">
                  <c:v>2.7571015152204038E-3</c:v>
                </c:pt>
                <c:pt idx="254">
                  <c:v>2.8188214804541413E-3</c:v>
                </c:pt>
                <c:pt idx="255">
                  <c:v>2.8797897462838136E-3</c:v>
                </c:pt>
                <c:pt idx="256">
                  <c:v>2.9399670254223946E-3</c:v>
                </c:pt>
                <c:pt idx="257">
                  <c:v>2.9993093966854101E-3</c:v>
                </c:pt>
                <c:pt idx="258">
                  <c:v>3.057768146023954E-3</c:v>
                </c:pt>
                <c:pt idx="259">
                  <c:v>3.1152896061303358E-3</c:v>
                </c:pt>
                <c:pt idx="260">
                  <c:v>3.1720661572995548E-3</c:v>
                </c:pt>
                <c:pt idx="261">
                  <c:v>3.2259175190876856E-3</c:v>
                </c:pt>
                <c:pt idx="262">
                  <c:v>3.277474622654479E-3</c:v>
                </c:pt>
                <c:pt idx="263">
                  <c:v>3.3266108967926456E-3</c:v>
                </c:pt>
                <c:pt idx="264">
                  <c:v>3.3731881189403784E-3</c:v>
                </c:pt>
                <c:pt idx="265">
                  <c:v>3.4170743426579333E-3</c:v>
                </c:pt>
                <c:pt idx="266">
                  <c:v>3.4581171724587982E-3</c:v>
                </c:pt>
                <c:pt idx="267">
                  <c:v>3.4946074673055418E-3</c:v>
                </c:pt>
                <c:pt idx="268">
                  <c:v>3.5278799569448201E-3</c:v>
                </c:pt>
                <c:pt idx="269">
                  <c:v>3.5577302410430985E-3</c:v>
                </c:pt>
                <c:pt idx="270">
                  <c:v>3.5839413839336151E-3</c:v>
                </c:pt>
                <c:pt idx="271">
                  <c:v>3.6062841498131853E-3</c:v>
                </c:pt>
                <c:pt idx="272">
                  <c:v>3.6245173739301233E-3</c:v>
                </c:pt>
                <c:pt idx="273">
                  <c:v>3.6383884908623731E-3</c:v>
                </c:pt>
                <c:pt idx="274">
                  <c:v>3.6480982590529516E-3</c:v>
                </c:pt>
                <c:pt idx="275">
                  <c:v>3.653330476091645E-3</c:v>
                </c:pt>
                <c:pt idx="276">
                  <c:v>3.6566340305610148E-3</c:v>
                </c:pt>
                <c:pt idx="277">
                  <c:v>3.6578221455163991E-3</c:v>
                </c:pt>
                <c:pt idx="278">
                  <c:v>3.6566981521500789E-3</c:v>
                </c:pt>
                <c:pt idx="279">
                  <c:v>3.6530555299467021E-3</c:v>
                </c:pt>
                <c:pt idx="280">
                  <c:v>3.6466780734788857E-3</c:v>
                </c:pt>
                <c:pt idx="281">
                  <c:v>3.6476650080432978E-3</c:v>
                </c:pt>
                <c:pt idx="282">
                  <c:v>3.6580502385904329E-3</c:v>
                </c:pt>
                <c:pt idx="283">
                  <c:v>3.678098292024225E-3</c:v>
                </c:pt>
                <c:pt idx="284">
                  <c:v>3.7080757986588989E-3</c:v>
                </c:pt>
                <c:pt idx="285">
                  <c:v>3.748247869246438E-3</c:v>
                </c:pt>
                <c:pt idx="286">
                  <c:v>3.7988740078482531E-3</c:v>
                </c:pt>
                <c:pt idx="287">
                  <c:v>3.860203545075434E-3</c:v>
                </c:pt>
                <c:pt idx="288">
                  <c:v>3.9327198592716463E-3</c:v>
                </c:pt>
                <c:pt idx="289">
                  <c:v>4.0407133678836624E-3</c:v>
                </c:pt>
                <c:pt idx="290">
                  <c:v>4.1861826192747479E-3</c:v>
                </c:pt>
                <c:pt idx="291">
                  <c:v>4.3705360083568139E-3</c:v>
                </c:pt>
                <c:pt idx="292">
                  <c:v>4.595207921634448E-3</c:v>
                </c:pt>
                <c:pt idx="293">
                  <c:v>4.8616615146234096E-3</c:v>
                </c:pt>
                <c:pt idx="294">
                  <c:v>5.1713919278691053E-3</c:v>
                </c:pt>
                <c:pt idx="295">
                  <c:v>5.5340309013491625E-3</c:v>
                </c:pt>
                <c:pt idx="296">
                  <c:v>5.9389728232594769E-3</c:v>
                </c:pt>
                <c:pt idx="297">
                  <c:v>6.387734855788225E-3</c:v>
                </c:pt>
                <c:pt idx="298">
                  <c:v>6.8818440042666381E-3</c:v>
                </c:pt>
                <c:pt idx="299">
                  <c:v>7.4228858780408255E-3</c:v>
                </c:pt>
                <c:pt idx="300">
                  <c:v>8.0125113414521842E-3</c:v>
                </c:pt>
                <c:pt idx="301">
                  <c:v>8.6524439234908039E-3</c:v>
                </c:pt>
                <c:pt idx="302">
                  <c:v>9.344532244778242E-3</c:v>
                </c:pt>
                <c:pt idx="303">
                  <c:v>1.0073431739450044E-2</c:v>
                </c:pt>
                <c:pt idx="304">
                  <c:v>1.0811523048644961E-2</c:v>
                </c:pt>
                <c:pt idx="305">
                  <c:v>1.1558664767392359E-2</c:v>
                </c:pt>
                <c:pt idx="306">
                  <c:v>1.2314649873749353E-2</c:v>
                </c:pt>
                <c:pt idx="307">
                  <c:v>1.3079200357811141E-2</c:v>
                </c:pt>
                <c:pt idx="308">
                  <c:v>1.3851961693286565E-2</c:v>
                </c:pt>
                <c:pt idx="309">
                  <c:v>1.4611813719836124E-2</c:v>
                </c:pt>
                <c:pt idx="310">
                  <c:v>1.5347693361797771E-2</c:v>
                </c:pt>
                <c:pt idx="311">
                  <c:v>1.6057835546832457E-2</c:v>
                </c:pt>
                <c:pt idx="312">
                  <c:v>1.6740375070913194E-2</c:v>
                </c:pt>
                <c:pt idx="313">
                  <c:v>1.7393350613709082E-2</c:v>
                </c:pt>
                <c:pt idx="314">
                  <c:v>1.8014710163609223E-2</c:v>
                </c:pt>
                <c:pt idx="315">
                  <c:v>1.8602318009269363E-2</c:v>
                </c:pt>
                <c:pt idx="316">
                  <c:v>1.9154284233808806E-2</c:v>
                </c:pt>
                <c:pt idx="317">
                  <c:v>1.9661600188317207E-2</c:v>
                </c:pt>
                <c:pt idx="318">
                  <c:v>2.0143065492679604E-2</c:v>
                </c:pt>
                <c:pt idx="319">
                  <c:v>2.0597629973904977E-2</c:v>
                </c:pt>
                <c:pt idx="320">
                  <c:v>2.1024276806707015E-2</c:v>
                </c:pt>
                <c:pt idx="321">
                  <c:v>2.1422023501825024E-2</c:v>
                </c:pt>
                <c:pt idx="322">
                  <c:v>2.1789922512123562E-2</c:v>
                </c:pt>
                <c:pt idx="323">
                  <c:v>2.2133018988766597E-2</c:v>
                </c:pt>
                <c:pt idx="324">
                  <c:v>2.2475103594760914E-2</c:v>
                </c:pt>
                <c:pt idx="325">
                  <c:v>2.2816233360837331E-2</c:v>
                </c:pt>
                <c:pt idx="326">
                  <c:v>2.3156345854962377E-2</c:v>
                </c:pt>
                <c:pt idx="327">
                  <c:v>2.3495493160784062E-2</c:v>
                </c:pt>
                <c:pt idx="328">
                  <c:v>2.38338731767479E-2</c:v>
                </c:pt>
                <c:pt idx="329">
                  <c:v>2.4171715196257656E-2</c:v>
                </c:pt>
                <c:pt idx="330">
                  <c:v>2.451089522779018E-2</c:v>
                </c:pt>
                <c:pt idx="331">
                  <c:v>2.4853837487806358E-2</c:v>
                </c:pt>
                <c:pt idx="332">
                  <c:v>2.5208115227512082E-2</c:v>
                </c:pt>
                <c:pt idx="333">
                  <c:v>2.557268605793097E-2</c:v>
                </c:pt>
                <c:pt idx="334">
                  <c:v>2.5946386212970532E-2</c:v>
                </c:pt>
                <c:pt idx="335">
                  <c:v>2.6327922223468154E-2</c:v>
                </c:pt>
                <c:pt idx="336">
                  <c:v>2.6715863845996442E-2</c:v>
                </c:pt>
                <c:pt idx="337">
                  <c:v>2.7102741655841957E-2</c:v>
                </c:pt>
                <c:pt idx="338">
                  <c:v>2.7479856426536182E-2</c:v>
                </c:pt>
                <c:pt idx="339">
                  <c:v>2.7845059825782139E-2</c:v>
                </c:pt>
                <c:pt idx="340">
                  <c:v>2.8196093441987435E-2</c:v>
                </c:pt>
                <c:pt idx="341">
                  <c:v>2.8530603202714895E-2</c:v>
                </c:pt>
                <c:pt idx="342">
                  <c:v>2.8846157700335249E-2</c:v>
                </c:pt>
                <c:pt idx="343">
                  <c:v>2.9140270593181829E-2</c:v>
                </c:pt>
                <c:pt idx="344">
                  <c:v>2.9414898966178018E-2</c:v>
                </c:pt>
                <c:pt idx="345">
                  <c:v>2.9673178143200311E-2</c:v>
                </c:pt>
                <c:pt idx="346">
                  <c:v>2.9906090233457638E-2</c:v>
                </c:pt>
                <c:pt idx="347">
                  <c:v>3.0112867946196671E-2</c:v>
                </c:pt>
                <c:pt idx="348">
                  <c:v>3.0292807403181216E-2</c:v>
                </c:pt>
                <c:pt idx="349">
                  <c:v>3.0445274276950859E-2</c:v>
                </c:pt>
                <c:pt idx="350">
                  <c:v>3.0569709599755732E-2</c:v>
                </c:pt>
                <c:pt idx="351">
                  <c:v>3.0658894505987321E-2</c:v>
                </c:pt>
                <c:pt idx="352">
                  <c:v>3.0718710172117851E-2</c:v>
                </c:pt>
                <c:pt idx="353">
                  <c:v>3.0748864402071644E-2</c:v>
                </c:pt>
                <c:pt idx="354">
                  <c:v>3.0749160051644658E-2</c:v>
                </c:pt>
                <c:pt idx="355">
                  <c:v>3.0719497885619337E-2</c:v>
                </c:pt>
                <c:pt idx="356">
                  <c:v>3.0659592560404146E-2</c:v>
                </c:pt>
                <c:pt idx="357">
                  <c:v>3.0569799479892953E-2</c:v>
                </c:pt>
                <c:pt idx="358">
                  <c:v>3.0449680429228004E-2</c:v>
                </c:pt>
                <c:pt idx="359">
                  <c:v>3.0299346940958295E-2</c:v>
                </c:pt>
                <c:pt idx="360">
                  <c:v>3.0113528882621136E-2</c:v>
                </c:pt>
                <c:pt idx="361">
                  <c:v>2.989993117861391E-2</c:v>
                </c:pt>
                <c:pt idx="362">
                  <c:v>2.9659628708884247E-2</c:v>
                </c:pt>
                <c:pt idx="363">
                  <c:v>2.9393750317999852E-2</c:v>
                </c:pt>
                <c:pt idx="364">
                  <c:v>2.9103467993190385E-2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6612256"/>
        <c:axId val="476612648"/>
      </c:lineChart>
      <c:dateAx>
        <c:axId val="47661225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612648"/>
        <c:crosses val="autoZero"/>
        <c:auto val="1"/>
        <c:lblOffset val="100"/>
        <c:baseTimeUnit val="days"/>
        <c:majorUnit val="1"/>
        <c:majorTimeUnit val="months"/>
      </c:dateAx>
      <c:valAx>
        <c:axId val="47661264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6122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17.998491184577919</c:v>
                </c:pt>
                <c:pt idx="1">
                  <c:v>18.122867308558234</c:v>
                </c:pt>
                <c:pt idx="2">
                  <c:v>18.255681581013746</c:v>
                </c:pt>
                <c:pt idx="3">
                  <c:v>18.396676032768617</c:v>
                </c:pt>
                <c:pt idx="4">
                  <c:v>18.5455929272159</c:v>
                </c:pt>
                <c:pt idx="5">
                  <c:v>18.702174759347049</c:v>
                </c:pt>
                <c:pt idx="6">
                  <c:v>18.866164241250729</c:v>
                </c:pt>
                <c:pt idx="7">
                  <c:v>19.037304325572563</c:v>
                </c:pt>
                <c:pt idx="8">
                  <c:v>19.217553733248717</c:v>
                </c:pt>
                <c:pt idx="9">
                  <c:v>19.408682718001064</c:v>
                </c:pt>
                <c:pt idx="10">
                  <c:v>19.610031120854149</c:v>
                </c:pt>
                <c:pt idx="11">
                  <c:v>19.820881452861698</c:v>
                </c:pt>
                <c:pt idx="12">
                  <c:v>20.040516852987345</c:v>
                </c:pt>
                <c:pt idx="13">
                  <c:v>20.268221104479309</c:v>
                </c:pt>
                <c:pt idx="14">
                  <c:v>20.503278616586844</c:v>
                </c:pt>
                <c:pt idx="15">
                  <c:v>20.745404689300269</c:v>
                </c:pt>
                <c:pt idx="16">
                  <c:v>20.993946167755453</c:v>
                </c:pt>
                <c:pt idx="17">
                  <c:v>21.248189542556958</c:v>
                </c:pt>
                <c:pt idx="18">
                  <c:v>21.507421838426705</c:v>
                </c:pt>
                <c:pt idx="19">
                  <c:v>21.770929491239617</c:v>
                </c:pt>
                <c:pt idx="20">
                  <c:v>22.037998984629709</c:v>
                </c:pt>
                <c:pt idx="21">
                  <c:v>22.307918231130643</c:v>
                </c:pt>
                <c:pt idx="22">
                  <c:v>22.5824480345178</c:v>
                </c:pt>
                <c:pt idx="23">
                  <c:v>22.863893323994894</c:v>
                </c:pt>
                <c:pt idx="24">
                  <c:v>23.151807848556533</c:v>
                </c:pt>
                <c:pt idx="25">
                  <c:v>23.445865328470099</c:v>
                </c:pt>
                <c:pt idx="26">
                  <c:v>23.745739750585507</c:v>
                </c:pt>
                <c:pt idx="27">
                  <c:v>24.051105374282617</c:v>
                </c:pt>
                <c:pt idx="28">
                  <c:v>24.36163674747413</c:v>
                </c:pt>
                <c:pt idx="29">
                  <c:v>24.67677264071197</c:v>
                </c:pt>
                <c:pt idx="30">
                  <c:v>24.995757762213348</c:v>
                </c:pt>
                <c:pt idx="31">
                  <c:v>25.318267712856368</c:v>
                </c:pt>
                <c:pt idx="32">
                  <c:v>25.643978438268967</c:v>
                </c:pt>
                <c:pt idx="33">
                  <c:v>25.972566235691364</c:v>
                </c:pt>
                <c:pt idx="34">
                  <c:v>26.303707749557809</c:v>
                </c:pt>
                <c:pt idx="35">
                  <c:v>26.637079974677857</c:v>
                </c:pt>
                <c:pt idx="36">
                  <c:v>26.972931370497065</c:v>
                </c:pt>
                <c:pt idx="37">
                  <c:v>27.311429845926511</c:v>
                </c:pt>
                <c:pt idx="38">
                  <c:v>27.652393404033518</c:v>
                </c:pt>
                <c:pt idx="39">
                  <c:v>27.995927345801022</c:v>
                </c:pt>
                <c:pt idx="40">
                  <c:v>28.342136907760363</c:v>
                </c:pt>
                <c:pt idx="41">
                  <c:v>28.691127259028615</c:v>
                </c:pt>
                <c:pt idx="42">
                  <c:v>29.043003480036088</c:v>
                </c:pt>
                <c:pt idx="43">
                  <c:v>29.397740601659883</c:v>
                </c:pt>
                <c:pt idx="44">
                  <c:v>29.755679450313306</c:v>
                </c:pt>
                <c:pt idx="45">
                  <c:v>30.116924797662012</c:v>
                </c:pt>
                <c:pt idx="46">
                  <c:v>30.481581291138461</c:v>
                </c:pt>
                <c:pt idx="47">
                  <c:v>30.849753449637539</c:v>
                </c:pt>
                <c:pt idx="48">
                  <c:v>31.221545642700494</c:v>
                </c:pt>
                <c:pt idx="49">
                  <c:v>31.597062088396967</c:v>
                </c:pt>
                <c:pt idx="50">
                  <c:v>31.977065161854643</c:v>
                </c:pt>
                <c:pt idx="51">
                  <c:v>32.361954188858746</c:v>
                </c:pt>
                <c:pt idx="52">
                  <c:v>32.751665203793102</c:v>
                </c:pt>
                <c:pt idx="53">
                  <c:v>33.145768569206119</c:v>
                </c:pt>
                <c:pt idx="54">
                  <c:v>33.543834736593006</c:v>
                </c:pt>
                <c:pt idx="55">
                  <c:v>33.945434483016449</c:v>
                </c:pt>
                <c:pt idx="56">
                  <c:v>34.350138895057135</c:v>
                </c:pt>
                <c:pt idx="57">
                  <c:v>34.757529612445957</c:v>
                </c:pt>
                <c:pt idx="58">
                  <c:v>35.167308702235658</c:v>
                </c:pt>
                <c:pt idx="59">
                  <c:v>35.579048324414913</c:v>
                </c:pt>
                <c:pt idx="60">
                  <c:v>35.992320952927173</c:v>
                </c:pt>
                <c:pt idx="61">
                  <c:v>36.406699363022753</c:v>
                </c:pt>
                <c:pt idx="62">
                  <c:v>36.821756630405723</c:v>
                </c:pt>
                <c:pt idx="63">
                  <c:v>37.237066126266605</c:v>
                </c:pt>
                <c:pt idx="64">
                  <c:v>37.654649529262286</c:v>
                </c:pt>
                <c:pt idx="65">
                  <c:v>38.076416875032685</c:v>
                </c:pt>
                <c:pt idx="66">
                  <c:v>38.501733181335446</c:v>
                </c:pt>
                <c:pt idx="67">
                  <c:v>38.92995738421763</c:v>
                </c:pt>
                <c:pt idx="68">
                  <c:v>39.360448889303917</c:v>
                </c:pt>
                <c:pt idx="69">
                  <c:v>39.79256756543203</c:v>
                </c:pt>
                <c:pt idx="70">
                  <c:v>40.225673745930195</c:v>
                </c:pt>
                <c:pt idx="71">
                  <c:v>40.659178092784209</c:v>
                </c:pt>
                <c:pt idx="72">
                  <c:v>41.092431644705513</c:v>
                </c:pt>
                <c:pt idx="73">
                  <c:v>41.524796215716364</c:v>
                </c:pt>
                <c:pt idx="74">
                  <c:v>41.95563408726499</c:v>
                </c:pt>
                <c:pt idx="75">
                  <c:v>42.384308010209217</c:v>
                </c:pt>
                <c:pt idx="76">
                  <c:v>42.810181207504286</c:v>
                </c:pt>
                <c:pt idx="77">
                  <c:v>43.232617376100457</c:v>
                </c:pt>
                <c:pt idx="78">
                  <c:v>43.654411814137831</c:v>
                </c:pt>
                <c:pt idx="79">
                  <c:v>44.078249300445542</c:v>
                </c:pt>
                <c:pt idx="80">
                  <c:v>44.503245987251155</c:v>
                </c:pt>
                <c:pt idx="81">
                  <c:v>44.928551219811148</c:v>
                </c:pt>
                <c:pt idx="82">
                  <c:v>45.353315018741483</c:v>
                </c:pt>
                <c:pt idx="83">
                  <c:v>45.776688083393104</c:v>
                </c:pt>
                <c:pt idx="84">
                  <c:v>46.197821803556387</c:v>
                </c:pt>
                <c:pt idx="85">
                  <c:v>46.615892378488013</c:v>
                </c:pt>
                <c:pt idx="86">
                  <c:v>47.030002024708551</c:v>
                </c:pt>
                <c:pt idx="87">
                  <c:v>47.439304126737945</c:v>
                </c:pt>
                <c:pt idx="88">
                  <c:v>47.842952784765217</c:v>
                </c:pt>
                <c:pt idx="89">
                  <c:v>48.24010282051951</c:v>
                </c:pt>
                <c:pt idx="90">
                  <c:v>48.62990978530943</c:v>
                </c:pt>
                <c:pt idx="91">
                  <c:v>49.011529979014938</c:v>
                </c:pt>
                <c:pt idx="92">
                  <c:v>49.386924031831143</c:v>
                </c:pt>
                <c:pt idx="93">
                  <c:v>49.758423605259452</c:v>
                </c:pt>
                <c:pt idx="94">
                  <c:v>50.125677772515161</c:v>
                </c:pt>
                <c:pt idx="95">
                  <c:v>50.488370135956124</c:v>
                </c:pt>
                <c:pt idx="96">
                  <c:v>50.846184604484442</c:v>
                </c:pt>
                <c:pt idx="97">
                  <c:v>51.198805393004918</c:v>
                </c:pt>
                <c:pt idx="98">
                  <c:v>51.545917044551842</c:v>
                </c:pt>
                <c:pt idx="99">
                  <c:v>51.887203413213157</c:v>
                </c:pt>
                <c:pt idx="100">
                  <c:v>52.22232490430833</c:v>
                </c:pt>
                <c:pt idx="101">
                  <c:v>52.55096689399803</c:v>
                </c:pt>
                <c:pt idx="102">
                  <c:v>52.872815105282449</c:v>
                </c:pt>
                <c:pt idx="103">
                  <c:v>53.187555620660497</c:v>
                </c:pt>
                <c:pt idx="104">
                  <c:v>53.494874894184683</c:v>
                </c:pt>
                <c:pt idx="105">
                  <c:v>53.794459754486702</c:v>
                </c:pt>
                <c:pt idx="106">
                  <c:v>54.087473878243948</c:v>
                </c:pt>
                <c:pt idx="107">
                  <c:v>54.375089407962534</c:v>
                </c:pt>
                <c:pt idx="108">
                  <c:v>54.656971463993536</c:v>
                </c:pt>
                <c:pt idx="109">
                  <c:v>54.932806307865086</c:v>
                </c:pt>
                <c:pt idx="110">
                  <c:v>55.202280514738909</c:v>
                </c:pt>
                <c:pt idx="111">
                  <c:v>55.465081089753035</c:v>
                </c:pt>
                <c:pt idx="112">
                  <c:v>55.720895592591056</c:v>
                </c:pt>
                <c:pt idx="113">
                  <c:v>55.969389902906087</c:v>
                </c:pt>
                <c:pt idx="114">
                  <c:v>56.210253311563179</c:v>
                </c:pt>
                <c:pt idx="115">
                  <c:v>56.443174510386363</c:v>
                </c:pt>
                <c:pt idx="116">
                  <c:v>56.667842669064235</c:v>
                </c:pt>
                <c:pt idx="117">
                  <c:v>56.883924799808334</c:v>
                </c:pt>
                <c:pt idx="118">
                  <c:v>57.091086386906795</c:v>
                </c:pt>
                <c:pt idx="119">
                  <c:v>57.289070320911357</c:v>
                </c:pt>
                <c:pt idx="120">
                  <c:v>57.477445353509623</c:v>
                </c:pt>
                <c:pt idx="121">
                  <c:v>57.656216406692273</c:v>
                </c:pt>
                <c:pt idx="122">
                  <c:v>57.825799875425652</c:v>
                </c:pt>
                <c:pt idx="123">
                  <c:v>57.986621866773824</c:v>
                </c:pt>
                <c:pt idx="124">
                  <c:v>58.139108213614925</c:v>
                </c:pt>
                <c:pt idx="125">
                  <c:v>58.283684494846312</c:v>
                </c:pt>
                <c:pt idx="126">
                  <c:v>58.420776022636893</c:v>
                </c:pt>
                <c:pt idx="127">
                  <c:v>58.550787224191822</c:v>
                </c:pt>
                <c:pt idx="128">
                  <c:v>58.674166852551437</c:v>
                </c:pt>
                <c:pt idx="129">
                  <c:v>58.791339520676772</c:v>
                </c:pt>
                <c:pt idx="130">
                  <c:v>58.902729573612021</c:v>
                </c:pt>
                <c:pt idx="131">
                  <c:v>59.008761086130669</c:v>
                </c:pt>
                <c:pt idx="132">
                  <c:v>59.109857862048969</c:v>
                </c:pt>
                <c:pt idx="133">
                  <c:v>59.206443423703227</c:v>
                </c:pt>
                <c:pt idx="134">
                  <c:v>59.297213002644398</c:v>
                </c:pt>
                <c:pt idx="135">
                  <c:v>59.380786704202578</c:v>
                </c:pt>
                <c:pt idx="136">
                  <c:v>59.45754609345574</c:v>
                </c:pt>
                <c:pt idx="137">
                  <c:v>59.527813212516648</c:v>
                </c:pt>
                <c:pt idx="138">
                  <c:v>59.591909969784972</c:v>
                </c:pt>
                <c:pt idx="139">
                  <c:v>59.650158131066043</c:v>
                </c:pt>
                <c:pt idx="140">
                  <c:v>59.702879303597847</c:v>
                </c:pt>
                <c:pt idx="141">
                  <c:v>59.750381898569209</c:v>
                </c:pt>
                <c:pt idx="142">
                  <c:v>59.793010371244876</c:v>
                </c:pt>
                <c:pt idx="143">
                  <c:v>59.831086086623401</c:v>
                </c:pt>
                <c:pt idx="144">
                  <c:v>59.864930177101371</c:v>
                </c:pt>
                <c:pt idx="145">
                  <c:v>59.894863558763539</c:v>
                </c:pt>
                <c:pt idx="146">
                  <c:v>59.921206916409183</c:v>
                </c:pt>
                <c:pt idx="147">
                  <c:v>59.944280681613698</c:v>
                </c:pt>
                <c:pt idx="148">
                  <c:v>59.963170375258542</c:v>
                </c:pt>
                <c:pt idx="149">
                  <c:v>59.976884445878795</c:v>
                </c:pt>
                <c:pt idx="150">
                  <c:v>59.985646513860623</c:v>
                </c:pt>
                <c:pt idx="151">
                  <c:v>59.989673248943667</c:v>
                </c:pt>
                <c:pt idx="152">
                  <c:v>59.989181078664608</c:v>
                </c:pt>
                <c:pt idx="153">
                  <c:v>59.984386166378094</c:v>
                </c:pt>
                <c:pt idx="154">
                  <c:v>59.975504398101663</c:v>
                </c:pt>
                <c:pt idx="155">
                  <c:v>59.962748826842862</c:v>
                </c:pt>
                <c:pt idx="156">
                  <c:v>59.946349647907695</c:v>
                </c:pt>
                <c:pt idx="157">
                  <c:v>59.926522128098185</c:v>
                </c:pt>
                <c:pt idx="158">
                  <c:v>59.903481179726604</c:v>
                </c:pt>
                <c:pt idx="159">
                  <c:v>59.877441343491768</c:v>
                </c:pt>
                <c:pt idx="160">
                  <c:v>59.84861677255914</c:v>
                </c:pt>
                <c:pt idx="161">
                  <c:v>59.817221216578709</c:v>
                </c:pt>
                <c:pt idx="162">
                  <c:v>59.78249781842748</c:v>
                </c:pt>
                <c:pt idx="163">
                  <c:v>59.743691539500517</c:v>
                </c:pt>
                <c:pt idx="164">
                  <c:v>59.701027001876213</c:v>
                </c:pt>
                <c:pt idx="165">
                  <c:v>59.654718073486478</c:v>
                </c:pt>
                <c:pt idx="166">
                  <c:v>59.604978138329969</c:v>
                </c:pt>
                <c:pt idx="167">
                  <c:v>59.552020086797512</c:v>
                </c:pt>
                <c:pt idx="168">
                  <c:v>59.49605630760432</c:v>
                </c:pt>
                <c:pt idx="169">
                  <c:v>59.437299850415343</c:v>
                </c:pt>
                <c:pt idx="170">
                  <c:v>59.375964940072031</c:v>
                </c:pt>
                <c:pt idx="171">
                  <c:v>59.312262470576272</c:v>
                </c:pt>
                <c:pt idx="172">
                  <c:v>59.246402820915144</c:v>
                </c:pt>
                <c:pt idx="173">
                  <c:v>59.178595888998402</c:v>
                </c:pt>
                <c:pt idx="174">
                  <c:v>59.1090510641177</c:v>
                </c:pt>
                <c:pt idx="175">
                  <c:v>59.037977207442857</c:v>
                </c:pt>
                <c:pt idx="176">
                  <c:v>58.965513630456513</c:v>
                </c:pt>
                <c:pt idx="177">
                  <c:v>58.891520019285991</c:v>
                </c:pt>
                <c:pt idx="178">
                  <c:v>58.815788800019455</c:v>
                </c:pt>
                <c:pt idx="179">
                  <c:v>58.73811342056333</c:v>
                </c:pt>
                <c:pt idx="180">
                  <c:v>58.65828725989396</c:v>
                </c:pt>
                <c:pt idx="181">
                  <c:v>58.576103635707412</c:v>
                </c:pt>
                <c:pt idx="182">
                  <c:v>58.49135581154934</c:v>
                </c:pt>
                <c:pt idx="183">
                  <c:v>58.403823865881904</c:v>
                </c:pt>
                <c:pt idx="184">
                  <c:v>58.313299651190867</c:v>
                </c:pt>
                <c:pt idx="185">
                  <c:v>58.219576056420202</c:v>
                </c:pt>
                <c:pt idx="186">
                  <c:v>58.122445983014487</c:v>
                </c:pt>
                <c:pt idx="187">
                  <c:v>58.021702359101418</c:v>
                </c:pt>
                <c:pt idx="188">
                  <c:v>57.91713815322835</c:v>
                </c:pt>
                <c:pt idx="189">
                  <c:v>57.808546394048747</c:v>
                </c:pt>
                <c:pt idx="190">
                  <c:v>57.695789021434713</c:v>
                </c:pt>
                <c:pt idx="191">
                  <c:v>57.578984074776457</c:v>
                </c:pt>
                <c:pt idx="192">
                  <c:v>57.458340482521287</c:v>
                </c:pt>
                <c:pt idx="193">
                  <c:v>57.334063690530456</c:v>
                </c:pt>
                <c:pt idx="194">
                  <c:v>57.206358956728209</c:v>
                </c:pt>
                <c:pt idx="195">
                  <c:v>57.075431363238913</c:v>
                </c:pt>
                <c:pt idx="196">
                  <c:v>56.941485842179354</c:v>
                </c:pt>
                <c:pt idx="197">
                  <c:v>56.804721005880026</c:v>
                </c:pt>
                <c:pt idx="198">
                  <c:v>56.665356110574223</c:v>
                </c:pt>
                <c:pt idx="199">
                  <c:v>56.523595989749005</c:v>
                </c:pt>
                <c:pt idx="200">
                  <c:v>56.379645378238585</c:v>
                </c:pt>
                <c:pt idx="201">
                  <c:v>56.233708929859041</c:v>
                </c:pt>
                <c:pt idx="202">
                  <c:v>56.085991225941932</c:v>
                </c:pt>
                <c:pt idx="203">
                  <c:v>55.93669679272525</c:v>
                </c:pt>
                <c:pt idx="204">
                  <c:v>55.785961488476445</c:v>
                </c:pt>
                <c:pt idx="205">
                  <c:v>55.633610647029009</c:v>
                </c:pt>
                <c:pt idx="206">
                  <c:v>55.479457304936311</c:v>
                </c:pt>
                <c:pt idx="207">
                  <c:v>55.323294688156437</c:v>
                </c:pt>
                <c:pt idx="208">
                  <c:v>55.164916342559728</c:v>
                </c:pt>
                <c:pt idx="209">
                  <c:v>55.004116133731962</c:v>
                </c:pt>
                <c:pt idx="210">
                  <c:v>54.840688244533837</c:v>
                </c:pt>
                <c:pt idx="211">
                  <c:v>54.67433366940228</c:v>
                </c:pt>
                <c:pt idx="212">
                  <c:v>54.504852733286363</c:v>
                </c:pt>
                <c:pt idx="213">
                  <c:v>54.33203999386523</c:v>
                </c:pt>
                <c:pt idx="214">
                  <c:v>54.155690357115049</c:v>
                </c:pt>
                <c:pt idx="215">
                  <c:v>53.975599059915055</c:v>
                </c:pt>
                <c:pt idx="216">
                  <c:v>53.791561672875247</c:v>
                </c:pt>
                <c:pt idx="217">
                  <c:v>53.603374080400862</c:v>
                </c:pt>
                <c:pt idx="218">
                  <c:v>53.412235517208003</c:v>
                </c:pt>
                <c:pt idx="219">
                  <c:v>53.219163042607576</c:v>
                </c:pt>
                <c:pt idx="220">
                  <c:v>53.023783726026771</c:v>
                </c:pt>
                <c:pt idx="221">
                  <c:v>52.825687959760891</c:v>
                </c:pt>
                <c:pt idx="222">
                  <c:v>52.624466575336015</c:v>
                </c:pt>
                <c:pt idx="223">
                  <c:v>52.419710834151083</c:v>
                </c:pt>
                <c:pt idx="224">
                  <c:v>52.21101241511488</c:v>
                </c:pt>
                <c:pt idx="225">
                  <c:v>51.997985329440098</c:v>
                </c:pt>
                <c:pt idx="226">
                  <c:v>51.78031803084486</c:v>
                </c:pt>
                <c:pt idx="227">
                  <c:v>51.557603836735382</c:v>
                </c:pt>
                <c:pt idx="228">
                  <c:v>51.329436410205695</c:v>
                </c:pt>
                <c:pt idx="229">
                  <c:v>51.095409745190523</c:v>
                </c:pt>
                <c:pt idx="230">
                  <c:v>50.855118165939523</c:v>
                </c:pt>
                <c:pt idx="231">
                  <c:v>50.60815631152299</c:v>
                </c:pt>
                <c:pt idx="232">
                  <c:v>50.35558661352524</c:v>
                </c:pt>
                <c:pt idx="233">
                  <c:v>50.098636747901423</c:v>
                </c:pt>
                <c:pt idx="234">
                  <c:v>49.837150870872698</c:v>
                </c:pt>
                <c:pt idx="235">
                  <c:v>49.570927886253322</c:v>
                </c:pt>
                <c:pt idx="236">
                  <c:v>49.299766785043303</c:v>
                </c:pt>
                <c:pt idx="237">
                  <c:v>49.02346671910513</c:v>
                </c:pt>
                <c:pt idx="238">
                  <c:v>48.741826952397936</c:v>
                </c:pt>
                <c:pt idx="239">
                  <c:v>48.454693819774064</c:v>
                </c:pt>
                <c:pt idx="240">
                  <c:v>48.16184460445249</c:v>
                </c:pt>
                <c:pt idx="241">
                  <c:v>47.863078968942986</c:v>
                </c:pt>
                <c:pt idx="242">
                  <c:v>47.558196685391422</c:v>
                </c:pt>
                <c:pt idx="243">
                  <c:v>47.246997634831118</c:v>
                </c:pt>
                <c:pt idx="244">
                  <c:v>46.929281806739219</c:v>
                </c:pt>
                <c:pt idx="245">
                  <c:v>46.604849301518392</c:v>
                </c:pt>
                <c:pt idx="246">
                  <c:v>46.272904648679621</c:v>
                </c:pt>
                <c:pt idx="247">
                  <c:v>45.933160286892097</c:v>
                </c:pt>
                <c:pt idx="248">
                  <c:v>45.586101258194248</c:v>
                </c:pt>
                <c:pt idx="249">
                  <c:v>45.232242416643366</c:v>
                </c:pt>
                <c:pt idx="250">
                  <c:v>44.872098221263713</c:v>
                </c:pt>
                <c:pt idx="251">
                  <c:v>44.506182731815812</c:v>
                </c:pt>
                <c:pt idx="252">
                  <c:v>44.135009620416753</c:v>
                </c:pt>
                <c:pt idx="253">
                  <c:v>43.75915152788631</c:v>
                </c:pt>
                <c:pt idx="254">
                  <c:v>43.379073942969882</c:v>
                </c:pt>
                <c:pt idx="255">
                  <c:v>42.995289372689776</c:v>
                </c:pt>
                <c:pt idx="256">
                  <c:v>42.608309938097392</c:v>
                </c:pt>
                <c:pt idx="257">
                  <c:v>42.218647381973312</c:v>
                </c:pt>
                <c:pt idx="258">
                  <c:v>41.826813068691536</c:v>
                </c:pt>
                <c:pt idx="259">
                  <c:v>41.433317979340138</c:v>
                </c:pt>
                <c:pt idx="260">
                  <c:v>41.035412962022249</c:v>
                </c:pt>
                <c:pt idx="261">
                  <c:v>40.630718983014567</c:v>
                </c:pt>
                <c:pt idx="262">
                  <c:v>40.220125375297279</c:v>
                </c:pt>
                <c:pt idx="263">
                  <c:v>39.804551769248597</c:v>
                </c:pt>
                <c:pt idx="264">
                  <c:v>39.384917092602223</c:v>
                </c:pt>
                <c:pt idx="265">
                  <c:v>38.962138856021539</c:v>
                </c:pt>
                <c:pt idx="266">
                  <c:v>38.537134226124245</c:v>
                </c:pt>
                <c:pt idx="267">
                  <c:v>38.110878763381464</c:v>
                </c:pt>
                <c:pt idx="268">
                  <c:v>37.684229140492036</c:v>
                </c:pt>
                <c:pt idx="269">
                  <c:v>37.258101035067249</c:v>
                </c:pt>
                <c:pt idx="270">
                  <c:v>36.833409458052508</c:v>
                </c:pt>
                <c:pt idx="271">
                  <c:v>36.411068759269014</c:v>
                </c:pt>
                <c:pt idx="272">
                  <c:v>35.991992633317544</c:v>
                </c:pt>
                <c:pt idx="273">
                  <c:v>35.577094129462893</c:v>
                </c:pt>
                <c:pt idx="274">
                  <c:v>35.162796220376258</c:v>
                </c:pt>
                <c:pt idx="275">
                  <c:v>34.745609813008102</c:v>
                </c:pt>
                <c:pt idx="276">
                  <c:v>34.3264539058924</c:v>
                </c:pt>
                <c:pt idx="277">
                  <c:v>33.90634405833633</c:v>
                </c:pt>
                <c:pt idx="278">
                  <c:v>33.486295077042016</c:v>
                </c:pt>
                <c:pt idx="279">
                  <c:v>33.067321029944949</c:v>
                </c:pt>
                <c:pt idx="280">
                  <c:v>32.650435267703244</c:v>
                </c:pt>
                <c:pt idx="281">
                  <c:v>32.236316388357366</c:v>
                </c:pt>
                <c:pt idx="282">
                  <c:v>31.825916657063772</c:v>
                </c:pt>
                <c:pt idx="283">
                  <c:v>31.420246601630961</c:v>
                </c:pt>
                <c:pt idx="284">
                  <c:v>31.020316144976974</c:v>
                </c:pt>
                <c:pt idx="285">
                  <c:v>30.627134622843993</c:v>
                </c:pt>
                <c:pt idx="286">
                  <c:v>30.241710823868949</c:v>
                </c:pt>
                <c:pt idx="287">
                  <c:v>29.865053013793371</c:v>
                </c:pt>
                <c:pt idx="288">
                  <c:v>29.496291803830427</c:v>
                </c:pt>
                <c:pt idx="289">
                  <c:v>29.132986407829513</c:v>
                </c:pt>
                <c:pt idx="290">
                  <c:v>28.774806773990871</c:v>
                </c:pt>
                <c:pt idx="291">
                  <c:v>28.421441406170839</c:v>
                </c:pt>
                <c:pt idx="292">
                  <c:v>28.072578978346002</c:v>
                </c:pt>
                <c:pt idx="293">
                  <c:v>27.727908350186329</c:v>
                </c:pt>
                <c:pt idx="294">
                  <c:v>27.387118576667813</c:v>
                </c:pt>
                <c:pt idx="295">
                  <c:v>27.049678579408052</c:v>
                </c:pt>
                <c:pt idx="296">
                  <c:v>26.715612998459342</c:v>
                </c:pt>
                <c:pt idx="297">
                  <c:v>26.384610166758076</c:v>
                </c:pt>
                <c:pt idx="298">
                  <c:v>26.056359715177273</c:v>
                </c:pt>
                <c:pt idx="299">
                  <c:v>25.730551409515513</c:v>
                </c:pt>
                <c:pt idx="300">
                  <c:v>25.406875176757971</c:v>
                </c:pt>
                <c:pt idx="301">
                  <c:v>25.085021117804153</c:v>
                </c:pt>
                <c:pt idx="302">
                  <c:v>24.76456131772898</c:v>
                </c:pt>
                <c:pt idx="303">
                  <c:v>24.445963380942011</c:v>
                </c:pt>
                <c:pt idx="304">
                  <c:v>24.130325789099658</c:v>
                </c:pt>
                <c:pt idx="305">
                  <c:v>23.818050173287048</c:v>
                </c:pt>
                <c:pt idx="306">
                  <c:v>23.509538155298717</c:v>
                </c:pt>
                <c:pt idx="307">
                  <c:v>23.205191364661374</c:v>
                </c:pt>
                <c:pt idx="308">
                  <c:v>22.905411455482071</c:v>
                </c:pt>
                <c:pt idx="309">
                  <c:v>22.61107472187912</c:v>
                </c:pt>
                <c:pt idx="310">
                  <c:v>22.322804700746413</c:v>
                </c:pt>
                <c:pt idx="311">
                  <c:v>22.041003913443429</c:v>
                </c:pt>
                <c:pt idx="312">
                  <c:v>21.76607489519014</c:v>
                </c:pt>
                <c:pt idx="313">
                  <c:v>21.498420192199916</c:v>
                </c:pt>
                <c:pt idx="314">
                  <c:v>21.23844235701597</c:v>
                </c:pt>
                <c:pt idx="315">
                  <c:v>20.986543934007855</c:v>
                </c:pt>
                <c:pt idx="316">
                  <c:v>20.742773251396116</c:v>
                </c:pt>
                <c:pt idx="317">
                  <c:v>20.506864382332928</c:v>
                </c:pt>
                <c:pt idx="318">
                  <c:v>20.278086213535186</c:v>
                </c:pt>
                <c:pt idx="319">
                  <c:v>20.056133046312777</c:v>
                </c:pt>
                <c:pt idx="320">
                  <c:v>19.84069942831087</c:v>
                </c:pt>
                <c:pt idx="321">
                  <c:v>19.631480152307621</c:v>
                </c:pt>
                <c:pt idx="322">
                  <c:v>19.428170243028191</c:v>
                </c:pt>
                <c:pt idx="323">
                  <c:v>19.230347800372812</c:v>
                </c:pt>
                <c:pt idx="324">
                  <c:v>19.037231297580941</c:v>
                </c:pt>
                <c:pt idx="325">
                  <c:v>18.848516103950498</c:v>
                </c:pt>
                <c:pt idx="326">
                  <c:v>18.663900635722705</c:v>
                </c:pt>
                <c:pt idx="327">
                  <c:v>18.483081808722631</c:v>
                </c:pt>
                <c:pt idx="328">
                  <c:v>18.30575455079827</c:v>
                </c:pt>
                <c:pt idx="329">
                  <c:v>18.131614054019234</c:v>
                </c:pt>
                <c:pt idx="330">
                  <c:v>17.959143111979429</c:v>
                </c:pt>
                <c:pt idx="331">
                  <c:v>17.78760692210906</c:v>
                </c:pt>
                <c:pt idx="332">
                  <c:v>17.617756434255476</c:v>
                </c:pt>
                <c:pt idx="333">
                  <c:v>17.450500294479557</c:v>
                </c:pt>
                <c:pt idx="334">
                  <c:v>17.286746817195858</c:v>
                </c:pt>
                <c:pt idx="335">
                  <c:v>17.127403958932859</c:v>
                </c:pt>
                <c:pt idx="336">
                  <c:v>16.973379274286614</c:v>
                </c:pt>
                <c:pt idx="337">
                  <c:v>16.825681880132468</c:v>
                </c:pt>
                <c:pt idx="338">
                  <c:v>16.685335776969179</c:v>
                </c:pt>
                <c:pt idx="339">
                  <c:v>16.553247112103566</c:v>
                </c:pt>
                <c:pt idx="340">
                  <c:v>16.430321506006223</c:v>
                </c:pt>
                <c:pt idx="341">
                  <c:v>16.317464028033132</c:v>
                </c:pt>
                <c:pt idx="342">
                  <c:v>16.215579179996094</c:v>
                </c:pt>
                <c:pt idx="343">
                  <c:v>16.125570868608932</c:v>
                </c:pt>
                <c:pt idx="344">
                  <c:v>16.045828650954849</c:v>
                </c:pt>
                <c:pt idx="345">
                  <c:v>15.974212898417781</c:v>
                </c:pt>
                <c:pt idx="346">
                  <c:v>15.910969253955995</c:v>
                </c:pt>
                <c:pt idx="347">
                  <c:v>15.856207138681672</c:v>
                </c:pt>
                <c:pt idx="348">
                  <c:v>15.810035846225968</c:v>
                </c:pt>
                <c:pt idx="349">
                  <c:v>15.772564546591461</c:v>
                </c:pt>
                <c:pt idx="350">
                  <c:v>15.74390228466776</c:v>
                </c:pt>
                <c:pt idx="351">
                  <c:v>15.724267323489169</c:v>
                </c:pt>
                <c:pt idx="352">
                  <c:v>15.713666550074688</c:v>
                </c:pt>
                <c:pt idx="353">
                  <c:v>15.712208650190053</c:v>
                </c:pt>
                <c:pt idx="354">
                  <c:v>15.720002202012994</c:v>
                </c:pt>
                <c:pt idx="355">
                  <c:v>15.737155661013999</c:v>
                </c:pt>
                <c:pt idx="356">
                  <c:v>15.763782042893482</c:v>
                </c:pt>
                <c:pt idx="357">
                  <c:v>15.79998549732281</c:v>
                </c:pt>
                <c:pt idx="358">
                  <c:v>15.846145613724934</c:v>
                </c:pt>
                <c:pt idx="359">
                  <c:v>15.902409559351387</c:v>
                </c:pt>
                <c:pt idx="360">
                  <c:v>15.968641268188993</c:v>
                </c:pt>
                <c:pt idx="361">
                  <c:v>16.044493329808464</c:v>
                </c:pt>
                <c:pt idx="362">
                  <c:v>16.129727849113355</c:v>
                </c:pt>
                <c:pt idx="363">
                  <c:v>16.224107023815424</c:v>
                </c:pt>
                <c:pt idx="364">
                  <c:v>16.327393140214102</c:v>
                </c:pt>
                <c:pt idx="365">
                  <c:v>17.162942162396011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0">
                  <c:v>2.0649999999999999</c:v>
                </c:pt>
                <c:pt idx="1">
                  <c:v>6.8049999999999997</c:v>
                </c:pt>
                <c:pt idx="2">
                  <c:v>18.526</c:v>
                </c:pt>
                <c:pt idx="3">
                  <c:v>18.312000000000001</c:v>
                </c:pt>
                <c:pt idx="4">
                  <c:v>18.521000000000001</c:v>
                </c:pt>
                <c:pt idx="5">
                  <c:v>4.7510000000000003</c:v>
                </c:pt>
                <c:pt idx="6">
                  <c:v>2.8580000000000001</c:v>
                </c:pt>
                <c:pt idx="7">
                  <c:v>6.2460000000000004</c:v>
                </c:pt>
                <c:pt idx="8">
                  <c:v>8.0649999999999995</c:v>
                </c:pt>
                <c:pt idx="9">
                  <c:v>10.295</c:v>
                </c:pt>
                <c:pt idx="10">
                  <c:v>19.125</c:v>
                </c:pt>
                <c:pt idx="11">
                  <c:v>8.0960000000000001</c:v>
                </c:pt>
                <c:pt idx="12">
                  <c:v>6.2160000000000002</c:v>
                </c:pt>
                <c:pt idx="13">
                  <c:v>7.069</c:v>
                </c:pt>
                <c:pt idx="14">
                  <c:v>20.338000000000001</c:v>
                </c:pt>
                <c:pt idx="15">
                  <c:v>20.181000000000001</c:v>
                </c:pt>
                <c:pt idx="16">
                  <c:v>9.4239999999999995</c:v>
                </c:pt>
                <c:pt idx="17">
                  <c:v>12.182</c:v>
                </c:pt>
                <c:pt idx="18">
                  <c:v>15.502000000000001</c:v>
                </c:pt>
                <c:pt idx="19">
                  <c:v>7.343</c:v>
                </c:pt>
                <c:pt idx="20">
                  <c:v>9.7739999999999991</c:v>
                </c:pt>
                <c:pt idx="21">
                  <c:v>9.7240000000000002</c:v>
                </c:pt>
                <c:pt idx="22">
                  <c:v>8.8460000000000001</c:v>
                </c:pt>
                <c:pt idx="23">
                  <c:v>12.212</c:v>
                </c:pt>
                <c:pt idx="24">
                  <c:v>4.51</c:v>
                </c:pt>
                <c:pt idx="25">
                  <c:v>13.116</c:v>
                </c:pt>
                <c:pt idx="26">
                  <c:v>12.475</c:v>
                </c:pt>
                <c:pt idx="27">
                  <c:v>11.039</c:v>
                </c:pt>
                <c:pt idx="28">
                  <c:v>5.3760000000000003</c:v>
                </c:pt>
                <c:pt idx="29">
                  <c:v>8.1039999999999992</c:v>
                </c:pt>
                <c:pt idx="30">
                  <c:v>7.9710000000000001</c:v>
                </c:pt>
                <c:pt idx="31">
                  <c:v>20.661999999999999</c:v>
                </c:pt>
                <c:pt idx="32">
                  <c:v>3.4350000000000001</c:v>
                </c:pt>
                <c:pt idx="33">
                  <c:v>13.613</c:v>
                </c:pt>
                <c:pt idx="34">
                  <c:v>22.289000000000001</c:v>
                </c:pt>
                <c:pt idx="35">
                  <c:v>4.3209999999999997</c:v>
                </c:pt>
                <c:pt idx="36">
                  <c:v>11.99</c:v>
                </c:pt>
                <c:pt idx="37">
                  <c:v>6.101</c:v>
                </c:pt>
                <c:pt idx="38">
                  <c:v>23.785</c:v>
                </c:pt>
                <c:pt idx="39">
                  <c:v>24.696000000000002</c:v>
                </c:pt>
                <c:pt idx="40">
                  <c:v>8.2569999999999997</c:v>
                </c:pt>
                <c:pt idx="41">
                  <c:v>19.808</c:v>
                </c:pt>
                <c:pt idx="42">
                  <c:v>29.193000000000001</c:v>
                </c:pt>
                <c:pt idx="43">
                  <c:v>30.091000000000001</c:v>
                </c:pt>
                <c:pt idx="44">
                  <c:v>30.271999999999998</c:v>
                </c:pt>
                <c:pt idx="45">
                  <c:v>30.420999999999999</c:v>
                </c:pt>
                <c:pt idx="46">
                  <c:v>31.047999999999998</c:v>
                </c:pt>
                <c:pt idx="47">
                  <c:v>31.634</c:v>
                </c:pt>
                <c:pt idx="48">
                  <c:v>31.548999999999999</c:v>
                </c:pt>
                <c:pt idx="49">
                  <c:v>25.263000000000002</c:v>
                </c:pt>
                <c:pt idx="50">
                  <c:v>31.667999999999999</c:v>
                </c:pt>
                <c:pt idx="51">
                  <c:v>31.75</c:v>
                </c:pt>
                <c:pt idx="52">
                  <c:v>31.79</c:v>
                </c:pt>
                <c:pt idx="53">
                  <c:v>32.247999999999998</c:v>
                </c:pt>
                <c:pt idx="54">
                  <c:v>32.74</c:v>
                </c:pt>
                <c:pt idx="55">
                  <c:v>33.427999999999997</c:v>
                </c:pt>
                <c:pt idx="56">
                  <c:v>31.885999999999999</c:v>
                </c:pt>
                <c:pt idx="57">
                  <c:v>33.981000000000002</c:v>
                </c:pt>
                <c:pt idx="58">
                  <c:v>29.608000000000001</c:v>
                </c:pt>
                <c:pt idx="59">
                  <c:v>14.99</c:v>
                </c:pt>
                <c:pt idx="60">
                  <c:v>19.584</c:v>
                </c:pt>
                <c:pt idx="61">
                  <c:v>31.643000000000001</c:v>
                </c:pt>
                <c:pt idx="62">
                  <c:v>9.4640000000000004</c:v>
                </c:pt>
                <c:pt idx="63">
                  <c:v>36.642000000000003</c:v>
                </c:pt>
                <c:pt idx="64">
                  <c:v>22.960999999999999</c:v>
                </c:pt>
                <c:pt idx="65">
                  <c:v>34.555999999999997</c:v>
                </c:pt>
                <c:pt idx="66">
                  <c:v>25.382000000000001</c:v>
                </c:pt>
                <c:pt idx="67">
                  <c:v>21.2</c:v>
                </c:pt>
                <c:pt idx="68">
                  <c:v>16.622</c:v>
                </c:pt>
                <c:pt idx="69">
                  <c:v>31.381</c:v>
                </c:pt>
                <c:pt idx="70">
                  <c:v>34.841999999999999</c:v>
                </c:pt>
                <c:pt idx="71">
                  <c:v>20.381</c:v>
                </c:pt>
                <c:pt idx="72">
                  <c:v>22.768000000000001</c:v>
                </c:pt>
                <c:pt idx="73">
                  <c:v>13.43</c:v>
                </c:pt>
                <c:pt idx="74">
                  <c:v>41.112000000000002</c:v>
                </c:pt>
                <c:pt idx="75">
                  <c:v>15.612</c:v>
                </c:pt>
                <c:pt idx="76">
                  <c:v>28.573</c:v>
                </c:pt>
                <c:pt idx="77">
                  <c:v>15.613</c:v>
                </c:pt>
                <c:pt idx="78">
                  <c:v>44.210999999999999</c:v>
                </c:pt>
                <c:pt idx="79">
                  <c:v>43.777000000000001</c:v>
                </c:pt>
                <c:pt idx="80">
                  <c:v>43.002000000000002</c:v>
                </c:pt>
                <c:pt idx="81">
                  <c:v>40.734999999999999</c:v>
                </c:pt>
                <c:pt idx="82">
                  <c:v>43.941000000000003</c:v>
                </c:pt>
                <c:pt idx="83">
                  <c:v>37.497</c:v>
                </c:pt>
                <c:pt idx="84">
                  <c:v>47.16</c:v>
                </c:pt>
                <c:pt idx="85">
                  <c:v>46.514000000000003</c:v>
                </c:pt>
                <c:pt idx="86">
                  <c:v>45.658000000000001</c:v>
                </c:pt>
                <c:pt idx="87">
                  <c:v>46.591999999999999</c:v>
                </c:pt>
                <c:pt idx="88">
                  <c:v>47.651000000000003</c:v>
                </c:pt>
                <c:pt idx="89">
                  <c:v>40.491999999999997</c:v>
                </c:pt>
                <c:pt idx="90">
                  <c:v>43.51</c:v>
                </c:pt>
                <c:pt idx="91">
                  <c:v>16.925999999999998</c:v>
                </c:pt>
                <c:pt idx="92">
                  <c:v>17.556000000000001</c:v>
                </c:pt>
                <c:pt idx="93">
                  <c:v>38.935000000000002</c:v>
                </c:pt>
                <c:pt idx="94">
                  <c:v>46.162999999999997</c:v>
                </c:pt>
                <c:pt idx="95">
                  <c:v>22.652000000000001</c:v>
                </c:pt>
                <c:pt idx="96">
                  <c:v>33.957000000000001</c:v>
                </c:pt>
                <c:pt idx="97">
                  <c:v>33.378</c:v>
                </c:pt>
                <c:pt idx="98">
                  <c:v>45.027999999999999</c:v>
                </c:pt>
                <c:pt idx="99">
                  <c:v>28.42</c:v>
                </c:pt>
                <c:pt idx="100">
                  <c:v>9.3000000000000007</c:v>
                </c:pt>
                <c:pt idx="101">
                  <c:v>52.219000000000001</c:v>
                </c:pt>
                <c:pt idx="102">
                  <c:v>53.136000000000003</c:v>
                </c:pt>
                <c:pt idx="103">
                  <c:v>26.486999999999998</c:v>
                </c:pt>
                <c:pt idx="104">
                  <c:v>36.061</c:v>
                </c:pt>
                <c:pt idx="105">
                  <c:v>33.991</c:v>
                </c:pt>
                <c:pt idx="106">
                  <c:v>32.253</c:v>
                </c:pt>
                <c:pt idx="107">
                  <c:v>25.41</c:v>
                </c:pt>
                <c:pt idx="108">
                  <c:v>49.012999999999998</c:v>
                </c:pt>
                <c:pt idx="109">
                  <c:v>45.716000000000001</c:v>
                </c:pt>
                <c:pt idx="110">
                  <c:v>19.373000000000001</c:v>
                </c:pt>
                <c:pt idx="111">
                  <c:v>32.776000000000003</c:v>
                </c:pt>
                <c:pt idx="112">
                  <c:v>36.167999999999999</c:v>
                </c:pt>
                <c:pt idx="113">
                  <c:v>50.5</c:v>
                </c:pt>
                <c:pt idx="114">
                  <c:v>34.786999999999999</c:v>
                </c:pt>
                <c:pt idx="115">
                  <c:v>33.15</c:v>
                </c:pt>
                <c:pt idx="116">
                  <c:v>31.824999999999999</c:v>
                </c:pt>
                <c:pt idx="117">
                  <c:v>45.134</c:v>
                </c:pt>
                <c:pt idx="118">
                  <c:v>51.438000000000002</c:v>
                </c:pt>
                <c:pt idx="119">
                  <c:v>57.116</c:v>
                </c:pt>
                <c:pt idx="120">
                  <c:v>53.350999999999999</c:v>
                </c:pt>
                <c:pt idx="121">
                  <c:v>34.759</c:v>
                </c:pt>
                <c:pt idx="122">
                  <c:v>21.260999999999999</c:v>
                </c:pt>
                <c:pt idx="123">
                  <c:v>31.178000000000001</c:v>
                </c:pt>
                <c:pt idx="124">
                  <c:v>43.878999999999998</c:v>
                </c:pt>
                <c:pt idx="125">
                  <c:v>60.296999999999997</c:v>
                </c:pt>
                <c:pt idx="126">
                  <c:v>44.591000000000001</c:v>
                </c:pt>
                <c:pt idx="127">
                  <c:v>30.876000000000001</c:v>
                </c:pt>
                <c:pt idx="128">
                  <c:v>47.829000000000001</c:v>
                </c:pt>
                <c:pt idx="129">
                  <c:v>39.668999999999997</c:v>
                </c:pt>
                <c:pt idx="130">
                  <c:v>37.786999999999999</c:v>
                </c:pt>
                <c:pt idx="131">
                  <c:v>54.933</c:v>
                </c:pt>
                <c:pt idx="132">
                  <c:v>61.014000000000003</c:v>
                </c:pt>
                <c:pt idx="133">
                  <c:v>59.463000000000001</c:v>
                </c:pt>
                <c:pt idx="134">
                  <c:v>60.335999999999999</c:v>
                </c:pt>
                <c:pt idx="135">
                  <c:v>49.947000000000003</c:v>
                </c:pt>
                <c:pt idx="136">
                  <c:v>6.9109999999999996</c:v>
                </c:pt>
                <c:pt idx="137">
                  <c:v>37.584000000000003</c:v>
                </c:pt>
                <c:pt idx="138">
                  <c:v>27.007999999999999</c:v>
                </c:pt>
                <c:pt idx="139">
                  <c:v>55.753999999999998</c:v>
                </c:pt>
                <c:pt idx="140">
                  <c:v>44.51</c:v>
                </c:pt>
                <c:pt idx="141">
                  <c:v>58.847000000000001</c:v>
                </c:pt>
                <c:pt idx="142">
                  <c:v>49.948999999999998</c:v>
                </c:pt>
                <c:pt idx="143">
                  <c:v>12.086</c:v>
                </c:pt>
                <c:pt idx="144">
                  <c:v>32.164000000000001</c:v>
                </c:pt>
                <c:pt idx="145">
                  <c:v>26.34</c:v>
                </c:pt>
                <c:pt idx="146">
                  <c:v>33.523000000000003</c:v>
                </c:pt>
                <c:pt idx="147">
                  <c:v>27.216999999999999</c:v>
                </c:pt>
                <c:pt idx="148">
                  <c:v>38.695999999999998</c:v>
                </c:pt>
                <c:pt idx="149">
                  <c:v>59.265000000000001</c:v>
                </c:pt>
                <c:pt idx="150">
                  <c:v>60.198</c:v>
                </c:pt>
                <c:pt idx="151">
                  <c:v>60.582000000000001</c:v>
                </c:pt>
                <c:pt idx="152">
                  <c:v>59.411999999999999</c:v>
                </c:pt>
                <c:pt idx="153">
                  <c:v>45.567</c:v>
                </c:pt>
                <c:pt idx="154">
                  <c:v>53.857999999999997</c:v>
                </c:pt>
                <c:pt idx="155">
                  <c:v>10.987</c:v>
                </c:pt>
                <c:pt idx="156">
                  <c:v>59.167000000000002</c:v>
                </c:pt>
                <c:pt idx="157">
                  <c:v>20.465</c:v>
                </c:pt>
                <c:pt idx="158">
                  <c:v>61.329000000000001</c:v>
                </c:pt>
                <c:pt idx="159">
                  <c:v>49.305</c:v>
                </c:pt>
                <c:pt idx="160">
                  <c:v>24.428000000000001</c:v>
                </c:pt>
                <c:pt idx="161">
                  <c:v>30.742000000000001</c:v>
                </c:pt>
                <c:pt idx="162">
                  <c:v>56.485999999999997</c:v>
                </c:pt>
                <c:pt idx="163">
                  <c:v>58.921999999999997</c:v>
                </c:pt>
                <c:pt idx="164">
                  <c:v>27.216000000000001</c:v>
                </c:pt>
                <c:pt idx="165">
                  <c:v>19.905999999999999</c:v>
                </c:pt>
                <c:pt idx="166">
                  <c:v>60.323999999999998</c:v>
                </c:pt>
                <c:pt idx="167">
                  <c:v>59.505000000000003</c:v>
                </c:pt>
                <c:pt idx="168">
                  <c:v>57.956000000000003</c:v>
                </c:pt>
                <c:pt idx="169">
                  <c:v>47.031999999999996</c:v>
                </c:pt>
                <c:pt idx="170">
                  <c:v>25.588999999999999</c:v>
                </c:pt>
                <c:pt idx="171">
                  <c:v>9.91</c:v>
                </c:pt>
                <c:pt idx="172">
                  <c:v>54.820999999999998</c:v>
                </c:pt>
                <c:pt idx="173">
                  <c:v>52.204999999999998</c:v>
                </c:pt>
                <c:pt idx="174">
                  <c:v>37.631</c:v>
                </c:pt>
                <c:pt idx="175">
                  <c:v>52.283999999999999</c:v>
                </c:pt>
                <c:pt idx="176">
                  <c:v>56.491999999999997</c:v>
                </c:pt>
                <c:pt idx="177">
                  <c:v>56.304000000000002</c:v>
                </c:pt>
                <c:pt idx="178">
                  <c:v>56.225000000000001</c:v>
                </c:pt>
                <c:pt idx="179">
                  <c:v>54.15</c:v>
                </c:pt>
                <c:pt idx="180">
                  <c:v>53.037999999999997</c:v>
                </c:pt>
                <c:pt idx="181">
                  <c:v>18.012</c:v>
                </c:pt>
                <c:pt idx="182">
                  <c:v>29.558</c:v>
                </c:pt>
                <c:pt idx="183">
                  <c:v>47.58</c:v>
                </c:pt>
                <c:pt idx="184">
                  <c:v>54.66</c:v>
                </c:pt>
                <c:pt idx="185">
                  <c:v>53.228999999999999</c:v>
                </c:pt>
                <c:pt idx="186">
                  <c:v>53.045000000000002</c:v>
                </c:pt>
                <c:pt idx="187">
                  <c:v>48.911999999999999</c:v>
                </c:pt>
                <c:pt idx="188">
                  <c:v>32.03</c:v>
                </c:pt>
                <c:pt idx="189">
                  <c:v>23.619</c:v>
                </c:pt>
                <c:pt idx="190">
                  <c:v>58.07</c:v>
                </c:pt>
                <c:pt idx="191">
                  <c:v>57.658000000000001</c:v>
                </c:pt>
                <c:pt idx="192">
                  <c:v>58.412999999999997</c:v>
                </c:pt>
                <c:pt idx="193">
                  <c:v>50.381999999999998</c:v>
                </c:pt>
                <c:pt idx="194">
                  <c:v>57.393999999999998</c:v>
                </c:pt>
                <c:pt idx="195">
                  <c:v>58.887</c:v>
                </c:pt>
                <c:pt idx="196">
                  <c:v>56.924999999999997</c:v>
                </c:pt>
                <c:pt idx="197">
                  <c:v>49.921999999999997</c:v>
                </c:pt>
                <c:pt idx="198">
                  <c:v>40.627000000000002</c:v>
                </c:pt>
                <c:pt idx="199">
                  <c:v>55.353000000000002</c:v>
                </c:pt>
                <c:pt idx="200">
                  <c:v>25.777000000000001</c:v>
                </c:pt>
                <c:pt idx="201">
                  <c:v>42.951999999999998</c:v>
                </c:pt>
                <c:pt idx="202">
                  <c:v>48.713000000000001</c:v>
                </c:pt>
                <c:pt idx="203">
                  <c:v>52.298000000000002</c:v>
                </c:pt>
                <c:pt idx="204">
                  <c:v>52.521999999999998</c:v>
                </c:pt>
                <c:pt idx="205">
                  <c:v>52.424999999999997</c:v>
                </c:pt>
                <c:pt idx="206">
                  <c:v>24.744</c:v>
                </c:pt>
                <c:pt idx="207">
                  <c:v>12.273</c:v>
                </c:pt>
                <c:pt idx="208">
                  <c:v>56.353999999999999</c:v>
                </c:pt>
                <c:pt idx="209">
                  <c:v>55.177999999999997</c:v>
                </c:pt>
                <c:pt idx="210">
                  <c:v>27.228999999999999</c:v>
                </c:pt>
                <c:pt idx="211">
                  <c:v>50.145000000000003</c:v>
                </c:pt>
                <c:pt idx="212">
                  <c:v>47.914999999999999</c:v>
                </c:pt>
                <c:pt idx="213">
                  <c:v>52.32</c:v>
                </c:pt>
                <c:pt idx="214">
                  <c:v>52.585000000000001</c:v>
                </c:pt>
                <c:pt idx="215">
                  <c:v>48.545999999999999</c:v>
                </c:pt>
                <c:pt idx="216">
                  <c:v>49.357999999999997</c:v>
                </c:pt>
                <c:pt idx="217">
                  <c:v>39.383000000000003</c:v>
                </c:pt>
                <c:pt idx="218">
                  <c:v>42.011000000000003</c:v>
                </c:pt>
                <c:pt idx="219">
                  <c:v>49.904000000000003</c:v>
                </c:pt>
                <c:pt idx="220">
                  <c:v>46.718000000000004</c:v>
                </c:pt>
                <c:pt idx="221">
                  <c:v>39.625</c:v>
                </c:pt>
                <c:pt idx="222">
                  <c:v>25.396999999999998</c:v>
                </c:pt>
                <c:pt idx="223">
                  <c:v>28.548999999999999</c:v>
                </c:pt>
                <c:pt idx="224">
                  <c:v>47.627000000000002</c:v>
                </c:pt>
                <c:pt idx="225">
                  <c:v>51.588000000000001</c:v>
                </c:pt>
                <c:pt idx="226">
                  <c:v>26.802</c:v>
                </c:pt>
                <c:pt idx="227">
                  <c:v>50.661999999999999</c:v>
                </c:pt>
                <c:pt idx="228">
                  <c:v>49.505000000000003</c:v>
                </c:pt>
                <c:pt idx="229">
                  <c:v>34.524999999999999</c:v>
                </c:pt>
                <c:pt idx="230">
                  <c:v>32.798000000000002</c:v>
                </c:pt>
                <c:pt idx="231">
                  <c:v>31.45</c:v>
                </c:pt>
                <c:pt idx="232">
                  <c:v>46.508000000000003</c:v>
                </c:pt>
                <c:pt idx="233">
                  <c:v>50.378</c:v>
                </c:pt>
                <c:pt idx="234">
                  <c:v>47.805</c:v>
                </c:pt>
                <c:pt idx="235">
                  <c:v>47.677</c:v>
                </c:pt>
                <c:pt idx="236">
                  <c:v>43.116999999999997</c:v>
                </c:pt>
                <c:pt idx="237">
                  <c:v>39.03</c:v>
                </c:pt>
                <c:pt idx="238">
                  <c:v>32.933999999999997</c:v>
                </c:pt>
                <c:pt idx="239">
                  <c:v>39.173999999999999</c:v>
                </c:pt>
                <c:pt idx="240">
                  <c:v>44.624000000000002</c:v>
                </c:pt>
                <c:pt idx="241">
                  <c:v>44.198</c:v>
                </c:pt>
                <c:pt idx="242">
                  <c:v>42.758000000000003</c:v>
                </c:pt>
                <c:pt idx="243">
                  <c:v>16.192</c:v>
                </c:pt>
                <c:pt idx="244">
                  <c:v>44.682000000000002</c:v>
                </c:pt>
                <c:pt idx="245">
                  <c:v>46.456000000000003</c:v>
                </c:pt>
                <c:pt idx="246">
                  <c:v>45.96</c:v>
                </c:pt>
                <c:pt idx="247">
                  <c:v>37.061</c:v>
                </c:pt>
                <c:pt idx="248">
                  <c:v>47.158000000000001</c:v>
                </c:pt>
                <c:pt idx="249">
                  <c:v>46.018000000000001</c:v>
                </c:pt>
                <c:pt idx="250">
                  <c:v>40.435000000000002</c:v>
                </c:pt>
                <c:pt idx="251">
                  <c:v>35.384999999999998</c:v>
                </c:pt>
                <c:pt idx="252">
                  <c:v>13.108000000000001</c:v>
                </c:pt>
                <c:pt idx="253">
                  <c:v>37.722999999999999</c:v>
                </c:pt>
                <c:pt idx="254">
                  <c:v>42.883000000000003</c:v>
                </c:pt>
                <c:pt idx="255">
                  <c:v>32.469000000000001</c:v>
                </c:pt>
                <c:pt idx="256">
                  <c:v>37.926000000000002</c:v>
                </c:pt>
                <c:pt idx="257">
                  <c:v>37.787999999999997</c:v>
                </c:pt>
                <c:pt idx="258">
                  <c:v>37.408999999999999</c:v>
                </c:pt>
                <c:pt idx="259">
                  <c:v>36.277000000000001</c:v>
                </c:pt>
                <c:pt idx="260">
                  <c:v>25.167999999999999</c:v>
                </c:pt>
                <c:pt idx="261">
                  <c:v>36.893000000000001</c:v>
                </c:pt>
                <c:pt idx="262">
                  <c:v>37.710999999999999</c:v>
                </c:pt>
                <c:pt idx="263">
                  <c:v>30.489000000000001</c:v>
                </c:pt>
                <c:pt idx="264">
                  <c:v>11.411</c:v>
                </c:pt>
                <c:pt idx="265">
                  <c:v>35.387999999999998</c:v>
                </c:pt>
                <c:pt idx="266">
                  <c:v>26.093</c:v>
                </c:pt>
                <c:pt idx="267">
                  <c:v>26.585000000000001</c:v>
                </c:pt>
                <c:pt idx="268">
                  <c:v>28.027999999999999</c:v>
                </c:pt>
                <c:pt idx="269">
                  <c:v>29.395</c:v>
                </c:pt>
                <c:pt idx="270">
                  <c:v>25.867999999999999</c:v>
                </c:pt>
                <c:pt idx="271">
                  <c:v>35.793999999999997</c:v>
                </c:pt>
                <c:pt idx="272">
                  <c:v>24.041</c:v>
                </c:pt>
                <c:pt idx="273">
                  <c:v>27.218</c:v>
                </c:pt>
                <c:pt idx="274">
                  <c:v>23.387</c:v>
                </c:pt>
                <c:pt idx="275">
                  <c:v>31.98</c:v>
                </c:pt>
                <c:pt idx="276">
                  <c:v>10.919</c:v>
                </c:pt>
                <c:pt idx="277">
                  <c:v>30.827000000000002</c:v>
                </c:pt>
                <c:pt idx="278">
                  <c:v>17.52</c:v>
                </c:pt>
                <c:pt idx="279">
                  <c:v>27.521000000000001</c:v>
                </c:pt>
                <c:pt idx="280">
                  <c:v>31.085999999999999</c:v>
                </c:pt>
                <c:pt idx="281">
                  <c:v>8.9670000000000005</c:v>
                </c:pt>
                <c:pt idx="282">
                  <c:v>23.169</c:v>
                </c:pt>
                <c:pt idx="283">
                  <c:v>31.757000000000001</c:v>
                </c:pt>
                <c:pt idx="284">
                  <c:v>15.401</c:v>
                </c:pt>
                <c:pt idx="285">
                  <c:v>28.559000000000001</c:v>
                </c:pt>
                <c:pt idx="286">
                  <c:v>9.3800000000000008</c:v>
                </c:pt>
                <c:pt idx="287">
                  <c:v>25.155000000000001</c:v>
                </c:pt>
                <c:pt idx="288">
                  <c:v>26.942</c:v>
                </c:pt>
                <c:pt idx="289">
                  <c:v>17.187999999999999</c:v>
                </c:pt>
                <c:pt idx="290">
                  <c:v>13.368</c:v>
                </c:pt>
                <c:pt idx="291">
                  <c:v>23.94</c:v>
                </c:pt>
                <c:pt idx="292">
                  <c:v>10.217000000000001</c:v>
                </c:pt>
                <c:pt idx="293">
                  <c:v>20.259</c:v>
                </c:pt>
                <c:pt idx="294">
                  <c:v>3.931</c:v>
                </c:pt>
                <c:pt idx="295">
                  <c:v>16.448</c:v>
                </c:pt>
                <c:pt idx="296">
                  <c:v>16.774000000000001</c:v>
                </c:pt>
                <c:pt idx="297">
                  <c:v>23.324000000000002</c:v>
                </c:pt>
                <c:pt idx="298">
                  <c:v>26.256</c:v>
                </c:pt>
                <c:pt idx="299">
                  <c:v>19.54</c:v>
                </c:pt>
                <c:pt idx="300">
                  <c:v>9.4990000000000006</c:v>
                </c:pt>
                <c:pt idx="301">
                  <c:v>22.603999999999999</c:v>
                </c:pt>
                <c:pt idx="302">
                  <c:v>18.943000000000001</c:v>
                </c:pt>
                <c:pt idx="303">
                  <c:v>16.504999999999999</c:v>
                </c:pt>
                <c:pt idx="304">
                  <c:v>7.3150000000000004</c:v>
                </c:pt>
                <c:pt idx="305">
                  <c:v>5.3070000000000004</c:v>
                </c:pt>
                <c:pt idx="306">
                  <c:v>12.545999999999999</c:v>
                </c:pt>
                <c:pt idx="307">
                  <c:v>9.5739999999999998</c:v>
                </c:pt>
                <c:pt idx="308">
                  <c:v>11.484999999999999</c:v>
                </c:pt>
                <c:pt idx="309">
                  <c:v>12.484</c:v>
                </c:pt>
                <c:pt idx="310">
                  <c:v>4.407</c:v>
                </c:pt>
                <c:pt idx="311">
                  <c:v>12.961</c:v>
                </c:pt>
                <c:pt idx="312">
                  <c:v>15.875999999999999</c:v>
                </c:pt>
                <c:pt idx="313">
                  <c:v>16.672999999999998</c:v>
                </c:pt>
                <c:pt idx="314">
                  <c:v>18.63</c:v>
                </c:pt>
                <c:pt idx="315">
                  <c:v>14.215999999999999</c:v>
                </c:pt>
                <c:pt idx="316">
                  <c:v>17.053999999999998</c:v>
                </c:pt>
                <c:pt idx="317">
                  <c:v>5.399</c:v>
                </c:pt>
                <c:pt idx="318">
                  <c:v>13.058</c:v>
                </c:pt>
                <c:pt idx="319">
                  <c:v>13.372</c:v>
                </c:pt>
                <c:pt idx="320">
                  <c:v>8.6129999999999995</c:v>
                </c:pt>
                <c:pt idx="321">
                  <c:v>8.9930000000000003</c:v>
                </c:pt>
                <c:pt idx="322">
                  <c:v>14.788</c:v>
                </c:pt>
                <c:pt idx="323">
                  <c:v>19.847000000000001</c:v>
                </c:pt>
                <c:pt idx="324">
                  <c:v>19.119</c:v>
                </c:pt>
                <c:pt idx="325">
                  <c:v>8.9770000000000003</c:v>
                </c:pt>
                <c:pt idx="326">
                  <c:v>5.2949999999999999</c:v>
                </c:pt>
                <c:pt idx="327">
                  <c:v>9.9819999999999993</c:v>
                </c:pt>
                <c:pt idx="328">
                  <c:v>10.207000000000001</c:v>
                </c:pt>
                <c:pt idx="329">
                  <c:v>15.327999999999999</c:v>
                </c:pt>
                <c:pt idx="330">
                  <c:v>13.792999999999999</c:v>
                </c:pt>
                <c:pt idx="331">
                  <c:v>8.3460000000000001</c:v>
                </c:pt>
                <c:pt idx="332">
                  <c:v>13.379</c:v>
                </c:pt>
                <c:pt idx="333">
                  <c:v>11.948</c:v>
                </c:pt>
                <c:pt idx="334">
                  <c:v>7.734</c:v>
                </c:pt>
                <c:pt idx="335">
                  <c:v>3.5619999999999998</c:v>
                </c:pt>
                <c:pt idx="336">
                  <c:v>3.9740000000000002</c:v>
                </c:pt>
                <c:pt idx="337">
                  <c:v>6.3410000000000002</c:v>
                </c:pt>
                <c:pt idx="338">
                  <c:v>7.97</c:v>
                </c:pt>
                <c:pt idx="339">
                  <c:v>11.013999999999999</c:v>
                </c:pt>
                <c:pt idx="340">
                  <c:v>11.79</c:v>
                </c:pt>
                <c:pt idx="341">
                  <c:v>13.38</c:v>
                </c:pt>
                <c:pt idx="342">
                  <c:v>8.0920000000000005</c:v>
                </c:pt>
                <c:pt idx="343">
                  <c:v>14.64</c:v>
                </c:pt>
                <c:pt idx="344">
                  <c:v>1.768</c:v>
                </c:pt>
                <c:pt idx="345">
                  <c:v>5.657</c:v>
                </c:pt>
                <c:pt idx="346">
                  <c:v>1.976</c:v>
                </c:pt>
                <c:pt idx="347">
                  <c:v>12.411</c:v>
                </c:pt>
                <c:pt idx="348">
                  <c:v>15.532999999999999</c:v>
                </c:pt>
                <c:pt idx="349">
                  <c:v>10.952999999999999</c:v>
                </c:pt>
                <c:pt idx="350">
                  <c:v>9.4710000000000001</c:v>
                </c:pt>
                <c:pt idx="351">
                  <c:v>13.004</c:v>
                </c:pt>
                <c:pt idx="352">
                  <c:v>8.4760000000000009</c:v>
                </c:pt>
                <c:pt idx="353">
                  <c:v>6.6340000000000003</c:v>
                </c:pt>
                <c:pt idx="354">
                  <c:v>13.78</c:v>
                </c:pt>
                <c:pt idx="355">
                  <c:v>5.4459999999999997</c:v>
                </c:pt>
                <c:pt idx="356">
                  <c:v>6.7320000000000002</c:v>
                </c:pt>
                <c:pt idx="357">
                  <c:v>12.176</c:v>
                </c:pt>
                <c:pt idx="358">
                  <c:v>9.0990000000000002</c:v>
                </c:pt>
                <c:pt idx="359">
                  <c:v>5.6849999999999996</c:v>
                </c:pt>
                <c:pt idx="360">
                  <c:v>13.814</c:v>
                </c:pt>
                <c:pt idx="361">
                  <c:v>3.395</c:v>
                </c:pt>
                <c:pt idx="362">
                  <c:v>16.550999999999998</c:v>
                </c:pt>
                <c:pt idx="363">
                  <c:v>15.805</c:v>
                </c:pt>
                <c:pt idx="364">
                  <c:v>12.005000000000001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6613432"/>
        <c:axId val="443901464"/>
      </c:lineChart>
      <c:dateAx>
        <c:axId val="476613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01464"/>
        <c:crosses val="autoZero"/>
        <c:auto val="1"/>
        <c:lblOffset val="100"/>
        <c:baseTimeUnit val="days"/>
        <c:majorUnit val="1"/>
        <c:majorTimeUnit val="months"/>
      </c:dateAx>
      <c:valAx>
        <c:axId val="44390146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61343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1.1982389515149627E-2</c:v>
                </c:pt>
                <c:pt idx="1">
                  <c:v>1.2005382128346453E-2</c:v>
                </c:pt>
                <c:pt idx="2">
                  <c:v>1.2028374206471515E-2</c:v>
                </c:pt>
                <c:pt idx="3">
                  <c:v>1.2051365749537468E-2</c:v>
                </c:pt>
                <c:pt idx="4">
                  <c:v>1.2074356757556526E-2</c:v>
                </c:pt>
                <c:pt idx="5">
                  <c:v>1.2097347230541233E-2</c:v>
                </c:pt>
                <c:pt idx="6">
                  <c:v>1.2120337168504025E-2</c:v>
                </c:pt>
                <c:pt idx="7">
                  <c:v>1.2143326571457447E-2</c:v>
                </c:pt>
                <c:pt idx="8">
                  <c:v>1.2166315439413822E-2</c:v>
                </c:pt>
                <c:pt idx="9">
                  <c:v>1.2189303772385696E-2</c:v>
                </c:pt>
                <c:pt idx="10">
                  <c:v>1.2212291570385503E-2</c:v>
                </c:pt>
                <c:pt idx="11">
                  <c:v>1.2235278833425567E-2</c:v>
                </c:pt>
                <c:pt idx="12">
                  <c:v>1.2258265561518544E-2</c:v>
                </c:pt>
                <c:pt idx="13">
                  <c:v>1.2281251754676759E-2</c:v>
                </c:pt>
                <c:pt idx="14">
                  <c:v>1.2304237412912644E-2</c:v>
                </c:pt>
                <c:pt idx="15">
                  <c:v>1.2327222536238636E-2</c:v>
                </c:pt>
                <c:pt idx="16">
                  <c:v>1.2350207124667278E-2</c:v>
                </c:pt>
                <c:pt idx="17">
                  <c:v>1.2373191178211007E-2</c:v>
                </c:pt>
                <c:pt idx="18">
                  <c:v>1.2396174696882145E-2</c:v>
                </c:pt>
                <c:pt idx="19">
                  <c:v>1.2419157680693349E-2</c:v>
                </c:pt>
                <c:pt idx="20">
                  <c:v>1.2442140129656831E-2</c:v>
                </c:pt>
                <c:pt idx="21">
                  <c:v>1.2465122043785137E-2</c:v>
                </c:pt>
                <c:pt idx="22">
                  <c:v>1.2488103423090813E-2</c:v>
                </c:pt>
                <c:pt idx="23">
                  <c:v>1.2511084267586181E-2</c:v>
                </c:pt>
                <c:pt idx="24">
                  <c:v>1.2534064577283788E-2</c:v>
                </c:pt>
                <c:pt idx="25">
                  <c:v>1.2557044352195956E-2</c:v>
                </c:pt>
                <c:pt idx="26">
                  <c:v>1.2580023592335121E-2</c:v>
                </c:pt>
                <c:pt idx="27">
                  <c:v>1.2603002297713939E-2</c:v>
                </c:pt>
                <c:pt idx="28">
                  <c:v>1.2625980468344622E-2</c:v>
                </c:pt>
                <c:pt idx="29">
                  <c:v>1.2648958104239716E-2</c:v>
                </c:pt>
                <c:pt idx="30">
                  <c:v>1.2671935205411655E-2</c:v>
                </c:pt>
                <c:pt idx="31">
                  <c:v>1.2694911771872874E-2</c:v>
                </c:pt>
                <c:pt idx="32">
                  <c:v>1.2717887803635919E-2</c:v>
                </c:pt>
                <c:pt idx="33">
                  <c:v>1.2740863300713001E-2</c:v>
                </c:pt>
                <c:pt idx="34">
                  <c:v>1.2763838263116778E-2</c:v>
                </c:pt>
                <c:pt idx="35">
                  <c:v>1.2786812690859684E-2</c:v>
                </c:pt>
                <c:pt idx="36">
                  <c:v>1.280978658395393E-2</c:v>
                </c:pt>
                <c:pt idx="37">
                  <c:v>1.2832759942412175E-2</c:v>
                </c:pt>
                <c:pt idx="38">
                  <c:v>1.2855732766246852E-2</c:v>
                </c:pt>
                <c:pt idx="39">
                  <c:v>1.2878705055470396E-2</c:v>
                </c:pt>
                <c:pt idx="40">
                  <c:v>1.2901676810095131E-2</c:v>
                </c:pt>
                <c:pt idx="41">
                  <c:v>1.2924648030133601E-2</c:v>
                </c:pt>
                <c:pt idx="42">
                  <c:v>1.2947618715598241E-2</c:v>
                </c:pt>
                <c:pt idx="43">
                  <c:v>1.2970588866501487E-2</c:v>
                </c:pt>
                <c:pt idx="44">
                  <c:v>1.2993558482855661E-2</c:v>
                </c:pt>
                <c:pt idx="45">
                  <c:v>1.3016527564673419E-2</c:v>
                </c:pt>
                <c:pt idx="46">
                  <c:v>1.3039496111966975E-2</c:v>
                </c:pt>
                <c:pt idx="47">
                  <c:v>1.3062464124748985E-2</c:v>
                </c:pt>
                <c:pt idx="48">
                  <c:v>1.3085431603031772E-2</c:v>
                </c:pt>
                <c:pt idx="49">
                  <c:v>1.3108398546827771E-2</c:v>
                </c:pt>
                <c:pt idx="50">
                  <c:v>1.3131364956149416E-2</c:v>
                </c:pt>
                <c:pt idx="51">
                  <c:v>1.3154330831009142E-2</c:v>
                </c:pt>
                <c:pt idx="52">
                  <c:v>1.3177296171419384E-2</c:v>
                </c:pt>
                <c:pt idx="53">
                  <c:v>1.3200260977392686E-2</c:v>
                </c:pt>
                <c:pt idx="54">
                  <c:v>1.3223225248941373E-2</c:v>
                </c:pt>
                <c:pt idx="55">
                  <c:v>1.3246188986077989E-2</c:v>
                </c:pt>
                <c:pt idx="56">
                  <c:v>1.3269152188814748E-2</c:v>
                </c:pt>
                <c:pt idx="57">
                  <c:v>1.3292114857164306E-2</c:v>
                </c:pt>
                <c:pt idx="58">
                  <c:v>1.3315076991139096E-2</c:v>
                </c:pt>
                <c:pt idx="59">
                  <c:v>1.3338038590751333E-2</c:v>
                </c:pt>
                <c:pt idx="60">
                  <c:v>1.3360999656013672E-2</c:v>
                </c:pt>
                <c:pt idx="61">
                  <c:v>1.3383960186938548E-2</c:v>
                </c:pt>
                <c:pt idx="62">
                  <c:v>1.3406920183538285E-2</c:v>
                </c:pt>
                <c:pt idx="63">
                  <c:v>1.3429879645825316E-2</c:v>
                </c:pt>
                <c:pt idx="64">
                  <c:v>1.3452838573812187E-2</c:v>
                </c:pt>
                <c:pt idx="65">
                  <c:v>1.3475796967511111E-2</c:v>
                </c:pt>
                <c:pt idx="66">
                  <c:v>1.3498754826934856E-2</c:v>
                </c:pt>
                <c:pt idx="67">
                  <c:v>1.3521712152095522E-2</c:v>
                </c:pt>
                <c:pt idx="68">
                  <c:v>1.3544668943005767E-2</c:v>
                </c:pt>
                <c:pt idx="69">
                  <c:v>1.3567625199678024E-2</c:v>
                </c:pt>
                <c:pt idx="70">
                  <c:v>1.3590580922124507E-2</c:v>
                </c:pt>
                <c:pt idx="71">
                  <c:v>1.3613536110357871E-2</c:v>
                </c:pt>
                <c:pt idx="72">
                  <c:v>1.3636490764390552E-2</c:v>
                </c:pt>
                <c:pt idx="73">
                  <c:v>1.3659444884234762E-2</c:v>
                </c:pt>
                <c:pt idx="74">
                  <c:v>1.3682398469903156E-2</c:v>
                </c:pt>
                <c:pt idx="75">
                  <c:v>1.3705351521407949E-2</c:v>
                </c:pt>
                <c:pt idx="76">
                  <c:v>1.3728304038761796E-2</c:v>
                </c:pt>
                <c:pt idx="77">
                  <c:v>1.3751256021977132E-2</c:v>
                </c:pt>
                <c:pt idx="78">
                  <c:v>1.3774207471066169E-2</c:v>
                </c:pt>
                <c:pt idx="79">
                  <c:v>1.3797158386041453E-2</c:v>
                </c:pt>
                <c:pt idx="80">
                  <c:v>1.3820108766915418E-2</c:v>
                </c:pt>
                <c:pt idx="81">
                  <c:v>1.3843058613700499E-2</c:v>
                </c:pt>
                <c:pt idx="82">
                  <c:v>1.386600792640913E-2</c:v>
                </c:pt>
                <c:pt idx="83">
                  <c:v>1.3888956705053745E-2</c:v>
                </c:pt>
                <c:pt idx="84">
                  <c:v>1.391190494964667E-2</c:v>
                </c:pt>
                <c:pt idx="85">
                  <c:v>1.3934852660200558E-2</c:v>
                </c:pt>
                <c:pt idx="86">
                  <c:v>1.3957799836727625E-2</c:v>
                </c:pt>
                <c:pt idx="87">
                  <c:v>1.3980746479240302E-2</c:v>
                </c:pt>
                <c:pt idx="88">
                  <c:v>1.4003692587751138E-2</c:v>
                </c:pt>
                <c:pt idx="89">
                  <c:v>1.4026638162272564E-2</c:v>
                </c:pt>
                <c:pt idx="90">
                  <c:v>1.4049583202816907E-2</c:v>
                </c:pt>
                <c:pt idx="91">
                  <c:v>1.4072527709396598E-2</c:v>
                </c:pt>
                <c:pt idx="92">
                  <c:v>1.4095471682024185E-2</c:v>
                </c:pt>
                <c:pt idx="93">
                  <c:v>1.4118415120711991E-2</c:v>
                </c:pt>
                <c:pt idx="94">
                  <c:v>1.4141358025472339E-2</c:v>
                </c:pt>
                <c:pt idx="95">
                  <c:v>1.4164300396317886E-2</c:v>
                </c:pt>
                <c:pt idx="96">
                  <c:v>1.4187242233260955E-2</c:v>
                </c:pt>
                <c:pt idx="97">
                  <c:v>1.4210183536313981E-2</c:v>
                </c:pt>
                <c:pt idx="98">
                  <c:v>1.4233124305489286E-2</c:v>
                </c:pt>
                <c:pt idx="99">
                  <c:v>1.4256064540799418E-2</c:v>
                </c:pt>
                <c:pt idx="100">
                  <c:v>1.4279004242256699E-2</c:v>
                </c:pt>
                <c:pt idx="101">
                  <c:v>1.4301943409873674E-2</c:v>
                </c:pt>
                <c:pt idx="102">
                  <c:v>1.4324882043662779E-2</c:v>
                </c:pt>
                <c:pt idx="103">
                  <c:v>1.4347820143636225E-2</c:v>
                </c:pt>
                <c:pt idx="104">
                  <c:v>1.437075770980667E-2</c:v>
                </c:pt>
                <c:pt idx="105">
                  <c:v>1.4393694742186436E-2</c:v>
                </c:pt>
                <c:pt idx="106">
                  <c:v>1.4416631240787958E-2</c:v>
                </c:pt>
                <c:pt idx="107">
                  <c:v>1.443956720562356E-2</c:v>
                </c:pt>
                <c:pt idx="108">
                  <c:v>1.4462502636705787E-2</c:v>
                </c:pt>
                <c:pt idx="109">
                  <c:v>1.4485437534047074E-2</c:v>
                </c:pt>
                <c:pt idx="110">
                  <c:v>1.4508371897659744E-2</c:v>
                </c:pt>
                <c:pt idx="111">
                  <c:v>1.4531305727556343E-2</c:v>
                </c:pt>
                <c:pt idx="112">
                  <c:v>1.4554239023749194E-2</c:v>
                </c:pt>
                <c:pt idx="113">
                  <c:v>1.457717178625062E-2</c:v>
                </c:pt>
                <c:pt idx="114">
                  <c:v>1.4600104015073279E-2</c:v>
                </c:pt>
                <c:pt idx="115">
                  <c:v>1.4623035710229493E-2</c:v>
                </c:pt>
                <c:pt idx="116">
                  <c:v>1.4645966871731586E-2</c:v>
                </c:pt>
                <c:pt idx="117">
                  <c:v>1.4668897499592104E-2</c:v>
                </c:pt>
                <c:pt idx="118">
                  <c:v>1.469182759382337E-2</c:v>
                </c:pt>
                <c:pt idx="119">
                  <c:v>1.4714757154437819E-2</c:v>
                </c:pt>
                <c:pt idx="120">
                  <c:v>1.4737686181447995E-2</c:v>
                </c:pt>
                <c:pt idx="121">
                  <c:v>1.4760614674866113E-2</c:v>
                </c:pt>
                <c:pt idx="122">
                  <c:v>1.4783542634704716E-2</c:v>
                </c:pt>
                <c:pt idx="123">
                  <c:v>1.480647006097624E-2</c:v>
                </c:pt>
                <c:pt idx="124">
                  <c:v>1.4829396953693008E-2</c:v>
                </c:pt>
                <c:pt idx="125">
                  <c:v>1.4852323312867566E-2</c:v>
                </c:pt>
                <c:pt idx="126">
                  <c:v>1.4875249138512237E-2</c:v>
                </c:pt>
                <c:pt idx="127">
                  <c:v>1.4898174430639344E-2</c:v>
                </c:pt>
                <c:pt idx="128">
                  <c:v>1.4921099189261544E-2</c:v>
                </c:pt>
                <c:pt idx="129">
                  <c:v>1.494402341439105E-2</c:v>
                </c:pt>
                <c:pt idx="130">
                  <c:v>1.4966947106040296E-2</c:v>
                </c:pt>
                <c:pt idx="131">
                  <c:v>1.4989870264221827E-2</c:v>
                </c:pt>
                <c:pt idx="132">
                  <c:v>1.5012792888947968E-2</c:v>
                </c:pt>
                <c:pt idx="133">
                  <c:v>1.5035714980231152E-2</c:v>
                </c:pt>
                <c:pt idx="134">
                  <c:v>1.5058636538083814E-2</c:v>
                </c:pt>
                <c:pt idx="135">
                  <c:v>1.5081557562518277E-2</c:v>
                </c:pt>
                <c:pt idx="136">
                  <c:v>1.5104478053546977E-2</c:v>
                </c:pt>
                <c:pt idx="137">
                  <c:v>1.5127398011182458E-2</c:v>
                </c:pt>
                <c:pt idx="138">
                  <c:v>1.5150317435437044E-2</c:v>
                </c:pt>
                <c:pt idx="139">
                  <c:v>1.5173236326323059E-2</c:v>
                </c:pt>
                <c:pt idx="140">
                  <c:v>1.5196154683853047E-2</c:v>
                </c:pt>
                <c:pt idx="141">
                  <c:v>1.5219072508039444E-2</c:v>
                </c:pt>
                <c:pt idx="142">
                  <c:v>1.5241989798894462E-2</c:v>
                </c:pt>
                <c:pt idx="143">
                  <c:v>1.5264906556430757E-2</c:v>
                </c:pt>
                <c:pt idx="144">
                  <c:v>1.5287822780660543E-2</c:v>
                </c:pt>
                <c:pt idx="145">
                  <c:v>1.5310738471596363E-2</c:v>
                </c:pt>
                <c:pt idx="146">
                  <c:v>1.5333653629250543E-2</c:v>
                </c:pt>
                <c:pt idx="147">
                  <c:v>1.5356568253635516E-2</c:v>
                </c:pt>
                <c:pt idx="148">
                  <c:v>1.5379482344763717E-2</c:v>
                </c:pt>
                <c:pt idx="149">
                  <c:v>1.5402395902647581E-2</c:v>
                </c:pt>
                <c:pt idx="150">
                  <c:v>1.542530892729943E-2</c:v>
                </c:pt>
                <c:pt idx="151">
                  <c:v>1.54482214187317E-2</c:v>
                </c:pt>
                <c:pt idx="152">
                  <c:v>1.5471133376956936E-2</c:v>
                </c:pt>
                <c:pt idx="153">
                  <c:v>1.549404480198735E-2</c:v>
                </c:pt>
                <c:pt idx="154">
                  <c:v>1.5516955693835377E-2</c:v>
                </c:pt>
                <c:pt idx="155">
                  <c:v>1.5539866052513562E-2</c:v>
                </c:pt>
                <c:pt idx="156">
                  <c:v>1.556277587803423E-2</c:v>
                </c:pt>
                <c:pt idx="157">
                  <c:v>1.5585685170409813E-2</c:v>
                </c:pt>
                <c:pt idx="158">
                  <c:v>1.5608593929652637E-2</c:v>
                </c:pt>
                <c:pt idx="159">
                  <c:v>1.5631502155775134E-2</c:v>
                </c:pt>
                <c:pt idx="160">
                  <c:v>1.5654409848789852E-2</c:v>
                </c:pt>
                <c:pt idx="161">
                  <c:v>1.5677317008709002E-2</c:v>
                </c:pt>
                <c:pt idx="162">
                  <c:v>1.570022363554513E-2</c:v>
                </c:pt>
                <c:pt idx="163">
                  <c:v>1.5723129729310559E-2</c:v>
                </c:pt>
                <c:pt idx="164">
                  <c:v>1.5746035290017724E-2</c:v>
                </c:pt>
                <c:pt idx="165">
                  <c:v>1.5768940317678948E-2</c:v>
                </c:pt>
                <c:pt idx="166">
                  <c:v>1.5791844812306777E-2</c:v>
                </c:pt>
                <c:pt idx="167">
                  <c:v>1.5814748773913645E-2</c:v>
                </c:pt>
                <c:pt idx="168">
                  <c:v>1.5837652202511765E-2</c:v>
                </c:pt>
                <c:pt idx="169">
                  <c:v>1.5860555098113682E-2</c:v>
                </c:pt>
                <c:pt idx="170">
                  <c:v>1.588345746073172E-2</c:v>
                </c:pt>
                <c:pt idx="171">
                  <c:v>1.5906359290378314E-2</c:v>
                </c:pt>
                <c:pt idx="172">
                  <c:v>1.5929260587065897E-2</c:v>
                </c:pt>
                <c:pt idx="173">
                  <c:v>1.5952161350806904E-2</c:v>
                </c:pt>
                <c:pt idx="174">
                  <c:v>1.5975061581613659E-2</c:v>
                </c:pt>
                <c:pt idx="175">
                  <c:v>1.5997961279498596E-2</c:v>
                </c:pt>
                <c:pt idx="176">
                  <c:v>1.6020860444474039E-2</c:v>
                </c:pt>
                <c:pt idx="177">
                  <c:v>1.6043759076552533E-2</c:v>
                </c:pt>
                <c:pt idx="178">
                  <c:v>1.6066657175746291E-2</c:v>
                </c:pt>
                <c:pt idx="179">
                  <c:v>1.6089554742067969E-2</c:v>
                </c:pt>
                <c:pt idx="180">
                  <c:v>1.6112451775529779E-2</c:v>
                </c:pt>
                <c:pt idx="181">
                  <c:v>1.6135348276144157E-2</c:v>
                </c:pt>
                <c:pt idx="182">
                  <c:v>1.6158244243923536E-2</c:v>
                </c:pt>
                <c:pt idx="183">
                  <c:v>1.6181139678880241E-2</c:v>
                </c:pt>
                <c:pt idx="184">
                  <c:v>1.6204034581026816E-2</c:v>
                </c:pt>
                <c:pt idx="185">
                  <c:v>1.6226928950375474E-2</c:v>
                </c:pt>
                <c:pt idx="186">
                  <c:v>1.6249822786938761E-2</c:v>
                </c:pt>
                <c:pt idx="187">
                  <c:v>1.6272716090729E-2</c:v>
                </c:pt>
                <c:pt idx="188">
                  <c:v>1.6295608861758626E-2</c:v>
                </c:pt>
                <c:pt idx="189">
                  <c:v>1.6318501100040073E-2</c:v>
                </c:pt>
                <c:pt idx="190">
                  <c:v>1.6341392805585664E-2</c:v>
                </c:pt>
                <c:pt idx="191">
                  <c:v>1.6364283978407834E-2</c:v>
                </c:pt>
                <c:pt idx="192">
                  <c:v>1.6387174618518907E-2</c:v>
                </c:pt>
                <c:pt idx="193">
                  <c:v>1.6410064725931428E-2</c:v>
                </c:pt>
                <c:pt idx="194">
                  <c:v>1.643295430065761E-2</c:v>
                </c:pt>
                <c:pt idx="195">
                  <c:v>1.6455843342709997E-2</c:v>
                </c:pt>
                <c:pt idx="196">
                  <c:v>1.6478731852101025E-2</c:v>
                </c:pt>
                <c:pt idx="197">
                  <c:v>1.6501619828842906E-2</c:v>
                </c:pt>
                <c:pt idx="198">
                  <c:v>1.6524507272948075E-2</c:v>
                </c:pt>
                <c:pt idx="199">
                  <c:v>1.6547394184429076E-2</c:v>
                </c:pt>
                <c:pt idx="200">
                  <c:v>1.6570280563298234E-2</c:v>
                </c:pt>
                <c:pt idx="201">
                  <c:v>1.6593166409567872E-2</c:v>
                </c:pt>
                <c:pt idx="202">
                  <c:v>1.6616051723250425E-2</c:v>
                </c:pt>
                <c:pt idx="203">
                  <c:v>1.6638936504358326E-2</c:v>
                </c:pt>
                <c:pt idx="204">
                  <c:v>1.66618207529039E-2</c:v>
                </c:pt>
                <c:pt idx="205">
                  <c:v>1.668470446889958E-2</c:v>
                </c:pt>
                <c:pt idx="206">
                  <c:v>1.6707587652357803E-2</c:v>
                </c:pt>
                <c:pt idx="207">
                  <c:v>1.673047030329089E-2</c:v>
                </c:pt>
                <c:pt idx="208">
                  <c:v>1.6753352421711276E-2</c:v>
                </c:pt>
                <c:pt idx="209">
                  <c:v>1.6776234007631285E-2</c:v>
                </c:pt>
                <c:pt idx="210">
                  <c:v>1.6799115061063463E-2</c:v>
                </c:pt>
                <c:pt idx="211">
                  <c:v>1.6821995582020022E-2</c:v>
                </c:pt>
                <c:pt idx="212">
                  <c:v>1.6844875570513507E-2</c:v>
                </c:pt>
                <c:pt idx="213">
                  <c:v>1.686775502655613E-2</c:v>
                </c:pt>
                <c:pt idx="214">
                  <c:v>1.6890633950160439E-2</c:v>
                </c:pt>
                <c:pt idx="215">
                  <c:v>1.6913512341338754E-2</c:v>
                </c:pt>
                <c:pt idx="216">
                  <c:v>1.6936390200103513E-2</c:v>
                </c:pt>
                <c:pt idx="217">
                  <c:v>1.6959267526467037E-2</c:v>
                </c:pt>
                <c:pt idx="218">
                  <c:v>1.6982144320441761E-2</c:v>
                </c:pt>
                <c:pt idx="219">
                  <c:v>1.700502058204012E-2</c:v>
                </c:pt>
                <c:pt idx="220">
                  <c:v>1.7027896311274437E-2</c:v>
                </c:pt>
                <c:pt idx="221">
                  <c:v>1.7050771508157037E-2</c:v>
                </c:pt>
                <c:pt idx="222">
                  <c:v>1.7073646172700463E-2</c:v>
                </c:pt>
                <c:pt idx="223">
                  <c:v>1.709652030491704E-2</c:v>
                </c:pt>
                <c:pt idx="224">
                  <c:v>1.7119393904819091E-2</c:v>
                </c:pt>
                <c:pt idx="225">
                  <c:v>1.7142266972419051E-2</c:v>
                </c:pt>
                <c:pt idx="226">
                  <c:v>1.7165139507729354E-2</c:v>
                </c:pt>
                <c:pt idx="227">
                  <c:v>1.7188011510762324E-2</c:v>
                </c:pt>
                <c:pt idx="228">
                  <c:v>1.7210882981530395E-2</c:v>
                </c:pt>
                <c:pt idx="229">
                  <c:v>1.7233753920045891E-2</c:v>
                </c:pt>
                <c:pt idx="230">
                  <c:v>1.7256624326321246E-2</c:v>
                </c:pt>
                <c:pt idx="231">
                  <c:v>1.7279494200368894E-2</c:v>
                </c:pt>
                <c:pt idx="232">
                  <c:v>1.7302363542201049E-2</c:v>
                </c:pt>
                <c:pt idx="233">
                  <c:v>1.7325232351830255E-2</c:v>
                </c:pt>
                <c:pt idx="234">
                  <c:v>1.7348100629268948E-2</c:v>
                </c:pt>
                <c:pt idx="235">
                  <c:v>1.7370968374529339E-2</c:v>
                </c:pt>
                <c:pt idx="236">
                  <c:v>1.7393835587623863E-2</c:v>
                </c:pt>
                <c:pt idx="237">
                  <c:v>1.7416702268564954E-2</c:v>
                </c:pt>
                <c:pt idx="238">
                  <c:v>1.7439568417364937E-2</c:v>
                </c:pt>
                <c:pt idx="239">
                  <c:v>1.7462434034036245E-2</c:v>
                </c:pt>
                <c:pt idx="240">
                  <c:v>1.7485299118591313E-2</c:v>
                </c:pt>
                <c:pt idx="241">
                  <c:v>1.7508163671042465E-2</c:v>
                </c:pt>
                <c:pt idx="242">
                  <c:v>1.7531027691402024E-2</c:v>
                </c:pt>
                <c:pt idx="243">
                  <c:v>1.7553891179682424E-2</c:v>
                </c:pt>
                <c:pt idx="244">
                  <c:v>1.75767541358961E-2</c:v>
                </c:pt>
                <c:pt idx="245">
                  <c:v>1.7599616560055265E-2</c:v>
                </c:pt>
                <c:pt idx="246">
                  <c:v>1.7622478452172574E-2</c:v>
                </c:pt>
                <c:pt idx="247">
                  <c:v>1.764533981226013E-2</c:v>
                </c:pt>
                <c:pt idx="248">
                  <c:v>1.7668200640330478E-2</c:v>
                </c:pt>
                <c:pt idx="249">
                  <c:v>1.7691060936396052E-2</c:v>
                </c:pt>
                <c:pt idx="250">
                  <c:v>1.7713920700469066E-2</c:v>
                </c:pt>
                <c:pt idx="251">
                  <c:v>1.7736779932561952E-2</c:v>
                </c:pt>
                <c:pt idx="252">
                  <c:v>1.7759638632687147E-2</c:v>
                </c:pt>
                <c:pt idx="253">
                  <c:v>1.7782496800856973E-2</c:v>
                </c:pt>
                <c:pt idx="254">
                  <c:v>1.7805354437083754E-2</c:v>
                </c:pt>
                <c:pt idx="255">
                  <c:v>1.7828211541380035E-2</c:v>
                </c:pt>
                <c:pt idx="256">
                  <c:v>1.785106811375814E-2</c:v>
                </c:pt>
                <c:pt idx="257">
                  <c:v>1.7873924154230392E-2</c:v>
                </c:pt>
                <c:pt idx="258">
                  <c:v>1.7896779662809115E-2</c:v>
                </c:pt>
                <c:pt idx="259">
                  <c:v>1.7919634639506854E-2</c:v>
                </c:pt>
                <c:pt idx="260">
                  <c:v>1.7942489084335822E-2</c:v>
                </c:pt>
                <c:pt idx="261">
                  <c:v>1.7965342997308564E-2</c:v>
                </c:pt>
                <c:pt idx="262">
                  <c:v>1.7988196378437293E-2</c:v>
                </c:pt>
                <c:pt idx="263">
                  <c:v>1.8011049227734555E-2</c:v>
                </c:pt>
                <c:pt idx="264">
                  <c:v>1.803390154521245E-2</c:v>
                </c:pt>
                <c:pt idx="265">
                  <c:v>1.8056753330883635E-2</c:v>
                </c:pt>
                <c:pt idx="266">
                  <c:v>1.8079604584760434E-2</c:v>
                </c:pt>
                <c:pt idx="267">
                  <c:v>1.810245530685517E-2</c:v>
                </c:pt>
                <c:pt idx="268">
                  <c:v>1.8125305497180166E-2</c:v>
                </c:pt>
                <c:pt idx="269">
                  <c:v>1.8148155155747858E-2</c:v>
                </c:pt>
                <c:pt idx="270">
                  <c:v>1.8171004282570569E-2</c:v>
                </c:pt>
                <c:pt idx="271">
                  <c:v>1.8193852877660732E-2</c:v>
                </c:pt>
                <c:pt idx="272">
                  <c:v>1.8216700941030783E-2</c:v>
                </c:pt>
                <c:pt idx="273">
                  <c:v>1.8239548472692935E-2</c:v>
                </c:pt>
                <c:pt idx="274">
                  <c:v>1.8262395472659732E-2</c:v>
                </c:pt>
                <c:pt idx="275">
                  <c:v>1.8285241940943386E-2</c:v>
                </c:pt>
                <c:pt idx="276">
                  <c:v>1.8308087877556334E-2</c:v>
                </c:pt>
                <c:pt idx="277">
                  <c:v>1.8330933282511008E-2</c:v>
                </c:pt>
                <c:pt idx="278">
                  <c:v>1.8353778155819733E-2</c:v>
                </c:pt>
                <c:pt idx="279">
                  <c:v>1.8376622497494943E-2</c:v>
                </c:pt>
                <c:pt idx="280">
                  <c:v>1.8399466307548851E-2</c:v>
                </c:pt>
                <c:pt idx="281">
                  <c:v>1.8422309585994001E-2</c:v>
                </c:pt>
                <c:pt idx="282">
                  <c:v>1.8445152332842607E-2</c:v>
                </c:pt>
                <c:pt idx="283">
                  <c:v>1.8467994548107214E-2</c:v>
                </c:pt>
                <c:pt idx="284">
                  <c:v>1.8490836231800034E-2</c:v>
                </c:pt>
                <c:pt idx="285">
                  <c:v>1.8513677383933502E-2</c:v>
                </c:pt>
                <c:pt idx="286">
                  <c:v>1.8536518004520053E-2</c:v>
                </c:pt>
                <c:pt idx="287">
                  <c:v>1.8559358093571898E-2</c:v>
                </c:pt>
                <c:pt idx="288">
                  <c:v>1.8582197651101584E-2</c:v>
                </c:pt>
                <c:pt idx="289">
                  <c:v>1.8605036677121323E-2</c:v>
                </c:pt>
                <c:pt idx="290">
                  <c:v>1.862787517164366E-2</c:v>
                </c:pt>
                <c:pt idx="291">
                  <c:v>1.8650713134680807E-2</c:v>
                </c:pt>
                <c:pt idx="292">
                  <c:v>1.8673550566245201E-2</c:v>
                </c:pt>
                <c:pt idx="293">
                  <c:v>1.8696387466349162E-2</c:v>
                </c:pt>
                <c:pt idx="294">
                  <c:v>1.8719223835005128E-2</c:v>
                </c:pt>
                <c:pt idx="295">
                  <c:v>1.874205967222542E-2</c:v>
                </c:pt>
                <c:pt idx="296">
                  <c:v>1.8764894978022473E-2</c:v>
                </c:pt>
                <c:pt idx="297">
                  <c:v>1.8787729752408611E-2</c:v>
                </c:pt>
                <c:pt idx="298">
                  <c:v>1.8810563995396046E-2</c:v>
                </c:pt>
                <c:pt idx="299">
                  <c:v>1.8833397706997435E-2</c:v>
                </c:pt>
                <c:pt idx="300">
                  <c:v>1.885623088722499E-2</c:v>
                </c:pt>
                <c:pt idx="301">
                  <c:v>1.8879063536091034E-2</c:v>
                </c:pt>
                <c:pt idx="302">
                  <c:v>1.8901895653608003E-2</c:v>
                </c:pt>
                <c:pt idx="303">
                  <c:v>1.8924727239788219E-2</c:v>
                </c:pt>
                <c:pt idx="304">
                  <c:v>1.8947558294644007E-2</c:v>
                </c:pt>
                <c:pt idx="305">
                  <c:v>1.8970388818187911E-2</c:v>
                </c:pt>
                <c:pt idx="306">
                  <c:v>1.8993218810432144E-2</c:v>
                </c:pt>
                <c:pt idx="307">
                  <c:v>1.901604827138903E-2</c:v>
                </c:pt>
                <c:pt idx="308">
                  <c:v>1.9038877201071114E-2</c:v>
                </c:pt>
                <c:pt idx="309">
                  <c:v>1.9061705599490608E-2</c:v>
                </c:pt>
                <c:pt idx="310">
                  <c:v>1.9084533466659948E-2</c:v>
                </c:pt>
                <c:pt idx="311">
                  <c:v>1.9107360802591455E-2</c:v>
                </c:pt>
                <c:pt idx="312">
                  <c:v>1.9130187607297455E-2</c:v>
                </c:pt>
                <c:pt idx="313">
                  <c:v>1.9153013880790382E-2</c:v>
                </c:pt>
                <c:pt idx="314">
                  <c:v>1.9175839623082669E-2</c:v>
                </c:pt>
                <c:pt idx="315">
                  <c:v>1.9198664834186419E-2</c:v>
                </c:pt>
                <c:pt idx="316">
                  <c:v>1.9221489514114287E-2</c:v>
                </c:pt>
                <c:pt idx="317">
                  <c:v>1.9244313662878487E-2</c:v>
                </c:pt>
                <c:pt idx="318">
                  <c:v>1.9267137280491453E-2</c:v>
                </c:pt>
                <c:pt idx="319">
                  <c:v>1.9289960366965397E-2</c:v>
                </c:pt>
                <c:pt idx="320">
                  <c:v>1.9312782922312755E-2</c:v>
                </c:pt>
                <c:pt idx="321">
                  <c:v>1.933560494654607E-2</c:v>
                </c:pt>
                <c:pt idx="322">
                  <c:v>1.9358426439677334E-2</c:v>
                </c:pt>
                <c:pt idx="323">
                  <c:v>1.9381247401719315E-2</c:v>
                </c:pt>
                <c:pt idx="324">
                  <c:v>1.9404067832684002E-2</c:v>
                </c:pt>
                <c:pt idx="325">
                  <c:v>1.9426887732584053E-2</c:v>
                </c:pt>
                <c:pt idx="326">
                  <c:v>1.9449707101431568E-2</c:v>
                </c:pt>
                <c:pt idx="327">
                  <c:v>1.9472525939239094E-2</c:v>
                </c:pt>
                <c:pt idx="328">
                  <c:v>1.9495344246018953E-2</c:v>
                </c:pt>
                <c:pt idx="329">
                  <c:v>1.9518162021783469E-2</c:v>
                </c:pt>
                <c:pt idx="330">
                  <c:v>1.9540979266544967E-2</c:v>
                </c:pt>
                <c:pt idx="331">
                  <c:v>1.9563795980315879E-2</c:v>
                </c:pt>
                <c:pt idx="332">
                  <c:v>1.958661216310853E-2</c:v>
                </c:pt>
                <c:pt idx="333">
                  <c:v>1.9609427814935354E-2</c:v>
                </c:pt>
                <c:pt idx="334">
                  <c:v>1.9632242935808453E-2</c:v>
                </c:pt>
                <c:pt idx="335">
                  <c:v>1.9655057525740482E-2</c:v>
                </c:pt>
                <c:pt idx="336">
                  <c:v>1.9677871584743656E-2</c:v>
                </c:pt>
                <c:pt idx="337">
                  <c:v>1.9700685112830296E-2</c:v>
                </c:pt>
                <c:pt idx="338">
                  <c:v>1.9723498110012838E-2</c:v>
                </c:pt>
                <c:pt idx="339">
                  <c:v>1.9746310576303716E-2</c:v>
                </c:pt>
                <c:pt idx="340">
                  <c:v>1.9769122511715032E-2</c:v>
                </c:pt>
                <c:pt idx="341">
                  <c:v>1.979193391625933E-2</c:v>
                </c:pt>
                <c:pt idx="342">
                  <c:v>1.9814744789948935E-2</c:v>
                </c:pt>
                <c:pt idx="343">
                  <c:v>1.983755513279617E-2</c:v>
                </c:pt>
                <c:pt idx="344">
                  <c:v>1.9860364944813358E-2</c:v>
                </c:pt>
                <c:pt idx="345">
                  <c:v>1.9883174226012934E-2</c:v>
                </c:pt>
                <c:pt idx="346">
                  <c:v>1.9905982976407222E-2</c:v>
                </c:pt>
                <c:pt idx="347">
                  <c:v>1.9928791196008655E-2</c:v>
                </c:pt>
                <c:pt idx="348">
                  <c:v>1.9951598884829336E-2</c:v>
                </c:pt>
                <c:pt idx="349">
                  <c:v>1.997440604288192E-2</c:v>
                </c:pt>
                <c:pt idx="350">
                  <c:v>1.999721267017851E-2</c:v>
                </c:pt>
                <c:pt idx="351">
                  <c:v>2.002001876673154E-2</c:v>
                </c:pt>
                <c:pt idx="352">
                  <c:v>2.0042824332553444E-2</c:v>
                </c:pt>
                <c:pt idx="353">
                  <c:v>2.0065629367656546E-2</c:v>
                </c:pt>
                <c:pt idx="354">
                  <c:v>2.0088433872053169E-2</c:v>
                </c:pt>
                <c:pt idx="355">
                  <c:v>2.0111237845755636E-2</c:v>
                </c:pt>
                <c:pt idx="356">
                  <c:v>2.0134041288776272E-2</c:v>
                </c:pt>
                <c:pt idx="357">
                  <c:v>2.0156844201127511E-2</c:v>
                </c:pt>
                <c:pt idx="358">
                  <c:v>2.0179646582821675E-2</c:v>
                </c:pt>
                <c:pt idx="359">
                  <c:v>2.020244843387109E-2</c:v>
                </c:pt>
                <c:pt idx="360">
                  <c:v>2.0225249754288188E-2</c:v>
                </c:pt>
                <c:pt idx="361">
                  <c:v>2.0248050544085183E-2</c:v>
                </c:pt>
                <c:pt idx="362">
                  <c:v>2.0270850803274509E-2</c:v>
                </c:pt>
                <c:pt idx="363">
                  <c:v>2.029365053186849E-2</c:v>
                </c:pt>
                <c:pt idx="364">
                  <c:v>2.0316449729879449E-2</c:v>
                </c:pt>
                <c:pt idx="365">
                  <c:v>2.033924839731982E-2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'2020'!$O$15:$O$380</c:f>
              <c:numCache>
                <c:formatCode>0.00%</c:formatCode>
                <c:ptCount val="366"/>
                <c:pt idx="0">
                  <c:v>9.1035650004697988E-2</c:v>
                </c:pt>
                <c:pt idx="1">
                  <c:v>9.1164820026707727E-2</c:v>
                </c:pt>
                <c:pt idx="2">
                  <c:v>9.1293895211511808E-2</c:v>
                </c:pt>
                <c:pt idx="3">
                  <c:v>9.1422847939944735E-2</c:v>
                </c:pt>
                <c:pt idx="4">
                  <c:v>9.1551654277192029E-2</c:v>
                </c:pt>
                <c:pt idx="5">
                  <c:v>9.1680293876513344E-2</c:v>
                </c:pt>
                <c:pt idx="6">
                  <c:v>9.1808749853369162E-2</c:v>
                </c:pt>
                <c:pt idx="7">
                  <c:v>9.1937008632138162E-2</c:v>
                </c:pt>
                <c:pt idx="8">
                  <c:v>9.2065059767825363E-2</c:v>
                </c:pt>
                <c:pt idx="9">
                  <c:v>9.2192895745349793E-2</c:v>
                </c:pt>
                <c:pt idx="10">
                  <c:v>9.2320511759158591E-2</c:v>
                </c:pt>
                <c:pt idx="11">
                  <c:v>9.2447905476045783E-2</c:v>
                </c:pt>
                <c:pt idx="12">
                  <c:v>9.2575076784153554E-2</c:v>
                </c:pt>
                <c:pt idx="13">
                  <c:v>9.2702027531203629E-2</c:v>
                </c:pt>
                <c:pt idx="14">
                  <c:v>9.2828761255045467E-2</c:v>
                </c:pt>
                <c:pt idx="15">
                  <c:v>9.295528290961487E-2</c:v>
                </c:pt>
                <c:pt idx="16">
                  <c:v>9.3081598589374925E-2</c:v>
                </c:pt>
                <c:pt idx="17">
                  <c:v>9.320771525525777E-2</c:v>
                </c:pt>
                <c:pt idx="18">
                  <c:v>9.3333640465044609E-2</c:v>
                </c:pt>
                <c:pt idx="19">
                  <c:v>9.3459382111011971E-2</c:v>
                </c:pt>
                <c:pt idx="20">
                  <c:v>9.3584948167537166E-2</c:v>
                </c:pt>
                <c:pt idx="21">
                  <c:v>9.3710346451194956E-2</c:v>
                </c:pt>
                <c:pt idx="22">
                  <c:v>9.383558439569642E-2</c:v>
                </c:pt>
                <c:pt idx="23">
                  <c:v>9.3960668843817402E-2</c:v>
                </c:pt>
                <c:pt idx="24">
                  <c:v>9.408560585824316E-2</c:v>
                </c:pt>
                <c:pt idx="25">
                  <c:v>9.4210400553020615E-2</c:v>
                </c:pt>
                <c:pt idx="26">
                  <c:v>9.4335056947059293E-2</c:v>
                </c:pt>
                <c:pt idx="27">
                  <c:v>9.4459577840864659E-2</c:v>
                </c:pt>
                <c:pt idx="28">
                  <c:v>9.4583964717419589E-2</c:v>
                </c:pt>
                <c:pt idx="29">
                  <c:v>9.4708217667860375E-2</c:v>
                </c:pt>
                <c:pt idx="30">
                  <c:v>9.4832335342320925E-2</c:v>
                </c:pt>
                <c:pt idx="31">
                  <c:v>9.4956314926047225E-2</c:v>
                </c:pt>
                <c:pt idx="32">
                  <c:v>9.5080152140618157E-2</c:v>
                </c:pt>
                <c:pt idx="33">
                  <c:v>9.5203841269847975E-2</c:v>
                </c:pt>
                <c:pt idx="34">
                  <c:v>9.5327375209694518E-2</c:v>
                </c:pt>
                <c:pt idx="35">
                  <c:v>9.5450745541258833E-2</c:v>
                </c:pt>
                <c:pt idx="36">
                  <c:v>9.5573942625736097E-2</c:v>
                </c:pt>
                <c:pt idx="37">
                  <c:v>9.5696955719969057E-2</c:v>
                </c:pt>
                <c:pt idx="38">
                  <c:v>9.5819773111064516E-2</c:v>
                </c:pt>
                <c:pt idx="39">
                  <c:v>9.5942382268362061E-2</c:v>
                </c:pt>
                <c:pt idx="40">
                  <c:v>9.6064770010894335E-2</c:v>
                </c:pt>
                <c:pt idx="41">
                  <c:v>9.6186922688351092E-2</c:v>
                </c:pt>
                <c:pt idx="42">
                  <c:v>9.6308826373454823E-2</c:v>
                </c:pt>
                <c:pt idx="43">
                  <c:v>9.6430467063575748E-2</c:v>
                </c:pt>
                <c:pt idx="44">
                  <c:v>9.6551830889358675E-2</c:v>
                </c:pt>
                <c:pt idx="45">
                  <c:v>9.6672904328102785E-2</c:v>
                </c:pt>
                <c:pt idx="46">
                  <c:v>9.6793674419629383E-2</c:v>
                </c:pt>
                <c:pt idx="47">
                  <c:v>9.6914128982389131E-2</c:v>
                </c:pt>
                <c:pt idx="48">
                  <c:v>9.7034256827602638E-2</c:v>
                </c:pt>
                <c:pt idx="49">
                  <c:v>9.7154047969289781E-2</c:v>
                </c:pt>
                <c:pt idx="50">
                  <c:v>9.7273493828129221E-2</c:v>
                </c:pt>
                <c:pt idx="51">
                  <c:v>9.7392587427193533E-2</c:v>
                </c:pt>
                <c:pt idx="52">
                  <c:v>9.7511323577727932E-2</c:v>
                </c:pt>
                <c:pt idx="53">
                  <c:v>9.762969905328113E-2</c:v>
                </c:pt>
                <c:pt idx="54">
                  <c:v>9.7747712750650473E-2</c:v>
                </c:pt>
                <c:pt idx="55">
                  <c:v>9.7865365836271132E-2</c:v>
                </c:pt>
                <c:pt idx="56">
                  <c:v>9.7982661876855767E-2</c:v>
                </c:pt>
                <c:pt idx="57">
                  <c:v>9.8099606953279073E-2</c:v>
                </c:pt>
                <c:pt idx="58">
                  <c:v>9.8216209756890965E-2</c:v>
                </c:pt>
                <c:pt idx="59">
                  <c:v>9.8332481667640415E-2</c:v>
                </c:pt>
                <c:pt idx="60">
                  <c:v>9.8448436813587267E-2</c:v>
                </c:pt>
                <c:pt idx="61">
                  <c:v>9.8564092111576837E-2</c:v>
                </c:pt>
                <c:pt idx="62">
                  <c:v>9.8679467289043962E-2</c:v>
                </c:pt>
                <c:pt idx="63">
                  <c:v>9.8794584887102285E-2</c:v>
                </c:pt>
                <c:pt idx="64">
                  <c:v>9.8909470245253261E-2</c:v>
                </c:pt>
                <c:pt idx="65">
                  <c:v>9.9024151468221425E-2</c:v>
                </c:pt>
                <c:pt idx="66">
                  <c:v>9.9138659375581653E-2</c:v>
                </c:pt>
                <c:pt idx="67">
                  <c:v>9.9253027434990676E-2</c:v>
                </c:pt>
                <c:pt idx="68">
                  <c:v>9.9367291679968106E-2</c:v>
                </c:pt>
                <c:pt idx="69">
                  <c:v>9.9481490613288578E-2</c:v>
                </c:pt>
                <c:pt idx="70">
                  <c:v>9.959566509714704E-2</c:v>
                </c:pt>
                <c:pt idx="71">
                  <c:v>9.9709858231341569E-2</c:v>
                </c:pt>
                <c:pt idx="72">
                  <c:v>9.9824115220783355E-2</c:v>
                </c:pt>
                <c:pt idx="73">
                  <c:v>9.9938483233688119E-2</c:v>
                </c:pt>
                <c:pt idx="74">
                  <c:v>0.10005301125183227</c:v>
                </c:pt>
                <c:pt idx="75">
                  <c:v>0.10016774991426441</c:v>
                </c:pt>
                <c:pt idx="76">
                  <c:v>0.10028275135585431</c:v>
                </c:pt>
                <c:pt idx="77">
                  <c:v>0.10039806904203404</c:v>
                </c:pt>
                <c:pt idx="78">
                  <c:v>0.10051375760104178</c:v>
                </c:pt>
                <c:pt idx="79">
                  <c:v>0.10062987265491913</c:v>
                </c:pt>
                <c:pt idx="80">
                  <c:v>0.10074647065043787</c:v>
                </c:pt>
                <c:pt idx="81">
                  <c:v>0.10086360869104408</c:v>
                </c:pt>
                <c:pt idx="82">
                  <c:v>0.10098134437080744</c:v>
                </c:pt>
                <c:pt idx="83">
                  <c:v>0.1010997356112532</c:v>
                </c:pt>
                <c:pt idx="84">
                  <c:v>0.10121884050183584</c:v>
                </c:pt>
                <c:pt idx="85">
                  <c:v>0.10133871714468755</c:v>
                </c:pt>
                <c:pt idx="86">
                  <c:v>0.10145942350414505</c:v>
                </c:pt>
                <c:pt idx="87">
                  <c:v>0.10158101726142528</c:v>
                </c:pt>
                <c:pt idx="88">
                  <c:v>0.10170355567468706</c:v>
                </c:pt>
                <c:pt idx="89">
                  <c:v>0.1018270954445836</c:v>
                </c:pt>
                <c:pt idx="90">
                  <c:v>0.10195169258528186</c:v>
                </c:pt>
                <c:pt idx="91">
                  <c:v>0.10207740230080108</c:v>
                </c:pt>
                <c:pt idx="92">
                  <c:v>0.10220427886640623</c:v>
                </c:pt>
                <c:pt idx="93">
                  <c:v>0.10233237551468399</c:v>
                </c:pt>
                <c:pt idx="94">
                  <c:v>0.10246174432583161</c:v>
                </c:pt>
                <c:pt idx="95">
                  <c:v>0.10259243612160342</c:v>
                </c:pt>
                <c:pt idx="96">
                  <c:v>0.10272450036228706</c:v>
                </c:pt>
                <c:pt idx="97">
                  <c:v>0.10285798504602385</c:v>
                </c:pt>
                <c:pt idx="98">
                  <c:v>0.1029929366097443</c:v>
                </c:pt>
                <c:pt idx="99">
                  <c:v>0.10312939983096357</c:v>
                </c:pt>
                <c:pt idx="100">
                  <c:v>0.10326741772967084</c:v>
                </c:pt>
                <c:pt idx="101">
                  <c:v>0.10340703146955332</c:v>
                </c:pt>
                <c:pt idx="102">
                  <c:v>0.10354828025781872</c:v>
                </c:pt>
                <c:pt idx="103">
                  <c:v>0.10369120124292049</c:v>
                </c:pt>
                <c:pt idx="104">
                  <c:v>0.10383582940954575</c:v>
                </c:pt>
                <c:pt idx="105">
                  <c:v>0.10398219747029896</c:v>
                </c:pt>
                <c:pt idx="106">
                  <c:v>0.10413033575359974</c:v>
                </c:pt>
                <c:pt idx="107">
                  <c:v>0.10428027208741572</c:v>
                </c:pt>
                <c:pt idx="108">
                  <c:v>0.10443203167856278</c:v>
                </c:pt>
                <c:pt idx="109">
                  <c:v>0.10458563698743072</c:v>
                </c:pt>
                <c:pt idx="110">
                  <c:v>0.10474110759812545</c:v>
                </c:pt>
                <c:pt idx="111">
                  <c:v>0.1048984600841605</c:v>
                </c:pt>
                <c:pt idx="112">
                  <c:v>0.1050577078699784</c:v>
                </c:pt>
                <c:pt idx="113">
                  <c:v>0.10521886108873353</c:v>
                </c:pt>
                <c:pt idx="114">
                  <c:v>0.10538192643692125</c:v>
                </c:pt>
                <c:pt idx="115">
                  <c:v>0.10554690702659106</c:v>
                </c:pt>
                <c:pt idx="116">
                  <c:v>0.10571380223603187</c:v>
                </c:pt>
                <c:pt idx="117">
                  <c:v>0.10588260755996298</c:v>
                </c:pt>
                <c:pt idx="118">
                  <c:v>0.10605331446040384</c:v>
                </c:pt>
                <c:pt idx="119">
                  <c:v>0.10622591021952471</c:v>
                </c:pt>
                <c:pt idx="120">
                  <c:v>0.10640037779590074</c:v>
                </c:pt>
                <c:pt idx="121">
                  <c:v>0.10657669568569696</c:v>
                </c:pt>
                <c:pt idx="122">
                  <c:v>0.10675483779040387</c:v>
                </c:pt>
                <c:pt idx="123">
                  <c:v>0.10693477329281902</c:v>
                </c:pt>
                <c:pt idx="124">
                  <c:v>0.10711646654302572</c:v>
                </c:pt>
                <c:pt idx="125">
                  <c:v>0.10729987695616038</c:v>
                </c:pt>
                <c:pt idx="126">
                  <c:v>0.10748495892377637</c:v>
                </c:pt>
                <c:pt idx="127">
                  <c:v>0.10767166174060966</c:v>
                </c:pt>
                <c:pt idx="128">
                  <c:v>0.10785992954852712</c:v>
                </c:pt>
                <c:pt idx="129">
                  <c:v>0.10804970129939007</c:v>
                </c:pt>
                <c:pt idx="130">
                  <c:v>0.10824091073849768</c:v>
                </c:pt>
                <c:pt idx="131">
                  <c:v>0.10843348641018202</c:v>
                </c:pt>
                <c:pt idx="132">
                  <c:v>0.10862735168701386</c:v>
                </c:pt>
                <c:pt idx="133">
                  <c:v>0.10882242482394305</c:v>
                </c:pt>
                <c:pt idx="134">
                  <c:v>0.10901861903854319</c:v>
                </c:pt>
                <c:pt idx="135">
                  <c:v>0.10921584261835501</c:v>
                </c:pt>
                <c:pt idx="136">
                  <c:v>0.10941399905613217</c:v>
                </c:pt>
                <c:pt idx="137">
                  <c:v>0.1096129872135842</c:v>
                </c:pt>
                <c:pt idx="138">
                  <c:v>0.10981270151398953</c:v>
                </c:pt>
                <c:pt idx="139">
                  <c:v>0.11001303216381617</c:v>
                </c:pt>
                <c:pt idx="140">
                  <c:v>0.11021386540324357</c:v>
                </c:pt>
                <c:pt idx="141">
                  <c:v>0.11041508378522591</c:v>
                </c:pt>
                <c:pt idx="142">
                  <c:v>0.11061656648247951</c:v>
                </c:pt>
                <c:pt idx="143">
                  <c:v>0.11081818962151654</c:v>
                </c:pt>
                <c:pt idx="144">
                  <c:v>0.11101982664258649</c:v>
                </c:pt>
                <c:pt idx="145">
                  <c:v>0.11122134868412906</c:v>
                </c:pt>
                <c:pt idx="146">
                  <c:v>0.11142262499008962</c:v>
                </c:pt>
                <c:pt idx="147">
                  <c:v>0.11162352333820443</c:v>
                </c:pt>
                <c:pt idx="148">
                  <c:v>0.11182391048712849</c:v>
                </c:pt>
                <c:pt idx="149">
                  <c:v>0.11202365264006012</c:v>
                </c:pt>
                <c:pt idx="150">
                  <c:v>0.11222261592231102</c:v>
                </c:pt>
                <c:pt idx="151">
                  <c:v>0.11242066687008581</c:v>
                </c:pt>
                <c:pt idx="152">
                  <c:v>0.1126176729275693</c:v>
                </c:pt>
                <c:pt idx="153">
                  <c:v>0.11281350294927742</c:v>
                </c:pt>
                <c:pt idx="154">
                  <c:v>0.11300802770450963</c:v>
                </c:pt>
                <c:pt idx="155">
                  <c:v>0.11320112038064868</c:v>
                </c:pt>
                <c:pt idx="156">
                  <c:v>0.11339265708198853</c:v>
                </c:pt>
                <c:pt idx="157">
                  <c:v>0.11358251732073628</c:v>
                </c:pt>
                <c:pt idx="158">
                  <c:v>0.11377058449682566</c:v>
                </c:pt>
                <c:pt idx="159">
                  <c:v>0.11395674636320469</c:v>
                </c:pt>
                <c:pt idx="160">
                  <c:v>0.11414089547331176</c:v>
                </c:pt>
                <c:pt idx="161">
                  <c:v>0.11432292960753916</c:v>
                </c:pt>
                <c:pt idx="162">
                  <c:v>0.1145027521755949</c:v>
                </c:pt>
                <c:pt idx="163">
                  <c:v>0.11468027259181712</c:v>
                </c:pt>
                <c:pt idx="164">
                  <c:v>0.11485540662066379</c:v>
                </c:pt>
                <c:pt idx="165">
                  <c:v>0.11502807668979881</c:v>
                </c:pt>
                <c:pt idx="166">
                  <c:v>0.1151982121684159</c:v>
                </c:pt>
                <c:pt idx="167">
                  <c:v>0.11536574960868839</c:v>
                </c:pt>
                <c:pt idx="168">
                  <c:v>0.11553063294849794</c:v>
                </c:pt>
                <c:pt idx="169">
                  <c:v>0.11569281367388129</c:v>
                </c:pt>
                <c:pt idx="170">
                  <c:v>0.11585225093993592</c:v>
                </c:pt>
                <c:pt idx="171">
                  <c:v>0.11600891164923938</c:v>
                </c:pt>
                <c:pt idx="172">
                  <c:v>0.11616277048716425</c:v>
                </c:pt>
                <c:pt idx="173">
                  <c:v>0.11631380991380401</c:v>
                </c:pt>
                <c:pt idx="174">
                  <c:v>0.11646202011256182</c:v>
                </c:pt>
                <c:pt idx="175">
                  <c:v>0.11660739889579595</c:v>
                </c:pt>
                <c:pt idx="176">
                  <c:v>0.11674995156825133</c:v>
                </c:pt>
                <c:pt idx="177">
                  <c:v>0.11688969074934008</c:v>
                </c:pt>
                <c:pt idx="178">
                  <c:v>0.11702663615565838</c:v>
                </c:pt>
                <c:pt idx="179">
                  <c:v>0.11716081434543922</c:v>
                </c:pt>
                <c:pt idx="180">
                  <c:v>0.11729225842693979</c:v>
                </c:pt>
                <c:pt idx="181">
                  <c:v>0.11742100773304262</c:v>
                </c:pt>
                <c:pt idx="182">
                  <c:v>0.11754710746461144</c:v>
                </c:pt>
                <c:pt idx="183">
                  <c:v>0.11767060830538005</c:v>
                </c:pt>
                <c:pt idx="184">
                  <c:v>0.11779156601136671</c:v>
                </c:pt>
                <c:pt idx="185">
                  <c:v>0.1179100409779926</c:v>
                </c:pt>
                <c:pt idx="186">
                  <c:v>0.11802609778823928</c:v>
                </c:pt>
                <c:pt idx="187">
                  <c:v>0.11813980474530875</c:v>
                </c:pt>
                <c:pt idx="188">
                  <c:v>0.11825123339334237</c:v>
                </c:pt>
                <c:pt idx="189">
                  <c:v>0.11836045802981979</c:v>
                </c:pt>
                <c:pt idx="190">
                  <c:v>0.11846755521328613</c:v>
                </c:pt>
                <c:pt idx="191">
                  <c:v>0.11857260327005215</c:v>
                </c:pt>
                <c:pt idx="192">
                  <c:v>0.11867568180347447</c:v>
                </c:pt>
                <c:pt idx="193">
                  <c:v>0.11877687120935138</c:v>
                </c:pt>
                <c:pt idx="194">
                  <c:v>0.11887625220086671</c:v>
                </c:pt>
                <c:pt idx="195">
                  <c:v>0.11897390534638037</c:v>
                </c:pt>
                <c:pt idx="196">
                  <c:v>0.11906991062319866</c:v>
                </c:pt>
                <c:pt idx="197">
                  <c:v>0.11916434699026661</c:v>
                </c:pt>
                <c:pt idx="198">
                  <c:v>0.11925729198250472</c:v>
                </c:pt>
                <c:pt idx="199">
                  <c:v>0.11934882132927149</c:v>
                </c:pt>
                <c:pt idx="200">
                  <c:v>0.11943900859916827</c:v>
                </c:pt>
                <c:pt idx="201">
                  <c:v>0.11952792487312154</c:v>
                </c:pt>
                <c:pt idx="202">
                  <c:v>0.11961563844738048</c:v>
                </c:pt>
                <c:pt idx="203">
                  <c:v>0.11970221456775516</c:v>
                </c:pt>
                <c:pt idx="204">
                  <c:v>0.11978771519610434</c:v>
                </c:pt>
                <c:pt idx="205">
                  <c:v>0.11987219880975264</c:v>
                </c:pt>
                <c:pt idx="206">
                  <c:v>0.11995572023419167</c:v>
                </c:pt>
                <c:pt idx="207">
                  <c:v>0.12003833050909028</c:v>
                </c:pt>
                <c:pt idx="208">
                  <c:v>0.12012007678731677</c:v>
                </c:pt>
                <c:pt idx="209">
                  <c:v>0.1202010022663601</c:v>
                </c:pt>
                <c:pt idx="210">
                  <c:v>0.12028114615123246</c:v>
                </c:pt>
                <c:pt idx="211">
                  <c:v>0.12036054364764474</c:v>
                </c:pt>
                <c:pt idx="212">
                  <c:v>0.12043922598397269</c:v>
                </c:pt>
                <c:pt idx="213">
                  <c:v>0.12051722046027812</c:v>
                </c:pt>
                <c:pt idx="214">
                  <c:v>0.12059455052241778</c:v>
                </c:pt>
                <c:pt idx="215">
                  <c:v>0.12067123585906644</c:v>
                </c:pt>
                <c:pt idx="216">
                  <c:v>0.12074729251930091</c:v>
                </c:pt>
                <c:pt idx="217">
                  <c:v>0.1208227330482415</c:v>
                </c:pt>
                <c:pt idx="218">
                  <c:v>0.12089756663812676</c:v>
                </c:pt>
                <c:pt idx="219">
                  <c:v>0.1209717992921088</c:v>
                </c:pt>
                <c:pt idx="220">
                  <c:v>0.12104543399799969</c:v>
                </c:pt>
                <c:pt idx="221">
                  <c:v>0.12111847090917592</c:v>
                </c:pt>
                <c:pt idx="222">
                  <c:v>0.1211909075298573</c:v>
                </c:pt>
                <c:pt idx="223">
                  <c:v>0.12126273890201857</c:v>
                </c:pt>
                <c:pt idx="224">
                  <c:v>0.12133395779126598</c:v>
                </c:pt>
                <c:pt idx="225">
                  <c:v>0.12140455486911716</c:v>
                </c:pt>
                <c:pt idx="226">
                  <c:v>0.12147451888925664</c:v>
                </c:pt>
                <c:pt idx="227">
                  <c:v>0.12154383685550449</c:v>
                </c:pt>
                <c:pt idx="228">
                  <c:v>0.12161249417942435</c:v>
                </c:pt>
                <c:pt idx="229">
                  <c:v>0.1216804748257117</c:v>
                </c:pt>
                <c:pt idx="230">
                  <c:v>0.12174776144373908</c:v>
                </c:pt>
                <c:pt idx="231">
                  <c:v>0.12181433548388947</c:v>
                </c:pt>
                <c:pt idx="232">
                  <c:v>0.12188017729757993</c:v>
                </c:pt>
                <c:pt idx="233">
                  <c:v>0.12194526622016051</c:v>
                </c:pt>
                <c:pt idx="234">
                  <c:v>0.12200958063616714</c:v>
                </c:pt>
                <c:pt idx="235">
                  <c:v>0.12207309802670571</c:v>
                </c:pt>
                <c:pt idx="236">
                  <c:v>0.12213579499904631</c:v>
                </c:pt>
                <c:pt idx="237">
                  <c:v>0.1221976472988074</c:v>
                </c:pt>
                <c:pt idx="238">
                  <c:v>0.12225862980540551</c:v>
                </c:pt>
                <c:pt idx="239">
                  <c:v>0.12231871651173484</c:v>
                </c:pt>
                <c:pt idx="240">
                  <c:v>0.12237788048931732</c:v>
                </c:pt>
                <c:pt idx="241">
                  <c:v>0.12243609384042548</c:v>
                </c:pt>
                <c:pt idx="242">
                  <c:v>0.12249332763892538</c:v>
                </c:pt>
                <c:pt idx="243">
                  <c:v>0.12254955186180881</c:v>
                </c:pt>
                <c:pt idx="244">
                  <c:v>0.12260473531358318</c:v>
                </c:pt>
                <c:pt idx="245">
                  <c:v>0.12265884554586194</c:v>
                </c:pt>
                <c:pt idx="246">
                  <c:v>0.12271184877464052</c:v>
                </c:pt>
                <c:pt idx="247">
                  <c:v>0.12276370979785843</c:v>
                </c:pt>
                <c:pt idx="248">
                  <c:v>0.12281439191592844</c:v>
                </c:pt>
                <c:pt idx="249">
                  <c:v>0.12286385685796343</c:v>
                </c:pt>
                <c:pt idx="250">
                  <c:v>0.12291206471644346</c:v>
                </c:pt>
                <c:pt idx="251">
                  <c:v>0.12295897389304598</c:v>
                </c:pt>
                <c:pt idx="252">
                  <c:v>0.12300454105830484</c:v>
                </c:pt>
                <c:pt idx="253">
                  <c:v>0.12304872112767286</c:v>
                </c:pt>
                <c:pt idx="254">
                  <c:v>0.12309146725643705</c:v>
                </c:pt>
                <c:pt idx="255">
                  <c:v>0.12313273085577638</c:v>
                </c:pt>
                <c:pt idx="256">
                  <c:v>0.1231724616320613</c:v>
                </c:pt>
                <c:pt idx="257">
                  <c:v>0.12321060765127292</c:v>
                </c:pt>
                <c:pt idx="258">
                  <c:v>0.12324711543016974</c:v>
                </c:pt>
                <c:pt idx="259">
                  <c:v>0.1232819300555552</c:v>
                </c:pt>
                <c:pt idx="260">
                  <c:v>0.12331499533270059</c:v>
                </c:pt>
                <c:pt idx="261">
                  <c:v>0.12334625396365859</c:v>
                </c:pt>
                <c:pt idx="262">
                  <c:v>0.12337564775586866</c:v>
                </c:pt>
                <c:pt idx="263">
                  <c:v>0.12340311786110428</c:v>
                </c:pt>
                <c:pt idx="264">
                  <c:v>0.12342860504445569</c:v>
                </c:pt>
                <c:pt idx="265">
                  <c:v>0.12345204998267451</c:v>
                </c:pt>
                <c:pt idx="266">
                  <c:v>0.12347339359084092</c:v>
                </c:pt>
                <c:pt idx="267">
                  <c:v>0.12349257737594845</c:v>
                </c:pt>
                <c:pt idx="268">
                  <c:v>0.12350954381564062</c:v>
                </c:pt>
                <c:pt idx="269">
                  <c:v>0.12352423675998596</c:v>
                </c:pt>
                <c:pt idx="270">
                  <c:v>0.12353660185383845</c:v>
                </c:pt>
                <c:pt idx="271">
                  <c:v>0.12354658697701465</c:v>
                </c:pt>
                <c:pt idx="272">
                  <c:v>0.12355414269921793</c:v>
                </c:pt>
                <c:pt idx="273">
                  <c:v>0.12355922274636894</c:v>
                </c:pt>
                <c:pt idx="274">
                  <c:v>0.12356178447475435</c:v>
                </c:pt>
                <c:pt idx="275">
                  <c:v>0.12356178934919156</c:v>
                </c:pt>
                <c:pt idx="276">
                  <c:v>0.12355920342122638</c:v>
                </c:pt>
                <c:pt idx="277">
                  <c:v>0.12355399780323403</c:v>
                </c:pt>
                <c:pt idx="278">
                  <c:v>0.12354614913418792</c:v>
                </c:pt>
                <c:pt idx="279">
                  <c:v>0.12353564003279202</c:v>
                </c:pt>
                <c:pt idx="280">
                  <c:v>0.12352245953364697</c:v>
                </c:pt>
                <c:pt idx="281">
                  <c:v>0.12350660350213497</c:v>
                </c:pt>
                <c:pt idx="282">
                  <c:v>0.1234880750237668</c:v>
                </c:pt>
                <c:pt idx="283">
                  <c:v>0.12346688476383501</c:v>
                </c:pt>
                <c:pt idx="284">
                  <c:v>0.12344305129335943</c:v>
                </c:pt>
                <c:pt idx="285">
                  <c:v>0.12341660137749597</c:v>
                </c:pt>
                <c:pt idx="286">
                  <c:v>0.12338757022280349</c:v>
                </c:pt>
                <c:pt idx="287">
                  <c:v>0.12335600168002718</c:v>
                </c:pt>
                <c:pt idx="288">
                  <c:v>0.12332194839935526</c:v>
                </c:pt>
                <c:pt idx="289">
                  <c:v>0.1232854719354407</c:v>
                </c:pt>
                <c:pt idx="290">
                  <c:v>0.12324664279984369</c:v>
                </c:pt>
                <c:pt idx="291">
                  <c:v>0.12320554045894465</c:v>
                </c:pt>
                <c:pt idx="292">
                  <c:v>0.12316225327579516</c:v>
                </c:pt>
                <c:pt idx="293">
                  <c:v>0.12311687839481443</c:v>
                </c:pt>
                <c:pt idx="294">
                  <c:v>0.12306952156869404</c:v>
                </c:pt>
                <c:pt idx="295">
                  <c:v>0.12302029692734552</c:v>
                </c:pt>
                <c:pt idx="296">
                  <c:v>0.12296932668920187</c:v>
                </c:pt>
                <c:pt idx="297">
                  <c:v>0.12291674081566842</c:v>
                </c:pt>
                <c:pt idx="298">
                  <c:v>0.12286267661000096</c:v>
                </c:pt>
                <c:pt idx="299">
                  <c:v>0.122807278262367</c:v>
                </c:pt>
                <c:pt idx="300">
                  <c:v>0.1227506963433157</c:v>
                </c:pt>
                <c:pt idx="301">
                  <c:v>0.12269308724833736</c:v>
                </c:pt>
                <c:pt idx="302">
                  <c:v>0.12263461259663008</c:v>
                </c:pt>
                <c:pt idx="303">
                  <c:v>0.12257543858760864</c:v>
                </c:pt>
                <c:pt idx="304">
                  <c:v>0.12251573531907713</c:v>
                </c:pt>
                <c:pt idx="305">
                  <c:v>0.12245567607134815</c:v>
                </c:pt>
                <c:pt idx="306">
                  <c:v>0.12239543656191575</c:v>
                </c:pt>
                <c:pt idx="307">
                  <c:v>0.12233519417557827</c:v>
                </c:pt>
                <c:pt idx="308">
                  <c:v>0.12227512717515612</c:v>
                </c:pt>
                <c:pt idx="309">
                  <c:v>0.12221541389815635</c:v>
                </c:pt>
                <c:pt idx="310">
                  <c:v>0.12215623194489751</c:v>
                </c:pt>
                <c:pt idx="311">
                  <c:v>0.12209775736372498</c:v>
                </c:pt>
                <c:pt idx="312">
                  <c:v>0.12204016383901453</c:v>
                </c:pt>
                <c:pt idx="313">
                  <c:v>0.12198362188768251</c:v>
                </c:pt>
                <c:pt idx="314">
                  <c:v>0.12192829806989156</c:v>
                </c:pt>
                <c:pt idx="315">
                  <c:v>0.1218743542195639</c:v>
                </c:pt>
                <c:pt idx="316">
                  <c:v>0.12182194670018702</c:v>
                </c:pt>
                <c:pt idx="317">
                  <c:v>0.12177122569122466</c:v>
                </c:pt>
                <c:pt idx="318">
                  <c:v>0.12172233451022542</c:v>
                </c:pt>
                <c:pt idx="319">
                  <c:v>0.12167540897545859</c:v>
                </c:pt>
                <c:pt idx="320">
                  <c:v>0.1216305768136012</c:v>
                </c:pt>
                <c:pt idx="321">
                  <c:v>0.12158795711665575</c:v>
                </c:pt>
                <c:pt idx="322">
                  <c:v>0.12154765985189753</c:v>
                </c:pt>
                <c:pt idx="323">
                  <c:v>0.12150978542823654</c:v>
                </c:pt>
                <c:pt idx="324">
                  <c:v>0.12147442432193636</c:v>
                </c:pt>
                <c:pt idx="325">
                  <c:v>0.12144165676416503</c:v>
                </c:pt>
                <c:pt idx="326">
                  <c:v>0.12141155249236256</c:v>
                </c:pt>
                <c:pt idx="327">
                  <c:v>0.12138417056690627</c:v>
                </c:pt>
                <c:pt idx="328">
                  <c:v>0.12135955925403534</c:v>
                </c:pt>
                <c:pt idx="329">
                  <c:v>0.12133775597547262</c:v>
                </c:pt>
                <c:pt idx="330">
                  <c:v>0.1213187873246533</c:v>
                </c:pt>
                <c:pt idx="331">
                  <c:v>0.12130266914894408</c:v>
                </c:pt>
                <c:pt idx="332">
                  <c:v>0.12128940669671845</c:v>
                </c:pt>
                <c:pt idx="333">
                  <c:v>0.12127899482764569</c:v>
                </c:pt>
                <c:pt idx="334">
                  <c:v>0.12127141828405953</c:v>
                </c:pt>
                <c:pt idx="335">
                  <c:v>0.12126665202080192</c:v>
                </c:pt>
                <c:pt idx="336">
                  <c:v>0.12126466159049007</c:v>
                </c:pt>
                <c:pt idx="337">
                  <c:v>0.1212654035807373</c:v>
                </c:pt>
                <c:pt idx="338">
                  <c:v>0.1212688260994715</c:v>
                </c:pt>
                <c:pt idx="339">
                  <c:v>0.12127486930414548</c:v>
                </c:pt>
                <c:pt idx="340">
                  <c:v>0.12128346597031982</c:v>
                </c:pt>
                <c:pt idx="341">
                  <c:v>0.1212945420948297</c:v>
                </c:pt>
                <c:pt idx="342">
                  <c:v>0.12130801752851741</c:v>
                </c:pt>
                <c:pt idx="343">
                  <c:v>0.12132380663333178</c:v>
                </c:pt>
                <c:pt idx="344">
                  <c:v>0.12134181895845782</c:v>
                </c:pt>
                <c:pt idx="345">
                  <c:v>0.12136195993005301</c:v>
                </c:pt>
                <c:pt idx="346">
                  <c:v>0.1213841315491251</c:v>
                </c:pt>
                <c:pt idx="347">
                  <c:v>0.12140823309209434</c:v>
                </c:pt>
                <c:pt idx="348">
                  <c:v>0.12143416180863721</c:v>
                </c:pt>
                <c:pt idx="349">
                  <c:v>0.12146181361151279</c:v>
                </c:pt>
                <c:pt idx="350">
                  <c:v>0.12149108375321711</c:v>
                </c:pt>
                <c:pt idx="351">
                  <c:v>0.12152186748450462</c:v>
                </c:pt>
                <c:pt idx="352">
                  <c:v>0.12155406069004676</c:v>
                </c:pt>
                <c:pt idx="353">
                  <c:v>0.12158756049677068</c:v>
                </c:pt>
                <c:pt idx="354">
                  <c:v>0.1216222658507279</c:v>
                </c:pt>
                <c:pt idx="355">
                  <c:v>0.12165807805868474</c:v>
                </c:pt>
                <c:pt idx="356">
                  <c:v>0.1216949012909968</c:v>
                </c:pt>
                <c:pt idx="357">
                  <c:v>0.12173264304272637</c:v>
                </c:pt>
                <c:pt idx="358">
                  <c:v>0.12177121455037919</c:v>
                </c:pt>
                <c:pt idx="359">
                  <c:v>0.12181053116207602</c:v>
                </c:pt>
                <c:pt idx="360">
                  <c:v>0.12185051265942039</c:v>
                </c:pt>
                <c:pt idx="361">
                  <c:v>0.12189108352978725</c:v>
                </c:pt>
                <c:pt idx="362">
                  <c:v>0.12193217318821759</c:v>
                </c:pt>
                <c:pt idx="363">
                  <c:v>0.12197371614857107</c:v>
                </c:pt>
                <c:pt idx="364">
                  <c:v>0.12201565214404755</c:v>
                </c:pt>
                <c:pt idx="365">
                  <c:v>0.12205792619764123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2.8790036329469297E-2</c:v>
                </c:pt>
                <c:pt idx="1">
                  <c:v>2.8463783944337656E-2</c:v>
                </c:pt>
                <c:pt idx="2">
                  <c:v>2.812463658818052E-2</c:v>
                </c:pt>
                <c:pt idx="3">
                  <c:v>2.7773649923839981E-2</c:v>
                </c:pt>
                <c:pt idx="4">
                  <c:v>2.7411861695584416E-2</c:v>
                </c:pt>
                <c:pt idx="5">
                  <c:v>2.7040286483204012E-2</c:v>
                </c:pt>
                <c:pt idx="6">
                  <c:v>2.665991114227086E-2</c:v>
                </c:pt>
                <c:pt idx="7">
                  <c:v>2.6271690846829874E-2</c:v>
                </c:pt>
                <c:pt idx="8">
                  <c:v>2.5873591238088328E-2</c:v>
                </c:pt>
                <c:pt idx="9">
                  <c:v>2.5470705289563848E-2</c:v>
                </c:pt>
                <c:pt idx="10">
                  <c:v>2.5070250844263696E-2</c:v>
                </c:pt>
                <c:pt idx="11">
                  <c:v>2.4673599994534608E-2</c:v>
                </c:pt>
                <c:pt idx="12">
                  <c:v>2.4282001369696472E-2</c:v>
                </c:pt>
                <c:pt idx="13">
                  <c:v>2.3896582405339754E-2</c:v>
                </c:pt>
                <c:pt idx="14">
                  <c:v>2.3518353099373571E-2</c:v>
                </c:pt>
                <c:pt idx="15">
                  <c:v>2.3140112062812093E-2</c:v>
                </c:pt>
                <c:pt idx="16">
                  <c:v>2.2761582939402593E-2</c:v>
                </c:pt>
                <c:pt idx="17">
                  <c:v>2.2383794711473504E-2</c:v>
                </c:pt>
                <c:pt idx="18">
                  <c:v>2.2007679539655701E-2</c:v>
                </c:pt>
                <c:pt idx="19">
                  <c:v>2.1634197542556556E-2</c:v>
                </c:pt>
                <c:pt idx="20">
                  <c:v>2.1264266111843014E-2</c:v>
                </c:pt>
                <c:pt idx="21">
                  <c:v>2.0898617709569245E-2</c:v>
                </c:pt>
                <c:pt idx="22">
                  <c:v>2.0535672670096285E-2</c:v>
                </c:pt>
                <c:pt idx="23">
                  <c:v>2.0151477432149286E-2</c:v>
                </c:pt>
                <c:pt idx="24">
                  <c:v>1.9741966402402195E-2</c:v>
                </c:pt>
                <c:pt idx="25">
                  <c:v>1.9308670548834939E-2</c:v>
                </c:pt>
                <c:pt idx="26">
                  <c:v>1.8853059577292199E-2</c:v>
                </c:pt>
                <c:pt idx="27">
                  <c:v>1.8376538994584041E-2</c:v>
                </c:pt>
                <c:pt idx="28">
                  <c:v>1.7880447960557516E-2</c:v>
                </c:pt>
                <c:pt idx="29">
                  <c:v>1.7347419150484732E-2</c:v>
                </c:pt>
                <c:pt idx="30">
                  <c:v>1.6786045066198085E-2</c:v>
                </c:pt>
                <c:pt idx="31">
                  <c:v>1.6197864672816652E-2</c:v>
                </c:pt>
                <c:pt idx="32">
                  <c:v>1.5584333886210078E-2</c:v>
                </c:pt>
                <c:pt idx="33">
                  <c:v>1.4946824930460581E-2</c:v>
                </c:pt>
                <c:pt idx="34">
                  <c:v>1.4286626240982767E-2</c:v>
                </c:pt>
                <c:pt idx="35">
                  <c:v>1.3604942820168124E-2</c:v>
                </c:pt>
                <c:pt idx="36">
                  <c:v>1.2902624785082882E-2</c:v>
                </c:pt>
                <c:pt idx="37">
                  <c:v>1.218904643989099E-2</c:v>
                </c:pt>
                <c:pt idx="38">
                  <c:v>1.1483319551894982E-2</c:v>
                </c:pt>
                <c:pt idx="39">
                  <c:v>1.0785345234874788E-2</c:v>
                </c:pt>
                <c:pt idx="40">
                  <c:v>1.009502902450236E-2</c:v>
                </c:pt>
                <c:pt idx="41">
                  <c:v>9.4122801498554079E-3</c:v>
                </c:pt>
                <c:pt idx="42">
                  <c:v>8.7370108517462342E-3</c:v>
                </c:pt>
                <c:pt idx="43">
                  <c:v>8.0949254152851684E-3</c:v>
                </c:pt>
                <c:pt idx="44">
                  <c:v>7.5005880783074142E-3</c:v>
                </c:pt>
                <c:pt idx="45">
                  <c:v>6.9524854819564058E-3</c:v>
                </c:pt>
                <c:pt idx="46">
                  <c:v>6.4491475738840112E-3</c:v>
                </c:pt>
                <c:pt idx="47">
                  <c:v>5.9891458360646051E-3</c:v>
                </c:pt>
                <c:pt idx="48">
                  <c:v>5.5710916626671757E-3</c:v>
                </c:pt>
                <c:pt idx="49">
                  <c:v>5.1936348684234086E-3</c:v>
                </c:pt>
                <c:pt idx="50">
                  <c:v>4.8553625088258142E-3</c:v>
                </c:pt>
                <c:pt idx="51">
                  <c:v>4.566387951969066E-3</c:v>
                </c:pt>
                <c:pt idx="52">
                  <c:v>4.3179726146106582E-3</c:v>
                </c:pt>
                <c:pt idx="53">
                  <c:v>4.1088381443264389E-3</c:v>
                </c:pt>
                <c:pt idx="54">
                  <c:v>3.9377494766496641E-3</c:v>
                </c:pt>
                <c:pt idx="55">
                  <c:v>3.8034962194549173E-3</c:v>
                </c:pt>
                <c:pt idx="56">
                  <c:v>3.7048973854118179E-3</c:v>
                </c:pt>
                <c:pt idx="57">
                  <c:v>3.6402281048382073E-3</c:v>
                </c:pt>
                <c:pt idx="58">
                  <c:v>3.5867700579061139E-3</c:v>
                </c:pt>
                <c:pt idx="59">
                  <c:v>3.5442001327951646E-3</c:v>
                </c:pt>
                <c:pt idx="60">
                  <c:v>3.5122057234252602E-3</c:v>
                </c:pt>
                <c:pt idx="61">
                  <c:v>3.4904856102675034E-3</c:v>
                </c:pt>
                <c:pt idx="62">
                  <c:v>3.4787507064403199E-3</c:v>
                </c:pt>
                <c:pt idx="63">
                  <c:v>3.4767246855605294E-3</c:v>
                </c:pt>
                <c:pt idx="64">
                  <c:v>3.4839183418539105E-3</c:v>
                </c:pt>
                <c:pt idx="65">
                  <c:v>3.4981786819468529E-3</c:v>
                </c:pt>
                <c:pt idx="66">
                  <c:v>3.5096871860298595E-3</c:v>
                </c:pt>
                <c:pt idx="67">
                  <c:v>3.5185908814497715E-3</c:v>
                </c:pt>
                <c:pt idx="68">
                  <c:v>3.5250321191550404E-3</c:v>
                </c:pt>
                <c:pt idx="69">
                  <c:v>3.5291483284840101E-3</c:v>
                </c:pt>
                <c:pt idx="70">
                  <c:v>3.5310718354687486E-3</c:v>
                </c:pt>
                <c:pt idx="71">
                  <c:v>3.5282884788583949E-3</c:v>
                </c:pt>
                <c:pt idx="72">
                  <c:v>3.5214905210631479E-3</c:v>
                </c:pt>
                <c:pt idx="73">
                  <c:v>3.5108564326854037E-3</c:v>
                </c:pt>
                <c:pt idx="74">
                  <c:v>3.4965559334613231E-3</c:v>
                </c:pt>
                <c:pt idx="75">
                  <c:v>3.4787499144288631E-3</c:v>
                </c:pt>
                <c:pt idx="76">
                  <c:v>3.4575904080951657E-3</c:v>
                </c:pt>
                <c:pt idx="77">
                  <c:v>3.4332205987159551E-3</c:v>
                </c:pt>
                <c:pt idx="78">
                  <c:v>3.4055076994242875E-3</c:v>
                </c:pt>
                <c:pt idx="79">
                  <c:v>3.3728528499286825E-3</c:v>
                </c:pt>
                <c:pt idx="80">
                  <c:v>3.3369275425977197E-3</c:v>
                </c:pt>
                <c:pt idx="81">
                  <c:v>3.2978858827393555E-3</c:v>
                </c:pt>
                <c:pt idx="82">
                  <c:v>3.2558728958653202E-3</c:v>
                </c:pt>
                <c:pt idx="83">
                  <c:v>3.2110243673912219E-3</c:v>
                </c:pt>
                <c:pt idx="84">
                  <c:v>3.163466739258589E-3</c:v>
                </c:pt>
                <c:pt idx="85">
                  <c:v>3.1125860117530851E-3</c:v>
                </c:pt>
                <c:pt idx="86">
                  <c:v>3.0608094817762992E-3</c:v>
                </c:pt>
                <c:pt idx="87">
                  <c:v>3.0081986170618666E-3</c:v>
                </c:pt>
                <c:pt idx="88">
                  <c:v>2.9548082409575987E-3</c:v>
                </c:pt>
                <c:pt idx="89">
                  <c:v>2.9006867193696355E-3</c:v>
                </c:pt>
                <c:pt idx="90">
                  <c:v>2.8458761441264168E-3</c:v>
                </c:pt>
                <c:pt idx="91">
                  <c:v>2.7904125091320732E-3</c:v>
                </c:pt>
                <c:pt idx="92">
                  <c:v>2.7341708435544201E-3</c:v>
                </c:pt>
                <c:pt idx="93">
                  <c:v>2.6759311700475233E-3</c:v>
                </c:pt>
                <c:pt idx="94">
                  <c:v>2.6170648526519639E-3</c:v>
                </c:pt>
                <c:pt idx="95">
                  <c:v>2.5575807578062551E-3</c:v>
                </c:pt>
                <c:pt idx="96">
                  <c:v>2.4974852121747754E-3</c:v>
                </c:pt>
                <c:pt idx="97">
                  <c:v>2.4367820384768603E-3</c:v>
                </c:pt>
                <c:pt idx="98">
                  <c:v>2.3754725852702724E-3</c:v>
                </c:pt>
                <c:pt idx="99">
                  <c:v>2.3128462392791064E-3</c:v>
                </c:pt>
                <c:pt idx="100">
                  <c:v>2.2495624714655598E-3</c:v>
                </c:pt>
                <c:pt idx="101">
                  <c:v>2.1856102261499605E-3</c:v>
                </c:pt>
                <c:pt idx="102">
                  <c:v>2.120975731518386E-3</c:v>
                </c:pt>
                <c:pt idx="103">
                  <c:v>2.0556424870192425E-3</c:v>
                </c:pt>
                <c:pt idx="104">
                  <c:v>1.9895912446071104E-3</c:v>
                </c:pt>
                <c:pt idx="105">
                  <c:v>1.9227999839259208E-3</c:v>
                </c:pt>
                <c:pt idx="106">
                  <c:v>1.8551932762629656E-3</c:v>
                </c:pt>
                <c:pt idx="107">
                  <c:v>1.786215976794969E-3</c:v>
                </c:pt>
                <c:pt idx="108">
                  <c:v>1.7168696700588868E-3</c:v>
                </c:pt>
                <c:pt idx="109">
                  <c:v>1.6471284808087705E-3</c:v>
                </c:pt>
                <c:pt idx="110">
                  <c:v>1.576968674908163E-3</c:v>
                </c:pt>
                <c:pt idx="111">
                  <c:v>1.5063634528812164E-3</c:v>
                </c:pt>
                <c:pt idx="112">
                  <c:v>1.4352787500009794E-3</c:v>
                </c:pt>
                <c:pt idx="113">
                  <c:v>1.364648178041042E-3</c:v>
                </c:pt>
                <c:pt idx="114">
                  <c:v>1.2951185734469757E-3</c:v>
                </c:pt>
                <c:pt idx="115">
                  <c:v>1.2266447976025476E-3</c:v>
                </c:pt>
                <c:pt idx="116">
                  <c:v>1.1591816754685765E-3</c:v>
                </c:pt>
                <c:pt idx="117">
                  <c:v>1.0926840067361204E-3</c:v>
                </c:pt>
                <c:pt idx="118">
                  <c:v>1.0271065734701196E-3</c:v>
                </c:pt>
                <c:pt idx="119">
                  <c:v>9.6240414428353579E-4</c:v>
                </c:pt>
                <c:pt idx="120">
                  <c:v>8.9853339201438035E-4</c:v>
                </c:pt>
                <c:pt idx="121">
                  <c:v>8.3746181943038635E-4</c:v>
                </c:pt>
                <c:pt idx="122">
                  <c:v>7.7960788239556393E-4</c:v>
                </c:pt>
                <c:pt idx="123">
                  <c:v>7.2492175586143432E-4</c:v>
                </c:pt>
                <c:pt idx="124">
                  <c:v>6.7335983521377943E-4</c:v>
                </c:pt>
                <c:pt idx="125">
                  <c:v>6.2488439019536498E-4</c:v>
                </c:pt>
                <c:pt idx="126">
                  <c:v>5.7946324061142424E-4</c:v>
                </c:pt>
                <c:pt idx="127">
                  <c:v>5.3787479393090152E-4</c:v>
                </c:pt>
                <c:pt idx="128">
                  <c:v>4.9913439626399301E-4</c:v>
                </c:pt>
                <c:pt idx="129">
                  <c:v>4.6322438081964734E-4</c:v>
                </c:pt>
                <c:pt idx="130">
                  <c:v>4.3013129167367105E-4</c:v>
                </c:pt>
                <c:pt idx="131">
                  <c:v>3.9984563556523837E-4</c:v>
                </c:pt>
                <c:pt idx="132">
                  <c:v>3.7236163906431555E-4</c:v>
                </c:pt>
                <c:pt idx="133">
                  <c:v>3.4767700925243845E-4</c:v>
                </c:pt>
                <c:pt idx="134">
                  <c:v>3.2580218883920429E-4</c:v>
                </c:pt>
                <c:pt idx="135">
                  <c:v>3.0685295056763598E-4</c:v>
                </c:pt>
                <c:pt idx="136">
                  <c:v>2.8878496575376769E-4</c:v>
                </c:pt>
                <c:pt idx="137">
                  <c:v>2.7159134148139439E-4</c:v>
                </c:pt>
                <c:pt idx="138">
                  <c:v>2.5526655989506589E-4</c:v>
                </c:pt>
                <c:pt idx="139">
                  <c:v>2.3980641889019956E-4</c:v>
                </c:pt>
                <c:pt idx="140">
                  <c:v>2.2520797388601824E-4</c:v>
                </c:pt>
                <c:pt idx="141">
                  <c:v>2.1193651461830776E-4</c:v>
                </c:pt>
                <c:pt idx="142">
                  <c:v>1.9916172405627937E-4</c:v>
                </c:pt>
                <c:pt idx="143">
                  <c:v>1.8687991655155843E-4</c:v>
                </c:pt>
                <c:pt idx="144">
                  <c:v>1.750894175133242E-4</c:v>
                </c:pt>
                <c:pt idx="145">
                  <c:v>1.6378918464900487E-4</c:v>
                </c:pt>
                <c:pt idx="146">
                  <c:v>1.5297878480449286E-4</c:v>
                </c:pt>
                <c:pt idx="147">
                  <c:v>1.4265837022305402E-4</c:v>
                </c:pt>
                <c:pt idx="148">
                  <c:v>1.3283138879181618E-4</c:v>
                </c:pt>
                <c:pt idx="149">
                  <c:v>1.2389242584304414E-4</c:v>
                </c:pt>
                <c:pt idx="150">
                  <c:v>1.1574791343568416E-4</c:v>
                </c:pt>
                <c:pt idx="151">
                  <c:v>1.0840626754932734E-4</c:v>
                </c:pt>
                <c:pt idx="152">
                  <c:v>1.0187663360965057E-4</c:v>
                </c:pt>
                <c:pt idx="153">
                  <c:v>9.6168843175170531E-5</c:v>
                </c:pt>
                <c:pt idx="154">
                  <c:v>9.1293368951436265E-5</c:v>
                </c:pt>
                <c:pt idx="155">
                  <c:v>8.7346585624673904E-5</c:v>
                </c:pt>
                <c:pt idx="156">
                  <c:v>8.3845926649917167E-5</c:v>
                </c:pt>
                <c:pt idx="157">
                  <c:v>8.0798015529955761E-5</c:v>
                </c:pt>
                <c:pt idx="158">
                  <c:v>7.820977087517894E-5</c:v>
                </c:pt>
                <c:pt idx="159">
                  <c:v>7.6088377683110515E-5</c:v>
                </c:pt>
                <c:pt idx="160">
                  <c:v>7.4441257929327095E-5</c:v>
                </c:pt>
                <c:pt idx="161">
                  <c:v>7.3276040572964186E-5</c:v>
                </c:pt>
                <c:pt idx="162">
                  <c:v>7.2601709248422178E-5</c:v>
                </c:pt>
                <c:pt idx="163">
                  <c:v>7.2424337191694837E-5</c:v>
                </c:pt>
                <c:pt idx="164">
                  <c:v>7.232723691022546E-5</c:v>
                </c:pt>
                <c:pt idx="165">
                  <c:v>7.2311840562178366E-5</c:v>
                </c:pt>
                <c:pt idx="166">
                  <c:v>7.2379619251888177E-5</c:v>
                </c:pt>
                <c:pt idx="167">
                  <c:v>7.2532077852016178E-5</c:v>
                </c:pt>
                <c:pt idx="168">
                  <c:v>7.284343997155121E-5</c:v>
                </c:pt>
                <c:pt idx="169">
                  <c:v>7.3238514825132523E-5</c:v>
                </c:pt>
                <c:pt idx="170">
                  <c:v>7.3625013410794706E-5</c:v>
                </c:pt>
                <c:pt idx="171">
                  <c:v>7.4006915574258318E-5</c:v>
                </c:pt>
                <c:pt idx="172">
                  <c:v>7.4388147116420574E-5</c:v>
                </c:pt>
                <c:pt idx="173">
                  <c:v>7.4771807481895076E-5</c:v>
                </c:pt>
                <c:pt idx="174">
                  <c:v>7.5160870320290017E-5</c:v>
                </c:pt>
                <c:pt idx="175">
                  <c:v>7.5558967508645354E-5</c:v>
                </c:pt>
                <c:pt idx="176">
                  <c:v>7.5969733878200889E-5</c:v>
                </c:pt>
                <c:pt idx="177">
                  <c:v>7.6497001575288995E-5</c:v>
                </c:pt>
                <c:pt idx="178">
                  <c:v>7.7142267941035218E-5</c:v>
                </c:pt>
                <c:pt idx="179">
                  <c:v>7.7910176126854886E-5</c:v>
                </c:pt>
                <c:pt idx="180">
                  <c:v>7.8805282816350907E-5</c:v>
                </c:pt>
                <c:pt idx="181">
                  <c:v>7.9832059394870021E-5</c:v>
                </c:pt>
                <c:pt idx="182">
                  <c:v>8.0994894319703068E-5</c:v>
                </c:pt>
                <c:pt idx="183">
                  <c:v>8.2788837911643452E-5</c:v>
                </c:pt>
                <c:pt idx="184">
                  <c:v>8.5219489024436449E-5</c:v>
                </c:pt>
                <c:pt idx="185">
                  <c:v>8.8299450251586248E-5</c:v>
                </c:pt>
                <c:pt idx="186">
                  <c:v>9.20412251532688E-5</c:v>
                </c:pt>
                <c:pt idx="187">
                  <c:v>9.6457247620558472E-5</c:v>
                </c:pt>
                <c:pt idx="188">
                  <c:v>1.0155991464054282E-4</c:v>
                </c:pt>
                <c:pt idx="189">
                  <c:v>1.0736162240402158E-4</c:v>
                </c:pt>
                <c:pt idx="190">
                  <c:v>1.138746698832382E-4</c:v>
                </c:pt>
                <c:pt idx="191">
                  <c:v>1.2168906420205977E-4</c:v>
                </c:pt>
                <c:pt idx="192">
                  <c:v>1.3071042275106492E-4</c:v>
                </c:pt>
                <c:pt idx="193">
                  <c:v>1.4095506106977102E-4</c:v>
                </c:pt>
                <c:pt idx="194">
                  <c:v>1.5243927746768019E-4</c:v>
                </c:pt>
                <c:pt idx="195">
                  <c:v>1.6517933728755528E-4</c:v>
                </c:pt>
                <c:pt idx="196">
                  <c:v>1.7919145744038233E-4</c:v>
                </c:pt>
                <c:pt idx="197">
                  <c:v>1.9470071517668297E-4</c:v>
                </c:pt>
                <c:pt idx="198">
                  <c:v>2.111912144880433E-4</c:v>
                </c:pt>
                <c:pt idx="199">
                  <c:v>2.2867792995445808E-4</c:v>
                </c:pt>
                <c:pt idx="200">
                  <c:v>2.4717554942442553E-4</c:v>
                </c:pt>
                <c:pt idx="201">
                  <c:v>2.6669846621927217E-4</c:v>
                </c:pt>
                <c:pt idx="202">
                  <c:v>2.8726077076091723E-4</c:v>
                </c:pt>
                <c:pt idx="203">
                  <c:v>3.0887624139633291E-4</c:v>
                </c:pt>
                <c:pt idx="204">
                  <c:v>3.3155820679026202E-4</c:v>
                </c:pt>
                <c:pt idx="205">
                  <c:v>3.5655666055401991E-4</c:v>
                </c:pt>
                <c:pt idx="206">
                  <c:v>3.8329293588319345E-4</c:v>
                </c:pt>
                <c:pt idx="207">
                  <c:v>4.1179684790221526E-4</c:v>
                </c:pt>
                <c:pt idx="208">
                  <c:v>4.4209846296746936E-4</c:v>
                </c:pt>
                <c:pt idx="209">
                  <c:v>4.7422821783471813E-4</c:v>
                </c:pt>
                <c:pt idx="210">
                  <c:v>5.0821704332949943E-4</c:v>
                </c:pt>
                <c:pt idx="211">
                  <c:v>5.4671601181699621E-4</c:v>
                </c:pt>
                <c:pt idx="212">
                  <c:v>5.8953641730375122E-4</c:v>
                </c:pt>
                <c:pt idx="213">
                  <c:v>6.3673378079426291E-4</c:v>
                </c:pt>
                <c:pt idx="214">
                  <c:v>6.8836595931429264E-4</c:v>
                </c:pt>
                <c:pt idx="215">
                  <c:v>7.4449341742341174E-4</c:v>
                </c:pt>
                <c:pt idx="216">
                  <c:v>8.0517950949697689E-4</c:v>
                </c:pt>
                <c:pt idx="217">
                  <c:v>8.7049077419572242E-4</c:v>
                </c:pt>
                <c:pt idx="218">
                  <c:v>9.404725487861227E-4</c:v>
                </c:pt>
                <c:pt idx="219">
                  <c:v>1.0165369355515535E-3</c:v>
                </c:pt>
                <c:pt idx="220">
                  <c:v>1.0974267001610334E-3</c:v>
                </c:pt>
                <c:pt idx="221">
                  <c:v>1.1832114975388018E-3</c:v>
                </c:pt>
                <c:pt idx="222">
                  <c:v>1.273965970686944E-3</c:v>
                </c:pt>
                <c:pt idx="223">
                  <c:v>1.3697702741612349E-3</c:v>
                </c:pt>
                <c:pt idx="224">
                  <c:v>1.4707106246178033E-3</c:v>
                </c:pt>
                <c:pt idx="225">
                  <c:v>1.5761061132234368E-3</c:v>
                </c:pt>
                <c:pt idx="226">
                  <c:v>1.6832619158632313E-3</c:v>
                </c:pt>
                <c:pt idx="227">
                  <c:v>1.792234927837856E-3</c:v>
                </c:pt>
                <c:pt idx="228">
                  <c:v>1.9030878335223632E-3</c:v>
                </c:pt>
                <c:pt idx="229">
                  <c:v>2.0158894240275612E-3</c:v>
                </c:pt>
                <c:pt idx="230">
                  <c:v>2.1307149426784749E-3</c:v>
                </c:pt>
                <c:pt idx="231">
                  <c:v>2.2476464628685454E-3</c:v>
                </c:pt>
                <c:pt idx="232">
                  <c:v>2.3667044194894608E-3</c:v>
                </c:pt>
                <c:pt idx="233">
                  <c:v>2.4864390288164492E-3</c:v>
                </c:pt>
                <c:pt idx="234">
                  <c:v>2.6054180275847418E-3</c:v>
                </c:pt>
                <c:pt idx="235">
                  <c:v>2.7236632666689945E-3</c:v>
                </c:pt>
                <c:pt idx="236">
                  <c:v>2.8412005658742675E-3</c:v>
                </c:pt>
                <c:pt idx="237">
                  <c:v>2.958057052168791E-3</c:v>
                </c:pt>
                <c:pt idx="238">
                  <c:v>3.0742627897466152E-3</c:v>
                </c:pt>
                <c:pt idx="239">
                  <c:v>3.1880721931203029E-3</c:v>
                </c:pt>
                <c:pt idx="240">
                  <c:v>3.3003311581078971E-3</c:v>
                </c:pt>
                <c:pt idx="241">
                  <c:v>3.411058177210114E-3</c:v>
                </c:pt>
                <c:pt idx="242">
                  <c:v>3.5202737108338037E-3</c:v>
                </c:pt>
                <c:pt idx="243">
                  <c:v>3.628000152564525E-3</c:v>
                </c:pt>
                <c:pt idx="244">
                  <c:v>3.7342618009182371E-3</c:v>
                </c:pt>
                <c:pt idx="245">
                  <c:v>3.8390848377926885E-3</c:v>
                </c:pt>
                <c:pt idx="246">
                  <c:v>3.9425479502885304E-3</c:v>
                </c:pt>
                <c:pt idx="247">
                  <c:v>4.0435350943523636E-3</c:v>
                </c:pt>
                <c:pt idx="248">
                  <c:v>4.1436105290628663E-3</c:v>
                </c:pt>
                <c:pt idx="249">
                  <c:v>4.2427512413827978E-3</c:v>
                </c:pt>
                <c:pt idx="250">
                  <c:v>4.3409285339254707E-3</c:v>
                </c:pt>
                <c:pt idx="251">
                  <c:v>4.4381078329198322E-3</c:v>
                </c:pt>
                <c:pt idx="252">
                  <c:v>4.5342484813939909E-3</c:v>
                </c:pt>
                <c:pt idx="253">
                  <c:v>4.6274003964077801E-3</c:v>
                </c:pt>
                <c:pt idx="254">
                  <c:v>4.7194623960449007E-3</c:v>
                </c:pt>
                <c:pt idx="255">
                  <c:v>4.8103769430123244E-3</c:v>
                </c:pt>
                <c:pt idx="256">
                  <c:v>4.9000795502415996E-3</c:v>
                </c:pt>
                <c:pt idx="257">
                  <c:v>4.9884985363915614E-3</c:v>
                </c:pt>
                <c:pt idx="258">
                  <c:v>5.0755547776327684E-3</c:v>
                </c:pt>
                <c:pt idx="259">
                  <c:v>5.1611614579318227E-3</c:v>
                </c:pt>
                <c:pt idx="260">
                  <c:v>5.2456391648990847E-3</c:v>
                </c:pt>
                <c:pt idx="261">
                  <c:v>5.3258605295751606E-3</c:v>
                </c:pt>
                <c:pt idx="262">
                  <c:v>5.4029540704481818E-3</c:v>
                </c:pt>
                <c:pt idx="263">
                  <c:v>5.4767327402649238E-3</c:v>
                </c:pt>
                <c:pt idx="264">
                  <c:v>5.5469920995693317E-3</c:v>
                </c:pt>
                <c:pt idx="265">
                  <c:v>5.613539752914674E-3</c:v>
                </c:pt>
                <c:pt idx="266">
                  <c:v>5.6761513309979963E-3</c:v>
                </c:pt>
                <c:pt idx="267">
                  <c:v>5.7354617853591318E-3</c:v>
                </c:pt>
                <c:pt idx="268">
                  <c:v>5.7934436573819836E-3</c:v>
                </c:pt>
                <c:pt idx="269">
                  <c:v>5.8499129634168451E-3</c:v>
                </c:pt>
                <c:pt idx="270">
                  <c:v>5.9046707092906625E-3</c:v>
                </c:pt>
                <c:pt idx="271">
                  <c:v>5.957502547017322E-3</c:v>
                </c:pt>
                <c:pt idx="272">
                  <c:v>6.0081785166539942E-3</c:v>
                </c:pt>
                <c:pt idx="273">
                  <c:v>6.0564528937056307E-3</c:v>
                </c:pt>
                <c:pt idx="274">
                  <c:v>6.1028404104669833E-3</c:v>
                </c:pt>
                <c:pt idx="275">
                  <c:v>6.1549358001212169E-3</c:v>
                </c:pt>
                <c:pt idx="276">
                  <c:v>6.2169003179890448E-3</c:v>
                </c:pt>
                <c:pt idx="277">
                  <c:v>6.28895068064079E-3</c:v>
                </c:pt>
                <c:pt idx="278">
                  <c:v>6.3713068488028268E-3</c:v>
                </c:pt>
                <c:pt idx="279">
                  <c:v>6.464189198167841E-3</c:v>
                </c:pt>
                <c:pt idx="280">
                  <c:v>6.5678153292062424E-3</c:v>
                </c:pt>
                <c:pt idx="281">
                  <c:v>6.6993730180994271E-3</c:v>
                </c:pt>
                <c:pt idx="282">
                  <c:v>6.8586089379302625E-3</c:v>
                </c:pt>
                <c:pt idx="283">
                  <c:v>7.0463525496488886E-3</c:v>
                </c:pt>
                <c:pt idx="284">
                  <c:v>7.2634259703114818E-3</c:v>
                </c:pt>
                <c:pt idx="285">
                  <c:v>7.5106322876063178E-3</c:v>
                </c:pt>
                <c:pt idx="286">
                  <c:v>7.7887424578345641E-3</c:v>
                </c:pt>
                <c:pt idx="287">
                  <c:v>8.0984807548585159E-3</c:v>
                </c:pt>
                <c:pt idx="288">
                  <c:v>8.4410438026491022E-3</c:v>
                </c:pt>
                <c:pt idx="289">
                  <c:v>8.8457931556813474E-3</c:v>
                </c:pt>
                <c:pt idx="290">
                  <c:v>9.3062900430967901E-3</c:v>
                </c:pt>
                <c:pt idx="291">
                  <c:v>9.8244455627904959E-3</c:v>
                </c:pt>
                <c:pt idx="292">
                  <c:v>1.0402214174180363E-2</c:v>
                </c:pt>
                <c:pt idx="293">
                  <c:v>1.1041598276839168E-2</c:v>
                </c:pt>
                <c:pt idx="294">
                  <c:v>1.1744653436152452E-2</c:v>
                </c:pt>
                <c:pt idx="295">
                  <c:v>1.2516358251241439E-2</c:v>
                </c:pt>
                <c:pt idx="296">
                  <c:v>1.3338606502381617E-2</c:v>
                </c:pt>
                <c:pt idx="297">
                  <c:v>1.4213145862601584E-2</c:v>
                </c:pt>
                <c:pt idx="298">
                  <c:v>1.5141700235787731E-2</c:v>
                </c:pt>
                <c:pt idx="299">
                  <c:v>1.6126074822719615E-2</c:v>
                </c:pt>
                <c:pt idx="300">
                  <c:v>1.7168164827978196E-2</c:v>
                </c:pt>
                <c:pt idx="301">
                  <c:v>1.826996509664711E-2</c:v>
                </c:pt>
                <c:pt idx="302">
                  <c:v>1.9433672661365468E-2</c:v>
                </c:pt>
                <c:pt idx="303">
                  <c:v>2.0629863843395775E-2</c:v>
                </c:pt>
                <c:pt idx="304">
                  <c:v>2.1825489512100154E-2</c:v>
                </c:pt>
                <c:pt idx="305">
                  <c:v>2.301968045074735E-2</c:v>
                </c:pt>
                <c:pt idx="306">
                  <c:v>2.4211440360603943E-2</c:v>
                </c:pt>
                <c:pt idx="307">
                  <c:v>2.53996399084125E-2</c:v>
                </c:pt>
                <c:pt idx="308">
                  <c:v>2.6583010992179423E-2</c:v>
                </c:pt>
                <c:pt idx="309">
                  <c:v>2.7734139018116975E-2</c:v>
                </c:pt>
                <c:pt idx="310">
                  <c:v>2.8847036943269542E-2</c:v>
                </c:pt>
                <c:pt idx="311">
                  <c:v>2.9918877553851357E-2</c:v>
                </c:pt>
                <c:pt idx="312">
                  <c:v>3.0946676412633115E-2</c:v>
                </c:pt>
                <c:pt idx="313">
                  <c:v>3.1927298528163756E-2</c:v>
                </c:pt>
                <c:pt idx="314">
                  <c:v>3.2857467276549299E-2</c:v>
                </c:pt>
                <c:pt idx="315">
                  <c:v>3.3733775824875904E-2</c:v>
                </c:pt>
                <c:pt idx="316">
                  <c:v>3.455327997346886E-2</c:v>
                </c:pt>
                <c:pt idx="317">
                  <c:v>3.5309723117230671E-2</c:v>
                </c:pt>
                <c:pt idx="318">
                  <c:v>3.6038301617414753E-2</c:v>
                </c:pt>
                <c:pt idx="319">
                  <c:v>3.6737878333254988E-2</c:v>
                </c:pt>
                <c:pt idx="320">
                  <c:v>3.7407364674400069E-2</c:v>
                </c:pt>
                <c:pt idx="321">
                  <c:v>3.8045722288439235E-2</c:v>
                </c:pt>
                <c:pt idx="322">
                  <c:v>3.865196433252506E-2</c:v>
                </c:pt>
                <c:pt idx="323">
                  <c:v>3.9236305334584949E-2</c:v>
                </c:pt>
                <c:pt idx="324">
                  <c:v>3.9828968550552006E-2</c:v>
                </c:pt>
                <c:pt idx="325">
                  <c:v>4.0430358342280655E-2</c:v>
                </c:pt>
                <c:pt idx="326">
                  <c:v>4.1040664247883246E-2</c:v>
                </c:pt>
                <c:pt idx="327">
                  <c:v>4.1660275992201713E-2</c:v>
                </c:pt>
                <c:pt idx="328">
                  <c:v>4.2289839779369641E-2</c:v>
                </c:pt>
                <c:pt idx="329">
                  <c:v>4.2930056858328777E-2</c:v>
                </c:pt>
                <c:pt idx="330">
                  <c:v>4.3584557343039773E-2</c:v>
                </c:pt>
                <c:pt idx="331">
                  <c:v>4.4256302151130196E-2</c:v>
                </c:pt>
                <c:pt idx="332">
                  <c:v>4.4948238603467056E-2</c:v>
                </c:pt>
                <c:pt idx="333">
                  <c:v>4.565848102541549E-2</c:v>
                </c:pt>
                <c:pt idx="334">
                  <c:v>4.6384914810859629E-2</c:v>
                </c:pt>
                <c:pt idx="335">
                  <c:v>4.7125181071197904E-2</c:v>
                </c:pt>
                <c:pt idx="336">
                  <c:v>4.7876663583409362E-2</c:v>
                </c:pt>
                <c:pt idx="337">
                  <c:v>4.8623016189469279E-2</c:v>
                </c:pt>
                <c:pt idx="338">
                  <c:v>4.9347983222495964E-2</c:v>
                </c:pt>
                <c:pt idx="339">
                  <c:v>5.0047553914826411E-2</c:v>
                </c:pt>
                <c:pt idx="340">
                  <c:v>5.0717517130748457E-2</c:v>
                </c:pt>
                <c:pt idx="341">
                  <c:v>5.1353490080707873E-2</c:v>
                </c:pt>
                <c:pt idx="342">
                  <c:v>5.1950954342249715E-2</c:v>
                </c:pt>
                <c:pt idx="343">
                  <c:v>5.2505299463546241E-2</c:v>
                </c:pt>
                <c:pt idx="344">
                  <c:v>5.3019934614092053E-2</c:v>
                </c:pt>
                <c:pt idx="345">
                  <c:v>5.3500416283097429E-2</c:v>
                </c:pt>
                <c:pt idx="346">
                  <c:v>5.3932470191094276E-2</c:v>
                </c:pt>
                <c:pt idx="347">
                  <c:v>5.431466868339719E-2</c:v>
                </c:pt>
                <c:pt idx="348">
                  <c:v>5.4645705522001625E-2</c:v>
                </c:pt>
                <c:pt idx="349">
                  <c:v>5.4924407400788001E-2</c:v>
                </c:pt>
                <c:pt idx="350">
                  <c:v>5.5149744820026957E-2</c:v>
                </c:pt>
                <c:pt idx="351">
                  <c:v>5.5308873113175616E-2</c:v>
                </c:pt>
                <c:pt idx="352">
                  <c:v>5.5415402613304028E-2</c:v>
                </c:pt>
                <c:pt idx="353">
                  <c:v>5.5468811263247486E-2</c:v>
                </c:pt>
                <c:pt idx="354">
                  <c:v>5.5468747099111676E-2</c:v>
                </c:pt>
                <c:pt idx="355">
                  <c:v>5.541503337834297E-2</c:v>
                </c:pt>
                <c:pt idx="356">
                  <c:v>5.5307352811908704E-2</c:v>
                </c:pt>
                <c:pt idx="357">
                  <c:v>5.5146138143300355E-2</c:v>
                </c:pt>
                <c:pt idx="358">
                  <c:v>5.493059523700955E-2</c:v>
                </c:pt>
                <c:pt idx="359">
                  <c:v>5.4660920361951075E-2</c:v>
                </c:pt>
                <c:pt idx="360">
                  <c:v>5.432464023775644E-2</c:v>
                </c:pt>
                <c:pt idx="361">
                  <c:v>5.3935496116242029E-2</c:v>
                </c:pt>
                <c:pt idx="362">
                  <c:v>5.349546818824507E-2</c:v>
                </c:pt>
                <c:pt idx="363">
                  <c:v>5.3006641598885462E-2</c:v>
                </c:pt>
                <c:pt idx="364">
                  <c:v>5.247118616012876E-2</c:v>
                </c:pt>
                <c:pt idx="365">
                  <c:v>5.1891336614902077E-2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902248"/>
        <c:axId val="443902640"/>
      </c:lineChart>
      <c:dateAx>
        <c:axId val="44390224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02640"/>
        <c:crosses val="autoZero"/>
        <c:auto val="1"/>
        <c:lblOffset val="100"/>
        <c:baseTimeUnit val="days"/>
        <c:majorUnit val="1"/>
        <c:majorTimeUnit val="months"/>
      </c:dateAx>
      <c:valAx>
        <c:axId val="44390264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022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16.439347728720879</c:v>
                </c:pt>
                <c:pt idx="1">
                  <c:v>16.55950908426232</c:v>
                </c:pt>
                <c:pt idx="2">
                  <c:v>16.687730904462594</c:v>
                </c:pt>
                <c:pt idx="3">
                  <c:v>16.823775684287231</c:v>
                </c:pt>
                <c:pt idx="4">
                  <c:v>16.967406016593465</c:v>
                </c:pt>
                <c:pt idx="5">
                  <c:v>17.118384588182781</c:v>
                </c:pt>
                <c:pt idx="6">
                  <c:v>17.276474163299991</c:v>
                </c:pt>
                <c:pt idx="7">
                  <c:v>17.441437602598437</c:v>
                </c:pt>
                <c:pt idx="8">
                  <c:v>17.615102563737125</c:v>
                </c:pt>
                <c:pt idx="9">
                  <c:v>17.798891959625699</c:v>
                </c:pt>
                <c:pt idx="10">
                  <c:v>17.992036232194167</c:v>
                </c:pt>
                <c:pt idx="11">
                  <c:v>18.19386870110527</c:v>
                </c:pt>
                <c:pt idx="12">
                  <c:v>18.403723066254638</c:v>
                </c:pt>
                <c:pt idx="13">
                  <c:v>18.620933429598139</c:v>
                </c:pt>
                <c:pt idx="14">
                  <c:v>18.844834284797578</c:v>
                </c:pt>
                <c:pt idx="15">
                  <c:v>19.07491867941425</c:v>
                </c:pt>
                <c:pt idx="16">
                  <c:v>19.310548678093777</c:v>
                </c:pt>
                <c:pt idx="17">
                  <c:v>19.551059906833242</c:v>
                </c:pt>
                <c:pt idx="18">
                  <c:v>19.795788360502389</c:v>
                </c:pt>
                <c:pt idx="19">
                  <c:v>20.044067930807742</c:v>
                </c:pt>
                <c:pt idx="20">
                  <c:v>20.295231823374639</c:v>
                </c:pt>
                <c:pt idx="21">
                  <c:v>20.548615590969735</c:v>
                </c:pt>
                <c:pt idx="22">
                  <c:v>20.805861090182418</c:v>
                </c:pt>
                <c:pt idx="23">
                  <c:v>21.069330184156307</c:v>
                </c:pt>
                <c:pt idx="24">
                  <c:v>21.338837292514491</c:v>
                </c:pt>
                <c:pt idx="25">
                  <c:v>21.614078312411376</c:v>
                </c:pt>
                <c:pt idx="26">
                  <c:v>21.894749299606289</c:v>
                </c:pt>
                <c:pt idx="27">
                  <c:v>22.180546473865046</c:v>
                </c:pt>
                <c:pt idx="28">
                  <c:v>22.471166233407999</c:v>
                </c:pt>
                <c:pt idx="29">
                  <c:v>22.766736998655219</c:v>
                </c:pt>
                <c:pt idx="30">
                  <c:v>23.066798511132806</c:v>
                </c:pt>
                <c:pt idx="31">
                  <c:v>23.371048288995127</c:v>
                </c:pt>
                <c:pt idx="32">
                  <c:v>23.679184108090581</c:v>
                </c:pt>
                <c:pt idx="33">
                  <c:v>23.990904022649129</c:v>
                </c:pt>
                <c:pt idx="34">
                  <c:v>24.305906375200532</c:v>
                </c:pt>
                <c:pt idx="35">
                  <c:v>24.623889813326294</c:v>
                </c:pt>
                <c:pt idx="36">
                  <c:v>24.945086410205711</c:v>
                </c:pt>
                <c:pt idx="37">
                  <c:v>25.269773220895928</c:v>
                </c:pt>
                <c:pt idx="38">
                  <c:v>25.597569775228401</c:v>
                </c:pt>
                <c:pt idx="39">
                  <c:v>25.928575417632832</c:v>
                </c:pt>
                <c:pt idx="40">
                  <c:v>26.262889613140342</c:v>
                </c:pt>
                <c:pt idx="41">
                  <c:v>26.600611958913223</c:v>
                </c:pt>
                <c:pt idx="42">
                  <c:v>26.941842178729711</c:v>
                </c:pt>
                <c:pt idx="43">
                  <c:v>27.285970695010633</c:v>
                </c:pt>
                <c:pt idx="44">
                  <c:v>27.632663935360867</c:v>
                </c:pt>
                <c:pt idx="45">
                  <c:v>27.982021268079496</c:v>
                </c:pt>
                <c:pt idx="46">
                  <c:v>28.334142024894913</c:v>
                </c:pt>
                <c:pt idx="47">
                  <c:v>28.689125487510147</c:v>
                </c:pt>
                <c:pt idx="48">
                  <c:v>29.047070858558818</c:v>
                </c:pt>
                <c:pt idx="49">
                  <c:v>29.408077249894991</c:v>
                </c:pt>
                <c:pt idx="50">
                  <c:v>29.772858688213283</c:v>
                </c:pt>
                <c:pt idx="51">
                  <c:v>30.141450752390213</c:v>
                </c:pt>
                <c:pt idx="52">
                  <c:v>30.513673282797871</c:v>
                </c:pt>
                <c:pt idx="53">
                  <c:v>30.889126075756892</c:v>
                </c:pt>
                <c:pt idx="54">
                  <c:v>31.267408259392525</c:v>
                </c:pt>
                <c:pt idx="55">
                  <c:v>31.648119007986907</c:v>
                </c:pt>
                <c:pt idx="56">
                  <c:v>32.030857518155557</c:v>
                </c:pt>
                <c:pt idx="57">
                  <c:v>32.415241784169027</c:v>
                </c:pt>
                <c:pt idx="58">
                  <c:v>32.801583002527408</c:v>
                </c:pt>
                <c:pt idx="59">
                  <c:v>33.189481277673302</c:v>
                </c:pt>
                <c:pt idx="60">
                  <c:v>33.578536788141164</c:v>
                </c:pt>
                <c:pt idx="61">
                  <c:v>33.96834976837286</c:v>
                </c:pt>
                <c:pt idx="62">
                  <c:v>34.358520501836985</c:v>
                </c:pt>
                <c:pt idx="63">
                  <c:v>34.748649310622454</c:v>
                </c:pt>
                <c:pt idx="64">
                  <c:v>35.140625571559809</c:v>
                </c:pt>
                <c:pt idx="65">
                  <c:v>35.536265125705206</c:v>
                </c:pt>
                <c:pt idx="66">
                  <c:v>35.935315822970821</c:v>
                </c:pt>
                <c:pt idx="67">
                  <c:v>36.337178067263338</c:v>
                </c:pt>
                <c:pt idx="68">
                  <c:v>36.741252462757849</c:v>
                </c:pt>
                <c:pt idx="69">
                  <c:v>37.146939807002319</c:v>
                </c:pt>
                <c:pt idx="70">
                  <c:v>37.55364109186349</c:v>
                </c:pt>
                <c:pt idx="71">
                  <c:v>37.960858118353201</c:v>
                </c:pt>
                <c:pt idx="72">
                  <c:v>38.367973530097878</c:v>
                </c:pt>
                <c:pt idx="73">
                  <c:v>38.77438900560184</c:v>
                </c:pt>
                <c:pt idx="74">
                  <c:v>39.179506427828066</c:v>
                </c:pt>
                <c:pt idx="75">
                  <c:v>39.582727889378013</c:v>
                </c:pt>
                <c:pt idx="76">
                  <c:v>39.983455699045621</c:v>
                </c:pt>
                <c:pt idx="77">
                  <c:v>40.381092388328298</c:v>
                </c:pt>
                <c:pt idx="78">
                  <c:v>40.77825185105619</c:v>
                </c:pt>
                <c:pt idx="79">
                  <c:v>41.177475350090923</c:v>
                </c:pt>
                <c:pt idx="80">
                  <c:v>41.577903559100477</c:v>
                </c:pt>
                <c:pt idx="81">
                  <c:v>41.978738649563645</c:v>
                </c:pt>
                <c:pt idx="82">
                  <c:v>42.379183175621108</c:v>
                </c:pt>
                <c:pt idx="83">
                  <c:v>42.778440084462652</c:v>
                </c:pt>
                <c:pt idx="84">
                  <c:v>43.175712735128734</c:v>
                </c:pt>
                <c:pt idx="85">
                  <c:v>43.570236861908739</c:v>
                </c:pt>
                <c:pt idx="86">
                  <c:v>43.961115256322877</c:v>
                </c:pt>
                <c:pt idx="87">
                  <c:v>44.347552388756256</c:v>
                </c:pt>
                <c:pt idx="88">
                  <c:v>44.728753193401111</c:v>
                </c:pt>
                <c:pt idx="89">
                  <c:v>45.103923083870917</c:v>
                </c:pt>
                <c:pt idx="90">
                  <c:v>45.472267971254873</c:v>
                </c:pt>
                <c:pt idx="91">
                  <c:v>45.832994292809765</c:v>
                </c:pt>
                <c:pt idx="92">
                  <c:v>46.187935032491744</c:v>
                </c:pt>
                <c:pt idx="93">
                  <c:v>46.539303020905471</c:v>
                </c:pt>
                <c:pt idx="94">
                  <c:v>46.88673642111624</c:v>
                </c:pt>
                <c:pt idx="95">
                  <c:v>47.229936137422904</c:v>
                </c:pt>
                <c:pt idx="96">
                  <c:v>47.56860332753736</c:v>
                </c:pt>
                <c:pt idx="97">
                  <c:v>47.902439409623561</c:v>
                </c:pt>
                <c:pt idx="98">
                  <c:v>48.231146090675509</c:v>
                </c:pt>
                <c:pt idx="99">
                  <c:v>48.554459905231582</c:v>
                </c:pt>
                <c:pt idx="100">
                  <c:v>48.872051370343932</c:v>
                </c:pt>
                <c:pt idx="101">
                  <c:v>49.183623425446854</c:v>
                </c:pt>
                <c:pt idx="102">
                  <c:v>49.488879379877474</c:v>
                </c:pt>
                <c:pt idx="103">
                  <c:v>49.787522934265517</c:v>
                </c:pt>
                <c:pt idx="104">
                  <c:v>50.079258201471291</c:v>
                </c:pt>
                <c:pt idx="105">
                  <c:v>50.363789719168409</c:v>
                </c:pt>
                <c:pt idx="106">
                  <c:v>50.642206376831602</c:v>
                </c:pt>
                <c:pt idx="107">
                  <c:v>50.91562123549248</c:v>
                </c:pt>
                <c:pt idx="108">
                  <c:v>51.183686760284623</c:v>
                </c:pt>
                <c:pt idx="109">
                  <c:v>51.446107613395462</c:v>
                </c:pt>
                <c:pt idx="110">
                  <c:v>51.702588717535164</c:v>
                </c:pt>
                <c:pt idx="111">
                  <c:v>51.952835528714921</c:v>
                </c:pt>
                <c:pt idx="112">
                  <c:v>52.196554291771143</c:v>
                </c:pt>
                <c:pt idx="113">
                  <c:v>52.433400868143593</c:v>
                </c:pt>
                <c:pt idx="114">
                  <c:v>52.663045807880984</c:v>
                </c:pt>
                <c:pt idx="115">
                  <c:v>52.885196203519577</c:v>
                </c:pt>
                <c:pt idx="116">
                  <c:v>53.099559718603963</c:v>
                </c:pt>
                <c:pt idx="117">
                  <c:v>53.305844598727063</c:v>
                </c:pt>
                <c:pt idx="118">
                  <c:v>53.50375968613703</c:v>
                </c:pt>
                <c:pt idx="119">
                  <c:v>53.693014448575084</c:v>
                </c:pt>
                <c:pt idx="120">
                  <c:v>53.873203999522303</c:v>
                </c:pt>
                <c:pt idx="121">
                  <c:v>54.044274898585051</c:v>
                </c:pt>
                <c:pt idx="122">
                  <c:v>54.206601474771389</c:v>
                </c:pt>
                <c:pt idx="123">
                  <c:v>54.360583586260411</c:v>
                </c:pt>
                <c:pt idx="124">
                  <c:v>54.50662107905444</c:v>
                </c:pt>
                <c:pt idx="125">
                  <c:v>54.645113804316388</c:v>
                </c:pt>
                <c:pt idx="126">
                  <c:v>54.776461604299094</c:v>
                </c:pt>
                <c:pt idx="127">
                  <c:v>54.901020073782398</c:v>
                </c:pt>
                <c:pt idx="128">
                  <c:v>55.019241742330713</c:v>
                </c:pt>
                <c:pt idx="129">
                  <c:v>55.131526494298377</c:v>
                </c:pt>
                <c:pt idx="130">
                  <c:v>55.238274189731229</c:v>
                </c:pt>
                <c:pt idx="131">
                  <c:v>55.339884657190261</c:v>
                </c:pt>
                <c:pt idx="132">
                  <c:v>55.4367576875323</c:v>
                </c:pt>
                <c:pt idx="133">
                  <c:v>55.529293017855302</c:v>
                </c:pt>
                <c:pt idx="134">
                  <c:v>55.616269267628631</c:v>
                </c:pt>
                <c:pt idx="135">
                  <c:v>55.696395272768569</c:v>
                </c:pt>
                <c:pt idx="136">
                  <c:v>55.770089070997827</c:v>
                </c:pt>
                <c:pt idx="137">
                  <c:v>55.837655661806046</c:v>
                </c:pt>
                <c:pt idx="138">
                  <c:v>55.899400081714781</c:v>
                </c:pt>
                <c:pt idx="139">
                  <c:v>55.955627384354422</c:v>
                </c:pt>
                <c:pt idx="140">
                  <c:v>56.006642613236203</c:v>
                </c:pt>
                <c:pt idx="141">
                  <c:v>56.05272459897467</c:v>
                </c:pt>
                <c:pt idx="142">
                  <c:v>56.094224793093382</c:v>
                </c:pt>
                <c:pt idx="143">
                  <c:v>56.131448347408501</c:v>
                </c:pt>
                <c:pt idx="144">
                  <c:v>56.164700237549923</c:v>
                </c:pt>
                <c:pt idx="145">
                  <c:v>56.194285308558314</c:v>
                </c:pt>
                <c:pt idx="146">
                  <c:v>56.220508245810457</c:v>
                </c:pt>
                <c:pt idx="147">
                  <c:v>56.243673539259731</c:v>
                </c:pt>
                <c:pt idx="148">
                  <c:v>56.262926913015612</c:v>
                </c:pt>
                <c:pt idx="149">
                  <c:v>56.27732771083987</c:v>
                </c:pt>
                <c:pt idx="150">
                  <c:v>56.287088866056791</c:v>
                </c:pt>
                <c:pt idx="151">
                  <c:v>56.292417375063629</c:v>
                </c:pt>
                <c:pt idx="152">
                  <c:v>56.293519953646253</c:v>
                </c:pt>
                <c:pt idx="153">
                  <c:v>56.290602999615977</c:v>
                </c:pt>
                <c:pt idx="154">
                  <c:v>56.283872564178608</c:v>
                </c:pt>
                <c:pt idx="155">
                  <c:v>56.273529512469231</c:v>
                </c:pt>
                <c:pt idx="156">
                  <c:v>56.259806902383133</c:v>
                </c:pt>
                <c:pt idx="157">
                  <c:v>56.242909824772227</c:v>
                </c:pt>
                <c:pt idx="158">
                  <c:v>56.223042893184129</c:v>
                </c:pt>
                <c:pt idx="159">
                  <c:v>56.200410215521465</c:v>
                </c:pt>
                <c:pt idx="160">
                  <c:v>56.175215367879346</c:v>
                </c:pt>
                <c:pt idx="161">
                  <c:v>56.147661369450702</c:v>
                </c:pt>
                <c:pt idx="162">
                  <c:v>56.117039927544624</c:v>
                </c:pt>
                <c:pt idx="163">
                  <c:v>56.082643140875994</c:v>
                </c:pt>
                <c:pt idx="164">
                  <c:v>56.04469724084246</c:v>
                </c:pt>
                <c:pt idx="165">
                  <c:v>56.00340431661234</c:v>
                </c:pt>
                <c:pt idx="166">
                  <c:v>55.958965778479254</c:v>
                </c:pt>
                <c:pt idx="167">
                  <c:v>55.911582346379618</c:v>
                </c:pt>
                <c:pt idx="168">
                  <c:v>55.861449980566931</c:v>
                </c:pt>
                <c:pt idx="169">
                  <c:v>55.808772294244704</c:v>
                </c:pt>
                <c:pt idx="170">
                  <c:v>55.75375313393765</c:v>
                </c:pt>
                <c:pt idx="171">
                  <c:v>55.696590261327295</c:v>
                </c:pt>
                <c:pt idx="172">
                  <c:v>55.63748074149553</c:v>
                </c:pt>
                <c:pt idx="173">
                  <c:v>55.576620998749938</c:v>
                </c:pt>
                <c:pt idx="174">
                  <c:v>55.514206783052636</c:v>
                </c:pt>
                <c:pt idx="175">
                  <c:v>55.450433143751759</c:v>
                </c:pt>
                <c:pt idx="176">
                  <c:v>55.385429623883049</c:v>
                </c:pt>
                <c:pt idx="177">
                  <c:v>55.319060244595335</c:v>
                </c:pt>
                <c:pt idx="178">
                  <c:v>55.251129500097029</c:v>
                </c:pt>
                <c:pt idx="179">
                  <c:v>55.181441394478647</c:v>
                </c:pt>
                <c:pt idx="180">
                  <c:v>55.109799640056686</c:v>
                </c:pt>
                <c:pt idx="181">
                  <c:v>55.036007674365607</c:v>
                </c:pt>
                <c:pt idx="182">
                  <c:v>54.959868677492828</c:v>
                </c:pt>
                <c:pt idx="183">
                  <c:v>54.881158663836004</c:v>
                </c:pt>
                <c:pt idx="184">
                  <c:v>54.799680414571334</c:v>
                </c:pt>
                <c:pt idx="185">
                  <c:v>54.715236146730227</c:v>
                </c:pt>
                <c:pt idx="186">
                  <c:v>54.627627934230908</c:v>
                </c:pt>
                <c:pt idx="187">
                  <c:v>54.536657734589348</c:v>
                </c:pt>
                <c:pt idx="188">
                  <c:v>54.44212741543496</c:v>
                </c:pt>
                <c:pt idx="189">
                  <c:v>54.343838786733777</c:v>
                </c:pt>
                <c:pt idx="190">
                  <c:v>54.241658347073717</c:v>
                </c:pt>
                <c:pt idx="191">
                  <c:v>54.135680088863403</c:v>
                </c:pt>
                <c:pt idx="192">
                  <c:v>54.026099772965431</c:v>
                </c:pt>
                <c:pt idx="193">
                  <c:v>53.913106997002949</c:v>
                </c:pt>
                <c:pt idx="194">
                  <c:v>53.796891254046301</c:v>
                </c:pt>
                <c:pt idx="195">
                  <c:v>53.677641959027653</c:v>
                </c:pt>
                <c:pt idx="196">
                  <c:v>53.555548487068343</c:v>
                </c:pt>
                <c:pt idx="197">
                  <c:v>53.430789037780514</c:v>
                </c:pt>
                <c:pt idx="198">
                  <c:v>53.303581434189503</c:v>
                </c:pt>
                <c:pt idx="199">
                  <c:v>53.174115034117428</c:v>
                </c:pt>
                <c:pt idx="200">
                  <c:v>53.042579267347961</c:v>
                </c:pt>
                <c:pt idx="201">
                  <c:v>52.909163660458461</c:v>
                </c:pt>
                <c:pt idx="202">
                  <c:v>52.774057851873117</c:v>
                </c:pt>
                <c:pt idx="203">
                  <c:v>52.637451614038682</c:v>
                </c:pt>
                <c:pt idx="204">
                  <c:v>52.499470290603071</c:v>
                </c:pt>
                <c:pt idx="205">
                  <c:v>52.359916345398027</c:v>
                </c:pt>
                <c:pt idx="206">
                  <c:v>52.218624234902322</c:v>
                </c:pt>
                <c:pt idx="207">
                  <c:v>52.075396767111258</c:v>
                </c:pt>
                <c:pt idx="208">
                  <c:v>51.930037136304669</c:v>
                </c:pt>
                <c:pt idx="209">
                  <c:v>51.782348920462624</c:v>
                </c:pt>
                <c:pt idx="210">
                  <c:v>51.632136075780544</c:v>
                </c:pt>
                <c:pt idx="211">
                  <c:v>51.479068009874815</c:v>
                </c:pt>
                <c:pt idx="212">
                  <c:v>51.322961981290298</c:v>
                </c:pt>
                <c:pt idx="213">
                  <c:v>51.163623055212319</c:v>
                </c:pt>
                <c:pt idx="214">
                  <c:v>51.000856646035174</c:v>
                </c:pt>
                <c:pt idx="215">
                  <c:v>50.8344684963525</c:v>
                </c:pt>
                <c:pt idx="216">
                  <c:v>50.664264674574071</c:v>
                </c:pt>
                <c:pt idx="217">
                  <c:v>50.490051550743537</c:v>
                </c:pt>
                <c:pt idx="218">
                  <c:v>50.312958002140093</c:v>
                </c:pt>
                <c:pt idx="219">
                  <c:v>50.133914950224792</c:v>
                </c:pt>
                <c:pt idx="220">
                  <c:v>49.952602406639272</c:v>
                </c:pt>
                <c:pt idx="221">
                  <c:v>49.768633881410139</c:v>
                </c:pt>
                <c:pt idx="222">
                  <c:v>49.581623190201242</c:v>
                </c:pt>
                <c:pt idx="223">
                  <c:v>49.391184439900556</c:v>
                </c:pt>
                <c:pt idx="224">
                  <c:v>49.196932011499875</c:v>
                </c:pt>
                <c:pt idx="225">
                  <c:v>48.998518519931778</c:v>
                </c:pt>
                <c:pt idx="226">
                  <c:v>48.795694999028505</c:v>
                </c:pt>
                <c:pt idx="227">
                  <c:v>48.588076866807128</c:v>
                </c:pt>
                <c:pt idx="228">
                  <c:v>48.375279740488061</c:v>
                </c:pt>
                <c:pt idx="229">
                  <c:v>48.156919417553681</c:v>
                </c:pt>
                <c:pt idx="230">
                  <c:v>47.932611870652543</c:v>
                </c:pt>
                <c:pt idx="231">
                  <c:v>47.701973228736193</c:v>
                </c:pt>
                <c:pt idx="232">
                  <c:v>47.466004479030239</c:v>
                </c:pt>
                <c:pt idx="233">
                  <c:v>47.225903920120999</c:v>
                </c:pt>
                <c:pt idx="234">
                  <c:v>46.981550115115127</c:v>
                </c:pt>
                <c:pt idx="235">
                  <c:v>46.732752275825895</c:v>
                </c:pt>
                <c:pt idx="236">
                  <c:v>46.479319592303028</c:v>
                </c:pt>
                <c:pt idx="237">
                  <c:v>46.22106135565997</c:v>
                </c:pt>
                <c:pt idx="238">
                  <c:v>45.957786878111527</c:v>
                </c:pt>
                <c:pt idx="239">
                  <c:v>45.689387018625865</c:v>
                </c:pt>
                <c:pt idx="240">
                  <c:v>45.415632794779171</c:v>
                </c:pt>
                <c:pt idx="241">
                  <c:v>45.136333687234256</c:v>
                </c:pt>
                <c:pt idx="242">
                  <c:v>44.851299192111753</c:v>
                </c:pt>
                <c:pt idx="243">
                  <c:v>44.560338820429457</c:v>
                </c:pt>
                <c:pt idx="244">
                  <c:v>44.263262097808742</c:v>
                </c:pt>
                <c:pt idx="245">
                  <c:v>43.959878566866607</c:v>
                </c:pt>
                <c:pt idx="246">
                  <c:v>43.649434953571365</c:v>
                </c:pt>
                <c:pt idx="247">
                  <c:v>43.331678947787502</c:v>
                </c:pt>
                <c:pt idx="248">
                  <c:v>43.007025739088789</c:v>
                </c:pt>
                <c:pt idx="249">
                  <c:v>42.675960108219378</c:v>
                </c:pt>
                <c:pt idx="250">
                  <c:v>42.338966634771701</c:v>
                </c:pt>
                <c:pt idx="251">
                  <c:v>41.996529694971876</c:v>
                </c:pt>
                <c:pt idx="252">
                  <c:v>41.649133474210984</c:v>
                </c:pt>
                <c:pt idx="253">
                  <c:v>41.297340925582539</c:v>
                </c:pt>
                <c:pt idx="254">
                  <c:v>40.94155352368805</c:v>
                </c:pt>
                <c:pt idx="255">
                  <c:v>40.582254812666172</c:v>
                </c:pt>
                <c:pt idx="256">
                  <c:v>40.219928155480211</c:v>
                </c:pt>
                <c:pt idx="257">
                  <c:v>39.855056741058696</c:v>
                </c:pt>
                <c:pt idx="258">
                  <c:v>39.488123583809617</c:v>
                </c:pt>
                <c:pt idx="259">
                  <c:v>39.119611518452309</c:v>
                </c:pt>
                <c:pt idx="260">
                  <c:v>38.746918825779332</c:v>
                </c:pt>
                <c:pt idx="261">
                  <c:v>38.367834309167662</c:v>
                </c:pt>
                <c:pt idx="262">
                  <c:v>37.983175736593331</c:v>
                </c:pt>
                <c:pt idx="263">
                  <c:v>37.593811592519224</c:v>
                </c:pt>
                <c:pt idx="264">
                  <c:v>37.200610023646526</c:v>
                </c:pt>
                <c:pt idx="265">
                  <c:v>36.804437731143004</c:v>
                </c:pt>
                <c:pt idx="266">
                  <c:v>36.40616163793149</c:v>
                </c:pt>
                <c:pt idx="267">
                  <c:v>36.006616580707721</c:v>
                </c:pt>
                <c:pt idx="268">
                  <c:v>35.606589934877675</c:v>
                </c:pt>
                <c:pt idx="269">
                  <c:v>35.206948069840259</c:v>
                </c:pt>
                <c:pt idx="270">
                  <c:v>34.808557079061458</c:v>
                </c:pt>
                <c:pt idx="271">
                  <c:v>34.412282786670403</c:v>
                </c:pt>
                <c:pt idx="272">
                  <c:v>34.018990755072238</c:v>
                </c:pt>
                <c:pt idx="273">
                  <c:v>33.629546297018805</c:v>
                </c:pt>
                <c:pt idx="274">
                  <c:v>33.240559988495683</c:v>
                </c:pt>
                <c:pt idx="275">
                  <c:v>32.848473819270005</c:v>
                </c:pt>
                <c:pt idx="276">
                  <c:v>32.454114394791574</c:v>
                </c:pt>
                <c:pt idx="277">
                  <c:v>32.05844165480503</c:v>
                </c:pt>
                <c:pt idx="278">
                  <c:v>31.662415241404108</c:v>
                </c:pt>
                <c:pt idx="279">
                  <c:v>31.266994519717986</c:v>
                </c:pt>
                <c:pt idx="280">
                  <c:v>30.873138606837461</c:v>
                </c:pt>
                <c:pt idx="281">
                  <c:v>30.481285440532929</c:v>
                </c:pt>
                <c:pt idx="282">
                  <c:v>30.092427180169128</c:v>
                </c:pt>
                <c:pt idx="283">
                  <c:v>29.707521815401513</c:v>
                </c:pt>
                <c:pt idx="284">
                  <c:v>29.32752719297261</c:v>
                </c:pt>
                <c:pt idx="285">
                  <c:v>28.953401049584915</c:v>
                </c:pt>
                <c:pt idx="286">
                  <c:v>28.586101066208876</c:v>
                </c:pt>
                <c:pt idx="287">
                  <c:v>28.226584907439197</c:v>
                </c:pt>
                <c:pt idx="288">
                  <c:v>27.874028280998939</c:v>
                </c:pt>
                <c:pt idx="289">
                  <c:v>27.525998370843684</c:v>
                </c:pt>
                <c:pt idx="290">
                  <c:v>27.182436892758666</c:v>
                </c:pt>
                <c:pt idx="291">
                  <c:v>26.843049000509623</c:v>
                </c:pt>
                <c:pt idx="292">
                  <c:v>26.507539805846719</c:v>
                </c:pt>
                <c:pt idx="293">
                  <c:v>26.175614406472022</c:v>
                </c:pt>
                <c:pt idx="294">
                  <c:v>25.846977908531912</c:v>
                </c:pt>
                <c:pt idx="295">
                  <c:v>25.521261439455373</c:v>
                </c:pt>
                <c:pt idx="296">
                  <c:v>25.19869094737081</c:v>
                </c:pt>
                <c:pt idx="297">
                  <c:v>24.87896871776098</c:v>
                </c:pt>
                <c:pt idx="298">
                  <c:v>24.561799556634668</c:v>
                </c:pt>
                <c:pt idx="299">
                  <c:v>24.246888271629878</c:v>
                </c:pt>
                <c:pt idx="300">
                  <c:v>23.933939705747424</c:v>
                </c:pt>
                <c:pt idx="301">
                  <c:v>23.622658758281368</c:v>
                </c:pt>
                <c:pt idx="302">
                  <c:v>23.312637988511955</c:v>
                </c:pt>
                <c:pt idx="303">
                  <c:v>23.00465676848949</c:v>
                </c:pt>
                <c:pt idx="304">
                  <c:v>22.699874337841795</c:v>
                </c:pt>
                <c:pt idx="305">
                  <c:v>22.398673028887252</c:v>
                </c:pt>
                <c:pt idx="306">
                  <c:v>22.101435508300959</c:v>
                </c:pt>
                <c:pt idx="307">
                  <c:v>21.808544789926152</c:v>
                </c:pt>
                <c:pt idx="308">
                  <c:v>21.520384246523356</c:v>
                </c:pt>
                <c:pt idx="309">
                  <c:v>21.237905596913002</c:v>
                </c:pt>
                <c:pt idx="310">
                  <c:v>20.961568214588453</c:v>
                </c:pt>
                <c:pt idx="311">
                  <c:v>20.691757484185221</c:v>
                </c:pt>
                <c:pt idx="312">
                  <c:v>20.428859112256557</c:v>
                </c:pt>
                <c:pt idx="313">
                  <c:v>20.173259115363134</c:v>
                </c:pt>
                <c:pt idx="314">
                  <c:v>19.925343805614734</c:v>
                </c:pt>
                <c:pt idx="315">
                  <c:v>19.685499766043385</c:v>
                </c:pt>
                <c:pt idx="316">
                  <c:v>19.453776343690727</c:v>
                </c:pt>
                <c:pt idx="317">
                  <c:v>19.22985453343691</c:v>
                </c:pt>
                <c:pt idx="318">
                  <c:v>19.012704549430907</c:v>
                </c:pt>
                <c:pt idx="319">
                  <c:v>18.802037918776339</c:v>
                </c:pt>
                <c:pt idx="320">
                  <c:v>18.597566312479902</c:v>
                </c:pt>
                <c:pt idx="321">
                  <c:v>18.399001543666014</c:v>
                </c:pt>
                <c:pt idx="322">
                  <c:v>18.206055554304179</c:v>
                </c:pt>
                <c:pt idx="323">
                  <c:v>18.018231326436762</c:v>
                </c:pt>
                <c:pt idx="324">
                  <c:v>17.834669291707222</c:v>
                </c:pt>
                <c:pt idx="325">
                  <c:v>17.655081161697787</c:v>
                </c:pt>
                <c:pt idx="326">
                  <c:v>17.479183513696935</c:v>
                </c:pt>
                <c:pt idx="327">
                  <c:v>17.306690118158485</c:v>
                </c:pt>
                <c:pt idx="328">
                  <c:v>17.137311114737244</c:v>
                </c:pt>
                <c:pt idx="329">
                  <c:v>16.970756810506732</c:v>
                </c:pt>
                <c:pt idx="330">
                  <c:v>16.805580275344163</c:v>
                </c:pt>
                <c:pt idx="331">
                  <c:v>16.64108983516946</c:v>
                </c:pt>
                <c:pt idx="332">
                  <c:v>16.478071662855683</c:v>
                </c:pt>
                <c:pt idx="333">
                  <c:v>16.317393996821956</c:v>
                </c:pt>
                <c:pt idx="334">
                  <c:v>16.159925158067978</c:v>
                </c:pt>
                <c:pt idx="335">
                  <c:v>16.006533508430035</c:v>
                </c:pt>
                <c:pt idx="336">
                  <c:v>15.858087392139598</c:v>
                </c:pt>
                <c:pt idx="337">
                  <c:v>15.715677485575567</c:v>
                </c:pt>
                <c:pt idx="338">
                  <c:v>15.580381393321467</c:v>
                </c:pt>
                <c:pt idx="339">
                  <c:v>15.453067136339767</c:v>
                </c:pt>
                <c:pt idx="340">
                  <c:v>15.334602535234884</c:v>
                </c:pt>
                <c:pt idx="341">
                  <c:v>15.225855178515653</c:v>
                </c:pt>
                <c:pt idx="342">
                  <c:v>15.127692399280193</c:v>
                </c:pt>
                <c:pt idx="343">
                  <c:v>15.040981242240617</c:v>
                </c:pt>
                <c:pt idx="344">
                  <c:v>14.964185719110787</c:v>
                </c:pt>
                <c:pt idx="345">
                  <c:v>14.895263304192461</c:v>
                </c:pt>
                <c:pt idx="346">
                  <c:v>14.834523110776994</c:v>
                </c:pt>
                <c:pt idx="347">
                  <c:v>14.782071929021035</c:v>
                </c:pt>
                <c:pt idx="348">
                  <c:v>14.738016428167727</c:v>
                </c:pt>
                <c:pt idx="349">
                  <c:v>14.702463163709167</c:v>
                </c:pt>
                <c:pt idx="350">
                  <c:v>14.675518579729305</c:v>
                </c:pt>
                <c:pt idx="351">
                  <c:v>14.657474719124837</c:v>
                </c:pt>
                <c:pt idx="352">
                  <c:v>14.648215412215066</c:v>
                </c:pt>
                <c:pt idx="353">
                  <c:v>14.647846796886281</c:v>
                </c:pt>
                <c:pt idx="354">
                  <c:v>14.656474928145498</c:v>
                </c:pt>
                <c:pt idx="355">
                  <c:v>14.67420576752933</c:v>
                </c:pt>
                <c:pt idx="356">
                  <c:v>14.701150186752743</c:v>
                </c:pt>
                <c:pt idx="357">
                  <c:v>14.73741015205907</c:v>
                </c:pt>
                <c:pt idx="358">
                  <c:v>14.783353013500447</c:v>
                </c:pt>
                <c:pt idx="359">
                  <c:v>14.839123769879709</c:v>
                </c:pt>
                <c:pt idx="360">
                  <c:v>14.904721503620111</c:v>
                </c:pt>
                <c:pt idx="361">
                  <c:v>14.979736559082902</c:v>
                </c:pt>
                <c:pt idx="362">
                  <c:v>15.063945208203096</c:v>
                </c:pt>
                <c:pt idx="363">
                  <c:v>15.157123708860855</c:v>
                </c:pt>
                <c:pt idx="364">
                  <c:v>15.259048297178079</c:v>
                </c:pt>
                <c:pt idx="365">
                  <c:v>15.369495185065636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12.096</c:v>
                </c:pt>
                <c:pt idx="1">
                  <c:v>15.554</c:v>
                </c:pt>
                <c:pt idx="2">
                  <c:v>8.1</c:v>
                </c:pt>
                <c:pt idx="3">
                  <c:v>5.1870000000000003</c:v>
                </c:pt>
                <c:pt idx="4">
                  <c:v>10.692</c:v>
                </c:pt>
                <c:pt idx="5">
                  <c:v>16.457000000000001</c:v>
                </c:pt>
                <c:pt idx="6">
                  <c:v>6.7</c:v>
                </c:pt>
                <c:pt idx="7">
                  <c:v>10.481</c:v>
                </c:pt>
                <c:pt idx="8">
                  <c:v>16.523</c:v>
                </c:pt>
                <c:pt idx="9">
                  <c:v>9.1379999999999999</c:v>
                </c:pt>
                <c:pt idx="10">
                  <c:v>17.792000000000002</c:v>
                </c:pt>
                <c:pt idx="11">
                  <c:v>18.099</c:v>
                </c:pt>
                <c:pt idx="12">
                  <c:v>13.02</c:v>
                </c:pt>
                <c:pt idx="13">
                  <c:v>17.902999999999999</c:v>
                </c:pt>
                <c:pt idx="14">
                  <c:v>15.823</c:v>
                </c:pt>
                <c:pt idx="15">
                  <c:v>17.809999999999999</c:v>
                </c:pt>
                <c:pt idx="16">
                  <c:v>3.9079999999999999</c:v>
                </c:pt>
                <c:pt idx="17">
                  <c:v>16.012</c:v>
                </c:pt>
                <c:pt idx="18">
                  <c:v>17.690000000000001</c:v>
                </c:pt>
                <c:pt idx="19">
                  <c:v>8.7859999999999996</c:v>
                </c:pt>
                <c:pt idx="20">
                  <c:v>3.5750000000000002</c:v>
                </c:pt>
                <c:pt idx="21">
                  <c:v>1.196</c:v>
                </c:pt>
                <c:pt idx="22">
                  <c:v>12.441000000000001</c:v>
                </c:pt>
                <c:pt idx="23">
                  <c:v>11.632999999999999</c:v>
                </c:pt>
                <c:pt idx="24">
                  <c:v>12.215999999999999</c:v>
                </c:pt>
                <c:pt idx="25">
                  <c:v>5.9580000000000002</c:v>
                </c:pt>
                <c:pt idx="26">
                  <c:v>10.026</c:v>
                </c:pt>
                <c:pt idx="27">
                  <c:v>15.209</c:v>
                </c:pt>
                <c:pt idx="28">
                  <c:v>17.646000000000001</c:v>
                </c:pt>
                <c:pt idx="29">
                  <c:v>9.7620000000000005</c:v>
                </c:pt>
                <c:pt idx="30">
                  <c:v>17.120999999999999</c:v>
                </c:pt>
                <c:pt idx="31">
                  <c:v>10.69</c:v>
                </c:pt>
                <c:pt idx="32">
                  <c:v>20.349</c:v>
                </c:pt>
                <c:pt idx="33">
                  <c:v>19.754000000000001</c:v>
                </c:pt>
                <c:pt idx="34">
                  <c:v>14.896000000000001</c:v>
                </c:pt>
                <c:pt idx="35">
                  <c:v>24.451000000000001</c:v>
                </c:pt>
                <c:pt idx="36">
                  <c:v>25.385999999999999</c:v>
                </c:pt>
                <c:pt idx="37">
                  <c:v>17.393000000000001</c:v>
                </c:pt>
                <c:pt idx="38">
                  <c:v>22.145</c:v>
                </c:pt>
                <c:pt idx="39">
                  <c:v>22.788</c:v>
                </c:pt>
                <c:pt idx="40">
                  <c:v>12.839</c:v>
                </c:pt>
                <c:pt idx="41">
                  <c:v>8.6460000000000008</c:v>
                </c:pt>
                <c:pt idx="42">
                  <c:v>17.713000000000001</c:v>
                </c:pt>
                <c:pt idx="43">
                  <c:v>16.271999999999998</c:v>
                </c:pt>
                <c:pt idx="44">
                  <c:v>21.663</c:v>
                </c:pt>
                <c:pt idx="45">
                  <c:v>28.164000000000001</c:v>
                </c:pt>
                <c:pt idx="46">
                  <c:v>19.600000000000001</c:v>
                </c:pt>
                <c:pt idx="47">
                  <c:v>5.57</c:v>
                </c:pt>
                <c:pt idx="48">
                  <c:v>24.835000000000001</c:v>
                </c:pt>
                <c:pt idx="49">
                  <c:v>23.946000000000002</c:v>
                </c:pt>
                <c:pt idx="50">
                  <c:v>29.771000000000001</c:v>
                </c:pt>
                <c:pt idx="51">
                  <c:v>14.137</c:v>
                </c:pt>
                <c:pt idx="52">
                  <c:v>29.655999999999999</c:v>
                </c:pt>
                <c:pt idx="53">
                  <c:v>30.271999999999998</c:v>
                </c:pt>
                <c:pt idx="54">
                  <c:v>31.338000000000001</c:v>
                </c:pt>
                <c:pt idx="55">
                  <c:v>17.584</c:v>
                </c:pt>
                <c:pt idx="56">
                  <c:v>16.673999999999999</c:v>
                </c:pt>
                <c:pt idx="57">
                  <c:v>8.4190000000000005</c:v>
                </c:pt>
                <c:pt idx="58">
                  <c:v>16.963000000000001</c:v>
                </c:pt>
                <c:pt idx="59">
                  <c:v>13.920999999999999</c:v>
                </c:pt>
                <c:pt idx="60">
                  <c:v>23.280999999999999</c:v>
                </c:pt>
                <c:pt idx="61">
                  <c:v>19.745999999999999</c:v>
                </c:pt>
                <c:pt idx="62">
                  <c:v>4.9800000000000004</c:v>
                </c:pt>
                <c:pt idx="63">
                  <c:v>7.944</c:v>
                </c:pt>
                <c:pt idx="64">
                  <c:v>10.907</c:v>
                </c:pt>
                <c:pt idx="65">
                  <c:v>20.673999999999999</c:v>
                </c:pt>
                <c:pt idx="66">
                  <c:v>26.672000000000001</c:v>
                </c:pt>
                <c:pt idx="67">
                  <c:v>29.3</c:v>
                </c:pt>
                <c:pt idx="68">
                  <c:v>26.603999999999999</c:v>
                </c:pt>
                <c:pt idx="69">
                  <c:v>28.751000000000001</c:v>
                </c:pt>
                <c:pt idx="70">
                  <c:v>35.399000000000001</c:v>
                </c:pt>
                <c:pt idx="71">
                  <c:v>15.085000000000001</c:v>
                </c:pt>
                <c:pt idx="72">
                  <c:v>33.51</c:v>
                </c:pt>
                <c:pt idx="73">
                  <c:v>28.385999999999999</c:v>
                </c:pt>
                <c:pt idx="74">
                  <c:v>40.573</c:v>
                </c:pt>
                <c:pt idx="75">
                  <c:v>8.57</c:v>
                </c:pt>
                <c:pt idx="76">
                  <c:v>9.9510000000000005</c:v>
                </c:pt>
                <c:pt idx="77">
                  <c:v>37.679000000000002</c:v>
                </c:pt>
                <c:pt idx="78">
                  <c:v>39.304000000000002</c:v>
                </c:pt>
                <c:pt idx="79">
                  <c:v>41.612000000000002</c:v>
                </c:pt>
                <c:pt idx="80">
                  <c:v>41.134</c:v>
                </c:pt>
                <c:pt idx="81">
                  <c:v>38.982999999999997</c:v>
                </c:pt>
                <c:pt idx="82">
                  <c:v>35.676000000000002</c:v>
                </c:pt>
                <c:pt idx="83">
                  <c:v>41.228999999999999</c:v>
                </c:pt>
                <c:pt idx="84">
                  <c:v>43.838999999999999</c:v>
                </c:pt>
                <c:pt idx="85">
                  <c:v>26.766999999999999</c:v>
                </c:pt>
                <c:pt idx="86">
                  <c:v>41.347999999999999</c:v>
                </c:pt>
                <c:pt idx="87">
                  <c:v>40.4</c:v>
                </c:pt>
                <c:pt idx="88">
                  <c:v>25.625</c:v>
                </c:pt>
                <c:pt idx="89">
                  <c:v>21.478999999999999</c:v>
                </c:pt>
                <c:pt idx="90">
                  <c:v>42.192</c:v>
                </c:pt>
                <c:pt idx="91">
                  <c:v>37.417000000000002</c:v>
                </c:pt>
                <c:pt idx="92">
                  <c:v>23.757000000000001</c:v>
                </c:pt>
                <c:pt idx="93">
                  <c:v>46.972999999999999</c:v>
                </c:pt>
                <c:pt idx="94">
                  <c:v>48.643000000000001</c:v>
                </c:pt>
                <c:pt idx="95">
                  <c:v>48.781999999999996</c:v>
                </c:pt>
                <c:pt idx="96">
                  <c:v>28.818000000000001</c:v>
                </c:pt>
                <c:pt idx="97">
                  <c:v>29.382000000000001</c:v>
                </c:pt>
                <c:pt idx="98">
                  <c:v>45.326999999999998</c:v>
                </c:pt>
                <c:pt idx="99">
                  <c:v>47.77</c:v>
                </c:pt>
                <c:pt idx="100">
                  <c:v>48.581000000000003</c:v>
                </c:pt>
                <c:pt idx="101">
                  <c:v>47.975000000000001</c:v>
                </c:pt>
                <c:pt idx="102">
                  <c:v>39.351999999999997</c:v>
                </c:pt>
                <c:pt idx="103">
                  <c:v>14.061</c:v>
                </c:pt>
                <c:pt idx="104">
                  <c:v>48.55</c:v>
                </c:pt>
                <c:pt idx="105">
                  <c:v>42.822000000000003</c:v>
                </c:pt>
                <c:pt idx="106">
                  <c:v>37.445999999999998</c:v>
                </c:pt>
                <c:pt idx="107">
                  <c:v>28.231999999999999</c:v>
                </c:pt>
                <c:pt idx="108">
                  <c:v>39.762</c:v>
                </c:pt>
                <c:pt idx="109">
                  <c:v>18.486000000000001</c:v>
                </c:pt>
                <c:pt idx="110">
                  <c:v>11.686999999999999</c:v>
                </c:pt>
                <c:pt idx="111">
                  <c:v>16.736999999999998</c:v>
                </c:pt>
                <c:pt idx="112">
                  <c:v>8.6890000000000001</c:v>
                </c:pt>
                <c:pt idx="113">
                  <c:v>15.19</c:v>
                </c:pt>
                <c:pt idx="114">
                  <c:v>49.570999999999998</c:v>
                </c:pt>
                <c:pt idx="115">
                  <c:v>38.216999999999999</c:v>
                </c:pt>
                <c:pt idx="116">
                  <c:v>24.212</c:v>
                </c:pt>
                <c:pt idx="117">
                  <c:v>20.178000000000001</c:v>
                </c:pt>
                <c:pt idx="118">
                  <c:v>31.747</c:v>
                </c:pt>
                <c:pt idx="119">
                  <c:v>47.56</c:v>
                </c:pt>
                <c:pt idx="120">
                  <c:v>40.942</c:v>
                </c:pt>
                <c:pt idx="121">
                  <c:v>22.507000000000001</c:v>
                </c:pt>
                <c:pt idx="122">
                  <c:v>35.35</c:v>
                </c:pt>
                <c:pt idx="123">
                  <c:v>49.81</c:v>
                </c:pt>
                <c:pt idx="124">
                  <c:v>51.856999999999999</c:v>
                </c:pt>
                <c:pt idx="125">
                  <c:v>47.206000000000003</c:v>
                </c:pt>
                <c:pt idx="126">
                  <c:v>52.371000000000002</c:v>
                </c:pt>
                <c:pt idx="127">
                  <c:v>44.311999999999998</c:v>
                </c:pt>
                <c:pt idx="128">
                  <c:v>47.652000000000001</c:v>
                </c:pt>
                <c:pt idx="129">
                  <c:v>39.076999999999998</c:v>
                </c:pt>
                <c:pt idx="130">
                  <c:v>12.641</c:v>
                </c:pt>
                <c:pt idx="131">
                  <c:v>10.058</c:v>
                </c:pt>
                <c:pt idx="132">
                  <c:v>19.585999999999999</c:v>
                </c:pt>
                <c:pt idx="133">
                  <c:v>33.831000000000003</c:v>
                </c:pt>
                <c:pt idx="134">
                  <c:v>14.372</c:v>
                </c:pt>
                <c:pt idx="135">
                  <c:v>19.161999999999999</c:v>
                </c:pt>
                <c:pt idx="136">
                  <c:v>29.581</c:v>
                </c:pt>
                <c:pt idx="137">
                  <c:v>56.746000000000002</c:v>
                </c:pt>
                <c:pt idx="138">
                  <c:v>55.786000000000001</c:v>
                </c:pt>
                <c:pt idx="139">
                  <c:v>54.524999999999999</c:v>
                </c:pt>
                <c:pt idx="140">
                  <c:v>54.377000000000002</c:v>
                </c:pt>
                <c:pt idx="141">
                  <c:v>51.463000000000001</c:v>
                </c:pt>
                <c:pt idx="142">
                  <c:v>49.975000000000001</c:v>
                </c:pt>
                <c:pt idx="143">
                  <c:v>16.146999999999998</c:v>
                </c:pt>
                <c:pt idx="144">
                  <c:v>51.878</c:v>
                </c:pt>
                <c:pt idx="145">
                  <c:v>55.326000000000001</c:v>
                </c:pt>
                <c:pt idx="146">
                  <c:v>54.904000000000003</c:v>
                </c:pt>
                <c:pt idx="147">
                  <c:v>54.180999999999997</c:v>
                </c:pt>
                <c:pt idx="148">
                  <c:v>54.652999999999999</c:v>
                </c:pt>
                <c:pt idx="149">
                  <c:v>51.429000000000002</c:v>
                </c:pt>
                <c:pt idx="150">
                  <c:v>55.183999999999997</c:v>
                </c:pt>
                <c:pt idx="151">
                  <c:v>54.225999999999999</c:v>
                </c:pt>
                <c:pt idx="152">
                  <c:v>26.446999999999999</c:v>
                </c:pt>
                <c:pt idx="153">
                  <c:v>52.222999999999999</c:v>
                </c:pt>
                <c:pt idx="154">
                  <c:v>24.579000000000001</c:v>
                </c:pt>
                <c:pt idx="155">
                  <c:v>32.994999999999997</c:v>
                </c:pt>
                <c:pt idx="156">
                  <c:v>24.263999999999999</c:v>
                </c:pt>
                <c:pt idx="157">
                  <c:v>25.183</c:v>
                </c:pt>
                <c:pt idx="158">
                  <c:v>35.579000000000001</c:v>
                </c:pt>
                <c:pt idx="159">
                  <c:v>42.241999999999997</c:v>
                </c:pt>
                <c:pt idx="160">
                  <c:v>21.745000000000001</c:v>
                </c:pt>
                <c:pt idx="161">
                  <c:v>42.213000000000001</c:v>
                </c:pt>
                <c:pt idx="162">
                  <c:v>28.158000000000001</c:v>
                </c:pt>
                <c:pt idx="163">
                  <c:v>45.753999999999998</c:v>
                </c:pt>
                <c:pt idx="164">
                  <c:v>38.180999999999997</c:v>
                </c:pt>
                <c:pt idx="165">
                  <c:v>43.698999999999998</c:v>
                </c:pt>
                <c:pt idx="166">
                  <c:v>39.088000000000001</c:v>
                </c:pt>
                <c:pt idx="167">
                  <c:v>28.890999999999998</c:v>
                </c:pt>
                <c:pt idx="168">
                  <c:v>45.661000000000001</c:v>
                </c:pt>
                <c:pt idx="169">
                  <c:v>40.003</c:v>
                </c:pt>
                <c:pt idx="170">
                  <c:v>53.75</c:v>
                </c:pt>
                <c:pt idx="171">
                  <c:v>48.165999999999997</c:v>
                </c:pt>
                <c:pt idx="172">
                  <c:v>55.353000000000002</c:v>
                </c:pt>
                <c:pt idx="173">
                  <c:v>49.335000000000001</c:v>
                </c:pt>
                <c:pt idx="174">
                  <c:v>54.668999999999997</c:v>
                </c:pt>
                <c:pt idx="175">
                  <c:v>49.01</c:v>
                </c:pt>
                <c:pt idx="176">
                  <c:v>43.97</c:v>
                </c:pt>
                <c:pt idx="177">
                  <c:v>44.976999999999997</c:v>
                </c:pt>
                <c:pt idx="178">
                  <c:v>39.634</c:v>
                </c:pt>
                <c:pt idx="179">
                  <c:v>44.844000000000001</c:v>
                </c:pt>
                <c:pt idx="180">
                  <c:v>22.062999999999999</c:v>
                </c:pt>
                <c:pt idx="181">
                  <c:v>51.622</c:v>
                </c:pt>
                <c:pt idx="182">
                  <c:v>42.13</c:v>
                </c:pt>
                <c:pt idx="183">
                  <c:v>18.800999999999998</c:v>
                </c:pt>
                <c:pt idx="184">
                  <c:v>44.259</c:v>
                </c:pt>
                <c:pt idx="185">
                  <c:v>52.395000000000003</c:v>
                </c:pt>
                <c:pt idx="186">
                  <c:v>53.2</c:v>
                </c:pt>
                <c:pt idx="187">
                  <c:v>37.133000000000003</c:v>
                </c:pt>
                <c:pt idx="188">
                  <c:v>54.408000000000001</c:v>
                </c:pt>
                <c:pt idx="189">
                  <c:v>52.906999999999996</c:v>
                </c:pt>
                <c:pt idx="190">
                  <c:v>47.774000000000001</c:v>
                </c:pt>
                <c:pt idx="191">
                  <c:v>42.365000000000002</c:v>
                </c:pt>
                <c:pt idx="192">
                  <c:v>41.645000000000003</c:v>
                </c:pt>
                <c:pt idx="193">
                  <c:v>32.497</c:v>
                </c:pt>
                <c:pt idx="194">
                  <c:v>52.823</c:v>
                </c:pt>
                <c:pt idx="195">
                  <c:v>44.569000000000003</c:v>
                </c:pt>
                <c:pt idx="196">
                  <c:v>22.428000000000001</c:v>
                </c:pt>
                <c:pt idx="197">
                  <c:v>22.645</c:v>
                </c:pt>
                <c:pt idx="198">
                  <c:v>23.763999999999999</c:v>
                </c:pt>
                <c:pt idx="199">
                  <c:v>52.531999999999996</c:v>
                </c:pt>
                <c:pt idx="200">
                  <c:v>51.276000000000003</c:v>
                </c:pt>
                <c:pt idx="201">
                  <c:v>41.167000000000002</c:v>
                </c:pt>
                <c:pt idx="202">
                  <c:v>47.185000000000002</c:v>
                </c:pt>
                <c:pt idx="203">
                  <c:v>42.890999999999998</c:v>
                </c:pt>
                <c:pt idx="204">
                  <c:v>43.054000000000002</c:v>
                </c:pt>
                <c:pt idx="205">
                  <c:v>50.792000000000002</c:v>
                </c:pt>
                <c:pt idx="206">
                  <c:v>50.203000000000003</c:v>
                </c:pt>
                <c:pt idx="207">
                  <c:v>41.140999999999998</c:v>
                </c:pt>
                <c:pt idx="208">
                  <c:v>47.302999999999997</c:v>
                </c:pt>
                <c:pt idx="209">
                  <c:v>30.643999999999998</c:v>
                </c:pt>
                <c:pt idx="210">
                  <c:v>44.935000000000002</c:v>
                </c:pt>
                <c:pt idx="211">
                  <c:v>46.981999999999999</c:v>
                </c:pt>
                <c:pt idx="212">
                  <c:v>45.482999999999997</c:v>
                </c:pt>
                <c:pt idx="213">
                  <c:v>36.383000000000003</c:v>
                </c:pt>
                <c:pt idx="214">
                  <c:v>29.792999999999999</c:v>
                </c:pt>
                <c:pt idx="215">
                  <c:v>43.661000000000001</c:v>
                </c:pt>
                <c:pt idx="216">
                  <c:v>49.9</c:v>
                </c:pt>
                <c:pt idx="217">
                  <c:v>49.09</c:v>
                </c:pt>
                <c:pt idx="218">
                  <c:v>47.406999999999996</c:v>
                </c:pt>
                <c:pt idx="219">
                  <c:v>45.250999999999998</c:v>
                </c:pt>
                <c:pt idx="220">
                  <c:v>44.332000000000001</c:v>
                </c:pt>
                <c:pt idx="221">
                  <c:v>35.76</c:v>
                </c:pt>
                <c:pt idx="222">
                  <c:v>32.679000000000002</c:v>
                </c:pt>
                <c:pt idx="223">
                  <c:v>37.731999999999999</c:v>
                </c:pt>
                <c:pt idx="224">
                  <c:v>23.056000000000001</c:v>
                </c:pt>
                <c:pt idx="225">
                  <c:v>15.352</c:v>
                </c:pt>
                <c:pt idx="226">
                  <c:v>44.298000000000002</c:v>
                </c:pt>
                <c:pt idx="227">
                  <c:v>38.506</c:v>
                </c:pt>
                <c:pt idx="228">
                  <c:v>15.673</c:v>
                </c:pt>
                <c:pt idx="229">
                  <c:v>38.018000000000001</c:v>
                </c:pt>
                <c:pt idx="230">
                  <c:v>32.707000000000001</c:v>
                </c:pt>
                <c:pt idx="231">
                  <c:v>44.223999999999997</c:v>
                </c:pt>
                <c:pt idx="232">
                  <c:v>44.098999999999997</c:v>
                </c:pt>
                <c:pt idx="233">
                  <c:v>38.954000000000001</c:v>
                </c:pt>
                <c:pt idx="234">
                  <c:v>32.741999999999997</c:v>
                </c:pt>
                <c:pt idx="235">
                  <c:v>38.634</c:v>
                </c:pt>
                <c:pt idx="236">
                  <c:v>41.436999999999998</c:v>
                </c:pt>
                <c:pt idx="237">
                  <c:v>43.241</c:v>
                </c:pt>
                <c:pt idx="238">
                  <c:v>24.187000000000001</c:v>
                </c:pt>
                <c:pt idx="239">
                  <c:v>41.442</c:v>
                </c:pt>
                <c:pt idx="240">
                  <c:v>7.4189999999999996</c:v>
                </c:pt>
                <c:pt idx="241">
                  <c:v>17.791</c:v>
                </c:pt>
                <c:pt idx="242">
                  <c:v>24.821999999999999</c:v>
                </c:pt>
                <c:pt idx="243">
                  <c:v>36.655999999999999</c:v>
                </c:pt>
                <c:pt idx="244">
                  <c:v>39.055999999999997</c:v>
                </c:pt>
                <c:pt idx="245">
                  <c:v>43.323</c:v>
                </c:pt>
                <c:pt idx="246">
                  <c:v>41.865000000000002</c:v>
                </c:pt>
                <c:pt idx="247">
                  <c:v>41.555</c:v>
                </c:pt>
                <c:pt idx="248">
                  <c:v>38.890999999999998</c:v>
                </c:pt>
                <c:pt idx="249">
                  <c:v>25.268999999999998</c:v>
                </c:pt>
                <c:pt idx="250">
                  <c:v>34.646000000000001</c:v>
                </c:pt>
                <c:pt idx="251">
                  <c:v>39.231000000000002</c:v>
                </c:pt>
                <c:pt idx="252">
                  <c:v>20.495999999999999</c:v>
                </c:pt>
                <c:pt idx="253">
                  <c:v>32.802</c:v>
                </c:pt>
                <c:pt idx="254">
                  <c:v>37.933</c:v>
                </c:pt>
                <c:pt idx="255">
                  <c:v>37.86</c:v>
                </c:pt>
                <c:pt idx="256">
                  <c:v>37.360999999999997</c:v>
                </c:pt>
                <c:pt idx="257">
                  <c:v>37.814999999999998</c:v>
                </c:pt>
                <c:pt idx="258">
                  <c:v>34.566000000000003</c:v>
                </c:pt>
                <c:pt idx="259">
                  <c:v>33.566000000000003</c:v>
                </c:pt>
                <c:pt idx="260">
                  <c:v>34.101999999999997</c:v>
                </c:pt>
                <c:pt idx="261">
                  <c:v>15.95</c:v>
                </c:pt>
                <c:pt idx="262">
                  <c:v>25.986999999999998</c:v>
                </c:pt>
                <c:pt idx="263">
                  <c:v>30.16</c:v>
                </c:pt>
                <c:pt idx="264">
                  <c:v>23.867999999999999</c:v>
                </c:pt>
                <c:pt idx="265">
                  <c:v>18.170000000000002</c:v>
                </c:pt>
                <c:pt idx="266">
                  <c:v>28.106999999999999</c:v>
                </c:pt>
                <c:pt idx="267">
                  <c:v>17.52</c:v>
                </c:pt>
                <c:pt idx="268">
                  <c:v>16.507999999999999</c:v>
                </c:pt>
                <c:pt idx="269">
                  <c:v>15.798</c:v>
                </c:pt>
                <c:pt idx="270">
                  <c:v>11.212</c:v>
                </c:pt>
                <c:pt idx="271">
                  <c:v>27.027999999999999</c:v>
                </c:pt>
                <c:pt idx="272">
                  <c:v>27.367000000000001</c:v>
                </c:pt>
                <c:pt idx="273">
                  <c:v>32.470999999999997</c:v>
                </c:pt>
                <c:pt idx="274">
                  <c:v>8.1359999999999992</c:v>
                </c:pt>
                <c:pt idx="275">
                  <c:v>4.5880000000000001</c:v>
                </c:pt>
                <c:pt idx="276">
                  <c:v>14.42</c:v>
                </c:pt>
                <c:pt idx="277">
                  <c:v>16.401</c:v>
                </c:pt>
                <c:pt idx="278">
                  <c:v>21.974</c:v>
                </c:pt>
                <c:pt idx="279">
                  <c:v>7.6749999999999998</c:v>
                </c:pt>
                <c:pt idx="280">
                  <c:v>25.33</c:v>
                </c:pt>
                <c:pt idx="281">
                  <c:v>27.684000000000001</c:v>
                </c:pt>
                <c:pt idx="282">
                  <c:v>21.908000000000001</c:v>
                </c:pt>
                <c:pt idx="283">
                  <c:v>16.611999999999998</c:v>
                </c:pt>
                <c:pt idx="284">
                  <c:v>14.407</c:v>
                </c:pt>
                <c:pt idx="285">
                  <c:v>20.577000000000002</c:v>
                </c:pt>
                <c:pt idx="286">
                  <c:v>18.689</c:v>
                </c:pt>
                <c:pt idx="287">
                  <c:v>11.262</c:v>
                </c:pt>
                <c:pt idx="288">
                  <c:v>15.473000000000001</c:v>
                </c:pt>
                <c:pt idx="289">
                  <c:v>9.69</c:v>
                </c:pt>
                <c:pt idx="290">
                  <c:v>27.489000000000001</c:v>
                </c:pt>
                <c:pt idx="291">
                  <c:v>26.007999999999999</c:v>
                </c:pt>
                <c:pt idx="292">
                  <c:v>22.891999999999999</c:v>
                </c:pt>
                <c:pt idx="293">
                  <c:v>4.859</c:v>
                </c:pt>
                <c:pt idx="294">
                  <c:v>19.113</c:v>
                </c:pt>
                <c:pt idx="295">
                  <c:v>5.234</c:v>
                </c:pt>
                <c:pt idx="296">
                  <c:v>8.8859999999999992</c:v>
                </c:pt>
                <c:pt idx="297">
                  <c:v>22.596</c:v>
                </c:pt>
                <c:pt idx="298">
                  <c:v>17.803000000000001</c:v>
                </c:pt>
                <c:pt idx="299">
                  <c:v>20.922999999999998</c:v>
                </c:pt>
                <c:pt idx="300">
                  <c:v>19.765999999999998</c:v>
                </c:pt>
                <c:pt idx="301">
                  <c:v>10.077</c:v>
                </c:pt>
                <c:pt idx="302">
                  <c:v>21.539000000000001</c:v>
                </c:pt>
                <c:pt idx="303">
                  <c:v>23.402000000000001</c:v>
                </c:pt>
                <c:pt idx="304">
                  <c:v>22.524999999999999</c:v>
                </c:pt>
                <c:pt idx="305">
                  <c:v>20.57</c:v>
                </c:pt>
                <c:pt idx="306">
                  <c:v>21.297000000000001</c:v>
                </c:pt>
                <c:pt idx="307">
                  <c:v>5.5490000000000004</c:v>
                </c:pt>
                <c:pt idx="308">
                  <c:v>12.009</c:v>
                </c:pt>
                <c:pt idx="309">
                  <c:v>17.123999999999999</c:v>
                </c:pt>
                <c:pt idx="310">
                  <c:v>11.863</c:v>
                </c:pt>
                <c:pt idx="311">
                  <c:v>3.3730000000000002</c:v>
                </c:pt>
                <c:pt idx="312">
                  <c:v>16.454000000000001</c:v>
                </c:pt>
                <c:pt idx="313">
                  <c:v>16.555</c:v>
                </c:pt>
                <c:pt idx="314">
                  <c:v>11.457000000000001</c:v>
                </c:pt>
                <c:pt idx="315">
                  <c:v>16.658000000000001</c:v>
                </c:pt>
                <c:pt idx="316">
                  <c:v>19.431000000000001</c:v>
                </c:pt>
                <c:pt idx="317">
                  <c:v>14.348000000000001</c:v>
                </c:pt>
                <c:pt idx="318">
                  <c:v>18.146000000000001</c:v>
                </c:pt>
                <c:pt idx="319">
                  <c:v>14.52</c:v>
                </c:pt>
                <c:pt idx="320">
                  <c:v>14.35</c:v>
                </c:pt>
                <c:pt idx="321">
                  <c:v>17.268999999999998</c:v>
                </c:pt>
                <c:pt idx="322">
                  <c:v>17.442</c:v>
                </c:pt>
                <c:pt idx="323">
                  <c:v>5.34</c:v>
                </c:pt>
                <c:pt idx="324">
                  <c:v>15.827999999999999</c:v>
                </c:pt>
                <c:pt idx="325">
                  <c:v>18.140999999999998</c:v>
                </c:pt>
                <c:pt idx="326">
                  <c:v>17.623000000000001</c:v>
                </c:pt>
                <c:pt idx="327">
                  <c:v>16.646999999999998</c:v>
                </c:pt>
                <c:pt idx="328">
                  <c:v>15.31</c:v>
                </c:pt>
                <c:pt idx="329">
                  <c:v>16.73</c:v>
                </c:pt>
                <c:pt idx="330">
                  <c:v>13.154999999999999</c:v>
                </c:pt>
                <c:pt idx="331">
                  <c:v>10.348000000000001</c:v>
                </c:pt>
                <c:pt idx="332">
                  <c:v>8.0990000000000002</c:v>
                </c:pt>
                <c:pt idx="333">
                  <c:v>15.074</c:v>
                </c:pt>
                <c:pt idx="334">
                  <c:v>15.401999999999999</c:v>
                </c:pt>
                <c:pt idx="335">
                  <c:v>4.0199999999999996</c:v>
                </c:pt>
                <c:pt idx="336">
                  <c:v>1.4279999999999999</c:v>
                </c:pt>
                <c:pt idx="337">
                  <c:v>10.176</c:v>
                </c:pt>
                <c:pt idx="338">
                  <c:v>6.806</c:v>
                </c:pt>
                <c:pt idx="339">
                  <c:v>13.388999999999999</c:v>
                </c:pt>
                <c:pt idx="340">
                  <c:v>12.502000000000001</c:v>
                </c:pt>
                <c:pt idx="341">
                  <c:v>2.363</c:v>
                </c:pt>
                <c:pt idx="342">
                  <c:v>7.7729999999999997</c:v>
                </c:pt>
                <c:pt idx="343">
                  <c:v>6.7480000000000002</c:v>
                </c:pt>
                <c:pt idx="344">
                  <c:v>4.5119999999999996</c:v>
                </c:pt>
                <c:pt idx="345">
                  <c:v>5.6719999999999997</c:v>
                </c:pt>
                <c:pt idx="346">
                  <c:v>7.9560000000000004</c:v>
                </c:pt>
                <c:pt idx="347">
                  <c:v>7.2110000000000003</c:v>
                </c:pt>
                <c:pt idx="348">
                  <c:v>1.982</c:v>
                </c:pt>
                <c:pt idx="349">
                  <c:v>2.1030000000000002</c:v>
                </c:pt>
                <c:pt idx="350">
                  <c:v>11.506</c:v>
                </c:pt>
                <c:pt idx="351">
                  <c:v>7.3659999999999997</c:v>
                </c:pt>
                <c:pt idx="352">
                  <c:v>7.8769999999999998</c:v>
                </c:pt>
                <c:pt idx="353">
                  <c:v>6.9249999999999998</c:v>
                </c:pt>
                <c:pt idx="354">
                  <c:v>4.992</c:v>
                </c:pt>
                <c:pt idx="355">
                  <c:v>7.4989999999999997</c:v>
                </c:pt>
                <c:pt idx="356">
                  <c:v>13.173999999999999</c:v>
                </c:pt>
                <c:pt idx="357">
                  <c:v>8.6809999999999992</c:v>
                </c:pt>
                <c:pt idx="358">
                  <c:v>8.4410000000000007</c:v>
                </c:pt>
                <c:pt idx="359">
                  <c:v>2.839</c:v>
                </c:pt>
                <c:pt idx="360">
                  <c:v>8.7309999999999999</c:v>
                </c:pt>
                <c:pt idx="361">
                  <c:v>5.5810000000000004</c:v>
                </c:pt>
                <c:pt idx="362">
                  <c:v>6.35</c:v>
                </c:pt>
                <c:pt idx="363">
                  <c:v>6.0570000000000004</c:v>
                </c:pt>
                <c:pt idx="364">
                  <c:v>7.0030000000000001</c:v>
                </c:pt>
                <c:pt idx="365">
                  <c:v>10.864000000000001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903424"/>
        <c:axId val="443903816"/>
      </c:lineChart>
      <c:dateAx>
        <c:axId val="443903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03816"/>
        <c:crosses val="autoZero"/>
        <c:auto val="1"/>
        <c:lblOffset val="100"/>
        <c:baseTimeUnit val="days"/>
        <c:majorUnit val="1"/>
        <c:majorTimeUnit val="months"/>
      </c:dateAx>
      <c:valAx>
        <c:axId val="44390381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0342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 masque: 'Masq'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955487816321214E-2"/>
          <c:y val="3.0513998250218721E-2"/>
          <c:w val="0.96304451218367881"/>
          <c:h val="0.86838451443569553"/>
        </c:manualLayout>
      </c:layout>
      <c:lineChart>
        <c:grouping val="standard"/>
        <c:varyColors val="0"/>
        <c:ser>
          <c:idx val="0"/>
          <c:order val="0"/>
          <c:tx>
            <c:strRef>
              <c:f>'2021'!$U$14</c:f>
              <c:strCache>
                <c:ptCount val="1"/>
                <c:pt idx="0">
                  <c:v>Haut. Pousse Végét.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'2021'!$A$15:$A$380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'2021'!$U$15:$U$380</c:f>
              <c:numCache>
                <c:formatCode>0.00</c:formatCode>
                <c:ptCount val="366"/>
                <c:pt idx="0">
                  <c:v>-0.70022290252073804</c:v>
                </c:pt>
                <c:pt idx="1">
                  <c:v>-0.70018783187606892</c:v>
                </c:pt>
                <c:pt idx="2">
                  <c:v>-0.70015129430533252</c:v>
                </c:pt>
                <c:pt idx="3">
                  <c:v>-0.70011322864049463</c:v>
                </c:pt>
                <c:pt idx="4">
                  <c:v>-0.70007357117919278</c:v>
                </c:pt>
                <c:pt idx="5">
                  <c:v>-0.70003225558112492</c:v>
                </c:pt>
                <c:pt idx="6">
                  <c:v>-0.69998921276032178</c:v>
                </c:pt>
                <c:pt idx="7">
                  <c:v>-0.69994437077314786</c:v>
                </c:pt>
                <c:pt idx="8">
                  <c:v>-0.6998976547018777</c:v>
                </c:pt>
                <c:pt idx="9">
                  <c:v>-0.69984898653367755</c:v>
                </c:pt>
                <c:pt idx="10">
                  <c:v>-0.69979828503483132</c:v>
                </c:pt>
                <c:pt idx="11">
                  <c:v>-0.69974546562003459</c:v>
                </c:pt>
                <c:pt idx="12">
                  <c:v>-0.69969044021657789</c:v>
                </c:pt>
                <c:pt idx="13">
                  <c:v>-0.69963311712324061</c:v>
                </c:pt>
                <c:pt idx="14">
                  <c:v>-0.6995734008637029</c:v>
                </c:pt>
                <c:pt idx="15">
                  <c:v>-0.69951119203428624</c:v>
                </c:pt>
                <c:pt idx="16">
                  <c:v>-0.69944638714582297</c:v>
                </c:pt>
                <c:pt idx="17">
                  <c:v>-0.69937887845945312</c:v>
                </c:pt>
                <c:pt idx="18">
                  <c:v>-0.69930855381613832</c:v>
                </c:pt>
                <c:pt idx="19">
                  <c:v>-0.6992352964596853</c:v>
                </c:pt>
                <c:pt idx="20">
                  <c:v>-0.69915898485305461</c:v>
                </c:pt>
                <c:pt idx="21">
                  <c:v>-0.69907949248774015</c:v>
                </c:pt>
                <c:pt idx="22">
                  <c:v>-0.69899668768598733</c:v>
                </c:pt>
                <c:pt idx="23">
                  <c:v>-0.69891043339562364</c:v>
                </c:pt>
                <c:pt idx="24">
                  <c:v>-0.69882058697726468</c:v>
                </c:pt>
                <c:pt idx="25">
                  <c:v>-0.69872699998366083</c:v>
                </c:pt>
                <c:pt idx="26">
                  <c:v>-0.69862951793093886</c:v>
                </c:pt>
                <c:pt idx="27">
                  <c:v>-0.69852798006150074</c:v>
                </c:pt>
                <c:pt idx="28">
                  <c:v>-0.69842221909832736</c:v>
                </c:pt>
                <c:pt idx="29">
                  <c:v>-0.6983120609904433</c:v>
                </c:pt>
                <c:pt idx="30">
                  <c:v>-0.69819732464929163</c:v>
                </c:pt>
                <c:pt idx="31">
                  <c:v>-0.69807782167576837</c:v>
                </c:pt>
                <c:pt idx="32">
                  <c:v>-0.6979533560776674</c:v>
                </c:pt>
                <c:pt idx="33">
                  <c:v>-0.69782372397728776</c:v>
                </c:pt>
                <c:pt idx="34">
                  <c:v>-0.69768871330895454</c:v>
                </c:pt>
                <c:pt idx="35">
                  <c:v>-0.69754810350621155</c:v>
                </c:pt>
                <c:pt idx="36">
                  <c:v>-0.69740166517844426</c:v>
                </c:pt>
                <c:pt idx="37">
                  <c:v>-0.69724915977670088</c:v>
                </c:pt>
                <c:pt idx="38">
                  <c:v>-0.69709033924848107</c:v>
                </c:pt>
                <c:pt idx="39">
                  <c:v>-0.6969249456812765</c:v>
                </c:pt>
                <c:pt idx="40">
                  <c:v>-0.69675271093465196</c:v>
                </c:pt>
                <c:pt idx="41">
                  <c:v>-0.69657335626067107</c:v>
                </c:pt>
                <c:pt idx="42">
                  <c:v>-0.69638659191248331</c:v>
                </c:pt>
                <c:pt idx="43">
                  <c:v>-0.69619211674090686</c:v>
                </c:pt>
                <c:pt idx="44">
                  <c:v>-0.69598961777885682</c:v>
                </c:pt>
                <c:pt idx="45">
                  <c:v>-0.69577876981349518</c:v>
                </c:pt>
                <c:pt idx="46">
                  <c:v>-0.69555923494599969</c:v>
                </c:pt>
                <c:pt idx="47">
                  <c:v>-0.69533066213887507</c:v>
                </c:pt>
                <c:pt idx="48">
                  <c:v>-0.69509268675076563</c:v>
                </c:pt>
                <c:pt idx="49">
                  <c:v>-0.69484493005875914</c:v>
                </c:pt>
                <c:pt idx="50">
                  <c:v>-0.69458699876821017</c:v>
                </c:pt>
                <c:pt idx="51">
                  <c:v>-0.69431848451015843</c:v>
                </c:pt>
                <c:pt idx="52">
                  <c:v>-0.69403896332645909</c:v>
                </c:pt>
                <c:pt idx="53">
                  <c:v>-0.69374799514280061</c:v>
                </c:pt>
                <c:pt idx="54">
                  <c:v>-0.69344512322983931</c:v>
                </c:pt>
                <c:pt idx="55">
                  <c:v>-0.69312987365274614</c:v>
                </c:pt>
                <c:pt idx="56">
                  <c:v>-0.69280175470953065</c:v>
                </c:pt>
                <c:pt idx="57">
                  <c:v>-0.69246025635858277</c:v>
                </c:pt>
                <c:pt idx="58">
                  <c:v>-0.69210484963595975</c:v>
                </c:pt>
                <c:pt idx="59">
                  <c:v>-0.69173498606303185</c:v>
                </c:pt>
                <c:pt idx="60">
                  <c:v>-0.69135009704520511</c:v>
                </c:pt>
                <c:pt idx="61">
                  <c:v>-0.69094959326254546</c:v>
                </c:pt>
                <c:pt idx="62">
                  <c:v>-0.6905328640532411</c:v>
                </c:pt>
                <c:pt idx="63">
                  <c:v>-0.69009927679097571</c:v>
                </c:pt>
                <c:pt idx="64">
                  <c:v>-0.68964817625741104</c:v>
                </c:pt>
                <c:pt idx="65">
                  <c:v>-0.68917888401113336</c:v>
                </c:pt>
                <c:pt idx="66">
                  <c:v>-0.68869069775457004</c:v>
                </c:pt>
                <c:pt idx="67">
                  <c:v>-0.68818289070055694</c:v>
                </c:pt>
                <c:pt idx="68">
                  <c:v>-0.68765471094041586</c:v>
                </c:pt>
                <c:pt idx="69">
                  <c:v>-0.68710538081559802</c:v>
                </c:pt>
                <c:pt idx="70">
                  <c:v>-0.68653409629515705</c:v>
                </c:pt>
                <c:pt idx="71">
                  <c:v>-0.68594002636153462</c:v>
                </c:pt>
                <c:pt idx="72">
                  <c:v>-0.68532231240737929</c:v>
                </c:pt>
                <c:pt idx="73">
                  <c:v>-0.68468006764636657</c:v>
                </c:pt>
                <c:pt idx="74">
                  <c:v>-0.6840123765412528</c:v>
                </c:pt>
                <c:pt idx="75">
                  <c:v>-0.68331829425267587</c:v>
                </c:pt>
                <c:pt idx="76">
                  <c:v>-0.68259684611250493</c:v>
                </c:pt>
                <c:pt idx="77">
                  <c:v>-0.68184702712585266</c:v>
                </c:pt>
                <c:pt idx="78">
                  <c:v>-0.68106780150618695</c:v>
                </c:pt>
                <c:pt idx="79">
                  <c:v>-0.68025810224831096</c:v>
                </c:pt>
                <c:pt idx="80">
                  <c:v>-0.67941683074433834</c:v>
                </c:pt>
                <c:pt idx="81">
                  <c:v>-0.6785428564481456</c:v>
                </c:pt>
                <c:pt idx="82">
                  <c:v>-0.67763501659416758</c:v>
                </c:pt>
                <c:pt idx="83">
                  <c:v>-0.67669211597678181</c:v>
                </c:pt>
                <c:pt idx="84">
                  <c:v>-0.67571292679692796</c:v>
                </c:pt>
                <c:pt idx="85">
                  <c:v>-0.67469618858301117</c:v>
                </c:pt>
                <c:pt idx="86">
                  <c:v>-0.67364060819354521</c:v>
                </c:pt>
                <c:pt idx="87">
                  <c:v>-0.67254485990940704</c:v>
                </c:pt>
                <c:pt idx="88">
                  <c:v>-0.67140758562398417</c:v>
                </c:pt>
                <c:pt idx="89">
                  <c:v>-0.67022739513990459</c:v>
                </c:pt>
                <c:pt idx="90">
                  <c:v>-0.66900286658144315</c:v>
                </c:pt>
                <c:pt idx="91">
                  <c:v>-0.66773254693208606</c:v>
                </c:pt>
                <c:pt idx="92">
                  <c:v>-0.66641495270710716</c:v>
                </c:pt>
                <c:pt idx="93">
                  <c:v>-0.66504857077136492</c:v>
                </c:pt>
                <c:pt idx="94">
                  <c:v>-0.66363185931284485</c:v>
                </c:pt>
                <c:pt idx="95">
                  <c:v>-0.66216324898276646</c:v>
                </c:pt>
                <c:pt idx="96">
                  <c:v>-0.66064114421331133</c:v>
                </c:pt>
                <c:pt idx="97">
                  <c:v>-0.65906392472422659</c:v>
                </c:pt>
                <c:pt idx="98">
                  <c:v>-0.65742994722969017</c:v>
                </c:pt>
                <c:pt idx="99">
                  <c:v>-0.65573754735688727</c:v>
                </c:pt>
                <c:pt idx="100">
                  <c:v>-0.65398504178773353</c:v>
                </c:pt>
                <c:pt idx="101">
                  <c:v>-0.65217073063507325</c:v>
                </c:pt>
                <c:pt idx="102">
                  <c:v>-0.6502929000644756</c:v>
                </c:pt>
                <c:pt idx="103">
                  <c:v>-0.64834982517242834</c:v>
                </c:pt>
                <c:pt idx="104">
                  <c:v>-0.6463397731312851</c:v>
                </c:pt>
                <c:pt idx="105">
                  <c:v>-0.64426100661073615</c:v>
                </c:pt>
                <c:pt idx="106">
                  <c:v>-0.64211178748483755</c:v>
                </c:pt>
                <c:pt idx="107">
                  <c:v>-0.63989038083273753</c:v>
                </c:pt>
                <c:pt idx="108">
                  <c:v>-0.6375950592401628</c:v>
                </c:pt>
                <c:pt idx="109">
                  <c:v>-0.63522410740746715</c:v>
                </c:pt>
                <c:pt idx="110">
                  <c:v>-0.63277582706858682</c:v>
                </c:pt>
                <c:pt idx="111">
                  <c:v>-0.63024854222357984</c:v>
                </c:pt>
                <c:pt idx="112">
                  <c:v>-0.62764060468553595</c:v>
                </c:pt>
                <c:pt idx="113">
                  <c:v>-0.62495039994054369</c:v>
                </c:pt>
                <c:pt idx="114">
                  <c:v>-0.62217635331705601</c:v>
                </c:pt>
                <c:pt idx="115">
                  <c:v>-0.61931693645842956</c:v>
                </c:pt>
                <c:pt idx="116">
                  <c:v>-0.61637067408961133</c:v>
                </c:pt>
                <c:pt idx="117">
                  <c:v>-0.61333615106592243</c:v>
                </c:pt>
                <c:pt idx="118">
                  <c:v>-0.61021201968863714</c:v>
                </c:pt>
                <c:pt idx="119">
                  <c:v>-0.60699700726860883</c:v>
                </c:pt>
                <c:pt idx="120">
                  <c:v>-0.6036899239155481</c:v>
                </c:pt>
                <c:pt idx="121">
                  <c:v>-0.6002896705267452</c:v>
                </c:pt>
                <c:pt idx="122">
                  <c:v>-0.59679524694508068</c:v>
                </c:pt>
                <c:pt idx="123">
                  <c:v>-0.59320576025210314</c:v>
                </c:pt>
                <c:pt idx="124">
                  <c:v>-0.58952043315782421</c:v>
                </c:pt>
                <c:pt idx="125">
                  <c:v>-0.58573861244472503</c:v>
                </c:pt>
                <c:pt idx="126">
                  <c:v>-0.58185977741933781</c:v>
                </c:pt>
                <c:pt idx="127">
                  <c:v>-0.57788354832072097</c:v>
                </c:pt>
                <c:pt idx="128">
                  <c:v>-0.57380969463123876</c:v>
                </c:pt>
                <c:pt idx="129">
                  <c:v>-0.56963814323137008</c:v>
                </c:pt>
                <c:pt idx="130">
                  <c:v>-0.56536898633685317</c:v>
                </c:pt>
                <c:pt idx="131">
                  <c:v>-0.5610024891534281</c:v>
                </c:pt>
                <c:pt idx="132">
                  <c:v>-0.55653909718181316</c:v>
                </c:pt>
                <c:pt idx="133">
                  <c:v>-0.5519794431034446</c:v>
                </c:pt>
                <c:pt idx="134">
                  <c:v>-0.54732435317599715</c:v>
                </c:pt>
                <c:pt idx="135">
                  <c:v>-0.54257485306684139</c:v>
                </c:pt>
                <c:pt idx="136">
                  <c:v>-0.53773217305248755</c:v>
                </c:pt>
                <c:pt idx="137">
                  <c:v>-0.5327977525127503</c:v>
                </c:pt>
                <c:pt idx="138">
                  <c:v>-0.5277732436499234</c:v>
                </c:pt>
                <c:pt idx="139">
                  <c:v>-0.52266051436571703</c:v>
                </c:pt>
                <c:pt idx="140">
                  <c:v>-0.51746165023212565</c:v>
                </c:pt>
                <c:pt idx="141">
                  <c:v>-0.5121789554967795</c:v>
                </c:pt>
                <c:pt idx="142">
                  <c:v>-0.50681495306870716</c:v>
                </c:pt>
                <c:pt idx="143">
                  <c:v>-0.50137238343677526</c:v>
                </c:pt>
                <c:pt idx="144">
                  <c:v>-0.49585420248036594</c:v>
                </c:pt>
                <c:pt idx="145">
                  <c:v>-0.4902635781400439</c:v>
                </c:pt>
                <c:pt idx="146">
                  <c:v>-0.48460388592499315</c:v>
                </c:pt>
                <c:pt idx="147">
                  <c:v>-0.47887870324378523</c:v>
                </c:pt>
                <c:pt idx="148">
                  <c:v>-0.47309180255546507</c:v>
                </c:pt>
                <c:pt idx="149">
                  <c:v>-0.4672471433488935</c:v>
                </c:pt>
                <c:pt idx="150">
                  <c:v>-0.46134886296962141</c:v>
                </c:pt>
                <c:pt idx="151">
                  <c:v>-0.45540126632513539</c:v>
                </c:pt>
                <c:pt idx="152">
                  <c:v>-0.44940881451094883</c:v>
                </c:pt>
                <c:pt idx="153">
                  <c:v>-0.44337611241153158</c:v>
                </c:pt>
                <c:pt idx="154">
                  <c:v>-0.4373078953413031</c:v>
                </c:pt>
                <c:pt idx="155">
                  <c:v>-0.43120901480167384</c:v>
                </c:pt>
                <c:pt idx="156">
                  <c:v>-0.42508442344022007</c:v>
                </c:pt>
                <c:pt idx="157">
                  <c:v>-0.41893915930736364</c:v>
                </c:pt>
                <c:pt idx="158">
                  <c:v>-0.41277832951421428</c:v>
                </c:pt>
                <c:pt idx="159">
                  <c:v>-0.40660709340239004</c:v>
                </c:pt>
                <c:pt idx="160">
                  <c:v>-0.40043064534252032</c:v>
                </c:pt>
                <c:pt idx="161">
                  <c:v>-0.3942541972826506</c:v>
                </c:pt>
                <c:pt idx="162">
                  <c:v>-0.3880829611708263</c:v>
                </c:pt>
                <c:pt idx="163">
                  <c:v>-0.38192213137767694</c:v>
                </c:pt>
                <c:pt idx="164">
                  <c:v>-0.37577686724482051</c:v>
                </c:pt>
                <c:pt idx="165">
                  <c:v>-0.36965227588336674</c:v>
                </c:pt>
                <c:pt idx="166">
                  <c:v>-0.36355339534373748</c:v>
                </c:pt>
                <c:pt idx="167">
                  <c:v>-0.35748517827350901</c:v>
                </c:pt>
                <c:pt idx="168">
                  <c:v>-0.3514524761740917</c:v>
                </c:pt>
                <c:pt idx="169">
                  <c:v>-0.34546002435990525</c:v>
                </c:pt>
                <c:pt idx="170">
                  <c:v>-0.33951242771541928</c:v>
                </c:pt>
                <c:pt idx="171">
                  <c:v>-0.33361414733614719</c:v>
                </c:pt>
                <c:pt idx="172">
                  <c:v>-0.32776948812957551</c:v>
                </c:pt>
                <c:pt idx="173">
                  <c:v>-0.32198258744125535</c:v>
                </c:pt>
                <c:pt idx="174">
                  <c:v>-0.31625740476004749</c:v>
                </c:pt>
                <c:pt idx="175">
                  <c:v>-0.31059771254499668</c:v>
                </c:pt>
                <c:pt idx="176">
                  <c:v>-0.3050070882046747</c:v>
                </c:pt>
                <c:pt idx="177">
                  <c:v>-0.29948890724826532</c:v>
                </c:pt>
                <c:pt idx="178">
                  <c:v>-0.29404633761633342</c:v>
                </c:pt>
                <c:pt idx="179">
                  <c:v>-0.28868233518826114</c:v>
                </c:pt>
                <c:pt idx="180">
                  <c:v>-0.28339964045291499</c:v>
                </c:pt>
                <c:pt idx="181">
                  <c:v>-0.27820077631932355</c:v>
                </c:pt>
                <c:pt idx="182">
                  <c:v>-0.27308804703511724</c:v>
                </c:pt>
                <c:pt idx="183">
                  <c:v>-0.26806353817229028</c:v>
                </c:pt>
                <c:pt idx="184">
                  <c:v>-0.26312911763255303</c:v>
                </c:pt>
                <c:pt idx="185">
                  <c:v>-0.25828643761819919</c:v>
                </c:pt>
                <c:pt idx="186">
                  <c:v>-0.25353693750904344</c:v>
                </c:pt>
                <c:pt idx="187">
                  <c:v>-0.24888184758159604</c:v>
                </c:pt>
                <c:pt idx="188">
                  <c:v>-0.24432219350322743</c:v>
                </c:pt>
                <c:pt idx="189">
                  <c:v>-0.23985880153161249</c:v>
                </c:pt>
                <c:pt idx="190">
                  <c:v>-0.23549230434818752</c:v>
                </c:pt>
                <c:pt idx="191">
                  <c:v>-0.23122314745367051</c:v>
                </c:pt>
                <c:pt idx="192">
                  <c:v>-0.22705159605380182</c:v>
                </c:pt>
                <c:pt idx="193">
                  <c:v>-0.22297774236431966</c:v>
                </c:pt>
                <c:pt idx="194">
                  <c:v>-0.21900151326570283</c:v>
                </c:pt>
                <c:pt idx="195">
                  <c:v>-0.21512267824031561</c:v>
                </c:pt>
                <c:pt idx="196">
                  <c:v>-0.21134085752721632</c:v>
                </c:pt>
                <c:pt idx="197">
                  <c:v>-0.2076555304329375</c:v>
                </c:pt>
                <c:pt idx="198">
                  <c:v>-0.2040660437399599</c:v>
                </c:pt>
                <c:pt idx="199">
                  <c:v>-0.20057162015829544</c:v>
                </c:pt>
                <c:pt idx="200">
                  <c:v>-0.19717136676949243</c:v>
                </c:pt>
                <c:pt idx="201">
                  <c:v>-0.19386428341643169</c:v>
                </c:pt>
                <c:pt idx="202">
                  <c:v>-0.1906492709964035</c:v>
                </c:pt>
                <c:pt idx="203">
                  <c:v>-0.1875251396191181</c:v>
                </c:pt>
                <c:pt idx="204">
                  <c:v>-0.18449061659542931</c:v>
                </c:pt>
                <c:pt idx="205">
                  <c:v>-0.18154435422661108</c:v>
                </c:pt>
                <c:pt idx="206">
                  <c:v>-0.17868493736798463</c:v>
                </c:pt>
                <c:pt idx="207">
                  <c:v>-0.17591089074449695</c:v>
                </c:pt>
                <c:pt idx="208">
                  <c:v>-0.17322068599950469</c:v>
                </c:pt>
                <c:pt idx="209">
                  <c:v>-0.17061274846146068</c:v>
                </c:pt>
                <c:pt idx="210">
                  <c:v>-0.16808546361645371</c:v>
                </c:pt>
                <c:pt idx="211">
                  <c:v>-0.16563718327757349</c:v>
                </c:pt>
                <c:pt idx="212">
                  <c:v>-0.16326623144487773</c:v>
                </c:pt>
                <c:pt idx="213">
                  <c:v>-0.16097090985230311</c:v>
                </c:pt>
                <c:pt idx="214">
                  <c:v>-0.15874950320020309</c:v>
                </c:pt>
                <c:pt idx="215">
                  <c:v>-0.15660028407430449</c:v>
                </c:pt>
                <c:pt idx="216">
                  <c:v>-0.15452151755375554</c:v>
                </c:pt>
                <c:pt idx="217">
                  <c:v>-0.15251146551261219</c:v>
                </c:pt>
                <c:pt idx="218">
                  <c:v>-0.15056839062056493</c:v>
                </c:pt>
                <c:pt idx="219">
                  <c:v>-0.14869056004996739</c:v>
                </c:pt>
                <c:pt idx="220">
                  <c:v>-0.1468762488973071</c:v>
                </c:pt>
                <c:pt idx="221">
                  <c:v>-0.14512374332815337</c:v>
                </c:pt>
                <c:pt idx="222">
                  <c:v>-0.14343134345535047</c:v>
                </c:pt>
                <c:pt idx="223">
                  <c:v>-0.14179736596081405</c:v>
                </c:pt>
                <c:pt idx="224">
                  <c:v>-0.1402201464717292</c:v>
                </c:pt>
                <c:pt idx="225">
                  <c:v>-0.13869804170227418</c:v>
                </c:pt>
                <c:pt idx="226">
                  <c:v>-0.13722943137219579</c:v>
                </c:pt>
                <c:pt idx="227">
                  <c:v>-0.13581271991367572</c:v>
                </c:pt>
                <c:pt idx="228">
                  <c:v>-0.13444633797793348</c:v>
                </c:pt>
                <c:pt idx="229">
                  <c:v>-0.13312874375295458</c:v>
                </c:pt>
                <c:pt idx="230">
                  <c:v>-0.13185842410359749</c:v>
                </c:pt>
                <c:pt idx="231">
                  <c:v>-0.13063389554513605</c:v>
                </c:pt>
                <c:pt idx="232">
                  <c:v>-0.12945370506105647</c:v>
                </c:pt>
                <c:pt idx="233">
                  <c:v>-0.12831643077563348</c:v>
                </c:pt>
                <c:pt idx="234">
                  <c:v>-0.12722068249149554</c:v>
                </c:pt>
                <c:pt idx="235">
                  <c:v>-0.12616510210202947</c:v>
                </c:pt>
                <c:pt idx="236">
                  <c:v>-0.12514836388811268</c:v>
                </c:pt>
                <c:pt idx="237">
                  <c:v>-0.12416917470825872</c:v>
                </c:pt>
                <c:pt idx="238">
                  <c:v>-0.12322627409087306</c:v>
                </c:pt>
                <c:pt idx="239">
                  <c:v>-0.12231843423689492</c:v>
                </c:pt>
                <c:pt idx="240">
                  <c:v>-0.1214444599407023</c:v>
                </c:pt>
                <c:pt idx="241">
                  <c:v>-0.12060318843672968</c:v>
                </c:pt>
                <c:pt idx="242">
                  <c:v>-0.11979348917885368</c:v>
                </c:pt>
                <c:pt idx="243">
                  <c:v>-0.11901426355918798</c:v>
                </c:pt>
                <c:pt idx="244">
                  <c:v>-0.1182644445725356</c:v>
                </c:pt>
                <c:pt idx="245">
                  <c:v>-0.11754299643236465</c:v>
                </c:pt>
                <c:pt idx="246">
                  <c:v>-0.11684891414378784</c:v>
                </c:pt>
                <c:pt idx="247">
                  <c:v>-0.11618122303867406</c:v>
                </c:pt>
                <c:pt idx="248">
                  <c:v>-0.11553897827766124</c:v>
                </c:pt>
                <c:pt idx="249">
                  <c:v>-0.11492126432350591</c:v>
                </c:pt>
                <c:pt idx="250">
                  <c:v>-0.11432719438988348</c:v>
                </c:pt>
                <c:pt idx="251">
                  <c:v>-0.11375590986944262</c:v>
                </c:pt>
                <c:pt idx="252">
                  <c:v>-0.11320657974462478</c:v>
                </c:pt>
                <c:pt idx="253">
                  <c:v>-0.1126783999844837</c:v>
                </c:pt>
                <c:pt idx="254">
                  <c:v>-0.11217059293047049</c:v>
                </c:pt>
                <c:pt idx="255">
                  <c:v>-0.11168240667390716</c:v>
                </c:pt>
                <c:pt idx="256">
                  <c:v>-0.11121311442762949</c:v>
                </c:pt>
                <c:pt idx="257">
                  <c:v>-0.11076201389406493</c:v>
                </c:pt>
                <c:pt idx="258">
                  <c:v>-0.11032842663179943</c:v>
                </c:pt>
                <c:pt idx="259">
                  <c:v>-0.10991169742249507</c:v>
                </c:pt>
                <c:pt idx="260">
                  <c:v>-0.10951119363983541</c:v>
                </c:pt>
                <c:pt idx="261">
                  <c:v>-0.10912630462200879</c:v>
                </c:pt>
                <c:pt idx="262">
                  <c:v>-0.10875644104908089</c:v>
                </c:pt>
                <c:pt idx="263">
                  <c:v>-0.10840103432645776</c:v>
                </c:pt>
                <c:pt idx="264">
                  <c:v>-0.10805953597550988</c:v>
                </c:pt>
                <c:pt idx="265">
                  <c:v>-0.1077314170322945</c:v>
                </c:pt>
                <c:pt idx="266">
                  <c:v>-0.10741616745520133</c:v>
                </c:pt>
                <c:pt idx="267">
                  <c:v>-0.10711329554224003</c:v>
                </c:pt>
                <c:pt idx="268">
                  <c:v>-0.10682232735858144</c:v>
                </c:pt>
                <c:pt idx="269">
                  <c:v>-0.10654280617488221</c:v>
                </c:pt>
                <c:pt idx="270">
                  <c:v>-0.10627429191683035</c:v>
                </c:pt>
                <c:pt idx="271">
                  <c:v>-0.1060163606262815</c:v>
                </c:pt>
                <c:pt idx="272">
                  <c:v>-0.1057686039342749</c:v>
                </c:pt>
                <c:pt idx="273">
                  <c:v>-0.10553062854616557</c:v>
                </c:pt>
                <c:pt idx="274">
                  <c:v>-0.10530205573904083</c:v>
                </c:pt>
                <c:pt idx="275">
                  <c:v>-0.10508252087154535</c:v>
                </c:pt>
                <c:pt idx="276">
                  <c:v>-0.10487167290618382</c:v>
                </c:pt>
                <c:pt idx="277">
                  <c:v>-0.10466917394413378</c:v>
                </c:pt>
                <c:pt idx="278">
                  <c:v>-0.10447469877255733</c:v>
                </c:pt>
                <c:pt idx="279">
                  <c:v>-0.10428793442436957</c:v>
                </c:pt>
                <c:pt idx="280">
                  <c:v>-0.10410857975038867</c:v>
                </c:pt>
                <c:pt idx="281">
                  <c:v>-0.10393634500376414</c:v>
                </c:pt>
                <c:pt idx="282">
                  <c:v>-0.10377095143655957</c:v>
                </c:pt>
                <c:pt idx="283">
                  <c:v>-0.10361213090833976</c:v>
                </c:pt>
                <c:pt idx="284">
                  <c:v>-0.10345962550659626</c:v>
                </c:pt>
                <c:pt idx="285">
                  <c:v>-0.10331318717882909</c:v>
                </c:pt>
                <c:pt idx="286">
                  <c:v>-0.10317257737608609</c:v>
                </c:pt>
                <c:pt idx="287">
                  <c:v>-0.10303756670775288</c:v>
                </c:pt>
                <c:pt idx="288">
                  <c:v>-0.10290793460737313</c:v>
                </c:pt>
                <c:pt idx="289">
                  <c:v>-0.10278346900927227</c:v>
                </c:pt>
                <c:pt idx="290">
                  <c:v>-0.10266396603574901</c:v>
                </c:pt>
                <c:pt idx="291">
                  <c:v>-0.10254922969459723</c:v>
                </c:pt>
                <c:pt idx="292">
                  <c:v>-0.10243907158671339</c:v>
                </c:pt>
                <c:pt idx="293">
                  <c:v>-0.1023333106235399</c:v>
                </c:pt>
                <c:pt idx="294">
                  <c:v>-0.10223177275410178</c:v>
                </c:pt>
                <c:pt idx="295">
                  <c:v>-0.1021342907013798</c:v>
                </c:pt>
                <c:pt idx="296">
                  <c:v>-0.10204070370777585</c:v>
                </c:pt>
                <c:pt idx="297">
                  <c:v>-0.101950857289417</c:v>
                </c:pt>
                <c:pt idx="298">
                  <c:v>-0.10186460299905331</c:v>
                </c:pt>
                <c:pt idx="299">
                  <c:v>-0.10178179819730038</c:v>
                </c:pt>
                <c:pt idx="300">
                  <c:v>-0.10170230583198592</c:v>
                </c:pt>
                <c:pt idx="301">
                  <c:v>-0.10162599422535534</c:v>
                </c:pt>
                <c:pt idx="302">
                  <c:v>-0.1015527368689022</c:v>
                </c:pt>
                <c:pt idx="303">
                  <c:v>-0.10148241222558751</c:v>
                </c:pt>
                <c:pt idx="304">
                  <c:v>-0.10141490353921756</c:v>
                </c:pt>
                <c:pt idx="305">
                  <c:v>-0.10135009865075428</c:v>
                </c:pt>
                <c:pt idx="306">
                  <c:v>-0.10128788982133774</c:v>
                </c:pt>
                <c:pt idx="307">
                  <c:v>-0.10122817356179992</c:v>
                </c:pt>
                <c:pt idx="308">
                  <c:v>-0.10117085046846275</c:v>
                </c:pt>
                <c:pt idx="309">
                  <c:v>-0.10111582506500605</c:v>
                </c:pt>
                <c:pt idx="310">
                  <c:v>-0.1010630056502092</c:v>
                </c:pt>
                <c:pt idx="311">
                  <c:v>-0.10101230415136309</c:v>
                </c:pt>
                <c:pt idx="312">
                  <c:v>-0.10096363598316294</c:v>
                </c:pt>
                <c:pt idx="313">
                  <c:v>-0.10091691991189267</c:v>
                </c:pt>
                <c:pt idx="314">
                  <c:v>-0.10087207792471886</c:v>
                </c:pt>
                <c:pt idx="315">
                  <c:v>-0.10082903510391561</c:v>
                </c:pt>
                <c:pt idx="316">
                  <c:v>-0.10078771950584786</c:v>
                </c:pt>
                <c:pt idx="317">
                  <c:v>-0.10074806204454601</c:v>
                </c:pt>
                <c:pt idx="318">
                  <c:v>-0.10070999637970812</c:v>
                </c:pt>
                <c:pt idx="319">
                  <c:v>-0.10067345880897172</c:v>
                </c:pt>
                <c:pt idx="320">
                  <c:v>-0.10063838816430259</c:v>
                </c:pt>
                <c:pt idx="321">
                  <c:v>-0.10060472571235157</c:v>
                </c:pt>
                <c:pt idx="322">
                  <c:v>-0.10057241505863501</c:v>
                </c:pt>
                <c:pt idx="323">
                  <c:v>-0.10054140205540141</c:v>
                </c:pt>
                <c:pt idx="324">
                  <c:v>-0.10051163471304625</c:v>
                </c:pt>
                <c:pt idx="325">
                  <c:v>-0.10048306311494781</c:v>
                </c:pt>
                <c:pt idx="326">
                  <c:v>-0.10045563933559665</c:v>
                </c:pt>
                <c:pt idx="327">
                  <c:v>-0.10042931736189431</c:v>
                </c:pt>
                <c:pt idx="328">
                  <c:v>-0.10040405301750843</c:v>
                </c:pt>
                <c:pt idx="329">
                  <c:v>-0.10037980389016521</c:v>
                </c:pt>
                <c:pt idx="330">
                  <c:v>-0.10035652926177252</c:v>
                </c:pt>
                <c:pt idx="331">
                  <c:v>-0.10033419004126543</c:v>
                </c:pt>
                <c:pt idx="332">
                  <c:v>-0.10031274870007301</c:v>
                </c:pt>
                <c:pt idx="333">
                  <c:v>-0.1002921692101072</c:v>
                </c:pt>
                <c:pt idx="334">
                  <c:v>-0.10027241698417677</c:v>
                </c:pt>
                <c:pt idx="335">
                  <c:v>-0.10025345881873582</c:v>
                </c:pt>
                <c:pt idx="336">
                  <c:v>-0.10023526283887785</c:v>
                </c:pt>
                <c:pt idx="337">
                  <c:v>-0.10021779844548795</c:v>
                </c:pt>
                <c:pt idx="338">
                  <c:v>-0.10020103626447374</c:v>
                </c:pt>
                <c:pt idx="339">
                  <c:v>-0.10018494809799183</c:v>
                </c:pt>
                <c:pt idx="340">
                  <c:v>-0.10016950687759574</c:v>
                </c:pt>
                <c:pt idx="341">
                  <c:v>-0.10015468661922922</c:v>
                </c:pt>
                <c:pt idx="342">
                  <c:v>-0.10014046237999741</c:v>
                </c:pt>
                <c:pt idx="343">
                  <c:v>-0.10012681021664127</c:v>
                </c:pt>
                <c:pt idx="344">
                  <c:v>-0.10011370714565582</c:v>
                </c:pt>
                <c:pt idx="345">
                  <c:v>-0.10010113110498309</c:v>
                </c:pt>
                <c:pt idx="346">
                  <c:v>-0.10008906091722281</c:v>
                </c:pt>
                <c:pt idx="347">
                  <c:v>-0.1000774762542983</c:v>
                </c:pt>
                <c:pt idx="348">
                  <c:v>-0.10006635760352423</c:v>
                </c:pt>
                <c:pt idx="349">
                  <c:v>-0.10005568623501826</c:v>
                </c:pt>
                <c:pt idx="350">
                  <c:v>-0.10004544417040673</c:v>
                </c:pt>
                <c:pt idx="351">
                  <c:v>-0.10003561415277207</c:v>
                </c:pt>
                <c:pt idx="352">
                  <c:v>-0.10002617961779525</c:v>
                </c:pt>
                <c:pt idx="353">
                  <c:v>-0.10001712466604362</c:v>
                </c:pt>
                <c:pt idx="354">
                  <c:v>-0.10000843403636128</c:v>
                </c:pt>
                <c:pt idx="355">
                  <c:v>-0.10000009308031932</c:v>
                </c:pt>
                <c:pt idx="356">
                  <c:v>-0.10000009308031932</c:v>
                </c:pt>
                <c:pt idx="357">
                  <c:v>-0.10000009308031932</c:v>
                </c:pt>
                <c:pt idx="358">
                  <c:v>-0.10000009308031932</c:v>
                </c:pt>
                <c:pt idx="359">
                  <c:v>-0.10000009308031932</c:v>
                </c:pt>
                <c:pt idx="360">
                  <c:v>-0.10000009308031932</c:v>
                </c:pt>
                <c:pt idx="361">
                  <c:v>-0.10000009308031932</c:v>
                </c:pt>
                <c:pt idx="362">
                  <c:v>-0.10000009308031932</c:v>
                </c:pt>
                <c:pt idx="363">
                  <c:v>-0.10000009308031932</c:v>
                </c:pt>
                <c:pt idx="364">
                  <c:v>-0.10000009308031932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904600"/>
        <c:axId val="443904992"/>
      </c:lineChart>
      <c:dateAx>
        <c:axId val="443904600"/>
        <c:scaling>
          <c:orientation val="minMax"/>
        </c:scaling>
        <c:delete val="0"/>
        <c:axPos val="b"/>
        <c:majorGridlines/>
        <c:numFmt formatCode="[$-40C]d\-m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04992"/>
        <c:crosses val="autoZero"/>
        <c:auto val="1"/>
        <c:lblOffset val="100"/>
        <c:baseTimeUnit val="days"/>
        <c:majorUnit val="1"/>
      </c:dateAx>
      <c:valAx>
        <c:axId val="44390499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046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6700446962958082"/>
          <c:y val="0.79385608874362401"/>
          <c:w val="0.62986085944277881"/>
          <c:h val="6.198425196850398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3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'2021'!$L$15:$L$380</c:f>
              <c:numCache>
                <c:formatCode>0.00%</c:formatCode>
                <c:ptCount val="366"/>
                <c:pt idx="0">
                  <c:v>2.0362046534201816E-2</c:v>
                </c:pt>
                <c:pt idx="1">
                  <c:v>2.0384844140537983E-2</c:v>
                </c:pt>
                <c:pt idx="2">
                  <c:v>2.0407641216340422E-2</c:v>
                </c:pt>
                <c:pt idx="3">
                  <c:v>2.0430437761621678E-2</c:v>
                </c:pt>
                <c:pt idx="4">
                  <c:v>2.0453233776393964E-2</c:v>
                </c:pt>
                <c:pt idx="5">
                  <c:v>2.0476029260669715E-2</c:v>
                </c:pt>
                <c:pt idx="6">
                  <c:v>2.0498824214461253E-2</c:v>
                </c:pt>
                <c:pt idx="7">
                  <c:v>2.0521618637780903E-2</c:v>
                </c:pt>
                <c:pt idx="8">
                  <c:v>2.0544412530640987E-2</c:v>
                </c:pt>
                <c:pt idx="9">
                  <c:v>2.0567205893053941E-2</c:v>
                </c:pt>
                <c:pt idx="10">
                  <c:v>2.0589998725031977E-2</c:v>
                </c:pt>
                <c:pt idx="11">
                  <c:v>2.061279102658764E-2</c:v>
                </c:pt>
                <c:pt idx="12">
                  <c:v>2.0635582797733032E-2</c:v>
                </c:pt>
                <c:pt idx="13">
                  <c:v>2.0658374038480698E-2</c:v>
                </c:pt>
                <c:pt idx="14">
                  <c:v>2.0681164748842851E-2</c:v>
                </c:pt>
                <c:pt idx="15">
                  <c:v>2.0703954928831814E-2</c:v>
                </c:pt>
                <c:pt idx="16">
                  <c:v>2.0726744578460132E-2</c:v>
                </c:pt>
                <c:pt idx="17">
                  <c:v>2.0749533697739908E-2</c:v>
                </c:pt>
                <c:pt idx="18">
                  <c:v>2.0772322286683687E-2</c:v>
                </c:pt>
                <c:pt idx="19">
                  <c:v>2.0795110345303569E-2</c:v>
                </c:pt>
                <c:pt idx="20">
                  <c:v>2.0817897873612101E-2</c:v>
                </c:pt>
                <c:pt idx="21">
                  <c:v>2.0840684871621606E-2</c:v>
                </c:pt>
                <c:pt idx="22">
                  <c:v>2.0863471339344297E-2</c:v>
                </c:pt>
                <c:pt idx="23">
                  <c:v>2.0886257276792719E-2</c:v>
                </c:pt>
                <c:pt idx="24">
                  <c:v>2.0909042683978973E-2</c:v>
                </c:pt>
                <c:pt idx="25">
                  <c:v>2.0931827560915495E-2</c:v>
                </c:pt>
                <c:pt idx="26">
                  <c:v>2.0954611907614717E-2</c:v>
                </c:pt>
                <c:pt idx="27">
                  <c:v>2.0977395724088854E-2</c:v>
                </c:pt>
                <c:pt idx="28">
                  <c:v>2.1000179010350339E-2</c:v>
                </c:pt>
                <c:pt idx="29">
                  <c:v>2.1022961766411496E-2</c:v>
                </c:pt>
                <c:pt idx="30">
                  <c:v>2.1045743992284538E-2</c:v>
                </c:pt>
                <c:pt idx="31">
                  <c:v>2.1068525687982009E-2</c:v>
                </c:pt>
                <c:pt idx="32">
                  <c:v>2.1091306853516123E-2</c:v>
                </c:pt>
                <c:pt idx="33">
                  <c:v>2.1114087488899203E-2</c:v>
                </c:pt>
                <c:pt idx="34">
                  <c:v>2.1136867594143571E-2</c:v>
                </c:pt>
                <c:pt idx="35">
                  <c:v>2.1159647169261664E-2</c:v>
                </c:pt>
                <c:pt idx="36">
                  <c:v>2.1182426214265804E-2</c:v>
                </c:pt>
                <c:pt idx="37">
                  <c:v>2.1205204729168203E-2</c:v>
                </c:pt>
                <c:pt idx="38">
                  <c:v>2.1227982713981297E-2</c:v>
                </c:pt>
                <c:pt idx="39">
                  <c:v>2.1250760168717409E-2</c:v>
                </c:pt>
                <c:pt idx="40">
                  <c:v>2.1273537093388972E-2</c:v>
                </c:pt>
                <c:pt idx="41">
                  <c:v>2.129631348800809E-2</c:v>
                </c:pt>
                <c:pt idx="42">
                  <c:v>2.1319089352587306E-2</c:v>
                </c:pt>
                <c:pt idx="43">
                  <c:v>2.1341864687138834E-2</c:v>
                </c:pt>
                <c:pt idx="44">
                  <c:v>2.1364639491675108E-2</c:v>
                </c:pt>
                <c:pt idx="45">
                  <c:v>2.1387413766208341E-2</c:v>
                </c:pt>
                <c:pt idx="46">
                  <c:v>2.1410187510750966E-2</c:v>
                </c:pt>
                <c:pt idx="47">
                  <c:v>2.1432960725315309E-2</c:v>
                </c:pt>
                <c:pt idx="48">
                  <c:v>2.1455733409913691E-2</c:v>
                </c:pt>
                <c:pt idx="49">
                  <c:v>2.1478505564558437E-2</c:v>
                </c:pt>
                <c:pt idx="50">
                  <c:v>2.1501277189261869E-2</c:v>
                </c:pt>
                <c:pt idx="51">
                  <c:v>2.1524048284036312E-2</c:v>
                </c:pt>
                <c:pt idx="52">
                  <c:v>2.1546818848894089E-2</c:v>
                </c:pt>
                <c:pt idx="53">
                  <c:v>2.1569588883847524E-2</c:v>
                </c:pt>
                <c:pt idx="54">
                  <c:v>2.159235838890905E-2</c:v>
                </c:pt>
                <c:pt idx="55">
                  <c:v>2.161512736409088E-2</c:v>
                </c:pt>
                <c:pt idx="56">
                  <c:v>2.163789580940545E-2</c:v>
                </c:pt>
                <c:pt idx="57">
                  <c:v>2.166066372486497E-2</c:v>
                </c:pt>
                <c:pt idx="58">
                  <c:v>2.1683431110481877E-2</c:v>
                </c:pt>
                <c:pt idx="59">
                  <c:v>2.1706197966268492E-2</c:v>
                </c:pt>
                <c:pt idx="60">
                  <c:v>2.1728964292237141E-2</c:v>
                </c:pt>
                <c:pt idx="61">
                  <c:v>2.1751730088400034E-2</c:v>
                </c:pt>
                <c:pt idx="62">
                  <c:v>2.1774495354769607E-2</c:v>
                </c:pt>
                <c:pt idx="63">
                  <c:v>2.1797260091358184E-2</c:v>
                </c:pt>
                <c:pt idx="64">
                  <c:v>2.1820024298178087E-2</c:v>
                </c:pt>
                <c:pt idx="65">
                  <c:v>2.184278797524164E-2</c:v>
                </c:pt>
                <c:pt idx="66">
                  <c:v>2.1865551122561167E-2</c:v>
                </c:pt>
                <c:pt idx="67">
                  <c:v>2.188831374014899E-2</c:v>
                </c:pt>
                <c:pt idx="68">
                  <c:v>2.1911075828017434E-2</c:v>
                </c:pt>
                <c:pt idx="69">
                  <c:v>2.1933837386178934E-2</c:v>
                </c:pt>
                <c:pt idx="70">
                  <c:v>2.1956598414645589E-2</c:v>
                </c:pt>
                <c:pt idx="71">
                  <c:v>2.1979358913429947E-2</c:v>
                </c:pt>
                <c:pt idx="72">
                  <c:v>2.2002118882544219E-2</c:v>
                </c:pt>
                <c:pt idx="73">
                  <c:v>2.202487832200084E-2</c:v>
                </c:pt>
                <c:pt idx="74">
                  <c:v>2.2047637231811912E-2</c:v>
                </c:pt>
                <c:pt idx="75">
                  <c:v>2.2070395611989979E-2</c:v>
                </c:pt>
                <c:pt idx="76">
                  <c:v>2.2093153462547366E-2</c:v>
                </c:pt>
                <c:pt idx="77">
                  <c:v>2.2115910783496173E-2</c:v>
                </c:pt>
                <c:pt idx="78">
                  <c:v>2.2138667574848947E-2</c:v>
                </c:pt>
                <c:pt idx="79">
                  <c:v>2.2161423836618011E-2</c:v>
                </c:pt>
                <c:pt idx="80">
                  <c:v>2.2184179568815576E-2</c:v>
                </c:pt>
                <c:pt idx="81">
                  <c:v>2.2206934771453968E-2</c:v>
                </c:pt>
                <c:pt idx="82">
                  <c:v>2.2229689444545508E-2</c:v>
                </c:pt>
                <c:pt idx="83">
                  <c:v>2.2252443588102633E-2</c:v>
                </c:pt>
                <c:pt idx="84">
                  <c:v>2.2275197202137664E-2</c:v>
                </c:pt>
                <c:pt idx="85">
                  <c:v>2.2297950286662704E-2</c:v>
                </c:pt>
                <c:pt idx="86">
                  <c:v>2.2320702841690299E-2</c:v>
                </c:pt>
                <c:pt idx="87">
                  <c:v>2.234345486723277E-2</c:v>
                </c:pt>
                <c:pt idx="88">
                  <c:v>2.2366206363302221E-2</c:v>
                </c:pt>
                <c:pt idx="89">
                  <c:v>2.2388957329911197E-2</c:v>
                </c:pt>
                <c:pt idx="90">
                  <c:v>2.241170776707202E-2</c:v>
                </c:pt>
                <c:pt idx="91">
                  <c:v>2.2434457674796793E-2</c:v>
                </c:pt>
                <c:pt idx="92">
                  <c:v>2.2457207053098061E-2</c:v>
                </c:pt>
                <c:pt idx="93">
                  <c:v>2.2479955901988036E-2</c:v>
                </c:pt>
                <c:pt idx="94">
                  <c:v>2.2502704221479042E-2</c:v>
                </c:pt>
                <c:pt idx="95">
                  <c:v>2.2525452011583513E-2</c:v>
                </c:pt>
                <c:pt idx="96">
                  <c:v>2.2548199272313552E-2</c:v>
                </c:pt>
                <c:pt idx="97">
                  <c:v>2.2570946003681702E-2</c:v>
                </c:pt>
                <c:pt idx="98">
                  <c:v>2.2593692205700178E-2</c:v>
                </c:pt>
                <c:pt idx="99">
                  <c:v>2.261643787838119E-2</c:v>
                </c:pt>
                <c:pt idx="100">
                  <c:v>2.2639183021737286E-2</c:v>
                </c:pt>
                <c:pt idx="101">
                  <c:v>2.2661927635780565E-2</c:v>
                </c:pt>
                <c:pt idx="102">
                  <c:v>2.2684671720523575E-2</c:v>
                </c:pt>
                <c:pt idx="103">
                  <c:v>2.2707415275978415E-2</c:v>
                </c:pt>
                <c:pt idx="104">
                  <c:v>2.2730158302157522E-2</c:v>
                </c:pt>
                <c:pt idx="105">
                  <c:v>2.2752900799073217E-2</c:v>
                </c:pt>
                <c:pt idx="106">
                  <c:v>2.2775642766737714E-2</c:v>
                </c:pt>
                <c:pt idx="107">
                  <c:v>2.2798384205163447E-2</c:v>
                </c:pt>
                <c:pt idx="108">
                  <c:v>2.2821125114362628E-2</c:v>
                </c:pt>
                <c:pt idx="109">
                  <c:v>2.2843865494347693E-2</c:v>
                </c:pt>
                <c:pt idx="110">
                  <c:v>2.2866605345130853E-2</c:v>
                </c:pt>
                <c:pt idx="111">
                  <c:v>2.2889344666724543E-2</c:v>
                </c:pt>
                <c:pt idx="112">
                  <c:v>2.2912083459140975E-2</c:v>
                </c:pt>
                <c:pt idx="113">
                  <c:v>2.2934821722392473E-2</c:v>
                </c:pt>
                <c:pt idx="114">
                  <c:v>2.295755945649125E-2</c:v>
                </c:pt>
                <c:pt idx="115">
                  <c:v>2.2980296661449851E-2</c:v>
                </c:pt>
                <c:pt idx="116">
                  <c:v>2.3003033337280487E-2</c:v>
                </c:pt>
                <c:pt idx="117">
                  <c:v>2.3025769483995484E-2</c:v>
                </c:pt>
                <c:pt idx="118">
                  <c:v>2.3048505101607053E-2</c:v>
                </c:pt>
                <c:pt idx="119">
                  <c:v>2.3071240190127629E-2</c:v>
                </c:pt>
                <c:pt idx="120">
                  <c:v>2.3093974749569424E-2</c:v>
                </c:pt>
                <c:pt idx="121">
                  <c:v>2.3116708779944872E-2</c:v>
                </c:pt>
                <c:pt idx="122">
                  <c:v>2.3139442281266187E-2</c:v>
                </c:pt>
                <c:pt idx="123">
                  <c:v>2.3162175253545692E-2</c:v>
                </c:pt>
                <c:pt idx="124">
                  <c:v>2.318490769679582E-2</c:v>
                </c:pt>
                <c:pt idx="125">
                  <c:v>2.3207639611028674E-2</c:v>
                </c:pt>
                <c:pt idx="126">
                  <c:v>2.3230370996256799E-2</c:v>
                </c:pt>
                <c:pt idx="127">
                  <c:v>2.3253101852492297E-2</c:v>
                </c:pt>
                <c:pt idx="128">
                  <c:v>2.3275832179747491E-2</c:v>
                </c:pt>
                <c:pt idx="129">
                  <c:v>2.3298561978034926E-2</c:v>
                </c:pt>
                <c:pt idx="130">
                  <c:v>2.3321291247366593E-2</c:v>
                </c:pt>
                <c:pt idx="131">
                  <c:v>2.3344019987755038E-2</c:v>
                </c:pt>
                <c:pt idx="132">
                  <c:v>2.3366748199212473E-2</c:v>
                </c:pt>
                <c:pt idx="133">
                  <c:v>2.338947588175122E-2</c:v>
                </c:pt>
                <c:pt idx="134">
                  <c:v>2.3412203035383605E-2</c:v>
                </c:pt>
                <c:pt idx="135">
                  <c:v>2.343492966012195E-2</c:v>
                </c:pt>
                <c:pt idx="136">
                  <c:v>2.3457655755978468E-2</c:v>
                </c:pt>
                <c:pt idx="137">
                  <c:v>2.3480381322965593E-2</c:v>
                </c:pt>
                <c:pt idx="138">
                  <c:v>2.3503106361095538E-2</c:v>
                </c:pt>
                <c:pt idx="139">
                  <c:v>2.3525830870380737E-2</c:v>
                </c:pt>
                <c:pt idx="140">
                  <c:v>2.3548554850833292E-2</c:v>
                </c:pt>
                <c:pt idx="141">
                  <c:v>2.3571278302465637E-2</c:v>
                </c:pt>
                <c:pt idx="142">
                  <c:v>2.3594001225290095E-2</c:v>
                </c:pt>
                <c:pt idx="143">
                  <c:v>2.3616723619318991E-2</c:v>
                </c:pt>
                <c:pt idx="144">
                  <c:v>2.3639445484564536E-2</c:v>
                </c:pt>
                <c:pt idx="145">
                  <c:v>2.3662166821039055E-2</c:v>
                </c:pt>
                <c:pt idx="146">
                  <c:v>2.3684887628754869E-2</c:v>
                </c:pt>
                <c:pt idx="147">
                  <c:v>2.3707607907724304E-2</c:v>
                </c:pt>
                <c:pt idx="148">
                  <c:v>2.3730327657959682E-2</c:v>
                </c:pt>
                <c:pt idx="149">
                  <c:v>2.3753046879473327E-2</c:v>
                </c:pt>
                <c:pt idx="150">
                  <c:v>2.3775765572277452E-2</c:v>
                </c:pt>
                <c:pt idx="151">
                  <c:v>2.3798483736384379E-2</c:v>
                </c:pt>
                <c:pt idx="152">
                  <c:v>2.3821201371806433E-2</c:v>
                </c:pt>
                <c:pt idx="153">
                  <c:v>2.3843918478556048E-2</c:v>
                </c:pt>
                <c:pt idx="154">
                  <c:v>2.3866635056645213E-2</c:v>
                </c:pt>
                <c:pt idx="155">
                  <c:v>2.3889351106086587E-2</c:v>
                </c:pt>
                <c:pt idx="156">
                  <c:v>2.3912066626892159E-2</c:v>
                </c:pt>
                <c:pt idx="157">
                  <c:v>2.3934781619074474E-2</c:v>
                </c:pt>
                <c:pt idx="158">
                  <c:v>2.3957496082645746E-2</c:v>
                </c:pt>
                <c:pt idx="159">
                  <c:v>2.3980210017618186E-2</c:v>
                </c:pt>
                <c:pt idx="160">
                  <c:v>2.400292342400423E-2</c:v>
                </c:pt>
                <c:pt idx="161">
                  <c:v>2.4025636301816089E-2</c:v>
                </c:pt>
                <c:pt idx="162">
                  <c:v>2.4048348651066198E-2</c:v>
                </c:pt>
                <c:pt idx="163">
                  <c:v>2.4071060471766659E-2</c:v>
                </c:pt>
                <c:pt idx="164">
                  <c:v>2.4093771763929905E-2</c:v>
                </c:pt>
                <c:pt idx="165">
                  <c:v>2.411648252756815E-2</c:v>
                </c:pt>
                <c:pt idx="166">
                  <c:v>2.4139192762693829E-2</c:v>
                </c:pt>
                <c:pt idx="167">
                  <c:v>2.4161902469319152E-2</c:v>
                </c:pt>
                <c:pt idx="168">
                  <c:v>2.4184611647456333E-2</c:v>
                </c:pt>
                <c:pt idx="169">
                  <c:v>2.4207320297117918E-2</c:v>
                </c:pt>
                <c:pt idx="170">
                  <c:v>2.4230028418315896E-2</c:v>
                </c:pt>
                <c:pt idx="171">
                  <c:v>2.4252736011062814E-2</c:v>
                </c:pt>
                <c:pt idx="172">
                  <c:v>2.4275443075370773E-2</c:v>
                </c:pt>
                <c:pt idx="173">
                  <c:v>2.4298149611252318E-2</c:v>
                </c:pt>
                <c:pt idx="174">
                  <c:v>2.432085561871955E-2</c:v>
                </c:pt>
                <c:pt idx="175">
                  <c:v>2.4343561097784794E-2</c:v>
                </c:pt>
                <c:pt idx="176">
                  <c:v>2.4366266048460372E-2</c:v>
                </c:pt>
                <c:pt idx="177">
                  <c:v>2.4388970470758498E-2</c:v>
                </c:pt>
                <c:pt idx="178">
                  <c:v>2.4411674364691716E-2</c:v>
                </c:pt>
                <c:pt idx="179">
                  <c:v>2.4434377730272017E-2</c:v>
                </c:pt>
                <c:pt idx="180">
                  <c:v>2.4457080567511835E-2</c:v>
                </c:pt>
                <c:pt idx="181">
                  <c:v>2.4479782876423495E-2</c:v>
                </c:pt>
                <c:pt idx="182">
                  <c:v>2.4502484657019319E-2</c:v>
                </c:pt>
                <c:pt idx="183">
                  <c:v>2.452518590931152E-2</c:v>
                </c:pt>
                <c:pt idx="184">
                  <c:v>2.4547886633312421E-2</c:v>
                </c:pt>
                <c:pt idx="185">
                  <c:v>2.4570586829034236E-2</c:v>
                </c:pt>
                <c:pt idx="186">
                  <c:v>2.4593286496489397E-2</c:v>
                </c:pt>
                <c:pt idx="187">
                  <c:v>2.4615985635690119E-2</c:v>
                </c:pt>
                <c:pt idx="188">
                  <c:v>2.4638684246648723E-2</c:v>
                </c:pt>
                <c:pt idx="189">
                  <c:v>2.4661382329377424E-2</c:v>
                </c:pt>
                <c:pt idx="190">
                  <c:v>2.4684079883888654E-2</c:v>
                </c:pt>
                <c:pt idx="191">
                  <c:v>2.4706776910194628E-2</c:v>
                </c:pt>
                <c:pt idx="192">
                  <c:v>2.4729473408307667E-2</c:v>
                </c:pt>
                <c:pt idx="193">
                  <c:v>2.4752169378239985E-2</c:v>
                </c:pt>
                <c:pt idx="194">
                  <c:v>2.4774864820003906E-2</c:v>
                </c:pt>
                <c:pt idx="195">
                  <c:v>2.4797559733611751E-2</c:v>
                </c:pt>
                <c:pt idx="196">
                  <c:v>2.4820254119075846E-2</c:v>
                </c:pt>
                <c:pt idx="197">
                  <c:v>2.4842947976408403E-2</c:v>
                </c:pt>
                <c:pt idx="198">
                  <c:v>2.4865641305621744E-2</c:v>
                </c:pt>
                <c:pt idx="199">
                  <c:v>2.4888334106728194E-2</c:v>
                </c:pt>
                <c:pt idx="200">
                  <c:v>2.4911026379739964E-2</c:v>
                </c:pt>
                <c:pt idx="201">
                  <c:v>2.4933718124669491E-2</c:v>
                </c:pt>
                <c:pt idx="202">
                  <c:v>2.4956409341528873E-2</c:v>
                </c:pt>
                <c:pt idx="203">
                  <c:v>2.4979100030330437E-2</c:v>
                </c:pt>
                <c:pt idx="204">
                  <c:v>2.5001790191086615E-2</c:v>
                </c:pt>
                <c:pt idx="205">
                  <c:v>2.502447982380962E-2</c:v>
                </c:pt>
                <c:pt idx="206">
                  <c:v>2.5047168928511665E-2</c:v>
                </c:pt>
                <c:pt idx="207">
                  <c:v>2.5069857505205073E-2</c:v>
                </c:pt>
                <c:pt idx="208">
                  <c:v>2.5092545553902279E-2</c:v>
                </c:pt>
                <c:pt idx="209">
                  <c:v>2.5115233074615273E-2</c:v>
                </c:pt>
                <c:pt idx="210">
                  <c:v>2.5137920067356601E-2</c:v>
                </c:pt>
                <c:pt idx="211">
                  <c:v>2.5160606532138474E-2</c:v>
                </c:pt>
                <c:pt idx="212">
                  <c:v>2.5183292468973217E-2</c:v>
                </c:pt>
                <c:pt idx="213">
                  <c:v>2.5205977877873043E-2</c:v>
                </c:pt>
                <c:pt idx="214">
                  <c:v>2.5228662758850162E-2</c:v>
                </c:pt>
                <c:pt idx="215">
                  <c:v>2.5251347111917122E-2</c:v>
                </c:pt>
                <c:pt idx="216">
                  <c:v>2.5274030937085912E-2</c:v>
                </c:pt>
                <c:pt idx="217">
                  <c:v>2.5296714234368967E-2</c:v>
                </c:pt>
                <c:pt idx="218">
                  <c:v>2.531939700377861E-2</c:v>
                </c:pt>
                <c:pt idx="219">
                  <c:v>2.5342079245327054E-2</c:v>
                </c:pt>
                <c:pt idx="220">
                  <c:v>2.5364760959026622E-2</c:v>
                </c:pt>
                <c:pt idx="221">
                  <c:v>2.5387442144889527E-2</c:v>
                </c:pt>
                <c:pt idx="222">
                  <c:v>2.5410122802928092E-2</c:v>
                </c:pt>
                <c:pt idx="223">
                  <c:v>2.5432802933154641E-2</c:v>
                </c:pt>
                <c:pt idx="224">
                  <c:v>2.5455482535581497E-2</c:v>
                </c:pt>
                <c:pt idx="225">
                  <c:v>2.5478161610220762E-2</c:v>
                </c:pt>
                <c:pt idx="226">
                  <c:v>2.550084015708487E-2</c:v>
                </c:pt>
                <c:pt idx="227">
                  <c:v>2.5523518176186033E-2</c:v>
                </c:pt>
                <c:pt idx="228">
                  <c:v>2.5546195667536575E-2</c:v>
                </c:pt>
                <c:pt idx="229">
                  <c:v>2.556887263114882E-2</c:v>
                </c:pt>
                <c:pt idx="230">
                  <c:v>2.559154906703498E-2</c:v>
                </c:pt>
                <c:pt idx="231">
                  <c:v>2.5614224975207267E-2</c:v>
                </c:pt>
                <c:pt idx="232">
                  <c:v>2.5636900355678116E-2</c:v>
                </c:pt>
                <c:pt idx="233">
                  <c:v>2.5659575208459739E-2</c:v>
                </c:pt>
                <c:pt idx="234">
                  <c:v>2.568224953356435E-2</c:v>
                </c:pt>
                <c:pt idx="235">
                  <c:v>2.5704923331004381E-2</c:v>
                </c:pt>
                <c:pt idx="236">
                  <c:v>2.5727596600791935E-2</c:v>
                </c:pt>
                <c:pt idx="237">
                  <c:v>2.5750269342939447E-2</c:v>
                </c:pt>
                <c:pt idx="238">
                  <c:v>2.5772941557459017E-2</c:v>
                </c:pt>
                <c:pt idx="239">
                  <c:v>2.5795613244363191E-2</c:v>
                </c:pt>
                <c:pt idx="240">
                  <c:v>2.581828440366396E-2</c:v>
                </c:pt>
                <c:pt idx="241">
                  <c:v>2.5840955035373758E-2</c:v>
                </c:pt>
                <c:pt idx="242">
                  <c:v>2.5863625139504909E-2</c:v>
                </c:pt>
                <c:pt idx="243">
                  <c:v>2.5886294716069513E-2</c:v>
                </c:pt>
                <c:pt idx="244">
                  <c:v>2.5908963765080006E-2</c:v>
                </c:pt>
                <c:pt idx="245">
                  <c:v>2.59316322865486E-2</c:v>
                </c:pt>
                <c:pt idx="246">
                  <c:v>2.5954300280487619E-2</c:v>
                </c:pt>
                <c:pt idx="247">
                  <c:v>2.5976967746909274E-2</c:v>
                </c:pt>
                <c:pt idx="248">
                  <c:v>2.599963468582589E-2</c:v>
                </c:pt>
                <c:pt idx="249">
                  <c:v>2.6022301097249678E-2</c:v>
                </c:pt>
                <c:pt idx="250">
                  <c:v>2.6044966981192963E-2</c:v>
                </c:pt>
                <c:pt idx="251">
                  <c:v>2.6067632337668067E-2</c:v>
                </c:pt>
                <c:pt idx="252">
                  <c:v>2.6090297166687204E-2</c:v>
                </c:pt>
                <c:pt idx="253">
                  <c:v>2.6112961468262585E-2</c:v>
                </c:pt>
                <c:pt idx="254">
                  <c:v>2.6135625242406646E-2</c:v>
                </c:pt>
                <c:pt idx="255">
                  <c:v>2.6158288489131487E-2</c:v>
                </c:pt>
                <c:pt idx="256">
                  <c:v>2.6180951208449543E-2</c:v>
                </c:pt>
                <c:pt idx="257">
                  <c:v>2.6203613400373027E-2</c:v>
                </c:pt>
                <c:pt idx="258">
                  <c:v>2.6226275064914151E-2</c:v>
                </c:pt>
                <c:pt idx="259">
                  <c:v>2.6248936202085238E-2</c:v>
                </c:pt>
                <c:pt idx="260">
                  <c:v>2.6271596811898612E-2</c:v>
                </c:pt>
                <c:pt idx="261">
                  <c:v>2.6294256894366375E-2</c:v>
                </c:pt>
                <c:pt idx="262">
                  <c:v>2.631691644950096E-2</c:v>
                </c:pt>
                <c:pt idx="263">
                  <c:v>2.6339575477314692E-2</c:v>
                </c:pt>
                <c:pt idx="264">
                  <c:v>2.6362233977819671E-2</c:v>
                </c:pt>
                <c:pt idx="265">
                  <c:v>2.6384891951028222E-2</c:v>
                </c:pt>
                <c:pt idx="266">
                  <c:v>2.6407549396952668E-2</c:v>
                </c:pt>
                <c:pt idx="267">
                  <c:v>2.643020631560522E-2</c:v>
                </c:pt>
                <c:pt idx="268">
                  <c:v>2.6452862706998204E-2</c:v>
                </c:pt>
                <c:pt idx="269">
                  <c:v>2.647551857114383E-2</c:v>
                </c:pt>
                <c:pt idx="270">
                  <c:v>2.6498173908054423E-2</c:v>
                </c:pt>
                <c:pt idx="271">
                  <c:v>2.6520828717742195E-2</c:v>
                </c:pt>
                <c:pt idx="272">
                  <c:v>2.654348300021947E-2</c:v>
                </c:pt>
                <c:pt idx="273">
                  <c:v>2.656613675549846E-2</c:v>
                </c:pt>
                <c:pt idx="274">
                  <c:v>2.6588789983591488E-2</c:v>
                </c:pt>
                <c:pt idx="275">
                  <c:v>2.6611442684510878E-2</c:v>
                </c:pt>
                <c:pt idx="276">
                  <c:v>2.6634094858268731E-2</c:v>
                </c:pt>
                <c:pt idx="277">
                  <c:v>2.6656746504877482E-2</c:v>
                </c:pt>
                <c:pt idx="278">
                  <c:v>2.6679397624349233E-2</c:v>
                </c:pt>
                <c:pt idx="279">
                  <c:v>2.6702048216696417E-2</c:v>
                </c:pt>
                <c:pt idx="280">
                  <c:v>2.6724698281931247E-2</c:v>
                </c:pt>
                <c:pt idx="281">
                  <c:v>2.6747347820065936E-2</c:v>
                </c:pt>
                <c:pt idx="282">
                  <c:v>2.6769996831112697E-2</c:v>
                </c:pt>
                <c:pt idx="283">
                  <c:v>2.6792645315083963E-2</c:v>
                </c:pt>
                <c:pt idx="284">
                  <c:v>2.6815293271991947E-2</c:v>
                </c:pt>
                <c:pt idx="285">
                  <c:v>2.6837940701848861E-2</c:v>
                </c:pt>
                <c:pt idx="286">
                  <c:v>2.686058760466703E-2</c:v>
                </c:pt>
                <c:pt idx="287">
                  <c:v>2.6883233980458665E-2</c:v>
                </c:pt>
                <c:pt idx="288">
                  <c:v>2.6905879829235979E-2</c:v>
                </c:pt>
                <c:pt idx="289">
                  <c:v>2.6928525151011407E-2</c:v>
                </c:pt>
                <c:pt idx="290">
                  <c:v>2.6951169945797049E-2</c:v>
                </c:pt>
                <c:pt idx="291">
                  <c:v>2.697381421360534E-2</c:v>
                </c:pt>
                <c:pt idx="292">
                  <c:v>2.6996457954448272E-2</c:v>
                </c:pt>
                <c:pt idx="293">
                  <c:v>2.7019101168338389E-2</c:v>
                </c:pt>
                <c:pt idx="294">
                  <c:v>2.7041743855287792E-2</c:v>
                </c:pt>
                <c:pt idx="295">
                  <c:v>2.7064386015308806E-2</c:v>
                </c:pt>
                <c:pt idx="296">
                  <c:v>2.7087027648413753E-2</c:v>
                </c:pt>
                <c:pt idx="297">
                  <c:v>2.7109668754614735E-2</c:v>
                </c:pt>
                <c:pt idx="298">
                  <c:v>2.7132309333924076E-2</c:v>
                </c:pt>
                <c:pt idx="299">
                  <c:v>2.7154949386354099E-2</c:v>
                </c:pt>
                <c:pt idx="300">
                  <c:v>2.7177588911917017E-2</c:v>
                </c:pt>
                <c:pt idx="301">
                  <c:v>2.7200227910625152E-2</c:v>
                </c:pt>
                <c:pt idx="302">
                  <c:v>2.7222866382490607E-2</c:v>
                </c:pt>
                <c:pt idx="303">
                  <c:v>2.7245504327525816E-2</c:v>
                </c:pt>
                <c:pt idx="304">
                  <c:v>2.7268141745742991E-2</c:v>
                </c:pt>
                <c:pt idx="305">
                  <c:v>2.7290778637154345E-2</c:v>
                </c:pt>
                <c:pt idx="306">
                  <c:v>2.7313415001772201E-2</c:v>
                </c:pt>
                <c:pt idx="307">
                  <c:v>2.7336050839608772E-2</c:v>
                </c:pt>
                <c:pt idx="308">
                  <c:v>2.735868615067627E-2</c:v>
                </c:pt>
                <c:pt idx="309">
                  <c:v>2.7381320934987019E-2</c:v>
                </c:pt>
                <c:pt idx="310">
                  <c:v>2.7403955192553342E-2</c:v>
                </c:pt>
                <c:pt idx="311">
                  <c:v>2.7426588923387341E-2</c:v>
                </c:pt>
                <c:pt idx="312">
                  <c:v>2.7449222127501449E-2</c:v>
                </c:pt>
                <c:pt idx="313">
                  <c:v>2.7471854804907769E-2</c:v>
                </c:pt>
                <c:pt idx="314">
                  <c:v>2.7494486955618624E-2</c:v>
                </c:pt>
                <c:pt idx="315">
                  <c:v>2.7517118579646338E-2</c:v>
                </c:pt>
                <c:pt idx="316">
                  <c:v>2.7539749677003011E-2</c:v>
                </c:pt>
                <c:pt idx="317">
                  <c:v>2.7562380247701079E-2</c:v>
                </c:pt>
                <c:pt idx="318">
                  <c:v>2.7585010291752643E-2</c:v>
                </c:pt>
                <c:pt idx="319">
                  <c:v>2.7607639809170026E-2</c:v>
                </c:pt>
                <c:pt idx="320">
                  <c:v>2.7630268799965441E-2</c:v>
                </c:pt>
                <c:pt idx="321">
                  <c:v>2.7652897264151211E-2</c:v>
                </c:pt>
                <c:pt idx="322">
                  <c:v>2.7675525201739548E-2</c:v>
                </c:pt>
                <c:pt idx="323">
                  <c:v>2.7698152612742777E-2</c:v>
                </c:pt>
                <c:pt idx="324">
                  <c:v>2.7720779497172998E-2</c:v>
                </c:pt>
                <c:pt idx="325">
                  <c:v>2.7743405855042647E-2</c:v>
                </c:pt>
                <c:pt idx="326">
                  <c:v>2.7766031686363823E-2</c:v>
                </c:pt>
                <c:pt idx="327">
                  <c:v>2.7788656991148963E-2</c:v>
                </c:pt>
                <c:pt idx="328">
                  <c:v>2.7811281769410168E-2</c:v>
                </c:pt>
                <c:pt idx="329">
                  <c:v>2.7833906021159649E-2</c:v>
                </c:pt>
                <c:pt idx="330">
                  <c:v>2.7856529746409842E-2</c:v>
                </c:pt>
                <c:pt idx="331">
                  <c:v>2.7879152945172847E-2</c:v>
                </c:pt>
                <c:pt idx="332">
                  <c:v>2.7901775617460878E-2</c:v>
                </c:pt>
                <c:pt idx="333">
                  <c:v>2.7924397763286368E-2</c:v>
                </c:pt>
                <c:pt idx="334">
                  <c:v>2.7947019382661531E-2</c:v>
                </c:pt>
                <c:pt idx="335">
                  <c:v>2.7969640475598467E-2</c:v>
                </c:pt>
                <c:pt idx="336">
                  <c:v>2.7992261042109612E-2</c:v>
                </c:pt>
                <c:pt idx="337">
                  <c:v>2.8014881082207066E-2</c:v>
                </c:pt>
                <c:pt idx="338">
                  <c:v>2.8037500595903153E-2</c:v>
                </c:pt>
                <c:pt idx="339">
                  <c:v>2.8060119583210086E-2</c:v>
                </c:pt>
                <c:pt idx="340">
                  <c:v>2.8082738044140187E-2</c:v>
                </c:pt>
                <c:pt idx="341">
                  <c:v>2.810535597870556E-2</c:v>
                </c:pt>
                <c:pt idx="342">
                  <c:v>2.8127973386918637E-2</c:v>
                </c:pt>
                <c:pt idx="343">
                  <c:v>2.8150590268791631E-2</c:v>
                </c:pt>
                <c:pt idx="344">
                  <c:v>2.8173206624336644E-2</c:v>
                </c:pt>
                <c:pt idx="345">
                  <c:v>2.8195822453566111E-2</c:v>
                </c:pt>
                <c:pt idx="346">
                  <c:v>2.8218437756492132E-2</c:v>
                </c:pt>
                <c:pt idx="347">
                  <c:v>2.8241052533127031E-2</c:v>
                </c:pt>
                <c:pt idx="348">
                  <c:v>2.8263666783483021E-2</c:v>
                </c:pt>
                <c:pt idx="349">
                  <c:v>2.8286280507572426E-2</c:v>
                </c:pt>
                <c:pt idx="350">
                  <c:v>2.8308893705407345E-2</c:v>
                </c:pt>
                <c:pt idx="351">
                  <c:v>2.8331506377000215E-2</c:v>
                </c:pt>
                <c:pt idx="352">
                  <c:v>2.8354118522363136E-2</c:v>
                </c:pt>
                <c:pt idx="353">
                  <c:v>2.8376730141508322E-2</c:v>
                </c:pt>
                <c:pt idx="354">
                  <c:v>2.8399341234448205E-2</c:v>
                </c:pt>
                <c:pt idx="355">
                  <c:v>2.8421951801194889E-2</c:v>
                </c:pt>
                <c:pt idx="356">
                  <c:v>2.8444561841760696E-2</c:v>
                </c:pt>
                <c:pt idx="357">
                  <c:v>2.8467171356157728E-2</c:v>
                </c:pt>
                <c:pt idx="358">
                  <c:v>2.8489780344398419E-2</c:v>
                </c:pt>
                <c:pt idx="359">
                  <c:v>2.8512388806494871E-2</c:v>
                </c:pt>
                <c:pt idx="360">
                  <c:v>2.8534996742459406E-2</c:v>
                </c:pt>
                <c:pt idx="361">
                  <c:v>2.8557604152304239E-2</c:v>
                </c:pt>
                <c:pt idx="362">
                  <c:v>2.8580211036041581E-2</c:v>
                </c:pt>
                <c:pt idx="363">
                  <c:v>2.8602817393683755E-2</c:v>
                </c:pt>
                <c:pt idx="364">
                  <c:v>2.8625423225242974E-2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0.12210732217810838</c:v>
                </c:pt>
                <c:pt idx="1">
                  <c:v>0.12214974672095989</c:v>
                </c:pt>
                <c:pt idx="2">
                  <c:v>0.12219241581476377</c:v>
                </c:pt>
                <c:pt idx="3">
                  <c:v>0.12223529027313025</c:v>
                </c:pt>
                <c:pt idx="4">
                  <c:v>0.12227833600914952</c:v>
                </c:pt>
                <c:pt idx="5">
                  <c:v>0.12232152387860577</c:v>
                </c:pt>
                <c:pt idx="6">
                  <c:v>0.1223648294850247</c:v>
                </c:pt>
                <c:pt idx="7">
                  <c:v>0.12240823294972895</c:v>
                </c:pt>
                <c:pt idx="8">
                  <c:v>0.12245171865033022</c:v>
                </c:pt>
                <c:pt idx="9">
                  <c:v>0.12249527493130463</c:v>
                </c:pt>
                <c:pt idx="10">
                  <c:v>0.12253889379047658</c:v>
                </c:pt>
                <c:pt idx="11">
                  <c:v>0.12258257054537461</c:v>
                </c:pt>
                <c:pt idx="12">
                  <c:v>0.12262630348352208</c:v>
                </c:pt>
                <c:pt idx="13">
                  <c:v>0.12267009350078209</c:v>
                </c:pt>
                <c:pt idx="14">
                  <c:v>0.12271394373189352</c:v>
                </c:pt>
                <c:pt idx="15">
                  <c:v>0.12275785917731016</c:v>
                </c:pt>
                <c:pt idx="16">
                  <c:v>0.12280184633039312</c:v>
                </c:pt>
                <c:pt idx="17">
                  <c:v>0.12284591280890329</c:v>
                </c:pt>
                <c:pt idx="18">
                  <c:v>0.12289006699460446</c:v>
                </c:pt>
                <c:pt idx="19">
                  <c:v>0.12293431768461224</c:v>
                </c:pt>
                <c:pt idx="20">
                  <c:v>0.12297867375792124</c:v>
                </c:pt>
                <c:pt idx="21">
                  <c:v>0.12302314386030497</c:v>
                </c:pt>
                <c:pt idx="22">
                  <c:v>0.12306773611052264</c:v>
                </c:pt>
                <c:pt idx="23">
                  <c:v>0.12311245783047961</c:v>
                </c:pt>
                <c:pt idx="24">
                  <c:v>0.12315731530168129</c:v>
                </c:pt>
                <c:pt idx="25">
                  <c:v>0.12320231354999663</c:v>
                </c:pt>
                <c:pt idx="26">
                  <c:v>0.12324745616040853</c:v>
                </c:pt>
                <c:pt idx="27">
                  <c:v>0.12329274512308142</c:v>
                </c:pt>
                <c:pt idx="28">
                  <c:v>0.1233381807117206</c:v>
                </c:pt>
                <c:pt idx="29">
                  <c:v>0.12338376139484272</c:v>
                </c:pt>
                <c:pt idx="30">
                  <c:v>0.1234294837802188</c:v>
                </c:pt>
                <c:pt idx="31">
                  <c:v>0.12347534259240166</c:v>
                </c:pt>
                <c:pt idx="32">
                  <c:v>0.1235213306829054</c:v>
                </c:pt>
                <c:pt idx="33">
                  <c:v>0.12356743907227352</c:v>
                </c:pt>
                <c:pt idx="34">
                  <c:v>0.12361365702295511</c:v>
                </c:pt>
                <c:pt idx="35">
                  <c:v>0.12365997214160995</c:v>
                </c:pt>
                <c:pt idx="36">
                  <c:v>0.12370637050918419</c:v>
                </c:pt>
                <c:pt idx="37">
                  <c:v>0.12375283683684296</c:v>
                </c:pt>
                <c:pt idx="38">
                  <c:v>0.12379935464561638</c:v>
                </c:pt>
                <c:pt idx="39">
                  <c:v>0.12384590646741134</c:v>
                </c:pt>
                <c:pt idx="40">
                  <c:v>0.12389247406486766</c:v>
                </c:pt>
                <c:pt idx="41">
                  <c:v>0.1239390386673925</c:v>
                </c:pt>
                <c:pt idx="42">
                  <c:v>0.12398558122059379</c:v>
                </c:pt>
                <c:pt idx="43">
                  <c:v>0.12403208264625054</c:v>
                </c:pt>
                <c:pt idx="44">
                  <c:v>0.12407852410990873</c:v>
                </c:pt>
                <c:pt idx="45">
                  <c:v>0.12412488729317227</c:v>
                </c:pt>
                <c:pt idx="46">
                  <c:v>0.12417115466777101</c:v>
                </c:pt>
                <c:pt idx="47">
                  <c:v>0.12421730976853088</c:v>
                </c:pt>
                <c:pt idx="48">
                  <c:v>0.12426333746244367</c:v>
                </c:pt>
                <c:pt idx="49">
                  <c:v>0.12430922421113352</c:v>
                </c:pt>
                <c:pt idx="50">
                  <c:v>0.12435495832414377</c:v>
                </c:pt>
                <c:pt idx="51">
                  <c:v>0.12440053020061866</c:v>
                </c:pt>
                <c:pt idx="52">
                  <c:v>0.12444593255712588</c:v>
                </c:pt>
                <c:pt idx="53">
                  <c:v>0.12449116063955978</c:v>
                </c:pt>
                <c:pt idx="54">
                  <c:v>0.12453621241727268</c:v>
                </c:pt>
                <c:pt idx="55">
                  <c:v>0.12458108875780712</c:v>
                </c:pt>
                <c:pt idx="56">
                  <c:v>0.12462579358083541</c:v>
                </c:pt>
                <c:pt idx="57">
                  <c:v>0.12467033399015923</c:v>
                </c:pt>
                <c:pt idx="58">
                  <c:v>0.12471472038286881</c:v>
                </c:pt>
                <c:pt idx="59">
                  <c:v>0.12475896653501649</c:v>
                </c:pt>
                <c:pt idx="60">
                  <c:v>0.12480308966340967</c:v>
                </c:pt>
                <c:pt idx="61">
                  <c:v>0.12484711046337889</c:v>
                </c:pt>
                <c:pt idx="62">
                  <c:v>0.12489105312261889</c:v>
                </c:pt>
                <c:pt idx="63">
                  <c:v>0.1249349453114362</c:v>
                </c:pt>
                <c:pt idx="64">
                  <c:v>0.12497881814996042</c:v>
                </c:pt>
                <c:pt idx="65">
                  <c:v>0.12502270615308603</c:v>
                </c:pt>
                <c:pt idx="66">
                  <c:v>0.12506664715410709</c:v>
                </c:pt>
                <c:pt idx="67">
                  <c:v>0.125110682208184</c:v>
                </c:pt>
                <c:pt idx="68">
                  <c:v>0.12515485547693925</c:v>
                </c:pt>
                <c:pt idx="69">
                  <c:v>0.12519921409561696</c:v>
                </c:pt>
                <c:pt idx="70">
                  <c:v>0.125243808024356</c:v>
                </c:pt>
                <c:pt idx="71">
                  <c:v>0.12528868988521957</c:v>
                </c:pt>
                <c:pt idx="72">
                  <c:v>0.12533391478669392</c:v>
                </c:pt>
                <c:pt idx="73">
                  <c:v>0.12537954013741442</c:v>
                </c:pt>
                <c:pt idx="74">
                  <c:v>0.12542562545090058</c:v>
                </c:pt>
                <c:pt idx="75">
                  <c:v>0.12547223214307929</c:v>
                </c:pt>
                <c:pt idx="76">
                  <c:v>0.12551942332435487</c:v>
                </c:pt>
                <c:pt idx="77">
                  <c:v>0.12556726358793646</c:v>
                </c:pt>
                <c:pt idx="78">
                  <c:v>0.12561581879606956</c:v>
                </c:pt>
                <c:pt idx="79">
                  <c:v>0.12566515586573276</c:v>
                </c:pt>
                <c:pt idx="80">
                  <c:v>0.1257153425552579</c:v>
                </c:pt>
                <c:pt idx="81">
                  <c:v>0.12576644725321334</c:v>
                </c:pt>
                <c:pt idx="82">
                  <c:v>0.12581853877075824</c:v>
                </c:pt>
                <c:pt idx="83">
                  <c:v>0.12587168613852967</c:v>
                </c:pt>
                <c:pt idx="84">
                  <c:v>0.12592595840897305</c:v>
                </c:pt>
                <c:pt idx="85">
                  <c:v>0.12598142446486352</c:v>
                </c:pt>
                <c:pt idx="86">
                  <c:v>0.12603815283460143</c:v>
                </c:pt>
                <c:pt idx="87">
                  <c:v>0.12609621151469741</c:v>
                </c:pt>
                <c:pt idx="88">
                  <c:v>0.12615566779969387</c:v>
                </c:pt>
                <c:pt idx="89">
                  <c:v>0.12621658811960729</c:v>
                </c:pt>
                <c:pt idx="90">
                  <c:v>0.12627903788481368</c:v>
                </c:pt>
                <c:pt idx="91">
                  <c:v>0.12634308133814906</c:v>
                </c:pt>
                <c:pt idx="92">
                  <c:v>0.12640878141385445</c:v>
                </c:pt>
                <c:pt idx="93">
                  <c:v>0.12647619960286299</c:v>
                </c:pt>
                <c:pt idx="94">
                  <c:v>0.12654539582381136</c:v>
                </c:pt>
                <c:pt idx="95">
                  <c:v>0.12661642829905498</c:v>
                </c:pt>
                <c:pt idx="96">
                  <c:v>0.12668935343488202</c:v>
                </c:pt>
                <c:pt idx="97">
                  <c:v>0.12676422570505469</c:v>
                </c:pt>
                <c:pt idx="98">
                  <c:v>0.12684109753675893</c:v>
                </c:pt>
                <c:pt idx="99">
                  <c:v>0.12692001919801499</c:v>
                </c:pt>
                <c:pt idx="100">
                  <c:v>0.12700103868559628</c:v>
                </c:pt>
                <c:pt idx="101">
                  <c:v>0.12708420161251482</c:v>
                </c:pt>
                <c:pt idx="102">
                  <c:v>0.12716955109416708</c:v>
                </c:pt>
                <c:pt idx="103">
                  <c:v>0.12725712763228852</c:v>
                </c:pt>
                <c:pt idx="104">
                  <c:v>0.12734696899593717</c:v>
                </c:pt>
                <c:pt idx="105">
                  <c:v>0.12743911009882108</c:v>
                </c:pt>
                <c:pt idx="106">
                  <c:v>0.12753358287239264</c:v>
                </c:pt>
                <c:pt idx="107">
                  <c:v>0.12763041613426074</c:v>
                </c:pt>
                <c:pt idx="108">
                  <c:v>0.1277296354516107</c:v>
                </c:pt>
                <c:pt idx="109">
                  <c:v>2.5232359749239194E-2</c:v>
                </c:pt>
                <c:pt idx="110">
                  <c:v>2.564623483632136E-2</c:v>
                </c:pt>
                <c:pt idx="111">
                  <c:v>2.6059943773557137E-2</c:v>
                </c:pt>
                <c:pt idx="112">
                  <c:v>2.6473513047175927E-2</c:v>
                </c:pt>
                <c:pt idx="113">
                  <c:v>2.6886968283385441E-2</c:v>
                </c:pt>
                <c:pt idx="114">
                  <c:v>2.7300334152602863E-2</c:v>
                </c:pt>
                <c:pt idx="115">
                  <c:v>2.7713634270794728E-2</c:v>
                </c:pt>
                <c:pt idx="116">
                  <c:v>2.8126891098140518E-2</c:v>
                </c:pt>
                <c:pt idx="117">
                  <c:v>2.8540125835299558E-2</c:v>
                </c:pt>
                <c:pt idx="118">
                  <c:v>2.8953358317627721E-2</c:v>
                </c:pt>
                <c:pt idx="119">
                  <c:v>2.9366606907757376E-2</c:v>
                </c:pt>
                <c:pt idx="120">
                  <c:v>2.9779888387023699E-2</c:v>
                </c:pt>
                <c:pt idx="121">
                  <c:v>3.0193217846286279E-2</c:v>
                </c:pt>
                <c:pt idx="122">
                  <c:v>3.0606608576762097E-2</c:v>
                </c:pt>
                <c:pt idx="123">
                  <c:v>3.1020071961547956E-2</c:v>
                </c:pt>
                <c:pt idx="124">
                  <c:v>3.1433617368570234E-2</c:v>
                </c:pt>
                <c:pt idx="125">
                  <c:v>3.1847252045753817E-2</c:v>
                </c:pt>
                <c:pt idx="126">
                  <c:v>3.2260981019250859E-2</c:v>
                </c:pt>
                <c:pt idx="127">
                  <c:v>3.2674806995611358E-2</c:v>
                </c:pt>
                <c:pt idx="128">
                  <c:v>3.3088730268812441E-2</c:v>
                </c:pt>
                <c:pt idx="129">
                  <c:v>3.3502748633087845E-2</c:v>
                </c:pt>
                <c:pt idx="130">
                  <c:v>3.3916857302516285E-2</c:v>
                </c:pt>
                <c:pt idx="131">
                  <c:v>3.4331048838333801E-2</c:v>
                </c:pt>
                <c:pt idx="132">
                  <c:v>3.4745313084930951E-2</c:v>
                </c:pt>
                <c:pt idx="133">
                  <c:v>3.5159637115481285E-2</c:v>
                </c:pt>
                <c:pt idx="134">
                  <c:v>3.5574005188122149E-2</c:v>
                </c:pt>
                <c:pt idx="135">
                  <c:v>3.5988398713570464E-2</c:v>
                </c:pt>
                <c:pt idx="136">
                  <c:v>3.6402796235009492E-2</c:v>
                </c:pt>
                <c:pt idx="137">
                  <c:v>3.6817173421021025E-2</c:v>
                </c:pt>
                <c:pt idx="138">
                  <c:v>3.7231503072268114E-2</c:v>
                </c:pt>
                <c:pt idx="139">
                  <c:v>3.7645755142551023E-2</c:v>
                </c:pt>
                <c:pt idx="140">
                  <c:v>3.8059896774768724E-2</c:v>
                </c:pt>
                <c:pt idx="141">
                  <c:v>3.8473892352215926E-2</c:v>
                </c:pt>
                <c:pt idx="142">
                  <c:v>3.8887703565537349E-2</c:v>
                </c:pt>
                <c:pt idx="143">
                  <c:v>3.9301289495542575E-2</c:v>
                </c:pt>
                <c:pt idx="144">
                  <c:v>3.9714606711961163E-2</c:v>
                </c:pt>
                <c:pt idx="145">
                  <c:v>4.0127609388087626E-2</c:v>
                </c:pt>
                <c:pt idx="146">
                  <c:v>4.0540249431131797E-2</c:v>
                </c:pt>
                <c:pt idx="147">
                  <c:v>4.0952476627953247E-2</c:v>
                </c:pt>
                <c:pt idx="148">
                  <c:v>4.1364238805718302E-2</c:v>
                </c:pt>
                <c:pt idx="149">
                  <c:v>4.1775482006880277E-2</c:v>
                </c:pt>
                <c:pt idx="150">
                  <c:v>4.2186150677744595E-2</c:v>
                </c:pt>
                <c:pt idx="151">
                  <c:v>4.2596187869744957E-2</c:v>
                </c:pt>
                <c:pt idx="152">
                  <c:v>4.3005535452426108E-2</c:v>
                </c:pt>
                <c:pt idx="153">
                  <c:v>4.3414134337002502E-2</c:v>
                </c:pt>
                <c:pt idx="154">
                  <c:v>4.3821924709243669E-2</c:v>
                </c:pt>
                <c:pt idx="155">
                  <c:v>4.4228846270327499E-2</c:v>
                </c:pt>
                <c:pt idx="156">
                  <c:v>4.4634838484201723E-2</c:v>
                </c:pt>
                <c:pt idx="157">
                  <c:v>4.5039840829905586E-2</c:v>
                </c:pt>
                <c:pt idx="158">
                  <c:v>4.5443793057225748E-2</c:v>
                </c:pt>
                <c:pt idx="159">
                  <c:v>4.5846635443998258E-2</c:v>
                </c:pt>
                <c:pt idx="160">
                  <c:v>4.6248309053317782E-2</c:v>
                </c:pt>
                <c:pt idx="161">
                  <c:v>4.6648755988882171E-2</c:v>
                </c:pt>
                <c:pt idx="162">
                  <c:v>4.7047919646680571E-2</c:v>
                </c:pt>
                <c:pt idx="163">
                  <c:v>4.7445744961232515E-2</c:v>
                </c:pt>
                <c:pt idx="164">
                  <c:v>4.7842178644597548E-2</c:v>
                </c:pt>
                <c:pt idx="165">
                  <c:v>4.8237169416407197E-2</c:v>
                </c:pt>
                <c:pt idx="166">
                  <c:v>4.8630668223217377E-2</c:v>
                </c:pt>
                <c:pt idx="167">
                  <c:v>4.9022628445543504E-2</c:v>
                </c:pt>
                <c:pt idx="168">
                  <c:v>4.9413006091019611E-2</c:v>
                </c:pt>
                <c:pt idx="169">
                  <c:v>4.9801759972218661E-2</c:v>
                </c:pt>
                <c:pt idx="170">
                  <c:v>5.0188851867780195E-2</c:v>
                </c:pt>
                <c:pt idx="171">
                  <c:v>5.0574246665615365E-2</c:v>
                </c:pt>
                <c:pt idx="172">
                  <c:v>5.0957912487095879E-2</c:v>
                </c:pt>
                <c:pt idx="173">
                  <c:v>5.1339820791280771E-2</c:v>
                </c:pt>
                <c:pt idx="174">
                  <c:v>5.1719946458393104E-2</c:v>
                </c:pt>
                <c:pt idx="175">
                  <c:v>5.2098267851925333E-2</c:v>
                </c:pt>
                <c:pt idx="176">
                  <c:v>5.2474766858925756E-2</c:v>
                </c:pt>
                <c:pt idx="177">
                  <c:v>5.2849428908197882E-2</c:v>
                </c:pt>
                <c:pt idx="178">
                  <c:v>5.322224296632698E-2</c:v>
                </c:pt>
                <c:pt idx="179">
                  <c:v>5.3593201511633298E-2</c:v>
                </c:pt>
                <c:pt idx="180">
                  <c:v>5.3962300486335872E-2</c:v>
                </c:pt>
                <c:pt idx="181">
                  <c:v>5.4329539227393732E-2</c:v>
                </c:pt>
                <c:pt idx="182">
                  <c:v>5.4694920376670779E-2</c:v>
                </c:pt>
                <c:pt idx="183">
                  <c:v>5.5058449771243655E-2</c:v>
                </c:pt>
                <c:pt idx="184">
                  <c:v>5.5420136314839066E-2</c:v>
                </c:pt>
                <c:pt idx="185">
                  <c:v>5.5779991831542905E-2</c:v>
                </c:pt>
                <c:pt idx="186">
                  <c:v>5.6138030903071463E-2</c:v>
                </c:pt>
                <c:pt idx="187">
                  <c:v>5.6494270691027734E-2</c:v>
                </c:pt>
                <c:pt idx="188">
                  <c:v>5.6848730745686991E-2</c:v>
                </c:pt>
                <c:pt idx="189">
                  <c:v>5.7201432802961236E-2</c:v>
                </c:pt>
                <c:pt idx="190">
                  <c:v>5.7552400571280873E-2</c:v>
                </c:pt>
                <c:pt idx="191">
                  <c:v>5.7901659510204248E-2</c:v>
                </c:pt>
                <c:pt idx="192">
                  <c:v>5.8249236602620394E-2</c:v>
                </c:pt>
                <c:pt idx="193">
                  <c:v>5.8595160122445041E-2</c:v>
                </c:pt>
                <c:pt idx="194">
                  <c:v>5.8939459399727508E-2</c:v>
                </c:pt>
                <c:pt idx="195">
                  <c:v>5.9282164585083515E-2</c:v>
                </c:pt>
                <c:pt idx="196">
                  <c:v>5.962330641534682E-2</c:v>
                </c:pt>
                <c:pt idx="197">
                  <c:v>5.9962915982293565E-2</c:v>
                </c:pt>
                <c:pt idx="198">
                  <c:v>6.0301024506232363E-2</c:v>
                </c:pt>
                <c:pt idx="199">
                  <c:v>6.0637663116178457E-2</c:v>
                </c:pt>
                <c:pt idx="200">
                  <c:v>6.0972862638234857E-2</c:v>
                </c:pt>
                <c:pt idx="201">
                  <c:v>6.130665339369417E-2</c:v>
                </c:pt>
                <c:pt idx="202">
                  <c:v>6.1639065008250456E-2</c:v>
                </c:pt>
                <c:pt idx="203">
                  <c:v>6.1970126233571642E-2</c:v>
                </c:pt>
                <c:pt idx="204">
                  <c:v>6.2299864782333444E-2</c:v>
                </c:pt>
                <c:pt idx="205">
                  <c:v>6.2628307177655232E-2</c:v>
                </c:pt>
                <c:pt idx="206">
                  <c:v>6.2955478617709365E-2</c:v>
                </c:pt>
                <c:pt idx="207">
                  <c:v>6.3281402856100358E-2</c:v>
                </c:pt>
                <c:pt idx="208">
                  <c:v>6.3606102098429609E-2</c:v>
                </c:pt>
                <c:pt idx="209">
                  <c:v>6.3929596915279302E-2</c:v>
                </c:pt>
                <c:pt idx="210">
                  <c:v>6.4251906171665332E-2</c:v>
                </c:pt>
                <c:pt idx="211">
                  <c:v>6.4573046972827702E-2</c:v>
                </c:pt>
                <c:pt idx="212">
                  <c:v>6.4893034626048243E-2</c:v>
                </c:pt>
                <c:pt idx="213">
                  <c:v>6.5211882618013819E-2</c:v>
                </c:pt>
                <c:pt idx="214">
                  <c:v>6.55296026070772E-2</c:v>
                </c:pt>
                <c:pt idx="215">
                  <c:v>6.584620442961317E-2</c:v>
                </c:pt>
                <c:pt idx="216">
                  <c:v>6.6161696119523342E-2</c:v>
                </c:pt>
                <c:pt idx="217">
                  <c:v>6.6476083939811706E-2</c:v>
                </c:pt>
                <c:pt idx="218">
                  <c:v>6.6789372425036853E-2</c:v>
                </c:pt>
                <c:pt idx="219">
                  <c:v>6.7101564433346181E-2</c:v>
                </c:pt>
                <c:pt idx="220">
                  <c:v>6.7412661206713922E-2</c:v>
                </c:pt>
                <c:pt idx="221">
                  <c:v>6.7722662437939632E-2</c:v>
                </c:pt>
                <c:pt idx="222">
                  <c:v>6.8031566342917529E-2</c:v>
                </c:pt>
                <c:pt idx="223">
                  <c:v>6.8339369736660494E-2</c:v>
                </c:pt>
                <c:pt idx="224">
                  <c:v>6.8646068111555325E-2</c:v>
                </c:pt>
                <c:pt idx="225">
                  <c:v>6.895165571633978E-2</c:v>
                </c:pt>
                <c:pt idx="226">
                  <c:v>6.9256125634324359E-2</c:v>
                </c:pt>
                <c:pt idx="227">
                  <c:v>6.9559469859435646E-2</c:v>
                </c:pt>
                <c:pt idx="228">
                  <c:v>6.9861679368728974E-2</c:v>
                </c:pt>
                <c:pt idx="229">
                  <c:v>7.0162744190108858E-2</c:v>
                </c:pt>
                <c:pt idx="230">
                  <c:v>7.0462653464103867E-2</c:v>
                </c:pt>
                <c:pt idx="231">
                  <c:v>7.0761395498664323E-2</c:v>
                </c:pt>
                <c:pt idx="232">
                  <c:v>7.1058957816091672E-2</c:v>
                </c:pt>
                <c:pt idx="233">
                  <c:v>7.1355327191357412E-2</c:v>
                </c:pt>
                <c:pt idx="234">
                  <c:v>7.165048968123354E-2</c:v>
                </c:pt>
                <c:pt idx="235">
                  <c:v>7.1944430643827398E-2</c:v>
                </c:pt>
                <c:pt idx="236">
                  <c:v>7.2237134748292783E-2</c:v>
                </c:pt>
                <c:pt idx="237">
                  <c:v>7.2528585974673709E-2</c:v>
                </c:pt>
                <c:pt idx="238">
                  <c:v>7.2818767604023796E-2</c:v>
                </c:pt>
                <c:pt idx="239">
                  <c:v>7.310766219913184E-2</c:v>
                </c:pt>
                <c:pt idx="240">
                  <c:v>7.339525157637028E-2</c:v>
                </c:pt>
                <c:pt idx="241">
                  <c:v>7.3681516769363797E-2</c:v>
                </c:pt>
                <c:pt idx="242">
                  <c:v>7.3966437985351963E-2</c:v>
                </c:pt>
                <c:pt idx="243">
                  <c:v>7.4249994555284859E-2</c:v>
                </c:pt>
                <c:pt idx="244">
                  <c:v>7.4532164878846757E-2</c:v>
                </c:pt>
                <c:pt idx="245">
                  <c:v>7.481292636574588E-2</c:v>
                </c:pt>
                <c:pt idx="246">
                  <c:v>7.509225537473474E-2</c:v>
                </c:pt>
                <c:pt idx="247">
                  <c:v>7.537012715193693E-2</c:v>
                </c:pt>
                <c:pt idx="248">
                  <c:v>7.5646515770148276E-2</c:v>
                </c:pt>
                <c:pt idx="249">
                  <c:v>7.5921394070852424E-2</c:v>
                </c:pt>
                <c:pt idx="250">
                  <c:v>7.6194733610741999E-2</c:v>
                </c:pt>
                <c:pt idx="251">
                  <c:v>7.646650461456489E-2</c:v>
                </c:pt>
                <c:pt idx="252">
                  <c:v>7.673667593612167E-2</c:v>
                </c:pt>
                <c:pt idx="253">
                  <c:v>7.7005215029221308E-2</c:v>
                </c:pt>
                <c:pt idx="254">
                  <c:v>7.7272087930361777E-2</c:v>
                </c:pt>
                <c:pt idx="255">
                  <c:v>7.7537259254835192E-2</c:v>
                </c:pt>
                <c:pt idx="256">
                  <c:v>7.780069220786924E-2</c:v>
                </c:pt>
                <c:pt idx="257">
                  <c:v>7.8062348612303489E-2</c:v>
                </c:pt>
                <c:pt idx="258">
                  <c:v>7.8322188954165373E-2</c:v>
                </c:pt>
                <c:pt idx="259">
                  <c:v>7.8580172447353866E-2</c:v>
                </c:pt>
                <c:pt idx="260">
                  <c:v>7.8836257118464634E-2</c:v>
                </c:pt>
                <c:pt idx="261">
                  <c:v>7.909039991259556E-2</c:v>
                </c:pt>
                <c:pt idx="262">
                  <c:v>7.9342556820761509E-2</c:v>
                </c:pt>
                <c:pt idx="263">
                  <c:v>7.9592683029322056E-2</c:v>
                </c:pt>
                <c:pt idx="264">
                  <c:v>7.984073309158933E-2</c:v>
                </c:pt>
                <c:pt idx="265">
                  <c:v>8.0086661121535341E-2</c:v>
                </c:pt>
                <c:pt idx="266">
                  <c:v>8.0330421009264033E-2</c:v>
                </c:pt>
                <c:pt idx="267">
                  <c:v>8.0571966657654051E-2</c:v>
                </c:pt>
                <c:pt idx="268">
                  <c:v>8.0811252239317163E-2</c:v>
                </c:pt>
                <c:pt idx="269">
                  <c:v>8.1048232472756637E-2</c:v>
                </c:pt>
                <c:pt idx="270">
                  <c:v>8.128286291635331E-2</c:v>
                </c:pt>
                <c:pt idx="271">
                  <c:v>8.1515100278556907E-2</c:v>
                </c:pt>
                <c:pt idx="272">
                  <c:v>8.1744902742419773E-2</c:v>
                </c:pt>
                <c:pt idx="273">
                  <c:v>8.1972230302380877E-2</c:v>
                </c:pt>
                <c:pt idx="274">
                  <c:v>8.2197045110994474E-2</c:v>
                </c:pt>
                <c:pt idx="275">
                  <c:v>8.2419311833101971E-2</c:v>
                </c:pt>
                <c:pt idx="276">
                  <c:v>8.2638998004768136E-2</c:v>
                </c:pt>
                <c:pt idx="277">
                  <c:v>8.2856074394149548E-2</c:v>
                </c:pt>
                <c:pt idx="278">
                  <c:v>8.3070515361331962E-2</c:v>
                </c:pt>
                <c:pt idx="279">
                  <c:v>8.3282299214070474E-2</c:v>
                </c:pt>
                <c:pt idx="280">
                  <c:v>8.3491408556289268E-2</c:v>
                </c:pt>
                <c:pt idx="281">
                  <c:v>8.3697830626150271E-2</c:v>
                </c:pt>
                <c:pt idx="282">
                  <c:v>8.3901557620484069E-2</c:v>
                </c:pt>
                <c:pt idx="283">
                  <c:v>8.4102587002388596E-2</c:v>
                </c:pt>
                <c:pt idx="284">
                  <c:v>8.430092178884728E-2</c:v>
                </c:pt>
                <c:pt idx="285">
                  <c:v>8.4496570815294395E-2</c:v>
                </c:pt>
                <c:pt idx="286">
                  <c:v>8.468954897416317E-2</c:v>
                </c:pt>
                <c:pt idx="287">
                  <c:v>8.4879877424591244E-2</c:v>
                </c:pt>
                <c:pt idx="288">
                  <c:v>8.506758377062601E-2</c:v>
                </c:pt>
                <c:pt idx="289">
                  <c:v>8.5252702205471154E-2</c:v>
                </c:pt>
                <c:pt idx="290">
                  <c:v>8.5435273619539065E-2</c:v>
                </c:pt>
                <c:pt idx="291">
                  <c:v>8.5615345670326345E-2</c:v>
                </c:pt>
                <c:pt idx="292">
                  <c:v>8.5792972812402446E-2</c:v>
                </c:pt>
                <c:pt idx="293">
                  <c:v>8.5968216286098506E-2</c:v>
                </c:pt>
                <c:pt idx="294">
                  <c:v>8.6141144063797401E-2</c:v>
                </c:pt>
                <c:pt idx="295">
                  <c:v>8.6311830753057747E-2</c:v>
                </c:pt>
                <c:pt idx="296">
                  <c:v>8.6480357456147974E-2</c:v>
                </c:pt>
                <c:pt idx="297">
                  <c:v>8.6646811585921302E-2</c:v>
                </c:pt>
                <c:pt idx="298">
                  <c:v>8.6811286638323881E-2</c:v>
                </c:pt>
                <c:pt idx="299">
                  <c:v>8.6973881922192589E-2</c:v>
                </c:pt>
                <c:pt idx="300">
                  <c:v>8.713470224736429E-2</c:v>
                </c:pt>
                <c:pt idx="301">
                  <c:v>8.7293857572479788E-2</c:v>
                </c:pt>
                <c:pt idx="302">
                  <c:v>8.7451462614220599E-2</c:v>
                </c:pt>
                <c:pt idx="303">
                  <c:v>8.7607636420061544E-2</c:v>
                </c:pt>
                <c:pt idx="304">
                  <c:v>8.7762501906952783E-2</c:v>
                </c:pt>
                <c:pt idx="305">
                  <c:v>8.7916185368659916E-2</c:v>
                </c:pt>
                <c:pt idx="306">
                  <c:v>8.8068815954784455E-2</c:v>
                </c:pt>
                <c:pt idx="307">
                  <c:v>8.822052512475928E-2</c:v>
                </c:pt>
                <c:pt idx="308">
                  <c:v>8.8371446080358754E-2</c:v>
                </c:pt>
                <c:pt idx="309">
                  <c:v>8.8521713180481895E-2</c:v>
                </c:pt>
                <c:pt idx="310">
                  <c:v>8.8671461342152591E-2</c:v>
                </c:pt>
                <c:pt idx="311">
                  <c:v>8.8820825431837974E-2</c:v>
                </c:pt>
                <c:pt idx="312">
                  <c:v>8.8969939651303911E-2</c:v>
                </c:pt>
                <c:pt idx="313">
                  <c:v>8.9118936922313846E-2</c:v>
                </c:pt>
                <c:pt idx="314">
                  <c:v>8.9267948274523903E-2</c:v>
                </c:pt>
                <c:pt idx="315">
                  <c:v>8.9417102240939461E-2</c:v>
                </c:pt>
                <c:pt idx="316">
                  <c:v>8.9566524265269704E-2</c:v>
                </c:pt>
                <c:pt idx="317">
                  <c:v>8.9716336125454738E-2</c:v>
                </c:pt>
                <c:pt idx="318">
                  <c:v>8.9866655377535479E-2</c:v>
                </c:pt>
                <c:pt idx="319">
                  <c:v>9.0017594823899122E-2</c:v>
                </c:pt>
                <c:pt idx="320">
                  <c:v>9.0169262009758999E-2</c:v>
                </c:pt>
                <c:pt idx="321">
                  <c:v>9.0321758751518558E-2</c:v>
                </c:pt>
                <c:pt idx="322">
                  <c:v>9.0475180700429092E-2</c:v>
                </c:pt>
                <c:pt idx="323">
                  <c:v>9.0629616944678804E-2</c:v>
                </c:pt>
                <c:pt idx="324">
                  <c:v>9.0785149652752931E-2</c:v>
                </c:pt>
                <c:pt idx="325">
                  <c:v>9.094185376057895E-2</c:v>
                </c:pt>
                <c:pt idx="326">
                  <c:v>9.1099796704624258E-2</c:v>
                </c:pt>
                <c:pt idx="327">
                  <c:v>9.1259038202748013E-2</c:v>
                </c:pt>
                <c:pt idx="328">
                  <c:v>9.1419630084225045E-2</c:v>
                </c:pt>
                <c:pt idx="329">
                  <c:v>9.1581616169966337E-2</c:v>
                </c:pt>
                <c:pt idx="330">
                  <c:v>9.1745032203555121E-2</c:v>
                </c:pt>
                <c:pt idx="331">
                  <c:v>9.1909905833309241E-2</c:v>
                </c:pt>
                <c:pt idx="332">
                  <c:v>9.2076256645168969E-2</c:v>
                </c:pt>
                <c:pt idx="333">
                  <c:v>9.2244096245801321E-2</c:v>
                </c:pt>
                <c:pt idx="334">
                  <c:v>9.2413428394907932E-2</c:v>
                </c:pt>
                <c:pt idx="335">
                  <c:v>9.2584249185331841E-2</c:v>
                </c:pt>
                <c:pt idx="336">
                  <c:v>9.2756547269177009E-2</c:v>
                </c:pt>
                <c:pt idx="337">
                  <c:v>9.2930304127792171E-2</c:v>
                </c:pt>
                <c:pt idx="338">
                  <c:v>9.3105494383126389E-2</c:v>
                </c:pt>
                <c:pt idx="339">
                  <c:v>9.3282086147643731E-2</c:v>
                </c:pt>
                <c:pt idx="340">
                  <c:v>9.3460041409690345E-2</c:v>
                </c:pt>
                <c:pt idx="341">
                  <c:v>9.3639316450941104E-2</c:v>
                </c:pt>
                <c:pt idx="342">
                  <c:v>9.3819862292318271E-2</c:v>
                </c:pt>
                <c:pt idx="343">
                  <c:v>9.4001625164573638E-2</c:v>
                </c:pt>
                <c:pt idx="344">
                  <c:v>9.4184546999557806E-2</c:v>
                </c:pt>
                <c:pt idx="345">
                  <c:v>9.4368565938070331E-2</c:v>
                </c:pt>
                <c:pt idx="346">
                  <c:v>9.4553616850090935E-2</c:v>
                </c:pt>
                <c:pt idx="347">
                  <c:v>9.4739631863136622E-2</c:v>
                </c:pt>
                <c:pt idx="348">
                  <c:v>9.4926540894471556E-2</c:v>
                </c:pt>
                <c:pt idx="349">
                  <c:v>9.5114272182919929E-2</c:v>
                </c:pt>
                <c:pt idx="350">
                  <c:v>9.5302752816088146E-2</c:v>
                </c:pt>
                <c:pt idx="351">
                  <c:v>9.5491909248901191E-2</c:v>
                </c:pt>
                <c:pt idx="352">
                  <c:v>9.5681667809488696E-2</c:v>
                </c:pt>
                <c:pt idx="353">
                  <c:v>9.5871955188623209E-2</c:v>
                </c:pt>
                <c:pt idx="354">
                  <c:v>9.6062698909112398E-2</c:v>
                </c:pt>
                <c:pt idx="355">
                  <c:v>9.6253827771776809E-2</c:v>
                </c:pt>
                <c:pt idx="356">
                  <c:v>9.6445272274902544E-2</c:v>
                </c:pt>
                <c:pt idx="357">
                  <c:v>9.6636965004342282E-2</c:v>
                </c:pt>
                <c:pt idx="358">
                  <c:v>9.6828840991743978E-2</c:v>
                </c:pt>
                <c:pt idx="359">
                  <c:v>9.7020838038712975E-2</c:v>
                </c:pt>
                <c:pt idx="360">
                  <c:v>9.7212897005054671E-2</c:v>
                </c:pt>
                <c:pt idx="361">
                  <c:v>9.7404962059601669E-2</c:v>
                </c:pt>
                <c:pt idx="362">
                  <c:v>9.7596980892491594E-2</c:v>
                </c:pt>
                <c:pt idx="363">
                  <c:v>9.7788904888135547E-2</c:v>
                </c:pt>
                <c:pt idx="364">
                  <c:v>9.7980689258486894E-2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'2021'!$P$15:$P$380</c:f>
              <c:numCache>
                <c:formatCode>0.00%</c:formatCode>
                <c:ptCount val="366"/>
                <c:pt idx="0">
                  <c:v>5.1891390001397052E-2</c:v>
                </c:pt>
                <c:pt idx="1">
                  <c:v>5.1283163142741284E-2</c:v>
                </c:pt>
                <c:pt idx="2">
                  <c:v>5.0647346907979042E-2</c:v>
                </c:pt>
                <c:pt idx="3">
                  <c:v>4.9985973929293527E-2</c:v>
                </c:pt>
                <c:pt idx="4">
                  <c:v>4.9301051149501486E-2</c:v>
                </c:pt>
                <c:pt idx="5">
                  <c:v>4.8594549110701601E-2</c:v>
                </c:pt>
                <c:pt idx="6">
                  <c:v>4.7868392543443328E-2</c:v>
                </c:pt>
                <c:pt idx="7">
                  <c:v>4.7124452114934712E-2</c:v>
                </c:pt>
                <c:pt idx="8">
                  <c:v>4.6359243597564104E-2</c:v>
                </c:pt>
                <c:pt idx="9">
                  <c:v>4.5582537015389973E-2</c:v>
                </c:pt>
                <c:pt idx="10">
                  <c:v>4.4810146632155996E-2</c:v>
                </c:pt>
                <c:pt idx="11">
                  <c:v>4.4044609111799679E-2</c:v>
                </c:pt>
                <c:pt idx="12">
                  <c:v>4.3288229133270163E-2</c:v>
                </c:pt>
                <c:pt idx="13">
                  <c:v>4.254308374937505E-2</c:v>
                </c:pt>
                <c:pt idx="14">
                  <c:v>4.1811029498530293E-2</c:v>
                </c:pt>
                <c:pt idx="15">
                  <c:v>4.108926750730596E-2</c:v>
                </c:pt>
                <c:pt idx="16">
                  <c:v>4.0378511592537032E-2</c:v>
                </c:pt>
                <c:pt idx="17">
                  <c:v>3.968020039509608E-2</c:v>
                </c:pt>
                <c:pt idx="18">
                  <c:v>3.8995594942227971E-2</c:v>
                </c:pt>
                <c:pt idx="19">
                  <c:v>3.8326004084500938E-2</c:v>
                </c:pt>
                <c:pt idx="20">
                  <c:v>3.7672663149354024E-2</c:v>
                </c:pt>
                <c:pt idx="21">
                  <c:v>3.7036485906846335E-2</c:v>
                </c:pt>
                <c:pt idx="22">
                  <c:v>3.6414295634929525E-2</c:v>
                </c:pt>
                <c:pt idx="23">
                  <c:v>3.5774810905673707E-2</c:v>
                </c:pt>
                <c:pt idx="24">
                  <c:v>3.5109587434827477E-2</c:v>
                </c:pt>
                <c:pt idx="25">
                  <c:v>3.4420578941021351E-2</c:v>
                </c:pt>
                <c:pt idx="26">
                  <c:v>3.3709642589337924E-2</c:v>
                </c:pt>
                <c:pt idx="27">
                  <c:v>3.2978537278764979E-2</c:v>
                </c:pt>
                <c:pt idx="28">
                  <c:v>3.2228922826470545E-2</c:v>
                </c:pt>
                <c:pt idx="29">
                  <c:v>3.1428582462799858E-2</c:v>
                </c:pt>
                <c:pt idx="30">
                  <c:v>3.0583982738912097E-2</c:v>
                </c:pt>
                <c:pt idx="31">
                  <c:v>2.9697605520540869E-2</c:v>
                </c:pt>
                <c:pt idx="32">
                  <c:v>2.8771804131899944E-2</c:v>
                </c:pt>
                <c:pt idx="33">
                  <c:v>2.7808802428688238E-2</c:v>
                </c:pt>
                <c:pt idx="34">
                  <c:v>2.6810694750731726E-2</c:v>
                </c:pt>
                <c:pt idx="35">
                  <c:v>2.5779446604477032E-2</c:v>
                </c:pt>
                <c:pt idx="36">
                  <c:v>2.47163745558385E-2</c:v>
                </c:pt>
                <c:pt idx="37">
                  <c:v>2.3625599401825594E-2</c:v>
                </c:pt>
                <c:pt idx="38">
                  <c:v>2.2531678547050644E-2</c:v>
                </c:pt>
                <c:pt idx="39">
                  <c:v>2.1435066423327945E-2</c:v>
                </c:pt>
                <c:pt idx="40">
                  <c:v>2.033621065659514E-2</c:v>
                </c:pt>
                <c:pt idx="41">
                  <c:v>1.923555172642797E-2</c:v>
                </c:pt>
                <c:pt idx="42">
                  <c:v>1.8133522643642097E-2</c:v>
                </c:pt>
                <c:pt idx="43">
                  <c:v>1.7060345211536515E-2</c:v>
                </c:pt>
                <c:pt idx="44">
                  <c:v>1.604331170248004E-2</c:v>
                </c:pt>
                <c:pt idx="45">
                  <c:v>1.5080722669313653E-2</c:v>
                </c:pt>
                <c:pt idx="46">
                  <c:v>1.4170926317159882E-2</c:v>
                </c:pt>
                <c:pt idx="47">
                  <c:v>1.3312316238542718E-2</c:v>
                </c:pt>
                <c:pt idx="48">
                  <c:v>1.2503329330440731E-2</c:v>
                </c:pt>
                <c:pt idx="49">
                  <c:v>1.174244386274218E-2</c:v>
                </c:pt>
                <c:pt idx="50">
                  <c:v>1.1027950992396398E-2</c:v>
                </c:pt>
                <c:pt idx="51">
                  <c:v>1.0376765163477433E-2</c:v>
                </c:pt>
                <c:pt idx="52">
                  <c:v>9.7844424024733472E-3</c:v>
                </c:pt>
                <c:pt idx="53">
                  <c:v>9.2491675433627324E-3</c:v>
                </c:pt>
                <c:pt idx="54">
                  <c:v>8.7691861526733219E-3</c:v>
                </c:pt>
                <c:pt idx="55">
                  <c:v>8.3427585473994422E-3</c:v>
                </c:pt>
                <c:pt idx="56">
                  <c:v>7.9681673974878204E-3</c:v>
                </c:pt>
                <c:pt idx="57">
                  <c:v>7.6517968699725382E-3</c:v>
                </c:pt>
                <c:pt idx="58">
                  <c:v>7.3670130773342011E-3</c:v>
                </c:pt>
                <c:pt idx="59">
                  <c:v>7.1128593620746654E-3</c:v>
                </c:pt>
                <c:pt idx="60">
                  <c:v>6.888401751832255E-3</c:v>
                </c:pt>
                <c:pt idx="61">
                  <c:v>6.692731690604109E-3</c:v>
                </c:pt>
                <c:pt idx="62">
                  <c:v>6.5249683569612591E-3</c:v>
                </c:pt>
                <c:pt idx="63">
                  <c:v>6.3842606140182287E-3</c:v>
                </c:pt>
                <c:pt idx="64">
                  <c:v>6.2693816445299807E-3</c:v>
                </c:pt>
                <c:pt idx="65">
                  <c:v>6.1803940703264873E-3</c:v>
                </c:pt>
                <c:pt idx="66">
                  <c:v>6.101181596122573E-3</c:v>
                </c:pt>
                <c:pt idx="67">
                  <c:v>6.031579069664633E-3</c:v>
                </c:pt>
                <c:pt idx="68">
                  <c:v>5.9714229357609363E-3</c:v>
                </c:pt>
                <c:pt idx="69">
                  <c:v>5.920552997914259E-3</c:v>
                </c:pt>
                <c:pt idx="70">
                  <c:v>5.8788140222016056E-3</c:v>
                </c:pt>
                <c:pt idx="71">
                  <c:v>5.8422757485789524E-3</c:v>
                </c:pt>
                <c:pt idx="72">
                  <c:v>5.8039392665367017E-3</c:v>
                </c:pt>
                <c:pt idx="73">
                  <c:v>5.7639636656399923E-3</c:v>
                </c:pt>
                <c:pt idx="74">
                  <c:v>5.7225000462658117E-3</c:v>
                </c:pt>
                <c:pt idx="75">
                  <c:v>5.6796918223381175E-3</c:v>
                </c:pt>
                <c:pt idx="76">
                  <c:v>5.6356750486995675E-3</c:v>
                </c:pt>
                <c:pt idx="77">
                  <c:v>5.5905787680644364E-3</c:v>
                </c:pt>
                <c:pt idx="78">
                  <c:v>5.5440904328286937E-3</c:v>
                </c:pt>
                <c:pt idx="79">
                  <c:v>5.4938873096066609E-3</c:v>
                </c:pt>
                <c:pt idx="80">
                  <c:v>5.4391182360828422E-3</c:v>
                </c:pt>
                <c:pt idx="81">
                  <c:v>5.3800212649851758E-3</c:v>
                </c:pt>
                <c:pt idx="82">
                  <c:v>5.3168211995834923E-3</c:v>
                </c:pt>
                <c:pt idx="83">
                  <c:v>5.2497294419906523E-3</c:v>
                </c:pt>
                <c:pt idx="84">
                  <c:v>5.1789439263008391E-3</c:v>
                </c:pt>
                <c:pt idx="85">
                  <c:v>5.1033407545628242E-3</c:v>
                </c:pt>
                <c:pt idx="86">
                  <c:v>5.0263910414855501E-3</c:v>
                </c:pt>
                <c:pt idx="87">
                  <c:v>4.9481973361645074E-3</c:v>
                </c:pt>
                <c:pt idx="88">
                  <c:v>4.8688520706004724E-3</c:v>
                </c:pt>
                <c:pt idx="89">
                  <c:v>4.7884378671263182E-3</c:v>
                </c:pt>
                <c:pt idx="90">
                  <c:v>4.7070278425188593E-3</c:v>
                </c:pt>
                <c:pt idx="91">
                  <c:v>4.6246859031434107E-3</c:v>
                </c:pt>
                <c:pt idx="92">
                  <c:v>4.5412095311652525E-3</c:v>
                </c:pt>
                <c:pt idx="93">
                  <c:v>4.454413396132971E-3</c:v>
                </c:pt>
                <c:pt idx="94">
                  <c:v>4.3661951044371696E-3</c:v>
                </c:pt>
                <c:pt idx="95">
                  <c:v>4.2765813283004231E-3</c:v>
                </c:pt>
                <c:pt idx="96">
                  <c:v>4.1855942296688152E-3</c:v>
                </c:pt>
                <c:pt idx="97">
                  <c:v>4.0932515172540183E-3</c:v>
                </c:pt>
                <c:pt idx="98">
                  <c:v>3.9995664943933132E-3</c:v>
                </c:pt>
                <c:pt idx="99">
                  <c:v>3.9029098999136583E-3</c:v>
                </c:pt>
                <c:pt idx="100">
                  <c:v>3.8045015661311433E-3</c:v>
                </c:pt>
                <c:pt idx="101">
                  <c:v>3.704348004045403E-3</c:v>
                </c:pt>
                <c:pt idx="102">
                  <c:v>3.6024508445516384E-3</c:v>
                </c:pt>
                <c:pt idx="103">
                  <c:v>3.4988068443645576E-3</c:v>
                </c:pt>
                <c:pt idx="104">
                  <c:v>3.3934078826687443E-3</c:v>
                </c:pt>
                <c:pt idx="105">
                  <c:v>3.286240948500089E-3</c:v>
                </c:pt>
                <c:pt idx="106">
                  <c:v>3.1772014523777426E-3</c:v>
                </c:pt>
                <c:pt idx="107">
                  <c:v>3.0653327573947802E-3</c:v>
                </c:pt>
                <c:pt idx="108">
                  <c:v>2.9524605685322101E-3</c:v>
                </c:pt>
                <c:pt idx="109">
                  <c:v>2.8385622754426841E-3</c:v>
                </c:pt>
                <c:pt idx="110">
                  <c:v>2.7236191518299341E-3</c:v>
                </c:pt>
                <c:pt idx="111">
                  <c:v>2.6076074462651408E-3</c:v>
                </c:pt>
                <c:pt idx="112">
                  <c:v>2.490491104910543E-3</c:v>
                </c:pt>
                <c:pt idx="113">
                  <c:v>2.3737114788485729E-3</c:v>
                </c:pt>
                <c:pt idx="114">
                  <c:v>2.258761052026075E-3</c:v>
                </c:pt>
                <c:pt idx="115">
                  <c:v>2.1455690211879693E-3</c:v>
                </c:pt>
                <c:pt idx="116">
                  <c:v>2.0340643691886063E-3</c:v>
                </c:pt>
                <c:pt idx="117">
                  <c:v>1.9241758753556204E-3</c:v>
                </c:pt>
                <c:pt idx="118">
                  <c:v>1.8158321194554222E-3</c:v>
                </c:pt>
                <c:pt idx="119">
                  <c:v>1.7089614792970527E-3</c:v>
                </c:pt>
                <c:pt idx="120">
                  <c:v>1.6034955429061676E-3</c:v>
                </c:pt>
                <c:pt idx="121">
                  <c:v>1.5021437021771639E-3</c:v>
                </c:pt>
                <c:pt idx="122">
                  <c:v>1.4056271407836694E-3</c:v>
                </c:pt>
                <c:pt idx="123">
                  <c:v>1.3138437101401156E-3</c:v>
                </c:pt>
                <c:pt idx="124">
                  <c:v>1.2266998467207991E-3</c:v>
                </c:pt>
                <c:pt idx="125">
                  <c:v>1.1441100008545769E-3</c:v>
                </c:pt>
                <c:pt idx="126">
                  <c:v>1.0659961059109248E-3</c:v>
                </c:pt>
                <c:pt idx="127">
                  <c:v>9.9381464957293817E-4</c:v>
                </c:pt>
                <c:pt idx="128">
                  <c:v>9.2606936586924057E-4</c:v>
                </c:pt>
                <c:pt idx="129">
                  <c:v>8.6271026921476478E-4</c:v>
                </c:pt>
                <c:pt idx="130">
                  <c:v>8.036933584618022E-4</c:v>
                </c:pt>
                <c:pt idx="131">
                  <c:v>7.4898021744862519E-4</c:v>
                </c:pt>
                <c:pt idx="132">
                  <c:v>6.9853763105554869E-4</c:v>
                </c:pt>
                <c:pt idx="133">
                  <c:v>6.5233721419471948E-4</c:v>
                </c:pt>
                <c:pt idx="134">
                  <c:v>6.1037283531611291E-4</c:v>
                </c:pt>
                <c:pt idx="135">
                  <c:v>5.7302492403281022E-4</c:v>
                </c:pt>
                <c:pt idx="136">
                  <c:v>5.3754374735862196E-4</c:v>
                </c:pt>
                <c:pt idx="137">
                  <c:v>5.0392345159522777E-4</c:v>
                </c:pt>
                <c:pt idx="138">
                  <c:v>4.7216118628755279E-4</c:v>
                </c:pt>
                <c:pt idx="139">
                  <c:v>4.4225697257458096E-4</c:v>
                </c:pt>
                <c:pt idx="140">
                  <c:v>4.1421357155255282E-4</c:v>
                </c:pt>
                <c:pt idx="141">
                  <c:v>3.8872843364338929E-4</c:v>
                </c:pt>
                <c:pt idx="142">
                  <c:v>3.6423718230399113E-4</c:v>
                </c:pt>
                <c:pt idx="143">
                  <c:v>3.4073718615811152E-4</c:v>
                </c:pt>
                <c:pt idx="144">
                  <c:v>3.1822960739688908E-4</c:v>
                </c:pt>
                <c:pt idx="145">
                  <c:v>2.9671685303149351E-4</c:v>
                </c:pt>
                <c:pt idx="146">
                  <c:v>2.7620251858922974E-4</c:v>
                </c:pt>
                <c:pt idx="147">
                  <c:v>2.5669132993331583E-4</c:v>
                </c:pt>
                <c:pt idx="148">
                  <c:v>2.3819398688718877E-4</c:v>
                </c:pt>
                <c:pt idx="149">
                  <c:v>2.2143805648328681E-4</c:v>
                </c:pt>
                <c:pt idx="150">
                  <c:v>2.0600895191543963E-4</c:v>
                </c:pt>
                <c:pt idx="151">
                  <c:v>1.9191164341719269E-4</c:v>
                </c:pt>
                <c:pt idx="152">
                  <c:v>1.7915217063662288E-4</c:v>
                </c:pt>
                <c:pt idx="153">
                  <c:v>1.6773758633435666E-4</c:v>
                </c:pt>
                <c:pt idx="154">
                  <c:v>1.5767589871659631E-4</c:v>
                </c:pt>
                <c:pt idx="155">
                  <c:v>1.4914566442057433E-4</c:v>
                </c:pt>
                <c:pt idx="156">
                  <c:v>1.4144928671227586E-4</c:v>
                </c:pt>
                <c:pt idx="157">
                  <c:v>1.3459481507360676E-4</c:v>
                </c:pt>
                <c:pt idx="158">
                  <c:v>1.2859082478952749E-4</c:v>
                </c:pt>
                <c:pt idx="159">
                  <c:v>1.2344637260369422E-4</c:v>
                </c:pt>
                <c:pt idx="160">
                  <c:v>1.191709514584962E-4</c:v>
                </c:pt>
                <c:pt idx="161">
                  <c:v>1.1577444444108267E-4</c:v>
                </c:pt>
                <c:pt idx="162">
                  <c:v>1.1326891616655924E-4</c:v>
                </c:pt>
                <c:pt idx="163">
                  <c:v>1.1172751263844672E-4</c:v>
                </c:pt>
                <c:pt idx="164">
                  <c:v>1.1040427172752836E-4</c:v>
                </c:pt>
                <c:pt idx="165">
                  <c:v>1.0930281913663499E-4</c:v>
                </c:pt>
                <c:pt idx="166">
                  <c:v>1.084268946369128E-4</c:v>
                </c:pt>
                <c:pt idx="167">
                  <c:v>1.0778033829068885E-4</c:v>
                </c:pt>
                <c:pt idx="168">
                  <c:v>1.0736707673009759E-4</c:v>
                </c:pt>
                <c:pt idx="169">
                  <c:v>1.0725572864779958E-4</c:v>
                </c:pt>
                <c:pt idx="170">
                  <c:v>1.0727041468942834E-4</c:v>
                </c:pt>
                <c:pt idx="171">
                  <c:v>1.0741449396847875E-4</c:v>
                </c:pt>
                <c:pt idx="172">
                  <c:v>1.0769132779154846E-4</c:v>
                </c:pt>
                <c:pt idx="173">
                  <c:v>1.0810316490731795E-4</c:v>
                </c:pt>
                <c:pt idx="174">
                  <c:v>1.086521565961112E-4</c:v>
                </c:pt>
                <c:pt idx="175">
                  <c:v>1.0934147939964091E-4</c:v>
                </c:pt>
                <c:pt idx="176">
                  <c:v>1.1017438463077945E-4</c:v>
                </c:pt>
                <c:pt idx="177">
                  <c:v>1.1134248536513658E-4</c:v>
                </c:pt>
                <c:pt idx="178">
                  <c:v>1.1278202577651315E-4</c:v>
                </c:pt>
                <c:pt idx="179">
                  <c:v>1.1449755716041115E-4</c:v>
                </c:pt>
                <c:pt idx="180">
                  <c:v>1.1649361390895848E-4</c:v>
                </c:pt>
                <c:pt idx="181">
                  <c:v>1.187747220944218E-4</c:v>
                </c:pt>
                <c:pt idx="182">
                  <c:v>1.2134540921956207E-4</c:v>
                </c:pt>
                <c:pt idx="183">
                  <c:v>1.2503095651477723E-4</c:v>
                </c:pt>
                <c:pt idx="184">
                  <c:v>1.2977217126650622E-4</c:v>
                </c:pt>
                <c:pt idx="185">
                  <c:v>1.3558188097193355E-4</c:v>
                </c:pt>
                <c:pt idx="186">
                  <c:v>1.4247308086730212E-4</c:v>
                </c:pt>
                <c:pt idx="187">
                  <c:v>1.5045898344075495E-4</c:v>
                </c:pt>
                <c:pt idx="188">
                  <c:v>1.595530714954636E-4</c:v>
                </c:pt>
                <c:pt idx="189">
                  <c:v>1.6976915477807415E-4</c:v>
                </c:pt>
                <c:pt idx="190">
                  <c:v>1.8112121417573196E-4</c:v>
                </c:pt>
                <c:pt idx="191">
                  <c:v>1.9440533105234093E-4</c:v>
                </c:pt>
                <c:pt idx="192">
                  <c:v>2.0944163695665297E-4</c:v>
                </c:pt>
                <c:pt idx="193">
                  <c:v>2.2624871777044369E-4</c:v>
                </c:pt>
                <c:pt idx="194">
                  <c:v>2.4484541394993986E-4</c:v>
                </c:pt>
                <c:pt idx="195">
                  <c:v>2.6525079069073849E-4</c:v>
                </c:pt>
                <c:pt idx="196">
                  <c:v>2.8748410797347241E-4</c:v>
                </c:pt>
                <c:pt idx="197">
                  <c:v>3.1215843811379458E-4</c:v>
                </c:pt>
                <c:pt idx="198">
                  <c:v>3.3843127628831377E-4</c:v>
                </c:pt>
                <c:pt idx="199">
                  <c:v>3.6632154670260942E-4</c:v>
                </c:pt>
                <c:pt idx="200">
                  <c:v>3.9584809176938519E-4</c:v>
                </c:pt>
                <c:pt idx="201">
                  <c:v>4.2702964606544533E-4</c:v>
                </c:pt>
                <c:pt idx="202">
                  <c:v>4.5988480917285039E-4</c:v>
                </c:pt>
                <c:pt idx="203">
                  <c:v>4.944320171109645E-4</c:v>
                </c:pt>
                <c:pt idx="204">
                  <c:v>5.306893081443232E-4</c:v>
                </c:pt>
                <c:pt idx="205">
                  <c:v>5.707162060406331E-4</c:v>
                </c:pt>
                <c:pt idx="206">
                  <c:v>6.1373699154576111E-4</c:v>
                </c:pt>
                <c:pt idx="207">
                  <c:v>6.597917759757348E-4</c:v>
                </c:pt>
                <c:pt idx="208">
                  <c:v>7.0892177845420078E-4</c:v>
                </c:pt>
                <c:pt idx="209">
                  <c:v>7.6116949851313075E-4</c:v>
                </c:pt>
                <c:pt idx="210">
                  <c:v>8.1657889548442184E-4</c:v>
                </c:pt>
                <c:pt idx="211">
                  <c:v>8.7833148732793982E-4</c:v>
                </c:pt>
                <c:pt idx="212">
                  <c:v>9.4586347139634299E-4</c:v>
                </c:pt>
                <c:pt idx="213">
                  <c:v>1.0192476370352668E-3</c:v>
                </c:pt>
                <c:pt idx="214">
                  <c:v>1.0985604166911201E-3</c:v>
                </c:pt>
                <c:pt idx="215">
                  <c:v>1.1838822345137472E-3</c:v>
                </c:pt>
                <c:pt idx="216">
                  <c:v>1.2752978699276194E-3</c:v>
                </c:pt>
                <c:pt idx="217">
                  <c:v>1.3728968383267361E-3</c:v>
                </c:pt>
                <c:pt idx="218">
                  <c:v>1.4767350167192406E-3</c:v>
                </c:pt>
                <c:pt idx="219">
                  <c:v>1.5886373911195347E-3</c:v>
                </c:pt>
                <c:pt idx="220">
                  <c:v>1.7065437521979422E-3</c:v>
                </c:pt>
                <c:pt idx="221">
                  <c:v>1.8305465569063355E-3</c:v>
                </c:pt>
                <c:pt idx="222">
                  <c:v>1.9607451435159308E-3</c:v>
                </c:pt>
                <c:pt idx="223">
                  <c:v>2.0972463909980765E-3</c:v>
                </c:pt>
                <c:pt idx="224">
                  <c:v>2.2401654144218832E-3</c:v>
                </c:pt>
                <c:pt idx="225">
                  <c:v>2.388482898416487E-3</c:v>
                </c:pt>
                <c:pt idx="226">
                  <c:v>2.538995259820217E-3</c:v>
                </c:pt>
                <c:pt idx="227">
                  <c:v>2.691785592539412E-3</c:v>
                </c:pt>
                <c:pt idx="228">
                  <c:v>2.8469447578034325E-3</c:v>
                </c:pt>
                <c:pt idx="229">
                  <c:v>3.0045718115737025E-3</c:v>
                </c:pt>
                <c:pt idx="230">
                  <c:v>3.1647744704204816E-3</c:v>
                </c:pt>
                <c:pt idx="231">
                  <c:v>3.3276696221564393E-3</c:v>
                </c:pt>
                <c:pt idx="232">
                  <c:v>3.4932822148223759E-3</c:v>
                </c:pt>
                <c:pt idx="233">
                  <c:v>3.6592527250768618E-3</c:v>
                </c:pt>
                <c:pt idx="234">
                  <c:v>3.8237374673860121E-3</c:v>
                </c:pt>
                <c:pt idx="235">
                  <c:v>3.9867686180863589E-3</c:v>
                </c:pt>
                <c:pt idx="236">
                  <c:v>4.1483831741079375E-3</c:v>
                </c:pt>
                <c:pt idx="237">
                  <c:v>4.3086190448345758E-3</c:v>
                </c:pt>
                <c:pt idx="238">
                  <c:v>4.4675174340540495E-3</c:v>
                </c:pt>
                <c:pt idx="239">
                  <c:v>4.6224601447440415E-3</c:v>
                </c:pt>
                <c:pt idx="240">
                  <c:v>4.7746857810095824E-3</c:v>
                </c:pt>
                <c:pt idx="241">
                  <c:v>4.9242158134368726E-3</c:v>
                </c:pt>
                <c:pt idx="242">
                  <c:v>5.0710733413851152E-3</c:v>
                </c:pt>
                <c:pt idx="243">
                  <c:v>5.2152830051346985E-3</c:v>
                </c:pt>
                <c:pt idx="244">
                  <c:v>5.3568709016601594E-3</c:v>
                </c:pt>
                <c:pt idx="245">
                  <c:v>5.4958645037920277E-3</c:v>
                </c:pt>
                <c:pt idx="246">
                  <c:v>5.6323649222344181E-3</c:v>
                </c:pt>
                <c:pt idx="247">
                  <c:v>5.7644301018061495E-3</c:v>
                </c:pt>
                <c:pt idx="248">
                  <c:v>5.8945715216998764E-3</c:v>
                </c:pt>
                <c:pt idx="249">
                  <c:v>6.0227394382421249E-3</c:v>
                </c:pt>
                <c:pt idx="250">
                  <c:v>6.1488751402230856E-3</c:v>
                </c:pt>
                <c:pt idx="251">
                  <c:v>6.2729107074975411E-3</c:v>
                </c:pt>
                <c:pt idx="252">
                  <c:v>6.3947687514477021E-3</c:v>
                </c:pt>
                <c:pt idx="253">
                  <c:v>6.5121528322653202E-3</c:v>
                </c:pt>
                <c:pt idx="254">
                  <c:v>6.6278935333525749E-3</c:v>
                </c:pt>
                <c:pt idx="255">
                  <c:v>6.7419036296233774E-3</c:v>
                </c:pt>
                <c:pt idx="256">
                  <c:v>6.8540863718684316E-3</c:v>
                </c:pt>
                <c:pt idx="257">
                  <c:v>6.964335172188676E-3</c:v>
                </c:pt>
                <c:pt idx="258">
                  <c:v>7.0725332870461037E-3</c:v>
                </c:pt>
                <c:pt idx="259">
                  <c:v>7.1785535011668266E-3</c:v>
                </c:pt>
                <c:pt idx="260">
                  <c:v>7.2828344636143945E-3</c:v>
                </c:pt>
                <c:pt idx="261">
                  <c:v>7.3817511295269957E-3</c:v>
                </c:pt>
                <c:pt idx="262">
                  <c:v>7.4773094954844587E-3</c:v>
                </c:pt>
                <c:pt idx="263">
                  <c:v>7.5692755550600659E-3</c:v>
                </c:pt>
                <c:pt idx="264">
                  <c:v>7.6573940831126701E-3</c:v>
                </c:pt>
                <c:pt idx="265">
                  <c:v>7.7414291790258169E-3</c:v>
                </c:pt>
                <c:pt idx="266">
                  <c:v>7.8211033769732003E-3</c:v>
                </c:pt>
                <c:pt idx="267">
                  <c:v>7.9029511280474148E-3</c:v>
                </c:pt>
                <c:pt idx="268">
                  <c:v>7.9894341935609972E-3</c:v>
                </c:pt>
                <c:pt idx="269">
                  <c:v>8.080519657924834E-3</c:v>
                </c:pt>
                <c:pt idx="270">
                  <c:v>8.1761638068894426E-3</c:v>
                </c:pt>
                <c:pt idx="271">
                  <c:v>8.2763103803310829E-3</c:v>
                </c:pt>
                <c:pt idx="272">
                  <c:v>8.3808887323973021E-3</c:v>
                </c:pt>
                <c:pt idx="273">
                  <c:v>8.4898119041372337E-3</c:v>
                </c:pt>
                <c:pt idx="274">
                  <c:v>8.6040690047717444E-3</c:v>
                </c:pt>
                <c:pt idx="275">
                  <c:v>8.7475709772059009E-3</c:v>
                </c:pt>
                <c:pt idx="276">
                  <c:v>8.9260247261493154E-3</c:v>
                </c:pt>
                <c:pt idx="277">
                  <c:v>9.1405333144003714E-3</c:v>
                </c:pt>
                <c:pt idx="278">
                  <c:v>9.3922378661402892E-3</c:v>
                </c:pt>
                <c:pt idx="279">
                  <c:v>9.6823087504403719E-3</c:v>
                </c:pt>
                <c:pt idx="280">
                  <c:v>1.0011935371703789E-2</c:v>
                </c:pt>
                <c:pt idx="281">
                  <c:v>1.0398827277066819E-2</c:v>
                </c:pt>
                <c:pt idx="282">
                  <c:v>1.0836530607093999E-2</c:v>
                </c:pt>
                <c:pt idx="283">
                  <c:v>1.1326553825874346E-2</c:v>
                </c:pt>
                <c:pt idx="284">
                  <c:v>1.1870372304779678E-2</c:v>
                </c:pt>
                <c:pt idx="285">
                  <c:v>1.2469405644014683E-2</c:v>
                </c:pt>
                <c:pt idx="286">
                  <c:v>1.3124992392450513E-2</c:v>
                </c:pt>
                <c:pt idx="287">
                  <c:v>1.3838362134667812E-2</c:v>
                </c:pt>
                <c:pt idx="288">
                  <c:v>1.4611531127543719E-2</c:v>
                </c:pt>
                <c:pt idx="289">
                  <c:v>1.5457332364205042E-2</c:v>
                </c:pt>
                <c:pt idx="290">
                  <c:v>1.6350324589025154E-2</c:v>
                </c:pt>
                <c:pt idx="291">
                  <c:v>1.7291868523353425E-2</c:v>
                </c:pt>
                <c:pt idx="292">
                  <c:v>1.8283369624102243E-2</c:v>
                </c:pt>
                <c:pt idx="293">
                  <c:v>1.9326283037867827E-2</c:v>
                </c:pt>
                <c:pt idx="294">
                  <c:v>2.0422119105264359E-2</c:v>
                </c:pt>
                <c:pt idx="295">
                  <c:v>2.157290927015983E-2</c:v>
                </c:pt>
                <c:pt idx="296">
                  <c:v>2.2760592342766516E-2</c:v>
                </c:pt>
                <c:pt idx="297">
                  <c:v>2.3986401783210782E-2</c:v>
                </c:pt>
                <c:pt idx="298">
                  <c:v>2.5251474068382355E-2</c:v>
                </c:pt>
                <c:pt idx="299">
                  <c:v>2.6557024849110711E-2</c:v>
                </c:pt>
                <c:pt idx="300">
                  <c:v>2.7904356746285067E-2</c:v>
                </c:pt>
                <c:pt idx="301">
                  <c:v>2.9294867878068984E-2</c:v>
                </c:pt>
                <c:pt idx="302">
                  <c:v>3.0730206492737628E-2</c:v>
                </c:pt>
                <c:pt idx="303">
                  <c:v>3.2188202174162822E-2</c:v>
                </c:pt>
                <c:pt idx="304">
                  <c:v>3.3656344350874751E-2</c:v>
                </c:pt>
                <c:pt idx="305">
                  <c:v>3.5133862897083638E-2</c:v>
                </c:pt>
                <c:pt idx="306">
                  <c:v>3.6619837676887965E-2</c:v>
                </c:pt>
                <c:pt idx="307">
                  <c:v>3.8113189123219968E-2</c:v>
                </c:pt>
                <c:pt idx="308">
                  <c:v>3.9612668809315174E-2</c:v>
                </c:pt>
                <c:pt idx="309">
                  <c:v>4.1090252312066144E-2</c:v>
                </c:pt>
                <c:pt idx="310">
                  <c:v>4.2542778866747843E-2</c:v>
                </c:pt>
                <c:pt idx="311">
                  <c:v>4.3967411919153036E-2</c:v>
                </c:pt>
                <c:pt idx="312">
                  <c:v>4.5361111212723973E-2</c:v>
                </c:pt>
                <c:pt idx="313">
                  <c:v>4.6720634250359959E-2</c:v>
                </c:pt>
                <c:pt idx="314">
                  <c:v>4.8042539869631092E-2</c:v>
                </c:pt>
                <c:pt idx="315">
                  <c:v>4.9323194242972809E-2</c:v>
                </c:pt>
                <c:pt idx="316">
                  <c:v>5.0559626358948929E-2</c:v>
                </c:pt>
                <c:pt idx="317">
                  <c:v>5.173374847998944E-2</c:v>
                </c:pt>
                <c:pt idx="318">
                  <c:v>5.2870968648076035E-2</c:v>
                </c:pt>
                <c:pt idx="319">
                  <c:v>5.39696857220055E-2</c:v>
                </c:pt>
                <c:pt idx="320">
                  <c:v>5.5028368879810351E-2</c:v>
                </c:pt>
                <c:pt idx="321">
                  <c:v>5.6045560450581157E-2</c:v>
                </c:pt>
                <c:pt idx="322">
                  <c:v>5.7019878181016198E-2</c:v>
                </c:pt>
                <c:pt idx="323">
                  <c:v>5.7954938557126918E-2</c:v>
                </c:pt>
                <c:pt idx="324">
                  <c:v>5.8881137941670852E-2</c:v>
                </c:pt>
                <c:pt idx="325">
                  <c:v>5.9798396681386673E-2</c:v>
                </c:pt>
                <c:pt idx="326">
                  <c:v>6.0706325474376391E-2</c:v>
                </c:pt>
                <c:pt idx="327">
                  <c:v>6.1604838178513255E-2</c:v>
                </c:pt>
                <c:pt idx="328">
                  <c:v>6.2494233874626534E-2</c:v>
                </c:pt>
                <c:pt idx="329">
                  <c:v>6.3374896312364745E-2</c:v>
                </c:pt>
                <c:pt idx="330">
                  <c:v>6.4251527308212389E-2</c:v>
                </c:pt>
                <c:pt idx="331">
                  <c:v>6.5129100042860807E-2</c:v>
                </c:pt>
                <c:pt idx="332">
                  <c:v>6.6023138061897454E-2</c:v>
                </c:pt>
                <c:pt idx="333">
                  <c:v>6.6930553017900726E-2</c:v>
                </c:pt>
                <c:pt idx="334">
                  <c:v>6.7847947499360045E-2</c:v>
                </c:pt>
                <c:pt idx="335">
                  <c:v>6.8771601079729808E-2</c:v>
                </c:pt>
                <c:pt idx="336">
                  <c:v>6.9697460388281618E-2</c:v>
                </c:pt>
                <c:pt idx="337">
                  <c:v>7.0605166324386598E-2</c:v>
                </c:pt>
                <c:pt idx="338">
                  <c:v>7.1483971797427007E-2</c:v>
                </c:pt>
                <c:pt idx="339">
                  <c:v>7.2328347542560789E-2</c:v>
                </c:pt>
                <c:pt idx="340">
                  <c:v>7.3132510923500246E-2</c:v>
                </c:pt>
                <c:pt idx="341">
                  <c:v>7.3890466024630272E-2</c:v>
                </c:pt>
                <c:pt idx="342">
                  <c:v>7.4596053608978211E-2</c:v>
                </c:pt>
                <c:pt idx="343">
                  <c:v>7.5243011267159987E-2</c:v>
                </c:pt>
                <c:pt idx="344">
                  <c:v>7.5836572910626482E-2</c:v>
                </c:pt>
                <c:pt idx="345">
                  <c:v>7.6384976492264181E-2</c:v>
                </c:pt>
                <c:pt idx="346">
                  <c:v>7.6874461621696422E-2</c:v>
                </c:pt>
                <c:pt idx="347">
                  <c:v>7.7303289755415977E-2</c:v>
                </c:pt>
                <c:pt idx="348">
                  <c:v>7.7669870879765082E-2</c:v>
                </c:pt>
                <c:pt idx="349">
                  <c:v>7.797277765574126E-2</c:v>
                </c:pt>
                <c:pt idx="350">
                  <c:v>7.8210758783720372E-2</c:v>
                </c:pt>
                <c:pt idx="351">
                  <c:v>7.8373599934558322E-2</c:v>
                </c:pt>
                <c:pt idx="352">
                  <c:v>7.8477435161866213E-2</c:v>
                </c:pt>
                <c:pt idx="353">
                  <c:v>7.8521627209968373E-2</c:v>
                </c:pt>
                <c:pt idx="354">
                  <c:v>7.8505731314010896E-2</c:v>
                </c:pt>
                <c:pt idx="355">
                  <c:v>7.842950142879225E-2</c:v>
                </c:pt>
                <c:pt idx="356">
                  <c:v>7.8292642152687886E-2</c:v>
                </c:pt>
                <c:pt idx="357">
                  <c:v>7.8095461959858226E-2</c:v>
                </c:pt>
                <c:pt idx="358">
                  <c:v>7.7836689240402587E-2</c:v>
                </c:pt>
                <c:pt idx="359">
                  <c:v>7.7516401864047402E-2</c:v>
                </c:pt>
                <c:pt idx="360">
                  <c:v>7.7119941148614743E-2</c:v>
                </c:pt>
                <c:pt idx="361">
                  <c:v>7.6658775478412572E-2</c:v>
                </c:pt>
                <c:pt idx="362">
                  <c:v>7.6135437642148557E-2</c:v>
                </c:pt>
                <c:pt idx="363">
                  <c:v>7.5552587277209968E-2</c:v>
                </c:pt>
                <c:pt idx="364">
                  <c:v>7.4912985372924762E-2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905776"/>
        <c:axId val="443906168"/>
      </c:lineChart>
      <c:dateAx>
        <c:axId val="44390577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06168"/>
        <c:crosses val="autoZero"/>
        <c:auto val="1"/>
        <c:lblOffset val="100"/>
        <c:baseTimeUnit val="days"/>
        <c:majorUnit val="1"/>
        <c:majorTimeUnit val="months"/>
      </c:dateAx>
      <c:valAx>
        <c:axId val="44390616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057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Crèche Ayguesvives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1402.4731894538429</c:v>
                </c:pt>
                <c:pt idx="1">
                  <c:v>11627.851527154764</c:v>
                </c:pt>
                <c:pt idx="2">
                  <c:v>11328.42975204785</c:v>
                </c:pt>
                <c:pt idx="3">
                  <c:v>11043.908086735075</c:v>
                </c:pt>
                <c:pt idx="4">
                  <c:v>11570.889551766088</c:v>
                </c:pt>
                <c:pt idx="5">
                  <c:v>11550.914452471736</c:v>
                </c:pt>
                <c:pt idx="6">
                  <c:v>11537.714274785152</c:v>
                </c:pt>
                <c:pt idx="7">
                  <c:v>11584.606679437555</c:v>
                </c:pt>
                <c:pt idx="8">
                  <c:v>11613.909421543274</c:v>
                </c:pt>
                <c:pt idx="9">
                  <c:v>11602.235255368863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1399.2116655955767</c:v>
                </c:pt>
                <c:pt idx="1">
                  <c:v>11538.680759322844</c:v>
                </c:pt>
                <c:pt idx="2">
                  <c:v>11142.954292949364</c:v>
                </c:pt>
                <c:pt idx="3">
                  <c:v>10769.758880909483</c:v>
                </c:pt>
                <c:pt idx="4">
                  <c:v>11185.196794716749</c:v>
                </c:pt>
                <c:pt idx="5">
                  <c:v>11070.109145602933</c:v>
                </c:pt>
                <c:pt idx="6">
                  <c:v>10962.202335820026</c:v>
                </c:pt>
                <c:pt idx="7">
                  <c:v>10915.384769903489</c:v>
                </c:pt>
                <c:pt idx="8">
                  <c:v>10857.676487056493</c:v>
                </c:pt>
                <c:pt idx="9">
                  <c:v>10752.984253204881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1364.6160000000002</c:v>
                </c:pt>
                <c:pt idx="1">
                  <c:v>10766.592999999999</c:v>
                </c:pt>
                <c:pt idx="2">
                  <c:v>9848.9630000000052</c:v>
                </c:pt>
                <c:pt idx="3">
                  <c:v>9878.5520000000051</c:v>
                </c:pt>
                <c:pt idx="4">
                  <c:v>9761.7630000000063</c:v>
                </c:pt>
                <c:pt idx="5">
                  <c:v>10157.517921997873</c:v>
                </c:pt>
                <c:pt idx="6">
                  <c:v>10147.229242313544</c:v>
                </c:pt>
                <c:pt idx="7">
                  <c:v>9760.6319481704359</c:v>
                </c:pt>
                <c:pt idx="8">
                  <c:v>10137.058085113817</c:v>
                </c:pt>
                <c:pt idx="9">
                  <c:v>9656.7432280542216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1364.6160000000002</c:v>
                </c:pt>
                <c:pt idx="1">
                  <c:v>10766.592999999999</c:v>
                </c:pt>
                <c:pt idx="2">
                  <c:v>9848.9630000000052</c:v>
                </c:pt>
                <c:pt idx="3">
                  <c:v>9220.3944376780219</c:v>
                </c:pt>
                <c:pt idx="4">
                  <c:v>9305.5259051157518</c:v>
                </c:pt>
                <c:pt idx="5">
                  <c:v>9152.3523810963707</c:v>
                </c:pt>
                <c:pt idx="6">
                  <c:v>9270.9589213950294</c:v>
                </c:pt>
                <c:pt idx="7">
                  <c:v>8991.9266209232428</c:v>
                </c:pt>
                <c:pt idx="8">
                  <c:v>8945.7495102577668</c:v>
                </c:pt>
                <c:pt idx="9">
                  <c:v>8620.6684692859799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658.58802689882259</c:v>
                </c:pt>
                <c:pt idx="4">
                  <c:v>452.26827703952813</c:v>
                </c:pt>
                <c:pt idx="5">
                  <c:v>1005.0368561613833</c:v>
                </c:pt>
                <c:pt idx="6">
                  <c:v>876.32221398759475</c:v>
                </c:pt>
                <c:pt idx="7">
                  <c:v>618.37495722786957</c:v>
                </c:pt>
                <c:pt idx="8">
                  <c:v>910.13454961487855</c:v>
                </c:pt>
                <c:pt idx="9">
                  <c:v>712.85596820331557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-4.0991204228131082</c:v>
                </c:pt>
                <c:pt idx="4">
                  <c:v>-4.2493365285623383</c:v>
                </c:pt>
                <c:pt idx="5">
                  <c:v>-12.781077411353209</c:v>
                </c:pt>
                <c:pt idx="6">
                  <c:v>-14.951481506683763</c:v>
                </c:pt>
                <c:pt idx="7">
                  <c:v>121.43259291448197</c:v>
                </c:pt>
                <c:pt idx="8">
                  <c:v>236.8267189239024</c:v>
                </c:pt>
                <c:pt idx="9">
                  <c:v>265.11372568633357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598144"/>
        <c:axId val="476598536"/>
      </c:lineChart>
      <c:catAx>
        <c:axId val="4765981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598536"/>
        <c:crosses val="autoZero"/>
        <c:auto val="1"/>
        <c:lblAlgn val="ctr"/>
        <c:lblOffset val="100"/>
        <c:noMultiLvlLbl val="0"/>
      </c:catAx>
      <c:valAx>
        <c:axId val="476598536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598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2.8648028530731451E-2</c:v>
                </c:pt>
                <c:pt idx="1">
                  <c:v>2.8670633310161397E-2</c:v>
                </c:pt>
                <c:pt idx="2">
                  <c:v>2.8693237563545138E-2</c:v>
                </c:pt>
                <c:pt idx="3">
                  <c:v>2.8715841290894883E-2</c:v>
                </c:pt>
                <c:pt idx="4">
                  <c:v>2.8738444492222959E-2</c:v>
                </c:pt>
                <c:pt idx="5">
                  <c:v>2.8761047167541354E-2</c:v>
                </c:pt>
                <c:pt idx="6">
                  <c:v>2.8783649316862614E-2</c:v>
                </c:pt>
                <c:pt idx="7">
                  <c:v>2.880625094019873E-2</c:v>
                </c:pt>
                <c:pt idx="8">
                  <c:v>2.8828852037562136E-2</c:v>
                </c:pt>
                <c:pt idx="9">
                  <c:v>2.8851452608964934E-2</c:v>
                </c:pt>
                <c:pt idx="10">
                  <c:v>2.8874052654419446E-2</c:v>
                </c:pt>
                <c:pt idx="11">
                  <c:v>2.8896652173937887E-2</c:v>
                </c:pt>
                <c:pt idx="12">
                  <c:v>2.8919251167532467E-2</c:v>
                </c:pt>
                <c:pt idx="13">
                  <c:v>2.8941849635215511E-2</c:v>
                </c:pt>
                <c:pt idx="14">
                  <c:v>2.8964447576999119E-2</c:v>
                </c:pt>
                <c:pt idx="15">
                  <c:v>2.8987044992895616E-2</c:v>
                </c:pt>
                <c:pt idx="16">
                  <c:v>2.9009641882917325E-2</c:v>
                </c:pt>
                <c:pt idx="17">
                  <c:v>2.9032238247076347E-2</c:v>
                </c:pt>
                <c:pt idx="18">
                  <c:v>2.9054834085384895E-2</c:v>
                </c:pt>
                <c:pt idx="19">
                  <c:v>2.9077429397855292E-2</c:v>
                </c:pt>
                <c:pt idx="20">
                  <c:v>2.9100024184499862E-2</c:v>
                </c:pt>
                <c:pt idx="21">
                  <c:v>2.9122618445330595E-2</c:v>
                </c:pt>
                <c:pt idx="22">
                  <c:v>2.9145212180359925E-2</c:v>
                </c:pt>
                <c:pt idx="23">
                  <c:v>2.9167805389600066E-2</c:v>
                </c:pt>
                <c:pt idx="24">
                  <c:v>2.9190398073063228E-2</c:v>
                </c:pt>
                <c:pt idx="25">
                  <c:v>2.9212990230761626E-2</c:v>
                </c:pt>
                <c:pt idx="26">
                  <c:v>2.9235581862707472E-2</c:v>
                </c:pt>
                <c:pt idx="27">
                  <c:v>2.9258172968913088E-2</c:v>
                </c:pt>
                <c:pt idx="28">
                  <c:v>2.9280763549390687E-2</c:v>
                </c:pt>
                <c:pt idx="29">
                  <c:v>2.9303353604152371E-2</c:v>
                </c:pt>
                <c:pt idx="30">
                  <c:v>2.9325943133210575E-2</c:v>
                </c:pt>
                <c:pt idx="31">
                  <c:v>2.9348532136577399E-2</c:v>
                </c:pt>
                <c:pt idx="32">
                  <c:v>2.9371120614265056E-2</c:v>
                </c:pt>
                <c:pt idx="33">
                  <c:v>2.939370856628587E-2</c:v>
                </c:pt>
                <c:pt idx="34">
                  <c:v>2.9416295992652053E-2</c:v>
                </c:pt>
                <c:pt idx="35">
                  <c:v>2.9438882893375928E-2</c:v>
                </c:pt>
                <c:pt idx="36">
                  <c:v>2.9461469268469487E-2</c:v>
                </c:pt>
                <c:pt idx="37">
                  <c:v>2.9484055117945163E-2</c:v>
                </c:pt>
                <c:pt idx="38">
                  <c:v>2.9506640441815057E-2</c:v>
                </c:pt>
                <c:pt idx="39">
                  <c:v>2.9529225240091606E-2</c:v>
                </c:pt>
                <c:pt idx="40">
                  <c:v>2.9551809512786797E-2</c:v>
                </c:pt>
                <c:pt idx="41">
                  <c:v>2.9574393259912957E-2</c:v>
                </c:pt>
                <c:pt idx="42">
                  <c:v>2.9596976481482407E-2</c:v>
                </c:pt>
                <c:pt idx="43">
                  <c:v>2.9619559177507249E-2</c:v>
                </c:pt>
                <c:pt idx="44">
                  <c:v>2.9642141347999806E-2</c:v>
                </c:pt>
                <c:pt idx="45">
                  <c:v>2.9664722992972181E-2</c:v>
                </c:pt>
                <c:pt idx="46">
                  <c:v>2.9687304112436697E-2</c:v>
                </c:pt>
                <c:pt idx="47">
                  <c:v>2.9709884706405676E-2</c:v>
                </c:pt>
                <c:pt idx="48">
                  <c:v>2.9732464774891221E-2</c:v>
                </c:pt>
                <c:pt idx="49">
                  <c:v>2.9755044317905543E-2</c:v>
                </c:pt>
                <c:pt idx="50">
                  <c:v>2.9777623335460857E-2</c:v>
                </c:pt>
                <c:pt idx="51">
                  <c:v>2.9800201827569484E-2</c:v>
                </c:pt>
                <c:pt idx="52">
                  <c:v>2.9822779794243637E-2</c:v>
                </c:pt>
                <c:pt idx="53">
                  <c:v>2.9845357235495529E-2</c:v>
                </c:pt>
                <c:pt idx="54">
                  <c:v>2.9867934151337372E-2</c:v>
                </c:pt>
                <c:pt idx="55">
                  <c:v>2.989051054178149E-2</c:v>
                </c:pt>
                <c:pt idx="56">
                  <c:v>2.9913086406839873E-2</c:v>
                </c:pt>
                <c:pt idx="57">
                  <c:v>2.9935661746524955E-2</c:v>
                </c:pt>
                <c:pt idx="58">
                  <c:v>2.995823656084895E-2</c:v>
                </c:pt>
                <c:pt idx="59">
                  <c:v>2.9980810849823958E-2</c:v>
                </c:pt>
                <c:pt idx="60">
                  <c:v>3.0003384613462303E-2</c:v>
                </c:pt>
                <c:pt idx="61">
                  <c:v>3.0025957851776197E-2</c:v>
                </c:pt>
                <c:pt idx="62">
                  <c:v>3.0048530564777853E-2</c:v>
                </c:pt>
                <c:pt idx="63">
                  <c:v>3.0071102752479484E-2</c:v>
                </c:pt>
                <c:pt idx="64">
                  <c:v>3.0093674414893412E-2</c:v>
                </c:pt>
                <c:pt idx="65">
                  <c:v>3.011624555203174E-2</c:v>
                </c:pt>
                <c:pt idx="66">
                  <c:v>3.0138816163906679E-2</c:v>
                </c:pt>
                <c:pt idx="67">
                  <c:v>3.0161386250530553E-2</c:v>
                </c:pt>
                <c:pt idx="68">
                  <c:v>3.0183955811915575E-2</c:v>
                </c:pt>
                <c:pt idx="69">
                  <c:v>3.0206524848073846E-2</c:v>
                </c:pt>
                <c:pt idx="70">
                  <c:v>3.0229093359017689E-2</c:v>
                </c:pt>
                <c:pt idx="71">
                  <c:v>3.0251661344759317E-2</c:v>
                </c:pt>
                <c:pt idx="72">
                  <c:v>3.0274228805311054E-2</c:v>
                </c:pt>
                <c:pt idx="73">
                  <c:v>3.029679574068489E-2</c:v>
                </c:pt>
                <c:pt idx="74">
                  <c:v>3.0319362150893148E-2</c:v>
                </c:pt>
                <c:pt idx="75">
                  <c:v>3.0341928035948151E-2</c:v>
                </c:pt>
                <c:pt idx="76">
                  <c:v>3.0364493395862113E-2</c:v>
                </c:pt>
                <c:pt idx="77">
                  <c:v>3.0387058230647024E-2</c:v>
                </c:pt>
                <c:pt idx="78">
                  <c:v>3.0409622540315318E-2</c:v>
                </c:pt>
                <c:pt idx="79">
                  <c:v>3.0432186324879207E-2</c:v>
                </c:pt>
                <c:pt idx="80">
                  <c:v>3.0454749584350904E-2</c:v>
                </c:pt>
                <c:pt idx="81">
                  <c:v>3.0477312318742511E-2</c:v>
                </c:pt>
                <c:pt idx="82">
                  <c:v>3.0499874528066351E-2</c:v>
                </c:pt>
                <c:pt idx="83">
                  <c:v>3.0522436212334525E-2</c:v>
                </c:pt>
                <c:pt idx="84">
                  <c:v>3.0544997371559468E-2</c:v>
                </c:pt>
                <c:pt idx="85">
                  <c:v>3.0567558005753281E-2</c:v>
                </c:pt>
                <c:pt idx="86">
                  <c:v>3.0590118114928067E-2</c:v>
                </c:pt>
                <c:pt idx="87">
                  <c:v>3.0612677699096258E-2</c:v>
                </c:pt>
                <c:pt idx="88">
                  <c:v>3.0635236758269957E-2</c:v>
                </c:pt>
                <c:pt idx="89">
                  <c:v>3.0657795292461376E-2</c:v>
                </c:pt>
                <c:pt idx="90">
                  <c:v>3.0680353301682728E-2</c:v>
                </c:pt>
                <c:pt idx="91">
                  <c:v>3.0702910785946225E-2</c:v>
                </c:pt>
                <c:pt idx="92">
                  <c:v>3.072546774526419E-2</c:v>
                </c:pt>
                <c:pt idx="93">
                  <c:v>3.0748024179648725E-2</c:v>
                </c:pt>
                <c:pt idx="94">
                  <c:v>3.0770580089112043E-2</c:v>
                </c:pt>
                <c:pt idx="95">
                  <c:v>3.0793135473666355E-2</c:v>
                </c:pt>
                <c:pt idx="96">
                  <c:v>3.0815690333323986E-2</c:v>
                </c:pt>
                <c:pt idx="97">
                  <c:v>3.0838244668097148E-2</c:v>
                </c:pt>
                <c:pt idx="98">
                  <c:v>3.0860798477997942E-2</c:v>
                </c:pt>
                <c:pt idx="99">
                  <c:v>3.088335176303858E-2</c:v>
                </c:pt>
                <c:pt idx="100">
                  <c:v>3.0905904523231387E-2</c:v>
                </c:pt>
                <c:pt idx="101">
                  <c:v>3.0928456758588463E-2</c:v>
                </c:pt>
                <c:pt idx="102">
                  <c:v>3.0951008469122021E-2</c:v>
                </c:pt>
                <c:pt idx="103">
                  <c:v>3.0973559654844496E-2</c:v>
                </c:pt>
                <c:pt idx="104">
                  <c:v>3.0996110315767766E-2</c:v>
                </c:pt>
                <c:pt idx="105">
                  <c:v>3.1018660451904378E-2</c:v>
                </c:pt>
                <c:pt idx="106">
                  <c:v>3.1041210063266211E-2</c:v>
                </c:pt>
                <c:pt idx="107">
                  <c:v>3.10637591498657E-2</c:v>
                </c:pt>
                <c:pt idx="108">
                  <c:v>3.1086307711715055E-2</c:v>
                </c:pt>
                <c:pt idx="109">
                  <c:v>3.1108855748826381E-2</c:v>
                </c:pt>
                <c:pt idx="110">
                  <c:v>3.1131403261211998E-2</c:v>
                </c:pt>
                <c:pt idx="111">
                  <c:v>3.115395024888401E-2</c:v>
                </c:pt>
                <c:pt idx="112">
                  <c:v>3.117649671185474E-2</c:v>
                </c:pt>
                <c:pt idx="113">
                  <c:v>3.1199042650136288E-2</c:v>
                </c:pt>
                <c:pt idx="114">
                  <c:v>3.1221588063740979E-2</c:v>
                </c:pt>
                <c:pt idx="115">
                  <c:v>3.1244132952680914E-2</c:v>
                </c:pt>
                <c:pt idx="116">
                  <c:v>3.1266677316968305E-2</c:v>
                </c:pt>
                <c:pt idx="117">
                  <c:v>3.1289221156615477E-2</c:v>
                </c:pt>
                <c:pt idx="118">
                  <c:v>3.1311764471634529E-2</c:v>
                </c:pt>
                <c:pt idx="119">
                  <c:v>3.1334307262037675E-2</c:v>
                </c:pt>
                <c:pt idx="120">
                  <c:v>3.1356849527837127E-2</c:v>
                </c:pt>
                <c:pt idx="121">
                  <c:v>3.1379391269045209E-2</c:v>
                </c:pt>
                <c:pt idx="122">
                  <c:v>3.1401932485674022E-2</c:v>
                </c:pt>
                <c:pt idx="123">
                  <c:v>3.1424473177735779E-2</c:v>
                </c:pt>
                <c:pt idx="124">
                  <c:v>3.1447013345242691E-2</c:v>
                </c:pt>
                <c:pt idx="125">
                  <c:v>3.1469552988206972E-2</c:v>
                </c:pt>
                <c:pt idx="126">
                  <c:v>3.1492092106640945E-2</c:v>
                </c:pt>
                <c:pt idx="127">
                  <c:v>3.1514630700556601E-2</c:v>
                </c:pt>
                <c:pt idx="128">
                  <c:v>3.1537168769966262E-2</c:v>
                </c:pt>
                <c:pt idx="129">
                  <c:v>3.1559706314882141E-2</c:v>
                </c:pt>
                <c:pt idx="130">
                  <c:v>3.158224333531634E-2</c:v>
                </c:pt>
                <c:pt idx="131">
                  <c:v>3.1604779831281182E-2</c:v>
                </c:pt>
                <c:pt idx="132">
                  <c:v>3.162731580278888E-2</c:v>
                </c:pt>
                <c:pt idx="133">
                  <c:v>3.1649851249851646E-2</c:v>
                </c:pt>
                <c:pt idx="134">
                  <c:v>3.1672386172481581E-2</c:v>
                </c:pt>
                <c:pt idx="135">
                  <c:v>3.1694920570690899E-2</c:v>
                </c:pt>
                <c:pt idx="136">
                  <c:v>3.1717454444491922E-2</c:v>
                </c:pt>
                <c:pt idx="137">
                  <c:v>3.1739987793896751E-2</c:v>
                </c:pt>
                <c:pt idx="138">
                  <c:v>3.17625206189176E-2</c:v>
                </c:pt>
                <c:pt idx="139">
                  <c:v>3.1785052919566792E-2</c:v>
                </c:pt>
                <c:pt idx="140">
                  <c:v>3.1807584695856317E-2</c:v>
                </c:pt>
                <c:pt idx="141">
                  <c:v>3.1830115947798499E-2</c:v>
                </c:pt>
                <c:pt idx="142">
                  <c:v>3.1852646675405549E-2</c:v>
                </c:pt>
                <c:pt idx="143">
                  <c:v>3.1875176878689682E-2</c:v>
                </c:pt>
                <c:pt idx="144">
                  <c:v>3.1897706557663108E-2</c:v>
                </c:pt>
                <c:pt idx="145">
                  <c:v>3.192023571233793E-2</c:v>
                </c:pt>
                <c:pt idx="146">
                  <c:v>3.194276434272636E-2</c:v>
                </c:pt>
                <c:pt idx="147">
                  <c:v>3.1965292448840721E-2</c:v>
                </c:pt>
                <c:pt idx="148">
                  <c:v>3.1987820030693115E-2</c:v>
                </c:pt>
                <c:pt idx="149">
                  <c:v>3.2010347088295754E-2</c:v>
                </c:pt>
                <c:pt idx="150">
                  <c:v>3.2032873621660962E-2</c:v>
                </c:pt>
                <c:pt idx="151">
                  <c:v>3.2055399630800729E-2</c:v>
                </c:pt>
                <c:pt idx="152">
                  <c:v>3.2077925115727379E-2</c:v>
                </c:pt>
                <c:pt idx="153">
                  <c:v>3.2100450076453013E-2</c:v>
                </c:pt>
                <c:pt idx="154">
                  <c:v>3.2122974512990066E-2</c:v>
                </c:pt>
                <c:pt idx="155">
                  <c:v>3.2145498425350416E-2</c:v>
                </c:pt>
                <c:pt idx="156">
                  <c:v>3.2168021813546499E-2</c:v>
                </c:pt>
                <c:pt idx="157">
                  <c:v>3.2190544677590416E-2</c:v>
                </c:pt>
                <c:pt idx="158">
                  <c:v>3.2213067017494379E-2</c:v>
                </c:pt>
                <c:pt idx="159">
                  <c:v>3.2235588833270601E-2</c:v>
                </c:pt>
                <c:pt idx="160">
                  <c:v>3.2258110124931294E-2</c:v>
                </c:pt>
                <c:pt idx="161">
                  <c:v>3.228063089248856E-2</c:v>
                </c:pt>
                <c:pt idx="162">
                  <c:v>3.2303151135954722E-2</c:v>
                </c:pt>
                <c:pt idx="163">
                  <c:v>3.2325670855341881E-2</c:v>
                </c:pt>
                <c:pt idx="164">
                  <c:v>3.2348190050662251E-2</c:v>
                </c:pt>
                <c:pt idx="165">
                  <c:v>3.2370708721928154E-2</c:v>
                </c:pt>
                <c:pt idx="166">
                  <c:v>3.2393226869151581E-2</c:v>
                </c:pt>
                <c:pt idx="167">
                  <c:v>3.2415744492344856E-2</c:v>
                </c:pt>
                <c:pt idx="168">
                  <c:v>3.2438261591520079E-2</c:v>
                </c:pt>
                <c:pt idx="169">
                  <c:v>3.2460778166689574E-2</c:v>
                </c:pt>
                <c:pt idx="170">
                  <c:v>3.2483294217865555E-2</c:v>
                </c:pt>
                <c:pt idx="171">
                  <c:v>3.250580974506001E-2</c:v>
                </c:pt>
                <c:pt idx="172">
                  <c:v>3.2528324748285264E-2</c:v>
                </c:pt>
                <c:pt idx="173">
                  <c:v>3.255083922755353E-2</c:v>
                </c:pt>
                <c:pt idx="174">
                  <c:v>3.2573353182876907E-2</c:v>
                </c:pt>
                <c:pt idx="175">
                  <c:v>3.2595866614267721E-2</c:v>
                </c:pt>
                <c:pt idx="176">
                  <c:v>3.2618379521738183E-2</c:v>
                </c:pt>
                <c:pt idx="177">
                  <c:v>3.2640891905300284E-2</c:v>
                </c:pt>
                <c:pt idx="178">
                  <c:v>3.2663403764966348E-2</c:v>
                </c:pt>
                <c:pt idx="179">
                  <c:v>3.2685915100748475E-2</c:v>
                </c:pt>
                <c:pt idx="180">
                  <c:v>3.27084259126591E-2</c:v>
                </c:pt>
                <c:pt idx="181">
                  <c:v>3.2730936200710103E-2</c:v>
                </c:pt>
                <c:pt idx="182">
                  <c:v>3.2753445964913919E-2</c:v>
                </c:pt>
                <c:pt idx="183">
                  <c:v>3.2775955205282536E-2</c:v>
                </c:pt>
                <c:pt idx="184">
                  <c:v>3.279846392182828E-2</c:v>
                </c:pt>
                <c:pt idx="185">
                  <c:v>3.2820972114563363E-2</c:v>
                </c:pt>
                <c:pt idx="186">
                  <c:v>3.2843479783499885E-2</c:v>
                </c:pt>
                <c:pt idx="187">
                  <c:v>3.2865986928650059E-2</c:v>
                </c:pt>
                <c:pt idx="188">
                  <c:v>3.2888493550026099E-2</c:v>
                </c:pt>
                <c:pt idx="189">
                  <c:v>3.2910999647640105E-2</c:v>
                </c:pt>
                <c:pt idx="190">
                  <c:v>3.29335052215044E-2</c:v>
                </c:pt>
                <c:pt idx="191">
                  <c:v>3.2956010271631198E-2</c:v>
                </c:pt>
                <c:pt idx="192">
                  <c:v>3.2978514798032488E-2</c:v>
                </c:pt>
                <c:pt idx="193">
                  <c:v>3.3001018800720594E-2</c:v>
                </c:pt>
                <c:pt idx="194">
                  <c:v>3.3023522279707729E-2</c:v>
                </c:pt>
                <c:pt idx="195">
                  <c:v>3.3046025235005994E-2</c:v>
                </c:pt>
                <c:pt idx="196">
                  <c:v>3.3068527666627601E-2</c:v>
                </c:pt>
                <c:pt idx="197">
                  <c:v>3.3091029574584763E-2</c:v>
                </c:pt>
                <c:pt idx="198">
                  <c:v>3.3113530958889581E-2</c:v>
                </c:pt>
                <c:pt idx="199">
                  <c:v>3.3136031819554379E-2</c:v>
                </c:pt>
                <c:pt idx="200">
                  <c:v>3.3158532156591369E-2</c:v>
                </c:pt>
                <c:pt idx="201">
                  <c:v>3.3181031970012542E-2</c:v>
                </c:pt>
                <c:pt idx="202">
                  <c:v>3.3203531259830221E-2</c:v>
                </c:pt>
                <c:pt idx="203">
                  <c:v>3.3226030026056508E-2</c:v>
                </c:pt>
                <c:pt idx="204">
                  <c:v>3.3248528268703725E-2</c:v>
                </c:pt>
                <c:pt idx="205">
                  <c:v>3.3271025987783864E-2</c:v>
                </c:pt>
                <c:pt idx="206">
                  <c:v>3.3293523183309248E-2</c:v>
                </c:pt>
                <c:pt idx="207">
                  <c:v>3.3316019855292089E-2</c:v>
                </c:pt>
                <c:pt idx="208">
                  <c:v>3.3338516003744378E-2</c:v>
                </c:pt>
                <c:pt idx="209">
                  <c:v>3.336101162867855E-2</c:v>
                </c:pt>
                <c:pt idx="210">
                  <c:v>3.3383506730106594E-2</c:v>
                </c:pt>
                <c:pt idx="211">
                  <c:v>3.3406001308040834E-2</c:v>
                </c:pt>
                <c:pt idx="212">
                  <c:v>3.3428495362493371E-2</c:v>
                </c:pt>
                <c:pt idx="213">
                  <c:v>3.3450988893476308E-2</c:v>
                </c:pt>
                <c:pt idx="214">
                  <c:v>3.3473481901002078E-2</c:v>
                </c:pt>
                <c:pt idx="215">
                  <c:v>3.3495974385082561E-2</c:v>
                </c:pt>
                <c:pt idx="216">
                  <c:v>3.351846634573008E-2</c:v>
                </c:pt>
                <c:pt idx="217">
                  <c:v>3.3540957782956959E-2</c:v>
                </c:pt>
                <c:pt idx="218">
                  <c:v>3.3563448696775078E-2</c:v>
                </c:pt>
                <c:pt idx="219">
                  <c:v>3.358593908719687E-2</c:v>
                </c:pt>
                <c:pt idx="220">
                  <c:v>3.3608428954234326E-2</c:v>
                </c:pt>
                <c:pt idx="221">
                  <c:v>3.363091829789977E-2</c:v>
                </c:pt>
                <c:pt idx="222">
                  <c:v>3.3653407118205414E-2</c:v>
                </c:pt>
                <c:pt idx="223">
                  <c:v>3.3675895415163248E-2</c:v>
                </c:pt>
                <c:pt idx="224">
                  <c:v>3.3698383188785597E-2</c:v>
                </c:pt>
                <c:pt idx="225">
                  <c:v>3.372087043908456E-2</c:v>
                </c:pt>
                <c:pt idx="226">
                  <c:v>3.3743357166072463E-2</c:v>
                </c:pt>
                <c:pt idx="227">
                  <c:v>3.3765843369761295E-2</c:v>
                </c:pt>
                <c:pt idx="228">
                  <c:v>3.3788329050163379E-2</c:v>
                </c:pt>
                <c:pt idx="229">
                  <c:v>3.3810814207290707E-2</c:v>
                </c:pt>
                <c:pt idx="230">
                  <c:v>3.3833298841155712E-2</c:v>
                </c:pt>
                <c:pt idx="231">
                  <c:v>3.3855782951770386E-2</c:v>
                </c:pt>
                <c:pt idx="232">
                  <c:v>3.387826653914694E-2</c:v>
                </c:pt>
                <c:pt idx="233">
                  <c:v>3.3900749603297586E-2</c:v>
                </c:pt>
                <c:pt idx="234">
                  <c:v>3.3923232144234539E-2</c:v>
                </c:pt>
                <c:pt idx="235">
                  <c:v>3.3945714161969787E-2</c:v>
                </c:pt>
                <c:pt idx="236">
                  <c:v>3.3968195656515765E-2</c:v>
                </c:pt>
                <c:pt idx="237">
                  <c:v>3.3990676627884464E-2</c:v>
                </c:pt>
                <c:pt idx="238">
                  <c:v>3.4013157076088096E-2</c:v>
                </c:pt>
                <c:pt idx="239">
                  <c:v>3.4035637001138874E-2</c:v>
                </c:pt>
                <c:pt idx="240">
                  <c:v>3.405811640304901E-2</c:v>
                </c:pt>
                <c:pt idx="241">
                  <c:v>3.4080595281830606E-2</c:v>
                </c:pt>
                <c:pt idx="242">
                  <c:v>3.4103073637495762E-2</c:v>
                </c:pt>
                <c:pt idx="243">
                  <c:v>3.4125551470056803E-2</c:v>
                </c:pt>
                <c:pt idx="244">
                  <c:v>3.414802877952583E-2</c:v>
                </c:pt>
                <c:pt idx="245">
                  <c:v>3.4170505565915055E-2</c:v>
                </c:pt>
                <c:pt idx="246">
                  <c:v>3.419298182923669E-2</c:v>
                </c:pt>
                <c:pt idx="247">
                  <c:v>3.4215457569502727E-2</c:v>
                </c:pt>
                <c:pt idx="248">
                  <c:v>3.4237932786725489E-2</c:v>
                </c:pt>
                <c:pt idx="249">
                  <c:v>3.4260407480917188E-2</c:v>
                </c:pt>
                <c:pt idx="250">
                  <c:v>3.4282881652089814E-2</c:v>
                </c:pt>
                <c:pt idx="251">
                  <c:v>3.4305355300255691E-2</c:v>
                </c:pt>
                <c:pt idx="252">
                  <c:v>3.4327828425426921E-2</c:v>
                </c:pt>
                <c:pt idx="253">
                  <c:v>3.4350301027615715E-2</c:v>
                </c:pt>
                <c:pt idx="254">
                  <c:v>3.4372773106834176E-2</c:v>
                </c:pt>
                <c:pt idx="255">
                  <c:v>3.4395244663094626E-2</c:v>
                </c:pt>
                <c:pt idx="256">
                  <c:v>3.4417715696409057E-2</c:v>
                </c:pt>
                <c:pt idx="257">
                  <c:v>3.444018620678968E-2</c:v>
                </c:pt>
                <c:pt idx="258">
                  <c:v>3.446265619424882E-2</c:v>
                </c:pt>
                <c:pt idx="259">
                  <c:v>3.4485125658798355E-2</c:v>
                </c:pt>
                <c:pt idx="260">
                  <c:v>3.4507594600450719E-2</c:v>
                </c:pt>
                <c:pt idx="261">
                  <c:v>3.4530063019218016E-2</c:v>
                </c:pt>
                <c:pt idx="262">
                  <c:v>3.4552530915112345E-2</c:v>
                </c:pt>
                <c:pt idx="263">
                  <c:v>3.4574998288145919E-2</c:v>
                </c:pt>
                <c:pt idx="264">
                  <c:v>3.4597465138330952E-2</c:v>
                </c:pt>
                <c:pt idx="265">
                  <c:v>3.4619931465679543E-2</c:v>
                </c:pt>
                <c:pt idx="266">
                  <c:v>3.4642397270203795E-2</c:v>
                </c:pt>
                <c:pt idx="267">
                  <c:v>3.4664862551916031E-2</c:v>
                </c:pt>
                <c:pt idx="268">
                  <c:v>3.4687327310828353E-2</c:v>
                </c:pt>
                <c:pt idx="269">
                  <c:v>3.4709791546952862E-2</c:v>
                </c:pt>
                <c:pt idx="270">
                  <c:v>3.473225526030177E-2</c:v>
                </c:pt>
                <c:pt idx="271">
                  <c:v>3.475471845088729E-2</c:v>
                </c:pt>
                <c:pt idx="272">
                  <c:v>3.4777181118721523E-2</c:v>
                </c:pt>
                <c:pt idx="273">
                  <c:v>3.4799643263816682E-2</c:v>
                </c:pt>
                <c:pt idx="274">
                  <c:v>3.4822104886184868E-2</c:v>
                </c:pt>
                <c:pt idx="275">
                  <c:v>3.4844565985838405E-2</c:v>
                </c:pt>
                <c:pt idx="276">
                  <c:v>3.4867026562789172E-2</c:v>
                </c:pt>
                <c:pt idx="277">
                  <c:v>3.4889486617049603E-2</c:v>
                </c:pt>
                <c:pt idx="278">
                  <c:v>3.4911946148631801E-2</c:v>
                </c:pt>
                <c:pt idx="279">
                  <c:v>3.4934405157547754E-2</c:v>
                </c:pt>
                <c:pt idx="280">
                  <c:v>3.4956863643809899E-2</c:v>
                </c:pt>
                <c:pt idx="281">
                  <c:v>3.4979321607430114E-2</c:v>
                </c:pt>
                <c:pt idx="282">
                  <c:v>3.5001779048420834E-2</c:v>
                </c:pt>
                <c:pt idx="283">
                  <c:v>3.5024235966794048E-2</c:v>
                </c:pt>
                <c:pt idx="284">
                  <c:v>3.5046692362561971E-2</c:v>
                </c:pt>
                <c:pt idx="285">
                  <c:v>3.5069148235736702E-2</c:v>
                </c:pt>
                <c:pt idx="286">
                  <c:v>3.5091603586330566E-2</c:v>
                </c:pt>
                <c:pt idx="287">
                  <c:v>3.5114058414355553E-2</c:v>
                </c:pt>
                <c:pt idx="288">
                  <c:v>3.5136512719823876E-2</c:v>
                </c:pt>
                <c:pt idx="289">
                  <c:v>3.5158966502747746E-2</c:v>
                </c:pt>
                <c:pt idx="290">
                  <c:v>3.5181419763139266E-2</c:v>
                </c:pt>
                <c:pt idx="291">
                  <c:v>3.5203872501010536E-2</c:v>
                </c:pt>
                <c:pt idx="292">
                  <c:v>3.522632471637388E-2</c:v>
                </c:pt>
                <c:pt idx="293">
                  <c:v>3.52487764092414E-2</c:v>
                </c:pt>
                <c:pt idx="294">
                  <c:v>3.5271227579625197E-2</c:v>
                </c:pt>
                <c:pt idx="295">
                  <c:v>3.5293678227537373E-2</c:v>
                </c:pt>
                <c:pt idx="296">
                  <c:v>3.531612835299025E-2</c:v>
                </c:pt>
                <c:pt idx="297">
                  <c:v>3.5338577955995931E-2</c:v>
                </c:pt>
                <c:pt idx="298">
                  <c:v>3.5361027036566517E-2</c:v>
                </c:pt>
                <c:pt idx="299">
                  <c:v>3.538347559471422E-2</c:v>
                </c:pt>
                <c:pt idx="300">
                  <c:v>3.5405923630451142E-2</c:v>
                </c:pt>
                <c:pt idx="301">
                  <c:v>3.5428371143789605E-2</c:v>
                </c:pt>
                <c:pt idx="302">
                  <c:v>3.5450818134741491E-2</c:v>
                </c:pt>
                <c:pt idx="303">
                  <c:v>3.5473264603319121E-2</c:v>
                </c:pt>
                <c:pt idx="304">
                  <c:v>3.5495710549534709E-2</c:v>
                </c:pt>
                <c:pt idx="305">
                  <c:v>3.5518155973400356E-2</c:v>
                </c:pt>
                <c:pt idx="306">
                  <c:v>3.5540600874928052E-2</c:v>
                </c:pt>
                <c:pt idx="307">
                  <c:v>3.5563045254130232E-2</c:v>
                </c:pt>
                <c:pt idx="308">
                  <c:v>3.5585489111018886E-2</c:v>
                </c:pt>
                <c:pt idx="309">
                  <c:v>3.5607932445606227E-2</c:v>
                </c:pt>
                <c:pt idx="310">
                  <c:v>3.5630375257904356E-2</c:v>
                </c:pt>
                <c:pt idx="311">
                  <c:v>3.5652817547925375E-2</c:v>
                </c:pt>
                <c:pt idx="312">
                  <c:v>3.5675259315681607E-2</c:v>
                </c:pt>
                <c:pt idx="313">
                  <c:v>3.5697700561185153E-2</c:v>
                </c:pt>
                <c:pt idx="314">
                  <c:v>3.5720141284448115E-2</c:v>
                </c:pt>
                <c:pt idx="315">
                  <c:v>3.5742581485482594E-2</c:v>
                </c:pt>
                <c:pt idx="316">
                  <c:v>3.5765021164300803E-2</c:v>
                </c:pt>
                <c:pt idx="317">
                  <c:v>3.5787460320914954E-2</c:v>
                </c:pt>
                <c:pt idx="318">
                  <c:v>3.5809898955337149E-2</c:v>
                </c:pt>
                <c:pt idx="319">
                  <c:v>3.58323370675796E-2</c:v>
                </c:pt>
                <c:pt idx="320">
                  <c:v>3.5854774657654298E-2</c:v>
                </c:pt>
                <c:pt idx="321">
                  <c:v>3.5877211725573566E-2</c:v>
                </c:pt>
                <c:pt idx="322">
                  <c:v>3.5899648271349394E-2</c:v>
                </c:pt>
                <c:pt idx="323">
                  <c:v>3.5922084294994105E-2</c:v>
                </c:pt>
                <c:pt idx="324">
                  <c:v>3.5944519796519803E-2</c:v>
                </c:pt>
                <c:pt idx="325">
                  <c:v>3.5966954775938476E-2</c:v>
                </c:pt>
                <c:pt idx="326">
                  <c:v>3.5989389233262559E-2</c:v>
                </c:pt>
                <c:pt idx="327">
                  <c:v>3.6011823168503931E-2</c:v>
                </c:pt>
                <c:pt idx="328">
                  <c:v>3.6034256581674917E-2</c:v>
                </c:pt>
                <c:pt idx="329">
                  <c:v>3.6056689472787506E-2</c:v>
                </c:pt>
                <c:pt idx="330">
                  <c:v>3.6079121841854023E-2</c:v>
                </c:pt>
                <c:pt idx="331">
                  <c:v>3.6101553688886567E-2</c:v>
                </c:pt>
                <c:pt idx="332">
                  <c:v>3.6123985013897242E-2</c:v>
                </c:pt>
                <c:pt idx="333">
                  <c:v>3.6146415816898148E-2</c:v>
                </c:pt>
                <c:pt idx="334">
                  <c:v>3.6168846097901608E-2</c:v>
                </c:pt>
                <c:pt idx="335">
                  <c:v>3.6191275856919614E-2</c:v>
                </c:pt>
                <c:pt idx="336">
                  <c:v>3.6213705093964266E-2</c:v>
                </c:pt>
                <c:pt idx="337">
                  <c:v>3.6236133809047888E-2</c:v>
                </c:pt>
                <c:pt idx="338">
                  <c:v>3.6258562002182582E-2</c:v>
                </c:pt>
                <c:pt idx="339">
                  <c:v>3.6280989673380448E-2</c:v>
                </c:pt>
                <c:pt idx="340">
                  <c:v>3.6303416822653589E-2</c:v>
                </c:pt>
                <c:pt idx="341">
                  <c:v>3.6325843450014217E-2</c:v>
                </c:pt>
                <c:pt idx="342">
                  <c:v>3.6348269555474433E-2</c:v>
                </c:pt>
                <c:pt idx="343">
                  <c:v>3.6370695139046449E-2</c:v>
                </c:pt>
                <c:pt idx="344">
                  <c:v>3.6393120200742368E-2</c:v>
                </c:pt>
                <c:pt idx="345">
                  <c:v>3.6415544740574401E-2</c:v>
                </c:pt>
                <c:pt idx="346">
                  <c:v>3.643796875855454E-2</c:v>
                </c:pt>
                <c:pt idx="347">
                  <c:v>3.6460392254695106E-2</c:v>
                </c:pt>
                <c:pt idx="348">
                  <c:v>3.6482815229008092E-2</c:v>
                </c:pt>
                <c:pt idx="349">
                  <c:v>3.6505237681505709E-2</c:v>
                </c:pt>
                <c:pt idx="350">
                  <c:v>3.652765961220017E-2</c:v>
                </c:pt>
                <c:pt idx="351">
                  <c:v>3.6550081021103464E-2</c:v>
                </c:pt>
                <c:pt idx="352">
                  <c:v>3.6572501908227806E-2</c:v>
                </c:pt>
                <c:pt idx="353">
                  <c:v>3.6594922273585406E-2</c:v>
                </c:pt>
                <c:pt idx="354">
                  <c:v>3.6617342117188367E-2</c:v>
                </c:pt>
                <c:pt idx="355">
                  <c:v>3.663976143904879E-2</c:v>
                </c:pt>
                <c:pt idx="356">
                  <c:v>3.6662180239178777E-2</c:v>
                </c:pt>
                <c:pt idx="357">
                  <c:v>3.668459851759065E-2</c:v>
                </c:pt>
                <c:pt idx="358">
                  <c:v>3.6707016274296289E-2</c:v>
                </c:pt>
                <c:pt idx="359">
                  <c:v>3.6729433509308129E-2</c:v>
                </c:pt>
                <c:pt idx="360">
                  <c:v>3.6751850222638049E-2</c:v>
                </c:pt>
                <c:pt idx="361">
                  <c:v>3.6774266414298373E-2</c:v>
                </c:pt>
                <c:pt idx="362">
                  <c:v>3.6796682084301091E-2</c:v>
                </c:pt>
                <c:pt idx="363">
                  <c:v>3.6819097232658526E-2</c:v>
                </c:pt>
                <c:pt idx="364">
                  <c:v>3.684151185938267E-2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9.817229313659355E-2</c:v>
                </c:pt>
                <c:pt idx="1">
                  <c:v>9.836367963078349E-2</c:v>
                </c:pt>
                <c:pt idx="2">
                  <c:v>9.8554815840190935E-2</c:v>
                </c:pt>
                <c:pt idx="3">
                  <c:v>9.8745672832677309E-2</c:v>
                </c:pt>
                <c:pt idx="4">
                  <c:v>9.893622558653406E-2</c:v>
                </c:pt>
                <c:pt idx="5">
                  <c:v>9.9126452897666015E-2</c:v>
                </c:pt>
                <c:pt idx="6">
                  <c:v>9.9316337254248932E-2</c:v>
                </c:pt>
                <c:pt idx="7">
                  <c:v>9.9505864681122921E-2</c:v>
                </c:pt>
                <c:pt idx="8">
                  <c:v>9.9695024556427342E-2</c:v>
                </c:pt>
                <c:pt idx="9">
                  <c:v>9.9883809403198673E-2</c:v>
                </c:pt>
                <c:pt idx="10">
                  <c:v>0.10007221465883857</c:v>
                </c:pt>
                <c:pt idx="11">
                  <c:v>0.10026023842551397</c:v>
                </c:pt>
                <c:pt idx="12">
                  <c:v>0.10044788120467414</c:v>
                </c:pt>
                <c:pt idx="13">
                  <c:v>0.10063514561895787</c:v>
                </c:pt>
                <c:pt idx="14">
                  <c:v>0.1008220361248212</c:v>
                </c:pt>
                <c:pt idx="15">
                  <c:v>0.10100855871923679</c:v>
                </c:pt>
                <c:pt idx="16">
                  <c:v>0.10119472064380533</c:v>
                </c:pt>
                <c:pt idx="17">
                  <c:v>0.10138053008957479</c:v>
                </c:pt>
                <c:pt idx="18">
                  <c:v>0.1015659959057874</c:v>
                </c:pt>
                <c:pt idx="19">
                  <c:v>0.10175112731566568</c:v>
                </c:pt>
                <c:pt idx="20">
                  <c:v>0.10193593364221418</c:v>
                </c:pt>
                <c:pt idx="21">
                  <c:v>0.10212042404684753</c:v>
                </c:pt>
                <c:pt idx="22">
                  <c:v>0.10230460728346726</c:v>
                </c:pt>
                <c:pt idx="23">
                  <c:v>0.10248849147039575</c:v>
                </c:pt>
                <c:pt idx="24">
                  <c:v>0.10267208388234329</c:v>
                </c:pt>
                <c:pt idx="25">
                  <c:v>0.10285539076433141</c:v>
                </c:pt>
                <c:pt idx="26">
                  <c:v>0.10303841716922987</c:v>
                </c:pt>
                <c:pt idx="27">
                  <c:v>0.10322116682028473</c:v>
                </c:pt>
                <c:pt idx="28">
                  <c:v>0.10340364199972731</c:v>
                </c:pt>
                <c:pt idx="29">
                  <c:v>0.10358584346425934</c:v>
                </c:pt>
                <c:pt idx="30">
                  <c:v>0.10376777038791185</c:v>
                </c:pt>
                <c:pt idx="31">
                  <c:v>0.10394942033247927</c:v>
                </c:pt>
                <c:pt idx="32">
                  <c:v>0.10413078924543465</c:v>
                </c:pt>
                <c:pt idx="33">
                  <c:v>0.10431187148494656</c:v>
                </c:pt>
                <c:pt idx="34">
                  <c:v>0.10449265987133742</c:v>
                </c:pt>
                <c:pt idx="35">
                  <c:v>0.10467314576405795</c:v>
                </c:pt>
                <c:pt idx="36">
                  <c:v>0.10485331916300014</c:v>
                </c:pt>
                <c:pt idx="37">
                  <c:v>0.10503316883273524</c:v>
                </c:pt>
                <c:pt idx="38">
                  <c:v>0.10521268244804877</c:v>
                </c:pt>
                <c:pt idx="39">
                  <c:v>0.10539184675894732</c:v>
                </c:pt>
                <c:pt idx="40">
                  <c:v>0.10557064777314246</c:v>
                </c:pt>
                <c:pt idx="41">
                  <c:v>0.10574907095386654</c:v>
                </c:pt>
                <c:pt idx="42">
                  <c:v>0.10592710143075489</c:v>
                </c:pt>
                <c:pt idx="43">
                  <c:v>0.10610472422142964</c:v>
                </c:pt>
                <c:pt idx="44">
                  <c:v>0.10628192446135469</c:v>
                </c:pt>
                <c:pt idx="45">
                  <c:v>0.10645868763948439</c:v>
                </c:pt>
                <c:pt idx="46">
                  <c:v>0.1066349998372165</c:v>
                </c:pt>
                <c:pt idx="47">
                  <c:v>0.10681084796816871</c:v>
                </c:pt>
                <c:pt idx="48">
                  <c:v>0.10698622001633656</c:v>
                </c:pt>
                <c:pt idx="49">
                  <c:v>0.10716110527025169</c:v>
                </c:pt>
                <c:pt idx="50">
                  <c:v>0.10733549455084625</c:v>
                </c:pt>
                <c:pt idx="51">
                  <c:v>0.10750938043083795</c:v>
                </c:pt>
                <c:pt idx="52">
                  <c:v>0.10768275744357904</c:v>
                </c:pt>
                <c:pt idx="53">
                  <c:v>0.10785562227946199</c:v>
                </c:pt>
                <c:pt idx="54">
                  <c:v>0.10802797396814025</c:v>
                </c:pt>
                <c:pt idx="55">
                  <c:v>0.10819981404500155</c:v>
                </c:pt>
                <c:pt idx="56">
                  <c:v>0.10837114670052542</c:v>
                </c:pt>
                <c:pt idx="57">
                  <c:v>0.10854197891135907</c:v>
                </c:pt>
                <c:pt idx="58">
                  <c:v>0.10871232055215438</c:v>
                </c:pt>
                <c:pt idx="59">
                  <c:v>0.10888218448742697</c:v>
                </c:pt>
                <c:pt idx="60">
                  <c:v>0.10905158664291219</c:v>
                </c:pt>
                <c:pt idx="61">
                  <c:v>0.10922054605611274</c:v>
                </c:pt>
                <c:pt idx="62">
                  <c:v>0.10938908490594589</c:v>
                </c:pt>
                <c:pt idx="63">
                  <c:v>0.109557228521607</c:v>
                </c:pt>
                <c:pt idx="64">
                  <c:v>0.10972500537096905</c:v>
                </c:pt>
                <c:pt idx="65">
                  <c:v>0.10989244702902763</c:v>
                </c:pt>
                <c:pt idx="66">
                  <c:v>0.11005958812708283</c:v>
                </c:pt>
                <c:pt idx="67">
                  <c:v>0.11022646628351392</c:v>
                </c:pt>
                <c:pt idx="68">
                  <c:v>0.11039312201715458</c:v>
                </c:pt>
                <c:pt idx="69">
                  <c:v>0.11055959864440916</c:v>
                </c:pt>
                <c:pt idx="70">
                  <c:v>0.11072594216136644</c:v>
                </c:pt>
                <c:pt idx="71">
                  <c:v>0.110892201112264</c:v>
                </c:pt>
                <c:pt idx="72">
                  <c:v>0.1110584264457319</c:v>
                </c:pt>
                <c:pt idx="73">
                  <c:v>0.11122467136030018</c:v>
                </c:pt>
                <c:pt idx="74">
                  <c:v>0.1113909911406912</c:v>
                </c:pt>
                <c:pt idx="75">
                  <c:v>0.11155744298643</c:v>
                </c:pt>
                <c:pt idx="76">
                  <c:v>0.11172408583430232</c:v>
                </c:pt>
                <c:pt idx="77">
                  <c:v>0.11189098017616217</c:v>
                </c:pt>
                <c:pt idx="78">
                  <c:v>0.11205818787354746</c:v>
                </c:pt>
                <c:pt idx="79">
                  <c:v>0.11222577197049868</c:v>
                </c:pt>
                <c:pt idx="80">
                  <c:v>0.112393796505896</c:v>
                </c:pt>
                <c:pt idx="81">
                  <c:v>0.11256232632653583</c:v>
                </c:pt>
                <c:pt idx="82">
                  <c:v>0.11273142690205865</c:v>
                </c:pt>
                <c:pt idx="83">
                  <c:v>0.11290116414272028</c:v>
                </c:pt>
                <c:pt idx="84">
                  <c:v>0.11307160422086765</c:v>
                </c:pt>
                <c:pt idx="85">
                  <c:v>0.11324281339684285</c:v>
                </c:pt>
                <c:pt idx="86">
                  <c:v>0.1134148578498945</c:v>
                </c:pt>
                <c:pt idx="87">
                  <c:v>0.11358780351452936</c:v>
                </c:pt>
                <c:pt idx="88">
                  <c:v>0.11376171592258698</c:v>
                </c:pt>
                <c:pt idx="89">
                  <c:v>0.11393666005117402</c:v>
                </c:pt>
                <c:pt idx="90">
                  <c:v>0.11411270017645019</c:v>
                </c:pt>
                <c:pt idx="91">
                  <c:v>0.11428989973311771</c:v>
                </c:pt>
                <c:pt idx="92">
                  <c:v>0.11446832117933722</c:v>
                </c:pt>
                <c:pt idx="93">
                  <c:v>0.11464802586666809</c:v>
                </c:pt>
                <c:pt idx="94">
                  <c:v>0.11482907391452318</c:v>
                </c:pt>
                <c:pt idx="95">
                  <c:v>0.1150115240885287</c:v>
                </c:pt>
                <c:pt idx="96">
                  <c:v>0.11519543368209779</c:v>
                </c:pt>
                <c:pt idx="97">
                  <c:v>0.11538085840045885</c:v>
                </c:pt>
                <c:pt idx="98">
                  <c:v>0.11556785224632976</c:v>
                </c:pt>
                <c:pt idx="99">
                  <c:v>0.11575646740639636</c:v>
                </c:pt>
                <c:pt idx="100">
                  <c:v>0.11594675413774086</c:v>
                </c:pt>
                <c:pt idx="101">
                  <c:v>0.11613876065336916</c:v>
                </c:pt>
                <c:pt idx="102">
                  <c:v>0.1163325330060119</c:v>
                </c:pt>
                <c:pt idx="103">
                  <c:v>0.11652811496941681</c:v>
                </c:pt>
                <c:pt idx="104">
                  <c:v>0.11672554791640943</c:v>
                </c:pt>
                <c:pt idx="105">
                  <c:v>0.11692487069308211</c:v>
                </c:pt>
                <c:pt idx="106">
                  <c:v>0.1171261194885638</c:v>
                </c:pt>
                <c:pt idx="107">
                  <c:v>0.11732932769993845</c:v>
                </c:pt>
                <c:pt idx="108">
                  <c:v>0.1175345257920036</c:v>
                </c:pt>
                <c:pt idx="109">
                  <c:v>0.11774174115170244</c:v>
                </c:pt>
                <c:pt idx="110">
                  <c:v>0.11795099793721149</c:v>
                </c:pt>
                <c:pt idx="111">
                  <c:v>0.11816231692182638</c:v>
                </c:pt>
                <c:pt idx="112">
                  <c:v>0.11837571533295503</c:v>
                </c:pt>
                <c:pt idx="113">
                  <c:v>0.11859120668669798</c:v>
                </c:pt>
                <c:pt idx="114">
                  <c:v>0.11880880061867111</c:v>
                </c:pt>
                <c:pt idx="115">
                  <c:v>0.11902850271189794</c:v>
                </c:pt>
                <c:pt idx="116">
                  <c:v>0.11925031432277239</c:v>
                </c:pt>
                <c:pt idx="117">
                  <c:v>0.1194742324062579</c:v>
                </c:pt>
                <c:pt idx="118">
                  <c:v>0.11970024934164902</c:v>
                </c:pt>
                <c:pt idx="119">
                  <c:v>0.11992835276037135</c:v>
                </c:pt>
                <c:pt idx="120">
                  <c:v>0.12015852537743277</c:v>
                </c:pt>
                <c:pt idx="121">
                  <c:v>0.12039074482826322</c:v>
                </c:pt>
                <c:pt idx="122">
                  <c:v>0.12062498351278619</c:v>
                </c:pt>
                <c:pt idx="123">
                  <c:v>0.12086120844865503</c:v>
                </c:pt>
                <c:pt idx="124">
                  <c:v>0.12109938113565477</c:v>
                </c:pt>
                <c:pt idx="125">
                  <c:v>0.12133945743331849</c:v>
                </c:pt>
                <c:pt idx="126">
                  <c:v>0.12158138745383054</c:v>
                </c:pt>
                <c:pt idx="127">
                  <c:v>0.12182511547228944</c:v>
                </c:pt>
                <c:pt idx="128">
                  <c:v>0.12207057985637977</c:v>
                </c:pt>
                <c:pt idx="129">
                  <c:v>0.12231771301745145</c:v>
                </c:pt>
                <c:pt idx="130">
                  <c:v>0.12256644138493034</c:v>
                </c:pt>
                <c:pt idx="131">
                  <c:v>0.12281668540588375</c:v>
                </c:pt>
                <c:pt idx="132">
                  <c:v>0.12306835957143859</c:v>
                </c:pt>
                <c:pt idx="133">
                  <c:v>0.12332137247159915</c:v>
                </c:pt>
                <c:pt idx="134">
                  <c:v>0.12357562687984017</c:v>
                </c:pt>
                <c:pt idx="135">
                  <c:v>0.12383101986865291</c:v>
                </c:pt>
                <c:pt idx="136">
                  <c:v>0.12408744295700677</c:v>
                </c:pt>
                <c:pt idx="137">
                  <c:v>0.12434478229045452</c:v>
                </c:pt>
                <c:pt idx="138">
                  <c:v>0.12460291885435609</c:v>
                </c:pt>
                <c:pt idx="139">
                  <c:v>0.12486172872042971</c:v>
                </c:pt>
                <c:pt idx="140">
                  <c:v>0.12512108332656122</c:v>
                </c:pt>
                <c:pt idx="141">
                  <c:v>0.12538084978951372</c:v>
                </c:pt>
                <c:pt idx="142">
                  <c:v>0.12564089124988501</c:v>
                </c:pt>
                <c:pt idx="143">
                  <c:v>0.12590106724836292</c:v>
                </c:pt>
                <c:pt idx="144">
                  <c:v>0.12616123413202815</c:v>
                </c:pt>
                <c:pt idx="145">
                  <c:v>0.12642124548915976</c:v>
                </c:pt>
                <c:pt idx="146">
                  <c:v>0.12668095261070536</c:v>
                </c:pt>
                <c:pt idx="147">
                  <c:v>0.12694020497629846</c:v>
                </c:pt>
                <c:pt idx="148">
                  <c:v>0.12719885076243176</c:v>
                </c:pt>
                <c:pt idx="149">
                  <c:v>0.1274567373701436</c:v>
                </c:pt>
                <c:pt idx="150">
                  <c:v>0.12771371196933334</c:v>
                </c:pt>
                <c:pt idx="151">
                  <c:v>0.1279696220566065</c:v>
                </c:pt>
                <c:pt idx="152">
                  <c:v>0.12822431602335485</c:v>
                </c:pt>
                <c:pt idx="153">
                  <c:v>0.12847764373060894</c:v>
                </c:pt>
                <c:pt idx="154">
                  <c:v>0.1287294570870583</c:v>
                </c:pt>
                <c:pt idx="155">
                  <c:v>0.12897961062652402</c:v>
                </c:pt>
                <c:pt idx="156">
                  <c:v>0.12922796208108722</c:v>
                </c:pt>
                <c:pt idx="157">
                  <c:v>0.12947437294602962</c:v>
                </c:pt>
                <c:pt idx="158">
                  <c:v>0.12971870903272678</c:v>
                </c:pt>
                <c:pt idx="159">
                  <c:v>0.12996084100565758</c:v>
                </c:pt>
                <c:pt idx="160">
                  <c:v>0.13020064489974259</c:v>
                </c:pt>
                <c:pt idx="161">
                  <c:v>0.13043800261431954</c:v>
                </c:pt>
                <c:pt idx="162">
                  <c:v>0.13067280238018042</c:v>
                </c:pt>
                <c:pt idx="163">
                  <c:v>0.13090493919625742</c:v>
                </c:pt>
                <c:pt idx="164">
                  <c:v>0.13113431523272903</c:v>
                </c:pt>
                <c:pt idx="165">
                  <c:v>0.13136084019754093</c:v>
                </c:pt>
                <c:pt idx="166">
                  <c:v>0.13158443166358338</c:v>
                </c:pt>
                <c:pt idx="167">
                  <c:v>0.13180501535404501</c:v>
                </c:pt>
                <c:pt idx="168">
                  <c:v>0.13202252538376191</c:v>
                </c:pt>
                <c:pt idx="169">
                  <c:v>0.13223690445470709</c:v>
                </c:pt>
                <c:pt idx="170">
                  <c:v>0.132448104004106</c:v>
                </c:pt>
                <c:pt idx="171">
                  <c:v>0.1326560843040237</c:v>
                </c:pt>
                <c:pt idx="172">
                  <c:v>0.13286081451164222</c:v>
                </c:pt>
                <c:pt idx="173">
                  <c:v>0.13306227266982648</c:v>
                </c:pt>
                <c:pt idx="174">
                  <c:v>0.13326044565796627</c:v>
                </c:pt>
                <c:pt idx="175">
                  <c:v>0.13345532909347085</c:v>
                </c:pt>
                <c:pt idx="176">
                  <c:v>0.13364692718468182</c:v>
                </c:pt>
                <c:pt idx="177">
                  <c:v>0.13383525253635226</c:v>
                </c:pt>
                <c:pt idx="178">
                  <c:v>0.13402032590921675</c:v>
                </c:pt>
                <c:pt idx="179">
                  <c:v>0.13420217593553613</c:v>
                </c:pt>
                <c:pt idx="180">
                  <c:v>0.13438083879285023</c:v>
                </c:pt>
                <c:pt idx="181">
                  <c:v>0.13455635783849648</c:v>
                </c:pt>
                <c:pt idx="182">
                  <c:v>0.13472878320775744</c:v>
                </c:pt>
                <c:pt idx="183">
                  <c:v>0.13489817137877971</c:v>
                </c:pt>
                <c:pt idx="184">
                  <c:v>0.13506458470765625</c:v>
                </c:pt>
                <c:pt idx="185">
                  <c:v>0.13522809093728494</c:v>
                </c:pt>
                <c:pt idx="186">
                  <c:v>0.13538876268380248</c:v>
                </c:pt>
                <c:pt idx="187">
                  <c:v>0.13554667690454536</c:v>
                </c:pt>
                <c:pt idx="188">
                  <c:v>0.13570191435160492</c:v>
                </c:pt>
                <c:pt idx="189">
                  <c:v>0.13585455901512297</c:v>
                </c:pt>
                <c:pt idx="190">
                  <c:v>0.136004697560514</c:v>
                </c:pt>
                <c:pt idx="191">
                  <c:v>0.1361524187638006</c:v>
                </c:pt>
                <c:pt idx="192">
                  <c:v>0.13629781294921509</c:v>
                </c:pt>
                <c:pt idx="193">
                  <c:v>0.1364409714331411</c:v>
                </c:pt>
                <c:pt idx="194">
                  <c:v>0.13658198597836035</c:v>
                </c:pt>
                <c:pt idx="195">
                  <c:v>0.13672094826241776</c:v>
                </c:pt>
                <c:pt idx="196">
                  <c:v>0.13685794936373771</c:v>
                </c:pt>
                <c:pt idx="197">
                  <c:v>0.13699307926890622</c:v>
                </c:pt>
                <c:pt idx="198">
                  <c:v>0.13712642640428799</c:v>
                </c:pt>
                <c:pt idx="199">
                  <c:v>0.13725807719487373</c:v>
                </c:pt>
                <c:pt idx="200">
                  <c:v>0.13738811565295161</c:v>
                </c:pt>
                <c:pt idx="201">
                  <c:v>0.13751662299887707</c:v>
                </c:pt>
                <c:pt idx="202">
                  <c:v>0.13764367731587471</c:v>
                </c:pt>
                <c:pt idx="203">
                  <c:v>0.13776935324044978</c:v>
                </c:pt>
                <c:pt idx="204">
                  <c:v>0.13789372168962222</c:v>
                </c:pt>
                <c:pt idx="205">
                  <c:v>0.1380168496258202</c:v>
                </c:pt>
                <c:pt idx="206">
                  <c:v>0.13813879985989352</c:v>
                </c:pt>
                <c:pt idx="207">
                  <c:v>0.13825963089232998</c:v>
                </c:pt>
                <c:pt idx="208">
                  <c:v>0.13837939679238381</c:v>
                </c:pt>
                <c:pt idx="209">
                  <c:v>0.13849814711446129</c:v>
                </c:pt>
                <c:pt idx="210">
                  <c:v>0.1386159268507545</c:v>
                </c:pt>
                <c:pt idx="211">
                  <c:v>0.13873277641877807</c:v>
                </c:pt>
                <c:pt idx="212">
                  <c:v>0.13884873168214393</c:v>
                </c:pt>
                <c:pt idx="213">
                  <c:v>0.13896382400261456</c:v>
                </c:pt>
                <c:pt idx="214">
                  <c:v>0.13907808032120467</c:v>
                </c:pt>
                <c:pt idx="215">
                  <c:v>0.13919152326585779</c:v>
                </c:pt>
                <c:pt idx="216">
                  <c:v>0.13930417128301575</c:v>
                </c:pt>
                <c:pt idx="217">
                  <c:v>0.13941603879021822</c:v>
                </c:pt>
                <c:pt idx="218">
                  <c:v>0.13952713634672742</c:v>
                </c:pt>
                <c:pt idx="219">
                  <c:v>0.1396374708390663</c:v>
                </c:pt>
                <c:pt idx="220">
                  <c:v>0.13974704567828691</c:v>
                </c:pt>
                <c:pt idx="221">
                  <c:v>0.13985586100575526</c:v>
                </c:pt>
                <c:pt idx="222">
                  <c:v>0.13996391390424431</c:v>
                </c:pt>
                <c:pt idx="223">
                  <c:v>0.14007119861117048</c:v>
                </c:pt>
                <c:pt idx="224">
                  <c:v>0.14017770673089092</c:v>
                </c:pt>
                <c:pt idx="225">
                  <c:v>0.14028342744309569</c:v>
                </c:pt>
                <c:pt idx="226">
                  <c:v>0.1403883477044818</c:v>
                </c:pt>
                <c:pt idx="227">
                  <c:v>0.14049245244108138</c:v>
                </c:pt>
                <c:pt idx="228">
                  <c:v>0.14059572472883211</c:v>
                </c:pt>
                <c:pt idx="229">
                  <c:v>0.14069814596022312</c:v>
                </c:pt>
                <c:pt idx="230">
                  <c:v>0.14079969599511963</c:v>
                </c:pt>
                <c:pt idx="231">
                  <c:v>0.14090035329416112</c:v>
                </c:pt>
                <c:pt idx="232">
                  <c:v>0.1410000950334408</c:v>
                </c:pt>
                <c:pt idx="233">
                  <c:v>0.14109889719949842</c:v>
                </c:pt>
                <c:pt idx="234">
                  <c:v>0.14119673466399901</c:v>
                </c:pt>
                <c:pt idx="235">
                  <c:v>0.14129358123781477</c:v>
                </c:pt>
                <c:pt idx="236">
                  <c:v>0.14138940970457545</c:v>
                </c:pt>
                <c:pt idx="237">
                  <c:v>0.14148419183410396</c:v>
                </c:pt>
                <c:pt idx="238">
                  <c:v>0.1415778983764949</c:v>
                </c:pt>
                <c:pt idx="239">
                  <c:v>0.14167049903793069</c:v>
                </c:pt>
                <c:pt idx="240">
                  <c:v>0.14176196243965244</c:v>
                </c:pt>
                <c:pt idx="241">
                  <c:v>0.14185225606180638</c:v>
                </c:pt>
                <c:pt idx="242">
                  <c:v>0.1419413461741747</c:v>
                </c:pt>
                <c:pt idx="243">
                  <c:v>0.14202919775605841</c:v>
                </c:pt>
                <c:pt idx="244">
                  <c:v>0.14211577440781564</c:v>
                </c:pt>
                <c:pt idx="245">
                  <c:v>0.14220103825676156</c:v>
                </c:pt>
                <c:pt idx="246">
                  <c:v>0.14228494986030774</c:v>
                </c:pt>
                <c:pt idx="247">
                  <c:v>0.1423674681093538</c:v>
                </c:pt>
                <c:pt idx="248">
                  <c:v>0.14244855013504337</c:v>
                </c:pt>
                <c:pt idx="249">
                  <c:v>0.14252815122205592</c:v>
                </c:pt>
                <c:pt idx="250">
                  <c:v>0.14260622473162529</c:v>
                </c:pt>
                <c:pt idx="251">
                  <c:v>0.14268272203745588</c:v>
                </c:pt>
                <c:pt idx="252">
                  <c:v>0.14275759247764508</c:v>
                </c:pt>
                <c:pt idx="253">
                  <c:v>0.14283078332561824</c:v>
                </c:pt>
                <c:pt idx="254">
                  <c:v>0.14290223978294112</c:v>
                </c:pt>
                <c:pt idx="255">
                  <c:v>0.14297190499669063</c:v>
                </c:pt>
                <c:pt idx="256">
                  <c:v>0.14303972010384916</c:v>
                </c:pt>
                <c:pt idx="257">
                  <c:v>0.14310562430493071</c:v>
                </c:pt>
                <c:pt idx="258">
                  <c:v>0.1431695549687603</c:v>
                </c:pt>
                <c:pt idx="259">
                  <c:v>0.14323144777001051</c:v>
                </c:pt>
                <c:pt idx="260">
                  <c:v>0.14329123686075243</c:v>
                </c:pt>
                <c:pt idx="261">
                  <c:v>0.14334885507691031</c:v>
                </c:pt>
                <c:pt idx="262">
                  <c:v>0.14340423418011816</c:v>
                </c:pt>
                <c:pt idx="263">
                  <c:v>0.14345730513507238</c:v>
                </c:pt>
                <c:pt idx="264">
                  <c:v>0.14350799842205511</c:v>
                </c:pt>
                <c:pt idx="265">
                  <c:v>0.14355624438387959</c:v>
                </c:pt>
                <c:pt idx="266">
                  <c:v>0.1436019736060784</c:v>
                </c:pt>
                <c:pt idx="267">
                  <c:v>0.14364511732872978</c:v>
                </c:pt>
                <c:pt idx="268">
                  <c:v>0.14368560788789633</c:v>
                </c:pt>
                <c:pt idx="269">
                  <c:v>0.14372337918423986</c:v>
                </c:pt>
                <c:pt idx="270">
                  <c:v>0.14375836717598164</c:v>
                </c:pt>
                <c:pt idx="271">
                  <c:v>0.14379051039300286</c:v>
                </c:pt>
                <c:pt idx="272">
                  <c:v>0.14381975046852855</c:v>
                </c:pt>
                <c:pt idx="273">
                  <c:v>0.14384603268451582</c:v>
                </c:pt>
                <c:pt idx="274">
                  <c:v>0.14386930652657728</c:v>
                </c:pt>
                <c:pt idx="275">
                  <c:v>0.14388952624401424</c:v>
                </c:pt>
                <c:pt idx="276">
                  <c:v>0.1439066514103195</c:v>
                </c:pt>
                <c:pt idx="277">
                  <c:v>0.14392064747933386</c:v>
                </c:pt>
                <c:pt idx="278">
                  <c:v>0.14393148633211131</c:v>
                </c:pt>
                <c:pt idx="279">
                  <c:v>0.14393914680946268</c:v>
                </c:pt>
                <c:pt idx="280">
                  <c:v>0.14394361522511315</c:v>
                </c:pt>
                <c:pt idx="281">
                  <c:v>0.14394488585441903</c:v>
                </c:pt>
                <c:pt idx="282">
                  <c:v>0.14394296139365478</c:v>
                </c:pt>
                <c:pt idx="283">
                  <c:v>0.14393785338499157</c:v>
                </c:pt>
                <c:pt idx="284">
                  <c:v>0.14392958260245009</c:v>
                </c:pt>
                <c:pt idx="285">
                  <c:v>0.14391817939432233</c:v>
                </c:pt>
                <c:pt idx="286">
                  <c:v>0.14390368397781234</c:v>
                </c:pt>
                <c:pt idx="287">
                  <c:v>0.14388614668195082</c:v>
                </c:pt>
                <c:pt idx="288">
                  <c:v>0.14386562813518236</c:v>
                </c:pt>
                <c:pt idx="289">
                  <c:v>0.14384219939441253</c:v>
                </c:pt>
                <c:pt idx="290">
                  <c:v>0.14381594201272363</c:v>
                </c:pt>
                <c:pt idx="291">
                  <c:v>0.14378694804342568</c:v>
                </c:pt>
                <c:pt idx="292">
                  <c:v>2.296904252885569E-2</c:v>
                </c:pt>
                <c:pt idx="293">
                  <c:v>2.3175073726814658E-2</c:v>
                </c:pt>
                <c:pt idx="294">
                  <c:v>2.3380136477781199E-2</c:v>
                </c:pt>
                <c:pt idx="295">
                  <c:v>2.3584244563177509E-2</c:v>
                </c:pt>
                <c:pt idx="296">
                  <c:v>2.378741414819319E-2</c:v>
                </c:pt>
                <c:pt idx="297">
                  <c:v>2.3989663780081681E-2</c:v>
                </c:pt>
                <c:pt idx="298">
                  <c:v>2.4191014371551255E-2</c:v>
                </c:pt>
                <c:pt idx="299">
                  <c:v>2.4391489168958381E-2</c:v>
                </c:pt>
                <c:pt idx="300">
                  <c:v>2.4591113705134622E-2</c:v>
                </c:pt>
                <c:pt idx="301">
                  <c:v>2.478991573680538E-2</c:v>
                </c:pt>
                <c:pt idx="302">
                  <c:v>2.4987925166689219E-2</c:v>
                </c:pt>
                <c:pt idx="303">
                  <c:v>2.5185173950498699E-2</c:v>
                </c:pt>
                <c:pt idx="304">
                  <c:v>2.5381695989196745E-2</c:v>
                </c:pt>
                <c:pt idx="305">
                  <c:v>2.5577527006993415E-2</c:v>
                </c:pt>
                <c:pt idx="306">
                  <c:v>2.5772704415699295E-2</c:v>
                </c:pt>
                <c:pt idx="307">
                  <c:v>2.5967267166176297E-2</c:v>
                </c:pt>
                <c:pt idx="308">
                  <c:v>2.616125558775027E-2</c:v>
                </c:pt>
                <c:pt idx="309">
                  <c:v>2.6354711216563815E-2</c:v>
                </c:pt>
                <c:pt idx="310">
                  <c:v>2.654767661395744E-2</c:v>
                </c:pt>
                <c:pt idx="311">
                  <c:v>2.6740195176067121E-2</c:v>
                </c:pt>
                <c:pt idx="312">
                  <c:v>2.6932310935916783E-2</c:v>
                </c:pt>
                <c:pt idx="313">
                  <c:v>2.7124068359365469E-2</c:v>
                </c:pt>
                <c:pt idx="314">
                  <c:v>2.7315512136337223E-2</c:v>
                </c:pt>
                <c:pt idx="315">
                  <c:v>2.7506686968819621E-2</c:v>
                </c:pt>
                <c:pt idx="316">
                  <c:v>2.7697637357160295E-2</c:v>
                </c:pt>
                <c:pt idx="317">
                  <c:v>2.7888407386222541E-2</c:v>
                </c:pt>
                <c:pt idx="318">
                  <c:v>2.8079040512977382E-2</c:v>
                </c:pt>
                <c:pt idx="319">
                  <c:v>2.8269579357112901E-2</c:v>
                </c:pt>
                <c:pt idx="320">
                  <c:v>2.8460065496230598E-2</c:v>
                </c:pt>
                <c:pt idx="321">
                  <c:v>2.8650539267172224E-2</c:v>
                </c:pt>
                <c:pt idx="322">
                  <c:v>2.8841039574981776E-2</c:v>
                </c:pt>
                <c:pt idx="323">
                  <c:v>2.9031603710952886E-2</c:v>
                </c:pt>
                <c:pt idx="324">
                  <c:v>2.9222267181145359E-2</c:v>
                </c:pt>
                <c:pt idx="325">
                  <c:v>2.9413063546674337E-2</c:v>
                </c:pt>
                <c:pt idx="326">
                  <c:v>2.96040242769832E-2</c:v>
                </c:pt>
                <c:pt idx="327">
                  <c:v>2.9795178617207617E-2</c:v>
                </c:pt>
                <c:pt idx="328">
                  <c:v>2.998655347062389E-2</c:v>
                </c:pt>
                <c:pt idx="329">
                  <c:v>3.0178173297050984E-2</c:v>
                </c:pt>
                <c:pt idx="330">
                  <c:v>3.0370060027943169E-2</c:v>
                </c:pt>
                <c:pt idx="331">
                  <c:v>3.0562232998771217E-2</c:v>
                </c:pt>
                <c:pt idx="332">
                  <c:v>3.0754708899144438E-2</c:v>
                </c:pt>
                <c:pt idx="333">
                  <c:v>3.0947501740977129E-2</c:v>
                </c:pt>
                <c:pt idx="334">
                  <c:v>3.1140622844848757E-2</c:v>
                </c:pt>
                <c:pt idx="335">
                  <c:v>3.1334080844554572E-2</c:v>
                </c:pt>
                <c:pt idx="336">
                  <c:v>3.1527881709687511E-2</c:v>
                </c:pt>
                <c:pt idx="337">
                  <c:v>3.1722028785940097E-2</c:v>
                </c:pt>
                <c:pt idx="338">
                  <c:v>3.1916522852663921E-2</c:v>
                </c:pt>
                <c:pt idx="339">
                  <c:v>3.2111362197079232E-2</c:v>
                </c:pt>
                <c:pt idx="340">
                  <c:v>3.2306542704385766E-2</c:v>
                </c:pt>
                <c:pt idx="341">
                  <c:v>3.2502057962893488E-2</c:v>
                </c:pt>
                <c:pt idx="342">
                  <c:v>3.2697899383166633E-2</c:v>
                </c:pt>
                <c:pt idx="343">
                  <c:v>3.2894056330058791E-2</c:v>
                </c:pt>
                <c:pt idx="344">
                  <c:v>3.3090516266412365E-2</c:v>
                </c:pt>
                <c:pt idx="345">
                  <c:v>3.3287264907102529E-2</c:v>
                </c:pt>
                <c:pt idx="346">
                  <c:v>3.3484286382024733E-2</c:v>
                </c:pt>
                <c:pt idx="347">
                  <c:v>3.3681563406558701E-2</c:v>
                </c:pt>
                <c:pt idx="348">
                  <c:v>3.3879077457987038E-2</c:v>
                </c:pt>
                <c:pt idx="349">
                  <c:v>3.4076808956309337E-2</c:v>
                </c:pt>
                <c:pt idx="350">
                  <c:v>3.4274737447867146E-2</c:v>
                </c:pt>
                <c:pt idx="351">
                  <c:v>3.4472841790187565E-2</c:v>
                </c:pt>
                <c:pt idx="352">
                  <c:v>3.4671100336458004E-2</c:v>
                </c:pt>
                <c:pt idx="353">
                  <c:v>3.4869491118066559E-2</c:v>
                </c:pt>
                <c:pt idx="354">
                  <c:v>3.5067992023677448E-2</c:v>
                </c:pt>
                <c:pt idx="355">
                  <c:v>3.5266580973361945E-2</c:v>
                </c:pt>
                <c:pt idx="356">
                  <c:v>3.5465236086367341E-2</c:v>
                </c:pt>
                <c:pt idx="357">
                  <c:v>3.5663935841185539E-2</c:v>
                </c:pt>
                <c:pt idx="358">
                  <c:v>3.5862659226669535E-2</c:v>
                </c:pt>
                <c:pt idx="359">
                  <c:v>3.6061385883048781E-2</c:v>
                </c:pt>
                <c:pt idx="360">
                  <c:v>3.626009623180327E-2</c:v>
                </c:pt>
                <c:pt idx="361">
                  <c:v>3.6458771593477261E-2</c:v>
                </c:pt>
                <c:pt idx="362">
                  <c:v>3.6657394292640762E-2</c:v>
                </c:pt>
                <c:pt idx="363">
                  <c:v>3.6855947749341096E-2</c:v>
                </c:pt>
                <c:pt idx="364">
                  <c:v>3.7054416556526928E-2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0.0%</c:formatCode>
                <c:ptCount val="366"/>
                <c:pt idx="0">
                  <c:v>7.4219522900674559E-2</c:v>
                </c:pt>
                <c:pt idx="1">
                  <c:v>7.348789039713273E-2</c:v>
                </c:pt>
                <c:pt idx="2">
                  <c:v>7.2719558847174279E-2</c:v>
                </c:pt>
                <c:pt idx="3">
                  <c:v>7.1917190536163397E-2</c:v>
                </c:pt>
                <c:pt idx="4">
                  <c:v>7.1083417997701417E-2</c:v>
                </c:pt>
                <c:pt idx="5">
                  <c:v>7.0220829661532883E-2</c:v>
                </c:pt>
                <c:pt idx="6">
                  <c:v>6.9331957203694575E-2</c:v>
                </c:pt>
                <c:pt idx="7">
                  <c:v>6.8419264400204613E-2</c:v>
                </c:pt>
                <c:pt idx="8">
                  <c:v>6.7477432276089447E-2</c:v>
                </c:pt>
                <c:pt idx="9">
                  <c:v>6.6508149876357447E-2</c:v>
                </c:pt>
                <c:pt idx="10">
                  <c:v>6.5531067570542292E-2</c:v>
                </c:pt>
                <c:pt idx="11">
                  <c:v>6.4550083586481288E-2</c:v>
                </c:pt>
                <c:pt idx="12">
                  <c:v>6.3568808412070563E-2</c:v>
                </c:pt>
                <c:pt idx="13">
                  <c:v>6.2590562843436559E-2</c:v>
                </c:pt>
                <c:pt idx="14">
                  <c:v>6.1618380495417541E-2</c:v>
                </c:pt>
                <c:pt idx="15">
                  <c:v>6.0637471733435609E-2</c:v>
                </c:pt>
                <c:pt idx="16">
                  <c:v>5.9648435257420848E-2</c:v>
                </c:pt>
                <c:pt idx="17">
                  <c:v>5.8654189339822402E-2</c:v>
                </c:pt>
                <c:pt idx="18">
                  <c:v>5.7657397071752228E-2</c:v>
                </c:pt>
                <c:pt idx="19">
                  <c:v>5.6660790492999449E-2</c:v>
                </c:pt>
                <c:pt idx="20">
                  <c:v>5.5666982506228709E-2</c:v>
                </c:pt>
                <c:pt idx="21">
                  <c:v>5.4678092050602659E-2</c:v>
                </c:pt>
                <c:pt idx="22">
                  <c:v>5.3690181211084098E-2</c:v>
                </c:pt>
                <c:pt idx="23">
                  <c:v>5.2670538538614108E-2</c:v>
                </c:pt>
                <c:pt idx="24">
                  <c:v>5.1617459063799241E-2</c:v>
                </c:pt>
                <c:pt idx="25">
                  <c:v>5.0533715900589839E-2</c:v>
                </c:pt>
                <c:pt idx="26">
                  <c:v>4.9421934711476066E-2</c:v>
                </c:pt>
                <c:pt idx="27">
                  <c:v>4.8284592366850745E-2</c:v>
                </c:pt>
                <c:pt idx="28">
                  <c:v>4.7124016824265182E-2</c:v>
                </c:pt>
                <c:pt idx="29">
                  <c:v>4.5917257521439783E-2</c:v>
                </c:pt>
                <c:pt idx="30">
                  <c:v>4.4681918617656344E-2</c:v>
                </c:pt>
                <c:pt idx="31">
                  <c:v>4.3420275856107152E-2</c:v>
                </c:pt>
                <c:pt idx="32">
                  <c:v>4.2134452953793991E-2</c:v>
                </c:pt>
                <c:pt idx="33">
                  <c:v>4.0826424402422165E-2</c:v>
                </c:pt>
                <c:pt idx="34">
                  <c:v>3.9498018861164781E-2</c:v>
                </c:pt>
                <c:pt idx="35">
                  <c:v>3.8150922990018363E-2</c:v>
                </c:pt>
                <c:pt idx="36">
                  <c:v>3.6785909603096772E-2</c:v>
                </c:pt>
                <c:pt idx="37">
                  <c:v>3.5403873235172925E-2</c:v>
                </c:pt>
                <c:pt idx="38">
                  <c:v>3.4029582270409406E-2</c:v>
                </c:pt>
                <c:pt idx="39">
                  <c:v>3.2663163032813421E-2</c:v>
                </c:pt>
                <c:pt idx="40">
                  <c:v>3.1304746849970089E-2</c:v>
                </c:pt>
                <c:pt idx="41">
                  <c:v>2.9954469050749069E-2</c:v>
                </c:pt>
                <c:pt idx="42">
                  <c:v>2.861246803807287E-2</c:v>
                </c:pt>
                <c:pt idx="43">
                  <c:v>2.7289734618936377E-2</c:v>
                </c:pt>
                <c:pt idx="44">
                  <c:v>2.6006807909549415E-2</c:v>
                </c:pt>
                <c:pt idx="45">
                  <c:v>2.4762657726053315E-2</c:v>
                </c:pt>
                <c:pt idx="46">
                  <c:v>2.3556284326300893E-2</c:v>
                </c:pt>
                <c:pt idx="47">
                  <c:v>2.2386716589420295E-2</c:v>
                </c:pt>
                <c:pt idx="48">
                  <c:v>2.1253010339516008E-2</c:v>
                </c:pt>
                <c:pt idx="49">
                  <c:v>2.0154246776623835E-2</c:v>
                </c:pt>
                <c:pt idx="50">
                  <c:v>1.9089138604950991E-2</c:v>
                </c:pt>
                <c:pt idx="51">
                  <c:v>1.8074626010659865E-2</c:v>
                </c:pt>
                <c:pt idx="52">
                  <c:v>1.7109113874891373E-2</c:v>
                </c:pt>
                <c:pt idx="53">
                  <c:v>1.6191359183479692E-2</c:v>
                </c:pt>
                <c:pt idx="54">
                  <c:v>1.5320179205989921E-2</c:v>
                </c:pt>
                <c:pt idx="55">
                  <c:v>1.4494366120055903E-2</c:v>
                </c:pt>
                <c:pt idx="56">
                  <c:v>1.3712695349651019E-2</c:v>
                </c:pt>
                <c:pt idx="57">
                  <c:v>1.2999195118817928E-2</c:v>
                </c:pt>
                <c:pt idx="58">
                  <c:v>1.2342825190707453E-2</c:v>
                </c:pt>
                <c:pt idx="59">
                  <c:v>1.1741862240431543E-2</c:v>
                </c:pt>
                <c:pt idx="60">
                  <c:v>1.1194616030056125E-2</c:v>
                </c:pt>
                <c:pt idx="61">
                  <c:v>1.0699434731480665E-2</c:v>
                </c:pt>
                <c:pt idx="62">
                  <c:v>1.0254709475348211E-2</c:v>
                </c:pt>
                <c:pt idx="63">
                  <c:v>9.8588782051708141E-3</c:v>
                </c:pt>
                <c:pt idx="64">
                  <c:v>9.5098115635366132E-3</c:v>
                </c:pt>
                <c:pt idx="65">
                  <c:v>9.213263795358851E-3</c:v>
                </c:pt>
                <c:pt idx="66">
                  <c:v>8.9527642281532586E-3</c:v>
                </c:pt>
                <c:pt idx="67">
                  <c:v>8.7273652452935051E-3</c:v>
                </c:pt>
                <c:pt idx="68">
                  <c:v>8.5361326048185911E-3</c:v>
                </c:pt>
                <c:pt idx="69">
                  <c:v>8.3781510240395519E-3</c:v>
                </c:pt>
                <c:pt idx="70">
                  <c:v>8.252529101363159E-3</c:v>
                </c:pt>
                <c:pt idx="71">
                  <c:v>8.1539579528238995E-3</c:v>
                </c:pt>
                <c:pt idx="72">
                  <c:v>8.0602781707634508E-3</c:v>
                </c:pt>
                <c:pt idx="73">
                  <c:v>7.9714679151526632E-3</c:v>
                </c:pt>
                <c:pt idx="74">
                  <c:v>7.8875024368193943E-3</c:v>
                </c:pt>
                <c:pt idx="75">
                  <c:v>7.8083550153734355E-3</c:v>
                </c:pt>
                <c:pt idx="76">
                  <c:v>7.7339978341024141E-3</c:v>
                </c:pt>
                <c:pt idx="77">
                  <c:v>7.6644027966262136E-3</c:v>
                </c:pt>
                <c:pt idx="78">
                  <c:v>7.5989461441244186E-3</c:v>
                </c:pt>
                <c:pt idx="79">
                  <c:v>7.5346968049162417E-3</c:v>
                </c:pt>
                <c:pt idx="80">
                  <c:v>7.4651640680731138E-3</c:v>
                </c:pt>
                <c:pt idx="81">
                  <c:v>7.3906454092047312E-3</c:v>
                </c:pt>
                <c:pt idx="82">
                  <c:v>7.3114216887319129E-3</c:v>
                </c:pt>
                <c:pt idx="83">
                  <c:v>7.2277570458595484E-3</c:v>
                </c:pt>
                <c:pt idx="84">
                  <c:v>7.1398988939851112E-3</c:v>
                </c:pt>
                <c:pt idx="85">
                  <c:v>7.0458830835110394E-3</c:v>
                </c:pt>
                <c:pt idx="86">
                  <c:v>6.9498201875753621E-3</c:v>
                </c:pt>
                <c:pt idx="87">
                  <c:v>6.8518604367833781E-3</c:v>
                </c:pt>
                <c:pt idx="88">
                  <c:v>6.752140532271877E-3</c:v>
                </c:pt>
                <c:pt idx="89">
                  <c:v>6.65078404059956E-3</c:v>
                </c:pt>
                <c:pt idx="90">
                  <c:v>6.5479017899641818E-3</c:v>
                </c:pt>
                <c:pt idx="91">
                  <c:v>6.4435922597636808E-3</c:v>
                </c:pt>
                <c:pt idx="92">
                  <c:v>6.3375826037790029E-3</c:v>
                </c:pt>
                <c:pt idx="93">
                  <c:v>6.2266836631059965E-3</c:v>
                </c:pt>
                <c:pt idx="94">
                  <c:v>6.1131231569497664E-3</c:v>
                </c:pt>
                <c:pt idx="95">
                  <c:v>5.9969601815275855E-3</c:v>
                </c:pt>
                <c:pt idx="96">
                  <c:v>5.8782471609355779E-3</c:v>
                </c:pt>
                <c:pt idx="97">
                  <c:v>5.7570299417061639E-3</c:v>
                </c:pt>
                <c:pt idx="98">
                  <c:v>5.6333478764885644E-3</c:v>
                </c:pt>
                <c:pt idx="99">
                  <c:v>5.5046572299980723E-3</c:v>
                </c:pt>
                <c:pt idx="100">
                  <c:v>5.3730068869813075E-3</c:v>
                </c:pt>
                <c:pt idx="101">
                  <c:v>5.2384256226241889E-3</c:v>
                </c:pt>
                <c:pt idx="102">
                  <c:v>5.100935202308983E-3</c:v>
                </c:pt>
                <c:pt idx="103">
                  <c:v>4.9605504154150047E-3</c:v>
                </c:pt>
                <c:pt idx="104">
                  <c:v>4.8172790972299756E-3</c:v>
                </c:pt>
                <c:pt idx="105">
                  <c:v>4.6711221388726128E-3</c:v>
                </c:pt>
                <c:pt idx="106">
                  <c:v>4.5219501371132117E-3</c:v>
                </c:pt>
                <c:pt idx="107">
                  <c:v>4.3684091482579018E-3</c:v>
                </c:pt>
                <c:pt idx="108">
                  <c:v>4.213186159157915E-3</c:v>
                </c:pt>
                <c:pt idx="109">
                  <c:v>4.0562648194799695E-3</c:v>
                </c:pt>
                <c:pt idx="110">
                  <c:v>3.8976345854192492E-3</c:v>
                </c:pt>
                <c:pt idx="111">
                  <c:v>3.7372780498155598E-3</c:v>
                </c:pt>
                <c:pt idx="112">
                  <c:v>3.57516050818471E-3</c:v>
                </c:pt>
                <c:pt idx="113">
                  <c:v>3.413127847759006E-3</c:v>
                </c:pt>
                <c:pt idx="114">
                  <c:v>3.253526778329666E-3</c:v>
                </c:pt>
                <c:pt idx="115">
                  <c:v>3.0962664316459753E-3</c:v>
                </c:pt>
                <c:pt idx="116">
                  <c:v>2.9412556005576494E-3</c:v>
                </c:pt>
                <c:pt idx="117">
                  <c:v>2.7884027558233563E-3</c:v>
                </c:pt>
                <c:pt idx="118">
                  <c:v>2.6376160537594181E-3</c:v>
                </c:pt>
                <c:pt idx="119">
                  <c:v>2.4888033347129092E-3</c:v>
                </c:pt>
                <c:pt idx="120">
                  <c:v>2.3418771084965945E-3</c:v>
                </c:pt>
                <c:pt idx="121">
                  <c:v>2.200032669122734E-3</c:v>
                </c:pt>
                <c:pt idx="122">
                  <c:v>2.0662267398369417E-3</c:v>
                </c:pt>
                <c:pt idx="123">
                  <c:v>1.9382740168538237E-3</c:v>
                </c:pt>
                <c:pt idx="124">
                  <c:v>1.815995120808443E-3</c:v>
                </c:pt>
                <c:pt idx="125">
                  <c:v>1.6992591147428119E-3</c:v>
                </c:pt>
                <c:pt idx="126">
                  <c:v>1.587944210289686E-3</c:v>
                </c:pt>
                <c:pt idx="127">
                  <c:v>1.4842818811899557E-3</c:v>
                </c:pt>
                <c:pt idx="128">
                  <c:v>1.3863968467536939E-3</c:v>
                </c:pt>
                <c:pt idx="129">
                  <c:v>1.2942290697942349E-3</c:v>
                </c:pt>
                <c:pt idx="130">
                  <c:v>1.2077271579615803E-3</c:v>
                </c:pt>
                <c:pt idx="131">
                  <c:v>1.1268478468087881E-3</c:v>
                </c:pt>
                <c:pt idx="132">
                  <c:v>1.0515555009661696E-3</c:v>
                </c:pt>
                <c:pt idx="133">
                  <c:v>9.8182162972819463E-4</c:v>
                </c:pt>
                <c:pt idx="134">
                  <c:v>9.1765115050346203E-4</c:v>
                </c:pt>
                <c:pt idx="135">
                  <c:v>8.5983160608070095E-4</c:v>
                </c:pt>
                <c:pt idx="136">
                  <c:v>8.0509525438094917E-4</c:v>
                </c:pt>
                <c:pt idx="137">
                  <c:v>7.5344036135907338E-4</c:v>
                </c:pt>
                <c:pt idx="138">
                  <c:v>7.0487017633787596E-4</c:v>
                </c:pt>
                <c:pt idx="139">
                  <c:v>6.5939270981930714E-4</c:v>
                </c:pt>
                <c:pt idx="140">
                  <c:v>6.1702050931918267E-4</c:v>
                </c:pt>
                <c:pt idx="141">
                  <c:v>5.7865191601096913E-4</c:v>
                </c:pt>
                <c:pt idx="142">
                  <c:v>5.4185526381910951E-4</c:v>
                </c:pt>
                <c:pt idx="143">
                  <c:v>5.066238899050767E-4</c:v>
                </c:pt>
                <c:pt idx="144">
                  <c:v>4.7295670799743587E-4</c:v>
                </c:pt>
                <c:pt idx="145">
                  <c:v>4.4085440994798915E-4</c:v>
                </c:pt>
                <c:pt idx="146">
                  <c:v>4.1031938093245011E-4</c:v>
                </c:pt>
                <c:pt idx="147">
                  <c:v>3.8135561271116934E-4</c:v>
                </c:pt>
                <c:pt idx="148">
                  <c:v>3.5397590222106947E-4</c:v>
                </c:pt>
                <c:pt idx="149">
                  <c:v>3.2924017824566005E-4</c:v>
                </c:pt>
                <c:pt idx="150">
                  <c:v>3.0631711579050616E-4</c:v>
                </c:pt>
                <c:pt idx="151">
                  <c:v>2.852076661928222E-4</c:v>
                </c:pt>
                <c:pt idx="152">
                  <c:v>2.6591419354872345E-4</c:v>
                </c:pt>
                <c:pt idx="153">
                  <c:v>2.4844040825551539E-4</c:v>
                </c:pt>
                <c:pt idx="154">
                  <c:v>2.3279129944828178E-4</c:v>
                </c:pt>
                <c:pt idx="155">
                  <c:v>2.1925587783478207E-4</c:v>
                </c:pt>
                <c:pt idx="156">
                  <c:v>2.0695882071697738E-4</c:v>
                </c:pt>
                <c:pt idx="157">
                  <c:v>1.9591116541425508E-4</c:v>
                </c:pt>
                <c:pt idx="158">
                  <c:v>1.8612475045827879E-4</c:v>
                </c:pt>
                <c:pt idx="159">
                  <c:v>1.7761215152039953E-4</c:v>
                </c:pt>
                <c:pt idx="160">
                  <c:v>1.7038661597481336E-4</c:v>
                </c:pt>
                <c:pt idx="161">
                  <c:v>1.6446199626193869E-4</c:v>
                </c:pt>
                <c:pt idx="162">
                  <c:v>1.5985527632346382E-4</c:v>
                </c:pt>
                <c:pt idx="163">
                  <c:v>1.5672268275529101E-4</c:v>
                </c:pt>
                <c:pt idx="164">
                  <c:v>1.5398645376194802E-4</c:v>
                </c:pt>
                <c:pt idx="165">
                  <c:v>1.5165429996189195E-4</c:v>
                </c:pt>
                <c:pt idx="166">
                  <c:v>1.4973413826644544E-4</c:v>
                </c:pt>
                <c:pt idx="167">
                  <c:v>1.4823406457281204E-4</c:v>
                </c:pt>
                <c:pt idx="168">
                  <c:v>1.4716232657395665E-4</c:v>
                </c:pt>
                <c:pt idx="169">
                  <c:v>1.4667280958542345E-4</c:v>
                </c:pt>
                <c:pt idx="170">
                  <c:v>1.4646657048046337E-4</c:v>
                </c:pt>
                <c:pt idx="171">
                  <c:v>1.4654961576000551E-4</c:v>
                </c:pt>
                <c:pt idx="172">
                  <c:v>1.4692797867257471E-4</c:v>
                </c:pt>
                <c:pt idx="173">
                  <c:v>1.4760619229893949E-4</c:v>
                </c:pt>
                <c:pt idx="174">
                  <c:v>1.4858866121910506E-4</c:v>
                </c:pt>
                <c:pt idx="175">
                  <c:v>1.4988118298795011E-4</c:v>
                </c:pt>
                <c:pt idx="176">
                  <c:v>1.5148964697404014E-4</c:v>
                </c:pt>
                <c:pt idx="177">
                  <c:v>1.5374479139210846E-4</c:v>
                </c:pt>
                <c:pt idx="178">
                  <c:v>1.5650364544916439E-4</c:v>
                </c:pt>
                <c:pt idx="179">
                  <c:v>1.5977524755286167E-4</c:v>
                </c:pt>
                <c:pt idx="180">
                  <c:v>1.6356858175762775E-4</c:v>
                </c:pt>
                <c:pt idx="181">
                  <c:v>1.6789259266253878E-4</c:v>
                </c:pt>
                <c:pt idx="182">
                  <c:v>1.727562026720278E-4</c:v>
                </c:pt>
                <c:pt idx="183">
                  <c:v>1.7934098804857894E-4</c:v>
                </c:pt>
                <c:pt idx="184">
                  <c:v>1.8750675882248514E-4</c:v>
                </c:pt>
                <c:pt idx="185">
                  <c:v>1.972719686579208E-4</c:v>
                </c:pt>
                <c:pt idx="186">
                  <c:v>2.0865535788532169E-4</c:v>
                </c:pt>
                <c:pt idx="187">
                  <c:v>2.2167602886347207E-4</c:v>
                </c:pt>
                <c:pt idx="188">
                  <c:v>2.3635352647161001E-4</c:v>
                </c:pt>
                <c:pt idx="189">
                  <c:v>2.5270792376021981E-4</c:v>
                </c:pt>
                <c:pt idx="190">
                  <c:v>2.707595898714403E-4</c:v>
                </c:pt>
                <c:pt idx="191">
                  <c:v>2.9147316876411742E-4</c:v>
                </c:pt>
                <c:pt idx="192">
                  <c:v>3.1452323555222951E-4</c:v>
                </c:pt>
                <c:pt idx="193">
                  <c:v>3.3993133658736564E-4</c:v>
                </c:pt>
                <c:pt idx="194">
                  <c:v>3.6771946511379001E-4</c:v>
                </c:pt>
                <c:pt idx="195">
                  <c:v>3.9791002044960611E-4</c:v>
                </c:pt>
                <c:pt idx="196">
                  <c:v>4.3052576658617482E-4</c:v>
                </c:pt>
                <c:pt idx="197">
                  <c:v>4.6670289712760364E-4</c:v>
                </c:pt>
                <c:pt idx="198">
                  <c:v>5.0524324135832834E-4</c:v>
                </c:pt>
                <c:pt idx="199">
                  <c:v>5.4617332204193408E-4</c:v>
                </c:pt>
                <c:pt idx="200">
                  <c:v>5.8951963064277947E-4</c:v>
                </c:pt>
                <c:pt idx="201">
                  <c:v>6.3530858611569093E-4</c:v>
                </c:pt>
                <c:pt idx="202">
                  <c:v>6.8356649199033208E-4</c:v>
                </c:pt>
                <c:pt idx="203">
                  <c:v>7.3431949133260187E-4</c:v>
                </c:pt>
                <c:pt idx="204">
                  <c:v>7.8759321652655217E-4</c:v>
                </c:pt>
                <c:pt idx="205">
                  <c:v>8.4675185964782664E-4</c:v>
                </c:pt>
                <c:pt idx="206">
                  <c:v>9.1088692208364291E-4</c:v>
                </c:pt>
                <c:pt idx="207">
                  <c:v>9.8006792271301368E-4</c:v>
                </c:pt>
                <c:pt idx="208">
                  <c:v>1.0543659470890925E-3</c:v>
                </c:pt>
                <c:pt idx="209">
                  <c:v>1.1338539362316801E-3</c:v>
                </c:pt>
                <c:pt idx="210">
                  <c:v>1.2186069871199226E-3</c:v>
                </c:pt>
                <c:pt idx="211">
                  <c:v>1.3125792859983176E-3</c:v>
                </c:pt>
                <c:pt idx="212">
                  <c:v>1.4146950944720548E-3</c:v>
                </c:pt>
                <c:pt idx="213">
                  <c:v>1.5250639705916258E-3</c:v>
                </c:pt>
                <c:pt idx="214">
                  <c:v>1.6438004151786291E-3</c:v>
                </c:pt>
                <c:pt idx="215">
                  <c:v>1.7710243813732168E-3</c:v>
                </c:pt>
                <c:pt idx="216">
                  <c:v>1.9068618058080131E-3</c:v>
                </c:pt>
                <c:pt idx="217">
                  <c:v>2.0514451644718561E-3</c:v>
                </c:pt>
                <c:pt idx="218">
                  <c:v>2.2048561638620921E-3</c:v>
                </c:pt>
                <c:pt idx="219">
                  <c:v>2.368693452671405E-3</c:v>
                </c:pt>
                <c:pt idx="220">
                  <c:v>2.539533720518127E-3</c:v>
                </c:pt>
                <c:pt idx="221">
                  <c:v>2.717484489232808E-3</c:v>
                </c:pt>
                <c:pt idx="222">
                  <c:v>2.9026628603707892E-3</c:v>
                </c:pt>
                <c:pt idx="223">
                  <c:v>3.0951962900987911E-3</c:v>
                </c:pt>
                <c:pt idx="224">
                  <c:v>3.2952234081293111E-3</c:v>
                </c:pt>
                <c:pt idx="225">
                  <c:v>3.5005622922072931E-3</c:v>
                </c:pt>
                <c:pt idx="226">
                  <c:v>3.7072226393406954E-3</c:v>
                </c:pt>
                <c:pt idx="227">
                  <c:v>3.9152860912665772E-3</c:v>
                </c:pt>
                <c:pt idx="228">
                  <c:v>4.1248443020012711E-3</c:v>
                </c:pt>
                <c:pt idx="229">
                  <c:v>4.3359992901434753E-3</c:v>
                </c:pt>
                <c:pt idx="230">
                  <c:v>4.5488638328539275E-3</c:v>
                </c:pt>
                <c:pt idx="231">
                  <c:v>4.7635619091177823E-3</c:v>
                </c:pt>
                <c:pt idx="232">
                  <c:v>4.9800842532155658E-3</c:v>
                </c:pt>
                <c:pt idx="233">
                  <c:v>5.1950896651046978E-3</c:v>
                </c:pt>
                <c:pt idx="234">
                  <c:v>5.4070152188026204E-3</c:v>
                </c:pt>
                <c:pt idx="235">
                  <c:v>5.6158853434376431E-3</c:v>
                </c:pt>
                <c:pt idx="236">
                  <c:v>5.8217299210192976E-3</c:v>
                </c:pt>
                <c:pt idx="237">
                  <c:v>6.0245786745661816E-3</c:v>
                </c:pt>
                <c:pt idx="238">
                  <c:v>6.2244644327090629E-3</c:v>
                </c:pt>
                <c:pt idx="239">
                  <c:v>6.4183127820273923E-3</c:v>
                </c:pt>
                <c:pt idx="240">
                  <c:v>6.6086605656063661E-3</c:v>
                </c:pt>
                <c:pt idx="241">
                  <c:v>6.7955422323809789E-3</c:v>
                </c:pt>
                <c:pt idx="242">
                  <c:v>6.9789939421381593E-3</c:v>
                </c:pt>
                <c:pt idx="243">
                  <c:v>7.1590534731981971E-3</c:v>
                </c:pt>
                <c:pt idx="244">
                  <c:v>7.3357601344436162E-3</c:v>
                </c:pt>
                <c:pt idx="245">
                  <c:v>7.5091546813605588E-3</c:v>
                </c:pt>
                <c:pt idx="246">
                  <c:v>7.6793778664403269E-3</c:v>
                </c:pt>
                <c:pt idx="247">
                  <c:v>7.8438915897333372E-3</c:v>
                </c:pt>
                <c:pt idx="248">
                  <c:v>8.0062070736651239E-3</c:v>
                </c:pt>
                <c:pt idx="249">
                  <c:v>8.1662643353619148E-3</c:v>
                </c:pt>
                <c:pt idx="250">
                  <c:v>8.3239921091517073E-3</c:v>
                </c:pt>
                <c:pt idx="251">
                  <c:v>8.4793075422557058E-3</c:v>
                </c:pt>
                <c:pt idx="252">
                  <c:v>8.6321158658122024E-3</c:v>
                </c:pt>
                <c:pt idx="253">
                  <c:v>8.7792568521633304E-3</c:v>
                </c:pt>
                <c:pt idx="254">
                  <c:v>8.9240037181289172E-3</c:v>
                </c:pt>
                <c:pt idx="255">
                  <c:v>9.0662306091261122E-3</c:v>
                </c:pt>
                <c:pt idx="256">
                  <c:v>9.2057989726172743E-3</c:v>
                </c:pt>
                <c:pt idx="257">
                  <c:v>9.3425571564305209E-3</c:v>
                </c:pt>
                <c:pt idx="258">
                  <c:v>9.4763400072080933E-3</c:v>
                </c:pt>
                <c:pt idx="259">
                  <c:v>9.60696847351185E-3</c:v>
                </c:pt>
                <c:pt idx="260">
                  <c:v>9.7350200279894463E-3</c:v>
                </c:pt>
                <c:pt idx="261">
                  <c:v>9.8648494056049179E-3</c:v>
                </c:pt>
                <c:pt idx="262">
                  <c:v>9.9993581086635485E-3</c:v>
                </c:pt>
                <c:pt idx="263">
                  <c:v>1.0138539266678799E-2</c:v>
                </c:pt>
                <c:pt idx="264">
                  <c:v>1.0282376080484192E-2</c:v>
                </c:pt>
                <c:pt idx="265">
                  <c:v>1.0430895677788807E-2</c:v>
                </c:pt>
                <c:pt idx="266">
                  <c:v>1.0584086972119357E-2</c:v>
                </c:pt>
                <c:pt idx="267">
                  <c:v>1.0763163277085987E-2</c:v>
                </c:pt>
                <c:pt idx="268">
                  <c:v>1.0972358407608686E-2</c:v>
                </c:pt>
                <c:pt idx="269">
                  <c:v>1.1212485947637614E-2</c:v>
                </c:pt>
                <c:pt idx="270">
                  <c:v>1.1484372770039292E-2</c:v>
                </c:pt>
                <c:pt idx="271">
                  <c:v>1.1788851702106497E-2</c:v>
                </c:pt>
                <c:pt idx="272">
                  <c:v>1.2126753246790408E-2</c:v>
                </c:pt>
                <c:pt idx="273">
                  <c:v>1.2498896287211745E-2</c:v>
                </c:pt>
                <c:pt idx="274">
                  <c:v>1.2907719496343761E-2</c:v>
                </c:pt>
                <c:pt idx="275">
                  <c:v>1.3376021558584266E-2</c:v>
                </c:pt>
                <c:pt idx="276">
                  <c:v>1.3901165239949085E-2</c:v>
                </c:pt>
                <c:pt idx="277">
                  <c:v>1.448496554990507E-2</c:v>
                </c:pt>
                <c:pt idx="278">
                  <c:v>1.5129273156976861E-2</c:v>
                </c:pt>
                <c:pt idx="279">
                  <c:v>1.5835958310648834E-2</c:v>
                </c:pt>
                <c:pt idx="280">
                  <c:v>1.6606892384047944E-2</c:v>
                </c:pt>
                <c:pt idx="281">
                  <c:v>1.7446323080859603E-2</c:v>
                </c:pt>
                <c:pt idx="282">
                  <c:v>1.8330422775048705E-2</c:v>
                </c:pt>
                <c:pt idx="283">
                  <c:v>1.9259971378135871E-2</c:v>
                </c:pt>
                <c:pt idx="284">
                  <c:v>2.0235627708178824E-2</c:v>
                </c:pt>
                <c:pt idx="285">
                  <c:v>2.125790491345364E-2</c:v>
                </c:pt>
                <c:pt idx="286">
                  <c:v>2.2327143988134568E-2</c:v>
                </c:pt>
                <c:pt idx="287">
                  <c:v>2.3443485534676223E-2</c:v>
                </c:pt>
                <c:pt idx="288">
                  <c:v>2.4608399805179933E-2</c:v>
                </c:pt>
                <c:pt idx="289">
                  <c:v>2.5834121675830685E-2</c:v>
                </c:pt>
                <c:pt idx="290">
                  <c:v>2.7098005496778606E-2</c:v>
                </c:pt>
                <c:pt idx="291">
                  <c:v>2.8400926346135585E-2</c:v>
                </c:pt>
                <c:pt idx="292">
                  <c:v>2.9743806708285594E-2</c:v>
                </c:pt>
                <c:pt idx="293">
                  <c:v>3.112762169410746E-2</c:v>
                </c:pt>
                <c:pt idx="294">
                  <c:v>3.2553404718303917E-2</c:v>
                </c:pt>
                <c:pt idx="295">
                  <c:v>3.4024089035782121E-2</c:v>
                </c:pt>
                <c:pt idx="296">
                  <c:v>3.5538507260707154E-2</c:v>
                </c:pt>
                <c:pt idx="297">
                  <c:v>3.7098250496622888E-2</c:v>
                </c:pt>
                <c:pt idx="298">
                  <c:v>3.870473220231184E-2</c:v>
                </c:pt>
                <c:pt idx="299">
                  <c:v>4.0359466479580414E-2</c:v>
                </c:pt>
                <c:pt idx="300">
                  <c:v>4.2064077752453216E-2</c:v>
                </c:pt>
                <c:pt idx="301">
                  <c:v>4.3820311349907978E-2</c:v>
                </c:pt>
                <c:pt idx="302">
                  <c:v>4.5630260834188745E-2</c:v>
                </c:pt>
                <c:pt idx="303">
                  <c:v>4.7457266664507031E-2</c:v>
                </c:pt>
                <c:pt idx="304">
                  <c:v>4.9288643620468982E-2</c:v>
                </c:pt>
                <c:pt idx="305">
                  <c:v>5.1122974539213904E-2</c:v>
                </c:pt>
                <c:pt idx="306">
                  <c:v>5.2958640555762125E-2</c:v>
                </c:pt>
                <c:pt idx="307">
                  <c:v>5.4793810676355678E-2</c:v>
                </c:pt>
                <c:pt idx="308">
                  <c:v>5.6626431641449732E-2</c:v>
                </c:pt>
                <c:pt idx="309">
                  <c:v>5.8418777123655306E-2</c:v>
                </c:pt>
                <c:pt idx="310">
                  <c:v>6.016477100123533E-2</c:v>
                </c:pt>
                <c:pt idx="311">
                  <c:v>6.186021032327095E-2</c:v>
                </c:pt>
                <c:pt idx="312">
                  <c:v>6.3500636426224416E-2</c:v>
                </c:pt>
                <c:pt idx="313">
                  <c:v>6.508134144516374E-2</c:v>
                </c:pt>
                <c:pt idx="314">
                  <c:v>6.6597378044530725E-2</c:v>
                </c:pt>
                <c:pt idx="315">
                  <c:v>6.8043572773902022E-2</c:v>
                </c:pt>
                <c:pt idx="316">
                  <c:v>6.9415705978825099E-2</c:v>
                </c:pt>
                <c:pt idx="317">
                  <c:v>7.0717761436478566E-2</c:v>
                </c:pt>
                <c:pt idx="318">
                  <c:v>7.1992684538714158E-2</c:v>
                </c:pt>
                <c:pt idx="319">
                  <c:v>7.3239355398780376E-2</c:v>
                </c:pt>
                <c:pt idx="320">
                  <c:v>7.4456733530405536E-2</c:v>
                </c:pt>
                <c:pt idx="321">
                  <c:v>7.5643861191886153E-2</c:v>
                </c:pt>
                <c:pt idx="322">
                  <c:v>7.6799866315940685E-2</c:v>
                </c:pt>
                <c:pt idx="323">
                  <c:v>7.7954068128581064E-2</c:v>
                </c:pt>
                <c:pt idx="324">
                  <c:v>7.9148632769736965E-2</c:v>
                </c:pt>
                <c:pt idx="325">
                  <c:v>8.0385087225257029E-2</c:v>
                </c:pt>
                <c:pt idx="326">
                  <c:v>8.166452330401669E-2</c:v>
                </c:pt>
                <c:pt idx="327">
                  <c:v>8.2988423430309113E-2</c:v>
                </c:pt>
                <c:pt idx="328">
                  <c:v>8.4358775868874136E-2</c:v>
                </c:pt>
                <c:pt idx="329">
                  <c:v>8.5777677784324741E-2</c:v>
                </c:pt>
                <c:pt idx="330">
                  <c:v>8.7253092145200925E-2</c:v>
                </c:pt>
                <c:pt idx="331">
                  <c:v>8.8775717738561868E-2</c:v>
                </c:pt>
                <c:pt idx="332">
                  <c:v>9.0334500671147303E-2</c:v>
                </c:pt>
                <c:pt idx="333">
                  <c:v>9.1925456556384483E-2</c:v>
                </c:pt>
                <c:pt idx="334">
                  <c:v>9.3544106157927298E-2</c:v>
                </c:pt>
                <c:pt idx="335">
                  <c:v>9.5185445642828284E-2</c:v>
                </c:pt>
                <c:pt idx="336">
                  <c:v>9.6843921877589334E-2</c:v>
                </c:pt>
                <c:pt idx="337">
                  <c:v>9.8474372182422221E-2</c:v>
                </c:pt>
                <c:pt idx="338">
                  <c:v>0.10003463347172269</c:v>
                </c:pt>
                <c:pt idx="339">
                  <c:v>0.10151580478940038</c:v>
                </c:pt>
                <c:pt idx="340">
                  <c:v>0.10290862060592083</c:v>
                </c:pt>
                <c:pt idx="341">
                  <c:v>0.10420352881833664</c:v>
                </c:pt>
                <c:pt idx="342">
                  <c:v>0.10539078468497914</c:v>
                </c:pt>
                <c:pt idx="343">
                  <c:v>0.10646056091946693</c:v>
                </c:pt>
                <c:pt idx="344">
                  <c:v>0.1074194041681297</c:v>
                </c:pt>
                <c:pt idx="345">
                  <c:v>0.10827828595453982</c:v>
                </c:pt>
                <c:pt idx="346">
                  <c:v>0.10903844379060194</c:v>
                </c:pt>
                <c:pt idx="347">
                  <c:v>0.10969714616767072</c:v>
                </c:pt>
                <c:pt idx="348">
                  <c:v>0.11025191355347101</c:v>
                </c:pt>
                <c:pt idx="349">
                  <c:v>0.11070054097593852</c:v>
                </c:pt>
                <c:pt idx="350">
                  <c:v>0.11104111923270871</c:v>
                </c:pt>
                <c:pt idx="351">
                  <c:v>0.11126053789663151</c:v>
                </c:pt>
                <c:pt idx="352">
                  <c:v>0.11139912223930612</c:v>
                </c:pt>
                <c:pt idx="353">
                  <c:v>0.11145598622156835</c:v>
                </c:pt>
                <c:pt idx="354">
                  <c:v>0.11143050795639303</c:v>
                </c:pt>
                <c:pt idx="355">
                  <c:v>0.11132233835571718</c:v>
                </c:pt>
                <c:pt idx="356">
                  <c:v>0.11113101978349901</c:v>
                </c:pt>
                <c:pt idx="357">
                  <c:v>0.11085700260379679</c:v>
                </c:pt>
                <c:pt idx="358">
                  <c:v>0.11049845398273141</c:v>
                </c:pt>
                <c:pt idx="359">
                  <c:v>0.11005544665007709</c:v>
                </c:pt>
                <c:pt idx="360">
                  <c:v>0.10948991858107338</c:v>
                </c:pt>
                <c:pt idx="361">
                  <c:v>0.10881686719221478</c:v>
                </c:pt>
                <c:pt idx="362">
                  <c:v>0.10804011703336559</c:v>
                </c:pt>
                <c:pt idx="363">
                  <c:v>0.10716371632742187</c:v>
                </c:pt>
                <c:pt idx="364">
                  <c:v>0.10619189643574961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906952"/>
        <c:axId val="443907344"/>
      </c:lineChart>
      <c:dateAx>
        <c:axId val="4439069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07344"/>
        <c:crosses val="autoZero"/>
        <c:auto val="1"/>
        <c:lblOffset val="100"/>
        <c:baseTimeUnit val="days"/>
        <c:majorUnit val="1"/>
        <c:majorTimeUnit val="months"/>
      </c:dateAx>
      <c:valAx>
        <c:axId val="44390734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069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15.639404673941709</c:v>
                </c:pt>
                <c:pt idx="1">
                  <c:v>15.767689565358689</c:v>
                </c:pt>
                <c:pt idx="2">
                  <c:v>15.905160819572854</c:v>
                </c:pt>
                <c:pt idx="3">
                  <c:v>16.051575549461717</c:v>
                </c:pt>
                <c:pt idx="4">
                  <c:v>16.20669102189952</c:v>
                </c:pt>
                <c:pt idx="5">
                  <c:v>16.370264630708352</c:v>
                </c:pt>
                <c:pt idx="6">
                  <c:v>16.542053856636961</c:v>
                </c:pt>
                <c:pt idx="7">
                  <c:v>16.721816263952917</c:v>
                </c:pt>
                <c:pt idx="8">
                  <c:v>16.911440182276266</c:v>
                </c:pt>
                <c:pt idx="9">
                  <c:v>17.111903038355653</c:v>
                </c:pt>
                <c:pt idx="10">
                  <c:v>17.321817423903866</c:v>
                </c:pt>
                <c:pt idx="11">
                  <c:v>17.540496026369979</c:v>
                </c:pt>
                <c:pt idx="12">
                  <c:v>17.767252023609966</c:v>
                </c:pt>
                <c:pt idx="13">
                  <c:v>18.001399109809508</c:v>
                </c:pt>
                <c:pt idx="14">
                  <c:v>18.242251488091338</c:v>
                </c:pt>
                <c:pt idx="15">
                  <c:v>18.488977656875065</c:v>
                </c:pt>
                <c:pt idx="16">
                  <c:v>18.740625750397417</c:v>
                </c:pt>
                <c:pt idx="17">
                  <c:v>18.996511188875399</c:v>
                </c:pt>
                <c:pt idx="18">
                  <c:v>19.255949999661766</c:v>
                </c:pt>
                <c:pt idx="19">
                  <c:v>19.518249859506891</c:v>
                </c:pt>
                <c:pt idx="20">
                  <c:v>19.782715265185285</c:v>
                </c:pt>
                <c:pt idx="21">
                  <c:v>20.048658499020036</c:v>
                </c:pt>
                <c:pt idx="22">
                  <c:v>20.317770025249985</c:v>
                </c:pt>
                <c:pt idx="23">
                  <c:v>20.592835089582813</c:v>
                </c:pt>
                <c:pt idx="24">
                  <c:v>20.874152752245728</c:v>
                </c:pt>
                <c:pt idx="25">
                  <c:v>21.16140644884435</c:v>
                </c:pt>
                <c:pt idx="26">
                  <c:v>21.4542798540357</c:v>
                </c:pt>
                <c:pt idx="27">
                  <c:v>21.752456884422511</c:v>
                </c:pt>
                <c:pt idx="28">
                  <c:v>22.055621710897665</c:v>
                </c:pt>
                <c:pt idx="29">
                  <c:v>22.364440781869551</c:v>
                </c:pt>
                <c:pt idx="30">
                  <c:v>22.678745753396178</c:v>
                </c:pt>
                <c:pt idx="31">
                  <c:v>22.998221383124491</c:v>
                </c:pt>
                <c:pt idx="32">
                  <c:v>23.322552702426506</c:v>
                </c:pt>
                <c:pt idx="33">
                  <c:v>23.651425046951523</c:v>
                </c:pt>
                <c:pt idx="34">
                  <c:v>23.984524076398326</c:v>
                </c:pt>
                <c:pt idx="35">
                  <c:v>24.321535801671594</c:v>
                </c:pt>
                <c:pt idx="36">
                  <c:v>24.662695754892312</c:v>
                </c:pt>
                <c:pt idx="37">
                  <c:v>25.008461375985057</c:v>
                </c:pt>
                <c:pt idx="38">
                  <c:v>25.358085149741964</c:v>
                </c:pt>
                <c:pt idx="39">
                  <c:v>25.711665706186771</c:v>
                </c:pt>
                <c:pt idx="40">
                  <c:v>26.069301762506804</c:v>
                </c:pt>
                <c:pt idx="41">
                  <c:v>26.431092142883877</c:v>
                </c:pt>
                <c:pt idx="42">
                  <c:v>26.79713578093142</c:v>
                </c:pt>
                <c:pt idx="43">
                  <c:v>27.167229557319647</c:v>
                </c:pt>
                <c:pt idx="44">
                  <c:v>27.540493274877363</c:v>
                </c:pt>
                <c:pt idx="45">
                  <c:v>27.91702680450479</c:v>
                </c:pt>
                <c:pt idx="46">
                  <c:v>28.296930069773897</c:v>
                </c:pt>
                <c:pt idx="47">
                  <c:v>28.680303045546662</c:v>
                </c:pt>
                <c:pt idx="48">
                  <c:v>29.067245740800466</c:v>
                </c:pt>
                <c:pt idx="49">
                  <c:v>29.457858199499391</c:v>
                </c:pt>
                <c:pt idx="50">
                  <c:v>29.85287342920174</c:v>
                </c:pt>
                <c:pt idx="51">
                  <c:v>30.252610246620929</c:v>
                </c:pt>
                <c:pt idx="52">
                  <c:v>30.656713405258763</c:v>
                </c:pt>
                <c:pt idx="53">
                  <c:v>31.064775904718839</c:v>
                </c:pt>
                <c:pt idx="54">
                  <c:v>31.476386449695529</c:v>
                </c:pt>
                <c:pt idx="55">
                  <c:v>31.891134100132138</c:v>
                </c:pt>
                <c:pt idx="56">
                  <c:v>32.308608261490768</c:v>
                </c:pt>
                <c:pt idx="57">
                  <c:v>32.727670475639066</c:v>
                </c:pt>
                <c:pt idx="58">
                  <c:v>33.14821344948092</c:v>
                </c:pt>
                <c:pt idx="59">
                  <c:v>33.569828554498272</c:v>
                </c:pt>
                <c:pt idx="60">
                  <c:v>33.99210756728975</c:v>
                </c:pt>
                <c:pt idx="61">
                  <c:v>34.414642668865262</c:v>
                </c:pt>
                <c:pt idx="62">
                  <c:v>34.837026455775707</c:v>
                </c:pt>
                <c:pt idx="63">
                  <c:v>35.258851947803727</c:v>
                </c:pt>
                <c:pt idx="64">
                  <c:v>35.682066000347398</c:v>
                </c:pt>
                <c:pt idx="65">
                  <c:v>36.107606189181844</c:v>
                </c:pt>
                <c:pt idx="66">
                  <c:v>36.534924246700307</c:v>
                </c:pt>
                <c:pt idx="67">
                  <c:v>36.96340495295658</c:v>
                </c:pt>
                <c:pt idx="68">
                  <c:v>37.392433510621323</c:v>
                </c:pt>
                <c:pt idx="69">
                  <c:v>37.821395542017179</c:v>
                </c:pt>
                <c:pt idx="70">
                  <c:v>38.249677093392506</c:v>
                </c:pt>
                <c:pt idx="71">
                  <c:v>38.676486959595984</c:v>
                </c:pt>
                <c:pt idx="72">
                  <c:v>39.101933819098114</c:v>
                </c:pt>
                <c:pt idx="73">
                  <c:v>39.525402447398733</c:v>
                </c:pt>
                <c:pt idx="74">
                  <c:v>39.946277867261514</c:v>
                </c:pt>
                <c:pt idx="75">
                  <c:v>40.363945340319049</c:v>
                </c:pt>
                <c:pt idx="76">
                  <c:v>40.777790358718022</c:v>
                </c:pt>
                <c:pt idx="77">
                  <c:v>41.187198635346853</c:v>
                </c:pt>
                <c:pt idx="78">
                  <c:v>41.594854283179451</c:v>
                </c:pt>
                <c:pt idx="79">
                  <c:v>42.003443384595656</c:v>
                </c:pt>
                <c:pt idx="80">
                  <c:v>42.413021569667237</c:v>
                </c:pt>
                <c:pt idx="81">
                  <c:v>42.822769449727545</c:v>
                </c:pt>
                <c:pt idx="82">
                  <c:v>43.231868164164581</c:v>
                </c:pt>
                <c:pt idx="83">
                  <c:v>43.639499376599964</c:v>
                </c:pt>
                <c:pt idx="84">
                  <c:v>44.044845278816595</c:v>
                </c:pt>
                <c:pt idx="85">
                  <c:v>44.447215804575698</c:v>
                </c:pt>
                <c:pt idx="86">
                  <c:v>44.84597967335462</c:v>
                </c:pt>
                <c:pt idx="87">
                  <c:v>45.240322800410929</c:v>
                </c:pt>
                <c:pt idx="88">
                  <c:v>45.629431805014832</c:v>
                </c:pt>
                <c:pt idx="89">
                  <c:v>46.012494016687782</c:v>
                </c:pt>
                <c:pt idx="90">
                  <c:v>46.388697483609185</c:v>
                </c:pt>
                <c:pt idx="91">
                  <c:v>46.757230991632191</c:v>
                </c:pt>
                <c:pt idx="92">
                  <c:v>47.119978757714378</c:v>
                </c:pt>
                <c:pt idx="93">
                  <c:v>47.479320791198198</c:v>
                </c:pt>
                <c:pt idx="94">
                  <c:v>47.834809407938607</c:v>
                </c:pt>
                <c:pt idx="95">
                  <c:v>48.186139998395426</c:v>
                </c:pt>
                <c:pt idx="96">
                  <c:v>48.533008242175711</c:v>
                </c:pt>
                <c:pt idx="97">
                  <c:v>48.875110107650414</c:v>
                </c:pt>
                <c:pt idx="98">
                  <c:v>49.212141873414652</c:v>
                </c:pt>
                <c:pt idx="99">
                  <c:v>49.543977883157339</c:v>
                </c:pt>
                <c:pt idx="100">
                  <c:v>49.87018773342087</c:v>
                </c:pt>
                <c:pt idx="101">
                  <c:v>50.190468831889731</c:v>
                </c:pt>
                <c:pt idx="102">
                  <c:v>50.504518940664099</c:v>
                </c:pt>
                <c:pt idx="103">
                  <c:v>50.81203618988485</c:v>
                </c:pt>
                <c:pt idx="104">
                  <c:v>51.112719090837729</c:v>
                </c:pt>
                <c:pt idx="105">
                  <c:v>51.406266540449877</c:v>
                </c:pt>
                <c:pt idx="106">
                  <c:v>51.693796782273147</c:v>
                </c:pt>
                <c:pt idx="107">
                  <c:v>51.97656516313139</c:v>
                </c:pt>
                <c:pt idx="108">
                  <c:v>52.254111923161581</c:v>
                </c:pt>
                <c:pt idx="109">
                  <c:v>52.526136316149184</c:v>
                </c:pt>
                <c:pt idx="110">
                  <c:v>52.79233724983159</c:v>
                </c:pt>
                <c:pt idx="111">
                  <c:v>53.052414208876549</c:v>
                </c:pt>
                <c:pt idx="112">
                  <c:v>53.306068085083062</c:v>
                </c:pt>
                <c:pt idx="113">
                  <c:v>53.552922276261157</c:v>
                </c:pt>
                <c:pt idx="114">
                  <c:v>53.792499829626394</c:v>
                </c:pt>
                <c:pt idx="115">
                  <c:v>54.024503342283872</c:v>
                </c:pt>
                <c:pt idx="116">
                  <c:v>54.248635996782816</c:v>
                </c:pt>
                <c:pt idx="117">
                  <c:v>54.46460156772163</c:v>
                </c:pt>
                <c:pt idx="118">
                  <c:v>54.672104432074676</c:v>
                </c:pt>
                <c:pt idx="119">
                  <c:v>54.870849594200401</c:v>
                </c:pt>
                <c:pt idx="120">
                  <c:v>55.060424866914367</c:v>
                </c:pt>
                <c:pt idx="121">
                  <c:v>55.240660598086379</c:v>
                </c:pt>
                <c:pt idx="122">
                  <c:v>55.411827116844101</c:v>
                </c:pt>
                <c:pt idx="123">
                  <c:v>55.574336099561314</c:v>
                </c:pt>
                <c:pt idx="124">
                  <c:v>55.72859904155068</c:v>
                </c:pt>
                <c:pt idx="125">
                  <c:v>55.875027276672185</c:v>
                </c:pt>
                <c:pt idx="126">
                  <c:v>56.014031964877809</c:v>
                </c:pt>
                <c:pt idx="127">
                  <c:v>56.145806381311225</c:v>
                </c:pt>
                <c:pt idx="128">
                  <c:v>56.27083525214821</c:v>
                </c:pt>
                <c:pt idx="129">
                  <c:v>56.389527116692861</c:v>
                </c:pt>
                <c:pt idx="130">
                  <c:v>56.502290234700517</c:v>
                </c:pt>
                <c:pt idx="131">
                  <c:v>56.609532582972214</c:v>
                </c:pt>
                <c:pt idx="132">
                  <c:v>56.711661853563292</c:v>
                </c:pt>
                <c:pt idx="133">
                  <c:v>56.809085442568517</c:v>
                </c:pt>
                <c:pt idx="134">
                  <c:v>56.900550261596919</c:v>
                </c:pt>
                <c:pt idx="135">
                  <c:v>56.984658910847955</c:v>
                </c:pt>
                <c:pt idx="136">
                  <c:v>57.061951674778584</c:v>
                </c:pt>
                <c:pt idx="137">
                  <c:v>57.132737089810959</c:v>
                </c:pt>
                <c:pt idx="138">
                  <c:v>57.197323494327605</c:v>
                </c:pt>
                <c:pt idx="139">
                  <c:v>57.256019021012207</c:v>
                </c:pt>
                <c:pt idx="140">
                  <c:v>57.30913158276509</c:v>
                </c:pt>
                <c:pt idx="141">
                  <c:v>57.356910175371475</c:v>
                </c:pt>
                <c:pt idx="142">
                  <c:v>57.399888072985938</c:v>
                </c:pt>
                <c:pt idx="143">
                  <c:v>57.438374337638372</c:v>
                </c:pt>
                <c:pt idx="144">
                  <c:v>57.472677528859499</c:v>
                </c:pt>
                <c:pt idx="145">
                  <c:v>57.503105994683018</c:v>
                </c:pt>
                <c:pt idx="146">
                  <c:v>57.529967854898906</c:v>
                </c:pt>
                <c:pt idx="147">
                  <c:v>57.553570977713569</c:v>
                </c:pt>
                <c:pt idx="148">
                  <c:v>57.573036991200176</c:v>
                </c:pt>
                <c:pt idx="149">
                  <c:v>57.587339423457131</c:v>
                </c:pt>
                <c:pt idx="150">
                  <c:v>57.596769200691888</c:v>
                </c:pt>
                <c:pt idx="151">
                  <c:v>57.601535355145344</c:v>
                </c:pt>
                <c:pt idx="152">
                  <c:v>57.601846681503005</c:v>
                </c:pt>
                <c:pt idx="153">
                  <c:v>57.59791171185401</c:v>
                </c:pt>
                <c:pt idx="154">
                  <c:v>57.589938699188799</c:v>
                </c:pt>
                <c:pt idx="155">
                  <c:v>57.578108408877824</c:v>
                </c:pt>
                <c:pt idx="156">
                  <c:v>57.562687318015712</c:v>
                </c:pt>
                <c:pt idx="157">
                  <c:v>57.543882523481081</c:v>
                </c:pt>
                <c:pt idx="158">
                  <c:v>57.521900753951421</c:v>
                </c:pt>
                <c:pt idx="159">
                  <c:v>57.496948351667918</c:v>
                </c:pt>
                <c:pt idx="160">
                  <c:v>57.469231255496652</c:v>
                </c:pt>
                <c:pt idx="161">
                  <c:v>57.438954984073028</c:v>
                </c:pt>
                <c:pt idx="162">
                  <c:v>57.405392840254414</c:v>
                </c:pt>
                <c:pt idx="163">
                  <c:v>57.367804558748659</c:v>
                </c:pt>
                <c:pt idx="164">
                  <c:v>57.326480224007376</c:v>
                </c:pt>
                <c:pt idx="165">
                  <c:v>57.281625308850074</c:v>
                </c:pt>
                <c:pt idx="166">
                  <c:v>57.233444784877307</c:v>
                </c:pt>
                <c:pt idx="167">
                  <c:v>57.182143113083598</c:v>
                </c:pt>
                <c:pt idx="168">
                  <c:v>57.127924236158293</c:v>
                </c:pt>
                <c:pt idx="169">
                  <c:v>57.070977139538918</c:v>
                </c:pt>
                <c:pt idx="170">
                  <c:v>57.011533035766085</c:v>
                </c:pt>
                <c:pt idx="171">
                  <c:v>56.949794394596296</c:v>
                </c:pt>
                <c:pt idx="172">
                  <c:v>56.88596315548304</c:v>
                </c:pt>
                <c:pt idx="173">
                  <c:v>56.820240848983126</c:v>
                </c:pt>
                <c:pt idx="174">
                  <c:v>56.75282848966912</c:v>
                </c:pt>
                <c:pt idx="175">
                  <c:v>56.683926469806146</c:v>
                </c:pt>
                <c:pt idx="176">
                  <c:v>56.613668367375894</c:v>
                </c:pt>
                <c:pt idx="177">
                  <c:v>56.541893117238551</c:v>
                </c:pt>
                <c:pt idx="178">
                  <c:v>56.468416880748151</c:v>
                </c:pt>
                <c:pt idx="179">
                  <c:v>56.393041014220046</c:v>
                </c:pt>
                <c:pt idx="180">
                  <c:v>56.315566802095276</c:v>
                </c:pt>
                <c:pt idx="181">
                  <c:v>56.235795465377606</c:v>
                </c:pt>
                <c:pt idx="182">
                  <c:v>56.153528169618802</c:v>
                </c:pt>
                <c:pt idx="183">
                  <c:v>56.068478884001287</c:v>
                </c:pt>
                <c:pt idx="184">
                  <c:v>55.980463466702354</c:v>
                </c:pt>
                <c:pt idx="185">
                  <c:v>55.889282787848778</c:v>
                </c:pt>
                <c:pt idx="186">
                  <c:v>55.79473773025186</c:v>
                </c:pt>
                <c:pt idx="187">
                  <c:v>55.696629203986511</c:v>
                </c:pt>
                <c:pt idx="188">
                  <c:v>55.594758160528045</c:v>
                </c:pt>
                <c:pt idx="189">
                  <c:v>55.488925612579109</c:v>
                </c:pt>
                <c:pt idx="190">
                  <c:v>55.378998742198398</c:v>
                </c:pt>
                <c:pt idx="191">
                  <c:v>55.265049056577105</c:v>
                </c:pt>
                <c:pt idx="192">
                  <c:v>55.147303917951973</c:v>
                </c:pt>
                <c:pt idx="193">
                  <c:v>55.025960626687535</c:v>
                </c:pt>
                <c:pt idx="194">
                  <c:v>54.901216283144151</c:v>
                </c:pt>
                <c:pt idx="195">
                  <c:v>54.77326780033485</c:v>
                </c:pt>
                <c:pt idx="196">
                  <c:v>54.642311929621407</c:v>
                </c:pt>
                <c:pt idx="197">
                  <c:v>54.508452023687866</c:v>
                </c:pt>
                <c:pt idx="198">
                  <c:v>54.371972713589059</c:v>
                </c:pt>
                <c:pt idx="199">
                  <c:v>54.233070191852441</c:v>
                </c:pt>
                <c:pt idx="200">
                  <c:v>54.091911133117208</c:v>
                </c:pt>
                <c:pt idx="201">
                  <c:v>53.948717309060243</c:v>
                </c:pt>
                <c:pt idx="202">
                  <c:v>53.803684840176615</c:v>
                </c:pt>
                <c:pt idx="203">
                  <c:v>53.65700880286866</c:v>
                </c:pt>
                <c:pt idx="204">
                  <c:v>53.508818488183962</c:v>
                </c:pt>
                <c:pt idx="205">
                  <c:v>53.358718986680309</c:v>
                </c:pt>
                <c:pt idx="206">
                  <c:v>53.206568558926108</c:v>
                </c:pt>
                <c:pt idx="207">
                  <c:v>53.052166185507083</c:v>
                </c:pt>
                <c:pt idx="208">
                  <c:v>52.89531132824105</c:v>
                </c:pt>
                <c:pt idx="209">
                  <c:v>52.735803924248799</c:v>
                </c:pt>
                <c:pt idx="210">
                  <c:v>52.573444377665936</c:v>
                </c:pt>
                <c:pt idx="211">
                  <c:v>52.407792743066494</c:v>
                </c:pt>
                <c:pt idx="212">
                  <c:v>52.238751492078933</c:v>
                </c:pt>
                <c:pt idx="213">
                  <c:v>52.066124548966187</c:v>
                </c:pt>
                <c:pt idx="214">
                  <c:v>51.889716129867544</c:v>
                </c:pt>
                <c:pt idx="215">
                  <c:v>51.709330727315837</c:v>
                </c:pt>
                <c:pt idx="216">
                  <c:v>51.524773114173961</c:v>
                </c:pt>
                <c:pt idx="217">
                  <c:v>51.335848325724044</c:v>
                </c:pt>
                <c:pt idx="218">
                  <c:v>51.143708527290983</c:v>
                </c:pt>
                <c:pt idx="219">
                  <c:v>50.949323342341607</c:v>
                </c:pt>
                <c:pt idx="220">
                  <c:v>50.752567744274998</c:v>
                </c:pt>
                <c:pt idx="221">
                  <c:v>50.553050906459966</c:v>
                </c:pt>
                <c:pt idx="222">
                  <c:v>50.350382286709866</c:v>
                </c:pt>
                <c:pt idx="223">
                  <c:v>50.144171624825233</c:v>
                </c:pt>
                <c:pt idx="224">
                  <c:v>49.934028937151076</c:v>
                </c:pt>
                <c:pt idx="225">
                  <c:v>49.71975051031972</c:v>
                </c:pt>
                <c:pt idx="226">
                  <c:v>49.501183935706322</c:v>
                </c:pt>
                <c:pt idx="227">
                  <c:v>49.27793967043349</c:v>
                </c:pt>
                <c:pt idx="228">
                  <c:v>49.049628461935534</c:v>
                </c:pt>
                <c:pt idx="229">
                  <c:v>48.815861336239692</c:v>
                </c:pt>
                <c:pt idx="230">
                  <c:v>48.576249599919279</c:v>
                </c:pt>
                <c:pt idx="231">
                  <c:v>48.330404827602976</c:v>
                </c:pt>
                <c:pt idx="232">
                  <c:v>48.079347474667323</c:v>
                </c:pt>
                <c:pt idx="233">
                  <c:v>47.824435055852433</c:v>
                </c:pt>
                <c:pt idx="234">
                  <c:v>47.565522738603825</c:v>
                </c:pt>
                <c:pt idx="235">
                  <c:v>47.302417334797724</c:v>
                </c:pt>
                <c:pt idx="236">
                  <c:v>47.03492563019033</c:v>
                </c:pt>
                <c:pt idx="237">
                  <c:v>46.762854731017796</c:v>
                </c:pt>
                <c:pt idx="238">
                  <c:v>46.486011848540322</c:v>
                </c:pt>
                <c:pt idx="239">
                  <c:v>46.204364952550208</c:v>
                </c:pt>
                <c:pt idx="240">
                  <c:v>45.917534507356464</c:v>
                </c:pt>
                <c:pt idx="241">
                  <c:v>45.625327920495465</c:v>
                </c:pt>
                <c:pt idx="242">
                  <c:v>45.327552721658165</c:v>
                </c:pt>
                <c:pt idx="243">
                  <c:v>45.024016562445674</c:v>
                </c:pt>
                <c:pt idx="244">
                  <c:v>44.714527216405358</c:v>
                </c:pt>
                <c:pt idx="245">
                  <c:v>44.398892581857822</c:v>
                </c:pt>
                <c:pt idx="246">
                  <c:v>44.076348939161591</c:v>
                </c:pt>
                <c:pt idx="247">
                  <c:v>43.746729529336882</c:v>
                </c:pt>
                <c:pt idx="248">
                  <c:v>43.41032089266028</c:v>
                </c:pt>
                <c:pt idx="249">
                  <c:v>43.06761697079002</c:v>
                </c:pt>
                <c:pt idx="250">
                  <c:v>42.719111333659207</c:v>
                </c:pt>
                <c:pt idx="251">
                  <c:v>42.365297175684852</c:v>
                </c:pt>
                <c:pt idx="252">
                  <c:v>42.006667327192702</c:v>
                </c:pt>
                <c:pt idx="253">
                  <c:v>41.643793019620084</c:v>
                </c:pt>
                <c:pt idx="254">
                  <c:v>41.277004064435864</c:v>
                </c:pt>
                <c:pt idx="255">
                  <c:v>40.90679080219158</c:v>
                </c:pt>
                <c:pt idx="256">
                  <c:v>40.533643314010881</c:v>
                </c:pt>
                <c:pt idx="257">
                  <c:v>40.15805142204124</c:v>
                </c:pt>
                <c:pt idx="258">
                  <c:v>39.780504682727731</c:v>
                </c:pt>
                <c:pt idx="259">
                  <c:v>39.401492375865153</c:v>
                </c:pt>
                <c:pt idx="260">
                  <c:v>39.018374943886108</c:v>
                </c:pt>
                <c:pt idx="261">
                  <c:v>38.628211704911322</c:v>
                </c:pt>
                <c:pt idx="262">
                  <c:v>38.23174427504442</c:v>
                </c:pt>
                <c:pt idx="263">
                  <c:v>37.829853004978354</c:v>
                </c:pt>
                <c:pt idx="264">
                  <c:v>37.423417637401947</c:v>
                </c:pt>
                <c:pt idx="265">
                  <c:v>37.013314590295046</c:v>
                </c:pt>
                <c:pt idx="266">
                  <c:v>36.600420919817132</c:v>
                </c:pt>
                <c:pt idx="267">
                  <c:v>36.184416062561588</c:v>
                </c:pt>
                <c:pt idx="268">
                  <c:v>35.7661045946885</c:v>
                </c:pt>
                <c:pt idx="269">
                  <c:v>35.346364296191588</c:v>
                </c:pt>
                <c:pt idx="270">
                  <c:v>34.926072095948527</c:v>
                </c:pt>
                <c:pt idx="271">
                  <c:v>34.506104098744359</c:v>
                </c:pt>
                <c:pt idx="272">
                  <c:v>34.087335612753542</c:v>
                </c:pt>
                <c:pt idx="273">
                  <c:v>33.670641180990209</c:v>
                </c:pt>
                <c:pt idx="274">
                  <c:v>33.252586035106106</c:v>
                </c:pt>
                <c:pt idx="275">
                  <c:v>32.829399390129943</c:v>
                </c:pt>
                <c:pt idx="276">
                  <c:v>32.402624937034219</c:v>
                </c:pt>
                <c:pt idx="277">
                  <c:v>31.973236694234767</c:v>
                </c:pt>
                <c:pt idx="278">
                  <c:v>31.542207838851862</c:v>
                </c:pt>
                <c:pt idx="279">
                  <c:v>31.110510746623909</c:v>
                </c:pt>
                <c:pt idx="280">
                  <c:v>30.679117039063886</c:v>
                </c:pt>
                <c:pt idx="281">
                  <c:v>30.249349315088136</c:v>
                </c:pt>
                <c:pt idx="282">
                  <c:v>29.823380075501507</c:v>
                </c:pt>
                <c:pt idx="283">
                  <c:v>29.402180299466377</c:v>
                </c:pt>
                <c:pt idx="284">
                  <c:v>28.986720466989947</c:v>
                </c:pt>
                <c:pt idx="285">
                  <c:v>28.577970579827394</c:v>
                </c:pt>
                <c:pt idx="286">
                  <c:v>28.176900203680599</c:v>
                </c:pt>
                <c:pt idx="287">
                  <c:v>27.784478495010429</c:v>
                </c:pt>
                <c:pt idx="288">
                  <c:v>27.399872715584848</c:v>
                </c:pt>
                <c:pt idx="289">
                  <c:v>27.021084090073519</c:v>
                </c:pt>
                <c:pt idx="290">
                  <c:v>26.648219271541581</c:v>
                </c:pt>
                <c:pt idx="291">
                  <c:v>26.280982242856798</c:v>
                </c:pt>
                <c:pt idx="292">
                  <c:v>25.919077204415</c:v>
                </c:pt>
                <c:pt idx="293">
                  <c:v>25.562208581764004</c:v>
                </c:pt>
                <c:pt idx="294">
                  <c:v>25.210081027242733</c:v>
                </c:pt>
                <c:pt idx="295">
                  <c:v>24.862341068134</c:v>
                </c:pt>
                <c:pt idx="296">
                  <c:v>24.518325039318558</c:v>
                </c:pt>
                <c:pt idx="297">
                  <c:v>24.177725882827911</c:v>
                </c:pt>
                <c:pt idx="298">
                  <c:v>23.840246774352554</c:v>
                </c:pt>
                <c:pt idx="299">
                  <c:v>23.50559112084694</c:v>
                </c:pt>
                <c:pt idx="300">
                  <c:v>23.173462583180214</c:v>
                </c:pt>
                <c:pt idx="301">
                  <c:v>22.843565085620313</c:v>
                </c:pt>
                <c:pt idx="302">
                  <c:v>22.51548938394787</c:v>
                </c:pt>
                <c:pt idx="303">
                  <c:v>22.190473632970026</c:v>
                </c:pt>
                <c:pt idx="304">
                  <c:v>21.869228461524497</c:v>
                </c:pt>
                <c:pt idx="305">
                  <c:v>21.552140884073637</c:v>
                </c:pt>
                <c:pt idx="306">
                  <c:v>21.239598037753133</c:v>
                </c:pt>
                <c:pt idx="307">
                  <c:v>20.93198718647611</c:v>
                </c:pt>
                <c:pt idx="308">
                  <c:v>20.629695724762726</c:v>
                </c:pt>
                <c:pt idx="309">
                  <c:v>20.333993643180076</c:v>
                </c:pt>
                <c:pt idx="310">
                  <c:v>20.045327580731332</c:v>
                </c:pt>
                <c:pt idx="311">
                  <c:v>19.764086112871258</c:v>
                </c:pt>
                <c:pt idx="312">
                  <c:v>19.490657885605795</c:v>
                </c:pt>
                <c:pt idx="313">
                  <c:v>19.225431595896698</c:v>
                </c:pt>
                <c:pt idx="314">
                  <c:v>18.968795970363054</c:v>
                </c:pt>
                <c:pt idx="315">
                  <c:v>18.721139734549048</c:v>
                </c:pt>
                <c:pt idx="316">
                  <c:v>18.482511647514414</c:v>
                </c:pt>
                <c:pt idx="317">
                  <c:v>18.251954304118122</c:v>
                </c:pt>
                <c:pt idx="318">
                  <c:v>18.027977487614105</c:v>
                </c:pt>
                <c:pt idx="319">
                  <c:v>17.810289231377098</c:v>
                </c:pt>
                <c:pt idx="320">
                  <c:v>17.598597843602963</c:v>
                </c:pt>
                <c:pt idx="321">
                  <c:v>17.392611908323769</c:v>
                </c:pt>
                <c:pt idx="322">
                  <c:v>17.192040274906134</c:v>
                </c:pt>
                <c:pt idx="323">
                  <c:v>16.995626310650934</c:v>
                </c:pt>
                <c:pt idx="324">
                  <c:v>16.802193141361137</c:v>
                </c:pt>
                <c:pt idx="325">
                  <c:v>16.611449826632196</c:v>
                </c:pt>
                <c:pt idx="326">
                  <c:v>16.423117822890287</c:v>
                </c:pt>
                <c:pt idx="327">
                  <c:v>16.236911454439774</c:v>
                </c:pt>
                <c:pt idx="328">
                  <c:v>16.052535778636198</c:v>
                </c:pt>
                <c:pt idx="329">
                  <c:v>15.869696252022425</c:v>
                </c:pt>
                <c:pt idx="330">
                  <c:v>15.686934848292887</c:v>
                </c:pt>
                <c:pt idx="331">
                  <c:v>15.504117841668082</c:v>
                </c:pt>
                <c:pt idx="332">
                  <c:v>15.322669633255067</c:v>
                </c:pt>
                <c:pt idx="333">
                  <c:v>15.143460274514272</c:v>
                </c:pt>
                <c:pt idx="334">
                  <c:v>14.967359360963288</c:v>
                </c:pt>
                <c:pt idx="335">
                  <c:v>14.795235998822598</c:v>
                </c:pt>
                <c:pt idx="336">
                  <c:v>14.627958754668583</c:v>
                </c:pt>
                <c:pt idx="337">
                  <c:v>14.467402250108861</c:v>
                </c:pt>
                <c:pt idx="338">
                  <c:v>14.315399193310103</c:v>
                </c:pt>
                <c:pt idx="339">
                  <c:v>14.172815594053843</c:v>
                </c:pt>
                <c:pt idx="340">
                  <c:v>14.04051674252489</c:v>
                </c:pt>
                <c:pt idx="341">
                  <c:v>13.919367215840708</c:v>
                </c:pt>
                <c:pt idx="342">
                  <c:v>13.810230892463297</c:v>
                </c:pt>
                <c:pt idx="343">
                  <c:v>13.71397095629313</c:v>
                </c:pt>
                <c:pt idx="344">
                  <c:v>13.629037427064382</c:v>
                </c:pt>
                <c:pt idx="345">
                  <c:v>13.55337242638903</c:v>
                </c:pt>
                <c:pt idx="346">
                  <c:v>13.486742467382228</c:v>
                </c:pt>
                <c:pt idx="347">
                  <c:v>13.429248247193788</c:v>
                </c:pt>
                <c:pt idx="348">
                  <c:v>13.380990354158609</c:v>
                </c:pt>
                <c:pt idx="349">
                  <c:v>13.342069293969228</c:v>
                </c:pt>
                <c:pt idx="350">
                  <c:v>13.312585510743686</c:v>
                </c:pt>
                <c:pt idx="351">
                  <c:v>13.292852006536238</c:v>
                </c:pt>
                <c:pt idx="352">
                  <c:v>13.281963848935328</c:v>
                </c:pt>
                <c:pt idx="353">
                  <c:v>13.280021395766186</c:v>
                </c:pt>
                <c:pt idx="354">
                  <c:v>13.28712492646993</c:v>
                </c:pt>
                <c:pt idx="355">
                  <c:v>13.303374632996873</c:v>
                </c:pt>
                <c:pt idx="356">
                  <c:v>13.328876335874515</c:v>
                </c:pt>
                <c:pt idx="357">
                  <c:v>13.363727647762181</c:v>
                </c:pt>
                <c:pt idx="358">
                  <c:v>13.408297435795388</c:v>
                </c:pt>
                <c:pt idx="359">
                  <c:v>13.462731541741283</c:v>
                </c:pt>
                <c:pt idx="360">
                  <c:v>13.527812421972829</c:v>
                </c:pt>
                <c:pt idx="361">
                  <c:v>13.603104209472377</c:v>
                </c:pt>
                <c:pt idx="362">
                  <c:v>13.688383948792751</c:v>
                </c:pt>
                <c:pt idx="363">
                  <c:v>13.783428852957529</c:v>
                </c:pt>
                <c:pt idx="364">
                  <c:v>13.88801627421172</c:v>
                </c:pt>
                <c:pt idx="365">
                  <c:v>14.763710474076714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15.845990118019856</c:v>
                </c:pt>
                <c:pt idx="1">
                  <c:v>13.576233931075363</c:v>
                </c:pt>
                <c:pt idx="2">
                  <c:v>13.190487706351732</c:v>
                </c:pt>
                <c:pt idx="3">
                  <c:v>13.857541184586784</c:v>
                </c:pt>
                <c:pt idx="4">
                  <c:v>10.95612931552002</c:v>
                </c:pt>
                <c:pt idx="5">
                  <c:v>16.768584377520327</c:v>
                </c:pt>
                <c:pt idx="6">
                  <c:v>8.406513147026887</c:v>
                </c:pt>
                <c:pt idx="7">
                  <c:v>6.8271663376650578</c:v>
                </c:pt>
                <c:pt idx="8">
                  <c:v>2.0595322456953569</c:v>
                </c:pt>
                <c:pt idx="9">
                  <c:v>1.7441594325752861</c:v>
                </c:pt>
                <c:pt idx="10">
                  <c:v>17.690044374867746</c:v>
                </c:pt>
                <c:pt idx="11">
                  <c:v>16.130709844894024</c:v>
                </c:pt>
                <c:pt idx="12">
                  <c:v>5.9347618347368138</c:v>
                </c:pt>
                <c:pt idx="13">
                  <c:v>18.343910397029866</c:v>
                </c:pt>
                <c:pt idx="14">
                  <c:v>18.507700156632705</c:v>
                </c:pt>
                <c:pt idx="15">
                  <c:v>18.503247375827936</c:v>
                </c:pt>
                <c:pt idx="16">
                  <c:v>14.827049083434545</c:v>
                </c:pt>
                <c:pt idx="17">
                  <c:v>4.1087052930885122</c:v>
                </c:pt>
                <c:pt idx="18">
                  <c:v>10.069324801787676</c:v>
                </c:pt>
                <c:pt idx="19">
                  <c:v>5.9456652469491225</c:v>
                </c:pt>
                <c:pt idx="20">
                  <c:v>14.562570541685217</c:v>
                </c:pt>
                <c:pt idx="21">
                  <c:v>19.919980498733324</c:v>
                </c:pt>
                <c:pt idx="22">
                  <c:v>19.969256717662454</c:v>
                </c:pt>
                <c:pt idx="23">
                  <c:v>20.412220944505073</c:v>
                </c:pt>
                <c:pt idx="24">
                  <c:v>20.654718889834189</c:v>
                </c:pt>
                <c:pt idx="25">
                  <c:v>20.753720077233968</c:v>
                </c:pt>
                <c:pt idx="26">
                  <c:v>20.254164988326419</c:v>
                </c:pt>
                <c:pt idx="27">
                  <c:v>4.2367386762269046</c:v>
                </c:pt>
                <c:pt idx="28">
                  <c:v>6.6253564294470646</c:v>
                </c:pt>
                <c:pt idx="29">
                  <c:v>4.8223321831483155</c:v>
                </c:pt>
                <c:pt idx="30">
                  <c:v>10.812973260477365</c:v>
                </c:pt>
                <c:pt idx="31">
                  <c:v>10.63245399784762</c:v>
                </c:pt>
                <c:pt idx="32">
                  <c:v>5.5557252326110991</c:v>
                </c:pt>
                <c:pt idx="33">
                  <c:v>13.287646655469619</c:v>
                </c:pt>
                <c:pt idx="34">
                  <c:v>11.081303609301964</c:v>
                </c:pt>
                <c:pt idx="35">
                  <c:v>9.6014373848872321</c:v>
                </c:pt>
                <c:pt idx="36">
                  <c:v>17.827430425995448</c:v>
                </c:pt>
                <c:pt idx="37">
                  <c:v>12.359855939995635</c:v>
                </c:pt>
                <c:pt idx="38">
                  <c:v>25.706792627748396</c:v>
                </c:pt>
                <c:pt idx="39">
                  <c:v>25.753467099223961</c:v>
                </c:pt>
                <c:pt idx="40">
                  <c:v>24.998448476598295</c:v>
                </c:pt>
                <c:pt idx="41">
                  <c:v>13.18704134663842</c:v>
                </c:pt>
                <c:pt idx="42">
                  <c:v>22.552130905122905</c:v>
                </c:pt>
                <c:pt idx="43">
                  <c:v>26.294594617233574</c:v>
                </c:pt>
                <c:pt idx="44">
                  <c:v>15.455240643822485</c:v>
                </c:pt>
                <c:pt idx="45">
                  <c:v>18.823437362443478</c:v>
                </c:pt>
                <c:pt idx="46">
                  <c:v>9.604638046155813</c:v>
                </c:pt>
                <c:pt idx="47">
                  <c:v>11.162309047735501</c:v>
                </c:pt>
                <c:pt idx="48">
                  <c:v>26.356802049993227</c:v>
                </c:pt>
                <c:pt idx="49">
                  <c:v>15.912202895703341</c:v>
                </c:pt>
                <c:pt idx="50">
                  <c:v>19.044672313176058</c:v>
                </c:pt>
                <c:pt idx="51">
                  <c:v>19.555207467661116</c:v>
                </c:pt>
                <c:pt idx="52">
                  <c:v>28.91149775518706</c:v>
                </c:pt>
                <c:pt idx="53">
                  <c:v>30.616820584810267</c:v>
                </c:pt>
                <c:pt idx="54">
                  <c:v>18.432708173182938</c:v>
                </c:pt>
                <c:pt idx="55">
                  <c:v>27.287101218976474</c:v>
                </c:pt>
                <c:pt idx="56">
                  <c:v>33.307569492095645</c:v>
                </c:pt>
                <c:pt idx="57">
                  <c:v>25.43652642860631</c:v>
                </c:pt>
                <c:pt idx="58">
                  <c:v>30.297598061791266</c:v>
                </c:pt>
                <c:pt idx="59">
                  <c:v>33.318360727974238</c:v>
                </c:pt>
                <c:pt idx="60">
                  <c:v>15.471207931903338</c:v>
                </c:pt>
                <c:pt idx="61">
                  <c:v>31.986154246452802</c:v>
                </c:pt>
                <c:pt idx="62">
                  <c:v>6.0813855359545954</c:v>
                </c:pt>
                <c:pt idx="63">
                  <c:v>13.633250970665562</c:v>
                </c:pt>
                <c:pt idx="64">
                  <c:v>20.002976534024214</c:v>
                </c:pt>
                <c:pt idx="65">
                  <c:v>34.114322261743631</c:v>
                </c:pt>
                <c:pt idx="66">
                  <c:v>27.528888225655201</c:v>
                </c:pt>
                <c:pt idx="67">
                  <c:v>28.671861174118831</c:v>
                </c:pt>
                <c:pt idx="68">
                  <c:v>20.117200607929114</c:v>
                </c:pt>
                <c:pt idx="69">
                  <c:v>14.311744388322291</c:v>
                </c:pt>
                <c:pt idx="70">
                  <c:v>13.568814328628015</c:v>
                </c:pt>
                <c:pt idx="71">
                  <c:v>8.9612123377521922</c:v>
                </c:pt>
                <c:pt idx="72">
                  <c:v>12.345249296014339</c:v>
                </c:pt>
                <c:pt idx="73">
                  <c:v>14.268607867453655</c:v>
                </c:pt>
                <c:pt idx="74">
                  <c:v>12.524298371256858</c:v>
                </c:pt>
                <c:pt idx="75">
                  <c:v>10.984785833715222</c:v>
                </c:pt>
                <c:pt idx="76">
                  <c:v>13.786901414744607</c:v>
                </c:pt>
                <c:pt idx="77">
                  <c:v>27.766748833809043</c:v>
                </c:pt>
                <c:pt idx="78">
                  <c:v>31.318561331150246</c:v>
                </c:pt>
                <c:pt idx="79">
                  <c:v>41.983315419958998</c:v>
                </c:pt>
                <c:pt idx="80">
                  <c:v>38.831439357326992</c:v>
                </c:pt>
                <c:pt idx="81">
                  <c:v>43.875844744614731</c:v>
                </c:pt>
                <c:pt idx="82">
                  <c:v>43.251413986436539</c:v>
                </c:pt>
                <c:pt idx="83">
                  <c:v>39.589391169267252</c:v>
                </c:pt>
                <c:pt idx="84">
                  <c:v>42.752060277368898</c:v>
                </c:pt>
                <c:pt idx="85">
                  <c:v>42.203676311293485</c:v>
                </c:pt>
                <c:pt idx="86">
                  <c:v>32.824058948809338</c:v>
                </c:pt>
                <c:pt idx="87">
                  <c:v>27.102392845603529</c:v>
                </c:pt>
                <c:pt idx="88">
                  <c:v>7.6385555758587422</c:v>
                </c:pt>
                <c:pt idx="89">
                  <c:v>26.673700664958204</c:v>
                </c:pt>
                <c:pt idx="90">
                  <c:v>29.075192541380023</c:v>
                </c:pt>
                <c:pt idx="91">
                  <c:v>19.698885011788548</c:v>
                </c:pt>
                <c:pt idx="92">
                  <c:v>24.389521589406254</c:v>
                </c:pt>
                <c:pt idx="93">
                  <c:v>42.241130026609824</c:v>
                </c:pt>
                <c:pt idx="94">
                  <c:v>48.882973427108077</c:v>
                </c:pt>
                <c:pt idx="95">
                  <c:v>12.419077033396434</c:v>
                </c:pt>
                <c:pt idx="96">
                  <c:v>37.571946114537397</c:v>
                </c:pt>
                <c:pt idx="97">
                  <c:v>29.349882552134961</c:v>
                </c:pt>
                <c:pt idx="98">
                  <c:v>35.617412611015745</c:v>
                </c:pt>
                <c:pt idx="99">
                  <c:v>50.438672249424336</c:v>
                </c:pt>
                <c:pt idx="100">
                  <c:v>38.596033323657508</c:v>
                </c:pt>
                <c:pt idx="101">
                  <c:v>35.461716139658179</c:v>
                </c:pt>
                <c:pt idx="102">
                  <c:v>7.8159056424044326</c:v>
                </c:pt>
                <c:pt idx="103">
                  <c:v>38.214981657743742</c:v>
                </c:pt>
                <c:pt idx="104">
                  <c:v>42.433295606490759</c:v>
                </c:pt>
                <c:pt idx="105">
                  <c:v>45.503802168880618</c:v>
                </c:pt>
                <c:pt idx="106">
                  <c:v>51.652961903633958</c:v>
                </c:pt>
                <c:pt idx="107">
                  <c:v>41.506288533439673</c:v>
                </c:pt>
                <c:pt idx="108">
                  <c:v>11.341414016373967</c:v>
                </c:pt>
                <c:pt idx="109">
                  <c:v>10.707041485785084</c:v>
                </c:pt>
                <c:pt idx="110">
                  <c:v>10.217383267207941</c:v>
                </c:pt>
                <c:pt idx="111">
                  <c:v>30.902289251563783</c:v>
                </c:pt>
                <c:pt idx="112">
                  <c:v>8.9389202059240365</c:v>
                </c:pt>
                <c:pt idx="113">
                  <c:v>38.214030395653189</c:v>
                </c:pt>
                <c:pt idx="114">
                  <c:v>47.681991179734254</c:v>
                </c:pt>
                <c:pt idx="115">
                  <c:v>52.883401912669022</c:v>
                </c:pt>
                <c:pt idx="116">
                  <c:v>37.727359721689673</c:v>
                </c:pt>
                <c:pt idx="117">
                  <c:v>23.113589182914236</c:v>
                </c:pt>
                <c:pt idx="118">
                  <c:v>43.431305823767659</c:v>
                </c:pt>
                <c:pt idx="119">
                  <c:v>45.360037204115251</c:v>
                </c:pt>
                <c:pt idx="120">
                  <c:v>44.743074284838556</c:v>
                </c:pt>
                <c:pt idx="121">
                  <c:v>27.352903617842365</c:v>
                </c:pt>
                <c:pt idx="122">
                  <c:v>32.326708920973175</c:v>
                </c:pt>
                <c:pt idx="123">
                  <c:v>0.82071683989689515</c:v>
                </c:pt>
                <c:pt idx="124">
                  <c:v>37.718131092116181</c:v>
                </c:pt>
                <c:pt idx="125">
                  <c:v>34.964723967517727</c:v>
                </c:pt>
                <c:pt idx="126">
                  <c:v>48.032755561959277</c:v>
                </c:pt>
                <c:pt idx="127">
                  <c:v>48.862043096669829</c:v>
                </c:pt>
                <c:pt idx="128">
                  <c:v>54.255908318837818</c:v>
                </c:pt>
                <c:pt idx="129">
                  <c:v>49.806497937672603</c:v>
                </c:pt>
                <c:pt idx="130">
                  <c:v>54.58310209678001</c:v>
                </c:pt>
                <c:pt idx="131">
                  <c:v>42.574267147407433</c:v>
                </c:pt>
                <c:pt idx="132">
                  <c:v>45.433037858435654</c:v>
                </c:pt>
                <c:pt idx="133">
                  <c:v>46.830381976803608</c:v>
                </c:pt>
                <c:pt idx="134">
                  <c:v>50.663573592263333</c:v>
                </c:pt>
                <c:pt idx="135">
                  <c:v>49.387165181654495</c:v>
                </c:pt>
                <c:pt idx="136">
                  <c:v>53.250479755614897</c:v>
                </c:pt>
                <c:pt idx="137">
                  <c:v>51.820359575936365</c:v>
                </c:pt>
                <c:pt idx="138">
                  <c:v>53.710462239943944</c:v>
                </c:pt>
                <c:pt idx="139">
                  <c:v>46.780059084815264</c:v>
                </c:pt>
                <c:pt idx="140">
                  <c:v>47.462664684278707</c:v>
                </c:pt>
                <c:pt idx="141">
                  <c:v>33.727721109060582</c:v>
                </c:pt>
                <c:pt idx="142">
                  <c:v>17.405990612298574</c:v>
                </c:pt>
                <c:pt idx="143">
                  <c:v>14.50278638651239</c:v>
                </c:pt>
                <c:pt idx="144">
                  <c:v>40.349001705668115</c:v>
                </c:pt>
                <c:pt idx="145">
                  <c:v>21.191387378437543</c:v>
                </c:pt>
                <c:pt idx="146">
                  <c:v>40.169952362728019</c:v>
                </c:pt>
                <c:pt idx="147">
                  <c:v>53.635376874582484</c:v>
                </c:pt>
                <c:pt idx="148">
                  <c:v>58.540964406976734</c:v>
                </c:pt>
                <c:pt idx="149">
                  <c:v>50.053205714415981</c:v>
                </c:pt>
                <c:pt idx="150">
                  <c:v>53.654664077831661</c:v>
                </c:pt>
                <c:pt idx="151">
                  <c:v>55.18388086578117</c:v>
                </c:pt>
                <c:pt idx="152">
                  <c:v>43.340957424954155</c:v>
                </c:pt>
                <c:pt idx="153">
                  <c:v>52.526728003408749</c:v>
                </c:pt>
                <c:pt idx="154">
                  <c:v>29.828153342396043</c:v>
                </c:pt>
                <c:pt idx="155">
                  <c:v>31.159254038425605</c:v>
                </c:pt>
                <c:pt idx="156">
                  <c:v>41.575797244532374</c:v>
                </c:pt>
                <c:pt idx="157">
                  <c:v>31.289699162011718</c:v>
                </c:pt>
                <c:pt idx="158">
                  <c:v>22.012877894082106</c:v>
                </c:pt>
                <c:pt idx="159">
                  <c:v>43.78544922855923</c:v>
                </c:pt>
                <c:pt idx="160">
                  <c:v>57.514553242700963</c:v>
                </c:pt>
                <c:pt idx="161">
                  <c:v>53.959999866253767</c:v>
                </c:pt>
                <c:pt idx="162">
                  <c:v>42.584792976450665</c:v>
                </c:pt>
                <c:pt idx="163">
                  <c:v>52.317387017209519</c:v>
                </c:pt>
                <c:pt idx="164">
                  <c:v>44.933398764998593</c:v>
                </c:pt>
                <c:pt idx="165">
                  <c:v>53.073014735894247</c:v>
                </c:pt>
                <c:pt idx="166">
                  <c:v>49.269372520451149</c:v>
                </c:pt>
                <c:pt idx="167">
                  <c:v>50.828303723216628</c:v>
                </c:pt>
                <c:pt idx="168">
                  <c:v>52.840868395101666</c:v>
                </c:pt>
                <c:pt idx="169">
                  <c:v>54.15264437706557</c:v>
                </c:pt>
                <c:pt idx="170">
                  <c:v>32.158516582818031</c:v>
                </c:pt>
                <c:pt idx="171">
                  <c:v>19.093146139245501</c:v>
                </c:pt>
                <c:pt idx="172">
                  <c:v>46.112639019399246</c:v>
                </c:pt>
                <c:pt idx="173">
                  <c:v>40.866286356435701</c:v>
                </c:pt>
                <c:pt idx="174">
                  <c:v>43.216409757123174</c:v>
                </c:pt>
                <c:pt idx="175">
                  <c:v>30.270548487419727</c:v>
                </c:pt>
                <c:pt idx="176">
                  <c:v>11.567506068345415</c:v>
                </c:pt>
                <c:pt idx="177">
                  <c:v>17.175138252909932</c:v>
                </c:pt>
                <c:pt idx="178">
                  <c:v>58.602816350191276</c:v>
                </c:pt>
                <c:pt idx="179">
                  <c:v>54.419141862430855</c:v>
                </c:pt>
                <c:pt idx="180">
                  <c:v>13.181364435376301</c:v>
                </c:pt>
                <c:pt idx="181">
                  <c:v>53.769703306727543</c:v>
                </c:pt>
                <c:pt idx="182">
                  <c:v>50.070376844938167</c:v>
                </c:pt>
                <c:pt idx="183">
                  <c:v>42.367616226361477</c:v>
                </c:pt>
                <c:pt idx="184">
                  <c:v>44.457836317616504</c:v>
                </c:pt>
                <c:pt idx="185">
                  <c:v>53.596217971050471</c:v>
                </c:pt>
                <c:pt idx="186">
                  <c:v>41.52376555882735</c:v>
                </c:pt>
                <c:pt idx="187">
                  <c:v>51.565541925632736</c:v>
                </c:pt>
                <c:pt idx="188">
                  <c:v>56.593679911409154</c:v>
                </c:pt>
                <c:pt idx="189">
                  <c:v>55.591268583992779</c:v>
                </c:pt>
                <c:pt idx="190">
                  <c:v>55.032843492904647</c:v>
                </c:pt>
                <c:pt idx="191">
                  <c:v>53.138076933023839</c:v>
                </c:pt>
                <c:pt idx="192">
                  <c:v>53.245031698233625</c:v>
                </c:pt>
                <c:pt idx="193">
                  <c:v>52.918503648882329</c:v>
                </c:pt>
                <c:pt idx="194">
                  <c:v>52.250734132377097</c:v>
                </c:pt>
                <c:pt idx="195">
                  <c:v>50.485290395025721</c:v>
                </c:pt>
                <c:pt idx="196">
                  <c:v>51.992573923584551</c:v>
                </c:pt>
                <c:pt idx="197">
                  <c:v>51.106412631798598</c:v>
                </c:pt>
                <c:pt idx="198">
                  <c:v>51.384467582588464</c:v>
                </c:pt>
                <c:pt idx="199">
                  <c:v>41.55788021519885</c:v>
                </c:pt>
                <c:pt idx="200">
                  <c:v>39.861839618198147</c:v>
                </c:pt>
                <c:pt idx="201">
                  <c:v>50.42257134145536</c:v>
                </c:pt>
                <c:pt idx="202">
                  <c:v>37.97830077776004</c:v>
                </c:pt>
                <c:pt idx="203">
                  <c:v>47.425745536944646</c:v>
                </c:pt>
                <c:pt idx="204">
                  <c:v>49.978045967993246</c:v>
                </c:pt>
                <c:pt idx="205">
                  <c:v>30.194501671960115</c:v>
                </c:pt>
                <c:pt idx="206">
                  <c:v>51.097855930942863</c:v>
                </c:pt>
                <c:pt idx="207">
                  <c:v>53.777021332497647</c:v>
                </c:pt>
                <c:pt idx="208">
                  <c:v>45.849879274134103</c:v>
                </c:pt>
                <c:pt idx="209">
                  <c:v>26.567313700187309</c:v>
                </c:pt>
                <c:pt idx="210">
                  <c:v>45.081450942136584</c:v>
                </c:pt>
                <c:pt idx="211">
                  <c:v>49.764209026013269</c:v>
                </c:pt>
                <c:pt idx="212">
                  <c:v>51.661564953942055</c:v>
                </c:pt>
                <c:pt idx="213">
                  <c:v>49.825025436582806</c:v>
                </c:pt>
                <c:pt idx="214">
                  <c:v>47.984437685220001</c:v>
                </c:pt>
                <c:pt idx="215">
                  <c:v>44.566559300052852</c:v>
                </c:pt>
                <c:pt idx="216">
                  <c:v>43.614134393765426</c:v>
                </c:pt>
                <c:pt idx="217">
                  <c:v>46.228635341636625</c:v>
                </c:pt>
                <c:pt idx="218">
                  <c:v>49.216843915690781</c:v>
                </c:pt>
                <c:pt idx="219">
                  <c:v>49.897726349770871</c:v>
                </c:pt>
                <c:pt idx="220">
                  <c:v>47.98133114140937</c:v>
                </c:pt>
                <c:pt idx="221">
                  <c:v>46.196424859506109</c:v>
                </c:pt>
                <c:pt idx="222">
                  <c:v>41.842882084272532</c:v>
                </c:pt>
                <c:pt idx="223">
                  <c:v>44.481802554721128</c:v>
                </c:pt>
                <c:pt idx="224">
                  <c:v>29.998466440905371</c:v>
                </c:pt>
                <c:pt idx="225">
                  <c:v>32.273509818398345</c:v>
                </c:pt>
                <c:pt idx="226">
                  <c:v>37.846047720697975</c:v>
                </c:pt>
                <c:pt idx="227">
                  <c:v>30.19096534188439</c:v>
                </c:pt>
                <c:pt idx="228">
                  <c:v>21.875246509356959</c:v>
                </c:pt>
                <c:pt idx="229">
                  <c:v>36.876129985445488</c:v>
                </c:pt>
                <c:pt idx="230">
                  <c:v>38.174352534813508</c:v>
                </c:pt>
                <c:pt idx="231">
                  <c:v>44.987354773445553</c:v>
                </c:pt>
                <c:pt idx="232">
                  <c:v>29.535254295692223</c:v>
                </c:pt>
                <c:pt idx="233">
                  <c:v>23.685630047518618</c:v>
                </c:pt>
                <c:pt idx="234">
                  <c:v>41.980715651564445</c:v>
                </c:pt>
                <c:pt idx="235">
                  <c:v>42.383786469330488</c:v>
                </c:pt>
                <c:pt idx="236">
                  <c:v>32.289356957281349</c:v>
                </c:pt>
                <c:pt idx="237">
                  <c:v>39.106328476611239</c:v>
                </c:pt>
                <c:pt idx="238">
                  <c:v>45.494550070049947</c:v>
                </c:pt>
                <c:pt idx="239">
                  <c:v>43.872348479313963</c:v>
                </c:pt>
                <c:pt idx="240">
                  <c:v>30.825553813094</c:v>
                </c:pt>
                <c:pt idx="241">
                  <c:v>42.917274953496232</c:v>
                </c:pt>
                <c:pt idx="242">
                  <c:v>20.152102471556656</c:v>
                </c:pt>
                <c:pt idx="243">
                  <c:v>40.601886600599734</c:v>
                </c:pt>
                <c:pt idx="244">
                  <c:v>35.289512948175755</c:v>
                </c:pt>
                <c:pt idx="245">
                  <c:v>29.040648612087519</c:v>
                </c:pt>
                <c:pt idx="246">
                  <c:v>42.262257551243046</c:v>
                </c:pt>
                <c:pt idx="247">
                  <c:v>36.487379621897148</c:v>
                </c:pt>
                <c:pt idx="248">
                  <c:v>40.927597288984224</c:v>
                </c:pt>
                <c:pt idx="249">
                  <c:v>33.000245629890905</c:v>
                </c:pt>
                <c:pt idx="250">
                  <c:v>35.516179842937916</c:v>
                </c:pt>
                <c:pt idx="251">
                  <c:v>20.196241861795023</c:v>
                </c:pt>
                <c:pt idx="252">
                  <c:v>39.718110767367619</c:v>
                </c:pt>
                <c:pt idx="253">
                  <c:v>39.568573218323472</c:v>
                </c:pt>
                <c:pt idx="254">
                  <c:v>27.504354714944384</c:v>
                </c:pt>
                <c:pt idx="255">
                  <c:v>11.419222174838582</c:v>
                </c:pt>
                <c:pt idx="256">
                  <c:v>33.386907043687188</c:v>
                </c:pt>
                <c:pt idx="257">
                  <c:v>36.43345940728355</c:v>
                </c:pt>
                <c:pt idx="258">
                  <c:v>25.146594123161268</c:v>
                </c:pt>
                <c:pt idx="259">
                  <c:v>39.475576429930307</c:v>
                </c:pt>
                <c:pt idx="260">
                  <c:v>39.785588320626395</c:v>
                </c:pt>
                <c:pt idx="261">
                  <c:v>38.147324508510202</c:v>
                </c:pt>
                <c:pt idx="262">
                  <c:v>39.105757609086211</c:v>
                </c:pt>
                <c:pt idx="263">
                  <c:v>37.977336340607962</c:v>
                </c:pt>
                <c:pt idx="264">
                  <c:v>36.698224892790257</c:v>
                </c:pt>
                <c:pt idx="265">
                  <c:v>23.630895489066596</c:v>
                </c:pt>
                <c:pt idx="266">
                  <c:v>15.854997146324511</c:v>
                </c:pt>
                <c:pt idx="267">
                  <c:v>26.475979310254555</c:v>
                </c:pt>
                <c:pt idx="268">
                  <c:v>28.419849243106594</c:v>
                </c:pt>
                <c:pt idx="269">
                  <c:v>13.879806539117622</c:v>
                </c:pt>
                <c:pt idx="270">
                  <c:v>16.324084705193961</c:v>
                </c:pt>
                <c:pt idx="271">
                  <c:v>21.814879633130928</c:v>
                </c:pt>
                <c:pt idx="272">
                  <c:v>25.187538026750349</c:v>
                </c:pt>
                <c:pt idx="273">
                  <c:v>30.293190028645267</c:v>
                </c:pt>
                <c:pt idx="274">
                  <c:v>31.98234030706352</c:v>
                </c:pt>
                <c:pt idx="275">
                  <c:v>30.154955447655624</c:v>
                </c:pt>
                <c:pt idx="276">
                  <c:v>32.220357690628234</c:v>
                </c:pt>
                <c:pt idx="277">
                  <c:v>32.516355707157985</c:v>
                </c:pt>
                <c:pt idx="278">
                  <c:v>13.961266127178442</c:v>
                </c:pt>
                <c:pt idx="279">
                  <c:v>23.953624410849255</c:v>
                </c:pt>
                <c:pt idx="280">
                  <c:v>14.65708592013508</c:v>
                </c:pt>
                <c:pt idx="281">
                  <c:v>29.579945896334024</c:v>
                </c:pt>
                <c:pt idx="282">
                  <c:v>25.242775175944569</c:v>
                </c:pt>
                <c:pt idx="283">
                  <c:v>21.802109123100887</c:v>
                </c:pt>
                <c:pt idx="284">
                  <c:v>23.498310459846373</c:v>
                </c:pt>
                <c:pt idx="285">
                  <c:v>19.364559535833624</c:v>
                </c:pt>
                <c:pt idx="286">
                  <c:v>16.236816286300865</c:v>
                </c:pt>
                <c:pt idx="287">
                  <c:v>27.484234380015909</c:v>
                </c:pt>
                <c:pt idx="288">
                  <c:v>25.542703070374987</c:v>
                </c:pt>
                <c:pt idx="289">
                  <c:v>16.264119502994792</c:v>
                </c:pt>
                <c:pt idx="290">
                  <c:v>25.402235833849666</c:v>
                </c:pt>
                <c:pt idx="291">
                  <c:v>13.722852173385784</c:v>
                </c:pt>
                <c:pt idx="292">
                  <c:v>7.5980081843791858</c:v>
                </c:pt>
                <c:pt idx="293">
                  <c:v>13.278575916604108</c:v>
                </c:pt>
                <c:pt idx="294">
                  <c:v>23.51947660986545</c:v>
                </c:pt>
                <c:pt idx="295">
                  <c:v>15.882392781722032</c:v>
                </c:pt>
                <c:pt idx="296">
                  <c:v>18.761584508486237</c:v>
                </c:pt>
                <c:pt idx="297">
                  <c:v>17.326943281855446</c:v>
                </c:pt>
                <c:pt idx="298">
                  <c:v>13.714338673523274</c:v>
                </c:pt>
                <c:pt idx="299">
                  <c:v>10.951370986303782</c:v>
                </c:pt>
                <c:pt idx="300">
                  <c:v>14.888941293402425</c:v>
                </c:pt>
                <c:pt idx="301">
                  <c:v>18.883353657224745</c:v>
                </c:pt>
                <c:pt idx="302">
                  <c:v>16.256895608374681</c:v>
                </c:pt>
                <c:pt idx="303">
                  <c:v>15.815655990052571</c:v>
                </c:pt>
                <c:pt idx="304">
                  <c:v>14.909031706211127</c:v>
                </c:pt>
                <c:pt idx="305">
                  <c:v>20.163169598624059</c:v>
                </c:pt>
                <c:pt idx="306">
                  <c:v>5.3003039922640864</c:v>
                </c:pt>
                <c:pt idx="307">
                  <c:v>10.945265166222731</c:v>
                </c:pt>
                <c:pt idx="308">
                  <c:v>19.138275027156233</c:v>
                </c:pt>
                <c:pt idx="309">
                  <c:v>19.156359788177202</c:v>
                </c:pt>
                <c:pt idx="310">
                  <c:v>18.998876008074244</c:v>
                </c:pt>
                <c:pt idx="311">
                  <c:v>12.546374462855439</c:v>
                </c:pt>
                <c:pt idx="312">
                  <c:v>7.4113194676232581</c:v>
                </c:pt>
                <c:pt idx="313">
                  <c:v>16.654478157594291</c:v>
                </c:pt>
                <c:pt idx="314">
                  <c:v>17.145575728108003</c:v>
                </c:pt>
                <c:pt idx="315">
                  <c:v>17.00026430809999</c:v>
                </c:pt>
                <c:pt idx="316">
                  <c:v>15.068790031967794</c:v>
                </c:pt>
                <c:pt idx="317">
                  <c:v>8.690284285992405</c:v>
                </c:pt>
                <c:pt idx="318">
                  <c:v>10.579528640760943</c:v>
                </c:pt>
                <c:pt idx="319">
                  <c:v>16.564091010661201</c:v>
                </c:pt>
                <c:pt idx="320">
                  <c:v>10.865120235739713</c:v>
                </c:pt>
                <c:pt idx="321">
                  <c:v>10.268708262007936</c:v>
                </c:pt>
                <c:pt idx="322">
                  <c:v>7.5462363650176458</c:v>
                </c:pt>
                <c:pt idx="323">
                  <c:v>12.327440860840351</c:v>
                </c:pt>
                <c:pt idx="324">
                  <c:v>2.9396769422871838</c:v>
                </c:pt>
                <c:pt idx="325">
                  <c:v>7.77918109388074</c:v>
                </c:pt>
                <c:pt idx="326">
                  <c:v>11.550230363932009</c:v>
                </c:pt>
                <c:pt idx="327">
                  <c:v>10.425911866699618</c:v>
                </c:pt>
                <c:pt idx="328">
                  <c:v>4.270553475899729</c:v>
                </c:pt>
                <c:pt idx="329">
                  <c:v>9.1504774862236093</c:v>
                </c:pt>
                <c:pt idx="330">
                  <c:v>10.836739670177598</c:v>
                </c:pt>
                <c:pt idx="331">
                  <c:v>8.5254581388381379</c:v>
                </c:pt>
                <c:pt idx="332">
                  <c:v>9.6284027404642245</c:v>
                </c:pt>
                <c:pt idx="333">
                  <c:v>3.9015558140396389</c:v>
                </c:pt>
                <c:pt idx="334">
                  <c:v>3.3691001714298401</c:v>
                </c:pt>
                <c:pt idx="335">
                  <c:v>4.6400902837402276</c:v>
                </c:pt>
                <c:pt idx="336">
                  <c:v>7.2713422931879625</c:v>
                </c:pt>
                <c:pt idx="337">
                  <c:v>12.317938400609147</c:v>
                </c:pt>
                <c:pt idx="338">
                  <c:v>14.419011092430926</c:v>
                </c:pt>
                <c:pt idx="339">
                  <c:v>10.327397073076416</c:v>
                </c:pt>
                <c:pt idx="340">
                  <c:v>12.684134337407768</c:v>
                </c:pt>
                <c:pt idx="341">
                  <c:v>3.7804756504239796</c:v>
                </c:pt>
                <c:pt idx="342">
                  <c:v>7.1958841881983213</c:v>
                </c:pt>
                <c:pt idx="343">
                  <c:v>10.527178928394729</c:v>
                </c:pt>
                <c:pt idx="344">
                  <c:v>11.014409095075351</c:v>
                </c:pt>
                <c:pt idx="345">
                  <c:v>3.8215070341852244</c:v>
                </c:pt>
                <c:pt idx="346">
                  <c:v>4.5961873386277903</c:v>
                </c:pt>
                <c:pt idx="347">
                  <c:v>10.81372470589505</c:v>
                </c:pt>
                <c:pt idx="348">
                  <c:v>5.2984377695207172</c:v>
                </c:pt>
                <c:pt idx="349">
                  <c:v>4.6759717674044827</c:v>
                </c:pt>
                <c:pt idx="350">
                  <c:v>2.8967645370667361</c:v>
                </c:pt>
                <c:pt idx="351">
                  <c:v>11.274758795229308</c:v>
                </c:pt>
                <c:pt idx="352">
                  <c:v>11.055563754845492</c:v>
                </c:pt>
                <c:pt idx="353">
                  <c:v>3.5134885923576857</c:v>
                </c:pt>
                <c:pt idx="354">
                  <c:v>12.80951062148949</c:v>
                </c:pt>
                <c:pt idx="355">
                  <c:v>11.363527727132944</c:v>
                </c:pt>
                <c:pt idx="356">
                  <c:v>11.908692281747486</c:v>
                </c:pt>
                <c:pt idx="357">
                  <c:v>13.56306958930386</c:v>
                </c:pt>
                <c:pt idx="358">
                  <c:v>7.6695109545182865</c:v>
                </c:pt>
                <c:pt idx="359">
                  <c:v>11.932060897921252</c:v>
                </c:pt>
                <c:pt idx="360">
                  <c:v>5.6877232966060802</c:v>
                </c:pt>
                <c:pt idx="361">
                  <c:v>12.663515373262623</c:v>
                </c:pt>
                <c:pt idx="362">
                  <c:v>8.515127731492516</c:v>
                </c:pt>
                <c:pt idx="363">
                  <c:v>10.830887581180823</c:v>
                </c:pt>
                <c:pt idx="364">
                  <c:v>8.462279850028164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15.845990118019856</c:v>
                </c:pt>
                <c:pt idx="1">
                  <c:v>13.576233931075363</c:v>
                </c:pt>
                <c:pt idx="2">
                  <c:v>13.190487706351732</c:v>
                </c:pt>
                <c:pt idx="3">
                  <c:v>13.857541184586784</c:v>
                </c:pt>
                <c:pt idx="4">
                  <c:v>10.95612931552002</c:v>
                </c:pt>
                <c:pt idx="5">
                  <c:v>16.768584377520327</c:v>
                </c:pt>
                <c:pt idx="6">
                  <c:v>8.406513147026887</c:v>
                </c:pt>
                <c:pt idx="7">
                  <c:v>6.8271663376650578</c:v>
                </c:pt>
                <c:pt idx="8">
                  <c:v>2.0595322456953569</c:v>
                </c:pt>
                <c:pt idx="9">
                  <c:v>1.7441594325752861</c:v>
                </c:pt>
                <c:pt idx="10">
                  <c:v>17.690044374867746</c:v>
                </c:pt>
                <c:pt idx="11">
                  <c:v>16.130709844894024</c:v>
                </c:pt>
                <c:pt idx="12">
                  <c:v>5.9347618347368138</c:v>
                </c:pt>
                <c:pt idx="13">
                  <c:v>18.343910397029866</c:v>
                </c:pt>
                <c:pt idx="14">
                  <c:v>18.507700156632705</c:v>
                </c:pt>
                <c:pt idx="15">
                  <c:v>18.503247375827936</c:v>
                </c:pt>
                <c:pt idx="16">
                  <c:v>14.827049083434545</c:v>
                </c:pt>
                <c:pt idx="17">
                  <c:v>4.1087052930885122</c:v>
                </c:pt>
                <c:pt idx="18">
                  <c:v>10.069324801787676</c:v>
                </c:pt>
                <c:pt idx="19">
                  <c:v>5.9456652469491225</c:v>
                </c:pt>
                <c:pt idx="20">
                  <c:v>14.562570541685217</c:v>
                </c:pt>
                <c:pt idx="21">
                  <c:v>19.919980498733324</c:v>
                </c:pt>
                <c:pt idx="22">
                  <c:v>19.969256717662454</c:v>
                </c:pt>
                <c:pt idx="23">
                  <c:v>20.412220944505073</c:v>
                </c:pt>
                <c:pt idx="24">
                  <c:v>20.654718889834189</c:v>
                </c:pt>
                <c:pt idx="25">
                  <c:v>20.753720077233968</c:v>
                </c:pt>
                <c:pt idx="26">
                  <c:v>20.254164988326419</c:v>
                </c:pt>
                <c:pt idx="27">
                  <c:v>4.2367386762269046</c:v>
                </c:pt>
                <c:pt idx="28">
                  <c:v>6.6253564294470646</c:v>
                </c:pt>
                <c:pt idx="29">
                  <c:v>4.8223321831483155</c:v>
                </c:pt>
                <c:pt idx="30">
                  <c:v>10.812973260477365</c:v>
                </c:pt>
                <c:pt idx="31">
                  <c:v>10.63245399784762</c:v>
                </c:pt>
                <c:pt idx="32">
                  <c:v>5.5557252326110991</c:v>
                </c:pt>
                <c:pt idx="33">
                  <c:v>13.287646655469619</c:v>
                </c:pt>
                <c:pt idx="34">
                  <c:v>11.081303609301964</c:v>
                </c:pt>
                <c:pt idx="35">
                  <c:v>9.6014373848872321</c:v>
                </c:pt>
                <c:pt idx="36">
                  <c:v>17.827430425995448</c:v>
                </c:pt>
                <c:pt idx="37">
                  <c:v>12.359855939995635</c:v>
                </c:pt>
                <c:pt idx="38">
                  <c:v>25.706792627748396</c:v>
                </c:pt>
                <c:pt idx="39">
                  <c:v>25.753467099223961</c:v>
                </c:pt>
                <c:pt idx="40">
                  <c:v>24.998448476598295</c:v>
                </c:pt>
                <c:pt idx="41">
                  <c:v>13.18704134663842</c:v>
                </c:pt>
                <c:pt idx="42">
                  <c:v>22.552130905122905</c:v>
                </c:pt>
                <c:pt idx="43">
                  <c:v>26.294594617233574</c:v>
                </c:pt>
                <c:pt idx="44">
                  <c:v>15.455240643822485</c:v>
                </c:pt>
                <c:pt idx="45">
                  <c:v>18.823437362443478</c:v>
                </c:pt>
                <c:pt idx="46">
                  <c:v>9.604638046155813</c:v>
                </c:pt>
                <c:pt idx="47">
                  <c:v>11.162309047735501</c:v>
                </c:pt>
                <c:pt idx="48">
                  <c:v>26.356802049993227</c:v>
                </c:pt>
                <c:pt idx="49">
                  <c:v>15.912202895703341</c:v>
                </c:pt>
                <c:pt idx="50">
                  <c:v>19.044672313176058</c:v>
                </c:pt>
                <c:pt idx="51">
                  <c:v>19.555207467661116</c:v>
                </c:pt>
                <c:pt idx="52">
                  <c:v>28.91149775518706</c:v>
                </c:pt>
                <c:pt idx="53">
                  <c:v>30.616820584810267</c:v>
                </c:pt>
                <c:pt idx="54">
                  <c:v>18.432708173182938</c:v>
                </c:pt>
                <c:pt idx="55">
                  <c:v>27.287101218976474</c:v>
                </c:pt>
                <c:pt idx="56">
                  <c:v>33.307569492095645</c:v>
                </c:pt>
                <c:pt idx="57">
                  <c:v>25.43652642860631</c:v>
                </c:pt>
                <c:pt idx="58">
                  <c:v>30.297598061791266</c:v>
                </c:pt>
                <c:pt idx="59">
                  <c:v>33.318360727974238</c:v>
                </c:pt>
                <c:pt idx="60">
                  <c:v>15.471207931903338</c:v>
                </c:pt>
                <c:pt idx="61">
                  <c:v>31.986154246452802</c:v>
                </c:pt>
                <c:pt idx="62">
                  <c:v>6.0813855359545954</c:v>
                </c:pt>
                <c:pt idx="63">
                  <c:v>13.633250970665562</c:v>
                </c:pt>
                <c:pt idx="64">
                  <c:v>20.002976534024214</c:v>
                </c:pt>
                <c:pt idx="65">
                  <c:v>34.114322261743631</c:v>
                </c:pt>
                <c:pt idx="66">
                  <c:v>27.528888225655201</c:v>
                </c:pt>
                <c:pt idx="67">
                  <c:v>28.671861174118831</c:v>
                </c:pt>
                <c:pt idx="68">
                  <c:v>20.117200607929114</c:v>
                </c:pt>
                <c:pt idx="69">
                  <c:v>14.311744388322291</c:v>
                </c:pt>
                <c:pt idx="70">
                  <c:v>13.568814328628015</c:v>
                </c:pt>
                <c:pt idx="71">
                  <c:v>8.9612123377521922</c:v>
                </c:pt>
                <c:pt idx="72">
                  <c:v>12.345249296014339</c:v>
                </c:pt>
                <c:pt idx="73">
                  <c:v>14.268607867453655</c:v>
                </c:pt>
                <c:pt idx="74">
                  <c:v>12.524298371256858</c:v>
                </c:pt>
                <c:pt idx="75">
                  <c:v>10.984785833715222</c:v>
                </c:pt>
                <c:pt idx="76">
                  <c:v>13.786901414744607</c:v>
                </c:pt>
                <c:pt idx="77">
                  <c:v>27.766748833809043</c:v>
                </c:pt>
                <c:pt idx="78">
                  <c:v>31.318561331150246</c:v>
                </c:pt>
                <c:pt idx="79">
                  <c:v>41.983315419958998</c:v>
                </c:pt>
                <c:pt idx="80">
                  <c:v>38.831439357326992</c:v>
                </c:pt>
                <c:pt idx="81">
                  <c:v>43.875844744614731</c:v>
                </c:pt>
                <c:pt idx="82">
                  <c:v>43.251413986436539</c:v>
                </c:pt>
                <c:pt idx="83">
                  <c:v>39.589391169267252</c:v>
                </c:pt>
                <c:pt idx="84">
                  <c:v>42.752060277368898</c:v>
                </c:pt>
                <c:pt idx="85">
                  <c:v>42.203676311293485</c:v>
                </c:pt>
                <c:pt idx="86">
                  <c:v>32.824058948809338</c:v>
                </c:pt>
                <c:pt idx="87">
                  <c:v>27.102392845603529</c:v>
                </c:pt>
                <c:pt idx="88">
                  <c:v>7.6385555758587422</c:v>
                </c:pt>
                <c:pt idx="89">
                  <c:v>26.673700664958204</c:v>
                </c:pt>
                <c:pt idx="90">
                  <c:v>29.075192541380023</c:v>
                </c:pt>
                <c:pt idx="91">
                  <c:v>19.698885011788548</c:v>
                </c:pt>
                <c:pt idx="92">
                  <c:v>24.389521589406254</c:v>
                </c:pt>
                <c:pt idx="93">
                  <c:v>42.241130026609824</c:v>
                </c:pt>
                <c:pt idx="94">
                  <c:v>48.882973427108077</c:v>
                </c:pt>
                <c:pt idx="95">
                  <c:v>12.419077033396434</c:v>
                </c:pt>
                <c:pt idx="96">
                  <c:v>37.571946114537397</c:v>
                </c:pt>
                <c:pt idx="97">
                  <c:v>29.349882552134961</c:v>
                </c:pt>
                <c:pt idx="98">
                  <c:v>35.617412611015745</c:v>
                </c:pt>
                <c:pt idx="99">
                  <c:v>50.438672249424336</c:v>
                </c:pt>
                <c:pt idx="100">
                  <c:v>38.596033323657508</c:v>
                </c:pt>
                <c:pt idx="101">
                  <c:v>35.461716139658179</c:v>
                </c:pt>
                <c:pt idx="102">
                  <c:v>7.8159056424044326</c:v>
                </c:pt>
                <c:pt idx="103">
                  <c:v>38.214981657743742</c:v>
                </c:pt>
                <c:pt idx="104">
                  <c:v>42.433295606490759</c:v>
                </c:pt>
                <c:pt idx="105">
                  <c:v>45.503802168880618</c:v>
                </c:pt>
                <c:pt idx="106">
                  <c:v>51.652961903633958</c:v>
                </c:pt>
                <c:pt idx="107">
                  <c:v>41.506288533439673</c:v>
                </c:pt>
                <c:pt idx="108">
                  <c:v>11.341414016373967</c:v>
                </c:pt>
                <c:pt idx="109">
                  <c:v>10.707041485785084</c:v>
                </c:pt>
                <c:pt idx="110">
                  <c:v>10.217383267207941</c:v>
                </c:pt>
                <c:pt idx="111">
                  <c:v>30.902289251563783</c:v>
                </c:pt>
                <c:pt idx="112">
                  <c:v>8.9389202059240365</c:v>
                </c:pt>
                <c:pt idx="113">
                  <c:v>38.214030395653189</c:v>
                </c:pt>
                <c:pt idx="114">
                  <c:v>47.681991179734254</c:v>
                </c:pt>
                <c:pt idx="115">
                  <c:v>52.883401912669022</c:v>
                </c:pt>
                <c:pt idx="116">
                  <c:v>37.727359721689673</c:v>
                </c:pt>
                <c:pt idx="117">
                  <c:v>23.113589182914236</c:v>
                </c:pt>
                <c:pt idx="118">
                  <c:v>43.431305823767659</c:v>
                </c:pt>
                <c:pt idx="119">
                  <c:v>45.360037204115251</c:v>
                </c:pt>
                <c:pt idx="120">
                  <c:v>44.743074284838556</c:v>
                </c:pt>
                <c:pt idx="121">
                  <c:v>27.352903617842365</c:v>
                </c:pt>
                <c:pt idx="122">
                  <c:v>32.326708920973175</c:v>
                </c:pt>
                <c:pt idx="123">
                  <c:v>0.82071683989689515</c:v>
                </c:pt>
                <c:pt idx="124">
                  <c:v>37.718131092116181</c:v>
                </c:pt>
                <c:pt idx="125">
                  <c:v>34.964723967517727</c:v>
                </c:pt>
                <c:pt idx="126">
                  <c:v>48.032755561959277</c:v>
                </c:pt>
                <c:pt idx="127">
                  <c:v>48.862043096669829</c:v>
                </c:pt>
                <c:pt idx="128">
                  <c:v>54.255908318837818</c:v>
                </c:pt>
                <c:pt idx="129">
                  <c:v>49.806497937672603</c:v>
                </c:pt>
                <c:pt idx="130">
                  <c:v>54.58310209678001</c:v>
                </c:pt>
                <c:pt idx="131">
                  <c:v>42.574267147407433</c:v>
                </c:pt>
                <c:pt idx="132">
                  <c:v>45.433037858435654</c:v>
                </c:pt>
                <c:pt idx="133">
                  <c:v>46.830381976803608</c:v>
                </c:pt>
                <c:pt idx="134">
                  <c:v>50.663573592263333</c:v>
                </c:pt>
                <c:pt idx="135">
                  <c:v>49.387165181654495</c:v>
                </c:pt>
                <c:pt idx="136">
                  <c:v>53.250479755614897</c:v>
                </c:pt>
                <c:pt idx="137">
                  <c:v>51.820359575936365</c:v>
                </c:pt>
                <c:pt idx="138">
                  <c:v>53.710462239943944</c:v>
                </c:pt>
                <c:pt idx="139">
                  <c:v>46.780059084815264</c:v>
                </c:pt>
                <c:pt idx="140">
                  <c:v>47.462664684278707</c:v>
                </c:pt>
                <c:pt idx="141">
                  <c:v>33.727721109060582</c:v>
                </c:pt>
                <c:pt idx="142">
                  <c:v>17.405990612298574</c:v>
                </c:pt>
                <c:pt idx="143">
                  <c:v>14.50278638651239</c:v>
                </c:pt>
                <c:pt idx="144">
                  <c:v>40.349001705668115</c:v>
                </c:pt>
                <c:pt idx="145">
                  <c:v>21.191387378437543</c:v>
                </c:pt>
                <c:pt idx="146">
                  <c:v>40.169952362728019</c:v>
                </c:pt>
                <c:pt idx="147">
                  <c:v>53.635376874582484</c:v>
                </c:pt>
                <c:pt idx="148">
                  <c:v>58.540964406976734</c:v>
                </c:pt>
                <c:pt idx="149">
                  <c:v>50.053205714415981</c:v>
                </c:pt>
                <c:pt idx="150">
                  <c:v>53.654664077831661</c:v>
                </c:pt>
                <c:pt idx="151">
                  <c:v>55.18388086578117</c:v>
                </c:pt>
                <c:pt idx="152">
                  <c:v>43.340957424954155</c:v>
                </c:pt>
                <c:pt idx="153">
                  <c:v>52.526728003408749</c:v>
                </c:pt>
                <c:pt idx="154">
                  <c:v>29.828153342396043</c:v>
                </c:pt>
                <c:pt idx="155">
                  <c:v>31.159254038425605</c:v>
                </c:pt>
                <c:pt idx="156">
                  <c:v>41.575797244532374</c:v>
                </c:pt>
                <c:pt idx="157">
                  <c:v>31.289699162011718</c:v>
                </c:pt>
                <c:pt idx="158">
                  <c:v>22.012877894082106</c:v>
                </c:pt>
                <c:pt idx="159">
                  <c:v>43.78544922855923</c:v>
                </c:pt>
                <c:pt idx="160">
                  <c:v>57.514553242700963</c:v>
                </c:pt>
                <c:pt idx="161">
                  <c:v>53.959999866253767</c:v>
                </c:pt>
                <c:pt idx="162">
                  <c:v>42.584792976450665</c:v>
                </c:pt>
                <c:pt idx="163">
                  <c:v>52.317387017209519</c:v>
                </c:pt>
                <c:pt idx="164">
                  <c:v>44.933398764998593</c:v>
                </c:pt>
                <c:pt idx="165">
                  <c:v>53.073014735894247</c:v>
                </c:pt>
                <c:pt idx="166">
                  <c:v>49.269372520451149</c:v>
                </c:pt>
                <c:pt idx="167">
                  <c:v>50.828303723216628</c:v>
                </c:pt>
                <c:pt idx="168">
                  <c:v>52.840868395101666</c:v>
                </c:pt>
                <c:pt idx="169">
                  <c:v>54.15264437706557</c:v>
                </c:pt>
                <c:pt idx="170">
                  <c:v>32.158516582818031</c:v>
                </c:pt>
                <c:pt idx="171">
                  <c:v>19.093146139245501</c:v>
                </c:pt>
                <c:pt idx="172">
                  <c:v>46.112639019399246</c:v>
                </c:pt>
                <c:pt idx="173">
                  <c:v>40.866286356435701</c:v>
                </c:pt>
                <c:pt idx="174">
                  <c:v>43.216409757123174</c:v>
                </c:pt>
                <c:pt idx="175">
                  <c:v>30.270548487419727</c:v>
                </c:pt>
                <c:pt idx="176">
                  <c:v>11.567506068345415</c:v>
                </c:pt>
                <c:pt idx="177">
                  <c:v>17.175138252909932</c:v>
                </c:pt>
                <c:pt idx="178">
                  <c:v>58.602816350191276</c:v>
                </c:pt>
                <c:pt idx="179">
                  <c:v>54.419141862430855</c:v>
                </c:pt>
                <c:pt idx="180">
                  <c:v>13.181364435376301</c:v>
                </c:pt>
                <c:pt idx="181">
                  <c:v>53.769703306727543</c:v>
                </c:pt>
                <c:pt idx="182">
                  <c:v>50.070376844938167</c:v>
                </c:pt>
                <c:pt idx="183">
                  <c:v>42.367616226361477</c:v>
                </c:pt>
                <c:pt idx="184">
                  <c:v>44.457836317616504</c:v>
                </c:pt>
                <c:pt idx="185">
                  <c:v>53.596217971050471</c:v>
                </c:pt>
                <c:pt idx="186">
                  <c:v>41.52376555882735</c:v>
                </c:pt>
                <c:pt idx="187">
                  <c:v>51.565541925632736</c:v>
                </c:pt>
                <c:pt idx="188">
                  <c:v>56.593679911409154</c:v>
                </c:pt>
                <c:pt idx="189">
                  <c:v>55.591268583992779</c:v>
                </c:pt>
                <c:pt idx="190">
                  <c:v>55.032843492904647</c:v>
                </c:pt>
                <c:pt idx="191">
                  <c:v>53.138076933023839</c:v>
                </c:pt>
                <c:pt idx="192">
                  <c:v>53.245031698233625</c:v>
                </c:pt>
                <c:pt idx="193">
                  <c:v>52.918503648882329</c:v>
                </c:pt>
                <c:pt idx="194">
                  <c:v>52.250734132377097</c:v>
                </c:pt>
                <c:pt idx="195">
                  <c:v>50.485290395025721</c:v>
                </c:pt>
                <c:pt idx="196">
                  <c:v>51.992573923584551</c:v>
                </c:pt>
                <c:pt idx="197">
                  <c:v>51.106412631798598</c:v>
                </c:pt>
                <c:pt idx="198">
                  <c:v>51.384467582588464</c:v>
                </c:pt>
                <c:pt idx="199">
                  <c:v>41.55788021519885</c:v>
                </c:pt>
                <c:pt idx="200">
                  <c:v>39.861839618198147</c:v>
                </c:pt>
                <c:pt idx="201">
                  <c:v>50.42257134145536</c:v>
                </c:pt>
                <c:pt idx="202">
                  <c:v>37.97830077776004</c:v>
                </c:pt>
                <c:pt idx="203">
                  <c:v>47.425745536944646</c:v>
                </c:pt>
                <c:pt idx="204">
                  <c:v>49.978045967993246</c:v>
                </c:pt>
                <c:pt idx="205">
                  <c:v>30.194501671960115</c:v>
                </c:pt>
                <c:pt idx="206">
                  <c:v>51.097855930942863</c:v>
                </c:pt>
                <c:pt idx="207">
                  <c:v>53.777021332497647</c:v>
                </c:pt>
                <c:pt idx="208">
                  <c:v>45.849879274134103</c:v>
                </c:pt>
                <c:pt idx="209">
                  <c:v>26.567313700187309</c:v>
                </c:pt>
                <c:pt idx="210">
                  <c:v>45.081450942136584</c:v>
                </c:pt>
                <c:pt idx="211">
                  <c:v>49.764209026013269</c:v>
                </c:pt>
                <c:pt idx="212">
                  <c:v>51.661564953942055</c:v>
                </c:pt>
                <c:pt idx="213">
                  <c:v>49.825025436582806</c:v>
                </c:pt>
                <c:pt idx="214">
                  <c:v>47.984437685220001</c:v>
                </c:pt>
                <c:pt idx="215">
                  <c:v>44.566559300052852</c:v>
                </c:pt>
                <c:pt idx="216">
                  <c:v>43.614134393765426</c:v>
                </c:pt>
                <c:pt idx="217">
                  <c:v>46.228635341636625</c:v>
                </c:pt>
                <c:pt idx="218">
                  <c:v>49.216843915690781</c:v>
                </c:pt>
                <c:pt idx="219">
                  <c:v>49.897726349770871</c:v>
                </c:pt>
                <c:pt idx="220">
                  <c:v>47.98133114140937</c:v>
                </c:pt>
                <c:pt idx="221">
                  <c:v>46.196424859506109</c:v>
                </c:pt>
                <c:pt idx="222">
                  <c:v>41.842882084272532</c:v>
                </c:pt>
                <c:pt idx="223">
                  <c:v>44.481802554721128</c:v>
                </c:pt>
                <c:pt idx="224">
                  <c:v>29.998466440905371</c:v>
                </c:pt>
                <c:pt idx="225">
                  <c:v>32.273509818398345</c:v>
                </c:pt>
                <c:pt idx="226">
                  <c:v>37.846047720697975</c:v>
                </c:pt>
                <c:pt idx="227">
                  <c:v>30.19096534188439</c:v>
                </c:pt>
                <c:pt idx="228">
                  <c:v>21.875246509356959</c:v>
                </c:pt>
                <c:pt idx="229">
                  <c:v>36.876129985445488</c:v>
                </c:pt>
                <c:pt idx="230">
                  <c:v>38.174352534813508</c:v>
                </c:pt>
                <c:pt idx="231">
                  <c:v>44.987354773445553</c:v>
                </c:pt>
                <c:pt idx="232">
                  <c:v>29.535254295692223</c:v>
                </c:pt>
                <c:pt idx="233">
                  <c:v>23.685630047518618</c:v>
                </c:pt>
                <c:pt idx="234">
                  <c:v>41.980715651564445</c:v>
                </c:pt>
                <c:pt idx="235">
                  <c:v>42.383786469330488</c:v>
                </c:pt>
                <c:pt idx="236">
                  <c:v>32.289356957281349</c:v>
                </c:pt>
                <c:pt idx="237">
                  <c:v>39.106328476611239</c:v>
                </c:pt>
                <c:pt idx="238">
                  <c:v>45.494550070049947</c:v>
                </c:pt>
                <c:pt idx="239">
                  <c:v>43.872348479313963</c:v>
                </c:pt>
                <c:pt idx="240">
                  <c:v>30.825553813094</c:v>
                </c:pt>
                <c:pt idx="241">
                  <c:v>42.917274953496232</c:v>
                </c:pt>
                <c:pt idx="242">
                  <c:v>20.152102471556656</c:v>
                </c:pt>
                <c:pt idx="243">
                  <c:v>40.601886600599734</c:v>
                </c:pt>
                <c:pt idx="244">
                  <c:v>35.289512948175755</c:v>
                </c:pt>
                <c:pt idx="245">
                  <c:v>29.040648612087519</c:v>
                </c:pt>
                <c:pt idx="246">
                  <c:v>42.262257551243046</c:v>
                </c:pt>
                <c:pt idx="247">
                  <c:v>36.487379621897148</c:v>
                </c:pt>
                <c:pt idx="248">
                  <c:v>40.927597288984224</c:v>
                </c:pt>
                <c:pt idx="249">
                  <c:v>33.000245629890905</c:v>
                </c:pt>
                <c:pt idx="250">
                  <c:v>35.516179842937916</c:v>
                </c:pt>
                <c:pt idx="251">
                  <c:v>20.196241861795023</c:v>
                </c:pt>
                <c:pt idx="252">
                  <c:v>39.718110767367619</c:v>
                </c:pt>
                <c:pt idx="253">
                  <c:v>39.568573218323472</c:v>
                </c:pt>
                <c:pt idx="254">
                  <c:v>27.504354714944384</c:v>
                </c:pt>
                <c:pt idx="255">
                  <c:v>11.419222174838582</c:v>
                </c:pt>
                <c:pt idx="256">
                  <c:v>33.386907043687188</c:v>
                </c:pt>
                <c:pt idx="257">
                  <c:v>36.43345940728355</c:v>
                </c:pt>
                <c:pt idx="258">
                  <c:v>25.146594123161268</c:v>
                </c:pt>
                <c:pt idx="259">
                  <c:v>39.475576429930307</c:v>
                </c:pt>
                <c:pt idx="260">
                  <c:v>39.785588320626395</c:v>
                </c:pt>
                <c:pt idx="261">
                  <c:v>38.147324508510202</c:v>
                </c:pt>
                <c:pt idx="262">
                  <c:v>39.105757609086211</c:v>
                </c:pt>
                <c:pt idx="263">
                  <c:v>37.977336340607962</c:v>
                </c:pt>
                <c:pt idx="264">
                  <c:v>36.698224892790257</c:v>
                </c:pt>
                <c:pt idx="265">
                  <c:v>23.630895489066596</c:v>
                </c:pt>
                <c:pt idx="266">
                  <c:v>15.854997146324511</c:v>
                </c:pt>
                <c:pt idx="267">
                  <c:v>26.475979310254555</c:v>
                </c:pt>
                <c:pt idx="268">
                  <c:v>28.419849243106594</c:v>
                </c:pt>
                <c:pt idx="269">
                  <c:v>13.879806539117622</c:v>
                </c:pt>
                <c:pt idx="270">
                  <c:v>16.324084705193961</c:v>
                </c:pt>
                <c:pt idx="271">
                  <c:v>21.814879633130928</c:v>
                </c:pt>
                <c:pt idx="272">
                  <c:v>25.187538026750349</c:v>
                </c:pt>
                <c:pt idx="273">
                  <c:v>30.293190028645267</c:v>
                </c:pt>
                <c:pt idx="274">
                  <c:v>31.98234030706352</c:v>
                </c:pt>
                <c:pt idx="275">
                  <c:v>30.154955447655624</c:v>
                </c:pt>
                <c:pt idx="276">
                  <c:v>32.220357690628234</c:v>
                </c:pt>
                <c:pt idx="277">
                  <c:v>32.516355707157985</c:v>
                </c:pt>
                <c:pt idx="278">
                  <c:v>13.961266127178442</c:v>
                </c:pt>
                <c:pt idx="279">
                  <c:v>23.953624410849255</c:v>
                </c:pt>
                <c:pt idx="280">
                  <c:v>14.65708592013508</c:v>
                </c:pt>
                <c:pt idx="281">
                  <c:v>29.579945896334024</c:v>
                </c:pt>
                <c:pt idx="282">
                  <c:v>25.242775175944569</c:v>
                </c:pt>
                <c:pt idx="283">
                  <c:v>21.802109123100887</c:v>
                </c:pt>
                <c:pt idx="284">
                  <c:v>23.498310459846373</c:v>
                </c:pt>
                <c:pt idx="285">
                  <c:v>19.364559535833624</c:v>
                </c:pt>
                <c:pt idx="286">
                  <c:v>16.236816286300865</c:v>
                </c:pt>
                <c:pt idx="287">
                  <c:v>27.484234380015909</c:v>
                </c:pt>
                <c:pt idx="288">
                  <c:v>25.542703070374987</c:v>
                </c:pt>
                <c:pt idx="289">
                  <c:v>16.264119502994792</c:v>
                </c:pt>
                <c:pt idx="290">
                  <c:v>25.402235833849666</c:v>
                </c:pt>
                <c:pt idx="291">
                  <c:v>13.722852173385784</c:v>
                </c:pt>
                <c:pt idx="292">
                  <c:v>7.5980081843791858</c:v>
                </c:pt>
                <c:pt idx="293">
                  <c:v>13.278575916604108</c:v>
                </c:pt>
                <c:pt idx="294">
                  <c:v>23.51947660986545</c:v>
                </c:pt>
                <c:pt idx="295">
                  <c:v>15.882392781722032</c:v>
                </c:pt>
                <c:pt idx="296">
                  <c:v>18.761584508486237</c:v>
                </c:pt>
                <c:pt idx="297">
                  <c:v>17.326943281855446</c:v>
                </c:pt>
                <c:pt idx="298">
                  <c:v>13.714338673523274</c:v>
                </c:pt>
                <c:pt idx="299">
                  <c:v>10.951370986303782</c:v>
                </c:pt>
                <c:pt idx="300">
                  <c:v>14.888941293402425</c:v>
                </c:pt>
                <c:pt idx="301">
                  <c:v>18.883353657224745</c:v>
                </c:pt>
                <c:pt idx="302">
                  <c:v>16.256895608374681</c:v>
                </c:pt>
                <c:pt idx="303">
                  <c:v>15.815655990052571</c:v>
                </c:pt>
                <c:pt idx="304">
                  <c:v>14.909031706211127</c:v>
                </c:pt>
                <c:pt idx="305">
                  <c:v>20.163169598624059</c:v>
                </c:pt>
                <c:pt idx="306">
                  <c:v>5.3003039922640864</c:v>
                </c:pt>
                <c:pt idx="307">
                  <c:v>10.945265166222731</c:v>
                </c:pt>
                <c:pt idx="308">
                  <c:v>19.138275027156233</c:v>
                </c:pt>
                <c:pt idx="309">
                  <c:v>19.156359788177202</c:v>
                </c:pt>
                <c:pt idx="310">
                  <c:v>18.998876008074244</c:v>
                </c:pt>
                <c:pt idx="311">
                  <c:v>12.546374462855439</c:v>
                </c:pt>
                <c:pt idx="312">
                  <c:v>7.4113194676232581</c:v>
                </c:pt>
                <c:pt idx="313">
                  <c:v>16.654478157594291</c:v>
                </c:pt>
                <c:pt idx="314">
                  <c:v>17.145575728108003</c:v>
                </c:pt>
                <c:pt idx="315">
                  <c:v>17.00026430809999</c:v>
                </c:pt>
                <c:pt idx="316">
                  <c:v>15.068790031967794</c:v>
                </c:pt>
                <c:pt idx="317">
                  <c:v>8.690284285992405</c:v>
                </c:pt>
                <c:pt idx="318">
                  <c:v>10.579528640760943</c:v>
                </c:pt>
                <c:pt idx="319">
                  <c:v>16.564091010661201</c:v>
                </c:pt>
                <c:pt idx="320">
                  <c:v>10.865120235739713</c:v>
                </c:pt>
                <c:pt idx="321">
                  <c:v>10.268708262007936</c:v>
                </c:pt>
                <c:pt idx="322">
                  <c:v>7.5462363650176458</c:v>
                </c:pt>
                <c:pt idx="323">
                  <c:v>12.327440860840351</c:v>
                </c:pt>
                <c:pt idx="324">
                  <c:v>2.9396769422871838</c:v>
                </c:pt>
                <c:pt idx="325">
                  <c:v>7.77918109388074</c:v>
                </c:pt>
                <c:pt idx="326">
                  <c:v>11.550230363932009</c:v>
                </c:pt>
                <c:pt idx="327">
                  <c:v>10.425911866699618</c:v>
                </c:pt>
                <c:pt idx="328">
                  <c:v>4.270553475899729</c:v>
                </c:pt>
                <c:pt idx="329">
                  <c:v>9.1504774862236093</c:v>
                </c:pt>
                <c:pt idx="330">
                  <c:v>10.836739670177598</c:v>
                </c:pt>
                <c:pt idx="331">
                  <c:v>8.5254581388381379</c:v>
                </c:pt>
                <c:pt idx="332">
                  <c:v>9.6284027404642245</c:v>
                </c:pt>
                <c:pt idx="333">
                  <c:v>3.9015558140396389</c:v>
                </c:pt>
                <c:pt idx="334">
                  <c:v>3.3691001714298401</c:v>
                </c:pt>
                <c:pt idx="335">
                  <c:v>4.6400902837402276</c:v>
                </c:pt>
                <c:pt idx="336">
                  <c:v>7.2713422931879625</c:v>
                </c:pt>
                <c:pt idx="337">
                  <c:v>12.317938400609147</c:v>
                </c:pt>
                <c:pt idx="338">
                  <c:v>14.419011092430926</c:v>
                </c:pt>
                <c:pt idx="339">
                  <c:v>10.327397073076416</c:v>
                </c:pt>
                <c:pt idx="340">
                  <c:v>12.684134337407768</c:v>
                </c:pt>
                <c:pt idx="341">
                  <c:v>3.7804756504239796</c:v>
                </c:pt>
                <c:pt idx="342">
                  <c:v>7.1958841881983213</c:v>
                </c:pt>
                <c:pt idx="343">
                  <c:v>10.527178928394729</c:v>
                </c:pt>
                <c:pt idx="344">
                  <c:v>11.014409095075351</c:v>
                </c:pt>
                <c:pt idx="345">
                  <c:v>3.8215070341852244</c:v>
                </c:pt>
                <c:pt idx="346">
                  <c:v>4.5961873386277903</c:v>
                </c:pt>
                <c:pt idx="347">
                  <c:v>10.81372470589505</c:v>
                </c:pt>
                <c:pt idx="348">
                  <c:v>5.2984377695207172</c:v>
                </c:pt>
                <c:pt idx="349">
                  <c:v>4.6759717674044827</c:v>
                </c:pt>
                <c:pt idx="350">
                  <c:v>2.8967645370667361</c:v>
                </c:pt>
                <c:pt idx="351">
                  <c:v>11.274758795229308</c:v>
                </c:pt>
                <c:pt idx="352">
                  <c:v>11.055563754845492</c:v>
                </c:pt>
                <c:pt idx="353">
                  <c:v>3.5134885923576857</c:v>
                </c:pt>
                <c:pt idx="354">
                  <c:v>12.80951062148949</c:v>
                </c:pt>
                <c:pt idx="355">
                  <c:v>11.363527727132944</c:v>
                </c:pt>
                <c:pt idx="356">
                  <c:v>11.908692281747486</c:v>
                </c:pt>
                <c:pt idx="357">
                  <c:v>13.56306958930386</c:v>
                </c:pt>
                <c:pt idx="358">
                  <c:v>7.6695109545182865</c:v>
                </c:pt>
                <c:pt idx="359">
                  <c:v>11.932060897921252</c:v>
                </c:pt>
                <c:pt idx="360">
                  <c:v>5.6877232966060802</c:v>
                </c:pt>
                <c:pt idx="361">
                  <c:v>12.663515373262623</c:v>
                </c:pt>
                <c:pt idx="362">
                  <c:v>8.515127731492516</c:v>
                </c:pt>
                <c:pt idx="363">
                  <c:v>10.830887581180823</c:v>
                </c:pt>
                <c:pt idx="364">
                  <c:v>8.462279850028164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908128"/>
        <c:axId val="443908520"/>
      </c:lineChart>
      <c:dateAx>
        <c:axId val="443908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08520"/>
        <c:crosses val="autoZero"/>
        <c:auto val="1"/>
        <c:lblOffset val="100"/>
        <c:baseTimeUnit val="days"/>
        <c:majorUnit val="1"/>
        <c:majorTimeUnit val="months"/>
      </c:dateAx>
      <c:valAx>
        <c:axId val="44390852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0812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3.6863925964485622E-2</c:v>
                </c:pt>
                <c:pt idx="1">
                  <c:v>3.6886339547979707E-2</c:v>
                </c:pt>
                <c:pt idx="2">
                  <c:v>3.6908752609876916E-2</c:v>
                </c:pt>
                <c:pt idx="3">
                  <c:v>3.693116515018946E-2</c:v>
                </c:pt>
                <c:pt idx="4">
                  <c:v>3.6953577168929441E-2</c:v>
                </c:pt>
                <c:pt idx="5">
                  <c:v>3.6975988666108961E-2</c:v>
                </c:pt>
                <c:pt idx="6">
                  <c:v>3.6998399641740232E-2</c:v>
                </c:pt>
                <c:pt idx="7">
                  <c:v>3.7020810095835355E-2</c:v>
                </c:pt>
                <c:pt idx="8">
                  <c:v>3.7043220028406543E-2</c:v>
                </c:pt>
                <c:pt idx="9">
                  <c:v>3.7065629439465786E-2</c:v>
                </c:pt>
                <c:pt idx="10">
                  <c:v>3.7088038329025297E-2</c:v>
                </c:pt>
                <c:pt idx="11">
                  <c:v>3.7110446697097177E-2</c:v>
                </c:pt>
                <c:pt idx="12">
                  <c:v>3.7132854543693639E-2</c:v>
                </c:pt>
                <c:pt idx="13">
                  <c:v>3.7155261868826783E-2</c:v>
                </c:pt>
                <c:pt idx="14">
                  <c:v>3.7177668672508712E-2</c:v>
                </c:pt>
                <c:pt idx="15">
                  <c:v>3.7200074954751639E-2</c:v>
                </c:pt>
                <c:pt idx="16">
                  <c:v>3.7222480715567552E-2</c:v>
                </c:pt>
                <c:pt idx="17">
                  <c:v>3.7244885954968776E-2</c:v>
                </c:pt>
                <c:pt idx="18">
                  <c:v>3.7267290672967301E-2</c:v>
                </c:pt>
                <c:pt idx="19">
                  <c:v>3.7289694869575341E-2</c:v>
                </c:pt>
                <c:pt idx="20">
                  <c:v>3.7312098544804884E-2</c:v>
                </c:pt>
                <c:pt idx="21">
                  <c:v>3.7334501698668254E-2</c:v>
                </c:pt>
                <c:pt idx="22">
                  <c:v>3.7356904331177554E-2</c:v>
                </c:pt>
                <c:pt idx="23">
                  <c:v>3.7379306442344773E-2</c:v>
                </c:pt>
                <c:pt idx="24">
                  <c:v>3.7401708032182235E-2</c:v>
                </c:pt>
                <c:pt idx="25">
                  <c:v>3.742410910070193E-2</c:v>
                </c:pt>
                <c:pt idx="26">
                  <c:v>3.7446509647916071E-2</c:v>
                </c:pt>
                <c:pt idx="27">
                  <c:v>3.7468909673836648E-2</c:v>
                </c:pt>
                <c:pt idx="28">
                  <c:v>3.7491309178475984E-2</c:v>
                </c:pt>
                <c:pt idx="29">
                  <c:v>3.7513708161846071E-2</c:v>
                </c:pt>
                <c:pt idx="30">
                  <c:v>3.753610662395912E-2</c:v>
                </c:pt>
                <c:pt idx="31">
                  <c:v>3.7558504564827233E-2</c:v>
                </c:pt>
                <c:pt idx="32">
                  <c:v>3.7580901984462511E-2</c:v>
                </c:pt>
                <c:pt idx="33">
                  <c:v>3.7603298882877167E-2</c:v>
                </c:pt>
                <c:pt idx="34">
                  <c:v>3.7625695260083303E-2</c:v>
                </c:pt>
                <c:pt idx="35">
                  <c:v>3.7648091116092908E-2</c:v>
                </c:pt>
                <c:pt idx="36">
                  <c:v>3.7670486450918306E-2</c:v>
                </c:pt>
                <c:pt idx="37">
                  <c:v>3.7692881264571598E-2</c:v>
                </c:pt>
                <c:pt idx="38">
                  <c:v>3.7715275557064776E-2</c:v>
                </c:pt>
                <c:pt idx="39">
                  <c:v>3.7737669328410051E-2</c:v>
                </c:pt>
                <c:pt idx="40">
                  <c:v>3.7760062578619524E-2</c:v>
                </c:pt>
                <c:pt idx="41">
                  <c:v>3.7782455307705409E-2</c:v>
                </c:pt>
                <c:pt idx="42">
                  <c:v>3.7804847515679807E-2</c:v>
                </c:pt>
                <c:pt idx="43">
                  <c:v>3.7827239202554708E-2</c:v>
                </c:pt>
                <c:pt idx="44">
                  <c:v>3.7849630368342435E-2</c:v>
                </c:pt>
                <c:pt idx="45">
                  <c:v>3.7872021013054979E-2</c:v>
                </c:pt>
                <c:pt idx="46">
                  <c:v>3.7894411136704553E-2</c:v>
                </c:pt>
                <c:pt idx="47">
                  <c:v>3.7916800739303147E-2</c:v>
                </c:pt>
                <c:pt idx="48">
                  <c:v>3.7939189820863084E-2</c:v>
                </c:pt>
                <c:pt idx="49">
                  <c:v>3.7961578381396355E-2</c:v>
                </c:pt>
                <c:pt idx="50">
                  <c:v>3.7983966420915061E-2</c:v>
                </c:pt>
                <c:pt idx="51">
                  <c:v>3.8006353939431414E-2</c:v>
                </c:pt>
                <c:pt idx="52">
                  <c:v>3.8028740936957517E-2</c:v>
                </c:pt>
                <c:pt idx="53">
                  <c:v>3.805112741350547E-2</c:v>
                </c:pt>
                <c:pt idx="54">
                  <c:v>3.8073513369087375E-2</c:v>
                </c:pt>
                <c:pt idx="55">
                  <c:v>3.8095898803715444E-2</c:v>
                </c:pt>
                <c:pt idx="56">
                  <c:v>3.811828371740178E-2</c:v>
                </c:pt>
                <c:pt idx="57">
                  <c:v>3.8140668110158371E-2</c:v>
                </c:pt>
                <c:pt idx="58">
                  <c:v>3.8163051981997542E-2</c:v>
                </c:pt>
                <c:pt idx="59">
                  <c:v>3.8185435332931283E-2</c:v>
                </c:pt>
                <c:pt idx="60">
                  <c:v>3.8207818162971696E-2</c:v>
                </c:pt>
                <c:pt idx="61">
                  <c:v>3.8230200472130993E-2</c:v>
                </c:pt>
                <c:pt idx="62">
                  <c:v>3.8252582260421275E-2</c:v>
                </c:pt>
                <c:pt idx="63">
                  <c:v>3.8274963527854533E-2</c:v>
                </c:pt>
                <c:pt idx="64">
                  <c:v>3.8297344274443201E-2</c:v>
                </c:pt>
                <c:pt idx="65">
                  <c:v>3.8319724500199048E-2</c:v>
                </c:pt>
                <c:pt idx="66">
                  <c:v>3.8342104205134397E-2</c:v>
                </c:pt>
                <c:pt idx="67">
                  <c:v>3.8364483389261239E-2</c:v>
                </c:pt>
                <c:pt idx="68">
                  <c:v>3.8386862052591897E-2</c:v>
                </c:pt>
                <c:pt idx="69">
                  <c:v>3.8409240195138361E-2</c:v>
                </c:pt>
                <c:pt idx="70">
                  <c:v>3.8431617816912622E-2</c:v>
                </c:pt>
                <c:pt idx="71">
                  <c:v>3.8453994917927004E-2</c:v>
                </c:pt>
                <c:pt idx="72">
                  <c:v>3.8476371498193607E-2</c:v>
                </c:pt>
                <c:pt idx="73">
                  <c:v>3.8498747557724422E-2</c:v>
                </c:pt>
                <c:pt idx="74">
                  <c:v>3.8521123096531773E-2</c:v>
                </c:pt>
                <c:pt idx="75">
                  <c:v>3.8543498114627539E-2</c:v>
                </c:pt>
                <c:pt idx="76">
                  <c:v>3.8565872612023933E-2</c:v>
                </c:pt>
                <c:pt idx="77">
                  <c:v>3.8588246588733055E-2</c:v>
                </c:pt>
                <c:pt idx="78">
                  <c:v>3.8610620044767119E-2</c:v>
                </c:pt>
                <c:pt idx="79">
                  <c:v>3.8632992980138225E-2</c:v>
                </c:pt>
                <c:pt idx="80">
                  <c:v>3.8655365394858365E-2</c:v>
                </c:pt>
                <c:pt idx="81">
                  <c:v>3.8677737288939751E-2</c:v>
                </c:pt>
                <c:pt idx="82">
                  <c:v>3.8700108662394483E-2</c:v>
                </c:pt>
                <c:pt idx="83">
                  <c:v>3.8722479515234665E-2</c:v>
                </c:pt>
                <c:pt idx="84">
                  <c:v>3.8744849847472396E-2</c:v>
                </c:pt>
                <c:pt idx="85">
                  <c:v>3.8767219659119889E-2</c:v>
                </c:pt>
                <c:pt idx="86">
                  <c:v>3.8789588950189136E-2</c:v>
                </c:pt>
                <c:pt idx="87">
                  <c:v>3.8811957720692236E-2</c:v>
                </c:pt>
                <c:pt idx="88">
                  <c:v>3.8834325970641514E-2</c:v>
                </c:pt>
                <c:pt idx="89">
                  <c:v>3.885669370004885E-2</c:v>
                </c:pt>
                <c:pt idx="90">
                  <c:v>3.8879060908926344E-2</c:v>
                </c:pt>
                <c:pt idx="91">
                  <c:v>3.890142759728632E-2</c:v>
                </c:pt>
                <c:pt idx="92">
                  <c:v>3.8923793765140879E-2</c:v>
                </c:pt>
                <c:pt idx="93">
                  <c:v>3.8946159412501902E-2</c:v>
                </c:pt>
                <c:pt idx="94">
                  <c:v>3.8968524539381599E-2</c:v>
                </c:pt>
                <c:pt idx="95">
                  <c:v>3.8990889145792296E-2</c:v>
                </c:pt>
                <c:pt idx="96">
                  <c:v>3.9013253231745759E-2</c:v>
                </c:pt>
                <c:pt idx="97">
                  <c:v>3.9035616797254313E-2</c:v>
                </c:pt>
                <c:pt idx="98">
                  <c:v>3.9057979842330059E-2</c:v>
                </c:pt>
                <c:pt idx="99">
                  <c:v>3.9080342366985099E-2</c:v>
                </c:pt>
                <c:pt idx="100">
                  <c:v>3.9102704371231534E-2</c:v>
                </c:pt>
                <c:pt idx="101">
                  <c:v>3.9125065855081353E-2</c:v>
                </c:pt>
                <c:pt idx="102">
                  <c:v>3.9147426818546882E-2</c:v>
                </c:pt>
                <c:pt idx="103">
                  <c:v>3.916978726164011E-2</c:v>
                </c:pt>
                <c:pt idx="104">
                  <c:v>3.9192147184373027E-2</c:v>
                </c:pt>
                <c:pt idx="105">
                  <c:v>3.9214506586758069E-2</c:v>
                </c:pt>
                <c:pt idx="106">
                  <c:v>3.9236865468807003E-2</c:v>
                </c:pt>
                <c:pt idx="107">
                  <c:v>3.9259223830532153E-2</c:v>
                </c:pt>
                <c:pt idx="108">
                  <c:v>3.928158167194562E-2</c:v>
                </c:pt>
                <c:pt idx="109">
                  <c:v>3.9303938993059395E-2</c:v>
                </c:pt>
                <c:pt idx="110">
                  <c:v>3.9326295793885579E-2</c:v>
                </c:pt>
                <c:pt idx="111">
                  <c:v>3.9348652074436385E-2</c:v>
                </c:pt>
                <c:pt idx="112">
                  <c:v>3.9371007834723915E-2</c:v>
                </c:pt>
                <c:pt idx="113">
                  <c:v>3.9393363074760268E-2</c:v>
                </c:pt>
                <c:pt idx="114">
                  <c:v>3.9415717794557548E-2</c:v>
                </c:pt>
                <c:pt idx="115">
                  <c:v>3.9438071994127744E-2</c:v>
                </c:pt>
                <c:pt idx="116">
                  <c:v>3.9460425673483068E-2</c:v>
                </c:pt>
                <c:pt idx="117">
                  <c:v>3.9482778832635623E-2</c:v>
                </c:pt>
                <c:pt idx="118">
                  <c:v>3.9505131471597621E-2</c:v>
                </c:pt>
                <c:pt idx="119">
                  <c:v>3.9527483590380941E-2</c:v>
                </c:pt>
                <c:pt idx="120">
                  <c:v>3.9549835188997795E-2</c:v>
                </c:pt>
                <c:pt idx="121">
                  <c:v>3.9572186267460396E-2</c:v>
                </c:pt>
                <c:pt idx="122">
                  <c:v>3.9594536825780624E-2</c:v>
                </c:pt>
                <c:pt idx="123">
                  <c:v>3.9616886863970802E-2</c:v>
                </c:pt>
                <c:pt idx="124">
                  <c:v>3.9639236382042919E-2</c:v>
                </c:pt>
                <c:pt idx="125">
                  <c:v>3.9661585380009079E-2</c:v>
                </c:pt>
                <c:pt idx="126">
                  <c:v>3.9683933857881382E-2</c:v>
                </c:pt>
                <c:pt idx="127">
                  <c:v>3.970628181567204E-2</c:v>
                </c:pt>
                <c:pt idx="128">
                  <c:v>3.9728629253392933E-2</c:v>
                </c:pt>
                <c:pt idx="129">
                  <c:v>3.9750976171056496E-2</c:v>
                </c:pt>
                <c:pt idx="130">
                  <c:v>3.9773322568674496E-2</c:v>
                </c:pt>
                <c:pt idx="131">
                  <c:v>3.9795668446259147E-2</c:v>
                </c:pt>
                <c:pt idx="132">
                  <c:v>3.9818013803822661E-2</c:v>
                </c:pt>
                <c:pt idx="133">
                  <c:v>3.9840358641377138E-2</c:v>
                </c:pt>
                <c:pt idx="134">
                  <c:v>3.9862702958934459E-2</c:v>
                </c:pt>
                <c:pt idx="135">
                  <c:v>3.9885046756506948E-2</c:v>
                </c:pt>
                <c:pt idx="136">
                  <c:v>3.9907390034106593E-2</c:v>
                </c:pt>
                <c:pt idx="137">
                  <c:v>3.9929732791745498E-2</c:v>
                </c:pt>
                <c:pt idx="138">
                  <c:v>3.9952075029435874E-2</c:v>
                </c:pt>
                <c:pt idx="139">
                  <c:v>3.9974416747189601E-2</c:v>
                </c:pt>
                <c:pt idx="140">
                  <c:v>3.9996757945019001E-2</c:v>
                </c:pt>
                <c:pt idx="141">
                  <c:v>4.0019098622936178E-2</c:v>
                </c:pt>
                <c:pt idx="142">
                  <c:v>4.0041438780953009E-2</c:v>
                </c:pt>
                <c:pt idx="143">
                  <c:v>4.0063778419081819E-2</c:v>
                </c:pt>
                <c:pt idx="144">
                  <c:v>4.0086117537334487E-2</c:v>
                </c:pt>
                <c:pt idx="145">
                  <c:v>4.0108456135723336E-2</c:v>
                </c:pt>
                <c:pt idx="146">
                  <c:v>4.0130794214260357E-2</c:v>
                </c:pt>
                <c:pt idx="147">
                  <c:v>4.0153131772957651E-2</c:v>
                </c:pt>
                <c:pt idx="148">
                  <c:v>4.017546881182732E-2</c:v>
                </c:pt>
                <c:pt idx="149">
                  <c:v>4.0197805330881464E-2</c:v>
                </c:pt>
                <c:pt idx="150">
                  <c:v>4.0220141330132186E-2</c:v>
                </c:pt>
                <c:pt idx="151">
                  <c:v>4.0242476809591587E-2</c:v>
                </c:pt>
                <c:pt idx="152">
                  <c:v>4.0264811769271769E-2</c:v>
                </c:pt>
                <c:pt idx="153">
                  <c:v>4.0287146209184721E-2</c:v>
                </c:pt>
                <c:pt idx="154">
                  <c:v>4.0309480129342656E-2</c:v>
                </c:pt>
                <c:pt idx="155">
                  <c:v>4.0331813529757676E-2</c:v>
                </c:pt>
                <c:pt idx="156">
                  <c:v>4.0354146410441882E-2</c:v>
                </c:pt>
                <c:pt idx="157">
                  <c:v>4.0376478771407265E-2</c:v>
                </c:pt>
                <c:pt idx="158">
                  <c:v>4.0398810612665925E-2</c:v>
                </c:pt>
                <c:pt idx="159">
                  <c:v>4.0421141934230076E-2</c:v>
                </c:pt>
                <c:pt idx="160">
                  <c:v>4.0443472736111818E-2</c:v>
                </c:pt>
                <c:pt idx="161">
                  <c:v>4.0465803018323032E-2</c:v>
                </c:pt>
                <c:pt idx="162">
                  <c:v>4.0488132780876041E-2</c:v>
                </c:pt>
                <c:pt idx="163">
                  <c:v>4.0510462023782945E-2</c:v>
                </c:pt>
                <c:pt idx="164">
                  <c:v>4.0532790747055625E-2</c:v>
                </c:pt>
                <c:pt idx="165">
                  <c:v>4.0555118950706293E-2</c:v>
                </c:pt>
                <c:pt idx="166">
                  <c:v>4.057744663474705E-2</c:v>
                </c:pt>
                <c:pt idx="167">
                  <c:v>4.0599773799189998E-2</c:v>
                </c:pt>
                <c:pt idx="168">
                  <c:v>4.0622100444047238E-2</c:v>
                </c:pt>
                <c:pt idx="169">
                  <c:v>4.064442656933076E-2</c:v>
                </c:pt>
                <c:pt idx="170">
                  <c:v>4.0666752175052778E-2</c:v>
                </c:pt>
                <c:pt idx="171">
                  <c:v>4.0689077261225393E-2</c:v>
                </c:pt>
                <c:pt idx="172">
                  <c:v>4.0711401827860594E-2</c:v>
                </c:pt>
                <c:pt idx="173">
                  <c:v>4.0733725874970483E-2</c:v>
                </c:pt>
                <c:pt idx="174">
                  <c:v>4.0756049402567163E-2</c:v>
                </c:pt>
                <c:pt idx="175">
                  <c:v>4.0778372410662844E-2</c:v>
                </c:pt>
                <c:pt idx="176">
                  <c:v>4.0800694899269407E-2</c:v>
                </c:pt>
                <c:pt idx="177">
                  <c:v>4.0823016868399176E-2</c:v>
                </c:pt>
                <c:pt idx="178">
                  <c:v>4.0845338318064028E-2</c:v>
                </c:pt>
                <c:pt idx="179">
                  <c:v>4.0867659248276067E-2</c:v>
                </c:pt>
                <c:pt idx="180">
                  <c:v>4.0889979659047615E-2</c:v>
                </c:pt>
                <c:pt idx="181">
                  <c:v>4.0912299550390441E-2</c:v>
                </c:pt>
                <c:pt idx="182">
                  <c:v>4.0934618922316868E-2</c:v>
                </c:pt>
                <c:pt idx="183">
                  <c:v>4.0956937774838886E-2</c:v>
                </c:pt>
                <c:pt idx="184">
                  <c:v>4.0979256107968598E-2</c:v>
                </c:pt>
                <c:pt idx="185">
                  <c:v>4.1001573921718104E-2</c:v>
                </c:pt>
                <c:pt idx="186">
                  <c:v>4.1023891216099506E-2</c:v>
                </c:pt>
                <c:pt idx="187">
                  <c:v>4.1046207991124795E-2</c:v>
                </c:pt>
                <c:pt idx="188">
                  <c:v>4.1068524246806182E-2</c:v>
                </c:pt>
                <c:pt idx="189">
                  <c:v>4.1090839983155658E-2</c:v>
                </c:pt>
                <c:pt idx="190">
                  <c:v>4.1113155200185436E-2</c:v>
                </c:pt>
                <c:pt idx="191">
                  <c:v>4.1135469897907395E-2</c:v>
                </c:pt>
                <c:pt idx="192">
                  <c:v>4.1157784076333859E-2</c:v>
                </c:pt>
                <c:pt idx="193">
                  <c:v>4.1180097735476706E-2</c:v>
                </c:pt>
                <c:pt idx="194">
                  <c:v>4.120241087534815E-2</c:v>
                </c:pt>
                <c:pt idx="195">
                  <c:v>4.122472349596018E-2</c:v>
                </c:pt>
                <c:pt idx="196">
                  <c:v>4.1247035597324899E-2</c:v>
                </c:pt>
                <c:pt idx="197">
                  <c:v>4.1269347179454519E-2</c:v>
                </c:pt>
                <c:pt idx="198">
                  <c:v>4.1291658242361029E-2</c:v>
                </c:pt>
                <c:pt idx="199">
                  <c:v>4.1313968786056421E-2</c:v>
                </c:pt>
                <c:pt idx="200">
                  <c:v>4.1336278810552907E-2</c:v>
                </c:pt>
                <c:pt idx="201">
                  <c:v>4.1358588315862588E-2</c:v>
                </c:pt>
                <c:pt idx="202">
                  <c:v>4.1380897301997455E-2</c:v>
                </c:pt>
                <c:pt idx="203">
                  <c:v>4.1403205768969609E-2</c:v>
                </c:pt>
                <c:pt idx="204">
                  <c:v>4.1425513716791151E-2</c:v>
                </c:pt>
                <c:pt idx="205">
                  <c:v>4.1447821145474184E-2</c:v>
                </c:pt>
                <c:pt idx="206">
                  <c:v>4.1470128055030697E-2</c:v>
                </c:pt>
                <c:pt idx="207">
                  <c:v>4.1492434445472903E-2</c:v>
                </c:pt>
                <c:pt idx="208">
                  <c:v>4.1514740316812793E-2</c:v>
                </c:pt>
                <c:pt idx="209">
                  <c:v>4.1537045669062467E-2</c:v>
                </c:pt>
                <c:pt idx="210">
                  <c:v>4.1559350502234027E-2</c:v>
                </c:pt>
                <c:pt idx="211">
                  <c:v>4.1581654816339464E-2</c:v>
                </c:pt>
                <c:pt idx="212">
                  <c:v>4.160395861139099E-2</c:v>
                </c:pt>
                <c:pt idx="213">
                  <c:v>4.1626261887400595E-2</c:v>
                </c:pt>
                <c:pt idx="214">
                  <c:v>4.1648564644380381E-2</c:v>
                </c:pt>
                <c:pt idx="215">
                  <c:v>4.167086688234245E-2</c:v>
                </c:pt>
                <c:pt idx="216">
                  <c:v>4.1693168601298902E-2</c:v>
                </c:pt>
                <c:pt idx="217">
                  <c:v>4.1715469801261729E-2</c:v>
                </c:pt>
                <c:pt idx="218">
                  <c:v>4.1737770482243031E-2</c:v>
                </c:pt>
                <c:pt idx="219">
                  <c:v>4.176007064425491E-2</c:v>
                </c:pt>
                <c:pt idx="220">
                  <c:v>4.1782370287309467E-2</c:v>
                </c:pt>
                <c:pt idx="221">
                  <c:v>4.1804669411418693E-2</c:v>
                </c:pt>
                <c:pt idx="222">
                  <c:v>4.1826968016594801E-2</c:v>
                </c:pt>
                <c:pt idx="223">
                  <c:v>4.184926610284978E-2</c:v>
                </c:pt>
                <c:pt idx="224">
                  <c:v>4.1871563670195622E-2</c:v>
                </c:pt>
                <c:pt idx="225">
                  <c:v>4.1893860718644649E-2</c:v>
                </c:pt>
                <c:pt idx="226">
                  <c:v>4.1916157248208741E-2</c:v>
                </c:pt>
                <c:pt idx="227">
                  <c:v>4.1938453258899888E-2</c:v>
                </c:pt>
                <c:pt idx="228">
                  <c:v>4.1960748750730414E-2</c:v>
                </c:pt>
                <c:pt idx="229">
                  <c:v>4.198304372371231E-2</c:v>
                </c:pt>
                <c:pt idx="230">
                  <c:v>4.2005338177857565E-2</c:v>
                </c:pt>
                <c:pt idx="231">
                  <c:v>4.2027632113178282E-2</c:v>
                </c:pt>
                <c:pt idx="232">
                  <c:v>4.204992552968656E-2</c:v>
                </c:pt>
                <c:pt idx="233">
                  <c:v>4.2072218427394392E-2</c:v>
                </c:pt>
                <c:pt idx="234">
                  <c:v>4.20945108063141E-2</c:v>
                </c:pt>
                <c:pt idx="235">
                  <c:v>4.2116802666457454E-2</c:v>
                </c:pt>
                <c:pt idx="236">
                  <c:v>4.2139094007836664E-2</c:v>
                </c:pt>
                <c:pt idx="237">
                  <c:v>4.2161384830463833E-2</c:v>
                </c:pt>
                <c:pt idx="238">
                  <c:v>4.2183675134350951E-2</c:v>
                </c:pt>
                <c:pt idx="239">
                  <c:v>4.220596491951023E-2</c:v>
                </c:pt>
                <c:pt idx="240">
                  <c:v>4.2228254185953551E-2</c:v>
                </c:pt>
                <c:pt idx="241">
                  <c:v>4.2250542933693125E-2</c:v>
                </c:pt>
                <c:pt idx="242">
                  <c:v>4.2272831162740943E-2</c:v>
                </c:pt>
                <c:pt idx="243">
                  <c:v>4.2295118873109105E-2</c:v>
                </c:pt>
                <c:pt idx="244">
                  <c:v>4.2317406064809715E-2</c:v>
                </c:pt>
                <c:pt idx="245">
                  <c:v>4.2339692737854873E-2</c:v>
                </c:pt>
                <c:pt idx="246">
                  <c:v>4.2361978892256458E-2</c:v>
                </c:pt>
                <c:pt idx="247">
                  <c:v>4.2384264528026794E-2</c:v>
                </c:pt>
                <c:pt idx="248">
                  <c:v>4.240654964517776E-2</c:v>
                </c:pt>
                <c:pt idx="249">
                  <c:v>4.2428834243721569E-2</c:v>
                </c:pt>
                <c:pt idx="250">
                  <c:v>4.2451118323670101E-2</c:v>
                </c:pt>
                <c:pt idx="251">
                  <c:v>4.2473401885035567E-2</c:v>
                </c:pt>
                <c:pt idx="252">
                  <c:v>4.2495684927830069E-2</c:v>
                </c:pt>
                <c:pt idx="253">
                  <c:v>4.2517967452065597E-2</c:v>
                </c:pt>
                <c:pt idx="254">
                  <c:v>4.2540249457754142E-2</c:v>
                </c:pt>
                <c:pt idx="255">
                  <c:v>4.2562530944908028E-2</c:v>
                </c:pt>
                <c:pt idx="256">
                  <c:v>4.2584811913539022E-2</c:v>
                </c:pt>
                <c:pt idx="257">
                  <c:v>4.2607092363659338E-2</c:v>
                </c:pt>
                <c:pt idx="258">
                  <c:v>4.2629372295281076E-2</c:v>
                </c:pt>
                <c:pt idx="259">
                  <c:v>4.2651651708416227E-2</c:v>
                </c:pt>
                <c:pt idx="260">
                  <c:v>4.2673930603076893E-2</c:v>
                </c:pt>
                <c:pt idx="261">
                  <c:v>4.2696208979275174E-2</c:v>
                </c:pt>
                <c:pt idx="262">
                  <c:v>4.2718486837023062E-2</c:v>
                </c:pt>
                <c:pt idx="263">
                  <c:v>4.2740764176332546E-2</c:v>
                </c:pt>
                <c:pt idx="264">
                  <c:v>4.2763040997215951E-2</c:v>
                </c:pt>
                <c:pt idx="265">
                  <c:v>4.2785317299685155E-2</c:v>
                </c:pt>
                <c:pt idx="266">
                  <c:v>4.280759308375226E-2</c:v>
                </c:pt>
                <c:pt idx="267">
                  <c:v>4.2829868349429256E-2</c:v>
                </c:pt>
                <c:pt idx="268">
                  <c:v>4.2852143096728357E-2</c:v>
                </c:pt>
                <c:pt idx="269">
                  <c:v>4.2874417325661551E-2</c:v>
                </c:pt>
                <c:pt idx="270">
                  <c:v>4.289669103624083E-2</c:v>
                </c:pt>
                <c:pt idx="271">
                  <c:v>4.2918964228478407E-2</c:v>
                </c:pt>
                <c:pt idx="272">
                  <c:v>4.294123690238616E-2</c:v>
                </c:pt>
                <c:pt idx="273">
                  <c:v>4.2963509057976301E-2</c:v>
                </c:pt>
                <c:pt idx="274">
                  <c:v>4.2985780695260822E-2</c:v>
                </c:pt>
                <c:pt idx="275">
                  <c:v>4.3008051814251824E-2</c:v>
                </c:pt>
                <c:pt idx="276">
                  <c:v>4.3030322414961408E-2</c:v>
                </c:pt>
                <c:pt idx="277">
                  <c:v>4.3052592497401565E-2</c:v>
                </c:pt>
                <c:pt idx="278">
                  <c:v>4.3074862061584285E-2</c:v>
                </c:pt>
                <c:pt idx="279">
                  <c:v>4.309713110752178E-2</c:v>
                </c:pt>
                <c:pt idx="280">
                  <c:v>4.3119399635226041E-2</c:v>
                </c:pt>
                <c:pt idx="281">
                  <c:v>4.3141667644709059E-2</c:v>
                </c:pt>
                <c:pt idx="282">
                  <c:v>4.3163935135983045E-2</c:v>
                </c:pt>
                <c:pt idx="283">
                  <c:v>4.318620210905999E-2</c:v>
                </c:pt>
                <c:pt idx="284">
                  <c:v>4.3208468563951885E-2</c:v>
                </c:pt>
                <c:pt idx="285">
                  <c:v>4.3230734500670942E-2</c:v>
                </c:pt>
                <c:pt idx="286">
                  <c:v>4.325299991922904E-2</c:v>
                </c:pt>
                <c:pt idx="287">
                  <c:v>4.3275264819638282E-2</c:v>
                </c:pt>
                <c:pt idx="288">
                  <c:v>4.3297529201910767E-2</c:v>
                </c:pt>
                <c:pt idx="289">
                  <c:v>4.3319793066058598E-2</c:v>
                </c:pt>
                <c:pt idx="290">
                  <c:v>4.3342056412093766E-2</c:v>
                </c:pt>
                <c:pt idx="291">
                  <c:v>4.3364319240028371E-2</c:v>
                </c:pt>
                <c:pt idx="292">
                  <c:v>4.3386581549874514E-2</c:v>
                </c:pt>
                <c:pt idx="293">
                  <c:v>4.3408843341644077E-2</c:v>
                </c:pt>
                <c:pt idx="294">
                  <c:v>4.343110461534927E-2</c:v>
                </c:pt>
                <c:pt idx="295">
                  <c:v>4.3453365371002084E-2</c:v>
                </c:pt>
                <c:pt idx="296">
                  <c:v>4.3475625608614621E-2</c:v>
                </c:pt>
                <c:pt idx="297">
                  <c:v>4.3497885328198871E-2</c:v>
                </c:pt>
                <c:pt idx="298">
                  <c:v>4.3520144529766935E-2</c:v>
                </c:pt>
                <c:pt idx="299">
                  <c:v>4.3542403213330805E-2</c:v>
                </c:pt>
                <c:pt idx="300">
                  <c:v>4.3564661378902692E-2</c:v>
                </c:pt>
                <c:pt idx="301">
                  <c:v>4.3586919026494475E-2</c:v>
                </c:pt>
                <c:pt idx="302">
                  <c:v>4.3609176156118368E-2</c:v>
                </c:pt>
                <c:pt idx="303">
                  <c:v>4.3631432767786249E-2</c:v>
                </c:pt>
                <c:pt idx="304">
                  <c:v>4.3653688861510331E-2</c:v>
                </c:pt>
                <c:pt idx="305">
                  <c:v>4.3675944437302494E-2</c:v>
                </c:pt>
                <c:pt idx="306">
                  <c:v>4.3698199495175061E-2</c:v>
                </c:pt>
                <c:pt idx="307">
                  <c:v>4.37204540351398E-2</c:v>
                </c:pt>
                <c:pt idx="308">
                  <c:v>4.3742708057208923E-2</c:v>
                </c:pt>
                <c:pt idx="309">
                  <c:v>4.3764961561394422E-2</c:v>
                </c:pt>
                <c:pt idx="310">
                  <c:v>4.3787214547708286E-2</c:v>
                </c:pt>
                <c:pt idx="311">
                  <c:v>4.3809467016162729E-2</c:v>
                </c:pt>
                <c:pt idx="312">
                  <c:v>4.3831718966769739E-2</c:v>
                </c:pt>
                <c:pt idx="313">
                  <c:v>4.385397039954142E-2</c:v>
                </c:pt>
                <c:pt idx="314">
                  <c:v>4.387622131448965E-2</c:v>
                </c:pt>
                <c:pt idx="315">
                  <c:v>4.389847171162653E-2</c:v>
                </c:pt>
                <c:pt idx="316">
                  <c:v>4.3920721590964273E-2</c:v>
                </c:pt>
                <c:pt idx="317">
                  <c:v>4.3942970952514759E-2</c:v>
                </c:pt>
                <c:pt idx="318">
                  <c:v>4.39652197962902E-2</c:v>
                </c:pt>
                <c:pt idx="319">
                  <c:v>4.3987468122302364E-2</c:v>
                </c:pt>
                <c:pt idx="320">
                  <c:v>4.4009715930563575E-2</c:v>
                </c:pt>
                <c:pt idx="321">
                  <c:v>4.4031963221085824E-2</c:v>
                </c:pt>
                <c:pt idx="322">
                  <c:v>4.4054209993881099E-2</c:v>
                </c:pt>
                <c:pt idx="323">
                  <c:v>4.4076456248961504E-2</c:v>
                </c:pt>
                <c:pt idx="324">
                  <c:v>4.4098701986338917E-2</c:v>
                </c:pt>
                <c:pt idx="325">
                  <c:v>4.4120947206025662E-2</c:v>
                </c:pt>
                <c:pt idx="326">
                  <c:v>4.4143191908033619E-2</c:v>
                </c:pt>
                <c:pt idx="327">
                  <c:v>4.4165436092374777E-2</c:v>
                </c:pt>
                <c:pt idx="328">
                  <c:v>4.4187679759061349E-2</c:v>
                </c:pt>
                <c:pt idx="329">
                  <c:v>4.4209922908105326E-2</c:v>
                </c:pt>
                <c:pt idx="330">
                  <c:v>4.4232165539518697E-2</c:v>
                </c:pt>
                <c:pt idx="331">
                  <c:v>4.4254407653313566E-2</c:v>
                </c:pt>
                <c:pt idx="332">
                  <c:v>4.4276649249501809E-2</c:v>
                </c:pt>
                <c:pt idx="333">
                  <c:v>4.4298890328095752E-2</c:v>
                </c:pt>
                <c:pt idx="334">
                  <c:v>4.4321130889107274E-2</c:v>
                </c:pt>
                <c:pt idx="335">
                  <c:v>4.4343370932548476E-2</c:v>
                </c:pt>
                <c:pt idx="336">
                  <c:v>4.4365610458431348E-2</c:v>
                </c:pt>
                <c:pt idx="337">
                  <c:v>4.4387849466767992E-2</c:v>
                </c:pt>
                <c:pt idx="338">
                  <c:v>4.4410087957570399E-2</c:v>
                </c:pt>
                <c:pt idx="339">
                  <c:v>4.4432325930850669E-2</c:v>
                </c:pt>
                <c:pt idx="340">
                  <c:v>4.4454563386620793E-2</c:v>
                </c:pt>
                <c:pt idx="341">
                  <c:v>4.4476800324892762E-2</c:v>
                </c:pt>
                <c:pt idx="342">
                  <c:v>4.4499036745678788E-2</c:v>
                </c:pt>
                <c:pt idx="343">
                  <c:v>4.4521272648990751E-2</c:v>
                </c:pt>
                <c:pt idx="344">
                  <c:v>4.4543508034840862E-2</c:v>
                </c:pt>
                <c:pt idx="345">
                  <c:v>4.456574290324089E-2</c:v>
                </c:pt>
                <c:pt idx="346">
                  <c:v>4.4587977254203159E-2</c:v>
                </c:pt>
                <c:pt idx="347">
                  <c:v>4.461021108773966E-2</c:v>
                </c:pt>
                <c:pt idx="348">
                  <c:v>4.463244440386227E-2</c:v>
                </c:pt>
                <c:pt idx="349">
                  <c:v>4.4654677202583204E-2</c:v>
                </c:pt>
                <c:pt idx="350">
                  <c:v>4.467690948391434E-2</c:v>
                </c:pt>
                <c:pt idx="351">
                  <c:v>4.4699141247867891E-2</c:v>
                </c:pt>
                <c:pt idx="352">
                  <c:v>4.4721372494455736E-2</c:v>
                </c:pt>
                <c:pt idx="353">
                  <c:v>4.4743603223690087E-2</c:v>
                </c:pt>
                <c:pt idx="354">
                  <c:v>4.4765833435582825E-2</c:v>
                </c:pt>
                <c:pt idx="355">
                  <c:v>4.478806313014605E-2</c:v>
                </c:pt>
                <c:pt idx="356">
                  <c:v>4.4810292307391864E-2</c:v>
                </c:pt>
                <c:pt idx="357">
                  <c:v>4.4832520967332257E-2</c:v>
                </c:pt>
                <c:pt idx="358">
                  <c:v>4.4854749109979219E-2</c:v>
                </c:pt>
                <c:pt idx="359">
                  <c:v>4.4876976735344853E-2</c:v>
                </c:pt>
                <c:pt idx="360">
                  <c:v>4.4899203843441149E-2</c:v>
                </c:pt>
                <c:pt idx="361">
                  <c:v>4.4921430434280096E-2</c:v>
                </c:pt>
                <c:pt idx="362">
                  <c:v>4.4943656507873908E-2</c:v>
                </c:pt>
                <c:pt idx="363">
                  <c:v>4.4965882064234464E-2</c:v>
                </c:pt>
                <c:pt idx="364">
                  <c:v>4.4988107103373975E-2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3.7252786543069967E-2</c:v>
                </c:pt>
                <c:pt idx="1">
                  <c:v>3.7451044822155118E-2</c:v>
                </c:pt>
                <c:pt idx="2">
                  <c:v>3.7649179824956976E-2</c:v>
                </c:pt>
                <c:pt idx="3">
                  <c:v>3.7847181319665274E-2</c:v>
                </c:pt>
                <c:pt idx="4">
                  <c:v>3.8045040416066829E-2</c:v>
                </c:pt>
                <c:pt idx="5">
                  <c:v>3.8242749556030887E-2</c:v>
                </c:pt>
                <c:pt idx="6">
                  <c:v>3.8440302490379878E-2</c:v>
                </c:pt>
                <c:pt idx="7">
                  <c:v>3.8637694242757877E-2</c:v>
                </c:pt>
                <c:pt idx="8">
                  <c:v>3.8834921061228315E-2</c:v>
                </c:pt>
                <c:pt idx="9">
                  <c:v>3.9031980358447654E-2</c:v>
                </c:pt>
                <c:pt idx="10">
                  <c:v>3.9228870641362733E-2</c:v>
                </c:pt>
                <c:pt idx="11">
                  <c:v>3.9425591431472611E-2</c:v>
                </c:pt>
                <c:pt idx="12">
                  <c:v>3.9622143176776523E-2</c:v>
                </c:pt>
                <c:pt idx="13">
                  <c:v>3.98185271565967E-2</c:v>
                </c:pt>
                <c:pt idx="14">
                  <c:v>4.0014745380521424E-2</c:v>
                </c:pt>
                <c:pt idx="15">
                  <c:v>4.0210800482754473E-2</c:v>
                </c:pt>
                <c:pt idx="16">
                  <c:v>4.0406695613185974E-2</c:v>
                </c:pt>
                <c:pt idx="17">
                  <c:v>4.0602434326513524E-2</c:v>
                </c:pt>
                <c:pt idx="18">
                  <c:v>4.0798020470743122E-2</c:v>
                </c:pt>
                <c:pt idx="19">
                  <c:v>4.0993458076386019E-2</c:v>
                </c:pt>
                <c:pt idx="20">
                  <c:v>4.118875124764082E-2</c:v>
                </c:pt>
                <c:pt idx="21">
                  <c:v>4.1383904056809626E-2</c:v>
                </c:pt>
                <c:pt idx="22">
                  <c:v>4.1578920443145706E-2</c:v>
                </c:pt>
                <c:pt idx="23">
                  <c:v>4.1773804117264821E-2</c:v>
                </c:pt>
                <c:pt idx="24">
                  <c:v>4.1968558472177057E-2</c:v>
                </c:pt>
                <c:pt idx="25">
                  <c:v>4.2163186501911434E-2</c:v>
                </c:pt>
                <c:pt idx="26">
                  <c:v>4.2357690728609336E-2</c:v>
                </c:pt>
                <c:pt idx="27">
                  <c:v>4.2552073138861744E-2</c:v>
                </c:pt>
                <c:pt idx="28">
                  <c:v>4.2746335129954315E-2</c:v>
                </c:pt>
                <c:pt idx="29">
                  <c:v>4.2940477466570093E-2</c:v>
                </c:pt>
                <c:pt idx="30">
                  <c:v>4.3134500248379531E-2</c:v>
                </c:pt>
                <c:pt idx="31">
                  <c:v>4.3328402888825474E-2</c:v>
                </c:pt>
                <c:pt idx="32">
                  <c:v>4.3522184105285994E-2</c:v>
                </c:pt>
                <c:pt idx="33">
                  <c:v>4.3715841920673945E-2</c:v>
                </c:pt>
                <c:pt idx="34">
                  <c:v>4.3909373676408243E-2</c:v>
                </c:pt>
                <c:pt idx="35">
                  <c:v>4.4102776056570987E-2</c:v>
                </c:pt>
                <c:pt idx="36">
                  <c:v>4.4296045122946826E-2</c:v>
                </c:pt>
                <c:pt idx="37">
                  <c:v>4.4489176360528154E-2</c:v>
                </c:pt>
                <c:pt idx="38">
                  <c:v>4.4682164732963436E-2</c:v>
                </c:pt>
                <c:pt idx="39">
                  <c:v>4.4875004747325538E-2</c:v>
                </c:pt>
                <c:pt idx="40">
                  <c:v>4.5067690527486257E-2</c:v>
                </c:pt>
                <c:pt idx="41">
                  <c:v>4.5260215895299709E-2</c:v>
                </c:pt>
                <c:pt idx="42">
                  <c:v>4.5452574458725109E-2</c:v>
                </c:pt>
                <c:pt idx="43">
                  <c:v>4.5644759705956148E-2</c:v>
                </c:pt>
                <c:pt idx="44">
                  <c:v>4.5836765104573393E-2</c:v>
                </c:pt>
                <c:pt idx="45">
                  <c:v>4.602858420469487E-2</c:v>
                </c:pt>
                <c:pt idx="46">
                  <c:v>4.6220210745072723E-2</c:v>
                </c:pt>
                <c:pt idx="47">
                  <c:v>4.6411638761065181E-2</c:v>
                </c:pt>
                <c:pt idx="48">
                  <c:v>4.6602862693409713E-2</c:v>
                </c:pt>
                <c:pt idx="49">
                  <c:v>4.6793877496728281E-2</c:v>
                </c:pt>
                <c:pt idx="50">
                  <c:v>4.6984678746714553E-2</c:v>
                </c:pt>
                <c:pt idx="51">
                  <c:v>4.717526274498117E-2</c:v>
                </c:pt>
                <c:pt idx="52">
                  <c:v>4.7365626620584834E-2</c:v>
                </c:pt>
                <c:pt idx="53">
                  <c:v>4.7555768427296058E-2</c:v>
                </c:pt>
                <c:pt idx="54">
                  <c:v>4.7745687235738868E-2</c:v>
                </c:pt>
                <c:pt idx="55">
                  <c:v>4.793538321959246E-2</c:v>
                </c:pt>
                <c:pt idx="56">
                  <c:v>4.8124857735120652E-2</c:v>
                </c:pt>
                <c:pt idx="57">
                  <c:v>4.8314113393375858E-2</c:v>
                </c:pt>
                <c:pt idx="58">
                  <c:v>4.8503154124509562E-2</c:v>
                </c:pt>
                <c:pt idx="59">
                  <c:v>4.8691985233711779E-2</c:v>
                </c:pt>
                <c:pt idx="60">
                  <c:v>4.8880613448395158E-2</c:v>
                </c:pt>
                <c:pt idx="61">
                  <c:v>4.9069046956334017E-2</c:v>
                </c:pt>
                <c:pt idx="62">
                  <c:v>4.9257295434565244E-2</c:v>
                </c:pt>
                <c:pt idx="63">
                  <c:v>4.9445370068952693E-2</c:v>
                </c:pt>
                <c:pt idx="64">
                  <c:v>4.9633283564411351E-2</c:v>
                </c:pt>
                <c:pt idx="65">
                  <c:v>4.9821050145878475E-2</c:v>
                </c:pt>
                <c:pt idx="66">
                  <c:v>5.0008685550206579E-2</c:v>
                </c:pt>
                <c:pt idx="67">
                  <c:v>5.0196207009236139E-2</c:v>
                </c:pt>
                <c:pt idx="68">
                  <c:v>5.0383633224382801E-2</c:v>
                </c:pt>
                <c:pt idx="69">
                  <c:v>5.0570984333145025E-2</c:v>
                </c:pt>
                <c:pt idx="70">
                  <c:v>5.0758281868001194E-2</c:v>
                </c:pt>
                <c:pt idx="71">
                  <c:v>5.0945548708220635E-2</c:v>
                </c:pt>
                <c:pt idx="72">
                  <c:v>5.1132809025160444E-2</c:v>
                </c:pt>
                <c:pt idx="73">
                  <c:v>5.1320088221657338E-2</c:v>
                </c:pt>
                <c:pt idx="74">
                  <c:v>5.1507412866153728E-2</c:v>
                </c:pt>
                <c:pt idx="75">
                  <c:v>5.1694810622215016E-2</c:v>
                </c:pt>
                <c:pt idx="76">
                  <c:v>5.188231017410664E-2</c:v>
                </c:pt>
                <c:pt idx="77">
                  <c:v>5.20699411490987E-2</c:v>
                </c:pt>
                <c:pt idx="78">
                  <c:v>5.2257734037157555E-2</c:v>
                </c:pt>
                <c:pt idx="79">
                  <c:v>5.2445720108666112E-2</c:v>
                </c:pt>
                <c:pt idx="80">
                  <c:v>5.2633931330787753E-2</c:v>
                </c:pt>
                <c:pt idx="81">
                  <c:v>5.282240028305514E-2</c:v>
                </c:pt>
                <c:pt idx="82">
                  <c:v>5.3011160072722642E-2</c:v>
                </c:pt>
                <c:pt idx="83">
                  <c:v>5.3200244250373278E-2</c:v>
                </c:pt>
                <c:pt idx="84">
                  <c:v>5.3389686726216773E-2</c:v>
                </c:pt>
                <c:pt idx="85">
                  <c:v>5.3579521687455924E-2</c:v>
                </c:pt>
                <c:pt idx="86">
                  <c:v>5.3769783517035749E-2</c:v>
                </c:pt>
                <c:pt idx="87">
                  <c:v>5.3960506714023394E-2</c:v>
                </c:pt>
                <c:pt idx="88">
                  <c:v>5.4151725815799502E-2</c:v>
                </c:pt>
                <c:pt idx="89">
                  <c:v>5.4343475322171875E-2</c:v>
                </c:pt>
                <c:pt idx="90">
                  <c:v>5.4535789621455194E-2</c:v>
                </c:pt>
                <c:pt idx="91">
                  <c:v>5.4728702918491849E-2</c:v>
                </c:pt>
                <c:pt idx="92">
                  <c:v>5.4922249164525712E-2</c:v>
                </c:pt>
                <c:pt idx="93">
                  <c:v>5.5116461988778127E-2</c:v>
                </c:pt>
                <c:pt idx="94">
                  <c:v>5.5311374631519569E-2</c:v>
                </c:pt>
                <c:pt idx="95">
                  <c:v>5.5507019878378541E-2</c:v>
                </c:pt>
                <c:pt idx="96">
                  <c:v>5.5703429995584149E-2</c:v>
                </c:pt>
                <c:pt idx="97">
                  <c:v>5.5900636665801119E-2</c:v>
                </c:pt>
                <c:pt idx="98">
                  <c:v>5.6098670924185509E-2</c:v>
                </c:pt>
                <c:pt idx="99">
                  <c:v>5.6297563094266888E-2</c:v>
                </c:pt>
                <c:pt idx="100">
                  <c:v>5.6497342723250757E-2</c:v>
                </c:pt>
                <c:pt idx="101">
                  <c:v>5.6698038516330117E-2</c:v>
                </c:pt>
                <c:pt idx="102">
                  <c:v>5.6899678269600455E-2</c:v>
                </c:pt>
                <c:pt idx="103">
                  <c:v>5.7102288801188485E-2</c:v>
                </c:pt>
                <c:pt idx="104">
                  <c:v>5.7305895880228115E-2</c:v>
                </c:pt>
                <c:pt idx="105">
                  <c:v>5.751052415335197E-2</c:v>
                </c:pt>
                <c:pt idx="106">
                  <c:v>5.7716197068409102E-2</c:v>
                </c:pt>
                <c:pt idx="107">
                  <c:v>5.7922936795171402E-2</c:v>
                </c:pt>
                <c:pt idx="108">
                  <c:v>5.8130764142850705E-2</c:v>
                </c:pt>
                <c:pt idx="109">
                  <c:v>5.8339698474315568E-2</c:v>
                </c:pt>
                <c:pt idx="110">
                  <c:v>5.8549757616970968E-2</c:v>
                </c:pt>
                <c:pt idx="111">
                  <c:v>5.8760957770342404E-2</c:v>
                </c:pt>
                <c:pt idx="112">
                  <c:v>5.8973313410491938E-2</c:v>
                </c:pt>
                <c:pt idx="113">
                  <c:v>5.9186837191480095E-2</c:v>
                </c:pt>
                <c:pt idx="114">
                  <c:v>5.9401539844179022E-2</c:v>
                </c:pt>
                <c:pt idx="115">
                  <c:v>5.9617430072834182E-2</c:v>
                </c:pt>
                <c:pt idx="116">
                  <c:v>5.9834514449863485E-2</c:v>
                </c:pt>
                <c:pt idx="117">
                  <c:v>6.0052797309474333E-2</c:v>
                </c:pt>
                <c:pt idx="118">
                  <c:v>6.0272280640767367E-2</c:v>
                </c:pt>
                <c:pt idx="119">
                  <c:v>6.049296398107995E-2</c:v>
                </c:pt>
                <c:pt idx="120">
                  <c:v>6.0714844310403804E-2</c:v>
                </c:pt>
                <c:pt idx="121">
                  <c:v>6.0937915947782494E-2</c:v>
                </c:pt>
                <c:pt idx="122">
                  <c:v>6.1162170450662898E-2</c:v>
                </c:pt>
                <c:pt idx="123">
                  <c:v>6.1387596518230982E-2</c:v>
                </c:pt>
                <c:pt idx="124">
                  <c:v>6.1614179899810335E-2</c:v>
                </c:pt>
                <c:pt idx="125">
                  <c:v>6.1841903309440019E-2</c:v>
                </c:pt>
                <c:pt idx="126">
                  <c:v>6.2070746347773008E-2</c:v>
                </c:pt>
                <c:pt idx="127">
                  <c:v>6.2300685432451673E-2</c:v>
                </c:pt>
                <c:pt idx="128">
                  <c:v>6.2531693738116359E-2</c:v>
                </c:pt>
                <c:pt idx="129">
                  <c:v>6.2763741147191535E-2</c:v>
                </c:pt>
                <c:pt idx="130">
                  <c:v>6.2996794212568041E-2</c:v>
                </c:pt>
                <c:pt idx="131">
                  <c:v>6.3230816133259857E-2</c:v>
                </c:pt>
                <c:pt idx="132">
                  <c:v>6.3465766744060417E-2</c:v>
                </c:pt>
                <c:pt idx="133">
                  <c:v>6.3701602520156705E-2</c:v>
                </c:pt>
                <c:pt idx="134">
                  <c:v>6.3938276597578128E-2</c:v>
                </c:pt>
                <c:pt idx="135">
                  <c:v>6.4175738810264032E-2</c:v>
                </c:pt>
                <c:pt idx="136">
                  <c:v>6.4413935744428386E-2</c:v>
                </c:pt>
                <c:pt idx="137">
                  <c:v>6.4652810810781697E-2</c:v>
                </c:pt>
                <c:pt idx="138">
                  <c:v>6.4892304335044157E-2</c:v>
                </c:pt>
                <c:pt idx="139">
                  <c:v>6.513235366704459E-2</c:v>
                </c:pt>
                <c:pt idx="140">
                  <c:v>6.537289330855596E-2</c:v>
                </c:pt>
                <c:pt idx="141">
                  <c:v>6.5613855059864126E-2</c:v>
                </c:pt>
                <c:pt idx="142">
                  <c:v>6.5855168184908858E-2</c:v>
                </c:pt>
                <c:pt idx="143">
                  <c:v>6.6096759594673329E-2</c:v>
                </c:pt>
                <c:pt idx="144">
                  <c:v>6.6338554048334178E-2</c:v>
                </c:pt>
                <c:pt idx="145">
                  <c:v>6.6580474371516776E-2</c:v>
                </c:pt>
                <c:pt idx="146">
                  <c:v>6.6822441690837411E-2</c:v>
                </c:pt>
                <c:pt idx="147">
                  <c:v>6.7064375683750413E-2</c:v>
                </c:pt>
                <c:pt idx="148">
                  <c:v>6.7306194842560077E-2</c:v>
                </c:pt>
                <c:pt idx="149">
                  <c:v>6.754781675130607E-2</c:v>
                </c:pt>
                <c:pt idx="150">
                  <c:v>6.7789158374085598E-2</c:v>
                </c:pt>
                <c:pt idx="151">
                  <c:v>6.8030136353241039E-2</c:v>
                </c:pt>
                <c:pt idx="152">
                  <c:v>6.827066731571714E-2</c:v>
                </c:pt>
                <c:pt idx="153">
                  <c:v>6.8510668185780263E-2</c:v>
                </c:pt>
                <c:pt idx="154">
                  <c:v>6.8750056502193721E-2</c:v>
                </c:pt>
                <c:pt idx="155">
                  <c:v>6.8988750737860399E-2</c:v>
                </c:pt>
                <c:pt idx="156">
                  <c:v>6.9226670619876224E-2</c:v>
                </c:pt>
                <c:pt idx="157">
                  <c:v>6.9463737447888557E-2</c:v>
                </c:pt>
                <c:pt idx="158">
                  <c:v>6.9699874408621215E-2</c:v>
                </c:pt>
                <c:pt idx="159">
                  <c:v>6.9935006884414161E-2</c:v>
                </c:pt>
                <c:pt idx="160">
                  <c:v>7.0169062753631342E-2</c:v>
                </c:pt>
                <c:pt idx="161">
                  <c:v>7.0401972680815092E-2</c:v>
                </c:pt>
                <c:pt idx="162">
                  <c:v>7.0633670394508588E-2</c:v>
                </c:pt>
                <c:pt idx="163">
                  <c:v>7.0864092950732094E-2</c:v>
                </c:pt>
                <c:pt idx="164">
                  <c:v>7.1093180980179929E-2</c:v>
                </c:pt>
                <c:pt idx="165">
                  <c:v>7.1320878917305874E-2</c:v>
                </c:pt>
                <c:pt idx="166">
                  <c:v>7.1547135209582141E-2</c:v>
                </c:pt>
                <c:pt idx="167">
                  <c:v>7.177190250535305E-2</c:v>
                </c:pt>
                <c:pt idx="168">
                  <c:v>7.1995137818853291E-2</c:v>
                </c:pt>
                <c:pt idx="169">
                  <c:v>7.2216802671126595E-2</c:v>
                </c:pt>
                <c:pt idx="170">
                  <c:v>7.2436863205758512E-2</c:v>
                </c:pt>
                <c:pt idx="171">
                  <c:v>7.2655290278524423E-2</c:v>
                </c:pt>
                <c:pt idx="172">
                  <c:v>7.2872059520255883E-2</c:v>
                </c:pt>
                <c:pt idx="173">
                  <c:v>7.3087151372431769E-2</c:v>
                </c:pt>
                <c:pt idx="174">
                  <c:v>7.3300551095216104E-2</c:v>
                </c:pt>
                <c:pt idx="175">
                  <c:v>7.3512248747879719E-2</c:v>
                </c:pt>
                <c:pt idx="176">
                  <c:v>7.3722239141762291E-2</c:v>
                </c:pt>
                <c:pt idx="177">
                  <c:v>7.3930521766149546E-2</c:v>
                </c:pt>
                <c:pt idx="178">
                  <c:v>7.4137100687656707E-2</c:v>
                </c:pt>
                <c:pt idx="179">
                  <c:v>7.4341984423921745E-2</c:v>
                </c:pt>
                <c:pt idx="180">
                  <c:v>7.4545185792616681E-2</c:v>
                </c:pt>
                <c:pt idx="181">
                  <c:v>7.4746721736982713E-2</c:v>
                </c:pt>
                <c:pt idx="182">
                  <c:v>7.4946613129282108E-2</c:v>
                </c:pt>
                <c:pt idx="183">
                  <c:v>7.5144884553733041E-2</c:v>
                </c:pt>
                <c:pt idx="184">
                  <c:v>7.5341564070655231E-2</c:v>
                </c:pt>
                <c:pt idx="185">
                  <c:v>7.5536682963698185E-2</c:v>
                </c:pt>
                <c:pt idx="186">
                  <c:v>7.5730275472151651E-2</c:v>
                </c:pt>
                <c:pt idx="187">
                  <c:v>7.5922378510448016E-2</c:v>
                </c:pt>
                <c:pt idx="188">
                  <c:v>7.6113031377054691E-2</c:v>
                </c:pt>
                <c:pt idx="189">
                  <c:v>7.6302275455025478E-2</c:v>
                </c:pt>
                <c:pt idx="190">
                  <c:v>7.6490153906527247E-2</c:v>
                </c:pt>
                <c:pt idx="191">
                  <c:v>7.667671136368448E-2</c:v>
                </c:pt>
                <c:pt idx="192">
                  <c:v>7.6861993618090166E-2</c:v>
                </c:pt>
                <c:pt idx="193">
                  <c:v>7.7046047311312746E-2</c:v>
                </c:pt>
                <c:pt idx="194">
                  <c:v>7.7228919628690135E-2</c:v>
                </c:pt>
                <c:pt idx="195">
                  <c:v>7.7410657998641691E-2</c:v>
                </c:pt>
                <c:pt idx="196">
                  <c:v>7.7591309799645833E-2</c:v>
                </c:pt>
                <c:pt idx="197">
                  <c:v>7.7770922076932217E-2</c:v>
                </c:pt>
                <c:pt idx="198">
                  <c:v>7.7949541270813424E-2</c:v>
                </c:pt>
                <c:pt idx="199">
                  <c:v>7.8127212958446143E-2</c:v>
                </c:pt>
                <c:pt idx="200">
                  <c:v>7.8303981610655451E-2</c:v>
                </c:pt>
                <c:pt idx="201">
                  <c:v>7.8479890365286867E-2</c:v>
                </c:pt>
                <c:pt idx="202">
                  <c:v>7.8654980818369746E-2</c:v>
                </c:pt>
                <c:pt idx="203">
                  <c:v>7.8829292834181719E-2</c:v>
                </c:pt>
                <c:pt idx="204">
                  <c:v>7.9002864375102094E-2</c:v>
                </c:pt>
                <c:pt idx="205">
                  <c:v>7.9175731351933426E-2</c:v>
                </c:pt>
                <c:pt idx="206">
                  <c:v>7.9347927495157441E-2</c:v>
                </c:pt>
                <c:pt idx="207">
                  <c:v>7.951948424737483E-2</c:v>
                </c:pt>
                <c:pt idx="208">
                  <c:v>7.9690430676963658E-2</c:v>
                </c:pt>
                <c:pt idx="209">
                  <c:v>7.9860793412776715E-2</c:v>
                </c:pt>
                <c:pt idx="210">
                  <c:v>8.0030596599489578E-2</c:v>
                </c:pt>
                <c:pt idx="211">
                  <c:v>8.0199861873008663E-2</c:v>
                </c:pt>
                <c:pt idx="212">
                  <c:v>8.0368608355154969E-2</c:v>
                </c:pt>
                <c:pt idx="213">
                  <c:v>8.0536852666657319E-2</c:v>
                </c:pt>
                <c:pt idx="214">
                  <c:v>8.070460895731868E-2</c:v>
                </c:pt>
                <c:pt idx="215">
                  <c:v>8.0871888952065665E-2</c:v>
                </c:pt>
                <c:pt idx="216">
                  <c:v>8.1038702011451427E-2</c:v>
                </c:pt>
                <c:pt idx="217">
                  <c:v>8.1205055205063714E-2</c:v>
                </c:pt>
                <c:pt idx="218">
                  <c:v>8.1370953396187592E-2</c:v>
                </c:pt>
                <c:pt idx="219">
                  <c:v>8.1536399335992327E-2</c:v>
                </c:pt>
                <c:pt idx="220">
                  <c:v>8.1701393765451866E-2</c:v>
                </c:pt>
                <c:pt idx="221">
                  <c:v>8.1865935523171771E-2</c:v>
                </c:pt>
                <c:pt idx="222">
                  <c:v>8.2030021657279281E-2</c:v>
                </c:pt>
                <c:pt idx="223">
                  <c:v>8.2193647539540393E-2</c:v>
                </c:pt>
                <c:pt idx="224">
                  <c:v>8.2356806979897973E-2</c:v>
                </c:pt>
                <c:pt idx="225">
                  <c:v>8.2519492339675649E-2</c:v>
                </c:pt>
                <c:pt idx="226">
                  <c:v>8.268169464176528E-2</c:v>
                </c:pt>
                <c:pt idx="227">
                  <c:v>8.2843403676209543E-2</c:v>
                </c:pt>
                <c:pt idx="228">
                  <c:v>8.3004608099703864E-2</c:v>
                </c:pt>
                <c:pt idx="229">
                  <c:v>8.3165295527672767E-2</c:v>
                </c:pt>
                <c:pt idx="230">
                  <c:v>8.332545261772463E-2</c:v>
                </c:pt>
                <c:pt idx="231">
                  <c:v>8.3485065143450735E-2</c:v>
                </c:pt>
                <c:pt idx="232">
                  <c:v>8.3644118057711353E-2</c:v>
                </c:pt>
                <c:pt idx="233">
                  <c:v>8.380259554473822E-2</c:v>
                </c:pt>
                <c:pt idx="234">
                  <c:v>8.3960481060580017E-2</c:v>
                </c:pt>
                <c:pt idx="235">
                  <c:v>8.4117757361619167E-2</c:v>
                </c:pt>
                <c:pt idx="236">
                  <c:v>8.4274406521096204E-2</c:v>
                </c:pt>
                <c:pt idx="237">
                  <c:v>8.4430409933787545E-2</c:v>
                </c:pt>
                <c:pt idx="238">
                  <c:v>8.4585748309189135E-2</c:v>
                </c:pt>
                <c:pt idx="239">
                  <c:v>8.4740401653766201E-2</c:v>
                </c:pt>
                <c:pt idx="240">
                  <c:v>8.4894349243027356E-2</c:v>
                </c:pt>
                <c:pt idx="241">
                  <c:v>8.5047569584373442E-2</c:v>
                </c:pt>
                <c:pt idx="242">
                  <c:v>8.5200040371853317E-2</c:v>
                </c:pt>
                <c:pt idx="243">
                  <c:v>8.5351738434126939E-2</c:v>
                </c:pt>
                <c:pt idx="244">
                  <c:v>8.5502639677089917E-2</c:v>
                </c:pt>
                <c:pt idx="245">
                  <c:v>8.565271902275122E-2</c:v>
                </c:pt>
                <c:pt idx="246">
                  <c:v>8.5801950346073227E-2</c:v>
                </c:pt>
                <c:pt idx="247">
                  <c:v>8.595030641158237E-2</c:v>
                </c:pt>
                <c:pt idx="248">
                  <c:v>8.6097758811633493E-2</c:v>
                </c:pt>
                <c:pt idx="249">
                  <c:v>8.6244277908266012E-2</c:v>
                </c:pt>
                <c:pt idx="250">
                  <c:v>8.6389832780618028E-2</c:v>
                </c:pt>
                <c:pt idx="251">
                  <c:v>8.6534391179869746E-2</c:v>
                </c:pt>
                <c:pt idx="252">
                  <c:v>8.6677919493667377E-2</c:v>
                </c:pt>
                <c:pt idx="253">
                  <c:v>8.6820382721933237E-2</c:v>
                </c:pt>
                <c:pt idx="254">
                  <c:v>8.6961744465896426E-2</c:v>
                </c:pt>
                <c:pt idx="255">
                  <c:v>8.7101966932083705E-2</c:v>
                </c:pt>
                <c:pt idx="256">
                  <c:v>8.7241010952890954E-2</c:v>
                </c:pt>
                <c:pt idx="257">
                  <c:v>8.7378836025211404E-2</c:v>
                </c:pt>
                <c:pt idx="258">
                  <c:v>8.7515400368434595E-2</c:v>
                </c:pt>
                <c:pt idx="259">
                  <c:v>8.7650661002942901E-2</c:v>
                </c:pt>
                <c:pt idx="260">
                  <c:v>8.7784573850029954E-2</c:v>
                </c:pt>
                <c:pt idx="261">
                  <c:v>8.7917093853944348E-2</c:v>
                </c:pt>
                <c:pt idx="262">
                  <c:v>8.8048175126526559E-2</c:v>
                </c:pt>
                <c:pt idx="263">
                  <c:v>8.8177771114659728E-2</c:v>
                </c:pt>
                <c:pt idx="264">
                  <c:v>8.830583479049732E-2</c:v>
                </c:pt>
                <c:pt idx="265">
                  <c:v>8.8432318864165721E-2</c:v>
                </c:pt>
                <c:pt idx="266">
                  <c:v>8.8557176018371528E-2</c:v>
                </c:pt>
                <c:pt idx="267">
                  <c:v>8.8680359164071396E-2</c:v>
                </c:pt>
                <c:pt idx="268">
                  <c:v>8.8801821716093798E-2</c:v>
                </c:pt>
                <c:pt idx="269">
                  <c:v>8.8921517887336113E-2</c:v>
                </c:pt>
                <c:pt idx="270">
                  <c:v>8.9039402999902387E-2</c:v>
                </c:pt>
                <c:pt idx="271">
                  <c:v>8.9155433811298992E-2</c:v>
                </c:pt>
                <c:pt idx="272">
                  <c:v>8.9269568853570069E-2</c:v>
                </c:pt>
                <c:pt idx="273">
                  <c:v>8.9381768783034124E-2</c:v>
                </c:pt>
                <c:pt idx="274">
                  <c:v>8.9491996738082585E-2</c:v>
                </c:pt>
                <c:pt idx="275">
                  <c:v>8.9600218702318019E-2</c:v>
                </c:pt>
                <c:pt idx="276">
                  <c:v>8.9706403870153675E-2</c:v>
                </c:pt>
                <c:pt idx="277">
                  <c:v>8.981052501186014E-2</c:v>
                </c:pt>
                <c:pt idx="278">
                  <c:v>8.9912558834940259E-2</c:v>
                </c:pt>
                <c:pt idx="279">
                  <c:v>9.0012486338633027E-2</c:v>
                </c:pt>
                <c:pt idx="280">
                  <c:v>9.0110293158300339E-2</c:v>
                </c:pt>
                <c:pt idx="281">
                  <c:v>9.0205969896430108E-2</c:v>
                </c:pt>
                <c:pt idx="282">
                  <c:v>9.0299512437004459E-2</c:v>
                </c:pt>
                <c:pt idx="283">
                  <c:v>9.039092224002504E-2</c:v>
                </c:pt>
                <c:pt idx="284">
                  <c:v>9.0480206613065425E-2</c:v>
                </c:pt>
                <c:pt idx="285">
                  <c:v>9.0567378956828218E-2</c:v>
                </c:pt>
                <c:pt idx="286">
                  <c:v>9.0652458981825099E-2</c:v>
                </c:pt>
                <c:pt idx="287">
                  <c:v>9.0735472893466743E-2</c:v>
                </c:pt>
                <c:pt idx="288">
                  <c:v>9.0816453543049833E-2</c:v>
                </c:pt>
                <c:pt idx="289">
                  <c:v>9.089544054235392E-2</c:v>
                </c:pt>
                <c:pt idx="290">
                  <c:v>9.0972480339814171E-2</c:v>
                </c:pt>
                <c:pt idx="291">
                  <c:v>9.1047626256511943E-2</c:v>
                </c:pt>
                <c:pt idx="292">
                  <c:v>9.1120938480522981E-2</c:v>
                </c:pt>
                <c:pt idx="293">
                  <c:v>9.119248401848036E-2</c:v>
                </c:pt>
                <c:pt idx="294">
                  <c:v>9.1262336603540911E-2</c:v>
                </c:pt>
                <c:pt idx="295">
                  <c:v>9.133057655929222E-2</c:v>
                </c:pt>
                <c:pt idx="296">
                  <c:v>9.1397290619491645E-2</c:v>
                </c:pt>
                <c:pt idx="297">
                  <c:v>9.1462571703893727E-2</c:v>
                </c:pt>
                <c:pt idx="298">
                  <c:v>9.1526518650787994E-2</c:v>
                </c:pt>
                <c:pt idx="299">
                  <c:v>9.1589235907237651E-2</c:v>
                </c:pt>
                <c:pt idx="300">
                  <c:v>9.1650833178372526E-2</c:v>
                </c:pt>
                <c:pt idx="301">
                  <c:v>9.171142503744692E-2</c:v>
                </c:pt>
                <c:pt idx="302">
                  <c:v>9.1771130498720321E-2</c:v>
                </c:pt>
                <c:pt idx="303">
                  <c:v>9.1830072555553172E-2</c:v>
                </c:pt>
                <c:pt idx="304">
                  <c:v>9.1888377686425271E-2</c:v>
                </c:pt>
                <c:pt idx="305">
                  <c:v>9.1946175331883248E-2</c:v>
                </c:pt>
                <c:pt idx="306">
                  <c:v>9.2003597345697047E-2</c:v>
                </c:pt>
                <c:pt idx="307">
                  <c:v>9.2060777423754778E-2</c:v>
                </c:pt>
                <c:pt idx="308">
                  <c:v>9.2117850514446195E-2</c:v>
                </c:pt>
                <c:pt idx="309">
                  <c:v>9.2174952214476275E-2</c:v>
                </c:pt>
                <c:pt idx="310">
                  <c:v>9.223221815420804E-2</c:v>
                </c:pt>
                <c:pt idx="311">
                  <c:v>9.2289783376759665E-2</c:v>
                </c:pt>
                <c:pt idx="312">
                  <c:v>9.2347781715169372E-2</c:v>
                </c:pt>
                <c:pt idx="313">
                  <c:v>9.2406345171994558E-2</c:v>
                </c:pt>
                <c:pt idx="314">
                  <c:v>9.246560330572802E-2</c:v>
                </c:pt>
                <c:pt idx="315">
                  <c:v>9.2525682628391684E-2</c:v>
                </c:pt>
                <c:pt idx="316">
                  <c:v>9.258670601860973E-2</c:v>
                </c:pt>
                <c:pt idx="317">
                  <c:v>9.2648792154365986E-2</c:v>
                </c:pt>
                <c:pt idx="318">
                  <c:v>9.2712054969518148E-2</c:v>
                </c:pt>
                <c:pt idx="319">
                  <c:v>9.2776603137972424E-2</c:v>
                </c:pt>
                <c:pt idx="320">
                  <c:v>9.2842539589220521E-2</c:v>
                </c:pt>
                <c:pt idx="321">
                  <c:v>9.2909961058704721E-2</c:v>
                </c:pt>
                <c:pt idx="322">
                  <c:v>9.2978957676213309E-2</c:v>
                </c:pt>
                <c:pt idx="323">
                  <c:v>9.3049612595213285E-2</c:v>
                </c:pt>
                <c:pt idx="324">
                  <c:v>9.3122001665710136E-2</c:v>
                </c:pt>
                <c:pt idx="325">
                  <c:v>9.3196193152881357E-2</c:v>
                </c:pt>
                <c:pt idx="326">
                  <c:v>9.3272247503370459E-2</c:v>
                </c:pt>
                <c:pt idx="327">
                  <c:v>9.335021716074908E-2</c:v>
                </c:pt>
                <c:pt idx="328">
                  <c:v>9.3430146431265779E-2</c:v>
                </c:pt>
                <c:pt idx="329">
                  <c:v>9.3512071400597266E-2</c:v>
                </c:pt>
                <c:pt idx="330">
                  <c:v>9.3596019901914948E-2</c:v>
                </c:pt>
                <c:pt idx="331">
                  <c:v>9.3682011535167392E-2</c:v>
                </c:pt>
                <c:pt idx="332">
                  <c:v>9.377005773707546E-2</c:v>
                </c:pt>
                <c:pt idx="333">
                  <c:v>9.3860161900932673E-2</c:v>
                </c:pt>
                <c:pt idx="334">
                  <c:v>9.3952319544911525E-2</c:v>
                </c:pt>
                <c:pt idx="335">
                  <c:v>9.404651852719445E-2</c:v>
                </c:pt>
                <c:pt idx="336">
                  <c:v>9.4142739305883794E-2</c:v>
                </c:pt>
                <c:pt idx="337">
                  <c:v>9.42409552412979E-2</c:v>
                </c:pt>
                <c:pt idx="338">
                  <c:v>9.4341132937937403E-2</c:v>
                </c:pt>
                <c:pt idx="339">
                  <c:v>9.4443232623105708E-2</c:v>
                </c:pt>
                <c:pt idx="340">
                  <c:v>9.4547208558895979E-2</c:v>
                </c:pt>
                <c:pt idx="341">
                  <c:v>9.4653009484016379E-2</c:v>
                </c:pt>
                <c:pt idx="342">
                  <c:v>9.4760579081714411E-2</c:v>
                </c:pt>
                <c:pt idx="343">
                  <c:v>9.4869856469886493E-2</c:v>
                </c:pt>
                <c:pt idx="344">
                  <c:v>9.498077670931819E-2</c:v>
                </c:pt>
                <c:pt idx="345">
                  <c:v>9.509327132589647E-2</c:v>
                </c:pt>
                <c:pt idx="346">
                  <c:v>9.5207268842568693E-2</c:v>
                </c:pt>
                <c:pt idx="347">
                  <c:v>9.5322695316794326E-2</c:v>
                </c:pt>
                <c:pt idx="348">
                  <c:v>9.5439474879242842E-2</c:v>
                </c:pt>
                <c:pt idx="349">
                  <c:v>9.5557530269538574E-2</c:v>
                </c:pt>
                <c:pt idx="350">
                  <c:v>9.5676783364934695E-2</c:v>
                </c:pt>
                <c:pt idx="351">
                  <c:v>9.5797155697917455E-2</c:v>
                </c:pt>
                <c:pt idx="352">
                  <c:v>9.5918568958894543E-2</c:v>
                </c:pt>
                <c:pt idx="353">
                  <c:v>9.604094548030627E-2</c:v>
                </c:pt>
                <c:pt idx="354">
                  <c:v>9.6164208698715295E-2</c:v>
                </c:pt>
                <c:pt idx="355">
                  <c:v>9.6288283591674489E-2</c:v>
                </c:pt>
                <c:pt idx="356">
                  <c:v>9.6413097086443619E-2</c:v>
                </c:pt>
                <c:pt idx="357">
                  <c:v>9.6538578437919867E-2</c:v>
                </c:pt>
                <c:pt idx="358">
                  <c:v>9.6664659573460182E-2</c:v>
                </c:pt>
                <c:pt idx="359">
                  <c:v>9.679127540260693E-2</c:v>
                </c:pt>
                <c:pt idx="360">
                  <c:v>9.6918364090071527E-2</c:v>
                </c:pt>
                <c:pt idx="361">
                  <c:v>9.7045867290688995E-2</c:v>
                </c:pt>
                <c:pt idx="362">
                  <c:v>9.717373034541707E-2</c:v>
                </c:pt>
                <c:pt idx="363">
                  <c:v>9.7301902437823037E-2</c:v>
                </c:pt>
                <c:pt idx="364">
                  <c:v>9.7430336710865373E-2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0.00%</c:formatCode>
                <c:ptCount val="366"/>
                <c:pt idx="0">
                  <c:v>0.10512911028967105</c:v>
                </c:pt>
                <c:pt idx="1">
                  <c:v>0.10397745641795658</c:v>
                </c:pt>
                <c:pt idx="2">
                  <c:v>0.102739786289148</c:v>
                </c:pt>
                <c:pt idx="3">
                  <c:v>0.10142076895251857</c:v>
                </c:pt>
                <c:pt idx="4">
                  <c:v>0.10002508387103368</c:v>
                </c:pt>
                <c:pt idx="5">
                  <c:v>9.8557390871868336E-2</c:v>
                </c:pt>
                <c:pt idx="6">
                  <c:v>9.7022302948464437E-2</c:v>
                </c:pt>
                <c:pt idx="7">
                  <c:v>9.5424361708626754E-2</c:v>
                </c:pt>
                <c:pt idx="8">
                  <c:v>9.3757309436794001E-2</c:v>
                </c:pt>
                <c:pt idx="9">
                  <c:v>9.205002556798883E-2</c:v>
                </c:pt>
                <c:pt idx="10">
                  <c:v>9.0346331085081083E-2</c:v>
                </c:pt>
                <c:pt idx="11">
                  <c:v>8.8651713233701968E-2</c:v>
                </c:pt>
                <c:pt idx="12">
                  <c:v>8.6971170705036141E-2</c:v>
                </c:pt>
                <c:pt idx="13">
                  <c:v>8.5309220568162744E-2</c:v>
                </c:pt>
                <c:pt idx="14">
                  <c:v>8.3669911251288087E-2</c:v>
                </c:pt>
                <c:pt idx="15">
                  <c:v>8.2064100434529358E-2</c:v>
                </c:pt>
                <c:pt idx="16">
                  <c:v>8.0507806197311849E-2</c:v>
                </c:pt>
                <c:pt idx="17">
                  <c:v>7.900308926984892E-2</c:v>
                </c:pt>
                <c:pt idx="18">
                  <c:v>7.7551638238782708E-2</c:v>
                </c:pt>
                <c:pt idx="19">
                  <c:v>7.6155228579272705E-2</c:v>
                </c:pt>
                <c:pt idx="20">
                  <c:v>7.4815490314779173E-2</c:v>
                </c:pt>
                <c:pt idx="21">
                  <c:v>7.3533425262080745E-2</c:v>
                </c:pt>
                <c:pt idx="22">
                  <c:v>7.2301932881827374E-2</c:v>
                </c:pt>
                <c:pt idx="23">
                  <c:v>7.1075532885171558E-2</c:v>
                </c:pt>
                <c:pt idx="24">
                  <c:v>6.9828670266706014E-2</c:v>
                </c:pt>
                <c:pt idx="25">
                  <c:v>6.8564074450221071E-2</c:v>
                </c:pt>
                <c:pt idx="26">
                  <c:v>6.7284301555161963E-2</c:v>
                </c:pt>
                <c:pt idx="27">
                  <c:v>6.5991736739737808E-2</c:v>
                </c:pt>
                <c:pt idx="28">
                  <c:v>6.4688597544802579E-2</c:v>
                </c:pt>
                <c:pt idx="29">
                  <c:v>6.3335809488088077E-2</c:v>
                </c:pt>
                <c:pt idx="30">
                  <c:v>6.1930717158536451E-2</c:v>
                </c:pt>
                <c:pt idx="31">
                  <c:v>6.0476783298354389E-2</c:v>
                </c:pt>
                <c:pt idx="32">
                  <c:v>5.8977270407347904E-2</c:v>
                </c:pt>
                <c:pt idx="33">
                  <c:v>5.7435241889896398E-2</c:v>
                </c:pt>
                <c:pt idx="34">
                  <c:v>5.5853564279092369E-2</c:v>
                </c:pt>
                <c:pt idx="35">
                  <c:v>5.4234910314863959E-2</c:v>
                </c:pt>
                <c:pt idx="36">
                  <c:v>5.2580653502517061E-2</c:v>
                </c:pt>
                <c:pt idx="37">
                  <c:v>5.0893639050385762E-2</c:v>
                </c:pt>
                <c:pt idx="38">
                  <c:v>4.9207213939056312E-2</c:v>
                </c:pt>
                <c:pt idx="39">
                  <c:v>4.7521823459491894E-2</c:v>
                </c:pt>
                <c:pt idx="40">
                  <c:v>4.5837910364933274E-2</c:v>
                </c:pt>
                <c:pt idx="41">
                  <c:v>4.4155913954546898E-2</c:v>
                </c:pt>
                <c:pt idx="42">
                  <c:v>4.2476269219770511E-2</c:v>
                </c:pt>
                <c:pt idx="43">
                  <c:v>4.0810075108509508E-2</c:v>
                </c:pt>
                <c:pt idx="44">
                  <c:v>3.9191543283315679E-2</c:v>
                </c:pt>
                <c:pt idx="45">
                  <c:v>3.76194853441736E-2</c:v>
                </c:pt>
                <c:pt idx="46">
                  <c:v>3.6092750912901324E-2</c:v>
                </c:pt>
                <c:pt idx="47">
                  <c:v>3.4610225456309762E-2</c:v>
                </c:pt>
                <c:pt idx="48">
                  <c:v>3.3170828290279293E-2</c:v>
                </c:pt>
                <c:pt idx="49">
                  <c:v>3.1773510711694465E-2</c:v>
                </c:pt>
                <c:pt idx="50">
                  <c:v>3.0416628994420634E-2</c:v>
                </c:pt>
                <c:pt idx="51">
                  <c:v>2.9101322086050461E-2</c:v>
                </c:pt>
                <c:pt idx="52">
                  <c:v>2.7825289117889906E-2</c:v>
                </c:pt>
                <c:pt idx="53">
                  <c:v>2.6587866628592589E-2</c:v>
                </c:pt>
                <c:pt idx="54">
                  <c:v>2.5388469738571274E-2</c:v>
                </c:pt>
                <c:pt idx="55">
                  <c:v>2.422645105514256E-2</c:v>
                </c:pt>
                <c:pt idx="56">
                  <c:v>2.3101109625299394E-2</c:v>
                </c:pt>
                <c:pt idx="57">
                  <c:v>2.2033459673271246E-2</c:v>
                </c:pt>
                <c:pt idx="58">
                  <c:v>2.1013019340707824E-2</c:v>
                </c:pt>
                <c:pt idx="59">
                  <c:v>2.0038524401619601E-2</c:v>
                </c:pt>
                <c:pt idx="60">
                  <c:v>1.9108703109530122E-2</c:v>
                </c:pt>
                <c:pt idx="61">
                  <c:v>1.8222282256302139E-2</c:v>
                </c:pt>
                <c:pt idx="62">
                  <c:v>1.7377992504060941E-2</c:v>
                </c:pt>
                <c:pt idx="63">
                  <c:v>1.6574573052235874E-2</c:v>
                </c:pt>
                <c:pt idx="64">
                  <c:v>1.580974937800253E-2</c:v>
                </c:pt>
                <c:pt idx="65">
                  <c:v>1.5105316390421808E-2</c:v>
                </c:pt>
                <c:pt idx="66">
                  <c:v>1.4457907568548636E-2</c:v>
                </c:pt>
                <c:pt idx="67">
                  <c:v>1.3866025818757892E-2</c:v>
                </c:pt>
                <c:pt idx="68">
                  <c:v>1.3328175158088646E-2</c:v>
                </c:pt>
                <c:pt idx="69">
                  <c:v>1.2842870363159609E-2</c:v>
                </c:pt>
                <c:pt idx="70">
                  <c:v>1.2408645511243993E-2</c:v>
                </c:pt>
                <c:pt idx="71">
                  <c:v>1.2028600067807621E-2</c:v>
                </c:pt>
                <c:pt idx="72">
                  <c:v>1.1682941489216774E-2</c:v>
                </c:pt>
                <c:pt idx="73">
                  <c:v>1.1370799318003258E-2</c:v>
                </c:pt>
                <c:pt idx="74">
                  <c:v>1.1091328410374118E-2</c:v>
                </c:pt>
                <c:pt idx="75">
                  <c:v>1.0843712622903531E-2</c:v>
                </c:pt>
                <c:pt idx="76">
                  <c:v>1.062716805666347E-2</c:v>
                </c:pt>
                <c:pt idx="77">
                  <c:v>1.0440945909475753E-2</c:v>
                </c:pt>
                <c:pt idx="78">
                  <c:v>1.0283528230032923E-2</c:v>
                </c:pt>
                <c:pt idx="79">
                  <c:v>1.0150225782793912E-2</c:v>
                </c:pt>
                <c:pt idx="80">
                  <c:v>1.0020151382382159E-2</c:v>
                </c:pt>
                <c:pt idx="81">
                  <c:v>9.8934400100136703E-3</c:v>
                </c:pt>
                <c:pt idx="82">
                  <c:v>9.7702143581095136E-3</c:v>
                </c:pt>
                <c:pt idx="83">
                  <c:v>9.6505861961407348E-3</c:v>
                </c:pt>
                <c:pt idx="84">
                  <c:v>9.5346577057408635E-3</c:v>
                </c:pt>
                <c:pt idx="85">
                  <c:v>9.4196875301529107E-3</c:v>
                </c:pt>
                <c:pt idx="86">
                  <c:v>9.3017397681843406E-3</c:v>
                </c:pt>
                <c:pt idx="87">
                  <c:v>9.1810243921200026E-3</c:v>
                </c:pt>
                <c:pt idx="88">
                  <c:v>9.0577335532945995E-3</c:v>
                </c:pt>
                <c:pt idx="89">
                  <c:v>8.9320420691915512E-3</c:v>
                </c:pt>
                <c:pt idx="90">
                  <c:v>8.8041079181293593E-3</c:v>
                </c:pt>
                <c:pt idx="91">
                  <c:v>8.6740727305472682E-3</c:v>
                </c:pt>
                <c:pt idx="92">
                  <c:v>8.5415779438548934E-3</c:v>
                </c:pt>
                <c:pt idx="93">
                  <c:v>8.4029222710422149E-3</c:v>
                </c:pt>
                <c:pt idx="94">
                  <c:v>8.2612216696754028E-3</c:v>
                </c:pt>
                <c:pt idx="95">
                  <c:v>8.116556761759066E-3</c:v>
                </c:pt>
                <c:pt idx="96">
                  <c:v>7.9690004477519609E-3</c:v>
                </c:pt>
                <c:pt idx="97">
                  <c:v>7.8186180589810191E-3</c:v>
                </c:pt>
                <c:pt idx="98">
                  <c:v>7.6654674971059185E-3</c:v>
                </c:pt>
                <c:pt idx="99">
                  <c:v>7.5060385039317293E-3</c:v>
                </c:pt>
                <c:pt idx="100">
                  <c:v>7.3429768602334437E-3</c:v>
                </c:pt>
                <c:pt idx="101">
                  <c:v>7.1763323287827221E-3</c:v>
                </c:pt>
                <c:pt idx="102">
                  <c:v>7.0061463206045303E-3</c:v>
                </c:pt>
                <c:pt idx="103">
                  <c:v>6.8324519724971043E-3</c:v>
                </c:pt>
                <c:pt idx="104">
                  <c:v>6.6552742106656395E-3</c:v>
                </c:pt>
                <c:pt idx="105">
                  <c:v>6.4746298004184077E-3</c:v>
                </c:pt>
                <c:pt idx="106">
                  <c:v>6.2903557959927293E-3</c:v>
                </c:pt>
                <c:pt idx="107">
                  <c:v>6.0996651211464234E-3</c:v>
                </c:pt>
                <c:pt idx="108">
                  <c:v>5.9056295510978374E-3</c:v>
                </c:pt>
                <c:pt idx="109">
                  <c:v>5.7082484523078179E-3</c:v>
                </c:pt>
                <c:pt idx="110">
                  <c:v>5.5075286435539742E-3</c:v>
                </c:pt>
                <c:pt idx="111">
                  <c:v>5.3034667234670187E-3</c:v>
                </c:pt>
                <c:pt idx="112">
                  <c:v>5.0960341558813835E-3</c:v>
                </c:pt>
                <c:pt idx="113">
                  <c:v>4.886643845471059E-3</c:v>
                </c:pt>
                <c:pt idx="114">
                  <c:v>4.678542502596997E-3</c:v>
                </c:pt>
                <c:pt idx="115">
                  <c:v>4.4716173171325266E-3</c:v>
                </c:pt>
                <c:pt idx="116">
                  <c:v>4.2657518679756505E-3</c:v>
                </c:pt>
                <c:pt idx="117">
                  <c:v>4.0608260682259813E-3</c:v>
                </c:pt>
                <c:pt idx="118">
                  <c:v>3.8567160963028091E-3</c:v>
                </c:pt>
                <c:pt idx="119">
                  <c:v>3.6532943125908951E-3</c:v>
                </c:pt>
                <c:pt idx="120">
                  <c:v>3.4504365223436751E-3</c:v>
                </c:pt>
                <c:pt idx="121">
                  <c:v>3.2521247707514166E-3</c:v>
                </c:pt>
                <c:pt idx="122">
                  <c:v>3.0607209012796645E-3</c:v>
                </c:pt>
                <c:pt idx="123">
                  <c:v>2.8760317489477357E-3</c:v>
                </c:pt>
                <c:pt idx="124">
                  <c:v>2.6978777063035339E-3</c:v>
                </c:pt>
                <c:pt idx="125">
                  <c:v>2.5260918206909729E-3</c:v>
                </c:pt>
                <c:pt idx="126">
                  <c:v>2.3605189635291586E-3</c:v>
                </c:pt>
                <c:pt idx="127">
                  <c:v>2.2048841378471931E-3</c:v>
                </c:pt>
                <c:pt idx="128">
                  <c:v>2.0577186988337305E-3</c:v>
                </c:pt>
                <c:pt idx="129">
                  <c:v>1.9189219451852433E-3</c:v>
                </c:pt>
                <c:pt idx="130">
                  <c:v>1.7884051063125777E-3</c:v>
                </c:pt>
                <c:pt idx="131">
                  <c:v>1.6660905598306817E-3</c:v>
                </c:pt>
                <c:pt idx="132">
                  <c:v>1.5519110799994409E-3</c:v>
                </c:pt>
                <c:pt idx="133">
                  <c:v>1.4458091121236842E-3</c:v>
                </c:pt>
                <c:pt idx="134">
                  <c:v>1.3477753373804706E-3</c:v>
                </c:pt>
                <c:pt idx="135">
                  <c:v>1.2591801850172293E-3</c:v>
                </c:pt>
                <c:pt idx="136">
                  <c:v>1.1759207440379981E-3</c:v>
                </c:pt>
                <c:pt idx="137">
                  <c:v>1.0979717474087474E-3</c:v>
                </c:pt>
                <c:pt idx="138">
                  <c:v>1.025314959782136E-3</c:v>
                </c:pt>
                <c:pt idx="139">
                  <c:v>9.5793879688516243E-4</c:v>
                </c:pt>
                <c:pt idx="140">
                  <c:v>8.9583794930299008E-4</c:v>
                </c:pt>
                <c:pt idx="141">
                  <c:v>8.4003544318609583E-4</c:v>
                </c:pt>
                <c:pt idx="142">
                  <c:v>7.8660415015761843E-4</c:v>
                </c:pt>
                <c:pt idx="143">
                  <c:v>7.3552861237925369E-4</c:v>
                </c:pt>
                <c:pt idx="144">
                  <c:v>6.8680117115116086E-4</c:v>
                </c:pt>
                <c:pt idx="145">
                  <c:v>6.4041645107898351E-4</c:v>
                </c:pt>
                <c:pt idx="146">
                  <c:v>5.9637123808599477E-4</c:v>
                </c:pt>
                <c:pt idx="147">
                  <c:v>5.5466435675422194E-4</c:v>
                </c:pt>
                <c:pt idx="148">
                  <c:v>5.1530715562262287E-4</c:v>
                </c:pt>
                <c:pt idx="149">
                  <c:v>4.7973967450461429E-4</c:v>
                </c:pt>
                <c:pt idx="150">
                  <c:v>4.4653857543863225E-4</c:v>
                </c:pt>
                <c:pt idx="151">
                  <c:v>4.1570076056726479E-4</c:v>
                </c:pt>
                <c:pt idx="152">
                  <c:v>3.8722486323844739E-4</c:v>
                </c:pt>
                <c:pt idx="153">
                  <c:v>3.6111116613641344E-4</c:v>
                </c:pt>
                <c:pt idx="154">
                  <c:v>3.373615189092675E-4</c:v>
                </c:pt>
                <c:pt idx="155">
                  <c:v>3.1645118502669658E-4</c:v>
                </c:pt>
                <c:pt idx="156">
                  <c:v>2.9736312357209752E-4</c:v>
                </c:pt>
                <c:pt idx="157">
                  <c:v>2.8010595947046966E-4</c:v>
                </c:pt>
                <c:pt idx="158">
                  <c:v>2.6468936729947851E-4</c:v>
                </c:pt>
                <c:pt idx="159">
                  <c:v>2.5112399361755381E-4</c:v>
                </c:pt>
                <c:pt idx="160">
                  <c:v>2.3942137825551697E-4</c:v>
                </c:pt>
                <c:pt idx="161">
                  <c:v>2.2959387469360967E-4</c:v>
                </c:pt>
                <c:pt idx="162">
                  <c:v>2.2165816667537029E-4</c:v>
                </c:pt>
                <c:pt idx="163">
                  <c:v>2.1587753533559704E-4</c:v>
                </c:pt>
                <c:pt idx="164">
                  <c:v>2.107943777763775E-4</c:v>
                </c:pt>
                <c:pt idx="165">
                  <c:v>2.0641563874568676E-4</c:v>
                </c:pt>
                <c:pt idx="166">
                  <c:v>2.0274861432351929E-4</c:v>
                </c:pt>
                <c:pt idx="167">
                  <c:v>1.9980091818279656E-4</c:v>
                </c:pt>
                <c:pt idx="168">
                  <c:v>1.9758044810970341E-4</c:v>
                </c:pt>
                <c:pt idx="169">
                  <c:v>1.9634822128686697E-4</c:v>
                </c:pt>
                <c:pt idx="170">
                  <c:v>1.9561675184791733E-4</c:v>
                </c:pt>
                <c:pt idx="171">
                  <c:v>1.9539200410555486E-4</c:v>
                </c:pt>
                <c:pt idx="172">
                  <c:v>1.9568004865398554E-4</c:v>
                </c:pt>
                <c:pt idx="173">
                  <c:v>1.964850312742642E-4</c:v>
                </c:pt>
                <c:pt idx="174">
                  <c:v>1.9781099937781871E-4</c:v>
                </c:pt>
                <c:pt idx="175">
                  <c:v>1.9966391799203288E-4</c:v>
                </c:pt>
                <c:pt idx="176">
                  <c:v>2.0204993544706027E-4</c:v>
                </c:pt>
                <c:pt idx="177">
                  <c:v>2.0548938779315921E-4</c:v>
                </c:pt>
                <c:pt idx="178">
                  <c:v>2.0973250622953999E-4</c:v>
                </c:pt>
                <c:pt idx="179">
                  <c:v>2.1478920468652395E-4</c:v>
                </c:pt>
                <c:pt idx="180">
                  <c:v>2.2066944179038395E-4</c:v>
                </c:pt>
                <c:pt idx="181">
                  <c:v>2.2738324905768293E-4</c:v>
                </c:pt>
                <c:pt idx="182">
                  <c:v>2.3494076168240942E-4</c:v>
                </c:pt>
                <c:pt idx="183">
                  <c:v>2.4490635389533299E-4</c:v>
                </c:pt>
                <c:pt idx="184">
                  <c:v>2.5703409593521399E-4</c:v>
                </c:pt>
                <c:pt idx="185">
                  <c:v>2.7134493730705366E-4</c:v>
                </c:pt>
                <c:pt idx="186">
                  <c:v>2.8786041875215684E-4</c:v>
                </c:pt>
                <c:pt idx="187">
                  <c:v>3.0660277559230154E-4</c:v>
                </c:pt>
                <c:pt idx="188">
                  <c:v>3.2759504695997407E-4</c:v>
                </c:pt>
                <c:pt idx="189">
                  <c:v>3.5086119101902384E-4</c:v>
                </c:pt>
                <c:pt idx="190">
                  <c:v>3.7642575734339124E-4</c:v>
                </c:pt>
                <c:pt idx="191">
                  <c:v>4.0539803062882555E-4</c:v>
                </c:pt>
                <c:pt idx="192">
                  <c:v>4.3726559840289456E-4</c:v>
                </c:pt>
                <c:pt idx="193">
                  <c:v>4.7205419018060159E-4</c:v>
                </c:pt>
                <c:pt idx="194">
                  <c:v>5.0979015835729612E-4</c:v>
                </c:pt>
                <c:pt idx="195">
                  <c:v>5.5050042459032925E-4</c:v>
                </c:pt>
                <c:pt idx="196">
                  <c:v>5.9421242523827243E-4</c:v>
                </c:pt>
                <c:pt idx="197">
                  <c:v>6.4266378451516867E-4</c:v>
                </c:pt>
                <c:pt idx="198">
                  <c:v>6.9427527194609786E-4</c:v>
                </c:pt>
                <c:pt idx="199">
                  <c:v>7.4907979777378479E-4</c:v>
                </c:pt>
                <c:pt idx="200">
                  <c:v>8.0765407648083196E-4</c:v>
                </c:pt>
                <c:pt idx="201">
                  <c:v>8.6955885194698451E-4</c:v>
                </c:pt>
                <c:pt idx="202">
                  <c:v>9.3482517624276932E-4</c:v>
                </c:pt>
                <c:pt idx="203">
                  <c:v>1.0035026190233119E-3</c:v>
                </c:pt>
                <c:pt idx="204">
                  <c:v>1.075639374311619E-3</c:v>
                </c:pt>
                <c:pt idx="205">
                  <c:v>1.1561700193737979E-3</c:v>
                </c:pt>
                <c:pt idx="206">
                  <c:v>1.2441027471651149E-3</c:v>
                </c:pt>
                <c:pt idx="207">
                  <c:v>1.3395591476475716E-3</c:v>
                </c:pt>
                <c:pt idx="208">
                  <c:v>1.4426619951528768E-3</c:v>
                </c:pt>
                <c:pt idx="209">
                  <c:v>1.5535357140671884E-3</c:v>
                </c:pt>
                <c:pt idx="210">
                  <c:v>1.6723068639896642E-3</c:v>
                </c:pt>
                <c:pt idx="211">
                  <c:v>1.8036913182781908E-3</c:v>
                </c:pt>
                <c:pt idx="212">
                  <c:v>1.9459313997191546E-3</c:v>
                </c:pt>
                <c:pt idx="213">
                  <c:v>2.0991480414897278E-3</c:v>
                </c:pt>
                <c:pt idx="214">
                  <c:v>2.2634701170972655E-3</c:v>
                </c:pt>
                <c:pt idx="215">
                  <c:v>2.4390350656642496E-3</c:v>
                </c:pt>
                <c:pt idx="216">
                  <c:v>2.6259895440415891E-3</c:v>
                </c:pt>
                <c:pt idx="217">
                  <c:v>2.8244901102470552E-3</c:v>
                </c:pt>
                <c:pt idx="218">
                  <c:v>3.0346242631614511E-3</c:v>
                </c:pt>
                <c:pt idx="219">
                  <c:v>3.2574592490855251E-3</c:v>
                </c:pt>
                <c:pt idx="220">
                  <c:v>3.4879145895354942E-3</c:v>
                </c:pt>
                <c:pt idx="221">
                  <c:v>3.7260912046371635E-3</c:v>
                </c:pt>
                <c:pt idx="222">
                  <c:v>3.9721034633010089E-3</c:v>
                </c:pt>
                <c:pt idx="223">
                  <c:v>4.2260799811278818E-3</c:v>
                </c:pt>
                <c:pt idx="224">
                  <c:v>4.4881644678667967E-3</c:v>
                </c:pt>
                <c:pt idx="225">
                  <c:v>4.7547935344536777E-3</c:v>
                </c:pt>
                <c:pt idx="226">
                  <c:v>5.0213331138285466E-3</c:v>
                </c:pt>
                <c:pt idx="227">
                  <c:v>5.2878750240356364E-3</c:v>
                </c:pt>
                <c:pt idx="228">
                  <c:v>5.5545223225277234E-3</c:v>
                </c:pt>
                <c:pt idx="229">
                  <c:v>5.8213895787464246E-3</c:v>
                </c:pt>
                <c:pt idx="230">
                  <c:v>6.088603190306319E-3</c:v>
                </c:pt>
                <c:pt idx="231">
                  <c:v>6.35630175137531E-3</c:v>
                </c:pt>
                <c:pt idx="232">
                  <c:v>6.624443675377626E-3</c:v>
                </c:pt>
                <c:pt idx="233">
                  <c:v>6.8886501894439237E-3</c:v>
                </c:pt>
                <c:pt idx="234">
                  <c:v>7.1479434803409002E-3</c:v>
                </c:pt>
                <c:pt idx="235">
                  <c:v>7.402345013194536E-3</c:v>
                </c:pt>
                <c:pt idx="236">
                  <c:v>7.6518817959782331E-3</c:v>
                </c:pt>
                <c:pt idx="237">
                  <c:v>7.896578918539305E-3</c:v>
                </c:pt>
                <c:pt idx="238">
                  <c:v>8.1364638080318966E-3</c:v>
                </c:pt>
                <c:pt idx="239">
                  <c:v>8.3681182031206322E-3</c:v>
                </c:pt>
                <c:pt idx="240">
                  <c:v>8.5955482061014776E-3</c:v>
                </c:pt>
                <c:pt idx="241">
                  <c:v>8.8187984967650103E-3</c:v>
                </c:pt>
                <c:pt idx="242">
                  <c:v>9.0379158061115513E-3</c:v>
                </c:pt>
                <c:pt idx="243">
                  <c:v>9.2529488093813003E-3</c:v>
                </c:pt>
                <c:pt idx="244">
                  <c:v>9.4639480248081727E-3</c:v>
                </c:pt>
                <c:pt idx="245">
                  <c:v>9.6709657176807032E-3</c:v>
                </c:pt>
                <c:pt idx="246">
                  <c:v>9.8741826291332286E-3</c:v>
                </c:pt>
                <c:pt idx="247">
                  <c:v>1.0070543083193707E-2</c:v>
                </c:pt>
                <c:pt idx="248">
                  <c:v>1.0264625628849633E-2</c:v>
                </c:pt>
                <c:pt idx="249">
                  <c:v>1.0456361313793759E-2</c:v>
                </c:pt>
                <c:pt idx="250">
                  <c:v>1.0645667950324848E-2</c:v>
                </c:pt>
                <c:pt idx="251">
                  <c:v>1.0832449734452184E-2</c:v>
                </c:pt>
                <c:pt idx="252">
                  <c:v>1.1016596833876929E-2</c:v>
                </c:pt>
                <c:pt idx="253">
                  <c:v>1.1196114682700552E-2</c:v>
                </c:pt>
                <c:pt idx="254">
                  <c:v>1.1374702173882791E-2</c:v>
                </c:pt>
                <c:pt idx="255">
                  <c:v>1.155229046277295E-2</c:v>
                </c:pt>
                <c:pt idx="256">
                  <c:v>1.172879639820194E-2</c:v>
                </c:pt>
                <c:pt idx="257">
                  <c:v>1.1904122093129781E-2</c:v>
                </c:pt>
                <c:pt idx="258">
                  <c:v>1.2078154469783992E-2</c:v>
                </c:pt>
                <c:pt idx="259">
                  <c:v>1.2250764783035622E-2</c:v>
                </c:pt>
                <c:pt idx="260">
                  <c:v>1.2422791750682761E-2</c:v>
                </c:pt>
                <c:pt idx="261">
                  <c:v>1.2609472909716046E-2</c:v>
                </c:pt>
                <c:pt idx="262">
                  <c:v>1.2814710766006312E-2</c:v>
                </c:pt>
                <c:pt idx="263">
                  <c:v>1.3038928010099558E-2</c:v>
                </c:pt>
                <c:pt idx="264">
                  <c:v>1.3282557831341293E-2</c:v>
                </c:pt>
                <c:pt idx="265">
                  <c:v>1.3546112755033243E-2</c:v>
                </c:pt>
                <c:pt idx="266">
                  <c:v>1.3830078193433914E-2</c:v>
                </c:pt>
                <c:pt idx="267">
                  <c:v>1.4167552764365373E-2</c:v>
                </c:pt>
                <c:pt idx="268">
                  <c:v>1.4562087441710397E-2</c:v>
                </c:pt>
                <c:pt idx="269">
                  <c:v>1.5015305699675349E-2</c:v>
                </c:pt>
                <c:pt idx="270">
                  <c:v>1.5528865809662756E-2</c:v>
                </c:pt>
                <c:pt idx="271">
                  <c:v>1.6104447060543845E-2</c:v>
                </c:pt>
                <c:pt idx="272">
                  <c:v>1.6743734167667005E-2</c:v>
                </c:pt>
                <c:pt idx="273">
                  <c:v>1.7448399722305344E-2</c:v>
                </c:pt>
                <c:pt idx="274">
                  <c:v>1.8222402329790773E-2</c:v>
                </c:pt>
                <c:pt idx="275">
                  <c:v>1.9082187621420069E-2</c:v>
                </c:pt>
                <c:pt idx="276">
                  <c:v>2.0013323084449905E-2</c:v>
                </c:pt>
                <c:pt idx="277">
                  <c:v>2.1018003797944041E-2</c:v>
                </c:pt>
                <c:pt idx="278">
                  <c:v>2.2098434811552492E-2</c:v>
                </c:pt>
                <c:pt idx="279">
                  <c:v>2.3256808640341627E-2</c:v>
                </c:pt>
                <c:pt idx="280">
                  <c:v>2.4495279691977123E-2</c:v>
                </c:pt>
                <c:pt idx="281">
                  <c:v>2.5804609065436211E-2</c:v>
                </c:pt>
                <c:pt idx="282">
                  <c:v>2.7147128928182947E-2</c:v>
                </c:pt>
                <c:pt idx="283">
                  <c:v>2.8522681136229973E-2</c:v>
                </c:pt>
                <c:pt idx="284">
                  <c:v>2.9930887606334909E-2</c:v>
                </c:pt>
                <c:pt idx="285">
                  <c:v>3.1371125697033805E-2</c:v>
                </c:pt>
                <c:pt idx="286">
                  <c:v>3.2842502682128738E-2</c:v>
                </c:pt>
                <c:pt idx="287">
                  <c:v>3.4343829687526528E-2</c:v>
                </c:pt>
                <c:pt idx="288">
                  <c:v>3.5875869536624617E-2</c:v>
                </c:pt>
                <c:pt idx="289">
                  <c:v>3.7452165717191691E-2</c:v>
                </c:pt>
                <c:pt idx="290">
                  <c:v>3.9059156724286982E-2</c:v>
                </c:pt>
                <c:pt idx="291">
                  <c:v>4.0697329334555499E-2</c:v>
                </c:pt>
                <c:pt idx="292">
                  <c:v>4.2367221636202886E-2</c:v>
                </c:pt>
                <c:pt idx="293">
                  <c:v>4.4069428584220895E-2</c:v>
                </c:pt>
                <c:pt idx="294">
                  <c:v>4.5804607941216768E-2</c:v>
                </c:pt>
                <c:pt idx="295">
                  <c:v>4.7575722318312835E-2</c:v>
                </c:pt>
                <c:pt idx="296">
                  <c:v>4.9397954438605465E-2</c:v>
                </c:pt>
                <c:pt idx="297">
                  <c:v>5.1273280137505602E-2</c:v>
                </c:pt>
                <c:pt idx="298">
                  <c:v>5.3203409148579538E-2</c:v>
                </c:pt>
                <c:pt idx="299">
                  <c:v>5.5190174789827261E-2</c:v>
                </c:pt>
                <c:pt idx="300">
                  <c:v>5.7235545534861022E-2</c:v>
                </c:pt>
                <c:pt idx="301">
                  <c:v>5.9341637670694371E-2</c:v>
                </c:pt>
                <c:pt idx="302">
                  <c:v>6.151101998938302E-2</c:v>
                </c:pt>
                <c:pt idx="303">
                  <c:v>6.3694925032282426E-2</c:v>
                </c:pt>
                <c:pt idx="304">
                  <c:v>6.5878238659967628E-2</c:v>
                </c:pt>
                <c:pt idx="305">
                  <c:v>6.8058936753656082E-2</c:v>
                </c:pt>
                <c:pt idx="306">
                  <c:v>7.0234742370488795E-2</c:v>
                </c:pt>
                <c:pt idx="307">
                  <c:v>7.2403114229011634E-2</c:v>
                </c:pt>
                <c:pt idx="308">
                  <c:v>7.4561235753516378E-2</c:v>
                </c:pt>
                <c:pt idx="309">
                  <c:v>7.6665933263018349E-2</c:v>
                </c:pt>
                <c:pt idx="310">
                  <c:v>7.8709637290741041E-2</c:v>
                </c:pt>
                <c:pt idx="311">
                  <c:v>8.0687041291539072E-2</c:v>
                </c:pt>
                <c:pt idx="312">
                  <c:v>8.2592530237088943E-2</c:v>
                </c:pt>
                <c:pt idx="313">
                  <c:v>8.4420190233436054E-2</c:v>
                </c:pt>
                <c:pt idx="314">
                  <c:v>8.6163822225184872E-2</c:v>
                </c:pt>
                <c:pt idx="315">
                  <c:v>8.781696028186918E-2</c:v>
                </c:pt>
                <c:pt idx="316">
                  <c:v>8.9374391736689179E-2</c:v>
                </c:pt>
                <c:pt idx="317">
                  <c:v>9.0860448960954951E-2</c:v>
                </c:pt>
                <c:pt idx="318">
                  <c:v>9.2332845410741632E-2</c:v>
                </c:pt>
                <c:pt idx="319">
                  <c:v>9.3791008188645927E-2</c:v>
                </c:pt>
                <c:pt idx="320">
                  <c:v>9.5234453229206165E-2</c:v>
                </c:pt>
                <c:pt idx="321">
                  <c:v>9.6662789458571069E-2</c:v>
                </c:pt>
                <c:pt idx="322">
                  <c:v>9.8075722732452936E-2</c:v>
                </c:pt>
                <c:pt idx="323">
                  <c:v>9.9524227668478404E-2</c:v>
                </c:pt>
                <c:pt idx="324">
                  <c:v>0.10105713315008803</c:v>
                </c:pt>
                <c:pt idx="325">
                  <c:v>0.1026773533128538</c:v>
                </c:pt>
                <c:pt idx="326">
                  <c:v>0.10438723679969672</c:v>
                </c:pt>
                <c:pt idx="327">
                  <c:v>0.10618962252259689</c:v>
                </c:pt>
                <c:pt idx="328">
                  <c:v>0.10808799092671886</c:v>
                </c:pt>
                <c:pt idx="329">
                  <c:v>0.11008596168510233</c:v>
                </c:pt>
                <c:pt idx="330">
                  <c:v>0.1121947012241042</c:v>
                </c:pt>
                <c:pt idx="331">
                  <c:v>0.11439006118011356</c:v>
                </c:pt>
                <c:pt idx="332">
                  <c:v>0.11663649839845029</c:v>
                </c:pt>
                <c:pt idx="333">
                  <c:v>0.11892889122595811</c:v>
                </c:pt>
                <c:pt idx="334">
                  <c:v>0.12126142978005858</c:v>
                </c:pt>
                <c:pt idx="335">
                  <c:v>0.123627573027322</c:v>
                </c:pt>
                <c:pt idx="336">
                  <c:v>0.12602001235102997</c:v>
                </c:pt>
                <c:pt idx="337">
                  <c:v>0.12836999653236192</c:v>
                </c:pt>
                <c:pt idx="338">
                  <c:v>0.13060852254367805</c:v>
                </c:pt>
                <c:pt idx="339">
                  <c:v>0.13272323213047518</c:v>
                </c:pt>
                <c:pt idx="340">
                  <c:v>0.13470128839264048</c:v>
                </c:pt>
                <c:pt idx="341">
                  <c:v>0.1365294921770393</c:v>
                </c:pt>
                <c:pt idx="342">
                  <c:v>0.13819442060810566</c:v>
                </c:pt>
                <c:pt idx="343">
                  <c:v>0.13968258788613661</c:v>
                </c:pt>
                <c:pt idx="344">
                  <c:v>0.14100206367573831</c:v>
                </c:pt>
                <c:pt idx="345">
                  <c:v>0.14216683001292746</c:v>
                </c:pt>
                <c:pt idx="346">
                  <c:v>0.14319382444615453</c:v>
                </c:pt>
                <c:pt idx="347">
                  <c:v>0.1440793322360284</c:v>
                </c:pt>
                <c:pt idx="348">
                  <c:v>0.14481999158978395</c:v>
                </c:pt>
                <c:pt idx="349">
                  <c:v>0.14541282461933372</c:v>
                </c:pt>
                <c:pt idx="350">
                  <c:v>0.1458552663477756</c:v>
                </c:pt>
                <c:pt idx="351">
                  <c:v>0.14613153501350842</c:v>
                </c:pt>
                <c:pt idx="352">
                  <c:v>0.14630455983165297</c:v>
                </c:pt>
                <c:pt idx="353">
                  <c:v>0.14637319729784096</c:v>
                </c:pt>
                <c:pt idx="354">
                  <c:v>0.14633664164232776</c:v>
                </c:pt>
                <c:pt idx="355">
                  <c:v>0.14619443599108553</c:v>
                </c:pt>
                <c:pt idx="356">
                  <c:v>0.14594611631543122</c:v>
                </c:pt>
                <c:pt idx="357">
                  <c:v>0.14559210445285761</c:v>
                </c:pt>
                <c:pt idx="358">
                  <c:v>0.14512996559035488</c:v>
                </c:pt>
                <c:pt idx="359">
                  <c:v>0.14455975755229988</c:v>
                </c:pt>
                <c:pt idx="360">
                  <c:v>0.14382161894681189</c:v>
                </c:pt>
                <c:pt idx="361">
                  <c:v>0.1429338743912231</c:v>
                </c:pt>
                <c:pt idx="362">
                  <c:v>0.14190165997778123</c:v>
                </c:pt>
                <c:pt idx="363">
                  <c:v>0.14073042940883224</c:v>
                </c:pt>
                <c:pt idx="364">
                  <c:v>0.13942589846944184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909304"/>
        <c:axId val="443909696"/>
      </c:lineChart>
      <c:dateAx>
        <c:axId val="44390930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09696"/>
        <c:crosses val="autoZero"/>
        <c:auto val="1"/>
        <c:lblOffset val="100"/>
        <c:baseTimeUnit val="days"/>
        <c:majorUnit val="1"/>
        <c:majorTimeUnit val="months"/>
      </c:dateAx>
      <c:valAx>
        <c:axId val="44390969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093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14.001922137413043</c:v>
                </c:pt>
                <c:pt idx="1">
                  <c:v>14.125224269678053</c:v>
                </c:pt>
                <c:pt idx="2">
                  <c:v>14.257735025668483</c:v>
                </c:pt>
                <c:pt idx="3">
                  <c:v>14.399232237047411</c:v>
                </c:pt>
                <c:pt idx="4">
                  <c:v>14.549493729723508</c:v>
                </c:pt>
                <c:pt idx="5">
                  <c:v>14.708297282545415</c:v>
                </c:pt>
                <c:pt idx="6">
                  <c:v>14.875420573794768</c:v>
                </c:pt>
                <c:pt idx="7">
                  <c:v>15.050641161633761</c:v>
                </c:pt>
                <c:pt idx="8">
                  <c:v>15.235717779814088</c:v>
                </c:pt>
                <c:pt idx="9">
                  <c:v>15.431164949399351</c:v>
                </c:pt>
                <c:pt idx="10">
                  <c:v>15.635335818732965</c:v>
                </c:pt>
                <c:pt idx="11">
                  <c:v>15.847593561483082</c:v>
                </c:pt>
                <c:pt idx="12">
                  <c:v>16.067301559681489</c:v>
                </c:pt>
                <c:pt idx="13">
                  <c:v>16.293823434229065</c:v>
                </c:pt>
                <c:pt idx="14">
                  <c:v>16.526523044635184</c:v>
                </c:pt>
                <c:pt idx="15">
                  <c:v>16.764208947686626</c:v>
                </c:pt>
                <c:pt idx="16">
                  <c:v>17.005695188477166</c:v>
                </c:pt>
                <c:pt idx="17">
                  <c:v>17.250346398013853</c:v>
                </c:pt>
                <c:pt idx="18">
                  <c:v>17.49752776503437</c:v>
                </c:pt>
                <c:pt idx="19">
                  <c:v>17.746594412194163</c:v>
                </c:pt>
                <c:pt idx="20">
                  <c:v>17.996897582549071</c:v>
                </c:pt>
                <c:pt idx="21">
                  <c:v>18.247797661167212</c:v>
                </c:pt>
                <c:pt idx="22">
                  <c:v>18.500868434233183</c:v>
                </c:pt>
                <c:pt idx="23">
                  <c:v>18.758802813526341</c:v>
                </c:pt>
                <c:pt idx="24">
                  <c:v>19.022276110593275</c:v>
                </c:pt>
                <c:pt idx="25">
                  <c:v>19.290994376196707</c:v>
                </c:pt>
                <c:pt idx="26">
                  <c:v>19.564663883733726</c:v>
                </c:pt>
                <c:pt idx="27">
                  <c:v>19.842991132510853</c:v>
                </c:pt>
                <c:pt idx="28">
                  <c:v>20.125682859727458</c:v>
                </c:pt>
                <c:pt idx="29">
                  <c:v>20.413649508254217</c:v>
                </c:pt>
                <c:pt idx="30">
                  <c:v>20.707151078718578</c:v>
                </c:pt>
                <c:pt idx="31">
                  <c:v>21.005893204105298</c:v>
                </c:pt>
                <c:pt idx="32">
                  <c:v>21.309581613663223</c:v>
                </c:pt>
                <c:pt idx="33">
                  <c:v>21.617922162289766</c:v>
                </c:pt>
                <c:pt idx="34">
                  <c:v>21.9306208491424</c:v>
                </c:pt>
                <c:pt idx="35">
                  <c:v>22.247383842340778</c:v>
                </c:pt>
                <c:pt idx="36">
                  <c:v>22.568428996035593</c:v>
                </c:pt>
                <c:pt idx="37">
                  <c:v>22.89417286855452</c:v>
                </c:pt>
                <c:pt idx="38">
                  <c:v>23.22382113749428</c:v>
                </c:pt>
                <c:pt idx="39">
                  <c:v>23.557464931683082</c:v>
                </c:pt>
                <c:pt idx="40">
                  <c:v>23.895195454386275</c:v>
                </c:pt>
                <c:pt idx="41">
                  <c:v>24.2371039993299</c:v>
                </c:pt>
                <c:pt idx="42">
                  <c:v>24.583281949902279</c:v>
                </c:pt>
                <c:pt idx="43">
                  <c:v>24.93349605618846</c:v>
                </c:pt>
                <c:pt idx="44">
                  <c:v>25.286641704738233</c:v>
                </c:pt>
                <c:pt idx="45">
                  <c:v>25.642812613764541</c:v>
                </c:pt>
                <c:pt idx="46">
                  <c:v>26.002102627416757</c:v>
                </c:pt>
                <c:pt idx="47">
                  <c:v>26.364605712263671</c:v>
                </c:pt>
                <c:pt idx="48">
                  <c:v>26.730415939008278</c:v>
                </c:pt>
                <c:pt idx="49">
                  <c:v>27.099627481007932</c:v>
                </c:pt>
                <c:pt idx="50">
                  <c:v>27.472924609438355</c:v>
                </c:pt>
                <c:pt idx="51">
                  <c:v>27.851027436340171</c:v>
                </c:pt>
                <c:pt idx="52">
                  <c:v>28.233613008154446</c:v>
                </c:pt>
                <c:pt idx="53">
                  <c:v>28.620303630806291</c:v>
                </c:pt>
                <c:pt idx="54">
                  <c:v>29.010715673130647</c:v>
                </c:pt>
                <c:pt idx="55">
                  <c:v>29.404465651584427</c:v>
                </c:pt>
                <c:pt idx="56">
                  <c:v>29.801170211304463</c:v>
                </c:pt>
                <c:pt idx="57">
                  <c:v>30.200049362048453</c:v>
                </c:pt>
                <c:pt idx="58">
                  <c:v>30.601043670748197</c:v>
                </c:pt>
                <c:pt idx="59">
                  <c:v>31.003770964825684</c:v>
                </c:pt>
                <c:pt idx="60">
                  <c:v>31.407849233956888</c:v>
                </c:pt>
                <c:pt idx="61">
                  <c:v>31.812896619612076</c:v>
                </c:pt>
                <c:pt idx="62">
                  <c:v>32.218531415890446</c:v>
                </c:pt>
                <c:pt idx="63">
                  <c:v>32.624372067450345</c:v>
                </c:pt>
                <c:pt idx="64">
                  <c:v>33.032232649405806</c:v>
                </c:pt>
                <c:pt idx="65">
                  <c:v>33.442597875804744</c:v>
                </c:pt>
                <c:pt idx="66">
                  <c:v>33.854542815485196</c:v>
                </c:pt>
                <c:pt idx="67">
                  <c:v>34.267496475730461</c:v>
                </c:pt>
                <c:pt idx="68">
                  <c:v>34.680888331560759</c:v>
                </c:pt>
                <c:pt idx="69">
                  <c:v>35.094148343674895</c:v>
                </c:pt>
                <c:pt idx="70">
                  <c:v>35.506706984877439</c:v>
                </c:pt>
                <c:pt idx="71">
                  <c:v>35.917395362002637</c:v>
                </c:pt>
                <c:pt idx="72">
                  <c:v>36.326031588844614</c:v>
                </c:pt>
                <c:pt idx="73">
                  <c:v>36.732043567720282</c:v>
                </c:pt>
                <c:pt idx="74">
                  <c:v>37.134859491435989</c:v>
                </c:pt>
                <c:pt idx="75">
                  <c:v>37.533907858780303</c:v>
                </c:pt>
                <c:pt idx="76">
                  <c:v>37.92861749146094</c:v>
                </c:pt>
                <c:pt idx="77">
                  <c:v>38.318417551110556</c:v>
                </c:pt>
                <c:pt idx="78">
                  <c:v>38.705816733790876</c:v>
                </c:pt>
                <c:pt idx="79">
                  <c:v>39.093237805173764</c:v>
                </c:pt>
                <c:pt idx="80">
                  <c:v>39.481100053406003</c:v>
                </c:pt>
                <c:pt idx="81">
                  <c:v>39.868634016387475</c:v>
                </c:pt>
                <c:pt idx="82">
                  <c:v>40.255070243720546</c:v>
                </c:pt>
                <c:pt idx="83">
                  <c:v>40.639639286206133</c:v>
                </c:pt>
                <c:pt idx="84">
                  <c:v>41.021571692415073</c:v>
                </c:pt>
                <c:pt idx="85">
                  <c:v>41.400240380689901</c:v>
                </c:pt>
                <c:pt idx="86">
                  <c:v>41.775488659176972</c:v>
                </c:pt>
                <c:pt idx="87">
                  <c:v>42.146550537624996</c:v>
                </c:pt>
                <c:pt idx="88">
                  <c:v>42.512660280006017</c:v>
                </c:pt>
                <c:pt idx="89">
                  <c:v>42.873052407464506</c:v>
                </c:pt>
                <c:pt idx="90">
                  <c:v>43.226961703195066</c:v>
                </c:pt>
                <c:pt idx="91">
                  <c:v>43.573623227115753</c:v>
                </c:pt>
                <c:pt idx="92">
                  <c:v>43.914789714696482</c:v>
                </c:pt>
                <c:pt idx="93">
                  <c:v>44.252693170097373</c:v>
                </c:pt>
                <c:pt idx="94">
                  <c:v>44.58701555469537</c:v>
                </c:pt>
                <c:pt idx="95">
                  <c:v>44.917469461069814</c:v>
                </c:pt>
                <c:pt idx="96">
                  <c:v>45.243767733399302</c:v>
                </c:pt>
                <c:pt idx="97">
                  <c:v>45.565623475051481</c:v>
                </c:pt>
                <c:pt idx="98">
                  <c:v>45.882750076710032</c:v>
                </c:pt>
                <c:pt idx="99">
                  <c:v>46.195078730179681</c:v>
                </c:pt>
                <c:pt idx="100">
                  <c:v>46.502181431241219</c:v>
                </c:pt>
                <c:pt idx="101">
                  <c:v>46.803772975101509</c:v>
                </c:pt>
                <c:pt idx="102">
                  <c:v>47.099568539823913</c:v>
                </c:pt>
                <c:pt idx="103">
                  <c:v>47.389283708700681</c:v>
                </c:pt>
                <c:pt idx="104">
                  <c:v>47.672634492292786</c:v>
                </c:pt>
                <c:pt idx="105">
                  <c:v>47.949337342579547</c:v>
                </c:pt>
                <c:pt idx="106">
                  <c:v>48.220435389818128</c:v>
                </c:pt>
                <c:pt idx="107">
                  <c:v>48.487167086325151</c:v>
                </c:pt>
                <c:pt idx="108">
                  <c:v>48.749084704747794</c:v>
                </c:pt>
                <c:pt idx="109">
                  <c:v>49.005905345371147</c:v>
                </c:pt>
                <c:pt idx="110">
                  <c:v>49.257345626321097</c:v>
                </c:pt>
                <c:pt idx="111">
                  <c:v>49.50312282366599</c:v>
                </c:pt>
                <c:pt idx="112">
                  <c:v>49.742955908880035</c:v>
                </c:pt>
                <c:pt idx="113">
                  <c:v>49.97652928240845</c:v>
                </c:pt>
                <c:pt idx="114">
                  <c:v>50.203343899223597</c:v>
                </c:pt>
                <c:pt idx="115">
                  <c:v>50.423121134272478</c:v>
                </c:pt>
                <c:pt idx="116">
                  <c:v>50.635583094182458</c:v>
                </c:pt>
                <c:pt idx="117">
                  <c:v>50.840452633691562</c:v>
                </c:pt>
                <c:pt idx="118">
                  <c:v>51.037453375238869</c:v>
                </c:pt>
                <c:pt idx="119">
                  <c:v>51.226309741872647</c:v>
                </c:pt>
                <c:pt idx="120">
                  <c:v>56.749757941742367</c:v>
                </c:pt>
                <c:pt idx="121">
                  <c:v>56.938523408216753</c:v>
                </c:pt>
                <c:pt idx="122">
                  <c:v>57.118006729967256</c:v>
                </c:pt>
                <c:pt idx="123">
                  <c:v>57.288635901657841</c:v>
                </c:pt>
                <c:pt idx="124">
                  <c:v>57.450838753122305</c:v>
                </c:pt>
                <c:pt idx="125">
                  <c:v>57.605042972316525</c:v>
                </c:pt>
                <c:pt idx="126">
                  <c:v>57.751676094821832</c:v>
                </c:pt>
                <c:pt idx="127">
                  <c:v>57.890826613626082</c:v>
                </c:pt>
                <c:pt idx="128">
                  <c:v>58.022950220515348</c:v>
                </c:pt>
                <c:pt idx="129">
                  <c:v>58.148469183181945</c:v>
                </c:pt>
                <c:pt idx="130">
                  <c:v>58.267805392417081</c:v>
                </c:pt>
                <c:pt idx="131">
                  <c:v>58.381380360355607</c:v>
                </c:pt>
                <c:pt idx="132">
                  <c:v>58.489615220459903</c:v>
                </c:pt>
                <c:pt idx="133">
                  <c:v>58.592930717848915</c:v>
                </c:pt>
                <c:pt idx="134">
                  <c:v>58.690033853946254</c:v>
                </c:pt>
                <c:pt idx="135">
                  <c:v>58.77940321067296</c:v>
                </c:pt>
                <c:pt idx="136">
                  <c:v>58.861586462528763</c:v>
                </c:pt>
                <c:pt idx="137">
                  <c:v>58.936896173468575</c:v>
                </c:pt>
                <c:pt idx="138">
                  <c:v>59.00564443056922</c:v>
                </c:pt>
                <c:pt idx="139">
                  <c:v>59.068142848783971</c:v>
                </c:pt>
                <c:pt idx="140">
                  <c:v>59.124702570561041</c:v>
                </c:pt>
                <c:pt idx="141">
                  <c:v>59.175576152395394</c:v>
                </c:pt>
                <c:pt idx="142">
                  <c:v>59.221430098500363</c:v>
                </c:pt>
                <c:pt idx="143">
                  <c:v>59.262578682056585</c:v>
                </c:pt>
                <c:pt idx="144">
                  <c:v>59.299335426238308</c:v>
                </c:pt>
                <c:pt idx="145">
                  <c:v>59.332013546673075</c:v>
                </c:pt>
                <c:pt idx="146">
                  <c:v>59.360925948579812</c:v>
                </c:pt>
                <c:pt idx="147">
                  <c:v>59.386385217640687</c:v>
                </c:pt>
                <c:pt idx="148">
                  <c:v>59.407479583703392</c:v>
                </c:pt>
                <c:pt idx="149">
                  <c:v>59.423128366813835</c:v>
                </c:pt>
                <c:pt idx="150">
                  <c:v>59.43372024671762</c:v>
                </c:pt>
                <c:pt idx="151">
                  <c:v>59.439469088358848</c:v>
                </c:pt>
                <c:pt idx="152">
                  <c:v>59.440588573703671</c:v>
                </c:pt>
                <c:pt idx="153">
                  <c:v>59.437292185078036</c:v>
                </c:pt>
                <c:pt idx="154">
                  <c:v>59.429793196958542</c:v>
                </c:pt>
                <c:pt idx="155">
                  <c:v>59.418256437753783</c:v>
                </c:pt>
                <c:pt idx="156">
                  <c:v>59.402949296189554</c:v>
                </c:pt>
                <c:pt idx="157">
                  <c:v>59.384083033736673</c:v>
                </c:pt>
                <c:pt idx="158">
                  <c:v>59.361868641279315</c:v>
                </c:pt>
                <c:pt idx="159">
                  <c:v>59.336516829404502</c:v>
                </c:pt>
                <c:pt idx="160">
                  <c:v>59.308238019336279</c:v>
                </c:pt>
                <c:pt idx="161">
                  <c:v>59.277242333201045</c:v>
                </c:pt>
                <c:pt idx="162">
                  <c:v>59.242777881106285</c:v>
                </c:pt>
                <c:pt idx="163">
                  <c:v>59.204064517014558</c:v>
                </c:pt>
                <c:pt idx="164">
                  <c:v>59.161413826004654</c:v>
                </c:pt>
                <c:pt idx="165">
                  <c:v>59.115035798945421</c:v>
                </c:pt>
                <c:pt idx="166">
                  <c:v>59.065140088338303</c:v>
                </c:pt>
                <c:pt idx="167">
                  <c:v>59.011936002927321</c:v>
                </c:pt>
                <c:pt idx="168">
                  <c:v>58.955632502875197</c:v>
                </c:pt>
                <c:pt idx="169">
                  <c:v>58.896408224476296</c:v>
                </c:pt>
                <c:pt idx="170">
                  <c:v>58.834522566774602</c:v>
                </c:pt>
                <c:pt idx="171">
                  <c:v>58.770183615744443</c:v>
                </c:pt>
                <c:pt idx="172">
                  <c:v>58.703599095820017</c:v>
                </c:pt>
                <c:pt idx="173">
                  <c:v>58.63497654087012</c:v>
                </c:pt>
                <c:pt idx="174">
                  <c:v>58.564523136305716</c:v>
                </c:pt>
                <c:pt idx="175">
                  <c:v>58.492445556012719</c:v>
                </c:pt>
                <c:pt idx="176">
                  <c:v>58.418881694947288</c:v>
                </c:pt>
                <c:pt idx="177">
                  <c:v>58.343642422275416</c:v>
                </c:pt>
                <c:pt idx="178">
                  <c:v>58.266554065483859</c:v>
                </c:pt>
                <c:pt idx="179">
                  <c:v>58.187412153105832</c:v>
                </c:pt>
                <c:pt idx="180">
                  <c:v>58.106012318418365</c:v>
                </c:pt>
                <c:pt idx="181">
                  <c:v>58.022150301657909</c:v>
                </c:pt>
                <c:pt idx="182">
                  <c:v>57.935621950949276</c:v>
                </c:pt>
                <c:pt idx="183">
                  <c:v>57.846121484573999</c:v>
                </c:pt>
                <c:pt idx="184">
                  <c:v>57.753477071735233</c:v>
                </c:pt>
                <c:pt idx="185">
                  <c:v>57.657485251296926</c:v>
                </c:pt>
                <c:pt idx="186">
                  <c:v>57.557942681479979</c:v>
                </c:pt>
                <c:pt idx="187">
                  <c:v>57.454646144245253</c:v>
                </c:pt>
                <c:pt idx="188">
                  <c:v>57.347392548986981</c:v>
                </c:pt>
                <c:pt idx="189">
                  <c:v>57.23597894194905</c:v>
                </c:pt>
                <c:pt idx="190">
                  <c:v>57.120270695616185</c:v>
                </c:pt>
                <c:pt idx="191">
                  <c:v>57.000356796737265</c:v>
                </c:pt>
                <c:pt idx="192">
                  <c:v>56.876499379117512</c:v>
                </c:pt>
                <c:pt idx="193">
                  <c:v>56.748905073473821</c:v>
                </c:pt>
                <c:pt idx="194">
                  <c:v>56.617780236575783</c:v>
                </c:pt>
                <c:pt idx="195">
                  <c:v>56.483330952937393</c:v>
                </c:pt>
                <c:pt idx="196">
                  <c:v>56.345763050766628</c:v>
                </c:pt>
                <c:pt idx="197">
                  <c:v>56.205051407910169</c:v>
                </c:pt>
                <c:pt idx="198">
                  <c:v>56.061501145307886</c:v>
                </c:pt>
                <c:pt idx="199">
                  <c:v>55.915315416373566</c:v>
                </c:pt>
                <c:pt idx="200">
                  <c:v>55.766697263919625</c:v>
                </c:pt>
                <c:pt idx="201">
                  <c:v>55.615849628010324</c:v>
                </c:pt>
                <c:pt idx="202">
                  <c:v>55.462975345304407</c:v>
                </c:pt>
                <c:pt idx="203">
                  <c:v>55.308277157701283</c:v>
                </c:pt>
                <c:pt idx="204">
                  <c:v>55.151889900691451</c:v>
                </c:pt>
                <c:pt idx="205">
                  <c:v>54.99325174254971</c:v>
                </c:pt>
                <c:pt idx="206">
                  <c:v>54.832203909648761</c:v>
                </c:pt>
                <c:pt idx="207">
                  <c:v>54.668540321073181</c:v>
                </c:pt>
                <c:pt idx="208">
                  <c:v>54.502055343899727</c:v>
                </c:pt>
                <c:pt idx="209">
                  <c:v>54.332543787071749</c:v>
                </c:pt>
                <c:pt idx="210">
                  <c:v>54.159800893418229</c:v>
                </c:pt>
                <c:pt idx="211">
                  <c:v>53.983450726268721</c:v>
                </c:pt>
                <c:pt idx="212">
                  <c:v>53.803529757451024</c:v>
                </c:pt>
                <c:pt idx="213">
                  <c:v>53.619836855758393</c:v>
                </c:pt>
                <c:pt idx="214">
                  <c:v>53.432171142750846</c:v>
                </c:pt>
                <c:pt idx="215">
                  <c:v>53.240331980101416</c:v>
                </c:pt>
                <c:pt idx="216">
                  <c:v>53.044118977337114</c:v>
                </c:pt>
                <c:pt idx="217">
                  <c:v>52.843331977381879</c:v>
                </c:pt>
                <c:pt idx="218">
                  <c:v>52.639159260554841</c:v>
                </c:pt>
                <c:pt idx="219">
                  <c:v>52.43267996658038</c:v>
                </c:pt>
                <c:pt idx="220">
                  <c:v>52.223922170542636</c:v>
                </c:pt>
                <c:pt idx="221">
                  <c:v>52.012483565103452</c:v>
                </c:pt>
                <c:pt idx="222">
                  <c:v>51.797962142757974</c:v>
                </c:pt>
                <c:pt idx="223">
                  <c:v>51.579956198515781</c:v>
                </c:pt>
                <c:pt idx="224">
                  <c:v>51.358064329419371</c:v>
                </c:pt>
                <c:pt idx="225">
                  <c:v>51.132135859195309</c:v>
                </c:pt>
                <c:pt idx="226">
                  <c:v>50.901937400312107</c:v>
                </c:pt>
                <c:pt idx="227">
                  <c:v>50.667068029323396</c:v>
                </c:pt>
                <c:pt idx="228">
                  <c:v>50.427127158144877</c:v>
                </c:pt>
                <c:pt idx="229">
                  <c:v>50.181714526105353</c:v>
                </c:pt>
                <c:pt idx="230">
                  <c:v>49.930430205815583</c:v>
                </c:pt>
                <c:pt idx="231">
                  <c:v>49.672874593875271</c:v>
                </c:pt>
                <c:pt idx="232">
                  <c:v>49.410099502638907</c:v>
                </c:pt>
                <c:pt idx="233">
                  <c:v>49.143580235325302</c:v>
                </c:pt>
                <c:pt idx="234">
                  <c:v>48.873088561002653</c:v>
                </c:pt>
                <c:pt idx="235">
                  <c:v>48.598425693460158</c:v>
                </c:pt>
                <c:pt idx="236">
                  <c:v>48.31939280042166</c:v>
                </c:pt>
                <c:pt idx="237">
                  <c:v>48.035791484592828</c:v>
                </c:pt>
                <c:pt idx="238">
                  <c:v>47.747423485419986</c:v>
                </c:pt>
                <c:pt idx="239">
                  <c:v>47.45427506600555</c:v>
                </c:pt>
                <c:pt idx="240">
                  <c:v>47.155896851127551</c:v>
                </c:pt>
                <c:pt idx="241">
                  <c:v>46.85209087168888</c:v>
                </c:pt>
                <c:pt idx="242">
                  <c:v>46.54265931810135</c:v>
                </c:pt>
                <c:pt idx="243">
                  <c:v>46.227404540882993</c:v>
                </c:pt>
                <c:pt idx="244">
                  <c:v>45.90612905153062</c:v>
                </c:pt>
                <c:pt idx="245">
                  <c:v>45.57863552629918</c:v>
                </c:pt>
                <c:pt idx="246">
                  <c:v>45.244138146436342</c:v>
                </c:pt>
                <c:pt idx="247">
                  <c:v>44.902484982241091</c:v>
                </c:pt>
                <c:pt idx="248">
                  <c:v>44.553895135107297</c:v>
                </c:pt>
                <c:pt idx="249">
                  <c:v>44.198877689116784</c:v>
                </c:pt>
                <c:pt idx="250">
                  <c:v>43.837941269490422</c:v>
                </c:pt>
                <c:pt idx="251">
                  <c:v>43.471594038354404</c:v>
                </c:pt>
                <c:pt idx="252">
                  <c:v>43.100343706325134</c:v>
                </c:pt>
                <c:pt idx="253">
                  <c:v>42.724085888922204</c:v>
                </c:pt>
                <c:pt idx="254">
                  <c:v>42.343141162767829</c:v>
                </c:pt>
                <c:pt idx="255">
                  <c:v>41.958014197031893</c:v>
                </c:pt>
                <c:pt idx="256">
                  <c:v>41.569209289885116</c:v>
                </c:pt>
                <c:pt idx="257">
                  <c:v>41.177230367036053</c:v>
                </c:pt>
                <c:pt idx="258">
                  <c:v>40.782580973092706</c:v>
                </c:pt>
                <c:pt idx="259">
                  <c:v>40.385764258772682</c:v>
                </c:pt>
                <c:pt idx="260">
                  <c:v>39.984063781909242</c:v>
                </c:pt>
                <c:pt idx="261">
                  <c:v>39.573723064315018</c:v>
                </c:pt>
                <c:pt idx="262">
                  <c:v>39.155485930104206</c:v>
                </c:pt>
                <c:pt idx="263">
                  <c:v>38.73025793463578</c:v>
                </c:pt>
                <c:pt idx="264">
                  <c:v>38.298943784543781</c:v>
                </c:pt>
                <c:pt idx="265">
                  <c:v>37.862443397822361</c:v>
                </c:pt>
                <c:pt idx="266">
                  <c:v>37.421657420294046</c:v>
                </c:pt>
                <c:pt idx="267">
                  <c:v>36.976916567415792</c:v>
                </c:pt>
                <c:pt idx="268">
                  <c:v>36.529742409099775</c:v>
                </c:pt>
                <c:pt idx="269">
                  <c:v>36.081037783601424</c:v>
                </c:pt>
                <c:pt idx="270">
                  <c:v>35.631704582038708</c:v>
                </c:pt>
                <c:pt idx="271">
                  <c:v>35.182643775499891</c:v>
                </c:pt>
                <c:pt idx="272">
                  <c:v>34.734755442134038</c:v>
                </c:pt>
                <c:pt idx="273">
                  <c:v>34.288938797823342</c:v>
                </c:pt>
                <c:pt idx="274">
                  <c:v>33.841661899677803</c:v>
                </c:pt>
                <c:pt idx="275">
                  <c:v>33.389672663602042</c:v>
                </c:pt>
                <c:pt idx="276">
                  <c:v>32.935293784926316</c:v>
                </c:pt>
                <c:pt idx="277">
                  <c:v>32.479529326070761</c:v>
                </c:pt>
                <c:pt idx="278">
                  <c:v>32.023382454379323</c:v>
                </c:pt>
                <c:pt idx="279">
                  <c:v>31.567855464292471</c:v>
                </c:pt>
                <c:pt idx="280">
                  <c:v>31.113949806198733</c:v>
                </c:pt>
                <c:pt idx="281">
                  <c:v>30.662906460927683</c:v>
                </c:pt>
                <c:pt idx="282">
                  <c:v>30.216296021452262</c:v>
                </c:pt>
                <c:pt idx="283">
                  <c:v>29.775117770507361</c:v>
                </c:pt>
                <c:pt idx="284">
                  <c:v>29.340370316285089</c:v>
                </c:pt>
                <c:pt idx="285">
                  <c:v>28.913051599637612</c:v>
                </c:pt>
                <c:pt idx="286">
                  <c:v>28.494158922949904</c:v>
                </c:pt>
                <c:pt idx="287">
                  <c:v>28.084688963100021</c:v>
                </c:pt>
                <c:pt idx="288">
                  <c:v>27.683786886698371</c:v>
                </c:pt>
                <c:pt idx="289">
                  <c:v>27.289607482331274</c:v>
                </c:pt>
                <c:pt idx="290">
                  <c:v>26.901633936349661</c:v>
                </c:pt>
                <c:pt idx="291">
                  <c:v>26.519563044157064</c:v>
                </c:pt>
                <c:pt idx="292">
                  <c:v>26.143091924351832</c:v>
                </c:pt>
                <c:pt idx="293">
                  <c:v>25.771918022507446</c:v>
                </c:pt>
                <c:pt idx="294">
                  <c:v>25.405739108473547</c:v>
                </c:pt>
                <c:pt idx="295">
                  <c:v>25.044460005827219</c:v>
                </c:pt>
                <c:pt idx="296">
                  <c:v>24.687516529081766</c:v>
                </c:pt>
                <c:pt idx="297">
                  <c:v>24.334590889349297</c:v>
                </c:pt>
                <c:pt idx="298">
                  <c:v>23.985379918774939</c:v>
                </c:pt>
                <c:pt idx="299">
                  <c:v>23.639580771932486</c:v>
                </c:pt>
                <c:pt idx="300">
                  <c:v>23.296890939231083</c:v>
                </c:pt>
                <c:pt idx="301">
                  <c:v>22.957008246574897</c:v>
                </c:pt>
                <c:pt idx="302">
                  <c:v>22.619514411959539</c:v>
                </c:pt>
                <c:pt idx="303">
                  <c:v>22.285027641134434</c:v>
                </c:pt>
                <c:pt idx="304">
                  <c:v>21.954069792641846</c:v>
                </c:pt>
                <c:pt idx="305">
                  <c:v>21.627038491845212</c:v>
                </c:pt>
                <c:pt idx="306">
                  <c:v>21.304331325857568</c:v>
                </c:pt>
                <c:pt idx="307">
                  <c:v>20.986345848250899</c:v>
                </c:pt>
                <c:pt idx="308">
                  <c:v>20.673479584310808</c:v>
                </c:pt>
                <c:pt idx="309">
                  <c:v>20.366375814394786</c:v>
                </c:pt>
                <c:pt idx="310">
                  <c:v>20.06522369424837</c:v>
                </c:pt>
                <c:pt idx="311">
                  <c:v>19.770420448071956</c:v>
                </c:pt>
                <c:pt idx="312">
                  <c:v>19.482363271782397</c:v>
                </c:pt>
                <c:pt idx="313">
                  <c:v>19.201449328119601</c:v>
                </c:pt>
                <c:pt idx="314">
                  <c:v>18.928075740769497</c:v>
                </c:pt>
                <c:pt idx="315">
                  <c:v>18.662639579512817</c:v>
                </c:pt>
                <c:pt idx="316">
                  <c:v>18.40518924344444</c:v>
                </c:pt>
                <c:pt idx="317">
                  <c:v>18.155332022281478</c:v>
                </c:pt>
                <c:pt idx="318">
                  <c:v>17.91219648467138</c:v>
                </c:pt>
                <c:pt idx="319">
                  <c:v>17.675483224656258</c:v>
                </c:pt>
                <c:pt idx="320">
                  <c:v>17.444893191727591</c:v>
                </c:pt>
                <c:pt idx="321">
                  <c:v>17.220127692324745</c:v>
                </c:pt>
                <c:pt idx="322">
                  <c:v>17.000888379540335</c:v>
                </c:pt>
                <c:pt idx="323">
                  <c:v>16.786591114855884</c:v>
                </c:pt>
                <c:pt idx="324">
                  <c:v>16.576692264910672</c:v>
                </c:pt>
                <c:pt idx="325">
                  <c:v>16.370894704034882</c:v>
                </c:pt>
                <c:pt idx="326">
                  <c:v>16.16891802631724</c:v>
                </c:pt>
                <c:pt idx="327">
                  <c:v>15.970471781078281</c:v>
                </c:pt>
                <c:pt idx="328">
                  <c:v>15.775252420931963</c:v>
                </c:pt>
                <c:pt idx="329">
                  <c:v>15.582956548884702</c:v>
                </c:pt>
                <c:pt idx="330">
                  <c:v>15.392088356142114</c:v>
                </c:pt>
                <c:pt idx="331">
                  <c:v>15.202527402218278</c:v>
                </c:pt>
                <c:pt idx="332">
                  <c:v>15.015139564731546</c:v>
                </c:pt>
                <c:pt idx="333">
                  <c:v>14.83081386051586</c:v>
                </c:pt>
                <c:pt idx="334">
                  <c:v>14.650438549280057</c:v>
                </c:pt>
                <c:pt idx="335">
                  <c:v>14.474901127416105</c:v>
                </c:pt>
                <c:pt idx="336">
                  <c:v>14.305088304273376</c:v>
                </c:pt>
                <c:pt idx="337">
                  <c:v>14.142792392203232</c:v>
                </c:pt>
                <c:pt idx="338">
                  <c:v>13.989183677243387</c:v>
                </c:pt>
                <c:pt idx="339">
                  <c:v>13.845145825392834</c:v>
                </c:pt>
                <c:pt idx="340">
                  <c:v>13.711561665534376</c:v>
                </c:pt>
                <c:pt idx="341">
                  <c:v>13.589313203676092</c:v>
                </c:pt>
                <c:pt idx="342">
                  <c:v>13.479281644489475</c:v>
                </c:pt>
                <c:pt idx="343">
                  <c:v>13.382347401472677</c:v>
                </c:pt>
                <c:pt idx="344">
                  <c:v>13.296919696690361</c:v>
                </c:pt>
                <c:pt idx="345">
                  <c:v>13.220887994381572</c:v>
                </c:pt>
                <c:pt idx="346">
                  <c:v>13.153914810599735</c:v>
                </c:pt>
                <c:pt idx="347">
                  <c:v>13.096100341589365</c:v>
                </c:pt>
                <c:pt idx="348">
                  <c:v>13.047544694609746</c:v>
                </c:pt>
                <c:pt idx="349">
                  <c:v>13.008347911216346</c:v>
                </c:pt>
                <c:pt idx="350">
                  <c:v>12.978609985055673</c:v>
                </c:pt>
                <c:pt idx="351">
                  <c:v>12.958571565262263</c:v>
                </c:pt>
                <c:pt idx="352">
                  <c:v>12.947427918289776</c:v>
                </c:pt>
                <c:pt idx="353">
                  <c:v>12.945279048557111</c:v>
                </c:pt>
                <c:pt idx="354">
                  <c:v>12.952224883096539</c:v>
                </c:pt>
                <c:pt idx="355">
                  <c:v>12.968365258889925</c:v>
                </c:pt>
                <c:pt idx="356">
                  <c:v>12.993806555766133</c:v>
                </c:pt>
                <c:pt idx="357">
                  <c:v>13.028646122867514</c:v>
                </c:pt>
                <c:pt idx="358">
                  <c:v>13.073261781754706</c:v>
                </c:pt>
                <c:pt idx="359">
                  <c:v>13.127803053552549</c:v>
                </c:pt>
                <c:pt idx="360">
                  <c:v>13.192946410045849</c:v>
                </c:pt>
                <c:pt idx="361">
                  <c:v>13.268322929454381</c:v>
                </c:pt>
                <c:pt idx="362">
                  <c:v>13.353704661159711</c:v>
                </c:pt>
                <c:pt idx="363">
                  <c:v>13.448863874515284</c:v>
                </c:pt>
                <c:pt idx="364">
                  <c:v>13.553573032650769</c:v>
                </c:pt>
                <c:pt idx="365">
                  <c:v>13.66760477181222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14.186877598507079</c:v>
                </c:pt>
                <c:pt idx="1">
                  <c:v>12.162044934938445</c:v>
                </c:pt>
                <c:pt idx="2">
                  <c:v>11.824242502789813</c:v>
                </c:pt>
                <c:pt idx="3">
                  <c:v>12.431050966707478</c:v>
                </c:pt>
                <c:pt idx="4">
                  <c:v>9.8358224120394873</c:v>
                </c:pt>
                <c:pt idx="5">
                  <c:v>15.066178195394485</c:v>
                </c:pt>
                <c:pt idx="6">
                  <c:v>7.5595460941500656</c:v>
                </c:pt>
                <c:pt idx="7">
                  <c:v>6.1448606465367304</c:v>
                </c:pt>
                <c:pt idx="8">
                  <c:v>1.8554571175272709</c:v>
                </c:pt>
                <c:pt idx="9">
                  <c:v>1.5728473824210216</c:v>
                </c:pt>
                <c:pt idx="10">
                  <c:v>15.967711567474161</c:v>
                </c:pt>
                <c:pt idx="11">
                  <c:v>14.573871405676421</c:v>
                </c:pt>
                <c:pt idx="12">
                  <c:v>5.3669305729941774</c:v>
                </c:pt>
                <c:pt idx="13">
                  <c:v>16.603844805576689</c:v>
                </c:pt>
                <c:pt idx="14">
                  <c:v>16.767005615587593</c:v>
                </c:pt>
                <c:pt idx="15">
                  <c:v>16.777147497053186</c:v>
                </c:pt>
                <c:pt idx="16">
                  <c:v>13.454421459333107</c:v>
                </c:pt>
                <c:pt idx="17">
                  <c:v>3.7310319167782824</c:v>
                </c:pt>
                <c:pt idx="18">
                  <c:v>9.1498103338201364</c:v>
                </c:pt>
                <c:pt idx="19">
                  <c:v>5.4059821145741838</c:v>
                </c:pt>
                <c:pt idx="20">
                  <c:v>13.247983760782311</c:v>
                </c:pt>
                <c:pt idx="21">
                  <c:v>18.130678098639361</c:v>
                </c:pt>
                <c:pt idx="22">
                  <c:v>18.183520671991396</c:v>
                </c:pt>
                <c:pt idx="23">
                  <c:v>18.594274465772955</c:v>
                </c:pt>
                <c:pt idx="24">
                  <c:v>18.822309598498208</c:v>
                </c:pt>
                <c:pt idx="25">
                  <c:v>18.919342542893471</c:v>
                </c:pt>
                <c:pt idx="26">
                  <c:v>18.470250828193315</c:v>
                </c:pt>
                <c:pt idx="27">
                  <c:v>3.864830921390797</c:v>
                </c:pt>
                <c:pt idx="28">
                  <c:v>6.0456161281468122</c:v>
                </c:pt>
                <c:pt idx="29">
                  <c:v>4.4016928462154423</c:v>
                </c:pt>
                <c:pt idx="30">
                  <c:v>9.8729388895467789</c:v>
                </c:pt>
                <c:pt idx="31">
                  <c:v>9.7113680860657254</c:v>
                </c:pt>
                <c:pt idx="32">
                  <c:v>5.0762102149777473</c:v>
                </c:pt>
                <c:pt idx="33">
                  <c:v>12.145200999420393</c:v>
                </c:pt>
                <c:pt idx="34">
                  <c:v>10.132361484252892</c:v>
                </c:pt>
                <c:pt idx="35">
                  <c:v>8.7826223097764213</c:v>
                </c:pt>
                <c:pt idx="36">
                  <c:v>16.313589631459152</c:v>
                </c:pt>
                <c:pt idx="37">
                  <c:v>11.314917549962413</c:v>
                </c:pt>
                <c:pt idx="38">
                  <c:v>23.543179639948498</c:v>
                </c:pt>
                <c:pt idx="39">
                  <c:v>23.595764078141421</c:v>
                </c:pt>
                <c:pt idx="40">
                  <c:v>22.913648315039531</c:v>
                </c:pt>
                <c:pt idx="41">
                  <c:v>12.092413390794746</c:v>
                </c:pt>
                <c:pt idx="42">
                  <c:v>20.688979491839969</c:v>
                </c:pt>
                <c:pt idx="43">
                  <c:v>24.132610570562409</c:v>
                </c:pt>
                <c:pt idx="44">
                  <c:v>14.190418767021423</c:v>
                </c:pt>
                <c:pt idx="45">
                  <c:v>17.290017322123443</c:v>
                </c:pt>
                <c:pt idx="46">
                  <c:v>8.825720089053128</c:v>
                </c:pt>
                <c:pt idx="47">
                  <c:v>10.261044885565662</c:v>
                </c:pt>
                <c:pt idx="48">
                  <c:v>24.237875438934637</c:v>
                </c:pt>
                <c:pt idx="49">
                  <c:v>14.638361280559913</c:v>
                </c:pt>
                <c:pt idx="50">
                  <c:v>17.526381435682602</c:v>
                </c:pt>
                <c:pt idx="51">
                  <c:v>18.002830673627138</c:v>
                </c:pt>
                <c:pt idx="52">
                  <c:v>26.626338848379479</c:v>
                </c:pt>
                <c:pt idx="53">
                  <c:v>28.207597699556651</c:v>
                </c:pt>
                <c:pt idx="54">
                  <c:v>16.988800691992211</c:v>
                </c:pt>
                <c:pt idx="55">
                  <c:v>25.159426065107443</c:v>
                </c:pt>
                <c:pt idx="56">
                  <c:v>30.722603082284351</c:v>
                </c:pt>
                <c:pt idx="57">
                  <c:v>23.472014432397831</c:v>
                </c:pt>
                <c:pt idx="58">
                  <c:v>27.969474820132994</c:v>
                </c:pt>
                <c:pt idx="59">
                  <c:v>30.771525188356595</c:v>
                </c:pt>
                <c:pt idx="60">
                  <c:v>14.295005545934764</c:v>
                </c:pt>
                <c:pt idx="61">
                  <c:v>29.568001855848433</c:v>
                </c:pt>
                <c:pt idx="62">
                  <c:v>5.624283438514043</c:v>
                </c:pt>
                <c:pt idx="63">
                  <c:v>12.614598252216405</c:v>
                </c:pt>
                <c:pt idx="64">
                  <c:v>18.517508894974295</c:v>
                </c:pt>
                <c:pt idx="65">
                  <c:v>31.596433040385858</c:v>
                </c:pt>
                <c:pt idx="66">
                  <c:v>25.509233817073618</c:v>
                </c:pt>
                <c:pt idx="67">
                  <c:v>26.580692525139305</c:v>
                </c:pt>
                <c:pt idx="68">
                  <c:v>18.658384125468032</c:v>
                </c:pt>
                <c:pt idx="69">
                  <c:v>13.279744795840804</c:v>
                </c:pt>
                <c:pt idx="70">
                  <c:v>12.595764228870518</c:v>
                </c:pt>
                <c:pt idx="71">
                  <c:v>8.3219400664321252</c:v>
                </c:pt>
                <c:pt idx="72">
                  <c:v>11.468842384469113</c:v>
                </c:pt>
                <c:pt idx="73">
                  <c:v>13.260209722988346</c:v>
                </c:pt>
                <c:pt idx="74">
                  <c:v>11.642838458964732</c:v>
                </c:pt>
                <c:pt idx="75">
                  <c:v>10.214609495054958</c:v>
                </c:pt>
                <c:pt idx="76">
                  <c:v>12.823600924725767</c:v>
                </c:pt>
                <c:pt idx="77">
                  <c:v>25.832732283413932</c:v>
                </c:pt>
                <c:pt idx="78">
                  <c:v>29.143280248001663</c:v>
                </c:pt>
                <c:pt idx="79">
                  <c:v>39.074504405131528</c:v>
                </c:pt>
                <c:pt idx="80">
                  <c:v>36.147104963180375</c:v>
                </c:pt>
                <c:pt idx="81">
                  <c:v>40.849062747715678</c:v>
                </c:pt>
                <c:pt idx="82">
                  <c:v>40.273270207819742</c:v>
                </c:pt>
                <c:pt idx="83">
                  <c:v>36.867943025539077</c:v>
                </c:pt>
                <c:pt idx="84">
                  <c:v>39.81752449270175</c:v>
                </c:pt>
                <c:pt idx="85">
                  <c:v>39.310501515294135</c:v>
                </c:pt>
                <c:pt idx="86">
                  <c:v>30.576678497200234</c:v>
                </c:pt>
                <c:pt idx="87">
                  <c:v>25.24898804982487</c:v>
                </c:pt>
                <c:pt idx="88">
                  <c:v>7.1167951337658097</c:v>
                </c:pt>
                <c:pt idx="89">
                  <c:v>24.853748768650096</c:v>
                </c:pt>
                <c:pt idx="90">
                  <c:v>27.093501276756943</c:v>
                </c:pt>
                <c:pt idx="91">
                  <c:v>18.357626730538531</c:v>
                </c:pt>
                <c:pt idx="92">
                  <c:v>22.73050073617603</c:v>
                </c:pt>
                <c:pt idx="93">
                  <c:v>39.3704824558544</c:v>
                </c:pt>
                <c:pt idx="94">
                  <c:v>45.56401339382181</c:v>
                </c:pt>
                <c:pt idx="95">
                  <c:v>11.576638290612889</c:v>
                </c:pt>
                <c:pt idx="96">
                  <c:v>35.025572592071391</c:v>
                </c:pt>
                <c:pt idx="97">
                  <c:v>27.362510170554685</c:v>
                </c:pt>
                <c:pt idx="98">
                  <c:v>33.207756846144001</c:v>
                </c:pt>
                <c:pt idx="99">
                  <c:v>47.029296700860684</c:v>
                </c:pt>
                <c:pt idx="100">
                  <c:v>35.989432278398169</c:v>
                </c:pt>
                <c:pt idx="101">
                  <c:v>33.068870447639597</c:v>
                </c:pt>
                <c:pt idx="102">
                  <c:v>7.2889672296002157</c:v>
                </c:pt>
                <c:pt idx="103">
                  <c:v>35.640780088677552</c:v>
                </c:pt>
                <c:pt idx="104">
                  <c:v>39.577369933235772</c:v>
                </c:pt>
                <c:pt idx="105">
                  <c:v>42.443797369505781</c:v>
                </c:pt>
                <c:pt idx="106">
                  <c:v>48.182344250268727</c:v>
                </c:pt>
                <c:pt idx="107">
                  <c:v>38.719802682953286</c:v>
                </c:pt>
                <c:pt idx="108">
                  <c:v>10.580670730158621</c:v>
                </c:pt>
                <c:pt idx="109">
                  <c:v>9.9894699740179469</c:v>
                </c:pt>
                <c:pt idx="110">
                  <c:v>9.5332240474171641</c:v>
                </c:pt>
                <c:pt idx="111">
                  <c:v>28.83487666234539</c:v>
                </c:pt>
                <c:pt idx="112">
                  <c:v>8.3414202106702486</c:v>
                </c:pt>
                <c:pt idx="113">
                  <c:v>35.662005505790724</c:v>
                </c:pt>
                <c:pt idx="114">
                  <c:v>44.500542056562956</c:v>
                </c:pt>
                <c:pt idx="115">
                  <c:v>49.358087824342398</c:v>
                </c:pt>
                <c:pt idx="116">
                  <c:v>35.214652368863646</c:v>
                </c:pt>
                <c:pt idx="117">
                  <c:v>21.575579407983433</c:v>
                </c:pt>
                <c:pt idx="118">
                  <c:v>40.543953246947787</c:v>
                </c:pt>
                <c:pt idx="119">
                  <c:v>42.34720863455469</c:v>
                </c:pt>
                <c:pt idx="120">
                  <c:v>46.115856195649478</c:v>
                </c:pt>
                <c:pt idx="121">
                  <c:v>28.193615464858617</c:v>
                </c:pt>
                <c:pt idx="122">
                  <c:v>33.322077140902614</c:v>
                </c:pt>
                <c:pt idx="123">
                  <c:v>0.84603346650835798</c:v>
                </c:pt>
                <c:pt idx="124">
                  <c:v>38.883774304583689</c:v>
                </c:pt>
                <c:pt idx="125">
                  <c:v>36.04730994923289</c:v>
                </c:pt>
                <c:pt idx="126">
                  <c:v>49.522807836710875</c:v>
                </c:pt>
                <c:pt idx="127">
                  <c:v>50.380682854318962</c:v>
                </c:pt>
                <c:pt idx="128">
                  <c:v>55.945284150239956</c:v>
                </c:pt>
                <c:pt idx="129">
                  <c:v>51.360097495721391</c:v>
                </c:pt>
                <c:pt idx="130">
                  <c:v>56.288648787131201</c:v>
                </c:pt>
                <c:pt idx="131">
                  <c:v>43.906818701481754</c:v>
                </c:pt>
                <c:pt idx="132">
                  <c:v>46.857397857571733</c:v>
                </c:pt>
                <c:pt idx="133">
                  <c:v>48.300888938464709</c:v>
                </c:pt>
                <c:pt idx="134">
                  <c:v>52.256908511808518</c:v>
                </c:pt>
                <c:pt idx="135">
                  <c:v>50.942624754255654</c:v>
                </c:pt>
                <c:pt idx="136">
                  <c:v>54.929907342998817</c:v>
                </c:pt>
                <c:pt idx="137">
                  <c:v>53.456762402224257</c:v>
                </c:pt>
                <c:pt idx="138">
                  <c:v>55.408544377884148</c:v>
                </c:pt>
                <c:pt idx="139">
                  <c:v>48.260624118529094</c:v>
                </c:pt>
                <c:pt idx="140">
                  <c:v>48.96629655976465</c:v>
                </c:pt>
                <c:pt idx="141">
                  <c:v>34.797155614441913</c:v>
                </c:pt>
                <c:pt idx="142">
                  <c:v>17.958356556909763</c:v>
                </c:pt>
                <c:pt idx="143">
                  <c:v>14.963385180220049</c:v>
                </c:pt>
                <c:pt idx="144">
                  <c:v>41.631416685899367</c:v>
                </c:pt>
                <c:pt idx="145">
                  <c:v>21.865387291018873</c:v>
                </c:pt>
                <c:pt idx="146">
                  <c:v>41.44840778594012</c:v>
                </c:pt>
                <c:pt idx="147">
                  <c:v>55.343414809147106</c:v>
                </c:pt>
                <c:pt idx="148">
                  <c:v>60.406247951612166</c:v>
                </c:pt>
                <c:pt idx="149">
                  <c:v>51.648818961182073</c:v>
                </c:pt>
                <c:pt idx="150">
                  <c:v>55.365888382071773</c:v>
                </c:pt>
                <c:pt idx="151">
                  <c:v>56.94467275348898</c:v>
                </c:pt>
                <c:pt idx="152">
                  <c:v>44.724469215921431</c:v>
                </c:pt>
                <c:pt idx="153">
                  <c:v>54.204161002979383</c:v>
                </c:pt>
                <c:pt idx="154">
                  <c:v>30.781088235656242</c:v>
                </c:pt>
                <c:pt idx="155">
                  <c:v>32.155077650637452</c:v>
                </c:pt>
                <c:pt idx="156">
                  <c:v>42.904963106068379</c:v>
                </c:pt>
                <c:pt idx="157">
                  <c:v>32.290315002282533</c:v>
                </c:pt>
                <c:pt idx="158">
                  <c:v>22.717009501381241</c:v>
                </c:pt>
                <c:pt idx="159">
                  <c:v>45.186329353392097</c:v>
                </c:pt>
                <c:pt idx="160">
                  <c:v>59.355010303320249</c:v>
                </c:pt>
                <c:pt idx="161">
                  <c:v>55.686946067496265</c:v>
                </c:pt>
                <c:pt idx="162">
                  <c:v>43.947812332496895</c:v>
                </c:pt>
                <c:pt idx="163">
                  <c:v>53.991990457932467</c:v>
                </c:pt>
                <c:pt idx="164">
                  <c:v>46.371648644001461</c:v>
                </c:pt>
                <c:pt idx="165">
                  <c:v>54.771720410412527</c:v>
                </c:pt>
                <c:pt idx="166">
                  <c:v>50.846186192760918</c:v>
                </c:pt>
                <c:pt idx="167">
                  <c:v>52.454777718282386</c:v>
                </c:pt>
                <c:pt idx="168">
                  <c:v>54.531419789669926</c:v>
                </c:pt>
                <c:pt idx="169">
                  <c:v>55.884731776511373</c:v>
                </c:pt>
                <c:pt idx="170">
                  <c:v>33.186810963649066</c:v>
                </c:pt>
                <c:pt idx="171">
                  <c:v>19.703454882221173</c:v>
                </c:pt>
                <c:pt idx="172">
                  <c:v>47.586042743906049</c:v>
                </c:pt>
                <c:pt idx="173">
                  <c:v>42.171481606188422</c:v>
                </c:pt>
                <c:pt idx="174">
                  <c:v>44.595987485448838</c:v>
                </c:pt>
                <c:pt idx="175">
                  <c:v>31.236340169451513</c:v>
                </c:pt>
                <c:pt idx="176">
                  <c:v>11.936353675708258</c:v>
                </c:pt>
                <c:pt idx="177">
                  <c:v>17.722436755047593</c:v>
                </c:pt>
                <c:pt idx="178">
                  <c:v>60.468919723198042</c:v>
                </c:pt>
                <c:pt idx="179">
                  <c:v>56.150705470363512</c:v>
                </c:pt>
                <c:pt idx="180">
                  <c:v>13.600440655194477</c:v>
                </c:pt>
                <c:pt idx="181">
                  <c:v>55.477721638333882</c:v>
                </c:pt>
                <c:pt idx="182">
                  <c:v>51.659415149614354</c:v>
                </c:pt>
                <c:pt idx="183">
                  <c:v>43.710875058913579</c:v>
                </c:pt>
                <c:pt idx="184">
                  <c:v>45.865905200224887</c:v>
                </c:pt>
                <c:pt idx="185">
                  <c:v>55.291873379756474</c:v>
                </c:pt>
                <c:pt idx="186">
                  <c:v>42.835984452675881</c:v>
                </c:pt>
                <c:pt idx="187">
                  <c:v>53.193164593907184</c:v>
                </c:pt>
                <c:pt idx="188">
                  <c:v>58.377805481229444</c:v>
                </c:pt>
                <c:pt idx="189">
                  <c:v>57.341544153241614</c:v>
                </c:pt>
                <c:pt idx="190">
                  <c:v>56.763231348725625</c:v>
                </c:pt>
                <c:pt idx="191">
                  <c:v>54.806598318116656</c:v>
                </c:pt>
                <c:pt idx="192">
                  <c:v>54.914579628975332</c:v>
                </c:pt>
                <c:pt idx="193">
                  <c:v>54.575460491719554</c:v>
                </c:pt>
                <c:pt idx="194">
                  <c:v>53.884427023430867</c:v>
                </c:pt>
                <c:pt idx="195">
                  <c:v>52.061479626014872</c:v>
                </c:pt>
                <c:pt idx="196">
                  <c:v>53.61342057545076</c:v>
                </c:pt>
                <c:pt idx="197">
                  <c:v>52.697122053582213</c:v>
                </c:pt>
                <c:pt idx="198">
                  <c:v>52.981163722101904</c:v>
                </c:pt>
                <c:pt idx="199">
                  <c:v>42.846956147760416</c:v>
                </c:pt>
                <c:pt idx="200">
                  <c:v>41.096036279812409</c:v>
                </c:pt>
                <c:pt idx="201">
                  <c:v>51.980738105761155</c:v>
                </c:pt>
                <c:pt idx="202">
                  <c:v>39.149540890191304</c:v>
                </c:pt>
                <c:pt idx="203">
                  <c:v>48.885249794761464</c:v>
                </c:pt>
                <c:pt idx="204">
                  <c:v>51.512699524231429</c:v>
                </c:pt>
                <c:pt idx="205">
                  <c:v>31.119447078582265</c:v>
                </c:pt>
                <c:pt idx="206">
                  <c:v>52.659063187815256</c:v>
                </c:pt>
                <c:pt idx="207">
                  <c:v>55.41548009148007</c:v>
                </c:pt>
                <c:pt idx="208">
                  <c:v>47.24261177333873</c:v>
                </c:pt>
                <c:pt idx="209">
                  <c:v>27.371721439835049</c:v>
                </c:pt>
                <c:pt idx="210">
                  <c:v>46.441743277709833</c:v>
                </c:pt>
                <c:pt idx="211">
                  <c:v>51.2603867722122</c:v>
                </c:pt>
                <c:pt idx="212">
                  <c:v>53.209053967099166</c:v>
                </c:pt>
                <c:pt idx="213">
                  <c:v>51.311860799838023</c:v>
                </c:pt>
                <c:pt idx="214">
                  <c:v>49.41080579759732</c:v>
                </c:pt>
                <c:pt idx="215">
                  <c:v>45.886078565938064</c:v>
                </c:pt>
                <c:pt idx="216">
                  <c:v>44.900213898080224</c:v>
                </c:pt>
                <c:pt idx="217">
                  <c:v>47.586145040780877</c:v>
                </c:pt>
                <c:pt idx="218">
                  <c:v>50.65595280008813</c:v>
                </c:pt>
                <c:pt idx="219">
                  <c:v>51.35046640714225</c:v>
                </c:pt>
                <c:pt idx="220">
                  <c:v>49.372345371641885</c:v>
                </c:pt>
                <c:pt idx="221">
                  <c:v>47.530084647463987</c:v>
                </c:pt>
                <c:pt idx="222">
                  <c:v>43.045870233980722</c:v>
                </c:pt>
                <c:pt idx="223">
                  <c:v>45.755455779982476</c:v>
                </c:pt>
                <c:pt idx="224">
                  <c:v>30.8539727726574</c:v>
                </c:pt>
                <c:pt idx="225">
                  <c:v>33.190301072506458</c:v>
                </c:pt>
                <c:pt idx="226">
                  <c:v>38.916991448736042</c:v>
                </c:pt>
                <c:pt idx="227">
                  <c:v>31.042038386316829</c:v>
                </c:pt>
                <c:pt idx="228">
                  <c:v>22.489585995522113</c:v>
                </c:pt>
                <c:pt idx="229">
                  <c:v>37.907913065612711</c:v>
                </c:pt>
                <c:pt idx="230">
                  <c:v>39.238555067348642</c:v>
                </c:pt>
                <c:pt idx="231">
                  <c:v>46.236964907342532</c:v>
                </c:pt>
                <c:pt idx="232">
                  <c:v>30.352738342690948</c:v>
                </c:pt>
                <c:pt idx="233">
                  <c:v>24.338952656838988</c:v>
                </c:pt>
                <c:pt idx="234">
                  <c:v>43.134756347963197</c:v>
                </c:pt>
                <c:pt idx="235">
                  <c:v>43.545032440064574</c:v>
                </c:pt>
                <c:pt idx="236">
                  <c:v>33.171140406576036</c:v>
                </c:pt>
                <c:pt idx="237">
                  <c:v>40.170846096452728</c:v>
                </c:pt>
                <c:pt idx="238">
                  <c:v>46.72905809925976</c:v>
                </c:pt>
                <c:pt idx="239">
                  <c:v>45.05917340638841</c:v>
                </c:pt>
                <c:pt idx="240">
                  <c:v>31.656896468521396</c:v>
                </c:pt>
                <c:pt idx="241">
                  <c:v>44.071224421451284</c:v>
                </c:pt>
                <c:pt idx="242">
                  <c:v>20.692324724360684</c:v>
                </c:pt>
                <c:pt idx="243">
                  <c:v>41.687081258194787</c:v>
                </c:pt>
                <c:pt idx="244">
                  <c:v>36.229946650766593</c:v>
                </c:pt>
                <c:pt idx="245">
                  <c:v>29.812300748206571</c:v>
                </c:pt>
                <c:pt idx="246">
                  <c:v>43.381982969324518</c:v>
                </c:pt>
                <c:pt idx="247">
                  <c:v>37.451348549720969</c:v>
                </c:pt>
                <c:pt idx="248">
                  <c:v>42.005768219364057</c:v>
                </c:pt>
                <c:pt idx="249">
                  <c:v>33.867065858220464</c:v>
                </c:pt>
                <c:pt idx="250">
                  <c:v>36.446362236112719</c:v>
                </c:pt>
                <c:pt idx="251">
                  <c:v>20.723631978209525</c:v>
                </c:pt>
                <c:pt idx="252">
                  <c:v>40.752202789752737</c:v>
                </c:pt>
                <c:pt idx="253">
                  <c:v>40.595032250911466</c:v>
                </c:pt>
                <c:pt idx="254">
                  <c:v>28.214760268639811</c:v>
                </c:pt>
                <c:pt idx="255">
                  <c:v>11.712673537452597</c:v>
                </c:pt>
                <c:pt idx="256">
                  <c:v>34.239886005047104</c:v>
                </c:pt>
                <c:pt idx="257">
                  <c:v>37.358111211998512</c:v>
                </c:pt>
                <c:pt idx="258">
                  <c:v>25.78004022836345</c:v>
                </c:pt>
                <c:pt idx="259">
                  <c:v>40.461698975007998</c:v>
                </c:pt>
                <c:pt idx="260">
                  <c:v>40.770265376261499</c:v>
                </c:pt>
                <c:pt idx="261">
                  <c:v>39.081065084677483</c:v>
                </c:pt>
                <c:pt idx="262">
                  <c:v>40.050616859982689</c:v>
                </c:pt>
                <c:pt idx="263">
                  <c:v>38.881251585846726</c:v>
                </c:pt>
                <c:pt idx="264">
                  <c:v>37.556785053132678</c:v>
                </c:pt>
                <c:pt idx="265">
                  <c:v>24.173015921390562</c:v>
                </c:pt>
                <c:pt idx="266">
                  <c:v>16.210749950371337</c:v>
                </c:pt>
                <c:pt idx="267">
                  <c:v>27.055848470879081</c:v>
                </c:pt>
                <c:pt idx="268">
                  <c:v>29.026638039589809</c:v>
                </c:pt>
                <c:pt idx="269">
                  <c:v>14.168298045322294</c:v>
                </c:pt>
                <c:pt idx="270">
                  <c:v>16.653890027762969</c:v>
                </c:pt>
                <c:pt idx="271">
                  <c:v>22.242590381734281</c:v>
                </c:pt>
                <c:pt idx="272">
                  <c:v>25.665924244935511</c:v>
                </c:pt>
                <c:pt idx="273">
                  <c:v>30.849467145564539</c:v>
                </c:pt>
                <c:pt idx="274">
                  <c:v>32.548913527790461</c:v>
                </c:pt>
                <c:pt idx="275">
                  <c:v>30.669586111448481</c:v>
                </c:pt>
                <c:pt idx="276">
                  <c:v>32.750030235463399</c:v>
                </c:pt>
                <c:pt idx="277">
                  <c:v>33.031248567900512</c:v>
                </c:pt>
                <c:pt idx="278">
                  <c:v>14.174244460697221</c:v>
                </c:pt>
                <c:pt idx="279">
                  <c:v>24.305758250198309</c:v>
                </c:pt>
                <c:pt idx="280">
                  <c:v>14.864829227110643</c:v>
                </c:pt>
                <c:pt idx="281">
                  <c:v>29.984351223257022</c:v>
                </c:pt>
                <c:pt idx="282">
                  <c:v>25.575342740773543</c:v>
                </c:pt>
                <c:pt idx="283">
                  <c:v>22.078647235476055</c:v>
                </c:pt>
                <c:pt idx="284">
                  <c:v>23.784999461531775</c:v>
                </c:pt>
                <c:pt idx="285">
                  <c:v>19.591611920092955</c:v>
                </c:pt>
                <c:pt idx="286">
                  <c:v>16.419635244481722</c:v>
                </c:pt>
                <c:pt idx="287">
                  <c:v>27.781200719326193</c:v>
                </c:pt>
                <c:pt idx="288">
                  <c:v>25.807373473975055</c:v>
                </c:pt>
                <c:pt idx="289">
                  <c:v>16.425745014631243</c:v>
                </c:pt>
                <c:pt idx="290">
                  <c:v>25.643801659078573</c:v>
                </c:pt>
                <c:pt idx="291">
                  <c:v>13.847429292969712</c:v>
                </c:pt>
                <c:pt idx="292">
                  <c:v>7.6636766363104734</c:v>
                </c:pt>
                <c:pt idx="293">
                  <c:v>13.387511837396451</c:v>
                </c:pt>
                <c:pt idx="294">
                  <c:v>23.702013733013388</c:v>
                </c:pt>
                <c:pt idx="295">
                  <c:v>15.998732771327473</c:v>
                </c:pt>
                <c:pt idx="296">
                  <c:v>18.891050955652538</c:v>
                </c:pt>
                <c:pt idx="297">
                  <c:v>17.439360433248265</c:v>
                </c:pt>
                <c:pt idx="298">
                  <c:v>13.797827955920438</c:v>
                </c:pt>
                <c:pt idx="299">
                  <c:v>11.013797426456645</c:v>
                </c:pt>
                <c:pt idx="300">
                  <c:v>14.968243967337584</c:v>
                </c:pt>
                <c:pt idx="301">
                  <c:v>18.977130058599478</c:v>
                </c:pt>
                <c:pt idx="302">
                  <c:v>16.332004969410804</c:v>
                </c:pt>
                <c:pt idx="303">
                  <c:v>15.883046785325504</c:v>
                </c:pt>
                <c:pt idx="304">
                  <c:v>14.966871062448641</c:v>
                </c:pt>
                <c:pt idx="305">
                  <c:v>20.233240278662414</c:v>
                </c:pt>
                <c:pt idx="306">
                  <c:v>5.3164580694157566</c:v>
                </c:pt>
                <c:pt idx="307">
                  <c:v>10.973689126256037</c:v>
                </c:pt>
                <c:pt idx="308">
                  <c:v>19.178893539273975</c:v>
                </c:pt>
                <c:pt idx="309">
                  <c:v>19.186866560894689</c:v>
                </c:pt>
                <c:pt idx="310">
                  <c:v>19.017733459628996</c:v>
                </c:pt>
                <c:pt idx="311">
                  <c:v>12.550395541338267</c:v>
                </c:pt>
                <c:pt idx="312">
                  <c:v>7.4081654420759122</c:v>
                </c:pt>
                <c:pt idx="313">
                  <c:v>16.633702959239393</c:v>
                </c:pt>
                <c:pt idx="314">
                  <c:v>17.10876939726586</c:v>
                </c:pt>
                <c:pt idx="315">
                  <c:v>16.94714157562845</c:v>
                </c:pt>
                <c:pt idx="316">
                  <c:v>15.005749083101188</c:v>
                </c:pt>
                <c:pt idx="317">
                  <c:v>8.6442796180247523</c:v>
                </c:pt>
                <c:pt idx="318">
                  <c:v>10.511583779085242</c:v>
                </c:pt>
                <c:pt idx="319">
                  <c:v>16.438717473202082</c:v>
                </c:pt>
                <c:pt idx="320">
                  <c:v>10.770225202722893</c:v>
                </c:pt>
                <c:pt idx="321">
                  <c:v>10.166872488103991</c:v>
                </c:pt>
                <c:pt idx="322">
                  <c:v>7.462332572274855</c:v>
                </c:pt>
                <c:pt idx="323">
                  <c:v>12.175821322560507</c:v>
                </c:pt>
                <c:pt idx="324">
                  <c:v>2.900223775585085</c:v>
                </c:pt>
                <c:pt idx="325">
                  <c:v>7.6665285631699644</c:v>
                </c:pt>
                <c:pt idx="326">
                  <c:v>11.37145394397653</c:v>
                </c:pt>
                <c:pt idx="327">
                  <c:v>10.254827817861033</c:v>
                </c:pt>
                <c:pt idx="328">
                  <c:v>4.1967861021101678</c:v>
                </c:pt>
                <c:pt idx="329">
                  <c:v>8.9851431813761682</c:v>
                </c:pt>
                <c:pt idx="330">
                  <c:v>10.633055858840121</c:v>
                </c:pt>
                <c:pt idx="331">
                  <c:v>8.3596185410705761</c:v>
                </c:pt>
                <c:pt idx="332">
                  <c:v>9.4351581280423353</c:v>
                </c:pt>
                <c:pt idx="333">
                  <c:v>3.8210057011749439</c:v>
                </c:pt>
                <c:pt idx="334">
                  <c:v>3.2977624066831441</c:v>
                </c:pt>
                <c:pt idx="335">
                  <c:v>4.5396266801535914</c:v>
                </c:pt>
                <c:pt idx="336">
                  <c:v>7.1108481599631173</c:v>
                </c:pt>
                <c:pt idx="337">
                  <c:v>12.041556769353823</c:v>
                </c:pt>
                <c:pt idx="338">
                  <c:v>14.090434495916091</c:v>
                </c:pt>
                <c:pt idx="339">
                  <c:v>10.088631826513476</c:v>
                </c:pt>
                <c:pt idx="340">
                  <c:v>12.386957925454025</c:v>
                </c:pt>
                <c:pt idx="341">
                  <c:v>3.6908335613142769</c:v>
                </c:pt>
                <c:pt idx="342">
                  <c:v>7.0234415636589596</c:v>
                </c:pt>
                <c:pt idx="343">
                  <c:v>10.272616591228394</c:v>
                </c:pt>
                <c:pt idx="344">
                  <c:v>10.746005653552531</c:v>
                </c:pt>
                <c:pt idx="345">
                  <c:v>3.7277597692462279</c:v>
                </c:pt>
                <c:pt idx="346">
                  <c:v>4.4827620051383628</c:v>
                </c:pt>
                <c:pt idx="347">
                  <c:v>10.545461756902016</c:v>
                </c:pt>
                <c:pt idx="348">
                  <c:v>5.1664041135748127</c:v>
                </c:pt>
                <c:pt idx="349">
                  <c:v>4.559013016138139</c:v>
                </c:pt>
                <c:pt idx="350">
                  <c:v>2.8240928191438357</c:v>
                </c:pt>
                <c:pt idx="351">
                  <c:v>10.99122811697654</c:v>
                </c:pt>
                <c:pt idx="352">
                  <c:v>10.777104684213784</c:v>
                </c:pt>
                <c:pt idx="353">
                  <c:v>3.4249259776413363</c:v>
                </c:pt>
                <c:pt idx="354">
                  <c:v>12.486648776924259</c:v>
                </c:pt>
                <c:pt idx="355">
                  <c:v>11.077368131050354</c:v>
                </c:pt>
                <c:pt idx="356">
                  <c:v>11.609323992652941</c:v>
                </c:pt>
                <c:pt idx="357">
                  <c:v>13.22298977325063</c:v>
                </c:pt>
                <c:pt idx="358">
                  <c:v>7.4778714394252361</c:v>
                </c:pt>
                <c:pt idx="359">
                  <c:v>11.635212735635177</c:v>
                </c:pt>
                <c:pt idx="360">
                  <c:v>5.54693000661449</c:v>
                </c:pt>
                <c:pt idx="361">
                  <c:v>12.351857988234556</c:v>
                </c:pt>
                <c:pt idx="362">
                  <c:v>8.3069339159229578</c:v>
                </c:pt>
                <c:pt idx="363">
                  <c:v>10.567989596305992</c:v>
                </c:pt>
                <c:pt idx="364">
                  <c:v>8.2584960807583538</c:v>
                </c:pt>
                <c:pt idx="365">
                  <c:v>9.8382058011147571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14.186877598507079</c:v>
                </c:pt>
                <c:pt idx="1">
                  <c:v>12.162044934938445</c:v>
                </c:pt>
                <c:pt idx="2">
                  <c:v>11.824242502789813</c:v>
                </c:pt>
                <c:pt idx="3">
                  <c:v>12.431050966707478</c:v>
                </c:pt>
                <c:pt idx="4">
                  <c:v>9.8358224120394873</c:v>
                </c:pt>
                <c:pt idx="5">
                  <c:v>15.066178195394485</c:v>
                </c:pt>
                <c:pt idx="6">
                  <c:v>7.5595460941500656</c:v>
                </c:pt>
                <c:pt idx="7">
                  <c:v>6.1448606465367304</c:v>
                </c:pt>
                <c:pt idx="8">
                  <c:v>1.8554571175272709</c:v>
                </c:pt>
                <c:pt idx="9">
                  <c:v>1.5728473824210216</c:v>
                </c:pt>
                <c:pt idx="10">
                  <c:v>15.967711567474161</c:v>
                </c:pt>
                <c:pt idx="11">
                  <c:v>14.573871405676421</c:v>
                </c:pt>
                <c:pt idx="12">
                  <c:v>5.3669305729941774</c:v>
                </c:pt>
                <c:pt idx="13">
                  <c:v>16.603844805576689</c:v>
                </c:pt>
                <c:pt idx="14">
                  <c:v>16.767005615587593</c:v>
                </c:pt>
                <c:pt idx="15">
                  <c:v>16.777147497053186</c:v>
                </c:pt>
                <c:pt idx="16">
                  <c:v>13.454421459333107</c:v>
                </c:pt>
                <c:pt idx="17">
                  <c:v>3.7310319167782824</c:v>
                </c:pt>
                <c:pt idx="18">
                  <c:v>9.1498103338201364</c:v>
                </c:pt>
                <c:pt idx="19">
                  <c:v>5.4059821145741838</c:v>
                </c:pt>
                <c:pt idx="20">
                  <c:v>13.247983760782311</c:v>
                </c:pt>
                <c:pt idx="21">
                  <c:v>18.130678098639361</c:v>
                </c:pt>
                <c:pt idx="22">
                  <c:v>18.183520671991396</c:v>
                </c:pt>
                <c:pt idx="23">
                  <c:v>18.594274465772955</c:v>
                </c:pt>
                <c:pt idx="24">
                  <c:v>18.822309598498208</c:v>
                </c:pt>
                <c:pt idx="25">
                  <c:v>18.919342542893471</c:v>
                </c:pt>
                <c:pt idx="26">
                  <c:v>18.470250828193315</c:v>
                </c:pt>
                <c:pt idx="27">
                  <c:v>3.864830921390797</c:v>
                </c:pt>
                <c:pt idx="28">
                  <c:v>6.0456161281468122</c:v>
                </c:pt>
                <c:pt idx="29">
                  <c:v>4.4016928462154423</c:v>
                </c:pt>
                <c:pt idx="30">
                  <c:v>9.8729388895467789</c:v>
                </c:pt>
                <c:pt idx="31">
                  <c:v>9.7113680860657254</c:v>
                </c:pt>
                <c:pt idx="32">
                  <c:v>5.0762102149777473</c:v>
                </c:pt>
                <c:pt idx="33">
                  <c:v>12.145200999420393</c:v>
                </c:pt>
                <c:pt idx="34">
                  <c:v>10.132361484252892</c:v>
                </c:pt>
                <c:pt idx="35">
                  <c:v>8.7826223097764213</c:v>
                </c:pt>
                <c:pt idx="36">
                  <c:v>16.313589631459152</c:v>
                </c:pt>
                <c:pt idx="37">
                  <c:v>11.314917549962413</c:v>
                </c:pt>
                <c:pt idx="38">
                  <c:v>23.543179639948498</c:v>
                </c:pt>
                <c:pt idx="39">
                  <c:v>23.595764078141421</c:v>
                </c:pt>
                <c:pt idx="40">
                  <c:v>22.913648315039531</c:v>
                </c:pt>
                <c:pt idx="41">
                  <c:v>12.092413390794746</c:v>
                </c:pt>
                <c:pt idx="42">
                  <c:v>20.688979491839969</c:v>
                </c:pt>
                <c:pt idx="43">
                  <c:v>24.132610570562409</c:v>
                </c:pt>
                <c:pt idx="44">
                  <c:v>14.190418767021423</c:v>
                </c:pt>
                <c:pt idx="45">
                  <c:v>17.290017322123443</c:v>
                </c:pt>
                <c:pt idx="46">
                  <c:v>8.825720089053128</c:v>
                </c:pt>
                <c:pt idx="47">
                  <c:v>10.261044885565662</c:v>
                </c:pt>
                <c:pt idx="48">
                  <c:v>24.237875438934637</c:v>
                </c:pt>
                <c:pt idx="49">
                  <c:v>14.638361280559913</c:v>
                </c:pt>
                <c:pt idx="50">
                  <c:v>17.526381435682602</c:v>
                </c:pt>
                <c:pt idx="51">
                  <c:v>18.002830673627138</c:v>
                </c:pt>
                <c:pt idx="52">
                  <c:v>26.626338848379479</c:v>
                </c:pt>
                <c:pt idx="53">
                  <c:v>28.207597699556651</c:v>
                </c:pt>
                <c:pt idx="54">
                  <c:v>16.988800691992211</c:v>
                </c:pt>
                <c:pt idx="55">
                  <c:v>25.159426065107443</c:v>
                </c:pt>
                <c:pt idx="56">
                  <c:v>30.722603082284351</c:v>
                </c:pt>
                <c:pt idx="57">
                  <c:v>23.472014432397831</c:v>
                </c:pt>
                <c:pt idx="58">
                  <c:v>27.969474820132994</c:v>
                </c:pt>
                <c:pt idx="59">
                  <c:v>30.771525188356595</c:v>
                </c:pt>
                <c:pt idx="60">
                  <c:v>14.295005545934764</c:v>
                </c:pt>
                <c:pt idx="61">
                  <c:v>29.568001855848433</c:v>
                </c:pt>
                <c:pt idx="62">
                  <c:v>5.624283438514043</c:v>
                </c:pt>
                <c:pt idx="63">
                  <c:v>12.614598252216405</c:v>
                </c:pt>
                <c:pt idx="64">
                  <c:v>18.517508894974295</c:v>
                </c:pt>
                <c:pt idx="65">
                  <c:v>31.596433040385858</c:v>
                </c:pt>
                <c:pt idx="66">
                  <c:v>25.509233817073618</c:v>
                </c:pt>
                <c:pt idx="67">
                  <c:v>26.580692525139305</c:v>
                </c:pt>
                <c:pt idx="68">
                  <c:v>18.658384125468032</c:v>
                </c:pt>
                <c:pt idx="69">
                  <c:v>13.279744795840804</c:v>
                </c:pt>
                <c:pt idx="70">
                  <c:v>12.595764228870518</c:v>
                </c:pt>
                <c:pt idx="71">
                  <c:v>8.3219400664321252</c:v>
                </c:pt>
                <c:pt idx="72">
                  <c:v>11.468842384469113</c:v>
                </c:pt>
                <c:pt idx="73">
                  <c:v>13.260209722988346</c:v>
                </c:pt>
                <c:pt idx="74">
                  <c:v>11.642838458964732</c:v>
                </c:pt>
                <c:pt idx="75">
                  <c:v>10.214609495054958</c:v>
                </c:pt>
                <c:pt idx="76">
                  <c:v>12.823600924725767</c:v>
                </c:pt>
                <c:pt idx="77">
                  <c:v>25.832732283413932</c:v>
                </c:pt>
                <c:pt idx="78">
                  <c:v>29.143280248001663</c:v>
                </c:pt>
                <c:pt idx="79">
                  <c:v>39.074504405131528</c:v>
                </c:pt>
                <c:pt idx="80">
                  <c:v>36.147104963180375</c:v>
                </c:pt>
                <c:pt idx="81">
                  <c:v>40.849062747715678</c:v>
                </c:pt>
                <c:pt idx="82">
                  <c:v>40.273270207819742</c:v>
                </c:pt>
                <c:pt idx="83">
                  <c:v>36.867943025539077</c:v>
                </c:pt>
                <c:pt idx="84">
                  <c:v>39.81752449270175</c:v>
                </c:pt>
                <c:pt idx="85">
                  <c:v>39.310501515294135</c:v>
                </c:pt>
                <c:pt idx="86">
                  <c:v>30.576678497200234</c:v>
                </c:pt>
                <c:pt idx="87">
                  <c:v>25.24898804982487</c:v>
                </c:pt>
                <c:pt idx="88">
                  <c:v>7.1167951337658097</c:v>
                </c:pt>
                <c:pt idx="89">
                  <c:v>24.853748768650096</c:v>
                </c:pt>
                <c:pt idx="90">
                  <c:v>27.093501276756943</c:v>
                </c:pt>
                <c:pt idx="91">
                  <c:v>18.357626730538531</c:v>
                </c:pt>
                <c:pt idx="92">
                  <c:v>22.73050073617603</c:v>
                </c:pt>
                <c:pt idx="93">
                  <c:v>39.3704824558544</c:v>
                </c:pt>
                <c:pt idx="94">
                  <c:v>45.56401339382181</c:v>
                </c:pt>
                <c:pt idx="95">
                  <c:v>11.576638290612889</c:v>
                </c:pt>
                <c:pt idx="96">
                  <c:v>35.025572592071391</c:v>
                </c:pt>
                <c:pt idx="97">
                  <c:v>27.362510170554685</c:v>
                </c:pt>
                <c:pt idx="98">
                  <c:v>33.207756846144001</c:v>
                </c:pt>
                <c:pt idx="99">
                  <c:v>47.029296700860684</c:v>
                </c:pt>
                <c:pt idx="100">
                  <c:v>35.989432278398169</c:v>
                </c:pt>
                <c:pt idx="101">
                  <c:v>33.068870447639597</c:v>
                </c:pt>
                <c:pt idx="102">
                  <c:v>7.2889672296002157</c:v>
                </c:pt>
                <c:pt idx="103">
                  <c:v>35.640780088677552</c:v>
                </c:pt>
                <c:pt idx="104">
                  <c:v>39.577369933235772</c:v>
                </c:pt>
                <c:pt idx="105">
                  <c:v>42.443797369505781</c:v>
                </c:pt>
                <c:pt idx="106">
                  <c:v>48.182344250268727</c:v>
                </c:pt>
                <c:pt idx="107">
                  <c:v>38.719802682953286</c:v>
                </c:pt>
                <c:pt idx="108">
                  <c:v>10.580670730158621</c:v>
                </c:pt>
                <c:pt idx="109">
                  <c:v>9.9894699740179469</c:v>
                </c:pt>
                <c:pt idx="110">
                  <c:v>9.5332240474171641</c:v>
                </c:pt>
                <c:pt idx="111">
                  <c:v>28.83487666234539</c:v>
                </c:pt>
                <c:pt idx="112">
                  <c:v>8.3414202106702486</c:v>
                </c:pt>
                <c:pt idx="113">
                  <c:v>35.662005505790724</c:v>
                </c:pt>
                <c:pt idx="114">
                  <c:v>44.500542056562956</c:v>
                </c:pt>
                <c:pt idx="115">
                  <c:v>49.358087824342398</c:v>
                </c:pt>
                <c:pt idx="116">
                  <c:v>35.214652368863646</c:v>
                </c:pt>
                <c:pt idx="117">
                  <c:v>21.575579407983433</c:v>
                </c:pt>
                <c:pt idx="118">
                  <c:v>40.543953246947787</c:v>
                </c:pt>
                <c:pt idx="119">
                  <c:v>42.34720863455469</c:v>
                </c:pt>
                <c:pt idx="120">
                  <c:v>46.115856195649478</c:v>
                </c:pt>
                <c:pt idx="121">
                  <c:v>28.193615464858617</c:v>
                </c:pt>
                <c:pt idx="122">
                  <c:v>33.322077140902614</c:v>
                </c:pt>
                <c:pt idx="123">
                  <c:v>0.84603346650835798</c:v>
                </c:pt>
                <c:pt idx="124">
                  <c:v>38.883774304583689</c:v>
                </c:pt>
                <c:pt idx="125">
                  <c:v>36.04730994923289</c:v>
                </c:pt>
                <c:pt idx="126">
                  <c:v>49.522807836710875</c:v>
                </c:pt>
                <c:pt idx="127">
                  <c:v>50.380682854318962</c:v>
                </c:pt>
                <c:pt idx="128">
                  <c:v>55.945284150239956</c:v>
                </c:pt>
                <c:pt idx="129">
                  <c:v>51.360097495721391</c:v>
                </c:pt>
                <c:pt idx="130">
                  <c:v>56.288648787131201</c:v>
                </c:pt>
                <c:pt idx="131">
                  <c:v>43.906818701481754</c:v>
                </c:pt>
                <c:pt idx="132">
                  <c:v>46.857397857571733</c:v>
                </c:pt>
                <c:pt idx="133">
                  <c:v>48.300888938464709</c:v>
                </c:pt>
                <c:pt idx="134">
                  <c:v>52.256908511808518</c:v>
                </c:pt>
                <c:pt idx="135">
                  <c:v>50.942624754255654</c:v>
                </c:pt>
                <c:pt idx="136">
                  <c:v>54.929907342998817</c:v>
                </c:pt>
                <c:pt idx="137">
                  <c:v>53.456762402224257</c:v>
                </c:pt>
                <c:pt idx="138">
                  <c:v>55.408544377884148</c:v>
                </c:pt>
                <c:pt idx="139">
                  <c:v>48.260624118529094</c:v>
                </c:pt>
                <c:pt idx="140">
                  <c:v>48.96629655976465</c:v>
                </c:pt>
                <c:pt idx="141">
                  <c:v>34.797155614441913</c:v>
                </c:pt>
                <c:pt idx="142">
                  <c:v>17.958356556909763</c:v>
                </c:pt>
                <c:pt idx="143">
                  <c:v>14.963385180220049</c:v>
                </c:pt>
                <c:pt idx="144">
                  <c:v>41.631416685899367</c:v>
                </c:pt>
                <c:pt idx="145">
                  <c:v>21.865387291018873</c:v>
                </c:pt>
                <c:pt idx="146">
                  <c:v>41.44840778594012</c:v>
                </c:pt>
                <c:pt idx="147">
                  <c:v>55.343414809147106</c:v>
                </c:pt>
                <c:pt idx="148">
                  <c:v>60.406247951612166</c:v>
                </c:pt>
                <c:pt idx="149">
                  <c:v>51.648818961182073</c:v>
                </c:pt>
                <c:pt idx="150">
                  <c:v>55.365888382071773</c:v>
                </c:pt>
                <c:pt idx="151">
                  <c:v>56.94467275348898</c:v>
                </c:pt>
                <c:pt idx="152">
                  <c:v>44.724469215921431</c:v>
                </c:pt>
                <c:pt idx="153">
                  <c:v>54.204161002979383</c:v>
                </c:pt>
                <c:pt idx="154">
                  <c:v>30.781088235656242</c:v>
                </c:pt>
                <c:pt idx="155">
                  <c:v>32.155077650637452</c:v>
                </c:pt>
                <c:pt idx="156">
                  <c:v>42.904963106068379</c:v>
                </c:pt>
                <c:pt idx="157">
                  <c:v>32.290315002282533</c:v>
                </c:pt>
                <c:pt idx="158">
                  <c:v>22.717009501381241</c:v>
                </c:pt>
                <c:pt idx="159">
                  <c:v>45.186329353392097</c:v>
                </c:pt>
                <c:pt idx="160">
                  <c:v>59.355010303320249</c:v>
                </c:pt>
                <c:pt idx="161">
                  <c:v>55.686946067496265</c:v>
                </c:pt>
                <c:pt idx="162">
                  <c:v>43.947812332496895</c:v>
                </c:pt>
                <c:pt idx="163">
                  <c:v>53.991990457932467</c:v>
                </c:pt>
                <c:pt idx="164">
                  <c:v>46.371648644001461</c:v>
                </c:pt>
                <c:pt idx="165">
                  <c:v>54.771720410412527</c:v>
                </c:pt>
                <c:pt idx="166">
                  <c:v>50.846186192760918</c:v>
                </c:pt>
                <c:pt idx="167">
                  <c:v>52.454777718282386</c:v>
                </c:pt>
                <c:pt idx="168">
                  <c:v>54.531419789669926</c:v>
                </c:pt>
                <c:pt idx="169">
                  <c:v>55.884731776511373</c:v>
                </c:pt>
                <c:pt idx="170">
                  <c:v>33.186810963649066</c:v>
                </c:pt>
                <c:pt idx="171">
                  <c:v>19.703454882221173</c:v>
                </c:pt>
                <c:pt idx="172">
                  <c:v>47.586042743906049</c:v>
                </c:pt>
                <c:pt idx="173">
                  <c:v>42.171481606188422</c:v>
                </c:pt>
                <c:pt idx="174">
                  <c:v>44.595987485448838</c:v>
                </c:pt>
                <c:pt idx="175">
                  <c:v>31.236340169451513</c:v>
                </c:pt>
                <c:pt idx="176">
                  <c:v>11.936353675708258</c:v>
                </c:pt>
                <c:pt idx="177">
                  <c:v>17.722436755047593</c:v>
                </c:pt>
                <c:pt idx="178">
                  <c:v>60.468919723198042</c:v>
                </c:pt>
                <c:pt idx="179">
                  <c:v>56.150705470363512</c:v>
                </c:pt>
                <c:pt idx="180">
                  <c:v>13.600440655194477</c:v>
                </c:pt>
                <c:pt idx="181">
                  <c:v>55.477721638333882</c:v>
                </c:pt>
                <c:pt idx="182">
                  <c:v>51.659415149614354</c:v>
                </c:pt>
                <c:pt idx="183">
                  <c:v>43.710875058913579</c:v>
                </c:pt>
                <c:pt idx="184">
                  <c:v>45.865905200224887</c:v>
                </c:pt>
                <c:pt idx="185">
                  <c:v>55.291873379756474</c:v>
                </c:pt>
                <c:pt idx="186">
                  <c:v>42.835984452675881</c:v>
                </c:pt>
                <c:pt idx="187">
                  <c:v>53.193164593907184</c:v>
                </c:pt>
                <c:pt idx="188">
                  <c:v>58.377805481229444</c:v>
                </c:pt>
                <c:pt idx="189">
                  <c:v>57.341544153241614</c:v>
                </c:pt>
                <c:pt idx="190">
                  <c:v>56.763231348725625</c:v>
                </c:pt>
                <c:pt idx="191">
                  <c:v>54.806598318116656</c:v>
                </c:pt>
                <c:pt idx="192">
                  <c:v>54.914579628975332</c:v>
                </c:pt>
                <c:pt idx="193">
                  <c:v>54.575460491719554</c:v>
                </c:pt>
                <c:pt idx="194">
                  <c:v>53.884427023430867</c:v>
                </c:pt>
                <c:pt idx="195">
                  <c:v>52.061479626014872</c:v>
                </c:pt>
                <c:pt idx="196">
                  <c:v>53.61342057545076</c:v>
                </c:pt>
                <c:pt idx="197">
                  <c:v>52.697122053582213</c:v>
                </c:pt>
                <c:pt idx="198">
                  <c:v>52.981163722101904</c:v>
                </c:pt>
                <c:pt idx="199">
                  <c:v>42.846956147760416</c:v>
                </c:pt>
                <c:pt idx="200">
                  <c:v>41.096036279812409</c:v>
                </c:pt>
                <c:pt idx="201">
                  <c:v>51.980738105761155</c:v>
                </c:pt>
                <c:pt idx="202">
                  <c:v>39.149540890191304</c:v>
                </c:pt>
                <c:pt idx="203">
                  <c:v>48.885249794761464</c:v>
                </c:pt>
                <c:pt idx="204">
                  <c:v>51.512699524231429</c:v>
                </c:pt>
                <c:pt idx="205">
                  <c:v>31.119447078582265</c:v>
                </c:pt>
                <c:pt idx="206">
                  <c:v>52.659063187815256</c:v>
                </c:pt>
                <c:pt idx="207">
                  <c:v>55.41548009148007</c:v>
                </c:pt>
                <c:pt idx="208">
                  <c:v>47.24261177333873</c:v>
                </c:pt>
                <c:pt idx="209">
                  <c:v>27.371721439835049</c:v>
                </c:pt>
                <c:pt idx="210">
                  <c:v>46.441743277709833</c:v>
                </c:pt>
                <c:pt idx="211">
                  <c:v>51.2603867722122</c:v>
                </c:pt>
                <c:pt idx="212">
                  <c:v>53.209053967099166</c:v>
                </c:pt>
                <c:pt idx="213">
                  <c:v>51.311860799838023</c:v>
                </c:pt>
                <c:pt idx="214">
                  <c:v>49.41080579759732</c:v>
                </c:pt>
                <c:pt idx="215">
                  <c:v>45.886078565938064</c:v>
                </c:pt>
                <c:pt idx="216">
                  <c:v>44.900213898080224</c:v>
                </c:pt>
                <c:pt idx="217">
                  <c:v>47.586145040780877</c:v>
                </c:pt>
                <c:pt idx="218">
                  <c:v>50.65595280008813</c:v>
                </c:pt>
                <c:pt idx="219">
                  <c:v>51.35046640714225</c:v>
                </c:pt>
                <c:pt idx="220">
                  <c:v>49.372345371641885</c:v>
                </c:pt>
                <c:pt idx="221">
                  <c:v>47.530084647463987</c:v>
                </c:pt>
                <c:pt idx="222">
                  <c:v>43.045870233980722</c:v>
                </c:pt>
                <c:pt idx="223">
                  <c:v>45.755455779982476</c:v>
                </c:pt>
                <c:pt idx="224">
                  <c:v>30.8539727726574</c:v>
                </c:pt>
                <c:pt idx="225">
                  <c:v>33.190301072506458</c:v>
                </c:pt>
                <c:pt idx="226">
                  <c:v>38.916991448736042</c:v>
                </c:pt>
                <c:pt idx="227">
                  <c:v>31.042038386316829</c:v>
                </c:pt>
                <c:pt idx="228">
                  <c:v>22.489585995522113</c:v>
                </c:pt>
                <c:pt idx="229">
                  <c:v>37.907913065612711</c:v>
                </c:pt>
                <c:pt idx="230">
                  <c:v>39.238555067348642</c:v>
                </c:pt>
                <c:pt idx="231">
                  <c:v>46.236964907342532</c:v>
                </c:pt>
                <c:pt idx="232">
                  <c:v>30.352738342690948</c:v>
                </c:pt>
                <c:pt idx="233">
                  <c:v>24.338952656838988</c:v>
                </c:pt>
                <c:pt idx="234">
                  <c:v>43.134756347963197</c:v>
                </c:pt>
                <c:pt idx="235">
                  <c:v>43.545032440064574</c:v>
                </c:pt>
                <c:pt idx="236">
                  <c:v>33.171140406576036</c:v>
                </c:pt>
                <c:pt idx="237">
                  <c:v>40.170846096452728</c:v>
                </c:pt>
                <c:pt idx="238">
                  <c:v>46.72905809925976</c:v>
                </c:pt>
                <c:pt idx="239">
                  <c:v>45.05917340638841</c:v>
                </c:pt>
                <c:pt idx="240">
                  <c:v>31.656896468521396</c:v>
                </c:pt>
                <c:pt idx="241">
                  <c:v>44.071224421451284</c:v>
                </c:pt>
                <c:pt idx="242">
                  <c:v>20.692324724360684</c:v>
                </c:pt>
                <c:pt idx="243">
                  <c:v>41.687081258194787</c:v>
                </c:pt>
                <c:pt idx="244">
                  <c:v>36.229946650766593</c:v>
                </c:pt>
                <c:pt idx="245">
                  <c:v>29.812300748206571</c:v>
                </c:pt>
                <c:pt idx="246">
                  <c:v>43.381982969324518</c:v>
                </c:pt>
                <c:pt idx="247">
                  <c:v>37.451348549720969</c:v>
                </c:pt>
                <c:pt idx="248">
                  <c:v>42.005768219364057</c:v>
                </c:pt>
                <c:pt idx="249">
                  <c:v>33.867065858220464</c:v>
                </c:pt>
                <c:pt idx="250">
                  <c:v>36.446362236112719</c:v>
                </c:pt>
                <c:pt idx="251">
                  <c:v>20.723631978209525</c:v>
                </c:pt>
                <c:pt idx="252">
                  <c:v>40.752202789752737</c:v>
                </c:pt>
                <c:pt idx="253">
                  <c:v>40.595032250911466</c:v>
                </c:pt>
                <c:pt idx="254">
                  <c:v>28.214760268639811</c:v>
                </c:pt>
                <c:pt idx="255">
                  <c:v>11.712673537452597</c:v>
                </c:pt>
                <c:pt idx="256">
                  <c:v>34.239886005047104</c:v>
                </c:pt>
                <c:pt idx="257">
                  <c:v>37.358111211998512</c:v>
                </c:pt>
                <c:pt idx="258">
                  <c:v>25.78004022836345</c:v>
                </c:pt>
                <c:pt idx="259">
                  <c:v>40.461698975007998</c:v>
                </c:pt>
                <c:pt idx="260">
                  <c:v>40.770265376261499</c:v>
                </c:pt>
                <c:pt idx="261">
                  <c:v>39.081065084677483</c:v>
                </c:pt>
                <c:pt idx="262">
                  <c:v>40.050616859982689</c:v>
                </c:pt>
                <c:pt idx="263">
                  <c:v>38.881251585846726</c:v>
                </c:pt>
                <c:pt idx="264">
                  <c:v>37.556785053132678</c:v>
                </c:pt>
                <c:pt idx="265">
                  <c:v>24.173015921390562</c:v>
                </c:pt>
                <c:pt idx="266">
                  <c:v>16.210749950371337</c:v>
                </c:pt>
                <c:pt idx="267">
                  <c:v>27.055848470879081</c:v>
                </c:pt>
                <c:pt idx="268">
                  <c:v>29.026638039589809</c:v>
                </c:pt>
                <c:pt idx="269">
                  <c:v>14.168298045322294</c:v>
                </c:pt>
                <c:pt idx="270">
                  <c:v>16.653890027762969</c:v>
                </c:pt>
                <c:pt idx="271">
                  <c:v>22.242590381734281</c:v>
                </c:pt>
                <c:pt idx="272">
                  <c:v>25.665924244935511</c:v>
                </c:pt>
                <c:pt idx="273">
                  <c:v>30.849467145564539</c:v>
                </c:pt>
                <c:pt idx="274">
                  <c:v>32.548913527790461</c:v>
                </c:pt>
                <c:pt idx="275">
                  <c:v>30.669586111448481</c:v>
                </c:pt>
                <c:pt idx="276">
                  <c:v>32.750030235463399</c:v>
                </c:pt>
                <c:pt idx="277">
                  <c:v>33.031248567900512</c:v>
                </c:pt>
                <c:pt idx="278">
                  <c:v>14.174244460697221</c:v>
                </c:pt>
                <c:pt idx="279">
                  <c:v>24.305758250198309</c:v>
                </c:pt>
                <c:pt idx="280">
                  <c:v>14.864829227110643</c:v>
                </c:pt>
                <c:pt idx="281">
                  <c:v>29.984351223257022</c:v>
                </c:pt>
                <c:pt idx="282">
                  <c:v>25.575342740773543</c:v>
                </c:pt>
                <c:pt idx="283">
                  <c:v>22.078647235476055</c:v>
                </c:pt>
                <c:pt idx="284">
                  <c:v>23.784999461531775</c:v>
                </c:pt>
                <c:pt idx="285">
                  <c:v>19.591611920092955</c:v>
                </c:pt>
                <c:pt idx="286">
                  <c:v>16.419635244481722</c:v>
                </c:pt>
                <c:pt idx="287">
                  <c:v>27.781200719326193</c:v>
                </c:pt>
                <c:pt idx="288">
                  <c:v>25.807373473975055</c:v>
                </c:pt>
                <c:pt idx="289">
                  <c:v>16.425745014631243</c:v>
                </c:pt>
                <c:pt idx="290">
                  <c:v>25.643801659078573</c:v>
                </c:pt>
                <c:pt idx="291">
                  <c:v>13.847429292969712</c:v>
                </c:pt>
                <c:pt idx="292">
                  <c:v>7.6636766363104734</c:v>
                </c:pt>
                <c:pt idx="293">
                  <c:v>13.387511837396451</c:v>
                </c:pt>
                <c:pt idx="294">
                  <c:v>23.702013733013388</c:v>
                </c:pt>
                <c:pt idx="295">
                  <c:v>15.998732771327473</c:v>
                </c:pt>
                <c:pt idx="296">
                  <c:v>18.891050955652538</c:v>
                </c:pt>
                <c:pt idx="297">
                  <c:v>17.439360433248265</c:v>
                </c:pt>
                <c:pt idx="298">
                  <c:v>13.797827955920438</c:v>
                </c:pt>
                <c:pt idx="299">
                  <c:v>11.013797426456645</c:v>
                </c:pt>
                <c:pt idx="300">
                  <c:v>14.968243967337584</c:v>
                </c:pt>
                <c:pt idx="301">
                  <c:v>18.977130058599478</c:v>
                </c:pt>
                <c:pt idx="302">
                  <c:v>16.332004969410804</c:v>
                </c:pt>
                <c:pt idx="303">
                  <c:v>15.883046785325504</c:v>
                </c:pt>
                <c:pt idx="304">
                  <c:v>14.966871062448641</c:v>
                </c:pt>
                <c:pt idx="305">
                  <c:v>20.233240278662414</c:v>
                </c:pt>
                <c:pt idx="306">
                  <c:v>5.3164580694157566</c:v>
                </c:pt>
                <c:pt idx="307">
                  <c:v>10.973689126256037</c:v>
                </c:pt>
                <c:pt idx="308">
                  <c:v>19.178893539273975</c:v>
                </c:pt>
                <c:pt idx="309">
                  <c:v>19.186866560894689</c:v>
                </c:pt>
                <c:pt idx="310">
                  <c:v>19.017733459628996</c:v>
                </c:pt>
                <c:pt idx="311">
                  <c:v>12.550395541338267</c:v>
                </c:pt>
                <c:pt idx="312">
                  <c:v>7.4081654420759122</c:v>
                </c:pt>
                <c:pt idx="313">
                  <c:v>16.633702959239393</c:v>
                </c:pt>
                <c:pt idx="314">
                  <c:v>17.10876939726586</c:v>
                </c:pt>
                <c:pt idx="315">
                  <c:v>16.94714157562845</c:v>
                </c:pt>
                <c:pt idx="316">
                  <c:v>15.005749083101188</c:v>
                </c:pt>
                <c:pt idx="317">
                  <c:v>8.6442796180247523</c:v>
                </c:pt>
                <c:pt idx="318">
                  <c:v>10.511583779085242</c:v>
                </c:pt>
                <c:pt idx="319">
                  <c:v>16.438717473202082</c:v>
                </c:pt>
                <c:pt idx="320">
                  <c:v>10.770225202722893</c:v>
                </c:pt>
                <c:pt idx="321">
                  <c:v>10.166872488103991</c:v>
                </c:pt>
                <c:pt idx="322">
                  <c:v>7.462332572274855</c:v>
                </c:pt>
                <c:pt idx="323">
                  <c:v>12.175821322560507</c:v>
                </c:pt>
                <c:pt idx="324">
                  <c:v>2.900223775585085</c:v>
                </c:pt>
                <c:pt idx="325">
                  <c:v>7.6665285631699644</c:v>
                </c:pt>
                <c:pt idx="326">
                  <c:v>11.37145394397653</c:v>
                </c:pt>
                <c:pt idx="327">
                  <c:v>10.254827817861033</c:v>
                </c:pt>
                <c:pt idx="328">
                  <c:v>4.1967861021101678</c:v>
                </c:pt>
                <c:pt idx="329">
                  <c:v>8.9851431813761682</c:v>
                </c:pt>
                <c:pt idx="330">
                  <c:v>10.633055858840121</c:v>
                </c:pt>
                <c:pt idx="331">
                  <c:v>8.3596185410705761</c:v>
                </c:pt>
                <c:pt idx="332">
                  <c:v>9.4351581280423353</c:v>
                </c:pt>
                <c:pt idx="333">
                  <c:v>3.8210057011749439</c:v>
                </c:pt>
                <c:pt idx="334">
                  <c:v>3.2977624066831441</c:v>
                </c:pt>
                <c:pt idx="335">
                  <c:v>4.5396266801535914</c:v>
                </c:pt>
                <c:pt idx="336">
                  <c:v>7.1108481599631173</c:v>
                </c:pt>
                <c:pt idx="337">
                  <c:v>12.041556769353823</c:v>
                </c:pt>
                <c:pt idx="338">
                  <c:v>14.090434495916091</c:v>
                </c:pt>
                <c:pt idx="339">
                  <c:v>10.088631826513476</c:v>
                </c:pt>
                <c:pt idx="340">
                  <c:v>12.386957925454025</c:v>
                </c:pt>
                <c:pt idx="341">
                  <c:v>3.6908335613142769</c:v>
                </c:pt>
                <c:pt idx="342">
                  <c:v>7.0234415636589596</c:v>
                </c:pt>
                <c:pt idx="343">
                  <c:v>10.272616591228394</c:v>
                </c:pt>
                <c:pt idx="344">
                  <c:v>10.746005653552531</c:v>
                </c:pt>
                <c:pt idx="345">
                  <c:v>3.7277597692462279</c:v>
                </c:pt>
                <c:pt idx="346">
                  <c:v>4.4827620051383628</c:v>
                </c:pt>
                <c:pt idx="347">
                  <c:v>10.545461756902016</c:v>
                </c:pt>
                <c:pt idx="348">
                  <c:v>5.1664041135748127</c:v>
                </c:pt>
                <c:pt idx="349">
                  <c:v>4.559013016138139</c:v>
                </c:pt>
                <c:pt idx="350">
                  <c:v>2.8240928191438357</c:v>
                </c:pt>
                <c:pt idx="351">
                  <c:v>10.99122811697654</c:v>
                </c:pt>
                <c:pt idx="352">
                  <c:v>10.777104684213784</c:v>
                </c:pt>
                <c:pt idx="353">
                  <c:v>3.4249259776413363</c:v>
                </c:pt>
                <c:pt idx="354">
                  <c:v>12.486648776924259</c:v>
                </c:pt>
                <c:pt idx="355">
                  <c:v>11.077368131050354</c:v>
                </c:pt>
                <c:pt idx="356">
                  <c:v>11.609323992652941</c:v>
                </c:pt>
                <c:pt idx="357">
                  <c:v>13.22298977325063</c:v>
                </c:pt>
                <c:pt idx="358">
                  <c:v>7.4778714394252361</c:v>
                </c:pt>
                <c:pt idx="359">
                  <c:v>11.635212735635177</c:v>
                </c:pt>
                <c:pt idx="360">
                  <c:v>5.54693000661449</c:v>
                </c:pt>
                <c:pt idx="361">
                  <c:v>12.351857988234556</c:v>
                </c:pt>
                <c:pt idx="362">
                  <c:v>8.3069339159229578</c:v>
                </c:pt>
                <c:pt idx="363">
                  <c:v>10.567989596305992</c:v>
                </c:pt>
                <c:pt idx="364">
                  <c:v>8.2584960807583538</c:v>
                </c:pt>
                <c:pt idx="365">
                  <c:v>9.8382058011147571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910088"/>
        <c:axId val="443910480"/>
      </c:lineChart>
      <c:dateAx>
        <c:axId val="44391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10480"/>
        <c:crosses val="autoZero"/>
        <c:auto val="1"/>
        <c:lblOffset val="100"/>
        <c:baseTimeUnit val="days"/>
        <c:majorUnit val="1"/>
        <c:majorTimeUnit val="months"/>
      </c:dateAx>
      <c:valAx>
        <c:axId val="44391048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1008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4.5010331625304212E-2</c:v>
                </c:pt>
                <c:pt idx="1">
                  <c:v>4.5032555630037385E-2</c:v>
                </c:pt>
                <c:pt idx="2">
                  <c:v>4.5054779117585486E-2</c:v>
                </c:pt>
                <c:pt idx="3">
                  <c:v>4.5077002087960616E-2</c:v>
                </c:pt>
                <c:pt idx="4">
                  <c:v>4.5099224541174765E-2</c:v>
                </c:pt>
                <c:pt idx="5">
                  <c:v>4.5121446477239924E-2</c:v>
                </c:pt>
                <c:pt idx="6">
                  <c:v>4.5143667896168194E-2</c:v>
                </c:pt>
                <c:pt idx="7">
                  <c:v>4.5165888797971565E-2</c:v>
                </c:pt>
                <c:pt idx="8">
                  <c:v>4.5188109182662139E-2</c:v>
                </c:pt>
                <c:pt idx="9">
                  <c:v>4.5210329050251796E-2</c:v>
                </c:pt>
                <c:pt idx="10">
                  <c:v>4.5232548400752748E-2</c:v>
                </c:pt>
                <c:pt idx="11">
                  <c:v>4.5254767234176985E-2</c:v>
                </c:pt>
                <c:pt idx="12">
                  <c:v>4.5276985550536386E-2</c:v>
                </c:pt>
                <c:pt idx="13">
                  <c:v>4.5299203349843276E-2</c:v>
                </c:pt>
                <c:pt idx="14">
                  <c:v>4.5321420632109422E-2</c:v>
                </c:pt>
                <c:pt idx="15">
                  <c:v>4.5343637397346925E-2</c:v>
                </c:pt>
                <c:pt idx="16">
                  <c:v>4.5365853645567888E-2</c:v>
                </c:pt>
                <c:pt idx="17">
                  <c:v>4.5388069376784301E-2</c:v>
                </c:pt>
                <c:pt idx="18">
                  <c:v>4.5410284591008154E-2</c:v>
                </c:pt>
                <c:pt idx="19">
                  <c:v>4.5432499288251549E-2</c:v>
                </c:pt>
                <c:pt idx="20">
                  <c:v>4.5454713468526475E-2</c:v>
                </c:pt>
                <c:pt idx="21">
                  <c:v>4.5476927131844924E-2</c:v>
                </c:pt>
                <c:pt idx="22">
                  <c:v>4.5499140278218997E-2</c:v>
                </c:pt>
                <c:pt idx="23">
                  <c:v>4.5521352907660795E-2</c:v>
                </c:pt>
                <c:pt idx="24">
                  <c:v>4.5543565020182197E-2</c:v>
                </c:pt>
                <c:pt idx="25">
                  <c:v>4.5565776615795306E-2</c:v>
                </c:pt>
                <c:pt idx="26">
                  <c:v>4.5587987694512111E-2</c:v>
                </c:pt>
                <c:pt idx="27">
                  <c:v>4.5610198256344603E-2</c:v>
                </c:pt>
                <c:pt idx="28">
                  <c:v>4.5632408301304994E-2</c:v>
                </c:pt>
                <c:pt idx="29">
                  <c:v>4.5654617829405164E-2</c:v>
                </c:pt>
                <c:pt idx="30">
                  <c:v>4.5676826840657103E-2</c:v>
                </c:pt>
                <c:pt idx="31">
                  <c:v>4.5699035335072913E-2</c:v>
                </c:pt>
                <c:pt idx="32">
                  <c:v>4.5721243312664694E-2</c:v>
                </c:pt>
                <c:pt idx="33">
                  <c:v>4.5743450773444327E-2</c:v>
                </c:pt>
                <c:pt idx="34">
                  <c:v>4.5765657717423913E-2</c:v>
                </c:pt>
                <c:pt idx="35">
                  <c:v>4.5787864144615553E-2</c:v>
                </c:pt>
                <c:pt idx="36">
                  <c:v>4.5810070055031127E-2</c:v>
                </c:pt>
                <c:pt idx="37">
                  <c:v>4.5832275448682624E-2</c:v>
                </c:pt>
                <c:pt idx="38">
                  <c:v>4.5854480325582259E-2</c:v>
                </c:pt>
                <c:pt idx="39">
                  <c:v>4.587668468574202E-2</c:v>
                </c:pt>
                <c:pt idx="40">
                  <c:v>4.5898888529173787E-2</c:v>
                </c:pt>
                <c:pt idx="41">
                  <c:v>4.5921091855889773E-2</c:v>
                </c:pt>
                <c:pt idx="42">
                  <c:v>4.5943294665901857E-2</c:v>
                </c:pt>
                <c:pt idx="43">
                  <c:v>4.5965496959222141E-2</c:v>
                </c:pt>
                <c:pt idx="44">
                  <c:v>4.5987698735862614E-2</c:v>
                </c:pt>
                <c:pt idx="45">
                  <c:v>4.6009899995835268E-2</c:v>
                </c:pt>
                <c:pt idx="46">
                  <c:v>4.6032100739152204E-2</c:v>
                </c:pt>
                <c:pt idx="47">
                  <c:v>4.6054300965825412E-2</c:v>
                </c:pt>
                <c:pt idx="48">
                  <c:v>4.6076500675866883E-2</c:v>
                </c:pt>
                <c:pt idx="49">
                  <c:v>4.6098699869288717E-2</c:v>
                </c:pt>
                <c:pt idx="50">
                  <c:v>4.6120898546102906E-2</c:v>
                </c:pt>
                <c:pt idx="51">
                  <c:v>4.614309670632144E-2</c:v>
                </c:pt>
                <c:pt idx="52">
                  <c:v>4.616529434995631E-2</c:v>
                </c:pt>
                <c:pt idx="53">
                  <c:v>4.6187491477019615E-2</c:v>
                </c:pt>
                <c:pt idx="54">
                  <c:v>4.6209688087523348E-2</c:v>
                </c:pt>
                <c:pt idx="55">
                  <c:v>4.6231884181479499E-2</c:v>
                </c:pt>
                <c:pt idx="56">
                  <c:v>4.6254079758900168E-2</c:v>
                </c:pt>
                <c:pt idx="57">
                  <c:v>4.6276274819797236E-2</c:v>
                </c:pt>
                <c:pt idx="58">
                  <c:v>4.6298469364182915E-2</c:v>
                </c:pt>
                <c:pt idx="59">
                  <c:v>4.6320663392069084E-2</c:v>
                </c:pt>
                <c:pt idx="60">
                  <c:v>4.6342856903467733E-2</c:v>
                </c:pt>
                <c:pt idx="61">
                  <c:v>4.6365049898390964E-2</c:v>
                </c:pt>
                <c:pt idx="62">
                  <c:v>4.6387242376850879E-2</c:v>
                </c:pt>
                <c:pt idx="63">
                  <c:v>4.6409434338859357E-2</c:v>
                </c:pt>
                <c:pt idx="64">
                  <c:v>4.6431625784428388E-2</c:v>
                </c:pt>
                <c:pt idx="65">
                  <c:v>4.6453816713570184E-2</c:v>
                </c:pt>
                <c:pt idx="66">
                  <c:v>4.6476007126296515E-2</c:v>
                </c:pt>
                <c:pt idx="67">
                  <c:v>4.6498197022619592E-2</c:v>
                </c:pt>
                <c:pt idx="68">
                  <c:v>4.6520386402551406E-2</c:v>
                </c:pt>
                <c:pt idx="69">
                  <c:v>4.6542575266103836E-2</c:v>
                </c:pt>
                <c:pt idx="70">
                  <c:v>4.6564763613289095E-2</c:v>
                </c:pt>
                <c:pt idx="71">
                  <c:v>4.6586951444119062E-2</c:v>
                </c:pt>
                <c:pt idx="72">
                  <c:v>4.6609138758605728E-2</c:v>
                </c:pt>
                <c:pt idx="73">
                  <c:v>4.6631325556761194E-2</c:v>
                </c:pt>
                <c:pt idx="74">
                  <c:v>4.6653511838597561E-2</c:v>
                </c:pt>
                <c:pt idx="75">
                  <c:v>4.6675697604126598E-2</c:v>
                </c:pt>
                <c:pt idx="76">
                  <c:v>4.6697882853360517E-2</c:v>
                </c:pt>
                <c:pt idx="77">
                  <c:v>4.6720067586311309E-2</c:v>
                </c:pt>
                <c:pt idx="78">
                  <c:v>4.6742251802990964E-2</c:v>
                </c:pt>
                <c:pt idx="79">
                  <c:v>4.6764435503411361E-2</c:v>
                </c:pt>
                <c:pt idx="80">
                  <c:v>4.6786618687584824E-2</c:v>
                </c:pt>
                <c:pt idx="81">
                  <c:v>4.6808801355523011E-2</c:v>
                </c:pt>
                <c:pt idx="82">
                  <c:v>4.6830983507238244E-2</c:v>
                </c:pt>
                <c:pt idx="83">
                  <c:v>4.6853165142742292E-2</c:v>
                </c:pt>
                <c:pt idx="84">
                  <c:v>4.6875346262047368E-2</c:v>
                </c:pt>
                <c:pt idx="85">
                  <c:v>4.6897526865165351E-2</c:v>
                </c:pt>
                <c:pt idx="86">
                  <c:v>4.6919706952108231E-2</c:v>
                </c:pt>
                <c:pt idx="87">
                  <c:v>4.6941886522888221E-2</c:v>
                </c:pt>
                <c:pt idx="88">
                  <c:v>4.6964065577517089E-2</c:v>
                </c:pt>
                <c:pt idx="89">
                  <c:v>4.6986244116007048E-2</c:v>
                </c:pt>
                <c:pt idx="90">
                  <c:v>4.7008422138369865E-2</c:v>
                </c:pt>
                <c:pt idx="91">
                  <c:v>4.7030599644617865E-2</c:v>
                </c:pt>
                <c:pt idx="92">
                  <c:v>4.7052776634762816E-2</c:v>
                </c:pt>
                <c:pt idx="93">
                  <c:v>4.7074953108816819E-2</c:v>
                </c:pt>
                <c:pt idx="94">
                  <c:v>4.7097129066791865E-2</c:v>
                </c:pt>
                <c:pt idx="95">
                  <c:v>4.7119304508699944E-2</c:v>
                </c:pt>
                <c:pt idx="96">
                  <c:v>4.7141479434553157E-2</c:v>
                </c:pt>
                <c:pt idx="97">
                  <c:v>4.7163653844363385E-2</c:v>
                </c:pt>
                <c:pt idx="98">
                  <c:v>4.7185827738142727E-2</c:v>
                </c:pt>
                <c:pt idx="99">
                  <c:v>4.7208001115903286E-2</c:v>
                </c:pt>
                <c:pt idx="100">
                  <c:v>4.7230173977656831E-2</c:v>
                </c:pt>
                <c:pt idx="101">
                  <c:v>4.7252346323415462E-2</c:v>
                </c:pt>
                <c:pt idx="102">
                  <c:v>4.7274518153191281E-2</c:v>
                </c:pt>
                <c:pt idx="103">
                  <c:v>4.7296689466996167E-2</c:v>
                </c:pt>
                <c:pt idx="104">
                  <c:v>4.7318860264842222E-2</c:v>
                </c:pt>
                <c:pt idx="105">
                  <c:v>4.7341030546741436E-2</c:v>
                </c:pt>
                <c:pt idx="106">
                  <c:v>4.73632003127058E-2</c:v>
                </c:pt>
                <c:pt idx="107">
                  <c:v>4.7385369562747304E-2</c:v>
                </c:pt>
                <c:pt idx="108">
                  <c:v>4.7407538296878049E-2</c:v>
                </c:pt>
                <c:pt idx="109">
                  <c:v>4.7429706515109915E-2</c:v>
                </c:pt>
                <c:pt idx="110">
                  <c:v>4.7451874217454892E-2</c:v>
                </c:pt>
                <c:pt idx="111">
                  <c:v>4.7474041403925082E-2</c:v>
                </c:pt>
                <c:pt idx="112">
                  <c:v>4.7496208074532476E-2</c:v>
                </c:pt>
                <c:pt idx="113">
                  <c:v>4.7518374229289062E-2</c:v>
                </c:pt>
                <c:pt idx="114">
                  <c:v>4.7540539868206833E-2</c:v>
                </c:pt>
                <c:pt idx="115">
                  <c:v>4.7562704991297888E-2</c:v>
                </c:pt>
                <c:pt idx="116">
                  <c:v>4.7584869598573998E-2</c:v>
                </c:pt>
                <c:pt idx="117">
                  <c:v>4.7607033690047484E-2</c:v>
                </c:pt>
                <c:pt idx="118">
                  <c:v>4.7629197265730006E-2</c:v>
                </c:pt>
                <c:pt idx="119">
                  <c:v>4.7651360325633885E-2</c:v>
                </c:pt>
                <c:pt idx="120">
                  <c:v>4.767352286977089E-2</c:v>
                </c:pt>
                <c:pt idx="121">
                  <c:v>4.7695684898153123E-2</c:v>
                </c:pt>
                <c:pt idx="122">
                  <c:v>4.7717846410792686E-2</c:v>
                </c:pt>
                <c:pt idx="123">
                  <c:v>4.7740007407701346E-2</c:v>
                </c:pt>
                <c:pt idx="124">
                  <c:v>4.7762167888891316E-2</c:v>
                </c:pt>
                <c:pt idx="125">
                  <c:v>4.7784327854374475E-2</c:v>
                </c:pt>
                <c:pt idx="126">
                  <c:v>4.7806487304162815E-2</c:v>
                </c:pt>
                <c:pt idx="127">
                  <c:v>4.7828646238268435E-2</c:v>
                </c:pt>
                <c:pt idx="128">
                  <c:v>4.7850804656703327E-2</c:v>
                </c:pt>
                <c:pt idx="129">
                  <c:v>4.7872962559479371E-2</c:v>
                </c:pt>
                <c:pt idx="130">
                  <c:v>4.7895119946608777E-2</c:v>
                </c:pt>
                <c:pt idx="131">
                  <c:v>4.7917276818103316E-2</c:v>
                </c:pt>
                <c:pt idx="132">
                  <c:v>4.7939433173975088E-2</c:v>
                </c:pt>
                <c:pt idx="133">
                  <c:v>4.7961589014236083E-2</c:v>
                </c:pt>
                <c:pt idx="134">
                  <c:v>4.7983744338898293E-2</c:v>
                </c:pt>
                <c:pt idx="135">
                  <c:v>4.8005899147973818E-2</c:v>
                </c:pt>
                <c:pt idx="136">
                  <c:v>4.8028053441474539E-2</c:v>
                </c:pt>
                <c:pt idx="137">
                  <c:v>4.8050207219412444E-2</c:v>
                </c:pt>
                <c:pt idx="138">
                  <c:v>4.8072360481799525E-2</c:v>
                </c:pt>
                <c:pt idx="139">
                  <c:v>4.8094513228647884E-2</c:v>
                </c:pt>
                <c:pt idx="140">
                  <c:v>4.811666545996951E-2</c:v>
                </c:pt>
                <c:pt idx="141">
                  <c:v>4.8138817175776283E-2</c:v>
                </c:pt>
                <c:pt idx="142">
                  <c:v>4.8160968376080304E-2</c:v>
                </c:pt>
                <c:pt idx="143">
                  <c:v>4.8183119060893564E-2</c:v>
                </c:pt>
                <c:pt idx="144">
                  <c:v>4.8205269230227943E-2</c:v>
                </c:pt>
                <c:pt idx="145">
                  <c:v>4.8227418884095541E-2</c:v>
                </c:pt>
                <c:pt idx="146">
                  <c:v>4.8249568022508349E-2</c:v>
                </c:pt>
                <c:pt idx="147">
                  <c:v>4.8271716645478357E-2</c:v>
                </c:pt>
                <c:pt idx="148">
                  <c:v>4.8293864753017557E-2</c:v>
                </c:pt>
                <c:pt idx="149">
                  <c:v>4.8316012345137938E-2</c:v>
                </c:pt>
                <c:pt idx="150">
                  <c:v>4.833815942185149E-2</c:v>
                </c:pt>
                <c:pt idx="151">
                  <c:v>4.8360305983170204E-2</c:v>
                </c:pt>
                <c:pt idx="152">
                  <c:v>4.8382452029106182E-2</c:v>
                </c:pt>
                <c:pt idx="153">
                  <c:v>4.8404597559671192E-2</c:v>
                </c:pt>
                <c:pt idx="154">
                  <c:v>4.8426742574877335E-2</c:v>
                </c:pt>
                <c:pt idx="155">
                  <c:v>4.8448887074736713E-2</c:v>
                </c:pt>
                <c:pt idx="156">
                  <c:v>4.8471031059261205E-2</c:v>
                </c:pt>
                <c:pt idx="157">
                  <c:v>4.8493174528462801E-2</c:v>
                </c:pt>
                <c:pt idx="158">
                  <c:v>4.8515317482353493E-2</c:v>
                </c:pt>
                <c:pt idx="159">
                  <c:v>4.8537459920945381E-2</c:v>
                </c:pt>
                <c:pt idx="160">
                  <c:v>4.8559601844250344E-2</c:v>
                </c:pt>
                <c:pt idx="161">
                  <c:v>4.8581743252280374E-2</c:v>
                </c:pt>
                <c:pt idx="162">
                  <c:v>4.860388414504746E-2</c:v>
                </c:pt>
                <c:pt idx="163">
                  <c:v>4.8626024522563704E-2</c:v>
                </c:pt>
                <c:pt idx="164">
                  <c:v>4.8648164384840986E-2</c:v>
                </c:pt>
                <c:pt idx="165">
                  <c:v>4.8670303731891407E-2</c:v>
                </c:pt>
                <c:pt idx="166">
                  <c:v>4.8692442563726734E-2</c:v>
                </c:pt>
                <c:pt idx="167">
                  <c:v>4.8714580880359182E-2</c:v>
                </c:pt>
                <c:pt idx="168">
                  <c:v>4.8736718681800628E-2</c:v>
                </c:pt>
                <c:pt idx="169">
                  <c:v>4.8758855968063175E-2</c:v>
                </c:pt>
                <c:pt idx="170">
                  <c:v>4.8780992739158591E-2</c:v>
                </c:pt>
                <c:pt idx="171">
                  <c:v>4.8803128995099088E-2</c:v>
                </c:pt>
                <c:pt idx="172">
                  <c:v>4.8825264735896656E-2</c:v>
                </c:pt>
                <c:pt idx="173">
                  <c:v>4.8847399961563065E-2</c:v>
                </c:pt>
                <c:pt idx="174">
                  <c:v>4.8869534672110526E-2</c:v>
                </c:pt>
                <c:pt idx="175">
                  <c:v>4.8891668867550808E-2</c:v>
                </c:pt>
                <c:pt idx="176">
                  <c:v>4.8913802547896124E-2</c:v>
                </c:pt>
                <c:pt idx="177">
                  <c:v>4.8935935713158352E-2</c:v>
                </c:pt>
                <c:pt idx="178">
                  <c:v>4.8958068363349483E-2</c:v>
                </c:pt>
                <c:pt idx="179">
                  <c:v>4.8980200498481508E-2</c:v>
                </c:pt>
                <c:pt idx="180">
                  <c:v>4.9002332118566416E-2</c:v>
                </c:pt>
                <c:pt idx="181">
                  <c:v>4.9024463223616199E-2</c:v>
                </c:pt>
                <c:pt idx="182">
                  <c:v>4.9046593813642847E-2</c:v>
                </c:pt>
                <c:pt idx="183">
                  <c:v>4.9068723888658239E-2</c:v>
                </c:pt>
                <c:pt idx="184">
                  <c:v>4.9090853448674587E-2</c:v>
                </c:pt>
                <c:pt idx="185">
                  <c:v>4.9112982493703661E-2</c:v>
                </c:pt>
                <c:pt idx="186">
                  <c:v>4.9135111023757561E-2</c:v>
                </c:pt>
                <c:pt idx="187">
                  <c:v>4.9157239038848277E-2</c:v>
                </c:pt>
                <c:pt idx="188">
                  <c:v>4.917936653898769E-2</c:v>
                </c:pt>
                <c:pt idx="189">
                  <c:v>4.92014935241879E-2</c:v>
                </c:pt>
                <c:pt idx="190">
                  <c:v>4.9223619994460788E-2</c:v>
                </c:pt>
                <c:pt idx="191">
                  <c:v>4.9245745949818454E-2</c:v>
                </c:pt>
                <c:pt idx="192">
                  <c:v>4.9267871390272777E-2</c:v>
                </c:pt>
                <c:pt idx="193">
                  <c:v>4.9289996315835749E-2</c:v>
                </c:pt>
                <c:pt idx="194">
                  <c:v>4.931212072651936E-2</c:v>
                </c:pt>
                <c:pt idx="195">
                  <c:v>4.933424462233571E-2</c:v>
                </c:pt>
                <c:pt idx="196">
                  <c:v>4.9356368003296569E-2</c:v>
                </c:pt>
                <c:pt idx="197">
                  <c:v>4.9378490869414149E-2</c:v>
                </c:pt>
                <c:pt idx="198">
                  <c:v>4.9400613220700218E-2</c:v>
                </c:pt>
                <c:pt idx="199">
                  <c:v>4.9422735057166878E-2</c:v>
                </c:pt>
                <c:pt idx="200">
                  <c:v>4.9444856378826119E-2</c:v>
                </c:pt>
                <c:pt idx="201">
                  <c:v>4.9466977185689931E-2</c:v>
                </c:pt>
                <c:pt idx="202">
                  <c:v>4.9489097477770194E-2</c:v>
                </c:pt>
                <c:pt idx="203">
                  <c:v>4.9511217255078899E-2</c:v>
                </c:pt>
                <c:pt idx="204">
                  <c:v>4.9533336517628146E-2</c:v>
                </c:pt>
                <c:pt idx="205">
                  <c:v>4.9555455265429815E-2</c:v>
                </c:pt>
                <c:pt idx="206">
                  <c:v>4.9577573498495897E-2</c:v>
                </c:pt>
                <c:pt idx="207">
                  <c:v>4.9599691216838382E-2</c:v>
                </c:pt>
                <c:pt idx="208">
                  <c:v>4.962180842046926E-2</c:v>
                </c:pt>
                <c:pt idx="209">
                  <c:v>4.9643925109400522E-2</c:v>
                </c:pt>
                <c:pt idx="210">
                  <c:v>4.9666041283644047E-2</c:v>
                </c:pt>
                <c:pt idx="211">
                  <c:v>4.9688156943211936E-2</c:v>
                </c:pt>
                <c:pt idx="212">
                  <c:v>4.9710272088116181E-2</c:v>
                </c:pt>
                <c:pt idx="213">
                  <c:v>4.9732386718368549E-2</c:v>
                </c:pt>
                <c:pt idx="214">
                  <c:v>4.9754500833981252E-2</c:v>
                </c:pt>
                <c:pt idx="215">
                  <c:v>4.9776614434966171E-2</c:v>
                </c:pt>
                <c:pt idx="216">
                  <c:v>4.9798727521335295E-2</c:v>
                </c:pt>
                <c:pt idx="217">
                  <c:v>4.9820840093100616E-2</c:v>
                </c:pt>
                <c:pt idx="218">
                  <c:v>4.9842952150274011E-2</c:v>
                </c:pt>
                <c:pt idx="219">
                  <c:v>4.9865063692867584E-2</c:v>
                </c:pt>
                <c:pt idx="220">
                  <c:v>4.9887174720893324E-2</c:v>
                </c:pt>
                <c:pt idx="221">
                  <c:v>4.9909285234362999E-2</c:v>
                </c:pt>
                <c:pt idx="222">
                  <c:v>4.9931395233288822E-2</c:v>
                </c:pt>
                <c:pt idx="223">
                  <c:v>4.9953504717682673E-2</c:v>
                </c:pt>
                <c:pt idx="224">
                  <c:v>4.9975613687556542E-2</c:v>
                </c:pt>
                <c:pt idx="225">
                  <c:v>4.9997722142922307E-2</c:v>
                </c:pt>
                <c:pt idx="226">
                  <c:v>5.0019830083792072E-2</c:v>
                </c:pt>
                <c:pt idx="227">
                  <c:v>5.0041937510177714E-2</c:v>
                </c:pt>
                <c:pt idx="228">
                  <c:v>5.0064044422091225E-2</c:v>
                </c:pt>
                <c:pt idx="229">
                  <c:v>5.0086150819544595E-2</c:v>
                </c:pt>
                <c:pt idx="230">
                  <c:v>5.0108256702549925E-2</c:v>
                </c:pt>
                <c:pt idx="231">
                  <c:v>5.0130362071118983E-2</c:v>
                </c:pt>
                <c:pt idx="232">
                  <c:v>5.0152466925263761E-2</c:v>
                </c:pt>
                <c:pt idx="233">
                  <c:v>5.0174571264996359E-2</c:v>
                </c:pt>
                <c:pt idx="234">
                  <c:v>5.0196675090328657E-2</c:v>
                </c:pt>
                <c:pt idx="235">
                  <c:v>5.0218778401272646E-2</c:v>
                </c:pt>
                <c:pt idx="236">
                  <c:v>5.0240881197840315E-2</c:v>
                </c:pt>
                <c:pt idx="237">
                  <c:v>5.0262983480043655E-2</c:v>
                </c:pt>
                <c:pt idx="238">
                  <c:v>5.0285085247894545E-2</c:v>
                </c:pt>
                <c:pt idx="239">
                  <c:v>5.0307186501404977E-2</c:v>
                </c:pt>
                <c:pt idx="240">
                  <c:v>5.0329287240587051E-2</c:v>
                </c:pt>
                <c:pt idx="241">
                  <c:v>5.0351387465452535E-2</c:v>
                </c:pt>
                <c:pt idx="242">
                  <c:v>5.0373487176013532E-2</c:v>
                </c:pt>
                <c:pt idx="243">
                  <c:v>5.0395586372282031E-2</c:v>
                </c:pt>
                <c:pt idx="244">
                  <c:v>5.0417685054269912E-2</c:v>
                </c:pt>
                <c:pt idx="245">
                  <c:v>5.0439783221989165E-2</c:v>
                </c:pt>
                <c:pt idx="246">
                  <c:v>5.0461880875451781E-2</c:v>
                </c:pt>
                <c:pt idx="247">
                  <c:v>5.048397801466975E-2</c:v>
                </c:pt>
                <c:pt idx="248">
                  <c:v>5.0506074639654952E-2</c:v>
                </c:pt>
                <c:pt idx="249">
                  <c:v>5.0528170750419488E-2</c:v>
                </c:pt>
                <c:pt idx="250">
                  <c:v>5.0550266346975126E-2</c:v>
                </c:pt>
                <c:pt idx="251">
                  <c:v>5.0572361429334078E-2</c:v>
                </c:pt>
                <c:pt idx="252">
                  <c:v>5.0594455997508114E-2</c:v>
                </c:pt>
                <c:pt idx="253">
                  <c:v>5.0616550051509224E-2</c:v>
                </c:pt>
                <c:pt idx="254">
                  <c:v>5.0638643591349508E-2</c:v>
                </c:pt>
                <c:pt idx="255">
                  <c:v>5.0660736617040847E-2</c:v>
                </c:pt>
                <c:pt idx="256">
                  <c:v>5.0682829128595119E-2</c:v>
                </c:pt>
                <c:pt idx="257">
                  <c:v>5.0704921126024427E-2</c:v>
                </c:pt>
                <c:pt idx="258">
                  <c:v>5.072701260934076E-2</c:v>
                </c:pt>
                <c:pt idx="259">
                  <c:v>5.0749103578555887E-2</c:v>
                </c:pt>
                <c:pt idx="260">
                  <c:v>5.077119403368191E-2</c:v>
                </c:pt>
                <c:pt idx="261">
                  <c:v>5.0793283974730818E-2</c:v>
                </c:pt>
                <c:pt idx="262">
                  <c:v>5.0815373401714492E-2</c:v>
                </c:pt>
                <c:pt idx="263">
                  <c:v>5.0837462314644921E-2</c:v>
                </c:pt>
                <c:pt idx="264">
                  <c:v>5.0859550713534096E-2</c:v>
                </c:pt>
                <c:pt idx="265">
                  <c:v>5.0881638598393897E-2</c:v>
                </c:pt>
                <c:pt idx="266">
                  <c:v>5.0903725969236424E-2</c:v>
                </c:pt>
                <c:pt idx="267">
                  <c:v>5.0925812826073558E-2</c:v>
                </c:pt>
                <c:pt idx="268">
                  <c:v>5.0947899168917177E-2</c:v>
                </c:pt>
                <c:pt idx="269">
                  <c:v>5.0969984997779383E-2</c:v>
                </c:pt>
                <c:pt idx="270">
                  <c:v>5.0992070312672166E-2</c:v>
                </c:pt>
                <c:pt idx="271">
                  <c:v>5.1014155113607296E-2</c:v>
                </c:pt>
                <c:pt idx="272">
                  <c:v>5.1036239400596983E-2</c:v>
                </c:pt>
                <c:pt idx="273">
                  <c:v>5.1058323173652886E-2</c:v>
                </c:pt>
                <c:pt idx="274">
                  <c:v>5.1080406432787218E-2</c:v>
                </c:pt>
                <c:pt idx="275">
                  <c:v>5.1102489178011856E-2</c:v>
                </c:pt>
                <c:pt idx="276">
                  <c:v>5.1124571409338682E-2</c:v>
                </c:pt>
                <c:pt idx="277">
                  <c:v>5.1146653126779795E-2</c:v>
                </c:pt>
                <c:pt idx="278">
                  <c:v>5.1168734330347077E-2</c:v>
                </c:pt>
                <c:pt idx="279">
                  <c:v>5.1190815020052516E-2</c:v>
                </c:pt>
                <c:pt idx="280">
                  <c:v>5.1212895195907993E-2</c:v>
                </c:pt>
                <c:pt idx="281">
                  <c:v>5.1234974857925497E-2</c:v>
                </c:pt>
                <c:pt idx="282">
                  <c:v>5.125705400611702E-2</c:v>
                </c:pt>
                <c:pt idx="283">
                  <c:v>5.1279132640494551E-2</c:v>
                </c:pt>
                <c:pt idx="284">
                  <c:v>5.1301210761069971E-2</c:v>
                </c:pt>
                <c:pt idx="285">
                  <c:v>5.1323288367855269E-2</c:v>
                </c:pt>
                <c:pt idx="286">
                  <c:v>5.1345365460862435E-2</c:v>
                </c:pt>
                <c:pt idx="287">
                  <c:v>5.1367442040103461E-2</c:v>
                </c:pt>
                <c:pt idx="288">
                  <c:v>5.1389518105590115E-2</c:v>
                </c:pt>
                <c:pt idx="289">
                  <c:v>5.1411593657334498E-2</c:v>
                </c:pt>
                <c:pt idx="290">
                  <c:v>5.14336686953486E-2</c:v>
                </c:pt>
                <c:pt idx="291">
                  <c:v>5.1455743219644301E-2</c:v>
                </c:pt>
                <c:pt idx="292">
                  <c:v>5.147781723023348E-2</c:v>
                </c:pt>
                <c:pt idx="293">
                  <c:v>5.149989072712835E-2</c:v>
                </c:pt>
                <c:pt idx="294">
                  <c:v>5.1521963710340568E-2</c:v>
                </c:pt>
                <c:pt idx="295">
                  <c:v>5.1544036179882236E-2</c:v>
                </c:pt>
                <c:pt idx="296">
                  <c:v>5.1566108135765343E-2</c:v>
                </c:pt>
                <c:pt idx="297">
                  <c:v>5.1588179578001769E-2</c:v>
                </c:pt>
                <c:pt idx="298">
                  <c:v>5.1610250506603506E-2</c:v>
                </c:pt>
                <c:pt idx="299">
                  <c:v>5.1632320921582431E-2</c:v>
                </c:pt>
                <c:pt idx="300">
                  <c:v>5.1654390822950647E-2</c:v>
                </c:pt>
                <c:pt idx="301">
                  <c:v>5.1676460210719921E-2</c:v>
                </c:pt>
                <c:pt idx="302">
                  <c:v>5.1698529084902356E-2</c:v>
                </c:pt>
                <c:pt idx="303">
                  <c:v>5.1720597445509831E-2</c:v>
                </c:pt>
                <c:pt idx="304">
                  <c:v>5.1742665292554335E-2</c:v>
                </c:pt>
                <c:pt idx="305">
                  <c:v>5.1764732626047749E-2</c:v>
                </c:pt>
                <c:pt idx="306">
                  <c:v>5.1786799446002063E-2</c:v>
                </c:pt>
                <c:pt idx="307">
                  <c:v>5.1808865752429378E-2</c:v>
                </c:pt>
                <c:pt idx="308">
                  <c:v>5.1830931545341352E-2</c:v>
                </c:pt>
                <c:pt idx="309">
                  <c:v>5.1852996824750197E-2</c:v>
                </c:pt>
                <c:pt idx="310">
                  <c:v>5.1875061590667682E-2</c:v>
                </c:pt>
                <c:pt idx="311">
                  <c:v>5.1897125843105907E-2</c:v>
                </c:pt>
                <c:pt idx="312">
                  <c:v>5.1919189582076641E-2</c:v>
                </c:pt>
                <c:pt idx="313">
                  <c:v>5.1941252807591987E-2</c:v>
                </c:pt>
                <c:pt idx="314">
                  <c:v>5.1963315519663822E-2</c:v>
                </c:pt>
                <c:pt idx="315">
                  <c:v>5.1985377718304138E-2</c:v>
                </c:pt>
                <c:pt idx="316">
                  <c:v>5.2007439403524924E-2</c:v>
                </c:pt>
                <c:pt idx="317">
                  <c:v>5.202950057533795E-2</c:v>
                </c:pt>
                <c:pt idx="318">
                  <c:v>5.2051561233755317E-2</c:v>
                </c:pt>
                <c:pt idx="319">
                  <c:v>5.2073621378788904E-2</c:v>
                </c:pt>
                <c:pt idx="320">
                  <c:v>5.2095681010450812E-2</c:v>
                </c:pt>
                <c:pt idx="321">
                  <c:v>5.211774012875281E-2</c:v>
                </c:pt>
                <c:pt idx="322">
                  <c:v>5.2139798733706777E-2</c:v>
                </c:pt>
                <c:pt idx="323">
                  <c:v>5.2161856825324926E-2</c:v>
                </c:pt>
                <c:pt idx="324">
                  <c:v>5.2183914403619025E-2</c:v>
                </c:pt>
                <c:pt idx="325">
                  <c:v>5.2205971468600954E-2</c:v>
                </c:pt>
                <c:pt idx="326">
                  <c:v>5.2228028020282924E-2</c:v>
                </c:pt>
                <c:pt idx="327">
                  <c:v>5.2250084058676594E-2</c:v>
                </c:pt>
                <c:pt idx="328">
                  <c:v>5.2272139583794064E-2</c:v>
                </c:pt>
                <c:pt idx="329">
                  <c:v>5.2294194595647214E-2</c:v>
                </c:pt>
                <c:pt idx="330">
                  <c:v>5.2316249094248035E-2</c:v>
                </c:pt>
                <c:pt idx="331">
                  <c:v>5.2338303079608517E-2</c:v>
                </c:pt>
                <c:pt idx="332">
                  <c:v>5.2360356551740539E-2</c:v>
                </c:pt>
                <c:pt idx="333">
                  <c:v>5.2382409510655981E-2</c:v>
                </c:pt>
                <c:pt idx="334">
                  <c:v>5.2404461956366832E-2</c:v>
                </c:pt>
                <c:pt idx="335">
                  <c:v>5.2426513888885085E-2</c:v>
                </c:pt>
                <c:pt idx="336">
                  <c:v>5.2448565308222617E-2</c:v>
                </c:pt>
                <c:pt idx="337">
                  <c:v>5.247061621439153E-2</c:v>
                </c:pt>
                <c:pt idx="338">
                  <c:v>5.2492666607403482E-2</c:v>
                </c:pt>
                <c:pt idx="339">
                  <c:v>5.2514716487270685E-2</c:v>
                </c:pt>
                <c:pt idx="340">
                  <c:v>5.2536765854004908E-2</c:v>
                </c:pt>
                <c:pt idx="341">
                  <c:v>5.2558814707618251E-2</c:v>
                </c:pt>
                <c:pt idx="342">
                  <c:v>5.2580863048122484E-2</c:v>
                </c:pt>
                <c:pt idx="343">
                  <c:v>5.2602910875529596E-2</c:v>
                </c:pt>
                <c:pt idx="344">
                  <c:v>5.2624958189851578E-2</c:v>
                </c:pt>
                <c:pt idx="345">
                  <c:v>5.2647004991100421E-2</c:v>
                </c:pt>
                <c:pt idx="346">
                  <c:v>5.2669051279287893E-2</c:v>
                </c:pt>
                <c:pt idx="347">
                  <c:v>5.2691097054426095E-2</c:v>
                </c:pt>
                <c:pt idx="348">
                  <c:v>5.2713142316526906E-2</c:v>
                </c:pt>
                <c:pt idx="349">
                  <c:v>5.2735187065602207E-2</c:v>
                </c:pt>
                <c:pt idx="350">
                  <c:v>5.2757231301663987E-2</c:v>
                </c:pt>
                <c:pt idx="351">
                  <c:v>5.2779275024724237E-2</c:v>
                </c:pt>
                <c:pt idx="352">
                  <c:v>5.2801318234794836E-2</c:v>
                </c:pt>
                <c:pt idx="353">
                  <c:v>5.2823360931887664E-2</c:v>
                </c:pt>
                <c:pt idx="354">
                  <c:v>5.2845403116014822E-2</c:v>
                </c:pt>
                <c:pt idx="355">
                  <c:v>5.2867444787188189E-2</c:v>
                </c:pt>
                <c:pt idx="356">
                  <c:v>5.2889485945419534E-2</c:v>
                </c:pt>
                <c:pt idx="357">
                  <c:v>5.2911526590720959E-2</c:v>
                </c:pt>
                <c:pt idx="358">
                  <c:v>5.2933566723104453E-2</c:v>
                </c:pt>
                <c:pt idx="359">
                  <c:v>5.2955606342581785E-2</c:v>
                </c:pt>
                <c:pt idx="360">
                  <c:v>5.2977645449165056E-2</c:v>
                </c:pt>
                <c:pt idx="361">
                  <c:v>5.2999684042866035E-2</c:v>
                </c:pt>
                <c:pt idx="362">
                  <c:v>5.3021722123696824E-2</c:v>
                </c:pt>
                <c:pt idx="363">
                  <c:v>5.304375969166919E-2</c:v>
                </c:pt>
                <c:pt idx="364">
                  <c:v>5.3065796746795235E-2</c:v>
                </c:pt>
                <c:pt idx="365">
                  <c:v>5.3087833289086728E-2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9.755899034414299E-2</c:v>
                </c:pt>
                <c:pt idx="1">
                  <c:v>9.7687824592140732E-2</c:v>
                </c:pt>
                <c:pt idx="2">
                  <c:v>9.7816804784346401E-2</c:v>
                </c:pt>
                <c:pt idx="3">
                  <c:v>9.7945900288447255E-2</c:v>
                </c:pt>
                <c:pt idx="4">
                  <c:v>9.8075084438132926E-2</c:v>
                </c:pt>
                <c:pt idx="5">
                  <c:v>9.8204334427326803E-2</c:v>
                </c:pt>
                <c:pt idx="6">
                  <c:v>9.8333631172945551E-2</c:v>
                </c:pt>
                <c:pt idx="7">
                  <c:v>9.8462959148538462E-2</c:v>
                </c:pt>
                <c:pt idx="8">
                  <c:v>9.8592306191381887E-2</c:v>
                </c:pt>
                <c:pt idx="9">
                  <c:v>9.8721663285803174E-2</c:v>
                </c:pt>
                <c:pt idx="10">
                  <c:v>9.8851024325674816E-2</c:v>
                </c:pt>
                <c:pt idx="11">
                  <c:v>9.8980385859155431E-2</c:v>
                </c:pt>
                <c:pt idx="12">
                  <c:v>9.910974681886052E-2</c:v>
                </c:pt>
                <c:pt idx="13">
                  <c:v>9.9239108240715107E-2</c:v>
                </c:pt>
                <c:pt idx="14">
                  <c:v>9.9368472974781727E-2</c:v>
                </c:pt>
                <c:pt idx="15">
                  <c:v>9.9497845391362361E-2</c:v>
                </c:pt>
                <c:pt idx="16">
                  <c:v>9.9627231085646875E-2</c:v>
                </c:pt>
                <c:pt idx="17">
                  <c:v>9.9756636584122885E-2</c:v>
                </c:pt>
                <c:pt idx="18">
                  <c:v>9.9886069055873966E-2</c:v>
                </c:pt>
                <c:pt idx="19">
                  <c:v>0.10001553603177468</c:v>
                </c:pt>
                <c:pt idx="20">
                  <c:v>0.10014504513444585</c:v>
                </c:pt>
                <c:pt idx="21">
                  <c:v>0.10027460382166238</c:v>
                </c:pt>
                <c:pt idx="22">
                  <c:v>0.10040421914571017</c:v>
                </c:pt>
                <c:pt idx="23">
                  <c:v>0.10053389753097294</c:v>
                </c:pt>
                <c:pt idx="24">
                  <c:v>0.1006636445717935</c:v>
                </c:pt>
                <c:pt idx="25">
                  <c:v>0.10079346485240272</c:v>
                </c:pt>
                <c:pt idx="26">
                  <c:v>0.10092336179044414</c:v>
                </c:pt>
                <c:pt idx="27">
                  <c:v>0.10105333750534588</c:v>
                </c:pt>
                <c:pt idx="28">
                  <c:v>0.10118339271250852</c:v>
                </c:pt>
                <c:pt idx="29">
                  <c:v>0.10131352664398911</c:v>
                </c:pt>
                <c:pt idx="30">
                  <c:v>0.10144373699607273</c:v>
                </c:pt>
                <c:pt idx="31">
                  <c:v>0.10157401990383311</c:v>
                </c:pt>
                <c:pt idx="32">
                  <c:v>0.10170436994250165</c:v>
                </c:pt>
                <c:pt idx="33">
                  <c:v>0.10183478015518686</c:v>
                </c:pt>
                <c:pt idx="34">
                  <c:v>0.10196524210621913</c:v>
                </c:pt>
                <c:pt idx="35">
                  <c:v>0.10209574595914225</c:v>
                </c:pt>
                <c:pt idx="36">
                  <c:v>0.1022262805781336</c:v>
                </c:pt>
                <c:pt idx="37">
                  <c:v>0.10235683365141289</c:v>
                </c:pt>
                <c:pt idx="38">
                  <c:v>0.1024873918349971</c:v>
                </c:pt>
                <c:pt idx="39">
                  <c:v>0.10261794091497654</c:v>
                </c:pt>
                <c:pt idx="40">
                  <c:v>0.10274846598632927</c:v>
                </c:pt>
                <c:pt idx="41">
                  <c:v>0.10287895164615404</c:v>
                </c:pt>
                <c:pt idx="42">
                  <c:v>0.10300938219909307</c:v>
                </c:pt>
                <c:pt idx="43">
                  <c:v>0.10313974187262978</c:v>
                </c:pt>
                <c:pt idx="44">
                  <c:v>0.10327001503988804</c:v>
                </c:pt>
                <c:pt idx="45">
                  <c:v>0.10340018644752672</c:v>
                </c:pt>
                <c:pt idx="46">
                  <c:v>0.10353024144631619</c:v>
                </c:pt>
                <c:pt idx="47">
                  <c:v>0.10366016622200146</c:v>
                </c:pt>
                <c:pt idx="48">
                  <c:v>0.10378994802410163</c:v>
                </c:pt>
                <c:pt idx="49">
                  <c:v>0.10391957539036013</c:v>
                </c:pt>
                <c:pt idx="50">
                  <c:v>0.10404903836465296</c:v>
                </c:pt>
                <c:pt idx="51">
                  <c:v>0.10417832870627022</c:v>
                </c:pt>
                <c:pt idx="52">
                  <c:v>0.10430744008862036</c:v>
                </c:pt>
                <c:pt idx="53">
                  <c:v>0.10443636828555102</c:v>
                </c:pt>
                <c:pt idx="54">
                  <c:v>0.10456511134364845</c:v>
                </c:pt>
                <c:pt idx="55">
                  <c:v>0.10469366973905191</c:v>
                </c:pt>
                <c:pt idx="56">
                  <c:v>0.10482204651750987</c:v>
                </c:pt>
                <c:pt idx="57">
                  <c:v>0.1049502474166025</c:v>
                </c:pt>
                <c:pt idx="58">
                  <c:v>0.10507828096925882</c:v>
                </c:pt>
                <c:pt idx="59">
                  <c:v>0.10520615858790516</c:v>
                </c:pt>
                <c:pt idx="60">
                  <c:v>0.10533389462879147</c:v>
                </c:pt>
                <c:pt idx="61">
                  <c:v>0.10546150643625041</c:v>
                </c:pt>
                <c:pt idx="62">
                  <c:v>0.10558901436685046</c:v>
                </c:pt>
                <c:pt idx="63">
                  <c:v>0.10571644179360287</c:v>
                </c:pt>
                <c:pt idx="64">
                  <c:v>0.10584381509057539</c:v>
                </c:pt>
                <c:pt idx="65">
                  <c:v>0.10597116359844692</c:v>
                </c:pt>
                <c:pt idx="66">
                  <c:v>0.10609851957170777</c:v>
                </c:pt>
                <c:pt idx="67">
                  <c:v>0.10622591810836668</c:v>
                </c:pt>
                <c:pt idx="68">
                  <c:v>0.10635339706316671</c:v>
                </c:pt>
                <c:pt idx="69">
                  <c:v>0.10648099694543693</c:v>
                </c:pt>
                <c:pt idx="70">
                  <c:v>0.10660876080281421</c:v>
                </c:pt>
                <c:pt idx="71">
                  <c:v>0.1067367340921572</c:v>
                </c:pt>
                <c:pt idx="72">
                  <c:v>0.1068649645390439</c:v>
                </c:pt>
                <c:pt idx="73">
                  <c:v>0.10699350198729367</c:v>
                </c:pt>
                <c:pt idx="74">
                  <c:v>0.10712239823998436</c:v>
                </c:pt>
                <c:pt idx="75">
                  <c:v>0.10725170689344399</c:v>
                </c:pt>
                <c:pt idx="76">
                  <c:v>0.10738148316568832</c:v>
                </c:pt>
                <c:pt idx="77">
                  <c:v>0.10751178372074591</c:v>
                </c:pt>
                <c:pt idx="78">
                  <c:v>0.10764266649026612</c:v>
                </c:pt>
                <c:pt idx="79">
                  <c:v>0.10777419049374212</c:v>
                </c:pt>
                <c:pt idx="80">
                  <c:v>0.1079064156586021</c:v>
                </c:pt>
                <c:pt idx="81">
                  <c:v>0.10803940264132667</c:v>
                </c:pt>
                <c:pt idx="82">
                  <c:v>0.10817321265064618</c:v>
                </c:pt>
                <c:pt idx="83">
                  <c:v>0.10830790727375282</c:v>
                </c:pt>
                <c:pt idx="84">
                  <c:v>0.1084435483063363</c:v>
                </c:pt>
                <c:pt idx="85">
                  <c:v>0.1085801975871185</c:v>
                </c:pt>
                <c:pt idx="86">
                  <c:v>0.10871791683742357</c:v>
                </c:pt>
                <c:pt idx="87">
                  <c:v>0.1088567675061783</c:v>
                </c:pt>
                <c:pt idx="88">
                  <c:v>0.10899681062059513</c:v>
                </c:pt>
                <c:pt idx="89">
                  <c:v>0.10913810664264928</c:v>
                </c:pt>
                <c:pt idx="90">
                  <c:v>0.10928071533132301</c:v>
                </c:pt>
                <c:pt idx="91">
                  <c:v>0.10942469561045842</c:v>
                </c:pt>
                <c:pt idx="92">
                  <c:v>0.10957010544193485</c:v>
                </c:pt>
                <c:pt idx="93">
                  <c:v>0.10971700170377198</c:v>
                </c:pt>
                <c:pt idx="94">
                  <c:v>0.10986544007265406</c:v>
                </c:pt>
                <c:pt idx="95">
                  <c:v>0.11001547491028041</c:v>
                </c:pt>
                <c:pt idx="96">
                  <c:v>0.11016715915286784</c:v>
                </c:pt>
                <c:pt idx="97">
                  <c:v>0.110320544203069</c:v>
                </c:pt>
                <c:pt idx="98">
                  <c:v>0.1104756798235246</c:v>
                </c:pt>
                <c:pt idx="99">
                  <c:v>0.11063261403123677</c:v>
                </c:pt>
                <c:pt idx="100">
                  <c:v>0.11079139299194103</c:v>
                </c:pt>
                <c:pt idx="101">
                  <c:v>0.11095206091365965</c:v>
                </c:pt>
                <c:pt idx="102">
                  <c:v>0.11111465993864311</c:v>
                </c:pt>
                <c:pt idx="103">
                  <c:v>0.11127923003295084</c:v>
                </c:pt>
                <c:pt idx="104">
                  <c:v>0.11144580887297977</c:v>
                </c:pt>
                <c:pt idx="105">
                  <c:v>0.1116144317283273</c:v>
                </c:pt>
                <c:pt idx="106">
                  <c:v>0.11178513134046826</c:v>
                </c:pt>
                <c:pt idx="107">
                  <c:v>0.11195793779683169</c:v>
                </c:pt>
                <c:pt idx="108">
                  <c:v>0.11213287839998597</c:v>
                </c:pt>
                <c:pt idx="109">
                  <c:v>0.11230997753177255</c:v>
                </c:pt>
                <c:pt idx="110">
                  <c:v>0.1124892565123731</c:v>
                </c:pt>
                <c:pt idx="111">
                  <c:v>0.11267073345444603</c:v>
                </c:pt>
                <c:pt idx="112">
                  <c:v>0.11285442311262739</c:v>
                </c:pt>
                <c:pt idx="113">
                  <c:v>0.11304033672885333</c:v>
                </c:pt>
                <c:pt idx="114">
                  <c:v>0.11322848187412669</c:v>
                </c:pt>
                <c:pt idx="115">
                  <c:v>0.11341886228751466</c:v>
                </c:pt>
                <c:pt idx="116">
                  <c:v>0.11361147771332719</c:v>
                </c:pt>
                <c:pt idx="117">
                  <c:v>0.1138063237375822</c:v>
                </c:pt>
                <c:pt idx="118">
                  <c:v>0.11400339162501616</c:v>
                </c:pt>
                <c:pt idx="119">
                  <c:v>0.11420266815803698</c:v>
                </c:pt>
                <c:pt idx="120">
                  <c:v>2.2356760658222851E-2</c:v>
                </c:pt>
                <c:pt idx="121">
                  <c:v>2.2593718389586622E-2</c:v>
                </c:pt>
                <c:pt idx="122">
                  <c:v>2.2831174772590994E-2</c:v>
                </c:pt>
                <c:pt idx="123">
                  <c:v>2.3069133768344869E-2</c:v>
                </c:pt>
                <c:pt idx="124">
                  <c:v>2.3307597996575505E-2</c:v>
                </c:pt>
                <c:pt idx="125">
                  <c:v>2.3546568670504069E-2</c:v>
                </c:pt>
                <c:pt idx="126">
                  <c:v>2.3786045533937868E-2</c:v>
                </c:pt>
                <c:pt idx="127">
                  <c:v>2.4026026801163825E-2</c:v>
                </c:pt>
                <c:pt idx="128">
                  <c:v>2.4266509100247288E-2</c:v>
                </c:pt>
                <c:pt idx="129">
                  <c:v>2.4507487420352931E-2</c:v>
                </c:pt>
                <c:pt idx="130">
                  <c:v>2.4748955063711945E-2</c:v>
                </c:pt>
                <c:pt idx="131">
                  <c:v>2.4990903602860028E-2</c:v>
                </c:pt>
                <c:pt idx="132">
                  <c:v>2.5233322843764922E-2</c:v>
                </c:pt>
                <c:pt idx="133">
                  <c:v>2.5476200795447903E-2</c:v>
                </c:pt>
                <c:pt idx="134">
                  <c:v>2.5719523646684655E-2</c:v>
                </c:pt>
                <c:pt idx="135">
                  <c:v>2.5963275750341377E-2</c:v>
                </c:pt>
                <c:pt idx="136">
                  <c:v>2.6207439615868834E-2</c:v>
                </c:pt>
                <c:pt idx="137">
                  <c:v>2.645199591043345E-2</c:v>
                </c:pt>
                <c:pt idx="138">
                  <c:v>2.6696923469116403E-2</c:v>
                </c:pt>
                <c:pt idx="139">
                  <c:v>2.6942199314555861E-2</c:v>
                </c:pt>
                <c:pt idx="140">
                  <c:v>2.7187798686345081E-2</c:v>
                </c:pt>
                <c:pt idx="141">
                  <c:v>2.7433695080432308E-2</c:v>
                </c:pt>
                <c:pt idx="142">
                  <c:v>2.7679860298694261E-2</c:v>
                </c:pt>
                <c:pt idx="143">
                  <c:v>2.7926264508778362E-2</c:v>
                </c:pt>
                <c:pt idx="144">
                  <c:v>2.8172876314226422E-2</c:v>
                </c:pt>
                <c:pt idx="145">
                  <c:v>2.8419662834808141E-2</c:v>
                </c:pt>
                <c:pt idx="146">
                  <c:v>2.8666589796904972E-2</c:v>
                </c:pt>
                <c:pt idx="147">
                  <c:v>2.8913621633696294E-2</c:v>
                </c:pt>
                <c:pt idx="148">
                  <c:v>2.9160721594810167E-2</c:v>
                </c:pt>
                <c:pt idx="149">
                  <c:v>2.9407851865011152E-2</c:v>
                </c:pt>
                <c:pt idx="150">
                  <c:v>2.9654973691409972E-2</c:v>
                </c:pt>
                <c:pt idx="151">
                  <c:v>2.9902047518592989E-2</c:v>
                </c:pt>
                <c:pt idx="152">
                  <c:v>3.0149033130986783E-2</c:v>
                </c:pt>
                <c:pt idx="153">
                  <c:v>3.03958898016938E-2</c:v>
                </c:pt>
                <c:pt idx="154">
                  <c:v>3.0642576446960619E-2</c:v>
                </c:pt>
                <c:pt idx="155">
                  <c:v>3.088905178537206E-2</c:v>
                </c:pt>
                <c:pt idx="156">
                  <c:v>3.1135274500802338E-2</c:v>
                </c:pt>
                <c:pt idx="157">
                  <c:v>3.1381203408100238E-2</c:v>
                </c:pt>
                <c:pt idx="158">
                  <c:v>3.1626797620438234E-2</c:v>
                </c:pt>
                <c:pt idx="159">
                  <c:v>3.1872016717218718E-2</c:v>
                </c:pt>
                <c:pt idx="160">
                  <c:v>3.2116820911401132E-2</c:v>
                </c:pt>
                <c:pt idx="161">
                  <c:v>3.2361171215096546E-2</c:v>
                </c:pt>
                <c:pt idx="162">
                  <c:v>3.2605029602266196E-2</c:v>
                </c:pt>
                <c:pt idx="163">
                  <c:v>3.284835916736429E-2</c:v>
                </c:pt>
                <c:pt idx="164">
                  <c:v>3.3091124278776737E-2</c:v>
                </c:pt>
                <c:pt idx="165">
                  <c:v>3.3333290725931705E-2</c:v>
                </c:pt>
                <c:pt idx="166">
                  <c:v>3.3574825858991179E-2</c:v>
                </c:pt>
                <c:pt idx="167">
                  <c:v>3.3815698720078155E-2</c:v>
                </c:pt>
                <c:pt idx="168">
                  <c:v>3.4055880165047549E-2</c:v>
                </c:pt>
                <c:pt idx="169">
                  <c:v>3.4295342974874382E-2</c:v>
                </c:pt>
                <c:pt idx="170">
                  <c:v>3.4534061955806356E-2</c:v>
                </c:pt>
                <c:pt idx="171">
                  <c:v>3.4772014027509748E-2</c:v>
                </c:pt>
                <c:pt idx="172">
                  <c:v>3.5009178298529099E-2</c:v>
                </c:pt>
                <c:pt idx="173">
                  <c:v>3.5245536128478229E-2</c:v>
                </c:pt>
                <c:pt idx="174">
                  <c:v>3.5481071176483678E-2</c:v>
                </c:pt>
                <c:pt idx="175">
                  <c:v>3.5715769435512655E-2</c:v>
                </c:pt>
                <c:pt idx="176">
                  <c:v>3.5949619252329035E-2</c:v>
                </c:pt>
                <c:pt idx="177">
                  <c:v>3.6182611332940026E-2</c:v>
                </c:pt>
                <c:pt idx="178">
                  <c:v>3.6414738733513467E-2</c:v>
                </c:pt>
                <c:pt idx="179">
                  <c:v>3.6645996836867159E-2</c:v>
                </c:pt>
                <c:pt idx="180">
                  <c:v>3.6876383314750183E-2</c:v>
                </c:pt>
                <c:pt idx="181">
                  <c:v>3.7105898076255167E-2</c:v>
                </c:pt>
                <c:pt idx="182">
                  <c:v>3.7334543202815852E-2</c:v>
                </c:pt>
                <c:pt idx="183">
                  <c:v>3.7562322870356581E-2</c:v>
                </c:pt>
                <c:pt idx="184">
                  <c:v>3.778924325926597E-2</c:v>
                </c:pt>
                <c:pt idx="185">
                  <c:v>3.8015312452969782E-2</c:v>
                </c:pt>
                <c:pt idx="186">
                  <c:v>3.8240540325969165E-2</c:v>
                </c:pt>
                <c:pt idx="187">
                  <c:v>3.8464938422298423E-2</c:v>
                </c:pt>
                <c:pt idx="188">
                  <c:v>3.8688519825430832E-2</c:v>
                </c:pt>
                <c:pt idx="189">
                  <c:v>3.891129902072888E-2</c:v>
                </c:pt>
                <c:pt idx="190">
                  <c:v>3.9133291751590936E-2</c:v>
                </c:pt>
                <c:pt idx="191">
                  <c:v>3.9354514870490645E-2</c:v>
                </c:pt>
                <c:pt idx="192">
                  <c:v>3.9574986186139499E-2</c:v>
                </c:pt>
                <c:pt idx="193">
                  <c:v>3.9794724308023173E-2</c:v>
                </c:pt>
                <c:pt idx="194">
                  <c:v>4.0013748489570927E-2</c:v>
                </c:pt>
                <c:pt idx="195">
                  <c:v>4.0232078471214572E-2</c:v>
                </c:pt>
                <c:pt idx="196">
                  <c:v>4.0449734324575888E-2</c:v>
                </c:pt>
                <c:pt idx="197">
                  <c:v>4.0666736298994324E-2</c:v>
                </c:pt>
                <c:pt idx="198">
                  <c:v>4.0883104671565501E-2</c:v>
                </c:pt>
                <c:pt idx="199">
                  <c:v>4.1098859601808972E-2</c:v>
                </c:pt>
                <c:pt idx="200">
                  <c:v>4.1314020992021659E-2</c:v>
                </c:pt>
                <c:pt idx="201">
                  <c:v>4.1528608354298224E-2</c:v>
                </c:pt>
                <c:pt idx="202">
                  <c:v>4.1742640685118508E-2</c:v>
                </c:pt>
                <c:pt idx="203">
                  <c:v>4.1956136348308914E-2</c:v>
                </c:pt>
                <c:pt idx="204">
                  <c:v>4.2169112967085934E-2</c:v>
                </c:pt>
                <c:pt idx="205">
                  <c:v>4.238158732578419E-2</c:v>
                </c:pt>
                <c:pt idx="206">
                  <c:v>4.2593575281758979E-2</c:v>
                </c:pt>
                <c:pt idx="207">
                  <c:v>4.2805091687838588E-2</c:v>
                </c:pt>
                <c:pt idx="208">
                  <c:v>4.3016150325582314E-2</c:v>
                </c:pt>
                <c:pt idx="209">
                  <c:v>4.3226763849480022E-2</c:v>
                </c:pt>
                <c:pt idx="210">
                  <c:v>4.3436943742108734E-2</c:v>
                </c:pt>
                <c:pt idx="211">
                  <c:v>4.3646700280141587E-2</c:v>
                </c:pt>
                <c:pt idx="212">
                  <c:v>4.3856042510988437E-2</c:v>
                </c:pt>
                <c:pt idx="213">
                  <c:v>4.4064978239733141E-2</c:v>
                </c:pt>
                <c:pt idx="214">
                  <c:v>4.4273514025924637E-2</c:v>
                </c:pt>
                <c:pt idx="215">
                  <c:v>4.4481655189677234E-2</c:v>
                </c:pt>
                <c:pt idx="216">
                  <c:v>4.4689405826440799E-2</c:v>
                </c:pt>
                <c:pt idx="217">
                  <c:v>4.4896768829715397E-2</c:v>
                </c:pt>
                <c:pt idx="218">
                  <c:v>4.5103745920909363E-2</c:v>
                </c:pt>
                <c:pt idx="219">
                  <c:v>4.5310337685473039E-2</c:v>
                </c:pt>
                <c:pt idx="220">
                  <c:v>4.5516543614387041E-2</c:v>
                </c:pt>
                <c:pt idx="221">
                  <c:v>4.5722362150040094E-2</c:v>
                </c:pt>
                <c:pt idx="222">
                  <c:v>4.5927790735502835E-2</c:v>
                </c:pt>
                <c:pt idx="223">
                  <c:v>4.6132825866185397E-2</c:v>
                </c:pt>
                <c:pt idx="224">
                  <c:v>4.6337463142864126E-2</c:v>
                </c:pt>
                <c:pt idx="225">
                  <c:v>4.6541697325070686E-2</c:v>
                </c:pt>
                <c:pt idx="226">
                  <c:v>4.674552238386008E-2</c:v>
                </c:pt>
                <c:pt idx="227">
                  <c:v>4.6948931553009193E-2</c:v>
                </c:pt>
                <c:pt idx="228">
                  <c:v>4.7151917377745746E-2</c:v>
                </c:pt>
                <c:pt idx="229">
                  <c:v>4.7354471760167459E-2</c:v>
                </c:pt>
                <c:pt idx="230">
                  <c:v>4.7556586000582955E-2</c:v>
                </c:pt>
                <c:pt idx="231">
                  <c:v>4.7758250834088363E-2</c:v>
                </c:pt>
                <c:pt idx="232">
                  <c:v>4.7959456461785156E-2</c:v>
                </c:pt>
                <c:pt idx="233">
                  <c:v>4.8160192576146128E-2</c:v>
                </c:pt>
                <c:pt idx="234">
                  <c:v>4.8360448380143757E-2</c:v>
                </c:pt>
                <c:pt idx="235">
                  <c:v>4.8560212599870797E-2</c:v>
                </c:pt>
                <c:pt idx="236">
                  <c:v>4.8759473490501033E-2</c:v>
                </c:pt>
                <c:pt idx="237">
                  <c:v>4.8958218835562201E-2</c:v>
                </c:pt>
                <c:pt idx="238">
                  <c:v>4.9156435939616931E-2</c:v>
                </c:pt>
                <c:pt idx="239">
                  <c:v>4.935411161457405E-2</c:v>
                </c:pt>
                <c:pt idx="240">
                  <c:v>4.9551232159975797E-2</c:v>
                </c:pt>
                <c:pt idx="241">
                  <c:v>4.9747783337728863E-2</c:v>
                </c:pt>
                <c:pt idx="242">
                  <c:v>4.9943750341864691E-2</c:v>
                </c:pt>
                <c:pt idx="243">
                  <c:v>5.0139117764026193E-2</c:v>
                </c:pt>
                <c:pt idx="244">
                  <c:v>5.0333869555482837E-2</c:v>
                </c:pt>
                <c:pt idx="245">
                  <c:v>5.0527988986572688E-2</c:v>
                </c:pt>
                <c:pt idx="246">
                  <c:v>5.0721458604555597E-2</c:v>
                </c:pt>
                <c:pt idx="247">
                  <c:v>5.0914260190937914E-2</c:v>
                </c:pt>
                <c:pt idx="248">
                  <c:v>5.1106374719391404E-2</c:v>
                </c:pt>
                <c:pt idx="249">
                  <c:v>5.1297782315439674E-2</c:v>
                </c:pt>
                <c:pt idx="250">
                  <c:v>5.1488462219120422E-2</c:v>
                </c:pt>
                <c:pt idx="251">
                  <c:v>5.1678392751853472E-2</c:v>
                </c:pt>
                <c:pt idx="252">
                  <c:v>5.1867551288749619E-2</c:v>
                </c:pt>
                <c:pt idx="253">
                  <c:v>5.2055914237586119E-2</c:v>
                </c:pt>
                <c:pt idx="254">
                  <c:v>5.2243457025647422E-2</c:v>
                </c:pt>
                <c:pt idx="255">
                  <c:v>5.2430154095588738E-2</c:v>
                </c:pt>
                <c:pt idx="256">
                  <c:v>5.2615978911421696E-2</c:v>
                </c:pt>
                <c:pt idx="257">
                  <c:v>5.2800903975647781E-2</c:v>
                </c:pt>
                <c:pt idx="258">
                  <c:v>5.2984900858477332E-2</c:v>
                </c:pt>
                <c:pt idx="259">
                  <c:v>5.3167940239968334E-2</c:v>
                </c:pt>
                <c:pt idx="260">
                  <c:v>5.3349991965803492E-2</c:v>
                </c:pt>
                <c:pt idx="261">
                  <c:v>5.3531025117294948E-2</c:v>
                </c:pt>
                <c:pt idx="262">
                  <c:v>5.371100809606591E-2</c:v>
                </c:pt>
                <c:pt idx="263">
                  <c:v>5.388990872370833E-2</c:v>
                </c:pt>
                <c:pt idx="264">
                  <c:v>5.406769435655695E-2</c:v>
                </c:pt>
                <c:pt idx="265">
                  <c:v>5.4244332015554224E-2</c:v>
                </c:pt>
                <c:pt idx="266">
                  <c:v>5.4419788531009698E-2</c:v>
                </c:pt>
                <c:pt idx="267">
                  <c:v>5.4594030701882894E-2</c:v>
                </c:pt>
                <c:pt idx="268">
                  <c:v>5.4767025469041671E-2</c:v>
                </c:pt>
                <c:pt idx="269">
                  <c:v>5.4938740101772653E-2</c:v>
                </c:pt>
                <c:pt idx="270">
                  <c:v>5.510914239664555E-2</c:v>
                </c:pt>
                <c:pt idx="271">
                  <c:v>5.5278200887662776E-2</c:v>
                </c:pt>
                <c:pt idx="272">
                  <c:v>5.5445885066461954E-2</c:v>
                </c:pt>
                <c:pt idx="273">
                  <c:v>5.5612165611181416E-2</c:v>
                </c:pt>
                <c:pt idx="274">
                  <c:v>5.5777014622452582E-2</c:v>
                </c:pt>
                <c:pt idx="275">
                  <c:v>5.5940405864846443E-2</c:v>
                </c:pt>
                <c:pt idx="276">
                  <c:v>5.610231501197941E-2</c:v>
                </c:pt>
                <c:pt idx="277">
                  <c:v>5.6262719893375029E-2</c:v>
                </c:pt>
                <c:pt idx="278">
                  <c:v>5.6421600741086188E-2</c:v>
                </c:pt>
                <c:pt idx="279">
                  <c:v>5.6578940434007505E-2</c:v>
                </c:pt>
                <c:pt idx="280">
                  <c:v>5.6734724737750895E-2</c:v>
                </c:pt>
                <c:pt idx="281">
                  <c:v>5.6888942537920782E-2</c:v>
                </c:pt>
                <c:pt idx="282">
                  <c:v>5.7041586064607609E-2</c:v>
                </c:pt>
                <c:pt idx="283">
                  <c:v>5.7192651105923378E-2</c:v>
                </c:pt>
                <c:pt idx="284">
                  <c:v>5.7342137208426687E-2</c:v>
                </c:pt>
                <c:pt idx="285">
                  <c:v>5.749004786233184E-2</c:v>
                </c:pt>
                <c:pt idx="286">
                  <c:v>5.7636390669463765E-2</c:v>
                </c:pt>
                <c:pt idx="287">
                  <c:v>5.7781177492008978E-2</c:v>
                </c:pt>
                <c:pt idx="288">
                  <c:v>5.7924424580222053E-2</c:v>
                </c:pt>
                <c:pt idx="289">
                  <c:v>5.8066152677375416E-2</c:v>
                </c:pt>
                <c:pt idx="290">
                  <c:v>5.820638710038846E-2</c:v>
                </c:pt>
                <c:pt idx="291">
                  <c:v>5.8345157794737479E-2</c:v>
                </c:pt>
                <c:pt idx="292">
                  <c:v>5.8482499362429198E-2</c:v>
                </c:pt>
                <c:pt idx="293">
                  <c:v>5.8618451062018968E-2</c:v>
                </c:pt>
                <c:pt idx="294">
                  <c:v>5.875305677986397E-2</c:v>
                </c:pt>
                <c:pt idx="295">
                  <c:v>5.8886364972024326E-2</c:v>
                </c:pt>
                <c:pt idx="296">
                  <c:v>5.9018428576456568E-2</c:v>
                </c:pt>
                <c:pt idx="297">
                  <c:v>5.9149304895383004E-2</c:v>
                </c:pt>
                <c:pt idx="298">
                  <c:v>5.9279055447964989E-2</c:v>
                </c:pt>
                <c:pt idx="299">
                  <c:v>5.9407745793656187E-2</c:v>
                </c:pt>
                <c:pt idx="300">
                  <c:v>5.9535445326859976E-2</c:v>
                </c:pt>
                <c:pt idx="301">
                  <c:v>5.9662227043762929E-2</c:v>
                </c:pt>
                <c:pt idx="302">
                  <c:v>5.9788167282458844E-2</c:v>
                </c:pt>
                <c:pt idx="303">
                  <c:v>5.9913345437715891E-2</c:v>
                </c:pt>
                <c:pt idx="304">
                  <c:v>6.0037843651967016E-2</c:v>
                </c:pt>
                <c:pt idx="305">
                  <c:v>6.0161746484323063E-2</c:v>
                </c:pt>
                <c:pt idx="306">
                  <c:v>6.0285140559612052E-2</c:v>
                </c:pt>
                <c:pt idx="307">
                  <c:v>6.0408114199639304E-2</c:v>
                </c:pt>
                <c:pt idx="308">
                  <c:v>6.0530757039036084E-2</c:v>
                </c:pt>
                <c:pt idx="309">
                  <c:v>6.0653159628219239E-2</c:v>
                </c:pt>
                <c:pt idx="310">
                  <c:v>6.0775413026119378E-2</c:v>
                </c:pt>
                <c:pt idx="311">
                  <c:v>6.0897608385447742E-2</c:v>
                </c:pt>
                <c:pt idx="312">
                  <c:v>6.1019836533361897E-2</c:v>
                </c:pt>
                <c:pt idx="313">
                  <c:v>6.1142187550457194E-2</c:v>
                </c:pt>
                <c:pt idx="314">
                  <c:v>6.1264750351050973E-2</c:v>
                </c:pt>
                <c:pt idx="315">
                  <c:v>6.1387612267744134E-2</c:v>
                </c:pt>
                <c:pt idx="316">
                  <c:v>6.1510858643233642E-2</c:v>
                </c:pt>
                <c:pt idx="317">
                  <c:v>6.1634572432314828E-2</c:v>
                </c:pt>
                <c:pt idx="318">
                  <c:v>6.1758833816951318E-2</c:v>
                </c:pt>
                <c:pt idx="319">
                  <c:v>6.1883719837203387E-2</c:v>
                </c:pt>
                <c:pt idx="320">
                  <c:v>6.2009304040695865E-2</c:v>
                </c:pt>
                <c:pt idx="321">
                  <c:v>6.2135656153170661E-2</c:v>
                </c:pt>
                <c:pt idx="322">
                  <c:v>6.2262841772513081E-2</c:v>
                </c:pt>
                <c:pt idx="323">
                  <c:v>6.2390922088461455E-2</c:v>
                </c:pt>
                <c:pt idx="324">
                  <c:v>6.2519953630011976E-2</c:v>
                </c:pt>
                <c:pt idx="325">
                  <c:v>6.2649988042314017E-2</c:v>
                </c:pt>
                <c:pt idx="326">
                  <c:v>6.2781071894618998E-2</c:v>
                </c:pt>
                <c:pt idx="327">
                  <c:v>6.2913246520598695E-2</c:v>
                </c:pt>
                <c:pt idx="328">
                  <c:v>6.3046547892091506E-2</c:v>
                </c:pt>
                <c:pt idx="329">
                  <c:v>6.3181006527066333E-2</c:v>
                </c:pt>
                <c:pt idx="330">
                  <c:v>6.3316647432319198E-2</c:v>
                </c:pt>
                <c:pt idx="331">
                  <c:v>6.3453490081138361E-2</c:v>
                </c:pt>
                <c:pt idx="332">
                  <c:v>6.3591548425891181E-2</c:v>
                </c:pt>
                <c:pt idx="333">
                  <c:v>6.3730830945205985E-2</c:v>
                </c:pt>
                <c:pt idx="334">
                  <c:v>6.3871340725143E-2</c:v>
                </c:pt>
                <c:pt idx="335">
                  <c:v>6.4013075573476935E-2</c:v>
                </c:pt>
                <c:pt idx="336">
                  <c:v>6.4156028165948606E-2</c:v>
                </c:pt>
                <c:pt idx="337">
                  <c:v>6.4300186223090416E-2</c:v>
                </c:pt>
                <c:pt idx="338">
                  <c:v>6.4445532715987922E-2</c:v>
                </c:pt>
                <c:pt idx="339">
                  <c:v>6.4592046099115744E-2</c:v>
                </c:pt>
                <c:pt idx="340">
                  <c:v>6.4739700568175823E-2</c:v>
                </c:pt>
                <c:pt idx="341">
                  <c:v>6.4888466340677145E-2</c:v>
                </c:pt>
                <c:pt idx="342">
                  <c:v>6.5038309956826607E-2</c:v>
                </c:pt>
                <c:pt idx="343">
                  <c:v>6.518919459815424E-2</c:v>
                </c:pt>
                <c:pt idx="344">
                  <c:v>6.5341080421172135E-2</c:v>
                </c:pt>
                <c:pt idx="345">
                  <c:v>6.549392490326815E-2</c:v>
                </c:pt>
                <c:pt idx="346">
                  <c:v>6.5647683197961978E-2</c:v>
                </c:pt>
                <c:pt idx="347">
                  <c:v>6.5802308496603526E-2</c:v>
                </c:pt>
                <c:pt idx="348">
                  <c:v>6.5957752393572794E-2</c:v>
                </c:pt>
                <c:pt idx="349">
                  <c:v>6.6113965252045728E-2</c:v>
                </c:pt>
                <c:pt idx="350">
                  <c:v>6.6270896567421758E-2</c:v>
                </c:pt>
                <c:pt idx="351">
                  <c:v>6.6428495325566536E-2</c:v>
                </c:pt>
                <c:pt idx="352">
                  <c:v>6.6586710353105469E-2</c:v>
                </c:pt>
                <c:pt idx="353">
                  <c:v>6.6745490657110412E-2</c:v>
                </c:pt>
                <c:pt idx="354">
                  <c:v>6.690478575165193E-2</c:v>
                </c:pt>
                <c:pt idx="355">
                  <c:v>6.7064545968840331E-2</c:v>
                </c:pt>
                <c:pt idx="356">
                  <c:v>6.7224722752150939E-2</c:v>
                </c:pt>
                <c:pt idx="357">
                  <c:v>6.7385268930018699E-2</c:v>
                </c:pt>
                <c:pt idx="358">
                  <c:v>6.7546138967893743E-2</c:v>
                </c:pt>
                <c:pt idx="359">
                  <c:v>6.7707289197170062E-2</c:v>
                </c:pt>
                <c:pt idx="360">
                  <c:v>6.7868678019633172E-2</c:v>
                </c:pt>
                <c:pt idx="361">
                  <c:v>6.803026608631503E-2</c:v>
                </c:pt>
                <c:pt idx="362">
                  <c:v>6.8192016449894491E-2</c:v>
                </c:pt>
                <c:pt idx="363">
                  <c:v>6.8353894690038469E-2</c:v>
                </c:pt>
                <c:pt idx="364">
                  <c:v>6.8515869011334593E-2</c:v>
                </c:pt>
                <c:pt idx="365">
                  <c:v>6.8677910313727122E-2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0.13799408567401328</c:v>
                </c:pt>
                <c:pt idx="1">
                  <c:v>0.13642270940008469</c:v>
                </c:pt>
                <c:pt idx="2">
                  <c:v>0.13471624724070952</c:v>
                </c:pt>
                <c:pt idx="3">
                  <c:v>0.13288141663683117</c:v>
                </c:pt>
                <c:pt idx="4">
                  <c:v>0.13092498542322173</c:v>
                </c:pt>
                <c:pt idx="5">
                  <c:v>0.12885372605184406</c:v>
                </c:pt>
                <c:pt idx="6">
                  <c:v>0.1266743738378355</c:v>
                </c:pt>
                <c:pt idx="7">
                  <c:v>0.1243935890095117</c:v>
                </c:pt>
                <c:pt idx="8">
                  <c:v>0.12200399111809623</c:v>
                </c:pt>
                <c:pt idx="9">
                  <c:v>0.11955688325616401</c:v>
                </c:pt>
                <c:pt idx="10">
                  <c:v>0.11711902254169752</c:v>
                </c:pt>
                <c:pt idx="11">
                  <c:v>0.11469772822889035</c:v>
                </c:pt>
                <c:pt idx="12">
                  <c:v>0.1122996336599846</c:v>
                </c:pt>
                <c:pt idx="13">
                  <c:v>0.10993069897727288</c:v>
                </c:pt>
                <c:pt idx="14">
                  <c:v>0.10759623183510549</c:v>
                </c:pt>
                <c:pt idx="15">
                  <c:v>0.10533056368386816</c:v>
                </c:pt>
                <c:pt idx="16">
                  <c:v>0.10316575547593636</c:v>
                </c:pt>
                <c:pt idx="17">
                  <c:v>0.10110325824728406</c:v>
                </c:pt>
                <c:pt idx="18">
                  <c:v>9.9144021356968662E-2</c:v>
                </c:pt>
                <c:pt idx="19">
                  <c:v>9.7289093667465618E-2</c:v>
                </c:pt>
                <c:pt idx="20">
                  <c:v>9.5539338752042111E-2</c:v>
                </c:pt>
                <c:pt idx="21">
                  <c:v>9.389483142851178E-2</c:v>
                </c:pt>
                <c:pt idx="22">
                  <c:v>9.2345323227679577E-2</c:v>
                </c:pt>
                <c:pt idx="23">
                  <c:v>9.0837334231928024E-2</c:v>
                </c:pt>
                <c:pt idx="24">
                  <c:v>8.9325529099590045E-2</c:v>
                </c:pt>
                <c:pt idx="25">
                  <c:v>8.7812499597255553E-2</c:v>
                </c:pt>
                <c:pt idx="26">
                  <c:v>8.6300631205018449E-2</c:v>
                </c:pt>
                <c:pt idx="27">
                  <c:v>8.479211014668403E-2</c:v>
                </c:pt>
                <c:pt idx="28">
                  <c:v>8.32889311115486E-2</c:v>
                </c:pt>
                <c:pt idx="29">
                  <c:v>8.1738770651895179E-2</c:v>
                </c:pt>
                <c:pt idx="30">
                  <c:v>8.0120729765615406E-2</c:v>
                </c:pt>
                <c:pt idx="31">
                  <c:v>7.8439240482211417E-2</c:v>
                </c:pt>
                <c:pt idx="32">
                  <c:v>7.6698492821991288E-2</c:v>
                </c:pt>
                <c:pt idx="33">
                  <c:v>7.490243557092148E-2</c:v>
                </c:pt>
                <c:pt idx="34">
                  <c:v>7.3054778482419244E-2</c:v>
                </c:pt>
                <c:pt idx="35">
                  <c:v>7.1158995623830351E-2</c:v>
                </c:pt>
                <c:pt idx="36">
                  <c:v>6.921686950325727E-2</c:v>
                </c:pt>
                <c:pt idx="37">
                  <c:v>6.7231809623425925E-2</c:v>
                </c:pt>
                <c:pt idx="38">
                  <c:v>6.5241540426138278E-2</c:v>
                </c:pt>
                <c:pt idx="39">
                  <c:v>6.3246814899687448E-2</c:v>
                </c:pt>
                <c:pt idx="40">
                  <c:v>6.1248379043576703E-2</c:v>
                </c:pt>
                <c:pt idx="41">
                  <c:v>5.9246971070360248E-2</c:v>
                </c:pt>
                <c:pt idx="42">
                  <c:v>5.7243320666001699E-2</c:v>
                </c:pt>
                <c:pt idx="43">
                  <c:v>5.5250452802972423E-2</c:v>
                </c:pt>
                <c:pt idx="44">
                  <c:v>5.3313420870243801E-2</c:v>
                </c:pt>
                <c:pt idx="45">
                  <c:v>5.1430818414690806E-2</c:v>
                </c:pt>
                <c:pt idx="46">
                  <c:v>4.9601283594199325E-2</c:v>
                </c:pt>
                <c:pt idx="47">
                  <c:v>4.782349653270046E-2</c:v>
                </c:pt>
                <c:pt idx="48">
                  <c:v>4.6096176891454954E-2</c:v>
                </c:pt>
                <c:pt idx="49">
                  <c:v>4.4418081585921317E-2</c:v>
                </c:pt>
                <c:pt idx="50">
                  <c:v>4.2787123089653392E-2</c:v>
                </c:pt>
                <c:pt idx="51">
                  <c:v>4.1189648202578963E-2</c:v>
                </c:pt>
                <c:pt idx="52">
                  <c:v>3.9623684943185716E-2</c:v>
                </c:pt>
                <c:pt idx="53">
                  <c:v>3.8089089935403692E-2</c:v>
                </c:pt>
                <c:pt idx="54">
                  <c:v>3.6585824924933417E-2</c:v>
                </c:pt>
                <c:pt idx="55">
                  <c:v>3.5113754976639662E-2</c:v>
                </c:pt>
                <c:pt idx="56">
                  <c:v>3.3672658196152172E-2</c:v>
                </c:pt>
                <c:pt idx="57">
                  <c:v>3.227494857167134E-2</c:v>
                </c:pt>
                <c:pt idx="58">
                  <c:v>3.090955981199605E-2</c:v>
                </c:pt>
                <c:pt idx="59">
                  <c:v>2.9575962653404984E-2</c:v>
                </c:pt>
                <c:pt idx="60">
                  <c:v>2.8273576502239269E-2</c:v>
                </c:pt>
                <c:pt idx="61">
                  <c:v>2.7001776220474318E-2</c:v>
                </c:pt>
                <c:pt idx="62">
                  <c:v>2.5759898320868127E-2</c:v>
                </c:pt>
                <c:pt idx="63">
                  <c:v>2.4547246609589263E-2</c:v>
                </c:pt>
                <c:pt idx="64">
                  <c:v>2.3361580750724715E-2</c:v>
                </c:pt>
                <c:pt idx="65">
                  <c:v>2.2236193439988804E-2</c:v>
                </c:pt>
                <c:pt idx="66">
                  <c:v>2.1179910494556895E-2</c:v>
                </c:pt>
                <c:pt idx="67">
                  <c:v>2.019094833671287E-2</c:v>
                </c:pt>
                <c:pt idx="68">
                  <c:v>1.9267497338212477E-2</c:v>
                </c:pt>
                <c:pt idx="69">
                  <c:v>1.8407734457892771E-2</c:v>
                </c:pt>
                <c:pt idx="70">
                  <c:v>1.7609834465944187E-2</c:v>
                </c:pt>
                <c:pt idx="71">
                  <c:v>1.688839999377225E-2</c:v>
                </c:pt>
                <c:pt idx="72">
                  <c:v>1.6230640146543941E-2</c:v>
                </c:pt>
                <c:pt idx="73">
                  <c:v>1.5634722774084047E-2</c:v>
                </c:pt>
                <c:pt idx="74">
                  <c:v>1.5098859527426059E-2</c:v>
                </c:pt>
                <c:pt idx="75">
                  <c:v>1.4621312037767432E-2</c:v>
                </c:pt>
                <c:pt idx="76">
                  <c:v>1.4200397215190756E-2</c:v>
                </c:pt>
                <c:pt idx="77">
                  <c:v>1.3834491761796129E-2</c:v>
                </c:pt>
                <c:pt idx="78">
                  <c:v>1.3520975252949508E-2</c:v>
                </c:pt>
                <c:pt idx="79">
                  <c:v>1.3256380191603941E-2</c:v>
                </c:pt>
                <c:pt idx="80">
                  <c:v>1.3009955659985787E-2</c:v>
                </c:pt>
                <c:pt idx="81">
                  <c:v>1.2781537686855539E-2</c:v>
                </c:pt>
                <c:pt idx="82">
                  <c:v>1.2570959241243388E-2</c:v>
                </c:pt>
                <c:pt idx="83">
                  <c:v>1.2378054239633583E-2</c:v>
                </c:pt>
                <c:pt idx="84">
                  <c:v>1.220266129059203E-2</c:v>
                </c:pt>
                <c:pt idx="85">
                  <c:v>1.2041229436812389E-2</c:v>
                </c:pt>
                <c:pt idx="86">
                  <c:v>1.1879212432483386E-2</c:v>
                </c:pt>
                <c:pt idx="87">
                  <c:v>1.1716860988175943E-2</c:v>
                </c:pt>
                <c:pt idx="88">
                  <c:v>1.1554410914587931E-2</c:v>
                </c:pt>
                <c:pt idx="89">
                  <c:v>1.1392084307843244E-2</c:v>
                </c:pt>
                <c:pt idx="90">
                  <c:v>1.1230090741187547E-2</c:v>
                </c:pt>
                <c:pt idx="91">
                  <c:v>1.1068628455673074E-2</c:v>
                </c:pt>
                <c:pt idx="92">
                  <c:v>1.090726708176782E-2</c:v>
                </c:pt>
                <c:pt idx="93">
                  <c:v>1.0741873718323292E-2</c:v>
                </c:pt>
                <c:pt idx="94">
                  <c:v>1.0573243876436609E-2</c:v>
                </c:pt>
                <c:pt idx="95">
                  <c:v>1.0401474237649694E-2</c:v>
                </c:pt>
                <c:pt idx="96">
                  <c:v>1.0226652703516099E-2</c:v>
                </c:pt>
                <c:pt idx="97">
                  <c:v>1.0048858593421551E-2</c:v>
                </c:pt>
                <c:pt idx="98">
                  <c:v>9.8681628265205948E-3</c:v>
                </c:pt>
                <c:pt idx="99">
                  <c:v>9.6799652849763086E-3</c:v>
                </c:pt>
                <c:pt idx="100">
                  <c:v>9.4874350879066496E-3</c:v>
                </c:pt>
                <c:pt idx="101">
                  <c:v>9.2906365617832047E-3</c:v>
                </c:pt>
                <c:pt idx="102">
                  <c:v>9.0896238352904078E-3</c:v>
                </c:pt>
                <c:pt idx="103">
                  <c:v>8.8844409324760291E-3</c:v>
                </c:pt>
                <c:pt idx="104">
                  <c:v>8.6751218489200047E-3</c:v>
                </c:pt>
                <c:pt idx="105">
                  <c:v>8.4616906109322137E-3</c:v>
                </c:pt>
                <c:pt idx="106">
                  <c:v>8.2439364429177722E-3</c:v>
                </c:pt>
                <c:pt idx="107">
                  <c:v>8.0176579474361218E-3</c:v>
                </c:pt>
                <c:pt idx="108">
                  <c:v>7.7862905564717866E-3</c:v>
                </c:pt>
                <c:pt idx="109">
                  <c:v>7.5498612511607725E-3</c:v>
                </c:pt>
                <c:pt idx="110">
                  <c:v>7.3084069668836122E-3</c:v>
                </c:pt>
                <c:pt idx="111">
                  <c:v>7.0619514240538991E-3</c:v>
                </c:pt>
                <c:pt idx="112">
                  <c:v>6.8104851959710369E-3</c:v>
                </c:pt>
                <c:pt idx="113">
                  <c:v>6.5546873795789291E-3</c:v>
                </c:pt>
                <c:pt idx="114">
                  <c:v>6.2988578471447438E-3</c:v>
                </c:pt>
                <c:pt idx="115">
                  <c:v>6.0428829011048967E-3</c:v>
                </c:pt>
                <c:pt idx="116">
                  <c:v>5.7866424251140714E-3</c:v>
                </c:pt>
                <c:pt idx="117">
                  <c:v>5.5300097905159147E-3</c:v>
                </c:pt>
                <c:pt idx="118">
                  <c:v>5.2728517442220792E-3</c:v>
                </c:pt>
                <c:pt idx="119">
                  <c:v>5.0150282770458745E-3</c:v>
                </c:pt>
                <c:pt idx="120">
                  <c:v>4.7564026188087055E-3</c:v>
                </c:pt>
                <c:pt idx="121">
                  <c:v>4.5010376972804524E-3</c:v>
                </c:pt>
                <c:pt idx="122">
                  <c:v>4.2524784374258148E-3</c:v>
                </c:pt>
                <c:pt idx="123">
                  <c:v>4.01043618081285E-3</c:v>
                </c:pt>
                <c:pt idx="124">
                  <c:v>3.7746352749922544E-3</c:v>
                </c:pt>
                <c:pt idx="125">
                  <c:v>3.5448120345813331E-3</c:v>
                </c:pt>
                <c:pt idx="126">
                  <c:v>3.3207138022115037E-3</c:v>
                </c:pt>
                <c:pt idx="127">
                  <c:v>3.1079339198129535E-3</c:v>
                </c:pt>
                <c:pt idx="128">
                  <c:v>2.9057140106718664E-3</c:v>
                </c:pt>
                <c:pt idx="129">
                  <c:v>2.713882834141289E-3</c:v>
                </c:pt>
                <c:pt idx="130">
                  <c:v>2.5322835169030106E-3</c:v>
                </c:pt>
                <c:pt idx="131">
                  <c:v>2.3607725724866689E-3</c:v>
                </c:pt>
                <c:pt idx="132">
                  <c:v>2.1992189734405068E-3</c:v>
                </c:pt>
                <c:pt idx="133">
                  <c:v>2.0475032702141497E-3</c:v>
                </c:pt>
                <c:pt idx="134">
                  <c:v>1.9055722724208811E-3</c:v>
                </c:pt>
                <c:pt idx="135">
                  <c:v>1.7760978963599855E-3</c:v>
                </c:pt>
                <c:pt idx="136">
                  <c:v>1.6550772947676357E-3</c:v>
                </c:pt>
                <c:pt idx="137">
                  <c:v>1.5425170110367128E-3</c:v>
                </c:pt>
                <c:pt idx="138">
                  <c:v>1.4384361045658054E-3</c:v>
                </c:pt>
                <c:pt idx="139">
                  <c:v>1.3428655402726258E-3</c:v>
                </c:pt>
                <c:pt idx="140">
                  <c:v>1.2558475712950861E-3</c:v>
                </c:pt>
                <c:pt idx="141">
                  <c:v>1.1784161932549548E-3</c:v>
                </c:pt>
                <c:pt idx="142">
                  <c:v>1.1046228307792347E-3</c:v>
                </c:pt>
                <c:pt idx="143">
                  <c:v>1.0344735220818425E-3</c:v>
                </c:pt>
                <c:pt idx="144">
                  <c:v>9.6798615855856786E-4</c:v>
                </c:pt>
                <c:pt idx="145">
                  <c:v>9.0518269717980242E-4</c:v>
                </c:pt>
                <c:pt idx="146">
                  <c:v>8.4608892697909E-4</c:v>
                </c:pt>
                <c:pt idx="147">
                  <c:v>7.9073422726422607E-4</c:v>
                </c:pt>
                <c:pt idx="148">
                  <c:v>7.3916653489099172E-4</c:v>
                </c:pt>
                <c:pt idx="149">
                  <c:v>6.931322784921825E-4</c:v>
                </c:pt>
                <c:pt idx="150">
                  <c:v>6.4966621132856871E-4</c:v>
                </c:pt>
                <c:pt idx="151">
                  <c:v>6.0874342028284056E-4</c:v>
                </c:pt>
                <c:pt idx="152">
                  <c:v>5.7034072904622109E-4</c:v>
                </c:pt>
                <c:pt idx="153">
                  <c:v>5.3443664755698189E-4</c:v>
                </c:pt>
                <c:pt idx="154">
                  <c:v>5.0101132357291964E-4</c:v>
                </c:pt>
                <c:pt idx="155">
                  <c:v>4.7085762644547956E-4</c:v>
                </c:pt>
                <c:pt idx="156">
                  <c:v>4.4304109429299542E-4</c:v>
                </c:pt>
                <c:pt idx="157">
                  <c:v>4.1756827040526366E-4</c:v>
                </c:pt>
                <c:pt idx="158">
                  <c:v>3.9444716377471615E-4</c:v>
                </c:pt>
                <c:pt idx="159">
                  <c:v>3.7368715842076429E-4</c:v>
                </c:pt>
                <c:pt idx="160">
                  <c:v>3.5529892124111024E-4</c:v>
                </c:pt>
                <c:pt idx="161">
                  <c:v>3.3929430846460246E-4</c:v>
                </c:pt>
                <c:pt idx="162">
                  <c:v>3.2569155604407539E-4</c:v>
                </c:pt>
                <c:pt idx="163">
                  <c:v>3.1499889093012561E-4</c:v>
                </c:pt>
                <c:pt idx="164">
                  <c:v>3.0552765503625808E-4</c:v>
                </c:pt>
                <c:pt idx="165">
                  <c:v>2.9729756432168088E-4</c:v>
                </c:pt>
                <c:pt idx="166">
                  <c:v>2.9032897667042034E-4</c:v>
                </c:pt>
                <c:pt idx="167">
                  <c:v>2.8464281659950502E-4</c:v>
                </c:pt>
                <c:pt idx="168">
                  <c:v>2.8026050033947781E-4</c:v>
                </c:pt>
                <c:pt idx="169">
                  <c:v>2.7771262051628977E-4</c:v>
                </c:pt>
                <c:pt idx="170">
                  <c:v>2.7615389268629176E-4</c:v>
                </c:pt>
                <c:pt idx="171">
                  <c:v>2.7560245703444757E-4</c:v>
                </c:pt>
                <c:pt idx="172">
                  <c:v>2.7607658598466584E-4</c:v>
                </c:pt>
                <c:pt idx="173">
                  <c:v>2.7759179082639828E-4</c:v>
                </c:pt>
                <c:pt idx="174">
                  <c:v>2.8016335002641849E-4</c:v>
                </c:pt>
                <c:pt idx="175">
                  <c:v>2.838091167034145E-4</c:v>
                </c:pt>
                <c:pt idx="176">
                  <c:v>2.8854705042519034E-4</c:v>
                </c:pt>
                <c:pt idx="177">
                  <c:v>2.9530594655115662E-4</c:v>
                </c:pt>
                <c:pt idx="178">
                  <c:v>3.0358125327054444E-4</c:v>
                </c:pt>
                <c:pt idx="179">
                  <c:v>3.133963712744139E-4</c:v>
                </c:pt>
                <c:pt idx="180">
                  <c:v>3.2477461549850969E-4</c:v>
                </c:pt>
                <c:pt idx="181">
                  <c:v>3.3773926336252351E-4</c:v>
                </c:pt>
                <c:pt idx="182">
                  <c:v>3.5231360927232859E-4</c:v>
                </c:pt>
                <c:pt idx="183">
                  <c:v>3.702792950028687E-4</c:v>
                </c:pt>
                <c:pt idx="184">
                  <c:v>3.9111279730863805E-4</c:v>
                </c:pt>
                <c:pt idx="185">
                  <c:v>4.1483829046682496E-4</c:v>
                </c:pt>
                <c:pt idx="186">
                  <c:v>4.4148089133938165E-4</c:v>
                </c:pt>
                <c:pt idx="187">
                  <c:v>4.7106680326886881E-4</c:v>
                </c:pt>
                <c:pt idx="188">
                  <c:v>5.0362346684786736E-4</c:v>
                </c:pt>
                <c:pt idx="189">
                  <c:v>5.3917971771231166E-4</c:v>
                </c:pt>
                <c:pt idx="190">
                  <c:v>5.7776526245151662E-4</c:v>
                </c:pt>
                <c:pt idx="191">
                  <c:v>6.2026986701422507E-4</c:v>
                </c:pt>
                <c:pt idx="192">
                  <c:v>6.6574249105759398E-4</c:v>
                </c:pt>
                <c:pt idx="193">
                  <c:v>7.1419729977717234E-4</c:v>
                </c:pt>
                <c:pt idx="194">
                  <c:v>7.656494827721175E-4</c:v>
                </c:pt>
                <c:pt idx="195">
                  <c:v>8.2011519533236048E-4</c:v>
                </c:pt>
                <c:pt idx="196">
                  <c:v>8.7761149709932864E-4</c:v>
                </c:pt>
                <c:pt idx="197">
                  <c:v>9.4225707792245175E-4</c:v>
                </c:pt>
                <c:pt idx="198">
                  <c:v>1.0123232152062121E-3</c:v>
                </c:pt>
                <c:pt idx="199">
                  <c:v>1.0878827241986833E-3</c:v>
                </c:pt>
                <c:pt idx="200">
                  <c:v>1.1690080866632792E-3</c:v>
                </c:pt>
                <c:pt idx="201">
                  <c:v>1.2557713603530726E-3</c:v>
                </c:pt>
                <c:pt idx="202">
                  <c:v>1.3482440859531547E-3</c:v>
                </c:pt>
                <c:pt idx="203">
                  <c:v>1.4464971904536172E-3</c:v>
                </c:pt>
                <c:pt idx="204">
                  <c:v>1.5506002900935326E-3</c:v>
                </c:pt>
                <c:pt idx="205">
                  <c:v>1.6683446942259168E-3</c:v>
                </c:pt>
                <c:pt idx="206">
                  <c:v>1.7990430252099662E-3</c:v>
                </c:pt>
                <c:pt idx="207">
                  <c:v>1.9428729015309927E-3</c:v>
                </c:pt>
                <c:pt idx="208">
                  <c:v>2.1000154310622824E-3</c:v>
                </c:pt>
                <c:pt idx="209">
                  <c:v>2.2706559471749941E-3</c:v>
                </c:pt>
                <c:pt idx="210">
                  <c:v>2.4549847750091123E-3</c:v>
                </c:pt>
                <c:pt idx="211">
                  <c:v>2.6563685136249222E-3</c:v>
                </c:pt>
                <c:pt idx="212">
                  <c:v>2.8705847776769773E-3</c:v>
                </c:pt>
                <c:pt idx="213">
                  <c:v>3.0977883428949227E-3</c:v>
                </c:pt>
                <c:pt idx="214">
                  <c:v>3.338144141475759E-3</c:v>
                </c:pt>
                <c:pt idx="215">
                  <c:v>3.5918280217159516E-3</c:v>
                </c:pt>
                <c:pt idx="216">
                  <c:v>3.8590275412806337E-3</c:v>
                </c:pt>
                <c:pt idx="217">
                  <c:v>4.1399428001268508E-3</c:v>
                </c:pt>
                <c:pt idx="218">
                  <c:v>4.4346708786612028E-3</c:v>
                </c:pt>
                <c:pt idx="219">
                  <c:v>4.7427819033607956E-3</c:v>
                </c:pt>
                <c:pt idx="220">
                  <c:v>5.0562409207466344E-3</c:v>
                </c:pt>
                <c:pt idx="221">
                  <c:v>5.3751442084787639E-3</c:v>
                </c:pt>
                <c:pt idx="222">
                  <c:v>5.6996034141366964E-3</c:v>
                </c:pt>
                <c:pt idx="223">
                  <c:v>6.0297462012821549E-3</c:v>
                </c:pt>
                <c:pt idx="224">
                  <c:v>6.3657169432425852E-3</c:v>
                </c:pt>
                <c:pt idx="225">
                  <c:v>6.7028127567617139E-3</c:v>
                </c:pt>
                <c:pt idx="226">
                  <c:v>7.0378869604137495E-3</c:v>
                </c:pt>
                <c:pt idx="227">
                  <c:v>7.3710401581337731E-3</c:v>
                </c:pt>
                <c:pt idx="228">
                  <c:v>7.7023854240451505E-3</c:v>
                </c:pt>
                <c:pt idx="229">
                  <c:v>8.0320484526474074E-3</c:v>
                </c:pt>
                <c:pt idx="230">
                  <c:v>8.3601677528186737E-3</c:v>
                </c:pt>
                <c:pt idx="231">
                  <c:v>8.6868948954650013E-3</c:v>
                </c:pt>
                <c:pt idx="232">
                  <c:v>9.0121325233727765E-3</c:v>
                </c:pt>
                <c:pt idx="233">
                  <c:v>9.3298911822352181E-3</c:v>
                </c:pt>
                <c:pt idx="234">
                  <c:v>9.6407692025788413E-3</c:v>
                </c:pt>
                <c:pt idx="235">
                  <c:v>9.944782625259321E-3</c:v>
                </c:pt>
                <c:pt idx="236">
                  <c:v>1.0241953593630101E-2</c:v>
                </c:pt>
                <c:pt idx="237">
                  <c:v>1.0532300292028734E-2</c:v>
                </c:pt>
                <c:pt idx="238">
                  <c:v>1.0815842657149861E-2</c:v>
                </c:pt>
                <c:pt idx="239">
                  <c:v>1.1088759701483042E-2</c:v>
                </c:pt>
                <c:pt idx="240">
                  <c:v>1.1356274888089221E-2</c:v>
                </c:pt>
                <c:pt idx="241">
                  <c:v>1.1618438430631015E-2</c:v>
                </c:pt>
                <c:pt idx="242">
                  <c:v>1.1875302521242267E-2</c:v>
                </c:pt>
                <c:pt idx="243">
                  <c:v>1.2126921168369963E-2</c:v>
                </c:pt>
                <c:pt idx="244">
                  <c:v>1.237335003875527E-2</c:v>
                </c:pt>
                <c:pt idx="245">
                  <c:v>1.2614646302684605E-2</c:v>
                </c:pt>
                <c:pt idx="246">
                  <c:v>1.285103353487645E-2</c:v>
                </c:pt>
                <c:pt idx="247">
                  <c:v>1.3079049129442088E-2</c:v>
                </c:pt>
                <c:pt idx="248">
                  <c:v>1.3304915520377705E-2</c:v>
                </c:pt>
                <c:pt idx="249">
                  <c:v>1.3528548432137365E-2</c:v>
                </c:pt>
                <c:pt idx="250">
                  <c:v>1.374984852845661E-2</c:v>
                </c:pt>
                <c:pt idx="251">
                  <c:v>1.3968700920680787E-2</c:v>
                </c:pt>
                <c:pt idx="252">
                  <c:v>1.4184974638513641E-2</c:v>
                </c:pt>
                <c:pt idx="253">
                  <c:v>1.441263182721228E-2</c:v>
                </c:pt>
                <c:pt idx="254">
                  <c:v>1.465621152388152E-2</c:v>
                </c:pt>
                <c:pt idx="255">
                  <c:v>1.491607756964472E-2</c:v>
                </c:pt>
                <c:pt idx="256">
                  <c:v>1.5192601272262329E-2</c:v>
                </c:pt>
                <c:pt idx="257">
                  <c:v>1.5486160284933343E-2</c:v>
                </c:pt>
                <c:pt idx="258">
                  <c:v>1.5797137334814044E-2</c:v>
                </c:pt>
                <c:pt idx="259">
                  <c:v>1.612591878680817E-2</c:v>
                </c:pt>
                <c:pt idx="260">
                  <c:v>1.6474197438428682E-2</c:v>
                </c:pt>
                <c:pt idx="261">
                  <c:v>1.6876280966951335E-2</c:v>
                </c:pt>
                <c:pt idx="262">
                  <c:v>1.7337765711628393E-2</c:v>
                </c:pt>
                <c:pt idx="263">
                  <c:v>1.7860368574177634E-2</c:v>
                </c:pt>
                <c:pt idx="264">
                  <c:v>1.8445880666394514E-2</c:v>
                </c:pt>
                <c:pt idx="265">
                  <c:v>1.9096260787300749E-2</c:v>
                </c:pt>
                <c:pt idx="266">
                  <c:v>1.9813487002045535E-2</c:v>
                </c:pt>
                <c:pt idx="267">
                  <c:v>2.061465822967996E-2</c:v>
                </c:pt>
                <c:pt idx="268">
                  <c:v>2.1485670569414344E-2</c:v>
                </c:pt>
                <c:pt idx="269">
                  <c:v>2.2428439835103182E-2</c:v>
                </c:pt>
                <c:pt idx="270">
                  <c:v>2.3444880226068408E-2</c:v>
                </c:pt>
                <c:pt idx="271">
                  <c:v>2.4536885078873798E-2</c:v>
                </c:pt>
                <c:pt idx="272">
                  <c:v>2.5706305327894315E-2</c:v>
                </c:pt>
                <c:pt idx="273">
                  <c:v>2.6954925531544029E-2</c:v>
                </c:pt>
                <c:pt idx="274">
                  <c:v>2.8288035417467793E-2</c:v>
                </c:pt>
                <c:pt idx="275">
                  <c:v>2.9705530740932989E-2</c:v>
                </c:pt>
                <c:pt idx="276">
                  <c:v>3.1171151243033587E-2</c:v>
                </c:pt>
                <c:pt idx="277">
                  <c:v>3.2685932102988348E-2</c:v>
                </c:pt>
                <c:pt idx="278">
                  <c:v>3.4250789592326525E-2</c:v>
                </c:pt>
                <c:pt idx="279">
                  <c:v>3.5866498279437019E-2</c:v>
                </c:pt>
                <c:pt idx="280">
                  <c:v>3.7533665971317055E-2</c:v>
                </c:pt>
                <c:pt idx="281">
                  <c:v>3.9245175498268732E-2</c:v>
                </c:pt>
                <c:pt idx="282">
                  <c:v>4.0982809593110868E-2</c:v>
                </c:pt>
                <c:pt idx="283">
                  <c:v>4.2745491885168831E-2</c:v>
                </c:pt>
                <c:pt idx="284">
                  <c:v>4.4531833938887849E-2</c:v>
                </c:pt>
                <c:pt idx="285">
                  <c:v>4.6340109366101341E-2</c:v>
                </c:pt>
                <c:pt idx="286">
                  <c:v>4.8168227900038801E-2</c:v>
                </c:pt>
                <c:pt idx="287">
                  <c:v>5.0013710012396344E-2</c:v>
                </c:pt>
                <c:pt idx="288">
                  <c:v>5.1876950965112897E-2</c:v>
                </c:pt>
                <c:pt idx="289">
                  <c:v>5.3764471601285758E-2</c:v>
                </c:pt>
                <c:pt idx="290">
                  <c:v>5.5683919957311034E-2</c:v>
                </c:pt>
                <c:pt idx="291">
                  <c:v>5.7635786487326188E-2</c:v>
                </c:pt>
                <c:pt idx="292">
                  <c:v>5.9620624830726568E-2</c:v>
                </c:pt>
                <c:pt idx="293">
                  <c:v>6.1639058242585532E-2</c:v>
                </c:pt>
                <c:pt idx="294">
                  <c:v>6.3691786447103646E-2</c:v>
                </c:pt>
                <c:pt idx="295">
                  <c:v>6.5771881527335888E-2</c:v>
                </c:pt>
                <c:pt idx="296">
                  <c:v>6.7889852760068758E-2</c:v>
                </c:pt>
                <c:pt idx="297">
                  <c:v>7.0047381356350955E-2</c:v>
                </c:pt>
                <c:pt idx="298">
                  <c:v>7.2245737306213642E-2</c:v>
                </c:pt>
                <c:pt idx="299">
                  <c:v>7.4486316453558729E-2</c:v>
                </c:pt>
                <c:pt idx="300">
                  <c:v>7.6770651270837653E-2</c:v>
                </c:pt>
                <c:pt idx="301">
                  <c:v>7.9100422564453571E-2</c:v>
                </c:pt>
                <c:pt idx="302">
                  <c:v>8.147785744927051E-2</c:v>
                </c:pt>
                <c:pt idx="303">
                  <c:v>8.3880371483674276E-2</c:v>
                </c:pt>
                <c:pt idx="304">
                  <c:v>8.6301504184491354E-2</c:v>
                </c:pt>
                <c:pt idx="305">
                  <c:v>8.8739523058596601E-2</c:v>
                </c:pt>
                <c:pt idx="306">
                  <c:v>9.1192425098099786E-2</c:v>
                </c:pt>
                <c:pt idx="307">
                  <c:v>9.3657920236667136E-2</c:v>
                </c:pt>
                <c:pt idx="308">
                  <c:v>9.6133414941763182E-2</c:v>
                </c:pt>
                <c:pt idx="309">
                  <c:v>9.8605117855000479E-2</c:v>
                </c:pt>
                <c:pt idx="310">
                  <c:v>0.10107871417098681</c:v>
                </c:pt>
                <c:pt idx="311">
                  <c:v>0.10355055361803091</c:v>
                </c:pt>
                <c:pt idx="312">
                  <c:v>0.10601662469466797</c:v>
                </c:pt>
                <c:pt idx="313">
                  <c:v>0.10847254421324579</c:v>
                </c:pt>
                <c:pt idx="314">
                  <c:v>0.1109135491689266</c:v>
                </c:pt>
                <c:pt idx="315">
                  <c:v>0.11333449147615383</c:v>
                </c:pt>
                <c:pt idx="316">
                  <c:v>0.11573177434931683</c:v>
                </c:pt>
                <c:pt idx="317">
                  <c:v>0.11810318529236111</c:v>
                </c:pt>
                <c:pt idx="318">
                  <c:v>0.12047519886639657</c:v>
                </c:pt>
                <c:pt idx="319">
                  <c:v>0.12284723633706844</c:v>
                </c:pt>
                <c:pt idx="320">
                  <c:v>0.1252188333056084</c:v>
                </c:pt>
                <c:pt idx="321">
                  <c:v>0.12758964729561889</c:v>
                </c:pt>
                <c:pt idx="322">
                  <c:v>0.1299594652381228</c:v>
                </c:pt>
                <c:pt idx="323">
                  <c:v>0.1323430007349613</c:v>
                </c:pt>
                <c:pt idx="324">
                  <c:v>0.13475359726994124</c:v>
                </c:pt>
                <c:pt idx="325">
                  <c:v>0.13719227102039808</c:v>
                </c:pt>
                <c:pt idx="326">
                  <c:v>0.13965931977450208</c:v>
                </c:pt>
                <c:pt idx="327">
                  <c:v>0.14215572834653484</c:v>
                </c:pt>
                <c:pt idx="328">
                  <c:v>0.14468337016099672</c:v>
                </c:pt>
                <c:pt idx="329">
                  <c:v>0.14724432675783994</c:v>
                </c:pt>
                <c:pt idx="330">
                  <c:v>0.14985076919503651</c:v>
                </c:pt>
                <c:pt idx="331">
                  <c:v>0.15247709821573344</c:v>
                </c:pt>
                <c:pt idx="332">
                  <c:v>0.15511724533162907</c:v>
                </c:pt>
                <c:pt idx="333">
                  <c:v>0.15776303090732582</c:v>
                </c:pt>
                <c:pt idx="334">
                  <c:v>0.16040543932259016</c:v>
                </c:pt>
                <c:pt idx="335">
                  <c:v>0.16303459583215002</c:v>
                </c:pt>
                <c:pt idx="336">
                  <c:v>0.16563975484839602</c:v>
                </c:pt>
                <c:pt idx="337">
                  <c:v>0.1681559900594814</c:v>
                </c:pt>
                <c:pt idx="338">
                  <c:v>0.17055263656590647</c:v>
                </c:pt>
                <c:pt idx="339">
                  <c:v>0.17281488796936306</c:v>
                </c:pt>
                <c:pt idx="340">
                  <c:v>0.17492737986608348</c:v>
                </c:pt>
                <c:pt idx="341">
                  <c:v>0.17687432278274065</c:v>
                </c:pt>
                <c:pt idx="342">
                  <c:v>0.17863966125216754</c:v>
                </c:pt>
                <c:pt idx="343">
                  <c:v>0.18020725925339176</c:v>
                </c:pt>
                <c:pt idx="344">
                  <c:v>0.18158871753527644</c:v>
                </c:pt>
                <c:pt idx="345">
                  <c:v>0.18280301850106093</c:v>
                </c:pt>
                <c:pt idx="346">
                  <c:v>0.18387259601223327</c:v>
                </c:pt>
                <c:pt idx="347">
                  <c:v>0.18479339962219604</c:v>
                </c:pt>
                <c:pt idx="348">
                  <c:v>0.18556174855585209</c:v>
                </c:pt>
                <c:pt idx="349">
                  <c:v>0.18617436533065237</c:v>
                </c:pt>
                <c:pt idx="350">
                  <c:v>0.18662840737998268</c:v>
                </c:pt>
                <c:pt idx="351">
                  <c:v>0.18691266882093979</c:v>
                </c:pt>
                <c:pt idx="352">
                  <c:v>0.18708204573529374</c:v>
                </c:pt>
                <c:pt idx="353">
                  <c:v>0.18713518909008325</c:v>
                </c:pt>
                <c:pt idx="354">
                  <c:v>0.18707112813551402</c:v>
                </c:pt>
                <c:pt idx="355">
                  <c:v>0.18688928353354489</c:v>
                </c:pt>
                <c:pt idx="356">
                  <c:v>0.18658906364220332</c:v>
                </c:pt>
                <c:pt idx="357">
                  <c:v>0.1861708472263604</c:v>
                </c:pt>
                <c:pt idx="358">
                  <c:v>0.18563135809217976</c:v>
                </c:pt>
                <c:pt idx="359">
                  <c:v>0.18497044863767229</c:v>
                </c:pt>
                <c:pt idx="360">
                  <c:v>0.18413675397951376</c:v>
                </c:pt>
                <c:pt idx="361">
                  <c:v>0.18314457777020665</c:v>
                </c:pt>
                <c:pt idx="362">
                  <c:v>0.18199984302539371</c:v>
                </c:pt>
                <c:pt idx="363">
                  <c:v>0.18070879625192324</c:v>
                </c:pt>
                <c:pt idx="364">
                  <c:v>0.17927794609748246</c:v>
                </c:pt>
                <c:pt idx="365">
                  <c:v>0.17771400359674225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911264"/>
        <c:axId val="443911656"/>
      </c:lineChart>
      <c:dateAx>
        <c:axId val="44391126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11656"/>
        <c:crosses val="autoZero"/>
        <c:auto val="1"/>
        <c:lblOffset val="100"/>
        <c:baseTimeUnit val="days"/>
        <c:majorUnit val="1"/>
        <c:majorTimeUnit val="months"/>
      </c:dateAx>
      <c:valAx>
        <c:axId val="44391165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112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13.664850013344589</c:v>
                </c:pt>
                <c:pt idx="1">
                  <c:v>13.788354288005568</c:v>
                </c:pt>
                <c:pt idx="2">
                  <c:v>13.921161827218834</c:v>
                </c:pt>
                <c:pt idx="3">
                  <c:v>14.06304593114014</c:v>
                </c:pt>
                <c:pt idx="4">
                  <c:v>14.213779964926957</c:v>
                </c:pt>
                <c:pt idx="5">
                  <c:v>14.373137318257648</c:v>
                </c:pt>
                <c:pt idx="6">
                  <c:v>14.540891352384611</c:v>
                </c:pt>
                <c:pt idx="7">
                  <c:v>14.716815381939622</c:v>
                </c:pt>
                <c:pt idx="8">
                  <c:v>14.902709179609413</c:v>
                </c:pt>
                <c:pt idx="9">
                  <c:v>15.099805072242349</c:v>
                </c:pt>
                <c:pt idx="10">
                  <c:v>15.306545076072569</c:v>
                </c:pt>
                <c:pt idx="11">
                  <c:v>15.522279415983926</c:v>
                </c:pt>
                <c:pt idx="12">
                  <c:v>15.746358561755631</c:v>
                </c:pt>
                <c:pt idx="13">
                  <c:v>15.9781332393528</c:v>
                </c:pt>
                <c:pt idx="14">
                  <c:v>16.216954410685034</c:v>
                </c:pt>
                <c:pt idx="15">
                  <c:v>16.462198315580277</c:v>
                </c:pt>
                <c:pt idx="16">
                  <c:v>16.712635348355107</c:v>
                </c:pt>
                <c:pt idx="17">
                  <c:v>16.967617267147528</c:v>
                </c:pt>
                <c:pt idx="18">
                  <c:v>17.226496185571062</c:v>
                </c:pt>
                <c:pt idx="19">
                  <c:v>17.488610010785603</c:v>
                </c:pt>
                <c:pt idx="20">
                  <c:v>17.753290975374213</c:v>
                </c:pt>
                <c:pt idx="21">
                  <c:v>18.019883479624401</c:v>
                </c:pt>
                <c:pt idx="22">
                  <c:v>18.289994818774858</c:v>
                </c:pt>
                <c:pt idx="23">
                  <c:v>18.565712164776556</c:v>
                </c:pt>
                <c:pt idx="24">
                  <c:v>18.847017874046649</c:v>
                </c:pt>
                <c:pt idx="25">
                  <c:v>19.133609550008256</c:v>
                </c:pt>
                <c:pt idx="26">
                  <c:v>19.425185125607332</c:v>
                </c:pt>
                <c:pt idx="27">
                  <c:v>19.721442864074501</c:v>
                </c:pt>
                <c:pt idx="28">
                  <c:v>20.022081368679544</c:v>
                </c:pt>
                <c:pt idx="29">
                  <c:v>20.327370308716475</c:v>
                </c:pt>
                <c:pt idx="30">
                  <c:v>20.636981929662419</c:v>
                </c:pt>
                <c:pt idx="31">
                  <c:v>20.950614726618401</c:v>
                </c:pt>
                <c:pt idx="32">
                  <c:v>21.267967461190825</c:v>
                </c:pt>
                <c:pt idx="33">
                  <c:v>21.588739174022152</c:v>
                </c:pt>
                <c:pt idx="34">
                  <c:v>21.912629186496996</c:v>
                </c:pt>
                <c:pt idx="35">
                  <c:v>22.239337108878097</c:v>
                </c:pt>
                <c:pt idx="36">
                  <c:v>22.569085585070106</c:v>
                </c:pt>
                <c:pt idx="37">
                  <c:v>22.902569241985628</c:v>
                </c:pt>
                <c:pt idx="38">
                  <c:v>23.239637907748211</c:v>
                </c:pt>
                <c:pt idx="39">
                  <c:v>23.580384023969255</c:v>
                </c:pt>
                <c:pt idx="40">
                  <c:v>23.924900096020007</c:v>
                </c:pt>
                <c:pt idx="41">
                  <c:v>24.273278705671462</c:v>
                </c:pt>
                <c:pt idx="42">
                  <c:v>24.625612506747771</c:v>
                </c:pt>
                <c:pt idx="43">
                  <c:v>24.981871496870095</c:v>
                </c:pt>
                <c:pt idx="44">
                  <c:v>25.341582915402768</c:v>
                </c:pt>
                <c:pt idx="45">
                  <c:v>25.704841151008377</c:v>
                </c:pt>
                <c:pt idx="46">
                  <c:v>26.071740724857715</c:v>
                </c:pt>
                <c:pt idx="47">
                  <c:v>26.442376295333936</c:v>
                </c:pt>
                <c:pt idx="48">
                  <c:v>26.81684264776381</c:v>
                </c:pt>
                <c:pt idx="49">
                  <c:v>27.195234701403528</c:v>
                </c:pt>
                <c:pt idx="50">
                  <c:v>27.578250250295312</c:v>
                </c:pt>
                <c:pt idx="51">
                  <c:v>27.966501399167512</c:v>
                </c:pt>
                <c:pt idx="52">
                  <c:v>28.359391870541113</c:v>
                </c:pt>
                <c:pt idx="53">
                  <c:v>28.756538016308411</c:v>
                </c:pt>
                <c:pt idx="54">
                  <c:v>29.15754776635567</c:v>
                </c:pt>
                <c:pt idx="55">
                  <c:v>29.562029264546791</c:v>
                </c:pt>
                <c:pt idx="56">
                  <c:v>29.969590851669793</c:v>
                </c:pt>
                <c:pt idx="57">
                  <c:v>30.380066843411072</c:v>
                </c:pt>
                <c:pt idx="58">
                  <c:v>30.793187865365859</c:v>
                </c:pt>
                <c:pt idx="59">
                  <c:v>31.208563446405755</c:v>
                </c:pt>
                <c:pt idx="60">
                  <c:v>31.625803355820391</c:v>
                </c:pt>
                <c:pt idx="61">
                  <c:v>32.044517592610028</c:v>
                </c:pt>
                <c:pt idx="62">
                  <c:v>32.46431638607573</c:v>
                </c:pt>
                <c:pt idx="63">
                  <c:v>32.884810193177273</c:v>
                </c:pt>
                <c:pt idx="64">
                  <c:v>33.307851717525921</c:v>
                </c:pt>
                <c:pt idx="65">
                  <c:v>33.734604966658566</c:v>
                </c:pt>
                <c:pt idx="66">
                  <c:v>34.164247048950109</c:v>
                </c:pt>
                <c:pt idx="67">
                  <c:v>34.596194603349616</c:v>
                </c:pt>
                <c:pt idx="68">
                  <c:v>35.029864823510067</c:v>
                </c:pt>
                <c:pt idx="69">
                  <c:v>35.46467547053247</c:v>
                </c:pt>
                <c:pt idx="70">
                  <c:v>35.900044893966488</c:v>
                </c:pt>
                <c:pt idx="71">
                  <c:v>36.334040513353031</c:v>
                </c:pt>
                <c:pt idx="72">
                  <c:v>36.765847856565486</c:v>
                </c:pt>
                <c:pt idx="73">
                  <c:v>37.194883700783848</c:v>
                </c:pt>
                <c:pt idx="74">
                  <c:v>37.620565197660461</c:v>
                </c:pt>
                <c:pt idx="75">
                  <c:v>38.042309886768123</c:v>
                </c:pt>
                <c:pt idx="76">
                  <c:v>38.459535710164275</c:v>
                </c:pt>
                <c:pt idx="77">
                  <c:v>38.871661026676776</c:v>
                </c:pt>
                <c:pt idx="78">
                  <c:v>39.281247907532304</c:v>
                </c:pt>
                <c:pt idx="79">
                  <c:v>39.690069496238763</c:v>
                </c:pt>
                <c:pt idx="80">
                  <c:v>40.097887883648099</c:v>
                </c:pt>
                <c:pt idx="81">
                  <c:v>40.503919696165831</c:v>
                </c:pt>
                <c:pt idx="82">
                  <c:v>40.907381666559758</c:v>
                </c:pt>
                <c:pt idx="83">
                  <c:v>41.307490624094051</c:v>
                </c:pt>
                <c:pt idx="84">
                  <c:v>41.703463491590284</c:v>
                </c:pt>
                <c:pt idx="85">
                  <c:v>42.094681939123028</c:v>
                </c:pt>
                <c:pt idx="86">
                  <c:v>42.481724878897481</c:v>
                </c:pt>
                <c:pt idx="87">
                  <c:v>42.86381241761611</c:v>
                </c:pt>
                <c:pt idx="88">
                  <c:v>43.240165002288826</c:v>
                </c:pt>
                <c:pt idx="89">
                  <c:v>44.258610596740589</c:v>
                </c:pt>
                <c:pt idx="90">
                  <c:v>44.615589188270064</c:v>
                </c:pt>
                <c:pt idx="91">
                  <c:v>44.964999355625174</c:v>
                </c:pt>
                <c:pt idx="92">
                  <c:v>45.308636014833937</c:v>
                </c:pt>
                <c:pt idx="93">
                  <c:v>45.648615860238223</c:v>
                </c:pt>
                <c:pt idx="94">
                  <c:v>45.984647088740033</c:v>
                </c:pt>
                <c:pt idx="95">
                  <c:v>46.316438298610869</c:v>
                </c:pt>
                <c:pt idx="96">
                  <c:v>46.643698378981391</c:v>
                </c:pt>
                <c:pt idx="97">
                  <c:v>46.966136514521203</c:v>
                </c:pt>
                <c:pt idx="98">
                  <c:v>47.283462210961154</c:v>
                </c:pt>
                <c:pt idx="99">
                  <c:v>47.595385280472804</c:v>
                </c:pt>
                <c:pt idx="100">
                  <c:v>47.90161532128274</c:v>
                </c:pt>
                <c:pt idx="101">
                  <c:v>48.201862671668678</c:v>
                </c:pt>
                <c:pt idx="102">
                  <c:v>48.49583802874438</c:v>
                </c:pt>
                <c:pt idx="103">
                  <c:v>48.783252465613373</c:v>
                </c:pt>
                <c:pt idx="104">
                  <c:v>49.063817448051822</c:v>
                </c:pt>
                <c:pt idx="105">
                  <c:v>49.337244842996483</c:v>
                </c:pt>
                <c:pt idx="106">
                  <c:v>49.604600016575958</c:v>
                </c:pt>
                <c:pt idx="107">
                  <c:v>49.866947923277166</c:v>
                </c:pt>
                <c:pt idx="108">
                  <c:v>50.123999005562823</c:v>
                </c:pt>
                <c:pt idx="109">
                  <c:v>50.37546489392772</c:v>
                </c:pt>
                <c:pt idx="110">
                  <c:v>50.621057669877679</c:v>
                </c:pt>
                <c:pt idx="111">
                  <c:v>50.860489875248895</c:v>
                </c:pt>
                <c:pt idx="112">
                  <c:v>51.093474549677133</c:v>
                </c:pt>
                <c:pt idx="113">
                  <c:v>51.319723875282818</c:v>
                </c:pt>
                <c:pt idx="114">
                  <c:v>51.538951734981559</c:v>
                </c:pt>
                <c:pt idx="115">
                  <c:v>51.750872473548753</c:v>
                </c:pt>
                <c:pt idx="116">
                  <c:v>51.9552009825168</c:v>
                </c:pt>
                <c:pt idx="117">
                  <c:v>52.151652708895938</c:v>
                </c:pt>
                <c:pt idx="118">
                  <c:v>52.339943667539231</c:v>
                </c:pt>
                <c:pt idx="119">
                  <c:v>52.51979046759989</c:v>
                </c:pt>
                <c:pt idx="120">
                  <c:v>52.690797951956206</c:v>
                </c:pt>
                <c:pt idx="121">
                  <c:v>52.85301608242186</c:v>
                </c:pt>
                <c:pt idx="122">
                  <c:v>53.006835351239893</c:v>
                </c:pt>
                <c:pt idx="123">
                  <c:v>53.152646976882032</c:v>
                </c:pt>
                <c:pt idx="124">
                  <c:v>53.290842061788538</c:v>
                </c:pt>
                <c:pt idx="125">
                  <c:v>53.421811610222413</c:v>
                </c:pt>
                <c:pt idx="126">
                  <c:v>53.545946515577072</c:v>
                </c:pt>
                <c:pt idx="127">
                  <c:v>53.663635216573333</c:v>
                </c:pt>
                <c:pt idx="128">
                  <c:v>53.775270948903348</c:v>
                </c:pt>
                <c:pt idx="129">
                  <c:v>53.881244312090558</c:v>
                </c:pt>
                <c:pt idx="130">
                  <c:v>53.981945783489145</c:v>
                </c:pt>
                <c:pt idx="131">
                  <c:v>54.077765713055278</c:v>
                </c:pt>
                <c:pt idx="132">
                  <c:v>54.169094319190599</c:v>
                </c:pt>
                <c:pt idx="133">
                  <c:v>54.256321675108339</c:v>
                </c:pt>
                <c:pt idx="134">
                  <c:v>54.338254382859056</c:v>
                </c:pt>
                <c:pt idx="135">
                  <c:v>54.413635511545927</c:v>
                </c:pt>
                <c:pt idx="136">
                  <c:v>54.482770713430412</c:v>
                </c:pt>
                <c:pt idx="137">
                  <c:v>54.545957241131447</c:v>
                </c:pt>
                <c:pt idx="138">
                  <c:v>54.603492307609798</c:v>
                </c:pt>
                <c:pt idx="139">
                  <c:v>54.655673070910751</c:v>
                </c:pt>
                <c:pt idx="140">
                  <c:v>54.70279661196291</c:v>
                </c:pt>
                <c:pt idx="141">
                  <c:v>54.745157705008168</c:v>
                </c:pt>
                <c:pt idx="142">
                  <c:v>54.78305711826534</c:v>
                </c:pt>
                <c:pt idx="143">
                  <c:v>54.816791769082364</c:v>
                </c:pt>
                <c:pt idx="144">
                  <c:v>54.846658416586472</c:v>
                </c:pt>
                <c:pt idx="145">
                  <c:v>54.872953642728064</c:v>
                </c:pt>
                <c:pt idx="146">
                  <c:v>54.895973829494217</c:v>
                </c:pt>
                <c:pt idx="147">
                  <c:v>54.916015129598108</c:v>
                </c:pt>
                <c:pt idx="148">
                  <c:v>54.932242440309167</c:v>
                </c:pt>
                <c:pt idx="149">
                  <c:v>54.943756637815639</c:v>
                </c:pt>
                <c:pt idx="150">
                  <c:v>54.95076130787146</c:v>
                </c:pt>
                <c:pt idx="151">
                  <c:v>54.953458049742466</c:v>
                </c:pt>
                <c:pt idx="152">
                  <c:v>54.952048202353453</c:v>
                </c:pt>
                <c:pt idx="153">
                  <c:v>54.94673281255745</c:v>
                </c:pt>
                <c:pt idx="154">
                  <c:v>54.937712611667536</c:v>
                </c:pt>
                <c:pt idx="155">
                  <c:v>54.925187425864287</c:v>
                </c:pt>
                <c:pt idx="156">
                  <c:v>54.90936061423956</c:v>
                </c:pt>
                <c:pt idx="157">
                  <c:v>54.890431985634535</c:v>
                </c:pt>
                <c:pt idx="158">
                  <c:v>54.868600920122226</c:v>
                </c:pt>
                <c:pt idx="159">
                  <c:v>54.844066344179431</c:v>
                </c:pt>
                <c:pt idx="160">
                  <c:v>54.817026707580197</c:v>
                </c:pt>
                <c:pt idx="161">
                  <c:v>54.787679960910985</c:v>
                </c:pt>
                <c:pt idx="162">
                  <c:v>54.755334956106935</c:v>
                </c:pt>
                <c:pt idx="163">
                  <c:v>54.719301599368045</c:v>
                </c:pt>
                <c:pt idx="164">
                  <c:v>54.679779592340573</c:v>
                </c:pt>
                <c:pt idx="165">
                  <c:v>54.636966243620023</c:v>
                </c:pt>
                <c:pt idx="166">
                  <c:v>54.591058254339409</c:v>
                </c:pt>
                <c:pt idx="167">
                  <c:v>54.542251706640265</c:v>
                </c:pt>
                <c:pt idx="168">
                  <c:v>54.490742054597931</c:v>
                </c:pt>
                <c:pt idx="169">
                  <c:v>54.436724828986463</c:v>
                </c:pt>
                <c:pt idx="170">
                  <c:v>54.380395009867655</c:v>
                </c:pt>
                <c:pt idx="171">
                  <c:v>54.321946219571259</c:v>
                </c:pt>
                <c:pt idx="172">
                  <c:v>54.261571442112533</c:v>
                </c:pt>
                <c:pt idx="173">
                  <c:v>54.199463041075099</c:v>
                </c:pt>
                <c:pt idx="174">
                  <c:v>54.135812753798568</c:v>
                </c:pt>
                <c:pt idx="175">
                  <c:v>54.07081169511104</c:v>
                </c:pt>
                <c:pt idx="176">
                  <c:v>54.004587134441969</c:v>
                </c:pt>
                <c:pt idx="177">
                  <c:v>53.937012044015312</c:v>
                </c:pt>
                <c:pt idx="178">
                  <c:v>53.86789590049208</c:v>
                </c:pt>
                <c:pt idx="179">
                  <c:v>53.797048753747497</c:v>
                </c:pt>
                <c:pt idx="180">
                  <c:v>53.724280459374341</c:v>
                </c:pt>
                <c:pt idx="181">
                  <c:v>53.649400691626262</c:v>
                </c:pt>
                <c:pt idx="182">
                  <c:v>53.572218956502311</c:v>
                </c:pt>
                <c:pt idx="183">
                  <c:v>53.492542039092626</c:v>
                </c:pt>
                <c:pt idx="184">
                  <c:v>53.410178196402676</c:v>
                </c:pt>
                <c:pt idx="185">
                  <c:v>53.324936428676175</c:v>
                </c:pt>
                <c:pt idx="186">
                  <c:v>53.23662565348598</c:v>
                </c:pt>
                <c:pt idx="187">
                  <c:v>53.145054727439771</c:v>
                </c:pt>
                <c:pt idx="188">
                  <c:v>53.050032467750775</c:v>
                </c:pt>
                <c:pt idx="189">
                  <c:v>52.951367679456069</c:v>
                </c:pt>
                <c:pt idx="190">
                  <c:v>52.848932229255858</c:v>
                </c:pt>
                <c:pt idx="191">
                  <c:v>52.742844206825296</c:v>
                </c:pt>
                <c:pt idx="192">
                  <c:v>52.633291294111089</c:v>
                </c:pt>
                <c:pt idx="193">
                  <c:v>52.52045999148114</c:v>
                </c:pt>
                <c:pt idx="194">
                  <c:v>52.404536629417152</c:v>
                </c:pt>
                <c:pt idx="195">
                  <c:v>52.285707390158684</c:v>
                </c:pt>
                <c:pt idx="196">
                  <c:v>52.164158341336581</c:v>
                </c:pt>
                <c:pt idx="197">
                  <c:v>52.040071373847802</c:v>
                </c:pt>
                <c:pt idx="198">
                  <c:v>51.913635268644136</c:v>
                </c:pt>
                <c:pt idx="199">
                  <c:v>51.785035876945578</c:v>
                </c:pt>
                <c:pt idx="200">
                  <c:v>51.65445903018918</c:v>
                </c:pt>
                <c:pt idx="201">
                  <c:v>51.522090562519764</c:v>
                </c:pt>
                <c:pt idx="202">
                  <c:v>51.388116324166212</c:v>
                </c:pt>
                <c:pt idx="203">
                  <c:v>51.252722202150515</c:v>
                </c:pt>
                <c:pt idx="204">
                  <c:v>51.116031252766355</c:v>
                </c:pt>
                <c:pt idx="205">
                  <c:v>50.977903432603256</c:v>
                </c:pt>
                <c:pt idx="206">
                  <c:v>50.838154248047587</c:v>
                </c:pt>
                <c:pt idx="207">
                  <c:v>50.696593095104284</c:v>
                </c:pt>
                <c:pt idx="208">
                  <c:v>50.553029726144025</c:v>
                </c:pt>
                <c:pt idx="209">
                  <c:v>50.407274249503615</c:v>
                </c:pt>
                <c:pt idx="210">
                  <c:v>50.259137126495126</c:v>
                </c:pt>
                <c:pt idx="211">
                  <c:v>50.108395326930854</c:v>
                </c:pt>
                <c:pt idx="212">
                  <c:v>49.954864019345329</c:v>
                </c:pt>
                <c:pt idx="213">
                  <c:v>49.798354344726491</c:v>
                </c:pt>
                <c:pt idx="214">
                  <c:v>49.638677807341175</c:v>
                </c:pt>
                <c:pt idx="215">
                  <c:v>49.475646256249618</c:v>
                </c:pt>
                <c:pt idx="216">
                  <c:v>49.309071885025432</c:v>
                </c:pt>
                <c:pt idx="217">
                  <c:v>49.138767210333846</c:v>
                </c:pt>
                <c:pt idx="218">
                  <c:v>48.965830885919019</c:v>
                </c:pt>
                <c:pt idx="219">
                  <c:v>48.791220913348539</c:v>
                </c:pt>
                <c:pt idx="220">
                  <c:v>48.614573705722258</c:v>
                </c:pt>
                <c:pt idx="221">
                  <c:v>48.435513717968007</c:v>
                </c:pt>
                <c:pt idx="222">
                  <c:v>48.253665807893867</c:v>
                </c:pt>
                <c:pt idx="223">
                  <c:v>48.068655223636981</c:v>
                </c:pt>
                <c:pt idx="224">
                  <c:v>47.880107588404087</c:v>
                </c:pt>
                <c:pt idx="225">
                  <c:v>47.68765537268775</c:v>
                </c:pt>
                <c:pt idx="226">
                  <c:v>47.490960578927613</c:v>
                </c:pt>
                <c:pt idx="227">
                  <c:v>47.289650185373318</c:v>
                </c:pt>
                <c:pt idx="228">
                  <c:v>47.083351472097903</c:v>
                </c:pt>
                <c:pt idx="229">
                  <c:v>46.871692003783352</c:v>
                </c:pt>
                <c:pt idx="230">
                  <c:v>46.654299625845688</c:v>
                </c:pt>
                <c:pt idx="231">
                  <c:v>46.430802447062817</c:v>
                </c:pt>
                <c:pt idx="232">
                  <c:v>46.202174145418304</c:v>
                </c:pt>
                <c:pt idx="233">
                  <c:v>45.969512149089937</c:v>
                </c:pt>
                <c:pt idx="234">
                  <c:v>45.732646765059386</c:v>
                </c:pt>
                <c:pt idx="235">
                  <c:v>45.4913932895169</c:v>
                </c:pt>
                <c:pt idx="236">
                  <c:v>45.245567118756128</c:v>
                </c:pt>
                <c:pt idx="237">
                  <c:v>44.994983771037077</c:v>
                </c:pt>
                <c:pt idx="238">
                  <c:v>44.739458865895386</c:v>
                </c:pt>
                <c:pt idx="239">
                  <c:v>44.478822862377001</c:v>
                </c:pt>
                <c:pt idx="240">
                  <c:v>44.21288496590757</c:v>
                </c:pt>
                <c:pt idx="241">
                  <c:v>43.941461125476778</c:v>
                </c:pt>
                <c:pt idx="242">
                  <c:v>43.664367383712992</c:v>
                </c:pt>
                <c:pt idx="243">
                  <c:v>43.38141987470626</c:v>
                </c:pt>
                <c:pt idx="244">
                  <c:v>43.092434822153507</c:v>
                </c:pt>
                <c:pt idx="245">
                  <c:v>42.797228540185948</c:v>
                </c:pt>
                <c:pt idx="246">
                  <c:v>42.495071147822422</c:v>
                </c:pt>
                <c:pt idx="247">
                  <c:v>42.185688196490489</c:v>
                </c:pt>
                <c:pt idx="248">
                  <c:v>41.869552688365964</c:v>
                </c:pt>
                <c:pt idx="249">
                  <c:v>41.547136557006695</c:v>
                </c:pt>
                <c:pt idx="250">
                  <c:v>41.218911416615903</c:v>
                </c:pt>
                <c:pt idx="251">
                  <c:v>40.885348558601194</c:v>
                </c:pt>
                <c:pt idx="252">
                  <c:v>40.546918962528558</c:v>
                </c:pt>
                <c:pt idx="253">
                  <c:v>40.20411884146575</c:v>
                </c:pt>
                <c:pt idx="254">
                  <c:v>39.857403612608209</c:v>
                </c:pt>
                <c:pt idx="255">
                  <c:v>39.507243351931066</c:v>
                </c:pt>
                <c:pt idx="256">
                  <c:v>39.154107822040338</c:v>
                </c:pt>
                <c:pt idx="257">
                  <c:v>38.7984664788735</c:v>
                </c:pt>
                <c:pt idx="258">
                  <c:v>38.440788471050773</c:v>
                </c:pt>
                <c:pt idx="259">
                  <c:v>38.081542634728677</c:v>
                </c:pt>
                <c:pt idx="260">
                  <c:v>37.718206840382969</c:v>
                </c:pt>
                <c:pt idx="261">
                  <c:v>37.348547821513321</c:v>
                </c:pt>
                <c:pt idx="262">
                  <c:v>36.97339122557765</c:v>
                </c:pt>
                <c:pt idx="263">
                  <c:v>36.593580387826414</c:v>
                </c:pt>
                <c:pt idx="264">
                  <c:v>36.209958069830897</c:v>
                </c:pt>
                <c:pt idx="265">
                  <c:v>35.823366184350988</c:v>
                </c:pt>
                <c:pt idx="266">
                  <c:v>35.43464620783665</c:v>
                </c:pt>
                <c:pt idx="267">
                  <c:v>35.044664156989278</c:v>
                </c:pt>
                <c:pt idx="268">
                  <c:v>34.654234780199687</c:v>
                </c:pt>
                <c:pt idx="269">
                  <c:v>34.264198090007426</c:v>
                </c:pt>
                <c:pt idx="270">
                  <c:v>33.875393556691478</c:v>
                </c:pt>
                <c:pt idx="271">
                  <c:v>33.488660116016504</c:v>
                </c:pt>
                <c:pt idx="272">
                  <c:v>33.1048361777382</c:v>
                </c:pt>
                <c:pt idx="273">
                  <c:v>32.724759638203068</c:v>
                </c:pt>
                <c:pt idx="274">
                  <c:v>32.345146996965802</c:v>
                </c:pt>
                <c:pt idx="275">
                  <c:v>31.962786143326905</c:v>
                </c:pt>
                <c:pt idx="276">
                  <c:v>31.578570311931426</c:v>
                </c:pt>
                <c:pt idx="277">
                  <c:v>31.193430875248307</c:v>
                </c:pt>
                <c:pt idx="278">
                  <c:v>30.808298601612538</c:v>
                </c:pt>
                <c:pt idx="279">
                  <c:v>30.424103674080413</c:v>
                </c:pt>
                <c:pt idx="280">
                  <c:v>30.041775716877453</c:v>
                </c:pt>
                <c:pt idx="281">
                  <c:v>29.662238667119549</c:v>
                </c:pt>
                <c:pt idx="282">
                  <c:v>29.28639591364453</c:v>
                </c:pt>
                <c:pt idx="283">
                  <c:v>28.915175494753246</c:v>
                </c:pt>
                <c:pt idx="284">
                  <c:v>28.54950500673376</c:v>
                </c:pt>
                <c:pt idx="285">
                  <c:v>28.19031162656891</c:v>
                </c:pt>
                <c:pt idx="286">
                  <c:v>27.838522155227089</c:v>
                </c:pt>
                <c:pt idx="287">
                  <c:v>27.495063046347497</c:v>
                </c:pt>
                <c:pt idx="288">
                  <c:v>27.15913629106376</c:v>
                </c:pt>
                <c:pt idx="289">
                  <c:v>26.829033090467718</c:v>
                </c:pt>
                <c:pt idx="290">
                  <c:v>26.50446004121234</c:v>
                </c:pt>
                <c:pt idx="291">
                  <c:v>26.185131841665129</c:v>
                </c:pt>
                <c:pt idx="292">
                  <c:v>25.870763194392907</c:v>
                </c:pt>
                <c:pt idx="293">
                  <c:v>25.561068815437096</c:v>
                </c:pt>
                <c:pt idx="294">
                  <c:v>25.25576343821961</c:v>
                </c:pt>
                <c:pt idx="295">
                  <c:v>24.954270007930457</c:v>
                </c:pt>
                <c:pt idx="296">
                  <c:v>24.656307576384357</c:v>
                </c:pt>
                <c:pt idx="297">
                  <c:v>24.361590178081858</c:v>
                </c:pt>
                <c:pt idx="298">
                  <c:v>24.069832208902067</c:v>
                </c:pt>
                <c:pt idx="299">
                  <c:v>23.780748128742076</c:v>
                </c:pt>
                <c:pt idx="300">
                  <c:v>23.494052485119084</c:v>
                </c:pt>
                <c:pt idx="301">
                  <c:v>23.209459924564005</c:v>
                </c:pt>
                <c:pt idx="302">
                  <c:v>22.92657655617899</c:v>
                </c:pt>
                <c:pt idx="303">
                  <c:v>22.645254209240857</c:v>
                </c:pt>
                <c:pt idx="304">
                  <c:v>22.365963710707565</c:v>
                </c:pt>
                <c:pt idx="305">
                  <c:v>22.089071977609464</c:v>
                </c:pt>
                <c:pt idx="306">
                  <c:v>21.814946047399584</c:v>
                </c:pt>
                <c:pt idx="307">
                  <c:v>21.543953102249276</c:v>
                </c:pt>
                <c:pt idx="308">
                  <c:v>21.276460492700661</c:v>
                </c:pt>
                <c:pt idx="309">
                  <c:v>21.013066700805201</c:v>
                </c:pt>
                <c:pt idx="310">
                  <c:v>20.754434071682009</c:v>
                </c:pt>
                <c:pt idx="311">
                  <c:v>20.500931335573966</c:v>
                </c:pt>
                <c:pt idx="312">
                  <c:v>20.252927402277805</c:v>
                </c:pt>
                <c:pt idx="313">
                  <c:v>20.01079136535385</c:v>
                </c:pt>
                <c:pt idx="314">
                  <c:v>19.774892504000324</c:v>
                </c:pt>
                <c:pt idx="315">
                  <c:v>19.545600275204649</c:v>
                </c:pt>
                <c:pt idx="316">
                  <c:v>19.32295849627663</c:v>
                </c:pt>
                <c:pt idx="317">
                  <c:v>19.106924007680178</c:v>
                </c:pt>
                <c:pt idx="318">
                  <c:v>18.897406227233002</c:v>
                </c:pt>
                <c:pt idx="319">
                  <c:v>18.69412455901865</c:v>
                </c:pt>
                <c:pt idx="320">
                  <c:v>18.496798618132036</c:v>
                </c:pt>
                <c:pt idx="321">
                  <c:v>18.305148230568474</c:v>
                </c:pt>
                <c:pt idx="322">
                  <c:v>18.118893421982516</c:v>
                </c:pt>
                <c:pt idx="323">
                  <c:v>17.937851177886678</c:v>
                </c:pt>
                <c:pt idx="324">
                  <c:v>17.761509609955009</c:v>
                </c:pt>
                <c:pt idx="325">
                  <c:v>17.589589220578844</c:v>
                </c:pt>
                <c:pt idx="326">
                  <c:v>17.421811720649874</c:v>
                </c:pt>
                <c:pt idx="327">
                  <c:v>17.25789835003199</c:v>
                </c:pt>
                <c:pt idx="328">
                  <c:v>17.097569688853664</c:v>
                </c:pt>
                <c:pt idx="329">
                  <c:v>16.940546491028599</c:v>
                </c:pt>
                <c:pt idx="330">
                  <c:v>16.785433500223959</c:v>
                </c:pt>
                <c:pt idx="331">
                  <c:v>16.631530707004504</c:v>
                </c:pt>
                <c:pt idx="332">
                  <c:v>16.479327316301738</c:v>
                </c:pt>
                <c:pt idx="333">
                  <c:v>16.329660807451383</c:v>
                </c:pt>
                <c:pt idx="334">
                  <c:v>16.183368520841881</c:v>
                </c:pt>
                <c:pt idx="335">
                  <c:v>16.041287626192858</c:v>
                </c:pt>
                <c:pt idx="336">
                  <c:v>15.904255074572255</c:v>
                </c:pt>
                <c:pt idx="337">
                  <c:v>15.773060518585973</c:v>
                </c:pt>
                <c:pt idx="338">
                  <c:v>15.648443481343406</c:v>
                </c:pt>
                <c:pt idx="339">
                  <c:v>15.531240085865953</c:v>
                </c:pt>
                <c:pt idx="340">
                  <c:v>15.42228610667304</c:v>
                </c:pt>
                <c:pt idx="341">
                  <c:v>15.322416934375052</c:v>
                </c:pt>
                <c:pt idx="342">
                  <c:v>15.232467548096865</c:v>
                </c:pt>
                <c:pt idx="343">
                  <c:v>15.153272478306677</c:v>
                </c:pt>
                <c:pt idx="344">
                  <c:v>15.083350943266019</c:v>
                </c:pt>
                <c:pt idx="345">
                  <c:v>15.020734660867474</c:v>
                </c:pt>
                <c:pt idx="346">
                  <c:v>14.965536060254335</c:v>
                </c:pt>
                <c:pt idx="347">
                  <c:v>14.917857867857935</c:v>
                </c:pt>
                <c:pt idx="348">
                  <c:v>14.877802681435908</c:v>
                </c:pt>
                <c:pt idx="349">
                  <c:v>14.845472965906252</c:v>
                </c:pt>
                <c:pt idx="350">
                  <c:v>14.820971044496153</c:v>
                </c:pt>
                <c:pt idx="351">
                  <c:v>14.804359343201963</c:v>
                </c:pt>
                <c:pt idx="352">
                  <c:v>14.795786910102573</c:v>
                </c:pt>
                <c:pt idx="353">
                  <c:v>14.795355606819729</c:v>
                </c:pt>
                <c:pt idx="354">
                  <c:v>14.803167140313006</c:v>
                </c:pt>
                <c:pt idx="355">
                  <c:v>14.819323042442605</c:v>
                </c:pt>
                <c:pt idx="356">
                  <c:v>14.843926508790535</c:v>
                </c:pt>
                <c:pt idx="357">
                  <c:v>14.877077063735538</c:v>
                </c:pt>
                <c:pt idx="358">
                  <c:v>14.919124300503794</c:v>
                </c:pt>
                <c:pt idx="359">
                  <c:v>14.970203662667847</c:v>
                </c:pt>
                <c:pt idx="360">
                  <c:v>15.030048532876197</c:v>
                </c:pt>
                <c:pt idx="361">
                  <c:v>15.098479185090417</c:v>
                </c:pt>
                <c:pt idx="362">
                  <c:v>15.175276133170067</c:v>
                </c:pt>
                <c:pt idx="363">
                  <c:v>15.260219919355228</c:v>
                </c:pt>
                <c:pt idx="364">
                  <c:v>15.353091118479179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13.845352990735517</c:v>
                </c:pt>
                <c:pt idx="1">
                  <c:v>11.871994470881209</c:v>
                </c:pt>
                <c:pt idx="2">
                  <c:v>11.54511520022433</c:v>
                </c:pt>
                <c:pt idx="3">
                  <c:v>12.140816804618614</c:v>
                </c:pt>
                <c:pt idx="4">
                  <c:v>9.608871493117114</c:v>
                </c:pt>
                <c:pt idx="5">
                  <c:v>14.72286315022512</c:v>
                </c:pt>
                <c:pt idx="6">
                  <c:v>7.3895415516536183</c:v>
                </c:pt>
                <c:pt idx="7">
                  <c:v>6.0085665927211993</c:v>
                </c:pt>
                <c:pt idx="8">
                  <c:v>1.814902206601696</c:v>
                </c:pt>
                <c:pt idx="9">
                  <c:v>1.5390729708885968</c:v>
                </c:pt>
                <c:pt idx="10">
                  <c:v>15.631931395834568</c:v>
                </c:pt>
                <c:pt idx="11">
                  <c:v>14.274703806219854</c:v>
                </c:pt>
                <c:pt idx="12">
                  <c:v>5.2597265859800171</c:v>
                </c:pt>
                <c:pt idx="13">
                  <c:v>16.282147996750567</c:v>
                </c:pt>
                <c:pt idx="14">
                  <c:v>16.452932352274239</c:v>
                </c:pt>
                <c:pt idx="15">
                  <c:v>16.474903774349784</c:v>
                </c:pt>
                <c:pt idx="16">
                  <c:v>13.222560864508461</c:v>
                </c:pt>
                <c:pt idx="17">
                  <c:v>3.6698811788901029</c:v>
                </c:pt>
                <c:pt idx="18">
                  <c:v>9.0080824520378542</c:v>
                </c:pt>
                <c:pt idx="19">
                  <c:v>5.3273946950693185</c:v>
                </c:pt>
                <c:pt idx="20">
                  <c:v>13.068658609818447</c:v>
                </c:pt>
                <c:pt idx="21">
                  <c:v>17.90422673522572</c:v>
                </c:pt>
                <c:pt idx="22">
                  <c:v>17.976264198626666</c:v>
                </c:pt>
                <c:pt idx="23">
                  <c:v>18.402877362486667</c:v>
                </c:pt>
                <c:pt idx="24">
                  <c:v>18.648893716571735</c:v>
                </c:pt>
                <c:pt idx="25">
                  <c:v>18.764989823710309</c:v>
                </c:pt>
                <c:pt idx="26">
                  <c:v>18.338574267680496</c:v>
                </c:pt>
                <c:pt idx="27">
                  <c:v>3.8411568944682801</c:v>
                </c:pt>
                <c:pt idx="28">
                  <c:v>6.0144949557848717</c:v>
                </c:pt>
                <c:pt idx="29">
                  <c:v>4.3830888952056579</c:v>
                </c:pt>
                <c:pt idx="30">
                  <c:v>9.8394830211885793</c:v>
                </c:pt>
                <c:pt idx="31">
                  <c:v>9.6858119415639692</c:v>
                </c:pt>
                <c:pt idx="32">
                  <c:v>5.0662972007432217</c:v>
                </c:pt>
                <c:pt idx="33">
                  <c:v>12.12880565598206</c:v>
                </c:pt>
                <c:pt idx="34">
                  <c:v>10.124048995934391</c:v>
                </c:pt>
                <c:pt idx="35">
                  <c:v>8.7794456926365818</c:v>
                </c:pt>
                <c:pt idx="36">
                  <c:v>16.314064246864039</c:v>
                </c:pt>
                <c:pt idx="37">
                  <c:v>11.319067264111823</c:v>
                </c:pt>
                <c:pt idx="38">
                  <c:v>23.55921391188021</c:v>
                </c:pt>
                <c:pt idx="39">
                  <c:v>23.618720431723524</c:v>
                </c:pt>
                <c:pt idx="40">
                  <c:v>22.94213277389315</c:v>
                </c:pt>
                <c:pt idx="41">
                  <c:v>12.110461731198157</c:v>
                </c:pt>
                <c:pt idx="42">
                  <c:v>20.724604353656193</c:v>
                </c:pt>
                <c:pt idx="43">
                  <c:v>24.179432150196426</c:v>
                </c:pt>
                <c:pt idx="44">
                  <c:v>14.221250808539644</c:v>
                </c:pt>
                <c:pt idx="45">
                  <c:v>17.331840912209508</c:v>
                </c:pt>
                <c:pt idx="46">
                  <c:v>8.8493568835214358</c:v>
                </c:pt>
                <c:pt idx="47">
                  <c:v>10.291313020517872</c:v>
                </c:pt>
                <c:pt idx="48">
                  <c:v>24.316243085969887</c:v>
                </c:pt>
                <c:pt idx="49">
                  <c:v>14.690005275820058</c:v>
                </c:pt>
                <c:pt idx="50">
                  <c:v>17.593574040141707</c:v>
                </c:pt>
                <c:pt idx="51">
                  <c:v>18.077472738618997</c:v>
                </c:pt>
                <c:pt idx="52">
                  <c:v>26.74495741161132</c:v>
                </c:pt>
                <c:pt idx="53">
                  <c:v>28.341867579731989</c:v>
                </c:pt>
                <c:pt idx="54">
                  <c:v>17.074786201453403</c:v>
                </c:pt>
                <c:pt idx="55">
                  <c:v>25.29424266466242</c:v>
                </c:pt>
                <c:pt idx="56">
                  <c:v>30.896231179708707</c:v>
                </c:pt>
                <c:pt idx="57">
                  <c:v>23.611927214326499</c:v>
                </c:pt>
                <c:pt idx="58">
                  <c:v>28.145095373177419</c:v>
                </c:pt>
                <c:pt idx="59">
                  <c:v>30.974783592389983</c:v>
                </c:pt>
                <c:pt idx="60">
                  <c:v>14.394205442036837</c:v>
                </c:pt>
                <c:pt idx="61">
                  <c:v>29.783278365917461</c:v>
                </c:pt>
                <c:pt idx="62">
                  <c:v>5.6671893152408446</c:v>
                </c:pt>
                <c:pt idx="63">
                  <c:v>12.715299725299568</c:v>
                </c:pt>
                <c:pt idx="64">
                  <c:v>18.672017934666183</c:v>
                </c:pt>
                <c:pt idx="65">
                  <c:v>31.872320174744992</c:v>
                </c:pt>
                <c:pt idx="66">
                  <c:v>25.742594454925161</c:v>
                </c:pt>
                <c:pt idx="67">
                  <c:v>26.835657864379119</c:v>
                </c:pt>
                <c:pt idx="68">
                  <c:v>18.846134144305438</c:v>
                </c:pt>
                <c:pt idx="69">
                  <c:v>13.419953517717126</c:v>
                </c:pt>
                <c:pt idx="70">
                  <c:v>12.735298192616373</c:v>
                </c:pt>
                <c:pt idx="71">
                  <c:v>8.4184753508969781</c:v>
                </c:pt>
                <c:pt idx="72">
                  <c:v>11.607701027486016</c:v>
                </c:pt>
                <c:pt idx="73">
                  <c:v>13.427294280135941</c:v>
                </c:pt>
                <c:pt idx="74">
                  <c:v>11.795121062254857</c:v>
                </c:pt>
                <c:pt idx="75">
                  <c:v>10.352967808341401</c:v>
                </c:pt>
                <c:pt idx="76">
                  <c:v>13.003103469521939</c:v>
                </c:pt>
                <c:pt idx="77">
                  <c:v>26.205706730304509</c:v>
                </c:pt>
                <c:pt idx="78">
                  <c:v>29.576547218574138</c:v>
                </c:pt>
                <c:pt idx="79">
                  <c:v>39.6710500956641</c:v>
                </c:pt>
                <c:pt idx="80">
                  <c:v>36.711807932692743</c:v>
                </c:pt>
                <c:pt idx="81">
                  <c:v>41.499971042826175</c:v>
                </c:pt>
                <c:pt idx="82">
                  <c:v>40.925876551134941</c:v>
                </c:pt>
                <c:pt idx="83">
                  <c:v>37.473812209105844</c:v>
                </c:pt>
                <c:pt idx="84">
                  <c:v>40.479401702541857</c:v>
                </c:pt>
                <c:pt idx="85">
                  <c:v>39.969890100578809</c:v>
                </c:pt>
                <c:pt idx="86">
                  <c:v>31.093593045098128</c:v>
                </c:pt>
                <c:pt idx="87">
                  <c:v>25.678682447242362</c:v>
                </c:pt>
                <c:pt idx="88">
                  <c:v>7.2385824327311719</c:v>
                </c:pt>
                <c:pt idx="89">
                  <c:v>25.656964616528889</c:v>
                </c:pt>
                <c:pt idx="90">
                  <c:v>27.963855774446248</c:v>
                </c:pt>
                <c:pt idx="91">
                  <c:v>18.943815385905221</c:v>
                </c:pt>
                <c:pt idx="92">
                  <c:v>23.451962106188869</c:v>
                </c:pt>
                <c:pt idx="93">
                  <c:v>40.612398955053052</c:v>
                </c:pt>
                <c:pt idx="94">
                  <c:v>46.992270054300008</c:v>
                </c:pt>
                <c:pt idx="95">
                  <c:v>11.937196363148312</c:v>
                </c:pt>
                <c:pt idx="96">
                  <c:v>36.109332298814472</c:v>
                </c:pt>
                <c:pt idx="97">
                  <c:v>28.203529109041657</c:v>
                </c:pt>
                <c:pt idx="98">
                  <c:v>34.221525809161442</c:v>
                </c:pt>
                <c:pt idx="99">
                  <c:v>48.454890812531069</c:v>
                </c:pt>
                <c:pt idx="100">
                  <c:v>37.072496118923908</c:v>
                </c:pt>
                <c:pt idx="101">
                  <c:v>34.056680705469759</c:v>
                </c:pt>
                <c:pt idx="102">
                  <c:v>7.5050490932764555</c:v>
                </c:pt>
                <c:pt idx="103">
                  <c:v>36.68916339451112</c:v>
                </c:pt>
                <c:pt idx="104">
                  <c:v>40.732316855537476</c:v>
                </c:pt>
                <c:pt idx="105">
                  <c:v>43.672345415841399</c:v>
                </c:pt>
                <c:pt idx="106">
                  <c:v>49.565415473212781</c:v>
                </c:pt>
                <c:pt idx="107">
                  <c:v>39.821637353091596</c:v>
                </c:pt>
                <c:pt idx="108">
                  <c:v>10.87908690734878</c:v>
                </c:pt>
                <c:pt idx="109">
                  <c:v>10.268643961142903</c:v>
                </c:pt>
                <c:pt idx="110">
                  <c:v>9.7971556962317727</c:v>
                </c:pt>
                <c:pt idx="111">
                  <c:v>29.625523984885877</c:v>
                </c:pt>
                <c:pt idx="112">
                  <c:v>8.567889331360778</c:v>
                </c:pt>
                <c:pt idx="113">
                  <c:v>36.620475684777226</c:v>
                </c:pt>
                <c:pt idx="114">
                  <c:v>45.684432770805628</c:v>
                </c:pt>
                <c:pt idx="115">
                  <c:v>50.65779450133234</c:v>
                </c:pt>
                <c:pt idx="116">
                  <c:v>36.13238417637524</c:v>
                </c:pt>
                <c:pt idx="117">
                  <c:v>22.132024126250524</c:v>
                </c:pt>
                <c:pt idx="118">
                  <c:v>41.578646438384517</c:v>
                </c:pt>
                <c:pt idx="119">
                  <c:v>43.416489213873348</c:v>
                </c:pt>
                <c:pt idx="120">
                  <c:v>42.817473577259648</c:v>
                </c:pt>
                <c:pt idx="121">
                  <c:v>26.170640234248722</c:v>
                </c:pt>
                <c:pt idx="122">
                  <c:v>30.923660640322066</c:v>
                </c:pt>
                <c:pt idx="123">
                  <c:v>0.78495355087770857</c:v>
                </c:pt>
                <c:pt idx="124">
                  <c:v>36.06821275727998</c:v>
                </c:pt>
                <c:pt idx="125">
                  <c:v>33.429583623236994</c:v>
                </c:pt>
                <c:pt idx="126">
                  <c:v>45.916340425719419</c:v>
                </c:pt>
                <c:pt idx="127">
                  <c:v>46.701882574599125</c:v>
                </c:pt>
                <c:pt idx="128">
                  <c:v>51.849704333524684</c:v>
                </c:pt>
                <c:pt idx="129">
                  <c:v>47.591037217883347</c:v>
                </c:pt>
                <c:pt idx="130">
                  <c:v>52.148365063500663</c:v>
                </c:pt>
                <c:pt idx="131">
                  <c:v>40.670204100838113</c:v>
                </c:pt>
                <c:pt idx="132">
                  <c:v>43.39612757805871</c:v>
                </c:pt>
                <c:pt idx="133">
                  <c:v>44.726019595410207</c:v>
                </c:pt>
                <c:pt idx="134">
                  <c:v>48.382135799117719</c:v>
                </c:pt>
                <c:pt idx="135">
                  <c:v>47.158924112318971</c:v>
                </c:pt>
                <c:pt idx="136">
                  <c:v>50.843576038912133</c:v>
                </c:pt>
                <c:pt idx="137">
                  <c:v>49.474106469041814</c:v>
                </c:pt>
                <c:pt idx="138">
                  <c:v>51.274756100218511</c:v>
                </c:pt>
                <c:pt idx="139">
                  <c:v>44.655490536972906</c:v>
                </c:pt>
                <c:pt idx="140">
                  <c:v>45.304132538394725</c:v>
                </c:pt>
                <c:pt idx="141">
                  <c:v>32.191926055648899</c:v>
                </c:pt>
                <c:pt idx="142">
                  <c:v>16.612460580081045</c:v>
                </c:pt>
                <c:pt idx="143">
                  <c:v>13.840855187643863</c:v>
                </c:pt>
                <c:pt idx="144">
                  <c:v>38.505390894478467</c:v>
                </c:pt>
                <c:pt idx="145">
                  <c:v>20.222107956213993</c:v>
                </c:pt>
                <c:pt idx="146">
                  <c:v>38.330781953471366</c:v>
                </c:pt>
                <c:pt idx="147">
                  <c:v>51.177383399317293</c:v>
                </c:pt>
                <c:pt idx="148">
                  <c:v>55.855772381524297</c:v>
                </c:pt>
                <c:pt idx="149">
                  <c:v>47.755482042554448</c:v>
                </c:pt>
                <c:pt idx="150">
                  <c:v>51.189757337283694</c:v>
                </c:pt>
                <c:pt idx="151">
                  <c:v>52.646948791944048</c:v>
                </c:pt>
                <c:pt idx="152">
                  <c:v>41.347187959462211</c:v>
                </c:pt>
                <c:pt idx="153">
                  <c:v>50.108971025892032</c:v>
                </c:pt>
                <c:pt idx="154">
                  <c:v>28.454458418869379</c:v>
                </c:pt>
                <c:pt idx="155">
                  <c:v>29.723586192817063</c:v>
                </c:pt>
                <c:pt idx="156">
                  <c:v>39.659379193195591</c:v>
                </c:pt>
                <c:pt idx="157">
                  <c:v>29.846875608411253</c:v>
                </c:pt>
                <c:pt idx="158">
                  <c:v>20.99749480532946</c:v>
                </c:pt>
                <c:pt idx="159">
                  <c:v>41.765209306645602</c:v>
                </c:pt>
                <c:pt idx="160">
                  <c:v>54.860257085449255</c:v>
                </c:pt>
                <c:pt idx="161">
                  <c:v>51.469306922155205</c:v>
                </c:pt>
                <c:pt idx="162">
                  <c:v>40.618912058501508</c:v>
                </c:pt>
                <c:pt idx="163">
                  <c:v>49.902046994911082</c:v>
                </c:pt>
                <c:pt idx="164">
                  <c:v>42.858873093275001</c:v>
                </c:pt>
                <c:pt idx="165">
                  <c:v>50.622664753965836</c:v>
                </c:pt>
                <c:pt idx="166">
                  <c:v>46.994675849554739</c:v>
                </c:pt>
                <c:pt idx="167">
                  <c:v>48.481745953640662</c:v>
                </c:pt>
                <c:pt idx="168">
                  <c:v>50.401588507849297</c:v>
                </c:pt>
                <c:pt idx="169">
                  <c:v>51.653094943663966</c:v>
                </c:pt>
                <c:pt idx="170">
                  <c:v>30.67436958076398</c:v>
                </c:pt>
                <c:pt idx="171">
                  <c:v>18.212126466200584</c:v>
                </c:pt>
                <c:pt idx="172">
                  <c:v>43.985266623622337</c:v>
                </c:pt>
                <c:pt idx="173">
                  <c:v>38.981369031653223</c:v>
                </c:pt>
                <c:pt idx="174">
                  <c:v>41.223592352386973</c:v>
                </c:pt>
                <c:pt idx="175">
                  <c:v>28.875083804274752</c:v>
                </c:pt>
                <c:pt idx="176">
                  <c:v>11.034409311588329</c:v>
                </c:pt>
                <c:pt idx="177">
                  <c:v>16.383880831227362</c:v>
                </c:pt>
                <c:pt idx="178">
                  <c:v>55.904000590177944</c:v>
                </c:pt>
                <c:pt idx="179">
                  <c:v>51.91401590086398</c:v>
                </c:pt>
                <c:pt idx="180">
                  <c:v>12.574841380039722</c:v>
                </c:pt>
                <c:pt idx="181">
                  <c:v>51.296728958844426</c:v>
                </c:pt>
                <c:pt idx="182">
                  <c:v>47.768702680072757</c:v>
                </c:pt>
                <c:pt idx="183">
                  <c:v>40.421133891889305</c:v>
                </c:pt>
                <c:pt idx="184">
                  <c:v>42.41660059429077</c:v>
                </c:pt>
                <c:pt idx="185">
                  <c:v>51.137083418524668</c:v>
                </c:pt>
                <c:pt idx="186">
                  <c:v>39.619957951336119</c:v>
                </c:pt>
                <c:pt idx="187">
                  <c:v>49.203220856527039</c:v>
                </c:pt>
                <c:pt idx="188">
                  <c:v>54.00323081001121</c:v>
                </c:pt>
                <c:pt idx="189">
                  <c:v>53.049030415739161</c:v>
                </c:pt>
                <c:pt idx="190">
                  <c:v>52.518591563548107</c:v>
                </c:pt>
                <c:pt idx="191">
                  <c:v>50.712943550626036</c:v>
                </c:pt>
                <c:pt idx="192">
                  <c:v>50.817738388567534</c:v>
                </c:pt>
                <c:pt idx="193">
                  <c:v>50.50896198897459</c:v>
                </c:pt>
                <c:pt idx="194">
                  <c:v>49.874587415921624</c:v>
                </c:pt>
                <c:pt idx="195">
                  <c:v>48.192471019327542</c:v>
                </c:pt>
                <c:pt idx="196">
                  <c:v>49.634592002928507</c:v>
                </c:pt>
                <c:pt idx="197">
                  <c:v>48.792091176325016</c:v>
                </c:pt>
                <c:pt idx="198">
                  <c:v>49.061205165529529</c:v>
                </c:pt>
                <c:pt idx="199">
                  <c:v>39.681993114179079</c:v>
                </c:pt>
                <c:pt idx="200">
                  <c:v>38.065613107272178</c:v>
                </c:pt>
                <c:pt idx="201">
                  <c:v>48.154551519119899</c:v>
                </c:pt>
                <c:pt idx="202">
                  <c:v>36.273228199128276</c:v>
                </c:pt>
                <c:pt idx="203">
                  <c:v>45.300672092346517</c:v>
                </c:pt>
                <c:pt idx="204">
                  <c:v>47.74314649119512</c:v>
                </c:pt>
                <c:pt idx="205">
                  <c:v>28.84725157687906</c:v>
                </c:pt>
                <c:pt idx="206">
                  <c:v>48.823307947115943</c:v>
                </c:pt>
                <c:pt idx="207">
                  <c:v>51.389263895979354</c:v>
                </c:pt>
                <c:pt idx="208">
                  <c:v>43.819579688302269</c:v>
                </c:pt>
                <c:pt idx="209">
                  <c:v>25.394243912192575</c:v>
                </c:pt>
                <c:pt idx="210">
                  <c:v>43.096944694853114</c:v>
                </c:pt>
                <c:pt idx="211">
                  <c:v>47.58079912337837</c:v>
                </c:pt>
                <c:pt idx="212">
                  <c:v>49.40291217894201</c:v>
                </c:pt>
                <c:pt idx="213">
                  <c:v>47.654867601918099</c:v>
                </c:pt>
                <c:pt idx="214">
                  <c:v>45.902815040687251</c:v>
                </c:pt>
                <c:pt idx="215">
                  <c:v>42.641420644471815</c:v>
                </c:pt>
                <c:pt idx="216">
                  <c:v>41.738611507514591</c:v>
                </c:pt>
                <c:pt idx="217">
                  <c:v>44.250133670544635</c:v>
                </c:pt>
                <c:pt idx="218">
                  <c:v>47.121018895773041</c:v>
                </c:pt>
                <c:pt idx="219">
                  <c:v>47.784167280239906</c:v>
                </c:pt>
                <c:pt idx="220">
                  <c:v>45.960077744752816</c:v>
                </c:pt>
                <c:pt idx="221">
                  <c:v>44.261375522990633</c:v>
                </c:pt>
                <c:pt idx="222">
                  <c:v>40.100439298283867</c:v>
                </c:pt>
                <c:pt idx="223">
                  <c:v>42.640657158053841</c:v>
                </c:pt>
                <c:pt idx="224">
                  <c:v>28.764548570384726</c:v>
                </c:pt>
                <c:pt idx="225">
                  <c:v>30.954459708469244</c:v>
                </c:pt>
                <c:pt idx="226">
                  <c:v>36.309134801832791</c:v>
                </c:pt>
                <c:pt idx="227">
                  <c:v>28.972806073567789</c:v>
                </c:pt>
                <c:pt idx="228">
                  <c:v>20.998322560957345</c:v>
                </c:pt>
                <c:pt idx="229">
                  <c:v>35.407479447384546</c:v>
                </c:pt>
                <c:pt idx="230">
                  <c:v>36.663960183225235</c:v>
                </c:pt>
                <c:pt idx="231">
                  <c:v>43.21914930265185</c:v>
                </c:pt>
                <c:pt idx="232">
                  <c:v>28.382102380191014</c:v>
                </c:pt>
                <c:pt idx="233">
                  <c:v>22.766957036850869</c:v>
                </c:pt>
                <c:pt idx="234">
                  <c:v>40.363043004659936</c:v>
                </c:pt>
                <c:pt idx="235">
                  <c:v>40.761077509601719</c:v>
                </c:pt>
                <c:pt idx="236">
                  <c:v>31.060966884880276</c:v>
                </c:pt>
                <c:pt idx="237">
                  <c:v>37.627912694193</c:v>
                </c:pt>
                <c:pt idx="238">
                  <c:v>43.785247874416868</c:v>
                </c:pt>
                <c:pt idx="239">
                  <c:v>42.233897567294136</c:v>
                </c:pt>
                <c:pt idx="240">
                  <c:v>29.681181260513235</c:v>
                </c:pt>
                <c:pt idx="241">
                  <c:v>41.333352655933609</c:v>
                </c:pt>
                <c:pt idx="242">
                  <c:v>19.41266962449172</c:v>
                </c:pt>
                <c:pt idx="243">
                  <c:v>39.120621055274221</c:v>
                </c:pt>
                <c:pt idx="244">
                  <c:v>34.00932831661185</c:v>
                </c:pt>
                <c:pt idx="245">
                  <c:v>27.993024224991544</c:v>
                </c:pt>
                <c:pt idx="246">
                  <c:v>40.746061884268009</c:v>
                </c:pt>
                <c:pt idx="247">
                  <c:v>35.185378116188204</c:v>
                </c:pt>
                <c:pt idx="248">
                  <c:v>39.474948718683258</c:v>
                </c:pt>
                <c:pt idx="249">
                  <c:v>31.835188664600274</c:v>
                </c:pt>
                <c:pt idx="250">
                  <c:v>34.268930815730528</c:v>
                </c:pt>
                <c:pt idx="251">
                  <c:v>19.490725738782785</c:v>
                </c:pt>
                <c:pt idx="252">
                  <c:v>38.337890651627035</c:v>
                </c:pt>
                <c:pt idx="253">
                  <c:v>38.200641793297166</c:v>
                </c:pt>
                <c:pt idx="254">
                  <c:v>26.558423796130334</c:v>
                </c:pt>
                <c:pt idx="255">
                  <c:v>11.028535372834611</c:v>
                </c:pt>
                <c:pt idx="256">
                  <c:v>32.250605949875393</c:v>
                </c:pt>
                <c:pt idx="257">
                  <c:v>35.199973690631765</c:v>
                </c:pt>
                <c:pt idx="258">
                  <c:v>24.299714474852351</c:v>
                </c:pt>
                <c:pt idx="259">
                  <c:v>38.153144873459205</c:v>
                </c:pt>
                <c:pt idx="260">
                  <c:v>38.459855175973971</c:v>
                </c:pt>
                <c:pt idx="261">
                  <c:v>36.883591312815902</c:v>
                </c:pt>
                <c:pt idx="262">
                  <c:v>37.818637435204352</c:v>
                </c:pt>
                <c:pt idx="263">
                  <c:v>36.736243995256153</c:v>
                </c:pt>
                <c:pt idx="264">
                  <c:v>35.508279801711133</c:v>
                </c:pt>
                <c:pt idx="265">
                  <c:v>22.871181134124214</c:v>
                </c:pt>
                <c:pt idx="266">
                  <c:v>15.349993262019453</c:v>
                </c:pt>
                <c:pt idx="267">
                  <c:v>25.642027815263386</c:v>
                </c:pt>
                <c:pt idx="268">
                  <c:v>27.53635430107073</c:v>
                </c:pt>
                <c:pt idx="269">
                  <c:v>13.454861629391067</c:v>
                </c:pt>
                <c:pt idx="270">
                  <c:v>15.833008427688622</c:v>
                </c:pt>
                <c:pt idx="271">
                  <c:v>21.171647990603393</c:v>
                </c:pt>
                <c:pt idx="272">
                  <c:v>24.461557499499907</c:v>
                </c:pt>
                <c:pt idx="273">
                  <c:v>29.442188434520105</c:v>
                </c:pt>
                <c:pt idx="274">
                  <c:v>31.109565356715965</c:v>
                </c:pt>
                <c:pt idx="275">
                  <c:v>29.358940767729727</c:v>
                </c:pt>
                <c:pt idx="276">
                  <c:v>31.400938435891192</c:v>
                </c:pt>
                <c:pt idx="277">
                  <c:v>31.723303579368636</c:v>
                </c:pt>
                <c:pt idx="278">
                  <c:v>13.636421961968423</c:v>
                </c:pt>
                <c:pt idx="279">
                  <c:v>23.425123373287803</c:v>
                </c:pt>
                <c:pt idx="280">
                  <c:v>14.352593241683989</c:v>
                </c:pt>
                <c:pt idx="281">
                  <c:v>29.005827722049528</c:v>
                </c:pt>
                <c:pt idx="282">
                  <c:v>24.78826698684988</c:v>
                </c:pt>
                <c:pt idx="283">
                  <c:v>21.440988560350551</c:v>
                </c:pt>
                <c:pt idx="284">
                  <c:v>23.143878345504763</c:v>
                </c:pt>
                <c:pt idx="285">
                  <c:v>19.101880110819739</c:v>
                </c:pt>
                <c:pt idx="286">
                  <c:v>16.041827406461664</c:v>
                </c:pt>
                <c:pt idx="287">
                  <c:v>27.197946407194031</c:v>
                </c:pt>
                <c:pt idx="288">
                  <c:v>25.318283815818802</c:v>
                </c:pt>
                <c:pt idx="289">
                  <c:v>16.148523089547936</c:v>
                </c:pt>
                <c:pt idx="290">
                  <c:v>25.265198314197612</c:v>
                </c:pt>
                <c:pt idx="291">
                  <c:v>13.672803020954637</c:v>
                </c:pt>
                <c:pt idx="292">
                  <c:v>7.5838452479184113</c:v>
                </c:pt>
                <c:pt idx="293">
                  <c:v>13.277983852203624</c:v>
                </c:pt>
                <c:pt idx="294">
                  <c:v>23.562095528673836</c:v>
                </c:pt>
                <c:pt idx="295">
                  <c:v>15.941118206083857</c:v>
                </c:pt>
                <c:pt idx="296">
                  <c:v>18.867169658601668</c:v>
                </c:pt>
                <c:pt idx="297">
                  <c:v>17.458709446748816</c:v>
                </c:pt>
                <c:pt idx="298">
                  <c:v>13.846409974366827</c:v>
                </c:pt>
                <c:pt idx="299">
                  <c:v>11.079567995153665</c:v>
                </c:pt>
                <c:pt idx="300">
                  <c:v>15.094920188964196</c:v>
                </c:pt>
                <c:pt idx="301">
                  <c:v>19.185816150238868</c:v>
                </c:pt>
                <c:pt idx="302">
                  <c:v>16.55371355138896</c:v>
                </c:pt>
                <c:pt idx="303">
                  <c:v>16.139788465286028</c:v>
                </c:pt>
                <c:pt idx="304">
                  <c:v>15.24767381206742</c:v>
                </c:pt>
                <c:pt idx="305">
                  <c:v>20.665497082467571</c:v>
                </c:pt>
                <c:pt idx="306">
                  <c:v>5.4438810668890296</c:v>
                </c:pt>
                <c:pt idx="307">
                  <c:v>11.265260069771839</c:v>
                </c:pt>
                <c:pt idx="308">
                  <c:v>19.738282035103197</c:v>
                </c:pt>
                <c:pt idx="309">
                  <c:v>19.796104643152479</c:v>
                </c:pt>
                <c:pt idx="310">
                  <c:v>19.670964116579029</c:v>
                </c:pt>
                <c:pt idx="311">
                  <c:v>13.014128753764631</c:v>
                </c:pt>
                <c:pt idx="312">
                  <c:v>7.7011723264464198</c:v>
                </c:pt>
                <c:pt idx="313">
                  <c:v>17.334814360245211</c:v>
                </c:pt>
                <c:pt idx="314">
                  <c:v>17.874192830808518</c:v>
                </c:pt>
                <c:pt idx="315">
                  <c:v>17.748939191225734</c:v>
                </c:pt>
                <c:pt idx="316">
                  <c:v>15.754006269812285</c:v>
                </c:pt>
                <c:pt idx="317">
                  <c:v>9.0973601342038215</c:v>
                </c:pt>
                <c:pt idx="318">
                  <c:v>11.089743736060363</c:v>
                </c:pt>
                <c:pt idx="319">
                  <c:v>17.38608377087424</c:v>
                </c:pt>
                <c:pt idx="320">
                  <c:v>11.419656426510178</c:v>
                </c:pt>
                <c:pt idx="321">
                  <c:v>10.807475488058209</c:v>
                </c:pt>
                <c:pt idx="322">
                  <c:v>7.9530672478947535</c:v>
                </c:pt>
                <c:pt idx="323">
                  <c:v>13.010865002802255</c:v>
                </c:pt>
                <c:pt idx="324">
                  <c:v>3.1075169664647255</c:v>
                </c:pt>
                <c:pt idx="325">
                  <c:v>8.237246076768054</c:v>
                </c:pt>
                <c:pt idx="326">
                  <c:v>12.252602757930113</c:v>
                </c:pt>
                <c:pt idx="327">
                  <c:v>11.081499563926915</c:v>
                </c:pt>
                <c:pt idx="328">
                  <c:v>4.5485701867331523</c:v>
                </c:pt>
                <c:pt idx="329">
                  <c:v>9.7679304511405913</c:v>
                </c:pt>
                <c:pt idx="330">
                  <c:v>11.595596899721937</c:v>
                </c:pt>
                <c:pt idx="331">
                  <c:v>9.1454038388625065</c:v>
                </c:pt>
                <c:pt idx="332">
                  <c:v>10.355219037609679</c:v>
                </c:pt>
                <c:pt idx="333">
                  <c:v>4.2071681048901288</c:v>
                </c:pt>
                <c:pt idx="334">
                  <c:v>3.6428195744457343</c:v>
                </c:pt>
                <c:pt idx="335">
                  <c:v>5.0308777000179781</c:v>
                </c:pt>
                <c:pt idx="336">
                  <c:v>7.9057703473820471</c:v>
                </c:pt>
                <c:pt idx="337">
                  <c:v>13.429611238987997</c:v>
                </c:pt>
                <c:pt idx="338">
                  <c:v>15.761703679364608</c:v>
                </c:pt>
                <c:pt idx="339">
                  <c:v>11.317249020816533</c:v>
                </c:pt>
                <c:pt idx="340">
                  <c:v>13.932418040890456</c:v>
                </c:pt>
                <c:pt idx="341">
                  <c:v>4.1615414858893276</c:v>
                </c:pt>
                <c:pt idx="342">
                  <c:v>7.9369471249327699</c:v>
                </c:pt>
                <c:pt idx="343">
                  <c:v>11.632021916792235</c:v>
                </c:pt>
                <c:pt idx="344">
                  <c:v>12.189723500488396</c:v>
                </c:pt>
                <c:pt idx="345">
                  <c:v>4.2352442889690591</c:v>
                </c:pt>
                <c:pt idx="346">
                  <c:v>5.1001498339776346</c:v>
                </c:pt>
                <c:pt idx="347">
                  <c:v>12.012407933437046</c:v>
                </c:pt>
                <c:pt idx="348">
                  <c:v>5.8911268574599731</c:v>
                </c:pt>
                <c:pt idx="349">
                  <c:v>5.2028670315571981</c:v>
                </c:pt>
                <c:pt idx="350">
                  <c:v>3.2249831027895515</c:v>
                </c:pt>
                <c:pt idx="351">
                  <c:v>12.556792224153803</c:v>
                </c:pt>
                <c:pt idx="352">
                  <c:v>12.315630982601979</c:v>
                </c:pt>
                <c:pt idx="353">
                  <c:v>3.9143998036787266</c:v>
                </c:pt>
                <c:pt idx="354">
                  <c:v>14.271057716765329</c:v>
                </c:pt>
                <c:pt idx="355">
                  <c:v>12.658426371940861</c:v>
                </c:pt>
                <c:pt idx="356">
                  <c:v>13.262314736185347</c:v>
                </c:pt>
                <c:pt idx="357">
                  <c:v>15.098993096785405</c:v>
                </c:pt>
                <c:pt idx="358">
                  <c:v>8.5336999572419021</c:v>
                </c:pt>
                <c:pt idx="359">
                  <c:v>13.268138134033752</c:v>
                </c:pt>
                <c:pt idx="360">
                  <c:v>6.3193334238362411</c:v>
                </c:pt>
                <c:pt idx="361">
                  <c:v>14.055602333777479</c:v>
                </c:pt>
                <c:pt idx="362">
                  <c:v>9.440078180011124</c:v>
                </c:pt>
                <c:pt idx="363">
                  <c:v>11.991335985687483</c:v>
                </c:pt>
                <c:pt idx="364">
                  <c:v>9.3549828170061726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13.845352990735517</c:v>
                </c:pt>
                <c:pt idx="1">
                  <c:v>11.871994470881209</c:v>
                </c:pt>
                <c:pt idx="2">
                  <c:v>11.54511520022433</c:v>
                </c:pt>
                <c:pt idx="3">
                  <c:v>12.140816804618614</c:v>
                </c:pt>
                <c:pt idx="4">
                  <c:v>9.608871493117114</c:v>
                </c:pt>
                <c:pt idx="5">
                  <c:v>14.72286315022512</c:v>
                </c:pt>
                <c:pt idx="6">
                  <c:v>7.3895415516536183</c:v>
                </c:pt>
                <c:pt idx="7">
                  <c:v>6.0085665927211993</c:v>
                </c:pt>
                <c:pt idx="8">
                  <c:v>1.814902206601696</c:v>
                </c:pt>
                <c:pt idx="9">
                  <c:v>1.5390729708885968</c:v>
                </c:pt>
                <c:pt idx="10">
                  <c:v>15.631931395834568</c:v>
                </c:pt>
                <c:pt idx="11">
                  <c:v>14.274703806219854</c:v>
                </c:pt>
                <c:pt idx="12">
                  <c:v>5.2597265859800171</c:v>
                </c:pt>
                <c:pt idx="13">
                  <c:v>16.282147996750567</c:v>
                </c:pt>
                <c:pt idx="14">
                  <c:v>16.452932352274239</c:v>
                </c:pt>
                <c:pt idx="15">
                  <c:v>16.474903774349784</c:v>
                </c:pt>
                <c:pt idx="16">
                  <c:v>13.222560864508461</c:v>
                </c:pt>
                <c:pt idx="17">
                  <c:v>3.6698811788901029</c:v>
                </c:pt>
                <c:pt idx="18">
                  <c:v>9.0080824520378542</c:v>
                </c:pt>
                <c:pt idx="19">
                  <c:v>5.3273946950693185</c:v>
                </c:pt>
                <c:pt idx="20">
                  <c:v>13.068658609818447</c:v>
                </c:pt>
                <c:pt idx="21">
                  <c:v>17.90422673522572</c:v>
                </c:pt>
                <c:pt idx="22">
                  <c:v>17.976264198626666</c:v>
                </c:pt>
                <c:pt idx="23">
                  <c:v>18.402877362486667</c:v>
                </c:pt>
                <c:pt idx="24">
                  <c:v>18.648893716571735</c:v>
                </c:pt>
                <c:pt idx="25">
                  <c:v>18.764989823710309</c:v>
                </c:pt>
                <c:pt idx="26">
                  <c:v>18.338574267680496</c:v>
                </c:pt>
                <c:pt idx="27">
                  <c:v>3.8411568944682801</c:v>
                </c:pt>
                <c:pt idx="28">
                  <c:v>6.0144949557848717</c:v>
                </c:pt>
                <c:pt idx="29">
                  <c:v>4.3830888952056579</c:v>
                </c:pt>
                <c:pt idx="30">
                  <c:v>9.8394830211885793</c:v>
                </c:pt>
                <c:pt idx="31">
                  <c:v>9.6858119415639692</c:v>
                </c:pt>
                <c:pt idx="32">
                  <c:v>5.0662972007432217</c:v>
                </c:pt>
                <c:pt idx="33">
                  <c:v>12.12880565598206</c:v>
                </c:pt>
                <c:pt idx="34">
                  <c:v>10.124048995934391</c:v>
                </c:pt>
                <c:pt idx="35">
                  <c:v>8.7794456926365818</c:v>
                </c:pt>
                <c:pt idx="36">
                  <c:v>16.314064246864039</c:v>
                </c:pt>
                <c:pt idx="37">
                  <c:v>11.319067264111823</c:v>
                </c:pt>
                <c:pt idx="38">
                  <c:v>23.55921391188021</c:v>
                </c:pt>
                <c:pt idx="39">
                  <c:v>23.618720431723524</c:v>
                </c:pt>
                <c:pt idx="40">
                  <c:v>22.94213277389315</c:v>
                </c:pt>
                <c:pt idx="41">
                  <c:v>12.110461731198157</c:v>
                </c:pt>
                <c:pt idx="42">
                  <c:v>20.724604353656193</c:v>
                </c:pt>
                <c:pt idx="43">
                  <c:v>24.179432150196426</c:v>
                </c:pt>
                <c:pt idx="44">
                  <c:v>14.221250808539644</c:v>
                </c:pt>
                <c:pt idx="45">
                  <c:v>17.331840912209508</c:v>
                </c:pt>
                <c:pt idx="46">
                  <c:v>8.8493568835214358</c:v>
                </c:pt>
                <c:pt idx="47">
                  <c:v>10.291313020517872</c:v>
                </c:pt>
                <c:pt idx="48">
                  <c:v>24.316243085969887</c:v>
                </c:pt>
                <c:pt idx="49">
                  <c:v>14.690005275820058</c:v>
                </c:pt>
                <c:pt idx="50">
                  <c:v>17.593574040141707</c:v>
                </c:pt>
                <c:pt idx="51">
                  <c:v>18.077472738618997</c:v>
                </c:pt>
                <c:pt idx="52">
                  <c:v>26.74495741161132</c:v>
                </c:pt>
                <c:pt idx="53">
                  <c:v>28.341867579731989</c:v>
                </c:pt>
                <c:pt idx="54">
                  <c:v>17.074786201453403</c:v>
                </c:pt>
                <c:pt idx="55">
                  <c:v>25.29424266466242</c:v>
                </c:pt>
                <c:pt idx="56">
                  <c:v>30.896231179708707</c:v>
                </c:pt>
                <c:pt idx="57">
                  <c:v>23.611927214326499</c:v>
                </c:pt>
                <c:pt idx="58">
                  <c:v>28.145095373177419</c:v>
                </c:pt>
                <c:pt idx="59">
                  <c:v>30.974783592389983</c:v>
                </c:pt>
                <c:pt idx="60">
                  <c:v>14.394205442036837</c:v>
                </c:pt>
                <c:pt idx="61">
                  <c:v>29.783278365917461</c:v>
                </c:pt>
                <c:pt idx="62">
                  <c:v>5.6671893152408446</c:v>
                </c:pt>
                <c:pt idx="63">
                  <c:v>12.715299725299568</c:v>
                </c:pt>
                <c:pt idx="64">
                  <c:v>18.672017934666183</c:v>
                </c:pt>
                <c:pt idx="65">
                  <c:v>31.872320174744992</c:v>
                </c:pt>
                <c:pt idx="66">
                  <c:v>25.742594454925161</c:v>
                </c:pt>
                <c:pt idx="67">
                  <c:v>26.835657864379119</c:v>
                </c:pt>
                <c:pt idx="68">
                  <c:v>18.846134144305438</c:v>
                </c:pt>
                <c:pt idx="69">
                  <c:v>13.419953517717126</c:v>
                </c:pt>
                <c:pt idx="70">
                  <c:v>12.735298192616373</c:v>
                </c:pt>
                <c:pt idx="71">
                  <c:v>8.4184753508969781</c:v>
                </c:pt>
                <c:pt idx="72">
                  <c:v>11.607701027486016</c:v>
                </c:pt>
                <c:pt idx="73">
                  <c:v>13.427294280135941</c:v>
                </c:pt>
                <c:pt idx="74">
                  <c:v>11.795121062254857</c:v>
                </c:pt>
                <c:pt idx="75">
                  <c:v>10.352967808341401</c:v>
                </c:pt>
                <c:pt idx="76">
                  <c:v>13.003103469521939</c:v>
                </c:pt>
                <c:pt idx="77">
                  <c:v>26.205706730304509</c:v>
                </c:pt>
                <c:pt idx="78">
                  <c:v>29.576547218574138</c:v>
                </c:pt>
                <c:pt idx="79">
                  <c:v>39.6710500956641</c:v>
                </c:pt>
                <c:pt idx="80">
                  <c:v>36.711807932692743</c:v>
                </c:pt>
                <c:pt idx="81">
                  <c:v>41.499971042826175</c:v>
                </c:pt>
                <c:pt idx="82">
                  <c:v>40.925876551134941</c:v>
                </c:pt>
                <c:pt idx="83">
                  <c:v>37.473812209105844</c:v>
                </c:pt>
                <c:pt idx="84">
                  <c:v>40.479401702541857</c:v>
                </c:pt>
                <c:pt idx="85">
                  <c:v>39.969890100578809</c:v>
                </c:pt>
                <c:pt idx="86">
                  <c:v>31.093593045098128</c:v>
                </c:pt>
                <c:pt idx="87">
                  <c:v>25.678682447242362</c:v>
                </c:pt>
                <c:pt idx="88">
                  <c:v>7.2385824327311719</c:v>
                </c:pt>
                <c:pt idx="89">
                  <c:v>25.656964616528889</c:v>
                </c:pt>
                <c:pt idx="90">
                  <c:v>27.963855774446248</c:v>
                </c:pt>
                <c:pt idx="91">
                  <c:v>18.943815385905221</c:v>
                </c:pt>
                <c:pt idx="92">
                  <c:v>23.451962106188869</c:v>
                </c:pt>
                <c:pt idx="93">
                  <c:v>40.612398955053052</c:v>
                </c:pt>
                <c:pt idx="94">
                  <c:v>46.992270054300008</c:v>
                </c:pt>
                <c:pt idx="95">
                  <c:v>11.937196363148312</c:v>
                </c:pt>
                <c:pt idx="96">
                  <c:v>36.109332298814472</c:v>
                </c:pt>
                <c:pt idx="97">
                  <c:v>28.203529109041657</c:v>
                </c:pt>
                <c:pt idx="98">
                  <c:v>34.221525809161442</c:v>
                </c:pt>
                <c:pt idx="99">
                  <c:v>48.454890812531069</c:v>
                </c:pt>
                <c:pt idx="100">
                  <c:v>37.072496118923908</c:v>
                </c:pt>
                <c:pt idx="101">
                  <c:v>34.056680705469759</c:v>
                </c:pt>
                <c:pt idx="102">
                  <c:v>7.5050490932764555</c:v>
                </c:pt>
                <c:pt idx="103">
                  <c:v>36.68916339451112</c:v>
                </c:pt>
                <c:pt idx="104">
                  <c:v>40.732316855537476</c:v>
                </c:pt>
                <c:pt idx="105">
                  <c:v>43.672345415841399</c:v>
                </c:pt>
                <c:pt idx="106">
                  <c:v>49.565415473212781</c:v>
                </c:pt>
                <c:pt idx="107">
                  <c:v>39.821637353091596</c:v>
                </c:pt>
                <c:pt idx="108">
                  <c:v>10.87908690734878</c:v>
                </c:pt>
                <c:pt idx="109">
                  <c:v>10.268643961142903</c:v>
                </c:pt>
                <c:pt idx="110">
                  <c:v>9.7971556962317727</c:v>
                </c:pt>
                <c:pt idx="111">
                  <c:v>29.625523984885877</c:v>
                </c:pt>
                <c:pt idx="112">
                  <c:v>8.567889331360778</c:v>
                </c:pt>
                <c:pt idx="113">
                  <c:v>36.620475684777226</c:v>
                </c:pt>
                <c:pt idx="114">
                  <c:v>45.684432770805628</c:v>
                </c:pt>
                <c:pt idx="115">
                  <c:v>50.65779450133234</c:v>
                </c:pt>
                <c:pt idx="116">
                  <c:v>36.13238417637524</c:v>
                </c:pt>
                <c:pt idx="117">
                  <c:v>22.132024126250524</c:v>
                </c:pt>
                <c:pt idx="118">
                  <c:v>41.578646438384517</c:v>
                </c:pt>
                <c:pt idx="119">
                  <c:v>43.416489213873348</c:v>
                </c:pt>
                <c:pt idx="120">
                  <c:v>42.817473577259648</c:v>
                </c:pt>
                <c:pt idx="121">
                  <c:v>26.170640234248722</c:v>
                </c:pt>
                <c:pt idx="122">
                  <c:v>30.923660640322066</c:v>
                </c:pt>
                <c:pt idx="123">
                  <c:v>0.78495355087770857</c:v>
                </c:pt>
                <c:pt idx="124">
                  <c:v>36.06821275727998</c:v>
                </c:pt>
                <c:pt idx="125">
                  <c:v>33.429583623236994</c:v>
                </c:pt>
                <c:pt idx="126">
                  <c:v>45.916340425719419</c:v>
                </c:pt>
                <c:pt idx="127">
                  <c:v>46.701882574599125</c:v>
                </c:pt>
                <c:pt idx="128">
                  <c:v>51.849704333524684</c:v>
                </c:pt>
                <c:pt idx="129">
                  <c:v>47.591037217883347</c:v>
                </c:pt>
                <c:pt idx="130">
                  <c:v>52.148365063500663</c:v>
                </c:pt>
                <c:pt idx="131">
                  <c:v>40.670204100838113</c:v>
                </c:pt>
                <c:pt idx="132">
                  <c:v>43.39612757805871</c:v>
                </c:pt>
                <c:pt idx="133">
                  <c:v>44.726019595410207</c:v>
                </c:pt>
                <c:pt idx="134">
                  <c:v>48.382135799117719</c:v>
                </c:pt>
                <c:pt idx="135">
                  <c:v>47.158924112318971</c:v>
                </c:pt>
                <c:pt idx="136">
                  <c:v>50.843576038912133</c:v>
                </c:pt>
                <c:pt idx="137">
                  <c:v>49.474106469041814</c:v>
                </c:pt>
                <c:pt idx="138">
                  <c:v>51.274756100218511</c:v>
                </c:pt>
                <c:pt idx="139">
                  <c:v>44.655490536972906</c:v>
                </c:pt>
                <c:pt idx="140">
                  <c:v>45.304132538394725</c:v>
                </c:pt>
                <c:pt idx="141">
                  <c:v>32.191926055648899</c:v>
                </c:pt>
                <c:pt idx="142">
                  <c:v>16.612460580081045</c:v>
                </c:pt>
                <c:pt idx="143">
                  <c:v>13.840855187643863</c:v>
                </c:pt>
                <c:pt idx="144">
                  <c:v>38.505390894478467</c:v>
                </c:pt>
                <c:pt idx="145">
                  <c:v>20.222107956213993</c:v>
                </c:pt>
                <c:pt idx="146">
                  <c:v>38.330781953471366</c:v>
                </c:pt>
                <c:pt idx="147">
                  <c:v>51.177383399317293</c:v>
                </c:pt>
                <c:pt idx="148">
                  <c:v>55.855772381524297</c:v>
                </c:pt>
                <c:pt idx="149">
                  <c:v>47.755482042554448</c:v>
                </c:pt>
                <c:pt idx="150">
                  <c:v>51.189757337283694</c:v>
                </c:pt>
                <c:pt idx="151">
                  <c:v>52.646948791944048</c:v>
                </c:pt>
                <c:pt idx="152">
                  <c:v>41.347187959462211</c:v>
                </c:pt>
                <c:pt idx="153">
                  <c:v>50.108971025892032</c:v>
                </c:pt>
                <c:pt idx="154">
                  <c:v>28.454458418869379</c:v>
                </c:pt>
                <c:pt idx="155">
                  <c:v>29.723586192817063</c:v>
                </c:pt>
                <c:pt idx="156">
                  <c:v>39.659379193195591</c:v>
                </c:pt>
                <c:pt idx="157">
                  <c:v>29.846875608411253</c:v>
                </c:pt>
                <c:pt idx="158">
                  <c:v>20.99749480532946</c:v>
                </c:pt>
                <c:pt idx="159">
                  <c:v>41.765209306645602</c:v>
                </c:pt>
                <c:pt idx="160">
                  <c:v>54.860257085449255</c:v>
                </c:pt>
                <c:pt idx="161">
                  <c:v>51.469306922155205</c:v>
                </c:pt>
                <c:pt idx="162">
                  <c:v>40.618912058501508</c:v>
                </c:pt>
                <c:pt idx="163">
                  <c:v>49.902046994911082</c:v>
                </c:pt>
                <c:pt idx="164">
                  <c:v>42.858873093275001</c:v>
                </c:pt>
                <c:pt idx="165">
                  <c:v>50.622664753965836</c:v>
                </c:pt>
                <c:pt idx="166">
                  <c:v>46.994675849554739</c:v>
                </c:pt>
                <c:pt idx="167">
                  <c:v>48.481745953640662</c:v>
                </c:pt>
                <c:pt idx="168">
                  <c:v>50.401588507849297</c:v>
                </c:pt>
                <c:pt idx="169">
                  <c:v>51.653094943663966</c:v>
                </c:pt>
                <c:pt idx="170">
                  <c:v>30.67436958076398</c:v>
                </c:pt>
                <c:pt idx="171">
                  <c:v>18.212126466200584</c:v>
                </c:pt>
                <c:pt idx="172">
                  <c:v>43.985266623622337</c:v>
                </c:pt>
                <c:pt idx="173">
                  <c:v>38.981369031653223</c:v>
                </c:pt>
                <c:pt idx="174">
                  <c:v>41.223592352386973</c:v>
                </c:pt>
                <c:pt idx="175">
                  <c:v>28.875083804274752</c:v>
                </c:pt>
                <c:pt idx="176">
                  <c:v>11.034409311588329</c:v>
                </c:pt>
                <c:pt idx="177">
                  <c:v>16.383880831227362</c:v>
                </c:pt>
                <c:pt idx="178">
                  <c:v>55.904000590177944</c:v>
                </c:pt>
                <c:pt idx="179">
                  <c:v>51.91401590086398</c:v>
                </c:pt>
                <c:pt idx="180">
                  <c:v>12.574841380039722</c:v>
                </c:pt>
                <c:pt idx="181">
                  <c:v>51.296728958844426</c:v>
                </c:pt>
                <c:pt idx="182">
                  <c:v>47.768702680072757</c:v>
                </c:pt>
                <c:pt idx="183">
                  <c:v>40.421133891889305</c:v>
                </c:pt>
                <c:pt idx="184">
                  <c:v>42.41660059429077</c:v>
                </c:pt>
                <c:pt idx="185">
                  <c:v>51.137083418524668</c:v>
                </c:pt>
                <c:pt idx="186">
                  <c:v>39.619957951336119</c:v>
                </c:pt>
                <c:pt idx="187">
                  <c:v>49.203220856527039</c:v>
                </c:pt>
                <c:pt idx="188">
                  <c:v>54.00323081001121</c:v>
                </c:pt>
                <c:pt idx="189">
                  <c:v>53.049030415739161</c:v>
                </c:pt>
                <c:pt idx="190">
                  <c:v>52.518591563548107</c:v>
                </c:pt>
                <c:pt idx="191">
                  <c:v>50.712943550626036</c:v>
                </c:pt>
                <c:pt idx="192">
                  <c:v>50.817738388567534</c:v>
                </c:pt>
                <c:pt idx="193">
                  <c:v>50.50896198897459</c:v>
                </c:pt>
                <c:pt idx="194">
                  <c:v>49.874587415921624</c:v>
                </c:pt>
                <c:pt idx="195">
                  <c:v>48.192471019327542</c:v>
                </c:pt>
                <c:pt idx="196">
                  <c:v>49.634592002928507</c:v>
                </c:pt>
                <c:pt idx="197">
                  <c:v>48.792091176325016</c:v>
                </c:pt>
                <c:pt idx="198">
                  <c:v>49.061205165529529</c:v>
                </c:pt>
                <c:pt idx="199">
                  <c:v>39.681993114179079</c:v>
                </c:pt>
                <c:pt idx="200">
                  <c:v>38.065613107272178</c:v>
                </c:pt>
                <c:pt idx="201">
                  <c:v>48.154551519119899</c:v>
                </c:pt>
                <c:pt idx="202">
                  <c:v>36.273228199128276</c:v>
                </c:pt>
                <c:pt idx="203">
                  <c:v>45.300672092346517</c:v>
                </c:pt>
                <c:pt idx="204">
                  <c:v>47.74314649119512</c:v>
                </c:pt>
                <c:pt idx="205">
                  <c:v>28.84725157687906</c:v>
                </c:pt>
                <c:pt idx="206">
                  <c:v>48.823307947115943</c:v>
                </c:pt>
                <c:pt idx="207">
                  <c:v>51.389263895979354</c:v>
                </c:pt>
                <c:pt idx="208">
                  <c:v>43.819579688302269</c:v>
                </c:pt>
                <c:pt idx="209">
                  <c:v>25.394243912192575</c:v>
                </c:pt>
                <c:pt idx="210">
                  <c:v>43.096944694853114</c:v>
                </c:pt>
                <c:pt idx="211">
                  <c:v>47.58079912337837</c:v>
                </c:pt>
                <c:pt idx="212">
                  <c:v>49.40291217894201</c:v>
                </c:pt>
                <c:pt idx="213">
                  <c:v>47.654867601918099</c:v>
                </c:pt>
                <c:pt idx="214">
                  <c:v>45.902815040687251</c:v>
                </c:pt>
                <c:pt idx="215">
                  <c:v>42.641420644471815</c:v>
                </c:pt>
                <c:pt idx="216">
                  <c:v>41.738611507514591</c:v>
                </c:pt>
                <c:pt idx="217">
                  <c:v>44.250133670544635</c:v>
                </c:pt>
                <c:pt idx="218">
                  <c:v>47.121018895773041</c:v>
                </c:pt>
                <c:pt idx="219">
                  <c:v>47.784167280239906</c:v>
                </c:pt>
                <c:pt idx="220">
                  <c:v>45.960077744752816</c:v>
                </c:pt>
                <c:pt idx="221">
                  <c:v>44.261375522990633</c:v>
                </c:pt>
                <c:pt idx="222">
                  <c:v>40.100439298283867</c:v>
                </c:pt>
                <c:pt idx="223">
                  <c:v>42.640657158053841</c:v>
                </c:pt>
                <c:pt idx="224">
                  <c:v>28.764548570384726</c:v>
                </c:pt>
                <c:pt idx="225">
                  <c:v>30.954459708469244</c:v>
                </c:pt>
                <c:pt idx="226">
                  <c:v>36.309134801832791</c:v>
                </c:pt>
                <c:pt idx="227">
                  <c:v>28.972806073567789</c:v>
                </c:pt>
                <c:pt idx="228">
                  <c:v>20.998322560957345</c:v>
                </c:pt>
                <c:pt idx="229">
                  <c:v>35.407479447384546</c:v>
                </c:pt>
                <c:pt idx="230">
                  <c:v>36.663960183225235</c:v>
                </c:pt>
                <c:pt idx="231">
                  <c:v>43.21914930265185</c:v>
                </c:pt>
                <c:pt idx="232">
                  <c:v>28.382102380191014</c:v>
                </c:pt>
                <c:pt idx="233">
                  <c:v>22.766957036850869</c:v>
                </c:pt>
                <c:pt idx="234">
                  <c:v>40.363043004659936</c:v>
                </c:pt>
                <c:pt idx="235">
                  <c:v>40.761077509601719</c:v>
                </c:pt>
                <c:pt idx="236">
                  <c:v>31.060966884880276</c:v>
                </c:pt>
                <c:pt idx="237">
                  <c:v>37.627912694193</c:v>
                </c:pt>
                <c:pt idx="238">
                  <c:v>43.785247874416868</c:v>
                </c:pt>
                <c:pt idx="239">
                  <c:v>42.233897567294136</c:v>
                </c:pt>
                <c:pt idx="240">
                  <c:v>29.681181260513235</c:v>
                </c:pt>
                <c:pt idx="241">
                  <c:v>41.333352655933609</c:v>
                </c:pt>
                <c:pt idx="242">
                  <c:v>19.41266962449172</c:v>
                </c:pt>
                <c:pt idx="243">
                  <c:v>39.120621055274221</c:v>
                </c:pt>
                <c:pt idx="244">
                  <c:v>34.00932831661185</c:v>
                </c:pt>
                <c:pt idx="245">
                  <c:v>27.993024224991544</c:v>
                </c:pt>
                <c:pt idx="246">
                  <c:v>40.746061884268009</c:v>
                </c:pt>
                <c:pt idx="247">
                  <c:v>35.185378116188204</c:v>
                </c:pt>
                <c:pt idx="248">
                  <c:v>39.474948718683258</c:v>
                </c:pt>
                <c:pt idx="249">
                  <c:v>31.835188664600274</c:v>
                </c:pt>
                <c:pt idx="250">
                  <c:v>34.268930815730528</c:v>
                </c:pt>
                <c:pt idx="251">
                  <c:v>19.490725738782785</c:v>
                </c:pt>
                <c:pt idx="252">
                  <c:v>38.337890651627035</c:v>
                </c:pt>
                <c:pt idx="253">
                  <c:v>38.200641793297166</c:v>
                </c:pt>
                <c:pt idx="254">
                  <c:v>26.558423796130334</c:v>
                </c:pt>
                <c:pt idx="255">
                  <c:v>11.028535372834611</c:v>
                </c:pt>
                <c:pt idx="256">
                  <c:v>32.250605949875393</c:v>
                </c:pt>
                <c:pt idx="257">
                  <c:v>35.199973690631765</c:v>
                </c:pt>
                <c:pt idx="258">
                  <c:v>24.299714474852351</c:v>
                </c:pt>
                <c:pt idx="259">
                  <c:v>38.153144873459205</c:v>
                </c:pt>
                <c:pt idx="260">
                  <c:v>38.459855175973971</c:v>
                </c:pt>
                <c:pt idx="261">
                  <c:v>36.883591312815902</c:v>
                </c:pt>
                <c:pt idx="262">
                  <c:v>37.818637435204352</c:v>
                </c:pt>
                <c:pt idx="263">
                  <c:v>36.736243995256153</c:v>
                </c:pt>
                <c:pt idx="264">
                  <c:v>35.508279801711133</c:v>
                </c:pt>
                <c:pt idx="265">
                  <c:v>22.871181134124214</c:v>
                </c:pt>
                <c:pt idx="266">
                  <c:v>15.349993262019453</c:v>
                </c:pt>
                <c:pt idx="267">
                  <c:v>25.642027815263386</c:v>
                </c:pt>
                <c:pt idx="268">
                  <c:v>27.53635430107073</c:v>
                </c:pt>
                <c:pt idx="269">
                  <c:v>13.454861629391067</c:v>
                </c:pt>
                <c:pt idx="270">
                  <c:v>15.833008427688622</c:v>
                </c:pt>
                <c:pt idx="271">
                  <c:v>21.171647990603393</c:v>
                </c:pt>
                <c:pt idx="272">
                  <c:v>24.461557499499907</c:v>
                </c:pt>
                <c:pt idx="273">
                  <c:v>29.442188434520105</c:v>
                </c:pt>
                <c:pt idx="274">
                  <c:v>31.109565356715965</c:v>
                </c:pt>
                <c:pt idx="275">
                  <c:v>29.358940767729727</c:v>
                </c:pt>
                <c:pt idx="276">
                  <c:v>31.400938435891192</c:v>
                </c:pt>
                <c:pt idx="277">
                  <c:v>31.723303579368636</c:v>
                </c:pt>
                <c:pt idx="278">
                  <c:v>13.636421961968423</c:v>
                </c:pt>
                <c:pt idx="279">
                  <c:v>23.425123373287803</c:v>
                </c:pt>
                <c:pt idx="280">
                  <c:v>14.352593241683989</c:v>
                </c:pt>
                <c:pt idx="281">
                  <c:v>29.005827722049528</c:v>
                </c:pt>
                <c:pt idx="282">
                  <c:v>24.78826698684988</c:v>
                </c:pt>
                <c:pt idx="283">
                  <c:v>21.440988560350551</c:v>
                </c:pt>
                <c:pt idx="284">
                  <c:v>23.143878345504763</c:v>
                </c:pt>
                <c:pt idx="285">
                  <c:v>19.101880110819739</c:v>
                </c:pt>
                <c:pt idx="286">
                  <c:v>16.041827406461664</c:v>
                </c:pt>
                <c:pt idx="287">
                  <c:v>27.197946407194031</c:v>
                </c:pt>
                <c:pt idx="288">
                  <c:v>25.318283815818802</c:v>
                </c:pt>
                <c:pt idx="289">
                  <c:v>16.148523089547936</c:v>
                </c:pt>
                <c:pt idx="290">
                  <c:v>25.265198314197612</c:v>
                </c:pt>
                <c:pt idx="291">
                  <c:v>13.672803020954637</c:v>
                </c:pt>
                <c:pt idx="292">
                  <c:v>7.5838452479184113</c:v>
                </c:pt>
                <c:pt idx="293">
                  <c:v>13.277983852203624</c:v>
                </c:pt>
                <c:pt idx="294">
                  <c:v>23.562095528673836</c:v>
                </c:pt>
                <c:pt idx="295">
                  <c:v>15.941118206083857</c:v>
                </c:pt>
                <c:pt idx="296">
                  <c:v>18.867169658601668</c:v>
                </c:pt>
                <c:pt idx="297">
                  <c:v>17.458709446748816</c:v>
                </c:pt>
                <c:pt idx="298">
                  <c:v>13.846409974366827</c:v>
                </c:pt>
                <c:pt idx="299">
                  <c:v>11.079567995153665</c:v>
                </c:pt>
                <c:pt idx="300">
                  <c:v>15.094920188964196</c:v>
                </c:pt>
                <c:pt idx="301">
                  <c:v>19.185816150238868</c:v>
                </c:pt>
                <c:pt idx="302">
                  <c:v>16.55371355138896</c:v>
                </c:pt>
                <c:pt idx="303">
                  <c:v>16.139788465286028</c:v>
                </c:pt>
                <c:pt idx="304">
                  <c:v>15.24767381206742</c:v>
                </c:pt>
                <c:pt idx="305">
                  <c:v>20.665497082467571</c:v>
                </c:pt>
                <c:pt idx="306">
                  <c:v>5.4438810668890296</c:v>
                </c:pt>
                <c:pt idx="307">
                  <c:v>11.265260069771839</c:v>
                </c:pt>
                <c:pt idx="308">
                  <c:v>19.738282035103197</c:v>
                </c:pt>
                <c:pt idx="309">
                  <c:v>19.796104643152479</c:v>
                </c:pt>
                <c:pt idx="310">
                  <c:v>19.670964116579029</c:v>
                </c:pt>
                <c:pt idx="311">
                  <c:v>13.014128753764631</c:v>
                </c:pt>
                <c:pt idx="312">
                  <c:v>7.7011723264464198</c:v>
                </c:pt>
                <c:pt idx="313">
                  <c:v>17.334814360245211</c:v>
                </c:pt>
                <c:pt idx="314">
                  <c:v>17.874192830808518</c:v>
                </c:pt>
                <c:pt idx="315">
                  <c:v>17.748939191225734</c:v>
                </c:pt>
                <c:pt idx="316">
                  <c:v>15.754006269812285</c:v>
                </c:pt>
                <c:pt idx="317">
                  <c:v>9.0973601342038215</c:v>
                </c:pt>
                <c:pt idx="318">
                  <c:v>11.089743736060363</c:v>
                </c:pt>
                <c:pt idx="319">
                  <c:v>17.38608377087424</c:v>
                </c:pt>
                <c:pt idx="320">
                  <c:v>11.419656426510178</c:v>
                </c:pt>
                <c:pt idx="321">
                  <c:v>10.807475488058209</c:v>
                </c:pt>
                <c:pt idx="322">
                  <c:v>7.9530672478947535</c:v>
                </c:pt>
                <c:pt idx="323">
                  <c:v>13.010865002802255</c:v>
                </c:pt>
                <c:pt idx="324">
                  <c:v>3.1075169664647255</c:v>
                </c:pt>
                <c:pt idx="325">
                  <c:v>8.237246076768054</c:v>
                </c:pt>
                <c:pt idx="326">
                  <c:v>12.252602757930113</c:v>
                </c:pt>
                <c:pt idx="327">
                  <c:v>11.081499563926915</c:v>
                </c:pt>
                <c:pt idx="328">
                  <c:v>4.5485701867331523</c:v>
                </c:pt>
                <c:pt idx="329">
                  <c:v>9.7679304511405913</c:v>
                </c:pt>
                <c:pt idx="330">
                  <c:v>11.595596899721937</c:v>
                </c:pt>
                <c:pt idx="331">
                  <c:v>9.1454038388625065</c:v>
                </c:pt>
                <c:pt idx="332">
                  <c:v>10.355219037609679</c:v>
                </c:pt>
                <c:pt idx="333">
                  <c:v>4.2071681048901288</c:v>
                </c:pt>
                <c:pt idx="334">
                  <c:v>3.6428195744457343</c:v>
                </c:pt>
                <c:pt idx="335">
                  <c:v>5.0308777000179781</c:v>
                </c:pt>
                <c:pt idx="336">
                  <c:v>7.9057703473820471</c:v>
                </c:pt>
                <c:pt idx="337">
                  <c:v>13.429611238987997</c:v>
                </c:pt>
                <c:pt idx="338">
                  <c:v>15.761703679364608</c:v>
                </c:pt>
                <c:pt idx="339">
                  <c:v>11.317249020816533</c:v>
                </c:pt>
                <c:pt idx="340">
                  <c:v>13.932418040890456</c:v>
                </c:pt>
                <c:pt idx="341">
                  <c:v>4.1615414858893276</c:v>
                </c:pt>
                <c:pt idx="342">
                  <c:v>7.9369471249327699</c:v>
                </c:pt>
                <c:pt idx="343">
                  <c:v>11.632021916792235</c:v>
                </c:pt>
                <c:pt idx="344">
                  <c:v>12.189723500488396</c:v>
                </c:pt>
                <c:pt idx="345">
                  <c:v>4.2352442889690591</c:v>
                </c:pt>
                <c:pt idx="346">
                  <c:v>5.1001498339776346</c:v>
                </c:pt>
                <c:pt idx="347">
                  <c:v>12.012407933437046</c:v>
                </c:pt>
                <c:pt idx="348">
                  <c:v>5.8911268574599731</c:v>
                </c:pt>
                <c:pt idx="349">
                  <c:v>5.2028670315571981</c:v>
                </c:pt>
                <c:pt idx="350">
                  <c:v>3.2249831027895515</c:v>
                </c:pt>
                <c:pt idx="351">
                  <c:v>12.556792224153803</c:v>
                </c:pt>
                <c:pt idx="352">
                  <c:v>12.315630982601979</c:v>
                </c:pt>
                <c:pt idx="353">
                  <c:v>3.9143998036787266</c:v>
                </c:pt>
                <c:pt idx="354">
                  <c:v>14.271057716765329</c:v>
                </c:pt>
                <c:pt idx="355">
                  <c:v>12.658426371940861</c:v>
                </c:pt>
                <c:pt idx="356">
                  <c:v>13.262314736185347</c:v>
                </c:pt>
                <c:pt idx="357">
                  <c:v>15.098993096785405</c:v>
                </c:pt>
                <c:pt idx="358">
                  <c:v>8.5336999572419021</c:v>
                </c:pt>
                <c:pt idx="359">
                  <c:v>13.268138134033752</c:v>
                </c:pt>
                <c:pt idx="360">
                  <c:v>6.3193334238362411</c:v>
                </c:pt>
                <c:pt idx="361">
                  <c:v>14.055602333777479</c:v>
                </c:pt>
                <c:pt idx="362">
                  <c:v>9.440078180011124</c:v>
                </c:pt>
                <c:pt idx="363">
                  <c:v>11.991335985687483</c:v>
                </c:pt>
                <c:pt idx="364">
                  <c:v>9.3549828170061726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912440"/>
        <c:axId val="443912832"/>
      </c:lineChart>
      <c:dateAx>
        <c:axId val="443912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12832"/>
        <c:crosses val="autoZero"/>
        <c:auto val="1"/>
        <c:lblOffset val="100"/>
        <c:baseTimeUnit val="days"/>
        <c:majorUnit val="1"/>
        <c:majorTimeUnit val="months"/>
      </c:dateAx>
      <c:valAx>
        <c:axId val="44391283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1244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5.3109869318555769E-2</c:v>
                </c:pt>
                <c:pt idx="1">
                  <c:v>5.3131904835214128E-2</c:v>
                </c:pt>
                <c:pt idx="2">
                  <c:v>5.3153939839073905E-2</c:v>
                </c:pt>
                <c:pt idx="3">
                  <c:v>5.3175974330146869E-2</c:v>
                </c:pt>
                <c:pt idx="4">
                  <c:v>5.3198008308445122E-2</c:v>
                </c:pt>
                <c:pt idx="5">
                  <c:v>5.3220041773980431E-2</c:v>
                </c:pt>
                <c:pt idx="6">
                  <c:v>5.3242074726764899E-2</c:v>
                </c:pt>
                <c:pt idx="7">
                  <c:v>5.3264107166810293E-2</c:v>
                </c:pt>
                <c:pt idx="8">
                  <c:v>5.3286139094128715E-2</c:v>
                </c:pt>
                <c:pt idx="9">
                  <c:v>5.3308170508731934E-2</c:v>
                </c:pt>
                <c:pt idx="10">
                  <c:v>5.3330201410631939E-2</c:v>
                </c:pt>
                <c:pt idx="11">
                  <c:v>5.335223179984061E-2</c:v>
                </c:pt>
                <c:pt idx="12">
                  <c:v>5.3374261676370049E-2</c:v>
                </c:pt>
                <c:pt idx="13">
                  <c:v>5.3396291040232025E-2</c:v>
                </c:pt>
                <c:pt idx="14">
                  <c:v>5.3418319891438526E-2</c:v>
                </c:pt>
                <c:pt idx="15">
                  <c:v>5.3440348230001433E-2</c:v>
                </c:pt>
                <c:pt idx="16">
                  <c:v>5.3462376055932848E-2</c:v>
                </c:pt>
                <c:pt idx="17">
                  <c:v>5.3484403369244427E-2</c:v>
                </c:pt>
                <c:pt idx="18">
                  <c:v>5.3506430169948382E-2</c:v>
                </c:pt>
                <c:pt idx="19">
                  <c:v>5.3528456458056373E-2</c:v>
                </c:pt>
                <c:pt idx="20">
                  <c:v>5.355048223358061E-2</c:v>
                </c:pt>
                <c:pt idx="21">
                  <c:v>5.3572507496532751E-2</c:v>
                </c:pt>
                <c:pt idx="22">
                  <c:v>5.3594532246924897E-2</c:v>
                </c:pt>
                <c:pt idx="23">
                  <c:v>5.3616556484768929E-2</c:v>
                </c:pt>
                <c:pt idx="24">
                  <c:v>5.3638580210076725E-2</c:v>
                </c:pt>
                <c:pt idx="25">
                  <c:v>5.3660603422860276E-2</c:v>
                </c:pt>
                <c:pt idx="26">
                  <c:v>5.3682626123131572E-2</c:v>
                </c:pt>
                <c:pt idx="27">
                  <c:v>5.3704648310902381E-2</c:v>
                </c:pt>
                <c:pt idx="28">
                  <c:v>5.3726669986184694E-2</c:v>
                </c:pt>
                <c:pt idx="29">
                  <c:v>5.3748691148990502E-2</c:v>
                </c:pt>
                <c:pt idx="30">
                  <c:v>5.3770711799331683E-2</c:v>
                </c:pt>
                <c:pt idx="31">
                  <c:v>5.3792731937220117E-2</c:v>
                </c:pt>
                <c:pt idx="32">
                  <c:v>5.3814751562667795E-2</c:v>
                </c:pt>
                <c:pt idx="33">
                  <c:v>5.3836770675686596E-2</c:v>
                </c:pt>
                <c:pt idx="34">
                  <c:v>5.385878927628851E-2</c:v>
                </c:pt>
                <c:pt idx="35">
                  <c:v>5.3880807364485306E-2</c:v>
                </c:pt>
                <c:pt idx="36">
                  <c:v>5.3902824940289196E-2</c:v>
                </c:pt>
                <c:pt idx="37">
                  <c:v>5.3924842003711837E-2</c:v>
                </c:pt>
                <c:pt idx="38">
                  <c:v>5.394685855476522E-2</c:v>
                </c:pt>
                <c:pt idx="39">
                  <c:v>5.3968874593461336E-2</c:v>
                </c:pt>
                <c:pt idx="40">
                  <c:v>5.3990890119812063E-2</c:v>
                </c:pt>
                <c:pt idx="41">
                  <c:v>5.4012905133829392E-2</c:v>
                </c:pt>
                <c:pt idx="42">
                  <c:v>5.4034919635525092E-2</c:v>
                </c:pt>
                <c:pt idx="43">
                  <c:v>5.4056933624911263E-2</c:v>
                </c:pt>
                <c:pt idx="44">
                  <c:v>5.4078947101999675E-2</c:v>
                </c:pt>
                <c:pt idx="45">
                  <c:v>5.4100960066802317E-2</c:v>
                </c:pt>
                <c:pt idx="46">
                  <c:v>5.412297251933107E-2</c:v>
                </c:pt>
                <c:pt idx="47">
                  <c:v>5.4144984459598033E-2</c:v>
                </c:pt>
                <c:pt idx="48">
                  <c:v>5.4166995887614866E-2</c:v>
                </c:pt>
                <c:pt idx="49">
                  <c:v>5.4189006803393669E-2</c:v>
                </c:pt>
                <c:pt idx="50">
                  <c:v>5.421101720694621E-2</c:v>
                </c:pt>
                <c:pt idx="51">
                  <c:v>5.4233027098284592E-2</c:v>
                </c:pt>
                <c:pt idx="52">
                  <c:v>5.4255036477420693E-2</c:v>
                </c:pt>
                <c:pt idx="53">
                  <c:v>5.4277045344366281E-2</c:v>
                </c:pt>
                <c:pt idx="54">
                  <c:v>5.4299053699133459E-2</c:v>
                </c:pt>
                <c:pt idx="55">
                  <c:v>5.4321061541733995E-2</c:v>
                </c:pt>
                <c:pt idx="56">
                  <c:v>5.4343068872179989E-2</c:v>
                </c:pt>
                <c:pt idx="57">
                  <c:v>5.4365075690483211E-2</c:v>
                </c:pt>
                <c:pt idx="58">
                  <c:v>5.438708199665554E-2</c:v>
                </c:pt>
                <c:pt idx="59">
                  <c:v>5.4409087790709076E-2</c:v>
                </c:pt>
                <c:pt idx="60">
                  <c:v>5.443109307265559E-2</c:v>
                </c:pt>
                <c:pt idx="61">
                  <c:v>5.445309784250707E-2</c:v>
                </c:pt>
                <c:pt idx="62">
                  <c:v>5.4475102100275397E-2</c:v>
                </c:pt>
                <c:pt idx="63">
                  <c:v>5.4497105845972449E-2</c:v>
                </c:pt>
                <c:pt idx="64">
                  <c:v>5.4519109079610328E-2</c:v>
                </c:pt>
                <c:pt idx="65">
                  <c:v>5.4541111801200692E-2</c:v>
                </c:pt>
                <c:pt idx="66">
                  <c:v>5.4563114010755642E-2</c:v>
                </c:pt>
                <c:pt idx="67">
                  <c:v>5.4585115708286946E-2</c:v>
                </c:pt>
                <c:pt idx="68">
                  <c:v>5.4607116893806706E-2</c:v>
                </c:pt>
                <c:pt idx="69">
                  <c:v>5.462911756732669E-2</c:v>
                </c:pt>
                <c:pt idx="70">
                  <c:v>5.4651117728858889E-2</c:v>
                </c:pt>
                <c:pt idx="71">
                  <c:v>5.4673117378415181E-2</c:v>
                </c:pt>
                <c:pt idx="72">
                  <c:v>5.4695116516007447E-2</c:v>
                </c:pt>
                <c:pt idx="73">
                  <c:v>5.4717115141647676E-2</c:v>
                </c:pt>
                <c:pt idx="74">
                  <c:v>5.4739113255347749E-2</c:v>
                </c:pt>
                <c:pt idx="75">
                  <c:v>5.4761110857119544E-2</c:v>
                </c:pt>
                <c:pt idx="76">
                  <c:v>5.4783107946975051E-2</c:v>
                </c:pt>
                <c:pt idx="77">
                  <c:v>5.4805104524926151E-2</c:v>
                </c:pt>
                <c:pt idx="78">
                  <c:v>5.4827100590984723E-2</c:v>
                </c:pt>
                <c:pt idx="79">
                  <c:v>5.4849096145162757E-2</c:v>
                </c:pt>
                <c:pt idx="80">
                  <c:v>5.4871091187472021E-2</c:v>
                </c:pt>
                <c:pt idx="81">
                  <c:v>5.4893085717924506E-2</c:v>
                </c:pt>
                <c:pt idx="82">
                  <c:v>5.4915079736532202E-2</c:v>
                </c:pt>
                <c:pt idx="83">
                  <c:v>5.4937073243306989E-2</c:v>
                </c:pt>
                <c:pt idx="84">
                  <c:v>5.4959066238260634E-2</c:v>
                </c:pt>
                <c:pt idx="85">
                  <c:v>5.498105872140524E-2</c:v>
                </c:pt>
                <c:pt idx="86">
                  <c:v>5.5003050692752686E-2</c:v>
                </c:pt>
                <c:pt idx="87">
                  <c:v>5.502504215231474E-2</c:v>
                </c:pt>
                <c:pt idx="88">
                  <c:v>5.5047033100103393E-2</c:v>
                </c:pt>
                <c:pt idx="89">
                  <c:v>5.5069023536130524E-2</c:v>
                </c:pt>
                <c:pt idx="90">
                  <c:v>5.5091013460408234E-2</c:v>
                </c:pt>
                <c:pt idx="91">
                  <c:v>5.511300287294818E-2</c:v>
                </c:pt>
                <c:pt idx="92">
                  <c:v>5.5134991773762354E-2</c:v>
                </c:pt>
                <c:pt idx="93">
                  <c:v>5.5156980162862745E-2</c:v>
                </c:pt>
                <c:pt idx="94">
                  <c:v>5.5178968040261123E-2</c:v>
                </c:pt>
                <c:pt idx="95">
                  <c:v>5.5200955405969587E-2</c:v>
                </c:pt>
                <c:pt idx="96">
                  <c:v>5.5222942259999797E-2</c:v>
                </c:pt>
                <c:pt idx="97">
                  <c:v>5.5244928602363852E-2</c:v>
                </c:pt>
                <c:pt idx="98">
                  <c:v>5.5266914433073633E-2</c:v>
                </c:pt>
                <c:pt idx="99">
                  <c:v>5.5288899752141019E-2</c:v>
                </c:pt>
                <c:pt idx="100">
                  <c:v>5.5310884559577889E-2</c:v>
                </c:pt>
                <c:pt idx="101">
                  <c:v>5.5332868855396122E-2</c:v>
                </c:pt>
                <c:pt idx="102">
                  <c:v>5.535485263960771E-2</c:v>
                </c:pt>
                <c:pt idx="103">
                  <c:v>5.5376835912224531E-2</c:v>
                </c:pt>
                <c:pt idx="104">
                  <c:v>5.5398818673258465E-2</c:v>
                </c:pt>
                <c:pt idx="105">
                  <c:v>5.5420800922721503E-2</c:v>
                </c:pt>
                <c:pt idx="106">
                  <c:v>5.5442782660625411E-2</c:v>
                </c:pt>
                <c:pt idx="107">
                  <c:v>5.5464763886982182E-2</c:v>
                </c:pt>
                <c:pt idx="108">
                  <c:v>5.5486744601803695E-2</c:v>
                </c:pt>
                <c:pt idx="109">
                  <c:v>5.5508724805101828E-2</c:v>
                </c:pt>
                <c:pt idx="110">
                  <c:v>5.5530704496888572E-2</c:v>
                </c:pt>
                <c:pt idx="111">
                  <c:v>5.5552683677175807E-2</c:v>
                </c:pt>
                <c:pt idx="112">
                  <c:v>5.5574662345975301E-2</c:v>
                </c:pt>
                <c:pt idx="113">
                  <c:v>5.5596640503299155E-2</c:v>
                </c:pt>
                <c:pt idx="114">
                  <c:v>5.5618618149159138E-2</c:v>
                </c:pt>
                <c:pt idx="115">
                  <c:v>5.564059528356724E-2</c:v>
                </c:pt>
                <c:pt idx="116">
                  <c:v>5.566257190653523E-2</c:v>
                </c:pt>
                <c:pt idx="117">
                  <c:v>5.5684548018075208E-2</c:v>
                </c:pt>
                <c:pt idx="118">
                  <c:v>5.5706523618198944E-2</c:v>
                </c:pt>
                <c:pt idx="119">
                  <c:v>5.5728498706918317E-2</c:v>
                </c:pt>
                <c:pt idx="120">
                  <c:v>5.5750473284245317E-2</c:v>
                </c:pt>
                <c:pt idx="121">
                  <c:v>5.5772447350191712E-2</c:v>
                </c:pt>
                <c:pt idx="122">
                  <c:v>5.5794420904769604E-2</c:v>
                </c:pt>
                <c:pt idx="123">
                  <c:v>5.581639394799065E-2</c:v>
                </c:pt>
                <c:pt idx="124">
                  <c:v>5.5838366479866952E-2</c:v>
                </c:pt>
                <c:pt idx="125">
                  <c:v>5.5860338500410389E-2</c:v>
                </c:pt>
                <c:pt idx="126">
                  <c:v>5.588231000963273E-2</c:v>
                </c:pt>
                <c:pt idx="127">
                  <c:v>5.5904281007545964E-2</c:v>
                </c:pt>
                <c:pt idx="128">
                  <c:v>5.5926251494161972E-2</c:v>
                </c:pt>
                <c:pt idx="129">
                  <c:v>5.5948221469492743E-2</c:v>
                </c:pt>
                <c:pt idx="130">
                  <c:v>5.5970190933550046E-2</c:v>
                </c:pt>
                <c:pt idx="131">
                  <c:v>5.599215988634576E-2</c:v>
                </c:pt>
                <c:pt idx="132">
                  <c:v>5.6014128327891877E-2</c:v>
                </c:pt>
                <c:pt idx="133">
                  <c:v>5.6036096258200385E-2</c:v>
                </c:pt>
                <c:pt idx="134">
                  <c:v>5.6058063677282943E-2</c:v>
                </c:pt>
                <c:pt idx="135">
                  <c:v>5.6080030585151541E-2</c:v>
                </c:pt>
                <c:pt idx="136">
                  <c:v>5.610199698181817E-2</c:v>
                </c:pt>
                <c:pt idx="137">
                  <c:v>5.6123962867294597E-2</c:v>
                </c:pt>
                <c:pt idx="138">
                  <c:v>5.6145928241592813E-2</c:v>
                </c:pt>
                <c:pt idx="139">
                  <c:v>5.6167893104724698E-2</c:v>
                </c:pt>
                <c:pt idx="140">
                  <c:v>5.618985745670213E-2</c:v>
                </c:pt>
                <c:pt idx="141">
                  <c:v>5.621182129753699E-2</c:v>
                </c:pt>
                <c:pt idx="142">
                  <c:v>5.6233784627241157E-2</c:v>
                </c:pt>
                <c:pt idx="143">
                  <c:v>5.625574744582662E-2</c:v>
                </c:pt>
                <c:pt idx="144">
                  <c:v>5.627770975330515E-2</c:v>
                </c:pt>
                <c:pt idx="145">
                  <c:v>5.6299671549688735E-2</c:v>
                </c:pt>
                <c:pt idx="146">
                  <c:v>5.6321632834989255E-2</c:v>
                </c:pt>
                <c:pt idx="147">
                  <c:v>5.6343593609218479E-2</c:v>
                </c:pt>
                <c:pt idx="148">
                  <c:v>5.6365553872388507E-2</c:v>
                </c:pt>
                <c:pt idx="149">
                  <c:v>5.638751362451111E-2</c:v>
                </c:pt>
                <c:pt idx="150">
                  <c:v>5.6409472865598165E-2</c:v>
                </c:pt>
                <c:pt idx="151">
                  <c:v>5.6431431595661663E-2</c:v>
                </c:pt>
                <c:pt idx="152">
                  <c:v>5.6453389814713373E-2</c:v>
                </c:pt>
                <c:pt idx="153">
                  <c:v>5.6475347522765285E-2</c:v>
                </c:pt>
                <c:pt idx="154">
                  <c:v>5.6497304719829278E-2</c:v>
                </c:pt>
                <c:pt idx="155">
                  <c:v>5.6519261405917121E-2</c:v>
                </c:pt>
                <c:pt idx="156">
                  <c:v>5.6541217581040804E-2</c:v>
                </c:pt>
                <c:pt idx="157">
                  <c:v>5.6563173245212317E-2</c:v>
                </c:pt>
                <c:pt idx="158">
                  <c:v>5.6585128398443429E-2</c:v>
                </c:pt>
                <c:pt idx="159">
                  <c:v>5.660708304074602E-2</c:v>
                </c:pt>
                <c:pt idx="160">
                  <c:v>5.6629037172131969E-2</c:v>
                </c:pt>
                <c:pt idx="161">
                  <c:v>5.6650990792613265E-2</c:v>
                </c:pt>
                <c:pt idx="162">
                  <c:v>5.6672943902201678E-2</c:v>
                </c:pt>
                <c:pt idx="163">
                  <c:v>5.6694896500909198E-2</c:v>
                </c:pt>
                <c:pt idx="164">
                  <c:v>5.6716848588747704E-2</c:v>
                </c:pt>
                <c:pt idx="165">
                  <c:v>5.6738800165729075E-2</c:v>
                </c:pt>
                <c:pt idx="166">
                  <c:v>5.6760751231865081E-2</c:v>
                </c:pt>
                <c:pt idx="167">
                  <c:v>5.6782701787167822E-2</c:v>
                </c:pt>
                <c:pt idx="168">
                  <c:v>5.6804651831649067E-2</c:v>
                </c:pt>
                <c:pt idx="169">
                  <c:v>5.6826601365320584E-2</c:v>
                </c:pt>
                <c:pt idx="170">
                  <c:v>5.6848550388194474E-2</c:v>
                </c:pt>
                <c:pt idx="171">
                  <c:v>5.6870498900282507E-2</c:v>
                </c:pt>
                <c:pt idx="172">
                  <c:v>5.6892446901596672E-2</c:v>
                </c:pt>
                <c:pt idx="173">
                  <c:v>5.6914394392148737E-2</c:v>
                </c:pt>
                <c:pt idx="174">
                  <c:v>5.6936341371950583E-2</c:v>
                </c:pt>
                <c:pt idx="175">
                  <c:v>5.6958287841014199E-2</c:v>
                </c:pt>
                <c:pt idx="176">
                  <c:v>5.6980233799351465E-2</c:v>
                </c:pt>
                <c:pt idx="177">
                  <c:v>5.700217924697415E-2</c:v>
                </c:pt>
                <c:pt idx="178">
                  <c:v>5.7024124183894243E-2</c:v>
                </c:pt>
                <c:pt idx="179">
                  <c:v>5.7046068610123513E-2</c:v>
                </c:pt>
                <c:pt idx="180">
                  <c:v>5.7068012525674061E-2</c:v>
                </c:pt>
                <c:pt idx="181">
                  <c:v>5.7089955930557545E-2</c:v>
                </c:pt>
                <c:pt idx="182">
                  <c:v>5.7111898824785956E-2</c:v>
                </c:pt>
                <c:pt idx="183">
                  <c:v>5.7133841208371172E-2</c:v>
                </c:pt>
                <c:pt idx="184">
                  <c:v>5.7155783081325073E-2</c:v>
                </c:pt>
                <c:pt idx="185">
                  <c:v>5.7177724443659539E-2</c:v>
                </c:pt>
                <c:pt idx="186">
                  <c:v>5.7199665295386337E-2</c:v>
                </c:pt>
                <c:pt idx="187">
                  <c:v>5.722160563651757E-2</c:v>
                </c:pt>
                <c:pt idx="188">
                  <c:v>5.7243545467065005E-2</c:v>
                </c:pt>
                <c:pt idx="189">
                  <c:v>5.7265484787040521E-2</c:v>
                </c:pt>
                <c:pt idx="190">
                  <c:v>5.7287423596456E-2</c:v>
                </c:pt>
                <c:pt idx="191">
                  <c:v>5.730936189532343E-2</c:v>
                </c:pt>
                <c:pt idx="192">
                  <c:v>5.7331299683654469E-2</c:v>
                </c:pt>
                <c:pt idx="193">
                  <c:v>5.7353236961461218E-2</c:v>
                </c:pt>
                <c:pt idx="194">
                  <c:v>5.7375173728755335E-2</c:v>
                </c:pt>
                <c:pt idx="195">
                  <c:v>5.7397109985548922E-2</c:v>
                </c:pt>
                <c:pt idx="196">
                  <c:v>5.7419045731853746E-2</c:v>
                </c:pt>
                <c:pt idx="197">
                  <c:v>5.7440980967681687E-2</c:v>
                </c:pt>
                <c:pt idx="198">
                  <c:v>5.7462915693044736E-2</c:v>
                </c:pt>
                <c:pt idx="199">
                  <c:v>5.7484849907954549E-2</c:v>
                </c:pt>
                <c:pt idx="200">
                  <c:v>5.7506783612423229E-2</c:v>
                </c:pt>
                <c:pt idx="201">
                  <c:v>5.7528716806462543E-2</c:v>
                </c:pt>
                <c:pt idx="202">
                  <c:v>5.7550649490084371E-2</c:v>
                </c:pt>
                <c:pt idx="203">
                  <c:v>5.7572581663300704E-2</c:v>
                </c:pt>
                <c:pt idx="204">
                  <c:v>5.7594513326123198E-2</c:v>
                </c:pt>
                <c:pt idx="205">
                  <c:v>5.7616444478563955E-2</c:v>
                </c:pt>
                <c:pt idx="206">
                  <c:v>5.7638375120634633E-2</c:v>
                </c:pt>
                <c:pt idx="207">
                  <c:v>5.7660305252347333E-2</c:v>
                </c:pt>
                <c:pt idx="208">
                  <c:v>5.7682234873713822E-2</c:v>
                </c:pt>
                <c:pt idx="209">
                  <c:v>5.7704163984745982E-2</c:v>
                </c:pt>
                <c:pt idx="210">
                  <c:v>5.7726092585455691E-2</c:v>
                </c:pt>
                <c:pt idx="211">
                  <c:v>5.7748020675854717E-2</c:v>
                </c:pt>
                <c:pt idx="212">
                  <c:v>5.7769948255955161E-2</c:v>
                </c:pt>
                <c:pt idx="213">
                  <c:v>5.7791875325768793E-2</c:v>
                </c:pt>
                <c:pt idx="214">
                  <c:v>5.7813801885307381E-2</c:v>
                </c:pt>
                <c:pt idx="215">
                  <c:v>5.7835727934583026E-2</c:v>
                </c:pt>
                <c:pt idx="216">
                  <c:v>5.7857653473607384E-2</c:v>
                </c:pt>
                <c:pt idx="217">
                  <c:v>5.7879578502392448E-2</c:v>
                </c:pt>
                <c:pt idx="218">
                  <c:v>5.7901503020949985E-2</c:v>
                </c:pt>
                <c:pt idx="219">
                  <c:v>5.7923427029292096E-2</c:v>
                </c:pt>
                <c:pt idx="220">
                  <c:v>5.7945350527430328E-2</c:v>
                </c:pt>
                <c:pt idx="221">
                  <c:v>5.7967273515376894E-2</c:v>
                </c:pt>
                <c:pt idx="222">
                  <c:v>5.798919599314345E-2</c:v>
                </c:pt>
                <c:pt idx="223">
                  <c:v>5.8011117960741876E-2</c:v>
                </c:pt>
                <c:pt idx="224">
                  <c:v>5.8033039418184051E-2</c:v>
                </c:pt>
                <c:pt idx="225">
                  <c:v>5.8054960365481967E-2</c:v>
                </c:pt>
                <c:pt idx="226">
                  <c:v>5.807688080264739E-2</c:v>
                </c:pt>
                <c:pt idx="227">
                  <c:v>5.8098800729692313E-2</c:v>
                </c:pt>
                <c:pt idx="228">
                  <c:v>5.8120720146628391E-2</c:v>
                </c:pt>
                <c:pt idx="229">
                  <c:v>5.8142639053467615E-2</c:v>
                </c:pt>
                <c:pt idx="230">
                  <c:v>5.8164557450221865E-2</c:v>
                </c:pt>
                <c:pt idx="231">
                  <c:v>5.8186475336903021E-2</c:v>
                </c:pt>
                <c:pt idx="232">
                  <c:v>5.8208392713522961E-2</c:v>
                </c:pt>
                <c:pt idx="233">
                  <c:v>5.8230309580093564E-2</c:v>
                </c:pt>
                <c:pt idx="234">
                  <c:v>5.82522259366266E-2</c:v>
                </c:pt>
                <c:pt idx="235">
                  <c:v>5.8274141783133948E-2</c:v>
                </c:pt>
                <c:pt idx="236">
                  <c:v>5.8296057119627598E-2</c:v>
                </c:pt>
                <c:pt idx="237">
                  <c:v>5.8317971946119318E-2</c:v>
                </c:pt>
                <c:pt idx="238">
                  <c:v>5.8339886262621099E-2</c:v>
                </c:pt>
                <c:pt idx="239">
                  <c:v>5.8361800069144598E-2</c:v>
                </c:pt>
                <c:pt idx="240">
                  <c:v>5.8383713365701917E-2</c:v>
                </c:pt>
                <c:pt idx="241">
                  <c:v>5.8405626152304713E-2</c:v>
                </c:pt>
                <c:pt idx="242">
                  <c:v>5.8427538428964976E-2</c:v>
                </c:pt>
                <c:pt idx="243">
                  <c:v>5.8449450195694586E-2</c:v>
                </c:pt>
                <c:pt idx="244">
                  <c:v>5.8471361452505421E-2</c:v>
                </c:pt>
                <c:pt idx="245">
                  <c:v>5.8493272199409141E-2</c:v>
                </c:pt>
                <c:pt idx="246">
                  <c:v>5.8515182436417956E-2</c:v>
                </c:pt>
                <c:pt idx="247">
                  <c:v>5.8537092163543414E-2</c:v>
                </c:pt>
                <c:pt idx="248">
                  <c:v>5.8559001380797504E-2</c:v>
                </c:pt>
                <c:pt idx="249">
                  <c:v>5.8580910088192217E-2</c:v>
                </c:pt>
                <c:pt idx="250">
                  <c:v>5.8602818285739211E-2</c:v>
                </c:pt>
                <c:pt idx="251">
                  <c:v>5.8624725973450476E-2</c:v>
                </c:pt>
                <c:pt idx="252">
                  <c:v>5.864663315133789E-2</c:v>
                </c:pt>
                <c:pt idx="253">
                  <c:v>5.8668539819413223E-2</c:v>
                </c:pt>
                <c:pt idx="254">
                  <c:v>5.8690445977688355E-2</c:v>
                </c:pt>
                <c:pt idx="255">
                  <c:v>5.8712351626175163E-2</c:v>
                </c:pt>
                <c:pt idx="256">
                  <c:v>5.873425676488564E-2</c:v>
                </c:pt>
                <c:pt idx="257">
                  <c:v>5.8756161393831441E-2</c:v>
                </c:pt>
                <c:pt idx="258">
                  <c:v>5.8778065513024558E-2</c:v>
                </c:pt>
                <c:pt idx="259">
                  <c:v>5.8799969122476758E-2</c:v>
                </c:pt>
                <c:pt idx="260">
                  <c:v>5.8821872222200033E-2</c:v>
                </c:pt>
                <c:pt idx="261">
                  <c:v>5.8843774812206262E-2</c:v>
                </c:pt>
                <c:pt idx="262">
                  <c:v>5.8865676892507102E-2</c:v>
                </c:pt>
                <c:pt idx="263">
                  <c:v>5.8887578463114543E-2</c:v>
                </c:pt>
                <c:pt idx="264">
                  <c:v>5.8909479524040465E-2</c:v>
                </c:pt>
                <c:pt idx="265">
                  <c:v>5.8931380075296746E-2</c:v>
                </c:pt>
                <c:pt idx="266">
                  <c:v>5.8953280116895157E-2</c:v>
                </c:pt>
                <c:pt idx="267">
                  <c:v>5.8975179648847575E-2</c:v>
                </c:pt>
                <c:pt idx="268">
                  <c:v>5.8997078671165992E-2</c:v>
                </c:pt>
                <c:pt idx="269">
                  <c:v>5.9018977183862065E-2</c:v>
                </c:pt>
                <c:pt idx="270">
                  <c:v>5.9040875186947783E-2</c:v>
                </c:pt>
                <c:pt idx="271">
                  <c:v>5.9062772680435027E-2</c:v>
                </c:pt>
                <c:pt idx="272">
                  <c:v>5.9084669664335565E-2</c:v>
                </c:pt>
                <c:pt idx="273">
                  <c:v>5.9106566138661276E-2</c:v>
                </c:pt>
                <c:pt idx="274">
                  <c:v>5.912846210342404E-2</c:v>
                </c:pt>
                <c:pt idx="275">
                  <c:v>5.9150357558635736E-2</c:v>
                </c:pt>
                <c:pt idx="276">
                  <c:v>5.9172252504308243E-2</c:v>
                </c:pt>
                <c:pt idx="277">
                  <c:v>5.9194146940453329E-2</c:v>
                </c:pt>
                <c:pt idx="278">
                  <c:v>5.9216040867082986E-2</c:v>
                </c:pt>
                <c:pt idx="279">
                  <c:v>5.9237934284208871E-2</c:v>
                </c:pt>
                <c:pt idx="280">
                  <c:v>5.9259827191842973E-2</c:v>
                </c:pt>
                <c:pt idx="281">
                  <c:v>5.9281719589997173E-2</c:v>
                </c:pt>
                <c:pt idx="282">
                  <c:v>5.9303611478683238E-2</c:v>
                </c:pt>
                <c:pt idx="283">
                  <c:v>5.9325502857913159E-2</c:v>
                </c:pt>
                <c:pt idx="284">
                  <c:v>5.9347393727698594E-2</c:v>
                </c:pt>
                <c:pt idx="285">
                  <c:v>5.9369284088051644E-2</c:v>
                </c:pt>
                <c:pt idx="286">
                  <c:v>5.9391173938983965E-2</c:v>
                </c:pt>
                <c:pt idx="287">
                  <c:v>5.9413063280507439E-2</c:v>
                </c:pt>
                <c:pt idx="288">
                  <c:v>5.9434952112633943E-2</c:v>
                </c:pt>
                <c:pt idx="289">
                  <c:v>5.9456840435375358E-2</c:v>
                </c:pt>
                <c:pt idx="290">
                  <c:v>5.9478728248743562E-2</c:v>
                </c:pt>
                <c:pt idx="291">
                  <c:v>5.9500615552750324E-2</c:v>
                </c:pt>
                <c:pt idx="292">
                  <c:v>5.9522502347407635E-2</c:v>
                </c:pt>
                <c:pt idx="293">
                  <c:v>5.9544388632727152E-2</c:v>
                </c:pt>
                <c:pt idx="294">
                  <c:v>5.9566274408720976E-2</c:v>
                </c:pt>
                <c:pt idx="295">
                  <c:v>5.9588159675400654E-2</c:v>
                </c:pt>
                <c:pt idx="296">
                  <c:v>5.9610044432778286E-2</c:v>
                </c:pt>
                <c:pt idx="297">
                  <c:v>5.9631928680865642E-2</c:v>
                </c:pt>
                <c:pt idx="298">
                  <c:v>5.9653812419674601E-2</c:v>
                </c:pt>
                <c:pt idx="299">
                  <c:v>5.9675695649216931E-2</c:v>
                </c:pt>
                <c:pt idx="300">
                  <c:v>5.9697578369504622E-2</c:v>
                </c:pt>
                <c:pt idx="301">
                  <c:v>5.9719460580549333E-2</c:v>
                </c:pt>
                <c:pt idx="302">
                  <c:v>5.9741342282363163E-2</c:v>
                </c:pt>
                <c:pt idx="303">
                  <c:v>5.9763223474957661E-2</c:v>
                </c:pt>
                <c:pt idx="304">
                  <c:v>5.9785104158344926E-2</c:v>
                </c:pt>
                <c:pt idx="305">
                  <c:v>5.9806984332536728E-2</c:v>
                </c:pt>
                <c:pt idx="306">
                  <c:v>5.9828863997544945E-2</c:v>
                </c:pt>
                <c:pt idx="307">
                  <c:v>5.9850743153381347E-2</c:v>
                </c:pt>
                <c:pt idx="308">
                  <c:v>5.9872621800057813E-2</c:v>
                </c:pt>
                <c:pt idx="309">
                  <c:v>5.9894499937586221E-2</c:v>
                </c:pt>
                <c:pt idx="310">
                  <c:v>5.9916377565978451E-2</c:v>
                </c:pt>
                <c:pt idx="311">
                  <c:v>5.9938254685246273E-2</c:v>
                </c:pt>
                <c:pt idx="312">
                  <c:v>5.9960131295401564E-2</c:v>
                </c:pt>
                <c:pt idx="313">
                  <c:v>5.9982007396456205E-2</c:v>
                </c:pt>
                <c:pt idx="314">
                  <c:v>6.0003882988421964E-2</c:v>
                </c:pt>
                <c:pt idx="315">
                  <c:v>6.0025758071310831E-2</c:v>
                </c:pt>
                <c:pt idx="316">
                  <c:v>6.0047632645134463E-2</c:v>
                </c:pt>
                <c:pt idx="317">
                  <c:v>6.0069506709904852E-2</c:v>
                </c:pt>
                <c:pt idx="318">
                  <c:v>6.0091380265633765E-2</c:v>
                </c:pt>
                <c:pt idx="319">
                  <c:v>6.0113253312333081E-2</c:v>
                </c:pt>
                <c:pt idx="320">
                  <c:v>6.0135125850014681E-2</c:v>
                </c:pt>
                <c:pt idx="321">
                  <c:v>6.0156997878690333E-2</c:v>
                </c:pt>
                <c:pt idx="322">
                  <c:v>6.0178869398372026E-2</c:v>
                </c:pt>
                <c:pt idx="323">
                  <c:v>6.0200740409071418E-2</c:v>
                </c:pt>
                <c:pt idx="324">
                  <c:v>6.0222610910800389E-2</c:v>
                </c:pt>
                <c:pt idx="325">
                  <c:v>6.0244480903570929E-2</c:v>
                </c:pt>
                <c:pt idx="326">
                  <c:v>6.0266350387394807E-2</c:v>
                </c:pt>
                <c:pt idx="327">
                  <c:v>6.028821936228379E-2</c:v>
                </c:pt>
                <c:pt idx="328">
                  <c:v>6.0310087828249759E-2</c:v>
                </c:pt>
                <c:pt idx="329">
                  <c:v>6.0331955785304592E-2</c:v>
                </c:pt>
                <c:pt idx="330">
                  <c:v>6.0353823233460169E-2</c:v>
                </c:pt>
                <c:pt idx="331">
                  <c:v>6.0375690172728147E-2</c:v>
                </c:pt>
                <c:pt idx="332">
                  <c:v>6.0397556603120628E-2</c:v>
                </c:pt>
                <c:pt idx="333">
                  <c:v>6.0419422524649269E-2</c:v>
                </c:pt>
                <c:pt idx="334">
                  <c:v>6.044128793732606E-2</c:v>
                </c:pt>
                <c:pt idx="335">
                  <c:v>6.046315284116266E-2</c:v>
                </c:pt>
                <c:pt idx="336">
                  <c:v>6.0485017236171057E-2</c:v>
                </c:pt>
                <c:pt idx="337">
                  <c:v>6.0506881122363021E-2</c:v>
                </c:pt>
                <c:pt idx="338">
                  <c:v>6.0528744499750431E-2</c:v>
                </c:pt>
                <c:pt idx="339">
                  <c:v>6.0550607368345055E-2</c:v>
                </c:pt>
                <c:pt idx="340">
                  <c:v>6.0572469728158884E-2</c:v>
                </c:pt>
                <c:pt idx="341">
                  <c:v>6.0594331579203575E-2</c:v>
                </c:pt>
                <c:pt idx="342">
                  <c:v>6.0616192921491119E-2</c:v>
                </c:pt>
                <c:pt idx="343">
                  <c:v>6.0638053755033172E-2</c:v>
                </c:pt>
                <c:pt idx="344">
                  <c:v>6.0659914079841837E-2</c:v>
                </c:pt>
                <c:pt idx="345">
                  <c:v>6.068177389592877E-2</c:v>
                </c:pt>
                <c:pt idx="346">
                  <c:v>6.070363320330574E-2</c:v>
                </c:pt>
                <c:pt idx="347">
                  <c:v>6.0725492001984849E-2</c:v>
                </c:pt>
                <c:pt idx="348">
                  <c:v>6.0747350291977642E-2</c:v>
                </c:pt>
                <c:pt idx="349">
                  <c:v>6.0769208073296221E-2</c:v>
                </c:pt>
                <c:pt idx="350">
                  <c:v>6.0791065345952133E-2</c:v>
                </c:pt>
                <c:pt idx="351">
                  <c:v>6.081292210995759E-2</c:v>
                </c:pt>
                <c:pt idx="352">
                  <c:v>6.0834778365324027E-2</c:v>
                </c:pt>
                <c:pt idx="353">
                  <c:v>6.0856634112063546E-2</c:v>
                </c:pt>
                <c:pt idx="354">
                  <c:v>6.0878489350187914E-2</c:v>
                </c:pt>
                <c:pt idx="355">
                  <c:v>6.0900344079709012E-2</c:v>
                </c:pt>
                <c:pt idx="356">
                  <c:v>6.0922198300638497E-2</c:v>
                </c:pt>
                <c:pt idx="357">
                  <c:v>6.094405201298847E-2</c:v>
                </c:pt>
                <c:pt idx="358">
                  <c:v>6.0965905216770588E-2</c:v>
                </c:pt>
                <c:pt idx="359">
                  <c:v>6.0987757911996732E-2</c:v>
                </c:pt>
                <c:pt idx="360">
                  <c:v>6.1009610098678668E-2</c:v>
                </c:pt>
                <c:pt idx="361">
                  <c:v>6.1031461776828388E-2</c:v>
                </c:pt>
                <c:pt idx="362">
                  <c:v>6.105331294645755E-2</c:v>
                </c:pt>
                <c:pt idx="363">
                  <c:v>6.1075163607578142E-2</c:v>
                </c:pt>
                <c:pt idx="364">
                  <c:v>6.1097013760201824E-2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6.8843844967681589E-2</c:v>
                </c:pt>
                <c:pt idx="1">
                  <c:v>6.9005735866896706E-2</c:v>
                </c:pt>
                <c:pt idx="2">
                  <c:v>6.9167644519436258E-2</c:v>
                </c:pt>
                <c:pt idx="3">
                  <c:v>6.9329550006803978E-2</c:v>
                </c:pt>
                <c:pt idx="4">
                  <c:v>6.9491434126880317E-2</c:v>
                </c:pt>
                <c:pt idx="5">
                  <c:v>6.9653281333985601E-2</c:v>
                </c:pt>
                <c:pt idx="6">
                  <c:v>6.98150786559745E-2</c:v>
                </c:pt>
                <c:pt idx="7">
                  <c:v>6.997681558988457E-2</c:v>
                </c:pt>
                <c:pt idx="8">
                  <c:v>7.013848397783673E-2</c:v>
                </c:pt>
                <c:pt idx="9">
                  <c:v>7.0300077865044164E-2</c:v>
                </c:pt>
                <c:pt idx="10">
                  <c:v>7.0461593341921161E-2</c:v>
                </c:pt>
                <c:pt idx="11">
                  <c:v>7.0623028372399518E-2</c:v>
                </c:pt>
                <c:pt idx="12">
                  <c:v>7.0784382610653437E-2</c:v>
                </c:pt>
                <c:pt idx="13">
                  <c:v>7.0945657208502835E-2</c:v>
                </c:pt>
                <c:pt idx="14">
                  <c:v>7.1106854615813675E-2</c:v>
                </c:pt>
                <c:pt idx="15">
                  <c:v>7.1267978376234803E-2</c:v>
                </c:pt>
                <c:pt idx="16">
                  <c:v>7.1429032920612534E-2</c:v>
                </c:pt>
                <c:pt idx="17">
                  <c:v>7.1590023360399616E-2</c:v>
                </c:pt>
                <c:pt idx="18">
                  <c:v>7.1750955283329462E-2</c:v>
                </c:pt>
                <c:pt idx="19">
                  <c:v>7.1911834553558485E-2</c:v>
                </c:pt>
                <c:pt idx="20">
                  <c:v>7.207266711839061E-2</c:v>
                </c:pt>
                <c:pt idx="21">
                  <c:v>7.2233458823588392E-2</c:v>
                </c:pt>
                <c:pt idx="22">
                  <c:v>7.239421523914942E-2</c:v>
                </c:pt>
                <c:pt idx="23">
                  <c:v>7.2554941497281117E-2</c:v>
                </c:pt>
                <c:pt idx="24">
                  <c:v>7.2715642144149134E-2</c:v>
                </c:pt>
                <c:pt idx="25">
                  <c:v>7.2876321006800582E-2</c:v>
                </c:pt>
                <c:pt idx="26">
                  <c:v>7.3036981076480476E-2</c:v>
                </c:pt>
                <c:pt idx="27">
                  <c:v>7.3197624409365808E-2</c:v>
                </c:pt>
                <c:pt idx="28">
                  <c:v>7.3358252045540653E-2</c:v>
                </c:pt>
                <c:pt idx="29">
                  <c:v>7.3518863946830673E-2</c:v>
                </c:pt>
                <c:pt idx="30">
                  <c:v>7.367945895390679E-2</c:v>
                </c:pt>
                <c:pt idx="31">
                  <c:v>7.3840034762856971E-2</c:v>
                </c:pt>
                <c:pt idx="32">
                  <c:v>7.4000587921219538E-2</c:v>
                </c:pt>
                <c:pt idx="33">
                  <c:v>7.4161113843265486E-2</c:v>
                </c:pt>
                <c:pt idx="34">
                  <c:v>7.4321606844119065E-2</c:v>
                </c:pt>
                <c:pt idx="35">
                  <c:v>7.448206019211584E-2</c:v>
                </c:pt>
                <c:pt idx="36">
                  <c:v>7.4642466178615238E-2</c:v>
                </c:pt>
                <c:pt idx="37">
                  <c:v>7.4802816204315087E-2</c:v>
                </c:pt>
                <c:pt idx="38">
                  <c:v>7.4963100880958811E-2</c:v>
                </c:pt>
                <c:pt idx="39">
                  <c:v>7.5123310147182681E-2</c:v>
                </c:pt>
                <c:pt idx="40">
                  <c:v>7.5283433397124372E-2</c:v>
                </c:pt>
                <c:pt idx="41">
                  <c:v>7.5443459620302827E-2</c:v>
                </c:pt>
                <c:pt idx="42">
                  <c:v>7.5603377551188219E-2</c:v>
                </c:pt>
                <c:pt idx="43">
                  <c:v>7.576317582680428E-2</c:v>
                </c:pt>
                <c:pt idx="44">
                  <c:v>7.5922843150652689E-2</c:v>
                </c:pt>
                <c:pt idx="45">
                  <c:v>7.608236846120997E-2</c:v>
                </c:pt>
                <c:pt idx="46">
                  <c:v>7.6241741103232216E-2</c:v>
                </c:pt>
                <c:pt idx="47">
                  <c:v>7.6400951000102871E-2</c:v>
                </c:pt>
                <c:pt idx="48">
                  <c:v>7.6559988825480943E-2</c:v>
                </c:pt>
                <c:pt idx="49">
                  <c:v>7.6718846172543473E-2</c:v>
                </c:pt>
                <c:pt idx="50">
                  <c:v>7.6877515719173145E-2</c:v>
                </c:pt>
                <c:pt idx="51">
                  <c:v>7.7035991387513159E-2</c:v>
                </c:pt>
                <c:pt idx="52">
                  <c:v>7.7194268496398613E-2</c:v>
                </c:pt>
                <c:pt idx="53">
                  <c:v>7.7352343905275567E-2</c:v>
                </c:pt>
                <c:pt idx="54">
                  <c:v>7.7510216148331743E-2</c:v>
                </c:pt>
                <c:pt idx="55">
                  <c:v>7.7667885557688318E-2</c:v>
                </c:pt>
                <c:pt idx="56">
                  <c:v>7.7825354374635919E-2</c:v>
                </c:pt>
                <c:pt idx="57">
                  <c:v>7.7982626848040568E-2</c:v>
                </c:pt>
                <c:pt idx="58">
                  <c:v>7.8139709319192313E-2</c:v>
                </c:pt>
                <c:pt idx="59">
                  <c:v>7.8296610292521843E-2</c:v>
                </c:pt>
                <c:pt idx="60">
                  <c:v>7.8453340491764362E-2</c:v>
                </c:pt>
                <c:pt idx="61">
                  <c:v>7.8609912901304729E-2</c:v>
                </c:pt>
                <c:pt idx="62">
                  <c:v>7.8766342792591121E-2</c:v>
                </c:pt>
                <c:pt idx="63">
                  <c:v>7.8922647735654439E-2</c:v>
                </c:pt>
                <c:pt idx="64">
                  <c:v>7.9078847595916948E-2</c:v>
                </c:pt>
                <c:pt idx="65">
                  <c:v>7.9234964516610246E-2</c:v>
                </c:pt>
                <c:pt idx="66">
                  <c:v>7.9391022887256552E-2</c:v>
                </c:pt>
                <c:pt idx="67">
                  <c:v>7.9547049298785963E-2</c:v>
                </c:pt>
                <c:pt idx="68">
                  <c:v>7.9703072485974608E-2</c:v>
                </c:pt>
                <c:pt idx="69">
                  <c:v>7.9859123257987413E-2</c:v>
                </c:pt>
                <c:pt idx="70">
                  <c:v>8.0015234417894987E-2</c:v>
                </c:pt>
                <c:pt idx="71">
                  <c:v>8.0171440672107075E-2</c:v>
                </c:pt>
                <c:pt idx="72">
                  <c:v>8.0327778530724078E-2</c:v>
                </c:pt>
                <c:pt idx="73">
                  <c:v>8.0484286199851082E-2</c:v>
                </c:pt>
                <c:pt idx="74">
                  <c:v>8.0641003466949315E-2</c:v>
                </c:pt>
                <c:pt idx="75">
                  <c:v>8.0797971580312891E-2</c:v>
                </c:pt>
                <c:pt idx="76">
                  <c:v>8.0955233123759934E-2</c:v>
                </c:pt>
                <c:pt idx="77">
                  <c:v>8.1112831887611134E-2</c:v>
                </c:pt>
                <c:pt idx="78">
                  <c:v>8.1270812737000861E-2</c:v>
                </c:pt>
                <c:pt idx="79">
                  <c:v>8.1429221478524008E-2</c:v>
                </c:pt>
                <c:pt idx="80">
                  <c:v>8.1588104726168106E-2</c:v>
                </c:pt>
                <c:pt idx="81">
                  <c:v>8.1747509767413656E-2</c:v>
                </c:pt>
                <c:pt idx="82">
                  <c:v>8.1907484430311761E-2</c:v>
                </c:pt>
                <c:pt idx="83">
                  <c:v>8.2068076952262189E-2</c:v>
                </c:pt>
                <c:pt idx="84">
                  <c:v>8.2229335851123075E-2</c:v>
                </c:pt>
                <c:pt idx="85">
                  <c:v>8.2391309799186699E-2</c:v>
                </c:pt>
                <c:pt idx="86">
                  <c:v>8.2554047500450894E-2</c:v>
                </c:pt>
                <c:pt idx="87">
                  <c:v>8.2717597571511994E-2</c:v>
                </c:pt>
                <c:pt idx="88">
                  <c:v>8.2882008426296852E-2</c:v>
                </c:pt>
                <c:pt idx="89">
                  <c:v>8.3047328164745512E-2</c:v>
                </c:pt>
                <c:pt idx="90">
                  <c:v>8.3213604465451146E-2</c:v>
                </c:pt>
                <c:pt idx="91">
                  <c:v>8.3380884482162104E-2</c:v>
                </c:pt>
                <c:pt idx="92">
                  <c:v>8.3549214743955769E-2</c:v>
                </c:pt>
                <c:pt idx="93">
                  <c:v>8.3718641058802876E-2</c:v>
                </c:pt>
                <c:pt idx="94">
                  <c:v>8.3889208420160427E-2</c:v>
                </c:pt>
                <c:pt idx="95">
                  <c:v>8.406096091615764E-2</c:v>
                </c:pt>
                <c:pt idx="96">
                  <c:v>8.4233941640877885E-2</c:v>
                </c:pt>
                <c:pt idx="97">
                  <c:v>8.4408192607188404E-2</c:v>
                </c:pt>
                <c:pt idx="98">
                  <c:v>8.4583754660530405E-2</c:v>
                </c:pt>
                <c:pt idx="99">
                  <c:v>8.4760667393057501E-2</c:v>
                </c:pt>
                <c:pt idx="100">
                  <c:v>8.4938969057496622E-2</c:v>
                </c:pt>
                <c:pt idx="101">
                  <c:v>8.5118696480108794E-2</c:v>
                </c:pt>
                <c:pt idx="102">
                  <c:v>8.5299884972140402E-2</c:v>
                </c:pt>
                <c:pt idx="103">
                  <c:v>8.5482568239187248E-2</c:v>
                </c:pt>
                <c:pt idx="104">
                  <c:v>8.5666778287934481E-2</c:v>
                </c:pt>
                <c:pt idx="105">
                  <c:v>8.5852545329793889E-2</c:v>
                </c:pt>
                <c:pt idx="106">
                  <c:v>8.6039897681026906E-2</c:v>
                </c:pt>
                <c:pt idx="107">
                  <c:v>8.6228861659024714E-2</c:v>
                </c:pt>
                <c:pt idx="108">
                  <c:v>8.6419461474506604E-2</c:v>
                </c:pt>
                <c:pt idx="109">
                  <c:v>8.6611719119501329E-2</c:v>
                </c:pt>
                <c:pt idx="110">
                  <c:v>8.6805654251084802E-2</c:v>
                </c:pt>
                <c:pt idx="111">
                  <c:v>8.7001284070966259E-2</c:v>
                </c:pt>
                <c:pt idx="112">
                  <c:v>8.719862320113711E-2</c:v>
                </c:pt>
                <c:pt idx="113">
                  <c:v>8.7397683555924657E-2</c:v>
                </c:pt>
                <c:pt idx="114">
                  <c:v>8.7598474210921623E-2</c:v>
                </c:pt>
                <c:pt idx="115">
                  <c:v>8.7801001269393428E-2</c:v>
                </c:pt>
                <c:pt idx="116">
                  <c:v>8.800526772689278E-2</c:v>
                </c:pt>
                <c:pt idx="117">
                  <c:v>8.821127333493832E-2</c:v>
                </c:pt>
                <c:pt idx="118">
                  <c:v>8.841901446473413E-2</c:v>
                </c:pt>
                <c:pt idx="119">
                  <c:v>8.8628483972021027E-2</c:v>
                </c:pt>
                <c:pt idx="120">
                  <c:v>8.883967106425765E-2</c:v>
                </c:pt>
                <c:pt idx="121">
                  <c:v>8.9052561171423322E-2</c:v>
                </c:pt>
                <c:pt idx="122">
                  <c:v>8.9267135821819998E-2</c:v>
                </c:pt>
                <c:pt idx="123">
                  <c:v>8.9483372524321231E-2</c:v>
                </c:pt>
                <c:pt idx="124">
                  <c:v>8.9701244658571724E-2</c:v>
                </c:pt>
                <c:pt idx="125">
                  <c:v>8.9920721374682266E-2</c:v>
                </c:pt>
                <c:pt idx="126">
                  <c:v>9.0141767503988113E-2</c:v>
                </c:pt>
                <c:pt idx="127">
                  <c:v>9.0364343482445542E-2</c:v>
                </c:pt>
                <c:pt idx="128">
                  <c:v>9.0588405288228077E-2</c:v>
                </c:pt>
                <c:pt idx="129">
                  <c:v>9.0813904395053213E-2</c:v>
                </c:pt>
                <c:pt idx="130">
                  <c:v>9.1040787742721466E-2</c:v>
                </c:pt>
                <c:pt idx="131">
                  <c:v>9.1268997726277709E-2</c:v>
                </c:pt>
                <c:pt idx="132">
                  <c:v>9.1498472205119322E-2</c:v>
                </c:pt>
                <c:pt idx="133">
                  <c:v>9.1729144533266999E-2</c:v>
                </c:pt>
                <c:pt idx="134">
                  <c:v>9.1960943611890847E-2</c:v>
                </c:pt>
                <c:pt idx="135">
                  <c:v>9.2193793965041265E-2</c:v>
                </c:pt>
                <c:pt idx="136">
                  <c:v>9.242761583937828E-2</c:v>
                </c:pt>
                <c:pt idx="137">
                  <c:v>9.2662325328518702E-2</c:v>
                </c:pt>
                <c:pt idx="138">
                  <c:v>9.289783452243669E-2</c:v>
                </c:pt>
                <c:pt idx="139">
                  <c:v>9.3134051682154162E-2</c:v>
                </c:pt>
                <c:pt idx="140">
                  <c:v>9.3370881439752251E-2</c:v>
                </c:pt>
                <c:pt idx="141">
                  <c:v>9.3608225023518191E-2</c:v>
                </c:pt>
                <c:pt idx="142">
                  <c:v>9.3845980507822377E-2</c:v>
                </c:pt>
                <c:pt idx="143">
                  <c:v>9.4084043087095323E-2</c:v>
                </c:pt>
                <c:pt idx="144">
                  <c:v>9.4322305373047893E-2</c:v>
                </c:pt>
                <c:pt idx="145">
                  <c:v>9.4560657714053878E-2</c:v>
                </c:pt>
                <c:pt idx="146">
                  <c:v>9.4798988535391301E-2</c:v>
                </c:pt>
                <c:pt idx="147">
                  <c:v>9.5037184698823648E-2</c:v>
                </c:pt>
                <c:pt idx="148">
                  <c:v>9.5275131879792224E-2</c:v>
                </c:pt>
                <c:pt idx="149">
                  <c:v>9.5512714960294731E-2</c:v>
                </c:pt>
                <c:pt idx="150">
                  <c:v>9.5749818435338058E-2</c:v>
                </c:pt>
                <c:pt idx="151">
                  <c:v>9.5986326830683047E-2</c:v>
                </c:pt>
                <c:pt idx="152">
                  <c:v>9.6222125129443781E-2</c:v>
                </c:pt>
                <c:pt idx="153">
                  <c:v>9.6457099204969476E-2</c:v>
                </c:pt>
                <c:pt idx="154">
                  <c:v>9.6691136257319399E-2</c:v>
                </c:pt>
                <c:pt idx="155">
                  <c:v>9.6924125250549234E-2</c:v>
                </c:pt>
                <c:pt idx="156">
                  <c:v>9.7155957347954472E-2</c:v>
                </c:pt>
                <c:pt idx="157">
                  <c:v>9.7386526342372076E-2</c:v>
                </c:pt>
                <c:pt idx="158">
                  <c:v>9.7615729078616861E-2</c:v>
                </c:pt>
                <c:pt idx="159">
                  <c:v>9.7843465865136647E-2</c:v>
                </c:pt>
                <c:pt idx="160">
                  <c:v>9.8069640871996822E-2</c:v>
                </c:pt>
                <c:pt idx="161">
                  <c:v>9.8294162512364516E-2</c:v>
                </c:pt>
                <c:pt idx="162">
                  <c:v>9.85169438047417E-2</c:v>
                </c:pt>
                <c:pt idx="163">
                  <c:v>9.873790271330754E-2</c:v>
                </c:pt>
                <c:pt idx="164">
                  <c:v>9.895696246386014E-2</c:v>
                </c:pt>
                <c:pt idx="165">
                  <c:v>9.9174051833007468E-2</c:v>
                </c:pt>
                <c:pt idx="166">
                  <c:v>9.938910540843468E-2</c:v>
                </c:pt>
                <c:pt idx="167">
                  <c:v>9.960206381827702E-2</c:v>
                </c:pt>
                <c:pt idx="168">
                  <c:v>9.9812873927847864E-2</c:v>
                </c:pt>
                <c:pt idx="169">
                  <c:v>0.10002148900220989</c:v>
                </c:pt>
                <c:pt idx="170">
                  <c:v>0.10022786883333104</c:v>
                </c:pt>
                <c:pt idx="171">
                  <c:v>0.10043197983083459</c:v>
                </c:pt>
                <c:pt idx="172">
                  <c:v>0.10063379507563117</c:v>
                </c:pt>
                <c:pt idx="173">
                  <c:v>0.10083329433600693</c:v>
                </c:pt>
                <c:pt idx="174">
                  <c:v>0.10103046404603488</c:v>
                </c:pt>
                <c:pt idx="175">
                  <c:v>0.10122529724647182</c:v>
                </c:pt>
                <c:pt idx="176">
                  <c:v>0.10141779348859893</c:v>
                </c:pt>
                <c:pt idx="177">
                  <c:v>0.10160795870175741</c:v>
                </c:pt>
                <c:pt idx="178">
                  <c:v>0.10179580502561765</c:v>
                </c:pt>
                <c:pt idx="179">
                  <c:v>0.10198135060850057</c:v>
                </c:pt>
                <c:pt idx="180">
                  <c:v>0.10216461937333726</c:v>
                </c:pt>
                <c:pt idx="181">
                  <c:v>0.10234564075310863</c:v>
                </c:pt>
                <c:pt idx="182">
                  <c:v>0.10252444939784536</c:v>
                </c:pt>
                <c:pt idx="183">
                  <c:v>0.10270108485548846</c:v>
                </c:pt>
                <c:pt idx="184">
                  <c:v>0.10287559122911086</c:v>
                </c:pt>
                <c:pt idx="185">
                  <c:v>0.10304801681317728</c:v>
                </c:pt>
                <c:pt idx="186">
                  <c:v>0.10321841371167234</c:v>
                </c:pt>
                <c:pt idx="187">
                  <c:v>0.10338683744105387</c:v>
                </c:pt>
                <c:pt idx="188">
                  <c:v>0.10355334652108764</c:v>
                </c:pt>
                <c:pt idx="189">
                  <c:v>0.10371800205669141</c:v>
                </c:pt>
                <c:pt idx="190">
                  <c:v>0.103880867313959</c:v>
                </c:pt>
                <c:pt idx="191">
                  <c:v>0.10404200729354733</c:v>
                </c:pt>
                <c:pt idx="192">
                  <c:v>0.10420148830459405</c:v>
                </c:pt>
                <c:pt idx="193">
                  <c:v>0.1043593775422874</c:v>
                </c:pt>
                <c:pt idx="194">
                  <c:v>0.10451574267213588</c:v>
                </c:pt>
                <c:pt idx="195">
                  <c:v>0.10467065142388184</c:v>
                </c:pt>
                <c:pt idx="196">
                  <c:v>0.10482417119787513</c:v>
                </c:pt>
                <c:pt idx="197">
                  <c:v>0.10497636868656691</c:v>
                </c:pt>
                <c:pt idx="198">
                  <c:v>0.10512730951360416</c:v>
                </c:pt>
                <c:pt idx="199">
                  <c:v>0.10527705789280563</c:v>
                </c:pt>
                <c:pt idx="200">
                  <c:v>0.10542567630907665</c:v>
                </c:pt>
                <c:pt idx="201">
                  <c:v>0.10557322522308185</c:v>
                </c:pt>
                <c:pt idx="202">
                  <c:v>0.10571976280124105</c:v>
                </c:pt>
                <c:pt idx="203">
                  <c:v>0.10586534467234363</c:v>
                </c:pt>
                <c:pt idx="204">
                  <c:v>0.10601002371180354</c:v>
                </c:pt>
                <c:pt idx="205">
                  <c:v>0.1061538498542887</c:v>
                </c:pt>
                <c:pt idx="206">
                  <c:v>0.10629686993517379</c:v>
                </c:pt>
                <c:pt idx="207">
                  <c:v>0.10643912756097469</c:v>
                </c:pt>
                <c:pt idx="208">
                  <c:v>0.10658066300863595</c:v>
                </c:pt>
                <c:pt idx="209">
                  <c:v>0.10672151315326085</c:v>
                </c:pt>
                <c:pt idx="210">
                  <c:v>0.10686171142360013</c:v>
                </c:pt>
                <c:pt idx="211">
                  <c:v>0.10700128778435133</c:v>
                </c:pt>
                <c:pt idx="212">
                  <c:v>0.10714026874407218</c:v>
                </c:pt>
                <c:pt idx="213">
                  <c:v>0.10727867738727864</c:v>
                </c:pt>
                <c:pt idx="214">
                  <c:v>0.1074165334290826</c:v>
                </c:pt>
                <c:pt idx="215">
                  <c:v>0.10755385329053242</c:v>
                </c:pt>
                <c:pt idx="216">
                  <c:v>0.10769065019264834</c:v>
                </c:pt>
                <c:pt idx="217">
                  <c:v>0.1078269342669996</c:v>
                </c:pt>
                <c:pt idx="218">
                  <c:v>0.10796271268055108</c:v>
                </c:pt>
                <c:pt idx="219">
                  <c:v>0.10809798977241532</c:v>
                </c:pt>
                <c:pt idx="220">
                  <c:v>0.10823276720008373</c:v>
                </c:pt>
                <c:pt idx="221">
                  <c:v>0.10836704409267499</c:v>
                </c:pt>
                <c:pt idx="222">
                  <c:v>0.10850081720873683</c:v>
                </c:pt>
                <c:pt idx="223">
                  <c:v>0.10863408109615949</c:v>
                </c:pt>
                <c:pt idx="224">
                  <c:v>0.108766828251815</c:v>
                </c:pt>
                <c:pt idx="225">
                  <c:v>0.10889904927861827</c:v>
                </c:pt>
                <c:pt idx="226">
                  <c:v>0.10903073303781574</c:v>
                </c:pt>
                <c:pt idx="227">
                  <c:v>0.10916186679444323</c:v>
                </c:pt>
                <c:pt idx="228">
                  <c:v>0.10929243635405524</c:v>
                </c:pt>
                <c:pt idx="229">
                  <c:v>0.10942242618901156</c:v>
                </c:pt>
                <c:pt idx="230">
                  <c:v>0.10955181955281047</c:v>
                </c:pt>
                <c:pt idx="231">
                  <c:v>0.10968059858118001</c:v>
                </c:pt>
                <c:pt idx="232">
                  <c:v>0.10980874437887692</c:v>
                </c:pt>
                <c:pt idx="233">
                  <c:v>0.10993623709139311</c:v>
                </c:pt>
                <c:pt idx="234">
                  <c:v>0.11006305596103069</c:v>
                </c:pt>
                <c:pt idx="235">
                  <c:v>0.11018917936707472</c:v>
                </c:pt>
                <c:pt idx="236">
                  <c:v>0.11031458485006283</c:v>
                </c:pt>
                <c:pt idx="237">
                  <c:v>0.11043924912042559</c:v>
                </c:pt>
                <c:pt idx="238">
                  <c:v>0.11056314805203928</c:v>
                </c:pt>
                <c:pt idx="239">
                  <c:v>0.1106862566614972</c:v>
                </c:pt>
                <c:pt idx="240">
                  <c:v>0.11080854907416206</c:v>
                </c:pt>
                <c:pt idx="241">
                  <c:v>0.11092999847830234</c:v>
                </c:pt>
                <c:pt idx="242">
                  <c:v>0.11105057706884693</c:v>
                </c:pt>
                <c:pt idx="243">
                  <c:v>0.11117025598249895</c:v>
                </c:pt>
                <c:pt idx="244">
                  <c:v>0.11128900522614342</c:v>
                </c:pt>
                <c:pt idx="245">
                  <c:v>0.11140679360064634</c:v>
                </c:pt>
                <c:pt idx="246">
                  <c:v>0.11152358862228799</c:v>
                </c:pt>
                <c:pt idx="247">
                  <c:v>0.1116393564441852</c:v>
                </c:pt>
                <c:pt idx="248">
                  <c:v>0.11175406178014509</c:v>
                </c:pt>
                <c:pt idx="249">
                  <c:v>0.11186766783344737</c:v>
                </c:pt>
                <c:pt idx="250">
                  <c:v>0.11198013623307851</c:v>
                </c:pt>
                <c:pt idx="251">
                  <c:v>0.11209142697993167</c:v>
                </c:pt>
                <c:pt idx="252">
                  <c:v>0.11220149840544938</c:v>
                </c:pt>
                <c:pt idx="253">
                  <c:v>0.11231030714511238</c:v>
                </c:pt>
                <c:pt idx="254">
                  <c:v>0.11241780812907644</c:v>
                </c:pt>
                <c:pt idx="255">
                  <c:v>0.11252395459212218</c:v>
                </c:pt>
                <c:pt idx="256">
                  <c:v>0.11262869810492079</c:v>
                </c:pt>
                <c:pt idx="257">
                  <c:v>0.11273198862842321</c:v>
                </c:pt>
                <c:pt idx="258">
                  <c:v>0.11283377459296041</c:v>
                </c:pt>
                <c:pt idx="259">
                  <c:v>0.11293400300339856</c:v>
                </c:pt>
                <c:pt idx="260">
                  <c:v>0.11303261957142248</c:v>
                </c:pt>
                <c:pt idx="261">
                  <c:v>0.11312956887573516</c:v>
                </c:pt>
                <c:pt idx="262">
                  <c:v>0.11322479455065515</c:v>
                </c:pt>
                <c:pt idx="263">
                  <c:v>0.11331823950327433</c:v>
                </c:pt>
                <c:pt idx="264">
                  <c:v>0.11340984615900949</c:v>
                </c:pt>
                <c:pt idx="265">
                  <c:v>0.1134995567350431</c:v>
                </c:pt>
                <c:pt idx="266">
                  <c:v>0.11358731354080844</c:v>
                </c:pt>
                <c:pt idx="267">
                  <c:v>0.11367305930433245</c:v>
                </c:pt>
                <c:pt idx="268">
                  <c:v>0.11375673752291175</c:v>
                </c:pt>
                <c:pt idx="269">
                  <c:v>0.11383829283626772</c:v>
                </c:pt>
                <c:pt idx="270">
                  <c:v>0.11391767142000511</c:v>
                </c:pt>
                <c:pt idx="271">
                  <c:v>0.11399482139689464</c:v>
                </c:pt>
                <c:pt idx="272">
                  <c:v>0.11406969326321222</c:v>
                </c:pt>
                <c:pt idx="273">
                  <c:v>0.11414224032710063</c:v>
                </c:pt>
                <c:pt idx="274">
                  <c:v>0.11421241915567795</c:v>
                </c:pt>
                <c:pt idx="275">
                  <c:v>0.1142801900274029</c:v>
                </c:pt>
                <c:pt idx="276">
                  <c:v>0.11434551738602203</c:v>
                </c:pt>
                <c:pt idx="277">
                  <c:v>0.11440837029227208</c:v>
                </c:pt>
                <c:pt idx="278">
                  <c:v>0.11446872286939322</c:v>
                </c:pt>
                <c:pt idx="279">
                  <c:v>0.11452655473842779</c:v>
                </c:pt>
                <c:pt idx="280">
                  <c:v>0.11458185143923592</c:v>
                </c:pt>
                <c:pt idx="281">
                  <c:v>0.114634604833155</c:v>
                </c:pt>
                <c:pt idx="282">
                  <c:v>0.11468481348326526</c:v>
                </c:pt>
                <c:pt idx="283">
                  <c:v>0.11473248300829844</c:v>
                </c:pt>
                <c:pt idx="284">
                  <c:v>0.11477762640634169</c:v>
                </c:pt>
                <c:pt idx="285">
                  <c:v>0.11482026434464344</c:v>
                </c:pt>
                <c:pt idx="286">
                  <c:v>0.11486042541201898</c:v>
                </c:pt>
                <c:pt idx="287">
                  <c:v>0.11489814633058522</c:v>
                </c:pt>
                <c:pt idx="288">
                  <c:v>0.11493347212381712</c:v>
                </c:pt>
                <c:pt idx="289">
                  <c:v>0.11496645623821804</c:v>
                </c:pt>
                <c:pt idx="290">
                  <c:v>0.11499716061622504</c:v>
                </c:pt>
                <c:pt idx="291">
                  <c:v>0.11502565571832736</c:v>
                </c:pt>
                <c:pt idx="292">
                  <c:v>0.11505202049276007</c:v>
                </c:pt>
                <c:pt idx="293">
                  <c:v>0.11507634229153858</c:v>
                </c:pt>
                <c:pt idx="294">
                  <c:v>0.11509871673202222</c:v>
                </c:pt>
                <c:pt idx="295">
                  <c:v>0.11511924750363443</c:v>
                </c:pt>
                <c:pt idx="296">
                  <c:v>0.11513804611981286</c:v>
                </c:pt>
                <c:pt idx="297">
                  <c:v>0.11515523161571772</c:v>
                </c:pt>
                <c:pt idx="298">
                  <c:v>0.11517093019268484</c:v>
                </c:pt>
                <c:pt idx="299">
                  <c:v>0.11518527481086199</c:v>
                </c:pt>
                <c:pt idx="300">
                  <c:v>0.11519840473191799</c:v>
                </c:pt>
                <c:pt idx="301">
                  <c:v>0.11521046501415001</c:v>
                </c:pt>
                <c:pt idx="302">
                  <c:v>0.11522160596273871</c:v>
                </c:pt>
                <c:pt idx="303">
                  <c:v>0.11523198253830498</c:v>
                </c:pt>
                <c:pt idx="304">
                  <c:v>0.11524175372730398</c:v>
                </c:pt>
                <c:pt idx="305">
                  <c:v>0.11525108187814648</c:v>
                </c:pt>
                <c:pt idx="306">
                  <c:v>0.11526013200726425</c:v>
                </c:pt>
                <c:pt idx="307">
                  <c:v>0.11526907107962697</c:v>
                </c:pt>
                <c:pt idx="308">
                  <c:v>0.11527806726847542</c:v>
                </c:pt>
                <c:pt idx="309">
                  <c:v>0.11528728919925123</c:v>
                </c:pt>
                <c:pt idx="310">
                  <c:v>0.11529690518288162</c:v>
                </c:pt>
                <c:pt idx="311">
                  <c:v>0.11530708244370906</c:v>
                </c:pt>
                <c:pt idx="312">
                  <c:v>0.11531798634744557</c:v>
                </c:pt>
                <c:pt idx="313">
                  <c:v>0.11532977963457422</c:v>
                </c:pt>
                <c:pt idx="314">
                  <c:v>0.11534262166461745</c:v>
                </c:pt>
                <c:pt idx="315">
                  <c:v>0.1153566676766432</c:v>
                </c:pt>
                <c:pt idx="316">
                  <c:v>0.11537206807128263</c:v>
                </c:pt>
                <c:pt idx="317">
                  <c:v>0.11538896771939451</c:v>
                </c:pt>
                <c:pt idx="318">
                  <c:v>0.11540750530232349</c:v>
                </c:pt>
                <c:pt idx="319">
                  <c:v>0.1154278126884723</c:v>
                </c:pt>
                <c:pt idx="320">
                  <c:v>0.11545001435063808</c:v>
                </c:pt>
                <c:pt idx="321">
                  <c:v>0.11547422682825415</c:v>
                </c:pt>
                <c:pt idx="322">
                  <c:v>0.11550055823833483</c:v>
                </c:pt>
                <c:pt idx="323">
                  <c:v>0.11552910783854231</c:v>
                </c:pt>
                <c:pt idx="324">
                  <c:v>0.11555996564538847</c:v>
                </c:pt>
                <c:pt idx="325">
                  <c:v>0.11559321211014996</c:v>
                </c:pt>
                <c:pt idx="326">
                  <c:v>0.11562891785462012</c:v>
                </c:pt>
                <c:pt idx="327">
                  <c:v>0.11566714346834617</c:v>
                </c:pt>
                <c:pt idx="328">
                  <c:v>0.11570793936851372</c:v>
                </c:pt>
                <c:pt idx="329">
                  <c:v>0.11575134572314169</c:v>
                </c:pt>
                <c:pt idx="330">
                  <c:v>0.11579739243774997</c:v>
                </c:pt>
                <c:pt idx="331">
                  <c:v>0.11584609920515671</c:v>
                </c:pt>
                <c:pt idx="332">
                  <c:v>0.11589747561756605</c:v>
                </c:pt>
                <c:pt idx="333">
                  <c:v>0.11595152133961407</c:v>
                </c:pt>
                <c:pt idx="334">
                  <c:v>0.11600822634056379</c:v>
                </c:pt>
                <c:pt idx="335">
                  <c:v>0.11606757118338029</c:v>
                </c:pt>
                <c:pt idx="336">
                  <c:v>0.11612952736797678</c:v>
                </c:pt>
                <c:pt idx="337">
                  <c:v>0.11619405772550816</c:v>
                </c:pt>
                <c:pt idx="338">
                  <c:v>0.11626111686020506</c:v>
                </c:pt>
                <c:pt idx="339">
                  <c:v>0.11633065163488576</c:v>
                </c:pt>
                <c:pt idx="340">
                  <c:v>0.11640260169596822</c:v>
                </c:pt>
                <c:pt idx="341">
                  <c:v>0.11647690003352323</c:v>
                </c:pt>
                <c:pt idx="342">
                  <c:v>0.11655347357167049</c:v>
                </c:pt>
                <c:pt idx="343">
                  <c:v>0.11663224378442383</c:v>
                </c:pt>
                <c:pt idx="344">
                  <c:v>0.11671312733193735</c:v>
                </c:pt>
                <c:pt idx="345">
                  <c:v>0.11679603671199761</c:v>
                </c:pt>
                <c:pt idx="346">
                  <c:v>0.11688088092154435</c:v>
                </c:pt>
                <c:pt idx="347">
                  <c:v>0.11696756612298775</c:v>
                </c:pt>
                <c:pt idx="348">
                  <c:v>0.11705599631011789</c:v>
                </c:pt>
                <c:pt idx="349">
                  <c:v>0.11714607396848156</c:v>
                </c:pt>
                <c:pt idx="350">
                  <c:v>0.11723770072521755</c:v>
                </c:pt>
                <c:pt idx="351">
                  <c:v>0.1173307779835078</c:v>
                </c:pt>
                <c:pt idx="352">
                  <c:v>0.11742520753700428</c:v>
                </c:pt>
                <c:pt idx="353">
                  <c:v>0.11752089215983462</c:v>
                </c:pt>
                <c:pt idx="354">
                  <c:v>0.11761773616807061</c:v>
                </c:pt>
                <c:pt idx="355">
                  <c:v>0.11771564594885416</c:v>
                </c:pt>
                <c:pt idx="356">
                  <c:v>0.11781453045372135</c:v>
                </c:pt>
                <c:pt idx="357">
                  <c:v>0.11791430165303363</c:v>
                </c:pt>
                <c:pt idx="358">
                  <c:v>0.11801487494881864</c:v>
                </c:pt>
                <c:pt idx="359">
                  <c:v>0.11811616954373744</c:v>
                </c:pt>
                <c:pt idx="360">
                  <c:v>0.11821810876432007</c:v>
                </c:pt>
                <c:pt idx="361">
                  <c:v>0.11832062033705319</c:v>
                </c:pt>
                <c:pt idx="362">
                  <c:v>0.11842363661634686</c:v>
                </c:pt>
                <c:pt idx="363">
                  <c:v>0.11852709476385755</c:v>
                </c:pt>
                <c:pt idx="364">
                  <c:v>0.11863093687909014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0.17771409856716716</c:v>
                </c:pt>
                <c:pt idx="1">
                  <c:v>0.17600003983139145</c:v>
                </c:pt>
                <c:pt idx="2">
                  <c:v>0.17414113016869834</c:v>
                </c:pt>
                <c:pt idx="3">
                  <c:v>0.17214496243165495</c:v>
                </c:pt>
                <c:pt idx="4">
                  <c:v>0.17001916741994727</c:v>
                </c:pt>
                <c:pt idx="5">
                  <c:v>0.16777136354334779</c:v>
                </c:pt>
                <c:pt idx="6">
                  <c:v>0.16540911108611553</c:v>
                </c:pt>
                <c:pt idx="7">
                  <c:v>0.16293987074222085</c:v>
                </c:pt>
                <c:pt idx="8">
                  <c:v>0.16035265596600992</c:v>
                </c:pt>
                <c:pt idx="9">
                  <c:v>0.15765665157022718</c:v>
                </c:pt>
                <c:pt idx="10">
                  <c:v>0.15491487236878562</c:v>
                </c:pt>
                <c:pt idx="11">
                  <c:v>0.15213799800246502</c:v>
                </c:pt>
                <c:pt idx="12">
                  <c:v>0.14933598433247613</c:v>
                </c:pt>
                <c:pt idx="13">
                  <c:v>0.14651804684093614</c:v>
                </c:pt>
                <c:pt idx="14">
                  <c:v>0.14369265665507014</c:v>
                </c:pt>
                <c:pt idx="15">
                  <c:v>0.14086624044085028</c:v>
                </c:pt>
                <c:pt idx="16">
                  <c:v>0.13807582093599299</c:v>
                </c:pt>
                <c:pt idx="17">
                  <c:v>0.13532668129064188</c:v>
                </c:pt>
                <c:pt idx="18">
                  <c:v>0.13262343990966693</c:v>
                </c:pt>
                <c:pt idx="19">
                  <c:v>0.12997081783954284</c:v>
                </c:pt>
                <c:pt idx="20">
                  <c:v>0.12737322083993768</c:v>
                </c:pt>
                <c:pt idx="21">
                  <c:v>0.12483390182302745</c:v>
                </c:pt>
                <c:pt idx="22">
                  <c:v>0.12234231051925729</c:v>
                </c:pt>
                <c:pt idx="23">
                  <c:v>0.11987616840795746</c:v>
                </c:pt>
                <c:pt idx="24">
                  <c:v>0.11742499738161472</c:v>
                </c:pt>
                <c:pt idx="25">
                  <c:v>0.11499184159044233</c:v>
                </c:pt>
                <c:pt idx="26">
                  <c:v>0.11257943682936858</c:v>
                </c:pt>
                <c:pt idx="27">
                  <c:v>0.11019022560928579</c:v>
                </c:pt>
                <c:pt idx="28">
                  <c:v>0.10782637270593994</c:v>
                </c:pt>
                <c:pt idx="29">
                  <c:v>0.10546466564217247</c:v>
                </c:pt>
                <c:pt idx="30">
                  <c:v>0.10310887207039893</c:v>
                </c:pt>
                <c:pt idx="31">
                  <c:v>0.10076133424449543</c:v>
                </c:pt>
                <c:pt idx="32">
                  <c:v>9.8424154308964826E-2</c:v>
                </c:pt>
                <c:pt idx="33">
                  <c:v>9.6099207106651111E-2</c:v>
                </c:pt>
                <c:pt idx="34">
                  <c:v>9.3788153012167752E-2</c:v>
                </c:pt>
                <c:pt idx="35">
                  <c:v>9.1492450593282537E-2</c:v>
                </c:pt>
                <c:pt idx="36">
                  <c:v>8.9211487042649293E-2</c:v>
                </c:pt>
                <c:pt idx="37">
                  <c:v>8.6935444107725718E-2</c:v>
                </c:pt>
                <c:pt idx="38">
                  <c:v>8.467427581805842E-2</c:v>
                </c:pt>
                <c:pt idx="39">
                  <c:v>8.2428045832360852E-2</c:v>
                </c:pt>
                <c:pt idx="40">
                  <c:v>8.0196834022039795E-2</c:v>
                </c:pt>
                <c:pt idx="41">
                  <c:v>7.7980734539736321E-2</c:v>
                </c:pt>
                <c:pt idx="42">
                  <c:v>7.5779854047756043E-2</c:v>
                </c:pt>
                <c:pt idx="43">
                  <c:v>7.3598861563474033E-2</c:v>
                </c:pt>
                <c:pt idx="44">
                  <c:v>7.1458444490736989E-2</c:v>
                </c:pt>
                <c:pt idx="45">
                  <c:v>6.935778527242302E-2</c:v>
                </c:pt>
                <c:pt idx="46">
                  <c:v>6.729609682709782E-2</c:v>
                </c:pt>
                <c:pt idx="47">
                  <c:v>6.5272620275540566E-2</c:v>
                </c:pt>
                <c:pt idx="48">
                  <c:v>6.3286622854340266E-2</c:v>
                </c:pt>
                <c:pt idx="49">
                  <c:v>6.1337395929616637E-2</c:v>
                </c:pt>
                <c:pt idx="50">
                  <c:v>5.942303158114217E-2</c:v>
                </c:pt>
                <c:pt idx="51">
                  <c:v>5.7534384388057309E-2</c:v>
                </c:pt>
                <c:pt idx="52">
                  <c:v>5.567896529461628E-2</c:v>
                </c:pt>
                <c:pt idx="53">
                  <c:v>5.3856819789709069E-2</c:v>
                </c:pt>
                <c:pt idx="54">
                  <c:v>5.206815187423363E-2</c:v>
                </c:pt>
                <c:pt idx="55">
                  <c:v>5.0313041460499974E-2</c:v>
                </c:pt>
                <c:pt idx="56">
                  <c:v>4.8591455749147645E-2</c:v>
                </c:pt>
                <c:pt idx="57">
                  <c:v>4.6896176668955264E-2</c:v>
                </c:pt>
                <c:pt idx="58">
                  <c:v>4.5223446164779219E-2</c:v>
                </c:pt>
                <c:pt idx="59">
                  <c:v>4.357330663810649E-2</c:v>
                </c:pt>
                <c:pt idx="60">
                  <c:v>4.1945711206278102E-2</c:v>
                </c:pt>
                <c:pt idx="61">
                  <c:v>4.0340531407181419E-2</c:v>
                </c:pt>
                <c:pt idx="62">
                  <c:v>3.8757564390858611E-2</c:v>
                </c:pt>
                <c:pt idx="63">
                  <c:v>3.719653962057691E-2</c:v>
                </c:pt>
                <c:pt idx="64">
                  <c:v>3.565481050554372E-2</c:v>
                </c:pt>
                <c:pt idx="65">
                  <c:v>3.4146250552464584E-2</c:v>
                </c:pt>
                <c:pt idx="66">
                  <c:v>3.2677457006511847E-2</c:v>
                </c:pt>
                <c:pt idx="67">
                  <c:v>3.1247921485893289E-2</c:v>
                </c:pt>
                <c:pt idx="68">
                  <c:v>2.9857039473455319E-2</c:v>
                </c:pt>
                <c:pt idx="69">
                  <c:v>2.8504121704345464E-2</c:v>
                </c:pt>
                <c:pt idx="70">
                  <c:v>2.7188404654139624E-2</c:v>
                </c:pt>
                <c:pt idx="71">
                  <c:v>2.5945292525794989E-2</c:v>
                </c:pt>
                <c:pt idx="72">
                  <c:v>2.477896157697598E-2</c:v>
                </c:pt>
                <c:pt idx="73">
                  <c:v>2.3687281137394711E-2</c:v>
                </c:pt>
                <c:pt idx="74">
                  <c:v>2.2668148399379154E-2</c:v>
                </c:pt>
                <c:pt idx="75">
                  <c:v>2.1719497234989633E-2</c:v>
                </c:pt>
                <c:pt idx="76">
                  <c:v>2.0839305868554849E-2</c:v>
                </c:pt>
                <c:pt idx="77">
                  <c:v>2.002560351403336E-2</c:v>
                </c:pt>
                <c:pt idx="78">
                  <c:v>1.9274963938737039E-2</c:v>
                </c:pt>
                <c:pt idx="79">
                  <c:v>1.8600608067836946E-2</c:v>
                </c:pt>
                <c:pt idx="80">
                  <c:v>1.7987482758941246E-2</c:v>
                </c:pt>
                <c:pt idx="81">
                  <c:v>1.7434289657215371E-2</c:v>
                </c:pt>
                <c:pt idx="82">
                  <c:v>1.6939742825874324E-2</c:v>
                </c:pt>
                <c:pt idx="83">
                  <c:v>1.6502579564096145E-2</c:v>
                </c:pt>
                <c:pt idx="84">
                  <c:v>1.6121570176157892E-2</c:v>
                </c:pt>
                <c:pt idx="85">
                  <c:v>1.5791676798568285E-2</c:v>
                </c:pt>
                <c:pt idx="86">
                  <c:v>1.5480302336616555E-2</c:v>
                </c:pt>
                <c:pt idx="87">
                  <c:v>1.5187209435816595E-2</c:v>
                </c:pt>
                <c:pt idx="88">
                  <c:v>1.4912163866440155E-2</c:v>
                </c:pt>
                <c:pt idx="89">
                  <c:v>0</c:v>
                </c:pt>
                <c:pt idx="90">
                  <c:v>2.4386964551837096E-6</c:v>
                </c:pt>
                <c:pt idx="91">
                  <c:v>4.8514627524217017E-6</c:v>
                </c:pt>
                <c:pt idx="92">
                  <c:v>7.2312403053163298E-6</c:v>
                </c:pt>
                <c:pt idx="93">
                  <c:v>9.5667645253679634E-6</c:v>
                </c:pt>
                <c:pt idx="94">
                  <c:v>1.1854286771239871E-5</c:v>
                </c:pt>
                <c:pt idx="95">
                  <c:v>1.4086950740465432E-5</c:v>
                </c:pt>
                <c:pt idx="96">
                  <c:v>1.6257519321784097E-5</c:v>
                </c:pt>
                <c:pt idx="97">
                  <c:v>1.8358350081475652E-5</c:v>
                </c:pt>
                <c:pt idx="98">
                  <c:v>2.0381369962534746E-5</c:v>
                </c:pt>
                <c:pt idx="99">
                  <c:v>2.2318489799397844E-5</c:v>
                </c:pt>
                <c:pt idx="100">
                  <c:v>2.4172766728922446E-5</c:v>
                </c:pt>
                <c:pt idx="101">
                  <c:v>2.5938566988841492E-5</c:v>
                </c:pt>
                <c:pt idx="102">
                  <c:v>2.7609913694275045E-5</c:v>
                </c:pt>
                <c:pt idx="103">
                  <c:v>2.9180469758458849E-5</c:v>
                </c:pt>
                <c:pt idx="104">
                  <c:v>3.0643520460392602E-5</c:v>
                </c:pt>
                <c:pt idx="105">
                  <c:v>3.1991955666783718E-5</c:v>
                </c:pt>
                <c:pt idx="106">
                  <c:v>3.321734562884338E-5</c:v>
                </c:pt>
                <c:pt idx="107">
                  <c:v>3.4302758652705352E-5</c:v>
                </c:pt>
                <c:pt idx="108">
                  <c:v>3.5256842541003866E-5</c:v>
                </c:pt>
                <c:pt idx="109">
                  <c:v>3.6072681108419247E-5</c:v>
                </c:pt>
                <c:pt idx="110">
                  <c:v>3.6743132360707488E-5</c:v>
                </c:pt>
                <c:pt idx="111">
                  <c:v>3.7260721706074831E-5</c:v>
                </c:pt>
                <c:pt idx="112">
                  <c:v>3.7617518555368447E-5</c:v>
                </c:pt>
                <c:pt idx="113">
                  <c:v>3.783170902896544E-5</c:v>
                </c:pt>
                <c:pt idx="114">
                  <c:v>3.7897746143382838E-5</c:v>
                </c:pt>
                <c:pt idx="115">
                  <c:v>3.7811051376502283E-5</c:v>
                </c:pt>
                <c:pt idx="116">
                  <c:v>3.7566882401889918E-5</c:v>
                </c:pt>
                <c:pt idx="117">
                  <c:v>3.7160333620698257E-5</c:v>
                </c:pt>
                <c:pt idx="118">
                  <c:v>3.658633713300066E-5</c:v>
                </c:pt>
                <c:pt idx="119">
                  <c:v>3.5839664136403872E-5</c:v>
                </c:pt>
                <c:pt idx="120">
                  <c:v>3.491500122209194E-5</c:v>
                </c:pt>
                <c:pt idx="121">
                  <c:v>3.3900967702545941E-5</c:v>
                </c:pt>
                <c:pt idx="122">
                  <c:v>3.2822624385972713E-5</c:v>
                </c:pt>
                <c:pt idx="123">
                  <c:v>3.1690070550491633E-5</c:v>
                </c:pt>
                <c:pt idx="124">
                  <c:v>3.0514171837823033E-5</c:v>
                </c:pt>
                <c:pt idx="125">
                  <c:v>2.9306597294616999E-5</c:v>
                </c:pt>
                <c:pt idx="126">
                  <c:v>2.8079853787862837E-5</c:v>
                </c:pt>
                <c:pt idx="127">
                  <c:v>2.6891004164094966E-5</c:v>
                </c:pt>
                <c:pt idx="128">
                  <c:v>2.5706329918234118E-5</c:v>
                </c:pt>
                <c:pt idx="129">
                  <c:v>2.4540183436112422E-5</c:v>
                </c:pt>
                <c:pt idx="130">
                  <c:v>2.3407814946075275E-5</c:v>
                </c:pt>
                <c:pt idx="131">
                  <c:v>2.2325387547746455E-5</c:v>
                </c:pt>
                <c:pt idx="132">
                  <c:v>2.1309987300563253E-5</c:v>
                </c:pt>
                <c:pt idx="133">
                  <c:v>2.0379627931440053E-5</c:v>
                </c:pt>
                <c:pt idx="134">
                  <c:v>1.9553819448567833E-5</c:v>
                </c:pt>
                <c:pt idx="135">
                  <c:v>1.8874664288546899E-5</c:v>
                </c:pt>
                <c:pt idx="136">
                  <c:v>1.8193265569595266E-5</c:v>
                </c:pt>
                <c:pt idx="137">
                  <c:v>1.7515471869496657E-5</c:v>
                </c:pt>
                <c:pt idx="138">
                  <c:v>1.6847483897562844E-5</c:v>
                </c:pt>
                <c:pt idx="139">
                  <c:v>1.6195856138240529E-5</c:v>
                </c:pt>
                <c:pt idx="140">
                  <c:v>1.556749648113554E-5</c:v>
                </c:pt>
                <c:pt idx="141">
                  <c:v>1.5010139584242138E-5</c:v>
                </c:pt>
                <c:pt idx="142">
                  <c:v>1.4460259455498212E-5</c:v>
                </c:pt>
                <c:pt idx="143">
                  <c:v>1.392262566336631E-5</c:v>
                </c:pt>
                <c:pt idx="144">
                  <c:v>1.3402336647586453E-5</c:v>
                </c:pt>
                <c:pt idx="145">
                  <c:v>1.2904720433735459E-5</c:v>
                </c:pt>
                <c:pt idx="146">
                  <c:v>1.2435327518194054E-5</c:v>
                </c:pt>
                <c:pt idx="147">
                  <c:v>1.1999922163632984E-5</c:v>
                </c:pt>
                <c:pt idx="148">
                  <c:v>1.1604711008972477E-5</c:v>
                </c:pt>
                <c:pt idx="149">
                  <c:v>1.1280398689643982E-5</c:v>
                </c:pt>
                <c:pt idx="150">
                  <c:v>1.1000531503024533E-5</c:v>
                </c:pt>
                <c:pt idx="151">
                  <c:v>1.0770816246115188E-5</c:v>
                </c:pt>
                <c:pt idx="152">
                  <c:v>1.059710852872477E-5</c:v>
                </c:pt>
                <c:pt idx="153">
                  <c:v>1.0485400752582607E-5</c:v>
                </c:pt>
                <c:pt idx="154">
                  <c:v>1.0441809122231186E-5</c:v>
                </c:pt>
                <c:pt idx="155">
                  <c:v>1.0482686203239024E-5</c:v>
                </c:pt>
                <c:pt idx="156">
                  <c:v>1.0553307456941663E-5</c:v>
                </c:pt>
                <c:pt idx="157">
                  <c:v>1.06562996659371E-5</c:v>
                </c:pt>
                <c:pt idx="158">
                  <c:v>1.0794324438377807E-5</c:v>
                </c:pt>
                <c:pt idx="159">
                  <c:v>1.0970071523016039E-5</c:v>
                </c:pt>
                <c:pt idx="160">
                  <c:v>1.1186251894229692E-5</c:v>
                </c:pt>
                <c:pt idx="161">
                  <c:v>1.1445590649937693E-5</c:v>
                </c:pt>
                <c:pt idx="162">
                  <c:v>1.1751010459011715E-5</c:v>
                </c:pt>
                <c:pt idx="163">
                  <c:v>1.20938778694854E-5</c:v>
                </c:pt>
                <c:pt idx="164">
                  <c:v>1.2441245397021969E-5</c:v>
                </c:pt>
                <c:pt idx="165">
                  <c:v>1.279296743500168E-5</c:v>
                </c:pt>
                <c:pt idx="166">
                  <c:v>1.3148893761145005E-5</c:v>
                </c:pt>
                <c:pt idx="167">
                  <c:v>1.3508870035454126E-5</c:v>
                </c:pt>
                <c:pt idx="168">
                  <c:v>1.3872738306142255E-5</c:v>
                </c:pt>
                <c:pt idx="169">
                  <c:v>1.4227293384827809E-5</c:v>
                </c:pt>
                <c:pt idx="170">
                  <c:v>1.4557678985031165E-5</c:v>
                </c:pt>
                <c:pt idx="171">
                  <c:v>1.4862249974983031E-5</c:v>
                </c:pt>
                <c:pt idx="172">
                  <c:v>1.513937543323984E-5</c:v>
                </c:pt>
                <c:pt idx="173">
                  <c:v>1.5387284954251161E-5</c:v>
                </c:pt>
                <c:pt idx="174">
                  <c:v>1.5604212173226306E-5</c:v>
                </c:pt>
                <c:pt idx="175">
                  <c:v>1.5788566657899066E-5</c:v>
                </c:pt>
                <c:pt idx="176">
                  <c:v>1.5938808374102576E-5</c:v>
                </c:pt>
                <c:pt idx="177">
                  <c:v>1.6069211167131424E-5</c:v>
                </c:pt>
                <c:pt idx="178">
                  <c:v>1.619428878843415E-5</c:v>
                </c:pt>
                <c:pt idx="179">
                  <c:v>1.6314092817336641E-5</c:v>
                </c:pt>
                <c:pt idx="180">
                  <c:v>1.6428687806296932E-5</c:v>
                </c:pt>
                <c:pt idx="181">
                  <c:v>1.653815081937286E-5</c:v>
                </c:pt>
                <c:pt idx="182">
                  <c:v>1.6642570938240174E-5</c:v>
                </c:pt>
                <c:pt idx="183">
                  <c:v>1.6790175125893588E-5</c:v>
                </c:pt>
                <c:pt idx="184">
                  <c:v>1.6999451491231128E-5</c:v>
                </c:pt>
                <c:pt idx="185">
                  <c:v>1.7273010029172621E-5</c:v>
                </c:pt>
                <c:pt idx="186">
                  <c:v>1.7613417827607361E-5</c:v>
                </c:pt>
                <c:pt idx="187">
                  <c:v>1.8023200971402409E-5</c:v>
                </c:pt>
                <c:pt idx="188">
                  <c:v>1.8504847104674015E-5</c:v>
                </c:pt>
                <c:pt idx="189">
                  <c:v>1.9060808636223612E-5</c:v>
                </c:pt>
                <c:pt idx="190">
                  <c:v>1.9693483084377028E-5</c:v>
                </c:pt>
                <c:pt idx="191">
                  <c:v>2.0517281259624688E-5</c:v>
                </c:pt>
                <c:pt idx="192">
                  <c:v>2.1519059368898424E-5</c:v>
                </c:pt>
                <c:pt idx="193">
                  <c:v>2.270397718501789E-5</c:v>
                </c:pt>
                <c:pt idx="194">
                  <c:v>2.4077083590445231E-5</c:v>
                </c:pt>
                <c:pt idx="195">
                  <c:v>2.564331553311981E-5</c:v>
                </c:pt>
                <c:pt idx="196">
                  <c:v>2.7407497275139022E-5</c:v>
                </c:pt>
                <c:pt idx="197">
                  <c:v>2.9452883110823467E-5</c:v>
                </c:pt>
                <c:pt idx="198">
                  <c:v>3.1729403201072675E-5</c:v>
                </c:pt>
                <c:pt idx="199">
                  <c:v>3.4242151300358508E-5</c:v>
                </c:pt>
                <c:pt idx="200">
                  <c:v>3.6996092892511882E-5</c:v>
                </c:pt>
                <c:pt idx="201">
                  <c:v>3.9996065138470343E-5</c:v>
                </c:pt>
                <c:pt idx="202">
                  <c:v>4.324677682156752E-5</c:v>
                </c:pt>
                <c:pt idx="203">
                  <c:v>4.6752808224133096E-5</c:v>
                </c:pt>
                <c:pt idx="204">
                  <c:v>5.0518591457963138E-5</c:v>
                </c:pt>
                <c:pt idx="205">
                  <c:v>5.477874324955907E-5</c:v>
                </c:pt>
                <c:pt idx="206">
                  <c:v>5.9414288819200636E-5</c:v>
                </c:pt>
                <c:pt idx="207">
                  <c:v>6.4432277881667596E-5</c:v>
                </c:pt>
                <c:pt idx="208">
                  <c:v>6.9839739334568983E-5</c:v>
                </c:pt>
                <c:pt idx="209">
                  <c:v>7.5643709129306376E-5</c:v>
                </c:pt>
                <c:pt idx="210">
                  <c:v>8.1851259147484667E-5</c:v>
                </c:pt>
                <c:pt idx="211">
                  <c:v>8.9144892245107075E-5</c:v>
                </c:pt>
                <c:pt idx="212">
                  <c:v>9.7457846837428657E-5</c:v>
                </c:pt>
                <c:pt idx="213">
                  <c:v>1.0681048137670667E-4</c:v>
                </c:pt>
                <c:pt idx="214">
                  <c:v>1.1722324209173781E-4</c:v>
                </c:pt>
                <c:pt idx="215">
                  <c:v>1.2871674726994812E-4</c:v>
                </c:pt>
                <c:pt idx="216">
                  <c:v>1.413118744490048E-4</c:v>
                </c:pt>
                <c:pt idx="217">
                  <c:v>1.550298507004217E-4</c:v>
                </c:pt>
                <c:pt idx="218">
                  <c:v>1.6988788551345431E-4</c:v>
                </c:pt>
                <c:pt idx="219">
                  <c:v>1.8620229903956197E-4</c:v>
                </c:pt>
                <c:pt idx="220">
                  <c:v>2.0374296598366085E-4</c:v>
                </c:pt>
                <c:pt idx="221">
                  <c:v>2.2253225847962578E-4</c:v>
                </c:pt>
                <c:pt idx="222">
                  <c:v>2.4259333240795312E-4</c:v>
                </c:pt>
                <c:pt idx="223">
                  <c:v>2.63950279464826E-4</c:v>
                </c:pt>
                <c:pt idx="224">
                  <c:v>2.8662828603649932E-4</c:v>
                </c:pt>
                <c:pt idx="225">
                  <c:v>3.1051787264713046E-4</c:v>
                </c:pt>
                <c:pt idx="226">
                  <c:v>3.348943839489768E-4</c:v>
                </c:pt>
                <c:pt idx="227">
                  <c:v>3.5976938264448708E-4</c:v>
                </c:pt>
                <c:pt idx="228">
                  <c:v>3.8515583141257803E-4</c:v>
                </c:pt>
                <c:pt idx="229">
                  <c:v>4.1106817318332283E-4</c:v>
                </c:pt>
                <c:pt idx="230">
                  <c:v>4.3752241765255049E-4</c:v>
                </c:pt>
                <c:pt idx="231">
                  <c:v>4.6453623510848367E-4</c:v>
                </c:pt>
                <c:pt idx="232">
                  <c:v>4.9211473557863271E-4</c:v>
                </c:pt>
                <c:pt idx="233">
                  <c:v>5.2027572131442177E-4</c:v>
                </c:pt>
                <c:pt idx="234">
                  <c:v>5.4870259191073243E-4</c:v>
                </c:pt>
                <c:pt idx="235">
                  <c:v>5.7740544939887057E-4</c:v>
                </c:pt>
                <c:pt idx="236">
                  <c:v>6.0639575583269225E-4</c:v>
                </c:pt>
                <c:pt idx="237">
                  <c:v>6.3568580645904384E-4</c:v>
                </c:pt>
                <c:pt idx="238">
                  <c:v>6.6528911040317521E-4</c:v>
                </c:pt>
                <c:pt idx="239">
                  <c:v>6.9488932064101165E-4</c:v>
                </c:pt>
                <c:pt idx="240">
                  <c:v>7.2464608873878879E-4</c:v>
                </c:pt>
                <c:pt idx="241">
                  <c:v>7.5457254600769339E-4</c:v>
                </c:pt>
                <c:pt idx="242">
                  <c:v>7.8468306128122445E-4</c:v>
                </c:pt>
                <c:pt idx="243">
                  <c:v>8.1499329082964094E-4</c:v>
                </c:pt>
                <c:pt idx="244">
                  <c:v>8.4552023447230376E-4</c:v>
                </c:pt>
                <c:pt idx="245">
                  <c:v>8.7628229846981563E-4</c:v>
                </c:pt>
                <c:pt idx="246">
                  <c:v>9.0731101896319229E-4</c:v>
                </c:pt>
                <c:pt idx="247">
                  <c:v>9.3820425940132723E-4</c:v>
                </c:pt>
                <c:pt idx="248">
                  <c:v>9.6894288804156225E-4</c:v>
                </c:pt>
                <c:pt idx="249">
                  <c:v>9.9952377349462251E-4</c:v>
                </c:pt>
                <c:pt idx="250">
                  <c:v>1.0299424300282513E-3</c:v>
                </c:pt>
                <c:pt idx="251">
                  <c:v>1.0601929580942872E-3</c:v>
                </c:pt>
                <c:pt idx="252">
                  <c:v>1.0902679805228281E-3</c:v>
                </c:pt>
                <c:pt idx="253">
                  <c:v>1.1195238472823175E-3</c:v>
                </c:pt>
                <c:pt idx="254">
                  <c:v>1.1483077875116135E-3</c:v>
                </c:pt>
                <c:pt idx="255">
                  <c:v>1.176599347722937E-3</c:v>
                </c:pt>
                <c:pt idx="256">
                  <c:v>1.2043759452799625E-3</c:v>
                </c:pt>
                <c:pt idx="257">
                  <c:v>1.2316127957331768E-3</c:v>
                </c:pt>
                <c:pt idx="258">
                  <c:v>1.2582828403574445E-3</c:v>
                </c:pt>
                <c:pt idx="259">
                  <c:v>1.2843566746619842E-3</c:v>
                </c:pt>
                <c:pt idx="260">
                  <c:v>1.3099061958225058E-3</c:v>
                </c:pt>
                <c:pt idx="261">
                  <c:v>1.3339771840559841E-3</c:v>
                </c:pt>
                <c:pt idx="262">
                  <c:v>1.3569973521879196E-3</c:v>
                </c:pt>
                <c:pt idx="263">
                  <c:v>1.3789102824956982E-3</c:v>
                </c:pt>
                <c:pt idx="264">
                  <c:v>1.3996544661269228E-3</c:v>
                </c:pt>
                <c:pt idx="265">
                  <c:v>1.4191707454831641E-3</c:v>
                </c:pt>
                <c:pt idx="266">
                  <c:v>1.4373912351653762E-3</c:v>
                </c:pt>
                <c:pt idx="267">
                  <c:v>1.453527566069836E-3</c:v>
                </c:pt>
                <c:pt idx="268">
                  <c:v>1.4682150645472223E-3</c:v>
                </c:pt>
                <c:pt idx="269">
                  <c:v>1.4813639689442266E-3</c:v>
                </c:pt>
                <c:pt idx="270">
                  <c:v>1.4928790898155069E-3</c:v>
                </c:pt>
                <c:pt idx="271">
                  <c:v>1.5026599205146909E-3</c:v>
                </c:pt>
                <c:pt idx="272">
                  <c:v>1.5106008083165998E-3</c:v>
                </c:pt>
                <c:pt idx="273">
                  <c:v>1.5165911953046024E-3</c:v>
                </c:pt>
                <c:pt idx="274">
                  <c:v>1.5207093641469013E-3</c:v>
                </c:pt>
                <c:pt idx="275">
                  <c:v>1.5227855088829373E-3</c:v>
                </c:pt>
                <c:pt idx="276">
                  <c:v>1.5239238938482438E-3</c:v>
                </c:pt>
                <c:pt idx="277">
                  <c:v>1.5240416793006145E-3</c:v>
                </c:pt>
                <c:pt idx="278">
                  <c:v>1.5230516743436695E-3</c:v>
                </c:pt>
                <c:pt idx="279">
                  <c:v>1.5208623811619345E-3</c:v>
                </c:pt>
                <c:pt idx="280">
                  <c:v>1.5173780975439677E-3</c:v>
                </c:pt>
                <c:pt idx="281">
                  <c:v>1.5126724742088415E-3</c:v>
                </c:pt>
                <c:pt idx="282">
                  <c:v>1.5075076261437481E-3</c:v>
                </c:pt>
                <c:pt idx="283">
                  <c:v>1.5018188229628325E-3</c:v>
                </c:pt>
                <c:pt idx="284">
                  <c:v>1.495539216269172E-3</c:v>
                </c:pt>
                <c:pt idx="285">
                  <c:v>1.4886000070891672E-3</c:v>
                </c:pt>
                <c:pt idx="286">
                  <c:v>1.4809306763254565E-3</c:v>
                </c:pt>
                <c:pt idx="287">
                  <c:v>1.4724592870506334E-3</c:v>
                </c:pt>
                <c:pt idx="288">
                  <c:v>1.4632056116189588E-3</c:v>
                </c:pt>
                <c:pt idx="289">
                  <c:v>1.4570781151908815E-3</c:v>
                </c:pt>
                <c:pt idx="290">
                  <c:v>1.4545266560832236E-3</c:v>
                </c:pt>
                <c:pt idx="291">
                  <c:v>1.4557093929247942E-3</c:v>
                </c:pt>
                <c:pt idx="292">
                  <c:v>1.460787404365542E-3</c:v>
                </c:pt>
                <c:pt idx="293">
                  <c:v>1.4699249348282177E-3</c:v>
                </c:pt>
                <c:pt idx="294">
                  <c:v>1.4832896847845382E-3</c:v>
                </c:pt>
                <c:pt idx="295">
                  <c:v>1.5127295482051935E-3</c:v>
                </c:pt>
                <c:pt idx="296">
                  <c:v>1.5586699094984099E-3</c:v>
                </c:pt>
                <c:pt idx="297">
                  <c:v>1.6217500125674054E-3</c:v>
                </c:pt>
                <c:pt idx="298">
                  <c:v>1.7026146751112578E-3</c:v>
                </c:pt>
                <c:pt idx="299">
                  <c:v>1.8019286674822654E-3</c:v>
                </c:pt>
                <c:pt idx="300">
                  <c:v>1.9203790834644982E-3</c:v>
                </c:pt>
                <c:pt idx="301">
                  <c:v>2.0586780048620678E-3</c:v>
                </c:pt>
                <c:pt idx="302">
                  <c:v>2.2175759737517874E-3</c:v>
                </c:pt>
                <c:pt idx="303">
                  <c:v>2.4061415295856207E-3</c:v>
                </c:pt>
                <c:pt idx="304">
                  <c:v>2.6207738004940971E-3</c:v>
                </c:pt>
                <c:pt idx="305">
                  <c:v>2.8623552299326402E-3</c:v>
                </c:pt>
                <c:pt idx="306">
                  <c:v>3.1317743173731819E-3</c:v>
                </c:pt>
                <c:pt idx="307">
                  <c:v>3.4299198558426806E-3</c:v>
                </c:pt>
                <c:pt idx="308">
                  <c:v>3.757674420148795E-3</c:v>
                </c:pt>
                <c:pt idx="309">
                  <c:v>4.1049613406183667E-3</c:v>
                </c:pt>
                <c:pt idx="310">
                  <c:v>4.4580984252575616E-3</c:v>
                </c:pt>
                <c:pt idx="311">
                  <c:v>4.8169550700404001E-3</c:v>
                </c:pt>
                <c:pt idx="312">
                  <c:v>5.1813587981875296E-3</c:v>
                </c:pt>
                <c:pt idx="313">
                  <c:v>5.5510921168558042E-3</c:v>
                </c:pt>
                <c:pt idx="314">
                  <c:v>5.9258894017996449E-3</c:v>
                </c:pt>
                <c:pt idx="315">
                  <c:v>6.3054338644483983E-3</c:v>
                </c:pt>
                <c:pt idx="316">
                  <c:v>6.6894666952849275E-3</c:v>
                </c:pt>
                <c:pt idx="317">
                  <c:v>7.0598198331349874E-3</c:v>
                </c:pt>
                <c:pt idx="318">
                  <c:v>7.4057345941922143E-3</c:v>
                </c:pt>
                <c:pt idx="319">
                  <c:v>7.7261454389228471E-3</c:v>
                </c:pt>
                <c:pt idx="320">
                  <c:v>8.0200096030889657E-3</c:v>
                </c:pt>
                <c:pt idx="321">
                  <c:v>8.2863077608540583E-3</c:v>
                </c:pt>
                <c:pt idx="322">
                  <c:v>8.5240443184341833E-3</c:v>
                </c:pt>
                <c:pt idx="323">
                  <c:v>8.7269003673975838E-3</c:v>
                </c:pt>
                <c:pt idx="324">
                  <c:v>8.9067333509211082E-3</c:v>
                </c:pt>
                <c:pt idx="325">
                  <c:v>9.0628411327266286E-3</c:v>
                </c:pt>
                <c:pt idx="326">
                  <c:v>9.1944828843749295E-3</c:v>
                </c:pt>
                <c:pt idx="327">
                  <c:v>9.3009709972741786E-3</c:v>
                </c:pt>
                <c:pt idx="328">
                  <c:v>9.3816819823084978E-3</c:v>
                </c:pt>
                <c:pt idx="329">
                  <c:v>9.4360081320641175E-3</c:v>
                </c:pt>
                <c:pt idx="330">
                  <c:v>9.4639778233874296E-3</c:v>
                </c:pt>
                <c:pt idx="331">
                  <c:v>9.4681712573618029E-3</c:v>
                </c:pt>
                <c:pt idx="332">
                  <c:v>9.4684124252514094E-3</c:v>
                </c:pt>
                <c:pt idx="333">
                  <c:v>9.4641357146280115E-3</c:v>
                </c:pt>
                <c:pt idx="334">
                  <c:v>9.4547587591812515E-3</c:v>
                </c:pt>
                <c:pt idx="335">
                  <c:v>9.4396851422470611E-3</c:v>
                </c:pt>
                <c:pt idx="336">
                  <c:v>9.4183079165993753E-3</c:v>
                </c:pt>
                <c:pt idx="337">
                  <c:v>9.3929692141107215E-3</c:v>
                </c:pt>
                <c:pt idx="338">
                  <c:v>9.3692595601595104E-3</c:v>
                </c:pt>
                <c:pt idx="339">
                  <c:v>9.3467726427147579E-3</c:v>
                </c:pt>
                <c:pt idx="340">
                  <c:v>9.3250899601375926E-3</c:v>
                </c:pt>
                <c:pt idx="341">
                  <c:v>9.3037820995643342E-3</c:v>
                </c:pt>
                <c:pt idx="342">
                  <c:v>9.2824106174730567E-3</c:v>
                </c:pt>
                <c:pt idx="343">
                  <c:v>9.2605305589538844E-3</c:v>
                </c:pt>
                <c:pt idx="344">
                  <c:v>9.2390982214349045E-3</c:v>
                </c:pt>
                <c:pt idx="345">
                  <c:v>9.219375026472295E-3</c:v>
                </c:pt>
                <c:pt idx="346">
                  <c:v>9.2007330925302326E-3</c:v>
                </c:pt>
                <c:pt idx="347">
                  <c:v>9.1831679841482342E-3</c:v>
                </c:pt>
                <c:pt idx="348">
                  <c:v>9.1666723946964637E-3</c:v>
                </c:pt>
                <c:pt idx="349">
                  <c:v>9.1512361860976252E-3</c:v>
                </c:pt>
                <c:pt idx="350">
                  <c:v>9.1368464558228609E-3</c:v>
                </c:pt>
                <c:pt idx="351">
                  <c:v>9.1261479848177285E-3</c:v>
                </c:pt>
                <c:pt idx="352">
                  <c:v>9.1159778508403469E-3</c:v>
                </c:pt>
                <c:pt idx="353">
                  <c:v>9.1063111222026271E-3</c:v>
                </c:pt>
                <c:pt idx="354">
                  <c:v>9.0971221074212377E-3</c:v>
                </c:pt>
                <c:pt idx="355">
                  <c:v>9.088384586427271E-3</c:v>
                </c:pt>
                <c:pt idx="356">
                  <c:v>9.0799508260464689E-3</c:v>
                </c:pt>
                <c:pt idx="357">
                  <c:v>9.0719068126349344E-3</c:v>
                </c:pt>
                <c:pt idx="358">
                  <c:v>9.0640346457880397E-3</c:v>
                </c:pt>
                <c:pt idx="359">
                  <c:v>9.0562478391131539E-3</c:v>
                </c:pt>
                <c:pt idx="360">
                  <c:v>9.0517781457913147E-3</c:v>
                </c:pt>
                <c:pt idx="361">
                  <c:v>9.0480973309719128E-3</c:v>
                </c:pt>
                <c:pt idx="362">
                  <c:v>9.0453149078660207E-3</c:v>
                </c:pt>
                <c:pt idx="363">
                  <c:v>9.043535352444898E-3</c:v>
                </c:pt>
                <c:pt idx="364">
                  <c:v>9.0428576580459472E-3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913616"/>
        <c:axId val="443914008"/>
      </c:lineChart>
      <c:dateAx>
        <c:axId val="4439136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14008"/>
        <c:crosses val="autoZero"/>
        <c:auto val="1"/>
        <c:lblOffset val="100"/>
        <c:baseTimeUnit val="days"/>
        <c:majorUnit val="1"/>
        <c:majorTimeUnit val="months"/>
      </c:dateAx>
      <c:valAx>
        <c:axId val="44391400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136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15.453669992376328</c:v>
                </c:pt>
                <c:pt idx="1">
                  <c:v>15.561719554559705</c:v>
                </c:pt>
                <c:pt idx="2">
                  <c:v>15.67702838491731</c:v>
                </c:pt>
                <c:pt idx="3">
                  <c:v>15.799377177842075</c:v>
                </c:pt>
                <c:pt idx="4">
                  <c:v>15.928546688037883</c:v>
                </c:pt>
                <c:pt idx="5">
                  <c:v>16.064317732181902</c:v>
                </c:pt>
                <c:pt idx="6">
                  <c:v>16.206471179027215</c:v>
                </c:pt>
                <c:pt idx="7">
                  <c:v>16.354787972192231</c:v>
                </c:pt>
                <c:pt idx="8">
                  <c:v>16.510951703981977</c:v>
                </c:pt>
                <c:pt idx="9">
                  <c:v>16.676479455674784</c:v>
                </c:pt>
                <c:pt idx="10">
                  <c:v>16.850803929247384</c:v>
                </c:pt>
                <c:pt idx="11">
                  <c:v>17.033310838497528</c:v>
                </c:pt>
                <c:pt idx="12">
                  <c:v>17.223386194124917</c:v>
                </c:pt>
                <c:pt idx="13">
                  <c:v>17.420416322699552</c:v>
                </c:pt>
                <c:pt idx="14">
                  <c:v>17.623787856023263</c:v>
                </c:pt>
                <c:pt idx="15">
                  <c:v>17.833238971640483</c:v>
                </c:pt>
                <c:pt idx="16">
                  <c:v>18.048206965020455</c:v>
                </c:pt>
                <c:pt idx="17">
                  <c:v>18.268079682186634</c:v>
                </c:pt>
                <c:pt idx="18">
                  <c:v>18.492245221855473</c:v>
                </c:pt>
                <c:pt idx="19">
                  <c:v>18.720091024465439</c:v>
                </c:pt>
                <c:pt idx="20">
                  <c:v>18.951004398095147</c:v>
                </c:pt>
                <c:pt idx="21">
                  <c:v>19.184373652712036</c:v>
                </c:pt>
                <c:pt idx="22">
                  <c:v>19.421712784833218</c:v>
                </c:pt>
                <c:pt idx="23">
                  <c:v>19.664991730692979</c:v>
                </c:pt>
                <c:pt idx="24">
                  <c:v>19.913833028201797</c:v>
                </c:pt>
                <c:pt idx="25">
                  <c:v>20.167957136273721</c:v>
                </c:pt>
                <c:pt idx="26">
                  <c:v>20.427084674194376</c:v>
                </c:pt>
                <c:pt idx="27">
                  <c:v>20.690936431025339</c:v>
                </c:pt>
                <c:pt idx="28">
                  <c:v>20.959233383384376</c:v>
                </c:pt>
                <c:pt idx="29">
                  <c:v>21.231503770536886</c:v>
                </c:pt>
                <c:pt idx="30">
                  <c:v>21.507117113079463</c:v>
                </c:pt>
                <c:pt idx="31">
                  <c:v>21.785794990764213</c:v>
                </c:pt>
                <c:pt idx="32">
                  <c:v>22.067259230514278</c:v>
                </c:pt>
                <c:pt idx="33">
                  <c:v>22.351231914459927</c:v>
                </c:pt>
                <c:pt idx="34">
                  <c:v>22.637435377667821</c:v>
                </c:pt>
                <c:pt idx="35">
                  <c:v>22.92559221176883</c:v>
                </c:pt>
                <c:pt idx="36">
                  <c:v>23.215916739348245</c:v>
                </c:pt>
                <c:pt idx="37">
                  <c:v>23.508569714886747</c:v>
                </c:pt>
                <c:pt idx="38">
                  <c:v>23.803407434121759</c:v>
                </c:pt>
                <c:pt idx="39">
                  <c:v>24.10052116316988</c:v>
                </c:pt>
                <c:pt idx="40">
                  <c:v>24.400002165167386</c:v>
                </c:pt>
                <c:pt idx="41">
                  <c:v>24.701941694346605</c:v>
                </c:pt>
                <c:pt idx="42">
                  <c:v>25.006430973810232</c:v>
                </c:pt>
                <c:pt idx="43">
                  <c:v>25.313454851839609</c:v>
                </c:pt>
                <c:pt idx="44">
                  <c:v>25.623297505256058</c:v>
                </c:pt>
                <c:pt idx="45">
                  <c:v>25.936050021004142</c:v>
                </c:pt>
                <c:pt idx="46">
                  <c:v>26.251803403698382</c:v>
                </c:pt>
                <c:pt idx="47">
                  <c:v>26.570648565789437</c:v>
                </c:pt>
                <c:pt idx="48">
                  <c:v>26.892676303208052</c:v>
                </c:pt>
                <c:pt idx="49">
                  <c:v>27.21797728685825</c:v>
                </c:pt>
                <c:pt idx="50">
                  <c:v>27.547209125926091</c:v>
                </c:pt>
                <c:pt idx="51">
                  <c:v>27.88071710403127</c:v>
                </c:pt>
                <c:pt idx="52">
                  <c:v>28.218431523614402</c:v>
                </c:pt>
                <c:pt idx="53">
                  <c:v>28.559983179854761</c:v>
                </c:pt>
                <c:pt idx="54">
                  <c:v>28.905002793757639</c:v>
                </c:pt>
                <c:pt idx="55">
                  <c:v>29.253121198804955</c:v>
                </c:pt>
                <c:pt idx="56">
                  <c:v>29.603969320026003</c:v>
                </c:pt>
                <c:pt idx="57">
                  <c:v>29.957186559817274</c:v>
                </c:pt>
                <c:pt idx="58">
                  <c:v>30.312510824928882</c:v>
                </c:pt>
                <c:pt idx="59">
                  <c:v>30.669573427737102</c:v>
                </c:pt>
                <c:pt idx="60">
                  <c:v>31.028005750497549</c:v>
                </c:pt>
                <c:pt idx="61">
                  <c:v>31.387439229233095</c:v>
                </c:pt>
                <c:pt idx="62">
                  <c:v>31.74750534839751</c:v>
                </c:pt>
                <c:pt idx="63">
                  <c:v>32.107835632671666</c:v>
                </c:pt>
                <c:pt idx="64">
                  <c:v>32.470172441347771</c:v>
                </c:pt>
                <c:pt idx="65">
                  <c:v>32.836160873169554</c:v>
                </c:pt>
                <c:pt idx="66">
                  <c:v>33.20525269511446</c:v>
                </c:pt>
                <c:pt idx="67">
                  <c:v>33.576894429183973</c:v>
                </c:pt>
                <c:pt idx="68">
                  <c:v>33.950532722538803</c:v>
                </c:pt>
                <c:pt idx="69">
                  <c:v>34.325614342301506</c:v>
                </c:pt>
                <c:pt idx="70">
                  <c:v>34.701586177920476</c:v>
                </c:pt>
                <c:pt idx="71">
                  <c:v>35.077936159454786</c:v>
                </c:pt>
                <c:pt idx="72">
                  <c:v>35.454103052985104</c:v>
                </c:pt>
                <c:pt idx="73">
                  <c:v>35.829534215511821</c:v>
                </c:pt>
                <c:pt idx="74">
                  <c:v>36.203677144039716</c:v>
                </c:pt>
                <c:pt idx="75">
                  <c:v>36.575979483633432</c:v>
                </c:pt>
                <c:pt idx="76">
                  <c:v>36.945889037083425</c:v>
                </c:pt>
                <c:pt idx="77">
                  <c:v>37.312853774868707</c:v>
                </c:pt>
                <c:pt idx="78">
                  <c:v>37.67928312348522</c:v>
                </c:pt>
                <c:pt idx="79">
                  <c:v>38.047490252825618</c:v>
                </c:pt>
                <c:pt idx="80">
                  <c:v>38.416711243804407</c:v>
                </c:pt>
                <c:pt idx="81">
                  <c:v>38.786209187709787</c:v>
                </c:pt>
                <c:pt idx="82">
                  <c:v>39.155247495627563</c:v>
                </c:pt>
                <c:pt idx="83">
                  <c:v>39.523089913667746</c:v>
                </c:pt>
                <c:pt idx="84">
                  <c:v>39.889000546252944</c:v>
                </c:pt>
                <c:pt idx="85">
                  <c:v>40.252263697105931</c:v>
                </c:pt>
                <c:pt idx="86">
                  <c:v>40.612102675836844</c:v>
                </c:pt>
                <c:pt idx="87">
                  <c:v>40.967782678270446</c:v>
                </c:pt>
                <c:pt idx="88">
                  <c:v>41.318569341056232</c:v>
                </c:pt>
                <c:pt idx="89">
                  <c:v>41.663728763652415</c:v>
                </c:pt>
                <c:pt idx="90">
                  <c:v>42.002527532795376</c:v>
                </c:pt>
                <c:pt idx="91">
                  <c:v>42.334232757000478</c:v>
                </c:pt>
                <c:pt idx="92">
                  <c:v>42.660533687326541</c:v>
                </c:pt>
                <c:pt idx="93">
                  <c:v>42.983439626217915</c:v>
                </c:pt>
                <c:pt idx="94">
                  <c:v>43.302645209898536</c:v>
                </c:pt>
                <c:pt idx="95">
                  <c:v>43.61787348464938</c:v>
                </c:pt>
                <c:pt idx="96">
                  <c:v>43.928847761588436</c:v>
                </c:pt>
                <c:pt idx="97">
                  <c:v>44.235291627821013</c:v>
                </c:pt>
                <c:pt idx="98">
                  <c:v>44.536928977327015</c:v>
                </c:pt>
                <c:pt idx="99">
                  <c:v>44.833483185053502</c:v>
                </c:pt>
                <c:pt idx="100">
                  <c:v>45.124658365689456</c:v>
                </c:pt>
                <c:pt idx="101">
                  <c:v>45.410179272021807</c:v>
                </c:pt>
                <c:pt idx="102">
                  <c:v>45.689771028749931</c:v>
                </c:pt>
                <c:pt idx="103">
                  <c:v>45.963159156043268</c:v>
                </c:pt>
                <c:pt idx="104">
                  <c:v>46.230069592755576</c:v>
                </c:pt>
                <c:pt idx="105">
                  <c:v>46.490228712011564</c:v>
                </c:pt>
                <c:pt idx="106">
                  <c:v>46.744639318726357</c:v>
                </c:pt>
                <c:pt idx="107">
                  <c:v>46.994311428142886</c:v>
                </c:pt>
                <c:pt idx="108">
                  <c:v>47.238954052667985</c:v>
                </c:pt>
                <c:pt idx="109">
                  <c:v>47.478293790929925</c:v>
                </c:pt>
                <c:pt idx="110">
                  <c:v>47.712057665648366</c:v>
                </c:pt>
                <c:pt idx="111">
                  <c:v>47.939973233114806</c:v>
                </c:pt>
                <c:pt idx="112">
                  <c:v>48.161768700811919</c:v>
                </c:pt>
                <c:pt idx="113">
                  <c:v>48.377154576761789</c:v>
                </c:pt>
                <c:pt idx="114">
                  <c:v>48.585860915728695</c:v>
                </c:pt>
                <c:pt idx="115">
                  <c:v>48.787617512811799</c:v>
                </c:pt>
                <c:pt idx="116">
                  <c:v>48.982154806869609</c:v>
                </c:pt>
                <c:pt idx="117">
                  <c:v>49.169203896450469</c:v>
                </c:pt>
                <c:pt idx="118">
                  <c:v>49.348496558936667</c:v>
                </c:pt>
                <c:pt idx="119">
                  <c:v>55.844226678731616</c:v>
                </c:pt>
                <c:pt idx="120">
                  <c:v>56.026910332876909</c:v>
                </c:pt>
                <c:pt idx="121">
                  <c:v>56.200260254573884</c:v>
                </c:pt>
                <c:pt idx="122">
                  <c:v>56.364683097973014</c:v>
                </c:pt>
                <c:pt idx="123">
                  <c:v>56.520594334045242</c:v>
                </c:pt>
                <c:pt idx="124">
                  <c:v>56.668409037233914</c:v>
                </c:pt>
                <c:pt idx="125">
                  <c:v>56.808541907339603</c:v>
                </c:pt>
                <c:pt idx="126">
                  <c:v>56.941372184607509</c:v>
                </c:pt>
                <c:pt idx="127">
                  <c:v>57.067312649374365</c:v>
                </c:pt>
                <c:pt idx="128">
                  <c:v>57.186820444479579</c:v>
                </c:pt>
                <c:pt idx="129">
                  <c:v>57.30030850435098</c:v>
                </c:pt>
                <c:pt idx="130">
                  <c:v>57.408189366706949</c:v>
                </c:pt>
                <c:pt idx="131">
                  <c:v>57.510875173715377</c:v>
                </c:pt>
                <c:pt idx="132">
                  <c:v>57.608777675135244</c:v>
                </c:pt>
                <c:pt idx="133">
                  <c:v>57.702308222230961</c:v>
                </c:pt>
                <c:pt idx="134">
                  <c:v>57.79019369619084</c:v>
                </c:pt>
                <c:pt idx="135">
                  <c:v>57.871087676203459</c:v>
                </c:pt>
                <c:pt idx="136">
                  <c:v>57.945357395444503</c:v>
                </c:pt>
                <c:pt idx="137">
                  <c:v>58.013314950316257</c:v>
                </c:pt>
                <c:pt idx="138">
                  <c:v>58.075272208287345</c:v>
                </c:pt>
                <c:pt idx="139">
                  <c:v>58.131540806508909</c:v>
                </c:pt>
                <c:pt idx="140">
                  <c:v>58.18243214391191</c:v>
                </c:pt>
                <c:pt idx="141">
                  <c:v>58.228245408492775</c:v>
                </c:pt>
                <c:pt idx="142">
                  <c:v>58.269312838247693</c:v>
                </c:pt>
                <c:pt idx="143">
                  <c:v>58.305945394279547</c:v>
                </c:pt>
                <c:pt idx="144">
                  <c:v>58.338453763407337</c:v>
                </c:pt>
                <c:pt idx="145">
                  <c:v>58.367148380785288</c:v>
                </c:pt>
                <c:pt idx="146">
                  <c:v>58.392339424541973</c:v>
                </c:pt>
                <c:pt idx="147">
                  <c:v>58.414336803726336</c:v>
                </c:pt>
                <c:pt idx="148">
                  <c:v>58.432247036815994</c:v>
                </c:pt>
                <c:pt idx="149">
                  <c:v>58.44510230045087</c:v>
                </c:pt>
                <c:pt idx="150">
                  <c:v>58.453118250936853</c:v>
                </c:pt>
                <c:pt idx="151">
                  <c:v>58.456503762080814</c:v>
                </c:pt>
                <c:pt idx="152">
                  <c:v>58.4554675049244</c:v>
                </c:pt>
                <c:pt idx="153">
                  <c:v>58.450217936411974</c:v>
                </c:pt>
                <c:pt idx="154">
                  <c:v>58.440963296392731</c:v>
                </c:pt>
                <c:pt idx="155">
                  <c:v>58.427909252696061</c:v>
                </c:pt>
                <c:pt idx="156">
                  <c:v>58.411277406610921</c:v>
                </c:pt>
                <c:pt idx="157">
                  <c:v>58.391275610531949</c:v>
                </c:pt>
                <c:pt idx="158">
                  <c:v>58.368111459869048</c:v>
                </c:pt>
                <c:pt idx="159">
                  <c:v>58.34199228389528</c:v>
                </c:pt>
                <c:pt idx="160">
                  <c:v>58.313125137142443</c:v>
                </c:pt>
                <c:pt idx="161">
                  <c:v>58.281716790063626</c:v>
                </c:pt>
                <c:pt idx="162">
                  <c:v>58.247028451760116</c:v>
                </c:pt>
                <c:pt idx="163">
                  <c:v>58.208323331946019</c:v>
                </c:pt>
                <c:pt idx="164">
                  <c:v>58.165818528838237</c:v>
                </c:pt>
                <c:pt idx="165">
                  <c:v>58.119721514630335</c:v>
                </c:pt>
                <c:pt idx="166">
                  <c:v>58.070239427448371</c:v>
                </c:pt>
                <c:pt idx="167">
                  <c:v>58.017579063660463</c:v>
                </c:pt>
                <c:pt idx="168">
                  <c:v>57.961946870835874</c:v>
                </c:pt>
                <c:pt idx="169">
                  <c:v>57.903550131409894</c:v>
                </c:pt>
                <c:pt idx="170">
                  <c:v>57.842597235918987</c:v>
                </c:pt>
                <c:pt idx="171">
                  <c:v>57.779293591288194</c:v>
                </c:pt>
                <c:pt idx="172">
                  <c:v>57.713844236826937</c:v>
                </c:pt>
                <c:pt idx="173">
                  <c:v>57.646453872784818</c:v>
                </c:pt>
                <c:pt idx="174">
                  <c:v>57.577326829898979</c:v>
                </c:pt>
                <c:pt idx="175">
                  <c:v>57.506667046064102</c:v>
                </c:pt>
                <c:pt idx="176">
                  <c:v>57.434610830055277</c:v>
                </c:pt>
                <c:pt idx="177">
                  <c:v>57.36102237147162</c:v>
                </c:pt>
                <c:pt idx="178">
                  <c:v>57.285700313286</c:v>
                </c:pt>
                <c:pt idx="179">
                  <c:v>57.208444484783342</c:v>
                </c:pt>
                <c:pt idx="180">
                  <c:v>57.129054782853373</c:v>
                </c:pt>
                <c:pt idx="181">
                  <c:v>57.047331173513783</c:v>
                </c:pt>
                <c:pt idx="182">
                  <c:v>56.963073692398645</c:v>
                </c:pt>
                <c:pt idx="183">
                  <c:v>56.876070355012608</c:v>
                </c:pt>
                <c:pt idx="184">
                  <c:v>56.786119995467786</c:v>
                </c:pt>
                <c:pt idx="185">
                  <c:v>56.693022608413649</c:v>
                </c:pt>
                <c:pt idx="186">
                  <c:v>56.596578293115549</c:v>
                </c:pt>
                <c:pt idx="187">
                  <c:v>56.49658725900661</c:v>
                </c:pt>
                <c:pt idx="188">
                  <c:v>56.392849830634056</c:v>
                </c:pt>
                <c:pt idx="189">
                  <c:v>56.285166458294746</c:v>
                </c:pt>
                <c:pt idx="190">
                  <c:v>56.173404743688629</c:v>
                </c:pt>
                <c:pt idx="191">
                  <c:v>56.057682357218596</c:v>
                </c:pt>
                <c:pt idx="192">
                  <c:v>55.938204629746913</c:v>
                </c:pt>
                <c:pt idx="193">
                  <c:v>55.815173597057182</c:v>
                </c:pt>
                <c:pt idx="194">
                  <c:v>55.688791075591354</c:v>
                </c:pt>
                <c:pt idx="195">
                  <c:v>55.559258665099911</c:v>
                </c:pt>
                <c:pt idx="196">
                  <c:v>55.426777765132762</c:v>
                </c:pt>
                <c:pt idx="197">
                  <c:v>55.291543530617155</c:v>
                </c:pt>
                <c:pt idx="198">
                  <c:v>55.153770474423546</c:v>
                </c:pt>
                <c:pt idx="199">
                  <c:v>55.013659692218198</c:v>
                </c:pt>
                <c:pt idx="200">
                  <c:v>54.87141210113095</c:v>
                </c:pt>
                <c:pt idx="201">
                  <c:v>54.7272284515698</c:v>
                </c:pt>
                <c:pt idx="202">
                  <c:v>54.581309330887237</c:v>
                </c:pt>
                <c:pt idx="203">
                  <c:v>54.433855176377719</c:v>
                </c:pt>
                <c:pt idx="204">
                  <c:v>54.284999505117774</c:v>
                </c:pt>
                <c:pt idx="205">
                  <c:v>54.13457480779028</c:v>
                </c:pt>
                <c:pt idx="206">
                  <c:v>53.982399654196122</c:v>
                </c:pt>
                <c:pt idx="207">
                  <c:v>53.82827398738192</c:v>
                </c:pt>
                <c:pt idx="208">
                  <c:v>53.67199802227784</c:v>
                </c:pt>
                <c:pt idx="209">
                  <c:v>53.513372245910453</c:v>
                </c:pt>
                <c:pt idx="210">
                  <c:v>53.352197415906943</c:v>
                </c:pt>
                <c:pt idx="211">
                  <c:v>53.188186413832717</c:v>
                </c:pt>
                <c:pt idx="212">
                  <c:v>53.02114593937771</c:v>
                </c:pt>
                <c:pt idx="213">
                  <c:v>52.85087701800574</c:v>
                </c:pt>
                <c:pt idx="214">
                  <c:v>52.677180983995505</c:v>
                </c:pt>
                <c:pt idx="215">
                  <c:v>52.499859466303526</c:v>
                </c:pt>
                <c:pt idx="216">
                  <c:v>52.318714394373337</c:v>
                </c:pt>
                <c:pt idx="217">
                  <c:v>52.133547982037385</c:v>
                </c:pt>
                <c:pt idx="218">
                  <c:v>51.945527215845885</c:v>
                </c:pt>
                <c:pt idx="219">
                  <c:v>51.755643149016784</c:v>
                </c:pt>
                <c:pt idx="220">
                  <c:v>51.563532253115163</c:v>
                </c:pt>
                <c:pt idx="221">
                  <c:v>51.3687965705276</c:v>
                </c:pt>
                <c:pt idx="222">
                  <c:v>51.171038601535749</c:v>
                </c:pt>
                <c:pt idx="223">
                  <c:v>50.969861299078133</c:v>
                </c:pt>
                <c:pt idx="224">
                  <c:v>50.764868060515269</c:v>
                </c:pt>
                <c:pt idx="225">
                  <c:v>50.555683253217765</c:v>
                </c:pt>
                <c:pt idx="226">
                  <c:v>50.342001641876891</c:v>
                </c:pt>
                <c:pt idx="227">
                  <c:v>50.123428341628042</c:v>
                </c:pt>
                <c:pt idx="228">
                  <c:v>49.899568855763505</c:v>
                </c:pt>
                <c:pt idx="229">
                  <c:v>49.67002906434292</c:v>
                </c:pt>
                <c:pt idx="230">
                  <c:v>49.434415226520606</c:v>
                </c:pt>
                <c:pt idx="231">
                  <c:v>49.192333968106887</c:v>
                </c:pt>
                <c:pt idx="232">
                  <c:v>48.94481858627686</c:v>
                </c:pt>
                <c:pt idx="233">
                  <c:v>48.693060962355261</c:v>
                </c:pt>
                <c:pt idx="234">
                  <c:v>48.436908552319395</c:v>
                </c:pt>
                <c:pt idx="235">
                  <c:v>48.17616633028809</c:v>
                </c:pt>
                <c:pt idx="236">
                  <c:v>47.910639389639066</c:v>
                </c:pt>
                <c:pt idx="237">
                  <c:v>47.640133013199346</c:v>
                </c:pt>
                <c:pt idx="238">
                  <c:v>47.364452628076691</c:v>
                </c:pt>
                <c:pt idx="239">
                  <c:v>47.0834478441488</c:v>
                </c:pt>
                <c:pt idx="240">
                  <c:v>46.796903581260814</c:v>
                </c:pt>
                <c:pt idx="241">
                  <c:v>46.504625760132861</c:v>
                </c:pt>
                <c:pt idx="242">
                  <c:v>46.206420445102715</c:v>
                </c:pt>
                <c:pt idx="243">
                  <c:v>45.902093843669064</c:v>
                </c:pt>
                <c:pt idx="244">
                  <c:v>45.591452306329444</c:v>
                </c:pt>
                <c:pt idx="245">
                  <c:v>45.274302329295367</c:v>
                </c:pt>
                <c:pt idx="246">
                  <c:v>44.949871945994126</c:v>
                </c:pt>
                <c:pt idx="247">
                  <c:v>44.6178822813389</c:v>
                </c:pt>
                <c:pt idx="248">
                  <c:v>44.278807120271068</c:v>
                </c:pt>
                <c:pt idx="249">
                  <c:v>43.933147288957336</c:v>
                </c:pt>
                <c:pt idx="250">
                  <c:v>43.581403143052185</c:v>
                </c:pt>
                <c:pt idx="251">
                  <c:v>43.224074563315462</c:v>
                </c:pt>
                <c:pt idx="252">
                  <c:v>42.861660966747898</c:v>
                </c:pt>
                <c:pt idx="253">
                  <c:v>42.494717486561207</c:v>
                </c:pt>
                <c:pt idx="254">
                  <c:v>42.123698159455877</c:v>
                </c:pt>
                <c:pt idx="255">
                  <c:v>41.749101007795844</c:v>
                </c:pt>
                <c:pt idx="256">
                  <c:v>41.371423592608274</c:v>
                </c:pt>
                <c:pt idx="257">
                  <c:v>40.991163021619549</c:v>
                </c:pt>
                <c:pt idx="258">
                  <c:v>40.608815949811657</c:v>
                </c:pt>
                <c:pt idx="259">
                  <c:v>40.224878575489235</c:v>
                </c:pt>
                <c:pt idx="260">
                  <c:v>39.836682411604734</c:v>
                </c:pt>
                <c:pt idx="261">
                  <c:v>39.441916143075915</c:v>
                </c:pt>
                <c:pt idx="262">
                  <c:v>39.041444226126444</c:v>
                </c:pt>
                <c:pt idx="263">
                  <c:v>38.636159998896943</c:v>
                </c:pt>
                <c:pt idx="264">
                  <c:v>38.226955970997608</c:v>
                </c:pt>
                <c:pt idx="265">
                  <c:v>37.814723150514439</c:v>
                </c:pt>
                <c:pt idx="266">
                  <c:v>37.400352055223465</c:v>
                </c:pt>
                <c:pt idx="267">
                  <c:v>36.984788241038203</c:v>
                </c:pt>
                <c:pt idx="268">
                  <c:v>36.568864666878916</c:v>
                </c:pt>
                <c:pt idx="269">
                  <c:v>36.153469947685096</c:v>
                </c:pt>
                <c:pt idx="270">
                  <c:v>35.739491902335999</c:v>
                </c:pt>
                <c:pt idx="271">
                  <c:v>35.327817557698189</c:v>
                </c:pt>
                <c:pt idx="272">
                  <c:v>34.919333152670731</c:v>
                </c:pt>
                <c:pt idx="273">
                  <c:v>34.514924145726525</c:v>
                </c:pt>
                <c:pt idx="274">
                  <c:v>34.111120518483688</c:v>
                </c:pt>
                <c:pt idx="275">
                  <c:v>33.704537916862662</c:v>
                </c:pt>
                <c:pt idx="276">
                  <c:v>33.296071185833775</c:v>
                </c:pt>
                <c:pt idx="277">
                  <c:v>32.886706044542116</c:v>
                </c:pt>
                <c:pt idx="278">
                  <c:v>32.47742731600421</c:v>
                </c:pt>
                <c:pt idx="279">
                  <c:v>32.069218935946594</c:v>
                </c:pt>
                <c:pt idx="280">
                  <c:v>31.663063968606146</c:v>
                </c:pt>
                <c:pt idx="281">
                  <c:v>31.259639371378285</c:v>
                </c:pt>
                <c:pt idx="282">
                  <c:v>30.859870159590201</c:v>
                </c:pt>
                <c:pt idx="283">
                  <c:v>30.464736188114621</c:v>
                </c:pt>
                <c:pt idx="284">
                  <c:v>30.07521652693816</c:v>
                </c:pt>
                <c:pt idx="285">
                  <c:v>29.692289471498569</c:v>
                </c:pt>
                <c:pt idx="286">
                  <c:v>29.316932574579106</c:v>
                </c:pt>
                <c:pt idx="287">
                  <c:v>28.950122662792531</c:v>
                </c:pt>
                <c:pt idx="288">
                  <c:v>28.591016541104203</c:v>
                </c:pt>
                <c:pt idx="289">
                  <c:v>28.237279988079028</c:v>
                </c:pt>
                <c:pt idx="290">
                  <c:v>27.888593668624871</c:v>
                </c:pt>
                <c:pt idx="291">
                  <c:v>27.544655883577988</c:v>
                </c:pt>
                <c:pt idx="292">
                  <c:v>27.205165185951905</c:v>
                </c:pt>
                <c:pt idx="293">
                  <c:v>26.869820392873848</c:v>
                </c:pt>
                <c:pt idx="294">
                  <c:v>26.538320591449921</c:v>
                </c:pt>
                <c:pt idx="295">
                  <c:v>26.210142427742209</c:v>
                </c:pt>
                <c:pt idx="296">
                  <c:v>25.88529158475292</c:v>
                </c:pt>
                <c:pt idx="297">
                  <c:v>25.563466699750485</c:v>
                </c:pt>
                <c:pt idx="298">
                  <c:v>25.244367693412283</c:v>
                </c:pt>
                <c:pt idx="299">
                  <c:v>24.92769468249459</c:v>
                </c:pt>
                <c:pt idx="300">
                  <c:v>24.613148000792936</c:v>
                </c:pt>
                <c:pt idx="301">
                  <c:v>24.300428206822449</c:v>
                </c:pt>
                <c:pt idx="302">
                  <c:v>23.989121635175596</c:v>
                </c:pt>
                <c:pt idx="303">
                  <c:v>23.679643796767735</c:v>
                </c:pt>
                <c:pt idx="304">
                  <c:v>23.373027014616138</c:v>
                </c:pt>
                <c:pt idx="305">
                  <c:v>23.069660403918547</c:v>
                </c:pt>
                <c:pt idx="306">
                  <c:v>22.76993292371262</c:v>
                </c:pt>
                <c:pt idx="307">
                  <c:v>22.474233391088379</c:v>
                </c:pt>
                <c:pt idx="308">
                  <c:v>22.182950495840316</c:v>
                </c:pt>
                <c:pt idx="309">
                  <c:v>21.896922442207099</c:v>
                </c:pt>
                <c:pt idx="310">
                  <c:v>21.616761562337466</c:v>
                </c:pt>
                <c:pt idx="311">
                  <c:v>21.342856798272098</c:v>
                </c:pt>
                <c:pt idx="312">
                  <c:v>21.07559695559339</c:v>
                </c:pt>
                <c:pt idx="313">
                  <c:v>20.815370702460722</c:v>
                </c:pt>
                <c:pt idx="314">
                  <c:v>20.562566567512821</c:v>
                </c:pt>
                <c:pt idx="315">
                  <c:v>20.317572928829833</c:v>
                </c:pt>
                <c:pt idx="316">
                  <c:v>20.080435346130059</c:v>
                </c:pt>
                <c:pt idx="317">
                  <c:v>19.850912104535887</c:v>
                </c:pt>
                <c:pt idx="318">
                  <c:v>19.628332915564634</c:v>
                </c:pt>
                <c:pt idx="319">
                  <c:v>19.412400987983848</c:v>
                </c:pt>
                <c:pt idx="320">
                  <c:v>19.202819799503448</c:v>
                </c:pt>
                <c:pt idx="321">
                  <c:v>18.999293095579215</c:v>
                </c:pt>
                <c:pt idx="322">
                  <c:v>18.801524876660391</c:v>
                </c:pt>
                <c:pt idx="323">
                  <c:v>18.609119871074839</c:v>
                </c:pt>
                <c:pt idx="324">
                  <c:v>18.42133110759633</c:v>
                </c:pt>
                <c:pt idx="325">
                  <c:v>18.237863115330882</c:v>
                </c:pt>
                <c:pt idx="326">
                  <c:v>18.05842331389891</c:v>
                </c:pt>
                <c:pt idx="327">
                  <c:v>17.882717749171263</c:v>
                </c:pt>
                <c:pt idx="328">
                  <c:v>17.710450636253764</c:v>
                </c:pt>
                <c:pt idx="329">
                  <c:v>17.541326472028153</c:v>
                </c:pt>
                <c:pt idx="330">
                  <c:v>17.373877812585999</c:v>
                </c:pt>
                <c:pt idx="331">
                  <c:v>17.20739162747206</c:v>
                </c:pt>
                <c:pt idx="332">
                  <c:v>17.042576387653252</c:v>
                </c:pt>
                <c:pt idx="333">
                  <c:v>16.880309601113247</c:v>
                </c:pt>
                <c:pt idx="334">
                  <c:v>16.721468255074047</c:v>
                </c:pt>
                <c:pt idx="335">
                  <c:v>16.566928800806725</c:v>
                </c:pt>
                <c:pt idx="336">
                  <c:v>16.417567121075631</c:v>
                </c:pt>
                <c:pt idx="337">
                  <c:v>16.27434785006281</c:v>
                </c:pt>
                <c:pt idx="338">
                  <c:v>16.138245288880153</c:v>
                </c:pt>
                <c:pt idx="339">
                  <c:v>16.010133459109987</c:v>
                </c:pt>
                <c:pt idx="340">
                  <c:v>15.890885731251181</c:v>
                </c:pt>
                <c:pt idx="341">
                  <c:v>15.781374808837624</c:v>
                </c:pt>
                <c:pt idx="342">
                  <c:v>15.682472719586528</c:v>
                </c:pt>
                <c:pt idx="343">
                  <c:v>15.595050795212382</c:v>
                </c:pt>
                <c:pt idx="344">
                  <c:v>15.517551353538995</c:v>
                </c:pt>
                <c:pt idx="345">
                  <c:v>15.447905833662668</c:v>
                </c:pt>
                <c:pt idx="346">
                  <c:v>15.386343104223961</c:v>
                </c:pt>
                <c:pt idx="347">
                  <c:v>15.332967409041988</c:v>
                </c:pt>
                <c:pt idx="348">
                  <c:v>15.287882877963384</c:v>
                </c:pt>
                <c:pt idx="349">
                  <c:v>15.251193531080794</c:v>
                </c:pt>
                <c:pt idx="350">
                  <c:v>15.223003277613536</c:v>
                </c:pt>
                <c:pt idx="351">
                  <c:v>15.203512427879975</c:v>
                </c:pt>
                <c:pt idx="352">
                  <c:v>15.192735448419638</c:v>
                </c:pt>
                <c:pt idx="353">
                  <c:v>15.190775930347231</c:v>
                </c:pt>
                <c:pt idx="354">
                  <c:v>15.197737370451748</c:v>
                </c:pt>
                <c:pt idx="355">
                  <c:v>15.213723156189669</c:v>
                </c:pt>
                <c:pt idx="356">
                  <c:v>15.238841099292776</c:v>
                </c:pt>
                <c:pt idx="357">
                  <c:v>15.273190405798459</c:v>
                </c:pt>
                <c:pt idx="358">
                  <c:v>15.317136178623393</c:v>
                </c:pt>
                <c:pt idx="359">
                  <c:v>15.370819099208678</c:v>
                </c:pt>
                <c:pt idx="360">
                  <c:v>15.434097206643328</c:v>
                </c:pt>
                <c:pt idx="361">
                  <c:v>15.506642853699768</c:v>
                </c:pt>
                <c:pt idx="362">
                  <c:v>15.588225096718912</c:v>
                </c:pt>
                <c:pt idx="363">
                  <c:v>15.678613137979568</c:v>
                </c:pt>
                <c:pt idx="364">
                  <c:v>15.777576321089645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15.657802013036394</c:v>
                </c:pt>
                <c:pt idx="1">
                  <c:v>13.398890444079239</c:v>
                </c:pt>
                <c:pt idx="2">
                  <c:v>13.001292632571593</c:v>
                </c:pt>
                <c:pt idx="3">
                  <c:v>13.639814936429037</c:v>
                </c:pt>
                <c:pt idx="4">
                  <c:v>10.768096774759577</c:v>
                </c:pt>
                <c:pt idx="5">
                  <c:v>16.455193207694172</c:v>
                </c:pt>
                <c:pt idx="6">
                  <c:v>8.235973248191474</c:v>
                </c:pt>
                <c:pt idx="7">
                  <c:v>6.6773163955938175</c:v>
                </c:pt>
                <c:pt idx="8">
                  <c:v>2.0107594075345365</c:v>
                </c:pt>
                <c:pt idx="9">
                  <c:v>1.699778153228606</c:v>
                </c:pt>
                <c:pt idx="10">
                  <c:v>17.209018081972154</c:v>
                </c:pt>
                <c:pt idx="11">
                  <c:v>15.664288764731921</c:v>
                </c:pt>
                <c:pt idx="12">
                  <c:v>5.7530953528432605</c:v>
                </c:pt>
                <c:pt idx="13">
                  <c:v>17.751873293471949</c:v>
                </c:pt>
                <c:pt idx="14">
                  <c:v>17.880237068122486</c:v>
                </c:pt>
                <c:pt idx="15">
                  <c:v>17.847002594100704</c:v>
                </c:pt>
                <c:pt idx="16">
                  <c:v>14.279227070775303</c:v>
                </c:pt>
                <c:pt idx="17">
                  <c:v>3.9511547640767821</c:v>
                </c:pt>
                <c:pt idx="18">
                  <c:v>9.6699681634216788</c:v>
                </c:pt>
                <c:pt idx="19">
                  <c:v>5.7025294493642846</c:v>
                </c:pt>
                <c:pt idx="20">
                  <c:v>13.950326569615244</c:v>
                </c:pt>
                <c:pt idx="21">
                  <c:v>19.061242878725103</c:v>
                </c:pt>
                <c:pt idx="22">
                  <c:v>19.08856966168312</c:v>
                </c:pt>
                <c:pt idx="23">
                  <c:v>19.492515446881203</c:v>
                </c:pt>
                <c:pt idx="24">
                  <c:v>19.704494266113517</c:v>
                </c:pt>
                <c:pt idx="25">
                  <c:v>19.779410123221563</c:v>
                </c:pt>
                <c:pt idx="26">
                  <c:v>19.284429309046267</c:v>
                </c:pt>
                <c:pt idx="27">
                  <c:v>4.0299857202546336</c:v>
                </c:pt>
                <c:pt idx="28">
                  <c:v>6.2960089483342667</c:v>
                </c:pt>
                <c:pt idx="29">
                  <c:v>4.5780426583389833</c:v>
                </c:pt>
                <c:pt idx="30">
                  <c:v>10.254353780515299</c:v>
                </c:pt>
                <c:pt idx="31">
                  <c:v>10.071929441283165</c:v>
                </c:pt>
                <c:pt idx="32">
                  <c:v>5.2566985477873063</c:v>
                </c:pt>
                <c:pt idx="33">
                  <c:v>12.557182977525471</c:v>
                </c:pt>
                <c:pt idx="34">
                  <c:v>10.458923160486576</c:v>
                </c:pt>
                <c:pt idx="35">
                  <c:v>9.0503593164387386</c:v>
                </c:pt>
                <c:pt idx="36">
                  <c:v>16.781626167704438</c:v>
                </c:pt>
                <c:pt idx="37">
                  <c:v>11.618569038012218</c:v>
                </c:pt>
                <c:pt idx="38">
                  <c:v>24.130736020854446</c:v>
                </c:pt>
                <c:pt idx="39">
                  <c:v>24.13970319707834</c:v>
                </c:pt>
                <c:pt idx="40">
                  <c:v>23.397718991924791</c:v>
                </c:pt>
                <c:pt idx="41">
                  <c:v>12.324330932095126</c:v>
                </c:pt>
                <c:pt idx="42">
                  <c:v>21.045096364089343</c:v>
                </c:pt>
                <c:pt idx="43">
                  <c:v>24.500364760654548</c:v>
                </c:pt>
                <c:pt idx="44">
                  <c:v>14.379344083616532</c:v>
                </c:pt>
                <c:pt idx="45">
                  <c:v>17.487736656856082</c:v>
                </c:pt>
                <c:pt idx="46">
                  <c:v>8.9104743563929247</c:v>
                </c:pt>
                <c:pt idx="47">
                  <c:v>10.341236297925546</c:v>
                </c:pt>
                <c:pt idx="48">
                  <c:v>24.385005453863098</c:v>
                </c:pt>
                <c:pt idx="49">
                  <c:v>14.702290100863264</c:v>
                </c:pt>
                <c:pt idx="50">
                  <c:v>17.573771321879214</c:v>
                </c:pt>
                <c:pt idx="51">
                  <c:v>18.022021996511754</c:v>
                </c:pt>
                <c:pt idx="52">
                  <c:v>26.612021610572619</c:v>
                </c:pt>
                <c:pt idx="53">
                  <c:v>28.148147071937693</c:v>
                </c:pt>
                <c:pt idx="54">
                  <c:v>16.926894772176933</c:v>
                </c:pt>
                <c:pt idx="55">
                  <c:v>25.02993078315988</c:v>
                </c:pt>
                <c:pt idx="56">
                  <c:v>30.519304867239004</c:v>
                </c:pt>
                <c:pt idx="57">
                  <c:v>23.283257151549595</c:v>
                </c:pt>
                <c:pt idx="58">
                  <c:v>27.705754659057607</c:v>
                </c:pt>
                <c:pt idx="59">
                  <c:v>30.439831087594623</c:v>
                </c:pt>
                <c:pt idx="60">
                  <c:v>14.122123134847286</c:v>
                </c:pt>
                <c:pt idx="61">
                  <c:v>29.172567103121303</c:v>
                </c:pt>
                <c:pt idx="62">
                  <c:v>5.5420579616196397</c:v>
                </c:pt>
                <c:pt idx="63">
                  <c:v>12.414873347354062</c:v>
                </c:pt>
                <c:pt idx="64">
                  <c:v>18.202424080311818</c:v>
                </c:pt>
                <c:pt idx="65">
                  <c:v>31.023473779920092</c:v>
                </c:pt>
                <c:pt idx="66">
                  <c:v>25.019996860428702</c:v>
                </c:pt>
                <c:pt idx="67">
                  <c:v>26.04500470010414</c:v>
                </c:pt>
                <c:pt idx="68">
                  <c:v>18.265451413622802</c:v>
                </c:pt>
                <c:pt idx="69">
                  <c:v>12.988928922344776</c:v>
                </c:pt>
                <c:pt idx="70">
                  <c:v>12.310153066322917</c:v>
                </c:pt>
                <c:pt idx="71">
                  <c:v>8.1274401840935351</c:v>
                </c:pt>
                <c:pt idx="72">
                  <c:v>11.193557402572974</c:v>
                </c:pt>
                <c:pt idx="73">
                  <c:v>12.934405272027728</c:v>
                </c:pt>
                <c:pt idx="74">
                  <c:v>11.350886212610476</c:v>
                </c:pt>
                <c:pt idx="75">
                  <c:v>9.9539155030205304</c:v>
                </c:pt>
                <c:pt idx="76">
                  <c:v>12.491342109356422</c:v>
                </c:pt>
                <c:pt idx="77">
                  <c:v>25.154821725366851</c:v>
                </c:pt>
                <c:pt idx="78">
                  <c:v>28.370358780024656</c:v>
                </c:pt>
                <c:pt idx="79">
                  <c:v>38.029257972883464</c:v>
                </c:pt>
                <c:pt idx="80">
                  <c:v>35.172598833152108</c:v>
                </c:pt>
                <c:pt idx="81">
                  <c:v>39.740019490097026</c:v>
                </c:pt>
                <c:pt idx="82">
                  <c:v>39.172950212189754</c:v>
                </c:pt>
                <c:pt idx="83">
                  <c:v>35.85501871383341</c:v>
                </c:pt>
                <c:pt idx="84">
                  <c:v>38.718196078613317</c:v>
                </c:pt>
                <c:pt idx="85">
                  <c:v>38.220470666569916</c:v>
                </c:pt>
                <c:pt idx="86">
                  <c:v>29.725162923774956</c:v>
                </c:pt>
                <c:pt idx="87">
                  <c:v>24.542816483831803</c:v>
                </c:pt>
                <c:pt idx="88">
                  <c:v>6.9168993726532459</c:v>
                </c:pt>
                <c:pt idx="89">
                  <c:v>24.15269707450804</c:v>
                </c:pt>
                <c:pt idx="90">
                  <c:v>26.326058748947343</c:v>
                </c:pt>
                <c:pt idx="91">
                  <c:v>17.835469839770624</c:v>
                </c:pt>
                <c:pt idx="92">
                  <c:v>22.08129194481651</c:v>
                </c:pt>
                <c:pt idx="93">
                  <c:v>38.241260236784946</c:v>
                </c:pt>
                <c:pt idx="94">
                  <c:v>44.251499719943773</c:v>
                </c:pt>
                <c:pt idx="95">
                  <c:v>11.241691715851042</c:v>
                </c:pt>
                <c:pt idx="96">
                  <c:v>34.007624104739136</c:v>
                </c:pt>
                <c:pt idx="97">
                  <c:v>26.563635582127574</c:v>
                </c:pt>
                <c:pt idx="98">
                  <c:v>32.23371540895895</c:v>
                </c:pt>
                <c:pt idx="99">
                  <c:v>45.643112660514532</c:v>
                </c:pt>
                <c:pt idx="100">
                  <c:v>34.923325881800181</c:v>
                </c:pt>
                <c:pt idx="101">
                  <c:v>32.084236801794312</c:v>
                </c:pt>
                <c:pt idx="102">
                  <c:v>7.0707918157447445</c:v>
                </c:pt>
                <c:pt idx="103">
                  <c:v>34.568212883974383</c:v>
                </c:pt>
                <c:pt idx="104">
                  <c:v>38.379766207540364</c:v>
                </c:pt>
                <c:pt idx="105">
                  <c:v>41.152223502416483</c:v>
                </c:pt>
                <c:pt idx="106">
                  <c:v>46.70771396612259</c:v>
                </c:pt>
                <c:pt idx="107">
                  <c:v>37.527671238853102</c:v>
                </c:pt>
                <c:pt idx="108">
                  <c:v>10.252906726260923</c:v>
                </c:pt>
                <c:pt idx="109">
                  <c:v>9.6780783234095615</c:v>
                </c:pt>
                <c:pt idx="110">
                  <c:v>9.2341503527315627</c:v>
                </c:pt>
                <c:pt idx="111">
                  <c:v>27.924363889062512</c:v>
                </c:pt>
                <c:pt idx="112">
                  <c:v>8.076270166945605</c:v>
                </c:pt>
                <c:pt idx="113">
                  <c:v>34.520731584260716</c:v>
                </c:pt>
                <c:pt idx="114">
                  <c:v>43.066795538058578</c:v>
                </c:pt>
                <c:pt idx="115">
                  <c:v>47.757129185345789</c:v>
                </c:pt>
                <c:pt idx="116">
                  <c:v>34.064771222116129</c:v>
                </c:pt>
                <c:pt idx="117">
                  <c:v>20.866337889214151</c:v>
                </c:pt>
                <c:pt idx="118">
                  <c:v>39.20225256112375</c:v>
                </c:pt>
                <c:pt idx="119">
                  <c:v>46.16469798656167</c:v>
                </c:pt>
                <c:pt idx="120">
                  <c:v>45.528457454389141</c:v>
                </c:pt>
                <c:pt idx="121">
                  <c:v>27.828057908747542</c:v>
                </c:pt>
                <c:pt idx="122">
                  <c:v>32.882595625098823</c:v>
                </c:pt>
                <c:pt idx="123">
                  <c:v>0.83469109712492151</c:v>
                </c:pt>
                <c:pt idx="124">
                  <c:v>38.354211618605497</c:v>
                </c:pt>
                <c:pt idx="125">
                  <c:v>35.548886212652825</c:v>
                </c:pt>
                <c:pt idx="126">
                  <c:v>48.827961772520581</c:v>
                </c:pt>
                <c:pt idx="127">
                  <c:v>49.664002884693112</c:v>
                </c:pt>
                <c:pt idx="128">
                  <c:v>55.139094224891103</c:v>
                </c:pt>
                <c:pt idx="129">
                  <c:v>50.610952836047453</c:v>
                </c:pt>
                <c:pt idx="130">
                  <c:v>55.458230956270455</c:v>
                </c:pt>
                <c:pt idx="131">
                  <c:v>43.252138850258731</c:v>
                </c:pt>
                <c:pt idx="132">
                  <c:v>46.151738311794333</c:v>
                </c:pt>
                <c:pt idx="133">
                  <c:v>47.566707225416572</c:v>
                </c:pt>
                <c:pt idx="134">
                  <c:v>51.455701531487207</c:v>
                </c:pt>
                <c:pt idx="135">
                  <c:v>50.155410612848058</c:v>
                </c:pt>
                <c:pt idx="136">
                  <c:v>54.074878099233203</c:v>
                </c:pt>
                <c:pt idx="137">
                  <c:v>52.619058600179883</c:v>
                </c:pt>
                <c:pt idx="138">
                  <c:v>54.534889474802554</c:v>
                </c:pt>
                <c:pt idx="139">
                  <c:v>47.495389307835971</c:v>
                </c:pt>
                <c:pt idx="140">
                  <c:v>48.1859206568883</c:v>
                </c:pt>
                <c:pt idx="141">
                  <c:v>34.240094450744394</c:v>
                </c:pt>
                <c:pt idx="142">
                  <c:v>17.669635713539947</c:v>
                </c:pt>
                <c:pt idx="143">
                  <c:v>14.721841989228899</c:v>
                </c:pt>
                <c:pt idx="144">
                  <c:v>40.956824557612947</c:v>
                </c:pt>
                <c:pt idx="145">
                  <c:v>21.509809428839063</c:v>
                </c:pt>
                <c:pt idx="146">
                  <c:v>40.772098099344895</c:v>
                </c:pt>
                <c:pt idx="147">
                  <c:v>54.437542555958416</c:v>
                </c:pt>
                <c:pt idx="148">
                  <c:v>59.414619633922648</c:v>
                </c:pt>
                <c:pt idx="149">
                  <c:v>50.798747740948095</c:v>
                </c:pt>
                <c:pt idx="150">
                  <c:v>54.452401889551005</c:v>
                </c:pt>
                <c:pt idx="151">
                  <c:v>56.002964496476771</c:v>
                </c:pt>
                <c:pt idx="152">
                  <c:v>43.983241412297936</c:v>
                </c:pt>
                <c:pt idx="153">
                  <c:v>53.303993287902642</c:v>
                </c:pt>
                <c:pt idx="154">
                  <c:v>30.268933325096512</c:v>
                </c:pt>
                <c:pt idx="155">
                  <c:v>31.619136467812918</c:v>
                </c:pt>
                <c:pt idx="156">
                  <c:v>42.188708335222763</c:v>
                </c:pt>
                <c:pt idx="157">
                  <c:v>31.750472290327671</c:v>
                </c:pt>
                <c:pt idx="158">
                  <c:v>22.336711646059609</c:v>
                </c:pt>
                <c:pt idx="159">
                  <c:v>44.428972567643882</c:v>
                </c:pt>
                <c:pt idx="160">
                  <c:v>58.359112644780389</c:v>
                </c:pt>
                <c:pt idx="161">
                  <c:v>54.751717385333741</c:v>
                </c:pt>
                <c:pt idx="162">
                  <c:v>43.209139862766996</c:v>
                </c:pt>
                <c:pt idx="163">
                  <c:v>53.083910092143725</c:v>
                </c:pt>
                <c:pt idx="164">
                  <c:v>45.59128535776221</c:v>
                </c:pt>
                <c:pt idx="165">
                  <c:v>53.849534117801532</c:v>
                </c:pt>
                <c:pt idx="166">
                  <c:v>49.989726626741906</c:v>
                </c:pt>
                <c:pt idx="167">
                  <c:v>51.570909542541003</c:v>
                </c:pt>
                <c:pt idx="168">
                  <c:v>53.612303395879103</c:v>
                </c:pt>
                <c:pt idx="169">
                  <c:v>54.942643627236158</c:v>
                </c:pt>
                <c:pt idx="170">
                  <c:v>32.627295274407274</c:v>
                </c:pt>
                <c:pt idx="171">
                  <c:v>19.371246342296068</c:v>
                </c:pt>
                <c:pt idx="172">
                  <c:v>46.783732191376622</c:v>
                </c:pt>
                <c:pt idx="173">
                  <c:v>41.460515763379526</c:v>
                </c:pt>
                <c:pt idx="174">
                  <c:v>43.844252616478236</c:v>
                </c:pt>
                <c:pt idx="175">
                  <c:v>30.709911284904305</c:v>
                </c:pt>
                <c:pt idx="176">
                  <c:v>11.735243952016603</c:v>
                </c:pt>
                <c:pt idx="177">
                  <c:v>17.423956561120534</c:v>
                </c:pt>
                <c:pt idx="178">
                  <c:v>59.450991552343936</c:v>
                </c:pt>
                <c:pt idx="179">
                  <c:v>55.206004147947844</c:v>
                </c:pt>
                <c:pt idx="180">
                  <c:v>13.371771495929439</c:v>
                </c:pt>
                <c:pt idx="181">
                  <c:v>54.545650972945978</c:v>
                </c:pt>
                <c:pt idx="182">
                  <c:v>50.792223730075641</c:v>
                </c:pt>
                <c:pt idx="183">
                  <c:v>42.977865089760797</c:v>
                </c:pt>
                <c:pt idx="184">
                  <c:v>45.097662140162207</c:v>
                </c:pt>
                <c:pt idx="185">
                  <c:v>54.366981388761985</c:v>
                </c:pt>
                <c:pt idx="186">
                  <c:v>42.120514300776485</c:v>
                </c:pt>
                <c:pt idx="187">
                  <c:v>52.306166110873995</c:v>
                </c:pt>
                <c:pt idx="188">
                  <c:v>57.406111622822003</c:v>
                </c:pt>
                <c:pt idx="189">
                  <c:v>56.388978004801771</c:v>
                </c:pt>
                <c:pt idx="190">
                  <c:v>55.822283933194207</c:v>
                </c:pt>
                <c:pt idx="191">
                  <c:v>53.900204354028119</c:v>
                </c:pt>
                <c:pt idx="192">
                  <c:v>54.008650778004601</c:v>
                </c:pt>
                <c:pt idx="193">
                  <c:v>53.677490297667809</c:v>
                </c:pt>
                <c:pt idx="194">
                  <c:v>53.000286945147032</c:v>
                </c:pt>
                <c:pt idx="195">
                  <c:v>51.209749216802628</c:v>
                </c:pt>
                <c:pt idx="196">
                  <c:v>52.738999111374611</c:v>
                </c:pt>
                <c:pt idx="197">
                  <c:v>51.840629000008676</c:v>
                </c:pt>
                <c:pt idx="198">
                  <c:v>52.123308932144646</c:v>
                </c:pt>
                <c:pt idx="199">
                  <c:v>42.156032686351317</c:v>
                </c:pt>
                <c:pt idx="200">
                  <c:v>40.436275646030978</c:v>
                </c:pt>
                <c:pt idx="201">
                  <c:v>51.15019816154129</c:v>
                </c:pt>
                <c:pt idx="202">
                  <c:v>38.527201041526126</c:v>
                </c:pt>
                <c:pt idx="203">
                  <c:v>48.11237565765628</c:v>
                </c:pt>
                <c:pt idx="204">
                  <c:v>50.703010780146002</c:v>
                </c:pt>
                <c:pt idx="205">
                  <c:v>30.63354107044254</c:v>
                </c:pt>
                <c:pt idx="206">
                  <c:v>51.842938852216911</c:v>
                </c:pt>
                <c:pt idx="207">
                  <c:v>54.56373314501441</c:v>
                </c:pt>
                <c:pt idx="208">
                  <c:v>46.523114581029837</c:v>
                </c:pt>
                <c:pt idx="209">
                  <c:v>26.959038107282474</c:v>
                </c:pt>
                <c:pt idx="210">
                  <c:v>45.7492275602578</c:v>
                </c:pt>
                <c:pt idx="211">
                  <c:v>50.505237634964296</c:v>
                </c:pt>
                <c:pt idx="212">
                  <c:v>52.43531471641213</c:v>
                </c:pt>
                <c:pt idx="213">
                  <c:v>50.575999550174544</c:v>
                </c:pt>
                <c:pt idx="214">
                  <c:v>48.712637048030828</c:v>
                </c:pt>
                <c:pt idx="215">
                  <c:v>45.247889834193366</c:v>
                </c:pt>
                <c:pt idx="216">
                  <c:v>44.286181248171637</c:v>
                </c:pt>
                <c:pt idx="217">
                  <c:v>46.94697482031588</c:v>
                </c:pt>
                <c:pt idx="218">
                  <c:v>49.988453687051667</c:v>
                </c:pt>
                <c:pt idx="219">
                  <c:v>50.687403668810788</c:v>
                </c:pt>
                <c:pt idx="220">
                  <c:v>48.748014648707972</c:v>
                </c:pt>
                <c:pt idx="221">
                  <c:v>46.941870141222097</c:v>
                </c:pt>
                <c:pt idx="222">
                  <c:v>42.524875424808435</c:v>
                </c:pt>
                <c:pt idx="223">
                  <c:v>45.214253881993749</c:v>
                </c:pt>
                <c:pt idx="224">
                  <c:v>30.497603003496828</c:v>
                </c:pt>
                <c:pt idx="225">
                  <c:v>32.816120819228715</c:v>
                </c:pt>
                <c:pt idx="226">
                  <c:v>38.488893497345863</c:v>
                </c:pt>
                <c:pt idx="227">
                  <c:v>30.708968313187718</c:v>
                </c:pt>
                <c:pt idx="228">
                  <c:v>22.254304541318923</c:v>
                </c:pt>
                <c:pt idx="229">
                  <c:v>37.521379281651669</c:v>
                </c:pt>
                <c:pt idx="230">
                  <c:v>38.848754478828404</c:v>
                </c:pt>
                <c:pt idx="231">
                  <c:v>45.789663634125205</c:v>
                </c:pt>
                <c:pt idx="232">
                  <c:v>30.066915200209106</c:v>
                </c:pt>
                <c:pt idx="233">
                  <c:v>24.115827536461019</c:v>
                </c:pt>
                <c:pt idx="234">
                  <c:v>42.749789509312897</c:v>
                </c:pt>
                <c:pt idx="235">
                  <c:v>43.166680725887069</c:v>
                </c:pt>
                <c:pt idx="236">
                  <c:v>32.890532228473724</c:v>
                </c:pt>
                <c:pt idx="237">
                  <c:v>39.839969159279676</c:v>
                </c:pt>
                <c:pt idx="238">
                  <c:v>46.35425531123952</c:v>
                </c:pt>
                <c:pt idx="239">
                  <c:v>44.707062493931922</c:v>
                </c:pt>
                <c:pt idx="240">
                  <c:v>31.415895585578895</c:v>
                </c:pt>
                <c:pt idx="241">
                  <c:v>43.744382809367259</c:v>
                </c:pt>
                <c:pt idx="242">
                  <c:v>20.542836834176143</c:v>
                </c:pt>
                <c:pt idx="243">
                  <c:v>41.393721645999307</c:v>
                </c:pt>
                <c:pt idx="244">
                  <c:v>35.981598076699761</c:v>
                </c:pt>
                <c:pt idx="245">
                  <c:v>29.613240976188916</c:v>
                </c:pt>
                <c:pt idx="246">
                  <c:v>43.099828157253299</c:v>
                </c:pt>
                <c:pt idx="247">
                  <c:v>37.213972935567426</c:v>
                </c:pt>
                <c:pt idx="248">
                  <c:v>41.746413041638412</c:v>
                </c:pt>
                <c:pt idx="249">
                  <c:v>33.663451888064216</c:v>
                </c:pt>
                <c:pt idx="250">
                  <c:v>36.233079376270744</c:v>
                </c:pt>
                <c:pt idx="251">
                  <c:v>20.605635327255779</c:v>
                </c:pt>
                <c:pt idx="252">
                  <c:v>40.52652367517441</c:v>
                </c:pt>
                <c:pt idx="253">
                  <c:v>40.377093879675314</c:v>
                </c:pt>
                <c:pt idx="254">
                  <c:v>28.068537490615935</c:v>
                </c:pt>
                <c:pt idx="255">
                  <c:v>11.654354953267481</c:v>
                </c:pt>
                <c:pt idx="256">
                  <c:v>34.076973122077362</c:v>
                </c:pt>
                <c:pt idx="257">
                  <c:v>37.18930130125338</c:v>
                </c:pt>
                <c:pt idx="258">
                  <c:v>25.670197516509987</c:v>
                </c:pt>
                <c:pt idx="259">
                  <c:v>40.300510788876565</c:v>
                </c:pt>
                <c:pt idx="260">
                  <c:v>40.619986064693613</c:v>
                </c:pt>
                <c:pt idx="261">
                  <c:v>38.95089904345906</c:v>
                </c:pt>
                <c:pt idx="262">
                  <c:v>39.93396805628182</c:v>
                </c:pt>
                <c:pt idx="263">
                  <c:v>38.786786800217229</c:v>
                </c:pt>
                <c:pt idx="264">
                  <c:v>37.486192222818396</c:v>
                </c:pt>
                <c:pt idx="265">
                  <c:v>24.142549258533474</c:v>
                </c:pt>
                <c:pt idx="266">
                  <c:v>16.201520643879604</c:v>
                </c:pt>
                <c:pt idx="267">
                  <c:v>27.061608140113584</c:v>
                </c:pt>
                <c:pt idx="268">
                  <c:v>29.057724697774507</c:v>
                </c:pt>
                <c:pt idx="269">
                  <c:v>14.196740699742605</c:v>
                </c:pt>
                <c:pt idx="270">
                  <c:v>16.704268705956299</c:v>
                </c:pt>
                <c:pt idx="271">
                  <c:v>22.334369754319479</c:v>
                </c:pt>
                <c:pt idx="272">
                  <c:v>25.802310912284604</c:v>
                </c:pt>
                <c:pt idx="273">
                  <c:v>31.052784244604094</c:v>
                </c:pt>
                <c:pt idx="274">
                  <c:v>32.80807885214216</c:v>
                </c:pt>
                <c:pt idx="275">
                  <c:v>30.958800896381263</c:v>
                </c:pt>
                <c:pt idx="276">
                  <c:v>33.108778235865287</c:v>
                </c:pt>
                <c:pt idx="277">
                  <c:v>33.44534186536999</c:v>
                </c:pt>
                <c:pt idx="278">
                  <c:v>14.375214576017269</c:v>
                </c:pt>
                <c:pt idx="279">
                  <c:v>24.69178445179725</c:v>
                </c:pt>
                <c:pt idx="280">
                  <c:v>15.127170983821582</c:v>
                </c:pt>
                <c:pt idx="281">
                  <c:v>30.567878724024993</c:v>
                </c:pt>
                <c:pt idx="282">
                  <c:v>26.12006963748815</c:v>
                </c:pt>
                <c:pt idx="283">
                  <c:v>22.590008496472286</c:v>
                </c:pt>
                <c:pt idx="284">
                  <c:v>24.380708259214902</c:v>
                </c:pt>
                <c:pt idx="285">
                  <c:v>20.11962695601294</c:v>
                </c:pt>
                <c:pt idx="286">
                  <c:v>16.893754985480314</c:v>
                </c:pt>
                <c:pt idx="287">
                  <c:v>28.637282385461646</c:v>
                </c:pt>
                <c:pt idx="288">
                  <c:v>26.653110894716665</c:v>
                </c:pt>
                <c:pt idx="289">
                  <c:v>16.996153619697022</c:v>
                </c:pt>
                <c:pt idx="290">
                  <c:v>26.584614387400052</c:v>
                </c:pt>
                <c:pt idx="291">
                  <c:v>14.382690774803905</c:v>
                </c:pt>
                <c:pt idx="292">
                  <c:v>7.9750164757038711</c:v>
                </c:pt>
                <c:pt idx="293">
                  <c:v>13.957829536170344</c:v>
                </c:pt>
                <c:pt idx="294">
                  <c:v>24.758643565691994</c:v>
                </c:pt>
                <c:pt idx="295">
                  <c:v>16.743386142177254</c:v>
                </c:pt>
                <c:pt idx="296">
                  <c:v>19.807596351518445</c:v>
                </c:pt>
                <c:pt idx="297">
                  <c:v>18.320033064349126</c:v>
                </c:pt>
                <c:pt idx="298">
                  <c:v>14.522073174127531</c:v>
                </c:pt>
                <c:pt idx="299">
                  <c:v>11.613936058778599</c:v>
                </c:pt>
                <c:pt idx="300">
                  <c:v>15.813938651344159</c:v>
                </c:pt>
                <c:pt idx="301">
                  <c:v>20.087651736124247</c:v>
                </c:pt>
                <c:pt idx="302">
                  <c:v>17.320904711833162</c:v>
                </c:pt>
                <c:pt idx="303">
                  <c:v>16.877021484580887</c:v>
                </c:pt>
                <c:pt idx="304">
                  <c:v>15.934224723296412</c:v>
                </c:pt>
                <c:pt idx="305">
                  <c:v>21.582889505450879</c:v>
                </c:pt>
                <c:pt idx="306">
                  <c:v>5.6821963468714785</c:v>
                </c:pt>
                <c:pt idx="307">
                  <c:v>11.751700480304521</c:v>
                </c:pt>
                <c:pt idx="308">
                  <c:v>20.579237482091688</c:v>
                </c:pt>
                <c:pt idx="309">
                  <c:v>20.628772287308038</c:v>
                </c:pt>
                <c:pt idx="310">
                  <c:v>20.488274435272213</c:v>
                </c:pt>
                <c:pt idx="311">
                  <c:v>13.548588686012367</c:v>
                </c:pt>
                <c:pt idx="312">
                  <c:v>8.0139922893072679</c:v>
                </c:pt>
                <c:pt idx="313">
                  <c:v>18.031799961273695</c:v>
                </c:pt>
                <c:pt idx="314">
                  <c:v>18.586158172526599</c:v>
                </c:pt>
                <c:pt idx="315">
                  <c:v>18.449950953134341</c:v>
                </c:pt>
                <c:pt idx="316">
                  <c:v>16.371577075241902</c:v>
                </c:pt>
                <c:pt idx="317">
                  <c:v>9.4515944238224279</c:v>
                </c:pt>
                <c:pt idx="318">
                  <c:v>11.518680361858449</c:v>
                </c:pt>
                <c:pt idx="319">
                  <c:v>18.054101902732075</c:v>
                </c:pt>
                <c:pt idx="320">
                  <c:v>11.855543710983117</c:v>
                </c:pt>
                <c:pt idx="321">
                  <c:v>11.217303014132938</c:v>
                </c:pt>
                <c:pt idx="322">
                  <c:v>8.2526999979828286</c:v>
                </c:pt>
                <c:pt idx="323">
                  <c:v>13.497756451564269</c:v>
                </c:pt>
                <c:pt idx="324">
                  <c:v>3.2229579702862337</c:v>
                </c:pt>
                <c:pt idx="325">
                  <c:v>8.5408342691500501</c:v>
                </c:pt>
                <c:pt idx="326">
                  <c:v>12.700325938977237</c:v>
                </c:pt>
                <c:pt idx="327">
                  <c:v>11.482703450904387</c:v>
                </c:pt>
                <c:pt idx="328">
                  <c:v>4.711618623212301</c:v>
                </c:pt>
                <c:pt idx="329">
                  <c:v>10.11434059050351</c:v>
                </c:pt>
                <c:pt idx="330">
                  <c:v>12.002101923497058</c:v>
                </c:pt>
                <c:pt idx="331">
                  <c:v>9.4620602408181522</c:v>
                </c:pt>
                <c:pt idx="332">
                  <c:v>10.709151415711391</c:v>
                </c:pt>
                <c:pt idx="333">
                  <c:v>4.3490370676938941</c:v>
                </c:pt>
                <c:pt idx="334">
                  <c:v>3.7639439400152708</c:v>
                </c:pt>
                <c:pt idx="335">
                  <c:v>5.1957295825600136</c:v>
                </c:pt>
                <c:pt idx="336">
                  <c:v>8.1609301858763708</c:v>
                </c:pt>
                <c:pt idx="337">
                  <c:v>13.856420859912925</c:v>
                </c:pt>
                <c:pt idx="338">
                  <c:v>16.255050571099595</c:v>
                </c:pt>
                <c:pt idx="339">
                  <c:v>11.66620734799826</c:v>
                </c:pt>
                <c:pt idx="340">
                  <c:v>14.355748655967172</c:v>
                </c:pt>
                <c:pt idx="341">
                  <c:v>4.2861936372458569</c:v>
                </c:pt>
                <c:pt idx="342">
                  <c:v>8.1714243848239949</c:v>
                </c:pt>
                <c:pt idx="343">
                  <c:v>11.971141738729536</c:v>
                </c:pt>
                <c:pt idx="344">
                  <c:v>12.54062582749347</c:v>
                </c:pt>
                <c:pt idx="345">
                  <c:v>4.355689414380028</c:v>
                </c:pt>
                <c:pt idx="346">
                  <c:v>5.2435579261968073</c:v>
                </c:pt>
                <c:pt idx="347">
                  <c:v>12.346669406494017</c:v>
                </c:pt>
                <c:pt idx="348">
                  <c:v>6.0535053021270659</c:v>
                </c:pt>
                <c:pt idx="349">
                  <c:v>5.3450592107770349</c:v>
                </c:pt>
                <c:pt idx="350">
                  <c:v>3.3124636838316279</c:v>
                </c:pt>
                <c:pt idx="351">
                  <c:v>12.89534671568831</c:v>
                </c:pt>
                <c:pt idx="352">
                  <c:v>12.646040696306239</c:v>
                </c:pt>
                <c:pt idx="353">
                  <c:v>4.0190159601213047</c:v>
                </c:pt>
                <c:pt idx="354">
                  <c:v>14.651444864613765</c:v>
                </c:pt>
                <c:pt idx="355">
                  <c:v>12.995316578507909</c:v>
                </c:pt>
                <c:pt idx="356">
                  <c:v>13.615151405785594</c:v>
                </c:pt>
                <c:pt idx="357">
                  <c:v>15.501015119776183</c:v>
                </c:pt>
                <c:pt idx="358">
                  <c:v>8.7613617072801606</c:v>
                </c:pt>
                <c:pt idx="359">
                  <c:v>13.623204843239945</c:v>
                </c:pt>
                <c:pt idx="360">
                  <c:v>6.4892143316329314</c:v>
                </c:pt>
                <c:pt idx="361">
                  <c:v>14.435573464825829</c:v>
                </c:pt>
                <c:pt idx="362">
                  <c:v>9.696961182735194</c:v>
                </c:pt>
                <c:pt idx="363">
                  <c:v>12.320105406126455</c:v>
                </c:pt>
                <c:pt idx="364">
                  <c:v>9.613631172952859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15.657802013036394</c:v>
                </c:pt>
                <c:pt idx="1">
                  <c:v>13.398890444079239</c:v>
                </c:pt>
                <c:pt idx="2">
                  <c:v>13.001292632571593</c:v>
                </c:pt>
                <c:pt idx="3">
                  <c:v>13.639814936429037</c:v>
                </c:pt>
                <c:pt idx="4">
                  <c:v>10.768096774759577</c:v>
                </c:pt>
                <c:pt idx="5">
                  <c:v>16.455193207694172</c:v>
                </c:pt>
                <c:pt idx="6">
                  <c:v>8.235973248191474</c:v>
                </c:pt>
                <c:pt idx="7">
                  <c:v>6.6773163955938175</c:v>
                </c:pt>
                <c:pt idx="8">
                  <c:v>2.0107594075345365</c:v>
                </c:pt>
                <c:pt idx="9">
                  <c:v>1.699778153228606</c:v>
                </c:pt>
                <c:pt idx="10">
                  <c:v>17.209018081972154</c:v>
                </c:pt>
                <c:pt idx="11">
                  <c:v>15.664288764731921</c:v>
                </c:pt>
                <c:pt idx="12">
                  <c:v>5.7530953528432605</c:v>
                </c:pt>
                <c:pt idx="13">
                  <c:v>17.751873293471949</c:v>
                </c:pt>
                <c:pt idx="14">
                  <c:v>17.880237068122486</c:v>
                </c:pt>
                <c:pt idx="15">
                  <c:v>17.847002594100704</c:v>
                </c:pt>
                <c:pt idx="16">
                  <c:v>14.279227070775303</c:v>
                </c:pt>
                <c:pt idx="17">
                  <c:v>3.9511547640767821</c:v>
                </c:pt>
                <c:pt idx="18">
                  <c:v>9.6699681634216788</c:v>
                </c:pt>
                <c:pt idx="19">
                  <c:v>5.7025294493642846</c:v>
                </c:pt>
                <c:pt idx="20">
                  <c:v>13.950326569615244</c:v>
                </c:pt>
                <c:pt idx="21">
                  <c:v>19.061242878725103</c:v>
                </c:pt>
                <c:pt idx="22">
                  <c:v>19.08856966168312</c:v>
                </c:pt>
                <c:pt idx="23">
                  <c:v>19.492515446881203</c:v>
                </c:pt>
                <c:pt idx="24">
                  <c:v>19.704494266113517</c:v>
                </c:pt>
                <c:pt idx="25">
                  <c:v>19.779410123221563</c:v>
                </c:pt>
                <c:pt idx="26">
                  <c:v>19.284429309046267</c:v>
                </c:pt>
                <c:pt idx="27">
                  <c:v>4.0299857202546336</c:v>
                </c:pt>
                <c:pt idx="28">
                  <c:v>6.2960089483342667</c:v>
                </c:pt>
                <c:pt idx="29">
                  <c:v>4.5780426583389833</c:v>
                </c:pt>
                <c:pt idx="30">
                  <c:v>10.254353780515299</c:v>
                </c:pt>
                <c:pt idx="31">
                  <c:v>10.071929441283165</c:v>
                </c:pt>
                <c:pt idx="32">
                  <c:v>5.2566985477873063</c:v>
                </c:pt>
                <c:pt idx="33">
                  <c:v>12.557182977525471</c:v>
                </c:pt>
                <c:pt idx="34">
                  <c:v>10.458923160486576</c:v>
                </c:pt>
                <c:pt idx="35">
                  <c:v>9.0503593164387386</c:v>
                </c:pt>
                <c:pt idx="36">
                  <c:v>16.781626167704438</c:v>
                </c:pt>
                <c:pt idx="37">
                  <c:v>11.618569038012218</c:v>
                </c:pt>
                <c:pt idx="38">
                  <c:v>24.130736020854446</c:v>
                </c:pt>
                <c:pt idx="39">
                  <c:v>24.13970319707834</c:v>
                </c:pt>
                <c:pt idx="40">
                  <c:v>23.397718991924791</c:v>
                </c:pt>
                <c:pt idx="41">
                  <c:v>12.324330932095126</c:v>
                </c:pt>
                <c:pt idx="42">
                  <c:v>21.045096364089343</c:v>
                </c:pt>
                <c:pt idx="43">
                  <c:v>24.500364760654548</c:v>
                </c:pt>
                <c:pt idx="44">
                  <c:v>14.379344083616532</c:v>
                </c:pt>
                <c:pt idx="45">
                  <c:v>17.487736656856082</c:v>
                </c:pt>
                <c:pt idx="46">
                  <c:v>8.9104743563929247</c:v>
                </c:pt>
                <c:pt idx="47">
                  <c:v>10.341236297925546</c:v>
                </c:pt>
                <c:pt idx="48">
                  <c:v>24.385005453863098</c:v>
                </c:pt>
                <c:pt idx="49">
                  <c:v>14.702290100863264</c:v>
                </c:pt>
                <c:pt idx="50">
                  <c:v>17.573771321879214</c:v>
                </c:pt>
                <c:pt idx="51">
                  <c:v>18.022021996511754</c:v>
                </c:pt>
                <c:pt idx="52">
                  <c:v>26.612021610572619</c:v>
                </c:pt>
                <c:pt idx="53">
                  <c:v>28.148147071937693</c:v>
                </c:pt>
                <c:pt idx="54">
                  <c:v>16.926894772176933</c:v>
                </c:pt>
                <c:pt idx="55">
                  <c:v>25.02993078315988</c:v>
                </c:pt>
                <c:pt idx="56">
                  <c:v>30.519304867239004</c:v>
                </c:pt>
                <c:pt idx="57">
                  <c:v>23.283257151549595</c:v>
                </c:pt>
                <c:pt idx="58">
                  <c:v>27.705754659057607</c:v>
                </c:pt>
                <c:pt idx="59">
                  <c:v>30.439831087594623</c:v>
                </c:pt>
                <c:pt idx="60">
                  <c:v>14.122123134847286</c:v>
                </c:pt>
                <c:pt idx="61">
                  <c:v>29.172567103121303</c:v>
                </c:pt>
                <c:pt idx="62">
                  <c:v>5.5420579616196397</c:v>
                </c:pt>
                <c:pt idx="63">
                  <c:v>12.414873347354062</c:v>
                </c:pt>
                <c:pt idx="64">
                  <c:v>18.202424080311818</c:v>
                </c:pt>
                <c:pt idx="65">
                  <c:v>31.023473779920092</c:v>
                </c:pt>
                <c:pt idx="66">
                  <c:v>25.019996860428702</c:v>
                </c:pt>
                <c:pt idx="67">
                  <c:v>26.04500470010414</c:v>
                </c:pt>
                <c:pt idx="68">
                  <c:v>18.265451413622802</c:v>
                </c:pt>
                <c:pt idx="69">
                  <c:v>12.988928922344776</c:v>
                </c:pt>
                <c:pt idx="70">
                  <c:v>12.310153066322917</c:v>
                </c:pt>
                <c:pt idx="71">
                  <c:v>8.1274401840935351</c:v>
                </c:pt>
                <c:pt idx="72">
                  <c:v>11.193557402572974</c:v>
                </c:pt>
                <c:pt idx="73">
                  <c:v>12.934405272027728</c:v>
                </c:pt>
                <c:pt idx="74">
                  <c:v>11.350886212610476</c:v>
                </c:pt>
                <c:pt idx="75">
                  <c:v>9.9539155030205304</c:v>
                </c:pt>
                <c:pt idx="76">
                  <c:v>12.491342109356422</c:v>
                </c:pt>
                <c:pt idx="77">
                  <c:v>25.154821725366851</c:v>
                </c:pt>
                <c:pt idx="78">
                  <c:v>28.370358780024656</c:v>
                </c:pt>
                <c:pt idx="79">
                  <c:v>38.029257972883464</c:v>
                </c:pt>
                <c:pt idx="80">
                  <c:v>35.172598833152108</c:v>
                </c:pt>
                <c:pt idx="81">
                  <c:v>39.740019490097026</c:v>
                </c:pt>
                <c:pt idx="82">
                  <c:v>39.172950212189754</c:v>
                </c:pt>
                <c:pt idx="83">
                  <c:v>35.85501871383341</c:v>
                </c:pt>
                <c:pt idx="84">
                  <c:v>38.718196078613317</c:v>
                </c:pt>
                <c:pt idx="85">
                  <c:v>38.220470666569916</c:v>
                </c:pt>
                <c:pt idx="86">
                  <c:v>29.725162923774956</c:v>
                </c:pt>
                <c:pt idx="87">
                  <c:v>24.542816483831803</c:v>
                </c:pt>
                <c:pt idx="88">
                  <c:v>6.9168993726532459</c:v>
                </c:pt>
                <c:pt idx="89">
                  <c:v>24.15269707450804</c:v>
                </c:pt>
                <c:pt idx="90">
                  <c:v>26.326058748947343</c:v>
                </c:pt>
                <c:pt idx="91">
                  <c:v>17.835469839770624</c:v>
                </c:pt>
                <c:pt idx="92">
                  <c:v>22.08129194481651</c:v>
                </c:pt>
                <c:pt idx="93">
                  <c:v>38.241260236784946</c:v>
                </c:pt>
                <c:pt idx="94">
                  <c:v>44.251499719943773</c:v>
                </c:pt>
                <c:pt idx="95">
                  <c:v>11.241691715851042</c:v>
                </c:pt>
                <c:pt idx="96">
                  <c:v>34.007624104739136</c:v>
                </c:pt>
                <c:pt idx="97">
                  <c:v>26.563635582127574</c:v>
                </c:pt>
                <c:pt idx="98">
                  <c:v>32.23371540895895</c:v>
                </c:pt>
                <c:pt idx="99">
                  <c:v>45.643112660514532</c:v>
                </c:pt>
                <c:pt idx="100">
                  <c:v>34.923325881800181</c:v>
                </c:pt>
                <c:pt idx="101">
                  <c:v>32.084236801794312</c:v>
                </c:pt>
                <c:pt idx="102">
                  <c:v>7.0707918157447445</c:v>
                </c:pt>
                <c:pt idx="103">
                  <c:v>34.568212883974383</c:v>
                </c:pt>
                <c:pt idx="104">
                  <c:v>38.379766207540364</c:v>
                </c:pt>
                <c:pt idx="105">
                  <c:v>41.152223502416483</c:v>
                </c:pt>
                <c:pt idx="106">
                  <c:v>46.70771396612259</c:v>
                </c:pt>
                <c:pt idx="107">
                  <c:v>37.527671238853102</c:v>
                </c:pt>
                <c:pt idx="108">
                  <c:v>10.252906726260923</c:v>
                </c:pt>
                <c:pt idx="109">
                  <c:v>9.6780783234095615</c:v>
                </c:pt>
                <c:pt idx="110">
                  <c:v>9.2341503527315627</c:v>
                </c:pt>
                <c:pt idx="111">
                  <c:v>27.924363889062512</c:v>
                </c:pt>
                <c:pt idx="112">
                  <c:v>8.076270166945605</c:v>
                </c:pt>
                <c:pt idx="113">
                  <c:v>34.520731584260716</c:v>
                </c:pt>
                <c:pt idx="114">
                  <c:v>43.066795538058578</c:v>
                </c:pt>
                <c:pt idx="115">
                  <c:v>47.757129185345789</c:v>
                </c:pt>
                <c:pt idx="116">
                  <c:v>34.064771222116129</c:v>
                </c:pt>
                <c:pt idx="117">
                  <c:v>20.866337889214151</c:v>
                </c:pt>
                <c:pt idx="118">
                  <c:v>39.20225256112375</c:v>
                </c:pt>
                <c:pt idx="119">
                  <c:v>46.16469798656167</c:v>
                </c:pt>
                <c:pt idx="120">
                  <c:v>45.528457454389141</c:v>
                </c:pt>
                <c:pt idx="121">
                  <c:v>27.828057908747542</c:v>
                </c:pt>
                <c:pt idx="122">
                  <c:v>32.882595625098823</c:v>
                </c:pt>
                <c:pt idx="123">
                  <c:v>0.83469109712492151</c:v>
                </c:pt>
                <c:pt idx="124">
                  <c:v>38.354211618605497</c:v>
                </c:pt>
                <c:pt idx="125">
                  <c:v>35.548886212652825</c:v>
                </c:pt>
                <c:pt idx="126">
                  <c:v>48.827961772520581</c:v>
                </c:pt>
                <c:pt idx="127">
                  <c:v>49.664002884693112</c:v>
                </c:pt>
                <c:pt idx="128">
                  <c:v>55.139094224891103</c:v>
                </c:pt>
                <c:pt idx="129">
                  <c:v>50.610952836047453</c:v>
                </c:pt>
                <c:pt idx="130">
                  <c:v>55.458230956270455</c:v>
                </c:pt>
                <c:pt idx="131">
                  <c:v>43.252138850258731</c:v>
                </c:pt>
                <c:pt idx="132">
                  <c:v>46.151738311794333</c:v>
                </c:pt>
                <c:pt idx="133">
                  <c:v>47.566707225416572</c:v>
                </c:pt>
                <c:pt idx="134">
                  <c:v>51.455701531487207</c:v>
                </c:pt>
                <c:pt idx="135">
                  <c:v>50.155410612848058</c:v>
                </c:pt>
                <c:pt idx="136">
                  <c:v>54.074878099233203</c:v>
                </c:pt>
                <c:pt idx="137">
                  <c:v>52.619058600179883</c:v>
                </c:pt>
                <c:pt idx="138">
                  <c:v>54.534889474802554</c:v>
                </c:pt>
                <c:pt idx="139">
                  <c:v>47.495389307835971</c:v>
                </c:pt>
                <c:pt idx="140">
                  <c:v>48.1859206568883</c:v>
                </c:pt>
                <c:pt idx="141">
                  <c:v>34.240094450744394</c:v>
                </c:pt>
                <c:pt idx="142">
                  <c:v>17.669635713539947</c:v>
                </c:pt>
                <c:pt idx="143">
                  <c:v>14.721841989228899</c:v>
                </c:pt>
                <c:pt idx="144">
                  <c:v>40.956824557612947</c:v>
                </c:pt>
                <c:pt idx="145">
                  <c:v>21.509809428839063</c:v>
                </c:pt>
                <c:pt idx="146">
                  <c:v>40.772098099344895</c:v>
                </c:pt>
                <c:pt idx="147">
                  <c:v>54.437542555958416</c:v>
                </c:pt>
                <c:pt idx="148">
                  <c:v>59.414619633922648</c:v>
                </c:pt>
                <c:pt idx="149">
                  <c:v>50.798747740948095</c:v>
                </c:pt>
                <c:pt idx="150">
                  <c:v>54.452401889551005</c:v>
                </c:pt>
                <c:pt idx="151">
                  <c:v>56.002964496476771</c:v>
                </c:pt>
                <c:pt idx="152">
                  <c:v>43.983241412297936</c:v>
                </c:pt>
                <c:pt idx="153">
                  <c:v>53.303993287902642</c:v>
                </c:pt>
                <c:pt idx="154">
                  <c:v>30.268933325096512</c:v>
                </c:pt>
                <c:pt idx="155">
                  <c:v>31.619136467812918</c:v>
                </c:pt>
                <c:pt idx="156">
                  <c:v>42.188708335222763</c:v>
                </c:pt>
                <c:pt idx="157">
                  <c:v>31.750472290327671</c:v>
                </c:pt>
                <c:pt idx="158">
                  <c:v>22.336711646059609</c:v>
                </c:pt>
                <c:pt idx="159">
                  <c:v>44.428972567643882</c:v>
                </c:pt>
                <c:pt idx="160">
                  <c:v>58.359112644780389</c:v>
                </c:pt>
                <c:pt idx="161">
                  <c:v>54.751717385333741</c:v>
                </c:pt>
                <c:pt idx="162">
                  <c:v>43.209139862766996</c:v>
                </c:pt>
                <c:pt idx="163">
                  <c:v>53.083910092143725</c:v>
                </c:pt>
                <c:pt idx="164">
                  <c:v>45.59128535776221</c:v>
                </c:pt>
                <c:pt idx="165">
                  <c:v>53.849534117801532</c:v>
                </c:pt>
                <c:pt idx="166">
                  <c:v>49.989726626741906</c:v>
                </c:pt>
                <c:pt idx="167">
                  <c:v>51.570909542541003</c:v>
                </c:pt>
                <c:pt idx="168">
                  <c:v>53.612303395879103</c:v>
                </c:pt>
                <c:pt idx="169">
                  <c:v>54.942643627236158</c:v>
                </c:pt>
                <c:pt idx="170">
                  <c:v>32.627295274407274</c:v>
                </c:pt>
                <c:pt idx="171">
                  <c:v>19.371246342296068</c:v>
                </c:pt>
                <c:pt idx="172">
                  <c:v>46.783732191376622</c:v>
                </c:pt>
                <c:pt idx="173">
                  <c:v>41.460515763379526</c:v>
                </c:pt>
                <c:pt idx="174">
                  <c:v>43.844252616478236</c:v>
                </c:pt>
                <c:pt idx="175">
                  <c:v>30.709911284904305</c:v>
                </c:pt>
                <c:pt idx="176">
                  <c:v>11.735243952016603</c:v>
                </c:pt>
                <c:pt idx="177">
                  <c:v>17.423956561120534</c:v>
                </c:pt>
                <c:pt idx="178">
                  <c:v>59.450991552343936</c:v>
                </c:pt>
                <c:pt idx="179">
                  <c:v>55.206004147947844</c:v>
                </c:pt>
                <c:pt idx="180">
                  <c:v>13.371771495929439</c:v>
                </c:pt>
                <c:pt idx="181">
                  <c:v>54.545650972945978</c:v>
                </c:pt>
                <c:pt idx="182">
                  <c:v>50.792223730075641</c:v>
                </c:pt>
                <c:pt idx="183">
                  <c:v>42.977865089760797</c:v>
                </c:pt>
                <c:pt idx="184">
                  <c:v>45.097662140162207</c:v>
                </c:pt>
                <c:pt idx="185">
                  <c:v>54.366981388761985</c:v>
                </c:pt>
                <c:pt idx="186">
                  <c:v>42.120514300776485</c:v>
                </c:pt>
                <c:pt idx="187">
                  <c:v>52.306166110873995</c:v>
                </c:pt>
                <c:pt idx="188">
                  <c:v>57.406111622822003</c:v>
                </c:pt>
                <c:pt idx="189">
                  <c:v>56.388978004801771</c:v>
                </c:pt>
                <c:pt idx="190">
                  <c:v>55.822283933194207</c:v>
                </c:pt>
                <c:pt idx="191">
                  <c:v>53.900204354028119</c:v>
                </c:pt>
                <c:pt idx="192">
                  <c:v>54.008650778004601</c:v>
                </c:pt>
                <c:pt idx="193">
                  <c:v>53.677490297667809</c:v>
                </c:pt>
                <c:pt idx="194">
                  <c:v>53.000286945147032</c:v>
                </c:pt>
                <c:pt idx="195">
                  <c:v>51.209749216802628</c:v>
                </c:pt>
                <c:pt idx="196">
                  <c:v>52.738999111374611</c:v>
                </c:pt>
                <c:pt idx="197">
                  <c:v>51.840629000008676</c:v>
                </c:pt>
                <c:pt idx="198">
                  <c:v>52.123308932144646</c:v>
                </c:pt>
                <c:pt idx="199">
                  <c:v>42.156032686351317</c:v>
                </c:pt>
                <c:pt idx="200">
                  <c:v>40.436275646030978</c:v>
                </c:pt>
                <c:pt idx="201">
                  <c:v>51.15019816154129</c:v>
                </c:pt>
                <c:pt idx="202">
                  <c:v>38.527201041526126</c:v>
                </c:pt>
                <c:pt idx="203">
                  <c:v>48.11237565765628</c:v>
                </c:pt>
                <c:pt idx="204">
                  <c:v>50.703010780146002</c:v>
                </c:pt>
                <c:pt idx="205">
                  <c:v>30.63354107044254</c:v>
                </c:pt>
                <c:pt idx="206">
                  <c:v>51.842938852216911</c:v>
                </c:pt>
                <c:pt idx="207">
                  <c:v>54.56373314501441</c:v>
                </c:pt>
                <c:pt idx="208">
                  <c:v>46.523114581029837</c:v>
                </c:pt>
                <c:pt idx="209">
                  <c:v>26.959038107282474</c:v>
                </c:pt>
                <c:pt idx="210">
                  <c:v>45.7492275602578</c:v>
                </c:pt>
                <c:pt idx="211">
                  <c:v>50.505237634964296</c:v>
                </c:pt>
                <c:pt idx="212">
                  <c:v>52.43531471641213</c:v>
                </c:pt>
                <c:pt idx="213">
                  <c:v>50.575999550174544</c:v>
                </c:pt>
                <c:pt idx="214">
                  <c:v>48.712637048030828</c:v>
                </c:pt>
                <c:pt idx="215">
                  <c:v>45.247889834193366</c:v>
                </c:pt>
                <c:pt idx="216">
                  <c:v>44.286181248171637</c:v>
                </c:pt>
                <c:pt idx="217">
                  <c:v>46.94697482031588</c:v>
                </c:pt>
                <c:pt idx="218">
                  <c:v>49.988453687051667</c:v>
                </c:pt>
                <c:pt idx="219">
                  <c:v>50.687403668810788</c:v>
                </c:pt>
                <c:pt idx="220">
                  <c:v>48.748014648707972</c:v>
                </c:pt>
                <c:pt idx="221">
                  <c:v>46.941870141222097</c:v>
                </c:pt>
                <c:pt idx="222">
                  <c:v>42.524875424808435</c:v>
                </c:pt>
                <c:pt idx="223">
                  <c:v>45.214253881993749</c:v>
                </c:pt>
                <c:pt idx="224">
                  <c:v>30.497603003496828</c:v>
                </c:pt>
                <c:pt idx="225">
                  <c:v>32.816120819228715</c:v>
                </c:pt>
                <c:pt idx="226">
                  <c:v>38.488893497345863</c:v>
                </c:pt>
                <c:pt idx="227">
                  <c:v>30.708968313187718</c:v>
                </c:pt>
                <c:pt idx="228">
                  <c:v>22.254304541318923</c:v>
                </c:pt>
                <c:pt idx="229">
                  <c:v>37.521379281651669</c:v>
                </c:pt>
                <c:pt idx="230">
                  <c:v>38.848754478828404</c:v>
                </c:pt>
                <c:pt idx="231">
                  <c:v>45.789663634125205</c:v>
                </c:pt>
                <c:pt idx="232">
                  <c:v>30.066915200209106</c:v>
                </c:pt>
                <c:pt idx="233">
                  <c:v>24.115827536461019</c:v>
                </c:pt>
                <c:pt idx="234">
                  <c:v>42.749789509312897</c:v>
                </c:pt>
                <c:pt idx="235">
                  <c:v>43.166680725887069</c:v>
                </c:pt>
                <c:pt idx="236">
                  <c:v>32.890532228473724</c:v>
                </c:pt>
                <c:pt idx="237">
                  <c:v>39.839969159279676</c:v>
                </c:pt>
                <c:pt idx="238">
                  <c:v>46.35425531123952</c:v>
                </c:pt>
                <c:pt idx="239">
                  <c:v>44.707062493931922</c:v>
                </c:pt>
                <c:pt idx="240">
                  <c:v>31.415895585578895</c:v>
                </c:pt>
                <c:pt idx="241">
                  <c:v>43.744382809367259</c:v>
                </c:pt>
                <c:pt idx="242">
                  <c:v>20.542836834176143</c:v>
                </c:pt>
                <c:pt idx="243">
                  <c:v>41.393721645999307</c:v>
                </c:pt>
                <c:pt idx="244">
                  <c:v>35.981598076699761</c:v>
                </c:pt>
                <c:pt idx="245">
                  <c:v>29.613240976188916</c:v>
                </c:pt>
                <c:pt idx="246">
                  <c:v>43.099828157253299</c:v>
                </c:pt>
                <c:pt idx="247">
                  <c:v>37.213972935567426</c:v>
                </c:pt>
                <c:pt idx="248">
                  <c:v>41.746413041638412</c:v>
                </c:pt>
                <c:pt idx="249">
                  <c:v>33.663451888064216</c:v>
                </c:pt>
                <c:pt idx="250">
                  <c:v>36.233079376270744</c:v>
                </c:pt>
                <c:pt idx="251">
                  <c:v>20.605635327255779</c:v>
                </c:pt>
                <c:pt idx="252">
                  <c:v>40.52652367517441</c:v>
                </c:pt>
                <c:pt idx="253">
                  <c:v>40.377093879675314</c:v>
                </c:pt>
                <c:pt idx="254">
                  <c:v>28.068537490615935</c:v>
                </c:pt>
                <c:pt idx="255">
                  <c:v>11.654354953267481</c:v>
                </c:pt>
                <c:pt idx="256">
                  <c:v>34.076973122077362</c:v>
                </c:pt>
                <c:pt idx="257">
                  <c:v>37.18930130125338</c:v>
                </c:pt>
                <c:pt idx="258">
                  <c:v>25.670197516509987</c:v>
                </c:pt>
                <c:pt idx="259">
                  <c:v>40.300510788876565</c:v>
                </c:pt>
                <c:pt idx="260">
                  <c:v>40.619986064693613</c:v>
                </c:pt>
                <c:pt idx="261">
                  <c:v>38.95089904345906</c:v>
                </c:pt>
                <c:pt idx="262">
                  <c:v>39.93396805628182</c:v>
                </c:pt>
                <c:pt idx="263">
                  <c:v>38.786786800217229</c:v>
                </c:pt>
                <c:pt idx="264">
                  <c:v>37.486192222818396</c:v>
                </c:pt>
                <c:pt idx="265">
                  <c:v>24.142549258533474</c:v>
                </c:pt>
                <c:pt idx="266">
                  <c:v>16.201520643879604</c:v>
                </c:pt>
                <c:pt idx="267">
                  <c:v>27.061608140113584</c:v>
                </c:pt>
                <c:pt idx="268">
                  <c:v>29.057724697774507</c:v>
                </c:pt>
                <c:pt idx="269">
                  <c:v>14.196740699742605</c:v>
                </c:pt>
                <c:pt idx="270">
                  <c:v>16.704268705956299</c:v>
                </c:pt>
                <c:pt idx="271">
                  <c:v>22.334369754319479</c:v>
                </c:pt>
                <c:pt idx="272">
                  <c:v>25.802310912284604</c:v>
                </c:pt>
                <c:pt idx="273">
                  <c:v>31.052784244604094</c:v>
                </c:pt>
                <c:pt idx="274">
                  <c:v>32.80807885214216</c:v>
                </c:pt>
                <c:pt idx="275">
                  <c:v>30.958800896381263</c:v>
                </c:pt>
                <c:pt idx="276">
                  <c:v>33.108778235865287</c:v>
                </c:pt>
                <c:pt idx="277">
                  <c:v>33.44534186536999</c:v>
                </c:pt>
                <c:pt idx="278">
                  <c:v>14.375214576017269</c:v>
                </c:pt>
                <c:pt idx="279">
                  <c:v>24.69178445179725</c:v>
                </c:pt>
                <c:pt idx="280">
                  <c:v>15.127170983821582</c:v>
                </c:pt>
                <c:pt idx="281">
                  <c:v>30.567878724024993</c:v>
                </c:pt>
                <c:pt idx="282">
                  <c:v>26.12006963748815</c:v>
                </c:pt>
                <c:pt idx="283">
                  <c:v>22.590008496472286</c:v>
                </c:pt>
                <c:pt idx="284">
                  <c:v>24.380708259214902</c:v>
                </c:pt>
                <c:pt idx="285">
                  <c:v>20.11962695601294</c:v>
                </c:pt>
                <c:pt idx="286">
                  <c:v>16.893754985480314</c:v>
                </c:pt>
                <c:pt idx="287">
                  <c:v>28.637282385461646</c:v>
                </c:pt>
                <c:pt idx="288">
                  <c:v>26.653110894716665</c:v>
                </c:pt>
                <c:pt idx="289">
                  <c:v>16.996153619697022</c:v>
                </c:pt>
                <c:pt idx="290">
                  <c:v>26.584614387400052</c:v>
                </c:pt>
                <c:pt idx="291">
                  <c:v>14.382690774803905</c:v>
                </c:pt>
                <c:pt idx="292">
                  <c:v>7.9750164757038711</c:v>
                </c:pt>
                <c:pt idx="293">
                  <c:v>13.957829536170344</c:v>
                </c:pt>
                <c:pt idx="294">
                  <c:v>24.758643565691994</c:v>
                </c:pt>
                <c:pt idx="295">
                  <c:v>16.743386142177254</c:v>
                </c:pt>
                <c:pt idx="296">
                  <c:v>19.807596351518445</c:v>
                </c:pt>
                <c:pt idx="297">
                  <c:v>18.320033064349126</c:v>
                </c:pt>
                <c:pt idx="298">
                  <c:v>14.522073174127531</c:v>
                </c:pt>
                <c:pt idx="299">
                  <c:v>11.613936058778599</c:v>
                </c:pt>
                <c:pt idx="300">
                  <c:v>15.813938651344159</c:v>
                </c:pt>
                <c:pt idx="301">
                  <c:v>20.087651736124247</c:v>
                </c:pt>
                <c:pt idx="302">
                  <c:v>17.320904711833162</c:v>
                </c:pt>
                <c:pt idx="303">
                  <c:v>16.877021484580887</c:v>
                </c:pt>
                <c:pt idx="304">
                  <c:v>15.934224723296412</c:v>
                </c:pt>
                <c:pt idx="305">
                  <c:v>21.582889505450879</c:v>
                </c:pt>
                <c:pt idx="306">
                  <c:v>5.6821963468714785</c:v>
                </c:pt>
                <c:pt idx="307">
                  <c:v>11.751700480304521</c:v>
                </c:pt>
                <c:pt idx="308">
                  <c:v>20.579237482091688</c:v>
                </c:pt>
                <c:pt idx="309">
                  <c:v>20.628772287308038</c:v>
                </c:pt>
                <c:pt idx="310">
                  <c:v>20.488274435272213</c:v>
                </c:pt>
                <c:pt idx="311">
                  <c:v>13.548588686012367</c:v>
                </c:pt>
                <c:pt idx="312">
                  <c:v>8.0139922893072679</c:v>
                </c:pt>
                <c:pt idx="313">
                  <c:v>18.031799961273695</c:v>
                </c:pt>
                <c:pt idx="314">
                  <c:v>18.586158172526599</c:v>
                </c:pt>
                <c:pt idx="315">
                  <c:v>18.449950953134341</c:v>
                </c:pt>
                <c:pt idx="316">
                  <c:v>16.371577075241902</c:v>
                </c:pt>
                <c:pt idx="317">
                  <c:v>9.4515944238224279</c:v>
                </c:pt>
                <c:pt idx="318">
                  <c:v>11.518680361858449</c:v>
                </c:pt>
                <c:pt idx="319">
                  <c:v>18.054101902732075</c:v>
                </c:pt>
                <c:pt idx="320">
                  <c:v>11.855543710983117</c:v>
                </c:pt>
                <c:pt idx="321">
                  <c:v>11.217303014132938</c:v>
                </c:pt>
                <c:pt idx="322">
                  <c:v>8.2526999979828286</c:v>
                </c:pt>
                <c:pt idx="323">
                  <c:v>13.497756451564269</c:v>
                </c:pt>
                <c:pt idx="324">
                  <c:v>3.2229579702862337</c:v>
                </c:pt>
                <c:pt idx="325">
                  <c:v>8.5408342691500501</c:v>
                </c:pt>
                <c:pt idx="326">
                  <c:v>12.700325938977237</c:v>
                </c:pt>
                <c:pt idx="327">
                  <c:v>11.482703450904387</c:v>
                </c:pt>
                <c:pt idx="328">
                  <c:v>4.711618623212301</c:v>
                </c:pt>
                <c:pt idx="329">
                  <c:v>10.11434059050351</c:v>
                </c:pt>
                <c:pt idx="330">
                  <c:v>12.002101923497058</c:v>
                </c:pt>
                <c:pt idx="331">
                  <c:v>9.4620602408181522</c:v>
                </c:pt>
                <c:pt idx="332">
                  <c:v>10.709151415711391</c:v>
                </c:pt>
                <c:pt idx="333">
                  <c:v>4.3490370676938941</c:v>
                </c:pt>
                <c:pt idx="334">
                  <c:v>3.7639439400152708</c:v>
                </c:pt>
                <c:pt idx="335">
                  <c:v>5.1957295825600136</c:v>
                </c:pt>
                <c:pt idx="336">
                  <c:v>8.1609301858763708</c:v>
                </c:pt>
                <c:pt idx="337">
                  <c:v>13.856420859912925</c:v>
                </c:pt>
                <c:pt idx="338">
                  <c:v>16.255050571099595</c:v>
                </c:pt>
                <c:pt idx="339">
                  <c:v>11.66620734799826</c:v>
                </c:pt>
                <c:pt idx="340">
                  <c:v>14.355748655967172</c:v>
                </c:pt>
                <c:pt idx="341">
                  <c:v>4.2861936372458569</c:v>
                </c:pt>
                <c:pt idx="342">
                  <c:v>8.1714243848239949</c:v>
                </c:pt>
                <c:pt idx="343">
                  <c:v>11.971141738729536</c:v>
                </c:pt>
                <c:pt idx="344">
                  <c:v>12.54062582749347</c:v>
                </c:pt>
                <c:pt idx="345">
                  <c:v>4.355689414380028</c:v>
                </c:pt>
                <c:pt idx="346">
                  <c:v>5.2435579261968073</c:v>
                </c:pt>
                <c:pt idx="347">
                  <c:v>12.346669406494017</c:v>
                </c:pt>
                <c:pt idx="348">
                  <c:v>6.0535053021270659</c:v>
                </c:pt>
                <c:pt idx="349">
                  <c:v>5.3450592107770349</c:v>
                </c:pt>
                <c:pt idx="350">
                  <c:v>3.3124636838316279</c:v>
                </c:pt>
                <c:pt idx="351">
                  <c:v>12.89534671568831</c:v>
                </c:pt>
                <c:pt idx="352">
                  <c:v>12.646040696306239</c:v>
                </c:pt>
                <c:pt idx="353">
                  <c:v>4.0190159601213047</c:v>
                </c:pt>
                <c:pt idx="354">
                  <c:v>14.651444864613765</c:v>
                </c:pt>
                <c:pt idx="355">
                  <c:v>12.995316578507909</c:v>
                </c:pt>
                <c:pt idx="356">
                  <c:v>13.615151405785594</c:v>
                </c:pt>
                <c:pt idx="357">
                  <c:v>15.501015119776183</c:v>
                </c:pt>
                <c:pt idx="358">
                  <c:v>8.7613617072801606</c:v>
                </c:pt>
                <c:pt idx="359">
                  <c:v>13.623204843239945</c:v>
                </c:pt>
                <c:pt idx="360">
                  <c:v>6.4892143316329314</c:v>
                </c:pt>
                <c:pt idx="361">
                  <c:v>14.435573464825829</c:v>
                </c:pt>
                <c:pt idx="362">
                  <c:v>9.696961182735194</c:v>
                </c:pt>
                <c:pt idx="363">
                  <c:v>12.320105406126455</c:v>
                </c:pt>
                <c:pt idx="364">
                  <c:v>9.613631172952859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914792"/>
        <c:axId val="443915184"/>
      </c:lineChart>
      <c:dateAx>
        <c:axId val="443914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15184"/>
        <c:crosses val="autoZero"/>
        <c:auto val="1"/>
        <c:lblOffset val="100"/>
        <c:baseTimeUnit val="days"/>
        <c:majorUnit val="1"/>
        <c:majorTimeUnit val="months"/>
      </c:dateAx>
      <c:valAx>
        <c:axId val="44391518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1479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6.1118863404340695E-2</c:v>
                </c:pt>
                <c:pt idx="1">
                  <c:v>6.1140712540006303E-2</c:v>
                </c:pt>
                <c:pt idx="2">
                  <c:v>6.1162561167210638E-2</c:v>
                </c:pt>
                <c:pt idx="3">
                  <c:v>6.1184409285965469E-2</c:v>
                </c:pt>
                <c:pt idx="4">
                  <c:v>6.1206256896282674E-2</c:v>
                </c:pt>
                <c:pt idx="5">
                  <c:v>6.1228103998174133E-2</c:v>
                </c:pt>
                <c:pt idx="6">
                  <c:v>6.1249950591651614E-2</c:v>
                </c:pt>
                <c:pt idx="7">
                  <c:v>6.1271796676726886E-2</c:v>
                </c:pt>
                <c:pt idx="8">
                  <c:v>6.1293642253411829E-2</c:v>
                </c:pt>
                <c:pt idx="9">
                  <c:v>6.1315487321718321E-2</c:v>
                </c:pt>
                <c:pt idx="10">
                  <c:v>6.133733188165813E-2</c:v>
                </c:pt>
                <c:pt idx="11">
                  <c:v>6.1359175933243137E-2</c:v>
                </c:pt>
                <c:pt idx="12">
                  <c:v>6.1381019476485221E-2</c:v>
                </c:pt>
                <c:pt idx="13">
                  <c:v>6.1402862511396039E-2</c:v>
                </c:pt>
                <c:pt idx="14">
                  <c:v>6.1424705037987581E-2</c:v>
                </c:pt>
                <c:pt idx="15">
                  <c:v>6.1446547056271617E-2</c:v>
                </c:pt>
                <c:pt idx="16">
                  <c:v>6.1468388566259913E-2</c:v>
                </c:pt>
                <c:pt idx="17">
                  <c:v>6.1490229567964461E-2</c:v>
                </c:pt>
                <c:pt idx="18">
                  <c:v>6.1512070061396917E-2</c:v>
                </c:pt>
                <c:pt idx="19">
                  <c:v>6.1533910046569273E-2</c:v>
                </c:pt>
                <c:pt idx="20">
                  <c:v>6.1555749523493186E-2</c:v>
                </c:pt>
                <c:pt idx="21">
                  <c:v>6.1577588492180535E-2</c:v>
                </c:pt>
                <c:pt idx="22">
                  <c:v>6.159942695264331E-2</c:v>
                </c:pt>
                <c:pt idx="23">
                  <c:v>6.1621264904893058E-2</c:v>
                </c:pt>
                <c:pt idx="24">
                  <c:v>6.1643102348941881E-2</c:v>
                </c:pt>
                <c:pt idx="25">
                  <c:v>6.1664939284801434E-2</c:v>
                </c:pt>
                <c:pt idx="26">
                  <c:v>6.1686775712483488E-2</c:v>
                </c:pt>
                <c:pt idx="27">
                  <c:v>6.1708611632000143E-2</c:v>
                </c:pt>
                <c:pt idx="28">
                  <c:v>6.1730447043362946E-2</c:v>
                </c:pt>
                <c:pt idx="29">
                  <c:v>6.1752281946583776E-2</c:v>
                </c:pt>
                <c:pt idx="30">
                  <c:v>6.1774116341674623E-2</c:v>
                </c:pt>
                <c:pt idx="31">
                  <c:v>6.1795950228647145E-2</c:v>
                </c:pt>
                <c:pt idx="32">
                  <c:v>6.1817783607513221E-2</c:v>
                </c:pt>
                <c:pt idx="33">
                  <c:v>6.1839616478284731E-2</c:v>
                </c:pt>
                <c:pt idx="34">
                  <c:v>6.1861448840973332E-2</c:v>
                </c:pt>
                <c:pt idx="35">
                  <c:v>6.1883280695591014E-2</c:v>
                </c:pt>
                <c:pt idx="36">
                  <c:v>6.1905112042149546E-2</c:v>
                </c:pt>
                <c:pt idx="37">
                  <c:v>6.1926942880660807E-2</c:v>
                </c:pt>
                <c:pt idx="38">
                  <c:v>6.1948773211136454E-2</c:v>
                </c:pt>
                <c:pt idx="39">
                  <c:v>6.1970603033588478E-2</c:v>
                </c:pt>
                <c:pt idx="40">
                  <c:v>6.1992432348028648E-2</c:v>
                </c:pt>
                <c:pt idx="41">
                  <c:v>6.2014261154468731E-2</c:v>
                </c:pt>
                <c:pt idx="42">
                  <c:v>6.2036089452920717E-2</c:v>
                </c:pt>
                <c:pt idx="43">
                  <c:v>6.2057917243396155E-2</c:v>
                </c:pt>
                <c:pt idx="44">
                  <c:v>6.2079744525907143E-2</c:v>
                </c:pt>
                <c:pt idx="45">
                  <c:v>6.2101571300465341E-2</c:v>
                </c:pt>
                <c:pt idx="46">
                  <c:v>6.2123397567082628E-2</c:v>
                </c:pt>
                <c:pt idx="47">
                  <c:v>6.2145223325770771E-2</c:v>
                </c:pt>
                <c:pt idx="48">
                  <c:v>6.2167048576541539E-2</c:v>
                </c:pt>
                <c:pt idx="49">
                  <c:v>6.2188873319406923E-2</c:v>
                </c:pt>
                <c:pt idx="50">
                  <c:v>6.2210697554378691E-2</c:v>
                </c:pt>
                <c:pt idx="51">
                  <c:v>6.2232521281468611E-2</c:v>
                </c:pt>
                <c:pt idx="52">
                  <c:v>6.2254344500688563E-2</c:v>
                </c:pt>
                <c:pt idx="53">
                  <c:v>6.2276167212050204E-2</c:v>
                </c:pt>
                <c:pt idx="54">
                  <c:v>6.2297989415565524E-2</c:v>
                </c:pt>
                <c:pt idx="55">
                  <c:v>6.2319811111246293E-2</c:v>
                </c:pt>
                <c:pt idx="56">
                  <c:v>6.2341632299104277E-2</c:v>
                </c:pt>
                <c:pt idx="57">
                  <c:v>6.2363452979151468E-2</c:v>
                </c:pt>
                <c:pt idx="58">
                  <c:v>6.2385273151399412E-2</c:v>
                </c:pt>
                <c:pt idx="59">
                  <c:v>6.240709281586021E-2</c:v>
                </c:pt>
                <c:pt idx="60">
                  <c:v>6.2428911972545409E-2</c:v>
                </c:pt>
                <c:pt idx="61">
                  <c:v>6.2450730621466999E-2</c:v>
                </c:pt>
                <c:pt idx="62">
                  <c:v>6.2472548762636748E-2</c:v>
                </c:pt>
                <c:pt idx="63">
                  <c:v>6.2494366396066536E-2</c:v>
                </c:pt>
                <c:pt idx="64">
                  <c:v>6.2516183521768132E-2</c:v>
                </c:pt>
                <c:pt idx="65">
                  <c:v>6.2538000139753303E-2</c:v>
                </c:pt>
                <c:pt idx="66">
                  <c:v>6.2559816250033817E-2</c:v>
                </c:pt>
                <c:pt idx="67">
                  <c:v>6.2581631852621666E-2</c:v>
                </c:pt>
                <c:pt idx="68">
                  <c:v>6.2603446947528507E-2</c:v>
                </c:pt>
                <c:pt idx="69">
                  <c:v>6.262526153476633E-2</c:v>
                </c:pt>
                <c:pt idx="70">
                  <c:v>6.2647075614346792E-2</c:v>
                </c:pt>
                <c:pt idx="71">
                  <c:v>6.2668889186281662E-2</c:v>
                </c:pt>
                <c:pt idx="72">
                  <c:v>6.269070225058293E-2</c:v>
                </c:pt>
                <c:pt idx="73">
                  <c:v>6.2712514807262365E-2</c:v>
                </c:pt>
                <c:pt idx="74">
                  <c:v>6.2734326856331624E-2</c:v>
                </c:pt>
                <c:pt idx="75">
                  <c:v>6.2756138397802697E-2</c:v>
                </c:pt>
                <c:pt idx="76">
                  <c:v>6.2777949431687352E-2</c:v>
                </c:pt>
                <c:pt idx="77">
                  <c:v>6.2799759957997359E-2</c:v>
                </c:pt>
                <c:pt idx="78">
                  <c:v>6.2821569976744596E-2</c:v>
                </c:pt>
                <c:pt idx="79">
                  <c:v>6.2843379487940831E-2</c:v>
                </c:pt>
                <c:pt idx="80">
                  <c:v>6.2865188491597834E-2</c:v>
                </c:pt>
                <c:pt idx="81">
                  <c:v>6.2886996987727484E-2</c:v>
                </c:pt>
                <c:pt idx="82">
                  <c:v>6.2908804976341548E-2</c:v>
                </c:pt>
                <c:pt idx="83">
                  <c:v>6.2930612457451907E-2</c:v>
                </c:pt>
                <c:pt idx="84">
                  <c:v>6.2952419431070328E-2</c:v>
                </c:pt>
                <c:pt idx="85">
                  <c:v>6.297422589720858E-2</c:v>
                </c:pt>
                <c:pt idx="86">
                  <c:v>6.2996031855878432E-2</c:v>
                </c:pt>
                <c:pt idx="87">
                  <c:v>6.3017837307091873E-2</c:v>
                </c:pt>
                <c:pt idx="88">
                  <c:v>6.3039642250860561E-2</c:v>
                </c:pt>
                <c:pt idx="89">
                  <c:v>6.3061446687196376E-2</c:v>
                </c:pt>
                <c:pt idx="90">
                  <c:v>6.3083250616111086E-2</c:v>
                </c:pt>
                <c:pt idx="91">
                  <c:v>6.310505403761657E-2</c:v>
                </c:pt>
                <c:pt idx="92">
                  <c:v>6.3126856951724486E-2</c:v>
                </c:pt>
                <c:pt idx="93">
                  <c:v>6.3148659358446824E-2</c:v>
                </c:pt>
                <c:pt idx="94">
                  <c:v>6.3170461257795241E-2</c:v>
                </c:pt>
                <c:pt idx="95">
                  <c:v>6.3192262649781616E-2</c:v>
                </c:pt>
                <c:pt idx="96">
                  <c:v>6.321406353441783E-2</c:v>
                </c:pt>
                <c:pt idx="97">
                  <c:v>6.323586391171554E-2</c:v>
                </c:pt>
                <c:pt idx="98">
                  <c:v>6.3257663781686624E-2</c:v>
                </c:pt>
                <c:pt idx="99">
                  <c:v>6.3279463144342962E-2</c:v>
                </c:pt>
                <c:pt idx="100">
                  <c:v>6.3301261999696212E-2</c:v>
                </c:pt>
                <c:pt idx="101">
                  <c:v>6.3323060347758253E-2</c:v>
                </c:pt>
                <c:pt idx="102">
                  <c:v>6.3344858188540853E-2</c:v>
                </c:pt>
                <c:pt idx="103">
                  <c:v>6.3366655522055892E-2</c:v>
                </c:pt>
                <c:pt idx="104">
                  <c:v>6.3388452348315139E-2</c:v>
                </c:pt>
                <c:pt idx="105">
                  <c:v>6.3410248667330471E-2</c:v>
                </c:pt>
                <c:pt idx="106">
                  <c:v>6.3432044479113547E-2</c:v>
                </c:pt>
                <c:pt idx="107">
                  <c:v>6.3453839783676247E-2</c:v>
                </c:pt>
                <c:pt idx="108">
                  <c:v>6.3475634581030338E-2</c:v>
                </c:pt>
                <c:pt idx="109">
                  <c:v>6.34974288711877E-2</c:v>
                </c:pt>
                <c:pt idx="110">
                  <c:v>6.351922265415999E-2</c:v>
                </c:pt>
                <c:pt idx="111">
                  <c:v>6.3541015929959199E-2</c:v>
                </c:pt>
                <c:pt idx="112">
                  <c:v>6.3562808698597095E-2</c:v>
                </c:pt>
                <c:pt idx="113">
                  <c:v>6.3584600960085336E-2</c:v>
                </c:pt>
                <c:pt idx="114">
                  <c:v>6.3606392714435911E-2</c:v>
                </c:pt>
                <c:pt idx="115">
                  <c:v>6.3628183961660367E-2</c:v>
                </c:pt>
                <c:pt idx="116">
                  <c:v>6.3649974701770806E-2</c:v>
                </c:pt>
                <c:pt idx="117">
                  <c:v>6.3671764934778885E-2</c:v>
                </c:pt>
                <c:pt idx="118">
                  <c:v>6.3693554660696372E-2</c:v>
                </c:pt>
                <c:pt idx="119">
                  <c:v>6.3715343879535036E-2</c:v>
                </c:pt>
                <c:pt idx="120">
                  <c:v>6.3737132591306755E-2</c:v>
                </c:pt>
                <c:pt idx="121">
                  <c:v>6.3758920796023411E-2</c:v>
                </c:pt>
                <c:pt idx="122">
                  <c:v>6.3780708493696658E-2</c:v>
                </c:pt>
                <c:pt idx="123">
                  <c:v>6.3802495684338378E-2</c:v>
                </c:pt>
                <c:pt idx="124">
                  <c:v>6.3824282367960339E-2</c:v>
                </c:pt>
                <c:pt idx="125">
                  <c:v>6.3846068544574308E-2</c:v>
                </c:pt>
                <c:pt idx="126">
                  <c:v>6.3867854214192166E-2</c:v>
                </c:pt>
                <c:pt idx="127">
                  <c:v>6.388963937682568E-2</c:v>
                </c:pt>
                <c:pt idx="128">
                  <c:v>6.3911424032486619E-2</c:v>
                </c:pt>
                <c:pt idx="129">
                  <c:v>6.3933208181186751E-2</c:v>
                </c:pt>
                <c:pt idx="130">
                  <c:v>6.3954991822937957E-2</c:v>
                </c:pt>
                <c:pt idx="131">
                  <c:v>6.3976774957752003E-2</c:v>
                </c:pt>
                <c:pt idx="132">
                  <c:v>6.3998557585640659E-2</c:v>
                </c:pt>
                <c:pt idx="133">
                  <c:v>6.4020339706615692E-2</c:v>
                </c:pt>
                <c:pt idx="134">
                  <c:v>6.4042121320688983E-2</c:v>
                </c:pt>
                <c:pt idx="135">
                  <c:v>6.4063902427872299E-2</c:v>
                </c:pt>
                <c:pt idx="136">
                  <c:v>6.408568302817752E-2</c:v>
                </c:pt>
                <c:pt idx="137">
                  <c:v>6.4107463121616193E-2</c:v>
                </c:pt>
                <c:pt idx="138">
                  <c:v>6.4129242708200418E-2</c:v>
                </c:pt>
                <c:pt idx="139">
                  <c:v>6.4151021787941742E-2</c:v>
                </c:pt>
                <c:pt idx="140">
                  <c:v>6.4172800360852156E-2</c:v>
                </c:pt>
                <c:pt idx="141">
                  <c:v>6.4194578426943316E-2</c:v>
                </c:pt>
                <c:pt idx="142">
                  <c:v>6.4216355986226992E-2</c:v>
                </c:pt>
                <c:pt idx="143">
                  <c:v>6.4238133038715173E-2</c:v>
                </c:pt>
                <c:pt idx="144">
                  <c:v>6.4259909584419406E-2</c:v>
                </c:pt>
                <c:pt idx="145">
                  <c:v>6.4281685623351681E-2</c:v>
                </c:pt>
                <c:pt idx="146">
                  <c:v>6.4303461155523656E-2</c:v>
                </c:pt>
                <c:pt idx="147">
                  <c:v>6.4325236180947321E-2</c:v>
                </c:pt>
                <c:pt idx="148">
                  <c:v>6.4347010699634222E-2</c:v>
                </c:pt>
                <c:pt idx="149">
                  <c:v>6.4368784711596239E-2</c:v>
                </c:pt>
                <c:pt idx="150">
                  <c:v>6.4390558216845251E-2</c:v>
                </c:pt>
                <c:pt idx="151">
                  <c:v>6.4412331215392915E-2</c:v>
                </c:pt>
                <c:pt idx="152">
                  <c:v>6.4434103707251222E-2</c:v>
                </c:pt>
                <c:pt idx="153">
                  <c:v>6.4455875692431719E-2</c:v>
                </c:pt>
                <c:pt idx="154">
                  <c:v>6.4477647170946395E-2</c:v>
                </c:pt>
                <c:pt idx="155">
                  <c:v>6.4499418142806908E-2</c:v>
                </c:pt>
                <c:pt idx="156">
                  <c:v>6.4521188608025137E-2</c:v>
                </c:pt>
                <c:pt idx="157">
                  <c:v>6.454295856661274E-2</c:v>
                </c:pt>
                <c:pt idx="158">
                  <c:v>6.4564728018581707E-2</c:v>
                </c:pt>
                <c:pt idx="159">
                  <c:v>6.4586496963943696E-2</c:v>
                </c:pt>
                <c:pt idx="160">
                  <c:v>6.4608265402710585E-2</c:v>
                </c:pt>
                <c:pt idx="161">
                  <c:v>6.4630033334894033E-2</c:v>
                </c:pt>
                <c:pt idx="162">
                  <c:v>6.4651800760505918E-2</c:v>
                </c:pt>
                <c:pt idx="163">
                  <c:v>6.4673567679557897E-2</c:v>
                </c:pt>
                <c:pt idx="164">
                  <c:v>6.4695334092062073E-2</c:v>
                </c:pt>
                <c:pt idx="165">
                  <c:v>6.4717099998029881E-2</c:v>
                </c:pt>
                <c:pt idx="166">
                  <c:v>6.4738865397473311E-2</c:v>
                </c:pt>
                <c:pt idx="167">
                  <c:v>6.476063029040402E-2</c:v>
                </c:pt>
                <c:pt idx="168">
                  <c:v>6.4782394676833999E-2</c:v>
                </c:pt>
                <c:pt idx="169">
                  <c:v>6.4804158556774905E-2</c:v>
                </c:pt>
                <c:pt idx="170">
                  <c:v>6.4825921930238395E-2</c:v>
                </c:pt>
                <c:pt idx="171">
                  <c:v>6.484768479723646E-2</c:v>
                </c:pt>
                <c:pt idx="172">
                  <c:v>6.4869447157780868E-2</c:v>
                </c:pt>
                <c:pt idx="173">
                  <c:v>6.4891209011883388E-2</c:v>
                </c:pt>
                <c:pt idx="174">
                  <c:v>6.4912970359555677E-2</c:v>
                </c:pt>
                <c:pt idx="175">
                  <c:v>6.4934731200809614E-2</c:v>
                </c:pt>
                <c:pt idx="176">
                  <c:v>6.4956491535656968E-2</c:v>
                </c:pt>
                <c:pt idx="177">
                  <c:v>6.4978251364109618E-2</c:v>
                </c:pt>
                <c:pt idx="178">
                  <c:v>6.5000010686179222E-2</c:v>
                </c:pt>
                <c:pt idx="179">
                  <c:v>6.5021769501877658E-2</c:v>
                </c:pt>
                <c:pt idx="180">
                  <c:v>6.5043527811216584E-2</c:v>
                </c:pt>
                <c:pt idx="181">
                  <c:v>6.5065285614207991E-2</c:v>
                </c:pt>
                <c:pt idx="182">
                  <c:v>6.5087042910863424E-2</c:v>
                </c:pt>
                <c:pt idx="183">
                  <c:v>6.5108799701194764E-2</c:v>
                </c:pt>
                <c:pt idx="184">
                  <c:v>6.5130555985213889E-2</c:v>
                </c:pt>
                <c:pt idx="185">
                  <c:v>6.5152311762932458E-2</c:v>
                </c:pt>
                <c:pt idx="186">
                  <c:v>6.5174067034362348E-2</c:v>
                </c:pt>
                <c:pt idx="187">
                  <c:v>6.5195821799515219E-2</c:v>
                </c:pt>
                <c:pt idx="188">
                  <c:v>6.5217576058402948E-2</c:v>
                </c:pt>
                <c:pt idx="189">
                  <c:v>6.5239329811037305E-2</c:v>
                </c:pt>
                <c:pt idx="190">
                  <c:v>6.5261083057430058E-2</c:v>
                </c:pt>
                <c:pt idx="191">
                  <c:v>6.5282835797592975E-2</c:v>
                </c:pt>
                <c:pt idx="192">
                  <c:v>6.5304588031537825E-2</c:v>
                </c:pt>
                <c:pt idx="193">
                  <c:v>6.5326339759276486E-2</c:v>
                </c:pt>
                <c:pt idx="194">
                  <c:v>6.5348090980820617E-2</c:v>
                </c:pt>
                <c:pt idx="195">
                  <c:v>6.5369841696182096E-2</c:v>
                </c:pt>
                <c:pt idx="196">
                  <c:v>6.5391591905372581E-2</c:v>
                </c:pt>
                <c:pt idx="197">
                  <c:v>6.5413341608403952E-2</c:v>
                </c:pt>
                <c:pt idx="198">
                  <c:v>6.5435090805287977E-2</c:v>
                </c:pt>
                <c:pt idx="199">
                  <c:v>6.5456839496036423E-2</c:v>
                </c:pt>
                <c:pt idx="200">
                  <c:v>6.5478587680660949E-2</c:v>
                </c:pt>
                <c:pt idx="201">
                  <c:v>6.5500335359173545E-2</c:v>
                </c:pt>
                <c:pt idx="202">
                  <c:v>6.5522082531585868E-2</c:v>
                </c:pt>
                <c:pt idx="203">
                  <c:v>6.5543829197909798E-2</c:v>
                </c:pt>
                <c:pt idx="204">
                  <c:v>6.5565575358156991E-2</c:v>
                </c:pt>
                <c:pt idx="205">
                  <c:v>6.5587321012339217E-2</c:v>
                </c:pt>
                <c:pt idx="206">
                  <c:v>6.5609066160468354E-2</c:v>
                </c:pt>
                <c:pt idx="207">
                  <c:v>6.5630810802556061E-2</c:v>
                </c:pt>
                <c:pt idx="208">
                  <c:v>6.5652554938614216E-2</c:v>
                </c:pt>
                <c:pt idx="209">
                  <c:v>6.5674298568654588E-2</c:v>
                </c:pt>
                <c:pt idx="210">
                  <c:v>6.5696041692688834E-2</c:v>
                </c:pt>
                <c:pt idx="211">
                  <c:v>6.5717784310728944E-2</c:v>
                </c:pt>
                <c:pt idx="212">
                  <c:v>6.5739526422786465E-2</c:v>
                </c:pt>
                <c:pt idx="213">
                  <c:v>6.5761268028873276E-2</c:v>
                </c:pt>
                <c:pt idx="214">
                  <c:v>6.5783009129001258E-2</c:v>
                </c:pt>
                <c:pt idx="215">
                  <c:v>6.5804749723181954E-2</c:v>
                </c:pt>
                <c:pt idx="216">
                  <c:v>6.5826489811427358E-2</c:v>
                </c:pt>
                <c:pt idx="217">
                  <c:v>6.5848229393749125E-2</c:v>
                </c:pt>
                <c:pt idx="218">
                  <c:v>6.5869968470159024E-2</c:v>
                </c:pt>
                <c:pt idx="219">
                  <c:v>6.5891707040668823E-2</c:v>
                </c:pt>
                <c:pt idx="220">
                  <c:v>6.5913445105290402E-2</c:v>
                </c:pt>
                <c:pt idx="221">
                  <c:v>6.5935182664035419E-2</c:v>
                </c:pt>
                <c:pt idx="222">
                  <c:v>6.5956919716915752E-2</c:v>
                </c:pt>
                <c:pt idx="223">
                  <c:v>6.5978656263943058E-2</c:v>
                </c:pt>
                <c:pt idx="224">
                  <c:v>6.6000392305129107E-2</c:v>
                </c:pt>
                <c:pt idx="225">
                  <c:v>6.6022127840485778E-2</c:v>
                </c:pt>
                <c:pt idx="226">
                  <c:v>6.6043862870024839E-2</c:v>
                </c:pt>
                <c:pt idx="227">
                  <c:v>6.6065597393757947E-2</c:v>
                </c:pt>
                <c:pt idx="228">
                  <c:v>6.608733141169687E-2</c:v>
                </c:pt>
                <c:pt idx="229">
                  <c:v>6.61090649238536E-2</c:v>
                </c:pt>
                <c:pt idx="230">
                  <c:v>6.6130797930239571E-2</c:v>
                </c:pt>
                <c:pt idx="231">
                  <c:v>6.6152530430866885E-2</c:v>
                </c:pt>
                <c:pt idx="232">
                  <c:v>6.6174262425747088E-2</c:v>
                </c:pt>
                <c:pt idx="233">
                  <c:v>6.619599391489206E-2</c:v>
                </c:pt>
                <c:pt idx="234">
                  <c:v>6.6217724898313568E-2</c:v>
                </c:pt>
                <c:pt idx="235">
                  <c:v>6.6239455376023271E-2</c:v>
                </c:pt>
                <c:pt idx="236">
                  <c:v>6.6261185348033047E-2</c:v>
                </c:pt>
                <c:pt idx="237">
                  <c:v>6.6282914814354554E-2</c:v>
                </c:pt>
                <c:pt idx="238">
                  <c:v>6.6304643774999672E-2</c:v>
                </c:pt>
                <c:pt idx="239">
                  <c:v>6.6326372229980168E-2</c:v>
                </c:pt>
                <c:pt idx="240">
                  <c:v>6.6348100179307812E-2</c:v>
                </c:pt>
                <c:pt idx="241">
                  <c:v>6.636982762299426E-2</c:v>
                </c:pt>
                <c:pt idx="242">
                  <c:v>6.6391554561051391E-2</c:v>
                </c:pt>
                <c:pt idx="243">
                  <c:v>6.6413280993490864E-2</c:v>
                </c:pt>
                <c:pt idx="244">
                  <c:v>6.6435006920324557E-2</c:v>
                </c:pt>
                <c:pt idx="245">
                  <c:v>6.645673234156424E-2</c:v>
                </c:pt>
                <c:pt idx="246">
                  <c:v>6.6478457257221568E-2</c:v>
                </c:pt>
                <c:pt idx="247">
                  <c:v>6.6500181667308422E-2</c:v>
                </c:pt>
                <c:pt idx="248">
                  <c:v>6.6521905571836459E-2</c:v>
                </c:pt>
                <c:pt idx="249">
                  <c:v>6.6543628970817559E-2</c:v>
                </c:pt>
                <c:pt idx="250">
                  <c:v>6.6565351864263378E-2</c:v>
                </c:pt>
                <c:pt idx="251">
                  <c:v>6.6587074252185685E-2</c:v>
                </c:pt>
                <c:pt idx="252">
                  <c:v>6.660879613459636E-2</c:v>
                </c:pt>
                <c:pt idx="253">
                  <c:v>6.663051751150717E-2</c:v>
                </c:pt>
                <c:pt idx="254">
                  <c:v>6.6652238382929663E-2</c:v>
                </c:pt>
                <c:pt idx="255">
                  <c:v>6.6673958748875828E-2</c:v>
                </c:pt>
                <c:pt idx="256">
                  <c:v>6.6695678609357323E-2</c:v>
                </c:pt>
                <c:pt idx="257">
                  <c:v>6.6717397964386027E-2</c:v>
                </c:pt>
                <c:pt idx="258">
                  <c:v>6.6739116813973487E-2</c:v>
                </c:pt>
                <c:pt idx="259">
                  <c:v>6.6760835158131582E-2</c:v>
                </c:pt>
                <c:pt idx="260">
                  <c:v>6.6782552996872191E-2</c:v>
                </c:pt>
                <c:pt idx="261">
                  <c:v>6.6804270330206861E-2</c:v>
                </c:pt>
                <c:pt idx="262">
                  <c:v>6.6825987158147471E-2</c:v>
                </c:pt>
                <c:pt idx="263">
                  <c:v>6.6847703480705789E-2</c:v>
                </c:pt>
                <c:pt idx="264">
                  <c:v>6.6869419297893584E-2</c:v>
                </c:pt>
                <c:pt idx="265">
                  <c:v>6.6891134609722513E-2</c:v>
                </c:pt>
                <c:pt idx="266">
                  <c:v>6.6912849416204456E-2</c:v>
                </c:pt>
                <c:pt idx="267">
                  <c:v>6.6934563717351181E-2</c:v>
                </c:pt>
                <c:pt idx="268">
                  <c:v>6.6956277513174345E-2</c:v>
                </c:pt>
                <c:pt idx="269">
                  <c:v>6.6977990803685827E-2</c:v>
                </c:pt>
                <c:pt idx="270">
                  <c:v>6.6999703588897175E-2</c:v>
                </c:pt>
                <c:pt idx="271">
                  <c:v>6.7021415868820378E-2</c:v>
                </c:pt>
                <c:pt idx="272">
                  <c:v>6.7043127643467093E-2</c:v>
                </c:pt>
                <c:pt idx="273">
                  <c:v>6.706483891284909E-2</c:v>
                </c:pt>
                <c:pt idx="274">
                  <c:v>6.7086549676978136E-2</c:v>
                </c:pt>
                <c:pt idx="275">
                  <c:v>6.7108259935865999E-2</c:v>
                </c:pt>
                <c:pt idx="276">
                  <c:v>6.7129969689524449E-2</c:v>
                </c:pt>
                <c:pt idx="277">
                  <c:v>6.7151678937965142E-2</c:v>
                </c:pt>
                <c:pt idx="278">
                  <c:v>6.7173387681199959E-2</c:v>
                </c:pt>
                <c:pt idx="279">
                  <c:v>6.7195095919240555E-2</c:v>
                </c:pt>
                <c:pt idx="280">
                  <c:v>6.7216803652098811E-2</c:v>
                </c:pt>
                <c:pt idx="281">
                  <c:v>6.7238510879786384E-2</c:v>
                </c:pt>
                <c:pt idx="282">
                  <c:v>6.7260217602315042E-2</c:v>
                </c:pt>
                <c:pt idx="283">
                  <c:v>6.7281923819696554E-2</c:v>
                </c:pt>
                <c:pt idx="284">
                  <c:v>6.7303629531942688E-2</c:v>
                </c:pt>
                <c:pt idx="285">
                  <c:v>6.7325334739065212E-2</c:v>
                </c:pt>
                <c:pt idx="286">
                  <c:v>6.7347039441075784E-2</c:v>
                </c:pt>
                <c:pt idx="287">
                  <c:v>6.7368743637986284E-2</c:v>
                </c:pt>
                <c:pt idx="288">
                  <c:v>6.7390447329808367E-2</c:v>
                </c:pt>
                <c:pt idx="289">
                  <c:v>6.7412150516553915E-2</c:v>
                </c:pt>
                <c:pt idx="290">
                  <c:v>6.7433853198234583E-2</c:v>
                </c:pt>
                <c:pt idx="291">
                  <c:v>6.7455555374862031E-2</c:v>
                </c:pt>
                <c:pt idx="292">
                  <c:v>6.7477257046448247E-2</c:v>
                </c:pt>
                <c:pt idx="293">
                  <c:v>6.7498958213004778E-2</c:v>
                </c:pt>
                <c:pt idx="294">
                  <c:v>6.7520658874543504E-2</c:v>
                </c:pt>
                <c:pt idx="295">
                  <c:v>6.7542359031076193E-2</c:v>
                </c:pt>
                <c:pt idx="296">
                  <c:v>6.7564058682614503E-2</c:v>
                </c:pt>
                <c:pt idx="297">
                  <c:v>6.7585757829170201E-2</c:v>
                </c:pt>
                <c:pt idx="298">
                  <c:v>6.7607456470755056E-2</c:v>
                </c:pt>
                <c:pt idx="299">
                  <c:v>6.7629154607380726E-2</c:v>
                </c:pt>
                <c:pt idx="300">
                  <c:v>6.76508522390592E-2</c:v>
                </c:pt>
                <c:pt idx="301">
                  <c:v>6.7672549365802026E-2</c:v>
                </c:pt>
                <c:pt idx="302">
                  <c:v>6.7694245987621082E-2</c:v>
                </c:pt>
                <c:pt idx="303">
                  <c:v>6.7715942104527915E-2</c:v>
                </c:pt>
                <c:pt idx="304">
                  <c:v>6.7737637716534516E-2</c:v>
                </c:pt>
                <c:pt idx="305">
                  <c:v>6.7759332823652541E-2</c:v>
                </c:pt>
                <c:pt idx="306">
                  <c:v>6.7781027425893647E-2</c:v>
                </c:pt>
                <c:pt idx="307">
                  <c:v>6.7802721523269716E-2</c:v>
                </c:pt>
                <c:pt idx="308">
                  <c:v>6.7824415115792513E-2</c:v>
                </c:pt>
                <c:pt idx="309">
                  <c:v>6.7846108203473587E-2</c:v>
                </c:pt>
                <c:pt idx="310">
                  <c:v>6.7867800786324928E-2</c:v>
                </c:pt>
                <c:pt idx="311">
                  <c:v>6.7889492864358081E-2</c:v>
                </c:pt>
                <c:pt idx="312">
                  <c:v>6.7911184437584926E-2</c:v>
                </c:pt>
                <c:pt idx="313">
                  <c:v>6.7932875506017232E-2</c:v>
                </c:pt>
                <c:pt idx="314">
                  <c:v>6.7954566069666655E-2</c:v>
                </c:pt>
                <c:pt idx="315">
                  <c:v>6.7976256128544965E-2</c:v>
                </c:pt>
                <c:pt idx="316">
                  <c:v>6.7997945682663929E-2</c:v>
                </c:pt>
                <c:pt idx="317">
                  <c:v>6.8019634732035206E-2</c:v>
                </c:pt>
                <c:pt idx="318">
                  <c:v>6.8041323276670673E-2</c:v>
                </c:pt>
                <c:pt idx="319">
                  <c:v>6.8063011316581989E-2</c:v>
                </c:pt>
                <c:pt idx="320">
                  <c:v>6.8084698851781034E-2</c:v>
                </c:pt>
                <c:pt idx="321">
                  <c:v>6.8106385882279352E-2</c:v>
                </c:pt>
                <c:pt idx="322">
                  <c:v>6.8128072408088824E-2</c:v>
                </c:pt>
                <c:pt idx="323">
                  <c:v>6.8149758429221219E-2</c:v>
                </c:pt>
                <c:pt idx="324">
                  <c:v>6.8171443945688082E-2</c:v>
                </c:pt>
                <c:pt idx="325">
                  <c:v>6.8193128957501403E-2</c:v>
                </c:pt>
                <c:pt idx="326">
                  <c:v>6.821481346467273E-2</c:v>
                </c:pt>
                <c:pt idx="327">
                  <c:v>6.8236497467214052E-2</c:v>
                </c:pt>
                <c:pt idx="328">
                  <c:v>6.8258180965136805E-2</c:v>
                </c:pt>
                <c:pt idx="329">
                  <c:v>6.827986395845298E-2</c:v>
                </c:pt>
                <c:pt idx="330">
                  <c:v>6.8301546447174122E-2</c:v>
                </c:pt>
                <c:pt idx="331">
                  <c:v>6.8323228431312111E-2</c:v>
                </c:pt>
                <c:pt idx="332">
                  <c:v>6.8344909910878715E-2</c:v>
                </c:pt>
                <c:pt idx="333">
                  <c:v>6.8366590885885592E-2</c:v>
                </c:pt>
                <c:pt idx="334">
                  <c:v>6.838827135634451E-2</c:v>
                </c:pt>
                <c:pt idx="335">
                  <c:v>6.8409951322267126E-2</c:v>
                </c:pt>
                <c:pt idx="336">
                  <c:v>6.843163078366532E-2</c:v>
                </c:pt>
                <c:pt idx="337">
                  <c:v>6.8453309740550861E-2</c:v>
                </c:pt>
                <c:pt idx="338">
                  <c:v>6.8474988192935293E-2</c:v>
                </c:pt>
                <c:pt idx="339">
                  <c:v>6.8496666140830498E-2</c:v>
                </c:pt>
                <c:pt idx="340">
                  <c:v>6.8518343584248242E-2</c:v>
                </c:pt>
                <c:pt idx="341">
                  <c:v>6.8540020523200074E-2</c:v>
                </c:pt>
                <c:pt idx="342">
                  <c:v>6.8561696957697982E-2</c:v>
                </c:pt>
                <c:pt idx="343">
                  <c:v>6.8583372887753513E-2</c:v>
                </c:pt>
                <c:pt idx="344">
                  <c:v>6.8605048313378547E-2</c:v>
                </c:pt>
                <c:pt idx="345">
                  <c:v>6.8626723234584741E-2</c:v>
                </c:pt>
                <c:pt idx="346">
                  <c:v>6.8648397651383863E-2</c:v>
                </c:pt>
                <c:pt idx="347">
                  <c:v>6.8670071563787682E-2</c:v>
                </c:pt>
                <c:pt idx="348">
                  <c:v>6.8691744971807855E-2</c:v>
                </c:pt>
                <c:pt idx="349">
                  <c:v>6.8713417875456151E-2</c:v>
                </c:pt>
                <c:pt idx="350">
                  <c:v>6.8735090274744337E-2</c:v>
                </c:pt>
                <c:pt idx="351">
                  <c:v>6.8756762169684071E-2</c:v>
                </c:pt>
                <c:pt idx="352">
                  <c:v>6.8778433560287233E-2</c:v>
                </c:pt>
                <c:pt idx="353">
                  <c:v>6.8800104446565369E-2</c:v>
                </c:pt>
                <c:pt idx="354">
                  <c:v>6.8821774828530469E-2</c:v>
                </c:pt>
                <c:pt idx="355">
                  <c:v>6.8843444706193968E-2</c:v>
                </c:pt>
                <c:pt idx="356">
                  <c:v>6.8865114079567857E-2</c:v>
                </c:pt>
                <c:pt idx="357">
                  <c:v>6.8886782948663794E-2</c:v>
                </c:pt>
                <c:pt idx="358">
                  <c:v>6.8908451313493435E-2</c:v>
                </c:pt>
                <c:pt idx="359">
                  <c:v>6.8930119174068549E-2</c:v>
                </c:pt>
                <c:pt idx="360">
                  <c:v>6.8951786530400905E-2</c:v>
                </c:pt>
                <c:pt idx="361">
                  <c:v>6.897345338250227E-2</c:v>
                </c:pt>
                <c:pt idx="362">
                  <c:v>6.8995119730384302E-2</c:v>
                </c:pt>
                <c:pt idx="363">
                  <c:v>6.901678557405877E-2</c:v>
                </c:pt>
                <c:pt idx="364">
                  <c:v>6.903845091353733E-2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0.11873511008164322</c:v>
                </c:pt>
                <c:pt idx="1">
                  <c:v>0.1188395665458923</c:v>
                </c:pt>
                <c:pt idx="2">
                  <c:v>0.1189442634893224</c:v>
                </c:pt>
                <c:pt idx="3">
                  <c:v>0.11904916311612102</c:v>
                </c:pt>
                <c:pt idx="4">
                  <c:v>0.11915423251802024</c:v>
                </c:pt>
                <c:pt idx="5">
                  <c:v>0.11925944353472934</c:v>
                </c:pt>
                <c:pt idx="6">
                  <c:v>0.11936477257662483</c:v>
                </c:pt>
                <c:pt idx="7">
                  <c:v>0.1194702004126609</c:v>
                </c:pt>
                <c:pt idx="8">
                  <c:v>0.11957571192672237</c:v>
                </c:pt>
                <c:pt idx="9">
                  <c:v>0.11968129584587181</c:v>
                </c:pt>
                <c:pt idx="10">
                  <c:v>0.11978694444413149</c:v>
                </c:pt>
                <c:pt idx="11">
                  <c:v>0.11989265322559152</c:v>
                </c:pt>
                <c:pt idx="12">
                  <c:v>0.11999842059075051</c:v>
                </c:pt>
                <c:pt idx="13">
                  <c:v>0.12010424749006615</c:v>
                </c:pt>
                <c:pt idx="14">
                  <c:v>0.12021013706872795</c:v>
                </c:pt>
                <c:pt idx="15">
                  <c:v>0.12031609430665714</c:v>
                </c:pt>
                <c:pt idx="16">
                  <c:v>0.12042212565769418</c:v>
                </c:pt>
                <c:pt idx="17">
                  <c:v>0.12052823869185086</c:v>
                </c:pt>
                <c:pt idx="18">
                  <c:v>0.12063444174438501</c:v>
                </c:pt>
                <c:pt idx="19">
                  <c:v>0.12074074357530014</c:v>
                </c:pt>
                <c:pt idx="20">
                  <c:v>0.12084715304268766</c:v>
                </c:pt>
                <c:pt idx="21">
                  <c:v>0.12095367879310852</c:v>
                </c:pt>
                <c:pt idx="22">
                  <c:v>0.12106032897196918</c:v>
                </c:pt>
                <c:pt idx="23">
                  <c:v>0.12116711095657484</c:v>
                </c:pt>
                <c:pt idx="24">
                  <c:v>0.12127403111425145</c:v>
                </c:pt>
                <c:pt idx="25">
                  <c:v>0.12138109458761882</c:v>
                </c:pt>
                <c:pt idx="26">
                  <c:v>0.12148830510876985</c:v>
                </c:pt>
                <c:pt idx="27">
                  <c:v>0.12159566484377772</c:v>
                </c:pt>
                <c:pt idx="28">
                  <c:v>0.12170317426860348</c:v>
                </c:pt>
                <c:pt idx="29">
                  <c:v>0.12181083207713295</c:v>
                </c:pt>
                <c:pt idx="30">
                  <c:v>0.12191863512171847</c:v>
                </c:pt>
                <c:pt idx="31">
                  <c:v>0.12202657838625638</c:v>
                </c:pt>
                <c:pt idx="32">
                  <c:v>0.12213465499149104</c:v>
                </c:pt>
                <c:pt idx="33">
                  <c:v>0.12224285623190598</c:v>
                </c:pt>
                <c:pt idx="34">
                  <c:v>0.12235117164324565</c:v>
                </c:pt>
                <c:pt idx="35">
                  <c:v>0.12245958909941043</c:v>
                </c:pt>
                <c:pt idx="36">
                  <c:v>0.12256809493718614</c:v>
                </c:pt>
                <c:pt idx="37">
                  <c:v>0.12267667410700797</c:v>
                </c:pt>
                <c:pt idx="38">
                  <c:v>0.12278531034772361</c:v>
                </c:pt>
                <c:pt idx="39">
                  <c:v>0.12289398638310889</c:v>
                </c:pt>
                <c:pt idx="40">
                  <c:v>0.12300268413770613</c:v>
                </c:pt>
                <c:pt idx="41">
                  <c:v>0.12311138496940306</c:v>
                </c:pt>
                <c:pt idx="42">
                  <c:v>0.12322006991604444</c:v>
                </c:pt>
                <c:pt idx="43">
                  <c:v>0.12332871995327721</c:v>
                </c:pt>
                <c:pt idx="44">
                  <c:v>0.12343731626076776</c:v>
                </c:pt>
                <c:pt idx="45">
                  <c:v>0.12354584049389909</c:v>
                </c:pt>
                <c:pt idx="46">
                  <c:v>0.12365427505805797</c:v>
                </c:pt>
                <c:pt idx="47">
                  <c:v>0.12376260338265035</c:v>
                </c:pt>
                <c:pt idx="48">
                  <c:v>0.12387081019204704</c:v>
                </c:pt>
                <c:pt idx="49">
                  <c:v>0.12397888177074766</c:v>
                </c:pt>
                <c:pt idx="50">
                  <c:v>0.12408680622016727</c:v>
                </c:pt>
                <c:pt idx="51">
                  <c:v>0.12419457370459004</c:v>
                </c:pt>
                <c:pt idx="52">
                  <c:v>0.12430217668399642</c:v>
                </c:pt>
                <c:pt idx="53">
                  <c:v>0.12440961013165464</c:v>
                </c:pt>
                <c:pt idx="54">
                  <c:v>0.12451687173456683</c:v>
                </c:pt>
                <c:pt idx="55">
                  <c:v>0.1246239620750791</c:v>
                </c:pt>
                <c:pt idx="56">
                  <c:v>0.12473088479219112</c:v>
                </c:pt>
                <c:pt idx="57">
                  <c:v>0.12483764672134234</c:v>
                </c:pt>
                <c:pt idx="58">
                  <c:v>0.12494425801169634</c:v>
                </c:pt>
                <c:pt idx="59">
                  <c:v>0.12505073222019455</c:v>
                </c:pt>
                <c:pt idx="60">
                  <c:v>0.12515708638190209</c:v>
                </c:pt>
                <c:pt idx="61">
                  <c:v>0.12526334105641582</c:v>
                </c:pt>
                <c:pt idx="62">
                  <c:v>0.12536952035035021</c:v>
                </c:pt>
                <c:pt idx="63">
                  <c:v>0.1254756519161517</c:v>
                </c:pt>
                <c:pt idx="64">
                  <c:v>0.12558176692771961</c:v>
                </c:pt>
                <c:pt idx="65">
                  <c:v>0.1256879000335242</c:v>
                </c:pt>
                <c:pt idx="66">
                  <c:v>0.12579408928811378</c:v>
                </c:pt>
                <c:pt idx="67">
                  <c:v>0.12590037606308255</c:v>
                </c:pt>
                <c:pt idx="68">
                  <c:v>0.12600680493873606</c:v>
                </c:pt>
                <c:pt idx="69">
                  <c:v>0.12611342357783548</c:v>
                </c:pt>
                <c:pt idx="70">
                  <c:v>0.12622028258292153</c:v>
                </c:pt>
                <c:pt idx="71">
                  <c:v>0.12632743533882215</c:v>
                </c:pt>
                <c:pt idx="72">
                  <c:v>0.12643493784202239</c:v>
                </c:pt>
                <c:pt idx="73">
                  <c:v>0.12654284851862899</c:v>
                </c:pt>
                <c:pt idx="74">
                  <c:v>0.1266512280326931</c:v>
                </c:pt>
                <c:pt idx="75">
                  <c:v>0.12676013908665876</c:v>
                </c:pt>
                <c:pt idx="76">
                  <c:v>0.12686964621569052</c:v>
                </c:pt>
                <c:pt idx="77">
                  <c:v>0.12697981557759361</c:v>
                </c:pt>
                <c:pt idx="78">
                  <c:v>0.12709071473998068</c:v>
                </c:pt>
                <c:pt idx="79">
                  <c:v>0.12720241246625932</c:v>
                </c:pt>
                <c:pt idx="80">
                  <c:v>0.12731497850191736</c:v>
                </c:pt>
                <c:pt idx="81">
                  <c:v>0.12742848336246776</c:v>
                </c:pt>
                <c:pt idx="82">
                  <c:v>0.1275429981242861</c:v>
                </c:pt>
                <c:pt idx="83">
                  <c:v>0.1276585942194321</c:v>
                </c:pt>
                <c:pt idx="84">
                  <c:v>0.12777534323539516</c:v>
                </c:pt>
                <c:pt idx="85">
                  <c:v>0.12789331672054297</c:v>
                </c:pt>
                <c:pt idx="86">
                  <c:v>0.12801258599588844</c:v>
                </c:pt>
                <c:pt idx="87">
                  <c:v>0.12813322197362115</c:v>
                </c:pt>
                <c:pt idx="88">
                  <c:v>0.12825529498268065</c:v>
                </c:pt>
                <c:pt idx="89">
                  <c:v>0.12837887460148345</c:v>
                </c:pt>
                <c:pt idx="90">
                  <c:v>0.12850402949775194</c:v>
                </c:pt>
                <c:pt idx="91">
                  <c:v>0.12863082727523933</c:v>
                </c:pt>
                <c:pt idx="92">
                  <c:v>0.1287593343269991</c:v>
                </c:pt>
                <c:pt idx="93">
                  <c:v>0.12888961569471058</c:v>
                </c:pt>
                <c:pt idx="94">
                  <c:v>0.12902173493345465</c:v>
                </c:pt>
                <c:pt idx="95">
                  <c:v>0.12915575398122345</c:v>
                </c:pt>
                <c:pt idx="96">
                  <c:v>0.12929173303236149</c:v>
                </c:pt>
                <c:pt idx="97">
                  <c:v>0.1294297304140633</c:v>
                </c:pt>
                <c:pt idx="98">
                  <c:v>0.12956980246500036</c:v>
                </c:pt>
                <c:pt idx="99">
                  <c:v>0.12971200341511926</c:v>
                </c:pt>
                <c:pt idx="100">
                  <c:v>0.12985638526564119</c:v>
                </c:pt>
                <c:pt idx="101">
                  <c:v>0.13000299766830292</c:v>
                </c:pt>
                <c:pt idx="102">
                  <c:v>0.13015188780291134</c:v>
                </c:pt>
                <c:pt idx="103">
                  <c:v>0.13030310025233449</c:v>
                </c:pt>
                <c:pt idx="104">
                  <c:v>0.13045667687412488</c:v>
                </c:pt>
                <c:pt idx="105">
                  <c:v>0.13061265666806293</c:v>
                </c:pt>
                <c:pt idx="106">
                  <c:v>0.13077107563901788</c:v>
                </c:pt>
                <c:pt idx="107">
                  <c:v>0.13093196665465118</c:v>
                </c:pt>
                <c:pt idx="108">
                  <c:v>0.13109535929762983</c:v>
                </c:pt>
                <c:pt idx="109">
                  <c:v>0.13126127971217399</c:v>
                </c:pt>
                <c:pt idx="110">
                  <c:v>0.13142975044493055</c:v>
                </c:pt>
                <c:pt idx="111">
                  <c:v>0.13160079028034169</c:v>
                </c:pt>
                <c:pt idx="112">
                  <c:v>0.13177441407086288</c:v>
                </c:pt>
                <c:pt idx="113">
                  <c:v>0.13195063256257217</c:v>
                </c:pt>
                <c:pt idx="114">
                  <c:v>0.1321294522169055</c:v>
                </c:pt>
                <c:pt idx="115">
                  <c:v>0.132310875029441</c:v>
                </c:pt>
                <c:pt idx="116">
                  <c:v>0.13249489834684411</c:v>
                </c:pt>
                <c:pt idx="117">
                  <c:v>0.13268151468326464</c:v>
                </c:pt>
                <c:pt idx="118">
                  <c:v>0.13287071153765045</c:v>
                </c:pt>
                <c:pt idx="119">
                  <c:v>2.2340764390354553E-2</c:v>
                </c:pt>
                <c:pt idx="120">
                  <c:v>2.2577144914299081E-2</c:v>
                </c:pt>
                <c:pt idx="121">
                  <c:v>2.2814022863874975E-2</c:v>
                </c:pt>
                <c:pt idx="122">
                  <c:v>2.3051403396204529E-2</c:v>
                </c:pt>
                <c:pt idx="123">
                  <c:v>2.3289290384710091E-2</c:v>
                </c:pt>
                <c:pt idx="124">
                  <c:v>2.3527686352190918E-2</c:v>
                </c:pt>
                <c:pt idx="125">
                  <c:v>2.3766592405582192E-2</c:v>
                </c:pt>
                <c:pt idx="126">
                  <c:v>2.4006008172959805E-2</c:v>
                </c:pt>
                <c:pt idx="127">
                  <c:v>2.4245931743379256E-2</c:v>
                </c:pt>
                <c:pt idx="128">
                  <c:v>2.4486359610155554E-2</c:v>
                </c:pt>
                <c:pt idx="129">
                  <c:v>2.4727286618203989E-2</c:v>
                </c:pt>
                <c:pt idx="130">
                  <c:v>2.4968705916068826E-2</c:v>
                </c:pt>
                <c:pt idx="131">
                  <c:v>2.5210608913267353E-2</c:v>
                </c:pt>
                <c:pt idx="132">
                  <c:v>2.5452985243569471E-2</c:v>
                </c:pt>
                <c:pt idx="133">
                  <c:v>2.5695822734820673E-2</c:v>
                </c:pt>
                <c:pt idx="134">
                  <c:v>2.5939107385893806E-2</c:v>
                </c:pt>
                <c:pt idx="135">
                  <c:v>2.6182823351328537E-2</c:v>
                </c:pt>
                <c:pt idx="136">
                  <c:v>2.6426952934180639E-2</c:v>
                </c:pt>
                <c:pt idx="137">
                  <c:v>2.6671476587561582E-2</c:v>
                </c:pt>
                <c:pt idx="138">
                  <c:v>2.691637292529921E-2</c:v>
                </c:pt>
                <c:pt idx="139">
                  <c:v>2.7161618742093666E-2</c:v>
                </c:pt>
                <c:pt idx="140">
                  <c:v>2.7407189043481384E-2</c:v>
                </c:pt>
                <c:pt idx="141">
                  <c:v>2.7653057085850422E-2</c:v>
                </c:pt>
                <c:pt idx="142">
                  <c:v>2.7899194426678164E-2</c:v>
                </c:pt>
                <c:pt idx="143">
                  <c:v>2.8145570985083197E-2</c:v>
                </c:pt>
                <c:pt idx="144">
                  <c:v>2.8392155112701996E-2</c:v>
                </c:pt>
                <c:pt idx="145">
                  <c:v>2.8638913674814706E-2</c:v>
                </c:pt>
                <c:pt idx="146">
                  <c:v>2.8885812141557228E-2</c:v>
                </c:pt>
                <c:pt idx="147">
                  <c:v>2.9132814688967449E-2</c:v>
                </c:pt>
                <c:pt idx="148">
                  <c:v>2.9379884309522649E-2</c:v>
                </c:pt>
                <c:pt idx="149">
                  <c:v>2.9626982931736417E-2</c:v>
                </c:pt>
                <c:pt idx="150">
                  <c:v>2.9874071548293846E-2</c:v>
                </c:pt>
                <c:pt idx="151">
                  <c:v>3.0121110352117893E-2</c:v>
                </c:pt>
                <c:pt idx="152">
                  <c:v>3.0368058879676228E-2</c:v>
                </c:pt>
                <c:pt idx="153">
                  <c:v>3.0614876160758402E-2</c:v>
                </c:pt>
                <c:pt idx="154">
                  <c:v>3.0861520873878955E-2</c:v>
                </c:pt>
                <c:pt idx="155">
                  <c:v>3.1107951506393308E-2</c:v>
                </c:pt>
                <c:pt idx="156">
                  <c:v>3.1354126518351698E-2</c:v>
                </c:pt>
                <c:pt idx="157">
                  <c:v>3.1600004509061357E-2</c:v>
                </c:pt>
                <c:pt idx="158">
                  <c:v>3.184554438528138E-2</c:v>
                </c:pt>
                <c:pt idx="159">
                  <c:v>3.2090705529936724E-2</c:v>
                </c:pt>
                <c:pt idx="160">
                  <c:v>3.2335447970210297E-2</c:v>
                </c:pt>
                <c:pt idx="161">
                  <c:v>3.2579732543852838E-2</c:v>
                </c:pt>
                <c:pt idx="162">
                  <c:v>3.2823521062543097E-2</c:v>
                </c:pt>
                <c:pt idx="163">
                  <c:v>3.3066776471132868E-2</c:v>
                </c:pt>
                <c:pt idx="164">
                  <c:v>3.3309463001624517E-2</c:v>
                </c:pt>
                <c:pt idx="165">
                  <c:v>3.3551546320752315E-2</c:v>
                </c:pt>
                <c:pt idx="166">
                  <c:v>3.3792993670073941E-2</c:v>
                </c:pt>
                <c:pt idx="167">
                  <c:v>3.4033773997522838E-2</c:v>
                </c:pt>
                <c:pt idx="168">
                  <c:v>3.4273858079427594E-2</c:v>
                </c:pt>
                <c:pt idx="169">
                  <c:v>3.4513218632069992E-2</c:v>
                </c:pt>
                <c:pt idx="170">
                  <c:v>3.4751830411926837E-2</c:v>
                </c:pt>
                <c:pt idx="171">
                  <c:v>3.4989670303824646E-2</c:v>
                </c:pt>
                <c:pt idx="172">
                  <c:v>3.5226717396327038E-2</c:v>
                </c:pt>
                <c:pt idx="173">
                  <c:v>3.5462953043772609E-2</c:v>
                </c:pt>
                <c:pt idx="174">
                  <c:v>3.5698360914486679E-2</c:v>
                </c:pt>
                <c:pt idx="175">
                  <c:v>3.5932927024799111E-2</c:v>
                </c:pt>
                <c:pt idx="176">
                  <c:v>3.6166639758615719E-2</c:v>
                </c:pt>
                <c:pt idx="177">
                  <c:v>3.6399489872407466E-2</c:v>
                </c:pt>
                <c:pt idx="178">
                  <c:v>3.6631470485602148E-2</c:v>
                </c:pt>
                <c:pt idx="179">
                  <c:v>3.6862577056482979E-2</c:v>
                </c:pt>
                <c:pt idx="180">
                  <c:v>3.7092807343819097E-2</c:v>
                </c:pt>
                <c:pt idx="181">
                  <c:v>3.7322161354571816E-2</c:v>
                </c:pt>
                <c:pt idx="182">
                  <c:v>3.7550641278136683E-2</c:v>
                </c:pt>
                <c:pt idx="183">
                  <c:v>3.7778251407692615E-2</c:v>
                </c:pt>
                <c:pt idx="184">
                  <c:v>3.800499804933833E-2</c:v>
                </c:pt>
                <c:pt idx="185">
                  <c:v>3.8230889419795057E-2</c:v>
                </c:pt>
                <c:pt idx="186">
                  <c:v>3.8455935533550555E-2</c:v>
                </c:pt>
                <c:pt idx="187">
                  <c:v>3.8680148080403362E-2</c:v>
                </c:pt>
                <c:pt idx="188">
                  <c:v>3.8903540294443519E-2</c:v>
                </c:pt>
                <c:pt idx="189">
                  <c:v>3.9126126815572787E-2</c:v>
                </c:pt>
                <c:pt idx="190">
                  <c:v>3.9347923544722496E-2</c:v>
                </c:pt>
                <c:pt idx="191">
                  <c:v>3.9568947493972731E-2</c:v>
                </c:pt>
                <c:pt idx="192">
                  <c:v>3.9789216632809168E-2</c:v>
                </c:pt>
                <c:pt idx="193">
                  <c:v>4.0008749731774179E-2</c:v>
                </c:pt>
                <c:pt idx="194">
                  <c:v>4.0227566204778339E-2</c:v>
                </c:pt>
                <c:pt idx="195">
                  <c:v>4.0445685951333223E-2</c:v>
                </c:pt>
                <c:pt idx="196">
                  <c:v>4.0663129199950639E-2</c:v>
                </c:pt>
                <c:pt idx="197">
                  <c:v>4.0879916353924441E-2</c:v>
                </c:pt>
                <c:pt idx="198">
                  <c:v>4.1096067840669409E-2</c:v>
                </c:pt>
                <c:pt idx="199">
                  <c:v>4.1311603965740885E-2</c:v>
                </c:pt>
                <c:pt idx="200">
                  <c:v>4.1526544772592822E-2</c:v>
                </c:pt>
                <c:pt idx="201">
                  <c:v>4.1740909909060347E-2</c:v>
                </c:pt>
                <c:pt idx="202">
                  <c:v>4.1954718501467848E-2</c:v>
                </c:pt>
                <c:pt idx="203">
                  <c:v>4.2167989037171248E-2</c:v>
                </c:pt>
                <c:pt idx="204">
                  <c:v>4.2380739256244686E-2</c:v>
                </c:pt>
                <c:pt idx="205">
                  <c:v>4.2592986052912819E-2</c:v>
                </c:pt>
                <c:pt idx="206">
                  <c:v>4.2804745387219983E-2</c:v>
                </c:pt>
                <c:pt idx="207">
                  <c:v>4.301603220731013E-2</c:v>
                </c:pt>
                <c:pt idx="208">
                  <c:v>4.3226860382572084E-2</c:v>
                </c:pt>
                <c:pt idx="209">
                  <c:v>4.3437242647784716E-2</c:v>
                </c:pt>
                <c:pt idx="210">
                  <c:v>4.3647190558274353E-2</c:v>
                </c:pt>
                <c:pt idx="211">
                  <c:v>4.385671445597801E-2</c:v>
                </c:pt>
                <c:pt idx="212">
                  <c:v>4.4065823446187563E-2</c:v>
                </c:pt>
                <c:pt idx="213">
                  <c:v>4.4274525384636623E-2</c:v>
                </c:pt>
                <c:pt idx="214">
                  <c:v>4.4482826874483496E-2</c:v>
                </c:pt>
                <c:pt idx="215">
                  <c:v>4.4690733272641059E-2</c:v>
                </c:pt>
                <c:pt idx="216">
                  <c:v>4.4898248704809463E-2</c:v>
                </c:pt>
                <c:pt idx="217">
                  <c:v>4.5105376088482321E-2</c:v>
                </c:pt>
                <c:pt idx="218">
                  <c:v>4.5312117163119392E-2</c:v>
                </c:pt>
                <c:pt idx="219">
                  <c:v>4.5518472526614069E-2</c:v>
                </c:pt>
                <c:pt idx="220">
                  <c:v>4.5724441677128712E-2</c:v>
                </c:pt>
                <c:pt idx="221">
                  <c:v>4.5930023059328556E-2</c:v>
                </c:pt>
                <c:pt idx="222">
                  <c:v>4.6135214114015E-2</c:v>
                </c:pt>
                <c:pt idx="223">
                  <c:v>4.6340011330142421E-2</c:v>
                </c:pt>
                <c:pt idx="224">
                  <c:v>4.6544410298198009E-2</c:v>
                </c:pt>
                <c:pt idx="225">
                  <c:v>4.6748405763934672E-2</c:v>
                </c:pt>
                <c:pt idx="226">
                  <c:v>4.6951991681468887E-2</c:v>
                </c:pt>
                <c:pt idx="227">
                  <c:v>4.7155161264791745E-2</c:v>
                </c:pt>
                <c:pt idx="228">
                  <c:v>4.7357907036789638E-2</c:v>
                </c:pt>
                <c:pt idx="229">
                  <c:v>4.7560220874931412E-2</c:v>
                </c:pt>
                <c:pt idx="230">
                  <c:v>4.7762094052851367E-2</c:v>
                </c:pt>
                <c:pt idx="231">
                  <c:v>4.7963517277139517E-2</c:v>
                </c:pt>
                <c:pt idx="232">
                  <c:v>4.8164480718743921E-2</c:v>
                </c:pt>
                <c:pt idx="233">
                  <c:v>4.8364974038489994E-2</c:v>
                </c:pt>
                <c:pt idx="234">
                  <c:v>4.8564986406331646E-2</c:v>
                </c:pt>
                <c:pt idx="235">
                  <c:v>4.8764506514062958E-2</c:v>
                </c:pt>
                <c:pt idx="236">
                  <c:v>4.8963522581339812E-2</c:v>
                </c:pt>
                <c:pt idx="237">
                  <c:v>4.9162022354983625E-2</c:v>
                </c:pt>
                <c:pt idx="238">
                  <c:v>4.9359993101665514E-2</c:v>
                </c:pt>
                <c:pt idx="239">
                  <c:v>4.9557421594193976E-2</c:v>
                </c:pt>
                <c:pt idx="240">
                  <c:v>4.9754294091755073E-2</c:v>
                </c:pt>
                <c:pt idx="241">
                  <c:v>4.9950596314575123E-2</c:v>
                </c:pt>
                <c:pt idx="242">
                  <c:v>5.0146313413594823E-2</c:v>
                </c:pt>
                <c:pt idx="243">
                  <c:v>5.0341429935855268E-2</c:v>
                </c:pt>
                <c:pt idx="244">
                  <c:v>5.0535929786401729E-2</c:v>
                </c:pt>
                <c:pt idx="245">
                  <c:v>5.0729796187607382E-2</c:v>
                </c:pt>
                <c:pt idx="246">
                  <c:v>5.0923011636905872E-2</c:v>
                </c:pt>
                <c:pt idx="247">
                  <c:v>5.1115557863996977E-2</c:v>
                </c:pt>
                <c:pt idx="248">
                  <c:v>5.1307415788652631E-2</c:v>
                </c:pt>
                <c:pt idx="249">
                  <c:v>5.1498565480300879E-2</c:v>
                </c:pt>
                <c:pt idx="250">
                  <c:v>5.1688986120600557E-2</c:v>
                </c:pt>
                <c:pt idx="251">
                  <c:v>5.1878655970240696E-2</c:v>
                </c:pt>
                <c:pt idx="252">
                  <c:v>5.2067552341204276E-2</c:v>
                </c:pt>
                <c:pt idx="253">
                  <c:v>5.2255651575725322E-2</c:v>
                </c:pt>
                <c:pt idx="254">
                  <c:v>5.2442929033142363E-2</c:v>
                </c:pt>
                <c:pt idx="255">
                  <c:v>5.2629359085808604E-2</c:v>
                </c:pt>
                <c:pt idx="256">
                  <c:v>5.2814915125161371E-2</c:v>
                </c:pt>
                <c:pt idx="257">
                  <c:v>5.2999569578979187E-2</c:v>
                </c:pt>
                <c:pt idx="258">
                  <c:v>5.3183293940765972E-2</c:v>
                </c:pt>
                <c:pt idx="259">
                  <c:v>5.3366058812098827E-2</c:v>
                </c:pt>
                <c:pt idx="260">
                  <c:v>5.3547833958658628E-2</c:v>
                </c:pt>
                <c:pt idx="261">
                  <c:v>5.3728588380533765E-2</c:v>
                </c:pt>
                <c:pt idx="262">
                  <c:v>5.3908290397246317E-2</c:v>
                </c:pt>
                <c:pt idx="263">
                  <c:v>5.4086907747799146E-2</c:v>
                </c:pt>
                <c:pt idx="264">
                  <c:v>5.4264407705883484E-2</c:v>
                </c:pt>
                <c:pt idx="265">
                  <c:v>5.4440757210219702E-2</c:v>
                </c:pt>
                <c:pt idx="266">
                  <c:v>5.4615923009833173E-2</c:v>
                </c:pt>
                <c:pt idx="267">
                  <c:v>5.4789871823890626E-2</c:v>
                </c:pt>
                <c:pt idx="268">
                  <c:v>5.4962570515546767E-2</c:v>
                </c:pt>
                <c:pt idx="269">
                  <c:v>5.5133986279073517E-2</c:v>
                </c:pt>
                <c:pt idx="270">
                  <c:v>5.5304086839369181E-2</c:v>
                </c:pt>
                <c:pt idx="271">
                  <c:v>5.5472840662775018E-2</c:v>
                </c:pt>
                <c:pt idx="272">
                  <c:v>5.5640217177960832E-2</c:v>
                </c:pt>
                <c:pt idx="273">
                  <c:v>5.5806187005485217E-2</c:v>
                </c:pt>
                <c:pt idx="274">
                  <c:v>5.5970722194487496E-2</c:v>
                </c:pt>
                <c:pt idx="275">
                  <c:v>5.6133796464833553E-2</c:v>
                </c:pt>
                <c:pt idx="276">
                  <c:v>5.629538545291389E-2</c:v>
                </c:pt>
                <c:pt idx="277">
                  <c:v>5.6455466959184374E-2</c:v>
                </c:pt>
                <c:pt idx="278">
                  <c:v>5.6614021195447832E-2</c:v>
                </c:pt>
                <c:pt idx="279">
                  <c:v>5.6771031029799336E-2</c:v>
                </c:pt>
                <c:pt idx="280">
                  <c:v>5.692648222710258E-2</c:v>
                </c:pt>
                <c:pt idx="281">
                  <c:v>5.7080363682826145E-2</c:v>
                </c:pt>
                <c:pt idx="282">
                  <c:v>5.7232667648053751E-2</c:v>
                </c:pt>
                <c:pt idx="283">
                  <c:v>5.7383389943484929E-2</c:v>
                </c:pt>
                <c:pt idx="284">
                  <c:v>5.7532530160268748E-2</c:v>
                </c:pt>
                <c:pt idx="285">
                  <c:v>5.7680091845559688E-2</c:v>
                </c:pt>
                <c:pt idx="286">
                  <c:v>5.7826082670752448E-2</c:v>
                </c:pt>
                <c:pt idx="287">
                  <c:v>5.7970514580441806E-2</c:v>
                </c:pt>
                <c:pt idx="288">
                  <c:v>5.8113403920262645E-2</c:v>
                </c:pt>
                <c:pt idx="289">
                  <c:v>5.8254771541895345E-2</c:v>
                </c:pt>
                <c:pt idx="290">
                  <c:v>5.839464288366935E-2</c:v>
                </c:pt>
                <c:pt idx="291">
                  <c:v>5.8533048025364125E-2</c:v>
                </c:pt>
                <c:pt idx="292">
                  <c:v>5.8670021715989749E-2</c:v>
                </c:pt>
                <c:pt idx="293">
                  <c:v>5.8805603373526687E-2</c:v>
                </c:pt>
                <c:pt idx="294">
                  <c:v>5.8939837055815208E-2</c:v>
                </c:pt>
                <c:pt idx="295">
                  <c:v>5.9072771402008561E-2</c:v>
                </c:pt>
                <c:pt idx="296">
                  <c:v>5.92044595442352E-2</c:v>
                </c:pt>
                <c:pt idx="297">
                  <c:v>5.9334958989355993E-2</c:v>
                </c:pt>
                <c:pt idx="298">
                  <c:v>5.9464331470947318E-2</c:v>
                </c:pt>
                <c:pt idx="299">
                  <c:v>5.9592642771889422E-2</c:v>
                </c:pt>
                <c:pt idx="300">
                  <c:v>5.9719962518188771E-2</c:v>
                </c:pt>
                <c:pt idx="301">
                  <c:v>5.9846363944910629E-2</c:v>
                </c:pt>
                <c:pt idx="302">
                  <c:v>5.9971923635342456E-2</c:v>
                </c:pt>
                <c:pt idx="303">
                  <c:v>6.0096721234745631E-2</c:v>
                </c:pt>
                <c:pt idx="304">
                  <c:v>6.0220839140283484E-2</c:v>
                </c:pt>
                <c:pt idx="305">
                  <c:v>6.0344362168930632E-2</c:v>
                </c:pt>
                <c:pt idx="306">
                  <c:v>6.046737720537549E-2</c:v>
                </c:pt>
                <c:pt idx="307">
                  <c:v>6.0589972832117714E-2</c:v>
                </c:pt>
                <c:pt idx="308">
                  <c:v>6.0712238944136222E-2</c:v>
                </c:pt>
                <c:pt idx="309">
                  <c:v>6.0834266350658847E-2</c:v>
                </c:pt>
                <c:pt idx="310">
                  <c:v>6.0956146366698945E-2</c:v>
                </c:pt>
                <c:pt idx="311">
                  <c:v>6.1077970397137575E-2</c:v>
                </c:pt>
                <c:pt idx="312">
                  <c:v>6.1199829516220335E-2</c:v>
                </c:pt>
                <c:pt idx="313">
                  <c:v>6.132181404540283E-2</c:v>
                </c:pt>
                <c:pt idx="314">
                  <c:v>6.1444013132521264E-2</c:v>
                </c:pt>
                <c:pt idx="315">
                  <c:v>6.1566514335279779E-2</c:v>
                </c:pt>
                <c:pt idx="316">
                  <c:v>6.1689403212035906E-2</c:v>
                </c:pt>
                <c:pt idx="317">
                  <c:v>6.1812762922830652E-2</c:v>
                </c:pt>
                <c:pt idx="318">
                  <c:v>6.1936673843547202E-2</c:v>
                </c:pt>
                <c:pt idx="319">
                  <c:v>6.2061213195996418E-2</c:v>
                </c:pt>
                <c:pt idx="320">
                  <c:v>6.2186454696614997E-2</c:v>
                </c:pt>
                <c:pt idx="321">
                  <c:v>6.2312468226327578E-2</c:v>
                </c:pt>
                <c:pt idx="322">
                  <c:v>6.2439319523966204E-2</c:v>
                </c:pt>
                <c:pt idx="323">
                  <c:v>6.2567069905460584E-2</c:v>
                </c:pt>
                <c:pt idx="324">
                  <c:v>6.2695776010814677E-2</c:v>
                </c:pt>
                <c:pt idx="325">
                  <c:v>6.2825489580667374E-2</c:v>
                </c:pt>
                <c:pt idx="326">
                  <c:v>6.2956257264001808E-2</c:v>
                </c:pt>
                <c:pt idx="327">
                  <c:v>6.3088120458321115E-2</c:v>
                </c:pt>
                <c:pt idx="328">
                  <c:v>6.3221115183348622E-2</c:v>
                </c:pt>
                <c:pt idx="329">
                  <c:v>6.3355271989042103E-2</c:v>
                </c:pt>
                <c:pt idx="330">
                  <c:v>6.349061589843645E-2</c:v>
                </c:pt>
                <c:pt idx="331">
                  <c:v>6.3627166385547579E-2</c:v>
                </c:pt>
                <c:pt idx="332">
                  <c:v>6.3764937388289367E-2</c:v>
                </c:pt>
                <c:pt idx="333">
                  <c:v>6.3903937356072638E-2</c:v>
                </c:pt>
                <c:pt idx="334">
                  <c:v>6.4044169331476761E-2</c:v>
                </c:pt>
                <c:pt idx="335">
                  <c:v>6.4185631065111493E-2</c:v>
                </c:pt>
                <c:pt idx="336">
                  <c:v>6.4328315162522062E-2</c:v>
                </c:pt>
                <c:pt idx="337">
                  <c:v>6.44722092617349E-2</c:v>
                </c:pt>
                <c:pt idx="338">
                  <c:v>6.4617296239802322E-2</c:v>
                </c:pt>
                <c:pt idx="339">
                  <c:v>6.4763554446475746E-2</c:v>
                </c:pt>
                <c:pt idx="340">
                  <c:v>6.4910957962929644E-2</c:v>
                </c:pt>
                <c:pt idx="341">
                  <c:v>6.5059476883267714E-2</c:v>
                </c:pt>
                <c:pt idx="342">
                  <c:v>6.520907761637347E-2</c:v>
                </c:pt>
                <c:pt idx="343">
                  <c:v>6.5359723205520665E-2</c:v>
                </c:pt>
                <c:pt idx="344">
                  <c:v>6.5511373663035291E-2</c:v>
                </c:pt>
                <c:pt idx="345">
                  <c:v>6.5663986317202286E-2</c:v>
                </c:pt>
                <c:pt idx="346">
                  <c:v>6.5817516168536802E-2</c:v>
                </c:pt>
                <c:pt idx="347">
                  <c:v>6.597191625249256E-2</c:v>
                </c:pt>
                <c:pt idx="348">
                  <c:v>6.6127138005658254E-2</c:v>
                </c:pt>
                <c:pt idx="349">
                  <c:v>6.628313163250027E-2</c:v>
                </c:pt>
                <c:pt idx="350">
                  <c:v>6.6439846469739494E-2</c:v>
                </c:pt>
                <c:pt idx="351">
                  <c:v>6.6597231345509697E-2</c:v>
                </c:pt>
                <c:pt idx="352">
                  <c:v>6.6755234930526638E-2</c:v>
                </c:pt>
                <c:pt idx="353">
                  <c:v>6.6913806078604546E-2</c:v>
                </c:pt>
                <c:pt idx="354">
                  <c:v>6.7072894153987137E-2</c:v>
                </c:pt>
                <c:pt idx="355">
                  <c:v>6.7232449343111456E-2</c:v>
                </c:pt>
                <c:pt idx="356">
                  <c:v>6.7392422948596237E-2</c:v>
                </c:pt>
                <c:pt idx="357">
                  <c:v>6.7552767663436097E-2</c:v>
                </c:pt>
                <c:pt idx="358">
                  <c:v>6.7713437823589656E-2</c:v>
                </c:pt>
                <c:pt idx="359">
                  <c:v>6.7874389637372884E-2</c:v>
                </c:pt>
                <c:pt idx="360">
                  <c:v>6.8035581390300331E-2</c:v>
                </c:pt>
                <c:pt idx="361">
                  <c:v>6.8196973624262275E-2</c:v>
                </c:pt>
                <c:pt idx="362">
                  <c:v>6.8358529290175968E-2</c:v>
                </c:pt>
                <c:pt idx="363">
                  <c:v>6.852021387350532E-2</c:v>
                </c:pt>
                <c:pt idx="364">
                  <c:v>6.8681995492302278E-2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9.0433977331099234E-3</c:v>
                </c:pt>
                <c:pt idx="1">
                  <c:v>9.046365250892717E-3</c:v>
                </c:pt>
                <c:pt idx="2">
                  <c:v>9.0513182628264317E-3</c:v>
                </c:pt>
                <c:pt idx="3">
                  <c:v>9.0583183217334134E-3</c:v>
                </c:pt>
                <c:pt idx="4">
                  <c:v>9.0674195247951086E-3</c:v>
                </c:pt>
                <c:pt idx="5">
                  <c:v>9.0786687029568106E-3</c:v>
                </c:pt>
                <c:pt idx="6">
                  <c:v>9.0921056681480279E-3</c:v>
                </c:pt>
                <c:pt idx="7">
                  <c:v>9.1077634850475313E-3</c:v>
                </c:pt>
                <c:pt idx="8">
                  <c:v>9.1246268260378564E-3</c:v>
                </c:pt>
                <c:pt idx="9">
                  <c:v>9.1360586113963683E-3</c:v>
                </c:pt>
                <c:pt idx="10">
                  <c:v>9.1397221917534823E-3</c:v>
                </c:pt>
                <c:pt idx="11">
                  <c:v>9.136149285818785E-3</c:v>
                </c:pt>
                <c:pt idx="12">
                  <c:v>9.1258691688791849E-3</c:v>
                </c:pt>
                <c:pt idx="13">
                  <c:v>9.1094040679844408E-3</c:v>
                </c:pt>
                <c:pt idx="14">
                  <c:v>9.0872652726135452E-3</c:v>
                </c:pt>
                <c:pt idx="15">
                  <c:v>9.0404330000671464E-3</c:v>
                </c:pt>
                <c:pt idx="16">
                  <c:v>8.9673335149585819E-3</c:v>
                </c:pt>
                <c:pt idx="17">
                  <c:v>8.869201356615777E-3</c:v>
                </c:pt>
                <c:pt idx="18">
                  <c:v>8.7472417708892442E-3</c:v>
                </c:pt>
                <c:pt idx="19">
                  <c:v>8.6026703932272908E-3</c:v>
                </c:pt>
                <c:pt idx="20">
                  <c:v>8.4366759671082453E-3</c:v>
                </c:pt>
                <c:pt idx="21">
                  <c:v>8.2503549154609532E-3</c:v>
                </c:pt>
                <c:pt idx="22">
                  <c:v>8.0438713831233136E-3</c:v>
                </c:pt>
                <c:pt idx="23">
                  <c:v>7.8055293031048193E-3</c:v>
                </c:pt>
                <c:pt idx="24">
                  <c:v>7.5416486534693608E-3</c:v>
                </c:pt>
                <c:pt idx="25">
                  <c:v>7.2534593349426408E-3</c:v>
                </c:pt>
                <c:pt idx="26">
                  <c:v>6.942151527794059E-3</c:v>
                </c:pt>
                <c:pt idx="27">
                  <c:v>6.6088718738635949E-3</c:v>
                </c:pt>
                <c:pt idx="28">
                  <c:v>6.2547203730914424E-3</c:v>
                </c:pt>
                <c:pt idx="29">
                  <c:v>5.8897817864637545E-3</c:v>
                </c:pt>
                <c:pt idx="30">
                  <c:v>5.5309885878021946E-3</c:v>
                </c:pt>
                <c:pt idx="31">
                  <c:v>5.1783547024080246E-3</c:v>
                </c:pt>
                <c:pt idx="32">
                  <c:v>4.8318687994256346E-3</c:v>
                </c:pt>
                <c:pt idx="33">
                  <c:v>4.4914965661500376E-3</c:v>
                </c:pt>
                <c:pt idx="34">
                  <c:v>4.1571828545489417E-3</c:v>
                </c:pt>
                <c:pt idx="35">
                  <c:v>3.8288536925449091E-3</c:v>
                </c:pt>
                <c:pt idx="36">
                  <c:v>3.5063441912696453E-3</c:v>
                </c:pt>
                <c:pt idx="37">
                  <c:v>3.2021589345743438E-3</c:v>
                </c:pt>
                <c:pt idx="38">
                  <c:v>2.9255706141570973E-3</c:v>
                </c:pt>
                <c:pt idx="39">
                  <c:v>2.6756724057295437E-3</c:v>
                </c:pt>
                <c:pt idx="40">
                  <c:v>2.4515860113829562E-3</c:v>
                </c:pt>
                <c:pt idx="41">
                  <c:v>2.252460332021579E-3</c:v>
                </c:pt>
                <c:pt idx="42">
                  <c:v>2.0774702562641875E-3</c:v>
                </c:pt>
                <c:pt idx="43">
                  <c:v>1.9300082349106604E-3</c:v>
                </c:pt>
                <c:pt idx="44">
                  <c:v>1.8016268118481544E-3</c:v>
                </c:pt>
                <c:pt idx="45">
                  <c:v>1.6916944631677638E-3</c:v>
                </c:pt>
                <c:pt idx="46">
                  <c:v>1.5995982015869054E-3</c:v>
                </c:pt>
                <c:pt idx="47">
                  <c:v>1.5247429210762063E-3</c:v>
                </c:pt>
                <c:pt idx="48">
                  <c:v>1.4665508001847642E-3</c:v>
                </c:pt>
                <c:pt idx="49">
                  <c:v>1.4244607573547581E-3</c:v>
                </c:pt>
                <c:pt idx="50">
                  <c:v>1.3978992180570841E-3</c:v>
                </c:pt>
                <c:pt idx="51">
                  <c:v>1.3865172925638595E-3</c:v>
                </c:pt>
                <c:pt idx="52">
                  <c:v>1.3791947385858772E-3</c:v>
                </c:pt>
                <c:pt idx="53">
                  <c:v>1.3758070520705542E-3</c:v>
                </c:pt>
                <c:pt idx="54">
                  <c:v>1.3762392646226738E-3</c:v>
                </c:pt>
                <c:pt idx="55">
                  <c:v>1.3803795181654508E-3</c:v>
                </c:pt>
                <c:pt idx="56">
                  <c:v>1.388119501330564E-3</c:v>
                </c:pt>
                <c:pt idx="57">
                  <c:v>1.3990750820953072E-3</c:v>
                </c:pt>
                <c:pt idx="58">
                  <c:v>1.4096368145900208E-3</c:v>
                </c:pt>
                <c:pt idx="59">
                  <c:v>1.4198358997634627E-3</c:v>
                </c:pt>
                <c:pt idx="60">
                  <c:v>1.4297028003221965E-3</c:v>
                </c:pt>
                <c:pt idx="61">
                  <c:v>1.439267231994475E-3</c:v>
                </c:pt>
                <c:pt idx="62">
                  <c:v>1.4485581625182657E-3</c:v>
                </c:pt>
                <c:pt idx="63">
                  <c:v>1.4576038180497243E-3</c:v>
                </c:pt>
                <c:pt idx="64">
                  <c:v>1.4663365068041203E-3</c:v>
                </c:pt>
                <c:pt idx="65">
                  <c:v>1.4738962460514014E-3</c:v>
                </c:pt>
                <c:pt idx="66">
                  <c:v>1.4801835620084742E-3</c:v>
                </c:pt>
                <c:pt idx="67">
                  <c:v>1.4852641752511871E-3</c:v>
                </c:pt>
                <c:pt idx="68">
                  <c:v>1.4892017699963437E-3</c:v>
                </c:pt>
                <c:pt idx="69">
                  <c:v>1.4920578703413628E-3</c:v>
                </c:pt>
                <c:pt idx="70">
                  <c:v>1.4938917455100836E-3</c:v>
                </c:pt>
                <c:pt idx="71">
                  <c:v>1.4935955167485685E-3</c:v>
                </c:pt>
                <c:pt idx="72">
                  <c:v>1.4914964813806256E-3</c:v>
                </c:pt>
                <c:pt idx="73">
                  <c:v>1.4876721166274037E-3</c:v>
                </c:pt>
                <c:pt idx="74">
                  <c:v>1.4821959698289211E-3</c:v>
                </c:pt>
                <c:pt idx="75">
                  <c:v>1.4751376098207788E-3</c:v>
                </c:pt>
                <c:pt idx="76">
                  <c:v>1.4665625992616371E-3</c:v>
                </c:pt>
                <c:pt idx="77">
                  <c:v>1.4565324843682317E-3</c:v>
                </c:pt>
                <c:pt idx="78">
                  <c:v>1.4449914375430056E-3</c:v>
                </c:pt>
                <c:pt idx="79">
                  <c:v>1.4311725330858819E-3</c:v>
                </c:pt>
                <c:pt idx="80">
                  <c:v>1.4158597776877289E-3</c:v>
                </c:pt>
                <c:pt idx="81">
                  <c:v>1.3991184623445201E-3</c:v>
                </c:pt>
                <c:pt idx="82">
                  <c:v>1.3810097323681148E-3</c:v>
                </c:pt>
                <c:pt idx="83">
                  <c:v>1.3615904953725067E-3</c:v>
                </c:pt>
                <c:pt idx="84">
                  <c:v>1.3409133537303699E-3</c:v>
                </c:pt>
                <c:pt idx="85">
                  <c:v>1.3185347259555946E-3</c:v>
                </c:pt>
                <c:pt idx="86">
                  <c:v>1.2955337628681913E-3</c:v>
                </c:pt>
                <c:pt idx="87">
                  <c:v>1.2719381516742019E-3</c:v>
                </c:pt>
                <c:pt idx="88">
                  <c:v>1.2477721226733514E-3</c:v>
                </c:pt>
                <c:pt idx="89">
                  <c:v>1.2230564956283003E-3</c:v>
                </c:pt>
                <c:pt idx="90">
                  <c:v>1.1978087247368225E-3</c:v>
                </c:pt>
                <c:pt idx="91">
                  <c:v>1.1720429401854023E-3</c:v>
                </c:pt>
                <c:pt idx="92">
                  <c:v>1.1457050208554789E-3</c:v>
                </c:pt>
                <c:pt idx="93">
                  <c:v>1.1183520025700882E-3</c:v>
                </c:pt>
                <c:pt idx="94">
                  <c:v>1.0906491730103625E-3</c:v>
                </c:pt>
                <c:pt idx="95">
                  <c:v>1.0625958941296531E-3</c:v>
                </c:pt>
                <c:pt idx="96">
                  <c:v>1.0341901113537836E-3</c:v>
                </c:pt>
                <c:pt idx="97">
                  <c:v>1.0054283560015076E-3</c:v>
                </c:pt>
                <c:pt idx="98">
                  <c:v>9.7630574449310292E-4</c:v>
                </c:pt>
                <c:pt idx="99">
                  <c:v>9.4683466695290417E-4</c:v>
                </c:pt>
                <c:pt idx="100">
                  <c:v>9.1745961590389334E-4</c:v>
                </c:pt>
                <c:pt idx="101">
                  <c:v>8.8816629304872973E-4</c:v>
                </c:pt>
                <c:pt idx="102">
                  <c:v>8.5893970294713667E-4</c:v>
                </c:pt>
                <c:pt idx="103">
                  <c:v>8.2976414715697311E-4</c:v>
                </c:pt>
                <c:pt idx="104">
                  <c:v>8.0062321591987647E-4</c:v>
                </c:pt>
                <c:pt idx="105">
                  <c:v>7.7149977751854101E-4</c:v>
                </c:pt>
                <c:pt idx="106">
                  <c:v>7.423557157275356E-4</c:v>
                </c:pt>
                <c:pt idx="107">
                  <c:v>7.1299009388870707E-4</c:v>
                </c:pt>
                <c:pt idx="108">
                  <c:v>6.8375506054414725E-4</c:v>
                </c:pt>
                <c:pt idx="109">
                  <c:v>6.5463451260231451E-4</c:v>
                </c:pt>
                <c:pt idx="110">
                  <c:v>6.2561350549211856E-4</c:v>
                </c:pt>
                <c:pt idx="111">
                  <c:v>5.9667618530493294E-4</c:v>
                </c:pt>
                <c:pt idx="112">
                  <c:v>5.6780414254769163E-4</c:v>
                </c:pt>
                <c:pt idx="113">
                  <c:v>5.3935591294081489E-4</c:v>
                </c:pt>
                <c:pt idx="114">
                  <c:v>5.1129322701261738E-4</c:v>
                </c:pt>
                <c:pt idx="115">
                  <c:v>4.8359587313639231E-4</c:v>
                </c:pt>
                <c:pt idx="116">
                  <c:v>4.5624357067713429E-4</c:v>
                </c:pt>
                <c:pt idx="117">
                  <c:v>4.2921597484769946E-4</c:v>
                </c:pt>
                <c:pt idx="118">
                  <c:v>4.0249268033736295E-4</c:v>
                </c:pt>
                <c:pt idx="119">
                  <c:v>3.7605322372851699E-4</c:v>
                </c:pt>
                <c:pt idx="120">
                  <c:v>3.4987783114675798E-4</c:v>
                </c:pt>
                <c:pt idx="121">
                  <c:v>3.248481330866298E-4</c:v>
                </c:pt>
                <c:pt idx="122">
                  <c:v>3.0111022608816224E-4</c:v>
                </c:pt>
                <c:pt idx="123">
                  <c:v>2.7864858661413671E-4</c:v>
                </c:pt>
                <c:pt idx="124">
                  <c:v>2.5745055118321463E-4</c:v>
                </c:pt>
                <c:pt idx="125">
                  <c:v>2.3750619091025108E-4</c:v>
                </c:pt>
                <c:pt idx="126">
                  <c:v>2.1942404172296023E-4</c:v>
                </c:pt>
                <c:pt idx="127">
                  <c:v>2.0321548542672692E-4</c:v>
                </c:pt>
                <c:pt idx="128">
                  <c:v>1.8811235868833713E-4</c:v>
                </c:pt>
                <c:pt idx="129">
                  <c:v>1.7412000080188703E-4</c:v>
                </c:pt>
                <c:pt idx="130">
                  <c:v>1.6124610832602532E-4</c:v>
                </c:pt>
                <c:pt idx="131">
                  <c:v>1.495006532131436E-4</c:v>
                </c:pt>
                <c:pt idx="132">
                  <c:v>1.3889579885995864E-4</c:v>
                </c:pt>
                <c:pt idx="133">
                  <c:v>1.2944581299095757E-4</c:v>
                </c:pt>
                <c:pt idx="134">
                  <c:v>1.2117050679052587E-4</c:v>
                </c:pt>
                <c:pt idx="135">
                  <c:v>1.1420695134034932E-4</c:v>
                </c:pt>
                <c:pt idx="136">
                  <c:v>1.0760334299127632E-4</c:v>
                </c:pt>
                <c:pt idx="137">
                  <c:v>1.013602031979493E-4</c:v>
                </c:pt>
                <c:pt idx="138">
                  <c:v>9.5478835599758762E-5</c:v>
                </c:pt>
                <c:pt idx="139">
                  <c:v>8.9961305944304221E-5</c:v>
                </c:pt>
                <c:pt idx="140">
                  <c:v>8.4810421228376245E-5</c:v>
                </c:pt>
                <c:pt idx="141">
                  <c:v>8.0235341999059396E-5</c:v>
                </c:pt>
                <c:pt idx="142">
                  <c:v>7.5874013556874128E-5</c:v>
                </c:pt>
                <c:pt idx="143">
                  <c:v>7.1726674208651348E-5</c:v>
                </c:pt>
                <c:pt idx="144">
                  <c:v>6.7794492891184459E-5</c:v>
                </c:pt>
                <c:pt idx="145">
                  <c:v>6.4079050070408724E-5</c:v>
                </c:pt>
                <c:pt idx="146">
                  <c:v>6.0582328289760567E-5</c:v>
                </c:pt>
                <c:pt idx="147">
                  <c:v>5.7306701593854204E-5</c:v>
                </c:pt>
                <c:pt idx="148">
                  <c:v>5.425604074226084E-5</c:v>
                </c:pt>
                <c:pt idx="149">
                  <c:v>5.156502878850201E-5</c:v>
                </c:pt>
                <c:pt idx="150">
                  <c:v>4.9131695286274858E-5</c:v>
                </c:pt>
                <c:pt idx="151">
                  <c:v>4.6967368174661371E-5</c:v>
                </c:pt>
                <c:pt idx="152">
                  <c:v>4.5083834587233634E-5</c:v>
                </c:pt>
                <c:pt idx="153">
                  <c:v>4.3493311530138246E-5</c:v>
                </c:pt>
                <c:pt idx="154">
                  <c:v>4.2208414406018141E-5</c:v>
                </c:pt>
                <c:pt idx="155">
                  <c:v>4.1282184363092029E-5</c:v>
                </c:pt>
                <c:pt idx="156">
                  <c:v>4.0491173040480981E-5</c:v>
                </c:pt>
                <c:pt idx="157">
                  <c:v>3.9843126739099356E-5</c:v>
                </c:pt>
                <c:pt idx="158">
                  <c:v>3.9345962226446027E-5</c:v>
                </c:pt>
                <c:pt idx="159">
                  <c:v>3.90077451609145E-5</c:v>
                </c:pt>
                <c:pt idx="160">
                  <c:v>3.8836667669597573E-5</c:v>
                </c:pt>
                <c:pt idx="161">
                  <c:v>3.8841025204438047E-5</c:v>
                </c:pt>
                <c:pt idx="162">
                  <c:v>3.9029826173530164E-5</c:v>
                </c:pt>
                <c:pt idx="163">
                  <c:v>3.9390560033278338E-5</c:v>
                </c:pt>
                <c:pt idx="164">
                  <c:v>3.9765316227755634E-5</c:v>
                </c:pt>
                <c:pt idx="165">
                  <c:v>4.0155725549966649E-5</c:v>
                </c:pt>
                <c:pt idx="166">
                  <c:v>4.0563426334052721E-5</c:v>
                </c:pt>
                <c:pt idx="167">
                  <c:v>4.0990060730863391E-5</c:v>
                </c:pt>
                <c:pt idx="168">
                  <c:v>4.1437270964647594E-5</c:v>
                </c:pt>
                <c:pt idx="169">
                  <c:v>4.188616771970573E-5</c:v>
                </c:pt>
                <c:pt idx="170">
                  <c:v>4.2292397817960839E-5</c:v>
                </c:pt>
                <c:pt idx="171">
                  <c:v>4.2656769303912897E-5</c:v>
                </c:pt>
                <c:pt idx="172">
                  <c:v>4.2980065015784204E-5</c:v>
                </c:pt>
                <c:pt idx="173">
                  <c:v>4.326259935329471E-5</c:v>
                </c:pt>
                <c:pt idx="174">
                  <c:v>4.3504626415781885E-5</c:v>
                </c:pt>
                <c:pt idx="175">
                  <c:v>4.3706801560539444E-5</c:v>
                </c:pt>
                <c:pt idx="176">
                  <c:v>4.3869807663462345E-5</c:v>
                </c:pt>
                <c:pt idx="177">
                  <c:v>4.4044014455611398E-5</c:v>
                </c:pt>
                <c:pt idx="178">
                  <c:v>4.4250656463207136E-5</c:v>
                </c:pt>
                <c:pt idx="179">
                  <c:v>4.4491398295373291E-5</c:v>
                </c:pt>
                <c:pt idx="180">
                  <c:v>4.4767877789555181E-5</c:v>
                </c:pt>
                <c:pt idx="181">
                  <c:v>4.5081705961679039E-5</c:v>
                </c:pt>
                <c:pt idx="182">
                  <c:v>4.5434467357071214E-5</c:v>
                </c:pt>
                <c:pt idx="183">
                  <c:v>4.6040426379185119E-5</c:v>
                </c:pt>
                <c:pt idx="184">
                  <c:v>4.6926023793535743E-5</c:v>
                </c:pt>
                <c:pt idx="185">
                  <c:v>4.809892501946234E-5</c:v>
                </c:pt>
                <c:pt idx="186">
                  <c:v>4.9566681835357529E-5</c:v>
                </c:pt>
                <c:pt idx="187">
                  <c:v>5.1336744369694191E-5</c:v>
                </c:pt>
                <c:pt idx="188">
                  <c:v>5.3416475114646557E-5</c:v>
                </c:pt>
                <c:pt idx="189">
                  <c:v>5.5813164914654966E-5</c:v>
                </c:pt>
                <c:pt idx="190">
                  <c:v>5.8533981069578289E-5</c:v>
                </c:pt>
                <c:pt idx="191">
                  <c:v>6.1907093712961872E-5</c:v>
                </c:pt>
                <c:pt idx="192">
                  <c:v>6.5890260451521022E-5</c:v>
                </c:pt>
                <c:pt idx="193">
                  <c:v>7.0495407996656569E-5</c:v>
                </c:pt>
                <c:pt idx="194">
                  <c:v>7.5734296905396567E-5</c:v>
                </c:pt>
                <c:pt idx="195">
                  <c:v>8.1618516008767023E-5</c:v>
                </c:pt>
                <c:pt idx="196">
                  <c:v>8.8159477322296605E-5</c:v>
                </c:pt>
                <c:pt idx="197">
                  <c:v>9.5477881532512223E-5</c:v>
                </c:pt>
                <c:pt idx="198">
                  <c:v>1.0334107810583256E-4</c:v>
                </c:pt>
                <c:pt idx="199">
                  <c:v>1.1175453026403365E-4</c:v>
                </c:pt>
                <c:pt idx="200">
                  <c:v>1.207236654833144E-4</c:v>
                </c:pt>
                <c:pt idx="201">
                  <c:v>1.3025386938010042E-4</c:v>
                </c:pt>
                <c:pt idx="202">
                  <c:v>1.4035047913198948E-4</c:v>
                </c:pt>
                <c:pt idx="203">
                  <c:v>1.5101877633589783E-4</c:v>
                </c:pt>
                <c:pt idx="204">
                  <c:v>1.6226391685542776E-4</c:v>
                </c:pt>
                <c:pt idx="205">
                  <c:v>1.7471744721124795E-4</c:v>
                </c:pt>
                <c:pt idx="206">
                  <c:v>1.8804344950140503E-4</c:v>
                </c:pt>
                <c:pt idx="207">
                  <c:v>2.0225330180567613E-4</c:v>
                </c:pt>
                <c:pt idx="208">
                  <c:v>2.1735868438198391E-4</c:v>
                </c:pt>
                <c:pt idx="209">
                  <c:v>2.3337163312075625E-4</c:v>
                </c:pt>
                <c:pt idx="210">
                  <c:v>2.5030459481409259E-4</c:v>
                </c:pt>
                <c:pt idx="211">
                  <c:v>2.698273476281925E-4</c:v>
                </c:pt>
                <c:pt idx="212">
                  <c:v>2.9186710306161883E-4</c:v>
                </c:pt>
                <c:pt idx="213">
                  <c:v>3.1646351678742525E-4</c:v>
                </c:pt>
                <c:pt idx="214">
                  <c:v>3.4365715503001441E-4</c:v>
                </c:pt>
                <c:pt idx="215">
                  <c:v>3.7348966999825844E-4</c:v>
                </c:pt>
                <c:pt idx="216">
                  <c:v>4.0600398209194352E-4</c:v>
                </c:pt>
                <c:pt idx="217">
                  <c:v>4.4124446954578255E-4</c:v>
                </c:pt>
                <c:pt idx="218">
                  <c:v>4.7924458279954737E-4</c:v>
                </c:pt>
                <c:pt idx="219">
                  <c:v>5.2084402942421352E-4</c:v>
                </c:pt>
                <c:pt idx="220">
                  <c:v>5.6542103199540468E-4</c:v>
                </c:pt>
                <c:pt idx="221">
                  <c:v>6.1302499255900243E-4</c:v>
                </c:pt>
                <c:pt idx="222">
                  <c:v>6.6370774174162616E-4</c:v>
                </c:pt>
                <c:pt idx="223">
                  <c:v>7.17523882973838E-4</c:v>
                </c:pt>
                <c:pt idx="224">
                  <c:v>7.7453115350963053E-4</c:v>
                </c:pt>
                <c:pt idx="225">
                  <c:v>8.3438504846562668E-4</c:v>
                </c:pt>
                <c:pt idx="226">
                  <c:v>8.9534954800551904E-4</c:v>
                </c:pt>
                <c:pt idx="227">
                  <c:v>9.5745705805567582E-4</c:v>
                </c:pt>
                <c:pt idx="228">
                  <c:v>1.0207433313809276E-3</c:v>
                </c:pt>
                <c:pt idx="229">
                  <c:v>1.0852476617488516E-3</c:v>
                </c:pt>
                <c:pt idx="230">
                  <c:v>1.1510130941208274E-3</c:v>
                </c:pt>
                <c:pt idx="231">
                  <c:v>1.2180866534990931E-3</c:v>
                </c:pt>
                <c:pt idx="232">
                  <c:v>1.2864821517988851E-3</c:v>
                </c:pt>
                <c:pt idx="233">
                  <c:v>1.3556534530201783E-3</c:v>
                </c:pt>
                <c:pt idx="234">
                  <c:v>1.4247474571450359E-3</c:v>
                </c:pt>
                <c:pt idx="235">
                  <c:v>1.4937787142159696E-3</c:v>
                </c:pt>
                <c:pt idx="236">
                  <c:v>1.5627645033260463E-3</c:v>
                </c:pt>
                <c:pt idx="237">
                  <c:v>1.631723395192689E-3</c:v>
                </c:pt>
                <c:pt idx="238">
                  <c:v>1.7006761656367625E-3</c:v>
                </c:pt>
                <c:pt idx="239">
                  <c:v>1.7687122278678728E-3</c:v>
                </c:pt>
                <c:pt idx="240">
                  <c:v>1.8362836462789626E-3</c:v>
                </c:pt>
                <c:pt idx="241">
                  <c:v>1.9034071567528258E-3</c:v>
                </c:pt>
                <c:pt idx="242">
                  <c:v>1.9701013324243625E-3</c:v>
                </c:pt>
                <c:pt idx="243">
                  <c:v>2.0363866061344983E-3</c:v>
                </c:pt>
                <c:pt idx="244">
                  <c:v>2.1022853005732232E-3</c:v>
                </c:pt>
                <c:pt idx="245">
                  <c:v>2.167821666668456E-3</c:v>
                </c:pt>
                <c:pt idx="246">
                  <c:v>2.2330506111994512E-3</c:v>
                </c:pt>
                <c:pt idx="247">
                  <c:v>2.2973466967132448E-3</c:v>
                </c:pt>
                <c:pt idx="248">
                  <c:v>2.3613143491598865E-3</c:v>
                </c:pt>
                <c:pt idx="249">
                  <c:v>2.424948434608509E-3</c:v>
                </c:pt>
                <c:pt idx="250">
                  <c:v>2.4882406759198926E-3</c:v>
                </c:pt>
                <c:pt idx="251">
                  <c:v>2.5511795382739733E-3</c:v>
                </c:pt>
                <c:pt idx="252">
                  <c:v>2.6137501042303923E-3</c:v>
                </c:pt>
                <c:pt idx="253">
                  <c:v>2.6746153784866864E-3</c:v>
                </c:pt>
                <c:pt idx="254">
                  <c:v>2.7347709738978999E-3</c:v>
                </c:pt>
                <c:pt idx="255">
                  <c:v>2.7941827784094928E-3</c:v>
                </c:pt>
                <c:pt idx="256">
                  <c:v>2.8528123074092722E-3</c:v>
                </c:pt>
                <c:pt idx="257">
                  <c:v>2.9106165520518751E-3</c:v>
                </c:pt>
                <c:pt idx="258">
                  <c:v>2.9675478248881418E-3</c:v>
                </c:pt>
                <c:pt idx="259">
                  <c:v>3.0235536041915353E-3</c:v>
                </c:pt>
                <c:pt idx="260">
                  <c:v>3.0788201565072251E-3</c:v>
                </c:pt>
                <c:pt idx="261">
                  <c:v>3.1312274637378128E-3</c:v>
                </c:pt>
                <c:pt idx="262">
                  <c:v>3.1814001197610982E-3</c:v>
                </c:pt>
                <c:pt idx="263">
                  <c:v>3.2292150056107199E-3</c:v>
                </c:pt>
                <c:pt idx="264">
                  <c:v>3.2745376713110355E-3</c:v>
                </c:pt>
                <c:pt idx="265">
                  <c:v>3.31723973949071E-3</c:v>
                </c:pt>
                <c:pt idx="266">
                  <c:v>3.3571729627163201E-3</c:v>
                </c:pt>
                <c:pt idx="267">
                  <c:v>3.3926724960159143E-3</c:v>
                </c:pt>
                <c:pt idx="268">
                  <c:v>3.4250399444708916E-3</c:v>
                </c:pt>
                <c:pt idx="269">
                  <c:v>3.454076547472042E-3</c:v>
                </c:pt>
                <c:pt idx="270">
                  <c:v>3.4795713582058715E-3</c:v>
                </c:pt>
                <c:pt idx="271">
                  <c:v>3.501301472973247E-3</c:v>
                </c:pt>
                <c:pt idx="272">
                  <c:v>3.5190323928091273E-3</c:v>
                </c:pt>
                <c:pt idx="273">
                  <c:v>3.5325185379204188E-3</c:v>
                </c:pt>
                <c:pt idx="274">
                  <c:v>3.5419544526181807E-3</c:v>
                </c:pt>
                <c:pt idx="275">
                  <c:v>3.5470304308826274E-3</c:v>
                </c:pt>
                <c:pt idx="276">
                  <c:v>3.5502242077486996E-3</c:v>
                </c:pt>
                <c:pt idx="277">
                  <c:v>3.5513541016894646E-3</c:v>
                </c:pt>
                <c:pt idx="278">
                  <c:v>3.550228809954736E-3</c:v>
                </c:pt>
                <c:pt idx="279">
                  <c:v>3.5466474495703809E-3</c:v>
                </c:pt>
                <c:pt idx="280">
                  <c:v>3.540399721675247E-3</c:v>
                </c:pt>
                <c:pt idx="281">
                  <c:v>3.5409965058246133E-3</c:v>
                </c:pt>
                <c:pt idx="282">
                  <c:v>3.5504070219664558E-3</c:v>
                </c:pt>
                <c:pt idx="283">
                  <c:v>3.5688762026465808E-3</c:v>
                </c:pt>
                <c:pt idx="284">
                  <c:v>3.5966507939582883E-3</c:v>
                </c:pt>
                <c:pt idx="285">
                  <c:v>3.6339759578458532E-3</c:v>
                </c:pt>
                <c:pt idx="286">
                  <c:v>3.681091441561448E-3</c:v>
                </c:pt>
                <c:pt idx="287">
                  <c:v>3.7382273003232743E-3</c:v>
                </c:pt>
                <c:pt idx="288">
                  <c:v>3.805840399492054E-3</c:v>
                </c:pt>
                <c:pt idx="289">
                  <c:v>3.9070742352686179E-3</c:v>
                </c:pt>
                <c:pt idx="290">
                  <c:v>4.0438430768229292E-3</c:v>
                </c:pt>
                <c:pt idx="291">
                  <c:v>4.2174849312489864E-3</c:v>
                </c:pt>
                <c:pt idx="292">
                  <c:v>4.4293624510714103E-3</c:v>
                </c:pt>
                <c:pt idx="293">
                  <c:v>4.6808655678828278E-3</c:v>
                </c:pt>
                <c:pt idx="294">
                  <c:v>4.9734145421287713E-3</c:v>
                </c:pt>
                <c:pt idx="295">
                  <c:v>5.3169159408372789E-3</c:v>
                </c:pt>
                <c:pt idx="296">
                  <c:v>5.7014154613491694E-3</c:v>
                </c:pt>
                <c:pt idx="297">
                  <c:v>6.1283864141675791E-3</c:v>
                </c:pt>
                <c:pt idx="298">
                  <c:v>6.599311781222055E-3</c:v>
                </c:pt>
                <c:pt idx="299">
                  <c:v>7.1157311380078752E-3</c:v>
                </c:pt>
                <c:pt idx="300">
                  <c:v>7.6792470829177718E-3</c:v>
                </c:pt>
                <c:pt idx="301">
                  <c:v>8.2915324016162965E-3</c:v>
                </c:pt>
                <c:pt idx="302">
                  <c:v>8.9543803779885724E-3</c:v>
                </c:pt>
                <c:pt idx="303">
                  <c:v>9.6539838745824755E-3</c:v>
                </c:pt>
                <c:pt idx="304">
                  <c:v>1.0364083896842629E-2</c:v>
                </c:pt>
                <c:pt idx="305">
                  <c:v>1.108460821345824E-2</c:v>
                </c:pt>
                <c:pt idx="306">
                  <c:v>1.18154232818239E-2</c:v>
                </c:pt>
                <c:pt idx="307">
                  <c:v>1.2556328781510299E-2</c:v>
                </c:pt>
                <c:pt idx="308">
                  <c:v>1.3307051947222939E-2</c:v>
                </c:pt>
                <c:pt idx="309">
                  <c:v>1.4046995881713856E-2</c:v>
                </c:pt>
                <c:pt idx="310">
                  <c:v>1.4764779037923685E-2</c:v>
                </c:pt>
                <c:pt idx="311">
                  <c:v>1.5458729730483553E-2</c:v>
                </c:pt>
                <c:pt idx="312">
                  <c:v>1.6127079060345849E-2</c:v>
                </c:pt>
                <c:pt idx="313">
                  <c:v>1.6767964473999676E-2</c:v>
                </c:pt>
                <c:pt idx="314">
                  <c:v>1.7379434652232805E-2</c:v>
                </c:pt>
                <c:pt idx="315">
                  <c:v>1.7959455879994039E-2</c:v>
                </c:pt>
                <c:pt idx="316">
                  <c:v>1.8506229975815667E-2</c:v>
                </c:pt>
                <c:pt idx="317">
                  <c:v>1.9009995399886181E-2</c:v>
                </c:pt>
                <c:pt idx="318">
                  <c:v>1.9487696664334968E-2</c:v>
                </c:pt>
                <c:pt idx="319">
                  <c:v>1.993827054005445E-2</c:v>
                </c:pt>
                <c:pt idx="320">
                  <c:v>2.0360686781485809E-2</c:v>
                </c:pt>
                <c:pt idx="321">
                  <c:v>2.0753949103857597E-2</c:v>
                </c:pt>
                <c:pt idx="322">
                  <c:v>2.1117095774598176E-2</c:v>
                </c:pt>
                <c:pt idx="323">
                  <c:v>2.145443346192585E-2</c:v>
                </c:pt>
                <c:pt idx="324">
                  <c:v>2.1789198254178504E-2</c:v>
                </c:pt>
                <c:pt idx="325">
                  <c:v>2.2121395050345098E-2</c:v>
                </c:pt>
                <c:pt idx="326">
                  <c:v>2.2450913517478716E-2</c:v>
                </c:pt>
                <c:pt idx="327">
                  <c:v>2.2777754871934612E-2</c:v>
                </c:pt>
                <c:pt idx="328">
                  <c:v>2.3102062118328721E-2</c:v>
                </c:pt>
                <c:pt idx="329">
                  <c:v>2.3424008911842608E-2</c:v>
                </c:pt>
                <c:pt idx="330">
                  <c:v>2.3745364190466148E-2</c:v>
                </c:pt>
                <c:pt idx="331">
                  <c:v>2.4068592410594166E-2</c:v>
                </c:pt>
                <c:pt idx="332">
                  <c:v>2.4402218158867443E-2</c:v>
                </c:pt>
                <c:pt idx="333">
                  <c:v>2.4745220195893144E-2</c:v>
                </c:pt>
                <c:pt idx="334">
                  <c:v>2.5096461807015719E-2</c:v>
                </c:pt>
                <c:pt idx="335">
                  <c:v>2.545468315156443E-2</c:v>
                </c:pt>
                <c:pt idx="336">
                  <c:v>2.5818494850892531E-2</c:v>
                </c:pt>
                <c:pt idx="337">
                  <c:v>2.6181027889475905E-2</c:v>
                </c:pt>
                <c:pt idx="338">
                  <c:v>2.6534483268413595E-2</c:v>
                </c:pt>
                <c:pt idx="339">
                  <c:v>2.6876809310323484E-2</c:v>
                </c:pt>
                <c:pt idx="340">
                  <c:v>2.720584982745641E-2</c:v>
                </c:pt>
                <c:pt idx="341">
                  <c:v>2.7519357788197155E-2</c:v>
                </c:pt>
                <c:pt idx="342">
                  <c:v>2.7815012705257304E-2</c:v>
                </c:pt>
                <c:pt idx="343">
                  <c:v>2.8090441906612366E-2</c:v>
                </c:pt>
                <c:pt idx="344">
                  <c:v>2.8347555307577915E-2</c:v>
                </c:pt>
                <c:pt idx="345">
                  <c:v>2.8589393757693458E-2</c:v>
                </c:pt>
                <c:pt idx="346">
                  <c:v>2.8807421244092767E-2</c:v>
                </c:pt>
                <c:pt idx="347">
                  <c:v>2.9000914784505723E-2</c:v>
                </c:pt>
                <c:pt idx="348">
                  <c:v>2.9169210915404049E-2</c:v>
                </c:pt>
                <c:pt idx="349">
                  <c:v>2.9311711475090478E-2</c:v>
                </c:pt>
                <c:pt idx="350">
                  <c:v>2.9427889078590244E-2</c:v>
                </c:pt>
                <c:pt idx="351">
                  <c:v>2.9511131488503806E-2</c:v>
                </c:pt>
                <c:pt idx="352">
                  <c:v>2.9566754671749202E-2</c:v>
                </c:pt>
                <c:pt idx="353">
                  <c:v>2.9594481634386983E-2</c:v>
                </c:pt>
                <c:pt idx="354">
                  <c:v>2.9594124843553966E-2</c:v>
                </c:pt>
                <c:pt idx="355">
                  <c:v>2.9565588934187783E-2</c:v>
                </c:pt>
                <c:pt idx="356">
                  <c:v>2.9508585796511652E-2</c:v>
                </c:pt>
                <c:pt idx="357">
                  <c:v>2.9423465533027413E-2</c:v>
                </c:pt>
                <c:pt idx="358">
                  <c:v>2.9309800195205973E-2</c:v>
                </c:pt>
                <c:pt idx="359">
                  <c:v>2.9167688740044259E-2</c:v>
                </c:pt>
                <c:pt idx="360">
                  <c:v>2.8992395252559991E-2</c:v>
                </c:pt>
                <c:pt idx="361">
                  <c:v>2.8790997801890175E-2</c:v>
                </c:pt>
                <c:pt idx="362">
                  <c:v>2.8564516259359695E-2</c:v>
                </c:pt>
                <c:pt idx="363">
                  <c:v>2.8314020959753564E-2</c:v>
                </c:pt>
                <c:pt idx="364">
                  <c:v>2.8040622479314988E-2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915968"/>
        <c:axId val="443916360"/>
      </c:lineChart>
      <c:dateAx>
        <c:axId val="44391596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16360"/>
        <c:crosses val="autoZero"/>
        <c:auto val="1"/>
        <c:lblOffset val="100"/>
        <c:baseTimeUnit val="days"/>
        <c:majorUnit val="1"/>
        <c:majorTimeUnit val="months"/>
      </c:dateAx>
      <c:valAx>
        <c:axId val="44391636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159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15.884883315398783</c:v>
                </c:pt>
                <c:pt idx="1">
                  <c:v>16.000160956102242</c:v>
                </c:pt>
                <c:pt idx="2">
                  <c:v>16.12319746476247</c:v>
                </c:pt>
                <c:pt idx="3">
                  <c:v>16.253762637581609</c:v>
                </c:pt>
                <c:pt idx="4">
                  <c:v>16.391626404717542</c:v>
                </c:pt>
                <c:pt idx="5">
                  <c:v>16.536558826631264</c:v>
                </c:pt>
                <c:pt idx="6">
                  <c:v>16.688330078304276</c:v>
                </c:pt>
                <c:pt idx="7">
                  <c:v>16.846710467657051</c:v>
                </c:pt>
                <c:pt idx="8">
                  <c:v>17.013462840427206</c:v>
                </c:pt>
                <c:pt idx="9">
                  <c:v>17.189973056045321</c:v>
                </c:pt>
                <c:pt idx="10">
                  <c:v>17.375506696937119</c:v>
                </c:pt>
                <c:pt idx="11">
                  <c:v>17.569419475291731</c:v>
                </c:pt>
                <c:pt idx="12">
                  <c:v>17.771067559603487</c:v>
                </c:pt>
                <c:pt idx="13">
                  <c:v>17.979807595623956</c:v>
                </c:pt>
                <c:pt idx="14">
                  <c:v>18.194996696203983</c:v>
                </c:pt>
                <c:pt idx="15">
                  <c:v>18.416161880206573</c:v>
                </c:pt>
                <c:pt idx="16">
                  <c:v>18.642689164286171</c:v>
                </c:pt>
                <c:pt idx="17">
                  <c:v>18.873937003172127</c:v>
                </c:pt>
                <c:pt idx="18">
                  <c:v>19.109264291030446</c:v>
                </c:pt>
                <c:pt idx="19">
                  <c:v>19.348028048411809</c:v>
                </c:pt>
                <c:pt idx="20">
                  <c:v>19.58958474774942</c:v>
                </c:pt>
                <c:pt idx="21">
                  <c:v>19.833293151199822</c:v>
                </c:pt>
                <c:pt idx="22">
                  <c:v>20.080736590605362</c:v>
                </c:pt>
                <c:pt idx="23">
                  <c:v>20.33418282382679</c:v>
                </c:pt>
                <c:pt idx="24">
                  <c:v>20.593438354918327</c:v>
                </c:pt>
                <c:pt idx="25">
                  <c:v>20.858209210806283</c:v>
                </c:pt>
                <c:pt idx="26">
                  <c:v>21.128201602695604</c:v>
                </c:pt>
                <c:pt idx="27">
                  <c:v>21.403121930794953</c:v>
                </c:pt>
                <c:pt idx="28">
                  <c:v>21.682676797836866</c:v>
                </c:pt>
                <c:pt idx="29">
                  <c:v>21.966951164804325</c:v>
                </c:pt>
                <c:pt idx="30">
                  <c:v>22.255483789247471</c:v>
                </c:pt>
                <c:pt idx="31">
                  <c:v>22.547982454238873</c:v>
                </c:pt>
                <c:pt idx="32">
                  <c:v>22.844155224239255</c:v>
                </c:pt>
                <c:pt idx="33">
                  <c:v>23.14371046449569</c:v>
                </c:pt>
                <c:pt idx="34">
                  <c:v>23.446356850204921</c:v>
                </c:pt>
                <c:pt idx="35">
                  <c:v>23.751803382424221</c:v>
                </c:pt>
                <c:pt idx="36">
                  <c:v>24.060273335631834</c:v>
                </c:pt>
                <c:pt idx="37">
                  <c:v>24.372023964740372</c:v>
                </c:pt>
                <c:pt idx="38">
                  <c:v>24.686697737604952</c:v>
                </c:pt>
                <c:pt idx="39">
                  <c:v>25.004389913406474</c:v>
                </c:pt>
                <c:pt idx="40">
                  <c:v>25.325195841596972</c:v>
                </c:pt>
                <c:pt idx="41">
                  <c:v>25.649210973186431</c:v>
                </c:pt>
                <c:pt idx="42">
                  <c:v>25.976530855738996</c:v>
                </c:pt>
                <c:pt idx="43">
                  <c:v>26.306599284269158</c:v>
                </c:pt>
                <c:pt idx="44">
                  <c:v>26.639132333225</c:v>
                </c:pt>
                <c:pt idx="45">
                  <c:v>26.974225205952639</c:v>
                </c:pt>
                <c:pt idx="46">
                  <c:v>27.311973051885889</c:v>
                </c:pt>
                <c:pt idx="47">
                  <c:v>27.652470955395923</c:v>
                </c:pt>
                <c:pt idx="48">
                  <c:v>27.995813909693108</c:v>
                </c:pt>
                <c:pt idx="49">
                  <c:v>28.342096807494251</c:v>
                </c:pt>
                <c:pt idx="50">
                  <c:v>28.692007012348348</c:v>
                </c:pt>
                <c:pt idx="51">
                  <c:v>29.045596927533531</c:v>
                </c:pt>
                <c:pt idx="52">
                  <c:v>29.402701557721333</c:v>
                </c:pt>
                <c:pt idx="53">
                  <c:v>29.762934651645423</c:v>
                </c:pt>
                <c:pt idx="54">
                  <c:v>30.12590941626334</c:v>
                </c:pt>
                <c:pt idx="55">
                  <c:v>30.491239181154228</c:v>
                </c:pt>
                <c:pt idx="56">
                  <c:v>30.858537377909407</c:v>
                </c:pt>
                <c:pt idx="57">
                  <c:v>31.227435186019321</c:v>
                </c:pt>
                <c:pt idx="58">
                  <c:v>31.59820022874446</c:v>
                </c:pt>
                <c:pt idx="59">
                  <c:v>31.970446997618431</c:v>
                </c:pt>
                <c:pt idx="60">
                  <c:v>32.343790143309583</c:v>
                </c:pt>
                <c:pt idx="61">
                  <c:v>32.717844459958023</c:v>
                </c:pt>
                <c:pt idx="62">
                  <c:v>33.09222488022246</c:v>
                </c:pt>
                <c:pt idx="63">
                  <c:v>33.466546466736425</c:v>
                </c:pt>
                <c:pt idx="64">
                  <c:v>33.842628658181077</c:v>
                </c:pt>
                <c:pt idx="65">
                  <c:v>34.222218329568605</c:v>
                </c:pt>
                <c:pt idx="66">
                  <c:v>34.605053568747167</c:v>
                </c:pt>
                <c:pt idx="67">
                  <c:v>34.99055676749223</c:v>
                </c:pt>
                <c:pt idx="68">
                  <c:v>35.378150637278978</c:v>
                </c:pt>
                <c:pt idx="69">
                  <c:v>35.767258203404566</c:v>
                </c:pt>
                <c:pt idx="70">
                  <c:v>36.157302806400438</c:v>
                </c:pt>
                <c:pt idx="71">
                  <c:v>36.547802310771644</c:v>
                </c:pt>
                <c:pt idx="72">
                  <c:v>36.938163080647534</c:v>
                </c:pt>
                <c:pt idx="73">
                  <c:v>37.327809493625985</c:v>
                </c:pt>
                <c:pt idx="74">
                  <c:v>37.716166251661988</c:v>
                </c:pt>
                <c:pt idx="75">
                  <c:v>38.102658385242741</c:v>
                </c:pt>
                <c:pt idx="76">
                  <c:v>38.486711258630194</c:v>
                </c:pt>
                <c:pt idx="77">
                  <c:v>38.867750574815766</c:v>
                </c:pt>
                <c:pt idx="78">
                  <c:v>39.248292734501973</c:v>
                </c:pt>
                <c:pt idx="79">
                  <c:v>39.630782374587653</c:v>
                </c:pt>
                <c:pt idx="80">
                  <c:v>40.014394263555289</c:v>
                </c:pt>
                <c:pt idx="81">
                  <c:v>40.39836102513631</c:v>
                </c:pt>
                <c:pt idx="82">
                  <c:v>40.781915800839862</c:v>
                </c:pt>
                <c:pt idx="83">
                  <c:v>41.164292257994695</c:v>
                </c:pt>
                <c:pt idx="84">
                  <c:v>41.544724605677942</c:v>
                </c:pt>
                <c:pt idx="85">
                  <c:v>41.922477959661421</c:v>
                </c:pt>
                <c:pt idx="86">
                  <c:v>42.296692699574926</c:v>
                </c:pt>
                <c:pt idx="87">
                  <c:v>42.666604532267343</c:v>
                </c:pt>
                <c:pt idx="88">
                  <c:v>43.031449745791761</c:v>
                </c:pt>
                <c:pt idx="89">
                  <c:v>43.390465221401925</c:v>
                </c:pt>
                <c:pt idx="90">
                  <c:v>43.742888447766447</c:v>
                </c:pt>
                <c:pt idx="91">
                  <c:v>44.087957545297364</c:v>
                </c:pt>
                <c:pt idx="92">
                  <c:v>44.427436991395339</c:v>
                </c:pt>
                <c:pt idx="93">
                  <c:v>44.763454686056861</c:v>
                </c:pt>
                <c:pt idx="94">
                  <c:v>45.095665090496368</c:v>
                </c:pt>
                <c:pt idx="95">
                  <c:v>45.42378158791589</c:v>
                </c:pt>
                <c:pt idx="96">
                  <c:v>45.747517840759222</c:v>
                </c:pt>
                <c:pt idx="97">
                  <c:v>46.06658779511568</c:v>
                </c:pt>
                <c:pt idx="98">
                  <c:v>46.380705705628998</c:v>
                </c:pt>
                <c:pt idx="99">
                  <c:v>46.689617508245462</c:v>
                </c:pt>
                <c:pt idx="100">
                  <c:v>46.993007903986182</c:v>
                </c:pt>
                <c:pt idx="101">
                  <c:v>47.290592411800191</c:v>
                </c:pt>
                <c:pt idx="102">
                  <c:v>47.582086927496654</c:v>
                </c:pt>
                <c:pt idx="103">
                  <c:v>47.867207741849811</c:v>
                </c:pt>
                <c:pt idx="104">
                  <c:v>48.145671558252999</c:v>
                </c:pt>
                <c:pt idx="105">
                  <c:v>48.417195502325676</c:v>
                </c:pt>
                <c:pt idx="106">
                  <c:v>48.682827428438706</c:v>
                </c:pt>
                <c:pt idx="107">
                  <c:v>48.943637443443812</c:v>
                </c:pt>
                <c:pt idx="108">
                  <c:v>49.199293921108264</c:v>
                </c:pt>
                <c:pt idx="109">
                  <c:v>49.449513831818678</c:v>
                </c:pt>
                <c:pt idx="110">
                  <c:v>49.694014408300156</c:v>
                </c:pt>
                <c:pt idx="111">
                  <c:v>49.932513397814517</c:v>
                </c:pt>
                <c:pt idx="112">
                  <c:v>50.164729299003618</c:v>
                </c:pt>
                <c:pt idx="113">
                  <c:v>50.390333650311256</c:v>
                </c:pt>
                <c:pt idx="114">
                  <c:v>50.609012469856808</c:v>
                </c:pt>
                <c:pt idx="115">
                  <c:v>50.820485062232322</c:v>
                </c:pt>
                <c:pt idx="116">
                  <c:v>51.024471271454843</c:v>
                </c:pt>
                <c:pt idx="117">
                  <c:v>51.220691489402888</c:v>
                </c:pt>
                <c:pt idx="118">
                  <c:v>51.408866667805775</c:v>
                </c:pt>
                <c:pt idx="119">
                  <c:v>51.58871834405555</c:v>
                </c:pt>
                <c:pt idx="120">
                  <c:v>51.759858173099389</c:v>
                </c:pt>
                <c:pt idx="121">
                  <c:v>51.922238218269733</c:v>
                </c:pt>
                <c:pt idx="122">
                  <c:v>52.076219437069831</c:v>
                </c:pt>
                <c:pt idx="123">
                  <c:v>52.222186422203322</c:v>
                </c:pt>
                <c:pt idx="124">
                  <c:v>52.360523639016499</c:v>
                </c:pt>
                <c:pt idx="125">
                  <c:v>52.491615442728758</c:v>
                </c:pt>
                <c:pt idx="126">
                  <c:v>52.615846065663206</c:v>
                </c:pt>
                <c:pt idx="127">
                  <c:v>52.733558321907054</c:v>
                </c:pt>
                <c:pt idx="128">
                  <c:v>52.845185376166228</c:v>
                </c:pt>
                <c:pt idx="129">
                  <c:v>52.951111164035446</c:v>
                </c:pt>
                <c:pt idx="130">
                  <c:v>53.051719488273768</c:v>
                </c:pt>
                <c:pt idx="131">
                  <c:v>53.147394013604625</c:v>
                </c:pt>
                <c:pt idx="132">
                  <c:v>53.23851826263045</c:v>
                </c:pt>
                <c:pt idx="133">
                  <c:v>53.325475602496077</c:v>
                </c:pt>
                <c:pt idx="134">
                  <c:v>53.407092589984067</c:v>
                </c:pt>
                <c:pt idx="135">
                  <c:v>53.482128862527702</c:v>
                </c:pt>
                <c:pt idx="136">
                  <c:v>53.550982649593323</c:v>
                </c:pt>
                <c:pt idx="137">
                  <c:v>53.613946303755391</c:v>
                </c:pt>
                <c:pt idx="138">
                  <c:v>53.671312137342007</c:v>
                </c:pt>
                <c:pt idx="139">
                  <c:v>53.723372407192137</c:v>
                </c:pt>
                <c:pt idx="140">
                  <c:v>53.770419292587668</c:v>
                </c:pt>
                <c:pt idx="141">
                  <c:v>53.81272041367734</c:v>
                </c:pt>
                <c:pt idx="142">
                  <c:v>53.850611194483349</c:v>
                </c:pt>
                <c:pt idx="143">
                  <c:v>53.884383738771525</c:v>
                </c:pt>
                <c:pt idx="144">
                  <c:v>53.914329933035255</c:v>
                </c:pt>
                <c:pt idx="145">
                  <c:v>53.940741492783552</c:v>
                </c:pt>
                <c:pt idx="146">
                  <c:v>53.963909939341072</c:v>
                </c:pt>
                <c:pt idx="147">
                  <c:v>53.984126570239198</c:v>
                </c:pt>
                <c:pt idx="148">
                  <c:v>54.000570484258454</c:v>
                </c:pt>
                <c:pt idx="149">
                  <c:v>54.01233868759639</c:v>
                </c:pt>
                <c:pt idx="150">
                  <c:v>54.019634821551421</c:v>
                </c:pt>
                <c:pt idx="151">
                  <c:v>54.022656800941554</c:v>
                </c:pt>
                <c:pt idx="152">
                  <c:v>54.021602278132356</c:v>
                </c:pt>
                <c:pt idx="153">
                  <c:v>54.016668612177007</c:v>
                </c:pt>
                <c:pt idx="154">
                  <c:v>54.008052846138305</c:v>
                </c:pt>
                <c:pt idx="155">
                  <c:v>53.995947184359963</c:v>
                </c:pt>
                <c:pt idx="156">
                  <c:v>53.980573967986892</c:v>
                </c:pt>
                <c:pt idx="157">
                  <c:v>53.9621293933644</c:v>
                </c:pt>
                <c:pt idx="158">
                  <c:v>53.940809231839189</c:v>
                </c:pt>
                <c:pt idx="159">
                  <c:v>53.916808805865003</c:v>
                </c:pt>
                <c:pt idx="160">
                  <c:v>53.890322966818196</c:v>
                </c:pt>
                <c:pt idx="161">
                  <c:v>53.861546073436166</c:v>
                </c:pt>
                <c:pt idx="162">
                  <c:v>53.829798361250873</c:v>
                </c:pt>
                <c:pt idx="163">
                  <c:v>53.794400690012473</c:v>
                </c:pt>
                <c:pt idx="164">
                  <c:v>53.755569395247413</c:v>
                </c:pt>
                <c:pt idx="165">
                  <c:v>53.713498369522263</c:v>
                </c:pt>
                <c:pt idx="166">
                  <c:v>53.668380907945973</c:v>
                </c:pt>
                <c:pt idx="167">
                  <c:v>53.620409697050121</c:v>
                </c:pt>
                <c:pt idx="168">
                  <c:v>53.569776806076376</c:v>
                </c:pt>
                <c:pt idx="169">
                  <c:v>53.516673834808806</c:v>
                </c:pt>
                <c:pt idx="170">
                  <c:v>53.461296358108356</c:v>
                </c:pt>
                <c:pt idx="171">
                  <c:v>53.403834600497909</c:v>
                </c:pt>
                <c:pt idx="172">
                  <c:v>53.344478161173583</c:v>
                </c:pt>
                <c:pt idx="173">
                  <c:v>53.283412913824499</c:v>
                </c:pt>
                <c:pt idx="174">
                  <c:v>53.220829860688816</c:v>
                </c:pt>
                <c:pt idx="175">
                  <c:v>53.156917059452077</c:v>
                </c:pt>
                <c:pt idx="176">
                  <c:v>53.091799361480049</c:v>
                </c:pt>
                <c:pt idx="177">
                  <c:v>53.025347404000506</c:v>
                </c:pt>
                <c:pt idx="178">
                  <c:v>52.957374411013163</c:v>
                </c:pt>
                <c:pt idx="179">
                  <c:v>52.887693427338903</c:v>
                </c:pt>
                <c:pt idx="180">
                  <c:v>52.816117315081001</c:v>
                </c:pt>
                <c:pt idx="181">
                  <c:v>52.742458766556027</c:v>
                </c:pt>
                <c:pt idx="182">
                  <c:v>52.66653031731316</c:v>
                </c:pt>
                <c:pt idx="183">
                  <c:v>52.588119524985338</c:v>
                </c:pt>
                <c:pt idx="184">
                  <c:v>52.507038524215389</c:v>
                </c:pt>
                <c:pt idx="185">
                  <c:v>52.423099177002648</c:v>
                </c:pt>
                <c:pt idx="186">
                  <c:v>52.336113282195228</c:v>
                </c:pt>
                <c:pt idx="187">
                  <c:v>52.245892596775455</c:v>
                </c:pt>
                <c:pt idx="188">
                  <c:v>52.152248856919648</c:v>
                </c:pt>
                <c:pt idx="189">
                  <c:v>52.054993804522667</c:v>
                </c:pt>
                <c:pt idx="190">
                  <c:v>51.954001198248072</c:v>
                </c:pt>
                <c:pt idx="191">
                  <c:v>51.849363315369622</c:v>
                </c:pt>
                <c:pt idx="192">
                  <c:v>51.741269024809284</c:v>
                </c:pt>
                <c:pt idx="193">
                  <c:v>51.629901499586069</c:v>
                </c:pt>
                <c:pt idx="194">
                  <c:v>51.51544375970844</c:v>
                </c:pt>
                <c:pt idx="195">
                  <c:v>51.398078692707436</c:v>
                </c:pt>
                <c:pt idx="196">
                  <c:v>51.277989085910093</c:v>
                </c:pt>
                <c:pt idx="197">
                  <c:v>51.155348075035292</c:v>
                </c:pt>
                <c:pt idx="198">
                  <c:v>51.030364588541289</c:v>
                </c:pt>
                <c:pt idx="199">
                  <c:v>50.903221184636116</c:v>
                </c:pt>
                <c:pt idx="200">
                  <c:v>50.774100414272638</c:v>
                </c:pt>
                <c:pt idx="201">
                  <c:v>50.643184842357201</c:v>
                </c:pt>
                <c:pt idx="202">
                  <c:v>50.510657059980772</c:v>
                </c:pt>
                <c:pt idx="203">
                  <c:v>50.376699703847542</c:v>
                </c:pt>
                <c:pt idx="204">
                  <c:v>50.241433668699017</c:v>
                </c:pt>
                <c:pt idx="205">
                  <c:v>50.104673106897629</c:v>
                </c:pt>
                <c:pt idx="206">
                  <c:v>49.966259903838008</c:v>
                </c:pt>
                <c:pt idx="207">
                  <c:v>49.826006259375959</c:v>
                </c:pt>
                <c:pt idx="208">
                  <c:v>49.683724754623732</c:v>
                </c:pt>
                <c:pt idx="209">
                  <c:v>49.539228350208703</c:v>
                </c:pt>
                <c:pt idx="210">
                  <c:v>49.39233038197986</c:v>
                </c:pt>
                <c:pt idx="211">
                  <c:v>49.242716955691776</c:v>
                </c:pt>
                <c:pt idx="212">
                  <c:v>49.090213078347581</c:v>
                </c:pt>
                <c:pt idx="213">
                  <c:v>48.934633217704743</c:v>
                </c:pt>
                <c:pt idx="214">
                  <c:v>48.775792194816901</c:v>
                </c:pt>
                <c:pt idx="215">
                  <c:v>48.613505165732825</c:v>
                </c:pt>
                <c:pt idx="216">
                  <c:v>48.447587621118828</c:v>
                </c:pt>
                <c:pt idx="217">
                  <c:v>48.27785536512058</c:v>
                </c:pt>
                <c:pt idx="218">
                  <c:v>48.105388669921609</c:v>
                </c:pt>
                <c:pt idx="219">
                  <c:v>47.931079357593141</c:v>
                </c:pt>
                <c:pt idx="220">
                  <c:v>47.754619766432235</c:v>
                </c:pt>
                <c:pt idx="221">
                  <c:v>47.575641017544712</c:v>
                </c:pt>
                <c:pt idx="222">
                  <c:v>47.393774608151048</c:v>
                </c:pt>
                <c:pt idx="223">
                  <c:v>47.208652400084794</c:v>
                </c:pt>
                <c:pt idx="224">
                  <c:v>47.019906605636827</c:v>
                </c:pt>
                <c:pt idx="225">
                  <c:v>46.827205066009689</c:v>
                </c:pt>
                <c:pt idx="226">
                  <c:v>46.630309301024525</c:v>
                </c:pt>
                <c:pt idx="227">
                  <c:v>46.42885275897941</c:v>
                </c:pt>
                <c:pt idx="228">
                  <c:v>46.222469174662905</c:v>
                </c:pt>
                <c:pt idx="229">
                  <c:v>46.010792552980639</c:v>
                </c:pt>
                <c:pt idx="230">
                  <c:v>45.793457165692558</c:v>
                </c:pt>
                <c:pt idx="231">
                  <c:v>45.570097534874897</c:v>
                </c:pt>
                <c:pt idx="232">
                  <c:v>45.341671077790593</c:v>
                </c:pt>
                <c:pt idx="233">
                  <c:v>45.109321031907861</c:v>
                </c:pt>
                <c:pt idx="234">
                  <c:v>44.87293117043081</c:v>
                </c:pt>
                <c:pt idx="235">
                  <c:v>44.632320183408574</c:v>
                </c:pt>
                <c:pt idx="236">
                  <c:v>44.387306794401034</c:v>
                </c:pt>
                <c:pt idx="237">
                  <c:v>44.137709875105323</c:v>
                </c:pt>
                <c:pt idx="238">
                  <c:v>43.883348371412126</c:v>
                </c:pt>
                <c:pt idx="239">
                  <c:v>43.624116896731095</c:v>
                </c:pt>
                <c:pt idx="240">
                  <c:v>43.359798930017398</c:v>
                </c:pt>
                <c:pt idx="241">
                  <c:v>43.090213733558947</c:v>
                </c:pt>
                <c:pt idx="242">
                  <c:v>42.815180639476417</c:v>
                </c:pt>
                <c:pt idx="243">
                  <c:v>42.534519049384137</c:v>
                </c:pt>
                <c:pt idx="244">
                  <c:v>42.248048434299676</c:v>
                </c:pt>
                <c:pt idx="245">
                  <c:v>41.955588337124524</c:v>
                </c:pt>
                <c:pt idx="246">
                  <c:v>41.656421290811828</c:v>
                </c:pt>
                <c:pt idx="247">
                  <c:v>41.35030604169873</c:v>
                </c:pt>
                <c:pt idx="248">
                  <c:v>41.037642654198656</c:v>
                </c:pt>
                <c:pt idx="249">
                  <c:v>40.718895106659382</c:v>
                </c:pt>
                <c:pt idx="250">
                  <c:v>40.394527058163099</c:v>
                </c:pt>
                <c:pt idx="251">
                  <c:v>40.065001845965796</c:v>
                </c:pt>
                <c:pt idx="252">
                  <c:v>39.730782497062513</c:v>
                </c:pt>
                <c:pt idx="253">
                  <c:v>39.392406332265928</c:v>
                </c:pt>
                <c:pt idx="254">
                  <c:v>39.050259464310486</c:v>
                </c:pt>
                <c:pt idx="255">
                  <c:v>38.70480392312669</c:v>
                </c:pt>
                <c:pt idx="256">
                  <c:v>38.35650143679181</c:v>
                </c:pt>
                <c:pt idx="257">
                  <c:v>38.005813438257135</c:v>
                </c:pt>
                <c:pt idx="258">
                  <c:v>37.653201064852894</c:v>
                </c:pt>
                <c:pt idx="259">
                  <c:v>37.299125153373865</c:v>
                </c:pt>
                <c:pt idx="260">
                  <c:v>36.941105964198691</c:v>
                </c:pt>
                <c:pt idx="261">
                  <c:v>36.577035438194393</c:v>
                </c:pt>
                <c:pt idx="262">
                  <c:v>36.207696491525518</c:v>
                </c:pt>
                <c:pt idx="263">
                  <c:v>35.833918153251737</c:v>
                </c:pt>
                <c:pt idx="264">
                  <c:v>35.45652889866831</c:v>
                </c:pt>
                <c:pt idx="265">
                  <c:v>35.076355616369021</c:v>
                </c:pt>
                <c:pt idx="266">
                  <c:v>34.694225161680151</c:v>
                </c:pt>
                <c:pt idx="267">
                  <c:v>34.310945540905813</c:v>
                </c:pt>
                <c:pt idx="268">
                  <c:v>33.927268059401278</c:v>
                </c:pt>
                <c:pt idx="269">
                  <c:v>33.544018359708389</c:v>
                </c:pt>
                <c:pt idx="270">
                  <c:v>33.162021586831287</c:v>
                </c:pt>
                <c:pt idx="271">
                  <c:v>32.782102393423351</c:v>
                </c:pt>
                <c:pt idx="272">
                  <c:v>32.405084945839903</c:v>
                </c:pt>
                <c:pt idx="273">
                  <c:v>32.031792934334092</c:v>
                </c:pt>
                <c:pt idx="274">
                  <c:v>31.658998103357003</c:v>
                </c:pt>
                <c:pt idx="275">
                  <c:v>31.283341604739867</c:v>
                </c:pt>
                <c:pt idx="276">
                  <c:v>30.905612800896744</c:v>
                </c:pt>
                <c:pt idx="277">
                  <c:v>30.526726463796138</c:v>
                </c:pt>
                <c:pt idx="278">
                  <c:v>30.147596818705026</c:v>
                </c:pt>
                <c:pt idx="279">
                  <c:v>29.769137561308082</c:v>
                </c:pt>
                <c:pt idx="280">
                  <c:v>29.392261882564426</c:v>
                </c:pt>
                <c:pt idx="281">
                  <c:v>29.017385872064335</c:v>
                </c:pt>
                <c:pt idx="282">
                  <c:v>28.645441694912076</c:v>
                </c:pt>
                <c:pt idx="283">
                  <c:v>28.277340737999204</c:v>
                </c:pt>
                <c:pt idx="284">
                  <c:v>27.913993972562231</c:v>
                </c:pt>
                <c:pt idx="285">
                  <c:v>27.556311982706898</c:v>
                </c:pt>
                <c:pt idx="286">
                  <c:v>27.205205014364754</c:v>
                </c:pt>
                <c:pt idx="287">
                  <c:v>26.861583010085756</c:v>
                </c:pt>
                <c:pt idx="288">
                  <c:v>26.524660543147903</c:v>
                </c:pt>
                <c:pt idx="289">
                  <c:v>26.192095385095353</c:v>
                </c:pt>
                <c:pt idx="290">
                  <c:v>25.863802338706172</c:v>
                </c:pt>
                <c:pt idx="291">
                  <c:v>25.539500332822868</c:v>
                </c:pt>
                <c:pt idx="292">
                  <c:v>25.218908339260032</c:v>
                </c:pt>
                <c:pt idx="293">
                  <c:v>24.901745398544097</c:v>
                </c:pt>
                <c:pt idx="294">
                  <c:v>24.587730640371113</c:v>
                </c:pt>
                <c:pt idx="295">
                  <c:v>24.276509500708308</c:v>
                </c:pt>
                <c:pt idx="296">
                  <c:v>23.968297371326873</c:v>
                </c:pt>
                <c:pt idx="297">
                  <c:v>23.662810960983958</c:v>
                </c:pt>
                <c:pt idx="298">
                  <c:v>23.359769344634834</c:v>
                </c:pt>
                <c:pt idx="299">
                  <c:v>23.058891671423257</c:v>
                </c:pt>
                <c:pt idx="300">
                  <c:v>22.759897195666571</c:v>
                </c:pt>
                <c:pt idx="301">
                  <c:v>22.462505295664904</c:v>
                </c:pt>
                <c:pt idx="302">
                  <c:v>22.166328674657279</c:v>
                </c:pt>
                <c:pt idx="303">
                  <c:v>21.872118179085163</c:v>
                </c:pt>
                <c:pt idx="304">
                  <c:v>21.581002109047734</c:v>
                </c:pt>
                <c:pt idx="305">
                  <c:v>21.293343158919953</c:v>
                </c:pt>
                <c:pt idx="306">
                  <c:v>21.009504204608756</c:v>
                </c:pt>
                <c:pt idx="307">
                  <c:v>20.729848315526819</c:v>
                </c:pt>
                <c:pt idx="308">
                  <c:v>20.454738765779926</c:v>
                </c:pt>
                <c:pt idx="309">
                  <c:v>20.185077713181542</c:v>
                </c:pt>
                <c:pt idx="310">
                  <c:v>19.921303667238302</c:v>
                </c:pt>
                <c:pt idx="311">
                  <c:v>19.663781267005643</c:v>
                </c:pt>
                <c:pt idx="312">
                  <c:v>19.412875323689459</c:v>
                </c:pt>
                <c:pt idx="313">
                  <c:v>19.168950810438719</c:v>
                </c:pt>
                <c:pt idx="314">
                  <c:v>18.932372849886356</c:v>
                </c:pt>
                <c:pt idx="315">
                  <c:v>18.703506692189407</c:v>
                </c:pt>
                <c:pt idx="316">
                  <c:v>18.48239737177034</c:v>
                </c:pt>
                <c:pt idx="317">
                  <c:v>18.268726913980846</c:v>
                </c:pt>
                <c:pt idx="318">
                  <c:v>18.061505767994777</c:v>
                </c:pt>
                <c:pt idx="319">
                  <c:v>17.8604586115957</c:v>
                </c:pt>
                <c:pt idx="320">
                  <c:v>17.665310332492808</c:v>
                </c:pt>
                <c:pt idx="321">
                  <c:v>17.475786027108473</c:v>
                </c:pt>
                <c:pt idx="322">
                  <c:v>17.291610988469806</c:v>
                </c:pt>
                <c:pt idx="323">
                  <c:v>17.112305899421898</c:v>
                </c:pt>
                <c:pt idx="324">
                  <c:v>16.937054847513796</c:v>
                </c:pt>
                <c:pt idx="325">
                  <c:v>16.765583295332771</c:v>
                </c:pt>
                <c:pt idx="326">
                  <c:v>16.597621273214578</c:v>
                </c:pt>
                <c:pt idx="327">
                  <c:v>16.432896305267565</c:v>
                </c:pt>
                <c:pt idx="328">
                  <c:v>16.271132651992236</c:v>
                </c:pt>
                <c:pt idx="329">
                  <c:v>16.112054812767468</c:v>
                </c:pt>
                <c:pt idx="330">
                  <c:v>15.954290131748945</c:v>
                </c:pt>
                <c:pt idx="331">
                  <c:v>15.797184069460126</c:v>
                </c:pt>
                <c:pt idx="332">
                  <c:v>15.641495047787398</c:v>
                </c:pt>
                <c:pt idx="333">
                  <c:v>15.488045637597018</c:v>
                </c:pt>
                <c:pt idx="334">
                  <c:v>15.33765824676134</c:v>
                </c:pt>
                <c:pt idx="335">
                  <c:v>15.191155083321446</c:v>
                </c:pt>
                <c:pt idx="336">
                  <c:v>15.049358102679554</c:v>
                </c:pt>
                <c:pt idx="337">
                  <c:v>14.913297438112986</c:v>
                </c:pt>
                <c:pt idx="338">
                  <c:v>14.783999291935014</c:v>
                </c:pt>
                <c:pt idx="339">
                  <c:v>14.662284530182447</c:v>
                </c:pt>
                <c:pt idx="340">
                  <c:v>14.548973601919471</c:v>
                </c:pt>
                <c:pt idx="341">
                  <c:v>14.444886510873495</c:v>
                </c:pt>
                <c:pt idx="342">
                  <c:v>14.350842794842723</c:v>
                </c:pt>
                <c:pt idx="343">
                  <c:v>14.267661495744152</c:v>
                </c:pt>
                <c:pt idx="344">
                  <c:v>14.193885296294061</c:v>
                </c:pt>
                <c:pt idx="345">
                  <c:v>14.127577549282327</c:v>
                </c:pt>
                <c:pt idx="346">
                  <c:v>14.069030052115723</c:v>
                </c:pt>
                <c:pt idx="347">
                  <c:v>14.018342186002132</c:v>
                </c:pt>
                <c:pt idx="348">
                  <c:v>13.97561319839312</c:v>
                </c:pt>
                <c:pt idx="349">
                  <c:v>13.940942209693091</c:v>
                </c:pt>
                <c:pt idx="350">
                  <c:v>13.914428215355228</c:v>
                </c:pt>
                <c:pt idx="351">
                  <c:v>13.896348314495743</c:v>
                </c:pt>
                <c:pt idx="352">
                  <c:v>13.886592970710488</c:v>
                </c:pt>
                <c:pt idx="353">
                  <c:v>13.885260838263731</c:v>
                </c:pt>
                <c:pt idx="354">
                  <c:v>13.892450473331882</c:v>
                </c:pt>
                <c:pt idx="355">
                  <c:v>13.908260323793288</c:v>
                </c:pt>
                <c:pt idx="356">
                  <c:v>13.932793478081747</c:v>
                </c:pt>
                <c:pt idx="357">
                  <c:v>13.966144517962281</c:v>
                </c:pt>
                <c:pt idx="358">
                  <c:v>14.008659080177903</c:v>
                </c:pt>
                <c:pt idx="359">
                  <c:v>14.060472323617304</c:v>
                </c:pt>
                <c:pt idx="360">
                  <c:v>14.121579033181982</c:v>
                </c:pt>
                <c:pt idx="361">
                  <c:v>14.191587177686031</c:v>
                </c:pt>
                <c:pt idx="362">
                  <c:v>14.270283140135501</c:v>
                </c:pt>
                <c:pt idx="363">
                  <c:v>14.357453354128491</c:v>
                </c:pt>
                <c:pt idx="364">
                  <c:v>14.452884296215485</c:v>
                </c:pt>
                <c:pt idx="365">
                  <c:v>15.168883805807134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16.094711358234004</c:v>
                </c:pt>
                <c:pt idx="1">
                  <c:v>13.776395531792742</c:v>
                </c:pt>
                <c:pt idx="2">
                  <c:v>13.371310127484913</c:v>
                </c:pt>
                <c:pt idx="3">
                  <c:v>14.032092018676527</c:v>
                </c:pt>
                <c:pt idx="4">
                  <c:v>11.08115026929964</c:v>
                </c:pt>
                <c:pt idx="5">
                  <c:v>16.938924828254056</c:v>
                </c:pt>
                <c:pt idx="6">
                  <c:v>8.4808493202252553</c:v>
                </c:pt>
                <c:pt idx="7">
                  <c:v>6.8781580176260704</c:v>
                </c:pt>
                <c:pt idx="8">
                  <c:v>2.0719569092360541</c:v>
                </c:pt>
                <c:pt idx="9">
                  <c:v>1.7521168501371751</c:v>
                </c:pt>
                <c:pt idx="10">
                  <c:v>17.744874973711372</c:v>
                </c:pt>
                <c:pt idx="11">
                  <c:v>16.157308623033991</c:v>
                </c:pt>
                <c:pt idx="12">
                  <c:v>5.9360363310609126</c:v>
                </c:pt>
                <c:pt idx="13">
                  <c:v>18.321908062703525</c:v>
                </c:pt>
                <c:pt idx="14">
                  <c:v>18.459757745588423</c:v>
                </c:pt>
                <c:pt idx="15">
                  <c:v>18.43037540023446</c:v>
                </c:pt>
                <c:pt idx="16">
                  <c:v>14.749564447186225</c:v>
                </c:pt>
                <c:pt idx="17">
                  <c:v>4.0821940458080128</c:v>
                </c:pt>
                <c:pt idx="18">
                  <c:v>9.9926198849170422</c:v>
                </c:pt>
                <c:pt idx="19">
                  <c:v>5.8938121395349965</c:v>
                </c:pt>
                <c:pt idx="20">
                  <c:v>14.420402151440955</c:v>
                </c:pt>
                <c:pt idx="21">
                  <c:v>19.705997427053429</c:v>
                </c:pt>
                <c:pt idx="22">
                  <c:v>19.736289147835386</c:v>
                </c:pt>
                <c:pt idx="23">
                  <c:v>20.155837247289938</c:v>
                </c:pt>
                <c:pt idx="24">
                  <c:v>20.376955426380427</c:v>
                </c:pt>
                <c:pt idx="25">
                  <c:v>20.456364104149479</c:v>
                </c:pt>
                <c:pt idx="26">
                  <c:v>19.94632698366345</c:v>
                </c:pt>
                <c:pt idx="27">
                  <c:v>4.1686985041738929</c:v>
                </c:pt>
                <c:pt idx="28">
                  <c:v>6.5133263533981962</c:v>
                </c:pt>
                <c:pt idx="29">
                  <c:v>4.7366234908748712</c:v>
                </c:pt>
                <c:pt idx="30">
                  <c:v>10.611166672481566</c:v>
                </c:pt>
                <c:pt idx="31">
                  <c:v>10.42430117508502</c:v>
                </c:pt>
                <c:pt idx="32">
                  <c:v>5.4417649395551022</c:v>
                </c:pt>
                <c:pt idx="33">
                  <c:v>13.002406676901311</c:v>
                </c:pt>
                <c:pt idx="34">
                  <c:v>10.832660175434812</c:v>
                </c:pt>
                <c:pt idx="35">
                  <c:v>9.3765235392258912</c:v>
                </c:pt>
                <c:pt idx="36">
                  <c:v>17.391969360702308</c:v>
                </c:pt>
                <c:pt idx="37">
                  <c:v>12.045311410464446</c:v>
                </c:pt>
                <c:pt idx="38">
                  <c:v>25.026172743606143</c:v>
                </c:pt>
                <c:pt idx="39">
                  <c:v>25.045041434874175</c:v>
                </c:pt>
                <c:pt idx="40">
                  <c:v>24.284908325256424</c:v>
                </c:pt>
                <c:pt idx="41">
                  <c:v>12.79694398489417</c:v>
                </c:pt>
                <c:pt idx="42">
                  <c:v>21.861520168004603</c:v>
                </c:pt>
                <c:pt idx="43">
                  <c:v>25.461608533855618</c:v>
                </c:pt>
                <c:pt idx="44">
                  <c:v>14.949412729952567</c:v>
                </c:pt>
                <c:pt idx="45">
                  <c:v>18.187740482548861</c:v>
                </c:pt>
                <c:pt idx="46">
                  <c:v>9.2703206617431348</c:v>
                </c:pt>
                <c:pt idx="47">
                  <c:v>10.762279124020173</c:v>
                </c:pt>
                <c:pt idx="48">
                  <c:v>25.385278399820905</c:v>
                </c:pt>
                <c:pt idx="49">
                  <c:v>15.309503896592812</c:v>
                </c:pt>
                <c:pt idx="50">
                  <c:v>18.304096349499559</c:v>
                </c:pt>
                <c:pt idx="51">
                  <c:v>18.774997241879994</c:v>
                </c:pt>
                <c:pt idx="52">
                  <c:v>27.728873896073797</c:v>
                </c:pt>
                <c:pt idx="53">
                  <c:v>29.33375193504741</c:v>
                </c:pt>
                <c:pt idx="54">
                  <c:v>17.641862975891172</c:v>
                </c:pt>
                <c:pt idx="55">
                  <c:v>26.089305172271352</c:v>
                </c:pt>
                <c:pt idx="56">
                  <c:v>31.812663356478577</c:v>
                </c:pt>
                <c:pt idx="57">
                  <c:v>24.27051693147618</c:v>
                </c:pt>
                <c:pt idx="58">
                  <c:v>28.880879853918401</c:v>
                </c:pt>
                <c:pt idx="59">
                  <c:v>31.730959959236888</c:v>
                </c:pt>
                <c:pt idx="60">
                  <c:v>14.720990795360848</c:v>
                </c:pt>
                <c:pt idx="61">
                  <c:v>30.409091547954606</c:v>
                </c:pt>
                <c:pt idx="62">
                  <c:v>5.7768012432007252</c:v>
                </c:pt>
                <c:pt idx="63">
                  <c:v>12.940234916834234</c:v>
                </c:pt>
                <c:pt idx="64">
                  <c:v>18.97180804756935</c:v>
                </c:pt>
                <c:pt idx="65">
                  <c:v>32.333015334493062</c:v>
                </c:pt>
                <c:pt idx="66">
                  <c:v>26.074740029682424</c:v>
                </c:pt>
                <c:pt idx="67">
                  <c:v>27.141557638412724</c:v>
                </c:pt>
                <c:pt idx="68">
                  <c:v>19.033512576963339</c:v>
                </c:pt>
                <c:pt idx="69">
                  <c:v>13.534451850396959</c:v>
                </c:pt>
                <c:pt idx="70">
                  <c:v>12.826558697636159</c:v>
                </c:pt>
                <c:pt idx="71">
                  <c:v>8.4680032425684448</c:v>
                </c:pt>
                <c:pt idx="72">
                  <c:v>11.662104331645681</c:v>
                </c:pt>
                <c:pt idx="73">
                  <c:v>13.475280281443807</c:v>
                </c:pt>
                <c:pt idx="74">
                  <c:v>11.825094721600552</c:v>
                </c:pt>
                <c:pt idx="75">
                  <c:v>10.369391260646193</c:v>
                </c:pt>
                <c:pt idx="76">
                  <c:v>13.012291476137682</c:v>
                </c:pt>
                <c:pt idx="77">
                  <c:v>26.203070461311984</c:v>
                </c:pt>
                <c:pt idx="78">
                  <c:v>29.551733846210755</c:v>
                </c:pt>
                <c:pt idx="79">
                  <c:v>39.611791384281105</c:v>
                </c:pt>
                <c:pt idx="80">
                  <c:v>36.635364960101604</c:v>
                </c:pt>
                <c:pt idx="81">
                  <c:v>41.391816527808736</c:v>
                </c:pt>
                <c:pt idx="82">
                  <c:v>40.800353960281093</c:v>
                </c:pt>
                <c:pt idx="83">
                  <c:v>37.343903841427654</c:v>
                </c:pt>
                <c:pt idx="84">
                  <c:v>40.325322050861239</c:v>
                </c:pt>
                <c:pt idx="85">
                  <c:v>39.806378373755052</c:v>
                </c:pt>
                <c:pt idx="86">
                  <c:v>30.958162685325682</c:v>
                </c:pt>
                <c:pt idx="87">
                  <c:v>25.560539930785239</c:v>
                </c:pt>
                <c:pt idx="88">
                  <c:v>7.2036426356919447</c:v>
                </c:pt>
                <c:pt idx="89">
                  <c:v>25.153695876802395</c:v>
                </c:pt>
                <c:pt idx="90">
                  <c:v>27.416870335372149</c:v>
                </c:pt>
                <c:pt idx="91">
                  <c:v>18.574316478340091</c:v>
                </c:pt>
                <c:pt idx="92">
                  <c:v>22.995849366469081</c:v>
                </c:pt>
                <c:pt idx="93">
                  <c:v>39.824893834296716</c:v>
                </c:pt>
                <c:pt idx="94">
                  <c:v>46.083808539867583</c:v>
                </c:pt>
                <c:pt idx="95">
                  <c:v>11.707130778835719</c:v>
                </c:pt>
                <c:pt idx="96">
                  <c:v>35.415551960225862</c:v>
                </c:pt>
                <c:pt idx="97">
                  <c:v>27.663343128768172</c:v>
                </c:pt>
                <c:pt idx="98">
                  <c:v>33.568153496686179</c:v>
                </c:pt>
                <c:pt idx="99">
                  <c:v>47.532766151786035</c:v>
                </c:pt>
                <c:pt idx="100">
                  <c:v>36.369297599929787</c:v>
                </c:pt>
                <c:pt idx="101">
                  <c:v>33.412829232589374</c:v>
                </c:pt>
                <c:pt idx="102">
                  <c:v>7.3636401156682139</c:v>
                </c:pt>
                <c:pt idx="103">
                  <c:v>36.000219692560705</c:v>
                </c:pt>
                <c:pt idx="104">
                  <c:v>39.970080828092371</c:v>
                </c:pt>
                <c:pt idx="105">
                  <c:v>42.857936084042308</c:v>
                </c:pt>
                <c:pt idx="106">
                  <c:v>48.644371027988456</c:v>
                </c:pt>
                <c:pt idx="107">
                  <c:v>39.084320620798259</c:v>
                </c:pt>
                <c:pt idx="108">
                  <c:v>10.67838570279541</c:v>
                </c:pt>
                <c:pt idx="109">
                  <c:v>10.079896089490289</c:v>
                </c:pt>
                <c:pt idx="110">
                  <c:v>9.6177365456077819</c:v>
                </c:pt>
                <c:pt idx="111">
                  <c:v>29.084990666054814</c:v>
                </c:pt>
                <c:pt idx="112">
                  <c:v>8.4121475934004692</c:v>
                </c:pt>
                <c:pt idx="113">
                  <c:v>35.95728598761611</c:v>
                </c:pt>
                <c:pt idx="114">
                  <c:v>44.860129085760192</c:v>
                </c:pt>
                <c:pt idx="115">
                  <c:v>49.747058661792934</c:v>
                </c:pt>
                <c:pt idx="116">
                  <c:v>35.485105697060462</c:v>
                </c:pt>
                <c:pt idx="117">
                  <c:v>21.736944486388811</c:v>
                </c:pt>
                <c:pt idx="118">
                  <c:v>40.839002513187886</c:v>
                </c:pt>
                <c:pt idx="119">
                  <c:v>42.646800636495286</c:v>
                </c:pt>
                <c:pt idx="120">
                  <c:v>42.060975461221119</c:v>
                </c:pt>
                <c:pt idx="121">
                  <c:v>25.709757309748429</c:v>
                </c:pt>
                <c:pt idx="122">
                  <c:v>30.380748570103467</c:v>
                </c:pt>
                <c:pt idx="123">
                  <c:v>0.77121259237634998</c:v>
                </c:pt>
                <c:pt idx="124">
                  <c:v>35.438556300253957</c:v>
                </c:pt>
                <c:pt idx="125">
                  <c:v>32.847497961407932</c:v>
                </c:pt>
                <c:pt idx="126">
                  <c:v>45.118767282140077</c:v>
                </c:pt>
                <c:pt idx="127">
                  <c:v>45.892464022450099</c:v>
                </c:pt>
                <c:pt idx="128">
                  <c:v>50.952922948692255</c:v>
                </c:pt>
                <c:pt idx="129">
                  <c:v>46.769489723354816</c:v>
                </c:pt>
                <c:pt idx="130">
                  <c:v>51.249735350723689</c:v>
                </c:pt>
                <c:pt idx="131">
                  <c:v>39.970500509031488</c:v>
                </c:pt>
                <c:pt idx="132">
                  <c:v>42.650621348369647</c:v>
                </c:pt>
                <c:pt idx="133">
                  <c:v>43.958679709502185</c:v>
                </c:pt>
                <c:pt idx="134">
                  <c:v>47.553040407197308</c:v>
                </c:pt>
                <c:pt idx="135">
                  <c:v>46.351610817439969</c:v>
                </c:pt>
                <c:pt idx="136">
                  <c:v>49.974027066723515</c:v>
                </c:pt>
                <c:pt idx="137">
                  <c:v>48.628756773514169</c:v>
                </c:pt>
                <c:pt idx="138">
                  <c:v>50.399403465213517</c:v>
                </c:pt>
                <c:pt idx="139">
                  <c:v>43.89377009466336</c:v>
                </c:pt>
                <c:pt idx="140">
                  <c:v>44.531949976095312</c:v>
                </c:pt>
                <c:pt idx="141">
                  <c:v>31.643622724497739</c:v>
                </c:pt>
                <c:pt idx="142">
                  <c:v>16.329704889422061</c:v>
                </c:pt>
                <c:pt idx="143">
                  <c:v>13.605428704136898</c:v>
                </c:pt>
                <c:pt idx="144">
                  <c:v>37.850844678945684</c:v>
                </c:pt>
                <c:pt idx="145">
                  <c:v>19.878563578103584</c:v>
                </c:pt>
                <c:pt idx="146">
                  <c:v>37.6799739752555</c:v>
                </c:pt>
                <c:pt idx="147">
                  <c:v>50.308936954774666</c:v>
                </c:pt>
                <c:pt idx="148">
                  <c:v>54.908437002525972</c:v>
                </c:pt>
                <c:pt idx="149">
                  <c:v>46.945921213122659</c:v>
                </c:pt>
                <c:pt idx="150">
                  <c:v>50.322360093813423</c:v>
                </c:pt>
                <c:pt idx="151">
                  <c:v>51.755215179170442</c:v>
                </c:pt>
                <c:pt idx="152">
                  <c:v>40.647098995112422</c:v>
                </c:pt>
                <c:pt idx="153">
                  <c:v>49.260793933578505</c:v>
                </c:pt>
                <c:pt idx="154">
                  <c:v>27.972950109105327</c:v>
                </c:pt>
                <c:pt idx="155">
                  <c:v>29.220713945918156</c:v>
                </c:pt>
                <c:pt idx="156">
                  <c:v>38.988544541667011</c:v>
                </c:pt>
                <c:pt idx="157">
                  <c:v>29.342107637087878</c:v>
                </c:pt>
                <c:pt idx="158">
                  <c:v>20.642441080093931</c:v>
                </c:pt>
                <c:pt idx="159">
                  <c:v>41.059078128737831</c:v>
                </c:pt>
                <c:pt idx="160">
                  <c:v>53.932822517875003</c:v>
                </c:pt>
                <c:pt idx="161">
                  <c:v>50.599266990925059</c:v>
                </c:pt>
                <c:pt idx="162">
                  <c:v>39.932325270501401</c:v>
                </c:pt>
                <c:pt idx="163">
                  <c:v>49.058570428228613</c:v>
                </c:pt>
                <c:pt idx="164">
                  <c:v>42.134462573626983</c:v>
                </c:pt>
                <c:pt idx="165">
                  <c:v>49.767046153308861</c:v>
                </c:pt>
                <c:pt idx="166">
                  <c:v>46.20038967533425</c:v>
                </c:pt>
                <c:pt idx="167">
                  <c:v>47.662335153391247</c:v>
                </c:pt>
                <c:pt idx="168">
                  <c:v>49.549735335442449</c:v>
                </c:pt>
                <c:pt idx="169">
                  <c:v>50.780090891628021</c:v>
                </c:pt>
                <c:pt idx="170">
                  <c:v>30.155933263408599</c:v>
                </c:pt>
                <c:pt idx="171">
                  <c:v>17.90431781646874</c:v>
                </c:pt>
                <c:pt idx="172">
                  <c:v>43.241856666837982</c:v>
                </c:pt>
                <c:pt idx="173">
                  <c:v>38.322526931413471</c:v>
                </c:pt>
                <c:pt idx="174">
                  <c:v>40.526846891734081</c:v>
                </c:pt>
                <c:pt idx="175">
                  <c:v>28.3870425974638</c:v>
                </c:pt>
                <c:pt idx="176">
                  <c:v>10.847905267470724</c:v>
                </c:pt>
                <c:pt idx="177">
                  <c:v>16.106954018747327</c:v>
                </c:pt>
                <c:pt idx="178">
                  <c:v>54.959063108691232</c:v>
                </c:pt>
                <c:pt idx="179">
                  <c:v>51.036490312224274</c:v>
                </c:pt>
                <c:pt idx="180">
                  <c:v>12.362274410523534</c:v>
                </c:pt>
                <c:pt idx="181">
                  <c:v>50.429558897073314</c:v>
                </c:pt>
                <c:pt idx="182">
                  <c:v>46.961127930158554</c:v>
                </c:pt>
                <c:pt idx="183">
                  <c:v>39.737715565819606</c:v>
                </c:pt>
                <c:pt idx="184">
                  <c:v>41.699356876901213</c:v>
                </c:pt>
                <c:pt idx="185">
                  <c:v>50.272247380127403</c:v>
                </c:pt>
                <c:pt idx="186">
                  <c:v>38.949775312086494</c:v>
                </c:pt>
                <c:pt idx="187">
                  <c:v>48.370750683567394</c:v>
                </c:pt>
                <c:pt idx="188">
                  <c:v>53.089315901803914</c:v>
                </c:pt>
                <c:pt idx="189">
                  <c:v>52.151003281802353</c:v>
                </c:pt>
                <c:pt idx="190">
                  <c:v>51.629254441443969</c:v>
                </c:pt>
                <c:pt idx="191">
                  <c:v>49.853849834817453</c:v>
                </c:pt>
                <c:pt idx="192">
                  <c:v>49.956485877018302</c:v>
                </c:pt>
                <c:pt idx="193">
                  <c:v>49.652511283413695</c:v>
                </c:pt>
                <c:pt idx="194">
                  <c:v>49.028417543936385</c:v>
                </c:pt>
                <c:pt idx="195">
                  <c:v>47.374331179339563</c:v>
                </c:pt>
                <c:pt idx="196">
                  <c:v>48.791395240300446</c:v>
                </c:pt>
                <c:pt idx="197">
                  <c:v>47.962586167552629</c:v>
                </c:pt>
                <c:pt idx="198">
                  <c:v>48.226466395474702</c:v>
                </c:pt>
                <c:pt idx="199">
                  <c:v>39.006273498354993</c:v>
                </c:pt>
                <c:pt idx="200">
                  <c:v>37.416852262646024</c:v>
                </c:pt>
                <c:pt idx="201">
                  <c:v>47.333092018545877</c:v>
                </c:pt>
                <c:pt idx="202">
                  <c:v>35.653857760942557</c:v>
                </c:pt>
                <c:pt idx="203">
                  <c:v>44.526383308530932</c:v>
                </c:pt>
                <c:pt idx="204">
                  <c:v>46.926259116459576</c:v>
                </c:pt>
                <c:pt idx="205">
                  <c:v>28.353110131389961</c:v>
                </c:pt>
                <c:pt idx="206">
                  <c:v>47.985969009573225</c:v>
                </c:pt>
                <c:pt idx="207">
                  <c:v>50.506782176513894</c:v>
                </c:pt>
                <c:pt idx="208">
                  <c:v>43.066062467290479</c:v>
                </c:pt>
                <c:pt idx="209">
                  <c:v>24.956938590255024</c:v>
                </c:pt>
                <c:pt idx="210">
                  <c:v>42.353662488565362</c:v>
                </c:pt>
                <c:pt idx="211">
                  <c:v>46.758787793367922</c:v>
                </c:pt>
                <c:pt idx="212">
                  <c:v>48.547814775673949</c:v>
                </c:pt>
                <c:pt idx="213">
                  <c:v>46.82832390394227</c:v>
                </c:pt>
                <c:pt idx="214">
                  <c:v>45.104871170653027</c:v>
                </c:pt>
                <c:pt idx="215">
                  <c:v>41.898369796682914</c:v>
                </c:pt>
                <c:pt idx="216">
                  <c:v>41.009391596523848</c:v>
                </c:pt>
                <c:pt idx="217">
                  <c:v>43.474870748986625</c:v>
                </c:pt>
                <c:pt idx="218">
                  <c:v>46.292994267472615</c:v>
                </c:pt>
                <c:pt idx="219">
                  <c:v>46.941779096146377</c:v>
                </c:pt>
                <c:pt idx="220">
                  <c:v>45.147079771224895</c:v>
                </c:pt>
                <c:pt idx="221">
                  <c:v>43.47560604159284</c:v>
                </c:pt>
                <c:pt idx="222">
                  <c:v>39.385840432454813</c:v>
                </c:pt>
                <c:pt idx="223">
                  <c:v>41.877767383346459</c:v>
                </c:pt>
                <c:pt idx="224">
                  <c:v>28.247772518797614</c:v>
                </c:pt>
                <c:pt idx="225">
                  <c:v>30.395934149998176</c:v>
                </c:pt>
                <c:pt idx="226">
                  <c:v>35.651125300954874</c:v>
                </c:pt>
                <c:pt idx="227">
                  <c:v>28.445423933802019</c:v>
                </c:pt>
                <c:pt idx="228">
                  <c:v>20.614384638032071</c:v>
                </c:pt>
                <c:pt idx="229">
                  <c:v>34.757144921203981</c:v>
                </c:pt>
                <c:pt idx="230">
                  <c:v>35.987454610615607</c:v>
                </c:pt>
                <c:pt idx="231">
                  <c:v>42.417979989504893</c:v>
                </c:pt>
                <c:pt idx="232">
                  <c:v>27.853493356576482</c:v>
                </c:pt>
                <c:pt idx="233">
                  <c:v>22.340936979364731</c:v>
                </c:pt>
                <c:pt idx="234">
                  <c:v>39.604269131456469</c:v>
                </c:pt>
                <c:pt idx="235">
                  <c:v>39.991333104508612</c:v>
                </c:pt>
                <c:pt idx="236">
                  <c:v>30.471773352540858</c:v>
                </c:pt>
                <c:pt idx="237">
                  <c:v>36.911001060770111</c:v>
                </c:pt>
                <c:pt idx="238">
                  <c:v>42.947396654061279</c:v>
                </c:pt>
                <c:pt idx="239">
                  <c:v>41.422330131821873</c:v>
                </c:pt>
                <c:pt idx="240">
                  <c:v>29.108483928466399</c:v>
                </c:pt>
                <c:pt idx="241">
                  <c:v>40.532630337048687</c:v>
                </c:pt>
                <c:pt idx="242">
                  <c:v>19.035131079835939</c:v>
                </c:pt>
                <c:pt idx="243">
                  <c:v>38.356900403563991</c:v>
                </c:pt>
                <c:pt idx="244">
                  <c:v>33.342923319792412</c:v>
                </c:pt>
                <c:pt idx="245">
                  <c:v>27.442520012530622</c:v>
                </c:pt>
                <c:pt idx="246">
                  <c:v>39.941929121338461</c:v>
                </c:pt>
                <c:pt idx="247">
                  <c:v>34.488619612428408</c:v>
                </c:pt>
                <c:pt idx="248">
                  <c:v>38.69061729336957</c:v>
                </c:pt>
                <c:pt idx="249">
                  <c:v>31.200554727903565</c:v>
                </c:pt>
                <c:pt idx="250">
                  <c:v>33.583547102903964</c:v>
                </c:pt>
                <c:pt idx="251">
                  <c:v>19.099652815342466</c:v>
                </c:pt>
                <c:pt idx="252">
                  <c:v>37.566217948239682</c:v>
                </c:pt>
                <c:pt idx="253">
                  <c:v>37.42937905463716</c:v>
                </c:pt>
                <c:pt idx="254">
                  <c:v>26.020594574653483</c:v>
                </c:pt>
                <c:pt idx="255">
                  <c:v>10.804532610953892</c:v>
                </c:pt>
                <c:pt idx="256">
                  <c:v>31.593630458295561</c:v>
                </c:pt>
                <c:pt idx="257">
                  <c:v>34.480837892038075</c:v>
                </c:pt>
                <c:pt idx="258">
                  <c:v>23.801854002791256</c:v>
                </c:pt>
                <c:pt idx="259">
                  <c:v>37.369256263588817</c:v>
                </c:pt>
                <c:pt idx="260">
                  <c:v>37.667474263444184</c:v>
                </c:pt>
                <c:pt idx="261">
                  <c:v>36.121683578809687</c:v>
                </c:pt>
                <c:pt idx="262">
                  <c:v>37.035438205344953</c:v>
                </c:pt>
                <c:pt idx="263">
                  <c:v>35.973620144090148</c:v>
                </c:pt>
                <c:pt idx="264">
                  <c:v>34.76945061641301</c:v>
                </c:pt>
                <c:pt idx="265">
                  <c:v>22.394257387720842</c:v>
                </c:pt>
                <c:pt idx="266">
                  <c:v>15.029249038896772</c:v>
                </c:pt>
                <c:pt idx="267">
                  <c:v>25.105169106105617</c:v>
                </c:pt>
                <c:pt idx="268">
                  <c:v>26.958704460698836</c:v>
                </c:pt>
                <c:pt idx="269">
                  <c:v>13.172061530173464</c:v>
                </c:pt>
                <c:pt idx="270">
                  <c:v>15.499585750488695</c:v>
                </c:pt>
                <c:pt idx="271">
                  <c:v>20.724959728488354</c:v>
                </c:pt>
                <c:pt idx="272">
                  <c:v>23.944502985092232</c:v>
                </c:pt>
                <c:pt idx="273">
                  <c:v>28.818732173886772</c:v>
                </c:pt>
                <c:pt idx="274">
                  <c:v>30.449627287732582</c:v>
                </c:pt>
                <c:pt idx="275">
                  <c:v>28.734847114758271</c:v>
                </c:pt>
                <c:pt idx="276">
                  <c:v>30.731766362385809</c:v>
                </c:pt>
                <c:pt idx="277">
                  <c:v>31.045274076080371</c:v>
                </c:pt>
                <c:pt idx="278">
                  <c:v>13.343981005742423</c:v>
                </c:pt>
                <c:pt idx="279">
                  <c:v>22.920830390284145</c:v>
                </c:pt>
                <c:pt idx="280">
                  <c:v>14.042285090907662</c:v>
                </c:pt>
                <c:pt idx="281">
                  <c:v>28.375245206368149</c:v>
                </c:pt>
                <c:pt idx="282">
                  <c:v>24.245757613312197</c:v>
                </c:pt>
                <c:pt idx="283">
                  <c:v>20.96802557503376</c:v>
                </c:pt>
                <c:pt idx="284">
                  <c:v>22.628696381452404</c:v>
                </c:pt>
                <c:pt idx="285">
                  <c:v>18.672279141955649</c:v>
                </c:pt>
                <c:pt idx="286">
                  <c:v>15.676881156419446</c:v>
                </c:pt>
                <c:pt idx="287">
                  <c:v>26.571311871123637</c:v>
                </c:pt>
                <c:pt idx="288">
                  <c:v>24.726812979344775</c:v>
                </c:pt>
                <c:pt idx="289">
                  <c:v>15.765147244167069</c:v>
                </c:pt>
                <c:pt idx="290">
                  <c:v>24.654495667165072</c:v>
                </c:pt>
                <c:pt idx="291">
                  <c:v>13.335680699100381</c:v>
                </c:pt>
                <c:pt idx="292">
                  <c:v>7.3927582549183963</c:v>
                </c:pt>
                <c:pt idx="293">
                  <c:v>12.935490909279505</c:v>
                </c:pt>
                <c:pt idx="294">
                  <c:v>22.938861444394536</c:v>
                </c:pt>
                <c:pt idx="295">
                  <c:v>15.508155816977302</c:v>
                </c:pt>
                <c:pt idx="296">
                  <c:v>18.340699698513166</c:v>
                </c:pt>
                <c:pt idx="297">
                  <c:v>16.957930013651094</c:v>
                </c:pt>
                <c:pt idx="298">
                  <c:v>13.437939261281381</c:v>
                </c:pt>
                <c:pt idx="299">
                  <c:v>10.743251506778007</c:v>
                </c:pt>
                <c:pt idx="300">
                  <c:v>14.623225682126312</c:v>
                </c:pt>
                <c:pt idx="301">
                  <c:v>18.568355242953352</c:v>
                </c:pt>
                <c:pt idx="302">
                  <c:v>16.004790530635173</c:v>
                </c:pt>
                <c:pt idx="303">
                  <c:v>15.58875680689502</c:v>
                </c:pt>
                <c:pt idx="304">
                  <c:v>14.712537539295186</c:v>
                </c:pt>
                <c:pt idx="305">
                  <c:v>19.921050616009769</c:v>
                </c:pt>
                <c:pt idx="306">
                  <c:v>5.2428844845953115</c:v>
                </c:pt>
                <c:pt idx="307">
                  <c:v>10.839567435604478</c:v>
                </c:pt>
                <c:pt idx="308">
                  <c:v>18.975966554767641</c:v>
                </c:pt>
                <c:pt idx="309">
                  <c:v>19.016068255520029</c:v>
                </c:pt>
                <c:pt idx="310">
                  <c:v>18.881326671701451</c:v>
                </c:pt>
                <c:pt idx="311">
                  <c:v>12.482700273748895</c:v>
                </c:pt>
                <c:pt idx="312">
                  <c:v>7.3817426611985804</c:v>
                </c:pt>
                <c:pt idx="313">
                  <c:v>16.605550360939024</c:v>
                </c:pt>
                <c:pt idx="314">
                  <c:v>17.112653481943145</c:v>
                </c:pt>
                <c:pt idx="315">
                  <c:v>16.984252121613469</c:v>
                </c:pt>
                <c:pt idx="316">
                  <c:v>15.06869686296425</c:v>
                </c:pt>
                <c:pt idx="317">
                  <c:v>8.6982702115265376</c:v>
                </c:pt>
                <c:pt idx="318">
                  <c:v>10.599204358838941</c:v>
                </c:pt>
                <c:pt idx="319">
                  <c:v>16.610750004745661</c:v>
                </c:pt>
                <c:pt idx="320">
                  <c:v>10.906307563244733</c:v>
                </c:pt>
                <c:pt idx="321">
                  <c:v>10.317814788690164</c:v>
                </c:pt>
                <c:pt idx="322">
                  <c:v>7.5899417151430573</c:v>
                </c:pt>
                <c:pt idx="323">
                  <c:v>12.412072089131115</c:v>
                </c:pt>
                <c:pt idx="324">
                  <c:v>2.9632720673187229</c:v>
                </c:pt>
                <c:pt idx="325">
                  <c:v>7.8513621604440846</c:v>
                </c:pt>
                <c:pt idx="326">
                  <c:v>11.672957063714755</c:v>
                </c:pt>
                <c:pt idx="327">
                  <c:v>10.551756045112016</c:v>
                </c:pt>
                <c:pt idx="328">
                  <c:v>4.3287081282365794</c:v>
                </c:pt>
                <c:pt idx="329">
                  <c:v>9.2902215946471358</c:v>
                </c:pt>
                <c:pt idx="330">
                  <c:v>11.021432195153254</c:v>
                </c:pt>
                <c:pt idx="331">
                  <c:v>8.6866104135088946</c:v>
                </c:pt>
                <c:pt idx="332">
                  <c:v>9.8287450808322721</c:v>
                </c:pt>
                <c:pt idx="333">
                  <c:v>3.9903346665870347</c:v>
                </c:pt>
                <c:pt idx="334">
                  <c:v>3.4524531537118266</c:v>
                </c:pt>
                <c:pt idx="335">
                  <c:v>4.7642586509955134</c:v>
                </c:pt>
                <c:pt idx="336">
                  <c:v>7.4808136864906034</c:v>
                </c:pt>
                <c:pt idx="337">
                  <c:v>12.697585649231236</c:v>
                </c:pt>
                <c:pt idx="338">
                  <c:v>14.891002821669213</c:v>
                </c:pt>
                <c:pt idx="339">
                  <c:v>10.68406156396679</c:v>
                </c:pt>
                <c:pt idx="340">
                  <c:v>13.14347178399932</c:v>
                </c:pt>
                <c:pt idx="341">
                  <c:v>3.9232057665199527</c:v>
                </c:pt>
                <c:pt idx="342">
                  <c:v>7.4775725010567928</c:v>
                </c:pt>
                <c:pt idx="343">
                  <c:v>10.952205304659993</c:v>
                </c:pt>
                <c:pt idx="344">
                  <c:v>11.470895148582169</c:v>
                </c:pt>
                <c:pt idx="345">
                  <c:v>3.9834098320401305</c:v>
                </c:pt>
                <c:pt idx="346">
                  <c:v>4.7946268677331236</c:v>
                </c:pt>
                <c:pt idx="347">
                  <c:v>11.288084816224828</c:v>
                </c:pt>
                <c:pt idx="348">
                  <c:v>5.5338891115458475</c:v>
                </c:pt>
                <c:pt idx="349">
                  <c:v>4.885857714215879</c:v>
                </c:pt>
                <c:pt idx="350">
                  <c:v>3.0277230651606266</c:v>
                </c:pt>
                <c:pt idx="351">
                  <c:v>11.786633545862891</c:v>
                </c:pt>
                <c:pt idx="352">
                  <c:v>11.558841423708996</c:v>
                </c:pt>
                <c:pt idx="353">
                  <c:v>3.6736164877493307</c:v>
                </c:pt>
                <c:pt idx="354">
                  <c:v>13.393077349799551</c:v>
                </c:pt>
                <c:pt idx="355">
                  <c:v>11.880211313721725</c:v>
                </c:pt>
                <c:pt idx="356">
                  <c:v>12.448262402213038</c:v>
                </c:pt>
                <c:pt idx="357">
                  <c:v>14.174472496311081</c:v>
                </c:pt>
                <c:pt idx="358">
                  <c:v>8.012916239962804</c:v>
                </c:pt>
                <c:pt idx="359">
                  <c:v>12.46184041468589</c:v>
                </c:pt>
                <c:pt idx="360">
                  <c:v>5.9373704739897413</c:v>
                </c:pt>
                <c:pt idx="361">
                  <c:v>13.211350852585609</c:v>
                </c:pt>
                <c:pt idx="362">
                  <c:v>8.8771095373559259</c:v>
                </c:pt>
                <c:pt idx="363">
                  <c:v>11.281950586428032</c:v>
                </c:pt>
                <c:pt idx="364">
                  <c:v>8.8064666068800932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16.094711358234004</c:v>
                </c:pt>
                <c:pt idx="1">
                  <c:v>13.776395531792742</c:v>
                </c:pt>
                <c:pt idx="2">
                  <c:v>13.371310127484913</c:v>
                </c:pt>
                <c:pt idx="3">
                  <c:v>14.032092018676527</c:v>
                </c:pt>
                <c:pt idx="4">
                  <c:v>11.08115026929964</c:v>
                </c:pt>
                <c:pt idx="5">
                  <c:v>16.938924828254056</c:v>
                </c:pt>
                <c:pt idx="6">
                  <c:v>8.4808493202252553</c:v>
                </c:pt>
                <c:pt idx="7">
                  <c:v>6.8781580176260704</c:v>
                </c:pt>
                <c:pt idx="8">
                  <c:v>2.0719569092360541</c:v>
                </c:pt>
                <c:pt idx="9">
                  <c:v>1.7521168501371751</c:v>
                </c:pt>
                <c:pt idx="10">
                  <c:v>17.744874973711372</c:v>
                </c:pt>
                <c:pt idx="11">
                  <c:v>16.157308623033991</c:v>
                </c:pt>
                <c:pt idx="12">
                  <c:v>5.9360363310609126</c:v>
                </c:pt>
                <c:pt idx="13">
                  <c:v>18.321908062703525</c:v>
                </c:pt>
                <c:pt idx="14">
                  <c:v>18.459757745588423</c:v>
                </c:pt>
                <c:pt idx="15">
                  <c:v>18.43037540023446</c:v>
                </c:pt>
                <c:pt idx="16">
                  <c:v>14.749564447186225</c:v>
                </c:pt>
                <c:pt idx="17">
                  <c:v>4.0821940458080128</c:v>
                </c:pt>
                <c:pt idx="18">
                  <c:v>9.9926198849170422</c:v>
                </c:pt>
                <c:pt idx="19">
                  <c:v>5.8938121395349965</c:v>
                </c:pt>
                <c:pt idx="20">
                  <c:v>14.420402151440955</c:v>
                </c:pt>
                <c:pt idx="21">
                  <c:v>19.705997427053429</c:v>
                </c:pt>
                <c:pt idx="22">
                  <c:v>19.736289147835386</c:v>
                </c:pt>
                <c:pt idx="23">
                  <c:v>20.155837247289938</c:v>
                </c:pt>
                <c:pt idx="24">
                  <c:v>20.376955426380427</c:v>
                </c:pt>
                <c:pt idx="25">
                  <c:v>20.456364104149479</c:v>
                </c:pt>
                <c:pt idx="26">
                  <c:v>19.94632698366345</c:v>
                </c:pt>
                <c:pt idx="27">
                  <c:v>4.1686985041738929</c:v>
                </c:pt>
                <c:pt idx="28">
                  <c:v>6.5133263533981962</c:v>
                </c:pt>
                <c:pt idx="29">
                  <c:v>4.7366234908748712</c:v>
                </c:pt>
                <c:pt idx="30">
                  <c:v>10.611166672481566</c:v>
                </c:pt>
                <c:pt idx="31">
                  <c:v>10.42430117508502</c:v>
                </c:pt>
                <c:pt idx="32">
                  <c:v>5.4417649395551022</c:v>
                </c:pt>
                <c:pt idx="33">
                  <c:v>13.002406676901311</c:v>
                </c:pt>
                <c:pt idx="34">
                  <c:v>10.832660175434812</c:v>
                </c:pt>
                <c:pt idx="35">
                  <c:v>9.3765235392258912</c:v>
                </c:pt>
                <c:pt idx="36">
                  <c:v>17.391969360702308</c:v>
                </c:pt>
                <c:pt idx="37">
                  <c:v>12.045311410464446</c:v>
                </c:pt>
                <c:pt idx="38">
                  <c:v>25.026172743606143</c:v>
                </c:pt>
                <c:pt idx="39">
                  <c:v>25.045041434874175</c:v>
                </c:pt>
                <c:pt idx="40">
                  <c:v>24.284908325256424</c:v>
                </c:pt>
                <c:pt idx="41">
                  <c:v>12.79694398489417</c:v>
                </c:pt>
                <c:pt idx="42">
                  <c:v>21.861520168004603</c:v>
                </c:pt>
                <c:pt idx="43">
                  <c:v>25.461608533855618</c:v>
                </c:pt>
                <c:pt idx="44">
                  <c:v>14.949412729952567</c:v>
                </c:pt>
                <c:pt idx="45">
                  <c:v>18.187740482548861</c:v>
                </c:pt>
                <c:pt idx="46">
                  <c:v>9.2703206617431348</c:v>
                </c:pt>
                <c:pt idx="47">
                  <c:v>10.762279124020173</c:v>
                </c:pt>
                <c:pt idx="48">
                  <c:v>25.385278399820905</c:v>
                </c:pt>
                <c:pt idx="49">
                  <c:v>15.309503896592812</c:v>
                </c:pt>
                <c:pt idx="50">
                  <c:v>18.304096349499559</c:v>
                </c:pt>
                <c:pt idx="51">
                  <c:v>18.774997241879994</c:v>
                </c:pt>
                <c:pt idx="52">
                  <c:v>27.728873896073797</c:v>
                </c:pt>
                <c:pt idx="53">
                  <c:v>29.33375193504741</c:v>
                </c:pt>
                <c:pt idx="54">
                  <c:v>17.641862975891172</c:v>
                </c:pt>
                <c:pt idx="55">
                  <c:v>26.089305172271352</c:v>
                </c:pt>
                <c:pt idx="56">
                  <c:v>31.812663356478577</c:v>
                </c:pt>
                <c:pt idx="57">
                  <c:v>24.27051693147618</c:v>
                </c:pt>
                <c:pt idx="58">
                  <c:v>28.880879853918401</c:v>
                </c:pt>
                <c:pt idx="59">
                  <c:v>31.730959959236888</c:v>
                </c:pt>
                <c:pt idx="60">
                  <c:v>14.720990795360848</c:v>
                </c:pt>
                <c:pt idx="61">
                  <c:v>30.409091547954606</c:v>
                </c:pt>
                <c:pt idx="62">
                  <c:v>5.7768012432007252</c:v>
                </c:pt>
                <c:pt idx="63">
                  <c:v>12.940234916834234</c:v>
                </c:pt>
                <c:pt idx="64">
                  <c:v>18.97180804756935</c:v>
                </c:pt>
                <c:pt idx="65">
                  <c:v>32.333015334493062</c:v>
                </c:pt>
                <c:pt idx="66">
                  <c:v>26.074740029682424</c:v>
                </c:pt>
                <c:pt idx="67">
                  <c:v>27.141557638412724</c:v>
                </c:pt>
                <c:pt idx="68">
                  <c:v>19.033512576963339</c:v>
                </c:pt>
                <c:pt idx="69">
                  <c:v>13.534451850396959</c:v>
                </c:pt>
                <c:pt idx="70">
                  <c:v>12.826558697636159</c:v>
                </c:pt>
                <c:pt idx="71">
                  <c:v>8.4680032425684448</c:v>
                </c:pt>
                <c:pt idx="72">
                  <c:v>11.662104331645681</c:v>
                </c:pt>
                <c:pt idx="73">
                  <c:v>13.475280281443807</c:v>
                </c:pt>
                <c:pt idx="74">
                  <c:v>11.825094721600552</c:v>
                </c:pt>
                <c:pt idx="75">
                  <c:v>10.369391260646193</c:v>
                </c:pt>
                <c:pt idx="76">
                  <c:v>13.012291476137682</c:v>
                </c:pt>
                <c:pt idx="77">
                  <c:v>26.203070461311984</c:v>
                </c:pt>
                <c:pt idx="78">
                  <c:v>29.551733846210755</c:v>
                </c:pt>
                <c:pt idx="79">
                  <c:v>39.611791384281105</c:v>
                </c:pt>
                <c:pt idx="80">
                  <c:v>36.635364960101604</c:v>
                </c:pt>
                <c:pt idx="81">
                  <c:v>41.391816527808736</c:v>
                </c:pt>
                <c:pt idx="82">
                  <c:v>40.800353960281093</c:v>
                </c:pt>
                <c:pt idx="83">
                  <c:v>37.343903841427654</c:v>
                </c:pt>
                <c:pt idx="84">
                  <c:v>40.325322050861239</c:v>
                </c:pt>
                <c:pt idx="85">
                  <c:v>39.806378373755052</c:v>
                </c:pt>
                <c:pt idx="86">
                  <c:v>30.958162685325682</c:v>
                </c:pt>
                <c:pt idx="87">
                  <c:v>25.560539930785239</c:v>
                </c:pt>
                <c:pt idx="88">
                  <c:v>7.2036426356919447</c:v>
                </c:pt>
                <c:pt idx="89">
                  <c:v>25.153695876802395</c:v>
                </c:pt>
                <c:pt idx="90">
                  <c:v>27.416870335372149</c:v>
                </c:pt>
                <c:pt idx="91">
                  <c:v>18.574316478340091</c:v>
                </c:pt>
                <c:pt idx="92">
                  <c:v>22.995849366469081</c:v>
                </c:pt>
                <c:pt idx="93">
                  <c:v>39.824893834296716</c:v>
                </c:pt>
                <c:pt idx="94">
                  <c:v>46.083808539867583</c:v>
                </c:pt>
                <c:pt idx="95">
                  <c:v>11.707130778835719</c:v>
                </c:pt>
                <c:pt idx="96">
                  <c:v>35.415551960225862</c:v>
                </c:pt>
                <c:pt idx="97">
                  <c:v>27.663343128768172</c:v>
                </c:pt>
                <c:pt idx="98">
                  <c:v>33.568153496686179</c:v>
                </c:pt>
                <c:pt idx="99">
                  <c:v>47.532766151786035</c:v>
                </c:pt>
                <c:pt idx="100">
                  <c:v>36.369297599929787</c:v>
                </c:pt>
                <c:pt idx="101">
                  <c:v>33.412829232589374</c:v>
                </c:pt>
                <c:pt idx="102">
                  <c:v>7.3636401156682139</c:v>
                </c:pt>
                <c:pt idx="103">
                  <c:v>36.000219692560705</c:v>
                </c:pt>
                <c:pt idx="104">
                  <c:v>39.970080828092371</c:v>
                </c:pt>
                <c:pt idx="105">
                  <c:v>42.857936084042308</c:v>
                </c:pt>
                <c:pt idx="106">
                  <c:v>48.644371027988456</c:v>
                </c:pt>
                <c:pt idx="107">
                  <c:v>39.084320620798259</c:v>
                </c:pt>
                <c:pt idx="108">
                  <c:v>10.67838570279541</c:v>
                </c:pt>
                <c:pt idx="109">
                  <c:v>10.079896089490289</c:v>
                </c:pt>
                <c:pt idx="110">
                  <c:v>9.6177365456077819</c:v>
                </c:pt>
                <c:pt idx="111">
                  <c:v>29.084990666054814</c:v>
                </c:pt>
                <c:pt idx="112">
                  <c:v>8.4121475934004692</c:v>
                </c:pt>
                <c:pt idx="113">
                  <c:v>35.95728598761611</c:v>
                </c:pt>
                <c:pt idx="114">
                  <c:v>44.860129085760192</c:v>
                </c:pt>
                <c:pt idx="115">
                  <c:v>49.747058661792934</c:v>
                </c:pt>
                <c:pt idx="116">
                  <c:v>35.485105697060462</c:v>
                </c:pt>
                <c:pt idx="117">
                  <c:v>21.736944486388811</c:v>
                </c:pt>
                <c:pt idx="118">
                  <c:v>40.839002513187886</c:v>
                </c:pt>
                <c:pt idx="119">
                  <c:v>42.646800636495286</c:v>
                </c:pt>
                <c:pt idx="120">
                  <c:v>42.060975461221119</c:v>
                </c:pt>
                <c:pt idx="121">
                  <c:v>25.709757309748429</c:v>
                </c:pt>
                <c:pt idx="122">
                  <c:v>30.380748570103467</c:v>
                </c:pt>
                <c:pt idx="123">
                  <c:v>0.77121259237634998</c:v>
                </c:pt>
                <c:pt idx="124">
                  <c:v>35.438556300253957</c:v>
                </c:pt>
                <c:pt idx="125">
                  <c:v>32.847497961407932</c:v>
                </c:pt>
                <c:pt idx="126">
                  <c:v>45.118767282140077</c:v>
                </c:pt>
                <c:pt idx="127">
                  <c:v>45.892464022450099</c:v>
                </c:pt>
                <c:pt idx="128">
                  <c:v>50.952922948692255</c:v>
                </c:pt>
                <c:pt idx="129">
                  <c:v>46.769489723354816</c:v>
                </c:pt>
                <c:pt idx="130">
                  <c:v>51.249735350723689</c:v>
                </c:pt>
                <c:pt idx="131">
                  <c:v>39.970500509031488</c:v>
                </c:pt>
                <c:pt idx="132">
                  <c:v>42.650621348369647</c:v>
                </c:pt>
                <c:pt idx="133">
                  <c:v>43.958679709502185</c:v>
                </c:pt>
                <c:pt idx="134">
                  <c:v>47.553040407197308</c:v>
                </c:pt>
                <c:pt idx="135">
                  <c:v>46.351610817439969</c:v>
                </c:pt>
                <c:pt idx="136">
                  <c:v>49.974027066723515</c:v>
                </c:pt>
                <c:pt idx="137">
                  <c:v>48.628756773514169</c:v>
                </c:pt>
                <c:pt idx="138">
                  <c:v>50.399403465213517</c:v>
                </c:pt>
                <c:pt idx="139">
                  <c:v>43.89377009466336</c:v>
                </c:pt>
                <c:pt idx="140">
                  <c:v>44.531949976095312</c:v>
                </c:pt>
                <c:pt idx="141">
                  <c:v>31.643622724497739</c:v>
                </c:pt>
                <c:pt idx="142">
                  <c:v>16.329704889422061</c:v>
                </c:pt>
                <c:pt idx="143">
                  <c:v>13.605428704136898</c:v>
                </c:pt>
                <c:pt idx="144">
                  <c:v>37.850844678945684</c:v>
                </c:pt>
                <c:pt idx="145">
                  <c:v>19.878563578103584</c:v>
                </c:pt>
                <c:pt idx="146">
                  <c:v>37.6799739752555</c:v>
                </c:pt>
                <c:pt idx="147">
                  <c:v>50.308936954774666</c:v>
                </c:pt>
                <c:pt idx="148">
                  <c:v>54.908437002525972</c:v>
                </c:pt>
                <c:pt idx="149">
                  <c:v>46.945921213122659</c:v>
                </c:pt>
                <c:pt idx="150">
                  <c:v>50.322360093813423</c:v>
                </c:pt>
                <c:pt idx="151">
                  <c:v>51.755215179170442</c:v>
                </c:pt>
                <c:pt idx="152">
                  <c:v>40.647098995112422</c:v>
                </c:pt>
                <c:pt idx="153">
                  <c:v>49.260793933578505</c:v>
                </c:pt>
                <c:pt idx="154">
                  <c:v>27.972950109105327</c:v>
                </c:pt>
                <c:pt idx="155">
                  <c:v>29.220713945918156</c:v>
                </c:pt>
                <c:pt idx="156">
                  <c:v>38.988544541667011</c:v>
                </c:pt>
                <c:pt idx="157">
                  <c:v>29.342107637087878</c:v>
                </c:pt>
                <c:pt idx="158">
                  <c:v>20.642441080093931</c:v>
                </c:pt>
                <c:pt idx="159">
                  <c:v>41.059078128737831</c:v>
                </c:pt>
                <c:pt idx="160">
                  <c:v>53.932822517875003</c:v>
                </c:pt>
                <c:pt idx="161">
                  <c:v>50.599266990925059</c:v>
                </c:pt>
                <c:pt idx="162">
                  <c:v>39.932325270501401</c:v>
                </c:pt>
                <c:pt idx="163">
                  <c:v>49.058570428228613</c:v>
                </c:pt>
                <c:pt idx="164">
                  <c:v>42.134462573626983</c:v>
                </c:pt>
                <c:pt idx="165">
                  <c:v>49.767046153308861</c:v>
                </c:pt>
                <c:pt idx="166">
                  <c:v>46.20038967533425</c:v>
                </c:pt>
                <c:pt idx="167">
                  <c:v>47.662335153391247</c:v>
                </c:pt>
                <c:pt idx="168">
                  <c:v>49.549735335442449</c:v>
                </c:pt>
                <c:pt idx="169">
                  <c:v>50.780090891628021</c:v>
                </c:pt>
                <c:pt idx="170">
                  <c:v>30.155933263408599</c:v>
                </c:pt>
                <c:pt idx="171">
                  <c:v>17.90431781646874</c:v>
                </c:pt>
                <c:pt idx="172">
                  <c:v>43.241856666837982</c:v>
                </c:pt>
                <c:pt idx="173">
                  <c:v>38.322526931413471</c:v>
                </c:pt>
                <c:pt idx="174">
                  <c:v>40.526846891734081</c:v>
                </c:pt>
                <c:pt idx="175">
                  <c:v>28.3870425974638</c:v>
                </c:pt>
                <c:pt idx="176">
                  <c:v>10.847905267470724</c:v>
                </c:pt>
                <c:pt idx="177">
                  <c:v>16.106954018747327</c:v>
                </c:pt>
                <c:pt idx="178">
                  <c:v>54.959063108691232</c:v>
                </c:pt>
                <c:pt idx="179">
                  <c:v>51.036490312224274</c:v>
                </c:pt>
                <c:pt idx="180">
                  <c:v>12.362274410523534</c:v>
                </c:pt>
                <c:pt idx="181">
                  <c:v>50.429558897073314</c:v>
                </c:pt>
                <c:pt idx="182">
                  <c:v>46.961127930158554</c:v>
                </c:pt>
                <c:pt idx="183">
                  <c:v>39.737715565819606</c:v>
                </c:pt>
                <c:pt idx="184">
                  <c:v>41.699356876901213</c:v>
                </c:pt>
                <c:pt idx="185">
                  <c:v>50.272247380127403</c:v>
                </c:pt>
                <c:pt idx="186">
                  <c:v>38.949775312086494</c:v>
                </c:pt>
                <c:pt idx="187">
                  <c:v>48.370750683567394</c:v>
                </c:pt>
                <c:pt idx="188">
                  <c:v>53.089315901803914</c:v>
                </c:pt>
                <c:pt idx="189">
                  <c:v>52.151003281802353</c:v>
                </c:pt>
                <c:pt idx="190">
                  <c:v>51.629254441443969</c:v>
                </c:pt>
                <c:pt idx="191">
                  <c:v>49.853849834817453</c:v>
                </c:pt>
                <c:pt idx="192">
                  <c:v>49.956485877018302</c:v>
                </c:pt>
                <c:pt idx="193">
                  <c:v>49.652511283413695</c:v>
                </c:pt>
                <c:pt idx="194">
                  <c:v>49.028417543936385</c:v>
                </c:pt>
                <c:pt idx="195">
                  <c:v>47.374331179339563</c:v>
                </c:pt>
                <c:pt idx="196">
                  <c:v>48.791395240300446</c:v>
                </c:pt>
                <c:pt idx="197">
                  <c:v>47.962586167552629</c:v>
                </c:pt>
                <c:pt idx="198">
                  <c:v>48.226466395474702</c:v>
                </c:pt>
                <c:pt idx="199">
                  <c:v>39.006273498354993</c:v>
                </c:pt>
                <c:pt idx="200">
                  <c:v>37.416852262646024</c:v>
                </c:pt>
                <c:pt idx="201">
                  <c:v>47.333092018545877</c:v>
                </c:pt>
                <c:pt idx="202">
                  <c:v>35.653857760942557</c:v>
                </c:pt>
                <c:pt idx="203">
                  <c:v>44.526383308530932</c:v>
                </c:pt>
                <c:pt idx="204">
                  <c:v>46.926259116459576</c:v>
                </c:pt>
                <c:pt idx="205">
                  <c:v>28.353110131389961</c:v>
                </c:pt>
                <c:pt idx="206">
                  <c:v>47.985969009573225</c:v>
                </c:pt>
                <c:pt idx="207">
                  <c:v>50.506782176513894</c:v>
                </c:pt>
                <c:pt idx="208">
                  <c:v>43.066062467290479</c:v>
                </c:pt>
                <c:pt idx="209">
                  <c:v>24.956938590255024</c:v>
                </c:pt>
                <c:pt idx="210">
                  <c:v>42.353662488565362</c:v>
                </c:pt>
                <c:pt idx="211">
                  <c:v>46.758787793367922</c:v>
                </c:pt>
                <c:pt idx="212">
                  <c:v>48.547814775673949</c:v>
                </c:pt>
                <c:pt idx="213">
                  <c:v>46.82832390394227</c:v>
                </c:pt>
                <c:pt idx="214">
                  <c:v>45.104871170653027</c:v>
                </c:pt>
                <c:pt idx="215">
                  <c:v>41.898369796682914</c:v>
                </c:pt>
                <c:pt idx="216">
                  <c:v>41.009391596523848</c:v>
                </c:pt>
                <c:pt idx="217">
                  <c:v>43.474870748986625</c:v>
                </c:pt>
                <c:pt idx="218">
                  <c:v>46.292994267472615</c:v>
                </c:pt>
                <c:pt idx="219">
                  <c:v>46.941779096146377</c:v>
                </c:pt>
                <c:pt idx="220">
                  <c:v>45.147079771224895</c:v>
                </c:pt>
                <c:pt idx="221">
                  <c:v>43.47560604159284</c:v>
                </c:pt>
                <c:pt idx="222">
                  <c:v>39.385840432454813</c:v>
                </c:pt>
                <c:pt idx="223">
                  <c:v>41.877767383346459</c:v>
                </c:pt>
                <c:pt idx="224">
                  <c:v>28.247772518797614</c:v>
                </c:pt>
                <c:pt idx="225">
                  <c:v>30.395934149998176</c:v>
                </c:pt>
                <c:pt idx="226">
                  <c:v>35.651125300954874</c:v>
                </c:pt>
                <c:pt idx="227">
                  <c:v>28.445423933802019</c:v>
                </c:pt>
                <c:pt idx="228">
                  <c:v>20.614384638032071</c:v>
                </c:pt>
                <c:pt idx="229">
                  <c:v>34.757144921203981</c:v>
                </c:pt>
                <c:pt idx="230">
                  <c:v>35.987454610615607</c:v>
                </c:pt>
                <c:pt idx="231">
                  <c:v>42.417979989504893</c:v>
                </c:pt>
                <c:pt idx="232">
                  <c:v>27.853493356576482</c:v>
                </c:pt>
                <c:pt idx="233">
                  <c:v>22.340936979364731</c:v>
                </c:pt>
                <c:pt idx="234">
                  <c:v>39.604269131456469</c:v>
                </c:pt>
                <c:pt idx="235">
                  <c:v>39.991333104508612</c:v>
                </c:pt>
                <c:pt idx="236">
                  <c:v>30.471773352540858</c:v>
                </c:pt>
                <c:pt idx="237">
                  <c:v>36.911001060770111</c:v>
                </c:pt>
                <c:pt idx="238">
                  <c:v>42.947396654061279</c:v>
                </c:pt>
                <c:pt idx="239">
                  <c:v>41.422330131821873</c:v>
                </c:pt>
                <c:pt idx="240">
                  <c:v>29.108483928466399</c:v>
                </c:pt>
                <c:pt idx="241">
                  <c:v>40.532630337048687</c:v>
                </c:pt>
                <c:pt idx="242">
                  <c:v>19.035131079835939</c:v>
                </c:pt>
                <c:pt idx="243">
                  <c:v>38.356900403563991</c:v>
                </c:pt>
                <c:pt idx="244">
                  <c:v>33.342923319792412</c:v>
                </c:pt>
                <c:pt idx="245">
                  <c:v>27.442520012530622</c:v>
                </c:pt>
                <c:pt idx="246">
                  <c:v>39.941929121338461</c:v>
                </c:pt>
                <c:pt idx="247">
                  <c:v>34.488619612428408</c:v>
                </c:pt>
                <c:pt idx="248">
                  <c:v>38.69061729336957</c:v>
                </c:pt>
                <c:pt idx="249">
                  <c:v>31.200554727903565</c:v>
                </c:pt>
                <c:pt idx="250">
                  <c:v>33.583547102903964</c:v>
                </c:pt>
                <c:pt idx="251">
                  <c:v>19.099652815342466</c:v>
                </c:pt>
                <c:pt idx="252">
                  <c:v>37.566217948239682</c:v>
                </c:pt>
                <c:pt idx="253">
                  <c:v>37.42937905463716</c:v>
                </c:pt>
                <c:pt idx="254">
                  <c:v>26.020594574653483</c:v>
                </c:pt>
                <c:pt idx="255">
                  <c:v>10.804532610953892</c:v>
                </c:pt>
                <c:pt idx="256">
                  <c:v>31.593630458295561</c:v>
                </c:pt>
                <c:pt idx="257">
                  <c:v>34.480837892038075</c:v>
                </c:pt>
                <c:pt idx="258">
                  <c:v>23.801854002791256</c:v>
                </c:pt>
                <c:pt idx="259">
                  <c:v>37.369256263588817</c:v>
                </c:pt>
                <c:pt idx="260">
                  <c:v>37.667474263444184</c:v>
                </c:pt>
                <c:pt idx="261">
                  <c:v>36.121683578809687</c:v>
                </c:pt>
                <c:pt idx="262">
                  <c:v>37.035438205344953</c:v>
                </c:pt>
                <c:pt idx="263">
                  <c:v>35.973620144090148</c:v>
                </c:pt>
                <c:pt idx="264">
                  <c:v>34.76945061641301</c:v>
                </c:pt>
                <c:pt idx="265">
                  <c:v>22.394257387720842</c:v>
                </c:pt>
                <c:pt idx="266">
                  <c:v>15.029249038896772</c:v>
                </c:pt>
                <c:pt idx="267">
                  <c:v>25.105169106105617</c:v>
                </c:pt>
                <c:pt idx="268">
                  <c:v>26.958704460698836</c:v>
                </c:pt>
                <c:pt idx="269">
                  <c:v>13.172061530173464</c:v>
                </c:pt>
                <c:pt idx="270">
                  <c:v>15.499585750488695</c:v>
                </c:pt>
                <c:pt idx="271">
                  <c:v>20.724959728488354</c:v>
                </c:pt>
                <c:pt idx="272">
                  <c:v>23.944502985092232</c:v>
                </c:pt>
                <c:pt idx="273">
                  <c:v>28.818732173886772</c:v>
                </c:pt>
                <c:pt idx="274">
                  <c:v>30.449627287732582</c:v>
                </c:pt>
                <c:pt idx="275">
                  <c:v>28.734847114758271</c:v>
                </c:pt>
                <c:pt idx="276">
                  <c:v>30.731766362385809</c:v>
                </c:pt>
                <c:pt idx="277">
                  <c:v>31.045274076080371</c:v>
                </c:pt>
                <c:pt idx="278">
                  <c:v>13.343981005742423</c:v>
                </c:pt>
                <c:pt idx="279">
                  <c:v>22.920830390284145</c:v>
                </c:pt>
                <c:pt idx="280">
                  <c:v>14.042285090907662</c:v>
                </c:pt>
                <c:pt idx="281">
                  <c:v>28.375245206368149</c:v>
                </c:pt>
                <c:pt idx="282">
                  <c:v>24.245757613312197</c:v>
                </c:pt>
                <c:pt idx="283">
                  <c:v>20.96802557503376</c:v>
                </c:pt>
                <c:pt idx="284">
                  <c:v>22.628696381452404</c:v>
                </c:pt>
                <c:pt idx="285">
                  <c:v>18.672279141955649</c:v>
                </c:pt>
                <c:pt idx="286">
                  <c:v>15.676881156419446</c:v>
                </c:pt>
                <c:pt idx="287">
                  <c:v>26.571311871123637</c:v>
                </c:pt>
                <c:pt idx="288">
                  <c:v>24.726812979344775</c:v>
                </c:pt>
                <c:pt idx="289">
                  <c:v>15.765147244167069</c:v>
                </c:pt>
                <c:pt idx="290">
                  <c:v>24.654495667165072</c:v>
                </c:pt>
                <c:pt idx="291">
                  <c:v>13.335680699100381</c:v>
                </c:pt>
                <c:pt idx="292">
                  <c:v>7.3927582549183963</c:v>
                </c:pt>
                <c:pt idx="293">
                  <c:v>12.935490909279505</c:v>
                </c:pt>
                <c:pt idx="294">
                  <c:v>22.938861444394536</c:v>
                </c:pt>
                <c:pt idx="295">
                  <c:v>15.508155816977302</c:v>
                </c:pt>
                <c:pt idx="296">
                  <c:v>18.340699698513166</c:v>
                </c:pt>
                <c:pt idx="297">
                  <c:v>16.957930013651094</c:v>
                </c:pt>
                <c:pt idx="298">
                  <c:v>13.437939261281381</c:v>
                </c:pt>
                <c:pt idx="299">
                  <c:v>10.743251506778007</c:v>
                </c:pt>
                <c:pt idx="300">
                  <c:v>14.623225682126312</c:v>
                </c:pt>
                <c:pt idx="301">
                  <c:v>18.568355242953352</c:v>
                </c:pt>
                <c:pt idx="302">
                  <c:v>16.004790530635173</c:v>
                </c:pt>
                <c:pt idx="303">
                  <c:v>15.58875680689502</c:v>
                </c:pt>
                <c:pt idx="304">
                  <c:v>14.712537539295186</c:v>
                </c:pt>
                <c:pt idx="305">
                  <c:v>19.921050616009769</c:v>
                </c:pt>
                <c:pt idx="306">
                  <c:v>5.2428844845953115</c:v>
                </c:pt>
                <c:pt idx="307">
                  <c:v>10.839567435604478</c:v>
                </c:pt>
                <c:pt idx="308">
                  <c:v>18.975966554767641</c:v>
                </c:pt>
                <c:pt idx="309">
                  <c:v>19.016068255520029</c:v>
                </c:pt>
                <c:pt idx="310">
                  <c:v>18.881326671701451</c:v>
                </c:pt>
                <c:pt idx="311">
                  <c:v>12.482700273748895</c:v>
                </c:pt>
                <c:pt idx="312">
                  <c:v>7.3817426611985804</c:v>
                </c:pt>
                <c:pt idx="313">
                  <c:v>16.605550360939024</c:v>
                </c:pt>
                <c:pt idx="314">
                  <c:v>17.112653481943145</c:v>
                </c:pt>
                <c:pt idx="315">
                  <c:v>16.984252121613469</c:v>
                </c:pt>
                <c:pt idx="316">
                  <c:v>15.06869686296425</c:v>
                </c:pt>
                <c:pt idx="317">
                  <c:v>8.6982702115265376</c:v>
                </c:pt>
                <c:pt idx="318">
                  <c:v>10.599204358838941</c:v>
                </c:pt>
                <c:pt idx="319">
                  <c:v>16.610750004745661</c:v>
                </c:pt>
                <c:pt idx="320">
                  <c:v>10.906307563244733</c:v>
                </c:pt>
                <c:pt idx="321">
                  <c:v>10.317814788690164</c:v>
                </c:pt>
                <c:pt idx="322">
                  <c:v>7.5899417151430573</c:v>
                </c:pt>
                <c:pt idx="323">
                  <c:v>12.412072089131115</c:v>
                </c:pt>
                <c:pt idx="324">
                  <c:v>2.9632720673187229</c:v>
                </c:pt>
                <c:pt idx="325">
                  <c:v>7.8513621604440846</c:v>
                </c:pt>
                <c:pt idx="326">
                  <c:v>11.672957063714755</c:v>
                </c:pt>
                <c:pt idx="327">
                  <c:v>10.551756045112016</c:v>
                </c:pt>
                <c:pt idx="328">
                  <c:v>4.3287081282365794</c:v>
                </c:pt>
                <c:pt idx="329">
                  <c:v>9.2902215946471358</c:v>
                </c:pt>
                <c:pt idx="330">
                  <c:v>11.021432195153254</c:v>
                </c:pt>
                <c:pt idx="331">
                  <c:v>8.6866104135088946</c:v>
                </c:pt>
                <c:pt idx="332">
                  <c:v>9.8287450808322721</c:v>
                </c:pt>
                <c:pt idx="333">
                  <c:v>3.9903346665870347</c:v>
                </c:pt>
                <c:pt idx="334">
                  <c:v>3.4524531537118266</c:v>
                </c:pt>
                <c:pt idx="335">
                  <c:v>4.7642586509955134</c:v>
                </c:pt>
                <c:pt idx="336">
                  <c:v>7.4808136864906034</c:v>
                </c:pt>
                <c:pt idx="337">
                  <c:v>12.697585649231236</c:v>
                </c:pt>
                <c:pt idx="338">
                  <c:v>14.891002821669213</c:v>
                </c:pt>
                <c:pt idx="339">
                  <c:v>10.68406156396679</c:v>
                </c:pt>
                <c:pt idx="340">
                  <c:v>13.14347178399932</c:v>
                </c:pt>
                <c:pt idx="341">
                  <c:v>3.9232057665199527</c:v>
                </c:pt>
                <c:pt idx="342">
                  <c:v>7.4775725010567928</c:v>
                </c:pt>
                <c:pt idx="343">
                  <c:v>10.952205304659993</c:v>
                </c:pt>
                <c:pt idx="344">
                  <c:v>11.470895148582169</c:v>
                </c:pt>
                <c:pt idx="345">
                  <c:v>3.9834098320401305</c:v>
                </c:pt>
                <c:pt idx="346">
                  <c:v>4.7946268677331236</c:v>
                </c:pt>
                <c:pt idx="347">
                  <c:v>11.288084816224828</c:v>
                </c:pt>
                <c:pt idx="348">
                  <c:v>5.5338891115458475</c:v>
                </c:pt>
                <c:pt idx="349">
                  <c:v>4.885857714215879</c:v>
                </c:pt>
                <c:pt idx="350">
                  <c:v>3.0277230651606266</c:v>
                </c:pt>
                <c:pt idx="351">
                  <c:v>11.786633545862891</c:v>
                </c:pt>
                <c:pt idx="352">
                  <c:v>11.558841423708996</c:v>
                </c:pt>
                <c:pt idx="353">
                  <c:v>3.6736164877493307</c:v>
                </c:pt>
                <c:pt idx="354">
                  <c:v>13.393077349799551</c:v>
                </c:pt>
                <c:pt idx="355">
                  <c:v>11.880211313721725</c:v>
                </c:pt>
                <c:pt idx="356">
                  <c:v>12.448262402213038</c:v>
                </c:pt>
                <c:pt idx="357">
                  <c:v>14.174472496311081</c:v>
                </c:pt>
                <c:pt idx="358">
                  <c:v>8.012916239962804</c:v>
                </c:pt>
                <c:pt idx="359">
                  <c:v>12.46184041468589</c:v>
                </c:pt>
                <c:pt idx="360">
                  <c:v>5.9373704739897413</c:v>
                </c:pt>
                <c:pt idx="361">
                  <c:v>13.211350852585609</c:v>
                </c:pt>
                <c:pt idx="362">
                  <c:v>8.8771095373559259</c:v>
                </c:pt>
                <c:pt idx="363">
                  <c:v>11.281950586428032</c:v>
                </c:pt>
                <c:pt idx="364">
                  <c:v>8.8064666068800932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917536"/>
        <c:axId val="443917928"/>
      </c:lineChart>
      <c:dateAx>
        <c:axId val="443917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17928"/>
        <c:crosses val="autoZero"/>
        <c:auto val="1"/>
        <c:lblOffset val="100"/>
        <c:baseTimeUnit val="days"/>
        <c:majorUnit val="1"/>
        <c:majorTimeUnit val="months"/>
      </c:dateAx>
      <c:valAx>
        <c:axId val="44391792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1753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Calcul Masques  Crèche Ayguesvives</c:v>
            </c:pt>
          </c:strCache>
        </c:strRef>
      </c:tx>
      <c:layout>
        <c:manualLayout>
          <c:xMode val="edge"/>
          <c:yMode val="edge"/>
          <c:x val="3.7141162205881928E-2"/>
          <c:y val="5.171268525271769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1"/>
          <c:order val="0"/>
          <c:tx>
            <c:strRef>
              <c:f>Masques!$P$55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Masques!$P$56:$P$79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2.384039456405604</c:v>
                </c:pt>
                <c:pt idx="3">
                  <c:v>3.2730982510487214</c:v>
                </c:pt>
                <c:pt idx="4">
                  <c:v>3.8581818109724653</c:v>
                </c:pt>
                <c:pt idx="5">
                  <c:v>-2.3863211688681498</c:v>
                </c:pt>
                <c:pt idx="6">
                  <c:v>2.762496071300601</c:v>
                </c:pt>
                <c:pt idx="7">
                  <c:v>-1.188008989277632</c:v>
                </c:pt>
                <c:pt idx="8">
                  <c:v>-1.1464973989379086</c:v>
                </c:pt>
                <c:pt idx="9">
                  <c:v>2.997154012165625</c:v>
                </c:pt>
                <c:pt idx="10">
                  <c:v>2.6495718222624483</c:v>
                </c:pt>
                <c:pt idx="11">
                  <c:v>6.4318508756407056</c:v>
                </c:pt>
                <c:pt idx="12">
                  <c:v>4.1674126133183593</c:v>
                </c:pt>
                <c:pt idx="13">
                  <c:v>2.4169485856580191</c:v>
                </c:pt>
                <c:pt idx="14">
                  <c:v>6.628526659272679</c:v>
                </c:pt>
                <c:pt idx="15">
                  <c:v>1.5610030706126021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2"/>
          <c:order val="1"/>
          <c:tx>
            <c:strRef>
              <c:f>Masques!$Q$55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3.5628653094026004</c:v>
                </c:pt>
                <c:pt idx="3">
                  <c:v>4.464683497185904</c:v>
                </c:pt>
                <c:pt idx="4">
                  <c:v>7.8417283043656401</c:v>
                </c:pt>
                <c:pt idx="5">
                  <c:v>-0.56933680087896688</c:v>
                </c:pt>
                <c:pt idx="6">
                  <c:v>4.6089740237349721</c:v>
                </c:pt>
                <c:pt idx="7">
                  <c:v>5.1118953776895397</c:v>
                </c:pt>
                <c:pt idx="8">
                  <c:v>4.369542795693528</c:v>
                </c:pt>
                <c:pt idx="9">
                  <c:v>4.5746705133018892</c:v>
                </c:pt>
                <c:pt idx="10">
                  <c:v>4.2379492323520305</c:v>
                </c:pt>
                <c:pt idx="11">
                  <c:v>7.9502404329254857</c:v>
                </c:pt>
                <c:pt idx="12">
                  <c:v>5.4363783118105875</c:v>
                </c:pt>
                <c:pt idx="13">
                  <c:v>2.7688795398953685</c:v>
                </c:pt>
                <c:pt idx="14">
                  <c:v>7.0317162008819869</c:v>
                </c:pt>
                <c:pt idx="15">
                  <c:v>1.9632354649203065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3"/>
          <c:order val="2"/>
          <c:tx>
            <c:strRef>
              <c:f>Masques!$R$55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4.7386790478899465</c:v>
                </c:pt>
                <c:pt idx="3">
                  <c:v>5.652411868778719</c:v>
                </c:pt>
                <c:pt idx="4">
                  <c:v>11.750535751871896</c:v>
                </c:pt>
                <c:pt idx="5">
                  <c:v>1.2487930766062576</c:v>
                </c:pt>
                <c:pt idx="6">
                  <c:v>6.4459104938961085</c:v>
                </c:pt>
                <c:pt idx="7">
                  <c:v>11.290727582649469</c:v>
                </c:pt>
                <c:pt idx="8">
                  <c:v>9.8058437700955121</c:v>
                </c:pt>
                <c:pt idx="9">
                  <c:v>6.1452687280205494</c:v>
                </c:pt>
                <c:pt idx="10">
                  <c:v>5.8198290884903612</c:v>
                </c:pt>
                <c:pt idx="11">
                  <c:v>9.4574760507638125</c:v>
                </c:pt>
                <c:pt idx="12">
                  <c:v>6.7000179896146141</c:v>
                </c:pt>
                <c:pt idx="13">
                  <c:v>3.1206015267089127</c:v>
                </c:pt>
                <c:pt idx="14">
                  <c:v>7.434207040011759</c:v>
                </c:pt>
                <c:pt idx="15">
                  <c:v>2.3652743662873958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4"/>
          <c:order val="3"/>
          <c:tx>
            <c:strRef>
              <c:f>Masques!$S$55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5.9105064380493024</c:v>
                </c:pt>
                <c:pt idx="3">
                  <c:v>6.8352870786773305</c:v>
                </c:pt>
                <c:pt idx="4">
                  <c:v>15.551625082949885</c:v>
                </c:pt>
                <c:pt idx="5">
                  <c:v>3.064411946597708</c:v>
                </c:pt>
                <c:pt idx="6">
                  <c:v>8.26963968244584</c:v>
                </c:pt>
                <c:pt idx="7">
                  <c:v>17.215383853213652</c:v>
                </c:pt>
                <c:pt idx="8">
                  <c:v>15.069994131445032</c:v>
                </c:pt>
                <c:pt idx="9">
                  <c:v>7.7066526484389701</c:v>
                </c:pt>
                <c:pt idx="10">
                  <c:v>7.3928579386989721</c:v>
                </c:pt>
                <c:pt idx="11">
                  <c:v>10.951619736754408</c:v>
                </c:pt>
                <c:pt idx="12">
                  <c:v>7.9571447006789455</c:v>
                </c:pt>
                <c:pt idx="13">
                  <c:v>3.4720882493649978</c:v>
                </c:pt>
                <c:pt idx="14">
                  <c:v>7.8359613742774172</c:v>
                </c:pt>
                <c:pt idx="15">
                  <c:v>2.7670803564283966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5"/>
          <c:order val="4"/>
          <c:tx>
            <c:strRef>
              <c:f>Masques!$T$55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7.0773931584707208</c:v>
                </c:pt>
                <c:pt idx="3">
                  <c:v>8.0123374853701481</c:v>
                </c:pt>
                <c:pt idx="4">
                  <c:v>19.217541700644617</c:v>
                </c:pt>
                <c:pt idx="5">
                  <c:v>4.8738934760416734</c:v>
                </c:pt>
                <c:pt idx="6">
                  <c:v>10.076654939357304</c:v>
                </c:pt>
                <c:pt idx="7">
                  <c:v>22.784377975551998</c:v>
                </c:pt>
                <c:pt idx="8">
                  <c:v>20.086601268123655</c:v>
                </c:pt>
                <c:pt idx="9">
                  <c:v>9.2566077118413936</c:v>
                </c:pt>
                <c:pt idx="10">
                  <c:v>8.9547618078363094</c:v>
                </c:pt>
                <c:pt idx="11">
                  <c:v>12.430838062190647</c:v>
                </c:pt>
                <c:pt idx="12">
                  <c:v>9.2066087390166125</c:v>
                </c:pt>
                <c:pt idx="13">
                  <c:v>3.8233135171171604</c:v>
                </c:pt>
                <c:pt idx="14">
                  <c:v>8.236941829155068</c:v>
                </c:pt>
                <c:pt idx="15">
                  <c:v>3.1686141543350348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6"/>
          <c:order val="5"/>
          <c:tx>
            <c:strRef>
              <c:f>Masques!$U$55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8.2384092855485136</c:v>
                </c:pt>
                <c:pt idx="3">
                  <c:v>9.1826206268670525</c:v>
                </c:pt>
                <c:pt idx="4">
                  <c:v>22.727114936447027</c:v>
                </c:pt>
                <c:pt idx="5">
                  <c:v>6.6736845829903579</c:v>
                </c:pt>
                <c:pt idx="6">
                  <c:v>11.863646087742012</c:v>
                </c:pt>
                <c:pt idx="7">
                  <c:v>27.934101729224128</c:v>
                </c:pt>
                <c:pt idx="8">
                  <c:v>24.801980421777102</c:v>
                </c:pt>
                <c:pt idx="9">
                  <c:v>10.79301837761202</c:v>
                </c:pt>
                <c:pt idx="10">
                  <c:v>10.503364720236332</c:v>
                </c:pt>
                <c:pt idx="11">
                  <c:v>13.893413435082872</c:v>
                </c:pt>
                <c:pt idx="12">
                  <c:v>10.447303470878108</c:v>
                </c:pt>
                <c:pt idx="13">
                  <c:v>4.1742512567552001</c:v>
                </c:pt>
                <c:pt idx="14">
                  <c:v>8.6371114771352548</c:v>
                </c:pt>
                <c:pt idx="15">
                  <c:v>3.5698366391257768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7"/>
          <c:order val="6"/>
          <c:tx>
            <c:strRef>
              <c:f>Masques!$V$55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9.3926534826513493</c:v>
                </c:pt>
                <c:pt idx="3">
                  <c:v>10.345227397041779</c:v>
                </c:pt>
                <c:pt idx="4">
                  <c:v>26.065581752332093</c:v>
                </c:pt>
                <c:pt idx="5">
                  <c:v>8.460346337109705</c:v>
                </c:pt>
                <c:pt idx="6">
                  <c:v>13.627531167836128</c:v>
                </c:pt>
                <c:pt idx="7">
                  <c:v>32.636700019389856</c:v>
                </c:pt>
                <c:pt idx="8">
                  <c:v>29.184701080571529</c:v>
                </c:pt>
                <c:pt idx="9">
                  <c:v>12.313883620449342</c:v>
                </c:pt>
                <c:pt idx="10">
                  <c:v>12.036605121327639</c:v>
                </c:pt>
                <c:pt idx="11">
                  <c:v>15.337753252163772</c:v>
                </c:pt>
                <c:pt idx="12">
                  <c:v>11.678170579285808</c:v>
                </c:pt>
                <c:pt idx="13">
                  <c:v>4.5248755240228355</c:v>
                </c:pt>
                <c:pt idx="14">
                  <c:v>9.0364338562482693</c:v>
                </c:pt>
                <c:pt idx="15">
                  <c:v>3.9707088726606656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8"/>
          <c:order val="7"/>
          <c:tx>
            <c:strRef>
              <c:f>Masques!$W$55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10.539256849294107</c:v>
                </c:pt>
                <c:pt idx="3">
                  <c:v>11.499285822983369</c:v>
                </c:pt>
                <c:pt idx="4">
                  <c:v>29.224191445429987</c:v>
                </c:pt>
                <c:pt idx="5">
                  <c:v>10.230591547217839</c:v>
                </c:pt>
                <c:pt idx="6">
                  <c:v>15.365481994696761</c:v>
                </c:pt>
                <c:pt idx="7">
                  <c:v>36.892775962246553</c:v>
                </c:pt>
                <c:pt idx="8">
                  <c:v>33.222981344659438</c:v>
                </c:pt>
                <c:pt idx="9">
                  <c:v>13.817330100554843</c:v>
                </c:pt>
                <c:pt idx="10">
                  <c:v>13.552549931528677</c:v>
                </c:pt>
                <c:pt idx="11">
                  <c:v>16.762396877028092</c:v>
                </c:pt>
                <c:pt idx="12">
                  <c:v>12.898204668883089</c:v>
                </c:pt>
                <c:pt idx="13">
                  <c:v>4.8751605148916735</c:v>
                </c:pt>
                <c:pt idx="14">
                  <c:v>9.4348729879408531</c:v>
                </c:pt>
                <c:pt idx="15">
                  <c:v>4.3711921218891465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9"/>
          <c:order val="8"/>
          <c:tx>
            <c:strRef>
              <c:f>Masques!$X$55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11.677386393898646</c:v>
                </c:pt>
                <c:pt idx="3">
                  <c:v>12.64396441052884</c:v>
                </c:pt>
                <c:pt idx="4">
                  <c:v>32.199458005914181</c:v>
                </c:pt>
                <c:pt idx="5">
                  <c:v>11.981318066070724</c:v>
                </c:pt>
                <c:pt idx="6">
                  <c:v>17.074943218720644</c:v>
                </c:pt>
                <c:pt idx="7">
                  <c:v>40.722482676512925</c:v>
                </c:pt>
                <c:pt idx="8">
                  <c:v>36.920416482320469</c:v>
                </c:pt>
                <c:pt idx="9">
                  <c:v>15.301622855461606</c:v>
                </c:pt>
                <c:pt idx="10">
                  <c:v>15.049406053296053</c:v>
                </c:pt>
                <c:pt idx="11">
                  <c:v>18.166020455729523</c:v>
                </c:pt>
                <c:pt idx="12">
                  <c:v>14.106457194170511</c:v>
                </c:pt>
                <c:pt idx="13">
                  <c:v>5.2250805766794919</c:v>
                </c:pt>
                <c:pt idx="14">
                  <c:v>9.8323933942856829</c:v>
                </c:pt>
                <c:pt idx="15">
                  <c:v>4.7712478808993053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10"/>
          <c:order val="9"/>
          <c:tx>
            <c:strRef>
              <c:f>Masques!$Y$55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12.806248101606897</c:v>
                </c:pt>
                <c:pt idx="3">
                  <c:v>13.778475034118783</c:v>
                </c:pt>
                <c:pt idx="4">
                  <c:v>34.992229961810644</c:v>
                </c:pt>
                <c:pt idx="5">
                  <c:v>13.709637062461358</c:v>
                </c:pt>
                <c:pt idx="6">
                  <c:v>18.753644863335495</c:v>
                </c:pt>
                <c:pt idx="7">
                  <c:v>44.157436548952298</c:v>
                </c:pt>
                <c:pt idx="8">
                  <c:v>40.291362408862462</c:v>
                </c:pt>
                <c:pt idx="9">
                  <c:v>16.765173442221091</c:v>
                </c:pt>
                <c:pt idx="10">
                  <c:v>16.525529240786724</c:v>
                </c:pt>
                <c:pt idx="11">
                  <c:v>19.547439639135042</c:v>
                </c:pt>
                <c:pt idx="12">
                  <c:v>15.30203968940881</c:v>
                </c:pt>
                <c:pt idx="13">
                  <c:v>5.5746102190012241</c:v>
                </c:pt>
                <c:pt idx="14">
                  <c:v>10.228960114506831</c:v>
                </c:pt>
                <c:pt idx="15">
                  <c:v>5.1708378926377678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11"/>
          <c:order val="10"/>
          <c:tx>
            <c:strRef>
              <c:f>Masques!$Z$55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13.925089576748096</c:v>
                </c:pt>
                <c:pt idx="3">
                  <c:v>14.902075356150533</c:v>
                </c:pt>
                <c:pt idx="4">
                  <c:v>37.606719252738863</c:v>
                </c:pt>
                <c:pt idx="5">
                  <c:v>15.412895756253921</c:v>
                </c:pt>
                <c:pt idx="6">
                  <c:v>20.399608571177076</c:v>
                </c:pt>
                <c:pt idx="7">
                  <c:v>47.234519475817535</c:v>
                </c:pt>
                <c:pt idx="8">
                  <c:v>43.35682076589822</c:v>
                </c:pt>
                <c:pt idx="9">
                  <c:v>18.206545538585893</c:v>
                </c:pt>
                <c:pt idx="10">
                  <c:v>17.979430326596884</c:v>
                </c:pt>
                <c:pt idx="11">
                  <c:v>20.905610331111625</c:v>
                </c:pt>
                <c:pt idx="12">
                  <c:v>16.484126293254576</c:v>
                </c:pt>
                <c:pt idx="13">
                  <c:v>5.9237241245412733</c:v>
                </c:pt>
                <c:pt idx="14">
                  <c:v>10.624538720805912</c:v>
                </c:pt>
                <c:pt idx="15">
                  <c:v>5.5699241702703448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0"/>
          <c:order val="11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Masques!$R$5</c:f>
              <c:numCache>
                <c:formatCode>0.0\°</c:formatCode>
                <c:ptCount val="1"/>
                <c:pt idx="0">
                  <c:v>68</c:v>
                </c:pt>
              </c:numCache>
            </c:numRef>
          </c:xVal>
          <c:yVal>
            <c:numRef>
              <c:f>Masques!$S$5</c:f>
              <c:numCache>
                <c:formatCode>0.0\°</c:formatCode>
                <c:ptCount val="1"/>
                <c:pt idx="0">
                  <c:v>73.300755766006375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6607944"/>
        <c:axId val="476608336"/>
      </c:scatterChart>
      <c:valAx>
        <c:axId val="476607944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476608336"/>
        <c:crosses val="autoZero"/>
        <c:crossBetween val="midCat"/>
        <c:majorUnit val="30"/>
      </c:valAx>
      <c:valAx>
        <c:axId val="476608336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607944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3247821695937403E-2"/>
          <c:y val="0.95476613627455353"/>
          <c:w val="0.95566578984683148"/>
          <c:h val="4.523386372544646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6.9060115748831863E-2</c:v>
                </c:pt>
                <c:pt idx="1">
                  <c:v>6.9081780079954025E-2</c:v>
                </c:pt>
                <c:pt idx="2">
                  <c:v>6.9103443906915585E-2</c:v>
                </c:pt>
                <c:pt idx="3">
                  <c:v>6.91251072297282E-2</c:v>
                </c:pt>
                <c:pt idx="4">
                  <c:v>6.9146770048403638E-2</c:v>
                </c:pt>
                <c:pt idx="5">
                  <c:v>6.9168432362953669E-2</c:v>
                </c:pt>
                <c:pt idx="6">
                  <c:v>6.919009417339006E-2</c:v>
                </c:pt>
                <c:pt idx="7">
                  <c:v>6.9211755479724357E-2</c:v>
                </c:pt>
                <c:pt idx="8">
                  <c:v>6.9233416281968441E-2</c:v>
                </c:pt>
                <c:pt idx="9">
                  <c:v>6.9255076580134078E-2</c:v>
                </c:pt>
                <c:pt idx="10">
                  <c:v>6.9276736374232817E-2</c:v>
                </c:pt>
                <c:pt idx="11">
                  <c:v>6.9298395664276646E-2</c:v>
                </c:pt>
                <c:pt idx="12">
                  <c:v>6.9320054450277002E-2</c:v>
                </c:pt>
                <c:pt idx="13">
                  <c:v>6.9341712732245875E-2</c:v>
                </c:pt>
                <c:pt idx="14">
                  <c:v>6.9363370510194811E-2</c:v>
                </c:pt>
                <c:pt idx="15">
                  <c:v>6.9385027784135689E-2</c:v>
                </c:pt>
                <c:pt idx="16">
                  <c:v>6.9406684554080056E-2</c:v>
                </c:pt>
                <c:pt idx="17">
                  <c:v>6.9428340820039902E-2</c:v>
                </c:pt>
                <c:pt idx="18">
                  <c:v>6.9449996582026663E-2</c:v>
                </c:pt>
                <c:pt idx="19">
                  <c:v>6.9471651840052218E-2</c:v>
                </c:pt>
                <c:pt idx="20">
                  <c:v>6.9493306594128335E-2</c:v>
                </c:pt>
                <c:pt idx="21">
                  <c:v>6.9514960844266671E-2</c:v>
                </c:pt>
                <c:pt idx="22">
                  <c:v>6.9536614590478996E-2</c:v>
                </c:pt>
                <c:pt idx="23">
                  <c:v>6.9558267832777076E-2</c:v>
                </c:pt>
                <c:pt idx="24">
                  <c:v>6.957992057117246E-2</c:v>
                </c:pt>
                <c:pt idx="25">
                  <c:v>6.9601572805677026E-2</c:v>
                </c:pt>
                <c:pt idx="26">
                  <c:v>6.962322453630243E-2</c:v>
                </c:pt>
                <c:pt idx="27">
                  <c:v>6.9644875763060443E-2</c:v>
                </c:pt>
                <c:pt idx="28">
                  <c:v>6.9666526485962832E-2</c:v>
                </c:pt>
                <c:pt idx="29">
                  <c:v>6.9688176705021254E-2</c:v>
                </c:pt>
                <c:pt idx="30">
                  <c:v>6.9709826420247367E-2</c:v>
                </c:pt>
                <c:pt idx="31">
                  <c:v>6.973147563165305E-2</c:v>
                </c:pt>
                <c:pt idx="32">
                  <c:v>6.9753124339249961E-2</c:v>
                </c:pt>
                <c:pt idx="33">
                  <c:v>6.9774772543049868E-2</c:v>
                </c:pt>
                <c:pt idx="34">
                  <c:v>6.9796420243064317E-2</c:v>
                </c:pt>
                <c:pt idx="35">
                  <c:v>6.9818067439305298E-2</c:v>
                </c:pt>
                <c:pt idx="36">
                  <c:v>6.9839714131784247E-2</c:v>
                </c:pt>
                <c:pt idx="37">
                  <c:v>6.9861360320513155E-2</c:v>
                </c:pt>
                <c:pt idx="38">
                  <c:v>6.9883006005503567E-2</c:v>
                </c:pt>
                <c:pt idx="39">
                  <c:v>6.9904651186767364E-2</c:v>
                </c:pt>
                <c:pt idx="40">
                  <c:v>6.992629586431609E-2</c:v>
                </c:pt>
                <c:pt idx="41">
                  <c:v>6.9947940038161516E-2</c:v>
                </c:pt>
                <c:pt idx="42">
                  <c:v>6.9969583708315408E-2</c:v>
                </c:pt>
                <c:pt idx="43">
                  <c:v>6.9991226874789536E-2</c:v>
                </c:pt>
                <c:pt idx="44">
                  <c:v>7.0012869537595557E-2</c:v>
                </c:pt>
                <c:pt idx="45">
                  <c:v>7.0034511696745128E-2</c:v>
                </c:pt>
                <c:pt idx="46">
                  <c:v>7.0056153352250128E-2</c:v>
                </c:pt>
                <c:pt idx="47">
                  <c:v>7.0077794504122104E-2</c:v>
                </c:pt>
                <c:pt idx="48">
                  <c:v>7.0099435152372935E-2</c:v>
                </c:pt>
                <c:pt idx="49">
                  <c:v>7.0121075297014279E-2</c:v>
                </c:pt>
                <c:pt idx="50">
                  <c:v>7.0142714938057793E-2</c:v>
                </c:pt>
                <c:pt idx="51">
                  <c:v>7.0164354075515245E-2</c:v>
                </c:pt>
                <c:pt idx="52">
                  <c:v>7.0185992709398293E-2</c:v>
                </c:pt>
                <c:pt idx="53">
                  <c:v>7.0207630839718815E-2</c:v>
                </c:pt>
                <c:pt idx="54">
                  <c:v>7.0229268466488359E-2</c:v>
                </c:pt>
                <c:pt idx="55">
                  <c:v>7.0250905589718804E-2</c:v>
                </c:pt>
                <c:pt idx="56">
                  <c:v>7.0272542209421696E-2</c:v>
                </c:pt>
                <c:pt idx="57">
                  <c:v>7.0294178325608914E-2</c:v>
                </c:pt>
                <c:pt idx="58">
                  <c:v>7.0315813938292115E-2</c:v>
                </c:pt>
                <c:pt idx="59">
                  <c:v>7.0337449047482958E-2</c:v>
                </c:pt>
                <c:pt idx="60">
                  <c:v>7.03590836531931E-2</c:v>
                </c:pt>
                <c:pt idx="61">
                  <c:v>7.038071775543453E-2</c:v>
                </c:pt>
                <c:pt idx="62">
                  <c:v>7.0402351354218684E-2</c:v>
                </c:pt>
                <c:pt idx="63">
                  <c:v>7.0423984449557442E-2</c:v>
                </c:pt>
                <c:pt idx="64">
                  <c:v>7.0445617041462461E-2</c:v>
                </c:pt>
                <c:pt idx="65">
                  <c:v>7.0467249129945508E-2</c:v>
                </c:pt>
                <c:pt idx="66">
                  <c:v>7.0488880715018132E-2</c:v>
                </c:pt>
                <c:pt idx="67">
                  <c:v>7.0510511796692321E-2</c:v>
                </c:pt>
                <c:pt idx="68">
                  <c:v>7.0532142374979512E-2</c:v>
                </c:pt>
                <c:pt idx="69">
                  <c:v>7.0553772449891583E-2</c:v>
                </c:pt>
                <c:pt idx="70">
                  <c:v>7.0575402021440192E-2</c:v>
                </c:pt>
                <c:pt idx="71">
                  <c:v>7.0597031089637108E-2</c:v>
                </c:pt>
                <c:pt idx="72">
                  <c:v>7.0618659654493987E-2</c:v>
                </c:pt>
                <c:pt idx="73">
                  <c:v>7.0640287716022598E-2</c:v>
                </c:pt>
                <c:pt idx="74">
                  <c:v>7.0661915274234599E-2</c:v>
                </c:pt>
                <c:pt idx="75">
                  <c:v>7.0683542329141757E-2</c:v>
                </c:pt>
                <c:pt idx="76">
                  <c:v>7.0705168880755731E-2</c:v>
                </c:pt>
                <c:pt idx="77">
                  <c:v>7.0726794929088288E-2</c:v>
                </c:pt>
                <c:pt idx="78">
                  <c:v>7.0748420474150975E-2</c:v>
                </c:pt>
                <c:pt idx="79">
                  <c:v>7.0770045515955782E-2</c:v>
                </c:pt>
                <c:pt idx="80">
                  <c:v>7.0791670054514255E-2</c:v>
                </c:pt>
                <c:pt idx="81">
                  <c:v>7.0813294089838053E-2</c:v>
                </c:pt>
                <c:pt idx="82">
                  <c:v>7.0834917621938942E-2</c:v>
                </c:pt>
                <c:pt idx="83">
                  <c:v>7.0856540650828692E-2</c:v>
                </c:pt>
                <c:pt idx="84">
                  <c:v>7.0878163176519071E-2</c:v>
                </c:pt>
                <c:pt idx="85">
                  <c:v>7.0899785199021514E-2</c:v>
                </c:pt>
                <c:pt idx="86">
                  <c:v>7.0921406718348012E-2</c:v>
                </c:pt>
                <c:pt idx="87">
                  <c:v>7.0943027734510111E-2</c:v>
                </c:pt>
                <c:pt idx="88">
                  <c:v>7.096464824751969E-2</c:v>
                </c:pt>
                <c:pt idx="89">
                  <c:v>7.0986268257388185E-2</c:v>
                </c:pt>
                <c:pt idx="90">
                  <c:v>7.1007887764127586E-2</c:v>
                </c:pt>
                <c:pt idx="91">
                  <c:v>7.102950676774944E-2</c:v>
                </c:pt>
                <c:pt idx="92">
                  <c:v>7.1051125268265514E-2</c:v>
                </c:pt>
                <c:pt idx="93">
                  <c:v>7.1072743265687466E-2</c:v>
                </c:pt>
                <c:pt idx="94">
                  <c:v>7.1094360760027064E-2</c:v>
                </c:pt>
                <c:pt idx="95">
                  <c:v>7.1115977751295967E-2</c:v>
                </c:pt>
                <c:pt idx="96">
                  <c:v>7.1137594239505941E-2</c:v>
                </c:pt>
                <c:pt idx="97">
                  <c:v>7.1159210224668645E-2</c:v>
                </c:pt>
                <c:pt idx="98">
                  <c:v>7.1180825706795736E-2</c:v>
                </c:pt>
                <c:pt idx="99">
                  <c:v>7.1202440685898982E-2</c:v>
                </c:pt>
                <c:pt idx="100">
                  <c:v>7.1224055161990152E-2</c:v>
                </c:pt>
                <c:pt idx="101">
                  <c:v>7.1245669135080902E-2</c:v>
                </c:pt>
                <c:pt idx="102">
                  <c:v>7.1267282605182891E-2</c:v>
                </c:pt>
                <c:pt idx="103">
                  <c:v>7.1288895572307776E-2</c:v>
                </c:pt>
                <c:pt idx="104">
                  <c:v>7.1310508036467435E-2</c:v>
                </c:pt>
                <c:pt idx="105">
                  <c:v>7.1332119997673527E-2</c:v>
                </c:pt>
                <c:pt idx="106">
                  <c:v>7.1353731455937597E-2</c:v>
                </c:pt>
                <c:pt idx="107">
                  <c:v>7.1375342411271525E-2</c:v>
                </c:pt>
                <c:pt idx="108">
                  <c:v>7.1396952863686858E-2</c:v>
                </c:pt>
                <c:pt idx="109">
                  <c:v>7.1418562813195474E-2</c:v>
                </c:pt>
                <c:pt idx="110">
                  <c:v>7.1440172259809032E-2</c:v>
                </c:pt>
                <c:pt idx="111">
                  <c:v>7.1461781203539076E-2</c:v>
                </c:pt>
                <c:pt idx="112">
                  <c:v>7.1483389644397488E-2</c:v>
                </c:pt>
                <c:pt idx="113">
                  <c:v>7.1504997582396035E-2</c:v>
                </c:pt>
                <c:pt idx="114">
                  <c:v>7.1526605017546152E-2</c:v>
                </c:pt>
                <c:pt idx="115">
                  <c:v>7.1548211949859719E-2</c:v>
                </c:pt>
                <c:pt idx="116">
                  <c:v>7.1569818379348393E-2</c:v>
                </c:pt>
                <c:pt idx="117">
                  <c:v>7.1591424306023943E-2</c:v>
                </c:pt>
                <c:pt idx="118">
                  <c:v>7.1613029729897915E-2</c:v>
                </c:pt>
                <c:pt idx="119">
                  <c:v>7.1634634650982187E-2</c:v>
                </c:pt>
                <c:pt idx="120">
                  <c:v>7.1656239069288419E-2</c:v>
                </c:pt>
                <c:pt idx="121">
                  <c:v>7.1677842984828155E-2</c:v>
                </c:pt>
                <c:pt idx="122">
                  <c:v>7.1699446397613276E-2</c:v>
                </c:pt>
                <c:pt idx="123">
                  <c:v>7.1721049307655438E-2</c:v>
                </c:pt>
                <c:pt idx="124">
                  <c:v>7.1742651714966299E-2</c:v>
                </c:pt>
                <c:pt idx="125">
                  <c:v>7.1764253619557627E-2</c:v>
                </c:pt>
                <c:pt idx="126">
                  <c:v>7.1785855021441081E-2</c:v>
                </c:pt>
                <c:pt idx="127">
                  <c:v>7.1807455920628316E-2</c:v>
                </c:pt>
                <c:pt idx="128">
                  <c:v>7.1829056317131101E-2</c:v>
                </c:pt>
                <c:pt idx="129">
                  <c:v>7.1850656210961095E-2</c:v>
                </c:pt>
                <c:pt idx="130">
                  <c:v>7.1872255602129953E-2</c:v>
                </c:pt>
                <c:pt idx="131">
                  <c:v>7.1893854490649445E-2</c:v>
                </c:pt>
                <c:pt idx="132">
                  <c:v>7.1915452876531227E-2</c:v>
                </c:pt>
                <c:pt idx="133">
                  <c:v>7.1937050759787069E-2</c:v>
                </c:pt>
                <c:pt idx="134">
                  <c:v>7.1958648140428627E-2</c:v>
                </c:pt>
                <c:pt idx="135">
                  <c:v>7.1980245018467559E-2</c:v>
                </c:pt>
                <c:pt idx="136">
                  <c:v>7.2001841393915522E-2</c:v>
                </c:pt>
                <c:pt idx="137">
                  <c:v>7.2023437266784396E-2</c:v>
                </c:pt>
                <c:pt idx="138">
                  <c:v>7.2045032637085726E-2</c:v>
                </c:pt>
                <c:pt idx="139">
                  <c:v>7.2066627504831171E-2</c:v>
                </c:pt>
                <c:pt idx="140">
                  <c:v>7.2088221870032609E-2</c:v>
                </c:pt>
                <c:pt idx="141">
                  <c:v>7.2109815732701477E-2</c:v>
                </c:pt>
                <c:pt idx="142">
                  <c:v>7.2131409092849763E-2</c:v>
                </c:pt>
                <c:pt idx="143">
                  <c:v>7.2153001950488904E-2</c:v>
                </c:pt>
                <c:pt idx="144">
                  <c:v>7.2174594305630779E-2</c:v>
                </c:pt>
                <c:pt idx="145">
                  <c:v>7.2196186158286935E-2</c:v>
                </c:pt>
                <c:pt idx="146">
                  <c:v>7.2217777508469139E-2</c:v>
                </c:pt>
                <c:pt idx="147">
                  <c:v>7.223936835618916E-2</c:v>
                </c:pt>
                <c:pt idx="148">
                  <c:v>7.2260958701458544E-2</c:v>
                </c:pt>
                <c:pt idx="149">
                  <c:v>7.228254854428906E-2</c:v>
                </c:pt>
                <c:pt idx="150">
                  <c:v>7.2304137884692365E-2</c:v>
                </c:pt>
                <c:pt idx="151">
                  <c:v>7.2325726722680228E-2</c:v>
                </c:pt>
                <c:pt idx="152">
                  <c:v>7.2347315058264305E-2</c:v>
                </c:pt>
                <c:pt idx="153">
                  <c:v>7.2368902891456255E-2</c:v>
                </c:pt>
                <c:pt idx="154">
                  <c:v>7.2390490222267734E-2</c:v>
                </c:pt>
                <c:pt idx="155">
                  <c:v>7.2412077050710622E-2</c:v>
                </c:pt>
                <c:pt idx="156">
                  <c:v>7.2433663376796353E-2</c:v>
                </c:pt>
                <c:pt idx="157">
                  <c:v>7.2455249200536809E-2</c:v>
                </c:pt>
                <c:pt idx="158">
                  <c:v>7.2476834521943534E-2</c:v>
                </c:pt>
                <c:pt idx="159">
                  <c:v>7.2498419341028408E-2</c:v>
                </c:pt>
                <c:pt idx="160">
                  <c:v>7.2520003657802867E-2</c:v>
                </c:pt>
                <c:pt idx="161">
                  <c:v>7.254158747227879E-2</c:v>
                </c:pt>
                <c:pt idx="162">
                  <c:v>7.2563170784467945E-2</c:v>
                </c:pt>
                <c:pt idx="163">
                  <c:v>7.2584753594381768E-2</c:v>
                </c:pt>
                <c:pt idx="164">
                  <c:v>7.2606335902032137E-2</c:v>
                </c:pt>
                <c:pt idx="165">
                  <c:v>7.26279177074306E-2</c:v>
                </c:pt>
                <c:pt idx="166">
                  <c:v>7.2649499010588925E-2</c:v>
                </c:pt>
                <c:pt idx="167">
                  <c:v>7.2671079811518879E-2</c:v>
                </c:pt>
                <c:pt idx="168">
                  <c:v>7.269266011023201E-2</c:v>
                </c:pt>
                <c:pt idx="169">
                  <c:v>7.2714239906740086E-2</c:v>
                </c:pt>
                <c:pt idx="170">
                  <c:v>7.2735819201054763E-2</c:v>
                </c:pt>
                <c:pt idx="171">
                  <c:v>7.27573979931877E-2</c:v>
                </c:pt>
                <c:pt idx="172">
                  <c:v>7.2778976283150665E-2</c:v>
                </c:pt>
                <c:pt idx="173">
                  <c:v>7.2800554070955315E-2</c:v>
                </c:pt>
                <c:pt idx="174">
                  <c:v>7.2822131356613307E-2</c:v>
                </c:pt>
                <c:pt idx="175">
                  <c:v>7.2843708140136298E-2</c:v>
                </c:pt>
                <c:pt idx="176">
                  <c:v>7.2865284421536058E-2</c:v>
                </c:pt>
                <c:pt idx="177">
                  <c:v>7.2886860200824244E-2</c:v>
                </c:pt>
                <c:pt idx="178">
                  <c:v>7.2908435478012512E-2</c:v>
                </c:pt>
                <c:pt idx="179">
                  <c:v>7.2930010253112521E-2</c:v>
                </c:pt>
                <c:pt idx="180">
                  <c:v>7.2951584526136037E-2</c:v>
                </c:pt>
                <c:pt idx="181">
                  <c:v>7.2973158297094609E-2</c:v>
                </c:pt>
                <c:pt idx="182">
                  <c:v>7.2994731566000115E-2</c:v>
                </c:pt>
                <c:pt idx="183">
                  <c:v>7.3016304332864101E-2</c:v>
                </c:pt>
                <c:pt idx="184">
                  <c:v>7.3037876597698337E-2</c:v>
                </c:pt>
                <c:pt idx="185">
                  <c:v>7.3059448360514367E-2</c:v>
                </c:pt>
                <c:pt idx="186">
                  <c:v>7.3081019621324073E-2</c:v>
                </c:pt>
                <c:pt idx="187">
                  <c:v>7.3102590380138888E-2</c:v>
                </c:pt>
                <c:pt idx="188">
                  <c:v>7.3124160636970692E-2</c:v>
                </c:pt>
                <c:pt idx="189">
                  <c:v>7.3145730391831143E-2</c:v>
                </c:pt>
                <c:pt idx="190">
                  <c:v>7.3167299644731898E-2</c:v>
                </c:pt>
                <c:pt idx="191">
                  <c:v>7.3188868395684614E-2</c:v>
                </c:pt>
                <c:pt idx="192">
                  <c:v>7.3210436644700949E-2</c:v>
                </c:pt>
                <c:pt idx="193">
                  <c:v>7.3232004391792671E-2</c:v>
                </c:pt>
                <c:pt idx="194">
                  <c:v>7.3253571636971326E-2</c:v>
                </c:pt>
                <c:pt idx="195">
                  <c:v>7.3275138380248794E-2</c:v>
                </c:pt>
                <c:pt idx="196">
                  <c:v>7.329670462163651E-2</c:v>
                </c:pt>
                <c:pt idx="197">
                  <c:v>7.3318270361146354E-2</c:v>
                </c:pt>
                <c:pt idx="198">
                  <c:v>7.3339835598789982E-2</c:v>
                </c:pt>
                <c:pt idx="199">
                  <c:v>7.3361400334578941E-2</c:v>
                </c:pt>
                <c:pt idx="200">
                  <c:v>7.3382964568525E-2</c:v>
                </c:pt>
                <c:pt idx="201">
                  <c:v>7.3404528300639815E-2</c:v>
                </c:pt>
                <c:pt idx="202">
                  <c:v>7.3426091530935156E-2</c:v>
                </c:pt>
                <c:pt idx="203">
                  <c:v>7.3447654259422568E-2</c:v>
                </c:pt>
                <c:pt idx="204">
                  <c:v>7.346921648611382E-2</c:v>
                </c:pt>
                <c:pt idx="205">
                  <c:v>7.3490778211020569E-2</c:v>
                </c:pt>
                <c:pt idx="206">
                  <c:v>7.3512339434154472E-2</c:v>
                </c:pt>
                <c:pt idx="207">
                  <c:v>7.3533900155527188E-2</c:v>
                </c:pt>
                <c:pt idx="208">
                  <c:v>7.3555460375150372E-2</c:v>
                </c:pt>
                <c:pt idx="209">
                  <c:v>7.3577020093035905E-2</c:v>
                </c:pt>
                <c:pt idx="210">
                  <c:v>7.3598579309195111E-2</c:v>
                </c:pt>
                <c:pt idx="211">
                  <c:v>7.362013802363998E-2</c:v>
                </c:pt>
                <c:pt idx="212">
                  <c:v>7.3641696236382059E-2</c:v>
                </c:pt>
                <c:pt idx="213">
                  <c:v>7.3663253947433005E-2</c:v>
                </c:pt>
                <c:pt idx="214">
                  <c:v>7.3684811156804586E-2</c:v>
                </c:pt>
                <c:pt idx="215">
                  <c:v>7.3706367864508349E-2</c:v>
                </c:pt>
                <c:pt idx="216">
                  <c:v>7.3727924070556061E-2</c:v>
                </c:pt>
                <c:pt idx="217">
                  <c:v>7.374947977495927E-2</c:v>
                </c:pt>
                <c:pt idx="218">
                  <c:v>7.3771034977729855E-2</c:v>
                </c:pt>
                <c:pt idx="219">
                  <c:v>7.3792589678879361E-2</c:v>
                </c:pt>
                <c:pt idx="220">
                  <c:v>7.3814143878419447E-2</c:v>
                </c:pt>
                <c:pt idx="221">
                  <c:v>7.3835697576361881E-2</c:v>
                </c:pt>
                <c:pt idx="222">
                  <c:v>7.3857250772718208E-2</c:v>
                </c:pt>
                <c:pt idx="223">
                  <c:v>7.3878803467500198E-2</c:v>
                </c:pt>
                <c:pt idx="224">
                  <c:v>7.3900355660719508E-2</c:v>
                </c:pt>
                <c:pt idx="225">
                  <c:v>7.3921907352387795E-2</c:v>
                </c:pt>
                <c:pt idx="226">
                  <c:v>7.3943458542516716E-2</c:v>
                </c:pt>
                <c:pt idx="227">
                  <c:v>7.396500923111804E-2</c:v>
                </c:pt>
                <c:pt idx="228">
                  <c:v>7.3986559418203202E-2</c:v>
                </c:pt>
                <c:pt idx="229">
                  <c:v>7.4008109103784192E-2</c:v>
                </c:pt>
                <c:pt idx="230">
                  <c:v>7.4029658287872446E-2</c:v>
                </c:pt>
                <c:pt idx="231">
                  <c:v>7.4051206970479622E-2</c:v>
                </c:pt>
                <c:pt idx="232">
                  <c:v>7.4072755151617597E-2</c:v>
                </c:pt>
                <c:pt idx="233">
                  <c:v>7.4094302831297809E-2</c:v>
                </c:pt>
                <c:pt idx="234">
                  <c:v>7.4115850009532136E-2</c:v>
                </c:pt>
                <c:pt idx="235">
                  <c:v>7.4137396686332124E-2</c:v>
                </c:pt>
                <c:pt idx="236">
                  <c:v>7.4158942861709432E-2</c:v>
                </c:pt>
                <c:pt idx="237">
                  <c:v>7.4180488535675715E-2</c:v>
                </c:pt>
                <c:pt idx="238">
                  <c:v>7.4202033708242743E-2</c:v>
                </c:pt>
                <c:pt idx="239">
                  <c:v>7.4223578379422173E-2</c:v>
                </c:pt>
                <c:pt idx="240">
                  <c:v>7.4245122549225551E-2</c:v>
                </c:pt>
                <c:pt idx="241">
                  <c:v>7.4266666217664645E-2</c:v>
                </c:pt>
                <c:pt idx="242">
                  <c:v>7.4288209384751114E-2</c:v>
                </c:pt>
                <c:pt idx="243">
                  <c:v>7.4309752050496725E-2</c:v>
                </c:pt>
                <c:pt idx="244">
                  <c:v>7.4331294214912913E-2</c:v>
                </c:pt>
                <c:pt idx="245">
                  <c:v>7.4352835878011447E-2</c:v>
                </c:pt>
                <c:pt idx="246">
                  <c:v>7.4374377039803985E-2</c:v>
                </c:pt>
                <c:pt idx="247">
                  <c:v>7.4395917700302294E-2</c:v>
                </c:pt>
                <c:pt idx="248">
                  <c:v>7.4417457859517921E-2</c:v>
                </c:pt>
                <c:pt idx="249">
                  <c:v>7.4438997517462635E-2</c:v>
                </c:pt>
                <c:pt idx="250">
                  <c:v>7.4460536674147981E-2</c:v>
                </c:pt>
                <c:pt idx="251">
                  <c:v>7.4482075329585729E-2</c:v>
                </c:pt>
                <c:pt idx="252">
                  <c:v>7.4503613483787423E-2</c:v>
                </c:pt>
                <c:pt idx="253">
                  <c:v>7.4525151136764944E-2</c:v>
                </c:pt>
                <c:pt idx="254">
                  <c:v>7.4546688288529728E-2</c:v>
                </c:pt>
                <c:pt idx="255">
                  <c:v>7.4568224939093541E-2</c:v>
                </c:pt>
                <c:pt idx="256">
                  <c:v>7.4589761088467932E-2</c:v>
                </c:pt>
                <c:pt idx="257">
                  <c:v>7.4611296736664778E-2</c:v>
                </c:pt>
                <c:pt idx="258">
                  <c:v>7.4632831883695627E-2</c:v>
                </c:pt>
                <c:pt idx="259">
                  <c:v>7.4654366529572136E-2</c:v>
                </c:pt>
                <c:pt idx="260">
                  <c:v>7.4675900674305962E-2</c:v>
                </c:pt>
                <c:pt idx="261">
                  <c:v>7.4697434317908762E-2</c:v>
                </c:pt>
                <c:pt idx="262">
                  <c:v>7.4718967460392194E-2</c:v>
                </c:pt>
                <c:pt idx="263">
                  <c:v>7.4740500101768026E-2</c:v>
                </c:pt>
                <c:pt idx="264">
                  <c:v>7.4762032242047805E-2</c:v>
                </c:pt>
                <c:pt idx="265">
                  <c:v>7.4783563881243187E-2</c:v>
                </c:pt>
                <c:pt idx="266">
                  <c:v>7.480509501936583E-2</c:v>
                </c:pt>
                <c:pt idx="267">
                  <c:v>7.4826625656427503E-2</c:v>
                </c:pt>
                <c:pt idx="268">
                  <c:v>7.4848155792439863E-2</c:v>
                </c:pt>
                <c:pt idx="269">
                  <c:v>7.4869685427414345E-2</c:v>
                </c:pt>
                <c:pt idx="270">
                  <c:v>7.489121456136294E-2</c:v>
                </c:pt>
                <c:pt idx="271">
                  <c:v>7.4912743194296971E-2</c:v>
                </c:pt>
                <c:pt idx="272">
                  <c:v>7.493427132622843E-2</c:v>
                </c:pt>
                <c:pt idx="273">
                  <c:v>7.495579895716864E-2</c:v>
                </c:pt>
                <c:pt idx="274">
                  <c:v>7.4977326087129481E-2</c:v>
                </c:pt>
                <c:pt idx="275">
                  <c:v>7.499885271612261E-2</c:v>
                </c:pt>
                <c:pt idx="276">
                  <c:v>7.5020378844159685E-2</c:v>
                </c:pt>
                <c:pt idx="277">
                  <c:v>7.5041904471252141E-2</c:v>
                </c:pt>
                <c:pt idx="278">
                  <c:v>7.5063429597411968E-2</c:v>
                </c:pt>
                <c:pt idx="279">
                  <c:v>7.5084954222650602E-2</c:v>
                </c:pt>
                <c:pt idx="280">
                  <c:v>7.5106478346979699E-2</c:v>
                </c:pt>
                <c:pt idx="281">
                  <c:v>7.5128001970411029E-2</c:v>
                </c:pt>
                <c:pt idx="282">
                  <c:v>7.5149525092956249E-2</c:v>
                </c:pt>
                <c:pt idx="283">
                  <c:v>7.5171047714626904E-2</c:v>
                </c:pt>
                <c:pt idx="284">
                  <c:v>7.5192569835434764E-2</c:v>
                </c:pt>
                <c:pt idx="285">
                  <c:v>7.5214091455391374E-2</c:v>
                </c:pt>
                <c:pt idx="286">
                  <c:v>7.5235612574508504E-2</c:v>
                </c:pt>
                <c:pt idx="287">
                  <c:v>7.5257133192797698E-2</c:v>
                </c:pt>
                <c:pt idx="288">
                  <c:v>7.5278653310270616E-2</c:v>
                </c:pt>
                <c:pt idx="289">
                  <c:v>7.5300172926939024E-2</c:v>
                </c:pt>
                <c:pt idx="290">
                  <c:v>7.5321692042814581E-2</c:v>
                </c:pt>
                <c:pt idx="291">
                  <c:v>7.5343210657908832E-2</c:v>
                </c:pt>
                <c:pt idx="292">
                  <c:v>7.5364728772233436E-2</c:v>
                </c:pt>
                <c:pt idx="293">
                  <c:v>7.5386246385800049E-2</c:v>
                </c:pt>
                <c:pt idx="294">
                  <c:v>7.5407763498620439E-2</c:v>
                </c:pt>
                <c:pt idx="295">
                  <c:v>7.5429280110706154E-2</c:v>
                </c:pt>
                <c:pt idx="296">
                  <c:v>7.545079622206885E-2</c:v>
                </c:pt>
                <c:pt idx="297">
                  <c:v>7.5472311832720185E-2</c:v>
                </c:pt>
                <c:pt idx="298">
                  <c:v>7.5493826942671927E-2</c:v>
                </c:pt>
                <c:pt idx="299">
                  <c:v>7.5515341551935511E-2</c:v>
                </c:pt>
                <c:pt idx="300">
                  <c:v>7.5536855660522817E-2</c:v>
                </c:pt>
                <c:pt idx="301">
                  <c:v>7.555836926844528E-2</c:v>
                </c:pt>
                <c:pt idx="302">
                  <c:v>7.557988237571478E-2</c:v>
                </c:pt>
                <c:pt idx="303">
                  <c:v>7.5601394982342751E-2</c:v>
                </c:pt>
                <c:pt idx="304">
                  <c:v>7.5622907088340963E-2</c:v>
                </c:pt>
                <c:pt idx="305">
                  <c:v>7.5644418693720961E-2</c:v>
                </c:pt>
                <c:pt idx="306">
                  <c:v>7.5665929798494624E-2</c:v>
                </c:pt>
                <c:pt idx="307">
                  <c:v>7.5687440402673389E-2</c:v>
                </c:pt>
                <c:pt idx="308">
                  <c:v>7.5708950506268913E-2</c:v>
                </c:pt>
                <c:pt idx="309">
                  <c:v>7.5730460109292963E-2</c:v>
                </c:pt>
                <c:pt idx="310">
                  <c:v>7.5751969211757086E-2</c:v>
                </c:pt>
                <c:pt idx="311">
                  <c:v>7.5773477813673051E-2</c:v>
                </c:pt>
                <c:pt idx="312">
                  <c:v>7.5794985915052293E-2</c:v>
                </c:pt>
                <c:pt idx="313">
                  <c:v>7.5816493515906691E-2</c:v>
                </c:pt>
                <c:pt idx="314">
                  <c:v>7.5838000616247792E-2</c:v>
                </c:pt>
                <c:pt idx="315">
                  <c:v>7.5859507216087252E-2</c:v>
                </c:pt>
                <c:pt idx="316">
                  <c:v>7.5881013315436729E-2</c:v>
                </c:pt>
                <c:pt idx="317">
                  <c:v>7.5902518914307771E-2</c:v>
                </c:pt>
                <c:pt idx="318">
                  <c:v>7.5924024012712255E-2</c:v>
                </c:pt>
                <c:pt idx="319">
                  <c:v>7.5945528610661506E-2</c:v>
                </c:pt>
                <c:pt idx="320">
                  <c:v>7.5967032708167515E-2</c:v>
                </c:pt>
                <c:pt idx="321">
                  <c:v>7.5988536305241605E-2</c:v>
                </c:pt>
                <c:pt idx="322">
                  <c:v>7.6010039401895657E-2</c:v>
                </c:pt>
                <c:pt idx="323">
                  <c:v>7.6031541998141217E-2</c:v>
                </c:pt>
                <c:pt idx="324">
                  <c:v>7.6053044093990052E-2</c:v>
                </c:pt>
                <c:pt idx="325">
                  <c:v>7.6074545689453599E-2</c:v>
                </c:pt>
                <c:pt idx="326">
                  <c:v>7.6096046784543625E-2</c:v>
                </c:pt>
                <c:pt idx="327">
                  <c:v>7.6117547379271677E-2</c:v>
                </c:pt>
                <c:pt idx="328">
                  <c:v>7.6139047473649635E-2</c:v>
                </c:pt>
                <c:pt idx="329">
                  <c:v>7.6160547067688933E-2</c:v>
                </c:pt>
                <c:pt idx="330">
                  <c:v>7.6182046161401229E-2</c:v>
                </c:pt>
                <c:pt idx="331">
                  <c:v>7.620354475479818E-2</c:v>
                </c:pt>
                <c:pt idx="332">
                  <c:v>7.6225042847891444E-2</c:v>
                </c:pt>
                <c:pt idx="333">
                  <c:v>7.6246540440692789E-2</c:v>
                </c:pt>
                <c:pt idx="334">
                  <c:v>7.6268037533213651E-2</c:v>
                </c:pt>
                <c:pt idx="335">
                  <c:v>7.6289534125465797E-2</c:v>
                </c:pt>
                <c:pt idx="336">
                  <c:v>7.6311030217460885E-2</c:v>
                </c:pt>
                <c:pt idx="337">
                  <c:v>7.6332525809210461E-2</c:v>
                </c:pt>
                <c:pt idx="338">
                  <c:v>7.6354020900726183E-2</c:v>
                </c:pt>
                <c:pt idx="339">
                  <c:v>7.6375515492019708E-2</c:v>
                </c:pt>
                <c:pt idx="340">
                  <c:v>7.6397009583102804E-2</c:v>
                </c:pt>
                <c:pt idx="341">
                  <c:v>7.6418503173986907E-2</c:v>
                </c:pt>
                <c:pt idx="342">
                  <c:v>7.6439996264683785E-2</c:v>
                </c:pt>
                <c:pt idx="343">
                  <c:v>7.6461488855204984E-2</c:v>
                </c:pt>
                <c:pt idx="344">
                  <c:v>7.6482980945562273E-2</c:v>
                </c:pt>
                <c:pt idx="345">
                  <c:v>7.6504472535767198E-2</c:v>
                </c:pt>
                <c:pt idx="346">
                  <c:v>7.6525963625831417E-2</c:v>
                </c:pt>
                <c:pt idx="347">
                  <c:v>7.6547454215766586E-2</c:v>
                </c:pt>
                <c:pt idx="348">
                  <c:v>7.6568944305584363E-2</c:v>
                </c:pt>
                <c:pt idx="349">
                  <c:v>7.6590433895296295E-2</c:v>
                </c:pt>
                <c:pt idx="350">
                  <c:v>7.6611922984914149E-2</c:v>
                </c:pt>
                <c:pt idx="351">
                  <c:v>7.6633411574449473E-2</c:v>
                </c:pt>
                <c:pt idx="352">
                  <c:v>7.6654899663913811E-2</c:v>
                </c:pt>
                <c:pt idx="353">
                  <c:v>7.6676387253319045E-2</c:v>
                </c:pt>
                <c:pt idx="354">
                  <c:v>7.6697874342676609E-2</c:v>
                </c:pt>
                <c:pt idx="355">
                  <c:v>7.6719360931998271E-2</c:v>
                </c:pt>
                <c:pt idx="356">
                  <c:v>7.6740847021295577E-2</c:v>
                </c:pt>
                <c:pt idx="357">
                  <c:v>7.6762332610580186E-2</c:v>
                </c:pt>
                <c:pt idx="358">
                  <c:v>7.6783817699863866E-2</c:v>
                </c:pt>
                <c:pt idx="359">
                  <c:v>7.680530228915794E-2</c:v>
                </c:pt>
                <c:pt idx="360">
                  <c:v>7.6826786378474399E-2</c:v>
                </c:pt>
                <c:pt idx="361">
                  <c:v>7.6848269967824567E-2</c:v>
                </c:pt>
                <c:pt idx="362">
                  <c:v>7.6869753057220325E-2</c:v>
                </c:pt>
                <c:pt idx="363">
                  <c:v>7.6891235646673217E-2</c:v>
                </c:pt>
                <c:pt idx="364">
                  <c:v>7.6912717736194791E-2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6.8843844967681589E-2</c:v>
                </c:pt>
                <c:pt idx="1">
                  <c:v>6.9005735866896706E-2</c:v>
                </c:pt>
                <c:pt idx="2">
                  <c:v>6.9167644519436258E-2</c:v>
                </c:pt>
                <c:pt idx="3">
                  <c:v>6.9329550006803978E-2</c:v>
                </c:pt>
                <c:pt idx="4">
                  <c:v>6.9491434126880317E-2</c:v>
                </c:pt>
                <c:pt idx="5">
                  <c:v>6.9653281333985601E-2</c:v>
                </c:pt>
                <c:pt idx="6">
                  <c:v>6.98150786559745E-2</c:v>
                </c:pt>
                <c:pt idx="7">
                  <c:v>6.997681558988457E-2</c:v>
                </c:pt>
                <c:pt idx="8">
                  <c:v>7.013848397783673E-2</c:v>
                </c:pt>
                <c:pt idx="9">
                  <c:v>7.0300077865044164E-2</c:v>
                </c:pt>
                <c:pt idx="10">
                  <c:v>7.0461593341921161E-2</c:v>
                </c:pt>
                <c:pt idx="11">
                  <c:v>7.0623028372399518E-2</c:v>
                </c:pt>
                <c:pt idx="12">
                  <c:v>7.0784382610653437E-2</c:v>
                </c:pt>
                <c:pt idx="13">
                  <c:v>7.0945657208502835E-2</c:v>
                </c:pt>
                <c:pt idx="14">
                  <c:v>7.1106854615813675E-2</c:v>
                </c:pt>
                <c:pt idx="15">
                  <c:v>7.1267978376234803E-2</c:v>
                </c:pt>
                <c:pt idx="16">
                  <c:v>7.1429032920612534E-2</c:v>
                </c:pt>
                <c:pt idx="17">
                  <c:v>7.1590023360399616E-2</c:v>
                </c:pt>
                <c:pt idx="18">
                  <c:v>7.1750955283329462E-2</c:v>
                </c:pt>
                <c:pt idx="19">
                  <c:v>7.1911834553558485E-2</c:v>
                </c:pt>
                <c:pt idx="20">
                  <c:v>7.207266711839061E-2</c:v>
                </c:pt>
                <c:pt idx="21">
                  <c:v>7.2233458823588392E-2</c:v>
                </c:pt>
                <c:pt idx="22">
                  <c:v>7.239421523914942E-2</c:v>
                </c:pt>
                <c:pt idx="23">
                  <c:v>7.2554941497281117E-2</c:v>
                </c:pt>
                <c:pt idx="24">
                  <c:v>7.2715642144149134E-2</c:v>
                </c:pt>
                <c:pt idx="25">
                  <c:v>7.2876321006800582E-2</c:v>
                </c:pt>
                <c:pt idx="26">
                  <c:v>7.3036981076480476E-2</c:v>
                </c:pt>
                <c:pt idx="27">
                  <c:v>7.3197624409365808E-2</c:v>
                </c:pt>
                <c:pt idx="28">
                  <c:v>7.3358252045540653E-2</c:v>
                </c:pt>
                <c:pt idx="29">
                  <c:v>7.3518863946830673E-2</c:v>
                </c:pt>
                <c:pt idx="30">
                  <c:v>7.367945895390679E-2</c:v>
                </c:pt>
                <c:pt idx="31">
                  <c:v>7.3840034762856971E-2</c:v>
                </c:pt>
                <c:pt idx="32">
                  <c:v>7.4000587921219538E-2</c:v>
                </c:pt>
                <c:pt idx="33">
                  <c:v>7.4161113843265486E-2</c:v>
                </c:pt>
                <c:pt idx="34">
                  <c:v>7.4321606844119065E-2</c:v>
                </c:pt>
                <c:pt idx="35">
                  <c:v>7.448206019211584E-2</c:v>
                </c:pt>
                <c:pt idx="36">
                  <c:v>7.4642466178615238E-2</c:v>
                </c:pt>
                <c:pt idx="37">
                  <c:v>7.4802816204315087E-2</c:v>
                </c:pt>
                <c:pt idx="38">
                  <c:v>7.4963100880958811E-2</c:v>
                </c:pt>
                <c:pt idx="39">
                  <c:v>7.5123310147182681E-2</c:v>
                </c:pt>
                <c:pt idx="40">
                  <c:v>7.5283433397124372E-2</c:v>
                </c:pt>
                <c:pt idx="41">
                  <c:v>7.5443459620302827E-2</c:v>
                </c:pt>
                <c:pt idx="42">
                  <c:v>7.5603377551188219E-2</c:v>
                </c:pt>
                <c:pt idx="43">
                  <c:v>7.576317582680428E-2</c:v>
                </c:pt>
                <c:pt idx="44">
                  <c:v>7.5922843150652689E-2</c:v>
                </c:pt>
                <c:pt idx="45">
                  <c:v>7.608236846120997E-2</c:v>
                </c:pt>
                <c:pt idx="46">
                  <c:v>7.6241741103232216E-2</c:v>
                </c:pt>
                <c:pt idx="47">
                  <c:v>7.6400951000102871E-2</c:v>
                </c:pt>
                <c:pt idx="48">
                  <c:v>7.6559988825480943E-2</c:v>
                </c:pt>
                <c:pt idx="49">
                  <c:v>7.6718846172543473E-2</c:v>
                </c:pt>
                <c:pt idx="50">
                  <c:v>7.6877515719173145E-2</c:v>
                </c:pt>
                <c:pt idx="51">
                  <c:v>7.7035991387513159E-2</c:v>
                </c:pt>
                <c:pt idx="52">
                  <c:v>7.7194268496398613E-2</c:v>
                </c:pt>
                <c:pt idx="53">
                  <c:v>7.7352343905275567E-2</c:v>
                </c:pt>
                <c:pt idx="54">
                  <c:v>7.7510216148331743E-2</c:v>
                </c:pt>
                <c:pt idx="55">
                  <c:v>7.7667885557688318E-2</c:v>
                </c:pt>
                <c:pt idx="56">
                  <c:v>7.7825354374635919E-2</c:v>
                </c:pt>
                <c:pt idx="57">
                  <c:v>7.7982626848040568E-2</c:v>
                </c:pt>
                <c:pt idx="58">
                  <c:v>7.8139709319192313E-2</c:v>
                </c:pt>
                <c:pt idx="59">
                  <c:v>7.8296610292521843E-2</c:v>
                </c:pt>
                <c:pt idx="60">
                  <c:v>7.8453340491764362E-2</c:v>
                </c:pt>
                <c:pt idx="61">
                  <c:v>7.8609912901304729E-2</c:v>
                </c:pt>
                <c:pt idx="62">
                  <c:v>7.8766342792591121E-2</c:v>
                </c:pt>
                <c:pt idx="63">
                  <c:v>7.8922647735654439E-2</c:v>
                </c:pt>
                <c:pt idx="64">
                  <c:v>7.9078847595916948E-2</c:v>
                </c:pt>
                <c:pt idx="65">
                  <c:v>7.9234964516610246E-2</c:v>
                </c:pt>
                <c:pt idx="66">
                  <c:v>7.9391022887256552E-2</c:v>
                </c:pt>
                <c:pt idx="67">
                  <c:v>7.9547049298785963E-2</c:v>
                </c:pt>
                <c:pt idx="68">
                  <c:v>7.9703072485974608E-2</c:v>
                </c:pt>
                <c:pt idx="69">
                  <c:v>7.9859123257987413E-2</c:v>
                </c:pt>
                <c:pt idx="70">
                  <c:v>8.0015234417894987E-2</c:v>
                </c:pt>
                <c:pt idx="71">
                  <c:v>8.0171440672107075E-2</c:v>
                </c:pt>
                <c:pt idx="72">
                  <c:v>8.0327778530724078E-2</c:v>
                </c:pt>
                <c:pt idx="73">
                  <c:v>8.0484286199851082E-2</c:v>
                </c:pt>
                <c:pt idx="74">
                  <c:v>8.0641003466949315E-2</c:v>
                </c:pt>
                <c:pt idx="75">
                  <c:v>8.0797971580312891E-2</c:v>
                </c:pt>
                <c:pt idx="76">
                  <c:v>8.0955233123759934E-2</c:v>
                </c:pt>
                <c:pt idx="77">
                  <c:v>8.1112831887611134E-2</c:v>
                </c:pt>
                <c:pt idx="78">
                  <c:v>8.1270812737000861E-2</c:v>
                </c:pt>
                <c:pt idx="79">
                  <c:v>8.1429221478524008E-2</c:v>
                </c:pt>
                <c:pt idx="80">
                  <c:v>8.1588104726168106E-2</c:v>
                </c:pt>
                <c:pt idx="81">
                  <c:v>8.1747509767413656E-2</c:v>
                </c:pt>
                <c:pt idx="82">
                  <c:v>8.1907484430311761E-2</c:v>
                </c:pt>
                <c:pt idx="83">
                  <c:v>8.2068076952262189E-2</c:v>
                </c:pt>
                <c:pt idx="84">
                  <c:v>8.2229335851123075E-2</c:v>
                </c:pt>
                <c:pt idx="85">
                  <c:v>8.2391309799186699E-2</c:v>
                </c:pt>
                <c:pt idx="86">
                  <c:v>8.2554047500450894E-2</c:v>
                </c:pt>
                <c:pt idx="87">
                  <c:v>8.2717597571511994E-2</c:v>
                </c:pt>
                <c:pt idx="88">
                  <c:v>8.2882008426296852E-2</c:v>
                </c:pt>
                <c:pt idx="89">
                  <c:v>8.3047328164745512E-2</c:v>
                </c:pt>
                <c:pt idx="90">
                  <c:v>8.3213604465451146E-2</c:v>
                </c:pt>
                <c:pt idx="91">
                  <c:v>8.3380884482162104E-2</c:v>
                </c:pt>
                <c:pt idx="92">
                  <c:v>8.3549214743955769E-2</c:v>
                </c:pt>
                <c:pt idx="93">
                  <c:v>8.3718641058802876E-2</c:v>
                </c:pt>
                <c:pt idx="94">
                  <c:v>8.3889208420160427E-2</c:v>
                </c:pt>
                <c:pt idx="95">
                  <c:v>8.406096091615764E-2</c:v>
                </c:pt>
                <c:pt idx="96">
                  <c:v>8.4233941640877885E-2</c:v>
                </c:pt>
                <c:pt idx="97">
                  <c:v>8.4408192607188404E-2</c:v>
                </c:pt>
                <c:pt idx="98">
                  <c:v>8.4583754660530405E-2</c:v>
                </c:pt>
                <c:pt idx="99">
                  <c:v>8.4760667393057501E-2</c:v>
                </c:pt>
                <c:pt idx="100">
                  <c:v>8.4938969057496622E-2</c:v>
                </c:pt>
                <c:pt idx="101">
                  <c:v>8.5118696480108794E-2</c:v>
                </c:pt>
                <c:pt idx="102">
                  <c:v>8.5299884972140402E-2</c:v>
                </c:pt>
                <c:pt idx="103">
                  <c:v>8.5482568239187248E-2</c:v>
                </c:pt>
                <c:pt idx="104">
                  <c:v>8.5666778287934481E-2</c:v>
                </c:pt>
                <c:pt idx="105">
                  <c:v>8.5852545329793889E-2</c:v>
                </c:pt>
                <c:pt idx="106">
                  <c:v>8.6039897681026906E-2</c:v>
                </c:pt>
                <c:pt idx="107">
                  <c:v>8.6228861659024714E-2</c:v>
                </c:pt>
                <c:pt idx="108">
                  <c:v>8.6419461474506604E-2</c:v>
                </c:pt>
                <c:pt idx="109">
                  <c:v>8.6611719119501329E-2</c:v>
                </c:pt>
                <c:pt idx="110">
                  <c:v>8.6805654251084802E-2</c:v>
                </c:pt>
                <c:pt idx="111">
                  <c:v>8.7001284070966259E-2</c:v>
                </c:pt>
                <c:pt idx="112">
                  <c:v>8.719862320113711E-2</c:v>
                </c:pt>
                <c:pt idx="113">
                  <c:v>8.7397683555924657E-2</c:v>
                </c:pt>
                <c:pt idx="114">
                  <c:v>8.7598474210921623E-2</c:v>
                </c:pt>
                <c:pt idx="115">
                  <c:v>8.7801001269393428E-2</c:v>
                </c:pt>
                <c:pt idx="116">
                  <c:v>8.800526772689278E-2</c:v>
                </c:pt>
                <c:pt idx="117">
                  <c:v>8.821127333493832E-2</c:v>
                </c:pt>
                <c:pt idx="118">
                  <c:v>8.841901446473413E-2</c:v>
                </c:pt>
                <c:pt idx="119">
                  <c:v>8.8628483972021027E-2</c:v>
                </c:pt>
                <c:pt idx="120">
                  <c:v>8.883967106425765E-2</c:v>
                </c:pt>
                <c:pt idx="121">
                  <c:v>8.9052561171423322E-2</c:v>
                </c:pt>
                <c:pt idx="122">
                  <c:v>8.9267135821819998E-2</c:v>
                </c:pt>
                <c:pt idx="123">
                  <c:v>8.9483372524321231E-2</c:v>
                </c:pt>
                <c:pt idx="124">
                  <c:v>8.9701244658571724E-2</c:v>
                </c:pt>
                <c:pt idx="125">
                  <c:v>8.9920721374682266E-2</c:v>
                </c:pt>
                <c:pt idx="126">
                  <c:v>9.0141767503988113E-2</c:v>
                </c:pt>
                <c:pt idx="127">
                  <c:v>9.0364343482445542E-2</c:v>
                </c:pt>
                <c:pt idx="128">
                  <c:v>9.0588405288228077E-2</c:v>
                </c:pt>
                <c:pt idx="129">
                  <c:v>9.0813904395053213E-2</c:v>
                </c:pt>
                <c:pt idx="130">
                  <c:v>9.1040787742721466E-2</c:v>
                </c:pt>
                <c:pt idx="131">
                  <c:v>9.1268997726277709E-2</c:v>
                </c:pt>
                <c:pt idx="132">
                  <c:v>9.1498472205119322E-2</c:v>
                </c:pt>
                <c:pt idx="133">
                  <c:v>9.1729144533266999E-2</c:v>
                </c:pt>
                <c:pt idx="134">
                  <c:v>9.1960943611890847E-2</c:v>
                </c:pt>
                <c:pt idx="135">
                  <c:v>9.2193793965041265E-2</c:v>
                </c:pt>
                <c:pt idx="136">
                  <c:v>9.242761583937828E-2</c:v>
                </c:pt>
                <c:pt idx="137">
                  <c:v>9.2662325328518702E-2</c:v>
                </c:pt>
                <c:pt idx="138">
                  <c:v>9.289783452243669E-2</c:v>
                </c:pt>
                <c:pt idx="139">
                  <c:v>9.3134051682154162E-2</c:v>
                </c:pt>
                <c:pt idx="140">
                  <c:v>9.3370881439752251E-2</c:v>
                </c:pt>
                <c:pt idx="141">
                  <c:v>9.3608225023518191E-2</c:v>
                </c:pt>
                <c:pt idx="142">
                  <c:v>9.3845980507822377E-2</c:v>
                </c:pt>
                <c:pt idx="143">
                  <c:v>9.4084043087095323E-2</c:v>
                </c:pt>
                <c:pt idx="144">
                  <c:v>9.4322305373047893E-2</c:v>
                </c:pt>
                <c:pt idx="145">
                  <c:v>9.4560657714053878E-2</c:v>
                </c:pt>
                <c:pt idx="146">
                  <c:v>9.4798988535391301E-2</c:v>
                </c:pt>
                <c:pt idx="147">
                  <c:v>9.5037184698823648E-2</c:v>
                </c:pt>
                <c:pt idx="148">
                  <c:v>9.5275131879792224E-2</c:v>
                </c:pt>
                <c:pt idx="149">
                  <c:v>9.5512714960294731E-2</c:v>
                </c:pt>
                <c:pt idx="150">
                  <c:v>9.5749818435338058E-2</c:v>
                </c:pt>
                <c:pt idx="151">
                  <c:v>9.5986326830683047E-2</c:v>
                </c:pt>
                <c:pt idx="152">
                  <c:v>9.6222125129443781E-2</c:v>
                </c:pt>
                <c:pt idx="153">
                  <c:v>9.6457099204969476E-2</c:v>
                </c:pt>
                <c:pt idx="154">
                  <c:v>9.6691136257319399E-2</c:v>
                </c:pt>
                <c:pt idx="155">
                  <c:v>9.6924125250549234E-2</c:v>
                </c:pt>
                <c:pt idx="156">
                  <c:v>9.7155957347954472E-2</c:v>
                </c:pt>
                <c:pt idx="157">
                  <c:v>9.7386526342372076E-2</c:v>
                </c:pt>
                <c:pt idx="158">
                  <c:v>9.7615729078616861E-2</c:v>
                </c:pt>
                <c:pt idx="159">
                  <c:v>9.7843465865136647E-2</c:v>
                </c:pt>
                <c:pt idx="160">
                  <c:v>9.8069640871996822E-2</c:v>
                </c:pt>
                <c:pt idx="161">
                  <c:v>9.8294162512364516E-2</c:v>
                </c:pt>
                <c:pt idx="162">
                  <c:v>9.85169438047417E-2</c:v>
                </c:pt>
                <c:pt idx="163">
                  <c:v>9.873790271330754E-2</c:v>
                </c:pt>
                <c:pt idx="164">
                  <c:v>9.895696246386014E-2</c:v>
                </c:pt>
                <c:pt idx="165">
                  <c:v>9.9174051833007468E-2</c:v>
                </c:pt>
                <c:pt idx="166">
                  <c:v>9.938910540843468E-2</c:v>
                </c:pt>
                <c:pt idx="167">
                  <c:v>9.960206381827702E-2</c:v>
                </c:pt>
                <c:pt idx="168">
                  <c:v>9.9812873927847864E-2</c:v>
                </c:pt>
                <c:pt idx="169">
                  <c:v>0.10002148900220989</c:v>
                </c:pt>
                <c:pt idx="170">
                  <c:v>0.10022786883333104</c:v>
                </c:pt>
                <c:pt idx="171">
                  <c:v>0.10043197983083459</c:v>
                </c:pt>
                <c:pt idx="172">
                  <c:v>0.10063379507563117</c:v>
                </c:pt>
                <c:pt idx="173">
                  <c:v>0.10083329433600693</c:v>
                </c:pt>
                <c:pt idx="174">
                  <c:v>0.10103046404603488</c:v>
                </c:pt>
                <c:pt idx="175">
                  <c:v>0.10122529724647182</c:v>
                </c:pt>
                <c:pt idx="176">
                  <c:v>0.10141779348859893</c:v>
                </c:pt>
                <c:pt idx="177">
                  <c:v>0.10160795870175741</c:v>
                </c:pt>
                <c:pt idx="178">
                  <c:v>0.10179580502561765</c:v>
                </c:pt>
                <c:pt idx="179">
                  <c:v>0.10198135060850057</c:v>
                </c:pt>
                <c:pt idx="180">
                  <c:v>0.10216461937333726</c:v>
                </c:pt>
                <c:pt idx="181">
                  <c:v>0.10234564075310863</c:v>
                </c:pt>
                <c:pt idx="182">
                  <c:v>0.10252444939784536</c:v>
                </c:pt>
                <c:pt idx="183">
                  <c:v>0.10270108485548846</c:v>
                </c:pt>
                <c:pt idx="184">
                  <c:v>0.10287559122911086</c:v>
                </c:pt>
                <c:pt idx="185">
                  <c:v>0.10304801681317728</c:v>
                </c:pt>
                <c:pt idx="186">
                  <c:v>0.10321841371167234</c:v>
                </c:pt>
                <c:pt idx="187">
                  <c:v>0.10338683744105387</c:v>
                </c:pt>
                <c:pt idx="188">
                  <c:v>0.10355334652108764</c:v>
                </c:pt>
                <c:pt idx="189">
                  <c:v>0.10371800205669141</c:v>
                </c:pt>
                <c:pt idx="190">
                  <c:v>0.103880867313959</c:v>
                </c:pt>
                <c:pt idx="191">
                  <c:v>0.10404200729354733</c:v>
                </c:pt>
                <c:pt idx="192">
                  <c:v>0.10420148830459405</c:v>
                </c:pt>
                <c:pt idx="193">
                  <c:v>0.1043593775422874</c:v>
                </c:pt>
                <c:pt idx="194">
                  <c:v>0.10451574267213588</c:v>
                </c:pt>
                <c:pt idx="195">
                  <c:v>0.10467065142388184</c:v>
                </c:pt>
                <c:pt idx="196">
                  <c:v>0.10482417119787513</c:v>
                </c:pt>
                <c:pt idx="197">
                  <c:v>0.10497636868656691</c:v>
                </c:pt>
                <c:pt idx="198">
                  <c:v>0.10512730951360416</c:v>
                </c:pt>
                <c:pt idx="199">
                  <c:v>0.10527705789280563</c:v>
                </c:pt>
                <c:pt idx="200">
                  <c:v>0.10542567630907665</c:v>
                </c:pt>
                <c:pt idx="201">
                  <c:v>0.10557322522308185</c:v>
                </c:pt>
                <c:pt idx="202">
                  <c:v>0.10571976280124105</c:v>
                </c:pt>
                <c:pt idx="203">
                  <c:v>0.10586534467234363</c:v>
                </c:pt>
                <c:pt idx="204">
                  <c:v>0.10601002371180354</c:v>
                </c:pt>
                <c:pt idx="205">
                  <c:v>0.1061538498542887</c:v>
                </c:pt>
                <c:pt idx="206">
                  <c:v>0.10629686993517379</c:v>
                </c:pt>
                <c:pt idx="207">
                  <c:v>0.10643912756097469</c:v>
                </c:pt>
                <c:pt idx="208">
                  <c:v>0.10658066300863595</c:v>
                </c:pt>
                <c:pt idx="209">
                  <c:v>0.10672151315326085</c:v>
                </c:pt>
                <c:pt idx="210">
                  <c:v>0.10686171142360013</c:v>
                </c:pt>
                <c:pt idx="211">
                  <c:v>0.10700128778435133</c:v>
                </c:pt>
                <c:pt idx="212">
                  <c:v>0.10714026874407218</c:v>
                </c:pt>
                <c:pt idx="213">
                  <c:v>0.10727867738727864</c:v>
                </c:pt>
                <c:pt idx="214">
                  <c:v>0.1074165334290826</c:v>
                </c:pt>
                <c:pt idx="215">
                  <c:v>0.10755385329053242</c:v>
                </c:pt>
                <c:pt idx="216">
                  <c:v>0.10769065019264834</c:v>
                </c:pt>
                <c:pt idx="217">
                  <c:v>0.1078269342669996</c:v>
                </c:pt>
                <c:pt idx="218">
                  <c:v>0.10796271268055108</c:v>
                </c:pt>
                <c:pt idx="219">
                  <c:v>0.10809798977241532</c:v>
                </c:pt>
                <c:pt idx="220">
                  <c:v>0.10823276720008373</c:v>
                </c:pt>
                <c:pt idx="221">
                  <c:v>0.10836704409267499</c:v>
                </c:pt>
                <c:pt idx="222">
                  <c:v>0.10850081720873683</c:v>
                </c:pt>
                <c:pt idx="223">
                  <c:v>0.10863408109615949</c:v>
                </c:pt>
                <c:pt idx="224">
                  <c:v>0.108766828251815</c:v>
                </c:pt>
                <c:pt idx="225">
                  <c:v>0.10889904927861827</c:v>
                </c:pt>
                <c:pt idx="226">
                  <c:v>0.10903073303781574</c:v>
                </c:pt>
                <c:pt idx="227">
                  <c:v>0.10916186679444323</c:v>
                </c:pt>
                <c:pt idx="228">
                  <c:v>0.10929243635405524</c:v>
                </c:pt>
                <c:pt idx="229">
                  <c:v>0.10942242618901156</c:v>
                </c:pt>
                <c:pt idx="230">
                  <c:v>0.10955181955281047</c:v>
                </c:pt>
                <c:pt idx="231">
                  <c:v>0.10968059858118001</c:v>
                </c:pt>
                <c:pt idx="232">
                  <c:v>0.10980874437887692</c:v>
                </c:pt>
                <c:pt idx="233">
                  <c:v>0.10993623709139311</c:v>
                </c:pt>
                <c:pt idx="234">
                  <c:v>0.11006305596103069</c:v>
                </c:pt>
                <c:pt idx="235">
                  <c:v>0.11018917936707472</c:v>
                </c:pt>
                <c:pt idx="236">
                  <c:v>0.11031458485006283</c:v>
                </c:pt>
                <c:pt idx="237">
                  <c:v>0.11043924912042559</c:v>
                </c:pt>
                <c:pt idx="238">
                  <c:v>0.11056314805203928</c:v>
                </c:pt>
                <c:pt idx="239">
                  <c:v>0.1106862566614972</c:v>
                </c:pt>
                <c:pt idx="240">
                  <c:v>0.11080854907416206</c:v>
                </c:pt>
                <c:pt idx="241">
                  <c:v>0.11092999847830234</c:v>
                </c:pt>
                <c:pt idx="242">
                  <c:v>0.11105057706884693</c:v>
                </c:pt>
                <c:pt idx="243">
                  <c:v>0.11117025598249895</c:v>
                </c:pt>
                <c:pt idx="244">
                  <c:v>0.11128900522614342</c:v>
                </c:pt>
                <c:pt idx="245">
                  <c:v>0.11140679360064634</c:v>
                </c:pt>
                <c:pt idx="246">
                  <c:v>0.11152358862228799</c:v>
                </c:pt>
                <c:pt idx="247">
                  <c:v>0.1116393564441852</c:v>
                </c:pt>
                <c:pt idx="248">
                  <c:v>0.11175406178014509</c:v>
                </c:pt>
                <c:pt idx="249">
                  <c:v>0.11186766783344737</c:v>
                </c:pt>
                <c:pt idx="250">
                  <c:v>0.11198013623307851</c:v>
                </c:pt>
                <c:pt idx="251">
                  <c:v>0.11209142697993167</c:v>
                </c:pt>
                <c:pt idx="252">
                  <c:v>0.11220149840544938</c:v>
                </c:pt>
                <c:pt idx="253">
                  <c:v>0.11231030714511238</c:v>
                </c:pt>
                <c:pt idx="254">
                  <c:v>0.11241780812907644</c:v>
                </c:pt>
                <c:pt idx="255">
                  <c:v>0.11252395459212218</c:v>
                </c:pt>
                <c:pt idx="256">
                  <c:v>0.11262869810492079</c:v>
                </c:pt>
                <c:pt idx="257">
                  <c:v>0.11273198862842321</c:v>
                </c:pt>
                <c:pt idx="258">
                  <c:v>0.11283377459296041</c:v>
                </c:pt>
                <c:pt idx="259">
                  <c:v>0.11293400300339856</c:v>
                </c:pt>
                <c:pt idx="260">
                  <c:v>0.11303261957142248</c:v>
                </c:pt>
                <c:pt idx="261">
                  <c:v>0.11312956887573516</c:v>
                </c:pt>
                <c:pt idx="262">
                  <c:v>0.11322479455065515</c:v>
                </c:pt>
                <c:pt idx="263">
                  <c:v>0.11331823950327433</c:v>
                </c:pt>
                <c:pt idx="264">
                  <c:v>0.11340984615900949</c:v>
                </c:pt>
                <c:pt idx="265">
                  <c:v>0.1134995567350431</c:v>
                </c:pt>
                <c:pt idx="266">
                  <c:v>0.11358731354080844</c:v>
                </c:pt>
                <c:pt idx="267">
                  <c:v>0.11367305930433245</c:v>
                </c:pt>
                <c:pt idx="268">
                  <c:v>0.11375673752291175</c:v>
                </c:pt>
                <c:pt idx="269">
                  <c:v>0.11383829283626772</c:v>
                </c:pt>
                <c:pt idx="270">
                  <c:v>0.11391767142000511</c:v>
                </c:pt>
                <c:pt idx="271">
                  <c:v>0.11399482139689464</c:v>
                </c:pt>
                <c:pt idx="272">
                  <c:v>0.11406969326321222</c:v>
                </c:pt>
                <c:pt idx="273">
                  <c:v>0.11414224032710063</c:v>
                </c:pt>
                <c:pt idx="274">
                  <c:v>0.11421241915567795</c:v>
                </c:pt>
                <c:pt idx="275">
                  <c:v>0.1142801900274029</c:v>
                </c:pt>
                <c:pt idx="276">
                  <c:v>0.11434551738602203</c:v>
                </c:pt>
                <c:pt idx="277">
                  <c:v>0.11440837029227208</c:v>
                </c:pt>
                <c:pt idx="278">
                  <c:v>0.11446872286939322</c:v>
                </c:pt>
                <c:pt idx="279">
                  <c:v>0.11452655473842779</c:v>
                </c:pt>
                <c:pt idx="280">
                  <c:v>0.11458185143923592</c:v>
                </c:pt>
                <c:pt idx="281">
                  <c:v>0.114634604833155</c:v>
                </c:pt>
                <c:pt idx="282">
                  <c:v>0.11468481348326526</c:v>
                </c:pt>
                <c:pt idx="283">
                  <c:v>0.11473248300829844</c:v>
                </c:pt>
                <c:pt idx="284">
                  <c:v>0.11477762640634169</c:v>
                </c:pt>
                <c:pt idx="285">
                  <c:v>0.11482026434464344</c:v>
                </c:pt>
                <c:pt idx="286">
                  <c:v>0.11486042541201898</c:v>
                </c:pt>
                <c:pt idx="287">
                  <c:v>0.11489814633058522</c:v>
                </c:pt>
                <c:pt idx="288">
                  <c:v>0.11493347212381712</c:v>
                </c:pt>
                <c:pt idx="289">
                  <c:v>0.11496645623821804</c:v>
                </c:pt>
                <c:pt idx="290">
                  <c:v>0.11499716061622504</c:v>
                </c:pt>
                <c:pt idx="291">
                  <c:v>0.11502565571832736</c:v>
                </c:pt>
                <c:pt idx="292">
                  <c:v>0.11505202049276007</c:v>
                </c:pt>
                <c:pt idx="293">
                  <c:v>0.11507634229153858</c:v>
                </c:pt>
                <c:pt idx="294">
                  <c:v>0.11509871673202222</c:v>
                </c:pt>
                <c:pt idx="295">
                  <c:v>0.11511924750363443</c:v>
                </c:pt>
                <c:pt idx="296">
                  <c:v>0.11513804611981286</c:v>
                </c:pt>
                <c:pt idx="297">
                  <c:v>0.11515523161571772</c:v>
                </c:pt>
                <c:pt idx="298">
                  <c:v>0.11517093019268484</c:v>
                </c:pt>
                <c:pt idx="299">
                  <c:v>0.11518527481086199</c:v>
                </c:pt>
                <c:pt idx="300">
                  <c:v>0.11519840473191799</c:v>
                </c:pt>
                <c:pt idx="301">
                  <c:v>0.11521046501415001</c:v>
                </c:pt>
                <c:pt idx="302">
                  <c:v>0.11522160596273871</c:v>
                </c:pt>
                <c:pt idx="303">
                  <c:v>0.11523198253830498</c:v>
                </c:pt>
                <c:pt idx="304">
                  <c:v>0.11524175372730398</c:v>
                </c:pt>
                <c:pt idx="305">
                  <c:v>0.11525108187814648</c:v>
                </c:pt>
                <c:pt idx="306">
                  <c:v>0.11526013200726425</c:v>
                </c:pt>
                <c:pt idx="307">
                  <c:v>0.11526907107962697</c:v>
                </c:pt>
                <c:pt idx="308">
                  <c:v>0.11527806726847542</c:v>
                </c:pt>
                <c:pt idx="309">
                  <c:v>0.11528728919925123</c:v>
                </c:pt>
                <c:pt idx="310">
                  <c:v>0.11529690518288162</c:v>
                </c:pt>
                <c:pt idx="311">
                  <c:v>0.11530708244370906</c:v>
                </c:pt>
                <c:pt idx="312">
                  <c:v>0.11531798634744557</c:v>
                </c:pt>
                <c:pt idx="313">
                  <c:v>0.11532977963457422</c:v>
                </c:pt>
                <c:pt idx="314">
                  <c:v>0.11534262166461745</c:v>
                </c:pt>
                <c:pt idx="315">
                  <c:v>0.1153566676766432</c:v>
                </c:pt>
                <c:pt idx="316">
                  <c:v>0.11537206807128263</c:v>
                </c:pt>
                <c:pt idx="317">
                  <c:v>0.11538896771939451</c:v>
                </c:pt>
                <c:pt idx="318">
                  <c:v>0.11540750530232349</c:v>
                </c:pt>
                <c:pt idx="319">
                  <c:v>0.1154278126884723</c:v>
                </c:pt>
                <c:pt idx="320">
                  <c:v>0.11545001435063808</c:v>
                </c:pt>
                <c:pt idx="321">
                  <c:v>0.11547422682825415</c:v>
                </c:pt>
                <c:pt idx="322">
                  <c:v>0.11550055823833483</c:v>
                </c:pt>
                <c:pt idx="323">
                  <c:v>0.11552910783854231</c:v>
                </c:pt>
                <c:pt idx="324">
                  <c:v>0.11555996564538847</c:v>
                </c:pt>
                <c:pt idx="325">
                  <c:v>0.11559321211014996</c:v>
                </c:pt>
                <c:pt idx="326">
                  <c:v>0.11562891785462012</c:v>
                </c:pt>
                <c:pt idx="327">
                  <c:v>0.11566714346834617</c:v>
                </c:pt>
                <c:pt idx="328">
                  <c:v>0.11570793936851372</c:v>
                </c:pt>
                <c:pt idx="329">
                  <c:v>0.11575134572314169</c:v>
                </c:pt>
                <c:pt idx="330">
                  <c:v>0.11579739243774997</c:v>
                </c:pt>
                <c:pt idx="331">
                  <c:v>0.11584609920515671</c:v>
                </c:pt>
                <c:pt idx="332">
                  <c:v>0.11589747561756605</c:v>
                </c:pt>
                <c:pt idx="333">
                  <c:v>0.11595152133961407</c:v>
                </c:pt>
                <c:pt idx="334">
                  <c:v>0.11600822634056379</c:v>
                </c:pt>
                <c:pt idx="335">
                  <c:v>0.11606757118338029</c:v>
                </c:pt>
                <c:pt idx="336">
                  <c:v>0.11612952736797678</c:v>
                </c:pt>
                <c:pt idx="337">
                  <c:v>0.11619405772550816</c:v>
                </c:pt>
                <c:pt idx="338">
                  <c:v>0.11626111686020506</c:v>
                </c:pt>
                <c:pt idx="339">
                  <c:v>0.11633065163488576</c:v>
                </c:pt>
                <c:pt idx="340">
                  <c:v>0.11640260169596822</c:v>
                </c:pt>
                <c:pt idx="341">
                  <c:v>0.11647690003352323</c:v>
                </c:pt>
                <c:pt idx="342">
                  <c:v>0.11655347357167049</c:v>
                </c:pt>
                <c:pt idx="343">
                  <c:v>0.11663224378442383</c:v>
                </c:pt>
                <c:pt idx="344">
                  <c:v>0.11671312733193735</c:v>
                </c:pt>
                <c:pt idx="345">
                  <c:v>0.11679603671199761</c:v>
                </c:pt>
                <c:pt idx="346">
                  <c:v>0.11688088092154435</c:v>
                </c:pt>
                <c:pt idx="347">
                  <c:v>0.11696756612298775</c:v>
                </c:pt>
                <c:pt idx="348">
                  <c:v>0.11705599631011789</c:v>
                </c:pt>
                <c:pt idx="349">
                  <c:v>0.11714607396848156</c:v>
                </c:pt>
                <c:pt idx="350">
                  <c:v>0.11723770072521755</c:v>
                </c:pt>
                <c:pt idx="351">
                  <c:v>0.1173307779835078</c:v>
                </c:pt>
                <c:pt idx="352">
                  <c:v>0.11742520753700428</c:v>
                </c:pt>
                <c:pt idx="353">
                  <c:v>0.11752089215983462</c:v>
                </c:pt>
                <c:pt idx="354">
                  <c:v>0.11761773616807061</c:v>
                </c:pt>
                <c:pt idx="355">
                  <c:v>0.11771564594885416</c:v>
                </c:pt>
                <c:pt idx="356">
                  <c:v>0.11781453045372135</c:v>
                </c:pt>
                <c:pt idx="357">
                  <c:v>0.11791430165303363</c:v>
                </c:pt>
                <c:pt idx="358">
                  <c:v>0.11801487494881864</c:v>
                </c:pt>
                <c:pt idx="359">
                  <c:v>0.11811616954373744</c:v>
                </c:pt>
                <c:pt idx="360">
                  <c:v>0.11821810876432007</c:v>
                </c:pt>
                <c:pt idx="361">
                  <c:v>0.11832062033705319</c:v>
                </c:pt>
                <c:pt idx="362">
                  <c:v>0.11842363661634686</c:v>
                </c:pt>
                <c:pt idx="363">
                  <c:v>0.11852709476385755</c:v>
                </c:pt>
                <c:pt idx="364">
                  <c:v>0.11863093687909014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2.7745511688319961E-2</c:v>
                </c:pt>
                <c:pt idx="1">
                  <c:v>2.743852784415381E-2</c:v>
                </c:pt>
                <c:pt idx="2">
                  <c:v>2.7119538956099382E-2</c:v>
                </c:pt>
                <c:pt idx="3">
                  <c:v>2.6789543102569174E-2</c:v>
                </c:pt>
                <c:pt idx="4">
                  <c:v>2.6449520955710452E-2</c:v>
                </c:pt>
                <c:pt idx="5">
                  <c:v>2.6100430854659469E-2</c:v>
                </c:pt>
                <c:pt idx="6">
                  <c:v>2.5743204528885361E-2</c:v>
                </c:pt>
                <c:pt idx="7">
                  <c:v>2.5378743390438843E-2</c:v>
                </c:pt>
                <c:pt idx="8">
                  <c:v>2.5005060075710493E-2</c:v>
                </c:pt>
                <c:pt idx="9">
                  <c:v>2.4626485092907154E-2</c:v>
                </c:pt>
                <c:pt idx="10">
                  <c:v>2.4249651775021044E-2</c:v>
                </c:pt>
                <c:pt idx="11">
                  <c:v>2.3875889615302424E-2</c:v>
                </c:pt>
                <c:pt idx="12">
                  <c:v>2.3506411685747644E-2</c:v>
                </c:pt>
                <c:pt idx="13">
                  <c:v>2.3142316449572806E-2</c:v>
                </c:pt>
                <c:pt idx="14">
                  <c:v>2.2784591024090195E-2</c:v>
                </c:pt>
                <c:pt idx="15">
                  <c:v>2.2425122236992969E-2</c:v>
                </c:pt>
                <c:pt idx="16">
                  <c:v>2.2063540680318402E-2</c:v>
                </c:pt>
                <c:pt idx="17">
                  <c:v>2.1700902949784717E-2</c:v>
                </c:pt>
                <c:pt idx="18">
                  <c:v>2.1338172451704124E-2</c:v>
                </c:pt>
                <c:pt idx="19">
                  <c:v>2.0976339693536919E-2</c:v>
                </c:pt>
                <c:pt idx="20">
                  <c:v>2.0616353108147398E-2</c:v>
                </c:pt>
                <c:pt idx="21">
                  <c:v>2.0258980556020843E-2</c:v>
                </c:pt>
                <c:pt idx="22">
                  <c:v>1.9902747221101809E-2</c:v>
                </c:pt>
                <c:pt idx="23">
                  <c:v>1.9524277726736611E-2</c:v>
                </c:pt>
                <c:pt idx="24">
                  <c:v>1.9120185981202707E-2</c:v>
                </c:pt>
                <c:pt idx="25">
                  <c:v>1.869200104190983E-2</c:v>
                </c:pt>
                <c:pt idx="26">
                  <c:v>1.824119153643897E-2</c:v>
                </c:pt>
                <c:pt idx="27">
                  <c:v>1.7769162632279779E-2</c:v>
                </c:pt>
                <c:pt idx="28">
                  <c:v>1.7277253800002078E-2</c:v>
                </c:pt>
                <c:pt idx="29">
                  <c:v>1.6749811302240666E-2</c:v>
                </c:pt>
                <c:pt idx="30">
                  <c:v>1.6196108060089962E-2</c:v>
                </c:pt>
                <c:pt idx="31">
                  <c:v>1.5617593457360286E-2</c:v>
                </c:pt>
                <c:pt idx="32">
                  <c:v>1.5015636865590924E-2</c:v>
                </c:pt>
                <c:pt idx="33">
                  <c:v>1.4391527195731639E-2</c:v>
                </c:pt>
                <c:pt idx="34">
                  <c:v>1.374647295437108E-2</c:v>
                </c:pt>
                <c:pt idx="35">
                  <c:v>1.3081602716281664E-2</c:v>
                </c:pt>
                <c:pt idx="36">
                  <c:v>1.239770440856694E-2</c:v>
                </c:pt>
                <c:pt idx="37">
                  <c:v>1.1704475286647222E-2</c:v>
                </c:pt>
                <c:pt idx="38">
                  <c:v>1.1020559829746E-2</c:v>
                </c:pt>
                <c:pt idx="39">
                  <c:v>1.0345799034869258E-2</c:v>
                </c:pt>
                <c:pt idx="40">
                  <c:v>9.6800399477300139E-3</c:v>
                </c:pt>
                <c:pt idx="41">
                  <c:v>9.0231348777228809E-3</c:v>
                </c:pt>
                <c:pt idx="42">
                  <c:v>8.3749406649434328E-3</c:v>
                </c:pt>
                <c:pt idx="43">
                  <c:v>7.7599050530043345E-3</c:v>
                </c:pt>
                <c:pt idx="44">
                  <c:v>7.1911634189443215E-3</c:v>
                </c:pt>
                <c:pt idx="45">
                  <c:v>6.6672459158594721E-3</c:v>
                </c:pt>
                <c:pt idx="46">
                  <c:v>6.1867247590072496E-3</c:v>
                </c:pt>
                <c:pt idx="47">
                  <c:v>5.7482125102509239E-3</c:v>
                </c:pt>
                <c:pt idx="48">
                  <c:v>5.3503605079008006E-3</c:v>
                </c:pt>
                <c:pt idx="49">
                  <c:v>4.9918574230578758E-3</c:v>
                </c:pt>
                <c:pt idx="50">
                  <c:v>4.6713319070688869E-3</c:v>
                </c:pt>
                <c:pt idx="51">
                  <c:v>4.3982896604659889E-3</c:v>
                </c:pt>
                <c:pt idx="52">
                  <c:v>4.1637332863802548E-3</c:v>
                </c:pt>
                <c:pt idx="53">
                  <c:v>3.9664516716093837E-3</c:v>
                </c:pt>
                <c:pt idx="54">
                  <c:v>3.8052752139445772E-3</c:v>
                </c:pt>
                <c:pt idx="55">
                  <c:v>3.6790578419757937E-3</c:v>
                </c:pt>
                <c:pt idx="56">
                  <c:v>3.5866815084277023E-3</c:v>
                </c:pt>
                <c:pt idx="57">
                  <c:v>3.5264967913611819E-3</c:v>
                </c:pt>
                <c:pt idx="58">
                  <c:v>3.4768466379278889E-3</c:v>
                </c:pt>
                <c:pt idx="59">
                  <c:v>3.4374297034427742E-3</c:v>
                </c:pt>
                <c:pt idx="60">
                  <c:v>3.4079545272745065E-3</c:v>
                </c:pt>
                <c:pt idx="61">
                  <c:v>3.3881403650803518E-3</c:v>
                </c:pt>
                <c:pt idx="62">
                  <c:v>3.3777178949539054E-3</c:v>
                </c:pt>
                <c:pt idx="63">
                  <c:v>3.3764298129843515E-3</c:v>
                </c:pt>
                <c:pt idx="64">
                  <c:v>3.3838116664324271E-3</c:v>
                </c:pt>
                <c:pt idx="65">
                  <c:v>3.3977768557602573E-3</c:v>
                </c:pt>
                <c:pt idx="66">
                  <c:v>3.4090617949116501E-3</c:v>
                </c:pt>
                <c:pt idx="67">
                  <c:v>3.4178095771551335E-3</c:v>
                </c:pt>
                <c:pt idx="68">
                  <c:v>3.4241587507878256E-3</c:v>
                </c:pt>
                <c:pt idx="69">
                  <c:v>3.4282430796484711E-3</c:v>
                </c:pt>
                <c:pt idx="70">
                  <c:v>3.4301913654850476E-3</c:v>
                </c:pt>
                <c:pt idx="71">
                  <c:v>3.4275583596958281E-3</c:v>
                </c:pt>
                <c:pt idx="72">
                  <c:v>3.4210188731998055E-3</c:v>
                </c:pt>
                <c:pt idx="73">
                  <c:v>3.410746436054058E-3</c:v>
                </c:pt>
                <c:pt idx="74">
                  <c:v>3.3969060638331739E-3</c:v>
                </c:pt>
                <c:pt idx="75">
                  <c:v>3.3796541810422352E-3</c:v>
                </c:pt>
                <c:pt idx="76">
                  <c:v>3.3591385912079357E-3</c:v>
                </c:pt>
                <c:pt idx="77">
                  <c:v>3.335498485972475E-3</c:v>
                </c:pt>
                <c:pt idx="78">
                  <c:v>3.308604922256415E-3</c:v>
                </c:pt>
                <c:pt idx="79">
                  <c:v>3.2768987777506615E-3</c:v>
                </c:pt>
                <c:pt idx="80">
                  <c:v>3.2420089209695313E-3</c:v>
                </c:pt>
                <c:pt idx="81">
                  <c:v>3.2040851046304113E-3</c:v>
                </c:pt>
                <c:pt idx="82">
                  <c:v>3.1632682434170464E-3</c:v>
                </c:pt>
                <c:pt idx="83">
                  <c:v>3.1196902567812959E-3</c:v>
                </c:pt>
                <c:pt idx="84">
                  <c:v>3.0734739670791496E-3</c:v>
                </c:pt>
                <c:pt idx="85">
                  <c:v>3.0240111468125015E-3</c:v>
                </c:pt>
                <c:pt idx="86">
                  <c:v>2.9736634420997584E-3</c:v>
                </c:pt>
                <c:pt idx="87">
                  <c:v>2.9224908607178041E-3</c:v>
                </c:pt>
                <c:pt idx="88">
                  <c:v>2.8705469228597043E-3</c:v>
                </c:pt>
                <c:pt idx="89">
                  <c:v>2.8178788413254522E-3</c:v>
                </c:pt>
                <c:pt idx="90">
                  <c:v>2.7645276983082985E-3</c:v>
                </c:pt>
                <c:pt idx="91">
                  <c:v>2.7105286152214439E-3</c:v>
                </c:pt>
                <c:pt idx="92">
                  <c:v>2.6557603258959986E-3</c:v>
                </c:pt>
                <c:pt idx="93">
                  <c:v>2.5990422813828365E-3</c:v>
                </c:pt>
                <c:pt idx="94">
                  <c:v>2.5417122654699735E-3</c:v>
                </c:pt>
                <c:pt idx="95">
                  <c:v>2.4837787259563392E-3</c:v>
                </c:pt>
                <c:pt idx="96">
                  <c:v>2.4252476265706011E-3</c:v>
                </c:pt>
                <c:pt idx="97">
                  <c:v>2.3661224811734921E-3</c:v>
                </c:pt>
                <c:pt idx="98">
                  <c:v>2.3064043820496889E-3</c:v>
                </c:pt>
                <c:pt idx="99">
                  <c:v>2.2454217201565399E-3</c:v>
                </c:pt>
                <c:pt idx="100">
                  <c:v>2.183824889931445E-3</c:v>
                </c:pt>
                <c:pt idx="101">
                  <c:v>2.1216021452390146E-3</c:v>
                </c:pt>
                <c:pt idx="102">
                  <c:v>2.0587391084093722E-3</c:v>
                </c:pt>
                <c:pt idx="103">
                  <c:v>1.9952187564964562E-3</c:v>
                </c:pt>
                <c:pt idx="104">
                  <c:v>1.9310214015113331E-3</c:v>
                </c:pt>
                <c:pt idx="105">
                  <c:v>1.8661246647255888E-3</c:v>
                </c:pt>
                <c:pt idx="106">
                  <c:v>1.8004543330271718E-3</c:v>
                </c:pt>
                <c:pt idx="107">
                  <c:v>1.7334722383883102E-3</c:v>
                </c:pt>
                <c:pt idx="108">
                  <c:v>1.6661470284675655E-3</c:v>
                </c:pt>
                <c:pt idx="109">
                  <c:v>1.5984526867705475E-3</c:v>
                </c:pt>
                <c:pt idx="110">
                  <c:v>1.5303652659355333E-3</c:v>
                </c:pt>
                <c:pt idx="111">
                  <c:v>1.4618578343868782E-3</c:v>
                </c:pt>
                <c:pt idx="112">
                  <c:v>1.3928963998604681E-3</c:v>
                </c:pt>
                <c:pt idx="113">
                  <c:v>1.3243857688894063E-3</c:v>
                </c:pt>
                <c:pt idx="114">
                  <c:v>1.2569373899062198E-3</c:v>
                </c:pt>
                <c:pt idx="115">
                  <c:v>1.1905072531362693E-3</c:v>
                </c:pt>
                <c:pt idx="116">
                  <c:v>1.1250513064530589E-3</c:v>
                </c:pt>
                <c:pt idx="117">
                  <c:v>1.0605254661885217E-3</c:v>
                </c:pt>
                <c:pt idx="118">
                  <c:v>9.9688562455730657E-4</c:v>
                </c:pt>
                <c:pt idx="119">
                  <c:v>9.3408765373375973E-4</c:v>
                </c:pt>
                <c:pt idx="120">
                  <c:v>8.7208926713655251E-4</c:v>
                </c:pt>
                <c:pt idx="121">
                  <c:v>8.1280587386101653E-4</c:v>
                </c:pt>
                <c:pt idx="122">
                  <c:v>7.5664294650806417E-4</c:v>
                </c:pt>
                <c:pt idx="123">
                  <c:v>7.0355255275073893E-4</c:v>
                </c:pt>
                <c:pt idx="124">
                  <c:v>6.5349282799070224E-4</c:v>
                </c:pt>
                <c:pt idx="125">
                  <c:v>6.0642764103519399E-4</c:v>
                </c:pt>
                <c:pt idx="126">
                  <c:v>5.6232628080511889E-4</c:v>
                </c:pt>
                <c:pt idx="127">
                  <c:v>5.2194585303683334E-4</c:v>
                </c:pt>
                <c:pt idx="128">
                  <c:v>4.8433052998147634E-4</c:v>
                </c:pt>
                <c:pt idx="129">
                  <c:v>4.4946373987975354E-4</c:v>
                </c:pt>
                <c:pt idx="130">
                  <c:v>4.1733303361242283E-4</c:v>
                </c:pt>
                <c:pt idx="131">
                  <c:v>3.8792984441382241E-4</c:v>
                </c:pt>
                <c:pt idx="132">
                  <c:v>3.6124925260173267E-4</c:v>
                </c:pt>
                <c:pt idx="133">
                  <c:v>3.3728975350261783E-4</c:v>
                </c:pt>
                <c:pt idx="134">
                  <c:v>3.1606223574189935E-4</c:v>
                </c:pt>
                <c:pt idx="135">
                  <c:v>2.9768348580992145E-4</c:v>
                </c:pt>
                <c:pt idx="136">
                  <c:v>2.8016117646496906E-4</c:v>
                </c:pt>
                <c:pt idx="137">
                  <c:v>2.6348876769623068E-4</c:v>
                </c:pt>
                <c:pt idx="138">
                  <c:v>2.4766106633424396E-4</c:v>
                </c:pt>
                <c:pt idx="139">
                  <c:v>2.3267416860841674E-4</c:v>
                </c:pt>
                <c:pt idx="140">
                  <c:v>2.1852540369858984E-4</c:v>
                </c:pt>
                <c:pt idx="141">
                  <c:v>2.0566787023573174E-4</c:v>
                </c:pt>
                <c:pt idx="142">
                  <c:v>1.9329353929761303E-4</c:v>
                </c:pt>
                <c:pt idx="143">
                  <c:v>1.8139891200625205E-4</c:v>
                </c:pt>
                <c:pt idx="144">
                  <c:v>1.6998244911558652E-4</c:v>
                </c:pt>
                <c:pt idx="145">
                  <c:v>1.5904323316974926E-4</c:v>
                </c:pt>
                <c:pt idx="146">
                  <c:v>1.4858094599575657E-4</c:v>
                </c:pt>
                <c:pt idx="147">
                  <c:v>1.3859584558902706E-4</c:v>
                </c:pt>
                <c:pt idx="148">
                  <c:v>1.2909139996435291E-4</c:v>
                </c:pt>
                <c:pt idx="149">
                  <c:v>1.2044982375959053E-4</c:v>
                </c:pt>
                <c:pt idx="150">
                  <c:v>1.1257714909558199E-4</c:v>
                </c:pt>
                <c:pt idx="151">
                  <c:v>1.0548193055386189E-4</c:v>
                </c:pt>
                <c:pt idx="152">
                  <c:v>9.9173439298754851E-5</c:v>
                </c:pt>
                <c:pt idx="153">
                  <c:v>9.3661620430081805E-5</c:v>
                </c:pt>
                <c:pt idx="154">
                  <c:v>8.8957048640381093E-5</c:v>
                </c:pt>
                <c:pt idx="155">
                  <c:v>8.5154036048521202E-5</c:v>
                </c:pt>
                <c:pt idx="156">
                  <c:v>8.1782349483011646E-5</c:v>
                </c:pt>
                <c:pt idx="157">
                  <c:v>7.8848665889007225E-5</c:v>
                </c:pt>
                <c:pt idx="158">
                  <c:v>7.6359951386663724E-5</c:v>
                </c:pt>
                <c:pt idx="159">
                  <c:v>7.4323432890746063E-5</c:v>
                </c:pt>
                <c:pt idx="160">
                  <c:v>7.2746569034104976E-5</c:v>
                </c:pt>
                <c:pt idx="161">
                  <c:v>7.1637020499256188E-5</c:v>
                </c:pt>
                <c:pt idx="162">
                  <c:v>7.1003772099765685E-5</c:v>
                </c:pt>
                <c:pt idx="163">
                  <c:v>7.0852012530485837E-5</c:v>
                </c:pt>
                <c:pt idx="164">
                  <c:v>7.0777371429815795E-5</c:v>
                </c:pt>
                <c:pt idx="165">
                  <c:v>7.0781290410438046E-5</c:v>
                </c:pt>
                <c:pt idx="166">
                  <c:v>7.0865248536405317E-5</c:v>
                </c:pt>
                <c:pt idx="167">
                  <c:v>7.1030757214475153E-5</c:v>
                </c:pt>
                <c:pt idx="168">
                  <c:v>7.1279355098584875E-5</c:v>
                </c:pt>
                <c:pt idx="169">
                  <c:v>7.1609746807764079E-5</c:v>
                </c:pt>
                <c:pt idx="170">
                  <c:v>7.1934583035457268E-5</c:v>
                </c:pt>
                <c:pt idx="171">
                  <c:v>7.2254622732701197E-5</c:v>
                </c:pt>
                <c:pt idx="172">
                  <c:v>7.2570612841794813E-5</c:v>
                </c:pt>
                <c:pt idx="173">
                  <c:v>7.2941643082421711E-5</c:v>
                </c:pt>
                <c:pt idx="174">
                  <c:v>7.3319173494891556E-5</c:v>
                </c:pt>
                <c:pt idx="175">
                  <c:v>7.3698504716604947E-5</c:v>
                </c:pt>
                <c:pt idx="176">
                  <c:v>7.4083263278704693E-5</c:v>
                </c:pt>
                <c:pt idx="177">
                  <c:v>7.4572404220296616E-5</c:v>
                </c:pt>
                <c:pt idx="178">
                  <c:v>7.5170985216053461E-5</c:v>
                </c:pt>
                <c:pt idx="179">
                  <c:v>7.588362208955247E-5</c:v>
                </c:pt>
                <c:pt idx="180">
                  <c:v>7.6714841289367405E-5</c:v>
                </c:pt>
                <c:pt idx="181">
                  <c:v>7.766908067788575E-5</c:v>
                </c:pt>
                <c:pt idx="182">
                  <c:v>7.8750691513957915E-5</c:v>
                </c:pt>
                <c:pt idx="183">
                  <c:v>8.0436304596663146E-5</c:v>
                </c:pt>
                <c:pt idx="184">
                  <c:v>8.2735032409022121E-5</c:v>
                </c:pt>
                <c:pt idx="185">
                  <c:v>8.5659382941742458E-5</c:v>
                </c:pt>
                <c:pt idx="186">
                  <c:v>8.9221753303250282E-5</c:v>
                </c:pt>
                <c:pt idx="187">
                  <c:v>9.3434457955780489E-5</c:v>
                </c:pt>
                <c:pt idx="188">
                  <c:v>9.8309760322755842E-5</c:v>
                </c:pt>
                <c:pt idx="189">
                  <c:v>1.0385990770609995E-4</c:v>
                </c:pt>
                <c:pt idx="190">
                  <c:v>1.1009703814310928E-4</c:v>
                </c:pt>
                <c:pt idx="191">
                  <c:v>1.1759950580989981E-4</c:v>
                </c:pt>
                <c:pt idx="192">
                  <c:v>1.2627764248088297E-4</c:v>
                </c:pt>
                <c:pt idx="193">
                  <c:v>1.3614755787150172E-4</c:v>
                </c:pt>
                <c:pt idx="194">
                  <c:v>1.4722533297599458E-4</c:v>
                </c:pt>
                <c:pt idx="195">
                  <c:v>1.5952700504377634E-4</c:v>
                </c:pt>
                <c:pt idx="196">
                  <c:v>1.7306855284352792E-4</c:v>
                </c:pt>
                <c:pt idx="197">
                  <c:v>1.8805303221073347E-4</c:v>
                </c:pt>
                <c:pt idx="198">
                  <c:v>2.0398292817490587E-4</c:v>
                </c:pt>
                <c:pt idx="199">
                  <c:v>2.2087292920489735E-4</c:v>
                </c:pt>
                <c:pt idx="200">
                  <c:v>2.3873742911961217E-4</c:v>
                </c:pt>
                <c:pt idx="201">
                  <c:v>2.5759052020671671E-4</c:v>
                </c:pt>
                <c:pt idx="202">
                  <c:v>2.7744598579400033E-4</c:v>
                </c:pt>
                <c:pt idx="203">
                  <c:v>2.9831729205125653E-4</c:v>
                </c:pt>
                <c:pt idx="204">
                  <c:v>3.2021745575674346E-4</c:v>
                </c:pt>
                <c:pt idx="205">
                  <c:v>3.4435028972243907E-4</c:v>
                </c:pt>
                <c:pt idx="206">
                  <c:v>3.7014822344833773E-4</c:v>
                </c:pt>
                <c:pt idx="207">
                  <c:v>3.9764037575161238E-4</c:v>
                </c:pt>
                <c:pt idx="208">
                  <c:v>4.2685607404557255E-4</c:v>
                </c:pt>
                <c:pt idx="209">
                  <c:v>4.5782497011245289E-4</c:v>
                </c:pt>
                <c:pt idx="210">
                  <c:v>4.905771602386229E-4</c:v>
                </c:pt>
                <c:pt idx="211">
                  <c:v>5.277332689845413E-4</c:v>
                </c:pt>
                <c:pt idx="212">
                  <c:v>5.6912594091256322E-4</c:v>
                </c:pt>
                <c:pt idx="213">
                  <c:v>6.1480962292531551E-4</c:v>
                </c:pt>
                <c:pt idx="214">
                  <c:v>6.648410280487698E-4</c:v>
                </c:pt>
                <c:pt idx="215">
                  <c:v>7.1927940212934672E-4</c:v>
                </c:pt>
                <c:pt idx="216">
                  <c:v>7.7818680105896975E-4</c:v>
                </c:pt>
                <c:pt idx="217">
                  <c:v>8.4162837990502809E-4</c:v>
                </c:pt>
                <c:pt idx="218">
                  <c:v>9.0964881090177139E-4</c:v>
                </c:pt>
                <c:pt idx="219">
                  <c:v>9.8363639820336218E-4</c:v>
                </c:pt>
                <c:pt idx="220">
                  <c:v>1.0623800248923357E-3</c:v>
                </c:pt>
                <c:pt idx="221">
                  <c:v>1.1459480244718336E-3</c:v>
                </c:pt>
                <c:pt idx="222">
                  <c:v>1.2344136101372759E-3</c:v>
                </c:pt>
                <c:pt idx="223">
                  <c:v>1.3278553901403985E-3</c:v>
                </c:pt>
                <c:pt idx="224">
                  <c:v>1.426357909712077E-3</c:v>
                </c:pt>
                <c:pt idx="225">
                  <c:v>1.5292597694982256E-3</c:v>
                </c:pt>
                <c:pt idx="226">
                  <c:v>1.6338955164229333E-3</c:v>
                </c:pt>
                <c:pt idx="227">
                  <c:v>1.7403205900900112E-3</c:v>
                </c:pt>
                <c:pt idx="228">
                  <c:v>1.8485961009987546E-3</c:v>
                </c:pt>
                <c:pt idx="229">
                  <c:v>1.9587891418466384E-3</c:v>
                </c:pt>
                <c:pt idx="230">
                  <c:v>2.0709731260370266E-3</c:v>
                </c:pt>
                <c:pt idx="231">
                  <c:v>2.1852281578489678E-3</c:v>
                </c:pt>
                <c:pt idx="232">
                  <c:v>2.3015744509917576E-3</c:v>
                </c:pt>
                <c:pt idx="233">
                  <c:v>2.4186148706193907E-3</c:v>
                </c:pt>
                <c:pt idx="234">
                  <c:v>2.5349410380968228E-3</c:v>
                </c:pt>
                <c:pt idx="235">
                  <c:v>2.650574307778414E-3</c:v>
                </c:pt>
                <c:pt idx="236">
                  <c:v>2.7655399470985441E-3</c:v>
                </c:pt>
                <c:pt idx="237">
                  <c:v>2.8798645472120246E-3</c:v>
                </c:pt>
                <c:pt idx="238">
                  <c:v>2.9935776098533183E-3</c:v>
                </c:pt>
                <c:pt idx="239">
                  <c:v>3.1049841733515951E-3</c:v>
                </c:pt>
                <c:pt idx="240">
                  <c:v>3.2149074889631503E-3</c:v>
                </c:pt>
                <c:pt idx="241">
                  <c:v>3.3233659623782439E-3</c:v>
                </c:pt>
                <c:pt idx="242">
                  <c:v>3.4303799809913341E-3</c:v>
                </c:pt>
                <c:pt idx="243">
                  <c:v>3.5359718825786514E-3</c:v>
                </c:pt>
                <c:pt idx="244">
                  <c:v>3.6401659306111163E-3</c:v>
                </c:pt>
                <c:pt idx="245">
                  <c:v>3.7429882964495511E-3</c:v>
                </c:pt>
                <c:pt idx="246">
                  <c:v>3.844516426045629E-3</c:v>
                </c:pt>
                <c:pt idx="247">
                  <c:v>3.9436822582995679E-3</c:v>
                </c:pt>
                <c:pt idx="248">
                  <c:v>4.0419951573545457E-3</c:v>
                </c:pt>
                <c:pt idx="249">
                  <c:v>4.1394337039796971E-3</c:v>
                </c:pt>
                <c:pt idx="250">
                  <c:v>4.2359709829350462E-3</c:v>
                </c:pt>
                <c:pt idx="251">
                  <c:v>4.3315743940455769E-3</c:v>
                </c:pt>
                <c:pt idx="252">
                  <c:v>4.4262054486727638E-3</c:v>
                </c:pt>
                <c:pt idx="253">
                  <c:v>4.5179342135357988E-3</c:v>
                </c:pt>
                <c:pt idx="254">
                  <c:v>4.6086054212694134E-3</c:v>
                </c:pt>
                <c:pt idx="255">
                  <c:v>4.6981632730991379E-3</c:v>
                </c:pt>
                <c:pt idx="256">
                  <c:v>4.7865451695486942E-3</c:v>
                </c:pt>
                <c:pt idx="257">
                  <c:v>4.8736814701120226E-3</c:v>
                </c:pt>
                <c:pt idx="258">
                  <c:v>4.9594952491233248E-3</c:v>
                </c:pt>
                <c:pt idx="259">
                  <c:v>5.0439020499845316E-3</c:v>
                </c:pt>
                <c:pt idx="260">
                  <c:v>5.1272156080871285E-3</c:v>
                </c:pt>
                <c:pt idx="261">
                  <c:v>5.2063374951343468E-3</c:v>
                </c:pt>
                <c:pt idx="262">
                  <c:v>5.2823452258074569E-3</c:v>
                </c:pt>
                <c:pt idx="263">
                  <c:v>5.3550544820565029E-3</c:v>
                </c:pt>
                <c:pt idx="264">
                  <c:v>5.4242637768624081E-3</c:v>
                </c:pt>
                <c:pt idx="265">
                  <c:v>5.4897832445027148E-3</c:v>
                </c:pt>
                <c:pt idx="266">
                  <c:v>5.5513916037700046E-3</c:v>
                </c:pt>
                <c:pt idx="267">
                  <c:v>5.6093806371042337E-3</c:v>
                </c:pt>
                <c:pt idx="268">
                  <c:v>5.6656943429727264E-3</c:v>
                </c:pt>
                <c:pt idx="269">
                  <c:v>5.7201398652405198E-3</c:v>
                </c:pt>
                <c:pt idx="270">
                  <c:v>5.7725090958194742E-3</c:v>
                </c:pt>
                <c:pt idx="271">
                  <c:v>5.8225784128464186E-3</c:v>
                </c:pt>
                <c:pt idx="272">
                  <c:v>5.8701085143982226E-3</c:v>
                </c:pt>
                <c:pt idx="273">
                  <c:v>5.9148443690344331E-3</c:v>
                </c:pt>
                <c:pt idx="274">
                  <c:v>5.9572730370460085E-3</c:v>
                </c:pt>
                <c:pt idx="275">
                  <c:v>6.0040395535545564E-3</c:v>
                </c:pt>
                <c:pt idx="276">
                  <c:v>6.0592149840377691E-3</c:v>
                </c:pt>
                <c:pt idx="277">
                  <c:v>6.1229642301059428E-3</c:v>
                </c:pt>
                <c:pt idx="278">
                  <c:v>6.1954534176458216E-3</c:v>
                </c:pt>
                <c:pt idx="279">
                  <c:v>6.2768474155716035E-3</c:v>
                </c:pt>
                <c:pt idx="280">
                  <c:v>6.3673070538091169E-3</c:v>
                </c:pt>
                <c:pt idx="281">
                  <c:v>6.4839895447683614E-3</c:v>
                </c:pt>
                <c:pt idx="282">
                  <c:v>6.6270024008963733E-3</c:v>
                </c:pt>
                <c:pt idx="283">
                  <c:v>6.7971354364057025E-3</c:v>
                </c:pt>
                <c:pt idx="284">
                  <c:v>6.9951726246782423E-3</c:v>
                </c:pt>
                <c:pt idx="285">
                  <c:v>7.2218810531438759E-3</c:v>
                </c:pt>
                <c:pt idx="286">
                  <c:v>7.4779985307352982E-3</c:v>
                </c:pt>
                <c:pt idx="287">
                  <c:v>7.7642198153511097E-3</c:v>
                </c:pt>
                <c:pt idx="288">
                  <c:v>8.0816937146113432E-3</c:v>
                </c:pt>
                <c:pt idx="289">
                  <c:v>8.4607443085956916E-3</c:v>
                </c:pt>
                <c:pt idx="290">
                  <c:v>8.8960395711031801E-3</c:v>
                </c:pt>
                <c:pt idx="291">
                  <c:v>9.3895227850069405E-3</c:v>
                </c:pt>
                <c:pt idx="292">
                  <c:v>9.9431805102135219E-3</c:v>
                </c:pt>
                <c:pt idx="293">
                  <c:v>1.0559047140501102E-2</c:v>
                </c:pt>
                <c:pt idx="294">
                  <c:v>1.1239210113026326E-2</c:v>
                </c:pt>
                <c:pt idx="295">
                  <c:v>1.1988819805426345E-2</c:v>
                </c:pt>
                <c:pt idx="296">
                  <c:v>1.2789767489454221E-2</c:v>
                </c:pt>
                <c:pt idx="297">
                  <c:v>1.3643830898537827E-2</c:v>
                </c:pt>
                <c:pt idx="298">
                  <c:v>1.4552768257300034E-2</c:v>
                </c:pt>
                <c:pt idx="299">
                  <c:v>1.5518419206836012E-2</c:v>
                </c:pt>
                <c:pt idx="300">
                  <c:v>1.6542713564824427E-2</c:v>
                </c:pt>
                <c:pt idx="301">
                  <c:v>1.7627681027012801E-2</c:v>
                </c:pt>
                <c:pt idx="302">
                  <c:v>1.8775550679969798E-2</c:v>
                </c:pt>
                <c:pt idx="303">
                  <c:v>1.9956476348753142E-2</c:v>
                </c:pt>
                <c:pt idx="304">
                  <c:v>2.1136212354581383E-2</c:v>
                </c:pt>
                <c:pt idx="305">
                  <c:v>2.2313883687736385E-2</c:v>
                </c:pt>
                <c:pt idx="306">
                  <c:v>2.3488489593635368E-2</c:v>
                </c:pt>
                <c:pt idx="307">
                  <c:v>2.4658897822429963E-2</c:v>
                </c:pt>
                <c:pt idx="308">
                  <c:v>2.5823839110080869E-2</c:v>
                </c:pt>
                <c:pt idx="309">
                  <c:v>2.695593438065666E-2</c:v>
                </c:pt>
                <c:pt idx="310">
                  <c:v>2.8049031901938182E-2</c:v>
                </c:pt>
                <c:pt idx="311">
                  <c:v>2.9100304987023852E-2</c:v>
                </c:pt>
                <c:pt idx="312">
                  <c:v>3.0106772435384843E-2</c:v>
                </c:pt>
                <c:pt idx="313">
                  <c:v>3.1065305505577311E-2</c:v>
                </c:pt>
                <c:pt idx="314">
                  <c:v>3.1972637148628857E-2</c:v>
                </c:pt>
                <c:pt idx="315">
                  <c:v>3.2825373747544247E-2</c:v>
                </c:pt>
                <c:pt idx="316">
                  <c:v>3.3620572655374242E-2</c:v>
                </c:pt>
                <c:pt idx="317">
                  <c:v>3.4352666679011268E-2</c:v>
                </c:pt>
                <c:pt idx="318">
                  <c:v>3.5057422582122251E-2</c:v>
                </c:pt>
                <c:pt idx="319">
                  <c:v>3.5733730293046412E-2</c:v>
                </c:pt>
                <c:pt idx="320">
                  <c:v>3.6380527020765482E-2</c:v>
                </c:pt>
                <c:pt idx="321">
                  <c:v>3.6996798875723866E-2</c:v>
                </c:pt>
                <c:pt idx="322">
                  <c:v>3.7581582083454343E-2</c:v>
                </c:pt>
                <c:pt idx="323">
                  <c:v>3.8145475697793432E-2</c:v>
                </c:pt>
                <c:pt idx="324">
                  <c:v>3.8718692918895556E-2</c:v>
                </c:pt>
                <c:pt idx="325">
                  <c:v>3.9301666344369247E-2</c:v>
                </c:pt>
                <c:pt idx="326">
                  <c:v>3.9894619272592163E-2</c:v>
                </c:pt>
                <c:pt idx="327">
                  <c:v>4.0497969186410208E-2</c:v>
                </c:pt>
                <c:pt idx="328">
                  <c:v>4.111238254370142E-2</c:v>
                </c:pt>
                <c:pt idx="329">
                  <c:v>4.1738579119173058E-2</c:v>
                </c:pt>
                <c:pt idx="330">
                  <c:v>4.2380126591057776E-2</c:v>
                </c:pt>
                <c:pt idx="331">
                  <c:v>4.303986862344647E-2</c:v>
                </c:pt>
                <c:pt idx="332">
                  <c:v>4.3720019624647083E-2</c:v>
                </c:pt>
                <c:pt idx="333">
                  <c:v>4.4418764010994198E-2</c:v>
                </c:pt>
                <c:pt idx="334">
                  <c:v>4.5134061938678027E-2</c:v>
                </c:pt>
                <c:pt idx="335">
                  <c:v>4.5863633871137101E-2</c:v>
                </c:pt>
                <c:pt idx="336">
                  <c:v>4.6604947345114979E-2</c:v>
                </c:pt>
                <c:pt idx="337">
                  <c:v>4.7341890081571865E-2</c:v>
                </c:pt>
                <c:pt idx="338">
                  <c:v>4.805788537695041E-2</c:v>
                </c:pt>
                <c:pt idx="339">
                  <c:v>4.8749010964044825E-2</c:v>
                </c:pt>
                <c:pt idx="340">
                  <c:v>4.9411147297853369E-2</c:v>
                </c:pt>
                <c:pt idx="341">
                  <c:v>5.0040005606606729E-2</c:v>
                </c:pt>
                <c:pt idx="342">
                  <c:v>5.0631163100368595E-2</c:v>
                </c:pt>
                <c:pt idx="343">
                  <c:v>5.1180105610186828E-2</c:v>
                </c:pt>
                <c:pt idx="344">
                  <c:v>5.1690135960357729E-2</c:v>
                </c:pt>
                <c:pt idx="345">
                  <c:v>5.2166654361196566E-2</c:v>
                </c:pt>
                <c:pt idx="346">
                  <c:v>5.2595356583158163E-2</c:v>
                </c:pt>
                <c:pt idx="347">
                  <c:v>5.2974833090951044E-2</c:v>
                </c:pt>
                <c:pt idx="348">
                  <c:v>5.3303794185699083E-2</c:v>
                </c:pt>
                <c:pt idx="349">
                  <c:v>5.3581081366863181E-2</c:v>
                </c:pt>
                <c:pt idx="350">
                  <c:v>5.3805678061587855E-2</c:v>
                </c:pt>
                <c:pt idx="351">
                  <c:v>5.3964586298341916E-2</c:v>
                </c:pt>
                <c:pt idx="352">
                  <c:v>5.4071269317384603E-2</c:v>
                </c:pt>
                <c:pt idx="353">
                  <c:v>5.4125211772688656E-2</c:v>
                </c:pt>
                <c:pt idx="354">
                  <c:v>5.4126067106158034E-2</c:v>
                </c:pt>
                <c:pt idx="355">
                  <c:v>5.407366261152597E-2</c:v>
                </c:pt>
                <c:pt idx="356">
                  <c:v>5.3967682691314724E-2</c:v>
                </c:pt>
                <c:pt idx="357">
                  <c:v>5.380856423030491E-2</c:v>
                </c:pt>
                <c:pt idx="358">
                  <c:v>5.3595540922012526E-2</c:v>
                </c:pt>
                <c:pt idx="359">
                  <c:v>5.3328815936107513E-2</c:v>
                </c:pt>
                <c:pt idx="360">
                  <c:v>5.2996043365754218E-2</c:v>
                </c:pt>
                <c:pt idx="361">
                  <c:v>5.2611096934135501E-2</c:v>
                </c:pt>
                <c:pt idx="362">
                  <c:v>5.2175924624582148E-2</c:v>
                </c:pt>
                <c:pt idx="363">
                  <c:v>5.1692578098618797E-2</c:v>
                </c:pt>
                <c:pt idx="364">
                  <c:v>5.1163192712144909E-2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918320"/>
        <c:axId val="443918712"/>
      </c:lineChart>
      <c:dateAx>
        <c:axId val="44391832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18712"/>
        <c:crosses val="autoZero"/>
        <c:auto val="1"/>
        <c:lblOffset val="100"/>
        <c:baseTimeUnit val="days"/>
        <c:majorUnit val="1"/>
        <c:majorTimeUnit val="months"/>
      </c:dateAx>
      <c:valAx>
        <c:axId val="44391871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39183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1.0008012024000075</c:v>
                </c:pt>
                <c:pt idx="1">
                  <c:v>1.0007451942139318</c:v>
                </c:pt>
                <c:pt idx="2">
                  <c:v>1.0006923375522503</c:v>
                </c:pt>
                <c:pt idx="3">
                  <c:v>1.0006423046352915</c:v>
                </c:pt>
                <c:pt idx="4">
                  <c:v>1.0005948099654767</c:v>
                </c:pt>
                <c:pt idx="5">
                  <c:v>1.0005496089569741</c:v>
                </c:pt>
                <c:pt idx="6">
                  <c:v>1.0005064962572598</c:v>
                </c:pt>
                <c:pt idx="7">
                  <c:v>1.0004653037873532</c:v>
                </c:pt>
                <c:pt idx="8">
                  <c:v>1.0004258985294689</c:v>
                </c:pt>
                <c:pt idx="9">
                  <c:v>1.0003881800925203</c:v>
                </c:pt>
                <c:pt idx="10">
                  <c:v>1.0003520780872477</c:v>
                </c:pt>
                <c:pt idx="11">
                  <c:v>1.000317549343787</c:v>
                </c:pt>
                <c:pt idx="12">
                  <c:v>1.000284575005181</c:v>
                </c:pt>
                <c:pt idx="13">
                  <c:v>1.0002531575306968</c:v>
                </c:pt>
                <c:pt idx="14">
                  <c:v>1.0002233176428463</c:v>
                </c:pt>
                <c:pt idx="15">
                  <c:v>1.0001950912516955</c:v>
                </c:pt>
                <c:pt idx="16">
                  <c:v>1.0001685263894387</c:v>
                </c:pt>
                <c:pt idx="17">
                  <c:v>1.000143680187277</c:v>
                </c:pt>
                <c:pt idx="18">
                  <c:v>1.0001206159254252</c:v>
                </c:pt>
                <c:pt idx="19">
                  <c:v>1.0000994001855641</c:v>
                </c:pt>
                <c:pt idx="20">
                  <c:v>1.0000801001333062</c:v>
                </c:pt>
                <c:pt idx="21">
                  <c:v>1.0000627809562408</c:v>
                </c:pt>
                <c:pt idx="22">
                  <c:v>1.000047503480928</c:v>
                </c:pt>
                <c:pt idx="23">
                  <c:v>1.0000343219898149</c:v>
                </c:pt>
                <c:pt idx="24">
                  <c:v>1.0000232822564965</c:v>
                </c:pt>
                <c:pt idx="25">
                  <c:v>1.0000144198150671</c:v>
                </c:pt>
                <c:pt idx="26">
                  <c:v>1.0000077584765197</c:v>
                </c:pt>
                <c:pt idx="27">
                  <c:v>1.0000033091023024</c:v>
                </c:pt>
                <c:pt idx="28">
                  <c:v>1.0000010686422387</c:v>
                </c:pt>
                <c:pt idx="29">
                  <c:v>1.0000010194411175</c:v>
                </c:pt>
                <c:pt idx="30">
                  <c:v>1.0000031288153666</c:v>
                </c:pt>
                <c:pt idx="31">
                  <c:v>1.0000073488983803</c:v>
                </c:pt>
                <c:pt idx="32">
                  <c:v>1.0000136167503104</c:v>
                </c:pt>
                <c:pt idx="33">
                  <c:v>1.0000218547254631</c:v>
                </c:pt>
                <c:pt idx="34">
                  <c:v>1.0000319710879078</c:v>
                </c:pt>
                <c:pt idx="35">
                  <c:v>1.0000438608635227</c:v>
                </c:pt>
                <c:pt idx="36">
                  <c:v>1.0000574069144899</c:v>
                </c:pt>
                <c:pt idx="37">
                  <c:v>1.0000724812202288</c:v>
                </c:pt>
                <c:pt idx="38">
                  <c:v>1.0000889463469604</c:v>
                </c:pt>
                <c:pt idx="39">
                  <c:v>1.0001066570864945</c:v>
                </c:pt>
                <c:pt idx="40">
                  <c:v>1.0001254622434985</c:v>
                </c:pt>
                <c:pt idx="41">
                  <c:v>1.0001452065493954</c:v>
                </c:pt>
                <c:pt idx="42">
                  <c:v>1.0001657326801925</c:v>
                </c:pt>
                <c:pt idx="43">
                  <c:v>1.0001868833549463</c:v>
                </c:pt>
                <c:pt idx="44">
                  <c:v>1.000208503491236</c:v>
                </c:pt>
                <c:pt idx="45">
                  <c:v>1.0002304423939314</c:v>
                </c:pt>
                <c:pt idx="46">
                  <c:v>1.000252555953715</c:v>
                </c:pt>
                <c:pt idx="47">
                  <c:v>1.0002747088322232</c:v>
                </c:pt>
                <c:pt idx="48">
                  <c:v>1.000296776611328</c:v>
                </c:pt>
                <c:pt idx="49">
                  <c:v>1.0003186478849331</c:v>
                </c:pt>
                <c:pt idx="50">
                  <c:v>1.0003402262727483</c:v>
                </c:pt>
                <c:pt idx="51">
                  <c:v>1.00036143233676</c:v>
                </c:pt>
                <c:pt idx="52">
                  <c:v>1.0003822053825553</c:v>
                </c:pt>
                <c:pt idx="53">
                  <c:v>1.0004025051292555</c:v>
                </c:pt>
                <c:pt idx="54">
                  <c:v>1.0004223132335279</c:v>
                </c:pt>
                <c:pt idx="55">
                  <c:v>1.0004416346549843</c:v>
                </c:pt>
                <c:pt idx="56">
                  <c:v>1.0004604988521888</c:v>
                </c:pt>
                <c:pt idx="57">
                  <c:v>1.0004789608004896</c:v>
                </c:pt>
                <c:pt idx="58">
                  <c:v>1.0004971018248976</c:v>
                </c:pt>
                <c:pt idx="59">
                  <c:v>1.0005150302432886</c:v>
                </c:pt>
                <c:pt idx="60">
                  <c:v>1.0005328818172239</c:v>
                </c:pt>
                <c:pt idx="61">
                  <c:v>1.0005508200096911</c:v>
                </c:pt>
                <c:pt idx="62">
                  <c:v>1.00056903605101</c:v>
                </c:pt>
                <c:pt idx="63">
                  <c:v>1.000587748816022</c:v>
                </c:pt>
                <c:pt idx="64">
                  <c:v>1.0006072045174599</c:v>
                </c:pt>
                <c:pt idx="65">
                  <c:v>1.0006276762220585</c:v>
                </c:pt>
                <c:pt idx="66">
                  <c:v>1.0006494631975054</c:v>
                </c:pt>
                <c:pt idx="67">
                  <c:v>1.0006728900997195</c:v>
                </c:pt>
                <c:pt idx="68">
                  <c:v>1.0006983060111823</c:v>
                </c:pt>
                <c:pt idx="69">
                  <c:v>1.0007260833421092</c:v>
                </c:pt>
                <c:pt idx="70">
                  <c:v>1.00075661660714</c:v>
                </c:pt>
                <c:pt idx="71">
                  <c:v>1.0007903210909299</c:v>
                </c:pt>
                <c:pt idx="72">
                  <c:v>1.0008276314165465</c:v>
                </c:pt>
                <c:pt idx="73">
                  <c:v>1.0008690000308975</c:v>
                </c:pt>
                <c:pt idx="74">
                  <c:v>1.0009148956215679</c:v>
                </c:pt>
                <c:pt idx="75">
                  <c:v>1.0009658014793861</c:v>
                </c:pt>
                <c:pt idx="76">
                  <c:v>1.0010222138208305</c:v>
                </c:pt>
                <c:pt idx="77">
                  <c:v>1.0010846400839761</c:v>
                </c:pt>
                <c:pt idx="78">
                  <c:v>1.0011535972111323</c:v>
                </c:pt>
                <c:pt idx="79">
                  <c:v>1.0012296099306042</c:v>
                </c:pt>
                <c:pt idx="80">
                  <c:v>1.0013132090491663</c:v>
                </c:pt>
                <c:pt idx="81">
                  <c:v>1.0014049297658574</c:v>
                </c:pt>
                <c:pt idx="82">
                  <c:v>1.0015053100166316</c:v>
                </c:pt>
                <c:pt idx="83">
                  <c:v>1.0016148888582224</c:v>
                </c:pt>
                <c:pt idx="84">
                  <c:v>1.0017342048983409</c:v>
                </c:pt>
                <c:pt idx="85">
                  <c:v>1.0018637947780269</c:v>
                </c:pt>
                <c:pt idx="86">
                  <c:v>1.0020041917106479</c:v>
                </c:pt>
                <c:pt idx="87">
                  <c:v>1.0021559240806954</c:v>
                </c:pt>
                <c:pt idx="88">
                  <c:v>1.0023195141041918</c:v>
                </c:pt>
                <c:pt idx="89">
                  <c:v>1.0024954765512124</c:v>
                </c:pt>
                <c:pt idx="90">
                  <c:v>1.0026843175297564</c:v>
                </c:pt>
                <c:pt idx="91">
                  <c:v>1.0028865333290011</c:v>
                </c:pt>
                <c:pt idx="92">
                  <c:v>1.0031026093188506</c:v>
                </c:pt>
                <c:pt idx="93">
                  <c:v>1.0033330189016565</c:v>
                </c:pt>
                <c:pt idx="94">
                  <c:v>1.0035782225110808</c:v>
                </c:pt>
                <c:pt idx="95">
                  <c:v>1.0038386666522721</c:v>
                </c:pt>
                <c:pt idx="96">
                  <c:v>1.0041147829768726</c:v>
                </c:pt>
                <c:pt idx="97">
                  <c:v>1.0044069873858612</c:v>
                </c:pt>
                <c:pt idx="98">
                  <c:v>1.0047156791528793</c:v>
                </c:pt>
                <c:pt idx="99">
                  <c:v>1.0050412400604856</c:v>
                </c:pt>
                <c:pt idx="100">
                  <c:v>1.0053840335417483</c:v>
                </c:pt>
                <c:pt idx="101">
                  <c:v>1.0057444038197074</c:v>
                </c:pt>
                <c:pt idx="102">
                  <c:v>1.0061226750375236</c:v>
                </c:pt>
                <c:pt idx="103">
                  <c:v>1.0065191503725841</c:v>
                </c:pt>
                <c:pt idx="104">
                  <c:v>1.0069341111284209</c:v>
                </c:pt>
                <c:pt idx="105">
                  <c:v>1.0073678157990584</c:v>
                </c:pt>
                <c:pt idx="106">
                  <c:v>1.0078204991012725</c:v>
                </c:pt>
                <c:pt idx="107">
                  <c:v>1.0082923709712646</c:v>
                </c:pt>
                <c:pt idx="108">
                  <c:v>1.0087836155233603</c:v>
                </c:pt>
                <c:pt idx="109">
                  <c:v>1.0092943899695677</c:v>
                </c:pt>
                <c:pt idx="110">
                  <c:v>1.0098248235001224</c:v>
                </c:pt>
                <c:pt idx="111">
                  <c:v>1.0103750161265057</c:v>
                </c:pt>
                <c:pt idx="112">
                  <c:v>1.0109450374898317</c:v>
                </c:pt>
                <c:pt idx="113">
                  <c:v>1.0115349256389261</c:v>
                </c:pt>
                <c:pt idx="114">
                  <c:v>1.012144685783857</c:v>
                </c:pt>
                <c:pt idx="115">
                  <c:v>1.0127742890320997</c:v>
                </c:pt>
                <c:pt idx="116">
                  <c:v>1.0134236711159033</c:v>
                </c:pt>
                <c:pt idx="117">
                  <c:v>1.0140927311207564</c:v>
                </c:pt>
                <c:pt idx="118">
                  <c:v>1.0147813302261093</c:v>
                </c:pt>
                <c:pt idx="119">
                  <c:v>1.0154892904706616</c:v>
                </c:pt>
                <c:pt idx="120">
                  <c:v>1.0162163935555841</c:v>
                </c:pt>
                <c:pt idx="121">
                  <c:v>1.0169623796999492</c:v>
                </c:pt>
                <c:pt idx="122">
                  <c:v>1.0177269465634224</c:v>
                </c:pt>
                <c:pt idx="123">
                  <c:v>1.0185097482518781</c:v>
                </c:pt>
                <c:pt idx="124">
                  <c:v>1.0193103944220328</c:v>
                </c:pt>
                <c:pt idx="125">
                  <c:v>1.0201284495014515</c:v>
                </c:pt>
                <c:pt idx="126">
                  <c:v>1.0209634320403354</c:v>
                </c:pt>
                <c:pt idx="127">
                  <c:v>1.0218148142113594</c:v>
                </c:pt>
                <c:pt idx="128">
                  <c:v>1.0226820214734937</c:v>
                </c:pt>
                <c:pt idx="129">
                  <c:v>1.0235644324151758</c:v>
                </c:pt>
                <c:pt idx="130">
                  <c:v>1.0244613787914654</c:v>
                </c:pt>
                <c:pt idx="131">
                  <c:v>1.0253721457688385</c:v>
                </c:pt>
                <c:pt idx="132">
                  <c:v>1.0262959723901337</c:v>
                </c:pt>
                <c:pt idx="133">
                  <c:v>1.0272320522708096</c:v>
                </c:pt>
                <c:pt idx="134">
                  <c:v>1.028179534536156</c:v>
                </c:pt>
                <c:pt idx="135">
                  <c:v>1.0291375250073977</c:v>
                </c:pt>
                <c:pt idx="136">
                  <c:v>1.0301050876427942</c:v>
                </c:pt>
                <c:pt idx="137">
                  <c:v>1.0310812462378462</c:v>
                </c:pt>
                <c:pt idx="138">
                  <c:v>1.0320649863866256</c:v>
                </c:pt>
                <c:pt idx="139">
                  <c:v>1.0330552577040335</c:v>
                </c:pt>
                <c:pt idx="140">
                  <c:v>1.0340509763065264</c:v>
                </c:pt>
                <c:pt idx="141">
                  <c:v>1.0350510275464999</c:v>
                </c:pt>
                <c:pt idx="142">
                  <c:v>1.0360542689931664</c:v>
                </c:pt>
                <c:pt idx="143">
                  <c:v>1.0370595336503814</c:v>
                </c:pt>
                <c:pt idx="144">
                  <c:v>1.0380656333995195</c:v>
                </c:pt>
                <c:pt idx="145">
                  <c:v>1.0390713626531864</c:v>
                </c:pt>
                <c:pt idx="146">
                  <c:v>1.0400755022033041</c:v>
                </c:pt>
                <c:pt idx="147">
                  <c:v>1.0410768232449565</c:v>
                </c:pt>
                <c:pt idx="148">
                  <c:v>1.0420740915553315</c:v>
                </c:pt>
                <c:pt idx="149">
                  <c:v>1.0430660718052081</c:v>
                </c:pt>
                <c:pt idx="150">
                  <c:v>1.0440515319786861</c:v>
                </c:pt>
                <c:pt idx="151">
                  <c:v>1.045029247875302</c:v>
                </c:pt>
                <c:pt idx="152">
                  <c:v>1.0459980076673159</c:v>
                </c:pt>
                <c:pt idx="153">
                  <c:v>1.0469566164838118</c:v>
                </c:pt>
                <c:pt idx="154">
                  <c:v>1.0479039009923501</c:v>
                </c:pt>
                <c:pt idx="155">
                  <c:v>1.0488387139482442</c:v>
                </c:pt>
                <c:pt idx="156">
                  <c:v>1.0497599386811327</c:v>
                </c:pt>
                <c:pt idx="157">
                  <c:v>1.0506664934883754</c:v>
                </c:pt>
                <c:pt idx="158">
                  <c:v>1.0515573359049299</c:v>
                </c:pt>
                <c:pt idx="159">
                  <c:v>1.0524314668197743</c:v>
                </c:pt>
                <c:pt idx="160">
                  <c:v>1.0532879344096036</c:v>
                </c:pt>
                <c:pt idx="161">
                  <c:v>1.0541258378614904</c:v>
                </c:pt>
                <c:pt idx="162">
                  <c:v>1.0549443308573896</c:v>
                </c:pt>
                <c:pt idx="163">
                  <c:v>1.0557426247948509</c:v>
                </c:pt>
                <c:pt idx="164">
                  <c:v>1.0565199917199994</c:v>
                </c:pt>
                <c:pt idx="165">
                  <c:v>1.0572757669507951</c:v>
                </c:pt>
                <c:pt idx="166">
                  <c:v>1.0580093513707336</c:v>
                </c:pt>
                <c:pt idx="167">
                  <c:v>1.0587202133755127</c:v>
                </c:pt>
                <c:pt idx="168">
                  <c:v>1.0594078904577069</c:v>
                </c:pt>
                <c:pt idx="169">
                  <c:v>1.0600719904171931</c:v>
                </c:pt>
                <c:pt idx="170">
                  <c:v>1.0607121921878733</c:v>
                </c:pt>
                <c:pt idx="171">
                  <c:v>1.0613282462741604</c:v>
                </c:pt>
                <c:pt idx="172">
                  <c:v>1.0619199747936985</c:v>
                </c:pt>
                <c:pt idx="173">
                  <c:v>1.0624872711258206</c:v>
                </c:pt>
                <c:pt idx="174">
                  <c:v>1.0630300991683224</c:v>
                </c:pt>
                <c:pt idx="175">
                  <c:v>1.0635484922081861</c:v>
                </c:pt>
                <c:pt idx="176">
                  <c:v>1.0640425514149074</c:v>
                </c:pt>
                <c:pt idx="177">
                  <c:v>1.0645124439680331</c:v>
                </c:pt>
                <c:pt idx="178">
                  <c:v>1.0649584008333788</c:v>
                </c:pt>
                <c:pt idx="179">
                  <c:v>1.0653807142051341</c:v>
                </c:pt>
                <c:pt idx="180">
                  <c:v>1.0657797346336484</c:v>
                </c:pt>
                <c:pt idx="181">
                  <c:v>1.0661558678611107</c:v>
                </c:pt>
                <c:pt idx="182">
                  <c:v>1.0665095713895567</c:v>
                </c:pt>
                <c:pt idx="183">
                  <c:v>1.0668413508076313</c:v>
                </c:pt>
                <c:pt idx="184">
                  <c:v>1.0671517559043058</c:v>
                </c:pt>
                <c:pt idx="185">
                  <c:v>1.0674413765992503</c:v>
                </c:pt>
                <c:pt idx="186">
                  <c:v>1.0677108387208034</c:v>
                </c:pt>
                <c:pt idx="187">
                  <c:v>1.0679607996634388</c:v>
                </c:pt>
                <c:pt idx="188">
                  <c:v>1.0681919439572902</c:v>
                </c:pt>
                <c:pt idx="189">
                  <c:v>1.0684049787826728</c:v>
                </c:pt>
                <c:pt idx="190">
                  <c:v>1.0686006294626016</c:v>
                </c:pt>
                <c:pt idx="191">
                  <c:v>1.068779634966077</c:v>
                </c:pt>
                <c:pt idx="192">
                  <c:v>1.0689427434543848</c:v>
                </c:pt>
                <c:pt idx="193">
                  <c:v>1.069090707901829</c:v>
                </c:pt>
                <c:pt idx="194">
                  <c:v>1.0692242818212188</c:v>
                </c:pt>
                <c:pt idx="195">
                  <c:v>1.0693442151230523</c:v>
                </c:pt>
                <c:pt idx="196">
                  <c:v>1.0694512501357087</c:v>
                </c:pt>
                <c:pt idx="197">
                  <c:v>1.0695461178120911</c:v>
                </c:pt>
                <c:pt idx="198">
                  <c:v>1.0696295341460638</c:v>
                </c:pt>
                <c:pt idx="199">
                  <c:v>1.0697021968197467</c:v>
                </c:pt>
                <c:pt idx="200">
                  <c:v>1.0697647821002518</c:v>
                </c:pt>
                <c:pt idx="201">
                  <c:v>1.0698179420018405</c:v>
                </c:pt>
                <c:pt idx="202">
                  <c:v>1.0698623017267397</c:v>
                </c:pt>
                <c:pt idx="203">
                  <c:v>1.0698984573950188</c:v>
                </c:pt>
                <c:pt idx="204">
                  <c:v>1.0699269740710424</c:v>
                </c:pt>
                <c:pt idx="205">
                  <c:v>1.0699483840910686</c:v>
                </c:pt>
                <c:pt idx="206">
                  <c:v>1.0699631856936382</c:v>
                </c:pt>
                <c:pt idx="207">
                  <c:v>1.0699718419514839</c:v>
                </c:pt>
                <c:pt idx="208">
                  <c:v>1.069974780000829</c:v>
                </c:pt>
                <c:pt idx="209">
                  <c:v>1.0699723905611838</c:v>
                </c:pt>
                <c:pt idx="210">
                  <c:v>1.0699650277360782</c:v>
                </c:pt>
                <c:pt idx="211">
                  <c:v>1.0699530090826617</c:v>
                </c:pt>
                <c:pt idx="212">
                  <c:v>1.0699366159357411</c:v>
                </c:pt>
                <c:pt idx="213">
                  <c:v>1.069916093969671</c:v>
                </c:pt>
                <c:pt idx="214">
                  <c:v>1.0698916539795564</c:v>
                </c:pt>
                <c:pt idx="215">
                  <c:v>1.0698634728615071</c:v>
                </c:pt>
                <c:pt idx="216">
                  <c:v>1.0698316947702151</c:v>
                </c:pt>
                <c:pt idx="217">
                  <c:v>1.0697964324309124</c:v>
                </c:pt>
                <c:pt idx="218">
                  <c:v>1.0697577685818316</c:v>
                </c:pt>
                <c:pt idx="219">
                  <c:v>1.0697157575226408</c:v>
                </c:pt>
                <c:pt idx="220">
                  <c:v>1.069670426743957</c:v>
                </c:pt>
                <c:pt idx="221">
                  <c:v>1.0696217786129636</c:v>
                </c:pt>
                <c:pt idx="222">
                  <c:v>1.0695697920903828</c:v>
                </c:pt>
                <c:pt idx="223">
                  <c:v>1.0695144244545405</c:v>
                </c:pt>
                <c:pt idx="224">
                  <c:v>1.0694556130090505</c:v>
                </c:pt>
                <c:pt idx="225">
                  <c:v>1.0693932767516918</c:v>
                </c:pt>
                <c:pt idx="226">
                  <c:v>1.0693273179833509</c:v>
                </c:pt>
                <c:pt idx="227">
                  <c:v>1.069257623837452</c:v>
                </c:pt>
                <c:pt idx="228">
                  <c:v>1.0691840677120616</c:v>
                </c:pt>
                <c:pt idx="229">
                  <c:v>1.069106510588818</c:v>
                </c:pt>
                <c:pt idx="230">
                  <c:v>1.0690248022249875</c:v>
                </c:pt>
                <c:pt idx="231">
                  <c:v>1.0689387822072411</c:v>
                </c:pt>
                <c:pt idx="232">
                  <c:v>1.0688482808581725</c:v>
                </c:pt>
                <c:pt idx="233">
                  <c:v>1.0687531199890978</c:v>
                </c:pt>
                <c:pt idx="234">
                  <c:v>1.0686531134952724</c:v>
                </c:pt>
                <c:pt idx="235">
                  <c:v>1.0685480677922854</c:v>
                </c:pt>
                <c:pt idx="236">
                  <c:v>1.0684377820950295</c:v>
                </c:pt>
                <c:pt idx="237">
                  <c:v>1.0683220485432612</c:v>
                </c:pt>
                <c:pt idx="238">
                  <c:v>1.0682006521803233</c:v>
                </c:pt>
                <c:pt idx="239">
                  <c:v>1.068073370794081</c:v>
                </c:pt>
                <c:pt idx="240">
                  <c:v>1.067939974631487</c:v>
                </c:pt>
                <c:pt idx="241">
                  <c:v>1.0678002260004089</c:v>
                </c:pt>
                <c:pt idx="242">
                  <c:v>1.0676538787744148</c:v>
                </c:pt>
                <c:pt idx="243">
                  <c:v>1.0675006778180676</c:v>
                </c:pt>
                <c:pt idx="244">
                  <c:v>1.0673403583519256</c:v>
                </c:pt>
                <c:pt idx="245">
                  <c:v>1.0671726452778623</c:v>
                </c:pt>
                <c:pt idx="246">
                  <c:v>1.0669972524864604</c:v>
                </c:pt>
                <c:pt idx="247">
                  <c:v>1.0668138821691335</c:v>
                </c:pt>
                <c:pt idx="248">
                  <c:v>1.0666222241582153</c:v>
                </c:pt>
                <c:pt idx="249">
                  <c:v>1.0664219553185781</c:v>
                </c:pt>
                <c:pt idx="250">
                  <c:v>1.0662127390143439</c:v>
                </c:pt>
                <c:pt idx="251">
                  <c:v>1.0659942246739607</c:v>
                </c:pt>
                <c:pt idx="252">
                  <c:v>1.0657660474763262</c:v>
                </c:pt>
                <c:pt idx="253">
                  <c:v>1.0655278281797484</c:v>
                </c:pt>
                <c:pt idx="254">
                  <c:v>1.0652791731143474</c:v>
                </c:pt>
                <c:pt idx="255">
                  <c:v>1.065019674357039</c:v>
                </c:pt>
                <c:pt idx="256">
                  <c:v>1.0647489101065157</c:v>
                </c:pt>
                <c:pt idx="257">
                  <c:v>1.0644664452736445</c:v>
                </c:pt>
                <c:pt idx="258">
                  <c:v>1.0641718323004947</c:v>
                </c:pt>
                <c:pt idx="259">
                  <c:v>1.0638646122187785</c:v>
                </c:pt>
                <c:pt idx="260">
                  <c:v>1.063544315955872</c:v>
                </c:pt>
                <c:pt idx="261">
                  <c:v>1.0632104658938144</c:v>
                </c:pt>
                <c:pt idx="262">
                  <c:v>1.0628625776837757</c:v>
                </c:pt>
                <c:pt idx="263">
                  <c:v>1.0625001623154759</c:v>
                </c:pt>
                <c:pt idx="264">
                  <c:v>1.0621227284379717</c:v>
                </c:pt>
                <c:pt idx="265">
                  <c:v>1.0617297849251013</c:v>
                </c:pt>
                <c:pt idx="266">
                  <c:v>1.0613208436757753</c:v>
                </c:pt>
                <c:pt idx="267">
                  <c:v>1.0608954226362075</c:v>
                </c:pt>
                <c:pt idx="268">
                  <c:v>1.0604530490281603</c:v>
                </c:pt>
                <c:pt idx="269">
                  <c:v>1.0599932627643571</c:v>
                </c:pt>
                <c:pt idx="270">
                  <c:v>1.0595156200294158</c:v>
                </c:pt>
                <c:pt idx="271">
                  <c:v>1.0590196970020287</c:v>
                </c:pt>
                <c:pt idx="272">
                  <c:v>1.0585050936916718</c:v>
                </c:pt>
                <c:pt idx="273">
                  <c:v>1.0579714378609069</c:v>
                </c:pt>
                <c:pt idx="274">
                  <c:v>1.0574183890023667</c:v>
                </c:pt>
                <c:pt idx="275">
                  <c:v>1.0568456423378139</c:v>
                </c:pt>
                <c:pt idx="276">
                  <c:v>1.0562529328052561</c:v>
                </c:pt>
                <c:pt idx="277">
                  <c:v>1.0556400389990044</c:v>
                </c:pt>
                <c:pt idx="278">
                  <c:v>1.0550067870267947</c:v>
                </c:pt>
                <c:pt idx="279">
                  <c:v>1.0543530542476685</c:v>
                </c:pt>
                <c:pt idx="280">
                  <c:v>1.0536787728542305</c:v>
                </c:pt>
                <c:pt idx="281">
                  <c:v>1.0529839332631838</c:v>
                </c:pt>
                <c:pt idx="282">
                  <c:v>1.0522685872786834</c:v>
                </c:pt>
                <c:pt idx="283">
                  <c:v>1.0515328509940454</c:v>
                </c:pt>
                <c:pt idx="284">
                  <c:v>1.0507769073986981</c:v>
                </c:pt>
                <c:pt idx="285">
                  <c:v>1.0500010086589593</c:v>
                </c:pt>
                <c:pt idx="286">
                  <c:v>1.0492054780432458</c:v>
                </c:pt>
                <c:pt idx="287">
                  <c:v>1.0483907114646689</c:v>
                </c:pt>
                <c:pt idx="288">
                  <c:v>1.047557178616608</c:v>
                </c:pt>
                <c:pt idx="289">
                  <c:v>1.0467054236797781</c:v>
                </c:pt>
                <c:pt idx="290">
                  <c:v>1.0458360655824668</c:v>
                </c:pt>
                <c:pt idx="291">
                  <c:v>1.044949797799023</c:v>
                </c:pt>
                <c:pt idx="292">
                  <c:v>1.0440473876752587</c:v>
                </c:pt>
                <c:pt idx="293">
                  <c:v>1.0431296752731816</c:v>
                </c:pt>
                <c:pt idx="294">
                  <c:v>1.0421975717313483</c:v>
                </c:pt>
                <c:pt idx="295">
                  <c:v>1.0412520571411146</c:v>
                </c:pt>
                <c:pt idx="296">
                  <c:v>1.0402941779430692</c:v>
                </c:pt>
                <c:pt idx="297">
                  <c:v>1.0393250438520036</c:v>
                </c:pt>
                <c:pt idx="298">
                  <c:v>1.0383458243227863</c:v>
                </c:pt>
                <c:pt idx="299">
                  <c:v>1.0373577445734927</c:v>
                </c:pt>
                <c:pt idx="300">
                  <c:v>1.0363620811860133</c:v>
                </c:pt>
                <c:pt idx="301">
                  <c:v>1.0353601573081139</c:v>
                </c:pt>
                <c:pt idx="302">
                  <c:v>1.0343533374845011</c:v>
                </c:pt>
                <c:pt idx="303">
                  <c:v>1.0333430221478233</c:v>
                </c:pt>
                <c:pt idx="304">
                  <c:v>1.0323306418036851</c:v>
                </c:pt>
                <c:pt idx="305">
                  <c:v>1.0313176509466264</c:v>
                </c:pt>
                <c:pt idx="306">
                  <c:v>1.0303055217466071</c:v>
                </c:pt>
                <c:pt idx="307">
                  <c:v>1.0292957375478</c:v>
                </c:pt>
                <c:pt idx="308">
                  <c:v>1.028289786223423</c:v>
                </c:pt>
                <c:pt idx="309">
                  <c:v>1.0272891534318964</c:v>
                </c:pt>
                <c:pt idx="310">
                  <c:v>1.026295315820799</c:v>
                </c:pt>
                <c:pt idx="311">
                  <c:v>1.0253097342258881</c:v>
                </c:pt>
                <c:pt idx="312">
                  <c:v>1.0243338469128389</c:v>
                </c:pt>
                <c:pt idx="313">
                  <c:v>1.0233690629093455</c:v>
                </c:pt>
                <c:pt idx="314">
                  <c:v>1.022416755474804</c:v>
                </c:pt>
                <c:pt idx="315">
                  <c:v>1.0214782557539763</c:v>
                </c:pt>
                <c:pt idx="316">
                  <c:v>1.0205548466597978</c:v>
                </c:pt>
                <c:pt idx="317">
                  <c:v>1.0196477570288907</c:v>
                </c:pt>
                <c:pt idx="318">
                  <c:v>1.018758156091345</c:v>
                </c:pt>
                <c:pt idx="319">
                  <c:v>1.0178871482939817</c:v>
                </c:pt>
                <c:pt idx="320">
                  <c:v>1.0170357685136291</c:v>
                </c:pt>
                <c:pt idx="321">
                  <c:v>1.0162049776939348</c:v>
                </c:pt>
                <c:pt idx="322">
                  <c:v>1.015395658935955</c:v>
                </c:pt>
                <c:pt idx="323">
                  <c:v>1.0146086140691977</c:v>
                </c:pt>
                <c:pt idx="324">
                  <c:v>1.0138445607260371</c:v>
                </c:pt>
                <c:pt idx="325">
                  <c:v>1.0131041299384338</c:v>
                </c:pt>
                <c:pt idx="326">
                  <c:v>1.012387864271771</c:v>
                </c:pt>
                <c:pt idx="327">
                  <c:v>1.0116962165063705</c:v>
                </c:pt>
                <c:pt idx="328">
                  <c:v>1.0110295488729175</c:v>
                </c:pt>
                <c:pt idx="329">
                  <c:v>1.0103881328436466</c:v>
                </c:pt>
                <c:pt idx="330">
                  <c:v>1.0097721494767704</c:v>
                </c:pt>
                <c:pt idx="331">
                  <c:v>1.0091816903072746</c:v>
                </c:pt>
                <c:pt idx="332">
                  <c:v>1.0086167587729433</c:v>
                </c:pt>
                <c:pt idx="333">
                  <c:v>1.0080772721603155</c:v>
                </c:pt>
                <c:pt idx="334">
                  <c:v>1.0075630640512585</c:v>
                </c:pt>
                <c:pt idx="335">
                  <c:v>1.007073887247028</c:v>
                </c:pt>
                <c:pt idx="336">
                  <c:v>1.0066094171430648</c:v>
                </c:pt>
                <c:pt idx="337">
                  <c:v>1.0061692555244277</c:v>
                </c:pt>
                <c:pt idx="338">
                  <c:v>1.0057529347486771</c:v>
                </c:pt>
                <c:pt idx="339">
                  <c:v>1.0053599222802492</c:v>
                </c:pt>
                <c:pt idx="340">
                  <c:v>1.0049896255379123</c:v>
                </c:pt>
                <c:pt idx="341">
                  <c:v>1.0046413970147994</c:v>
                </c:pt>
                <c:pt idx="342">
                  <c:v>1.0043145396287732</c:v>
                </c:pt>
                <c:pt idx="343">
                  <c:v>1.0040083122595294</c:v>
                </c:pt>
                <c:pt idx="344">
                  <c:v>1.0037219354278721</c:v>
                </c:pt>
                <c:pt idx="345">
                  <c:v>1.0034545970720261</c:v>
                </c:pt>
                <c:pt idx="346">
                  <c:v>1.0032054583756749</c:v>
                </c:pt>
                <c:pt idx="347">
                  <c:v>1.0029736596026311</c:v>
                </c:pt>
                <c:pt idx="348">
                  <c:v>1.0027583258936559</c:v>
                </c:pt>
                <c:pt idx="349">
                  <c:v>1.0025585729819424</c:v>
                </c:pt>
                <c:pt idx="350">
                  <c:v>1.002373512785127</c:v>
                </c:pt>
                <c:pt idx="351">
                  <c:v>1.0022022588334196</c:v>
                </c:pt>
                <c:pt idx="352">
                  <c:v>1.0020439314954859</c:v>
                </c:pt>
                <c:pt idx="353">
                  <c:v>1.0018976629660781</c:v>
                </c:pt>
                <c:pt idx="354">
                  <c:v>1.0017626019820651</c:v>
                </c:pt>
                <c:pt idx="355">
                  <c:v>1.0016379182364183</c:v>
                </c:pt>
                <c:pt idx="356">
                  <c:v>1.001522806462857</c:v>
                </c:pt>
                <c:pt idx="357">
                  <c:v>1.0014164901671996</c:v>
                </c:pt>
                <c:pt idx="358">
                  <c:v>1.0013182249849721</c:v>
                </c:pt>
                <c:pt idx="359">
                  <c:v>1.0012273016484756</c:v>
                </c:pt>
                <c:pt idx="360">
                  <c:v>1.0011430485502433</c:v>
                </c:pt>
                <c:pt idx="361">
                  <c:v>1.0010648338936317</c:v>
                </c:pt>
                <c:pt idx="362">
                  <c:v>1.0009920674251018</c:v>
                </c:pt>
                <c:pt idx="363">
                  <c:v>1.0009242017465756</c:v>
                </c:pt>
                <c:pt idx="364">
                  <c:v>1.0008607332100068</c:v>
                </c:pt>
                <c:pt idx="365">
                  <c:v>1.0008012024000075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6607552"/>
        <c:axId val="476606768"/>
      </c:lineChart>
      <c:dateAx>
        <c:axId val="47660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606768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476606768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607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4.1125870155699063E-4</c:v>
                </c:pt>
                <c:pt idx="1">
                  <c:v>4.2356302145848328E-4</c:v>
                </c:pt>
                <c:pt idx="2">
                  <c:v>4.362276637260847E-4</c:v>
                </c:pt>
                <c:pt idx="3">
                  <c:v>4.4925220331855088E-4</c:v>
                </c:pt>
                <c:pt idx="4">
                  <c:v>4.6263609342990243E-4</c:v>
                </c:pt>
                <c:pt idx="5">
                  <c:v>4.763786566542657E-4</c:v>
                </c:pt>
                <c:pt idx="6">
                  <c:v>4.904790761567873E-4</c:v>
                </c:pt>
                <c:pt idx="7">
                  <c:v>5.0493638683407789E-4</c:v>
                </c:pt>
                <c:pt idx="8">
                  <c:v>5.1974946648090524E-4</c:v>
                </c:pt>
                <c:pt idx="9">
                  <c:v>5.3549127746198972E-4</c:v>
                </c:pt>
                <c:pt idx="10">
                  <c:v>5.5154148337589705E-4</c:v>
                </c:pt>
                <c:pt idx="11">
                  <c:v>5.6789835239990163E-4</c:v>
                </c:pt>
                <c:pt idx="12">
                  <c:v>5.84559959695838E-4</c:v>
                </c:pt>
                <c:pt idx="13">
                  <c:v>6.0152417972396117E-4</c:v>
                </c:pt>
                <c:pt idx="14">
                  <c:v>6.1878867854639886E-4</c:v>
                </c:pt>
                <c:pt idx="15">
                  <c:v>6.3827003656402375E-4</c:v>
                </c:pt>
                <c:pt idx="16">
                  <c:v>6.6023979225056156E-4</c:v>
                </c:pt>
                <c:pt idx="17">
                  <c:v>6.8469646492411737E-4</c:v>
                </c:pt>
                <c:pt idx="18">
                  <c:v>7.1163786001650418E-4</c:v>
                </c:pt>
                <c:pt idx="19">
                  <c:v>7.4106513935486224E-4</c:v>
                </c:pt>
                <c:pt idx="20">
                  <c:v>7.7298128393657852E-4</c:v>
                </c:pt>
                <c:pt idx="21">
                  <c:v>8.0738608195398917E-4</c:v>
                </c:pt>
                <c:pt idx="22">
                  <c:v>8.442791164736045E-4</c:v>
                </c:pt>
                <c:pt idx="23">
                  <c:v>8.837599578171095E-4</c:v>
                </c:pt>
                <c:pt idx="24">
                  <c:v>9.2525142379789606E-4</c:v>
                </c:pt>
                <c:pt idx="25">
                  <c:v>9.6875258289372268E-4</c:v>
                </c:pt>
                <c:pt idx="26">
                  <c:v>1.0142624766546274E-3</c:v>
                </c:pt>
                <c:pt idx="27">
                  <c:v>1.0617801449774524E-3</c:v>
                </c:pt>
                <c:pt idx="28">
                  <c:v>1.1113046514014506E-3</c:v>
                </c:pt>
                <c:pt idx="29">
                  <c:v>1.1640306502679445E-3</c:v>
                </c:pt>
                <c:pt idx="30">
                  <c:v>1.2180349246570677E-3</c:v>
                </c:pt>
                <c:pt idx="31">
                  <c:v>1.2733167944485911E-3</c:v>
                </c:pt>
                <c:pt idx="32">
                  <c:v>1.3298757580548024E-3</c:v>
                </c:pt>
                <c:pt idx="33">
                  <c:v>1.3877115086157661E-3</c:v>
                </c:pt>
                <c:pt idx="34">
                  <c:v>1.4468239502004256E-3</c:v>
                </c:pt>
                <c:pt idx="35">
                  <c:v>1.5072132140073412E-3</c:v>
                </c:pt>
                <c:pt idx="36">
                  <c:v>1.5688796745628379E-3</c:v>
                </c:pt>
                <c:pt idx="37">
                  <c:v>1.6358361823495052E-3</c:v>
                </c:pt>
                <c:pt idx="38">
                  <c:v>1.7079824863742859E-3</c:v>
                </c:pt>
                <c:pt idx="39">
                  <c:v>1.785318726233547E-3</c:v>
                </c:pt>
                <c:pt idx="40">
                  <c:v>1.8678453472712776E-3</c:v>
                </c:pt>
                <c:pt idx="41">
                  <c:v>1.9555631657157909E-3</c:v>
                </c:pt>
                <c:pt idx="42">
                  <c:v>2.048473433805314E-3</c:v>
                </c:pt>
                <c:pt idx="43">
                  <c:v>2.1442162859582345E-3</c:v>
                </c:pt>
                <c:pt idx="44">
                  <c:v>2.2416003414080397E-3</c:v>
                </c:pt>
                <c:pt idx="45">
                  <c:v>2.3406293163598197E-3</c:v>
                </c:pt>
                <c:pt idx="46">
                  <c:v>2.4413074719137964E-3</c:v>
                </c:pt>
                <c:pt idx="47">
                  <c:v>2.5436396347106659E-3</c:v>
                </c:pt>
                <c:pt idx="48">
                  <c:v>2.6476312175468331E-3</c:v>
                </c:pt>
                <c:pt idx="49">
                  <c:v>2.7532882400110302E-3</c:v>
                </c:pt>
                <c:pt idx="50">
                  <c:v>2.8606173491055225E-3</c:v>
                </c:pt>
                <c:pt idx="51">
                  <c:v>2.9643036602164108E-3</c:v>
                </c:pt>
                <c:pt idx="52">
                  <c:v>3.0603299710921031E-3</c:v>
                </c:pt>
                <c:pt idx="53">
                  <c:v>3.1486821779233435E-3</c:v>
                </c:pt>
                <c:pt idx="54">
                  <c:v>3.229360069175442E-3</c:v>
                </c:pt>
                <c:pt idx="55">
                  <c:v>3.3023631758127073E-3</c:v>
                </c:pt>
                <c:pt idx="56">
                  <c:v>3.3676907997203511E-3</c:v>
                </c:pt>
                <c:pt idx="57">
                  <c:v>3.4267115569456717E-3</c:v>
                </c:pt>
                <c:pt idx="58">
                  <c:v>3.4817849993784185E-3</c:v>
                </c:pt>
                <c:pt idx="59">
                  <c:v>3.5329099871667519E-3</c:v>
                </c:pt>
                <c:pt idx="60">
                  <c:v>3.5800852776557467E-3</c:v>
                </c:pt>
                <c:pt idx="61">
                  <c:v>3.6233095400117921E-3</c:v>
                </c:pt>
                <c:pt idx="62">
                  <c:v>3.6625813698415613E-3</c:v>
                </c:pt>
                <c:pt idx="63">
                  <c:v>3.6978993038218298E-3</c:v>
                </c:pt>
                <c:pt idx="64">
                  <c:v>3.729261834314798E-3</c:v>
                </c:pt>
                <c:pt idx="65">
                  <c:v>3.7545427415551632E-3</c:v>
                </c:pt>
                <c:pt idx="66">
                  <c:v>3.7790628620367923E-3</c:v>
                </c:pt>
                <c:pt idx="67">
                  <c:v>3.8028206666523229E-3</c:v>
                </c:pt>
                <c:pt idx="68">
                  <c:v>3.8258145993690365E-3</c:v>
                </c:pt>
                <c:pt idx="69">
                  <c:v>3.848043080010217E-3</c:v>
                </c:pt>
                <c:pt idx="70">
                  <c:v>3.8695045070541311E-3</c:v>
                </c:pt>
                <c:pt idx="71">
                  <c:v>3.8816028759901776E-3</c:v>
                </c:pt>
                <c:pt idx="72">
                  <c:v>3.8829673729435681E-3</c:v>
                </c:pt>
                <c:pt idx="73">
                  <c:v>3.8735970004412398E-3</c:v>
                </c:pt>
                <c:pt idx="74">
                  <c:v>3.8534910341665295E-3</c:v>
                </c:pt>
                <c:pt idx="75">
                  <c:v>3.8226490626200029E-3</c:v>
                </c:pt>
                <c:pt idx="76">
                  <c:v>3.7810710267682686E-3</c:v>
                </c:pt>
                <c:pt idx="77">
                  <c:v>3.728757259705289E-3</c:v>
                </c:pt>
                <c:pt idx="78">
                  <c:v>3.6657086480062486E-3</c:v>
                </c:pt>
                <c:pt idx="79">
                  <c:v>3.5898706964001348E-3</c:v>
                </c:pt>
                <c:pt idx="80">
                  <c:v>3.5033780487956001E-3</c:v>
                </c:pt>
                <c:pt idx="81">
                  <c:v>3.4062311309120989E-3</c:v>
                </c:pt>
                <c:pt idx="82">
                  <c:v>3.2984305098885461E-3</c:v>
                </c:pt>
                <c:pt idx="83">
                  <c:v>3.1799769284351258E-3</c:v>
                </c:pt>
                <c:pt idx="84">
                  <c:v>3.0508713389958992E-3</c:v>
                </c:pt>
                <c:pt idx="85">
                  <c:v>2.9156097063940041E-3</c:v>
                </c:pt>
                <c:pt idx="86">
                  <c:v>2.7827820610792872E-3</c:v>
                </c:pt>
                <c:pt idx="87">
                  <c:v>2.652387946616065E-3</c:v>
                </c:pt>
                <c:pt idx="88">
                  <c:v>2.5244270416341736E-3</c:v>
                </c:pt>
                <c:pt idx="89">
                  <c:v>2.3988991520581394E-3</c:v>
                </c:pt>
                <c:pt idx="90">
                  <c:v>2.2758042033312505E-3</c:v>
                </c:pt>
                <c:pt idx="91">
                  <c:v>2.1551422326489679E-3</c:v>
                </c:pt>
                <c:pt idx="92">
                  <c:v>2.0369133811852769E-3</c:v>
                </c:pt>
                <c:pt idx="93">
                  <c:v>1.9230198774150208E-3</c:v>
                </c:pt>
                <c:pt idx="94">
                  <c:v>1.8155295736343737E-3</c:v>
                </c:pt>
                <c:pt idx="95">
                  <c:v>1.7144418205671825E-3</c:v>
                </c:pt>
                <c:pt idx="96">
                  <c:v>1.6197559158946182E-3</c:v>
                </c:pt>
                <c:pt idx="97">
                  <c:v>1.5314710837650749E-3</c:v>
                </c:pt>
                <c:pt idx="98">
                  <c:v>1.449586454288086E-3</c:v>
                </c:pt>
                <c:pt idx="99">
                  <c:v>1.374176655281925E-3</c:v>
                </c:pt>
                <c:pt idx="100">
                  <c:v>1.3007511565910782E-3</c:v>
                </c:pt>
                <c:pt idx="101">
                  <c:v>1.2293103011810727E-3</c:v>
                </c:pt>
                <c:pt idx="102">
                  <c:v>1.1598544442406938E-3</c:v>
                </c:pt>
                <c:pt idx="103">
                  <c:v>1.0923839468296678E-3</c:v>
                </c:pt>
                <c:pt idx="104">
                  <c:v>1.0268991695543796E-3</c:v>
                </c:pt>
                <c:pt idx="105">
                  <c:v>9.6340046621749701E-4</c:v>
                </c:pt>
                <c:pt idx="106">
                  <c:v>9.0188817748167172E-4</c:v>
                </c:pt>
                <c:pt idx="107">
                  <c:v>8.4384590812585725E-4</c:v>
                </c:pt>
                <c:pt idx="108">
                  <c:v>7.8737473822615206E-4</c:v>
                </c:pt>
                <c:pt idx="109">
                  <c:v>7.3247512409530739E-4</c:v>
                </c:pt>
                <c:pt idx="110">
                  <c:v>6.7914944003333994E-4</c:v>
                </c:pt>
                <c:pt idx="111">
                  <c:v>6.2739949397589985E-4</c:v>
                </c:pt>
                <c:pt idx="112">
                  <c:v>5.772248852842825E-4</c:v>
                </c:pt>
                <c:pt idx="113">
                  <c:v>5.3056484840641009E-4</c:v>
                </c:pt>
                <c:pt idx="114">
                  <c:v>4.8734231886404848E-4</c:v>
                </c:pt>
                <c:pt idx="115">
                  <c:v>4.4755563970325899E-4</c:v>
                </c:pt>
                <c:pt idx="116">
                  <c:v>4.112030849169416E-4</c:v>
                </c:pt>
                <c:pt idx="117">
                  <c:v>3.782828519683442E-4</c:v>
                </c:pt>
                <c:pt idx="118">
                  <c:v>3.4879305430950228E-4</c:v>
                </c:pt>
                <c:pt idx="119">
                  <c:v>3.227317139011721E-4</c:v>
                </c:pt>
                <c:pt idx="120">
                  <c:v>3.0009675373226429E-4</c:v>
                </c:pt>
                <c:pt idx="121">
                  <c:v>2.8192365546815079E-4</c:v>
                </c:pt>
                <c:pt idx="122">
                  <c:v>2.6673091789035657E-4</c:v>
                </c:pt>
                <c:pt idx="123">
                  <c:v>2.5451645580023245E-4</c:v>
                </c:pt>
                <c:pt idx="124">
                  <c:v>2.4527807301249848E-4</c:v>
                </c:pt>
                <c:pt idx="125">
                  <c:v>2.3901345584352742E-4</c:v>
                </c:pt>
                <c:pt idx="126">
                  <c:v>2.3572016659597473E-4</c:v>
                </c:pt>
                <c:pt idx="127">
                  <c:v>2.3575762832772347E-4</c:v>
                </c:pt>
                <c:pt idx="128">
                  <c:v>2.371906275785993E-4</c:v>
                </c:pt>
                <c:pt idx="129">
                  <c:v>2.4001778990972352E-4</c:v>
                </c:pt>
                <c:pt idx="130">
                  <c:v>2.4423767001915953E-4</c:v>
                </c:pt>
                <c:pt idx="131">
                  <c:v>2.4984874867215628E-4</c:v>
                </c:pt>
                <c:pt idx="132">
                  <c:v>2.5684942963359651E-4</c:v>
                </c:pt>
                <c:pt idx="133">
                  <c:v>2.6523803660201439E-4</c:v>
                </c:pt>
                <c:pt idx="134">
                  <c:v>2.7501281014244146E-4</c:v>
                </c:pt>
                <c:pt idx="135">
                  <c:v>2.8719956816606153E-4</c:v>
                </c:pt>
                <c:pt idx="136">
                  <c:v>3.0076246377393721E-4</c:v>
                </c:pt>
                <c:pt idx="137">
                  <c:v>3.1569944528507825E-4</c:v>
                </c:pt>
                <c:pt idx="138">
                  <c:v>3.3200836504370431E-4</c:v>
                </c:pt>
                <c:pt idx="139">
                  <c:v>3.496869763719008E-4</c:v>
                </c:pt>
                <c:pt idx="140">
                  <c:v>3.6873293050416307E-4</c:v>
                </c:pt>
                <c:pt idx="141">
                  <c:v>3.8991485691950085E-4</c:v>
                </c:pt>
                <c:pt idx="142">
                  <c:v>4.1286691569525802E-4</c:v>
                </c:pt>
                <c:pt idx="143">
                  <c:v>4.3758348096076055E-4</c:v>
                </c:pt>
                <c:pt idx="144">
                  <c:v>4.6406104652375023E-4</c:v>
                </c:pt>
                <c:pt idx="145">
                  <c:v>4.9229602977504065E-4</c:v>
                </c:pt>
                <c:pt idx="146">
                  <c:v>5.2228479580654168E-4</c:v>
                </c:pt>
                <c:pt idx="147">
                  <c:v>5.5402368154498609E-4</c:v>
                </c:pt>
                <c:pt idx="148">
                  <c:v>5.8750901987469407E-4</c:v>
                </c:pt>
                <c:pt idx="149">
                  <c:v>6.2190447244698979E-4</c:v>
                </c:pt>
                <c:pt idx="150">
                  <c:v>6.561875485649281E-4</c:v>
                </c:pt>
                <c:pt idx="151">
                  <c:v>6.9035805035028944E-4</c:v>
                </c:pt>
                <c:pt idx="152">
                  <c:v>7.2441597089303476E-4</c:v>
                </c:pt>
                <c:pt idx="153">
                  <c:v>7.5836149337485078E-4</c:v>
                </c:pt>
                <c:pt idx="154">
                  <c:v>7.9219499019623422E-4</c:v>
                </c:pt>
                <c:pt idx="155">
                  <c:v>8.2447323119692873E-4</c:v>
                </c:pt>
                <c:pt idx="156">
                  <c:v>8.5443506300981217E-4</c:v>
                </c:pt>
                <c:pt idx="157">
                  <c:v>8.8208562534341584E-4</c:v>
                </c:pt>
                <c:pt idx="158">
                  <c:v>9.0743025136333518E-4</c:v>
                </c:pt>
                <c:pt idx="159">
                  <c:v>9.3047443691391394E-4</c:v>
                </c:pt>
                <c:pt idx="160">
                  <c:v>9.5122380975091385E-4</c:v>
                </c:pt>
                <c:pt idx="161">
                  <c:v>9.6968409876408335E-4</c:v>
                </c:pt>
                <c:pt idx="162">
                  <c:v>9.8586110320448899E-4</c:v>
                </c:pt>
                <c:pt idx="163">
                  <c:v>9.9936772697524598E-4</c:v>
                </c:pt>
                <c:pt idx="164">
                  <c:v>1.0110355159549196E-3</c:v>
                </c:pt>
                <c:pt idx="165">
                  <c:v>1.0208694977770359E-3</c:v>
                </c:pt>
                <c:pt idx="166">
                  <c:v>1.0288746703969081E-3</c:v>
                </c:pt>
                <c:pt idx="167">
                  <c:v>1.0350559771865192E-3</c:v>
                </c:pt>
                <c:pt idx="168">
                  <c:v>1.0394182820620147E-3</c:v>
                </c:pt>
                <c:pt idx="169">
                  <c:v>1.0415748015302939E-3</c:v>
                </c:pt>
                <c:pt idx="170">
                  <c:v>1.0429614542202103E-3</c:v>
                </c:pt>
                <c:pt idx="171">
                  <c:v>1.0435810413430865E-3</c:v>
                </c:pt>
                <c:pt idx="172">
                  <c:v>1.0434362948322903E-3</c:v>
                </c:pt>
                <c:pt idx="173">
                  <c:v>1.0425192057197804E-3</c:v>
                </c:pt>
                <c:pt idx="174">
                  <c:v>1.0408211792273727E-3</c:v>
                </c:pt>
                <c:pt idx="175">
                  <c:v>1.0383440090687469E-3</c:v>
                </c:pt>
                <c:pt idx="176">
                  <c:v>1.0350894838188015E-3</c:v>
                </c:pt>
                <c:pt idx="177">
                  <c:v>1.0296338305801167E-3</c:v>
                </c:pt>
                <c:pt idx="178">
                  <c:v>1.0223706974160859E-3</c:v>
                </c:pt>
                <c:pt idx="179">
                  <c:v>1.0133033674706261E-3</c:v>
                </c:pt>
                <c:pt idx="180">
                  <c:v>1.0024350768713787E-3</c:v>
                </c:pt>
                <c:pt idx="181">
                  <c:v>9.8976900406641142E-4</c:v>
                </c:pt>
                <c:pt idx="182">
                  <c:v>9.7530825916983146E-4</c:v>
                </c:pt>
                <c:pt idx="183">
                  <c:v>9.5823911502655886E-4</c:v>
                </c:pt>
                <c:pt idx="184">
                  <c:v>9.389542811425322E-4</c:v>
                </c:pt>
                <c:pt idx="185">
                  <c:v>9.1745718899346161E-4</c:v>
                </c:pt>
                <c:pt idx="186">
                  <c:v>8.9375113971225015E-4</c:v>
                </c:pt>
                <c:pt idx="187">
                  <c:v>8.6783929091599672E-4</c:v>
                </c:pt>
                <c:pt idx="188">
                  <c:v>8.3972464353729488E-4</c:v>
                </c:pt>
                <c:pt idx="189">
                  <c:v>8.0941002862901777E-4</c:v>
                </c:pt>
                <c:pt idx="190">
                  <c:v>7.7689809420593173E-4</c:v>
                </c:pt>
                <c:pt idx="191">
                  <c:v>7.4294178447886165E-4</c:v>
                </c:pt>
                <c:pt idx="192">
                  <c:v>7.0895802566598245E-4</c:v>
                </c:pt>
                <c:pt idx="193">
                  <c:v>6.7494624778131288E-4</c:v>
                </c:pt>
                <c:pt idx="194">
                  <c:v>6.4090579696019878E-4</c:v>
                </c:pt>
                <c:pt idx="195">
                  <c:v>6.0683593510084323E-4</c:v>
                </c:pt>
                <c:pt idx="196">
                  <c:v>5.7273583947916695E-4</c:v>
                </c:pt>
                <c:pt idx="197">
                  <c:v>5.3960009372752715E-4</c:v>
                </c:pt>
                <c:pt idx="198">
                  <c:v>5.0823834668108374E-4</c:v>
                </c:pt>
                <c:pt idx="199">
                  <c:v>4.7864780164698383E-4</c:v>
                </c:pt>
                <c:pt idx="200">
                  <c:v>4.5082574222846724E-4</c:v>
                </c:pt>
                <c:pt idx="201">
                  <c:v>4.2476954265070993E-4</c:v>
                </c:pt>
                <c:pt idx="202">
                  <c:v>4.0047667809054132E-4</c:v>
                </c:pt>
                <c:pt idx="203">
                  <c:v>3.7794473501501019E-4</c:v>
                </c:pt>
                <c:pt idx="204">
                  <c:v>3.5717084473365051E-4</c:v>
                </c:pt>
                <c:pt idx="205">
                  <c:v>3.3850110490189853E-4</c:v>
                </c:pt>
                <c:pt idx="206">
                  <c:v>3.2118627634327519E-4</c:v>
                </c:pt>
                <c:pt idx="207">
                  <c:v>3.0522466638891127E-4</c:v>
                </c:pt>
                <c:pt idx="208">
                  <c:v>2.906147130714371E-4</c:v>
                </c:pt>
                <c:pt idx="209">
                  <c:v>2.7735498095821586E-4</c:v>
                </c:pt>
                <c:pt idx="210">
                  <c:v>2.6544415699448245E-4</c:v>
                </c:pt>
                <c:pt idx="211">
                  <c:v>2.5587845114638486E-4</c:v>
                </c:pt>
                <c:pt idx="212">
                  <c:v>2.4766437940015157E-4</c:v>
                </c:pt>
                <c:pt idx="213">
                  <c:v>2.4080100420998367E-4</c:v>
                </c:pt>
                <c:pt idx="214">
                  <c:v>2.3528749287785928E-4</c:v>
                </c:pt>
                <c:pt idx="215">
                  <c:v>2.3112311337510926E-4</c:v>
                </c:pt>
                <c:pt idx="216">
                  <c:v>2.2830723016303348E-4</c:v>
                </c:pt>
                <c:pt idx="217">
                  <c:v>2.2683930001438039E-4</c:v>
                </c:pt>
                <c:pt idx="218">
                  <c:v>2.267188678335371E-4</c:v>
                </c:pt>
                <c:pt idx="219">
                  <c:v>2.2980496148340953E-4</c:v>
                </c:pt>
                <c:pt idx="220">
                  <c:v>2.357487572336879E-4</c:v>
                </c:pt>
                <c:pt idx="221">
                  <c:v>2.4454988905322074E-4</c:v>
                </c:pt>
                <c:pt idx="222">
                  <c:v>2.5620814198970039E-4</c:v>
                </c:pt>
                <c:pt idx="223">
                  <c:v>2.7072344329842239E-4</c:v>
                </c:pt>
                <c:pt idx="224">
                  <c:v>2.8809585356537364E-4</c:v>
                </c:pt>
                <c:pt idx="225">
                  <c:v>3.0974554496299947E-4</c:v>
                </c:pt>
                <c:pt idx="226">
                  <c:v>3.3467639754122808E-4</c:v>
                </c:pt>
                <c:pt idx="227">
                  <c:v>3.6288885680240627E-4</c:v>
                </c:pt>
                <c:pt idx="228">
                  <c:v>3.9438348255792265E-4</c:v>
                </c:pt>
                <c:pt idx="229">
                  <c:v>4.2916093873225766E-4</c:v>
                </c:pt>
                <c:pt idx="230">
                  <c:v>4.6722198317213412E-4</c:v>
                </c:pt>
                <c:pt idx="231">
                  <c:v>5.0856745745821164E-4</c:v>
                </c:pt>
                <c:pt idx="232">
                  <c:v>5.5319827670695149E-4</c:v>
                </c:pt>
                <c:pt idx="233">
                  <c:v>6.011877354985775E-4</c:v>
                </c:pt>
                <c:pt idx="234">
                  <c:v>6.5067742021252364E-4</c:v>
                </c:pt>
                <c:pt idx="235">
                  <c:v>7.0166868512088843E-4</c:v>
                </c:pt>
                <c:pt idx="236">
                  <c:v>7.5416328114455108E-4</c:v>
                </c:pt>
                <c:pt idx="237">
                  <c:v>8.0816266754966742E-4</c:v>
                </c:pt>
                <c:pt idx="238">
                  <c:v>8.6366840211007175E-4</c:v>
                </c:pt>
                <c:pt idx="239">
                  <c:v>9.2250089589546581E-4</c:v>
                </c:pt>
                <c:pt idx="240">
                  <c:v>9.8324148847036565E-4</c:v>
                </c:pt>
                <c:pt idx="241">
                  <c:v>1.0458922055776526E-3</c:v>
                </c:pt>
                <c:pt idx="242">
                  <c:v>1.1104552016458632E-3</c:v>
                </c:pt>
                <c:pt idx="243">
                  <c:v>1.1769327631352673E-3</c:v>
                </c:pt>
                <c:pt idx="244">
                  <c:v>1.2453273118802535E-3</c:v>
                </c:pt>
                <c:pt idx="245">
                  <c:v>1.3156414084193641E-3</c:v>
                </c:pt>
                <c:pt idx="246">
                  <c:v>1.3878777553203469E-3</c:v>
                </c:pt>
                <c:pt idx="247">
                  <c:v>1.4663390633057696E-3</c:v>
                </c:pt>
                <c:pt idx="248">
                  <c:v>1.5509578953067562E-3</c:v>
                </c:pt>
                <c:pt idx="249">
                  <c:v>1.6417395838798337E-3</c:v>
                </c:pt>
                <c:pt idx="250">
                  <c:v>1.7386898505380838E-3</c:v>
                </c:pt>
                <c:pt idx="251">
                  <c:v>1.8418148165845036E-3</c:v>
                </c:pt>
                <c:pt idx="252">
                  <c:v>1.9511210138781915E-3</c:v>
                </c:pt>
                <c:pt idx="253">
                  <c:v>2.0646337950460747E-3</c:v>
                </c:pt>
                <c:pt idx="254">
                  <c:v>2.1805365267484481E-3</c:v>
                </c:pt>
                <c:pt idx="255">
                  <c:v>2.2988344665587279E-3</c:v>
                </c:pt>
                <c:pt idx="256">
                  <c:v>2.4195330930286188E-3</c:v>
                </c:pt>
                <c:pt idx="257">
                  <c:v>2.542638109759879E-3</c:v>
                </c:pt>
                <c:pt idx="258">
                  <c:v>2.6681554494955304E-3</c:v>
                </c:pt>
                <c:pt idx="259">
                  <c:v>2.7960912782503222E-3</c:v>
                </c:pt>
                <c:pt idx="260">
                  <c:v>2.9264519993633343E-3</c:v>
                </c:pt>
                <c:pt idx="261">
                  <c:v>3.0510020503179535E-3</c:v>
                </c:pt>
                <c:pt idx="262">
                  <c:v>3.1654268695983086E-3</c:v>
                </c:pt>
                <c:pt idx="263">
                  <c:v>3.2697218098060726E-3</c:v>
                </c:pt>
                <c:pt idx="264">
                  <c:v>3.3638817649154305E-3</c:v>
                </c:pt>
                <c:pt idx="265">
                  <c:v>3.447919482594838E-3</c:v>
                </c:pt>
                <c:pt idx="266">
                  <c:v>3.5218393854883254E-3</c:v>
                </c:pt>
                <c:pt idx="267">
                  <c:v>3.5835894184048532E-3</c:v>
                </c:pt>
                <c:pt idx="268">
                  <c:v>3.6351454923188526E-3</c:v>
                </c:pt>
                <c:pt idx="269">
                  <c:v>3.6764941821007232E-3</c:v>
                </c:pt>
                <c:pt idx="270">
                  <c:v>3.7076208275813277E-3</c:v>
                </c:pt>
                <c:pt idx="271">
                  <c:v>3.7285096469574213E-3</c:v>
                </c:pt>
                <c:pt idx="272">
                  <c:v>3.7391438502967474E-3</c:v>
                </c:pt>
                <c:pt idx="273">
                  <c:v>3.7395057529966916E-3</c:v>
                </c:pt>
                <c:pt idx="274">
                  <c:v>3.7295768892919097E-3</c:v>
                </c:pt>
                <c:pt idx="275">
                  <c:v>3.7106588112699153E-3</c:v>
                </c:pt>
                <c:pt idx="276">
                  <c:v>3.691025546143179E-3</c:v>
                </c:pt>
                <c:pt idx="277">
                  <c:v>3.6706714117278969E-3</c:v>
                </c:pt>
                <c:pt idx="278">
                  <c:v>3.6495907869697848E-3</c:v>
                </c:pt>
                <c:pt idx="279">
                  <c:v>3.6277781199252407E-3</c:v>
                </c:pt>
                <c:pt idx="280">
                  <c:v>3.6052279357768986E-3</c:v>
                </c:pt>
                <c:pt idx="281">
                  <c:v>3.5767868244440779E-3</c:v>
                </c:pt>
                <c:pt idx="282">
                  <c:v>3.5444975781006418E-3</c:v>
                </c:pt>
                <c:pt idx="283">
                  <c:v>3.5083501272692537E-3</c:v>
                </c:pt>
                <c:pt idx="284">
                  <c:v>3.4683345294693139E-3</c:v>
                </c:pt>
                <c:pt idx="285">
                  <c:v>3.4244410110528195E-3</c:v>
                </c:pt>
                <c:pt idx="286">
                  <c:v>3.3766600090733914E-3</c:v>
                </c:pt>
                <c:pt idx="287">
                  <c:v>3.3249822131205665E-3</c:v>
                </c:pt>
                <c:pt idx="288">
                  <c:v>3.269398607167543E-3</c:v>
                </c:pt>
                <c:pt idx="289">
                  <c:v>3.2076076696254756E-3</c:v>
                </c:pt>
                <c:pt idx="290">
                  <c:v>3.1382667857174935E-3</c:v>
                </c:pt>
                <c:pt idx="291">
                  <c:v>3.0613627730632447E-3</c:v>
                </c:pt>
                <c:pt idx="292">
                  <c:v>2.9768831052010922E-3</c:v>
                </c:pt>
                <c:pt idx="293">
                  <c:v>2.8848159929377509E-3</c:v>
                </c:pt>
                <c:pt idx="294">
                  <c:v>2.7851504656852448E-3</c:v>
                </c:pt>
                <c:pt idx="295">
                  <c:v>2.6817812119715773E-3</c:v>
                </c:pt>
                <c:pt idx="296">
                  <c:v>2.5799219488702322E-3</c:v>
                </c:pt>
                <c:pt idx="297">
                  <c:v>2.4795932246806842E-3</c:v>
                </c:pt>
                <c:pt idx="298">
                  <c:v>2.3807929827587208E-3</c:v>
                </c:pt>
                <c:pt idx="299">
                  <c:v>2.2835195946714513E-3</c:v>
                </c:pt>
                <c:pt idx="300">
                  <c:v>2.1877718453686456E-3</c:v>
                </c:pt>
                <c:pt idx="301">
                  <c:v>2.0935489183466754E-3</c:v>
                </c:pt>
                <c:pt idx="302">
                  <c:v>2.0008503808176636E-3</c:v>
                </c:pt>
                <c:pt idx="303">
                  <c:v>1.9108434241251753E-3</c:v>
                </c:pt>
                <c:pt idx="304">
                  <c:v>1.8258391180732635E-3</c:v>
                </c:pt>
                <c:pt idx="305">
                  <c:v>1.7458430528262774E-3</c:v>
                </c:pt>
                <c:pt idx="306">
                  <c:v>1.6708611064852176E-3</c:v>
                </c:pt>
                <c:pt idx="307">
                  <c:v>1.6008993982610372E-3</c:v>
                </c:pt>
                <c:pt idx="308">
                  <c:v>1.535964241634319E-3</c:v>
                </c:pt>
                <c:pt idx="309">
                  <c:v>1.4761601841183994E-3</c:v>
                </c:pt>
                <c:pt idx="310">
                  <c:v>1.4175619392730668E-3</c:v>
                </c:pt>
                <c:pt idx="311">
                  <c:v>1.3601709278853904E-3</c:v>
                </c:pt>
                <c:pt idx="312">
                  <c:v>1.3039887393417019E-3</c:v>
                </c:pt>
                <c:pt idx="313">
                  <c:v>1.2490171199861138E-3</c:v>
                </c:pt>
                <c:pt idx="314">
                  <c:v>1.195257961466723E-3</c:v>
                </c:pt>
                <c:pt idx="315">
                  <c:v>1.1427132890977783E-3</c:v>
                </c:pt>
                <c:pt idx="316">
                  <c:v>1.0913852502025647E-3</c:v>
                </c:pt>
                <c:pt idx="317">
                  <c:v>1.0431647734265798E-3</c:v>
                </c:pt>
                <c:pt idx="318">
                  <c:v>9.9688134257620029E-4</c:v>
                </c:pt>
                <c:pt idx="319">
                  <c:v>9.5253811415244288E-4</c:v>
                </c:pt>
                <c:pt idx="320">
                  <c:v>9.101382517193897E-4</c:v>
                </c:pt>
                <c:pt idx="321">
                  <c:v>8.6968490772632002E-4</c:v>
                </c:pt>
                <c:pt idx="322">
                  <c:v>8.3118120533263724E-4</c:v>
                </c:pt>
                <c:pt idx="323">
                  <c:v>7.9519782325471189E-4</c:v>
                </c:pt>
                <c:pt idx="324">
                  <c:v>7.6163960396854319E-4</c:v>
                </c:pt>
                <c:pt idx="325">
                  <c:v>7.3050977598150828E-4</c:v>
                </c:pt>
                <c:pt idx="326">
                  <c:v>7.0180704976160785E-4</c:v>
                </c:pt>
                <c:pt idx="327">
                  <c:v>6.7553341483028771E-4</c:v>
                </c:pt>
                <c:pt idx="328">
                  <c:v>6.5169410753934871E-4</c:v>
                </c:pt>
                <c:pt idx="329">
                  <c:v>6.3029375453645814E-4</c:v>
                </c:pt>
                <c:pt idx="330">
                  <c:v>6.1133642401626457E-4</c:v>
                </c:pt>
                <c:pt idx="331">
                  <c:v>5.9455646337535305E-4</c:v>
                </c:pt>
                <c:pt idx="332">
                  <c:v>5.7806108418571758E-4</c:v>
                </c:pt>
                <c:pt idx="333">
                  <c:v>5.6185247299249961E-4</c:v>
                </c:pt>
                <c:pt idx="334">
                  <c:v>5.4593264995959358E-4</c:v>
                </c:pt>
                <c:pt idx="335">
                  <c:v>5.3030347510025827E-4</c:v>
                </c:pt>
                <c:pt idx="336">
                  <c:v>5.1496665450015704E-4</c:v>
                </c:pt>
                <c:pt idx="337">
                  <c:v>5.0053714526379579E-4</c:v>
                </c:pt>
                <c:pt idx="338">
                  <c:v>4.8644766915530342E-4</c:v>
                </c:pt>
                <c:pt idx="339">
                  <c:v>4.7269950350430307E-4</c:v>
                </c:pt>
                <c:pt idx="340">
                  <c:v>4.5929380115678235E-4</c:v>
                </c:pt>
                <c:pt idx="341">
                  <c:v>4.4623159763156647E-4</c:v>
                </c:pt>
                <c:pt idx="342">
                  <c:v>4.3351381827613024E-4</c:v>
                </c:pt>
                <c:pt idx="343">
                  <c:v>4.2114128541710107E-4</c:v>
                </c:pt>
                <c:pt idx="344">
                  <c:v>4.0911472551785063E-4</c:v>
                </c:pt>
                <c:pt idx="345">
                  <c:v>3.9743477633139089E-4</c:v>
                </c:pt>
                <c:pt idx="346">
                  <c:v>3.8690585098576829E-4</c:v>
                </c:pt>
                <c:pt idx="347">
                  <c:v>3.775285914446744E-4</c:v>
                </c:pt>
                <c:pt idx="348">
                  <c:v>3.6930364255003035E-4</c:v>
                </c:pt>
                <c:pt idx="349">
                  <c:v>3.6223167588306205E-4</c:v>
                </c:pt>
                <c:pt idx="350">
                  <c:v>3.56313413634086E-4</c:v>
                </c:pt>
                <c:pt idx="351">
                  <c:v>3.5208438290138238E-4</c:v>
                </c:pt>
                <c:pt idx="352">
                  <c:v>3.4893175672881071E-4</c:v>
                </c:pt>
                <c:pt idx="353">
                  <c:v>3.4685654841289993E-4</c:v>
                </c:pt>
                <c:pt idx="354">
                  <c:v>3.4585990894358133E-4</c:v>
                </c:pt>
                <c:pt idx="355">
                  <c:v>3.4594314920661026E-4</c:v>
                </c:pt>
                <c:pt idx="356">
                  <c:v>3.4710800207514751E-4</c:v>
                </c:pt>
                <c:pt idx="357">
                  <c:v>3.4935539105575134E-4</c:v>
                </c:pt>
                <c:pt idx="358">
                  <c:v>3.5268559273028677E-4</c:v>
                </c:pt>
                <c:pt idx="359">
                  <c:v>3.5709904313423852E-4</c:v>
                </c:pt>
                <c:pt idx="360">
                  <c:v>3.6321169555772947E-4</c:v>
                </c:pt>
                <c:pt idx="361">
                  <c:v>3.704887111390761E-4</c:v>
                </c:pt>
                <c:pt idx="362">
                  <c:v>3.7893097517904752E-4</c:v>
                </c:pt>
                <c:pt idx="363">
                  <c:v>3.8853942412941526E-4</c:v>
                </c:pt>
                <c:pt idx="364">
                  <c:v>3.9931501613256585E-4</c:v>
                </c:pt>
                <c:pt idx="365" formatCode="0.0000">
                  <c:v>4.1125870155699063E-4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2.9979938181374922E-3</c:v>
                </c:pt>
                <c:pt idx="1">
                  <c:v>2.9340698084268017E-3</c:v>
                </c:pt>
                <c:pt idx="2">
                  <c:v>2.8726369547969464E-3</c:v>
                </c:pt>
                <c:pt idx="3">
                  <c:v>2.8136905830190122E-3</c:v>
                </c:pt>
                <c:pt idx="4">
                  <c:v>2.7572266996466941E-3</c:v>
                </c:pt>
                <c:pt idx="5">
                  <c:v>2.7032419273250387E-3</c:v>
                </c:pt>
                <c:pt idx="6">
                  <c:v>2.651733440133754E-3</c:v>
                </c:pt>
                <c:pt idx="7">
                  <c:v>2.6026988988687083E-3</c:v>
                </c:pt>
                <c:pt idx="8">
                  <c:v>2.556136386362842E-3</c:v>
                </c:pt>
                <c:pt idx="9">
                  <c:v>2.5165463574855925E-3</c:v>
                </c:pt>
                <c:pt idx="10">
                  <c:v>2.485474446381647E-3</c:v>
                </c:pt>
                <c:pt idx="11">
                  <c:v>2.4629269149262917E-3</c:v>
                </c:pt>
                <c:pt idx="12">
                  <c:v>2.4489094376047133E-3</c:v>
                </c:pt>
                <c:pt idx="13">
                  <c:v>2.4434268831880022E-3</c:v>
                </c:pt>
                <c:pt idx="14">
                  <c:v>2.4464830963674216E-3</c:v>
                </c:pt>
                <c:pt idx="15">
                  <c:v>2.4609918650164318E-3</c:v>
                </c:pt>
                <c:pt idx="16">
                  <c:v>2.4828620140898805E-3</c:v>
                </c:pt>
                <c:pt idx="17">
                  <c:v>2.5120918037976948E-3</c:v>
                </c:pt>
                <c:pt idx="18">
                  <c:v>2.5486778130372361E-3</c:v>
                </c:pt>
                <c:pt idx="19">
                  <c:v>2.5926292124358254E-3</c:v>
                </c:pt>
                <c:pt idx="20">
                  <c:v>2.6439609214404659E-3</c:v>
                </c:pt>
                <c:pt idx="21">
                  <c:v>2.7026760905630985E-3</c:v>
                </c:pt>
                <c:pt idx="22">
                  <c:v>2.7687770412536034E-3</c:v>
                </c:pt>
                <c:pt idx="23">
                  <c:v>2.8447388648482129E-3</c:v>
                </c:pt>
                <c:pt idx="24">
                  <c:v>2.9260436412349745E-3</c:v>
                </c:pt>
                <c:pt idx="25">
                  <c:v>3.0126912695058604E-3</c:v>
                </c:pt>
                <c:pt idx="26">
                  <c:v>3.1046814304279348E-3</c:v>
                </c:pt>
                <c:pt idx="27">
                  <c:v>3.2020136537952403E-3</c:v>
                </c:pt>
                <c:pt idx="28">
                  <c:v>3.3046873858460658E-3</c:v>
                </c:pt>
                <c:pt idx="29">
                  <c:v>3.4148145777907831E-3</c:v>
                </c:pt>
                <c:pt idx="30">
                  <c:v>3.5294785392297723E-3</c:v>
                </c:pt>
                <c:pt idx="31">
                  <c:v>3.6486788783026834E-3</c:v>
                </c:pt>
                <c:pt idx="32">
                  <c:v>3.7724154524947499E-3</c:v>
                </c:pt>
                <c:pt idx="33">
                  <c:v>3.9006884259655625E-3</c:v>
                </c:pt>
                <c:pt idx="34">
                  <c:v>4.0334983268945279E-3</c:v>
                </c:pt>
                <c:pt idx="35">
                  <c:v>4.1708461048248309E-3</c:v>
                </c:pt>
                <c:pt idx="36">
                  <c:v>4.3127331880000123E-3</c:v>
                </c:pt>
                <c:pt idx="37">
                  <c:v>4.4625169415777521E-3</c:v>
                </c:pt>
                <c:pt idx="38">
                  <c:v>4.6177264372501189E-3</c:v>
                </c:pt>
                <c:pt idx="39">
                  <c:v>4.7783646275277245E-3</c:v>
                </c:pt>
                <c:pt idx="40">
                  <c:v>4.944435184669335E-3</c:v>
                </c:pt>
                <c:pt idx="41">
                  <c:v>5.115942569084631E-3</c:v>
                </c:pt>
                <c:pt idx="42">
                  <c:v>5.2928920977064337E-3</c:v>
                </c:pt>
                <c:pt idx="43">
                  <c:v>5.4752094146638857E-3</c:v>
                </c:pt>
                <c:pt idx="44">
                  <c:v>5.6607914988718207E-3</c:v>
                </c:pt>
                <c:pt idx="45">
                  <c:v>5.8496471403911834E-3</c:v>
                </c:pt>
                <c:pt idx="46">
                  <c:v>6.0417861727423486E-3</c:v>
                </c:pt>
                <c:pt idx="47">
                  <c:v>6.2372195139048167E-3</c:v>
                </c:pt>
                <c:pt idx="48">
                  <c:v>6.4359592072413749E-3</c:v>
                </c:pt>
                <c:pt idx="49">
                  <c:v>6.6380184624755837E-3</c:v>
                </c:pt>
                <c:pt idx="50">
                  <c:v>6.8434116966313704E-3</c:v>
                </c:pt>
                <c:pt idx="51">
                  <c:v>7.0458269997621279E-3</c:v>
                </c:pt>
                <c:pt idx="52">
                  <c:v>7.2418893729442263E-3</c:v>
                </c:pt>
                <c:pt idx="53">
                  <c:v>7.4315644393704765E-3</c:v>
                </c:pt>
                <c:pt idx="54">
                  <c:v>7.6148513303658507E-3</c:v>
                </c:pt>
                <c:pt idx="55">
                  <c:v>7.7917487908042817E-3</c:v>
                </c:pt>
                <c:pt idx="56">
                  <c:v>7.9622552028132624E-3</c:v>
                </c:pt>
                <c:pt idx="57">
                  <c:v>8.1207457070220142E-3</c:v>
                </c:pt>
                <c:pt idx="58">
                  <c:v>8.267298504723063E-3</c:v>
                </c:pt>
                <c:pt idx="59">
                  <c:v>8.4019109096720463E-3</c:v>
                </c:pt>
                <c:pt idx="60">
                  <c:v>8.5245799543237407E-3</c:v>
                </c:pt>
                <c:pt idx="61">
                  <c:v>8.6353024340469781E-3</c:v>
                </c:pt>
                <c:pt idx="62">
                  <c:v>8.7340749513266803E-3</c:v>
                </c:pt>
                <c:pt idx="63">
                  <c:v>8.8208939599916988E-3</c:v>
                </c:pt>
                <c:pt idx="64">
                  <c:v>8.8957558094081429E-3</c:v>
                </c:pt>
                <c:pt idx="65">
                  <c:v>8.9542883761305325E-3</c:v>
                </c:pt>
                <c:pt idx="66">
                  <c:v>9.0028157399850411E-3</c:v>
                </c:pt>
                <c:pt idx="67">
                  <c:v>9.0413342346019158E-3</c:v>
                </c:pt>
                <c:pt idx="68">
                  <c:v>9.0698402453684001E-3</c:v>
                </c:pt>
                <c:pt idx="69">
                  <c:v>9.0883302463631559E-3</c:v>
                </c:pt>
                <c:pt idx="70">
                  <c:v>9.0968008373327452E-3</c:v>
                </c:pt>
                <c:pt idx="71">
                  <c:v>9.0888086986096323E-3</c:v>
                </c:pt>
                <c:pt idx="72">
                  <c:v>9.0699740703809335E-3</c:v>
                </c:pt>
                <c:pt idx="73">
                  <c:v>9.0402942760960444E-3</c:v>
                </c:pt>
                <c:pt idx="74">
                  <c:v>8.9997669444353088E-3</c:v>
                </c:pt>
                <c:pt idx="75">
                  <c:v>8.9483900493092898E-3</c:v>
                </c:pt>
                <c:pt idx="76">
                  <c:v>8.886161949830015E-3</c:v>
                </c:pt>
                <c:pt idx="77">
                  <c:v>8.8130814303113963E-3</c:v>
                </c:pt>
                <c:pt idx="78">
                  <c:v>8.7291480300565327E-3</c:v>
                </c:pt>
                <c:pt idx="79">
                  <c:v>8.6297746691586259E-3</c:v>
                </c:pt>
                <c:pt idx="80">
                  <c:v>8.5193514112331878E-3</c:v>
                </c:pt>
                <c:pt idx="81">
                  <c:v>8.3978771426820534E-3</c:v>
                </c:pt>
                <c:pt idx="82">
                  <c:v>8.2653509228369504E-3</c:v>
                </c:pt>
                <c:pt idx="83">
                  <c:v>8.121772019379251E-3</c:v>
                </c:pt>
                <c:pt idx="84">
                  <c:v>7.9671399437870726E-3</c:v>
                </c:pt>
                <c:pt idx="85">
                  <c:v>7.8000823879997294E-3</c:v>
                </c:pt>
                <c:pt idx="86">
                  <c:v>7.6270359406552385E-3</c:v>
                </c:pt>
                <c:pt idx="87">
                  <c:v>7.4480002104001424E-3</c:v>
                </c:pt>
                <c:pt idx="88">
                  <c:v>7.2629751135769695E-3</c:v>
                </c:pt>
                <c:pt idx="89">
                  <c:v>7.0719608934265224E-3</c:v>
                </c:pt>
                <c:pt idx="90">
                  <c:v>6.8749581392753495E-3</c:v>
                </c:pt>
                <c:pt idx="91">
                  <c:v>6.6719678057504681E-3</c:v>
                </c:pt>
                <c:pt idx="92">
                  <c:v>6.4629912319741538E-3</c:v>
                </c:pt>
                <c:pt idx="93">
                  <c:v>6.2487195744365467E-3</c:v>
                </c:pt>
                <c:pt idx="94">
                  <c:v>6.0337714589121794E-3</c:v>
                </c:pt>
                <c:pt idx="95">
                  <c:v>5.8181481091371945E-3</c:v>
                </c:pt>
                <c:pt idx="96">
                  <c:v>5.6018510441813224E-3</c:v>
                </c:pt>
                <c:pt idx="97">
                  <c:v>5.3848820806683189E-3</c:v>
                </c:pt>
                <c:pt idx="98">
                  <c:v>5.1672433349430969E-3</c:v>
                </c:pt>
                <c:pt idx="99">
                  <c:v>4.9499857938018884E-3</c:v>
                </c:pt>
                <c:pt idx="100">
                  <c:v>4.7344822714523232E-3</c:v>
                </c:pt>
                <c:pt idx="101">
                  <c:v>4.5207348876213568E-3</c:v>
                </c:pt>
                <c:pt idx="102">
                  <c:v>4.308745965951149E-3</c:v>
                </c:pt>
                <c:pt idx="103">
                  <c:v>4.0985180283807038E-3</c:v>
                </c:pt>
                <c:pt idx="104">
                  <c:v>3.8900537896310421E-3</c:v>
                </c:pt>
                <c:pt idx="105">
                  <c:v>3.6833561515941132E-3</c:v>
                </c:pt>
                <c:pt idx="106">
                  <c:v>3.4784281977738051E-3</c:v>
                </c:pt>
                <c:pt idx="107">
                  <c:v>3.2782999473210555E-3</c:v>
                </c:pt>
                <c:pt idx="108">
                  <c:v>3.0822850859563503E-3</c:v>
                </c:pt>
                <c:pt idx="109">
                  <c:v>2.8903858018971356E-3</c:v>
                </c:pt>
                <c:pt idx="110">
                  <c:v>2.7026119999778663E-3</c:v>
                </c:pt>
                <c:pt idx="111">
                  <c:v>2.5189716777940158E-3</c:v>
                </c:pt>
                <c:pt idx="112">
                  <c:v>2.3394642214216131E-3</c:v>
                </c:pt>
                <c:pt idx="113">
                  <c:v>2.169944216829197E-3</c:v>
                </c:pt>
                <c:pt idx="114">
                  <c:v>2.0093614567742862E-3</c:v>
                </c:pt>
                <c:pt idx="115">
                  <c:v>1.857712199700097E-3</c:v>
                </c:pt>
                <c:pt idx="116">
                  <c:v>1.7149925670481283E-3</c:v>
                </c:pt>
                <c:pt idx="117">
                  <c:v>1.5811985238613066E-3</c:v>
                </c:pt>
                <c:pt idx="118">
                  <c:v>1.4563258593662609E-3</c:v>
                </c:pt>
                <c:pt idx="119">
                  <c:v>1.3403701675617373E-3</c:v>
                </c:pt>
                <c:pt idx="120">
                  <c:v>1.2333268278049724E-3</c:v>
                </c:pt>
                <c:pt idx="121">
                  <c:v>1.1384698208909275E-3</c:v>
                </c:pt>
                <c:pt idx="122">
                  <c:v>1.0527746933349093E-3</c:v>
                </c:pt>
                <c:pt idx="123">
                  <c:v>9.7623578603404351E-4</c:v>
                </c:pt>
                <c:pt idx="124">
                  <c:v>9.0884713357689223E-4</c:v>
                </c:pt>
                <c:pt idx="125">
                  <c:v>8.5060244426772829E-4</c:v>
                </c:pt>
                <c:pt idx="126">
                  <c:v>8.0149508013658275E-4</c:v>
                </c:pt>
                <c:pt idx="127">
                  <c:v>7.6250617515772267E-4</c:v>
                </c:pt>
                <c:pt idx="128">
                  <c:v>7.2779479011656672E-4</c:v>
                </c:pt>
                <c:pt idx="129">
                  <c:v>6.9735768037841692E-4</c:v>
                </c:pt>
                <c:pt idx="130">
                  <c:v>6.7119141958453185E-4</c:v>
                </c:pt>
                <c:pt idx="131">
                  <c:v>6.492923902937191E-4</c:v>
                </c:pt>
                <c:pt idx="132">
                  <c:v>6.3165677463164818E-4</c:v>
                </c:pt>
                <c:pt idx="133">
                  <c:v>6.1828054494395457E-4</c:v>
                </c:pt>
                <c:pt idx="134">
                  <c:v>6.0915945444569154E-4</c:v>
                </c:pt>
                <c:pt idx="135">
                  <c:v>6.0596414921634107E-4</c:v>
                </c:pt>
                <c:pt idx="136">
                  <c:v>6.0542472958143901E-4</c:v>
                </c:pt>
                <c:pt idx="137">
                  <c:v>6.0753804204652861E-4</c:v>
                </c:pt>
                <c:pt idx="138">
                  <c:v>6.1230077257066085E-4</c:v>
                </c:pt>
                <c:pt idx="139">
                  <c:v>6.1970944072773596E-4</c:v>
                </c:pt>
                <c:pt idx="140">
                  <c:v>6.2976039383356075E-4</c:v>
                </c:pt>
                <c:pt idx="141">
                  <c:v>6.4353395725964108E-4</c:v>
                </c:pt>
                <c:pt idx="142">
                  <c:v>6.6003839598323887E-4</c:v>
                </c:pt>
                <c:pt idx="143">
                  <c:v>6.7926597525760869E-4</c:v>
                </c:pt>
                <c:pt idx="144">
                  <c:v>7.0121249763567051E-4</c:v>
                </c:pt>
                <c:pt idx="145">
                  <c:v>7.2587354805073515E-4</c:v>
                </c:pt>
                <c:pt idx="146">
                  <c:v>7.5324453081051384E-4</c:v>
                </c:pt>
                <c:pt idx="147">
                  <c:v>7.8332070661484541E-4</c:v>
                </c:pt>
                <c:pt idx="148">
                  <c:v>8.1609722955675805E-4</c:v>
                </c:pt>
                <c:pt idx="149">
                  <c:v>8.5082628176618184E-4</c:v>
                </c:pt>
                <c:pt idx="150">
                  <c:v>8.8584102077843936E-4</c:v>
                </c:pt>
                <c:pt idx="151">
                  <c:v>9.2114082494393248E-4</c:v>
                </c:pt>
                <c:pt idx="152">
                  <c:v>9.5672524377356119E-4</c:v>
                </c:pt>
                <c:pt idx="153">
                  <c:v>9.9259400247725437E-4</c:v>
                </c:pt>
                <c:pt idx="154">
                  <c:v>1.0287470065072958E-3</c:v>
                </c:pt>
                <c:pt idx="155">
                  <c:v>1.063926628607127E-3</c:v>
                </c:pt>
                <c:pt idx="156">
                  <c:v>1.0970604415124585E-3</c:v>
                </c:pt>
                <c:pt idx="157">
                  <c:v>1.1281533586663202E-3</c:v>
                </c:pt>
                <c:pt idx="158">
                  <c:v>1.1572105015410302E-3</c:v>
                </c:pt>
                <c:pt idx="159">
                  <c:v>1.1842371725881949E-3</c:v>
                </c:pt>
                <c:pt idx="160">
                  <c:v>1.2092388282027395E-3</c:v>
                </c:pt>
                <c:pt idx="161">
                  <c:v>1.2322210516740411E-3</c:v>
                </c:pt>
                <c:pt idx="162">
                  <c:v>1.2531895261431517E-3</c:v>
                </c:pt>
                <c:pt idx="163">
                  <c:v>1.2713345315751689E-3</c:v>
                </c:pt>
                <c:pt idx="164">
                  <c:v>1.2873993918562966E-3</c:v>
                </c:pt>
                <c:pt idx="165">
                  <c:v>1.3013900509765859E-3</c:v>
                </c:pt>
                <c:pt idx="166">
                  <c:v>1.3133124355728537E-3</c:v>
                </c:pt>
                <c:pt idx="167">
                  <c:v>1.3231724267893194E-3</c:v>
                </c:pt>
                <c:pt idx="168">
                  <c:v>1.3309758321798119E-3</c:v>
                </c:pt>
                <c:pt idx="169">
                  <c:v>1.3359157702272854E-3</c:v>
                </c:pt>
                <c:pt idx="170">
                  <c:v>1.339245417219871E-3</c:v>
                </c:pt>
                <c:pt idx="171">
                  <c:v>1.3409694593020894E-3</c:v>
                </c:pt>
                <c:pt idx="172">
                  <c:v>1.3410924388407941E-3</c:v>
                </c:pt>
                <c:pt idx="173">
                  <c:v>1.3396050332678449E-3</c:v>
                </c:pt>
                <c:pt idx="174">
                  <c:v>1.3364971339883576E-3</c:v>
                </c:pt>
                <c:pt idx="175">
                  <c:v>1.3317719808485764E-3</c:v>
                </c:pt>
                <c:pt idx="176">
                  <c:v>1.3254328030225136E-3</c:v>
                </c:pt>
                <c:pt idx="177">
                  <c:v>1.3162409805277343E-3</c:v>
                </c:pt>
                <c:pt idx="178">
                  <c:v>1.3050104053624609E-3</c:v>
                </c:pt>
                <c:pt idx="179">
                  <c:v>1.2917448546742232E-3</c:v>
                </c:pt>
                <c:pt idx="180">
                  <c:v>1.2764480455671509E-3</c:v>
                </c:pt>
                <c:pt idx="181">
                  <c:v>1.2591236230540799E-3</c:v>
                </c:pt>
                <c:pt idx="182">
                  <c:v>1.2397751480200379E-3</c:v>
                </c:pt>
                <c:pt idx="183">
                  <c:v>1.2176773978022088E-3</c:v>
                </c:pt>
                <c:pt idx="184">
                  <c:v>1.193641247228726E-3</c:v>
                </c:pt>
                <c:pt idx="185">
                  <c:v>1.167669808391362E-3</c:v>
                </c:pt>
                <c:pt idx="186">
                  <c:v>1.1397660625545572E-3</c:v>
                </c:pt>
                <c:pt idx="187">
                  <c:v>1.1099328485806702E-3</c:v>
                </c:pt>
                <c:pt idx="188">
                  <c:v>1.0781728513607799E-3</c:v>
                </c:pt>
                <c:pt idx="189">
                  <c:v>1.0444885902115835E-3</c:v>
                </c:pt>
                <c:pt idx="190">
                  <c:v>1.0088824073194377E-3</c:v>
                </c:pt>
                <c:pt idx="191">
                  <c:v>9.7241166106908008E-4</c:v>
                </c:pt>
                <c:pt idx="192">
                  <c:v>9.3631016872026171E-4</c:v>
                </c:pt>
                <c:pt idx="193">
                  <c:v>9.0057694432422086E-4</c:v>
                </c:pt>
                <c:pt idx="194">
                  <c:v>8.6521093953044611E-4</c:v>
                </c:pt>
                <c:pt idx="195">
                  <c:v>8.302110455524408E-4</c:v>
                </c:pt>
                <c:pt idx="196">
                  <c:v>7.9557609509808499E-4</c:v>
                </c:pt>
                <c:pt idx="197">
                  <c:v>7.6292754405257734E-4</c:v>
                </c:pt>
                <c:pt idx="198">
                  <c:v>7.329865966986842E-4</c:v>
                </c:pt>
                <c:pt idx="199">
                  <c:v>7.0574970553174217E-4</c:v>
                </c:pt>
                <c:pt idx="200">
                  <c:v>6.8121348920480759E-4</c:v>
                </c:pt>
                <c:pt idx="201">
                  <c:v>6.5937474836769811E-4</c:v>
                </c:pt>
                <c:pt idx="202">
                  <c:v>6.4023048151109758E-4</c:v>
                </c:pt>
                <c:pt idx="203">
                  <c:v>6.2377790082481898E-4</c:v>
                </c:pt>
                <c:pt idx="204">
                  <c:v>6.1001346296297174E-4</c:v>
                </c:pt>
                <c:pt idx="205">
                  <c:v>5.998860254417314E-4</c:v>
                </c:pt>
                <c:pt idx="206">
                  <c:v>5.9234231980327733E-4</c:v>
                </c:pt>
                <c:pt idx="207">
                  <c:v>5.8738017748106812E-4</c:v>
                </c:pt>
                <c:pt idx="208">
                  <c:v>5.8499764852940051E-4</c:v>
                </c:pt>
                <c:pt idx="209">
                  <c:v>5.8519299364016375E-4</c:v>
                </c:pt>
                <c:pt idx="210">
                  <c:v>5.8796467617928375E-4</c:v>
                </c:pt>
                <c:pt idx="211">
                  <c:v>5.9646297431912275E-4</c:v>
                </c:pt>
                <c:pt idx="212">
                  <c:v>6.0906844646769641E-4</c:v>
                </c:pt>
                <c:pt idx="213">
                  <c:v>6.2577963843951894E-4</c:v>
                </c:pt>
                <c:pt idx="214">
                  <c:v>6.4659536894037405E-4</c:v>
                </c:pt>
                <c:pt idx="215">
                  <c:v>6.7151471682880672E-4</c:v>
                </c:pt>
                <c:pt idx="216">
                  <c:v>7.00537008375417E-4</c:v>
                </c:pt>
                <c:pt idx="217">
                  <c:v>7.3366180452486647E-4</c:v>
                </c:pt>
                <c:pt idx="218">
                  <c:v>7.7088888815429496E-4</c:v>
                </c:pt>
                <c:pt idx="219">
                  <c:v>8.1783120223410119E-4</c:v>
                </c:pt>
                <c:pt idx="220">
                  <c:v>8.7353744924942398E-4</c:v>
                </c:pt>
                <c:pt idx="221">
                  <c:v>9.3800753438038058E-4</c:v>
                </c:pt>
                <c:pt idx="222">
                  <c:v>1.011241779717452E-3</c:v>
                </c:pt>
                <c:pt idx="223">
                  <c:v>1.0932408970475659E-3</c:v>
                </c:pt>
                <c:pt idx="224">
                  <c:v>1.1840059606194498E-3</c:v>
                </c:pt>
                <c:pt idx="225">
                  <c:v>1.2864359779984093E-3</c:v>
                </c:pt>
                <c:pt idx="226">
                  <c:v>1.3973841687407562E-3</c:v>
                </c:pt>
                <c:pt idx="227">
                  <c:v>1.5168525924873239E-3</c:v>
                </c:pt>
                <c:pt idx="228">
                  <c:v>1.6448435480244767E-3</c:v>
                </c:pt>
                <c:pt idx="229">
                  <c:v>1.7813595468180524E-3</c:v>
                </c:pt>
                <c:pt idx="230">
                  <c:v>1.9264032865687331E-3</c:v>
                </c:pt>
                <c:pt idx="231">
                  <c:v>2.0799776247778312E-3</c:v>
                </c:pt>
                <c:pt idx="232">
                  <c:v>2.2420855522724409E-3</c:v>
                </c:pt>
                <c:pt idx="233">
                  <c:v>2.4137330254464756E-3</c:v>
                </c:pt>
                <c:pt idx="234">
                  <c:v>2.58931024649697E-3</c:v>
                </c:pt>
                <c:pt idx="235">
                  <c:v>2.7688219550311434E-3</c:v>
                </c:pt>
                <c:pt idx="236">
                  <c:v>2.9522743377373797E-3</c:v>
                </c:pt>
                <c:pt idx="237">
                  <c:v>3.1396723085842914E-3</c:v>
                </c:pt>
                <c:pt idx="238">
                  <c:v>3.3310210716083707E-3</c:v>
                </c:pt>
                <c:pt idx="239">
                  <c:v>3.5269853699453533E-3</c:v>
                </c:pt>
                <c:pt idx="240">
                  <c:v>3.7246717026817749E-3</c:v>
                </c:pt>
                <c:pt idx="241">
                  <c:v>3.924085549539171E-3</c:v>
                </c:pt>
                <c:pt idx="242">
                  <c:v>4.1252326050217449E-3</c:v>
                </c:pt>
                <c:pt idx="243">
                  <c:v>4.3281187813836615E-3</c:v>
                </c:pt>
                <c:pt idx="244">
                  <c:v>4.5327502115809987E-3</c:v>
                </c:pt>
                <c:pt idx="245">
                  <c:v>4.7391332521780323E-3</c:v>
                </c:pt>
                <c:pt idx="246">
                  <c:v>4.947274486237445E-3</c:v>
                </c:pt>
                <c:pt idx="247">
                  <c:v>5.1558681256762464E-3</c:v>
                </c:pt>
                <c:pt idx="248">
                  <c:v>5.3639162666720428E-3</c:v>
                </c:pt>
                <c:pt idx="249">
                  <c:v>5.5714250207021462E-3</c:v>
                </c:pt>
                <c:pt idx="250">
                  <c:v>5.7784006101735405E-3</c:v>
                </c:pt>
                <c:pt idx="251">
                  <c:v>5.9848493674176445E-3</c:v>
                </c:pt>
                <c:pt idx="252">
                  <c:v>6.1907777334534895E-3</c:v>
                </c:pt>
                <c:pt idx="253">
                  <c:v>6.3917684886534059E-3</c:v>
                </c:pt>
                <c:pt idx="254">
                  <c:v>6.5871648011779525E-3</c:v>
                </c:pt>
                <c:pt idx="255">
                  <c:v>6.7769699422405441E-3</c:v>
                </c:pt>
                <c:pt idx="256">
                  <c:v>6.9611869748340922E-3</c:v>
                </c:pt>
                <c:pt idx="257">
                  <c:v>7.1398187435679182E-3</c:v>
                </c:pt>
                <c:pt idx="258">
                  <c:v>7.3128678645660306E-3</c:v>
                </c:pt>
                <c:pt idx="259">
                  <c:v>7.4803367154700718E-3</c:v>
                </c:pt>
                <c:pt idx="260">
                  <c:v>7.6422274252236156E-3</c:v>
                </c:pt>
                <c:pt idx="261">
                  <c:v>7.7923656809469818E-3</c:v>
                </c:pt>
                <c:pt idx="262">
                  <c:v>7.9320646044749709E-3</c:v>
                </c:pt>
                <c:pt idx="263">
                  <c:v>8.061320854097968E-3</c:v>
                </c:pt>
                <c:pt idx="264">
                  <c:v>8.1801308514238141E-3</c:v>
                </c:pt>
                <c:pt idx="265">
                  <c:v>8.2885348048978638E-3</c:v>
                </c:pt>
                <c:pt idx="266">
                  <c:v>8.3865523111695314E-3</c:v>
                </c:pt>
                <c:pt idx="267">
                  <c:v>8.4699708662988767E-3</c:v>
                </c:pt>
                <c:pt idx="268">
                  <c:v>8.5432120495100173E-3</c:v>
                </c:pt>
                <c:pt idx="269">
                  <c:v>8.6062579683695035E-3</c:v>
                </c:pt>
                <c:pt idx="270">
                  <c:v>8.6590893999013551E-3</c:v>
                </c:pt>
                <c:pt idx="271">
                  <c:v>8.7016859048369075E-3</c:v>
                </c:pt>
                <c:pt idx="272">
                  <c:v>8.7340259420996946E-3</c:v>
                </c:pt>
                <c:pt idx="273">
                  <c:v>8.7560869831814041E-3</c:v>
                </c:pt>
                <c:pt idx="274">
                  <c:v>8.7678456266320308E-3</c:v>
                </c:pt>
                <c:pt idx="275">
                  <c:v>8.7638552914300494E-3</c:v>
                </c:pt>
                <c:pt idx="276">
                  <c:v>8.7502964860381328E-3</c:v>
                </c:pt>
                <c:pt idx="277">
                  <c:v>8.7271449295150804E-3</c:v>
                </c:pt>
                <c:pt idx="278">
                  <c:v>8.6943759818081823E-3</c:v>
                </c:pt>
                <c:pt idx="279">
                  <c:v>8.6519647495002378E-3</c:v>
                </c:pt>
                <c:pt idx="280">
                  <c:v>8.5998861916383833E-3</c:v>
                </c:pt>
                <c:pt idx="281">
                  <c:v>8.5319947093499358E-3</c:v>
                </c:pt>
                <c:pt idx="282">
                  <c:v>8.4524832040157767E-3</c:v>
                </c:pt>
                <c:pt idx="283">
                  <c:v>8.3613238281040215E-3</c:v>
                </c:pt>
                <c:pt idx="284">
                  <c:v>8.2584890335804986E-3</c:v>
                </c:pt>
                <c:pt idx="285">
                  <c:v>8.1439516984034167E-3</c:v>
                </c:pt>
                <c:pt idx="286">
                  <c:v>8.0176852530969758E-3</c:v>
                </c:pt>
                <c:pt idx="287">
                  <c:v>7.8796638072422039E-3</c:v>
                </c:pt>
                <c:pt idx="288">
                  <c:v>7.7298622759998789E-3</c:v>
                </c:pt>
                <c:pt idx="289">
                  <c:v>7.5681782561750248E-3</c:v>
                </c:pt>
                <c:pt idx="290">
                  <c:v>7.4000527957124298E-3</c:v>
                </c:pt>
                <c:pt idx="291">
                  <c:v>7.2254719386490194E-3</c:v>
                </c:pt>
                <c:pt idx="292">
                  <c:v>7.0444227673788279E-3</c:v>
                </c:pt>
                <c:pt idx="293">
                  <c:v>6.8568934705233583E-3</c:v>
                </c:pt>
                <c:pt idx="294">
                  <c:v>6.6628734107721556E-3</c:v>
                </c:pt>
                <c:pt idx="295">
                  <c:v>6.4656191599162744E-3</c:v>
                </c:pt>
                <c:pt idx="296">
                  <c:v>6.2713690300797249E-3</c:v>
                </c:pt>
                <c:pt idx="297">
                  <c:v>6.0801722997541408E-3</c:v>
                </c:pt>
                <c:pt idx="298">
                  <c:v>5.8920239621097449E-3</c:v>
                </c:pt>
                <c:pt idx="299">
                  <c:v>5.7069198328983184E-3</c:v>
                </c:pt>
                <c:pt idx="300">
                  <c:v>5.5248565210133443E-3</c:v>
                </c:pt>
                <c:pt idx="301">
                  <c:v>5.3458313990319096E-3</c:v>
                </c:pt>
                <c:pt idx="302">
                  <c:v>5.169842573769603E-3</c:v>
                </c:pt>
                <c:pt idx="303">
                  <c:v>4.9989513955481044E-3</c:v>
                </c:pt>
                <c:pt idx="304">
                  <c:v>4.8332391062973403E-3</c:v>
                </c:pt>
                <c:pt idx="305">
                  <c:v>4.6727088929603292E-3</c:v>
                </c:pt>
                <c:pt idx="306">
                  <c:v>4.5173645315113552E-3</c:v>
                </c:pt>
                <c:pt idx="307">
                  <c:v>4.3672103377984479E-3</c:v>
                </c:pt>
                <c:pt idx="308">
                  <c:v>4.2222511183487707E-3</c:v>
                </c:pt>
                <c:pt idx="309">
                  <c:v>4.0849143948639378E-3</c:v>
                </c:pt>
                <c:pt idx="310">
                  <c:v>3.9519208328941541E-3</c:v>
                </c:pt>
                <c:pt idx="311">
                  <c:v>3.823275200066395E-3</c:v>
                </c:pt>
                <c:pt idx="312">
                  <c:v>3.6989825856868289E-3</c:v>
                </c:pt>
                <c:pt idx="313">
                  <c:v>3.5790483595288642E-3</c:v>
                </c:pt>
                <c:pt idx="314">
                  <c:v>3.4634781305864959E-3</c:v>
                </c:pt>
                <c:pt idx="315">
                  <c:v>3.3522777058732282E-3</c:v>
                </c:pt>
                <c:pt idx="316">
                  <c:v>3.2454530491657051E-3</c:v>
                </c:pt>
                <c:pt idx="317">
                  <c:v>3.1458752204686015E-3</c:v>
                </c:pt>
                <c:pt idx="318">
                  <c:v>3.0514773679143951E-3</c:v>
                </c:pt>
                <c:pt idx="319">
                  <c:v>2.9622664352611737E-3</c:v>
                </c:pt>
                <c:pt idx="320">
                  <c:v>2.8782492797005867E-3</c:v>
                </c:pt>
                <c:pt idx="321">
                  <c:v>2.7994326234149023E-3</c:v>
                </c:pt>
                <c:pt idx="322">
                  <c:v>2.7258230051441213E-3</c:v>
                </c:pt>
                <c:pt idx="323">
                  <c:v>2.661876631533023E-3</c:v>
                </c:pt>
                <c:pt idx="324">
                  <c:v>2.6051670214559089E-3</c:v>
                </c:pt>
                <c:pt idx="325">
                  <c:v>2.5557010910382165E-3</c:v>
                </c:pt>
                <c:pt idx="326">
                  <c:v>2.513469500792224E-3</c:v>
                </c:pt>
                <c:pt idx="327">
                  <c:v>2.4784733696189116E-3</c:v>
                </c:pt>
                <c:pt idx="328">
                  <c:v>2.4507255748705261E-3</c:v>
                </c:pt>
                <c:pt idx="329">
                  <c:v>2.4302375383859873E-3</c:v>
                </c:pt>
                <c:pt idx="330">
                  <c:v>2.4170193789952326E-3</c:v>
                </c:pt>
                <c:pt idx="331">
                  <c:v>2.415123606255011E-3</c:v>
                </c:pt>
                <c:pt idx="332">
                  <c:v>2.4216835605897478E-3</c:v>
                </c:pt>
                <c:pt idx="333">
                  <c:v>2.4367064494962309E-3</c:v>
                </c:pt>
                <c:pt idx="334">
                  <c:v>2.4601987190784069E-3</c:v>
                </c:pt>
                <c:pt idx="335">
                  <c:v>2.4921662308873636E-3</c:v>
                </c:pt>
                <c:pt idx="336">
                  <c:v>2.5326144387293049E-3</c:v>
                </c:pt>
                <c:pt idx="337">
                  <c:v>2.5800229707926572E-3</c:v>
                </c:pt>
                <c:pt idx="338">
                  <c:v>2.6299379808036867E-3</c:v>
                </c:pt>
                <c:pt idx="339">
                  <c:v>2.6823643315026739E-3</c:v>
                </c:pt>
                <c:pt idx="340">
                  <c:v>2.7373072475668798E-3</c:v>
                </c:pt>
                <c:pt idx="341">
                  <c:v>2.7947723680081557E-3</c:v>
                </c:pt>
                <c:pt idx="342">
                  <c:v>2.8547657985695828E-3</c:v>
                </c:pt>
                <c:pt idx="343">
                  <c:v>2.9172941640881341E-3</c:v>
                </c:pt>
                <c:pt idx="344">
                  <c:v>2.9823646609008375E-3</c:v>
                </c:pt>
                <c:pt idx="345">
                  <c:v>3.0499851092213159E-3</c:v>
                </c:pt>
                <c:pt idx="346">
                  <c:v>3.1122285778380564E-3</c:v>
                </c:pt>
                <c:pt idx="347">
                  <c:v>3.1691027107667844E-3</c:v>
                </c:pt>
                <c:pt idx="348">
                  <c:v>3.2206152408504832E-3</c:v>
                </c:pt>
                <c:pt idx="349">
                  <c:v>3.2667738771666693E-3</c:v>
                </c:pt>
                <c:pt idx="350">
                  <c:v>3.3075861925097589E-3</c:v>
                </c:pt>
                <c:pt idx="351">
                  <c:v>3.3391683775641783E-3</c:v>
                </c:pt>
                <c:pt idx="352">
                  <c:v>3.3630525653984117E-3</c:v>
                </c:pt>
                <c:pt idx="353">
                  <c:v>3.3792436431561591E-3</c:v>
                </c:pt>
                <c:pt idx="354">
                  <c:v>3.3877454961501758E-3</c:v>
                </c:pt>
                <c:pt idx="355">
                  <c:v>3.3885608460039237E-3</c:v>
                </c:pt>
                <c:pt idx="356">
                  <c:v>3.3816934259080955E-3</c:v>
                </c:pt>
                <c:pt idx="357">
                  <c:v>3.3671356116747523E-3</c:v>
                </c:pt>
                <c:pt idx="358">
                  <c:v>3.344870251735407E-3</c:v>
                </c:pt>
                <c:pt idx="359">
                  <c:v>3.3148790341140919E-3</c:v>
                </c:pt>
                <c:pt idx="360">
                  <c:v>3.2756121508060697E-3</c:v>
                </c:pt>
                <c:pt idx="361">
                  <c:v>3.2309499614424056E-3</c:v>
                </c:pt>
                <c:pt idx="362">
                  <c:v>3.1808747942456282E-3</c:v>
                </c:pt>
                <c:pt idx="363">
                  <c:v>3.1253688625060018E-3</c:v>
                </c:pt>
                <c:pt idx="364">
                  <c:v>3.0644144036285248E-3</c:v>
                </c:pt>
                <c:pt idx="365">
                  <c:v>2.9979938181374922E-3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1.8050760638635126E-2</c:v>
                </c:pt>
                <c:pt idx="1">
                  <c:v>1.7878221321546223E-2</c:v>
                </c:pt>
                <c:pt idx="2">
                  <c:v>1.7704941058153092E-2</c:v>
                </c:pt>
                <c:pt idx="3">
                  <c:v>1.7530870902721905E-2</c:v>
                </c:pt>
                <c:pt idx="4">
                  <c:v>1.7355963754332487E-2</c:v>
                </c:pt>
                <c:pt idx="5">
                  <c:v>1.7180174374096784E-2</c:v>
                </c:pt>
                <c:pt idx="6">
                  <c:v>1.7003459402597142E-2</c:v>
                </c:pt>
                <c:pt idx="7">
                  <c:v>1.6825777376934564E-2</c:v>
                </c:pt>
                <c:pt idx="8">
                  <c:v>1.6647088748022801E-2</c:v>
                </c:pt>
                <c:pt idx="9">
                  <c:v>1.6453127082318181E-2</c:v>
                </c:pt>
                <c:pt idx="10">
                  <c:v>1.6248137752038792E-2</c:v>
                </c:pt>
                <c:pt idx="11">
                  <c:v>1.6032075399712561E-2</c:v>
                </c:pt>
                <c:pt idx="12">
                  <c:v>1.5804897954050077E-2</c:v>
                </c:pt>
                <c:pt idx="13">
                  <c:v>1.5566566899750984E-2</c:v>
                </c:pt>
                <c:pt idx="14">
                  <c:v>1.5317047547045588E-2</c:v>
                </c:pt>
                <c:pt idx="15">
                  <c:v>1.5044317482910666E-2</c:v>
                </c:pt>
                <c:pt idx="16">
                  <c:v>1.4744711655955587E-2</c:v>
                </c:pt>
                <c:pt idx="17">
                  <c:v>1.4418197445671544E-2</c:v>
                </c:pt>
                <c:pt idx="18">
                  <c:v>1.4064750502300371E-2</c:v>
                </c:pt>
                <c:pt idx="19">
                  <c:v>1.3684431743006646E-2</c:v>
                </c:pt>
                <c:pt idx="20">
                  <c:v>1.3277336057396109E-2</c:v>
                </c:pt>
                <c:pt idx="21">
                  <c:v>1.2843498192635324E-2</c:v>
                </c:pt>
                <c:pt idx="22">
                  <c:v>1.2382954680691054E-2</c:v>
                </c:pt>
                <c:pt idx="23">
                  <c:v>1.1924779047097434E-2</c:v>
                </c:pt>
                <c:pt idx="24">
                  <c:v>1.1483300890319818E-2</c:v>
                </c:pt>
                <c:pt idx="25">
                  <c:v>1.1058565742930035E-2</c:v>
                </c:pt>
                <c:pt idx="26">
                  <c:v>1.065061495416819E-2</c:v>
                </c:pt>
                <c:pt idx="27">
                  <c:v>1.0259485902712032E-2</c:v>
                </c:pt>
                <c:pt idx="28">
                  <c:v>9.8852122096835388E-3</c:v>
                </c:pt>
                <c:pt idx="29">
                  <c:v>9.5539449529606496E-3</c:v>
                </c:pt>
                <c:pt idx="30">
                  <c:v>9.277720796754289E-3</c:v>
                </c:pt>
                <c:pt idx="31">
                  <c:v>9.0565583436978663E-3</c:v>
                </c:pt>
                <c:pt idx="32">
                  <c:v>8.8904709141509122E-3</c:v>
                </c:pt>
                <c:pt idx="33">
                  <c:v>8.779467235775015E-3</c:v>
                </c:pt>
                <c:pt idx="34">
                  <c:v>8.723552133149964E-3</c:v>
                </c:pt>
                <c:pt idx="35">
                  <c:v>8.7227272173808559E-3</c:v>
                </c:pt>
                <c:pt idx="36">
                  <c:v>8.7769915756879882E-3</c:v>
                </c:pt>
                <c:pt idx="37">
                  <c:v>8.8903334258442698E-3</c:v>
                </c:pt>
                <c:pt idx="38">
                  <c:v>9.0337227095960201E-3</c:v>
                </c:pt>
                <c:pt idx="39">
                  <c:v>9.2071616808345972E-3</c:v>
                </c:pt>
                <c:pt idx="40">
                  <c:v>9.4106529914447078E-3</c:v>
                </c:pt>
                <c:pt idx="41">
                  <c:v>9.6442000678184734E-3</c:v>
                </c:pt>
                <c:pt idx="42">
                  <c:v>9.9078074873087969E-3</c:v>
                </c:pt>
                <c:pt idx="43">
                  <c:v>1.0201941049241988E-2</c:v>
                </c:pt>
                <c:pt idx="44">
                  <c:v>1.0500515415300796E-2</c:v>
                </c:pt>
                <c:pt idx="45">
                  <c:v>1.0803546668820614E-2</c:v>
                </c:pt>
                <c:pt idx="46">
                  <c:v>1.1111052544429604E-2</c:v>
                </c:pt>
                <c:pt idx="47">
                  <c:v>1.1423052483794343E-2</c:v>
                </c:pt>
                <c:pt idx="48">
                  <c:v>1.1739567691225779E-2</c:v>
                </c:pt>
                <c:pt idx="49">
                  <c:v>1.206062118938356E-2</c:v>
                </c:pt>
                <c:pt idx="50">
                  <c:v>1.2386237874910909E-2</c:v>
                </c:pt>
                <c:pt idx="51">
                  <c:v>1.2710872991345953E-2</c:v>
                </c:pt>
                <c:pt idx="52">
                  <c:v>1.3030496611058156E-2</c:v>
                </c:pt>
                <c:pt idx="53">
                  <c:v>1.3345046003475429E-2</c:v>
                </c:pt>
                <c:pt idx="54">
                  <c:v>1.365451925963404E-2</c:v>
                </c:pt>
                <c:pt idx="55">
                  <c:v>1.3958913920656874E-2</c:v>
                </c:pt>
                <c:pt idx="56">
                  <c:v>1.4258226996660961E-2</c:v>
                </c:pt>
                <c:pt idx="57">
                  <c:v>1.4542738771368866E-2</c:v>
                </c:pt>
                <c:pt idx="58">
                  <c:v>1.4811985598659134E-2</c:v>
                </c:pt>
                <c:pt idx="59">
                  <c:v>1.5065962786286281E-2</c:v>
                </c:pt>
                <c:pt idx="60">
                  <c:v>1.5304665161177155E-2</c:v>
                </c:pt>
                <c:pt idx="61">
                  <c:v>1.5528087125995042E-2</c:v>
                </c:pt>
                <c:pt idx="62">
                  <c:v>1.5736222715680624E-2</c:v>
                </c:pt>
                <c:pt idx="63">
                  <c:v>1.592906565403936E-2</c:v>
                </c:pt>
                <c:pt idx="64">
                  <c:v>1.6106609410266714E-2</c:v>
                </c:pt>
                <c:pt idx="65">
                  <c:v>1.6260637523332164E-2</c:v>
                </c:pt>
                <c:pt idx="66">
                  <c:v>1.6396714868668304E-2</c:v>
                </c:pt>
                <c:pt idx="67">
                  <c:v>1.6514834529354389E-2</c:v>
                </c:pt>
                <c:pt idx="68">
                  <c:v>1.661498960880468E-2</c:v>
                </c:pt>
                <c:pt idx="69">
                  <c:v>1.6697173297033591E-2</c:v>
                </c:pt>
                <c:pt idx="70">
                  <c:v>1.6761378936997421E-2</c:v>
                </c:pt>
                <c:pt idx="71">
                  <c:v>1.679913553713528E-2</c:v>
                </c:pt>
                <c:pt idx="72">
                  <c:v>1.6820153696580197E-2</c:v>
                </c:pt>
                <c:pt idx="73">
                  <c:v>1.6824427652188816E-2</c:v>
                </c:pt>
                <c:pt idx="74">
                  <c:v>1.6811952037536663E-2</c:v>
                </c:pt>
                <c:pt idx="75">
                  <c:v>1.678272194462934E-2</c:v>
                </c:pt>
                <c:pt idx="76">
                  <c:v>1.6736732985561466E-2</c:v>
                </c:pt>
                <c:pt idx="77">
                  <c:v>1.6673981354230184E-2</c:v>
                </c:pt>
                <c:pt idx="78">
                  <c:v>1.6594464438945945E-2</c:v>
                </c:pt>
                <c:pt idx="79">
                  <c:v>1.6488065916993547E-2</c:v>
                </c:pt>
                <c:pt idx="80">
                  <c:v>1.6363036158103139E-2</c:v>
                </c:pt>
                <c:pt idx="81">
                  <c:v>1.6219372613956905E-2</c:v>
                </c:pt>
                <c:pt idx="82">
                  <c:v>1.6057072949316836E-2</c:v>
                </c:pt>
                <c:pt idx="83">
                  <c:v>1.5876135101725499E-2</c:v>
                </c:pt>
                <c:pt idx="84">
                  <c:v>1.5676557341260118E-2</c:v>
                </c:pt>
                <c:pt idx="85">
                  <c:v>1.5450756811374054E-2</c:v>
                </c:pt>
                <c:pt idx="86">
                  <c:v>1.5207193387044092E-2</c:v>
                </c:pt>
                <c:pt idx="87">
                  <c:v>1.4945866597870136E-2</c:v>
                </c:pt>
                <c:pt idx="88">
                  <c:v>1.4666776540727774E-2</c:v>
                </c:pt>
                <c:pt idx="89">
                  <c:v>1.4369923936675333E-2</c:v>
                </c:pt>
                <c:pt idx="90">
                  <c:v>1.405531018783074E-2</c:v>
                </c:pt>
                <c:pt idx="91">
                  <c:v>1.3722937434303731E-2</c:v>
                </c:pt>
                <c:pt idx="92">
                  <c:v>1.3372808611088008E-2</c:v>
                </c:pt>
                <c:pt idx="93">
                  <c:v>1.3003595002341438E-2</c:v>
                </c:pt>
                <c:pt idx="94">
                  <c:v>1.2625471230929506E-2</c:v>
                </c:pt>
                <c:pt idx="95">
                  <c:v>1.2238440688909587E-2</c:v>
                </c:pt>
                <c:pt idx="96">
                  <c:v>1.1842507517590632E-2</c:v>
                </c:pt>
                <c:pt idx="97">
                  <c:v>1.143767663616993E-2</c:v>
                </c:pt>
                <c:pt idx="98">
                  <c:v>1.1023953770258187E-2</c:v>
                </c:pt>
                <c:pt idx="99">
                  <c:v>1.0603860575986416E-2</c:v>
                </c:pt>
                <c:pt idx="100">
                  <c:v>1.0184976043403305E-2</c:v>
                </c:pt>
                <c:pt idx="101">
                  <c:v>9.7673047363064872E-3</c:v>
                </c:pt>
                <c:pt idx="102">
                  <c:v>9.3508517055160122E-3</c:v>
                </c:pt>
                <c:pt idx="103">
                  <c:v>8.935622484981972E-3</c:v>
                </c:pt>
                <c:pt idx="104">
                  <c:v>8.5216230881162616E-3</c:v>
                </c:pt>
                <c:pt idx="105">
                  <c:v>8.1088600039160384E-3</c:v>
                </c:pt>
                <c:pt idx="106">
                  <c:v>7.6973401932001256E-3</c:v>
                </c:pt>
                <c:pt idx="107">
                  <c:v>7.2915294915327162E-3</c:v>
                </c:pt>
                <c:pt idx="108">
                  <c:v>6.8927633974974305E-3</c:v>
                </c:pt>
                <c:pt idx="109">
                  <c:v>6.5010468678485785E-3</c:v>
                </c:pt>
                <c:pt idx="110">
                  <c:v>6.1164023934683377E-3</c:v>
                </c:pt>
                <c:pt idx="111">
                  <c:v>5.7388486625884081E-3</c:v>
                </c:pt>
                <c:pt idx="112">
                  <c:v>5.3683851305807535E-3</c:v>
                </c:pt>
                <c:pt idx="113">
                  <c:v>5.0152602904990099E-3</c:v>
                </c:pt>
                <c:pt idx="114">
                  <c:v>4.6769585270351076E-3</c:v>
                </c:pt>
                <c:pt idx="115">
                  <c:v>4.3534744268792667E-3</c:v>
                </c:pt>
                <c:pt idx="116">
                  <c:v>4.0448024129016305E-3</c:v>
                </c:pt>
                <c:pt idx="117">
                  <c:v>3.7509367120421365E-3</c:v>
                </c:pt>
                <c:pt idx="118">
                  <c:v>3.4718713231519129E-3</c:v>
                </c:pt>
                <c:pt idx="119">
                  <c:v>3.2075999848488728E-3</c:v>
                </c:pt>
                <c:pt idx="120">
                  <c:v>2.9581161433684627E-3</c:v>
                </c:pt>
                <c:pt idx="121">
                  <c:v>2.7312421995618549E-3</c:v>
                </c:pt>
                <c:pt idx="122">
                  <c:v>2.5225210805741244E-3</c:v>
                </c:pt>
                <c:pt idx="123">
                  <c:v>2.331942276664117E-3</c:v>
                </c:pt>
                <c:pt idx="124">
                  <c:v>2.1594947059011605E-3</c:v>
                </c:pt>
                <c:pt idx="125">
                  <c:v>2.0051666746267187E-3</c:v>
                </c:pt>
                <c:pt idx="126">
                  <c:v>1.8689458378820002E-3</c:v>
                </c:pt>
                <c:pt idx="127">
                  <c:v>1.7525084014847628E-3</c:v>
                </c:pt>
                <c:pt idx="128">
                  <c:v>1.6456295502042617E-3</c:v>
                </c:pt>
                <c:pt idx="129">
                  <c:v>1.5483027549445516E-3</c:v>
                </c:pt>
                <c:pt idx="130">
                  <c:v>1.4605211071120128E-3</c:v>
                </c:pt>
                <c:pt idx="131">
                  <c:v>1.3822772977405433E-3</c:v>
                </c:pt>
                <c:pt idx="132">
                  <c:v>1.3135635966348978E-3</c:v>
                </c:pt>
                <c:pt idx="133">
                  <c:v>1.2543718315218544E-3</c:v>
                </c:pt>
                <c:pt idx="134">
                  <c:v>1.2046933671930797E-3</c:v>
                </c:pt>
                <c:pt idx="135">
                  <c:v>1.1671218802859521E-3</c:v>
                </c:pt>
                <c:pt idx="136">
                  <c:v>1.1338526496528385E-3</c:v>
                </c:pt>
                <c:pt idx="137">
                  <c:v>1.1048815147048907E-3</c:v>
                </c:pt>
                <c:pt idx="138">
                  <c:v>1.080204084596346E-3</c:v>
                </c:pt>
                <c:pt idx="139">
                  <c:v>1.0598157288184522E-3</c:v>
                </c:pt>
                <c:pt idx="140">
                  <c:v>1.04371156773175E-3</c:v>
                </c:pt>
                <c:pt idx="141">
                  <c:v>1.0339935470413994E-3</c:v>
                </c:pt>
                <c:pt idx="142">
                  <c:v>1.0289679426835634E-3</c:v>
                </c:pt>
                <c:pt idx="143">
                  <c:v>1.0286238225675033E-3</c:v>
                </c:pt>
                <c:pt idx="144">
                  <c:v>1.0329559257245043E-3</c:v>
                </c:pt>
                <c:pt idx="145">
                  <c:v>1.0419584410656677E-3</c:v>
                </c:pt>
                <c:pt idx="146">
                  <c:v>1.055625070539052E-3</c:v>
                </c:pt>
                <c:pt idx="147">
                  <c:v>1.0739490923217482E-3</c:v>
                </c:pt>
                <c:pt idx="148">
                  <c:v>1.0969234239872506E-3</c:v>
                </c:pt>
                <c:pt idx="149">
                  <c:v>1.1240602357595372E-3</c:v>
                </c:pt>
                <c:pt idx="150">
                  <c:v>1.1527684880117755E-3</c:v>
                </c:pt>
                <c:pt idx="151">
                  <c:v>1.183045886324605E-3</c:v>
                </c:pt>
                <c:pt idx="152">
                  <c:v>1.2148901961601141E-3</c:v>
                </c:pt>
                <c:pt idx="153">
                  <c:v>1.2482992646781271E-3</c:v>
                </c:pt>
                <c:pt idx="154">
                  <c:v>1.2832710425587522E-3</c:v>
                </c:pt>
                <c:pt idx="155">
                  <c:v>1.3187635526908052E-3</c:v>
                </c:pt>
                <c:pt idx="156">
                  <c:v>1.3526875306825671E-3</c:v>
                </c:pt>
                <c:pt idx="157">
                  <c:v>1.3850473209439957E-3</c:v>
                </c:pt>
                <c:pt idx="158">
                  <c:v>1.4158474750990792E-3</c:v>
                </c:pt>
                <c:pt idx="159">
                  <c:v>1.4450927314203727E-3</c:v>
                </c:pt>
                <c:pt idx="160">
                  <c:v>1.4727879942807505E-3</c:v>
                </c:pt>
                <c:pt idx="161">
                  <c:v>1.4989383135893403E-3</c:v>
                </c:pt>
                <c:pt idx="162">
                  <c:v>1.5235488642349315E-3</c:v>
                </c:pt>
                <c:pt idx="163">
                  <c:v>1.5454372328755819E-3</c:v>
                </c:pt>
                <c:pt idx="164">
                  <c:v>1.5650869729277679E-3</c:v>
                </c:pt>
                <c:pt idx="165">
                  <c:v>1.5825047775184804E-3</c:v>
                </c:pt>
                <c:pt idx="166">
                  <c:v>1.5976973346466538E-3</c:v>
                </c:pt>
                <c:pt idx="167">
                  <c:v>1.6106712969218018E-3</c:v>
                </c:pt>
                <c:pt idx="168">
                  <c:v>1.6214332513532043E-3</c:v>
                </c:pt>
                <c:pt idx="169">
                  <c:v>1.6288062035715036E-3</c:v>
                </c:pt>
                <c:pt idx="170">
                  <c:v>1.6338290452827711E-3</c:v>
                </c:pt>
                <c:pt idx="171">
                  <c:v>1.6365081689513692E-3</c:v>
                </c:pt>
                <c:pt idx="172">
                  <c:v>1.6368497576372352E-3</c:v>
                </c:pt>
                <c:pt idx="173">
                  <c:v>1.634843034570059E-3</c:v>
                </c:pt>
                <c:pt idx="174">
                  <c:v>1.6304762430923913E-3</c:v>
                </c:pt>
                <c:pt idx="175">
                  <c:v>1.6237539165959664E-3</c:v>
                </c:pt>
                <c:pt idx="176">
                  <c:v>1.6146805729261703E-3</c:v>
                </c:pt>
                <c:pt idx="177">
                  <c:v>1.6022337861985915E-3</c:v>
                </c:pt>
                <c:pt idx="178">
                  <c:v>1.5875975813967617E-3</c:v>
                </c:pt>
                <c:pt idx="179">
                  <c:v>1.5707761115300327E-3</c:v>
                </c:pt>
                <c:pt idx="180">
                  <c:v>1.5517734592492736E-3</c:v>
                </c:pt>
                <c:pt idx="181">
                  <c:v>1.5305936238906618E-3</c:v>
                </c:pt>
                <c:pt idx="182">
                  <c:v>1.5072405085333111E-3</c:v>
                </c:pt>
                <c:pt idx="183">
                  <c:v>1.4812466502482091E-3</c:v>
                </c:pt>
                <c:pt idx="184">
                  <c:v>1.4537909777588025E-3</c:v>
                </c:pt>
                <c:pt idx="185">
                  <c:v>1.4248760230330551E-3</c:v>
                </c:pt>
                <c:pt idx="186">
                  <c:v>1.3945041975703778E-3</c:v>
                </c:pt>
                <c:pt idx="187">
                  <c:v>1.3626777836053877E-3</c:v>
                </c:pt>
                <c:pt idx="188">
                  <c:v>1.3293989253185857E-3</c:v>
                </c:pt>
                <c:pt idx="189">
                  <c:v>1.2946696200054218E-3</c:v>
                </c:pt>
                <c:pt idx="190">
                  <c:v>1.2584917093032796E-3</c:v>
                </c:pt>
                <c:pt idx="191">
                  <c:v>1.2229176868361997E-3</c:v>
                </c:pt>
                <c:pt idx="192">
                  <c:v>1.1889662700407396E-3</c:v>
                </c:pt>
                <c:pt idx="193">
                  <c:v>1.1566351424782439E-3</c:v>
                </c:pt>
                <c:pt idx="194">
                  <c:v>1.1259220144234213E-3</c:v>
                </c:pt>
                <c:pt idx="195">
                  <c:v>1.0968246322347458E-3</c:v>
                </c:pt>
                <c:pt idx="196">
                  <c:v>1.0693407876796429E-3</c:v>
                </c:pt>
                <c:pt idx="197">
                  <c:v>1.0459896393947793E-3</c:v>
                </c:pt>
                <c:pt idx="198">
                  <c:v>1.0272348436591236E-3</c:v>
                </c:pt>
                <c:pt idx="199">
                  <c:v>1.01307158103936E-3</c:v>
                </c:pt>
                <c:pt idx="200">
                  <c:v>1.0034953922386802E-3</c:v>
                </c:pt>
                <c:pt idx="201">
                  <c:v>9.9850220513878168E-4</c:v>
                </c:pt>
                <c:pt idx="202">
                  <c:v>9.9808836184813441E-4</c:v>
                </c:pt>
                <c:pt idx="203">
                  <c:v>1.0022506457723214E-3</c:v>
                </c:pt>
                <c:pt idx="204">
                  <c:v>1.0109846760779691E-3</c:v>
                </c:pt>
                <c:pt idx="205">
                  <c:v>1.0259140872776417E-3</c:v>
                </c:pt>
                <c:pt idx="206">
                  <c:v>1.044993934344473E-3</c:v>
                </c:pt>
                <c:pt idx="207">
                  <c:v>1.0682219964642269E-3</c:v>
                </c:pt>
                <c:pt idx="208">
                  <c:v>1.0955963663465066E-3</c:v>
                </c:pt>
                <c:pt idx="209">
                  <c:v>1.1271154373583767E-3</c:v>
                </c:pt>
                <c:pt idx="210">
                  <c:v>1.1627778906945602E-3</c:v>
                </c:pt>
                <c:pt idx="211">
                  <c:v>1.2101081938450321E-3</c:v>
                </c:pt>
                <c:pt idx="212">
                  <c:v>1.2665899761868107E-3</c:v>
                </c:pt>
                <c:pt idx="213">
                  <c:v>1.3322210463793263E-3</c:v>
                </c:pt>
                <c:pt idx="214">
                  <c:v>1.4069997865629137E-3</c:v>
                </c:pt>
                <c:pt idx="215">
                  <c:v>1.4909251239445167E-3</c:v>
                </c:pt>
                <c:pt idx="216">
                  <c:v>1.5839965023789679E-3</c:v>
                </c:pt>
                <c:pt idx="217">
                  <c:v>1.6862138539564565E-3</c:v>
                </c:pt>
                <c:pt idx="218">
                  <c:v>1.7975775705821352E-3</c:v>
                </c:pt>
                <c:pt idx="219">
                  <c:v>1.9279134256444336E-3</c:v>
                </c:pt>
                <c:pt idx="220">
                  <c:v>2.0755960242030487E-3</c:v>
                </c:pt>
                <c:pt idx="221">
                  <c:v>2.2406261443634477E-3</c:v>
                </c:pt>
                <c:pt idx="222">
                  <c:v>2.4230053429704552E-3</c:v>
                </c:pt>
                <c:pt idx="223">
                  <c:v>2.622735901744415E-3</c:v>
                </c:pt>
                <c:pt idx="224">
                  <c:v>2.8398207733682109E-3</c:v>
                </c:pt>
                <c:pt idx="225">
                  <c:v>3.0785316798291711E-3</c:v>
                </c:pt>
                <c:pt idx="226">
                  <c:v>3.331354718228183E-3</c:v>
                </c:pt>
                <c:pt idx="227">
                  <c:v>3.5982945784839692E-3</c:v>
                </c:pt>
                <c:pt idx="228">
                  <c:v>3.8793562606200941E-3</c:v>
                </c:pt>
                <c:pt idx="229">
                  <c:v>4.1745450309265278E-3</c:v>
                </c:pt>
                <c:pt idx="230">
                  <c:v>4.483866378172577E-3</c:v>
                </c:pt>
                <c:pt idx="231">
                  <c:v>4.8073259698434966E-3</c:v>
                </c:pt>
                <c:pt idx="232">
                  <c:v>5.1449296082823632E-3</c:v>
                </c:pt>
                <c:pt idx="233">
                  <c:v>5.4990886428147043E-3</c:v>
                </c:pt>
                <c:pt idx="234">
                  <c:v>5.8599841150841726E-3</c:v>
                </c:pt>
                <c:pt idx="235">
                  <c:v>6.2276258368591979E-3</c:v>
                </c:pt>
                <c:pt idx="236">
                  <c:v>6.6020267194763184E-3</c:v>
                </c:pt>
                <c:pt idx="237">
                  <c:v>6.9831966566996318E-3</c:v>
                </c:pt>
                <c:pt idx="238">
                  <c:v>7.3711460812378622E-3</c:v>
                </c:pt>
                <c:pt idx="239">
                  <c:v>7.7646117898127268E-3</c:v>
                </c:pt>
                <c:pt idx="240">
                  <c:v>8.1593340590379784E-3</c:v>
                </c:pt>
                <c:pt idx="241">
                  <c:v>8.5553233697275369E-3</c:v>
                </c:pt>
                <c:pt idx="242">
                  <c:v>8.9525905321741536E-3</c:v>
                </c:pt>
                <c:pt idx="243">
                  <c:v>9.3511466882210282E-3</c:v>
                </c:pt>
                <c:pt idx="244">
                  <c:v>9.7510033132983138E-3</c:v>
                </c:pt>
                <c:pt idx="245">
                  <c:v>1.0152172218360952E-2</c:v>
                </c:pt>
                <c:pt idx="246">
                  <c:v>1.0554665551793683E-2</c:v>
                </c:pt>
                <c:pt idx="247">
                  <c:v>1.0951243038715067E-2</c:v>
                </c:pt>
                <c:pt idx="248">
                  <c:v>1.13395051404966E-2</c:v>
                </c:pt>
                <c:pt idx="249">
                  <c:v>1.1719460108189252E-2</c:v>
                </c:pt>
                <c:pt idx="250">
                  <c:v>1.20911160061877E-2</c:v>
                </c:pt>
                <c:pt idx="251">
                  <c:v>1.2454480697501283E-2</c:v>
                </c:pt>
                <c:pt idx="252">
                  <c:v>1.2809561828535961E-2</c:v>
                </c:pt>
                <c:pt idx="253">
                  <c:v>1.3146622048857248E-2</c:v>
                </c:pt>
                <c:pt idx="254">
                  <c:v>1.3466939385419345E-2</c:v>
                </c:pt>
                <c:pt idx="255">
                  <c:v>1.3770514862667274E-2</c:v>
                </c:pt>
                <c:pt idx="256">
                  <c:v>1.4057348706490847E-2</c:v>
                </c:pt>
                <c:pt idx="257">
                  <c:v>1.4327440314157268E-2</c:v>
                </c:pt>
                <c:pt idx="258">
                  <c:v>1.4580788224370414E-2</c:v>
                </c:pt>
                <c:pt idx="259">
                  <c:v>1.4817390087537193E-2</c:v>
                </c:pt>
                <c:pt idx="260">
                  <c:v>1.5037242635595223E-2</c:v>
                </c:pt>
                <c:pt idx="261">
                  <c:v>1.5232223955261791E-2</c:v>
                </c:pt>
                <c:pt idx="262">
                  <c:v>1.5409598598026895E-2</c:v>
                </c:pt>
                <c:pt idx="263">
                  <c:v>1.5569359312098539E-2</c:v>
                </c:pt>
                <c:pt idx="264">
                  <c:v>1.5711498497804972E-2</c:v>
                </c:pt>
                <c:pt idx="265">
                  <c:v>1.5836092303412982E-2</c:v>
                </c:pt>
                <c:pt idx="266">
                  <c:v>1.594317608246144E-2</c:v>
                </c:pt>
                <c:pt idx="267">
                  <c:v>1.6024830521797446E-2</c:v>
                </c:pt>
                <c:pt idx="268">
                  <c:v>1.6090800473697844E-2</c:v>
                </c:pt>
                <c:pt idx="269">
                  <c:v>1.6141052599517029E-2</c:v>
                </c:pt>
                <c:pt idx="270">
                  <c:v>1.6175551720247122E-2</c:v>
                </c:pt>
                <c:pt idx="271">
                  <c:v>1.6194260992709788E-2</c:v>
                </c:pt>
                <c:pt idx="272">
                  <c:v>1.6197142086191826E-2</c:v>
                </c:pt>
                <c:pt idx="273">
                  <c:v>1.6184155358876934E-2</c:v>
                </c:pt>
                <c:pt idx="274">
                  <c:v>1.6155260034489805E-2</c:v>
                </c:pt>
                <c:pt idx="275">
                  <c:v>1.6101044590637464E-2</c:v>
                </c:pt>
                <c:pt idx="276">
                  <c:v>1.6029619183615337E-2</c:v>
                </c:pt>
                <c:pt idx="277">
                  <c:v>1.5940938658483471E-2</c:v>
                </c:pt>
                <c:pt idx="278">
                  <c:v>1.5834957423547541E-2</c:v>
                </c:pt>
                <c:pt idx="279">
                  <c:v>1.5711629640083848E-2</c:v>
                </c:pt>
                <c:pt idx="280">
                  <c:v>1.5570909412213429E-2</c:v>
                </c:pt>
                <c:pt idx="281">
                  <c:v>1.5407361714308546E-2</c:v>
                </c:pt>
                <c:pt idx="282">
                  <c:v>1.5228877578928742E-2</c:v>
                </c:pt>
                <c:pt idx="283">
                  <c:v>1.503541605903079E-2</c:v>
                </c:pt>
                <c:pt idx="284">
                  <c:v>1.4826936936886281E-2</c:v>
                </c:pt>
                <c:pt idx="285">
                  <c:v>1.4603400885888239E-2</c:v>
                </c:pt>
                <c:pt idx="286">
                  <c:v>1.4364769632499464E-2</c:v>
                </c:pt>
                <c:pt idx="287">
                  <c:v>1.4111006118052133E-2</c:v>
                </c:pt>
                <c:pt idx="288">
                  <c:v>1.3842074660605103E-2</c:v>
                </c:pt>
                <c:pt idx="289">
                  <c:v>1.3558387423733853E-2</c:v>
                </c:pt>
                <c:pt idx="290">
                  <c:v>1.3269354717199644E-2</c:v>
                </c:pt>
                <c:pt idx="291">
                  <c:v>1.2974960548987722E-2</c:v>
                </c:pt>
                <c:pt idx="292">
                  <c:v>1.2675190446864297E-2</c:v>
                </c:pt>
                <c:pt idx="293">
                  <c:v>1.2370031512546967E-2</c:v>
                </c:pt>
                <c:pt idx="294">
                  <c:v>1.2059472475821786E-2</c:v>
                </c:pt>
                <c:pt idx="295">
                  <c:v>1.1747388755151024E-2</c:v>
                </c:pt>
                <c:pt idx="296">
                  <c:v>1.1439345538803491E-2</c:v>
                </c:pt>
                <c:pt idx="297">
                  <c:v>1.1135430961788017E-2</c:v>
                </c:pt>
                <c:pt idx="298">
                  <c:v>1.0835634688859667E-2</c:v>
                </c:pt>
                <c:pt idx="299">
                  <c:v>1.0539947670384077E-2</c:v>
                </c:pt>
                <c:pt idx="300">
                  <c:v>1.0248362102329279E-2</c:v>
                </c:pt>
                <c:pt idx="301">
                  <c:v>9.9608713862241079E-3</c:v>
                </c:pt>
                <c:pt idx="302">
                  <c:v>9.6774700891405236E-3</c:v>
                </c:pt>
                <c:pt idx="303">
                  <c:v>9.4236568798293594E-3</c:v>
                </c:pt>
                <c:pt idx="304">
                  <c:v>9.19901553064577E-3</c:v>
                </c:pt>
                <c:pt idx="305">
                  <c:v>9.0035795964818841E-3</c:v>
                </c:pt>
                <c:pt idx="306">
                  <c:v>8.8373833119788411E-3</c:v>
                </c:pt>
                <c:pt idx="307">
                  <c:v>8.7004613208471141E-3</c:v>
                </c:pt>
                <c:pt idx="308">
                  <c:v>8.5928484051135869E-3</c:v>
                </c:pt>
                <c:pt idx="309">
                  <c:v>8.5430133544203285E-3</c:v>
                </c:pt>
                <c:pt idx="310">
                  <c:v>8.5471183121517309E-3</c:v>
                </c:pt>
                <c:pt idx="311">
                  <c:v>8.6052295612473063E-3</c:v>
                </c:pt>
                <c:pt idx="312">
                  <c:v>8.7174112989733717E-3</c:v>
                </c:pt>
                <c:pt idx="313">
                  <c:v>8.8837251411030688E-3</c:v>
                </c:pt>
                <c:pt idx="314">
                  <c:v>9.1042296260167438E-3</c:v>
                </c:pt>
                <c:pt idx="315">
                  <c:v>9.3789797189135302E-3</c:v>
                </c:pt>
                <c:pt idx="316">
                  <c:v>9.7080263158852067E-3</c:v>
                </c:pt>
                <c:pt idx="317">
                  <c:v>1.0079614257057948E-2</c:v>
                </c:pt>
                <c:pt idx="318">
                  <c:v>1.0468098326769447E-2</c:v>
                </c:pt>
                <c:pt idx="319">
                  <c:v>1.0873473314039137E-2</c:v>
                </c:pt>
                <c:pt idx="320">
                  <c:v>1.1295731222312935E-2</c:v>
                </c:pt>
                <c:pt idx="321">
                  <c:v>1.1734861116414011E-2</c:v>
                </c:pt>
                <c:pt idx="322">
                  <c:v>1.2190848969551644E-2</c:v>
                </c:pt>
                <c:pt idx="323">
                  <c:v>1.2649613405574479E-2</c:v>
                </c:pt>
                <c:pt idx="324">
                  <c:v>1.3082522418928509E-2</c:v>
                </c:pt>
                <c:pt idx="325">
                  <c:v>1.3489517501417794E-2</c:v>
                </c:pt>
                <c:pt idx="326">
                  <c:v>1.3870455199535893E-2</c:v>
                </c:pt>
                <c:pt idx="327">
                  <c:v>1.4225243819903872E-2</c:v>
                </c:pt>
                <c:pt idx="328">
                  <c:v>1.4553866362399387E-2</c:v>
                </c:pt>
                <c:pt idx="329">
                  <c:v>1.4856312857467314E-2</c:v>
                </c:pt>
                <c:pt idx="330">
                  <c:v>1.5132579826597152E-2</c:v>
                </c:pt>
                <c:pt idx="331">
                  <c:v>1.5386252581000117E-2</c:v>
                </c:pt>
                <c:pt idx="332">
                  <c:v>1.5629186185650856E-2</c:v>
                </c:pt>
                <c:pt idx="333">
                  <c:v>1.5861396977936152E-2</c:v>
                </c:pt>
                <c:pt idx="334">
                  <c:v>1.6082904309544992E-2</c:v>
                </c:pt>
                <c:pt idx="335">
                  <c:v>1.6293730328107599E-2</c:v>
                </c:pt>
                <c:pt idx="336">
                  <c:v>1.6493899758628146E-2</c:v>
                </c:pt>
                <c:pt idx="337">
                  <c:v>1.6679183348025244E-2</c:v>
                </c:pt>
                <c:pt idx="338">
                  <c:v>1.6863702441256012E-2</c:v>
                </c:pt>
                <c:pt idx="339">
                  <c:v>1.7047488973979796E-2</c:v>
                </c:pt>
                <c:pt idx="340">
                  <c:v>1.7230576426425167E-2</c:v>
                </c:pt>
                <c:pt idx="341">
                  <c:v>1.741299980947987E-2</c:v>
                </c:pt>
                <c:pt idx="342">
                  <c:v>1.7594795650771159E-2</c:v>
                </c:pt>
                <c:pt idx="343">
                  <c:v>1.7776001980535028E-2</c:v>
                </c:pt>
                <c:pt idx="344">
                  <c:v>1.7956658317757862E-2</c:v>
                </c:pt>
                <c:pt idx="345">
                  <c:v>1.8136805656133861E-2</c:v>
                </c:pt>
                <c:pt idx="346">
                  <c:v>1.8302645951459365E-2</c:v>
                </c:pt>
                <c:pt idx="347">
                  <c:v>1.8454220347260089E-2</c:v>
                </c:pt>
                <c:pt idx="348">
                  <c:v>1.8591570212603301E-2</c:v>
                </c:pt>
                <c:pt idx="349">
                  <c:v>1.8714736840265239E-2</c:v>
                </c:pt>
                <c:pt idx="350">
                  <c:v>1.882376114533298E-2</c:v>
                </c:pt>
                <c:pt idx="351">
                  <c:v>1.8908422977004409E-2</c:v>
                </c:pt>
                <c:pt idx="352">
                  <c:v>1.8973017028905619E-2</c:v>
                </c:pt>
                <c:pt idx="353">
                  <c:v>1.9017577179359455E-2</c:v>
                </c:pt>
                <c:pt idx="354">
                  <c:v>1.9042134665234075E-2</c:v>
                </c:pt>
                <c:pt idx="355">
                  <c:v>1.9046717654638678E-2</c:v>
                </c:pt>
                <c:pt idx="356">
                  <c:v>1.9031363972345502E-2</c:v>
                </c:pt>
                <c:pt idx="357">
                  <c:v>1.8996051966666587E-2</c:v>
                </c:pt>
                <c:pt idx="358">
                  <c:v>1.8940710491858595E-2</c:v>
                </c:pt>
                <c:pt idx="359">
                  <c:v>1.8865265342182507E-2</c:v>
                </c:pt>
                <c:pt idx="360">
                  <c:v>1.8765369657687873E-2</c:v>
                </c:pt>
                <c:pt idx="361">
                  <c:v>1.8651229212248849E-2</c:v>
                </c:pt>
                <c:pt idx="362">
                  <c:v>1.852277117766607E-2</c:v>
                </c:pt>
                <c:pt idx="363">
                  <c:v>1.8379922402068229E-2</c:v>
                </c:pt>
                <c:pt idx="364">
                  <c:v>1.8222609782726957E-2</c:v>
                </c:pt>
                <c:pt idx="365">
                  <c:v>1.8050760638635126E-2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4.9693421055535425E-2</c:v>
                </c:pt>
                <c:pt idx="1">
                  <c:v>4.9755233314264104E-2</c:v>
                </c:pt>
                <c:pt idx="2">
                  <c:v>4.9838404717050068E-2</c:v>
                </c:pt>
                <c:pt idx="3">
                  <c:v>4.9942839101029202E-2</c:v>
                </c:pt>
                <c:pt idx="4">
                  <c:v>5.006844002540034E-2</c:v>
                </c:pt>
                <c:pt idx="5">
                  <c:v>5.0215110234967081E-2</c:v>
                </c:pt>
                <c:pt idx="6">
                  <c:v>5.0382751124321334E-2</c:v>
                </c:pt>
                <c:pt idx="7">
                  <c:v>5.0571262200899171E-2</c:v>
                </c:pt>
                <c:pt idx="8">
                  <c:v>5.0780540548734793E-2</c:v>
                </c:pt>
                <c:pt idx="9">
                  <c:v>5.0974368034181962E-2</c:v>
                </c:pt>
                <c:pt idx="10">
                  <c:v>5.1146256649105153E-2</c:v>
                </c:pt>
                <c:pt idx="11">
                  <c:v>5.1296041935815329E-2</c:v>
                </c:pt>
                <c:pt idx="12">
                  <c:v>5.1423560186500177E-2</c:v>
                </c:pt>
                <c:pt idx="13">
                  <c:v>5.1528648986141901E-2</c:v>
                </c:pt>
                <c:pt idx="14">
                  <c:v>5.1611147754552167E-2</c:v>
                </c:pt>
                <c:pt idx="15">
                  <c:v>5.1580031495855515E-2</c:v>
                </c:pt>
                <c:pt idx="16">
                  <c:v>5.1420263113591762E-2</c:v>
                </c:pt>
                <c:pt idx="17">
                  <c:v>5.1131617131569496E-2</c:v>
                </c:pt>
                <c:pt idx="18">
                  <c:v>5.0713894950636419E-2</c:v>
                </c:pt>
                <c:pt idx="19">
                  <c:v>5.0167207898849757E-2</c:v>
                </c:pt>
                <c:pt idx="20">
                  <c:v>4.9491810254751391E-2</c:v>
                </c:pt>
                <c:pt idx="21">
                  <c:v>4.8687752237812049E-2</c:v>
                </c:pt>
                <c:pt idx="22">
                  <c:v>4.7755099197405587E-2</c:v>
                </c:pt>
                <c:pt idx="23">
                  <c:v>4.6670222605274266E-2</c:v>
                </c:pt>
                <c:pt idx="24">
                  <c:v>4.5469459809105918E-2</c:v>
                </c:pt>
                <c:pt idx="25">
                  <c:v>4.4152915523460685E-2</c:v>
                </c:pt>
                <c:pt idx="26">
                  <c:v>4.2720701719685672E-2</c:v>
                </c:pt>
                <c:pt idx="27">
                  <c:v>4.1172936191173154E-2</c:v>
                </c:pt>
                <c:pt idx="28">
                  <c:v>3.9509741119565289E-2</c:v>
                </c:pt>
                <c:pt idx="29">
                  <c:v>3.7800688014992943E-2</c:v>
                </c:pt>
                <c:pt idx="30">
                  <c:v>3.6136916479070184E-2</c:v>
                </c:pt>
                <c:pt idx="31">
                  <c:v>3.4518533596965877E-2</c:v>
                </c:pt>
                <c:pt idx="32">
                  <c:v>3.2945634903153886E-2</c:v>
                </c:pt>
                <c:pt idx="33">
                  <c:v>3.1418304953089851E-2</c:v>
                </c:pt>
                <c:pt idx="34">
                  <c:v>2.9936617895042008E-2</c:v>
                </c:pt>
                <c:pt idx="35">
                  <c:v>2.8500638041875481E-2</c:v>
                </c:pt>
                <c:pt idx="36">
                  <c:v>2.7110420442767305E-2</c:v>
                </c:pt>
                <c:pt idx="37">
                  <c:v>2.5837150614745282E-2</c:v>
                </c:pt>
                <c:pt idx="38">
                  <c:v>2.4704547357103507E-2</c:v>
                </c:pt>
                <c:pt idx="39">
                  <c:v>2.3712615783029942E-2</c:v>
                </c:pt>
                <c:pt idx="40">
                  <c:v>2.2861353840837373E-2</c:v>
                </c:pt>
                <c:pt idx="41">
                  <c:v>2.2150754072013484E-2</c:v>
                </c:pt>
                <c:pt idx="42">
                  <c:v>2.1580805369093254E-2</c:v>
                </c:pt>
                <c:pt idx="43">
                  <c:v>2.1175793638888437E-2</c:v>
                </c:pt>
                <c:pt idx="44">
                  <c:v>2.0866327322003744E-2</c:v>
                </c:pt>
                <c:pt idx="45">
                  <c:v>2.0652405474151415E-2</c:v>
                </c:pt>
                <c:pt idx="46">
                  <c:v>2.0534028883121995E-2</c:v>
                </c:pt>
                <c:pt idx="47">
                  <c:v>2.0511201262738515E-2</c:v>
                </c:pt>
                <c:pt idx="48">
                  <c:v>2.0583930446539524E-2</c:v>
                </c:pt>
                <c:pt idx="49">
                  <c:v>2.0752229581649319E-2</c:v>
                </c:pt>
                <c:pt idx="50">
                  <c:v>2.1016118322521888E-2</c:v>
                </c:pt>
                <c:pt idx="51">
                  <c:v>2.1371247622931366E-2</c:v>
                </c:pt>
                <c:pt idx="52">
                  <c:v>2.1746462869508227E-2</c:v>
                </c:pt>
                <c:pt idx="53">
                  <c:v>2.2141655261875174E-2</c:v>
                </c:pt>
                <c:pt idx="54">
                  <c:v>2.2556819979854065E-2</c:v>
                </c:pt>
                <c:pt idx="55">
                  <c:v>2.2991951946723783E-2</c:v>
                </c:pt>
                <c:pt idx="56">
                  <c:v>2.3447045755545338E-2</c:v>
                </c:pt>
                <c:pt idx="57">
                  <c:v>2.391050632023246E-2</c:v>
                </c:pt>
                <c:pt idx="58">
                  <c:v>2.4358038735269316E-2</c:v>
                </c:pt>
                <c:pt idx="59">
                  <c:v>2.478963544496661E-2</c:v>
                </c:pt>
                <c:pt idx="60">
                  <c:v>2.5205288145388666E-2</c:v>
                </c:pt>
                <c:pt idx="61">
                  <c:v>2.5604987843428923E-2</c:v>
                </c:pt>
                <c:pt idx="62">
                  <c:v>2.598872491584733E-2</c:v>
                </c:pt>
                <c:pt idx="63">
                  <c:v>2.6356489168384151E-2</c:v>
                </c:pt>
                <c:pt idx="64">
                  <c:v>2.6708269894771371E-2</c:v>
                </c:pt>
                <c:pt idx="65">
                  <c:v>2.7030007008772925E-2</c:v>
                </c:pt>
                <c:pt idx="66">
                  <c:v>2.7326065416038731E-2</c:v>
                </c:pt>
                <c:pt idx="67">
                  <c:v>2.7596433275963245E-2</c:v>
                </c:pt>
                <c:pt idx="68">
                  <c:v>2.7841098626945598E-2</c:v>
                </c:pt>
                <c:pt idx="69">
                  <c:v>2.8060049481151175E-2</c:v>
                </c:pt>
                <c:pt idx="70">
                  <c:v>2.82532739194007E-2</c:v>
                </c:pt>
                <c:pt idx="71">
                  <c:v>2.8403245824288825E-2</c:v>
                </c:pt>
                <c:pt idx="72">
                  <c:v>2.8521543926940941E-2</c:v>
                </c:pt>
                <c:pt idx="73">
                  <c:v>2.8608157625185825E-2</c:v>
                </c:pt>
                <c:pt idx="74">
                  <c:v>2.8663076951703965E-2</c:v>
                </c:pt>
                <c:pt idx="75">
                  <c:v>2.868629269083783E-2</c:v>
                </c:pt>
                <c:pt idx="76">
                  <c:v>2.867779649531323E-2</c:v>
                </c:pt>
                <c:pt idx="77">
                  <c:v>2.8637581003053813E-2</c:v>
                </c:pt>
                <c:pt idx="78">
                  <c:v>2.8565640902308408E-2</c:v>
                </c:pt>
                <c:pt idx="79">
                  <c:v>2.8445840998719742E-2</c:v>
                </c:pt>
                <c:pt idx="80">
                  <c:v>2.8292300257171752E-2</c:v>
                </c:pt>
                <c:pt idx="81">
                  <c:v>2.8105014456094313E-2</c:v>
                </c:pt>
                <c:pt idx="82">
                  <c:v>2.7883979666469539E-2</c:v>
                </c:pt>
                <c:pt idx="83">
                  <c:v>2.7629192359928209E-2</c:v>
                </c:pt>
                <c:pt idx="84">
                  <c:v>2.7340649516938886E-2</c:v>
                </c:pt>
                <c:pt idx="85">
                  <c:v>2.700645678028854E-2</c:v>
                </c:pt>
                <c:pt idx="86">
                  <c:v>2.6644118370354367E-2</c:v>
                </c:pt>
                <c:pt idx="87">
                  <c:v>2.6253632575705923E-2</c:v>
                </c:pt>
                <c:pt idx="88">
                  <c:v>2.5834998553247751E-2</c:v>
                </c:pt>
                <c:pt idx="89">
                  <c:v>2.5388216418366999E-2</c:v>
                </c:pt>
                <c:pt idx="90">
                  <c:v>2.4913287335027786E-2</c:v>
                </c:pt>
                <c:pt idx="91">
                  <c:v>2.4410213605963123E-2</c:v>
                </c:pt>
                <c:pt idx="92">
                  <c:v>2.3878998762796557E-2</c:v>
                </c:pt>
                <c:pt idx="93">
                  <c:v>2.3314759178763026E-2</c:v>
                </c:pt>
                <c:pt idx="94">
                  <c:v>2.2733729794417009E-2</c:v>
                </c:pt>
                <c:pt idx="95">
                  <c:v>2.2135915503805417E-2</c:v>
                </c:pt>
                <c:pt idx="96">
                  <c:v>2.1521322443861717E-2</c:v>
                </c:pt>
                <c:pt idx="97">
                  <c:v>2.0889958048312077E-2</c:v>
                </c:pt>
                <c:pt idx="98">
                  <c:v>2.024183110138035E-2</c:v>
                </c:pt>
                <c:pt idx="99">
                  <c:v>1.9579644080874023E-2</c:v>
                </c:pt>
                <c:pt idx="100">
                  <c:v>1.8915285410407531E-2</c:v>
                </c:pt>
                <c:pt idx="101">
                  <c:v>1.8248762847616545E-2</c:v>
                </c:pt>
                <c:pt idx="102">
                  <c:v>1.758008509061422E-2</c:v>
                </c:pt>
                <c:pt idx="103">
                  <c:v>1.6909261784846516E-2</c:v>
                </c:pt>
                <c:pt idx="104">
                  <c:v>1.623630353036733E-2</c:v>
                </c:pt>
                <c:pt idx="105">
                  <c:v>1.5561221888723704E-2</c:v>
                </c:pt>
                <c:pt idx="106">
                  <c:v>1.488402939005311E-2</c:v>
                </c:pt>
                <c:pt idx="107">
                  <c:v>1.420759086987654E-2</c:v>
                </c:pt>
                <c:pt idx="108">
                  <c:v>1.3536798581005975E-2</c:v>
                </c:pt>
                <c:pt idx="109">
                  <c:v>1.2871663551937161E-2</c:v>
                </c:pt>
                <c:pt idx="110">
                  <c:v>1.2212232135646523E-2</c:v>
                </c:pt>
                <c:pt idx="111">
                  <c:v>1.1558544582721479E-2</c:v>
                </c:pt>
                <c:pt idx="112">
                  <c:v>1.0910603499441077E-2</c:v>
                </c:pt>
                <c:pt idx="113">
                  <c:v>1.0282348079105386E-2</c:v>
                </c:pt>
                <c:pt idx="114">
                  <c:v>9.6710873067458736E-3</c:v>
                </c:pt>
                <c:pt idx="115">
                  <c:v>9.0768174050980168E-3</c:v>
                </c:pt>
                <c:pt idx="116">
                  <c:v>8.4995346058674686E-3</c:v>
                </c:pt>
                <c:pt idx="117">
                  <c:v>7.9392351131046032E-3</c:v>
                </c:pt>
                <c:pt idx="118">
                  <c:v>7.3959150664790925E-3</c:v>
                </c:pt>
                <c:pt idx="119">
                  <c:v>6.8695705045836728E-3</c:v>
                </c:pt>
                <c:pt idx="120">
                  <c:v>6.3601973282275135E-3</c:v>
                </c:pt>
                <c:pt idx="121">
                  <c:v>5.8843995919415073E-3</c:v>
                </c:pt>
                <c:pt idx="122">
                  <c:v>5.4393178630746395E-3</c:v>
                </c:pt>
                <c:pt idx="123">
                  <c:v>5.0249359855429341E-3</c:v>
                </c:pt>
                <c:pt idx="124">
                  <c:v>4.6412369169536389E-3</c:v>
                </c:pt>
                <c:pt idx="125">
                  <c:v>4.2882026617977161E-3</c:v>
                </c:pt>
                <c:pt idx="126">
                  <c:v>3.9658142045689493E-3</c:v>
                </c:pt>
                <c:pt idx="127">
                  <c:v>3.678870227026591E-3</c:v>
                </c:pt>
                <c:pt idx="128">
                  <c:v>3.413462452133973E-3</c:v>
                </c:pt>
                <c:pt idx="129">
                  <c:v>3.1695768475987767E-3</c:v>
                </c:pt>
                <c:pt idx="130">
                  <c:v>2.9471985486118507E-3</c:v>
                </c:pt>
                <c:pt idx="131">
                  <c:v>2.746311810855068E-3</c:v>
                </c:pt>
                <c:pt idx="132">
                  <c:v>2.5668999635478627E-3</c:v>
                </c:pt>
                <c:pt idx="133">
                  <c:v>2.4089453625088849E-3</c:v>
                </c:pt>
                <c:pt idx="134">
                  <c:v>2.2724293432004601E-3</c:v>
                </c:pt>
                <c:pt idx="135">
                  <c:v>2.1610796415438833E-3</c:v>
                </c:pt>
                <c:pt idx="136">
                  <c:v>2.0583416124535601E-3</c:v>
                </c:pt>
                <c:pt idx="137">
                  <c:v>1.9642080780037413E-3</c:v>
                </c:pt>
                <c:pt idx="138">
                  <c:v>1.8786714329960136E-3</c:v>
                </c:pt>
                <c:pt idx="139">
                  <c:v>1.8017236261884987E-3</c:v>
                </c:pt>
                <c:pt idx="140">
                  <c:v>1.7333561414163909E-3</c:v>
                </c:pt>
                <c:pt idx="141">
                  <c:v>1.6774020578714504E-3</c:v>
                </c:pt>
                <c:pt idx="142">
                  <c:v>1.6290458026119658E-3</c:v>
                </c:pt>
                <c:pt idx="143">
                  <c:v>1.5882720917345901E-3</c:v>
                </c:pt>
                <c:pt idx="144">
                  <c:v>1.5550748734938389E-3</c:v>
                </c:pt>
                <c:pt idx="145">
                  <c:v>1.5294469931971203E-3</c:v>
                </c:pt>
                <c:pt idx="146">
                  <c:v>1.5113802949932216E-3</c:v>
                </c:pt>
                <c:pt idx="147">
                  <c:v>1.5008657237133803E-3</c:v>
                </c:pt>
                <c:pt idx="148">
                  <c:v>1.4978934266749345E-3</c:v>
                </c:pt>
                <c:pt idx="149">
                  <c:v>1.5027890153937651E-3</c:v>
                </c:pt>
                <c:pt idx="150">
                  <c:v>1.5118199658017545E-3</c:v>
                </c:pt>
                <c:pt idx="151">
                  <c:v>1.5249806808115916E-3</c:v>
                </c:pt>
                <c:pt idx="152">
                  <c:v>1.5422653630870972E-3</c:v>
                </c:pt>
                <c:pt idx="153">
                  <c:v>1.5636680711746608E-3</c:v>
                </c:pt>
                <c:pt idx="154">
                  <c:v>1.5891827756429366E-3</c:v>
                </c:pt>
                <c:pt idx="155">
                  <c:v>1.6180524800991872E-3</c:v>
                </c:pt>
                <c:pt idx="156">
                  <c:v>1.6464626343859268E-3</c:v>
                </c:pt>
                <c:pt idx="157">
                  <c:v>1.6744159517357374E-3</c:v>
                </c:pt>
                <c:pt idx="158">
                  <c:v>1.7019153100122366E-3</c:v>
                </c:pt>
                <c:pt idx="159">
                  <c:v>1.7289637460699673E-3</c:v>
                </c:pt>
                <c:pt idx="160">
                  <c:v>1.7555644501350536E-3</c:v>
                </c:pt>
                <c:pt idx="161">
                  <c:v>1.7817207601667823E-3</c:v>
                </c:pt>
                <c:pt idx="162">
                  <c:v>1.8074361562282198E-3</c:v>
                </c:pt>
                <c:pt idx="163">
                  <c:v>1.8312529162727096E-3</c:v>
                </c:pt>
                <c:pt idx="164">
                  <c:v>1.852844443504108E-3</c:v>
                </c:pt>
                <c:pt idx="165">
                  <c:v>1.8722178441794967E-3</c:v>
                </c:pt>
                <c:pt idx="166">
                  <c:v>1.8893802317013323E-3</c:v>
                </c:pt>
                <c:pt idx="167">
                  <c:v>1.9043386965421577E-3</c:v>
                </c:pt>
                <c:pt idx="168">
                  <c:v>1.9171002762291165E-3</c:v>
                </c:pt>
                <c:pt idx="169">
                  <c:v>1.9262157631505517E-3</c:v>
                </c:pt>
                <c:pt idx="170">
                  <c:v>1.9324384874143674E-3</c:v>
                </c:pt>
                <c:pt idx="171">
                  <c:v>1.9357762080024199E-3</c:v>
                </c:pt>
                <c:pt idx="172">
                  <c:v>1.936236426244902E-3</c:v>
                </c:pt>
                <c:pt idx="173">
                  <c:v>1.9338065707102748E-3</c:v>
                </c:pt>
                <c:pt idx="174">
                  <c:v>1.9284729048388326E-3</c:v>
                </c:pt>
                <c:pt idx="175">
                  <c:v>1.9202409609973537E-3</c:v>
                </c:pt>
                <c:pt idx="176">
                  <c:v>1.9091162524236659E-3</c:v>
                </c:pt>
                <c:pt idx="177">
                  <c:v>1.8943628074806179E-3</c:v>
                </c:pt>
                <c:pt idx="178">
                  <c:v>1.8774366215308688E-3</c:v>
                </c:pt>
                <c:pt idx="179">
                  <c:v>1.858341982277565E-3</c:v>
                </c:pt>
                <c:pt idx="180">
                  <c:v>1.8370831022691428E-3</c:v>
                </c:pt>
                <c:pt idx="181">
                  <c:v>1.8136641060231542E-3</c:v>
                </c:pt>
                <c:pt idx="182">
                  <c:v>1.7880890171664597E-3</c:v>
                </c:pt>
                <c:pt idx="183">
                  <c:v>1.7606914732568402E-3</c:v>
                </c:pt>
                <c:pt idx="184">
                  <c:v>1.7329199914661406E-3</c:v>
                </c:pt>
                <c:pt idx="185">
                  <c:v>1.7047757094778902E-3</c:v>
                </c:pt>
                <c:pt idx="186">
                  <c:v>1.6762596857795523E-3</c:v>
                </c:pt>
                <c:pt idx="187">
                  <c:v>1.6473728972593138E-3</c:v>
                </c:pt>
                <c:pt idx="188">
                  <c:v>1.6181162368114584E-3</c:v>
                </c:pt>
                <c:pt idx="189">
                  <c:v>1.5884905108914532E-3</c:v>
                </c:pt>
                <c:pt idx="190">
                  <c:v>1.5584964371411381E-3</c:v>
                </c:pt>
                <c:pt idx="191">
                  <c:v>1.5318741224073439E-3</c:v>
                </c:pt>
                <c:pt idx="192">
                  <c:v>1.5093557442133014E-3</c:v>
                </c:pt>
                <c:pt idx="193">
                  <c:v>1.4909364610588905E-3</c:v>
                </c:pt>
                <c:pt idx="194">
                  <c:v>1.4766116518997623E-3</c:v>
                </c:pt>
                <c:pt idx="195">
                  <c:v>1.46637694021968E-3</c:v>
                </c:pt>
                <c:pt idx="196">
                  <c:v>1.4602282180450094E-3</c:v>
                </c:pt>
                <c:pt idx="197">
                  <c:v>1.4617918189520796E-3</c:v>
                </c:pt>
                <c:pt idx="198">
                  <c:v>1.4707328807983316E-3</c:v>
                </c:pt>
                <c:pt idx="199">
                  <c:v>1.4870451857267989E-3</c:v>
                </c:pt>
                <c:pt idx="200">
                  <c:v>1.5107231889324706E-3</c:v>
                </c:pt>
                <c:pt idx="201">
                  <c:v>1.5417620622463258E-3</c:v>
                </c:pt>
                <c:pt idx="202">
                  <c:v>1.5801577377270888E-3</c:v>
                </c:pt>
                <c:pt idx="203">
                  <c:v>1.6259069512879374E-3</c:v>
                </c:pt>
                <c:pt idx="204">
                  <c:v>1.6790045749574389E-3</c:v>
                </c:pt>
                <c:pt idx="205">
                  <c:v>1.7440896556125494E-3</c:v>
                </c:pt>
                <c:pt idx="206">
                  <c:v>1.8174345756530703E-3</c:v>
                </c:pt>
                <c:pt idx="207">
                  <c:v>1.8990364547068588E-3</c:v>
                </c:pt>
                <c:pt idx="208">
                  <c:v>1.9888929941596872E-3</c:v>
                </c:pt>
                <c:pt idx="209">
                  <c:v>2.0870024514905291E-3</c:v>
                </c:pt>
                <c:pt idx="210">
                  <c:v>2.1933636146728793E-3</c:v>
                </c:pt>
                <c:pt idx="211">
                  <c:v>2.3239397190227833E-3</c:v>
                </c:pt>
                <c:pt idx="212">
                  <c:v>2.4751064752654532E-3</c:v>
                </c:pt>
                <c:pt idx="213">
                  <c:v>2.6468599320278994E-3</c:v>
                </c:pt>
                <c:pt idx="214">
                  <c:v>2.8391973992453749E-3</c:v>
                </c:pt>
                <c:pt idx="215">
                  <c:v>3.0521173841915124E-3</c:v>
                </c:pt>
                <c:pt idx="216">
                  <c:v>3.2856195274999903E-3</c:v>
                </c:pt>
                <c:pt idx="217">
                  <c:v>3.539704539199098E-3</c:v>
                </c:pt>
                <c:pt idx="218">
                  <c:v>3.8143741347304201E-3</c:v>
                </c:pt>
                <c:pt idx="219">
                  <c:v>4.1229906661515046E-3</c:v>
                </c:pt>
                <c:pt idx="220">
                  <c:v>4.4609198929216097E-3</c:v>
                </c:pt>
                <c:pt idx="221">
                  <c:v>4.8281653691129968E-3</c:v>
                </c:pt>
                <c:pt idx="222">
                  <c:v>5.2247318549047935E-3</c:v>
                </c:pt>
                <c:pt idx="223">
                  <c:v>5.6506252255735384E-3</c:v>
                </c:pt>
                <c:pt idx="224">
                  <c:v>6.1058523803781935E-3</c:v>
                </c:pt>
                <c:pt idx="225">
                  <c:v>6.5931508059217389E-3</c:v>
                </c:pt>
                <c:pt idx="226">
                  <c:v>7.0965811399836725E-3</c:v>
                </c:pt>
                <c:pt idx="227">
                  <c:v>7.6161526727654772E-3</c:v>
                </c:pt>
                <c:pt idx="228">
                  <c:v>8.1518747814371961E-3</c:v>
                </c:pt>
                <c:pt idx="229">
                  <c:v>8.7037568800516548E-3</c:v>
                </c:pt>
                <c:pt idx="230">
                  <c:v>9.271808369568613E-3</c:v>
                </c:pt>
                <c:pt idx="231">
                  <c:v>9.8560385879264984E-3</c:v>
                </c:pt>
                <c:pt idx="232">
                  <c:v>1.0456456759917845E-2</c:v>
                </c:pt>
                <c:pt idx="233">
                  <c:v>1.1075646872632959E-2</c:v>
                </c:pt>
                <c:pt idx="234">
                  <c:v>1.170025804728466E-2</c:v>
                </c:pt>
                <c:pt idx="235">
                  <c:v>1.2330307122663517E-2</c:v>
                </c:pt>
                <c:pt idx="236">
                  <c:v>1.2965816578067712E-2</c:v>
                </c:pt>
                <c:pt idx="237">
                  <c:v>1.360680241059036E-2</c:v>
                </c:pt>
                <c:pt idx="238">
                  <c:v>1.425328128389592E-2</c:v>
                </c:pt>
                <c:pt idx="239">
                  <c:v>1.4900596000266947E-2</c:v>
                </c:pt>
                <c:pt idx="240">
                  <c:v>1.5546031902414192E-2</c:v>
                </c:pt>
                <c:pt idx="241">
                  <c:v>1.6189605453439209E-2</c:v>
                </c:pt>
                <c:pt idx="242">
                  <c:v>1.6831333475666926E-2</c:v>
                </c:pt>
                <c:pt idx="243">
                  <c:v>1.7471233147083171E-2</c:v>
                </c:pt>
                <c:pt idx="244">
                  <c:v>1.8109321997701589E-2</c:v>
                </c:pt>
                <c:pt idx="245">
                  <c:v>1.8745617905745974E-2</c:v>
                </c:pt>
                <c:pt idx="246">
                  <c:v>1.9380139093776467E-2</c:v>
                </c:pt>
                <c:pt idx="247">
                  <c:v>2.0001527839331776E-2</c:v>
                </c:pt>
                <c:pt idx="248">
                  <c:v>2.060721904714528E-2</c:v>
                </c:pt>
                <c:pt idx="249">
                  <c:v>2.1197224818042513E-2</c:v>
                </c:pt>
                <c:pt idx="250">
                  <c:v>2.177155681320141E-2</c:v>
                </c:pt>
                <c:pt idx="251">
                  <c:v>2.233022622640202E-2</c:v>
                </c:pt>
                <c:pt idx="252">
                  <c:v>2.2873243755388645E-2</c:v>
                </c:pt>
                <c:pt idx="253">
                  <c:v>2.3385069992906533E-2</c:v>
                </c:pt>
                <c:pt idx="254">
                  <c:v>2.3870389621343229E-2</c:v>
                </c:pt>
                <c:pt idx="255">
                  <c:v>2.4329204042162978E-2</c:v>
                </c:pt>
                <c:pt idx="256">
                  <c:v>2.4761513375908383E-2</c:v>
                </c:pt>
                <c:pt idx="257">
                  <c:v>2.5167316414549324E-2</c:v>
                </c:pt>
                <c:pt idx="258">
                  <c:v>2.5546610574057261E-2</c:v>
                </c:pt>
                <c:pt idx="259">
                  <c:v>2.5899391847340969E-2</c:v>
                </c:pt>
                <c:pt idx="260">
                  <c:v>2.6225654756411716E-2</c:v>
                </c:pt>
                <c:pt idx="261">
                  <c:v>2.6508595639482432E-2</c:v>
                </c:pt>
                <c:pt idx="262">
                  <c:v>2.6759605273769443E-2</c:v>
                </c:pt>
                <c:pt idx="263">
                  <c:v>2.6978667976473841E-2</c:v>
                </c:pt>
                <c:pt idx="264">
                  <c:v>2.7165767324291667E-2</c:v>
                </c:pt>
                <c:pt idx="265">
                  <c:v>2.7321031221718597E-2</c:v>
                </c:pt>
                <c:pt idx="266">
                  <c:v>2.7444515879946858E-2</c:v>
                </c:pt>
                <c:pt idx="267">
                  <c:v>2.7522663746517715E-2</c:v>
                </c:pt>
                <c:pt idx="268">
                  <c:v>2.7571014117837769E-2</c:v>
                </c:pt>
                <c:pt idx="269">
                  <c:v>2.7589503105372486E-2</c:v>
                </c:pt>
                <c:pt idx="270">
                  <c:v>2.7578063669139799E-2</c:v>
                </c:pt>
                <c:pt idx="271">
                  <c:v>2.7536625951288585E-2</c:v>
                </c:pt>
                <c:pt idx="272">
                  <c:v>2.7465117610438308E-2</c:v>
                </c:pt>
                <c:pt idx="273">
                  <c:v>2.7363464155671157E-2</c:v>
                </c:pt>
                <c:pt idx="274">
                  <c:v>2.7231589280884799E-2</c:v>
                </c:pt>
                <c:pt idx="275">
                  <c:v>2.7058239132714431E-2</c:v>
                </c:pt>
                <c:pt idx="276">
                  <c:v>2.6860215934587039E-2</c:v>
                </c:pt>
                <c:pt idx="277">
                  <c:v>2.6637448244675788E-2</c:v>
                </c:pt>
                <c:pt idx="278">
                  <c:v>2.638986442600692E-2</c:v>
                </c:pt>
                <c:pt idx="279">
                  <c:v>2.6117392917795232E-2</c:v>
                </c:pt>
                <c:pt idx="280">
                  <c:v>2.5819962507028078E-2</c:v>
                </c:pt>
                <c:pt idx="281">
                  <c:v>2.5493269408025404E-2</c:v>
                </c:pt>
                <c:pt idx="282">
                  <c:v>2.5150833038319508E-2</c:v>
                </c:pt>
                <c:pt idx="283">
                  <c:v>2.4792599519093034E-2</c:v>
                </c:pt>
                <c:pt idx="284">
                  <c:v>2.4418516437440353E-2</c:v>
                </c:pt>
                <c:pt idx="285">
                  <c:v>2.4028533015320628E-2</c:v>
                </c:pt>
                <c:pt idx="286">
                  <c:v>2.3622600278744337E-2</c:v>
                </c:pt>
                <c:pt idx="287">
                  <c:v>2.3200671226714598E-2</c:v>
                </c:pt>
                <c:pt idx="288">
                  <c:v>2.2762701000263785E-2</c:v>
                </c:pt>
                <c:pt idx="289">
                  <c:v>2.2332238302597358E-2</c:v>
                </c:pt>
                <c:pt idx="290">
                  <c:v>2.1920540731854499E-2</c:v>
                </c:pt>
                <c:pt idx="291">
                  <c:v>2.1527621818411041E-2</c:v>
                </c:pt>
                <c:pt idx="292">
                  <c:v>2.1153496036579386E-2</c:v>
                </c:pt>
                <c:pt idx="293">
                  <c:v>2.0798178593877375E-2</c:v>
                </c:pt>
                <c:pt idx="294">
                  <c:v>2.0461685220209743E-2</c:v>
                </c:pt>
                <c:pt idx="295">
                  <c:v>2.0213263032120812E-2</c:v>
                </c:pt>
                <c:pt idx="296">
                  <c:v>2.0057526743565906E-2</c:v>
                </c:pt>
                <c:pt idx="297">
                  <c:v>1.9994748857942477E-2</c:v>
                </c:pt>
                <c:pt idx="298">
                  <c:v>2.0025036762115787E-2</c:v>
                </c:pt>
                <c:pt idx="299">
                  <c:v>2.0148501194827754E-2</c:v>
                </c:pt>
                <c:pt idx="300">
                  <c:v>2.0365255388322803E-2</c:v>
                </c:pt>
                <c:pt idx="301">
                  <c:v>2.0675414209912781E-2</c:v>
                </c:pt>
                <c:pt idx="302">
                  <c:v>2.1079093303587326E-2</c:v>
                </c:pt>
                <c:pt idx="303">
                  <c:v>2.1644211498751658E-2</c:v>
                </c:pt>
                <c:pt idx="304">
                  <c:v>2.2347221731014666E-2</c:v>
                </c:pt>
                <c:pt idx="305">
                  <c:v>2.3188299613301658E-2</c:v>
                </c:pt>
                <c:pt idx="306">
                  <c:v>2.4167617444328316E-2</c:v>
                </c:pt>
                <c:pt idx="307">
                  <c:v>2.5285342944620193E-2</c:v>
                </c:pt>
                <c:pt idx="308">
                  <c:v>2.6541637992324448E-2</c:v>
                </c:pt>
                <c:pt idx="309">
                  <c:v>2.7913440983925616E-2</c:v>
                </c:pt>
                <c:pt idx="310">
                  <c:v>2.9331149869819221E-2</c:v>
                </c:pt>
                <c:pt idx="311">
                  <c:v>3.0794775956897235E-2</c:v>
                </c:pt>
                <c:pt idx="312">
                  <c:v>3.230432366630541E-2</c:v>
                </c:pt>
                <c:pt idx="313">
                  <c:v>3.3859790122454804E-2</c:v>
                </c:pt>
                <c:pt idx="314">
                  <c:v>3.5461164741747812E-2</c:v>
                </c:pt>
                <c:pt idx="315">
                  <c:v>3.7108428821722647E-2</c:v>
                </c:pt>
                <c:pt idx="316">
                  <c:v>3.8801555129672913E-2</c:v>
                </c:pt>
                <c:pt idx="317">
                  <c:v>4.0451082887864934E-2</c:v>
                </c:pt>
                <c:pt idx="318">
                  <c:v>4.198860893147225E-2</c:v>
                </c:pt>
                <c:pt idx="319">
                  <c:v>4.3413907358493493E-2</c:v>
                </c:pt>
                <c:pt idx="320">
                  <c:v>4.4726755985326848E-2</c:v>
                </c:pt>
                <c:pt idx="321">
                  <c:v>4.5926937378208722E-2</c:v>
                </c:pt>
                <c:pt idx="322">
                  <c:v>4.7014239884873667E-2</c:v>
                </c:pt>
                <c:pt idx="323">
                  <c:v>4.7952764438264399E-2</c:v>
                </c:pt>
                <c:pt idx="324">
                  <c:v>4.8765634492655995E-2</c:v>
                </c:pt>
                <c:pt idx="325">
                  <c:v>4.945265113362405E-2</c:v>
                </c:pt>
                <c:pt idx="326">
                  <c:v>5.0013315756416939E-2</c:v>
                </c:pt>
                <c:pt idx="327">
                  <c:v>5.0447340823516679E-2</c:v>
                </c:pt>
                <c:pt idx="328">
                  <c:v>5.0754714987753254E-2</c:v>
                </c:pt>
                <c:pt idx="329">
                  <c:v>5.09354502768836E-2</c:v>
                </c:pt>
                <c:pt idx="330">
                  <c:v>5.0989579482548848E-2</c:v>
                </c:pt>
                <c:pt idx="331">
                  <c:v>5.093177022039188E-2</c:v>
                </c:pt>
                <c:pt idx="332">
                  <c:v>5.0851856103118979E-2</c:v>
                </c:pt>
                <c:pt idx="333">
                  <c:v>5.0749941243129044E-2</c:v>
                </c:pt>
                <c:pt idx="334">
                  <c:v>5.0626131070052705E-2</c:v>
                </c:pt>
                <c:pt idx="335">
                  <c:v>5.0480531891548865E-2</c:v>
                </c:pt>
                <c:pt idx="336">
                  <c:v>5.0313250453432136E-2</c:v>
                </c:pt>
                <c:pt idx="337">
                  <c:v>5.0130661751542092E-2</c:v>
                </c:pt>
                <c:pt idx="338">
                  <c:v>4.9968638911363904E-2</c:v>
                </c:pt>
                <c:pt idx="339">
                  <c:v>4.9827290423109349E-2</c:v>
                </c:pt>
                <c:pt idx="340">
                  <c:v>4.9706722981268714E-2</c:v>
                </c:pt>
                <c:pt idx="341">
                  <c:v>4.9607041919182672E-2</c:v>
                </c:pt>
                <c:pt idx="342">
                  <c:v>4.9528351643572173E-2</c:v>
                </c:pt>
                <c:pt idx="343">
                  <c:v>4.9470756068470491E-2</c:v>
                </c:pt>
                <c:pt idx="344">
                  <c:v>4.9434359049935067E-2</c:v>
                </c:pt>
                <c:pt idx="345">
                  <c:v>4.9419264820235197E-2</c:v>
                </c:pt>
                <c:pt idx="346">
                  <c:v>4.9409593969084668E-2</c:v>
                </c:pt>
                <c:pt idx="347">
                  <c:v>4.940544959952959E-2</c:v>
                </c:pt>
                <c:pt idx="348">
                  <c:v>4.9406935099875308E-2</c:v>
                </c:pt>
                <c:pt idx="349">
                  <c:v>4.9414154245377401E-2</c:v>
                </c:pt>
                <c:pt idx="350">
                  <c:v>4.9427211301089589E-2</c:v>
                </c:pt>
                <c:pt idx="351">
                  <c:v>4.9444852390745524E-2</c:v>
                </c:pt>
                <c:pt idx="352">
                  <c:v>4.946090823814684E-2</c:v>
                </c:pt>
                <c:pt idx="353">
                  <c:v>4.9475480856734144E-2</c:v>
                </c:pt>
                <c:pt idx="354">
                  <c:v>4.9488671911252009E-2</c:v>
                </c:pt>
                <c:pt idx="355">
                  <c:v>4.9500582658812874E-2</c:v>
                </c:pt>
                <c:pt idx="356">
                  <c:v>4.9511348107647533E-2</c:v>
                </c:pt>
                <c:pt idx="357">
                  <c:v>4.9520958199685945E-2</c:v>
                </c:pt>
                <c:pt idx="358">
                  <c:v>4.952928309170726E-2</c:v>
                </c:pt>
                <c:pt idx="359">
                  <c:v>4.9536192534527755E-2</c:v>
                </c:pt>
                <c:pt idx="360">
                  <c:v>4.9547844495545244E-2</c:v>
                </c:pt>
                <c:pt idx="361">
                  <c:v>4.9565478369212122E-2</c:v>
                </c:pt>
                <c:pt idx="362">
                  <c:v>4.9588973180201022E-2</c:v>
                </c:pt>
                <c:pt idx="363">
                  <c:v>4.9618208508101745E-2</c:v>
                </c:pt>
                <c:pt idx="364">
                  <c:v>4.9653064362181504E-2</c:v>
                </c:pt>
                <c:pt idx="365">
                  <c:v>4.9693421055535425E-2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0.11916899734671965</c:v>
                </c:pt>
                <c:pt idx="1">
                  <c:v>0.11843592622618958</c:v>
                </c:pt>
                <c:pt idx="2">
                  <c:v>0.117677586055227</c:v>
                </c:pt>
                <c:pt idx="3">
                  <c:v>0.11689362794654622</c:v>
                </c:pt>
                <c:pt idx="4">
                  <c:v>0.11608371093463277</c:v>
                </c:pt>
                <c:pt idx="5">
                  <c:v>0.11524750261916149</c:v>
                </c:pt>
                <c:pt idx="6">
                  <c:v>0.11438467980988802</c:v>
                </c:pt>
                <c:pt idx="7">
                  <c:v>0.11349492916893072</c:v>
                </c:pt>
                <c:pt idx="8">
                  <c:v>0.11257794785469143</c:v>
                </c:pt>
                <c:pt idx="9">
                  <c:v>0.11165359727645768</c:v>
                </c:pt>
                <c:pt idx="10">
                  <c:v>0.1107530043959316</c:v>
                </c:pt>
                <c:pt idx="11">
                  <c:v>0.10987596489974545</c:v>
                </c:pt>
                <c:pt idx="12">
                  <c:v>0.10902228133059404</c:v>
                </c:pt>
                <c:pt idx="13">
                  <c:v>0.10819176242106542</c:v>
                </c:pt>
                <c:pt idx="14">
                  <c:v>0.10738422242562574</c:v>
                </c:pt>
                <c:pt idx="15">
                  <c:v>0.10657741766657806</c:v>
                </c:pt>
                <c:pt idx="16">
                  <c:v>0.10576508353715057</c:v>
                </c:pt>
                <c:pt idx="17">
                  <c:v>0.10494702705090381</c:v>
                </c:pt>
                <c:pt idx="18">
                  <c:v>0.10412306414466427</c:v>
                </c:pt>
                <c:pt idx="19">
                  <c:v>0.10329359588515069</c:v>
                </c:pt>
                <c:pt idx="20">
                  <c:v>0.10245927189007931</c:v>
                </c:pt>
                <c:pt idx="21">
                  <c:v>0.10162028466552118</c:v>
                </c:pt>
                <c:pt idx="22">
                  <c:v>0.10077682273104499</c:v>
                </c:pt>
                <c:pt idx="23">
                  <c:v>9.9865356177678929E-2</c:v>
                </c:pt>
                <c:pt idx="24">
                  <c:v>9.8865819860013707E-2</c:v>
                </c:pt>
                <c:pt idx="25">
                  <c:v>9.7778379740164012E-2</c:v>
                </c:pt>
                <c:pt idx="26">
                  <c:v>9.6603206677726747E-2</c:v>
                </c:pt>
                <c:pt idx="27">
                  <c:v>9.5340475355848275E-2</c:v>
                </c:pt>
                <c:pt idx="28">
                  <c:v>9.3990363209396091E-2</c:v>
                </c:pt>
                <c:pt idx="29">
                  <c:v>9.2465828456434432E-2</c:v>
                </c:pt>
                <c:pt idx="30">
                  <c:v>9.0789156379765715E-2</c:v>
                </c:pt>
                <c:pt idx="31">
                  <c:v>8.8960536368317925E-2</c:v>
                </c:pt>
                <c:pt idx="32">
                  <c:v>8.6980160115228869E-2</c:v>
                </c:pt>
                <c:pt idx="33">
                  <c:v>8.4848219730645436E-2</c:v>
                </c:pt>
                <c:pt idx="34">
                  <c:v>8.2564905854926582E-2</c:v>
                </c:pt>
                <c:pt idx="35">
                  <c:v>8.0130405771749E-2</c:v>
                </c:pt>
                <c:pt idx="36">
                  <c:v>7.7544901521027623E-2</c:v>
                </c:pt>
                <c:pt idx="37">
                  <c:v>7.4841416497779867E-2</c:v>
                </c:pt>
                <c:pt idx="38">
                  <c:v>7.208379970631737E-2</c:v>
                </c:pt>
                <c:pt idx="39">
                  <c:v>6.9272180359489635E-2</c:v>
                </c:pt>
                <c:pt idx="40">
                  <c:v>6.6406674488546008E-2</c:v>
                </c:pt>
                <c:pt idx="41">
                  <c:v>6.3487384264034455E-2</c:v>
                </c:pt>
                <c:pt idx="42">
                  <c:v>6.0514397316177138E-2</c:v>
                </c:pt>
                <c:pt idx="43">
                  <c:v>5.7642990287089531E-2</c:v>
                </c:pt>
                <c:pt idx="44">
                  <c:v>5.4960310365169428E-2</c:v>
                </c:pt>
                <c:pt idx="45">
                  <c:v>5.2466345243616049E-2</c:v>
                </c:pt>
                <c:pt idx="46">
                  <c:v>5.0161075660268943E-2</c:v>
                </c:pt>
                <c:pt idx="47">
                  <c:v>4.8044477750993485E-2</c:v>
                </c:pt>
                <c:pt idx="48">
                  <c:v>4.6116525402367707E-2</c:v>
                </c:pt>
                <c:pt idx="49">
                  <c:v>4.4377192604840937E-2</c:v>
                </c:pt>
                <c:pt idx="50">
                  <c:v>4.2826455805593112E-2</c:v>
                </c:pt>
                <c:pt idx="51">
                  <c:v>4.153728491560011E-2</c:v>
                </c:pt>
                <c:pt idx="52">
                  <c:v>4.047662798927136E-2</c:v>
                </c:pt>
                <c:pt idx="53">
                  <c:v>3.9644240717019136E-2</c:v>
                </c:pt>
                <c:pt idx="54">
                  <c:v>3.9040096890279687E-2</c:v>
                </c:pt>
                <c:pt idx="55">
                  <c:v>3.8664175294966407E-2</c:v>
                </c:pt>
                <c:pt idx="56">
                  <c:v>3.8516458867482804E-2</c:v>
                </c:pt>
                <c:pt idx="57">
                  <c:v>3.8583526401681306E-2</c:v>
                </c:pt>
                <c:pt idx="58">
                  <c:v>3.8710229049097412E-2</c:v>
                </c:pt>
                <c:pt idx="59">
                  <c:v>3.8896553895556678E-2</c:v>
                </c:pt>
                <c:pt idx="60">
                  <c:v>3.9142488161211721E-2</c:v>
                </c:pt>
                <c:pt idx="61">
                  <c:v>3.9448018980130957E-2</c:v>
                </c:pt>
                <c:pt idx="62">
                  <c:v>3.981313317982834E-2</c:v>
                </c:pt>
                <c:pt idx="63">
                  <c:v>4.0237817060911292E-2</c:v>
                </c:pt>
                <c:pt idx="64">
                  <c:v>4.0722056176570841E-2</c:v>
                </c:pt>
                <c:pt idx="65">
                  <c:v>4.1245697327142179E-2</c:v>
                </c:pt>
                <c:pt idx="66">
                  <c:v>4.1735731925061838E-2</c:v>
                </c:pt>
                <c:pt idx="67">
                  <c:v>4.2192141744444113E-2</c:v>
                </c:pt>
                <c:pt idx="68">
                  <c:v>4.2614908249203352E-2</c:v>
                </c:pt>
                <c:pt idx="69">
                  <c:v>4.300401271702118E-2</c:v>
                </c:pt>
                <c:pt idx="70">
                  <c:v>4.3359436363508752E-2</c:v>
                </c:pt>
                <c:pt idx="71">
                  <c:v>4.3652701699291641E-2</c:v>
                </c:pt>
                <c:pt idx="72">
                  <c:v>4.389719908536871E-2</c:v>
                </c:pt>
                <c:pt idx="73">
                  <c:v>4.4092911472561731E-2</c:v>
                </c:pt>
                <c:pt idx="74">
                  <c:v>4.4239822696866583E-2</c:v>
                </c:pt>
                <c:pt idx="75">
                  <c:v>4.4337917659300792E-2</c:v>
                </c:pt>
                <c:pt idx="76">
                  <c:v>4.4387182505614055E-2</c:v>
                </c:pt>
                <c:pt idx="77">
                  <c:v>4.4387604806142504E-2</c:v>
                </c:pt>
                <c:pt idx="78">
                  <c:v>4.4339175207621068E-2</c:v>
                </c:pt>
                <c:pt idx="79">
                  <c:v>4.4219747307581027E-2</c:v>
                </c:pt>
                <c:pt idx="80">
                  <c:v>4.4049567496230929E-2</c:v>
                </c:pt>
                <c:pt idx="81">
                  <c:v>4.3828628915042904E-2</c:v>
                </c:pt>
                <c:pt idx="82">
                  <c:v>4.3556925067561592E-2</c:v>
                </c:pt>
                <c:pt idx="83">
                  <c:v>4.3234449981979561E-2</c:v>
                </c:pt>
                <c:pt idx="84">
                  <c:v>4.2861198373857594E-2</c:v>
                </c:pt>
                <c:pt idx="85">
                  <c:v>4.2423682040533574E-2</c:v>
                </c:pt>
                <c:pt idx="86">
                  <c:v>4.1950341627490347E-2</c:v>
                </c:pt>
                <c:pt idx="87">
                  <c:v>4.1441172451688123E-2</c:v>
                </c:pt>
                <c:pt idx="88">
                  <c:v>4.0896170950117751E-2</c:v>
                </c:pt>
                <c:pt idx="89">
                  <c:v>4.0315334794498524E-2</c:v>
                </c:pt>
                <c:pt idx="90">
                  <c:v>3.9698663005891484E-2</c:v>
                </c:pt>
                <c:pt idx="91">
                  <c:v>3.9046156069467347E-2</c:v>
                </c:pt>
                <c:pt idx="92">
                  <c:v>3.8357816049163544E-2</c:v>
                </c:pt>
                <c:pt idx="93">
                  <c:v>3.7622148440246521E-2</c:v>
                </c:pt>
                <c:pt idx="94">
                  <c:v>3.6861452894731271E-2</c:v>
                </c:pt>
                <c:pt idx="95">
                  <c:v>3.6075734273552248E-2</c:v>
                </c:pt>
                <c:pt idx="96">
                  <c:v>3.5264999153968198E-2</c:v>
                </c:pt>
                <c:pt idx="97">
                  <c:v>3.4429255909839723E-2</c:v>
                </c:pt>
                <c:pt idx="98">
                  <c:v>3.3568514791580274E-2</c:v>
                </c:pt>
                <c:pt idx="99">
                  <c:v>3.2677863296424726E-2</c:v>
                </c:pt>
                <c:pt idx="100">
                  <c:v>3.1770784991319821E-2</c:v>
                </c:pt>
                <c:pt idx="101">
                  <c:v>3.0847293202347904E-2</c:v>
                </c:pt>
                <c:pt idx="102">
                  <c:v>2.9907403094277776E-2</c:v>
                </c:pt>
                <c:pt idx="103">
                  <c:v>2.8951131722918938E-2</c:v>
                </c:pt>
                <c:pt idx="104">
                  <c:v>2.7978498088187153E-2</c:v>
                </c:pt>
                <c:pt idx="105">
                  <c:v>2.6989523186509694E-2</c:v>
                </c:pt>
                <c:pt idx="106">
                  <c:v>2.5984230063590744E-2</c:v>
                </c:pt>
                <c:pt idx="107">
                  <c:v>2.4962247412828847E-2</c:v>
                </c:pt>
                <c:pt idx="108">
                  <c:v>2.3935079414965147E-2</c:v>
                </c:pt>
                <c:pt idx="109">
                  <c:v>2.2902749327403663E-2</c:v>
                </c:pt>
                <c:pt idx="110">
                  <c:v>2.1865344296995961E-2</c:v>
                </c:pt>
                <c:pt idx="111">
                  <c:v>2.0822942703544824E-2</c:v>
                </c:pt>
                <c:pt idx="112">
                  <c:v>1.97755566455276E-2</c:v>
                </c:pt>
                <c:pt idx="113">
                  <c:v>1.874321687636309E-2</c:v>
                </c:pt>
                <c:pt idx="114">
                  <c:v>1.7730837078322622E-2</c:v>
                </c:pt>
                <c:pt idx="115">
                  <c:v>1.6738415860969417E-2</c:v>
                </c:pt>
                <c:pt idx="116">
                  <c:v>1.5765952103551435E-2</c:v>
                </c:pt>
                <c:pt idx="117">
                  <c:v>1.4813444912231627E-2</c:v>
                </c:pt>
                <c:pt idx="118">
                  <c:v>1.3880893577135288E-2</c:v>
                </c:pt>
                <c:pt idx="119">
                  <c:v>1.296829752945057E-2</c:v>
                </c:pt>
                <c:pt idx="120">
                  <c:v>1.2075656298509485E-2</c:v>
                </c:pt>
                <c:pt idx="121">
                  <c:v>1.1231147701933009E-2</c:v>
                </c:pt>
                <c:pt idx="122">
                  <c:v>1.0435144384333064E-2</c:v>
                </c:pt>
                <c:pt idx="123">
                  <c:v>9.6876223306449089E-3</c:v>
                </c:pt>
                <c:pt idx="124">
                  <c:v>8.9885562088327792E-3</c:v>
                </c:pt>
                <c:pt idx="125">
                  <c:v>8.3379192644819373E-3</c:v>
                </c:pt>
                <c:pt idx="126">
                  <c:v>7.7356832152496594E-3</c:v>
                </c:pt>
                <c:pt idx="127">
                  <c:v>7.191632141905731E-3</c:v>
                </c:pt>
                <c:pt idx="128">
                  <c:v>6.6857847216596844E-3</c:v>
                </c:pt>
                <c:pt idx="129">
                  <c:v>6.2181167820142104E-3</c:v>
                </c:pt>
                <c:pt idx="130">
                  <c:v>5.7886027050150718E-3</c:v>
                </c:pt>
                <c:pt idx="131">
                  <c:v>5.3972153439180793E-3</c:v>
                </c:pt>
                <c:pt idx="132">
                  <c:v>5.043925939931632E-3</c:v>
                </c:pt>
                <c:pt idx="133">
                  <c:v>4.7287040389891091E-3</c:v>
                </c:pt>
                <c:pt idx="134">
                  <c:v>4.451517408487436E-3</c:v>
                </c:pt>
                <c:pt idx="135">
                  <c:v>4.215953446810891E-3</c:v>
                </c:pt>
                <c:pt idx="136">
                  <c:v>3.9939274455049953E-3</c:v>
                </c:pt>
                <c:pt idx="137">
                  <c:v>3.785429776371859E-3</c:v>
                </c:pt>
                <c:pt idx="138">
                  <c:v>3.5904501947621862E-3</c:v>
                </c:pt>
                <c:pt idx="139">
                  <c:v>3.408977810164852E-3</c:v>
                </c:pt>
                <c:pt idx="140">
                  <c:v>3.2410010565876754E-3</c:v>
                </c:pt>
                <c:pt idx="141">
                  <c:v>3.0931597350831509E-3</c:v>
                </c:pt>
                <c:pt idx="142">
                  <c:v>2.955656291250787E-3</c:v>
                </c:pt>
                <c:pt idx="143">
                  <c:v>2.8284704300841454E-3</c:v>
                </c:pt>
                <c:pt idx="144">
                  <c:v>2.711599354846066E-3</c:v>
                </c:pt>
                <c:pt idx="145">
                  <c:v>2.6050383901532938E-3</c:v>
                </c:pt>
                <c:pt idx="146">
                  <c:v>2.5087811197993127E-3</c:v>
                </c:pt>
                <c:pt idx="147">
                  <c:v>2.4228195246688527E-3</c:v>
                </c:pt>
                <c:pt idx="148">
                  <c:v>2.3471441205867604E-3</c:v>
                </c:pt>
                <c:pt idx="149">
                  <c:v>2.2848983734685326E-3</c:v>
                </c:pt>
                <c:pt idx="150">
                  <c:v>2.2324690363503237E-3</c:v>
                </c:pt>
                <c:pt idx="151">
                  <c:v>2.1898437487360991E-3</c:v>
                </c:pt>
                <c:pt idx="152">
                  <c:v>2.157009278211117E-3</c:v>
                </c:pt>
                <c:pt idx="153">
                  <c:v>2.1339516523195727E-3</c:v>
                </c:pt>
                <c:pt idx="154">
                  <c:v>2.1206562904545218E-3</c:v>
                </c:pt>
                <c:pt idx="155">
                  <c:v>2.1168471393839022E-3</c:v>
                </c:pt>
                <c:pt idx="156">
                  <c:v>2.1159128758387112E-3</c:v>
                </c:pt>
                <c:pt idx="157">
                  <c:v>2.1178509158156201E-3</c:v>
                </c:pt>
                <c:pt idx="158">
                  <c:v>2.1226586415958341E-3</c:v>
                </c:pt>
                <c:pt idx="159">
                  <c:v>2.1303334407416635E-3</c:v>
                </c:pt>
                <c:pt idx="160">
                  <c:v>2.1408727451192331E-3</c:v>
                </c:pt>
                <c:pt idx="161">
                  <c:v>2.1542740698972046E-3</c:v>
                </c:pt>
                <c:pt idx="162">
                  <c:v>2.1705350525569088E-3</c:v>
                </c:pt>
                <c:pt idx="163">
                  <c:v>2.1883927436180044E-3</c:v>
                </c:pt>
                <c:pt idx="164">
                  <c:v>2.2047224337652187E-3</c:v>
                </c:pt>
                <c:pt idx="165">
                  <c:v>2.2195303255706724E-3</c:v>
                </c:pt>
                <c:pt idx="166">
                  <c:v>2.2328226376197736E-3</c:v>
                </c:pt>
                <c:pt idx="167">
                  <c:v>2.2446055837911675E-3</c:v>
                </c:pt>
                <c:pt idx="168">
                  <c:v>2.2548853526075936E-3</c:v>
                </c:pt>
                <c:pt idx="169">
                  <c:v>2.2624118041557296E-3</c:v>
                </c:pt>
                <c:pt idx="170">
                  <c:v>2.267451696678587E-3</c:v>
                </c:pt>
                <c:pt idx="171">
                  <c:v>2.2700125441142008E-3</c:v>
                </c:pt>
                <c:pt idx="172">
                  <c:v>2.2701016381168424E-3</c:v>
                </c:pt>
                <c:pt idx="173">
                  <c:v>2.2677028239399158E-3</c:v>
                </c:pt>
                <c:pt idx="174">
                  <c:v>2.2627986290659429E-3</c:v>
                </c:pt>
                <c:pt idx="175">
                  <c:v>2.2553941775858067E-3</c:v>
                </c:pt>
                <c:pt idx="176">
                  <c:v>2.24549457709261E-3</c:v>
                </c:pt>
                <c:pt idx="177">
                  <c:v>2.2328472047110849E-3</c:v>
                </c:pt>
                <c:pt idx="178">
                  <c:v>2.2187079757237387E-3</c:v>
                </c:pt>
                <c:pt idx="179">
                  <c:v>2.2030803721742155E-3</c:v>
                </c:pt>
                <c:pt idx="180">
                  <c:v>2.1859678196211201E-3</c:v>
                </c:pt>
                <c:pt idx="181">
                  <c:v>2.1673736782682851E-3</c:v>
                </c:pt>
                <c:pt idx="182">
                  <c:v>2.1473012341143944E-3</c:v>
                </c:pt>
                <c:pt idx="183">
                  <c:v>2.1288476122213813E-3</c:v>
                </c:pt>
                <c:pt idx="184">
                  <c:v>2.113258319235567E-3</c:v>
                </c:pt>
                <c:pt idx="185">
                  <c:v>2.1005302807071556E-3</c:v>
                </c:pt>
                <c:pt idx="186">
                  <c:v>2.0906604968217251E-3</c:v>
                </c:pt>
                <c:pt idx="187">
                  <c:v>2.0836460591132124E-3</c:v>
                </c:pt>
                <c:pt idx="188">
                  <c:v>2.079484167188526E-3</c:v>
                </c:pt>
                <c:pt idx="189">
                  <c:v>2.0781721453885832E-3</c:v>
                </c:pt>
                <c:pt idx="190">
                  <c:v>2.0797074595382496E-3</c:v>
                </c:pt>
                <c:pt idx="191">
                  <c:v>2.0905621691188242E-3</c:v>
                </c:pt>
                <c:pt idx="192">
                  <c:v>2.1109819505201947E-3</c:v>
                </c:pt>
                <c:pt idx="193">
                  <c:v>2.1409568856144132E-3</c:v>
                </c:pt>
                <c:pt idx="194">
                  <c:v>2.1804777461264142E-3</c:v>
                </c:pt>
                <c:pt idx="195">
                  <c:v>2.2295360501565793E-3</c:v>
                </c:pt>
                <c:pt idx="196">
                  <c:v>2.2881241186213023E-3</c:v>
                </c:pt>
                <c:pt idx="197">
                  <c:v>2.3597432495131351E-3</c:v>
                </c:pt>
                <c:pt idx="198">
                  <c:v>2.4413093751704997E-3</c:v>
                </c:pt>
                <c:pt idx="199">
                  <c:v>2.5328172953632245E-3</c:v>
                </c:pt>
                <c:pt idx="200">
                  <c:v>2.6342628861699691E-3</c:v>
                </c:pt>
                <c:pt idx="201">
                  <c:v>2.7456431589921852E-3</c:v>
                </c:pt>
                <c:pt idx="202">
                  <c:v>2.866956319578793E-3</c:v>
                </c:pt>
                <c:pt idx="203">
                  <c:v>2.9982018271144085E-3</c:v>
                </c:pt>
                <c:pt idx="204">
                  <c:v>3.1393753836450587E-3</c:v>
                </c:pt>
                <c:pt idx="205">
                  <c:v>3.2999306045061569E-3</c:v>
                </c:pt>
                <c:pt idx="206">
                  <c:v>3.4734164854546678E-3</c:v>
                </c:pt>
                <c:pt idx="207">
                  <c:v>3.6598307595644129E-3</c:v>
                </c:pt>
                <c:pt idx="208">
                  <c:v>3.8591719991893244E-3</c:v>
                </c:pt>
                <c:pt idx="209">
                  <c:v>4.0714395757198698E-3</c:v>
                </c:pt>
                <c:pt idx="210">
                  <c:v>4.2966336194673691E-3</c:v>
                </c:pt>
                <c:pt idx="211">
                  <c:v>4.561839926608015E-3</c:v>
                </c:pt>
                <c:pt idx="212">
                  <c:v>4.863552897257809E-3</c:v>
                </c:pt>
                <c:pt idx="213">
                  <c:v>5.2017665954307932E-3</c:v>
                </c:pt>
                <c:pt idx="214">
                  <c:v>5.5764772797830403E-3</c:v>
                </c:pt>
                <c:pt idx="215">
                  <c:v>5.9876832901831446E-3</c:v>
                </c:pt>
                <c:pt idx="216">
                  <c:v>6.4353849342661433E-3</c:v>
                </c:pt>
                <c:pt idx="217">
                  <c:v>6.91958437401273E-3</c:v>
                </c:pt>
                <c:pt idx="218">
                  <c:v>7.4402855122971427E-3</c:v>
                </c:pt>
                <c:pt idx="219">
                  <c:v>8.0166834484851797E-3</c:v>
                </c:pt>
                <c:pt idx="220">
                  <c:v>8.6393411752280769E-3</c:v>
                </c:pt>
                <c:pt idx="221">
                  <c:v>9.3082663700464457E-3</c:v>
                </c:pt>
                <c:pt idx="222">
                  <c:v>1.0023468502452487E-2</c:v>
                </c:pt>
                <c:pt idx="223">
                  <c:v>1.0784958690364171E-2</c:v>
                </c:pt>
                <c:pt idx="224">
                  <c:v>1.1592749556314638E-2</c:v>
                </c:pt>
                <c:pt idx="225">
                  <c:v>1.2446475547587639E-2</c:v>
                </c:pt>
                <c:pt idx="226">
                  <c:v>1.3319093943099332E-2</c:v>
                </c:pt>
                <c:pt idx="227">
                  <c:v>1.4210620601842682E-2</c:v>
                </c:pt>
                <c:pt idx="228">
                  <c:v>1.5121071131302318E-2</c:v>
                </c:pt>
                <c:pt idx="229">
                  <c:v>1.605046082884214E-2</c:v>
                </c:pt>
                <c:pt idx="230">
                  <c:v>1.6998804623299942E-2</c:v>
                </c:pt>
                <c:pt idx="231">
                  <c:v>1.796611701666713E-2</c:v>
                </c:pt>
                <c:pt idx="232">
                  <c:v>1.8952412025407969E-2</c:v>
                </c:pt>
                <c:pt idx="233">
                  <c:v>1.9952993093809553E-2</c:v>
                </c:pt>
                <c:pt idx="234">
                  <c:v>2.0948682249564279E-2</c:v>
                </c:pt>
                <c:pt idx="235">
                  <c:v>2.1939505489775028E-2</c:v>
                </c:pt>
                <c:pt idx="236">
                  <c:v>2.2925498050282725E-2</c:v>
                </c:pt>
                <c:pt idx="237">
                  <c:v>2.3906682799459303E-2</c:v>
                </c:pt>
                <c:pt idx="238">
                  <c:v>2.4883083091016528E-2</c:v>
                </c:pt>
                <c:pt idx="239">
                  <c:v>2.5843727704534553E-2</c:v>
                </c:pt>
                <c:pt idx="240">
                  <c:v>2.6789017774093773E-2</c:v>
                </c:pt>
                <c:pt idx="241">
                  <c:v>2.7718974724529031E-2</c:v>
                </c:pt>
                <c:pt idx="242">
                  <c:v>2.8633619932802886E-2</c:v>
                </c:pt>
                <c:pt idx="243">
                  <c:v>2.9532974700531237E-2</c:v>
                </c:pt>
                <c:pt idx="244">
                  <c:v>3.0417060226381201E-2</c:v>
                </c:pt>
                <c:pt idx="245">
                  <c:v>3.1285897578156273E-2</c:v>
                </c:pt>
                <c:pt idx="246">
                  <c:v>3.2139507664795931E-2</c:v>
                </c:pt>
                <c:pt idx="247">
                  <c:v>3.2965012135281899E-2</c:v>
                </c:pt>
                <c:pt idx="248">
                  <c:v>3.3767142523831659E-2</c:v>
                </c:pt>
                <c:pt idx="249">
                  <c:v>3.4545914748409075E-2</c:v>
                </c:pt>
                <c:pt idx="250">
                  <c:v>3.5301344001716618E-2</c:v>
                </c:pt>
                <c:pt idx="251">
                  <c:v>3.6033444709959686E-2</c:v>
                </c:pt>
                <c:pt idx="252">
                  <c:v>3.674223049015831E-2</c:v>
                </c:pt>
                <c:pt idx="253">
                  <c:v>3.7406354052362221E-2</c:v>
                </c:pt>
                <c:pt idx="254">
                  <c:v>3.8036833142637443E-2</c:v>
                </c:pt>
                <c:pt idx="255">
                  <c:v>3.863367123079519E-2</c:v>
                </c:pt>
                <c:pt idx="256">
                  <c:v>3.919687016500626E-2</c:v>
                </c:pt>
                <c:pt idx="257">
                  <c:v>3.972643011110992E-2</c:v>
                </c:pt>
                <c:pt idx="258">
                  <c:v>4.0222349492283323E-2</c:v>
                </c:pt>
                <c:pt idx="259">
                  <c:v>4.0684624929277415E-2</c:v>
                </c:pt>
                <c:pt idx="260">
                  <c:v>4.1113251179437114E-2</c:v>
                </c:pt>
                <c:pt idx="261">
                  <c:v>4.1480928480918604E-2</c:v>
                </c:pt>
                <c:pt idx="262">
                  <c:v>4.1800565618282021E-2</c:v>
                </c:pt>
                <c:pt idx="263">
                  <c:v>4.2072137312372838E-2</c:v>
                </c:pt>
                <c:pt idx="264">
                  <c:v>4.2295617198356179E-2</c:v>
                </c:pt>
                <c:pt idx="265">
                  <c:v>4.2471203324988792E-2</c:v>
                </c:pt>
                <c:pt idx="266">
                  <c:v>4.2598981141395181E-2</c:v>
                </c:pt>
                <c:pt idx="267">
                  <c:v>4.2659508198772088E-2</c:v>
                </c:pt>
                <c:pt idx="268">
                  <c:v>4.2674116740919428E-2</c:v>
                </c:pt>
                <c:pt idx="269">
                  <c:v>4.2642705006552789E-2</c:v>
                </c:pt>
                <c:pt idx="270">
                  <c:v>4.2565166646322428E-2</c:v>
                </c:pt>
                <c:pt idx="271">
                  <c:v>4.2441391236403565E-2</c:v>
                </c:pt>
                <c:pt idx="272">
                  <c:v>4.2271264793265588E-2</c:v>
                </c:pt>
                <c:pt idx="273">
                  <c:v>4.2054670287904689E-2</c:v>
                </c:pt>
                <c:pt idx="274">
                  <c:v>4.1791488160632155E-2</c:v>
                </c:pt>
                <c:pt idx="275">
                  <c:v>4.1468667421455802E-2</c:v>
                </c:pt>
                <c:pt idx="276">
                  <c:v>4.1113522599944684E-2</c:v>
                </c:pt>
                <c:pt idx="277">
                  <c:v>4.0725951097041753E-2</c:v>
                </c:pt>
                <c:pt idx="278">
                  <c:v>4.0305850493064226E-2</c:v>
                </c:pt>
                <c:pt idx="279">
                  <c:v>3.9853118902699526E-2</c:v>
                </c:pt>
                <c:pt idx="280">
                  <c:v>3.9367655330380995E-2</c:v>
                </c:pt>
                <c:pt idx="281">
                  <c:v>3.8919960248542516E-2</c:v>
                </c:pt>
                <c:pt idx="282">
                  <c:v>3.8529534195332955E-2</c:v>
                </c:pt>
                <c:pt idx="283">
                  <c:v>3.8196422602362591E-2</c:v>
                </c:pt>
                <c:pt idx="284">
                  <c:v>3.7920673037087571E-2</c:v>
                </c:pt>
                <c:pt idx="285">
                  <c:v>3.7702334571900788E-2</c:v>
                </c:pt>
                <c:pt idx="286">
                  <c:v>3.7541457153584541E-2</c:v>
                </c:pt>
                <c:pt idx="287">
                  <c:v>3.743809097238588E-2</c:v>
                </c:pt>
                <c:pt idx="288">
                  <c:v>3.739228583123811E-2</c:v>
                </c:pt>
                <c:pt idx="289">
                  <c:v>3.7554774751676748E-2</c:v>
                </c:pt>
                <c:pt idx="290">
                  <c:v>3.7938859946713942E-2</c:v>
                </c:pt>
                <c:pt idx="291">
                  <c:v>3.8544824736005866E-2</c:v>
                </c:pt>
                <c:pt idx="292">
                  <c:v>3.9372940550515947E-2</c:v>
                </c:pt>
                <c:pt idx="293">
                  <c:v>4.0423464517460116E-2</c:v>
                </c:pt>
                <c:pt idx="294">
                  <c:v>4.169663704510948E-2</c:v>
                </c:pt>
                <c:pt idx="295">
                  <c:v>4.3224650306583838E-2</c:v>
                </c:pt>
                <c:pt idx="296">
                  <c:v>4.4937163190513524E-2</c:v>
                </c:pt>
                <c:pt idx="297">
                  <c:v>4.6834763812066547E-2</c:v>
                </c:pt>
                <c:pt idx="298">
                  <c:v>4.8917696076184548E-2</c:v>
                </c:pt>
                <c:pt idx="299">
                  <c:v>5.118620303830148E-2</c:v>
                </c:pt>
                <c:pt idx="300">
                  <c:v>5.3640525212497146E-2</c:v>
                </c:pt>
                <c:pt idx="301">
                  <c:v>5.6280898879505471E-2</c:v>
                </c:pt>
                <c:pt idx="302">
                  <c:v>5.9107554394836191E-2</c:v>
                </c:pt>
                <c:pt idx="303">
                  <c:v>6.2035557256691264E-2</c:v>
                </c:pt>
                <c:pt idx="304">
                  <c:v>6.4913245713557263E-2</c:v>
                </c:pt>
                <c:pt idx="305">
                  <c:v>6.7740484126263115E-2</c:v>
                </c:pt>
                <c:pt idx="306">
                  <c:v>7.0517126667165766E-2</c:v>
                </c:pt>
                <c:pt idx="307">
                  <c:v>7.3243017808919328E-2</c:v>
                </c:pt>
                <c:pt idx="308">
                  <c:v>7.59179928126366E-2</c:v>
                </c:pt>
                <c:pt idx="309">
                  <c:v>7.8479483485294696E-2</c:v>
                </c:pt>
                <c:pt idx="310">
                  <c:v>8.0895030831770853E-2</c:v>
                </c:pt>
                <c:pt idx="311">
                  <c:v>8.3164318407630985E-2</c:v>
                </c:pt>
                <c:pt idx="312">
                  <c:v>8.5287026738720892E-2</c:v>
                </c:pt>
                <c:pt idx="313">
                  <c:v>8.7262834678383305E-2</c:v>
                </c:pt>
                <c:pt idx="314">
                  <c:v>8.9091420763911688E-2</c:v>
                </c:pt>
                <c:pt idx="315">
                  <c:v>9.0772464574091008E-2</c:v>
                </c:pt>
                <c:pt idx="316">
                  <c:v>9.2305648085387673E-2</c:v>
                </c:pt>
                <c:pt idx="317">
                  <c:v>9.3668944407580612E-2</c:v>
                </c:pt>
                <c:pt idx="318">
                  <c:v>9.4947744382394991E-2</c:v>
                </c:pt>
                <c:pt idx="319">
                  <c:v>9.6141816896497437E-2</c:v>
                </c:pt>
                <c:pt idx="320">
                  <c:v>9.7250933235906903E-2</c:v>
                </c:pt>
                <c:pt idx="321">
                  <c:v>9.8274867857742795E-2</c:v>
                </c:pt>
                <c:pt idx="322">
                  <c:v>9.9213399162411106E-2</c:v>
                </c:pt>
                <c:pt idx="323">
                  <c:v>0.10008623008335642</c:v>
                </c:pt>
                <c:pt idx="324">
                  <c:v>0.10095592336705018</c:v>
                </c:pt>
                <c:pt idx="325">
                  <c:v>0.10182233326489397</c:v>
                </c:pt>
                <c:pt idx="326">
                  <c:v>0.10268467231045121</c:v>
                </c:pt>
                <c:pt idx="327">
                  <c:v>0.10354255818721181</c:v>
                </c:pt>
                <c:pt idx="328">
                  <c:v>0.10439613384951861</c:v>
                </c:pt>
                <c:pt idx="329">
                  <c:v>0.10524554950360653</c:v>
                </c:pt>
                <c:pt idx="330">
                  <c:v>0.10609096256845413</c:v>
                </c:pt>
                <c:pt idx="331">
                  <c:v>0.10693853015340841</c:v>
                </c:pt>
                <c:pt idx="332">
                  <c:v>0.10781022049330108</c:v>
                </c:pt>
                <c:pt idx="333">
                  <c:v>0.10870621888666311</c:v>
                </c:pt>
                <c:pt idx="334">
                  <c:v>0.1096267153120903</c:v>
                </c:pt>
                <c:pt idx="335">
                  <c:v>0.11057190496880338</c:v>
                </c:pt>
                <c:pt idx="336">
                  <c:v>0.11154198881578546</c:v>
                </c:pt>
                <c:pt idx="337">
                  <c:v>0.11250610835222012</c:v>
                </c:pt>
                <c:pt idx="338">
                  <c:v>0.11344451493545275</c:v>
                </c:pt>
                <c:pt idx="339">
                  <c:v>0.11435742661268257</c:v>
                </c:pt>
                <c:pt idx="340">
                  <c:v>0.11524506973131578</c:v>
                </c:pt>
                <c:pt idx="341">
                  <c:v>0.11610767841810904</c:v>
                </c:pt>
                <c:pt idx="342">
                  <c:v>0.11694549405824139</c:v>
                </c:pt>
                <c:pt idx="343">
                  <c:v>0.11775876477298049</c:v>
                </c:pt>
                <c:pt idx="344">
                  <c:v>0.11854774489916677</c:v>
                </c:pt>
                <c:pt idx="345">
                  <c:v>0.11931269446747102</c:v>
                </c:pt>
                <c:pt idx="346">
                  <c:v>0.12000965708483978</c:v>
                </c:pt>
                <c:pt idx="347">
                  <c:v>0.12063889379487959</c:v>
                </c:pt>
                <c:pt idx="348">
                  <c:v>0.1212006659142556</c:v>
                </c:pt>
                <c:pt idx="349">
                  <c:v>0.12169523359114726</c:v>
                </c:pt>
                <c:pt idx="350">
                  <c:v>0.12212285436653834</c:v>
                </c:pt>
                <c:pt idx="351">
                  <c:v>0.1224455375906482</c:v>
                </c:pt>
                <c:pt idx="352">
                  <c:v>0.12269460804250126</c:v>
                </c:pt>
                <c:pt idx="353">
                  <c:v>0.12287029996849587</c:v>
                </c:pt>
                <c:pt idx="354">
                  <c:v>0.12297283777059725</c:v>
                </c:pt>
                <c:pt idx="355">
                  <c:v>0.12300243441101939</c:v>
                </c:pt>
                <c:pt idx="356">
                  <c:v>0.12295937479510617</c:v>
                </c:pt>
                <c:pt idx="357">
                  <c:v>0.12284357025845037</c:v>
                </c:pt>
                <c:pt idx="358">
                  <c:v>0.12265462229954198</c:v>
                </c:pt>
                <c:pt idx="359">
                  <c:v>0.12239212101034679</c:v>
                </c:pt>
                <c:pt idx="360">
                  <c:v>0.12202448067574256</c:v>
                </c:pt>
                <c:pt idx="361">
                  <c:v>0.12158959005579571</c:v>
                </c:pt>
                <c:pt idx="362">
                  <c:v>0.12108702415169126</c:v>
                </c:pt>
                <c:pt idx="363">
                  <c:v>0.12051635542577362</c:v>
                </c:pt>
                <c:pt idx="364">
                  <c:v>0.11987715558230842</c:v>
                </c:pt>
                <c:pt idx="365">
                  <c:v>0.11916899734671965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0.20572830472163448</c:v>
                </c:pt>
                <c:pt idx="1">
                  <c:v>0.20513124447736186</c:v>
                </c:pt>
                <c:pt idx="2">
                  <c:v>0.20450684655097676</c:v>
                </c:pt>
                <c:pt idx="3">
                  <c:v>0.20385453814196997</c:v>
                </c:pt>
                <c:pt idx="4">
                  <c:v>0.20317375338551066</c:v>
                </c:pt>
                <c:pt idx="5">
                  <c:v>0.20246393406402896</c:v>
                </c:pt>
                <c:pt idx="6">
                  <c:v>0.20172453032138851</c:v>
                </c:pt>
                <c:pt idx="7">
                  <c:v>0.20095500137248754</c:v>
                </c:pt>
                <c:pt idx="8">
                  <c:v>0.20015481621571504</c:v>
                </c:pt>
                <c:pt idx="9">
                  <c:v>0.19931540057341465</c:v>
                </c:pt>
                <c:pt idx="10">
                  <c:v>0.19847759625155903</c:v>
                </c:pt>
                <c:pt idx="11">
                  <c:v>0.19764094776323626</c:v>
                </c:pt>
                <c:pt idx="12">
                  <c:v>0.19680500845219981</c:v>
                </c:pt>
                <c:pt idx="13">
                  <c:v>0.19596934035876543</c:v>
                </c:pt>
                <c:pt idx="14">
                  <c:v>0.19513351408235968</c:v>
                </c:pt>
                <c:pt idx="15">
                  <c:v>0.19421632441380518</c:v>
                </c:pt>
                <c:pt idx="16">
                  <c:v>0.19320391258003844</c:v>
                </c:pt>
                <c:pt idx="17">
                  <c:v>0.19209580840680704</c:v>
                </c:pt>
                <c:pt idx="18">
                  <c:v>0.19089157011878069</c:v>
                </c:pt>
                <c:pt idx="19">
                  <c:v>0.18959184411443486</c:v>
                </c:pt>
                <c:pt idx="20">
                  <c:v>0.1881977527633556</c:v>
                </c:pt>
                <c:pt idx="21">
                  <c:v>0.18670959594422218</c:v>
                </c:pt>
                <c:pt idx="22">
                  <c:v>0.18512767937844712</c:v>
                </c:pt>
                <c:pt idx="23">
                  <c:v>0.18338542702065361</c:v>
                </c:pt>
                <c:pt idx="24">
                  <c:v>0.18149122256859859</c:v>
                </c:pt>
                <c:pt idx="25">
                  <c:v>0.17944537657680057</c:v>
                </c:pt>
                <c:pt idx="26">
                  <c:v>0.17724820716681541</c:v>
                </c:pt>
                <c:pt idx="27">
                  <c:v>0.17490003817747976</c:v>
                </c:pt>
                <c:pt idx="28">
                  <c:v>0.1724011973190159</c:v>
                </c:pt>
                <c:pt idx="29">
                  <c:v>0.16971089372511003</c:v>
                </c:pt>
                <c:pt idx="30">
                  <c:v>0.16691037867857095</c:v>
                </c:pt>
                <c:pt idx="31">
                  <c:v>0.16399997767468136</c:v>
                </c:pt>
                <c:pt idx="32">
                  <c:v>0.16098000986536939</c:v>
                </c:pt>
                <c:pt idx="33">
                  <c:v>0.15785078670850916</c:v>
                </c:pt>
                <c:pt idx="34">
                  <c:v>0.154612610617964</c:v>
                </c:pt>
                <c:pt idx="35">
                  <c:v>0.15126577361345903</c:v>
                </c:pt>
                <c:pt idx="36">
                  <c:v>0.14781055597011636</c:v>
                </c:pt>
                <c:pt idx="37">
                  <c:v>0.14426481562199753</c:v>
                </c:pt>
                <c:pt idx="38">
                  <c:v>0.14069566329345792</c:v>
                </c:pt>
                <c:pt idx="39">
                  <c:v>0.13710331344983151</c:v>
                </c:pt>
                <c:pt idx="40">
                  <c:v>0.13348796301323809</c:v>
                </c:pt>
                <c:pt idx="41">
                  <c:v>0.1298497910693773</c:v>
                </c:pt>
                <c:pt idx="42">
                  <c:v>0.12618895857331772</c:v>
                </c:pt>
                <c:pt idx="43">
                  <c:v>0.12254061214662461</c:v>
                </c:pt>
                <c:pt idx="44">
                  <c:v>0.11894594403038061</c:v>
                </c:pt>
                <c:pt idx="45">
                  <c:v>0.11540504240395909</c:v>
                </c:pt>
                <c:pt idx="46">
                  <c:v>0.1119179793054122</c:v>
                </c:pt>
                <c:pt idx="47">
                  <c:v>0.10848481129036595</c:v>
                </c:pt>
                <c:pt idx="48">
                  <c:v>0.10510558008938947</c:v>
                </c:pt>
                <c:pt idx="49">
                  <c:v>0.10178031326640201</c:v>
                </c:pt>
                <c:pt idx="50">
                  <c:v>9.8509024876409654E-2</c:v>
                </c:pt>
                <c:pt idx="51">
                  <c:v>9.5361191847407725E-2</c:v>
                </c:pt>
                <c:pt idx="52">
                  <c:v>9.2318721068085183E-2</c:v>
                </c:pt>
                <c:pt idx="53">
                  <c:v>8.9381055565974768E-2</c:v>
                </c:pt>
                <c:pt idx="54">
                  <c:v>8.6548133069280928E-2</c:v>
                </c:pt>
                <c:pt idx="55">
                  <c:v>8.3819897375957339E-2</c:v>
                </c:pt>
                <c:pt idx="56">
                  <c:v>8.1196297967200487E-2</c:v>
                </c:pt>
                <c:pt idx="57">
                  <c:v>7.8793138427380463E-2</c:v>
                </c:pt>
                <c:pt idx="58">
                  <c:v>7.6575391281469118E-2</c:v>
                </c:pt>
                <c:pt idx="59">
                  <c:v>7.4543022630900069E-2</c:v>
                </c:pt>
                <c:pt idx="60">
                  <c:v>7.2696002859727687E-2</c:v>
                </c:pt>
                <c:pt idx="61">
                  <c:v>7.1034305949024421E-2</c:v>
                </c:pt>
                <c:pt idx="62">
                  <c:v>6.95579087911707E-2</c:v>
                </c:pt>
                <c:pt idx="63">
                  <c:v>6.8266790504359673E-2</c:v>
                </c:pt>
                <c:pt idx="64">
                  <c:v>6.7160931746819516E-2</c:v>
                </c:pt>
                <c:pt idx="65">
                  <c:v>6.6273803798574935E-2</c:v>
                </c:pt>
                <c:pt idx="66">
                  <c:v>6.5535909940538831E-2</c:v>
                </c:pt>
                <c:pt idx="67">
                  <c:v>6.494723101482365E-2</c:v>
                </c:pt>
                <c:pt idx="68">
                  <c:v>6.4507747109833549E-2</c:v>
                </c:pt>
                <c:pt idx="69">
                  <c:v>6.4217437007565367E-2</c:v>
                </c:pt>
                <c:pt idx="70">
                  <c:v>6.4076277631215914E-2</c:v>
                </c:pt>
                <c:pt idx="71">
                  <c:v>6.4049923842968384E-2</c:v>
                </c:pt>
                <c:pt idx="72">
                  <c:v>6.4022497680938359E-2</c:v>
                </c:pt>
                <c:pt idx="73">
                  <c:v>6.3993975806176828E-2</c:v>
                </c:pt>
                <c:pt idx="74">
                  <c:v>6.3964334940269416E-2</c:v>
                </c:pt>
                <c:pt idx="75">
                  <c:v>6.393355186850494E-2</c:v>
                </c:pt>
                <c:pt idx="76">
                  <c:v>6.3901603442844998E-2</c:v>
                </c:pt>
                <c:pt idx="77">
                  <c:v>6.3868466585101341E-2</c:v>
                </c:pt>
                <c:pt idx="78">
                  <c:v>6.383412040925833E-2</c:v>
                </c:pt>
                <c:pt idx="79">
                  <c:v>6.3773323992132022E-2</c:v>
                </c:pt>
                <c:pt idx="80">
                  <c:v>6.3652752531543941E-2</c:v>
                </c:pt>
                <c:pt idx="81">
                  <c:v>6.3472394138484198E-2</c:v>
                </c:pt>
                <c:pt idx="82">
                  <c:v>6.3232237247325296E-2</c:v>
                </c:pt>
                <c:pt idx="83">
                  <c:v>6.2932270807265434E-2</c:v>
                </c:pt>
                <c:pt idx="84">
                  <c:v>6.257248447398249E-2</c:v>
                </c:pt>
                <c:pt idx="85">
                  <c:v>6.2130391162350508E-2</c:v>
                </c:pt>
                <c:pt idx="86">
                  <c:v>6.1640285446348891E-2</c:v>
                </c:pt>
                <c:pt idx="87">
                  <c:v>6.1102158405728642E-2</c:v>
                </c:pt>
                <c:pt idx="88">
                  <c:v>6.0516002435663512E-2</c:v>
                </c:pt>
                <c:pt idx="89">
                  <c:v>5.9881811400391095E-2</c:v>
                </c:pt>
                <c:pt idx="90">
                  <c:v>5.9199580786728871E-2</c:v>
                </c:pt>
                <c:pt idx="91">
                  <c:v>5.8469307857819362E-2</c:v>
                </c:pt>
                <c:pt idx="92">
                  <c:v>5.7690991806711937E-2</c:v>
                </c:pt>
                <c:pt idx="93">
                  <c:v>5.6843089944296682E-2</c:v>
                </c:pt>
                <c:pt idx="94">
                  <c:v>5.5951056971750034E-2</c:v>
                </c:pt>
                <c:pt idx="95">
                  <c:v>5.5014898096969855E-2</c:v>
                </c:pt>
                <c:pt idx="96">
                  <c:v>5.403462097819519E-2</c:v>
                </c:pt>
                <c:pt idx="97">
                  <c:v>5.3010235865417192E-2</c:v>
                </c:pt>
                <c:pt idx="98">
                  <c:v>5.1941755741294039E-2</c:v>
                </c:pt>
                <c:pt idx="99">
                  <c:v>5.0813645924478679E-2</c:v>
                </c:pt>
                <c:pt idx="100">
                  <c:v>4.9648381388744139E-2</c:v>
                </c:pt>
                <c:pt idx="101">
                  <c:v>4.8445981945712903E-2</c:v>
                </c:pt>
                <c:pt idx="102">
                  <c:v>4.7206470429663118E-2</c:v>
                </c:pt>
                <c:pt idx="103">
                  <c:v>4.5929872815998363E-2</c:v>
                </c:pt>
                <c:pt idx="104">
                  <c:v>4.4616218340837337E-2</c:v>
                </c:pt>
                <c:pt idx="105">
                  <c:v>4.3265539619564586E-2</c:v>
                </c:pt>
                <c:pt idx="106">
                  <c:v>4.1877872765949183E-2</c:v>
                </c:pt>
                <c:pt idx="107">
                  <c:v>4.0448395542929012E-2</c:v>
                </c:pt>
                <c:pt idx="108">
                  <c:v>3.8998657529861099E-2</c:v>
                </c:pt>
                <c:pt idx="109">
                  <c:v>3.7528696778718514E-2</c:v>
                </c:pt>
                <c:pt idx="110">
                  <c:v>3.603865699362211E-2</c:v>
                </c:pt>
                <c:pt idx="111">
                  <c:v>3.4528670200658834E-2</c:v>
                </c:pt>
                <c:pt idx="112">
                  <c:v>3.2998760559504618E-2</c:v>
                </c:pt>
                <c:pt idx="113">
                  <c:v>3.1473927620748701E-2</c:v>
                </c:pt>
                <c:pt idx="114">
                  <c:v>2.9969694680756137E-2</c:v>
                </c:pt>
                <c:pt idx="115">
                  <c:v>2.848606466725365E-2</c:v>
                </c:pt>
                <c:pt idx="116">
                  <c:v>2.7023041189997345E-2</c:v>
                </c:pt>
                <c:pt idx="117">
                  <c:v>2.5580628497009639E-2</c:v>
                </c:pt>
                <c:pt idx="118">
                  <c:v>2.4158831430507569E-2</c:v>
                </c:pt>
                <c:pt idx="119">
                  <c:v>2.2757655382920624E-2</c:v>
                </c:pt>
                <c:pt idx="120">
                  <c:v>2.1377106252873836E-2</c:v>
                </c:pt>
                <c:pt idx="121">
                  <c:v>2.0051832246413596E-2</c:v>
                </c:pt>
                <c:pt idx="122">
                  <c:v>1.8786658902805609E-2</c:v>
                </c:pt>
                <c:pt idx="123">
                  <c:v>1.758156087436968E-2</c:v>
                </c:pt>
                <c:pt idx="124">
                  <c:v>1.6436511428887735E-2</c:v>
                </c:pt>
                <c:pt idx="125">
                  <c:v>1.5351482319268903E-2</c:v>
                </c:pt>
                <c:pt idx="126">
                  <c:v>1.4326443652959887E-2</c:v>
                </c:pt>
                <c:pt idx="127">
                  <c:v>1.3381329671908221E-2</c:v>
                </c:pt>
                <c:pt idx="128">
                  <c:v>1.2491210931541085E-2</c:v>
                </c:pt>
                <c:pt idx="129">
                  <c:v>1.1656055973092008E-2</c:v>
                </c:pt>
                <c:pt idx="130">
                  <c:v>1.0875831402040972E-2</c:v>
                </c:pt>
                <c:pt idx="131">
                  <c:v>1.0150501768283197E-2</c:v>
                </c:pt>
                <c:pt idx="132">
                  <c:v>9.4800294464383456E-3</c:v>
                </c:pt>
                <c:pt idx="133">
                  <c:v>8.8643745162163435E-3</c:v>
                </c:pt>
                <c:pt idx="134">
                  <c:v>8.3034946427194747E-3</c:v>
                </c:pt>
                <c:pt idx="135">
                  <c:v>7.8058598666544713E-3</c:v>
                </c:pt>
                <c:pt idx="136">
                  <c:v>7.3369354785095299E-3</c:v>
                </c:pt>
                <c:pt idx="137">
                  <c:v>6.8967012757660782E-3</c:v>
                </c:pt>
                <c:pt idx="138">
                  <c:v>6.4851357478659518E-3</c:v>
                </c:pt>
                <c:pt idx="139">
                  <c:v>6.1022160138339667E-3</c:v>
                </c:pt>
                <c:pt idx="140">
                  <c:v>5.7479177595212401E-3</c:v>
                </c:pt>
                <c:pt idx="141">
                  <c:v>5.4314700369067622E-3</c:v>
                </c:pt>
                <c:pt idx="142">
                  <c:v>5.1329500184789743E-3</c:v>
                </c:pt>
                <c:pt idx="143">
                  <c:v>4.8523258225879303E-3</c:v>
                </c:pt>
                <c:pt idx="144">
                  <c:v>4.5895963638846607E-3</c:v>
                </c:pt>
                <c:pt idx="145">
                  <c:v>4.3447569822278658E-3</c:v>
                </c:pt>
                <c:pt idx="146">
                  <c:v>4.1177996809987445E-3</c:v>
                </c:pt>
                <c:pt idx="147">
                  <c:v>3.9087133655709462E-3</c:v>
                </c:pt>
                <c:pt idx="148">
                  <c:v>3.7174840816690739E-3</c:v>
                </c:pt>
                <c:pt idx="149">
                  <c:v>3.5514303523392788E-3</c:v>
                </c:pt>
                <c:pt idx="150">
                  <c:v>3.4020660557667858E-3</c:v>
                </c:pt>
                <c:pt idx="151">
                  <c:v>3.2693718630417909E-3</c:v>
                </c:pt>
                <c:pt idx="152">
                  <c:v>3.1533266412167109E-3</c:v>
                </c:pt>
                <c:pt idx="153">
                  <c:v>3.0539076765237674E-3</c:v>
                </c:pt>
                <c:pt idx="154">
                  <c:v>2.9710908976114223E-3</c:v>
                </c:pt>
                <c:pt idx="155">
                  <c:v>2.9056957551248657E-3</c:v>
                </c:pt>
                <c:pt idx="156">
                  <c:v>2.8485171065388061E-3</c:v>
                </c:pt>
                <c:pt idx="157">
                  <c:v>2.7995439727839613E-3</c:v>
                </c:pt>
                <c:pt idx="158">
                  <c:v>2.7587649734050882E-3</c:v>
                </c:pt>
                <c:pt idx="159">
                  <c:v>2.726168436905724E-3</c:v>
                </c:pt>
                <c:pt idx="160">
                  <c:v>2.7017425111272842E-3</c:v>
                </c:pt>
                <c:pt idx="161">
                  <c:v>2.6854752735966619E-3</c:v>
                </c:pt>
                <c:pt idx="162">
                  <c:v>2.6773548418888853E-3</c:v>
                </c:pt>
                <c:pt idx="163">
                  <c:v>2.6769212605332882E-3</c:v>
                </c:pt>
                <c:pt idx="164">
                  <c:v>2.6768967833404717E-3</c:v>
                </c:pt>
                <c:pt idx="165">
                  <c:v>2.6772843666610126E-3</c:v>
                </c:pt>
                <c:pt idx="166">
                  <c:v>2.6780869964068191E-3</c:v>
                </c:pt>
                <c:pt idx="167">
                  <c:v>2.6793076933439817E-3</c:v>
                </c:pt>
                <c:pt idx="168">
                  <c:v>2.680949518471152E-3</c:v>
                </c:pt>
                <c:pt idx="169">
                  <c:v>2.6825689426040506E-3</c:v>
                </c:pt>
                <c:pt idx="170">
                  <c:v>2.683332890505831E-3</c:v>
                </c:pt>
                <c:pt idx="171">
                  <c:v>2.6832465978802872E-3</c:v>
                </c:pt>
                <c:pt idx="172">
                  <c:v>2.682315221408891E-3</c:v>
                </c:pt>
                <c:pt idx="173">
                  <c:v>2.6805164152582674E-3</c:v>
                </c:pt>
                <c:pt idx="174">
                  <c:v>2.6778263875955177E-3</c:v>
                </c:pt>
                <c:pt idx="175">
                  <c:v>2.6742480582041864E-3</c:v>
                </c:pt>
                <c:pt idx="176">
                  <c:v>2.669784341019514E-3</c:v>
                </c:pt>
                <c:pt idx="177">
                  <c:v>2.6652721247977652E-3</c:v>
                </c:pt>
                <c:pt idx="178">
                  <c:v>2.6611576210746404E-3</c:v>
                </c:pt>
                <c:pt idx="179">
                  <c:v>2.6574417889078509E-3</c:v>
                </c:pt>
                <c:pt idx="180">
                  <c:v>2.6541255875172452E-3</c:v>
                </c:pt>
                <c:pt idx="181">
                  <c:v>2.6512099785546347E-3</c:v>
                </c:pt>
                <c:pt idx="182">
                  <c:v>2.6486959283968619E-3</c:v>
                </c:pt>
                <c:pt idx="183">
                  <c:v>2.6537791564044625E-3</c:v>
                </c:pt>
                <c:pt idx="184">
                  <c:v>2.6668936073330888E-3</c:v>
                </c:pt>
                <c:pt idx="185">
                  <c:v>2.6880296025559984E-3</c:v>
                </c:pt>
                <c:pt idx="186">
                  <c:v>2.7171778056490938E-3</c:v>
                </c:pt>
                <c:pt idx="187">
                  <c:v>2.7543292696591728E-3</c:v>
                </c:pt>
                <c:pt idx="188">
                  <c:v>2.7994754843888212E-3</c:v>
                </c:pt>
                <c:pt idx="189">
                  <c:v>2.852608423597287E-3</c:v>
                </c:pt>
                <c:pt idx="190">
                  <c:v>2.9137205923192373E-3</c:v>
                </c:pt>
                <c:pt idx="191">
                  <c:v>2.9918127946256079E-3</c:v>
                </c:pt>
                <c:pt idx="192">
                  <c:v>3.0860394023077679E-3</c:v>
                </c:pt>
                <c:pt idx="193">
                  <c:v>3.1963852242212535E-3</c:v>
                </c:pt>
                <c:pt idx="194">
                  <c:v>3.3228363774213047E-3</c:v>
                </c:pt>
                <c:pt idx="195">
                  <c:v>3.4653803828224184E-3</c:v>
                </c:pt>
                <c:pt idx="196">
                  <c:v>3.6240062607367056E-3</c:v>
                </c:pt>
                <c:pt idx="197">
                  <c:v>3.8069529673071573E-3</c:v>
                </c:pt>
                <c:pt idx="198">
                  <c:v>4.007054615868799E-3</c:v>
                </c:pt>
                <c:pt idx="199">
                  <c:v>4.2243045900330518E-3</c:v>
                </c:pt>
                <c:pt idx="200">
                  <c:v>4.4586982742398345E-3</c:v>
                </c:pt>
                <c:pt idx="201">
                  <c:v>4.7102331558026341E-3</c:v>
                </c:pt>
                <c:pt idx="202">
                  <c:v>4.9789089269689146E-3</c:v>
                </c:pt>
                <c:pt idx="203">
                  <c:v>5.264727587090891E-3</c:v>
                </c:pt>
                <c:pt idx="204">
                  <c:v>5.5676845537520397E-3</c:v>
                </c:pt>
                <c:pt idx="205">
                  <c:v>5.9070168539420579E-3</c:v>
                </c:pt>
                <c:pt idx="206">
                  <c:v>6.2737473562256068E-3</c:v>
                </c:pt>
                <c:pt idx="207">
                  <c:v>6.6678715389531769E-3</c:v>
                </c:pt>
                <c:pt idx="208">
                  <c:v>7.089386661339965E-3</c:v>
                </c:pt>
                <c:pt idx="209">
                  <c:v>7.5382916781637811E-3</c:v>
                </c:pt>
                <c:pt idx="210">
                  <c:v>8.0145871546974962E-3</c:v>
                </c:pt>
                <c:pt idx="211">
                  <c:v>8.5515729593275674E-3</c:v>
                </c:pt>
                <c:pt idx="212">
                  <c:v>9.1410193625760319E-3</c:v>
                </c:pt>
                <c:pt idx="213">
                  <c:v>9.782922796403833E-3</c:v>
                </c:pt>
                <c:pt idx="214">
                  <c:v>1.0477282654013908E-2</c:v>
                </c:pt>
                <c:pt idx="215">
                  <c:v>1.1224101126790795E-2</c:v>
                </c:pt>
                <c:pt idx="216">
                  <c:v>1.2023383041209416E-2</c:v>
                </c:pt>
                <c:pt idx="217">
                  <c:v>1.2875135695791086E-2</c:v>
                </c:pt>
                <c:pt idx="218">
                  <c:v>1.377936869800047E-2</c:v>
                </c:pt>
                <c:pt idx="219">
                  <c:v>1.4760034286113053E-2</c:v>
                </c:pt>
                <c:pt idx="220">
                  <c:v>1.5797935359758555E-2</c:v>
                </c:pt>
                <c:pt idx="221">
                  <c:v>1.6893087512519202E-2</c:v>
                </c:pt>
                <c:pt idx="222">
                  <c:v>1.8045508221362843E-2</c:v>
                </c:pt>
                <c:pt idx="223">
                  <c:v>1.9255216669126555E-2</c:v>
                </c:pt>
                <c:pt idx="224">
                  <c:v>2.0522233566624675E-2</c:v>
                </c:pt>
                <c:pt idx="225">
                  <c:v>2.1841926482692925E-2</c:v>
                </c:pt>
                <c:pt idx="226">
                  <c:v>2.3181054129574139E-2</c:v>
                </c:pt>
                <c:pt idx="227">
                  <c:v>2.4539640068970674E-2</c:v>
                </c:pt>
                <c:pt idx="228">
                  <c:v>2.5917707052149252E-2</c:v>
                </c:pt>
                <c:pt idx="229">
                  <c:v>2.7315276959736082E-2</c:v>
                </c:pt>
                <c:pt idx="230">
                  <c:v>2.8732370741873643E-2</c:v>
                </c:pt>
                <c:pt idx="231">
                  <c:v>3.0169008358516342E-2</c:v>
                </c:pt>
                <c:pt idx="232">
                  <c:v>3.1625208719116095E-2</c:v>
                </c:pt>
                <c:pt idx="233">
                  <c:v>3.3086116974950369E-2</c:v>
                </c:pt>
                <c:pt idx="234">
                  <c:v>3.4527806368187398E-2</c:v>
                </c:pt>
                <c:pt idx="235">
                  <c:v>3.5950314839084709E-2</c:v>
                </c:pt>
                <c:pt idx="236">
                  <c:v>3.7353694619683221E-2</c:v>
                </c:pt>
                <c:pt idx="237">
                  <c:v>3.8737976833564426E-2</c:v>
                </c:pt>
                <c:pt idx="238">
                  <c:v>4.0103192788854637E-2</c:v>
                </c:pt>
                <c:pt idx="239">
                  <c:v>4.1428772831254242E-2</c:v>
                </c:pt>
                <c:pt idx="240">
                  <c:v>4.2719400533160777E-2</c:v>
                </c:pt>
                <c:pt idx="241">
                  <c:v>4.3975102454444949E-2</c:v>
                </c:pt>
                <c:pt idx="242">
                  <c:v>4.5195904451854375E-2</c:v>
                </c:pt>
                <c:pt idx="243">
                  <c:v>4.638183161679265E-2</c:v>
                </c:pt>
                <c:pt idx="244">
                  <c:v>4.7532908212886998E-2</c:v>
                </c:pt>
                <c:pt idx="245">
                  <c:v>4.8649157613064369E-2</c:v>
                </c:pt>
                <c:pt idx="246">
                  <c:v>4.9730602236503947E-2</c:v>
                </c:pt>
                <c:pt idx="247">
                  <c:v>5.0755760541958461E-2</c:v>
                </c:pt>
                <c:pt idx="248">
                  <c:v>5.1739537546157226E-2</c:v>
                </c:pt>
                <c:pt idx="249">
                  <c:v>5.2681948623389541E-2</c:v>
                </c:pt>
                <c:pt idx="250">
                  <c:v>5.3583007567824525E-2</c:v>
                </c:pt>
                <c:pt idx="251">
                  <c:v>5.4442726520635108E-2</c:v>
                </c:pt>
                <c:pt idx="252">
                  <c:v>5.5261115894899043E-2</c:v>
                </c:pt>
                <c:pt idx="253">
                  <c:v>5.6013801385084515E-2</c:v>
                </c:pt>
                <c:pt idx="254">
                  <c:v>5.6721420974925989E-2</c:v>
                </c:pt>
                <c:pt idx="255">
                  <c:v>5.7383976249724446E-2</c:v>
                </c:pt>
                <c:pt idx="256">
                  <c:v>5.8001466525292762E-2</c:v>
                </c:pt>
                <c:pt idx="257">
                  <c:v>5.857388876661155E-2</c:v>
                </c:pt>
                <c:pt idx="258">
                  <c:v>5.9101237507025117E-2</c:v>
                </c:pt>
                <c:pt idx="259">
                  <c:v>5.9583504768265787E-2</c:v>
                </c:pt>
                <c:pt idx="260">
                  <c:v>6.0020679978685716E-2</c:v>
                </c:pt>
                <c:pt idx="261">
                  <c:v>6.0379836579071776E-2</c:v>
                </c:pt>
                <c:pt idx="262">
                  <c:v>6.0682504059866277E-2</c:v>
                </c:pt>
                <c:pt idx="263">
                  <c:v>6.0928652067023976E-2</c:v>
                </c:pt>
                <c:pt idx="264">
                  <c:v>6.1118249456733907E-2</c:v>
                </c:pt>
                <c:pt idx="265">
                  <c:v>6.1251589502318904E-2</c:v>
                </c:pt>
                <c:pt idx="266">
                  <c:v>6.1328801872348654E-2</c:v>
                </c:pt>
                <c:pt idx="267">
                  <c:v>6.1381941779230509E-2</c:v>
                </c:pt>
                <c:pt idx="268">
                  <c:v>6.1435403900822132E-2</c:v>
                </c:pt>
                <c:pt idx="269">
                  <c:v>6.1489121191912827E-2</c:v>
                </c:pt>
                <c:pt idx="270">
                  <c:v>6.1543026399755264E-2</c:v>
                </c:pt>
                <c:pt idx="271">
                  <c:v>6.1597052071578708E-2</c:v>
                </c:pt>
                <c:pt idx="272">
                  <c:v>6.1651130563799748E-2</c:v>
                </c:pt>
                <c:pt idx="273">
                  <c:v>6.1705194050455547E-2</c:v>
                </c:pt>
                <c:pt idx="274">
                  <c:v>6.1759174532444054E-2</c:v>
                </c:pt>
                <c:pt idx="275">
                  <c:v>6.1924722128802297E-2</c:v>
                </c:pt>
                <c:pt idx="276">
                  <c:v>6.2235044674095651E-2</c:v>
                </c:pt>
                <c:pt idx="277">
                  <c:v>6.269029361483601E-2</c:v>
                </c:pt>
                <c:pt idx="278">
                  <c:v>6.3290625709719522E-2</c:v>
                </c:pt>
                <c:pt idx="279">
                  <c:v>6.403620144835577E-2</c:v>
                </c:pt>
                <c:pt idx="280">
                  <c:v>6.4927183470593591E-2</c:v>
                </c:pt>
                <c:pt idx="281">
                  <c:v>6.6030937232584672E-2</c:v>
                </c:pt>
                <c:pt idx="282">
                  <c:v>6.7315320631010381E-2</c:v>
                </c:pt>
                <c:pt idx="283">
                  <c:v>6.8780548160379332E-2</c:v>
                </c:pt>
                <c:pt idx="284">
                  <c:v>7.0426829898837459E-2</c:v>
                </c:pt>
                <c:pt idx="285">
                  <c:v>7.2254369545884503E-2</c:v>
                </c:pt>
                <c:pt idx="286">
                  <c:v>7.4263362460762136E-2</c:v>
                </c:pt>
                <c:pt idx="287">
                  <c:v>7.645399370015904E-2</c:v>
                </c:pt>
                <c:pt idx="288">
                  <c:v>7.8826436056175272E-2</c:v>
                </c:pt>
                <c:pt idx="289">
                  <c:v>8.1414832765682912E-2</c:v>
                </c:pt>
                <c:pt idx="290">
                  <c:v>8.4106796875869305E-2</c:v>
                </c:pt>
                <c:pt idx="291">
                  <c:v>8.6902335855071525E-2</c:v>
                </c:pt>
                <c:pt idx="292">
                  <c:v>8.9801440902558108E-2</c:v>
                </c:pt>
                <c:pt idx="293">
                  <c:v>9.2804085842852935E-2</c:v>
                </c:pt>
                <c:pt idx="294">
                  <c:v>9.5910226019751063E-2</c:v>
                </c:pt>
                <c:pt idx="295">
                  <c:v>9.9136925767468798E-2</c:v>
                </c:pt>
                <c:pt idx="296">
                  <c:v>0.10241765968925294</c:v>
                </c:pt>
                <c:pt idx="297">
                  <c:v>0.10575326763492267</c:v>
                </c:pt>
                <c:pt idx="298">
                  <c:v>0.10914378579523293</c:v>
                </c:pt>
                <c:pt idx="299">
                  <c:v>0.11258923991568877</c:v>
                </c:pt>
                <c:pt idx="300">
                  <c:v>0.11608964482357394</c:v>
                </c:pt>
                <c:pt idx="301">
                  <c:v>0.11964500395465349</c:v>
                </c:pt>
                <c:pt idx="302">
                  <c:v>0.12325530888012641</c:v>
                </c:pt>
                <c:pt idx="303">
                  <c:v>0.12688039115224778</c:v>
                </c:pt>
                <c:pt idx="304">
                  <c:v>0.13048593397603664</c:v>
                </c:pt>
                <c:pt idx="305">
                  <c:v>0.13407178437590636</c:v>
                </c:pt>
                <c:pt idx="306">
                  <c:v>0.13763777645473055</c:v>
                </c:pt>
                <c:pt idx="307">
                  <c:v>0.1411837316055593</c:v>
                </c:pt>
                <c:pt idx="308">
                  <c:v>0.14470945872216004</c:v>
                </c:pt>
                <c:pt idx="309">
                  <c:v>0.14814925330595477</c:v>
                </c:pt>
                <c:pt idx="310">
                  <c:v>0.15148557093854509</c:v>
                </c:pt>
                <c:pt idx="311">
                  <c:v>0.15471807338321913</c:v>
                </c:pt>
                <c:pt idx="312">
                  <c:v>0.15784641448807232</c:v>
                </c:pt>
                <c:pt idx="313">
                  <c:v>0.16087024115763957</c:v>
                </c:pt>
                <c:pt idx="314">
                  <c:v>0.16378919432310701</c:v>
                </c:pt>
                <c:pt idx="315">
                  <c:v>0.16660290991453153</c:v>
                </c:pt>
                <c:pt idx="316">
                  <c:v>0.16931101983057026</c:v>
                </c:pt>
                <c:pt idx="317">
                  <c:v>0.17183365083699628</c:v>
                </c:pt>
                <c:pt idx="318">
                  <c:v>0.17421075391892574</c:v>
                </c:pt>
                <c:pt idx="319">
                  <c:v>0.17644191470155005</c:v>
                </c:pt>
                <c:pt idx="320">
                  <c:v>0.17852672231832187</c:v>
                </c:pt>
                <c:pt idx="321">
                  <c:v>0.1804647707401722</c:v>
                </c:pt>
                <c:pt idx="322">
                  <c:v>0.18225566010553154</c:v>
                </c:pt>
                <c:pt idx="323">
                  <c:v>0.18389103750251823</c:v>
                </c:pt>
                <c:pt idx="324">
                  <c:v>0.18543639394794528</c:v>
                </c:pt>
                <c:pt idx="325">
                  <c:v>0.18689139215552297</c:v>
                </c:pt>
                <c:pt idx="326">
                  <c:v>0.18825452828818801</c:v>
                </c:pt>
                <c:pt idx="327">
                  <c:v>0.18952505829282573</c:v>
                </c:pt>
                <c:pt idx="328">
                  <c:v>0.19070321549806799</c:v>
                </c:pt>
                <c:pt idx="329">
                  <c:v>0.19178925735889371</c:v>
                </c:pt>
                <c:pt idx="330">
                  <c:v>0.19278346362940479</c:v>
                </c:pt>
                <c:pt idx="331">
                  <c:v>0.19369934220628826</c:v>
                </c:pt>
                <c:pt idx="332">
                  <c:v>0.19461701861730832</c:v>
                </c:pt>
                <c:pt idx="333">
                  <c:v>0.19553685055800288</c:v>
                </c:pt>
                <c:pt idx="334">
                  <c:v>0.19645920269858555</c:v>
                </c:pt>
                <c:pt idx="335">
                  <c:v>0.19738444679443812</c:v>
                </c:pt>
                <c:pt idx="336">
                  <c:v>0.19831296179404026</c:v>
                </c:pt>
                <c:pt idx="337">
                  <c:v>0.19920418756931343</c:v>
                </c:pt>
                <c:pt idx="338">
                  <c:v>0.20006649081788738</c:v>
                </c:pt>
                <c:pt idx="339">
                  <c:v>0.20090027076727865</c:v>
                </c:pt>
                <c:pt idx="340">
                  <c:v>0.20170593434656214</c:v>
                </c:pt>
                <c:pt idx="341">
                  <c:v>0.2024838956104906</c:v>
                </c:pt>
                <c:pt idx="342">
                  <c:v>0.20323457516347163</c:v>
                </c:pt>
                <c:pt idx="343">
                  <c:v>0.20395839958109632</c:v>
                </c:pt>
                <c:pt idx="344">
                  <c:v>0.20465580083484436</c:v>
                </c:pt>
                <c:pt idx="345">
                  <c:v>0.20532721571465049</c:v>
                </c:pt>
                <c:pt idx="346">
                  <c:v>0.20593208324505785</c:v>
                </c:pt>
                <c:pt idx="347">
                  <c:v>0.20647083995376272</c:v>
                </c:pt>
                <c:pt idx="348">
                  <c:v>0.20694392188140701</c:v>
                </c:pt>
                <c:pt idx="349">
                  <c:v>0.20735176315087264</c:v>
                </c:pt>
                <c:pt idx="350">
                  <c:v>0.20769479454141862</c:v>
                </c:pt>
                <c:pt idx="351">
                  <c:v>0.20794564265869217</c:v>
                </c:pt>
                <c:pt idx="352">
                  <c:v>0.20814569904289096</c:v>
                </c:pt>
                <c:pt idx="353">
                  <c:v>0.20829538108436216</c:v>
                </c:pt>
                <c:pt idx="354">
                  <c:v>0.20839509902038719</c:v>
                </c:pt>
                <c:pt idx="355">
                  <c:v>0.20844525476960188</c:v>
                </c:pt>
                <c:pt idx="356">
                  <c:v>0.20844638482536848</c:v>
                </c:pt>
                <c:pt idx="357">
                  <c:v>0.20839840651768859</c:v>
                </c:pt>
                <c:pt idx="358">
                  <c:v>0.20830072504892494</c:v>
                </c:pt>
                <c:pt idx="359">
                  <c:v>0.20815273732823558</c:v>
                </c:pt>
                <c:pt idx="360">
                  <c:v>0.20791275441970472</c:v>
                </c:pt>
                <c:pt idx="361">
                  <c:v>0.20760798990906626</c:v>
                </c:pt>
                <c:pt idx="362">
                  <c:v>0.20723780530191158</c:v>
                </c:pt>
                <c:pt idx="363">
                  <c:v>0.20680155864778779</c:v>
                </c:pt>
                <c:pt idx="364">
                  <c:v>0.20629860630813293</c:v>
                </c:pt>
                <c:pt idx="365">
                  <c:v>0.20572830472163448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0.33220571554611583</c:v>
                </c:pt>
                <c:pt idx="1">
                  <c:v>0.33063726018727219</c:v>
                </c:pt>
                <c:pt idx="2">
                  <c:v>0.32884760576026023</c:v>
                </c:pt>
                <c:pt idx="3">
                  <c:v>0.32683556642863038</c:v>
                </c:pt>
                <c:pt idx="4">
                  <c:v>0.32459997277068237</c:v>
                </c:pt>
                <c:pt idx="5">
                  <c:v>0.3221396774306815</c:v>
                </c:pt>
                <c:pt idx="6">
                  <c:v>0.31945356077419612</c:v>
                </c:pt>
                <c:pt idx="7">
                  <c:v>0.3165405365361364</c:v>
                </c:pt>
                <c:pt idx="8">
                  <c:v>0.31339955747338016</c:v>
                </c:pt>
                <c:pt idx="9">
                  <c:v>0.31016427326082291</c:v>
                </c:pt>
                <c:pt idx="10">
                  <c:v>0.3069836270859157</c:v>
                </c:pt>
                <c:pt idx="11">
                  <c:v>0.30385707012770996</c:v>
                </c:pt>
                <c:pt idx="12">
                  <c:v>0.30078408065923551</c:v>
                </c:pt>
                <c:pt idx="13">
                  <c:v>0.29776416247071452</c:v>
                </c:pt>
                <c:pt idx="14">
                  <c:v>0.29479684328769878</c:v>
                </c:pt>
                <c:pt idx="15">
                  <c:v>0.29194576138392664</c:v>
                </c:pt>
                <c:pt idx="16">
                  <c:v>0.28928335256175108</c:v>
                </c:pt>
                <c:pt idx="17">
                  <c:v>0.28680930748378924</c:v>
                </c:pt>
                <c:pt idx="18">
                  <c:v>0.28452330535568165</c:v>
                </c:pt>
                <c:pt idx="19">
                  <c:v>0.28242658421814187</c:v>
                </c:pt>
                <c:pt idx="20">
                  <c:v>0.28052102481788732</c:v>
                </c:pt>
                <c:pt idx="21">
                  <c:v>0.2788072281776009</c:v>
                </c:pt>
                <c:pt idx="22">
                  <c:v>0.27728575649614706</c:v>
                </c:pt>
                <c:pt idx="23">
                  <c:v>0.27583422579538869</c:v>
                </c:pt>
                <c:pt idx="24">
                  <c:v>0.27431792695949681</c:v>
                </c:pt>
                <c:pt idx="25">
                  <c:v>0.27273728420770393</c:v>
                </c:pt>
                <c:pt idx="26">
                  <c:v>0.27109272087065578</c:v>
                </c:pt>
                <c:pt idx="27">
                  <c:v>0.26938465865335104</c:v>
                </c:pt>
                <c:pt idx="28">
                  <c:v>0.26761351690395724</c:v>
                </c:pt>
                <c:pt idx="29">
                  <c:v>0.2656276327952895</c:v>
                </c:pt>
                <c:pt idx="30">
                  <c:v>0.26336323471151235</c:v>
                </c:pt>
                <c:pt idx="31">
                  <c:v>0.26082075915162772</c:v>
                </c:pt>
                <c:pt idx="32">
                  <c:v>0.25800065077622208</c:v>
                </c:pt>
                <c:pt idx="33">
                  <c:v>0.25490335896895505</c:v>
                </c:pt>
                <c:pt idx="34">
                  <c:v>0.25152933439923425</c:v>
                </c:pt>
                <c:pt idx="35">
                  <c:v>0.24787902558464037</c:v>
                </c:pt>
                <c:pt idx="36">
                  <c:v>0.243952875452813</c:v>
                </c:pt>
                <c:pt idx="37">
                  <c:v>0.23978254974614979</c:v>
                </c:pt>
                <c:pt idx="38">
                  <c:v>0.23549132764373984</c:v>
                </c:pt>
                <c:pt idx="39">
                  <c:v>0.23107957367465992</c:v>
                </c:pt>
                <c:pt idx="40">
                  <c:v>0.22654763229730024</c:v>
                </c:pt>
                <c:pt idx="41">
                  <c:v>0.22189582639021757</c:v>
                </c:pt>
                <c:pt idx="42">
                  <c:v>0.21712445574131914</c:v>
                </c:pt>
                <c:pt idx="43">
                  <c:v>0.21229030791365122</c:v>
                </c:pt>
                <c:pt idx="44">
                  <c:v>0.20754553575223453</c:v>
                </c:pt>
                <c:pt idx="45">
                  <c:v>0.20289031455287965</c:v>
                </c:pt>
                <c:pt idx="46">
                  <c:v>0.19832479895428737</c:v>
                </c:pt>
                <c:pt idx="47">
                  <c:v>0.19384912403734567</c:v>
                </c:pt>
                <c:pt idx="48">
                  <c:v>0.18946340642175122</c:v>
                </c:pt>
                <c:pt idx="49">
                  <c:v>0.18516774536445924</c:v>
                </c:pt>
                <c:pt idx="50">
                  <c:v>0.1809622238569378</c:v>
                </c:pt>
                <c:pt idx="51">
                  <c:v>0.17678763008247023</c:v>
                </c:pt>
                <c:pt idx="52">
                  <c:v>0.17261186740523449</c:v>
                </c:pt>
                <c:pt idx="53">
                  <c:v>0.16843393143441729</c:v>
                </c:pt>
                <c:pt idx="54">
                  <c:v>0.16425372081492898</c:v>
                </c:pt>
                <c:pt idx="55">
                  <c:v>0.16007114032700887</c:v>
                </c:pt>
                <c:pt idx="56">
                  <c:v>0.15588610089649271</c:v>
                </c:pt>
                <c:pt idx="57">
                  <c:v>0.1517597884143837</c:v>
                </c:pt>
                <c:pt idx="58">
                  <c:v>0.1476356390818068</c:v>
                </c:pt>
                <c:pt idx="59">
                  <c:v>0.14351358260218802</c:v>
                </c:pt>
                <c:pt idx="60">
                  <c:v>0.13939355479395879</c:v>
                </c:pt>
                <c:pt idx="61">
                  <c:v>0.13527549758324131</c:v>
                </c:pt>
                <c:pt idx="62">
                  <c:v>0.13115935899632822</c:v>
                </c:pt>
                <c:pt idx="63">
                  <c:v>0.12704509315257242</c:v>
                </c:pt>
                <c:pt idx="64">
                  <c:v>0.12293266025674092</c:v>
                </c:pt>
                <c:pt idx="65">
                  <c:v>0.11900190778402529</c:v>
                </c:pt>
                <c:pt idx="66">
                  <c:v>0.11531209196670127</c:v>
                </c:pt>
                <c:pt idx="67">
                  <c:v>0.11186319102785641</c:v>
                </c:pt>
                <c:pt idx="68">
                  <c:v>0.10865518567051836</c:v>
                </c:pt>
                <c:pt idx="69">
                  <c:v>0.10568805818515559</c:v>
                </c:pt>
                <c:pt idx="70">
                  <c:v>0.10296179155771806</c:v>
                </c:pt>
                <c:pt idx="71">
                  <c:v>0.10053550488278751</c:v>
                </c:pt>
                <c:pt idx="72">
                  <c:v>9.8347907422522404E-2</c:v>
                </c:pt>
                <c:pt idx="73">
                  <c:v>9.6398978275633304E-2</c:v>
                </c:pt>
                <c:pt idx="74">
                  <c:v>9.4688693638156851E-2</c:v>
                </c:pt>
                <c:pt idx="75">
                  <c:v>9.3217025919369256E-2</c:v>
                </c:pt>
                <c:pt idx="76">
                  <c:v>9.1983942857400317E-2</c:v>
                </c:pt>
                <c:pt idx="77">
                  <c:v>9.098940663515552E-2</c:v>
                </c:pt>
                <c:pt idx="78">
                  <c:v>9.0233375991766826E-2</c:v>
                </c:pt>
                <c:pt idx="79">
                  <c:v>8.9680661665253167E-2</c:v>
                </c:pt>
                <c:pt idx="80">
                  <c:v>8.9151624624564205E-2</c:v>
                </c:pt>
                <c:pt idx="81">
                  <c:v>8.864623322491523E-2</c:v>
                </c:pt>
                <c:pt idx="82">
                  <c:v>8.8164456425794402E-2</c:v>
                </c:pt>
                <c:pt idx="83">
                  <c:v>8.7706263715186347E-2</c:v>
                </c:pt>
                <c:pt idx="84">
                  <c:v>8.7271625034090028E-2</c:v>
                </c:pt>
                <c:pt idx="85">
                  <c:v>8.6831890799271852E-2</c:v>
                </c:pt>
                <c:pt idx="86">
                  <c:v>8.6327935054201041E-2</c:v>
                </c:pt>
                <c:pt idx="87">
                  <c:v>8.5759743671619273E-2</c:v>
                </c:pt>
                <c:pt idx="88">
                  <c:v>8.5127304088849651E-2</c:v>
                </c:pt>
                <c:pt idx="89">
                  <c:v>8.4430605513233711E-2</c:v>
                </c:pt>
                <c:pt idx="90">
                  <c:v>8.3669639127393017E-2</c:v>
                </c:pt>
                <c:pt idx="91">
                  <c:v>8.2844398294812951E-2</c:v>
                </c:pt>
                <c:pt idx="92">
                  <c:v>8.1954878765197456E-2</c:v>
                </c:pt>
                <c:pt idx="93">
                  <c:v>8.0975679837340331E-2</c:v>
                </c:pt>
                <c:pt idx="94">
                  <c:v>7.9942267302423944E-2</c:v>
                </c:pt>
                <c:pt idx="95">
                  <c:v>7.8854643066318036E-2</c:v>
                </c:pt>
                <c:pt idx="96">
                  <c:v>7.7712811961992825E-2</c:v>
                </c:pt>
                <c:pt idx="97">
                  <c:v>7.6516781923106805E-2</c:v>
                </c:pt>
                <c:pt idx="98">
                  <c:v>7.5266564156885554E-2</c:v>
                </c:pt>
                <c:pt idx="99">
                  <c:v>7.3935426512677607E-2</c:v>
                </c:pt>
                <c:pt idx="100">
                  <c:v>7.2551982151638703E-2</c:v>
                </c:pt>
                <c:pt idx="101">
                  <c:v>7.1116253009677888E-2</c:v>
                </c:pt>
                <c:pt idx="102">
                  <c:v>6.9628264944814042E-2</c:v>
                </c:pt>
                <c:pt idx="103">
                  <c:v>6.8088047903693036E-2</c:v>
                </c:pt>
                <c:pt idx="104">
                  <c:v>6.6495636089751814E-2</c:v>
                </c:pt>
                <c:pt idx="105">
                  <c:v>6.4851068129855707E-2</c:v>
                </c:pt>
                <c:pt idx="106">
                  <c:v>6.3154387241772206E-2</c:v>
                </c:pt>
                <c:pt idx="107">
                  <c:v>6.1383237208635373E-2</c:v>
                </c:pt>
                <c:pt idx="108">
                  <c:v>5.9563034300566954E-2</c:v>
                </c:pt>
                <c:pt idx="109">
                  <c:v>5.7693835472464129E-2</c:v>
                </c:pt>
                <c:pt idx="110">
                  <c:v>5.5775861647820231E-2</c:v>
                </c:pt>
                <c:pt idx="111">
                  <c:v>5.3809320433060193E-2</c:v>
                </c:pt>
                <c:pt idx="112">
                  <c:v>5.1794254842357002E-2</c:v>
                </c:pt>
                <c:pt idx="113">
                  <c:v>4.9749901521559732E-2</c:v>
                </c:pt>
                <c:pt idx="114">
                  <c:v>4.7702976815675896E-2</c:v>
                </c:pt>
                <c:pt idx="115">
                  <c:v>4.5653502780493231E-2</c:v>
                </c:pt>
                <c:pt idx="116">
                  <c:v>4.3601503352288219E-2</c:v>
                </c:pt>
                <c:pt idx="117">
                  <c:v>4.1547004355147014E-2</c:v>
                </c:pt>
                <c:pt idx="118">
                  <c:v>3.9490033507796458E-2</c:v>
                </c:pt>
                <c:pt idx="119">
                  <c:v>3.7430620430576607E-2</c:v>
                </c:pt>
                <c:pt idx="120">
                  <c:v>3.5368796652356184E-2</c:v>
                </c:pt>
                <c:pt idx="121">
                  <c:v>3.3349811688680946E-2</c:v>
                </c:pt>
                <c:pt idx="122">
                  <c:v>3.1395995724190974E-2</c:v>
                </c:pt>
                <c:pt idx="123">
                  <c:v>2.950733074741943E-2</c:v>
                </c:pt>
                <c:pt idx="124">
                  <c:v>2.7683797762185713E-2</c:v>
                </c:pt>
                <c:pt idx="125">
                  <c:v>2.5925376646843384E-2</c:v>
                </c:pt>
                <c:pt idx="126">
                  <c:v>2.4232046013101523E-2</c:v>
                </c:pt>
                <c:pt idx="127">
                  <c:v>2.2643341445154258E-2</c:v>
                </c:pt>
                <c:pt idx="128">
                  <c:v>2.1140085414786885E-2</c:v>
                </c:pt>
                <c:pt idx="129">
                  <c:v>1.9722231614780126E-2</c:v>
                </c:pt>
                <c:pt idx="130">
                  <c:v>1.8389730838193882E-2</c:v>
                </c:pt>
                <c:pt idx="131">
                  <c:v>1.7142530792287402E-2</c:v>
                </c:pt>
                <c:pt idx="132">
                  <c:v>1.5980575912677059E-2</c:v>
                </c:pt>
                <c:pt idx="133">
                  <c:v>1.4903807177589842E-2</c:v>
                </c:pt>
                <c:pt idx="134">
                  <c:v>1.3912161922008824E-2</c:v>
                </c:pt>
                <c:pt idx="135">
                  <c:v>1.3021903428650108E-2</c:v>
                </c:pt>
                <c:pt idx="136">
                  <c:v>1.2187941047359797E-2</c:v>
                </c:pt>
                <c:pt idx="137">
                  <c:v>1.1410233098246606E-2</c:v>
                </c:pt>
                <c:pt idx="138">
                  <c:v>1.0688735259587689E-2</c:v>
                </c:pt>
                <c:pt idx="139">
                  <c:v>1.0023400445375787E-2</c:v>
                </c:pt>
                <c:pt idx="140">
                  <c:v>9.4141786822398953E-3</c:v>
                </c:pt>
                <c:pt idx="141">
                  <c:v>8.8721272155920013E-3</c:v>
                </c:pt>
                <c:pt idx="142">
                  <c:v>8.3577907313594334E-3</c:v>
                </c:pt>
                <c:pt idx="143">
                  <c:v>7.8711208893198336E-3</c:v>
                </c:pt>
                <c:pt idx="144">
                  <c:v>7.4121198611218379E-3</c:v>
                </c:pt>
                <c:pt idx="145">
                  <c:v>6.9807840134502351E-3</c:v>
                </c:pt>
                <c:pt idx="146">
                  <c:v>6.5771042759214179E-3</c:v>
                </c:pt>
                <c:pt idx="147">
                  <c:v>6.2010665092292637E-3</c:v>
                </c:pt>
                <c:pt idx="148">
                  <c:v>5.8526518731108609E-3</c:v>
                </c:pt>
                <c:pt idx="149">
                  <c:v>5.544229815262868E-3</c:v>
                </c:pt>
                <c:pt idx="150">
                  <c:v>5.2595379252864212E-3</c:v>
                </c:pt>
                <c:pt idx="151">
                  <c:v>4.99855191381558E-3</c:v>
                </c:pt>
                <c:pt idx="152">
                  <c:v>4.7612445423143327E-3</c:v>
                </c:pt>
                <c:pt idx="153">
                  <c:v>4.547585939416488E-3</c:v>
                </c:pt>
                <c:pt idx="154">
                  <c:v>4.357543917294854E-3</c:v>
                </c:pt>
                <c:pt idx="155">
                  <c:v>4.1944365180879286E-3</c:v>
                </c:pt>
                <c:pt idx="156">
                  <c:v>4.0472042589145664E-3</c:v>
                </c:pt>
                <c:pt idx="157">
                  <c:v>3.915824441784203E-3</c:v>
                </c:pt>
                <c:pt idx="158">
                  <c:v>3.800273389849191E-3</c:v>
                </c:pt>
                <c:pt idx="159">
                  <c:v>3.7005266598956507E-3</c:v>
                </c:pt>
                <c:pt idx="160">
                  <c:v>3.6165592548821333E-3</c:v>
                </c:pt>
                <c:pt idx="161">
                  <c:v>3.5483458364344886E-3</c:v>
                </c:pt>
                <c:pt idx="162">
                  <c:v>3.495860937361765E-3</c:v>
                </c:pt>
                <c:pt idx="163">
                  <c:v>3.4600521071271348E-3</c:v>
                </c:pt>
                <c:pt idx="164">
                  <c:v>3.4286147185789272E-3</c:v>
                </c:pt>
                <c:pt idx="165">
                  <c:v>3.4015448318870703E-3</c:v>
                </c:pt>
                <c:pt idx="166">
                  <c:v>3.3788385750785337E-3</c:v>
                </c:pt>
                <c:pt idx="167">
                  <c:v>3.3604922025954401E-3</c:v>
                </c:pt>
                <c:pt idx="168">
                  <c:v>3.3465021539618414E-3</c:v>
                </c:pt>
                <c:pt idx="169">
                  <c:v>3.3378345989353597E-3</c:v>
                </c:pt>
                <c:pt idx="170">
                  <c:v>3.3311632226611237E-3</c:v>
                </c:pt>
                <c:pt idx="171">
                  <c:v>3.3264891673715716E-3</c:v>
                </c:pt>
                <c:pt idx="172">
                  <c:v>3.3238137468498074E-3</c:v>
                </c:pt>
                <c:pt idx="173">
                  <c:v>3.3231044904193045E-3</c:v>
                </c:pt>
                <c:pt idx="174">
                  <c:v>3.324327298558969E-3</c:v>
                </c:pt>
                <c:pt idx="175">
                  <c:v>3.3274811890369187E-3</c:v>
                </c:pt>
                <c:pt idx="176">
                  <c:v>3.3325651923988421E-3</c:v>
                </c:pt>
                <c:pt idx="177">
                  <c:v>3.3428882451344414E-3</c:v>
                </c:pt>
                <c:pt idx="178">
                  <c:v>3.3574794383137104E-3</c:v>
                </c:pt>
                <c:pt idx="179">
                  <c:v>3.3763344288951168E-3</c:v>
                </c:pt>
                <c:pt idx="180">
                  <c:v>3.3994489854639854E-3</c:v>
                </c:pt>
                <c:pt idx="181">
                  <c:v>3.4268190133119442E-3</c:v>
                </c:pt>
                <c:pt idx="182">
                  <c:v>3.4584405795457227E-3</c:v>
                </c:pt>
                <c:pt idx="183">
                  <c:v>3.5064654338942528E-3</c:v>
                </c:pt>
                <c:pt idx="184">
                  <c:v>3.5699104254617426E-3</c:v>
                </c:pt>
                <c:pt idx="185">
                  <c:v>3.6487566476770743E-3</c:v>
                </c:pt>
                <c:pt idx="186">
                  <c:v>3.7429859411154801E-3</c:v>
                </c:pt>
                <c:pt idx="187">
                  <c:v>3.8525809845121259E-3</c:v>
                </c:pt>
                <c:pt idx="188">
                  <c:v>3.9775253858005928E-3</c:v>
                </c:pt>
                <c:pt idx="189">
                  <c:v>4.1178037730338788E-3</c:v>
                </c:pt>
                <c:pt idx="190">
                  <c:v>4.2734018854706903E-3</c:v>
                </c:pt>
                <c:pt idx="191">
                  <c:v>4.4551202064146206E-3</c:v>
                </c:pt>
                <c:pt idx="192">
                  <c:v>4.6596467582994839E-3</c:v>
                </c:pt>
                <c:pt idx="193">
                  <c:v>4.8869624347222069E-3</c:v>
                </c:pt>
                <c:pt idx="194">
                  <c:v>5.1370501513174427E-3</c:v>
                </c:pt>
                <c:pt idx="195">
                  <c:v>5.4098949813322006E-3</c:v>
                </c:pt>
                <c:pt idx="196">
                  <c:v>5.7054842910163319E-3</c:v>
                </c:pt>
                <c:pt idx="197">
                  <c:v>6.0396264294327656E-3</c:v>
                </c:pt>
                <c:pt idx="198">
                  <c:v>6.4002180993634819E-3</c:v>
                </c:pt>
                <c:pt idx="199">
                  <c:v>6.7872514091515644E-3</c:v>
                </c:pt>
                <c:pt idx="200">
                  <c:v>7.2007216785552703E-3</c:v>
                </c:pt>
                <c:pt idx="201">
                  <c:v>7.6406275962795081E-3</c:v>
                </c:pt>
                <c:pt idx="202">
                  <c:v>8.1069713775304714E-3</c:v>
                </c:pt>
                <c:pt idx="203">
                  <c:v>8.5997589217500711E-3</c:v>
                </c:pt>
                <c:pt idx="204">
                  <c:v>9.1189852444469553E-3</c:v>
                </c:pt>
                <c:pt idx="205">
                  <c:v>9.7027694906927781E-3</c:v>
                </c:pt>
                <c:pt idx="206">
                  <c:v>1.0340327046862583E-2</c:v>
                </c:pt>
                <c:pt idx="207">
                  <c:v>1.1031646215555279E-2</c:v>
                </c:pt>
                <c:pt idx="208">
                  <c:v>1.1776718896252744E-2</c:v>
                </c:pt>
                <c:pt idx="209">
                  <c:v>1.2575540417960038E-2</c:v>
                </c:pt>
                <c:pt idx="210">
                  <c:v>1.3428109372234889E-2</c:v>
                </c:pt>
                <c:pt idx="211">
                  <c:v>1.4377889180759752E-2</c:v>
                </c:pt>
                <c:pt idx="212">
                  <c:v>1.5409103386042648E-2</c:v>
                </c:pt>
                <c:pt idx="213">
                  <c:v>1.6521750264596787E-2</c:v>
                </c:pt>
                <c:pt idx="214">
                  <c:v>1.7715832546543148E-2</c:v>
                </c:pt>
                <c:pt idx="215">
                  <c:v>1.8991357162431433E-2</c:v>
                </c:pt>
                <c:pt idx="216">
                  <c:v>2.0348334990009546E-2</c:v>
                </c:pt>
                <c:pt idx="217">
                  <c:v>2.1786780601072891E-2</c:v>
                </c:pt>
                <c:pt idx="218">
                  <c:v>2.3306712008213767E-2</c:v>
                </c:pt>
                <c:pt idx="219">
                  <c:v>2.4926547171766969E-2</c:v>
                </c:pt>
                <c:pt idx="220">
                  <c:v>2.6608252575481828E-2</c:v>
                </c:pt>
                <c:pt idx="221">
                  <c:v>2.8351858184768573E-2</c:v>
                </c:pt>
                <c:pt idx="222">
                  <c:v>3.0157395303225046E-2</c:v>
                </c:pt>
                <c:pt idx="223">
                  <c:v>3.2024896380976609E-2</c:v>
                </c:pt>
                <c:pt idx="224">
                  <c:v>3.39543948223828E-2</c:v>
                </c:pt>
                <c:pt idx="225">
                  <c:v>3.5924476660271681E-2</c:v>
                </c:pt>
                <c:pt idx="226">
                  <c:v>3.789175842201295E-2</c:v>
                </c:pt>
                <c:pt idx="227">
                  <c:v>3.9856273779139147E-2</c:v>
                </c:pt>
                <c:pt idx="228">
                  <c:v>4.1818053822017677E-2</c:v>
                </c:pt>
                <c:pt idx="229">
                  <c:v>4.37771270688996E-2</c:v>
                </c:pt>
                <c:pt idx="230">
                  <c:v>4.5733519475561833E-2</c:v>
                </c:pt>
                <c:pt idx="231">
                  <c:v>4.7687254445163446E-2</c:v>
                </c:pt>
                <c:pt idx="232">
                  <c:v>4.9638352837129092E-2</c:v>
                </c:pt>
                <c:pt idx="233">
                  <c:v>5.1561252137559778E-2</c:v>
                </c:pt>
                <c:pt idx="234">
                  <c:v>5.3437567091791614E-2</c:v>
                </c:pt>
                <c:pt idx="235">
                  <c:v>5.5267348123999104E-2</c:v>
                </c:pt>
                <c:pt idx="236">
                  <c:v>5.7050666223100101E-2</c:v>
                </c:pt>
                <c:pt idx="237">
                  <c:v>5.8787558543171747E-2</c:v>
                </c:pt>
                <c:pt idx="238">
                  <c:v>6.0478061557083178E-2</c:v>
                </c:pt>
                <c:pt idx="239">
                  <c:v>6.2097923498475531E-2</c:v>
                </c:pt>
                <c:pt idx="240">
                  <c:v>6.3668634802814553E-2</c:v>
                </c:pt>
                <c:pt idx="241">
                  <c:v>6.5190228034881906E-2</c:v>
                </c:pt>
                <c:pt idx="242">
                  <c:v>6.6662734598704337E-2</c:v>
                </c:pt>
                <c:pt idx="243">
                  <c:v>6.8086184650118245E-2</c:v>
                </c:pt>
                <c:pt idx="244">
                  <c:v>6.9460607009007094E-2</c:v>
                </c:pt>
                <c:pt idx="245">
                  <c:v>7.078602907081781E-2</c:v>
                </c:pt>
                <c:pt idx="246">
                  <c:v>7.2062476717910204E-2</c:v>
                </c:pt>
                <c:pt idx="247">
                  <c:v>7.326259537102138E-2</c:v>
                </c:pt>
                <c:pt idx="248">
                  <c:v>7.4412013622664711E-2</c:v>
                </c:pt>
                <c:pt idx="249">
                  <c:v>7.5510750695442899E-2</c:v>
                </c:pt>
                <c:pt idx="250">
                  <c:v>7.6558823830935263E-2</c:v>
                </c:pt>
                <c:pt idx="251">
                  <c:v>7.7556248200563449E-2</c:v>
                </c:pt>
                <c:pt idx="252">
                  <c:v>7.8503036813263274E-2</c:v>
                </c:pt>
                <c:pt idx="253">
                  <c:v>7.936522325929847E-2</c:v>
                </c:pt>
                <c:pt idx="254">
                  <c:v>8.0167135656962416E-2</c:v>
                </c:pt>
                <c:pt idx="255">
                  <c:v>8.0908772600850457E-2</c:v>
                </c:pt>
                <c:pt idx="256">
                  <c:v>8.1590129548742965E-2</c:v>
                </c:pt>
                <c:pt idx="257">
                  <c:v>8.2211198712803371E-2</c:v>
                </c:pt>
                <c:pt idx="258">
                  <c:v>8.2771968951541958E-2</c:v>
                </c:pt>
                <c:pt idx="259">
                  <c:v>8.3272425662935676E-2</c:v>
                </c:pt>
                <c:pt idx="260">
                  <c:v>8.3712550675032985E-2</c:v>
                </c:pt>
                <c:pt idx="261">
                  <c:v>8.4149035179460652E-2</c:v>
                </c:pt>
                <c:pt idx="262">
                  <c:v>8.4609373602710494E-2</c:v>
                </c:pt>
                <c:pt idx="263">
                  <c:v>8.5093615492571481E-2</c:v>
                </c:pt>
                <c:pt idx="264">
                  <c:v>8.5601816364139119E-2</c:v>
                </c:pt>
                <c:pt idx="265">
                  <c:v>8.6134495283547399E-2</c:v>
                </c:pt>
                <c:pt idx="266">
                  <c:v>8.6691957263494865E-2</c:v>
                </c:pt>
                <c:pt idx="267">
                  <c:v>8.7447010382877888E-2</c:v>
                </c:pt>
                <c:pt idx="268">
                  <c:v>8.8433941831975726E-2</c:v>
                </c:pt>
                <c:pt idx="269">
                  <c:v>8.9652973069519068E-2</c:v>
                </c:pt>
                <c:pt idx="270">
                  <c:v>9.1104343971889004E-2</c:v>
                </c:pt>
                <c:pt idx="271">
                  <c:v>9.2788310300889798E-2</c:v>
                </c:pt>
                <c:pt idx="272">
                  <c:v>9.4705141173954163E-2</c:v>
                </c:pt>
                <c:pt idx="273">
                  <c:v>9.6855116533194299E-2</c:v>
                </c:pt>
                <c:pt idx="274">
                  <c:v>9.9238524615674853E-2</c:v>
                </c:pt>
                <c:pt idx="275">
                  <c:v>0.10191474372727494</c:v>
                </c:pt>
                <c:pt idx="276">
                  <c:v>0.10482710429746273</c:v>
                </c:pt>
                <c:pt idx="277">
                  <c:v>0.10797590875934669</c:v>
                </c:pt>
                <c:pt idx="278">
                  <c:v>0.11136145754428266</c:v>
                </c:pt>
                <c:pt idx="279">
                  <c:v>0.11498404652850726</c:v>
                </c:pt>
                <c:pt idx="280">
                  <c:v>0.11884396448081656</c:v>
                </c:pt>
                <c:pt idx="281">
                  <c:v>0.12288415069300274</c:v>
                </c:pt>
                <c:pt idx="282">
                  <c:v>0.12693070361132444</c:v>
                </c:pt>
                <c:pt idx="283">
                  <c:v>0.13098351215144366</c:v>
                </c:pt>
                <c:pt idx="284">
                  <c:v>0.13504244781396205</c:v>
                </c:pt>
                <c:pt idx="285">
                  <c:v>0.13910736466291199</c:v>
                </c:pt>
                <c:pt idx="286">
                  <c:v>0.14317809930553624</c:v>
                </c:pt>
                <c:pt idx="287">
                  <c:v>0.14725447087076393</c:v>
                </c:pt>
                <c:pt idx="288">
                  <c:v>0.15133628098817545</c:v>
                </c:pt>
                <c:pt idx="289">
                  <c:v>0.1554781803404319</c:v>
                </c:pt>
                <c:pt idx="290">
                  <c:v>0.15962047756279535</c:v>
                </c:pt>
                <c:pt idx="291">
                  <c:v>0.16376291358630909</c:v>
                </c:pt>
                <c:pt idx="292">
                  <c:v>0.1679052117548239</c:v>
                </c:pt>
                <c:pt idx="293">
                  <c:v>0.17204707785512108</c:v>
                </c:pt>
                <c:pt idx="294">
                  <c:v>0.1761882001464419</c:v>
                </c:pt>
                <c:pt idx="295">
                  <c:v>0.18035866109665091</c:v>
                </c:pt>
                <c:pt idx="296">
                  <c:v>0.18461815886432117</c:v>
                </c:pt>
                <c:pt idx="297">
                  <c:v>0.18896818873793128</c:v>
                </c:pt>
                <c:pt idx="298">
                  <c:v>0.19340877586683355</c:v>
                </c:pt>
                <c:pt idx="299">
                  <c:v>0.1979399324840945</c:v>
                </c:pt>
                <c:pt idx="300">
                  <c:v>0.20256165711746613</c:v>
                </c:pt>
                <c:pt idx="301">
                  <c:v>0.2072739337997753</c:v>
                </c:pt>
                <c:pt idx="302">
                  <c:v>0.21207673127975504</c:v>
                </c:pt>
                <c:pt idx="303">
                  <c:v>0.21682152135616131</c:v>
                </c:pt>
                <c:pt idx="304">
                  <c:v>0.22145277164384733</c:v>
                </c:pt>
                <c:pt idx="305">
                  <c:v>0.22597010966275402</c:v>
                </c:pt>
                <c:pt idx="306">
                  <c:v>0.23037314692246014</c:v>
                </c:pt>
                <c:pt idx="307">
                  <c:v>0.23466148000881729</c:v>
                </c:pt>
                <c:pt idx="308">
                  <c:v>0.23883469166862706</c:v>
                </c:pt>
                <c:pt idx="309">
                  <c:v>0.24277198782861117</c:v>
                </c:pt>
                <c:pt idx="310">
                  <c:v>0.24644215421347485</c:v>
                </c:pt>
                <c:pt idx="311">
                  <c:v>0.24984453622911121</c:v>
                </c:pt>
                <c:pt idx="312">
                  <c:v>0.25297847661131706</c:v>
                </c:pt>
                <c:pt idx="313">
                  <c:v>0.25584331789893039</c:v>
                </c:pt>
                <c:pt idx="314">
                  <c:v>0.25843840490467967</c:v>
                </c:pt>
                <c:pt idx="315">
                  <c:v>0.26076308718923508</c:v>
                </c:pt>
                <c:pt idx="316">
                  <c:v>0.26281672153130026</c:v>
                </c:pt>
                <c:pt idx="317">
                  <c:v>0.2646617454074609</c:v>
                </c:pt>
                <c:pt idx="318">
                  <c:v>0.26644708028195951</c:v>
                </c:pt>
                <c:pt idx="319">
                  <c:v>0.26817235168782594</c:v>
                </c:pt>
                <c:pt idx="320">
                  <c:v>0.26983718374989368</c:v>
                </c:pt>
                <c:pt idx="321">
                  <c:v>0.27144119971349451</c:v>
                </c:pt>
                <c:pt idx="322">
                  <c:v>0.27298402247433212</c:v>
                </c:pt>
                <c:pt idx="323">
                  <c:v>0.27459836862427178</c:v>
                </c:pt>
                <c:pt idx="324">
                  <c:v>0.27640503940671807</c:v>
                </c:pt>
                <c:pt idx="325">
                  <c:v>0.27840384038038313</c:v>
                </c:pt>
                <c:pt idx="326">
                  <c:v>0.28059280251820934</c:v>
                </c:pt>
                <c:pt idx="327">
                  <c:v>0.28297104018363345</c:v>
                </c:pt>
                <c:pt idx="328">
                  <c:v>0.28553907002650941</c:v>
                </c:pt>
                <c:pt idx="329">
                  <c:v>0.28829739690470674</c:v>
                </c:pt>
                <c:pt idx="330">
                  <c:v>0.29124651797143597</c:v>
                </c:pt>
                <c:pt idx="331">
                  <c:v>0.29431503059403935</c:v>
                </c:pt>
                <c:pt idx="332">
                  <c:v>0.29744009812466793</c:v>
                </c:pt>
                <c:pt idx="333">
                  <c:v>0.3006221898092245</c:v>
                </c:pt>
                <c:pt idx="334">
                  <c:v>0.30386179477093084</c:v>
                </c:pt>
                <c:pt idx="335">
                  <c:v>0.30715942329020607</c:v>
                </c:pt>
                <c:pt idx="336">
                  <c:v>0.31051560808062045</c:v>
                </c:pt>
                <c:pt idx="337">
                  <c:v>0.31378268758066641</c:v>
                </c:pt>
                <c:pt idx="338">
                  <c:v>0.31682786809094216</c:v>
                </c:pt>
                <c:pt idx="339">
                  <c:v>0.31965173807321529</c:v>
                </c:pt>
                <c:pt idx="340">
                  <c:v>0.32225491583229454</c:v>
                </c:pt>
                <c:pt idx="341">
                  <c:v>0.32463804493987519</c:v>
                </c:pt>
                <c:pt idx="342">
                  <c:v>0.32680178965818646</c:v>
                </c:pt>
                <c:pt idx="343">
                  <c:v>0.32874683035970559</c:v>
                </c:pt>
                <c:pt idx="344">
                  <c:v>0.33047385895195797</c:v>
                </c:pt>
                <c:pt idx="345">
                  <c:v>0.33198357429888919</c:v>
                </c:pt>
                <c:pt idx="346">
                  <c:v>0.33330823289846612</c:v>
                </c:pt>
                <c:pt idx="347">
                  <c:v>0.33444854008331443</c:v>
                </c:pt>
                <c:pt idx="348">
                  <c:v>0.33540519716490408</c:v>
                </c:pt>
                <c:pt idx="349">
                  <c:v>0.33617889750929458</c:v>
                </c:pt>
                <c:pt idx="350">
                  <c:v>0.33677032262072676</c:v>
                </c:pt>
                <c:pt idx="351">
                  <c:v>0.33713972931606162</c:v>
                </c:pt>
                <c:pt idx="352">
                  <c:v>0.33743610226644316</c:v>
                </c:pt>
                <c:pt idx="353">
                  <c:v>0.33766012063842582</c:v>
                </c:pt>
                <c:pt idx="354">
                  <c:v>0.33781245320176417</c:v>
                </c:pt>
                <c:pt idx="355">
                  <c:v>0.33789375663339016</c:v>
                </c:pt>
                <c:pt idx="356">
                  <c:v>0.33790490735015993</c:v>
                </c:pt>
                <c:pt idx="357">
                  <c:v>0.33784577984182135</c:v>
                </c:pt>
                <c:pt idx="358">
                  <c:v>0.33771542005618688</c:v>
                </c:pt>
                <c:pt idx="359">
                  <c:v>0.33751286188560675</c:v>
                </c:pt>
                <c:pt idx="360">
                  <c:v>0.33708843125717558</c:v>
                </c:pt>
                <c:pt idx="361">
                  <c:v>0.33648148810267614</c:v>
                </c:pt>
                <c:pt idx="362">
                  <c:v>0.3356908968298668</c:v>
                </c:pt>
                <c:pt idx="363">
                  <c:v>0.33471550905216635</c:v>
                </c:pt>
                <c:pt idx="364">
                  <c:v>0.33355416843636004</c:v>
                </c:pt>
                <c:pt idx="365">
                  <c:v>0.33220571554611583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0.46423987531026545</c:v>
                </c:pt>
                <c:pt idx="1">
                  <c:v>0.46313615630294108</c:v>
                </c:pt>
                <c:pt idx="2">
                  <c:v>0.46183369599390955</c:v>
                </c:pt>
                <c:pt idx="3">
                  <c:v>0.46033100626535089</c:v>
                </c:pt>
                <c:pt idx="4">
                  <c:v>0.45862661142070982</c:v>
                </c:pt>
                <c:pt idx="5">
                  <c:v>0.45671905329273171</c:v>
                </c:pt>
                <c:pt idx="6">
                  <c:v>0.4546068963573407</c:v>
                </c:pt>
                <c:pt idx="7">
                  <c:v>0.45228873283719739</c:v>
                </c:pt>
                <c:pt idx="8">
                  <c:v>0.44976318781171254</c:v>
                </c:pt>
                <c:pt idx="9">
                  <c:v>0.44702224827384335</c:v>
                </c:pt>
                <c:pt idx="10">
                  <c:v>0.44418927166939731</c:v>
                </c:pt>
                <c:pt idx="11">
                  <c:v>0.44126315959479995</c:v>
                </c:pt>
                <c:pt idx="12">
                  <c:v>0.43824285325126228</c:v>
                </c:pt>
                <c:pt idx="13">
                  <c:v>0.43512733555592487</c:v>
                </c:pt>
                <c:pt idx="14">
                  <c:v>0.43191563324557425</c:v>
                </c:pt>
                <c:pt idx="15">
                  <c:v>0.42855190629056544</c:v>
                </c:pt>
                <c:pt idx="16">
                  <c:v>0.42511174569255289</c:v>
                </c:pt>
                <c:pt idx="17">
                  <c:v>0.42159434445111893</c:v>
                </c:pt>
                <c:pt idx="18">
                  <c:v>0.41799894390003695</c:v>
                </c:pt>
                <c:pt idx="19">
                  <c:v>0.41432714633751999</c:v>
                </c:pt>
                <c:pt idx="20">
                  <c:v>0.41058155642049304</c:v>
                </c:pt>
                <c:pt idx="21">
                  <c:v>0.40676294910002514</c:v>
                </c:pt>
                <c:pt idx="22">
                  <c:v>0.40287208924288986</c:v>
                </c:pt>
                <c:pt idx="23">
                  <c:v>0.39892023529740678</c:v>
                </c:pt>
                <c:pt idx="24">
                  <c:v>0.3949148339017014</c:v>
                </c:pt>
                <c:pt idx="25">
                  <c:v>0.39085661730142035</c:v>
                </c:pt>
                <c:pt idx="26">
                  <c:v>0.38674630271121629</c:v>
                </c:pt>
                <c:pt idx="27">
                  <c:v>0.38258459175447079</c:v>
                </c:pt>
                <c:pt idx="28">
                  <c:v>0.37837216991143002</c:v>
                </c:pt>
                <c:pt idx="29">
                  <c:v>0.37409028924748639</c:v>
                </c:pt>
                <c:pt idx="30">
                  <c:v>0.36979460661210012</c:v>
                </c:pt>
                <c:pt idx="31">
                  <c:v>0.36548575262728239</c:v>
                </c:pt>
                <c:pt idx="32">
                  <c:v>0.36116433710785811</c:v>
                </c:pt>
                <c:pt idx="33">
                  <c:v>0.35683094894935158</c:v>
                </c:pt>
                <c:pt idx="34">
                  <c:v>0.35248615601752897</c:v>
                </c:pt>
                <c:pt idx="35">
                  <c:v>0.34813050503758719</c:v>
                </c:pt>
                <c:pt idx="36">
                  <c:v>0.3437645214825979</c:v>
                </c:pt>
                <c:pt idx="37">
                  <c:v>0.33936576180358052</c:v>
                </c:pt>
                <c:pt idx="38">
                  <c:v>0.33492421386913046</c:v>
                </c:pt>
                <c:pt idx="39">
                  <c:v>0.33044034773156222</c:v>
                </c:pt>
                <c:pt idx="40">
                  <c:v>0.32591461182081022</c:v>
                </c:pt>
                <c:pt idx="41">
                  <c:v>0.32134743241670144</c:v>
                </c:pt>
                <c:pt idx="42">
                  <c:v>0.31673921311887127</c:v>
                </c:pt>
                <c:pt idx="43">
                  <c:v>0.31210467075928844</c:v>
                </c:pt>
                <c:pt idx="44">
                  <c:v>0.30746355459462771</c:v>
                </c:pt>
                <c:pt idx="45">
                  <c:v>0.30281618961678575</c:v>
                </c:pt>
                <c:pt idx="46">
                  <c:v>0.29816287741478259</c:v>
                </c:pt>
                <c:pt idx="47">
                  <c:v>0.29350389606940219</c:v>
                </c:pt>
                <c:pt idx="48">
                  <c:v>0.28883950004385117</c:v>
                </c:pt>
                <c:pt idx="49">
                  <c:v>0.28416992007714903</c:v>
                </c:pt>
                <c:pt idx="50">
                  <c:v>0.27949536307571382</c:v>
                </c:pt>
                <c:pt idx="51">
                  <c:v>0.27478143906895725</c:v>
                </c:pt>
                <c:pt idx="52">
                  <c:v>0.27004974859657138</c:v>
                </c:pt>
                <c:pt idx="53">
                  <c:v>0.26529875750222304</c:v>
                </c:pt>
                <c:pt idx="54">
                  <c:v>0.26052832352411487</c:v>
                </c:pt>
                <c:pt idx="55">
                  <c:v>0.25573831109518913</c:v>
                </c:pt>
                <c:pt idx="56">
                  <c:v>0.25092859141792317</c:v>
                </c:pt>
                <c:pt idx="57">
                  <c:v>0.24603266662670878</c:v>
                </c:pt>
                <c:pt idx="58">
                  <c:v>0.24103609036752691</c:v>
                </c:pt>
                <c:pt idx="59">
                  <c:v>0.23593875286648411</c:v>
                </c:pt>
                <c:pt idx="60">
                  <c:v>0.23074055120098039</c:v>
                </c:pt>
                <c:pt idx="61">
                  <c:v>0.22544138967325764</c:v>
                </c:pt>
                <c:pt idx="62">
                  <c:v>0.22004118018360663</c:v>
                </c:pt>
                <c:pt idx="63">
                  <c:v>0.21453984260425565</c:v>
                </c:pt>
                <c:pt idx="64">
                  <c:v>0.20893730515236544</c:v>
                </c:pt>
                <c:pt idx="65">
                  <c:v>0.2032778551165102</c:v>
                </c:pt>
                <c:pt idx="66">
                  <c:v>0.19759601336635235</c:v>
                </c:pt>
                <c:pt idx="67">
                  <c:v>0.19189173541848292</c:v>
                </c:pt>
                <c:pt idx="68">
                  <c:v>0.18616498547093432</c:v>
                </c:pt>
                <c:pt idx="69">
                  <c:v>0.18041573648403961</c:v>
                </c:pt>
                <c:pt idx="70">
                  <c:v>0.1746439702622187</c:v>
                </c:pt>
                <c:pt idx="71">
                  <c:v>0.16905871047494681</c:v>
                </c:pt>
                <c:pt idx="72">
                  <c:v>0.16372632519457309</c:v>
                </c:pt>
                <c:pt idx="73">
                  <c:v>0.1586468055991824</c:v>
                </c:pt>
                <c:pt idx="74">
                  <c:v>0.15382014424746471</c:v>
                </c:pt>
                <c:pt idx="75">
                  <c:v>0.14924633414156907</c:v>
                </c:pt>
                <c:pt idx="76">
                  <c:v>0.14492536778946502</c:v>
                </c:pt>
                <c:pt idx="77">
                  <c:v>0.14085723626780422</c:v>
                </c:pt>
                <c:pt idx="78">
                  <c:v>0.13704193283421678</c:v>
                </c:pt>
                <c:pt idx="79">
                  <c:v>0.1335867019691207</c:v>
                </c:pt>
                <c:pt idx="80">
                  <c:v>0.13044748966918707</c:v>
                </c:pt>
                <c:pt idx="81">
                  <c:v>0.12762421105678148</c:v>
                </c:pt>
                <c:pt idx="82">
                  <c:v>0.12511678435680199</c:v>
                </c:pt>
                <c:pt idx="83">
                  <c:v>0.12292512988521308</c:v>
                </c:pt>
                <c:pt idx="84">
                  <c:v>0.12104916903799577</c:v>
                </c:pt>
                <c:pt idx="85">
                  <c:v>0.11945626957340361</c:v>
                </c:pt>
                <c:pt idx="86">
                  <c:v>0.11793744838112875</c:v>
                </c:pt>
                <c:pt idx="87">
                  <c:v>0.1164926650750268</c:v>
                </c:pt>
                <c:pt idx="88">
                  <c:v>0.11512188013782226</c:v>
                </c:pt>
                <c:pt idx="89">
                  <c:v>0.11382505468356796</c:v>
                </c:pt>
                <c:pt idx="90">
                  <c:v>0.1126021502198654</c:v>
                </c:pt>
                <c:pt idx="91">
                  <c:v>0.11145312841052064</c:v>
                </c:pt>
                <c:pt idx="92">
                  <c:v>0.11037795083788972</c:v>
                </c:pt>
                <c:pt idx="93">
                  <c:v>0.10934729147787597</c:v>
                </c:pt>
                <c:pt idx="94">
                  <c:v>0.10825447804017839</c:v>
                </c:pt>
                <c:pt idx="95">
                  <c:v>0.10709950606288299</c:v>
                </c:pt>
                <c:pt idx="96">
                  <c:v>0.10588237431750629</c:v>
                </c:pt>
                <c:pt idx="97">
                  <c:v>0.10460308500781407</c:v>
                </c:pt>
                <c:pt idx="98">
                  <c:v>0.10326164396768028</c:v>
                </c:pt>
                <c:pt idx="99">
                  <c:v>0.10181561564068292</c:v>
                </c:pt>
                <c:pt idx="100">
                  <c:v>0.10029754313526262</c:v>
                </c:pt>
                <c:pt idx="101">
                  <c:v>9.8707448871624928E-2</c:v>
                </c:pt>
                <c:pt idx="102">
                  <c:v>9.7045360171330142E-2</c:v>
                </c:pt>
                <c:pt idx="103">
                  <c:v>9.5311309486356022E-2</c:v>
                </c:pt>
                <c:pt idx="104">
                  <c:v>9.3505334630450784E-2</c:v>
                </c:pt>
                <c:pt idx="105">
                  <c:v>9.1627479008363488E-2</c:v>
                </c:pt>
                <c:pt idx="106">
                  <c:v>8.9677791846240529E-2</c:v>
                </c:pt>
                <c:pt idx="107">
                  <c:v>8.7621860669589532E-2</c:v>
                </c:pt>
                <c:pt idx="108">
                  <c:v>8.5488997826739202E-2</c:v>
                </c:pt>
                <c:pt idx="109">
                  <c:v>8.327927531217269E-2</c:v>
                </c:pt>
                <c:pt idx="110">
                  <c:v>8.099300288118845E-2</c:v>
                </c:pt>
                <c:pt idx="111">
                  <c:v>7.8630476280995898E-2</c:v>
                </c:pt>
                <c:pt idx="112">
                  <c:v>7.6191754781724352E-2</c:v>
                </c:pt>
                <c:pt idx="113">
                  <c:v>7.3679835623418274E-2</c:v>
                </c:pt>
                <c:pt idx="114">
                  <c:v>7.1137122962497815E-2</c:v>
                </c:pt>
                <c:pt idx="115">
                  <c:v>6.856365922561293E-2</c:v>
                </c:pt>
                <c:pt idx="116">
                  <c:v>6.5959490032326887E-2</c:v>
                </c:pt>
                <c:pt idx="117">
                  <c:v>6.3324664264498606E-2</c:v>
                </c:pt>
                <c:pt idx="118">
                  <c:v>6.0659234134935867E-2</c:v>
                </c:pt>
                <c:pt idx="119">
                  <c:v>5.7963255256258284E-2</c:v>
                </c:pt>
                <c:pt idx="120">
                  <c:v>5.5236786709671228E-2</c:v>
                </c:pt>
                <c:pt idx="121">
                  <c:v>5.2509386267794368E-2</c:v>
                </c:pt>
                <c:pt idx="122">
                  <c:v>4.9815451062273815E-2</c:v>
                </c:pt>
                <c:pt idx="123">
                  <c:v>4.7154998983965669E-2</c:v>
                </c:pt>
                <c:pt idx="124">
                  <c:v>4.4528048917925972E-2</c:v>
                </c:pt>
                <c:pt idx="125">
                  <c:v>4.193462067278883E-2</c:v>
                </c:pt>
                <c:pt idx="126">
                  <c:v>3.9374734909466032E-2</c:v>
                </c:pt>
                <c:pt idx="127">
                  <c:v>3.6919963541142596E-2</c:v>
                </c:pt>
                <c:pt idx="128">
                  <c:v>3.4567340373358298E-2</c:v>
                </c:pt>
                <c:pt idx="129">
                  <c:v>3.231682162827574E-2</c:v>
                </c:pt>
                <c:pt idx="130">
                  <c:v>3.0168360559536814E-2</c:v>
                </c:pt>
                <c:pt idx="131">
                  <c:v>2.8121907230274513E-2</c:v>
                </c:pt>
                <c:pt idx="132">
                  <c:v>2.6177408291511706E-2</c:v>
                </c:pt>
                <c:pt idx="133">
                  <c:v>2.4334806760718312E-2</c:v>
                </c:pt>
                <c:pt idx="134">
                  <c:v>2.2594041800190087E-2</c:v>
                </c:pt>
                <c:pt idx="135">
                  <c:v>2.0999148915420818E-2</c:v>
                </c:pt>
                <c:pt idx="136">
                  <c:v>1.9520653470522276E-2</c:v>
                </c:pt>
                <c:pt idx="137">
                  <c:v>1.815846319413655E-2</c:v>
                </c:pt>
                <c:pt idx="138">
                  <c:v>1.6912480130770877E-2</c:v>
                </c:pt>
                <c:pt idx="139">
                  <c:v>1.5782600387209911E-2</c:v>
                </c:pt>
                <c:pt idx="140">
                  <c:v>1.4768713877933362E-2</c:v>
                </c:pt>
                <c:pt idx="141">
                  <c:v>1.3878983689818771E-2</c:v>
                </c:pt>
                <c:pt idx="142">
                  <c:v>1.3042051193553563E-2</c:v>
                </c:pt>
                <c:pt idx="143">
                  <c:v>1.2257829957159072E-2</c:v>
                </c:pt>
                <c:pt idx="144">
                  <c:v>1.1526311466044071E-2</c:v>
                </c:pt>
                <c:pt idx="145">
                  <c:v>1.0847476899395579E-2</c:v>
                </c:pt>
                <c:pt idx="146">
                  <c:v>1.0221297832073864E-2</c:v>
                </c:pt>
                <c:pt idx="147">
                  <c:v>9.6477369368969806E-3</c:v>
                </c:pt>
                <c:pt idx="148">
                  <c:v>9.1267486866451527E-3</c:v>
                </c:pt>
                <c:pt idx="149">
                  <c:v>8.6727950403075755E-3</c:v>
                </c:pt>
                <c:pt idx="150">
                  <c:v>8.2420042185248517E-3</c:v>
                </c:pt>
                <c:pt idx="151">
                  <c:v>7.8343621614768016E-3</c:v>
                </c:pt>
                <c:pt idx="152">
                  <c:v>7.4498511238947421E-3</c:v>
                </c:pt>
                <c:pt idx="153">
                  <c:v>7.0884499819949126E-3</c:v>
                </c:pt>
                <c:pt idx="154">
                  <c:v>6.750134540457948E-3</c:v>
                </c:pt>
                <c:pt idx="155">
                  <c:v>6.4433507490537891E-3</c:v>
                </c:pt>
                <c:pt idx="156">
                  <c:v>6.1598428227097489E-3</c:v>
                </c:pt>
                <c:pt idx="157">
                  <c:v>5.8995786403947962E-3</c:v>
                </c:pt>
                <c:pt idx="158">
                  <c:v>5.6625242814851246E-3</c:v>
                </c:pt>
                <c:pt idx="159">
                  <c:v>5.4486443361817065E-3</c:v>
                </c:pt>
                <c:pt idx="160">
                  <c:v>5.2579022159996583E-3</c:v>
                </c:pt>
                <c:pt idx="161">
                  <c:v>5.0902604641918188E-3</c:v>
                </c:pt>
                <c:pt idx="162">
                  <c:v>4.9456810662040262E-3</c:v>
                </c:pt>
                <c:pt idx="163">
                  <c:v>4.828652154695497E-3</c:v>
                </c:pt>
                <c:pt idx="164">
                  <c:v>4.7247467374326299E-3</c:v>
                </c:pt>
                <c:pt idx="165">
                  <c:v>4.6339450754630668E-3</c:v>
                </c:pt>
                <c:pt idx="166">
                  <c:v>4.5562275641962482E-3</c:v>
                </c:pt>
                <c:pt idx="167">
                  <c:v>4.491574909598812E-3</c:v>
                </c:pt>
                <c:pt idx="168">
                  <c:v>4.439968304538057E-3</c:v>
                </c:pt>
                <c:pt idx="169">
                  <c:v>4.4058999658809798E-3</c:v>
                </c:pt>
                <c:pt idx="170">
                  <c:v>4.3809494186974598E-3</c:v>
                </c:pt>
                <c:pt idx="171">
                  <c:v>4.3651067911876645E-3</c:v>
                </c:pt>
                <c:pt idx="172">
                  <c:v>4.358363009634143E-3</c:v>
                </c:pt>
                <c:pt idx="173">
                  <c:v>4.3606653288509644E-3</c:v>
                </c:pt>
                <c:pt idx="174">
                  <c:v>4.3719592144595325E-3</c:v>
                </c:pt>
                <c:pt idx="175">
                  <c:v>4.392233594176149E-3</c:v>
                </c:pt>
                <c:pt idx="176">
                  <c:v>4.4214774550616785E-3</c:v>
                </c:pt>
                <c:pt idx="177">
                  <c:v>4.468045768962689E-3</c:v>
                </c:pt>
                <c:pt idx="178">
                  <c:v>4.5274256295927103E-3</c:v>
                </c:pt>
                <c:pt idx="179">
                  <c:v>4.5996007911544004E-3</c:v>
                </c:pt>
                <c:pt idx="180">
                  <c:v>4.684555373371529E-3</c:v>
                </c:pt>
                <c:pt idx="181">
                  <c:v>4.7822739369434092E-3</c:v>
                </c:pt>
                <c:pt idx="182">
                  <c:v>4.8927415590390043E-3</c:v>
                </c:pt>
                <c:pt idx="183">
                  <c:v>5.0301811576354957E-3</c:v>
                </c:pt>
                <c:pt idx="184">
                  <c:v>5.190082233995451E-3</c:v>
                </c:pt>
                <c:pt idx="185">
                  <c:v>5.3724183257287108E-3</c:v>
                </c:pt>
                <c:pt idx="186">
                  <c:v>5.5771642201944173E-3</c:v>
                </c:pt>
                <c:pt idx="187">
                  <c:v>5.8042960874576032E-3</c:v>
                </c:pt>
                <c:pt idx="188">
                  <c:v>6.0537916132853134E-3</c:v>
                </c:pt>
                <c:pt idx="189">
                  <c:v>6.3256301319657184E-3</c:v>
                </c:pt>
                <c:pt idx="190">
                  <c:v>6.619792759376554E-3</c:v>
                </c:pt>
                <c:pt idx="191">
                  <c:v>6.9443210458595521E-3</c:v>
                </c:pt>
                <c:pt idx="192">
                  <c:v>7.2908825267765766E-3</c:v>
                </c:pt>
                <c:pt idx="193">
                  <c:v>7.659465029727159E-3</c:v>
                </c:pt>
                <c:pt idx="194">
                  <c:v>8.0500586970530079E-3</c:v>
                </c:pt>
                <c:pt idx="195">
                  <c:v>8.4626561174499567E-3</c:v>
                </c:pt>
                <c:pt idx="196">
                  <c:v>8.8972524572915913E-3</c:v>
                </c:pt>
                <c:pt idx="197">
                  <c:v>9.3965653975125671E-3</c:v>
                </c:pt>
                <c:pt idx="198">
                  <c:v>9.9464038639799496E-3</c:v>
                </c:pt>
                <c:pt idx="199">
                  <c:v>1.0546745570312084E-2</c:v>
                </c:pt>
                <c:pt idx="200">
                  <c:v>1.1197574027730561E-2</c:v>
                </c:pt>
                <c:pt idx="201">
                  <c:v>1.1898878845610569E-2</c:v>
                </c:pt>
                <c:pt idx="202">
                  <c:v>1.2650656032066991E-2</c:v>
                </c:pt>
                <c:pt idx="203">
                  <c:v>1.3452908294820758E-2</c:v>
                </c:pt>
                <c:pt idx="204">
                  <c:v>1.4305622240461896E-2</c:v>
                </c:pt>
                <c:pt idx="205">
                  <c:v>1.5277742753604532E-2</c:v>
                </c:pt>
                <c:pt idx="206">
                  <c:v>1.6361203779359203E-2</c:v>
                </c:pt>
                <c:pt idx="207">
                  <c:v>1.7555972787854687E-2</c:v>
                </c:pt>
                <c:pt idx="208">
                  <c:v>1.8862024988486551E-2</c:v>
                </c:pt>
                <c:pt idx="209">
                  <c:v>2.0279342983578794E-2</c:v>
                </c:pt>
                <c:pt idx="210">
                  <c:v>2.180791642266848E-2</c:v>
                </c:pt>
                <c:pt idx="211">
                  <c:v>2.3476092428712719E-2</c:v>
                </c:pt>
                <c:pt idx="212">
                  <c:v>2.5241292488249353E-2</c:v>
                </c:pt>
                <c:pt idx="213">
                  <c:v>2.7103531786088014E-2</c:v>
                </c:pt>
                <c:pt idx="214">
                  <c:v>2.9062830151187893E-2</c:v>
                </c:pt>
                <c:pt idx="215">
                  <c:v>3.1119211754780714E-2</c:v>
                </c:pt>
                <c:pt idx="216">
                  <c:v>3.3272704808409943E-2</c:v>
                </c:pt>
                <c:pt idx="217">
                  <c:v>3.5523341262100751E-2</c:v>
                </c:pt>
                <c:pt idx="218">
                  <c:v>3.7871156502365326E-2</c:v>
                </c:pt>
                <c:pt idx="219">
                  <c:v>4.0319001516134059E-2</c:v>
                </c:pt>
                <c:pt idx="220">
                  <c:v>4.2798086537099454E-2</c:v>
                </c:pt>
                <c:pt idx="221">
                  <c:v>4.5308464372475425E-2</c:v>
                </c:pt>
                <c:pt idx="222">
                  <c:v>4.7850186472535132E-2</c:v>
                </c:pt>
                <c:pt idx="223">
                  <c:v>5.0423302834586479E-2</c:v>
                </c:pt>
                <c:pt idx="224">
                  <c:v>5.3027861905926066E-2</c:v>
                </c:pt>
                <c:pt idx="225">
                  <c:v>5.5630913585012737E-2</c:v>
                </c:pt>
                <c:pt idx="226">
                  <c:v>5.8204180694137041E-2</c:v>
                </c:pt>
                <c:pt idx="227">
                  <c:v>6.074770480017188E-2</c:v>
                </c:pt>
                <c:pt idx="228">
                  <c:v>6.3261522933243733E-2</c:v>
                </c:pt>
                <c:pt idx="229">
                  <c:v>6.5745667679871278E-2</c:v>
                </c:pt>
                <c:pt idx="230">
                  <c:v>6.8200167277018484E-2</c:v>
                </c:pt>
                <c:pt idx="231">
                  <c:v>7.0625045706454462E-2</c:v>
                </c:pt>
                <c:pt idx="232">
                  <c:v>7.3020322787660366E-2</c:v>
                </c:pt>
                <c:pt idx="233">
                  <c:v>7.5345419354709217E-2</c:v>
                </c:pt>
                <c:pt idx="234">
                  <c:v>7.7597528707982297E-2</c:v>
                </c:pt>
                <c:pt idx="235">
                  <c:v>7.9776715527760889E-2</c:v>
                </c:pt>
                <c:pt idx="236">
                  <c:v>8.188307291648847E-2</c:v>
                </c:pt>
                <c:pt idx="237">
                  <c:v>8.3916643989745146E-2</c:v>
                </c:pt>
                <c:pt idx="238">
                  <c:v>8.5877470314412854E-2</c:v>
                </c:pt>
                <c:pt idx="239">
                  <c:v>8.7737586224891487E-2</c:v>
                </c:pt>
                <c:pt idx="240">
                  <c:v>8.9530040658091517E-2</c:v>
                </c:pt>
                <c:pt idx="241">
                  <c:v>9.1254870583266437E-2</c:v>
                </c:pt>
                <c:pt idx="242">
                  <c:v>9.2912111112699688E-2</c:v>
                </c:pt>
                <c:pt idx="243">
                  <c:v>9.4501795381443723E-2</c:v>
                </c:pt>
                <c:pt idx="244">
                  <c:v>9.602395442658572E-2</c:v>
                </c:pt>
                <c:pt idx="245">
                  <c:v>9.7478617065511877E-2</c:v>
                </c:pt>
                <c:pt idx="246">
                  <c:v>9.8865809773958521E-2</c:v>
                </c:pt>
                <c:pt idx="247">
                  <c:v>0.10015441448111639</c:v>
                </c:pt>
                <c:pt idx="248">
                  <c:v>0.10138509315513794</c:v>
                </c:pt>
                <c:pt idx="249">
                  <c:v>0.10255786834413794</c:v>
                </c:pt>
                <c:pt idx="250">
                  <c:v>0.10367276026628995</c:v>
                </c:pt>
                <c:pt idx="251">
                  <c:v>0.10472978670821682</c:v>
                </c:pt>
                <c:pt idx="252">
                  <c:v>0.10572896291903316</c:v>
                </c:pt>
                <c:pt idx="253">
                  <c:v>0.10677248675004336</c:v>
                </c:pt>
                <c:pt idx="254">
                  <c:v>0.10788849989178712</c:v>
                </c:pt>
                <c:pt idx="255">
                  <c:v>0.10907709840158226</c:v>
                </c:pt>
                <c:pt idx="256">
                  <c:v>0.11033838337622265</c:v>
                </c:pt>
                <c:pt idx="257">
                  <c:v>0.11167246107612165</c:v>
                </c:pt>
                <c:pt idx="258">
                  <c:v>0.11307944305047785</c:v>
                </c:pt>
                <c:pt idx="259">
                  <c:v>0.11455944626402483</c:v>
                </c:pt>
                <c:pt idx="260">
                  <c:v>0.11611259322036886</c:v>
                </c:pt>
                <c:pt idx="261">
                  <c:v>0.11793947935966514</c:v>
                </c:pt>
                <c:pt idx="262">
                  <c:v>0.12007166131086409</c:v>
                </c:pt>
                <c:pt idx="263">
                  <c:v>0.12250949812672018</c:v>
                </c:pt>
                <c:pt idx="264">
                  <c:v>0.12525337707360115</c:v>
                </c:pt>
                <c:pt idx="265">
                  <c:v>0.12830439625494036</c:v>
                </c:pt>
                <c:pt idx="266">
                  <c:v>0.13166340341355134</c:v>
                </c:pt>
                <c:pt idx="267">
                  <c:v>0.13537338749558392</c:v>
                </c:pt>
                <c:pt idx="268">
                  <c:v>0.13933216110272589</c:v>
                </c:pt>
                <c:pt idx="269">
                  <c:v>0.14354006087999716</c:v>
                </c:pt>
                <c:pt idx="270">
                  <c:v>0.14799743024102191</c:v>
                </c:pt>
                <c:pt idx="271">
                  <c:v>0.15270461668267268</c:v>
                </c:pt>
                <c:pt idx="272">
                  <c:v>0.15766196910351185</c:v>
                </c:pt>
                <c:pt idx="273">
                  <c:v>0.16286983512036779</c:v>
                </c:pt>
                <c:pt idx="274">
                  <c:v>0.16832855838693117</c:v>
                </c:pt>
                <c:pt idx="275">
                  <c:v>0.17397446659419291</c:v>
                </c:pt>
                <c:pt idx="276">
                  <c:v>0.17960612029760067</c:v>
                </c:pt>
                <c:pt idx="277">
                  <c:v>0.18522343520541215</c:v>
                </c:pt>
                <c:pt idx="278">
                  <c:v>0.19082630171839063</c:v>
                </c:pt>
                <c:pt idx="279">
                  <c:v>0.19641458516238708</c:v>
                </c:pt>
                <c:pt idx="280">
                  <c:v>0.20198812602270733</c:v>
                </c:pt>
                <c:pt idx="281">
                  <c:v>0.20751329857795944</c:v>
                </c:pt>
                <c:pt idx="282">
                  <c:v>0.2129469222623549</c:v>
                </c:pt>
                <c:pt idx="283">
                  <c:v>0.21828864451623883</c:v>
                </c:pt>
                <c:pt idx="284">
                  <c:v>0.22353808890361748</c:v>
                </c:pt>
                <c:pt idx="285">
                  <c:v>0.22869485618018637</c:v>
                </c:pt>
                <c:pt idx="286">
                  <c:v>0.23375852536349262</c:v>
                </c:pt>
                <c:pt idx="287">
                  <c:v>0.23872865480092653</c:v>
                </c:pt>
                <c:pt idx="288">
                  <c:v>0.24360478323853099</c:v>
                </c:pt>
                <c:pt idx="289">
                  <c:v>0.24840034981437739</c:v>
                </c:pt>
                <c:pt idx="290">
                  <c:v>0.25317938134509488</c:v>
                </c:pt>
                <c:pt idx="291">
                  <c:v>0.25794147966146735</c:v>
                </c:pt>
                <c:pt idx="292">
                  <c:v>0.26268622722211071</c:v>
                </c:pt>
                <c:pt idx="293">
                  <c:v>0.2674131873286919</c:v>
                </c:pt>
                <c:pt idx="294">
                  <c:v>0.27212190434019351</c:v>
                </c:pt>
                <c:pt idx="295">
                  <c:v>0.27678960073839193</c:v>
                </c:pt>
                <c:pt idx="296">
                  <c:v>0.28145285526368991</c:v>
                </c:pt>
                <c:pt idx="297">
                  <c:v>0.28611374904678893</c:v>
                </c:pt>
                <c:pt idx="298">
                  <c:v>0.29077209423022182</c:v>
                </c:pt>
                <c:pt idx="299">
                  <c:v>0.29542768593921825</c:v>
                </c:pt>
                <c:pt idx="300">
                  <c:v>0.30008030235959321</c:v>
                </c:pt>
                <c:pt idx="301">
                  <c:v>0.30472970481475986</c:v>
                </c:pt>
                <c:pt idx="302">
                  <c:v>0.309375637843401</c:v>
                </c:pt>
                <c:pt idx="303">
                  <c:v>0.31399887196597176</c:v>
                </c:pt>
                <c:pt idx="304">
                  <c:v>0.31858507358943217</c:v>
                </c:pt>
                <c:pt idx="305">
                  <c:v>0.3231338903153253</c:v>
                </c:pt>
                <c:pt idx="306">
                  <c:v>0.3276449536447027</c:v>
                </c:pt>
                <c:pt idx="307">
                  <c:v>0.33211787935967868</c:v>
                </c:pt>
                <c:pt idx="308">
                  <c:v>0.33655226790220921</c:v>
                </c:pt>
                <c:pt idx="309">
                  <c:v>0.34095799163489349</c:v>
                </c:pt>
                <c:pt idx="310">
                  <c:v>0.34535712435635219</c:v>
                </c:pt>
                <c:pt idx="311">
                  <c:v>0.34974926698907249</c:v>
                </c:pt>
                <c:pt idx="312">
                  <c:v>0.35413400521663602</c:v>
                </c:pt>
                <c:pt idx="313">
                  <c:v>0.35851090956525994</c:v>
                </c:pt>
                <c:pt idx="314">
                  <c:v>0.3628795354821297</c:v>
                </c:pt>
                <c:pt idx="315">
                  <c:v>0.36723942341821886</c:v>
                </c:pt>
                <c:pt idx="316">
                  <c:v>0.37159009890555961</c:v>
                </c:pt>
                <c:pt idx="317">
                  <c:v>0.37587703147578472</c:v>
                </c:pt>
                <c:pt idx="318">
                  <c:v>0.38011873884438452</c:v>
                </c:pt>
                <c:pt idx="319">
                  <c:v>0.38431466581095225</c:v>
                </c:pt>
                <c:pt idx="320">
                  <c:v>0.38846424578305533</c:v>
                </c:pt>
                <c:pt idx="321">
                  <c:v>0.39256690117723542</c:v>
                </c:pt>
                <c:pt idx="322">
                  <c:v>0.39662204382175076</c:v>
                </c:pt>
                <c:pt idx="323">
                  <c:v>0.40062247657551292</c:v>
                </c:pt>
                <c:pt idx="324">
                  <c:v>0.40455723900108037</c:v>
                </c:pt>
                <c:pt idx="325">
                  <c:v>0.40842567647638939</c:v>
                </c:pt>
                <c:pt idx="326">
                  <c:v>0.41222456266611424</c:v>
                </c:pt>
                <c:pt idx="327">
                  <c:v>0.41595229677688583</c:v>
                </c:pt>
                <c:pt idx="328">
                  <c:v>0.41960939489764182</c:v>
                </c:pt>
                <c:pt idx="329">
                  <c:v>0.42319641304757089</c:v>
                </c:pt>
                <c:pt idx="330">
                  <c:v>0.42671394590693162</c:v>
                </c:pt>
                <c:pt idx="331">
                  <c:v>0.43008706626688192</c:v>
                </c:pt>
                <c:pt idx="332">
                  <c:v>0.43337066572072747</c:v>
                </c:pt>
                <c:pt idx="333">
                  <c:v>0.436565445930787</c:v>
                </c:pt>
                <c:pt idx="334">
                  <c:v>0.43967214339310973</c:v>
                </c:pt>
                <c:pt idx="335">
                  <c:v>0.44269152773188991</c:v>
                </c:pt>
                <c:pt idx="336">
                  <c:v>0.44562439998816722</c:v>
                </c:pt>
                <c:pt idx="337">
                  <c:v>0.44834818221112133</c:v>
                </c:pt>
                <c:pt idx="338">
                  <c:v>0.45087033446512242</c:v>
                </c:pt>
                <c:pt idx="339">
                  <c:v>0.45319173459341933</c:v>
                </c:pt>
                <c:pt idx="340">
                  <c:v>0.45531328545810651</c:v>
                </c:pt>
                <c:pt idx="341">
                  <c:v>0.45723591080416209</c:v>
                </c:pt>
                <c:pt idx="342">
                  <c:v>0.45896055112317136</c:v>
                </c:pt>
                <c:pt idx="343">
                  <c:v>0.46048815951152139</c:v>
                </c:pt>
                <c:pt idx="344">
                  <c:v>0.46181969753576396</c:v>
                </c:pt>
                <c:pt idx="345">
                  <c:v>0.46295613109315309</c:v>
                </c:pt>
                <c:pt idx="346">
                  <c:v>0.46394898893484365</c:v>
                </c:pt>
                <c:pt idx="347">
                  <c:v>0.46479924328178684</c:v>
                </c:pt>
                <c:pt idx="348">
                  <c:v>0.46550786268589056</c:v>
                </c:pt>
                <c:pt idx="349">
                  <c:v>0.46607580893944117</c:v>
                </c:pt>
                <c:pt idx="350">
                  <c:v>0.46650403399541635</c:v>
                </c:pt>
                <c:pt idx="351">
                  <c:v>0.46676841746939729</c:v>
                </c:pt>
                <c:pt idx="352">
                  <c:v>0.46699339565792092</c:v>
                </c:pt>
                <c:pt idx="353">
                  <c:v>0.46717992514020262</c:v>
                </c:pt>
                <c:pt idx="354">
                  <c:v>0.46732895605395952</c:v>
                </c:pt>
                <c:pt idx="355">
                  <c:v>0.46744143103072616</c:v>
                </c:pt>
                <c:pt idx="356">
                  <c:v>0.46751860723700184</c:v>
                </c:pt>
                <c:pt idx="357">
                  <c:v>0.4675603673623881</c:v>
                </c:pt>
                <c:pt idx="358">
                  <c:v>0.467565458673248</c:v>
                </c:pt>
                <c:pt idx="359">
                  <c:v>0.46753262095572468</c:v>
                </c:pt>
                <c:pt idx="360">
                  <c:v>0.46733677945377766</c:v>
                </c:pt>
                <c:pt idx="361">
                  <c:v>0.46700164363593394</c:v>
                </c:pt>
                <c:pt idx="362">
                  <c:v>0.46652580628469204</c:v>
                </c:pt>
                <c:pt idx="363">
                  <c:v>0.46590784948558278</c:v>
                </c:pt>
                <c:pt idx="364">
                  <c:v>0.46514634844633584</c:v>
                </c:pt>
                <c:pt idx="365">
                  <c:v>0.46423987531026545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0.61213593049044202</c:v>
                </c:pt>
                <c:pt idx="1">
                  <c:v>0.61093927665109116</c:v>
                </c:pt>
                <c:pt idx="2">
                  <c:v>0.60951093453466321</c:v>
                </c:pt>
                <c:pt idx="3">
                  <c:v>0.60784898808281185</c:v>
                </c:pt>
                <c:pt idx="4">
                  <c:v>0.60595153513752509</c:v>
                </c:pt>
                <c:pt idx="5">
                  <c:v>0.60381669340805411</c:v>
                </c:pt>
                <c:pt idx="6">
                  <c:v>0.60144260644556458</c:v>
                </c:pt>
                <c:pt idx="7">
                  <c:v>0.59882744960415391</c:v>
                </c:pt>
                <c:pt idx="8">
                  <c:v>0.59596943601038721</c:v>
                </c:pt>
                <c:pt idx="9">
                  <c:v>0.59285627812426034</c:v>
                </c:pt>
                <c:pt idx="10">
                  <c:v>0.58960961750195495</c:v>
                </c:pt>
                <c:pt idx="11">
                  <c:v>0.58622795743364342</c:v>
                </c:pt>
                <c:pt idx="12">
                  <c:v>0.58270984981094298</c:v>
                </c:pt>
                <c:pt idx="13">
                  <c:v>0.57905389822922404</c:v>
                </c:pt>
                <c:pt idx="14">
                  <c:v>0.57525876108002583</c:v>
                </c:pt>
                <c:pt idx="15">
                  <c:v>0.57131066333388303</c:v>
                </c:pt>
                <c:pt idx="16">
                  <c:v>0.56732008244492682</c:v>
                </c:pt>
                <c:pt idx="17">
                  <c:v>0.56328593838926533</c:v>
                </c:pt>
                <c:pt idx="18">
                  <c:v>0.55920719786649742</c:v>
                </c:pt>
                <c:pt idx="19">
                  <c:v>0.55508597108799584</c:v>
                </c:pt>
                <c:pt idx="20">
                  <c:v>0.55092571140538971</c:v>
                </c:pt>
                <c:pt idx="21">
                  <c:v>0.54672742235804295</c:v>
                </c:pt>
                <c:pt idx="22">
                  <c:v>0.54249208958439443</c:v>
                </c:pt>
                <c:pt idx="23">
                  <c:v>0.53817296399943182</c:v>
                </c:pt>
                <c:pt idx="24">
                  <c:v>0.53378156883429728</c:v>
                </c:pt>
                <c:pt idx="25">
                  <c:v>0.52931883078092601</c:v>
                </c:pt>
                <c:pt idx="26">
                  <c:v>0.52478566133913052</c:v>
                </c:pt>
                <c:pt idx="27">
                  <c:v>0.52018295605815457</c:v>
                </c:pt>
                <c:pt idx="28">
                  <c:v>0.51551159378962941</c:v>
                </c:pt>
                <c:pt idx="29">
                  <c:v>0.51064650415760027</c:v>
                </c:pt>
                <c:pt idx="30">
                  <c:v>0.50560105126428689</c:v>
                </c:pt>
                <c:pt idx="31">
                  <c:v>0.50037607604684387</c:v>
                </c:pt>
                <c:pt idx="32">
                  <c:v>0.49497240655584318</c:v>
                </c:pt>
                <c:pt idx="33">
                  <c:v>0.48939085578334951</c:v>
                </c:pt>
                <c:pt idx="34">
                  <c:v>0.48363221949326135</c:v>
                </c:pt>
                <c:pt idx="35">
                  <c:v>0.47769727405117918</c:v>
                </c:pt>
                <c:pt idx="36">
                  <c:v>0.47158677425324469</c:v>
                </c:pt>
                <c:pt idx="37">
                  <c:v>0.46530578185406307</c:v>
                </c:pt>
                <c:pt idx="38">
                  <c:v>0.45890270030146207</c:v>
                </c:pt>
                <c:pt idx="39">
                  <c:v>0.45237819285268194</c:v>
                </c:pt>
                <c:pt idx="40">
                  <c:v>0.44573289223266183</c:v>
                </c:pt>
                <c:pt idx="41">
                  <c:v>0.43896739911665744</c:v>
                </c:pt>
                <c:pt idx="42">
                  <c:v>0.43208228060962295</c:v>
                </c:pt>
                <c:pt idx="43">
                  <c:v>0.42523005262176189</c:v>
                </c:pt>
                <c:pt idx="44">
                  <c:v>0.41853697173982524</c:v>
                </c:pt>
                <c:pt idx="45">
                  <c:v>0.41200343494210845</c:v>
                </c:pt>
                <c:pt idx="46">
                  <c:v>0.4056298112348049</c:v>
                </c:pt>
                <c:pt idx="47">
                  <c:v>0.39941644361108342</c:v>
                </c:pt>
                <c:pt idx="48">
                  <c:v>0.39336365100474741</c:v>
                </c:pt>
                <c:pt idx="49">
                  <c:v>0.38747173024761256</c:v>
                </c:pt>
                <c:pt idx="50">
                  <c:v>0.38174095802442581</c:v>
                </c:pt>
                <c:pt idx="51">
                  <c:v>0.37616891722014373</c:v>
                </c:pt>
                <c:pt idx="52">
                  <c:v>0.37074948550061598</c:v>
                </c:pt>
                <c:pt idx="53">
                  <c:v>0.36548057306251419</c:v>
                </c:pt>
                <c:pt idx="54">
                  <c:v>0.36036199294959381</c:v>
                </c:pt>
                <c:pt idx="55">
                  <c:v>0.3553935684617055</c:v>
                </c:pt>
                <c:pt idx="56">
                  <c:v>0.3505751326025271</c:v>
                </c:pt>
                <c:pt idx="57">
                  <c:v>0.34579833533446919</c:v>
                </c:pt>
                <c:pt idx="58">
                  <c:v>0.34091110729788737</c:v>
                </c:pt>
                <c:pt idx="59">
                  <c:v>0.33591330202949049</c:v>
                </c:pt>
                <c:pt idx="60">
                  <c:v>0.33080477970271666</c:v>
                </c:pt>
                <c:pt idx="61">
                  <c:v>0.32558540753801324</c:v>
                </c:pt>
                <c:pt idx="62">
                  <c:v>0.3202550602126264</c:v>
                </c:pt>
                <c:pt idx="63">
                  <c:v>0.31481362027137194</c:v>
                </c:pt>
                <c:pt idx="64">
                  <c:v>0.3092609785361124</c:v>
                </c:pt>
                <c:pt idx="65">
                  <c:v>0.30352427251331193</c:v>
                </c:pt>
                <c:pt idx="66">
                  <c:v>0.29760608585381026</c:v>
                </c:pt>
                <c:pt idx="67">
                  <c:v>0.29150633684595134</c:v>
                </c:pt>
                <c:pt idx="68">
                  <c:v>0.28522495477447313</c:v>
                </c:pt>
                <c:pt idx="69">
                  <c:v>0.27876188058900064</c:v>
                </c:pt>
                <c:pt idx="70">
                  <c:v>0.27211706757393156</c:v>
                </c:pt>
                <c:pt idx="71">
                  <c:v>0.26535620070827831</c:v>
                </c:pt>
                <c:pt idx="72">
                  <c:v>0.25858745138576228</c:v>
                </c:pt>
                <c:pt idx="73">
                  <c:v>0.25181080359424385</c:v>
                </c:pt>
                <c:pt idx="74">
                  <c:v>0.24502625151324406</c:v>
                </c:pt>
                <c:pt idx="75">
                  <c:v>0.2382337995403794</c:v>
                </c:pt>
                <c:pt idx="76">
                  <c:v>0.23143346231701509</c:v>
                </c:pt>
                <c:pt idx="77">
                  <c:v>0.22462526475471364</c:v>
                </c:pt>
                <c:pt idx="78">
                  <c:v>0.21780924929238102</c:v>
                </c:pt>
                <c:pt idx="79">
                  <c:v>0.21117632705246084</c:v>
                </c:pt>
                <c:pt idx="80">
                  <c:v>0.20479974338481599</c:v>
                </c:pt>
                <c:pt idx="81">
                  <c:v>0.19867939962957995</c:v>
                </c:pt>
                <c:pt idx="82">
                  <c:v>0.19281520454643505</c:v>
                </c:pt>
                <c:pt idx="83">
                  <c:v>0.18720707349521393</c:v>
                </c:pt>
                <c:pt idx="84">
                  <c:v>0.18185492761713742</c:v>
                </c:pt>
                <c:pt idx="85">
                  <c:v>0.17687258003649506</c:v>
                </c:pt>
                <c:pt idx="86">
                  <c:v>0.17219426283354014</c:v>
                </c:pt>
                <c:pt idx="87">
                  <c:v>0.16781990064292476</c:v>
                </c:pt>
                <c:pt idx="88">
                  <c:v>0.16374941970023699</c:v>
                </c:pt>
                <c:pt idx="89">
                  <c:v>0.15998274686839695</c:v>
                </c:pt>
                <c:pt idx="90">
                  <c:v>0.15651980866371629</c:v>
                </c:pt>
                <c:pt idx="91">
                  <c:v>0.15336053028257174</c:v>
                </c:pt>
                <c:pt idx="92">
                  <c:v>0.15050483462763234</c:v>
                </c:pt>
                <c:pt idx="93">
                  <c:v>0.14796412348008683</c:v>
                </c:pt>
                <c:pt idx="94">
                  <c:v>0.14554844100474582</c:v>
                </c:pt>
                <c:pt idx="95">
                  <c:v>0.14325774340762495</c:v>
                </c:pt>
                <c:pt idx="96">
                  <c:v>0.14109198623997052</c:v>
                </c:pt>
                <c:pt idx="97">
                  <c:v>0.13905112399734348</c:v>
                </c:pt>
                <c:pt idx="98">
                  <c:v>0.13713510971741297</c:v>
                </c:pt>
                <c:pt idx="99">
                  <c:v>0.13529223213318028</c:v>
                </c:pt>
                <c:pt idx="100">
                  <c:v>0.1334087074599222</c:v>
                </c:pt>
                <c:pt idx="101">
                  <c:v>0.13148454369530968</c:v>
                </c:pt>
                <c:pt idx="102">
                  <c:v>0.1295197528976092</c:v>
                </c:pt>
                <c:pt idx="103">
                  <c:v>0.1275143513132784</c:v>
                </c:pt>
                <c:pt idx="104">
                  <c:v>0.12546835950761506</c:v>
                </c:pt>
                <c:pt idx="105">
                  <c:v>0.12338180249257701</c:v>
                </c:pt>
                <c:pt idx="106">
                  <c:v>0.12125470985615867</c:v>
                </c:pt>
                <c:pt idx="107">
                  <c:v>0.11902459271731264</c:v>
                </c:pt>
                <c:pt idx="108">
                  <c:v>0.11668006320023798</c:v>
                </c:pt>
                <c:pt idx="109">
                  <c:v>0.11422120896323912</c:v>
                </c:pt>
                <c:pt idx="110">
                  <c:v>0.1116484451162727</c:v>
                </c:pt>
                <c:pt idx="111">
                  <c:v>0.10896217372418697</c:v>
                </c:pt>
                <c:pt idx="112">
                  <c:v>0.10616247385518253</c:v>
                </c:pt>
                <c:pt idx="113">
                  <c:v>0.10323478645520474</c:v>
                </c:pt>
                <c:pt idx="114">
                  <c:v>0.10023074342900244</c:v>
                </c:pt>
                <c:pt idx="115">
                  <c:v>9.7150416898164352E-2</c:v>
                </c:pt>
                <c:pt idx="116">
                  <c:v>9.3993883998061675E-2</c:v>
                </c:pt>
                <c:pt idx="117">
                  <c:v>9.0761227047144399E-2</c:v>
                </c:pt>
                <c:pt idx="118">
                  <c:v>8.7452533715211903E-2</c:v>
                </c:pt>
                <c:pt idx="119">
                  <c:v>8.4067897191978089E-2</c:v>
                </c:pt>
                <c:pt idx="120">
                  <c:v>8.0607416355506362E-2</c:v>
                </c:pt>
                <c:pt idx="121">
                  <c:v>7.7088486705377032E-2</c:v>
                </c:pt>
                <c:pt idx="122">
                  <c:v>7.357352234304422E-2</c:v>
                </c:pt>
                <c:pt idx="123">
                  <c:v>7.0062575776174627E-2</c:v>
                </c:pt>
                <c:pt idx="124">
                  <c:v>6.6555702463350824E-2</c:v>
                </c:pt>
                <c:pt idx="125">
                  <c:v>6.3052960808808137E-2</c:v>
                </c:pt>
                <c:pt idx="126">
                  <c:v>5.9554412156166248E-2</c:v>
                </c:pt>
                <c:pt idx="127">
                  <c:v>5.6152129304696187E-2</c:v>
                </c:pt>
                <c:pt idx="128">
                  <c:v>5.2860682104862833E-2</c:v>
                </c:pt>
                <c:pt idx="129">
                  <c:v>4.9680037750840816E-2</c:v>
                </c:pt>
                <c:pt idx="130">
                  <c:v>4.6610160875876404E-2</c:v>
                </c:pt>
                <c:pt idx="131">
                  <c:v>4.3651013311943689E-2</c:v>
                </c:pt>
                <c:pt idx="132">
                  <c:v>4.0802553849986899E-2</c:v>
                </c:pt>
                <c:pt idx="133">
                  <c:v>3.8064738000411012E-2</c:v>
                </c:pt>
                <c:pt idx="134">
                  <c:v>3.5437517753298696E-2</c:v>
                </c:pt>
                <c:pt idx="135">
                  <c:v>3.3000823303582373E-2</c:v>
                </c:pt>
                <c:pt idx="136">
                  <c:v>3.0737299098774967E-2</c:v>
                </c:pt>
                <c:pt idx="137">
                  <c:v>2.8646809393134087E-2</c:v>
                </c:pt>
                <c:pt idx="138">
                  <c:v>2.6729210041821314E-2</c:v>
                </c:pt>
                <c:pt idx="139">
                  <c:v>2.498434812373285E-2</c:v>
                </c:pt>
                <c:pt idx="140">
                  <c:v>2.3412061562760083E-2</c:v>
                </c:pt>
                <c:pt idx="141">
                  <c:v>2.2021880364308147E-2</c:v>
                </c:pt>
                <c:pt idx="142">
                  <c:v>2.0721999156847897E-2</c:v>
                </c:pt>
                <c:pt idx="143">
                  <c:v>1.9512270276320531E-2</c:v>
                </c:pt>
                <c:pt idx="144">
                  <c:v>1.8392668892261949E-2</c:v>
                </c:pt>
                <c:pt idx="145">
                  <c:v>1.7363153240544483E-2</c:v>
                </c:pt>
                <c:pt idx="146">
                  <c:v>1.6423665825017558E-2</c:v>
                </c:pt>
                <c:pt idx="147">
                  <c:v>1.557413461977007E-2</c:v>
                </c:pt>
                <c:pt idx="148">
                  <c:v>1.4814474270945878E-2</c:v>
                </c:pt>
                <c:pt idx="149">
                  <c:v>1.4155226054384918E-2</c:v>
                </c:pt>
                <c:pt idx="150">
                  <c:v>1.3516850276748545E-2</c:v>
                </c:pt>
                <c:pt idx="151">
                  <c:v>1.2899351368443149E-2</c:v>
                </c:pt>
                <c:pt idx="152">
                  <c:v>1.2302729121190473E-2</c:v>
                </c:pt>
                <c:pt idx="153">
                  <c:v>1.1726978961761635E-2</c:v>
                </c:pt>
                <c:pt idx="154">
                  <c:v>1.1172092225786844E-2</c:v>
                </c:pt>
                <c:pt idx="155">
                  <c:v>1.065576031909376E-2</c:v>
                </c:pt>
                <c:pt idx="156">
                  <c:v>1.0168313294430591E-2</c:v>
                </c:pt>
                <c:pt idx="157">
                  <c:v>9.7097163864086605E-3</c:v>
                </c:pt>
                <c:pt idx="158">
                  <c:v>9.2799318726748178E-3</c:v>
                </c:pt>
                <c:pt idx="159">
                  <c:v>8.8789194569814326E-3</c:v>
                </c:pt>
                <c:pt idx="160">
                  <c:v>8.5066366523742897E-3</c:v>
                </c:pt>
                <c:pt idx="161">
                  <c:v>8.163039164272393E-3</c:v>
                </c:pt>
                <c:pt idx="162">
                  <c:v>7.8480812735999429E-3</c:v>
                </c:pt>
                <c:pt idx="163">
                  <c:v>7.5734357171190038E-3</c:v>
                </c:pt>
                <c:pt idx="164">
                  <c:v>7.3284932909618156E-3</c:v>
                </c:pt>
                <c:pt idx="165">
                  <c:v>7.1132044573563131E-3</c:v>
                </c:pt>
                <c:pt idx="166">
                  <c:v>6.9275199186422881E-3</c:v>
                </c:pt>
                <c:pt idx="167">
                  <c:v>6.7713910162370524E-3</c:v>
                </c:pt>
                <c:pt idx="168">
                  <c:v>6.6447701298283507E-3</c:v>
                </c:pt>
                <c:pt idx="169">
                  <c:v>6.5592890600087959E-3</c:v>
                </c:pt>
                <c:pt idx="170">
                  <c:v>6.4973415907888443E-3</c:v>
                </c:pt>
                <c:pt idx="171">
                  <c:v>6.4588955433866899E-3</c:v>
                </c:pt>
                <c:pt idx="172">
                  <c:v>6.4439208053611446E-3</c:v>
                </c:pt>
                <c:pt idx="173">
                  <c:v>6.452323667218496E-3</c:v>
                </c:pt>
                <c:pt idx="174">
                  <c:v>6.4840083101863621E-3</c:v>
                </c:pt>
                <c:pt idx="175">
                  <c:v>6.5389432321171772E-3</c:v>
                </c:pt>
                <c:pt idx="176">
                  <c:v>6.6170970844711997E-3</c:v>
                </c:pt>
                <c:pt idx="177">
                  <c:v>6.7359190459972303E-3</c:v>
                </c:pt>
                <c:pt idx="178">
                  <c:v>6.8837279936670394E-3</c:v>
                </c:pt>
                <c:pt idx="179">
                  <c:v>7.0604852489386987E-3</c:v>
                </c:pt>
                <c:pt idx="180">
                  <c:v>7.2661529882440366E-3</c:v>
                </c:pt>
                <c:pt idx="181">
                  <c:v>7.50069441383866E-3</c:v>
                </c:pt>
                <c:pt idx="182">
                  <c:v>7.7640739247123404E-3</c:v>
                </c:pt>
                <c:pt idx="183">
                  <c:v>8.0666924771369119E-3</c:v>
                </c:pt>
                <c:pt idx="184">
                  <c:v>8.3969122944497904E-3</c:v>
                </c:pt>
                <c:pt idx="185">
                  <c:v>8.7547042273609481E-3</c:v>
                </c:pt>
                <c:pt idx="186">
                  <c:v>9.1400409840802829E-3</c:v>
                </c:pt>
                <c:pt idx="187">
                  <c:v>9.5528972944046216E-3</c:v>
                </c:pt>
                <c:pt idx="188">
                  <c:v>9.9932500738715742E-3</c:v>
                </c:pt>
                <c:pt idx="189">
                  <c:v>1.0461078587621901E-2</c:v>
                </c:pt>
                <c:pt idx="190">
                  <c:v>1.0956364614672316E-2</c:v>
                </c:pt>
                <c:pt idx="191">
                  <c:v>1.1488535154422415E-2</c:v>
                </c:pt>
                <c:pt idx="192">
                  <c:v>1.2040207420206735E-2</c:v>
                </c:pt>
                <c:pt idx="193">
                  <c:v>1.2611381587461478E-2</c:v>
                </c:pt>
                <c:pt idx="194">
                  <c:v>1.3202060474870507E-2</c:v>
                </c:pt>
                <c:pt idx="195">
                  <c:v>1.381224966187823E-2</c:v>
                </c:pt>
                <c:pt idx="196">
                  <c:v>1.4441957605727258E-2</c:v>
                </c:pt>
                <c:pt idx="197">
                  <c:v>1.5168673795888406E-2</c:v>
                </c:pt>
                <c:pt idx="198">
                  <c:v>1.59819639253703E-2</c:v>
                </c:pt>
                <c:pt idx="199">
                  <c:v>1.6881783775595415E-2</c:v>
                </c:pt>
                <c:pt idx="200">
                  <c:v>1.7868098749141758E-2</c:v>
                </c:pt>
                <c:pt idx="201">
                  <c:v>1.8940884384282649E-2</c:v>
                </c:pt>
                <c:pt idx="202">
                  <c:v>2.0100126869586215E-2</c:v>
                </c:pt>
                <c:pt idx="203">
                  <c:v>2.1345823558959736E-2</c:v>
                </c:pt>
                <c:pt idx="204">
                  <c:v>2.2677946864940606E-2</c:v>
                </c:pt>
                <c:pt idx="205">
                  <c:v>2.4185142760772341E-2</c:v>
                </c:pt>
                <c:pt idx="206">
                  <c:v>2.5857949217031814E-2</c:v>
                </c:pt>
                <c:pt idx="207">
                  <c:v>2.7696319935660522E-2</c:v>
                </c:pt>
                <c:pt idx="208">
                  <c:v>2.9700220054373342E-2</c:v>
                </c:pt>
                <c:pt idx="209">
                  <c:v>3.1869625631464109E-2</c:v>
                </c:pt>
                <c:pt idx="210">
                  <c:v>3.4204523131592453E-2</c:v>
                </c:pt>
                <c:pt idx="211">
                  <c:v>3.6721528810940297E-2</c:v>
                </c:pt>
                <c:pt idx="212">
                  <c:v>3.9343436314473609E-2</c:v>
                </c:pt>
                <c:pt idx="213">
                  <c:v>4.2070284106533136E-2</c:v>
                </c:pt>
                <c:pt idx="214">
                  <c:v>4.490211478949311E-2</c:v>
                </c:pt>
                <c:pt idx="215">
                  <c:v>4.7838974777186384E-2</c:v>
                </c:pt>
                <c:pt idx="216">
                  <c:v>5.0880913968199097E-2</c:v>
                </c:pt>
                <c:pt idx="217">
                  <c:v>5.4027985419364773E-2</c:v>
                </c:pt>
                <c:pt idx="218">
                  <c:v>5.728024501900391E-2</c:v>
                </c:pt>
                <c:pt idx="219">
                  <c:v>6.062371333423603E-2</c:v>
                </c:pt>
                <c:pt idx="220">
                  <c:v>6.3969942155206558E-2</c:v>
                </c:pt>
                <c:pt idx="221">
                  <c:v>6.7319007248374266E-2</c:v>
                </c:pt>
                <c:pt idx="222">
                  <c:v>7.0670980358181326E-2</c:v>
                </c:pt>
                <c:pt idx="223">
                  <c:v>7.4025929200190826E-2</c:v>
                </c:pt>
                <c:pt idx="224">
                  <c:v>7.7383917452694254E-2</c:v>
                </c:pt>
                <c:pt idx="225">
                  <c:v>8.0685149639792134E-2</c:v>
                </c:pt>
                <c:pt idx="226">
                  <c:v>8.3913078480308878E-2</c:v>
                </c:pt>
                <c:pt idx="227">
                  <c:v>8.7067753015349636E-2</c:v>
                </c:pt>
                <c:pt idx="228">
                  <c:v>9.014921499868761E-2</c:v>
                </c:pt>
                <c:pt idx="229">
                  <c:v>9.3157499125449628E-2</c:v>
                </c:pt>
                <c:pt idx="230">
                  <c:v>9.6092633262123514E-2</c:v>
                </c:pt>
                <c:pt idx="231">
                  <c:v>9.8954638676983619E-2</c:v>
                </c:pt>
                <c:pt idx="232">
                  <c:v>0.10174353026846698</c:v>
                </c:pt>
                <c:pt idx="233">
                  <c:v>0.10440990645549177</c:v>
                </c:pt>
                <c:pt idx="234">
                  <c:v>0.10696780112993914</c:v>
                </c:pt>
                <c:pt idx="235">
                  <c:v>0.1094172933246617</c:v>
                </c:pt>
                <c:pt idx="236">
                  <c:v>0.11175849952398477</c:v>
                </c:pt>
                <c:pt idx="237">
                  <c:v>0.11399146624775652</c:v>
                </c:pt>
                <c:pt idx="238">
                  <c:v>0.1161162371616931</c:v>
                </c:pt>
                <c:pt idx="239">
                  <c:v>0.11814383252634192</c:v>
                </c:pt>
                <c:pt idx="240">
                  <c:v>0.12013418670085846</c:v>
                </c:pt>
                <c:pt idx="241">
                  <c:v>0.12208735447358582</c:v>
                </c:pt>
                <c:pt idx="242">
                  <c:v>0.124003390283333</c:v>
                </c:pt>
                <c:pt idx="243">
                  <c:v>0.12588234815263849</c:v>
                </c:pt>
                <c:pt idx="244">
                  <c:v>0.12772428162038776</c:v>
                </c:pt>
                <c:pt idx="245">
                  <c:v>0.12952924367309912</c:v>
                </c:pt>
                <c:pt idx="246">
                  <c:v>0.13129728667593335</c:v>
                </c:pt>
                <c:pt idx="247">
                  <c:v>0.13313741086942804</c:v>
                </c:pt>
                <c:pt idx="248">
                  <c:v>0.13509920098210124</c:v>
                </c:pt>
                <c:pt idx="249">
                  <c:v>0.13718278755693825</c:v>
                </c:pt>
                <c:pt idx="250">
                  <c:v>0.13938830896045576</c:v>
                </c:pt>
                <c:pt idx="251">
                  <c:v>0.14171591159780186</c:v>
                </c:pt>
                <c:pt idx="252">
                  <c:v>0.14416575012205926</c:v>
                </c:pt>
                <c:pt idx="253">
                  <c:v>0.14691992428657411</c:v>
                </c:pt>
                <c:pt idx="254">
                  <c:v>0.14996771666531397</c:v>
                </c:pt>
                <c:pt idx="255">
                  <c:v>0.15330942621755442</c:v>
                </c:pt>
                <c:pt idx="256">
                  <c:v>0.1569453715218008</c:v>
                </c:pt>
                <c:pt idx="257">
                  <c:v>0.16087589128702329</c:v>
                </c:pt>
                <c:pt idx="258">
                  <c:v>0.16510134486528349</c:v>
                </c:pt>
                <c:pt idx="259">
                  <c:v>0.16962211276670927</c:v>
                </c:pt>
                <c:pt idx="260">
                  <c:v>0.17443859716955487</c:v>
                </c:pt>
                <c:pt idx="261">
                  <c:v>0.17961424812883631</c:v>
                </c:pt>
                <c:pt idx="262">
                  <c:v>0.18504025702788049</c:v>
                </c:pt>
                <c:pt idx="263">
                  <c:v>0.19071705388179613</c:v>
                </c:pt>
                <c:pt idx="264">
                  <c:v>0.19664509871219335</c:v>
                </c:pt>
                <c:pt idx="265">
                  <c:v>0.20282596056653104</c:v>
                </c:pt>
                <c:pt idx="266">
                  <c:v>0.20926081866838134</c:v>
                </c:pt>
                <c:pt idx="267">
                  <c:v>0.21588016216024827</c:v>
                </c:pt>
                <c:pt idx="268">
                  <c:v>0.22250158787218224</c:v>
                </c:pt>
                <c:pt idx="269">
                  <c:v>0.22912518613195595</c:v>
                </c:pt>
                <c:pt idx="270">
                  <c:v>0.23575101780694185</c:v>
                </c:pt>
                <c:pt idx="271">
                  <c:v>0.24237911437413115</c:v>
                </c:pt>
                <c:pt idx="272">
                  <c:v>0.24900947799620732</c:v>
                </c:pt>
                <c:pt idx="273">
                  <c:v>0.25564208159466101</c:v>
                </c:pt>
                <c:pt idx="274">
                  <c:v>0.26227686892610791</c:v>
                </c:pt>
                <c:pt idx="275">
                  <c:v>0.26880941999511104</c:v>
                </c:pt>
                <c:pt idx="276">
                  <c:v>0.27517606175786435</c:v>
                </c:pt>
                <c:pt idx="277">
                  <c:v>0.28137639683648652</c:v>
                </c:pt>
                <c:pt idx="278">
                  <c:v>0.28740999256434963</c:v>
                </c:pt>
                <c:pt idx="279">
                  <c:v>0.29327638290087121</c:v>
                </c:pt>
                <c:pt idx="280">
                  <c:v>0.29897507034899584</c:v>
                </c:pt>
                <c:pt idx="281">
                  <c:v>0.30450293981191573</c:v>
                </c:pt>
                <c:pt idx="282">
                  <c:v>0.30992984746909097</c:v>
                </c:pt>
                <c:pt idx="283">
                  <c:v>0.31525531930382161</c:v>
                </c:pt>
                <c:pt idx="284">
                  <c:v>0.3204788576175216</c:v>
                </c:pt>
                <c:pt idx="285">
                  <c:v>0.32559994220245198</c:v>
                </c:pt>
                <c:pt idx="286">
                  <c:v>0.33061803151751484</c:v>
                </c:pt>
                <c:pt idx="287">
                  <c:v>0.33553256386091568</c:v>
                </c:pt>
                <c:pt idx="288">
                  <c:v>0.34034295854401336</c:v>
                </c:pt>
                <c:pt idx="289">
                  <c:v>0.34519617475227871</c:v>
                </c:pt>
                <c:pt idx="290">
                  <c:v>0.35019695824672464</c:v>
                </c:pt>
                <c:pt idx="291">
                  <c:v>0.35534504831774805</c:v>
                </c:pt>
                <c:pt idx="292">
                  <c:v>0.36064015647793862</c:v>
                </c:pt>
                <c:pt idx="293">
                  <c:v>0.36608196488328865</c:v>
                </c:pt>
                <c:pt idx="294">
                  <c:v>0.37167012475307543</c:v>
                </c:pt>
                <c:pt idx="295">
                  <c:v>0.37740850785168928</c:v>
                </c:pt>
                <c:pt idx="296">
                  <c:v>0.38330395501802045</c:v>
                </c:pt>
                <c:pt idx="297">
                  <c:v>0.38935952007083419</c:v>
                </c:pt>
                <c:pt idx="298">
                  <c:v>0.39557516588785835</c:v>
                </c:pt>
                <c:pt idx="299">
                  <c:v>0.40195083868530818</c:v>
                </c:pt>
                <c:pt idx="300">
                  <c:v>0.40848646661209775</c:v>
                </c:pt>
                <c:pt idx="301">
                  <c:v>0.41518195834285815</c:v>
                </c:pt>
                <c:pt idx="302">
                  <c:v>0.42203720167185388</c:v>
                </c:pt>
                <c:pt idx="303">
                  <c:v>0.42892910989166255</c:v>
                </c:pt>
                <c:pt idx="304">
                  <c:v>0.43570874432364376</c:v>
                </c:pt>
                <c:pt idx="305">
                  <c:v>0.44237553420399472</c:v>
                </c:pt>
                <c:pt idx="306">
                  <c:v>0.44892888522671148</c:v>
                </c:pt>
                <c:pt idx="307">
                  <c:v>0.45536818063753848</c:v>
                </c:pt>
                <c:pt idx="308">
                  <c:v>0.46169278232410926</c:v>
                </c:pt>
                <c:pt idx="309">
                  <c:v>0.46785530372401007</c:v>
                </c:pt>
                <c:pt idx="310">
                  <c:v>0.47385075901241008</c:v>
                </c:pt>
                <c:pt idx="311">
                  <c:v>0.47967838435918925</c:v>
                </c:pt>
                <c:pt idx="312">
                  <c:v>0.4853374012755593</c:v>
                </c:pt>
                <c:pt idx="313">
                  <c:v>0.49082701817706553</c:v>
                </c:pt>
                <c:pt idx="314">
                  <c:v>0.49614643194219438</c:v>
                </c:pt>
                <c:pt idx="315">
                  <c:v>0.50129482947712278</c:v>
                </c:pt>
                <c:pt idx="316">
                  <c:v>0.50627138927287263</c:v>
                </c:pt>
                <c:pt idx="317">
                  <c:v>0.51106298988883114</c:v>
                </c:pt>
                <c:pt idx="318">
                  <c:v>0.51579255536102431</c:v>
                </c:pt>
                <c:pt idx="319">
                  <c:v>0.52045937193929759</c:v>
                </c:pt>
                <c:pt idx="320">
                  <c:v>0.52506271415908423</c:v>
                </c:pt>
                <c:pt idx="321">
                  <c:v>0.52960184538424748</c:v>
                </c:pt>
                <c:pt idx="322">
                  <c:v>0.53407601835224983</c:v>
                </c:pt>
                <c:pt idx="323">
                  <c:v>0.53847405335574128</c:v>
                </c:pt>
                <c:pt idx="324">
                  <c:v>0.54284217402256896</c:v>
                </c:pt>
                <c:pt idx="325">
                  <c:v>0.54717960251507203</c:v>
                </c:pt>
                <c:pt idx="326">
                  <c:v>0.55148211722608531</c:v>
                </c:pt>
                <c:pt idx="327">
                  <c:v>0.55574768233709981</c:v>
                </c:pt>
                <c:pt idx="328">
                  <c:v>0.5599770858370009</c:v>
                </c:pt>
                <c:pt idx="329">
                  <c:v>0.56417115385504568</c:v>
                </c:pt>
                <c:pt idx="330">
                  <c:v>0.56833075018246249</c:v>
                </c:pt>
                <c:pt idx="331">
                  <c:v>0.57234646492991981</c:v>
                </c:pt>
                <c:pt idx="332">
                  <c:v>0.57623154299291746</c:v>
                </c:pt>
                <c:pt idx="333">
                  <c:v>0.57998693996825745</c:v>
                </c:pt>
                <c:pt idx="334">
                  <c:v>0.58361365486832473</c:v>
                </c:pt>
                <c:pt idx="335">
                  <c:v>0.58711272761416133</c:v>
                </c:pt>
                <c:pt idx="336">
                  <c:v>0.59048523652094931</c:v>
                </c:pt>
                <c:pt idx="337">
                  <c:v>0.59361018525479292</c:v>
                </c:pt>
                <c:pt idx="338">
                  <c:v>0.59649915410991317</c:v>
                </c:pt>
                <c:pt idx="339">
                  <c:v>0.59915331468921162</c:v>
                </c:pt>
                <c:pt idx="340">
                  <c:v>0.6015738673279073</c:v>
                </c:pt>
                <c:pt idx="341">
                  <c:v>0.60376203626228031</c:v>
                </c:pt>
                <c:pt idx="342">
                  <c:v>0.60571906479798598</c:v>
                </c:pt>
                <c:pt idx="343">
                  <c:v>0.60744621047107539</c:v>
                </c:pt>
                <c:pt idx="344">
                  <c:v>0.60894474021848044</c:v>
                </c:pt>
                <c:pt idx="345">
                  <c:v>0.61021592554212889</c:v>
                </c:pt>
                <c:pt idx="346">
                  <c:v>0.61133729916006074</c:v>
                </c:pt>
                <c:pt idx="347">
                  <c:v>0.61231014239962933</c:v>
                </c:pt>
                <c:pt idx="348">
                  <c:v>0.61313573330847815</c:v>
                </c:pt>
                <c:pt idx="349">
                  <c:v>0.61381534340105437</c:v>
                </c:pt>
                <c:pt idx="350">
                  <c:v>0.61435023441947534</c:v>
                </c:pt>
                <c:pt idx="351">
                  <c:v>0.61470751525594747</c:v>
                </c:pt>
                <c:pt idx="352">
                  <c:v>0.61501062789290162</c:v>
                </c:pt>
                <c:pt idx="353">
                  <c:v>0.61526083149118271</c:v>
                </c:pt>
                <c:pt idx="354">
                  <c:v>0.61545937643552751</c:v>
                </c:pt>
                <c:pt idx="355">
                  <c:v>0.61560750288514876</c:v>
                </c:pt>
                <c:pt idx="356">
                  <c:v>0.61570686484423243</c:v>
                </c:pt>
                <c:pt idx="357">
                  <c:v>0.61575730574146237</c:v>
                </c:pt>
                <c:pt idx="358">
                  <c:v>0.61575717328686552</c:v>
                </c:pt>
                <c:pt idx="359">
                  <c:v>0.61570480500008551</c:v>
                </c:pt>
                <c:pt idx="360">
                  <c:v>0.61547602399084356</c:v>
                </c:pt>
                <c:pt idx="361">
                  <c:v>0.61510324138218175</c:v>
                </c:pt>
                <c:pt idx="362">
                  <c:v>0.6145846556512139</c:v>
                </c:pt>
                <c:pt idx="363">
                  <c:v>0.61391845473336926</c:v>
                </c:pt>
                <c:pt idx="364">
                  <c:v>0.61310282004367722</c:v>
                </c:pt>
                <c:pt idx="365">
                  <c:v>0.61213593049044202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0.73805410594683185</c:v>
                </c:pt>
                <c:pt idx="1">
                  <c:v>0.73843732667310447</c:v>
                </c:pt>
                <c:pt idx="2">
                  <c:v>0.73873494261773587</c:v>
                </c:pt>
                <c:pt idx="3">
                  <c:v>0.73894493952791773</c:v>
                </c:pt>
                <c:pt idx="4">
                  <c:v>0.73906530230659451</c:v>
                </c:pt>
                <c:pt idx="5">
                  <c:v>0.73909401730867696</c:v>
                </c:pt>
                <c:pt idx="6">
                  <c:v>0.7390290746467022</c:v>
                </c:pt>
                <c:pt idx="7">
                  <c:v>0.73886847047985704</c:v>
                </c:pt>
                <c:pt idx="8">
                  <c:v>0.73861020931334576</c:v>
                </c:pt>
                <c:pt idx="9">
                  <c:v>0.73803696755734949</c:v>
                </c:pt>
                <c:pt idx="10">
                  <c:v>0.73716518877617443</c:v>
                </c:pt>
                <c:pt idx="11">
                  <c:v>0.73599268218345859</c:v>
                </c:pt>
                <c:pt idx="12">
                  <c:v>0.73451729966447443</c:v>
                </c:pt>
                <c:pt idx="13">
                  <c:v>0.7327369430756222</c:v>
                </c:pt>
                <c:pt idx="14">
                  <c:v>0.73064957153138721</c:v>
                </c:pt>
                <c:pt idx="15">
                  <c:v>0.72807436679242554</c:v>
                </c:pt>
                <c:pt idx="16">
                  <c:v>0.72508113659558437</c:v>
                </c:pt>
                <c:pt idx="17">
                  <c:v>0.72166798942934307</c:v>
                </c:pt>
                <c:pt idx="18">
                  <c:v>0.71783314427132427</c:v>
                </c:pt>
                <c:pt idx="19">
                  <c:v>0.71357892085881236</c:v>
                </c:pt>
                <c:pt idx="20">
                  <c:v>0.7089094513720301</c:v>
                </c:pt>
                <c:pt idx="21">
                  <c:v>0.70382579053352989</c:v>
                </c:pt>
                <c:pt idx="22">
                  <c:v>0.69832902674061004</c:v>
                </c:pt>
                <c:pt idx="23">
                  <c:v>0.69248769166803081</c:v>
                </c:pt>
                <c:pt idx="24">
                  <c:v>0.68651911322290127</c:v>
                </c:pt>
                <c:pt idx="25">
                  <c:v>0.68042449515826953</c:v>
                </c:pt>
                <c:pt idx="26">
                  <c:v>0.67420502404766258</c:v>
                </c:pt>
                <c:pt idx="27">
                  <c:v>0.66786186788155122</c:v>
                </c:pt>
                <c:pt idx="28">
                  <c:v>0.66139617467847478</c:v>
                </c:pt>
                <c:pt idx="29">
                  <c:v>0.65473781829984468</c:v>
                </c:pt>
                <c:pt idx="30">
                  <c:v>0.64806704676458782</c:v>
                </c:pt>
                <c:pt idx="31">
                  <c:v>0.64138493088771942</c:v>
                </c:pt>
                <c:pt idx="32">
                  <c:v>0.63469250847316727</c:v>
                </c:pt>
                <c:pt idx="33">
                  <c:v>0.62799078426467003</c:v>
                </c:pt>
                <c:pt idx="34">
                  <c:v>0.62128072989958272</c:v>
                </c:pt>
                <c:pt idx="35">
                  <c:v>0.61456328386207737</c:v>
                </c:pt>
                <c:pt idx="36">
                  <c:v>0.60783935143503109</c:v>
                </c:pt>
                <c:pt idx="37">
                  <c:v>0.60096536919787791</c:v>
                </c:pt>
                <c:pt idx="38">
                  <c:v>0.593874822744211</c:v>
                </c:pt>
                <c:pt idx="39">
                  <c:v>0.58656857449072952</c:v>
                </c:pt>
                <c:pt idx="40">
                  <c:v>0.57904745395075718</c:v>
                </c:pt>
                <c:pt idx="41">
                  <c:v>0.57131225504061012</c:v>
                </c:pt>
                <c:pt idx="42">
                  <c:v>0.56336373338178924</c:v>
                </c:pt>
                <c:pt idx="43">
                  <c:v>0.55536804804521189</c:v>
                </c:pt>
                <c:pt idx="44">
                  <c:v>0.54739700703273564</c:v>
                </c:pt>
                <c:pt idx="45">
                  <c:v>0.53945118410939785</c:v>
                </c:pt>
                <c:pt idx="46">
                  <c:v>0.53153111408387244</c:v>
                </c:pt>
                <c:pt idx="47">
                  <c:v>0.52363729307631546</c:v>
                </c:pt>
                <c:pt idx="48">
                  <c:v>0.5157701787791179</c:v>
                </c:pt>
                <c:pt idx="49">
                  <c:v>0.50793019072252732</c:v>
                </c:pt>
                <c:pt idx="50">
                  <c:v>0.50011771053704945</c:v>
                </c:pt>
                <c:pt idx="51">
                  <c:v>0.49246210380361893</c:v>
                </c:pt>
                <c:pt idx="52">
                  <c:v>0.48510530707391736</c:v>
                </c:pt>
                <c:pt idx="53">
                  <c:v>0.47804457745208434</c:v>
                </c:pt>
                <c:pt idx="54">
                  <c:v>0.47127966718707848</c:v>
                </c:pt>
                <c:pt idx="55">
                  <c:v>0.46481034382898367</c:v>
                </c:pt>
                <c:pt idx="56">
                  <c:v>0.45863638913970101</c:v>
                </c:pt>
                <c:pt idx="57">
                  <c:v>0.4526902030594096</c:v>
                </c:pt>
                <c:pt idx="58">
                  <c:v>0.44680621829540529</c:v>
                </c:pt>
                <c:pt idx="59">
                  <c:v>0.44098424808852626</c:v>
                </c:pt>
                <c:pt idx="60">
                  <c:v>0.43522411472307171</c:v>
                </c:pt>
                <c:pt idx="61">
                  <c:v>0.42952564929895831</c:v>
                </c:pt>
                <c:pt idx="62">
                  <c:v>0.42388869150323116</c:v>
                </c:pt>
                <c:pt idx="63">
                  <c:v>0.41831308938286965</c:v>
                </c:pt>
                <c:pt idx="64">
                  <c:v>0.41279869911588268</c:v>
                </c:pt>
                <c:pt idx="65">
                  <c:v>0.4072497852170287</c:v>
                </c:pt>
                <c:pt idx="66">
                  <c:v>0.40153719140887528</c:v>
                </c:pt>
                <c:pt idx="67">
                  <c:v>0.39566079665197423</c:v>
                </c:pt>
                <c:pt idx="68">
                  <c:v>0.38962049037770252</c:v>
                </c:pt>
                <c:pt idx="69">
                  <c:v>0.38341617308997389</c:v>
                </c:pt>
                <c:pt idx="70">
                  <c:v>0.37704775696883058</c:v>
                </c:pt>
                <c:pt idx="71">
                  <c:v>0.37041893360396433</c:v>
                </c:pt>
                <c:pt idx="72">
                  <c:v>0.36359704058752002</c:v>
                </c:pt>
                <c:pt idx="73">
                  <c:v>0.35658203152049661</c:v>
                </c:pt>
                <c:pt idx="74">
                  <c:v>0.34937387501721573</c:v>
                </c:pt>
                <c:pt idx="75">
                  <c:v>0.34197255541553856</c:v>
                </c:pt>
                <c:pt idx="76">
                  <c:v>0.33437807348597692</c:v>
                </c:pt>
                <c:pt idx="77">
                  <c:v>0.3265904471419383</c:v>
                </c:pt>
                <c:pt idx="78">
                  <c:v>0.3186097227270005</c:v>
                </c:pt>
                <c:pt idx="79">
                  <c:v>0.31047124170407675</c:v>
                </c:pt>
                <c:pt idx="80">
                  <c:v>0.30227136897511681</c:v>
                </c:pt>
                <c:pt idx="81">
                  <c:v>0.29401002044315455</c:v>
                </c:pt>
                <c:pt idx="82">
                  <c:v>0.28568712267953827</c:v>
                </c:pt>
                <c:pt idx="83">
                  <c:v>0.27730261312274179</c:v>
                </c:pt>
                <c:pt idx="84">
                  <c:v>0.26885644027811662</c:v>
                </c:pt>
                <c:pt idx="85">
                  <c:v>0.26058759126587433</c:v>
                </c:pt>
                <c:pt idx="86">
                  <c:v>0.25259217432880426</c:v>
                </c:pt>
                <c:pt idx="87">
                  <c:v>0.24487011404910486</c:v>
                </c:pt>
                <c:pt idx="88">
                  <c:v>0.23742134129997203</c:v>
                </c:pt>
                <c:pt idx="89">
                  <c:v>0.23024579237067225</c:v>
                </c:pt>
                <c:pt idx="90">
                  <c:v>0.22334340809112999</c:v>
                </c:pt>
                <c:pt idx="91">
                  <c:v>0.21671413295740269</c:v>
                </c:pt>
                <c:pt idx="92">
                  <c:v>0.21035791425650363</c:v>
                </c:pt>
                <c:pt idx="93">
                  <c:v>0.20444840387743532</c:v>
                </c:pt>
                <c:pt idx="94">
                  <c:v>0.19895147136311495</c:v>
                </c:pt>
                <c:pt idx="95">
                  <c:v>0.19386702842583725</c:v>
                </c:pt>
                <c:pt idx="96">
                  <c:v>0.1891949815011563</c:v>
                </c:pt>
                <c:pt idx="97">
                  <c:v>0.18493523042621018</c:v>
                </c:pt>
                <c:pt idx="98">
                  <c:v>0.18108766711628554</c:v>
                </c:pt>
                <c:pt idx="99">
                  <c:v>0.17762098708130469</c:v>
                </c:pt>
                <c:pt idx="100">
                  <c:v>0.17429633219805926</c:v>
                </c:pt>
                <c:pt idx="101">
                  <c:v>0.17111366235628725</c:v>
                </c:pt>
                <c:pt idx="102">
                  <c:v>0.16807293579222862</c:v>
                </c:pt>
                <c:pt idx="103">
                  <c:v>0.16517410863007415</c:v>
                </c:pt>
                <c:pt idx="104">
                  <c:v>0.16241713442738182</c:v>
                </c:pt>
                <c:pt idx="105">
                  <c:v>0.15980196371681629</c:v>
                </c:pt>
                <c:pt idx="106">
                  <c:v>0.15732854354991219</c:v>
                </c:pt>
                <c:pt idx="107">
                  <c:v>0.15491842570616113</c:v>
                </c:pt>
                <c:pt idx="108">
                  <c:v>0.15239821457204408</c:v>
                </c:pt>
                <c:pt idx="109">
                  <c:v>0.149767988518694</c:v>
                </c:pt>
                <c:pt idx="110">
                  <c:v>0.14702825408876621</c:v>
                </c:pt>
                <c:pt idx="111">
                  <c:v>0.14417950536550717</c:v>
                </c:pt>
                <c:pt idx="112">
                  <c:v>0.14122181299241607</c:v>
                </c:pt>
                <c:pt idx="113">
                  <c:v>0.13809245432754783</c:v>
                </c:pt>
                <c:pt idx="114">
                  <c:v>0.13482266003386889</c:v>
                </c:pt>
                <c:pt idx="115">
                  <c:v>0.13141253959231752</c:v>
                </c:pt>
                <c:pt idx="116">
                  <c:v>0.12786220972072138</c:v>
                </c:pt>
                <c:pt idx="117">
                  <c:v>0.12417179468328858</c:v>
                </c:pt>
                <c:pt idx="118">
                  <c:v>0.12034142659872121</c:v>
                </c:pt>
                <c:pt idx="119">
                  <c:v>0.11637124574872303</c:v>
                </c:pt>
                <c:pt idx="120">
                  <c:v>0.11226140088632651</c:v>
                </c:pt>
                <c:pt idx="121">
                  <c:v>0.10799829882425928</c:v>
                </c:pt>
                <c:pt idx="122">
                  <c:v>0.10366024967746985</c:v>
                </c:pt>
                <c:pt idx="123">
                  <c:v>9.9247377911063486E-2</c:v>
                </c:pt>
                <c:pt idx="124">
                  <c:v>9.4759814960205122E-2</c:v>
                </c:pt>
                <c:pt idx="125">
                  <c:v>9.0197699398385803E-2</c:v>
                </c:pt>
                <c:pt idx="126">
                  <c:v>8.5561177104269026E-2</c:v>
                </c:pt>
                <c:pt idx="127">
                  <c:v>8.0973557053231129E-2</c:v>
                </c:pt>
                <c:pt idx="128">
                  <c:v>7.6497444274180065E-2</c:v>
                </c:pt>
                <c:pt idx="129">
                  <c:v>7.2132829140186969E-2</c:v>
                </c:pt>
                <c:pt idx="130">
                  <c:v>6.7879700489139841E-2</c:v>
                </c:pt>
                <c:pt idx="131">
                  <c:v>6.3738045382794803E-2</c:v>
                </c:pt>
                <c:pt idx="132">
                  <c:v>5.970784886667016E-2</c:v>
                </c:pt>
                <c:pt idx="133">
                  <c:v>5.5789093730306001E-2</c:v>
                </c:pt>
                <c:pt idx="134">
                  <c:v>5.198176026712592E-2</c:v>
                </c:pt>
                <c:pt idx="135">
                  <c:v>4.8418834418194785E-2</c:v>
                </c:pt>
                <c:pt idx="136">
                  <c:v>4.5113824830527116E-2</c:v>
                </c:pt>
                <c:pt idx="137">
                  <c:v>4.2066527474950183E-2</c:v>
                </c:pt>
                <c:pt idx="138">
                  <c:v>3.9276725752227917E-2</c:v>
                </c:pt>
                <c:pt idx="139">
                  <c:v>3.6744189931205491E-2</c:v>
                </c:pt>
                <c:pt idx="140">
                  <c:v>3.446867658464773E-2</c:v>
                </c:pt>
                <c:pt idx="141">
                  <c:v>3.2468698011551542E-2</c:v>
                </c:pt>
                <c:pt idx="142">
                  <c:v>3.0621317389600927E-2</c:v>
                </c:pt>
                <c:pt idx="143">
                  <c:v>2.8926286509868681E-2</c:v>
                </c:pt>
                <c:pt idx="144">
                  <c:v>2.7383535897040207E-2</c:v>
                </c:pt>
                <c:pt idx="145">
                  <c:v>2.5992969300108373E-2</c:v>
                </c:pt>
                <c:pt idx="146">
                  <c:v>2.4754465726141581E-2</c:v>
                </c:pt>
                <c:pt idx="147">
                  <c:v>2.3667881474977333E-2</c:v>
                </c:pt>
                <c:pt idx="148">
                  <c:v>2.2733052173251649E-2</c:v>
                </c:pt>
                <c:pt idx="149">
                  <c:v>2.1945997922725918E-2</c:v>
                </c:pt>
                <c:pt idx="150">
                  <c:v>2.1174464174253092E-2</c:v>
                </c:pt>
                <c:pt idx="151">
                  <c:v>2.0418479606561787E-2</c:v>
                </c:pt>
                <c:pt idx="152">
                  <c:v>1.9678067894993198E-2</c:v>
                </c:pt>
                <c:pt idx="153">
                  <c:v>1.8953247912314012E-2</c:v>
                </c:pt>
                <c:pt idx="154">
                  <c:v>1.824403392964755E-2</c:v>
                </c:pt>
                <c:pt idx="155">
                  <c:v>1.7573122504449021E-2</c:v>
                </c:pt>
                <c:pt idx="156">
                  <c:v>1.6921863464905072E-2</c:v>
                </c:pt>
                <c:pt idx="157">
                  <c:v>1.629025059831684E-2</c:v>
                </c:pt>
                <c:pt idx="158">
                  <c:v>1.5678273988216661E-2</c:v>
                </c:pt>
                <c:pt idx="159">
                  <c:v>1.5085920270159684E-2</c:v>
                </c:pt>
                <c:pt idx="160">
                  <c:v>1.4513172887713865E-2</c:v>
                </c:pt>
                <c:pt idx="161">
                  <c:v>1.3960012348267915E-2</c:v>
                </c:pt>
                <c:pt idx="162">
                  <c:v>1.3426416478926853E-2</c:v>
                </c:pt>
                <c:pt idx="163">
                  <c:v>1.2937045031378087E-2</c:v>
                </c:pt>
                <c:pt idx="164">
                  <c:v>1.2495587329020064E-2</c:v>
                </c:pt>
                <c:pt idx="165">
                  <c:v>1.2101963470208817E-2</c:v>
                </c:pt>
                <c:pt idx="166">
                  <c:v>1.1756093687423086E-2</c:v>
                </c:pt>
                <c:pt idx="167">
                  <c:v>1.1457898989978963E-2</c:v>
                </c:pt>
                <c:pt idx="168">
                  <c:v>1.1207301807131144E-2</c:v>
                </c:pt>
                <c:pt idx="169">
                  <c:v>1.1028823541298178E-2</c:v>
                </c:pt>
                <c:pt idx="170">
                  <c:v>1.0899870879386694E-2</c:v>
                </c:pt>
                <c:pt idx="171">
                  <c:v>1.0820372239652787E-2</c:v>
                </c:pt>
                <c:pt idx="172">
                  <c:v>1.0790260392603798E-2</c:v>
                </c:pt>
                <c:pt idx="173">
                  <c:v>1.0809362594741355E-2</c:v>
                </c:pt>
                <c:pt idx="174">
                  <c:v>1.087750311020988E-2</c:v>
                </c:pt>
                <c:pt idx="175">
                  <c:v>1.0994613957978185E-2</c:v>
                </c:pt>
                <c:pt idx="176">
                  <c:v>1.1160627480528366E-2</c:v>
                </c:pt>
                <c:pt idx="177">
                  <c:v>1.1397876721141016E-2</c:v>
                </c:pt>
                <c:pt idx="178">
                  <c:v>1.1681778206730461E-2</c:v>
                </c:pt>
                <c:pt idx="179">
                  <c:v>1.2012270289270023E-2</c:v>
                </c:pt>
                <c:pt idx="180">
                  <c:v>1.2389292806285321E-2</c:v>
                </c:pt>
                <c:pt idx="181">
                  <c:v>1.2812787356086571E-2</c:v>
                </c:pt>
                <c:pt idx="182">
                  <c:v>1.328269757310338E-2</c:v>
                </c:pt>
                <c:pt idx="183">
                  <c:v>1.379524516841501E-2</c:v>
                </c:pt>
                <c:pt idx="184">
                  <c:v>1.4325972159432236E-2</c:v>
                </c:pt>
                <c:pt idx="185">
                  <c:v>1.4874869695878278E-2</c:v>
                </c:pt>
                <c:pt idx="186">
                  <c:v>1.5441930908339273E-2</c:v>
                </c:pt>
                <c:pt idx="187">
                  <c:v>1.6027151017888094E-2</c:v>
                </c:pt>
                <c:pt idx="188">
                  <c:v>1.6630527445818326E-2</c:v>
                </c:pt>
                <c:pt idx="189">
                  <c:v>1.7252059922888981E-2</c:v>
                </c:pt>
                <c:pt idx="190">
                  <c:v>1.789175059925658E-2</c:v>
                </c:pt>
                <c:pt idx="191">
                  <c:v>1.8567872905810433E-2</c:v>
                </c:pt>
                <c:pt idx="192">
                  <c:v>1.9258167578162743E-2</c:v>
                </c:pt>
                <c:pt idx="193">
                  <c:v>1.9962650089841678E-2</c:v>
                </c:pt>
                <c:pt idx="194">
                  <c:v>2.068133853878219E-2</c:v>
                </c:pt>
                <c:pt idx="195">
                  <c:v>2.1414253733789829E-2</c:v>
                </c:pt>
                <c:pt idx="196">
                  <c:v>2.2161419280248566E-2</c:v>
                </c:pt>
                <c:pt idx="197">
                  <c:v>2.3051706068981038E-2</c:v>
                </c:pt>
                <c:pt idx="198">
                  <c:v>2.4088713350728885E-2</c:v>
                </c:pt>
                <c:pt idx="199">
                  <c:v>2.5272350092808312E-2</c:v>
                </c:pt>
                <c:pt idx="200">
                  <c:v>2.6602540739198221E-2</c:v>
                </c:pt>
                <c:pt idx="201">
                  <c:v>2.8079226081393436E-2</c:v>
                </c:pt>
                <c:pt idx="202">
                  <c:v>2.9702364129353152E-2</c:v>
                </c:pt>
                <c:pt idx="203">
                  <c:v>3.1471930983106133E-2</c:v>
                </c:pt>
                <c:pt idx="204">
                  <c:v>3.3387867787552088E-2</c:v>
                </c:pt>
                <c:pt idx="205">
                  <c:v>3.5568807907819258E-2</c:v>
                </c:pt>
                <c:pt idx="206">
                  <c:v>3.7996468220472382E-2</c:v>
                </c:pt>
                <c:pt idx="207">
                  <c:v>4.0670777242219368E-2</c:v>
                </c:pt>
                <c:pt idx="208">
                  <c:v>4.3591680604575599E-2</c:v>
                </c:pt>
                <c:pt idx="209">
                  <c:v>4.6759140286424562E-2</c:v>
                </c:pt>
                <c:pt idx="210">
                  <c:v>5.0173133848018893E-2</c:v>
                </c:pt>
                <c:pt idx="211">
                  <c:v>5.3820436455691865E-2</c:v>
                </c:pt>
                <c:pt idx="212">
                  <c:v>5.7572669544085582E-2</c:v>
                </c:pt>
                <c:pt idx="213">
                  <c:v>6.1429906758099943E-2</c:v>
                </c:pt>
                <c:pt idx="214">
                  <c:v>6.5392224484195363E-2</c:v>
                </c:pt>
                <c:pt idx="215">
                  <c:v>6.9459701523397047E-2</c:v>
                </c:pt>
                <c:pt idx="216">
                  <c:v>7.3632418764108185E-2</c:v>
                </c:pt>
                <c:pt idx="217">
                  <c:v>7.7910458855211959E-2</c:v>
                </c:pt>
                <c:pt idx="218">
                  <c:v>8.2293905878801824E-2</c:v>
                </c:pt>
                <c:pt idx="219">
                  <c:v>8.6722643974102939E-2</c:v>
                </c:pt>
                <c:pt idx="220">
                  <c:v>9.1078294680765212E-2</c:v>
                </c:pt>
                <c:pt idx="221">
                  <c:v>9.5360966663875266E-2</c:v>
                </c:pt>
                <c:pt idx="222">
                  <c:v>9.9570759093515607E-2</c:v>
                </c:pt>
                <c:pt idx="223">
                  <c:v>0.10370776187448538</c:v>
                </c:pt>
                <c:pt idx="224">
                  <c:v>0.10777205587383741</c:v>
                </c:pt>
                <c:pt idx="225">
                  <c:v>0.11168866702545166</c:v>
                </c:pt>
                <c:pt idx="226">
                  <c:v>0.11547086339997366</c:v>
                </c:pt>
                <c:pt idx="227">
                  <c:v>0.11911869751762492</c:v>
                </c:pt>
                <c:pt idx="228">
                  <c:v>0.12263221120385126</c:v>
                </c:pt>
                <c:pt idx="229">
                  <c:v>0.12601143600831777</c:v>
                </c:pt>
                <c:pt idx="230">
                  <c:v>0.1292563936257283</c:v>
                </c:pt>
                <c:pt idx="231">
                  <c:v>0.13236709631718738</c:v>
                </c:pt>
                <c:pt idx="232">
                  <c:v>0.13534354732880258</c:v>
                </c:pt>
                <c:pt idx="233">
                  <c:v>0.13815591368539393</c:v>
                </c:pt>
                <c:pt idx="234">
                  <c:v>0.14086438039930269</c:v>
                </c:pt>
                <c:pt idx="235">
                  <c:v>0.14346904641561409</c:v>
                </c:pt>
                <c:pt idx="236">
                  <c:v>0.14597005969629251</c:v>
                </c:pt>
                <c:pt idx="237">
                  <c:v>0.14836747676995668</c:v>
                </c:pt>
                <c:pt idx="238">
                  <c:v>0.15066135160289187</c:v>
                </c:pt>
                <c:pt idx="239">
                  <c:v>0.15301783615842349</c:v>
                </c:pt>
                <c:pt idx="240">
                  <c:v>0.15551211817297478</c:v>
                </c:pt>
                <c:pt idx="241">
                  <c:v>0.15814431663958542</c:v>
                </c:pt>
                <c:pt idx="242">
                  <c:v>0.16091455848889288</c:v>
                </c:pt>
                <c:pt idx="243">
                  <c:v>0.16382297883105149</c:v>
                </c:pt>
                <c:pt idx="244">
                  <c:v>0.16686972119682184</c:v>
                </c:pt>
                <c:pt idx="245">
                  <c:v>0.17005493777693567</c:v>
                </c:pt>
                <c:pt idx="246">
                  <c:v>0.17337878966106882</c:v>
                </c:pt>
                <c:pt idx="247">
                  <c:v>0.17707010953724542</c:v>
                </c:pt>
                <c:pt idx="248">
                  <c:v>0.18115905454160097</c:v>
                </c:pt>
                <c:pt idx="249">
                  <c:v>0.18564594654519037</c:v>
                </c:pt>
                <c:pt idx="250">
                  <c:v>0.19053113153987622</c:v>
                </c:pt>
                <c:pt idx="251">
                  <c:v>0.19581498033951195</c:v>
                </c:pt>
                <c:pt idx="252">
                  <c:v>0.20149788927333781</c:v>
                </c:pt>
                <c:pt idx="253">
                  <c:v>0.20761289718590967</c:v>
                </c:pt>
                <c:pt idx="254">
                  <c:v>0.21399400644322833</c:v>
                </c:pt>
                <c:pt idx="255">
                  <c:v>0.22064160672519925</c:v>
                </c:pt>
                <c:pt idx="256">
                  <c:v>0.22755610789791667</c:v>
                </c:pt>
                <c:pt idx="257">
                  <c:v>0.23473794047241089</c:v>
                </c:pt>
                <c:pt idx="258">
                  <c:v>0.24218755606536227</c:v>
                </c:pt>
                <c:pt idx="259">
                  <c:v>0.24990542786329542</c:v>
                </c:pt>
                <c:pt idx="260">
                  <c:v>0.25789205107959506</c:v>
                </c:pt>
                <c:pt idx="261">
                  <c:v>0.26605565393594066</c:v>
                </c:pt>
                <c:pt idx="262">
                  <c:v>0.27416727189398798</c:v>
                </c:pt>
                <c:pt idx="263">
                  <c:v>0.28222717108662337</c:v>
                </c:pt>
                <c:pt idx="264">
                  <c:v>0.29023563314869172</c:v>
                </c:pt>
                <c:pt idx="265">
                  <c:v>0.29819454058062794</c:v>
                </c:pt>
                <c:pt idx="266">
                  <c:v>0.30610514305597175</c:v>
                </c:pt>
                <c:pt idx="267">
                  <c:v>0.31387563979492256</c:v>
                </c:pt>
                <c:pt idx="268">
                  <c:v>0.32147318523178503</c:v>
                </c:pt>
                <c:pt idx="269">
                  <c:v>0.32889760211512381</c:v>
                </c:pt>
                <c:pt idx="270">
                  <c:v>0.3361486621200338</c:v>
                </c:pt>
                <c:pt idx="271">
                  <c:v>0.34322608787243536</c:v>
                </c:pt>
                <c:pt idx="272">
                  <c:v>0.35012955498214554</c:v>
                </c:pt>
                <c:pt idx="273">
                  <c:v>0.35685869407172954</c:v>
                </c:pt>
                <c:pt idx="274">
                  <c:v>0.36341309280987771</c:v>
                </c:pt>
                <c:pt idx="275">
                  <c:v>0.36972730592608793</c:v>
                </c:pt>
                <c:pt idx="276">
                  <c:v>0.37589358970037584</c:v>
                </c:pt>
                <c:pt idx="277">
                  <c:v>0.3819114552910019</c:v>
                </c:pt>
                <c:pt idx="278">
                  <c:v>0.38778038045170965</c:v>
                </c:pt>
                <c:pt idx="279">
                  <c:v>0.39349981125601291</c:v>
                </c:pt>
                <c:pt idx="280">
                  <c:v>0.39906916382512075</c:v>
                </c:pt>
                <c:pt idx="281">
                  <c:v>0.40461262561984462</c:v>
                </c:pt>
                <c:pt idx="282">
                  <c:v>0.41022226913212506</c:v>
                </c:pt>
                <c:pt idx="283">
                  <c:v>0.41589777239360698</c:v>
                </c:pt>
                <c:pt idx="284">
                  <c:v>0.42163879016316946</c:v>
                </c:pt>
                <c:pt idx="285">
                  <c:v>0.42744495327312265</c:v>
                </c:pt>
                <c:pt idx="286">
                  <c:v>0.43331586797942773</c:v>
                </c:pt>
                <c:pt idx="287">
                  <c:v>0.43925111530778826</c:v>
                </c:pt>
                <c:pt idx="288">
                  <c:v>0.4452502504013145</c:v>
                </c:pt>
                <c:pt idx="289">
                  <c:v>0.45147342809144164</c:v>
                </c:pt>
                <c:pt idx="290">
                  <c:v>0.45798588408719582</c:v>
                </c:pt>
                <c:pt idx="291">
                  <c:v>0.46478742235005882</c:v>
                </c:pt>
                <c:pt idx="292">
                  <c:v>0.47187780615578329</c:v>
                </c:pt>
                <c:pt idx="293">
                  <c:v>0.47925675497925685</c:v>
                </c:pt>
                <c:pt idx="294">
                  <c:v>0.48692394137763467</c:v>
                </c:pt>
                <c:pt idx="295">
                  <c:v>0.49473848131039017</c:v>
                </c:pt>
                <c:pt idx="296">
                  <c:v>0.50258011613788234</c:v>
                </c:pt>
                <c:pt idx="297">
                  <c:v>0.51045260750934052</c:v>
                </c:pt>
                <c:pt idx="298">
                  <c:v>0.51835566027116664</c:v>
                </c:pt>
                <c:pt idx="299">
                  <c:v>0.52628895172445023</c:v>
                </c:pt>
                <c:pt idx="300">
                  <c:v>0.53425213143616535</c:v>
                </c:pt>
                <c:pt idx="301">
                  <c:v>0.54224482104880589</c:v>
                </c:pt>
                <c:pt idx="302">
                  <c:v>0.55026661409119504</c:v>
                </c:pt>
                <c:pt idx="303">
                  <c:v>0.55824750885348473</c:v>
                </c:pt>
                <c:pt idx="304">
                  <c:v>0.566025176649954</c:v>
                </c:pt>
                <c:pt idx="305">
                  <c:v>0.57359879540460867</c:v>
                </c:pt>
                <c:pt idx="306">
                  <c:v>0.58096751656425172</c:v>
                </c:pt>
                <c:pt idx="307">
                  <c:v>0.58813046703905814</c:v>
                </c:pt>
                <c:pt idx="308">
                  <c:v>0.59508675113823062</c:v>
                </c:pt>
                <c:pt idx="309">
                  <c:v>0.60190147075888989</c:v>
                </c:pt>
                <c:pt idx="310">
                  <c:v>0.60871532862546041</c:v>
                </c:pt>
                <c:pt idx="311">
                  <c:v>0.61552765285400313</c:v>
                </c:pt>
                <c:pt idx="312">
                  <c:v>0.62233774770367845</c:v>
                </c:pt>
                <c:pt idx="313">
                  <c:v>0.62914489361368087</c:v>
                </c:pt>
                <c:pt idx="314">
                  <c:v>0.63594834723453253</c:v>
                </c:pt>
                <c:pt idx="315">
                  <c:v>0.64274734146725276</c:v>
                </c:pt>
                <c:pt idx="316">
                  <c:v>0.64954108549279166</c:v>
                </c:pt>
                <c:pt idx="317">
                  <c:v>0.65615276136445877</c:v>
                </c:pt>
                <c:pt idx="318">
                  <c:v>0.66265135999220726</c:v>
                </c:pt>
                <c:pt idx="319">
                  <c:v>0.66903590956648784</c:v>
                </c:pt>
                <c:pt idx="320">
                  <c:v>0.67530542446062614</c:v>
                </c:pt>
                <c:pt idx="321">
                  <c:v>0.68145890623679517</c:v>
                </c:pt>
                <c:pt idx="322">
                  <c:v>0.68749534465498607</c:v>
                </c:pt>
                <c:pt idx="323">
                  <c:v>0.69320087265844721</c:v>
                </c:pt>
                <c:pt idx="324">
                  <c:v>0.69850787465748088</c:v>
                </c:pt>
                <c:pt idx="325">
                  <c:v>0.70341505751504796</c:v>
                </c:pt>
                <c:pt idx="326">
                  <c:v>0.70791675022809086</c:v>
                </c:pt>
                <c:pt idx="327">
                  <c:v>0.71201016252791893</c:v>
                </c:pt>
                <c:pt idx="328">
                  <c:v>0.71569619061668144</c:v>
                </c:pt>
                <c:pt idx="329">
                  <c:v>0.71897582518166769</c:v>
                </c:pt>
                <c:pt idx="330">
                  <c:v>0.72185014328041086</c:v>
                </c:pt>
                <c:pt idx="331">
                  <c:v>0.72424933218716214</c:v>
                </c:pt>
                <c:pt idx="332">
                  <c:v>0.72635126569076025</c:v>
                </c:pt>
                <c:pt idx="333">
                  <c:v>0.72815726061125741</c:v>
                </c:pt>
                <c:pt idx="334">
                  <c:v>0.72966867787216039</c:v>
                </c:pt>
                <c:pt idx="335">
                  <c:v>0.73088691659576133</c:v>
                </c:pt>
                <c:pt idx="336">
                  <c:v>0.7318134081889015</c:v>
                </c:pt>
                <c:pt idx="337">
                  <c:v>0.73243110336776229</c:v>
                </c:pt>
                <c:pt idx="338">
                  <c:v>0.73295475439398972</c:v>
                </c:pt>
                <c:pt idx="339">
                  <c:v>0.73338586887692803</c:v>
                </c:pt>
                <c:pt idx="340">
                  <c:v>0.7337259604690024</c:v>
                </c:pt>
                <c:pt idx="341">
                  <c:v>0.73397654700759496</c:v>
                </c:pt>
                <c:pt idx="342">
                  <c:v>0.73413914865634144</c:v>
                </c:pt>
                <c:pt idx="343">
                  <c:v>0.73421528603757302</c:v>
                </c:pt>
                <c:pt idx="344">
                  <c:v>0.73420647837628283</c:v>
                </c:pt>
                <c:pt idx="345">
                  <c:v>0.73411424163634498</c:v>
                </c:pt>
                <c:pt idx="346">
                  <c:v>0.7340267895225403</c:v>
                </c:pt>
                <c:pt idx="347">
                  <c:v>0.73394564317038513</c:v>
                </c:pt>
                <c:pt idx="348">
                  <c:v>0.73387232243890033</c:v>
                </c:pt>
                <c:pt idx="349">
                  <c:v>0.73380834584573318</c:v>
                </c:pt>
                <c:pt idx="350">
                  <c:v>0.73375523051946201</c:v>
                </c:pt>
                <c:pt idx="351">
                  <c:v>0.73373018751098129</c:v>
                </c:pt>
                <c:pt idx="352">
                  <c:v>0.7337532630523449</c:v>
                </c:pt>
                <c:pt idx="353">
                  <c:v>0.73382598985426262</c:v>
                </c:pt>
                <c:pt idx="354">
                  <c:v>0.73394990468594834</c:v>
                </c:pt>
                <c:pt idx="355">
                  <c:v>0.73412654899058249</c:v>
                </c:pt>
                <c:pt idx="356">
                  <c:v>0.73435797702142314</c:v>
                </c:pt>
                <c:pt idx="357">
                  <c:v>0.73464410506869748</c:v>
                </c:pt>
                <c:pt idx="358">
                  <c:v>0.73498308545794588</c:v>
                </c:pt>
                <c:pt idx="359">
                  <c:v>0.73537307518354</c:v>
                </c:pt>
                <c:pt idx="360">
                  <c:v>0.73579366812493718</c:v>
                </c:pt>
                <c:pt idx="361">
                  <c:v>0.7362272654654225</c:v>
                </c:pt>
                <c:pt idx="362">
                  <c:v>0.7366719888173664</c:v>
                </c:pt>
                <c:pt idx="363">
                  <c:v>0.7371259580851931</c:v>
                </c:pt>
                <c:pt idx="364">
                  <c:v>0.7375872915502838</c:v>
                </c:pt>
                <c:pt idx="365">
                  <c:v>0.73805410594683185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0.85357806620388721</c:v>
                </c:pt>
                <c:pt idx="1">
                  <c:v>0.85613177940858243</c:v>
                </c:pt>
                <c:pt idx="2">
                  <c:v>0.85860796003586715</c:v>
                </c:pt>
                <c:pt idx="3">
                  <c:v>0.86100432849394948</c:v>
                </c:pt>
                <c:pt idx="4">
                  <c:v>0.86331858277294771</c:v>
                </c:pt>
                <c:pt idx="5">
                  <c:v>0.86554840060416416</c:v>
                </c:pt>
                <c:pt idx="6">
                  <c:v>0.86769144163042178</c:v>
                </c:pt>
                <c:pt idx="7">
                  <c:v>0.86974534955695426</c:v>
                </c:pt>
                <c:pt idx="8">
                  <c:v>0.87170775431434588</c:v>
                </c:pt>
                <c:pt idx="9">
                  <c:v>0.87332619108810405</c:v>
                </c:pt>
                <c:pt idx="10">
                  <c:v>0.87457679605560013</c:v>
                </c:pt>
                <c:pt idx="11">
                  <c:v>0.87545684551705416</c:v>
                </c:pt>
                <c:pt idx="12">
                  <c:v>0.8759636448302579</c:v>
                </c:pt>
                <c:pt idx="13">
                  <c:v>0.87609453746980503</c:v>
                </c:pt>
                <c:pt idx="14">
                  <c:v>0.87584691407132209</c:v>
                </c:pt>
                <c:pt idx="15">
                  <c:v>0.87492102298533558</c:v>
                </c:pt>
                <c:pt idx="16">
                  <c:v>0.87342052578006668</c:v>
                </c:pt>
                <c:pt idx="17">
                  <c:v>0.87134288875615296</c:v>
                </c:pt>
                <c:pt idx="18">
                  <c:v>0.86868570425734692</c:v>
                </c:pt>
                <c:pt idx="19">
                  <c:v>0.8654515319542373</c:v>
                </c:pt>
                <c:pt idx="20">
                  <c:v>0.8616451713641784</c:v>
                </c:pt>
                <c:pt idx="21">
                  <c:v>0.85726772674439844</c:v>
                </c:pt>
                <c:pt idx="22">
                  <c:v>0.8523203625844824</c:v>
                </c:pt>
                <c:pt idx="23">
                  <c:v>0.84682533668027515</c:v>
                </c:pt>
                <c:pt idx="24">
                  <c:v>0.8410349685633155</c:v>
                </c:pt>
                <c:pt idx="25">
                  <c:v>0.83495060702543134</c:v>
                </c:pt>
                <c:pt idx="26">
                  <c:v>0.82857360360268983</c:v>
                </c:pt>
                <c:pt idx="27">
                  <c:v>0.82190530910834325</c:v>
                </c:pt>
                <c:pt idx="28">
                  <c:v>0.81494707018376333</c:v>
                </c:pt>
                <c:pt idx="29">
                  <c:v>0.8076622385002199</c:v>
                </c:pt>
                <c:pt idx="30">
                  <c:v>0.80034983708096252</c:v>
                </c:pt>
                <c:pt idx="31">
                  <c:v>0.79301115298157521</c:v>
                </c:pt>
                <c:pt idx="32">
                  <c:v>0.78564743798376224</c:v>
                </c:pt>
                <c:pt idx="33">
                  <c:v>0.77825990838195236</c:v>
                </c:pt>
                <c:pt idx="34">
                  <c:v>0.77084974477349522</c:v>
                </c:pt>
                <c:pt idx="35">
                  <c:v>0.76341809184812615</c:v>
                </c:pt>
                <c:pt idx="36">
                  <c:v>0.75596605817580143</c:v>
                </c:pt>
                <c:pt idx="37">
                  <c:v>0.74829414974435204</c:v>
                </c:pt>
                <c:pt idx="38">
                  <c:v>0.7403824215842576</c:v>
                </c:pt>
                <c:pt idx="39">
                  <c:v>0.73223193261642461</c:v>
                </c:pt>
                <c:pt idx="40">
                  <c:v>0.72384370505840279</c:v>
                </c:pt>
                <c:pt idx="41">
                  <c:v>0.71521872144546506</c:v>
                </c:pt>
                <c:pt idx="42">
                  <c:v>0.70635792164649114</c:v>
                </c:pt>
                <c:pt idx="43">
                  <c:v>0.69744007025140742</c:v>
                </c:pt>
                <c:pt idx="44">
                  <c:v>0.68850391681404288</c:v>
                </c:pt>
                <c:pt idx="45">
                  <c:v>0.67955020940901434</c:v>
                </c:pt>
                <c:pt idx="46">
                  <c:v>0.670579650881862</c:v>
                </c:pt>
                <c:pt idx="47">
                  <c:v>0.66159289857139447</c:v>
                </c:pt>
                <c:pt idx="48">
                  <c:v>0.65259056402310722</c:v>
                </c:pt>
                <c:pt idx="49">
                  <c:v>0.64357321270873358</c:v>
                </c:pt>
                <c:pt idx="50">
                  <c:v>0.63454136374172954</c:v>
                </c:pt>
                <c:pt idx="51">
                  <c:v>0.62550033877079725</c:v>
                </c:pt>
                <c:pt idx="52">
                  <c:v>0.61664754863339311</c:v>
                </c:pt>
                <c:pt idx="53">
                  <c:v>0.6079795227975977</c:v>
                </c:pt>
                <c:pt idx="54">
                  <c:v>0.59949595224667873</c:v>
                </c:pt>
                <c:pt idx="55">
                  <c:v>0.5911965437991954</c:v>
                </c:pt>
                <c:pt idx="56">
                  <c:v>0.58308101943307822</c:v>
                </c:pt>
                <c:pt idx="57">
                  <c:v>0.57509446835031253</c:v>
                </c:pt>
                <c:pt idx="58">
                  <c:v>0.56705884623777891</c:v>
                </c:pt>
                <c:pt idx="59">
                  <c:v>0.55897391192106194</c:v>
                </c:pt>
                <c:pt idx="60">
                  <c:v>0.55083943585295181</c:v>
                </c:pt>
                <c:pt idx="61">
                  <c:v>0.54265520029786307</c:v>
                </c:pt>
                <c:pt idx="62">
                  <c:v>0.53442099951543798</c:v>
                </c:pt>
                <c:pt idx="63">
                  <c:v>0.52613663994578586</c:v>
                </c:pt>
                <c:pt idx="64">
                  <c:v>0.51780194039256311</c:v>
                </c:pt>
                <c:pt idx="65">
                  <c:v>0.50976689152270882</c:v>
                </c:pt>
                <c:pt idx="66">
                  <c:v>0.50202649131900323</c:v>
                </c:pt>
                <c:pt idx="67">
                  <c:v>0.49458059597688575</c:v>
                </c:pt>
                <c:pt idx="68">
                  <c:v>0.48742906949633746</c:v>
                </c:pt>
                <c:pt idx="69">
                  <c:v>0.48057178258705552</c:v>
                </c:pt>
                <c:pt idx="70">
                  <c:v>0.4740086115759759</c:v>
                </c:pt>
                <c:pt idx="71">
                  <c:v>0.46750047865191224</c:v>
                </c:pt>
                <c:pt idx="72">
                  <c:v>0.46110192644101161</c:v>
                </c:pt>
                <c:pt idx="73">
                  <c:v>0.45481285460771637</c:v>
                </c:pt>
                <c:pt idx="74">
                  <c:v>0.44863316941970655</c:v>
                </c:pt>
                <c:pt idx="75">
                  <c:v>0.44256278333722382</c:v>
                </c:pt>
                <c:pt idx="76">
                  <c:v>0.43660161460098323</c:v>
                </c:pt>
                <c:pt idx="77">
                  <c:v>0.43074958682154157</c:v>
                </c:pt>
                <c:pt idx="78">
                  <c:v>0.42500664267784682</c:v>
                </c:pt>
                <c:pt idx="79">
                  <c:v>0.41885402873132449</c:v>
                </c:pt>
                <c:pt idx="80">
                  <c:v>0.41194277036555998</c:v>
                </c:pt>
                <c:pt idx="81">
                  <c:v>0.40427284620703563</c:v>
                </c:pt>
                <c:pt idx="82">
                  <c:v>0.39584424590666539</c:v>
                </c:pt>
                <c:pt idx="83">
                  <c:v>0.38665697257155962</c:v>
                </c:pt>
                <c:pt idx="84">
                  <c:v>0.37671104519809456</c:v>
                </c:pt>
                <c:pt idx="85">
                  <c:v>0.36635346828278015</c:v>
                </c:pt>
                <c:pt idx="86">
                  <c:v>0.35582306050542034</c:v>
                </c:pt>
                <c:pt idx="87">
                  <c:v>0.34511980169660067</c:v>
                </c:pt>
                <c:pt idx="88">
                  <c:v>0.33424368765787332</c:v>
                </c:pt>
                <c:pt idx="89">
                  <c:v>0.3231947307169607</c:v>
                </c:pt>
                <c:pt idx="90">
                  <c:v>0.31197296028227739</c:v>
                </c:pt>
                <c:pt idx="91">
                  <c:v>0.30057842339870178</c:v>
                </c:pt>
                <c:pt idx="92">
                  <c:v>0.28901118530242698</c:v>
                </c:pt>
                <c:pt idx="93">
                  <c:v>0.27773729302512856</c:v>
                </c:pt>
                <c:pt idx="94">
                  <c:v>0.26727660622906713</c:v>
                </c:pt>
                <c:pt idx="95">
                  <c:v>0.25762898598053408</c:v>
                </c:pt>
                <c:pt idx="96">
                  <c:v>0.24879428249431051</c:v>
                </c:pt>
                <c:pt idx="97">
                  <c:v>0.24077233252952901</c:v>
                </c:pt>
                <c:pt idx="98">
                  <c:v>0.23356295678317526</c:v>
                </c:pt>
                <c:pt idx="99">
                  <c:v>0.22719296882089213</c:v>
                </c:pt>
                <c:pt idx="100">
                  <c:v>0.22131558847032948</c:v>
                </c:pt>
                <c:pt idx="101">
                  <c:v>0.21593068930555442</c:v>
                </c:pt>
                <c:pt idx="102">
                  <c:v>0.21103813201840993</c:v>
                </c:pt>
                <c:pt idx="103">
                  <c:v>0.20663776283585772</c:v>
                </c:pt>
                <c:pt idx="104">
                  <c:v>0.20272941194231481</c:v>
                </c:pt>
                <c:pt idx="105">
                  <c:v>0.19931289189735979</c:v>
                </c:pt>
                <c:pt idx="106">
                  <c:v>0.19638799605598714</c:v>
                </c:pt>
                <c:pt idx="107">
                  <c:v>0.19385225145445933</c:v>
                </c:pt>
                <c:pt idx="108">
                  <c:v>0.19124037534679733</c:v>
                </c:pt>
                <c:pt idx="109">
                  <c:v>0.18855241753429036</c:v>
                </c:pt>
                <c:pt idx="110">
                  <c:v>0.18578896454182567</c:v>
                </c:pt>
                <c:pt idx="111">
                  <c:v>0.18295059134937794</c:v>
                </c:pt>
                <c:pt idx="112">
                  <c:v>0.18003733937151783</c:v>
                </c:pt>
                <c:pt idx="113">
                  <c:v>0.17690412906915062</c:v>
                </c:pt>
                <c:pt idx="114">
                  <c:v>0.17352416059101514</c:v>
                </c:pt>
                <c:pt idx="115">
                  <c:v>0.16989760458050818</c:v>
                </c:pt>
                <c:pt idx="116">
                  <c:v>0.16602464231944397</c:v>
                </c:pt>
                <c:pt idx="117">
                  <c:v>0.16190546626992339</c:v>
                </c:pt>
                <c:pt idx="118">
                  <c:v>0.15754028061443254</c:v>
                </c:pt>
                <c:pt idx="119">
                  <c:v>0.15292930179644684</c:v>
                </c:pt>
                <c:pt idx="120">
                  <c:v>0.14807275906079748</c:v>
                </c:pt>
                <c:pt idx="121">
                  <c:v>0.14293842516182062</c:v>
                </c:pt>
                <c:pt idx="122">
                  <c:v>0.13762849024410947</c:v>
                </c:pt>
                <c:pt idx="123">
                  <c:v>0.13214316995952527</c:v>
                </c:pt>
                <c:pt idx="124">
                  <c:v>0.12648269198877232</c:v>
                </c:pt>
                <c:pt idx="125">
                  <c:v>0.1206472964309461</c:v>
                </c:pt>
                <c:pt idx="126">
                  <c:v>0.11463723619119431</c:v>
                </c:pt>
                <c:pt idx="127">
                  <c:v>0.10861510382893996</c:v>
                </c:pt>
                <c:pt idx="128">
                  <c:v>0.10272559724545385</c:v>
                </c:pt>
                <c:pt idx="129">
                  <c:v>9.6968716246519454E-2</c:v>
                </c:pt>
                <c:pt idx="130">
                  <c:v>9.1344459317407589E-2</c:v>
                </c:pt>
                <c:pt idx="131">
                  <c:v>8.5852823336695638E-2</c:v>
                </c:pt>
                <c:pt idx="132">
                  <c:v>8.0493803291216415E-2</c:v>
                </c:pt>
                <c:pt idx="133">
                  <c:v>7.526739199150026E-2</c:v>
                </c:pt>
                <c:pt idx="134">
                  <c:v>7.0173579786682511E-2</c:v>
                </c:pt>
                <c:pt idx="135">
                  <c:v>6.5399770249357489E-2</c:v>
                </c:pt>
                <c:pt idx="136">
                  <c:v>6.0978050382258744E-2</c:v>
                </c:pt>
                <c:pt idx="137">
                  <c:v>5.6908139068464474E-2</c:v>
                </c:pt>
                <c:pt idx="138">
                  <c:v>5.3189737948563118E-2</c:v>
                </c:pt>
                <c:pt idx="139">
                  <c:v>4.9822530653502006E-2</c:v>
                </c:pt>
                <c:pt idx="140">
                  <c:v>4.6806182034314837E-2</c:v>
                </c:pt>
                <c:pt idx="141">
                  <c:v>4.4179451605947211E-2</c:v>
                </c:pt>
                <c:pt idx="142">
                  <c:v>4.178025851535648E-2</c:v>
                </c:pt>
                <c:pt idx="143">
                  <c:v>3.96082311976396E-2</c:v>
                </c:pt>
                <c:pt idx="144">
                  <c:v>3.7663238829950062E-2</c:v>
                </c:pt>
                <c:pt idx="145">
                  <c:v>3.5945112537577761E-2</c:v>
                </c:pt>
                <c:pt idx="146">
                  <c:v>3.445364842977721E-2</c:v>
                </c:pt>
                <c:pt idx="147">
                  <c:v>3.3188610636868641E-2</c:v>
                </c:pt>
                <c:pt idx="148">
                  <c:v>3.2149734346427011E-2</c:v>
                </c:pt>
                <c:pt idx="149">
                  <c:v>3.1310192051213652E-2</c:v>
                </c:pt>
                <c:pt idx="150">
                  <c:v>3.0483634817354936E-2</c:v>
                </c:pt>
                <c:pt idx="151">
                  <c:v>2.9670109943028888E-2</c:v>
                </c:pt>
                <c:pt idx="152">
                  <c:v>2.8869659606731424E-2</c:v>
                </c:pt>
                <c:pt idx="153">
                  <c:v>2.8082321034612376E-2</c:v>
                </c:pt>
                <c:pt idx="154">
                  <c:v>2.7308126667981204E-2</c:v>
                </c:pt>
                <c:pt idx="155">
                  <c:v>2.6569071356956676E-2</c:v>
                </c:pt>
                <c:pt idx="156">
                  <c:v>2.5826349982776876E-2</c:v>
                </c:pt>
                <c:pt idx="157">
                  <c:v>2.5080013452200317E-2</c:v>
                </c:pt>
                <c:pt idx="158">
                  <c:v>2.433010879454478E-2</c:v>
                </c:pt>
                <c:pt idx="159">
                  <c:v>2.3576679101002303E-2</c:v>
                </c:pt>
                <c:pt idx="160">
                  <c:v>2.2819763464260359E-2</c:v>
                </c:pt>
                <c:pt idx="161">
                  <c:v>2.2059396917841968E-2</c:v>
                </c:pt>
                <c:pt idx="162">
                  <c:v>2.1295610375580639E-2</c:v>
                </c:pt>
                <c:pt idx="163">
                  <c:v>2.0569949765196924E-2</c:v>
                </c:pt>
                <c:pt idx="164">
                  <c:v>1.9908651675354803E-2</c:v>
                </c:pt>
                <c:pt idx="165">
                  <c:v>1.9311611738047667E-2</c:v>
                </c:pt>
                <c:pt idx="166">
                  <c:v>1.8778725398804867E-2</c:v>
                </c:pt>
                <c:pt idx="167">
                  <c:v>1.8309888778580946E-2</c:v>
                </c:pt>
                <c:pt idx="168">
                  <c:v>1.7904999536261783E-2</c:v>
                </c:pt>
                <c:pt idx="169">
                  <c:v>1.7605329852734289E-2</c:v>
                </c:pt>
                <c:pt idx="170">
                  <c:v>1.7388948106666014E-2</c:v>
                </c:pt>
                <c:pt idx="171">
                  <c:v>1.7255732606738142E-2</c:v>
                </c:pt>
                <c:pt idx="172">
                  <c:v>1.7205568982137223E-2</c:v>
                </c:pt>
                <c:pt idx="173">
                  <c:v>1.7238175032518035E-2</c:v>
                </c:pt>
                <c:pt idx="174">
                  <c:v>1.7353264016296367E-2</c:v>
                </c:pt>
                <c:pt idx="175">
                  <c:v>1.7550721036461377E-2</c:v>
                </c:pt>
                <c:pt idx="176">
                  <c:v>1.7830431740144578E-2</c:v>
                </c:pt>
                <c:pt idx="177">
                  <c:v>1.8213972322377054E-2</c:v>
                </c:pt>
                <c:pt idx="178">
                  <c:v>1.8660016749323785E-2</c:v>
                </c:pt>
                <c:pt idx="179">
                  <c:v>1.916848455954441E-2</c:v>
                </c:pt>
                <c:pt idx="180">
                  <c:v>1.9739297440743566E-2</c:v>
                </c:pt>
                <c:pt idx="181">
                  <c:v>2.0372379598865481E-2</c:v>
                </c:pt>
                <c:pt idx="182">
                  <c:v>2.1067658127352291E-2</c:v>
                </c:pt>
                <c:pt idx="183">
                  <c:v>2.1799034353058157E-2</c:v>
                </c:pt>
                <c:pt idx="184">
                  <c:v>2.2525418707757091E-2</c:v>
                </c:pt>
                <c:pt idx="185">
                  <c:v>2.3246843626943937E-2</c:v>
                </c:pt>
                <c:pt idx="186">
                  <c:v>2.3963343112903025E-2</c:v>
                </c:pt>
                <c:pt idx="187">
                  <c:v>2.4674952708868162E-2</c:v>
                </c:pt>
                <c:pt idx="188">
                  <c:v>2.538170947334787E-2</c:v>
                </c:pt>
                <c:pt idx="189">
                  <c:v>2.6083651953697089E-2</c:v>
                </c:pt>
                <c:pt idx="190">
                  <c:v>2.6780820160745341E-2</c:v>
                </c:pt>
                <c:pt idx="191">
                  <c:v>2.7511325250595946E-2</c:v>
                </c:pt>
                <c:pt idx="192">
                  <c:v>2.8253624573193494E-2</c:v>
                </c:pt>
                <c:pt idx="193">
                  <c:v>2.9007743687707074E-2</c:v>
                </c:pt>
                <c:pt idx="194">
                  <c:v>2.9773710747160544E-2</c:v>
                </c:pt>
                <c:pt idx="195">
                  <c:v>3.0551556570779886E-2</c:v>
                </c:pt>
                <c:pt idx="196">
                  <c:v>3.1341314715236782E-2</c:v>
                </c:pt>
                <c:pt idx="197">
                  <c:v>3.232457024291762E-2</c:v>
                </c:pt>
                <c:pt idx="198">
                  <c:v>3.3527043972322278E-2</c:v>
                </c:pt>
                <c:pt idx="199">
                  <c:v>3.4948583891539896E-2</c:v>
                </c:pt>
                <c:pt idx="200">
                  <c:v>3.6589060270050607E-2</c:v>
                </c:pt>
                <c:pt idx="201">
                  <c:v>3.8448366958655021E-2</c:v>
                </c:pt>
                <c:pt idx="202">
                  <c:v>4.0526422689543179E-2</c:v>
                </c:pt>
                <c:pt idx="203">
                  <c:v>4.2823172377259293E-2</c:v>
                </c:pt>
                <c:pt idx="204">
                  <c:v>4.5338515204202789E-2</c:v>
                </c:pt>
                <c:pt idx="205">
                  <c:v>4.822879550790822E-2</c:v>
                </c:pt>
                <c:pt idx="206">
                  <c:v>5.1455974216567515E-2</c:v>
                </c:pt>
                <c:pt idx="207">
                  <c:v>5.5019950213408983E-2</c:v>
                </c:pt>
                <c:pt idx="208">
                  <c:v>5.8920645858306066E-2</c:v>
                </c:pt>
                <c:pt idx="209">
                  <c:v>6.3158005939946707E-2</c:v>
                </c:pt>
                <c:pt idx="210">
                  <c:v>6.7731996629950275E-2</c:v>
                </c:pt>
                <c:pt idx="211">
                  <c:v>7.2611394396314227E-2</c:v>
                </c:pt>
                <c:pt idx="212">
                  <c:v>7.7615308961812818E-2</c:v>
                </c:pt>
                <c:pt idx="213">
                  <c:v>8.2743844760518243E-2</c:v>
                </c:pt>
                <c:pt idx="214">
                  <c:v>8.7997108797305754E-2</c:v>
                </c:pt>
                <c:pt idx="215">
                  <c:v>9.3375210259675726E-2</c:v>
                </c:pt>
                <c:pt idx="216">
                  <c:v>9.8878260129317899E-2</c:v>
                </c:pt>
                <c:pt idx="217">
                  <c:v>0.10450637079406315</c:v>
                </c:pt>
                <c:pt idx="218">
                  <c:v>0.11025965565933545</c:v>
                </c:pt>
                <c:pt idx="219">
                  <c:v>0.11599910645843195</c:v>
                </c:pt>
                <c:pt idx="220">
                  <c:v>0.12156870396810801</c:v>
                </c:pt>
                <c:pt idx="221">
                  <c:v>0.12696859796801119</c:v>
                </c:pt>
                <c:pt idx="222">
                  <c:v>0.13219892185421725</c:v>
                </c:pt>
                <c:pt idx="223">
                  <c:v>0.13725979317061446</c:v>
                </c:pt>
                <c:pt idx="224">
                  <c:v>0.14215131413737098</c:v>
                </c:pt>
                <c:pt idx="225">
                  <c:v>0.14677568979247255</c:v>
                </c:pt>
                <c:pt idx="226">
                  <c:v>0.15116417294504603</c:v>
                </c:pt>
                <c:pt idx="227">
                  <c:v>0.15531681983213375</c:v>
                </c:pt>
                <c:pt idx="228">
                  <c:v>0.15923367073377254</c:v>
                </c:pt>
                <c:pt idx="229">
                  <c:v>0.16291475070781425</c:v>
                </c:pt>
                <c:pt idx="230">
                  <c:v>0.16636007032713868</c:v>
                </c:pt>
                <c:pt idx="231">
                  <c:v>0.16956962641754664</c:v>
                </c:pt>
                <c:pt idx="232">
                  <c:v>0.17254340279209757</c:v>
                </c:pt>
                <c:pt idx="233">
                  <c:v>0.17530720502251962</c:v>
                </c:pt>
                <c:pt idx="234">
                  <c:v>0.17800012342805821</c:v>
                </c:pt>
                <c:pt idx="235">
                  <c:v>0.1806222799048062</c:v>
                </c:pt>
                <c:pt idx="236">
                  <c:v>0.18317385859213464</c:v>
                </c:pt>
                <c:pt idx="237">
                  <c:v>0.18565492957581392</c:v>
                </c:pt>
                <c:pt idx="238">
                  <c:v>0.18806556176496769</c:v>
                </c:pt>
                <c:pt idx="239">
                  <c:v>0.19085139335745446</c:v>
                </c:pt>
                <c:pt idx="240">
                  <c:v>0.19411055599682986</c:v>
                </c:pt>
                <c:pt idx="241">
                  <c:v>0.1978432822591874</c:v>
                </c:pt>
                <c:pt idx="242">
                  <c:v>0.2020498284152262</c:v>
                </c:pt>
                <c:pt idx="243">
                  <c:v>0.20673047526399585</c:v>
                </c:pt>
                <c:pt idx="244">
                  <c:v>0.2118855289656271</c:v>
                </c:pt>
                <c:pt idx="245">
                  <c:v>0.21751532187189729</c:v>
                </c:pt>
                <c:pt idx="246">
                  <c:v>0.22362021335623947</c:v>
                </c:pt>
                <c:pt idx="247">
                  <c:v>0.23053251236276873</c:v>
                </c:pt>
                <c:pt idx="248">
                  <c:v>0.23822691613915684</c:v>
                </c:pt>
                <c:pt idx="249">
                  <c:v>0.24670402877779743</c:v>
                </c:pt>
                <c:pt idx="250">
                  <c:v>0.25596450164481338</c:v>
                </c:pt>
                <c:pt idx="251">
                  <c:v>0.26600903475807103</c:v>
                </c:pt>
                <c:pt idx="252">
                  <c:v>0.27683837815493123</c:v>
                </c:pt>
                <c:pt idx="253">
                  <c:v>0.28795518068793235</c:v>
                </c:pt>
                <c:pt idx="254">
                  <c:v>0.29891342772703949</c:v>
                </c:pt>
                <c:pt idx="255">
                  <c:v>0.30971338905384271</c:v>
                </c:pt>
                <c:pt idx="256">
                  <c:v>0.32035533215514506</c:v>
                </c:pt>
                <c:pt idx="257">
                  <c:v>0.33083952192818866</c:v>
                </c:pt>
                <c:pt idx="258">
                  <c:v>0.3411662203886347</c:v>
                </c:pt>
                <c:pt idx="259">
                  <c:v>0.3513356863834674</c:v>
                </c:pt>
                <c:pt idx="260">
                  <c:v>0.36134817529376545</c:v>
                </c:pt>
                <c:pt idx="261">
                  <c:v>0.37097477202958506</c:v>
                </c:pt>
                <c:pt idx="262">
                  <c:v>0.37988249514802674</c:v>
                </c:pt>
                <c:pt idx="263">
                  <c:v>0.38807106492552113</c:v>
                </c:pt>
                <c:pt idx="264">
                  <c:v>0.39554017697229116</c:v>
                </c:pt>
                <c:pt idx="265">
                  <c:v>0.40229163893681941</c:v>
                </c:pt>
                <c:pt idx="266">
                  <c:v>0.40832626839863712</c:v>
                </c:pt>
                <c:pt idx="267">
                  <c:v>0.41397965965688621</c:v>
                </c:pt>
                <c:pt idx="268">
                  <c:v>0.41975154130136016</c:v>
                </c:pt>
                <c:pt idx="269">
                  <c:v>0.42564187072888748</c:v>
                </c:pt>
                <c:pt idx="270">
                  <c:v>0.43165059114873328</c:v>
                </c:pt>
                <c:pt idx="271">
                  <c:v>0.43777763039674716</c:v>
                </c:pt>
                <c:pt idx="272">
                  <c:v>0.44402289976103515</c:v>
                </c:pt>
                <c:pt idx="273">
                  <c:v>0.4503862928021895</c:v>
                </c:pt>
                <c:pt idx="274">
                  <c:v>0.45686768417927948</c:v>
                </c:pt>
                <c:pt idx="275">
                  <c:v>0.46341422962957396</c:v>
                </c:pt>
                <c:pt idx="276">
                  <c:v>0.4702562292852599</c:v>
                </c:pt>
                <c:pt idx="277">
                  <c:v>0.47739375941854756</c:v>
                </c:pt>
                <c:pt idx="278">
                  <c:v>0.48482688021365927</c:v>
                </c:pt>
                <c:pt idx="279">
                  <c:v>0.49255563263674074</c:v>
                </c:pt>
                <c:pt idx="280">
                  <c:v>0.5005800353103258</c:v>
                </c:pt>
                <c:pt idx="281">
                  <c:v>0.50890477187153715</c:v>
                </c:pt>
                <c:pt idx="282">
                  <c:v>0.51719095009499738</c:v>
                </c:pt>
                <c:pt idx="283">
                  <c:v>0.52543797873314846</c:v>
                </c:pt>
                <c:pt idx="284">
                  <c:v>0.53364523115862461</c:v>
                </c:pt>
                <c:pt idx="285">
                  <c:v>0.54181204588973964</c:v>
                </c:pt>
                <c:pt idx="286">
                  <c:v>0.54993772712107036</c:v>
                </c:pt>
                <c:pt idx="287">
                  <c:v>0.55802154524882108</c:v>
                </c:pt>
                <c:pt idx="288">
                  <c:v>0.56606273739817081</c:v>
                </c:pt>
                <c:pt idx="289">
                  <c:v>0.57423319822468932</c:v>
                </c:pt>
                <c:pt idx="290">
                  <c:v>0.58258546424282998</c:v>
                </c:pt>
                <c:pt idx="291">
                  <c:v>0.59111900557231634</c:v>
                </c:pt>
                <c:pt idx="292">
                  <c:v>0.59983324894058321</c:v>
                </c:pt>
                <c:pt idx="293">
                  <c:v>0.60872757575121095</c:v>
                </c:pt>
                <c:pt idx="294">
                  <c:v>0.6178013201501551</c:v>
                </c:pt>
                <c:pt idx="295">
                  <c:v>0.62685865042722699</c:v>
                </c:pt>
                <c:pt idx="296">
                  <c:v>0.63590152155283608</c:v>
                </c:pt>
                <c:pt idx="297">
                  <c:v>0.64493462297425086</c:v>
                </c:pt>
                <c:pt idx="298">
                  <c:v>0.6539574984173494</c:v>
                </c:pt>
                <c:pt idx="299">
                  <c:v>0.66296965858818735</c:v>
                </c:pt>
                <c:pt idx="300">
                  <c:v>0.6719705813774266</c:v>
                </c:pt>
                <c:pt idx="301">
                  <c:v>0.6809597120627896</c:v>
                </c:pt>
                <c:pt idx="302">
                  <c:v>0.68993646351299309</c:v>
                </c:pt>
                <c:pt idx="303">
                  <c:v>0.69886312784227667</c:v>
                </c:pt>
                <c:pt idx="304">
                  <c:v>0.70756508508451554</c:v>
                </c:pt>
                <c:pt idx="305">
                  <c:v>0.71604135095411203</c:v>
                </c:pt>
                <c:pt idx="306">
                  <c:v>0.72429091165715009</c:v>
                </c:pt>
                <c:pt idx="307">
                  <c:v>0.73231272603801623</c:v>
                </c:pt>
                <c:pt idx="308">
                  <c:v>0.74010572771989425</c:v>
                </c:pt>
                <c:pt idx="309">
                  <c:v>0.74768943142795319</c:v>
                </c:pt>
                <c:pt idx="310">
                  <c:v>0.75525931053179729</c:v>
                </c:pt>
                <c:pt idx="311">
                  <c:v>0.76281452963937191</c:v>
                </c:pt>
                <c:pt idx="312">
                  <c:v>0.77035422746706417</c:v>
                </c:pt>
                <c:pt idx="313">
                  <c:v>0.77787751699516627</c:v>
                </c:pt>
                <c:pt idx="314">
                  <c:v>0.78538348561634885</c:v>
                </c:pt>
                <c:pt idx="315">
                  <c:v>0.7928711952938825</c:v>
                </c:pt>
                <c:pt idx="316">
                  <c:v>0.80033968270781308</c:v>
                </c:pt>
                <c:pt idx="317">
                  <c:v>0.80749547786308917</c:v>
                </c:pt>
                <c:pt idx="318">
                  <c:v>0.81437456811676245</c:v>
                </c:pt>
                <c:pt idx="319">
                  <c:v>0.82097564504113751</c:v>
                </c:pt>
                <c:pt idx="320">
                  <c:v>0.8272973985612454</c:v>
                </c:pt>
                <c:pt idx="321">
                  <c:v>0.83333851944387882</c:v>
                </c:pt>
                <c:pt idx="322">
                  <c:v>0.83909770179026932</c:v>
                </c:pt>
                <c:pt idx="323">
                  <c:v>0.84432645730510503</c:v>
                </c:pt>
                <c:pt idx="324">
                  <c:v>0.84900255765192023</c:v>
                </c:pt>
                <c:pt idx="325">
                  <c:v>0.85312447065196728</c:v>
                </c:pt>
                <c:pt idx="326">
                  <c:v>0.85668538104590775</c:v>
                </c:pt>
                <c:pt idx="327">
                  <c:v>0.85968201573052716</c:v>
                </c:pt>
                <c:pt idx="328">
                  <c:v>0.86211557790926996</c:v>
                </c:pt>
                <c:pt idx="329">
                  <c:v>0.86398737980705764</c:v>
                </c:pt>
                <c:pt idx="330">
                  <c:v>0.86529883140693831</c:v>
                </c:pt>
                <c:pt idx="331">
                  <c:v>0.86594635317826762</c:v>
                </c:pt>
                <c:pt idx="332">
                  <c:v>0.86622507381676395</c:v>
                </c:pt>
                <c:pt idx="333">
                  <c:v>0.86613668022336487</c:v>
                </c:pt>
                <c:pt idx="334">
                  <c:v>0.86568289467792781</c:v>
                </c:pt>
                <c:pt idx="335">
                  <c:v>0.86486546751075244</c:v>
                </c:pt>
                <c:pt idx="336">
                  <c:v>0.8636861697627074</c:v>
                </c:pt>
                <c:pt idx="337">
                  <c:v>0.86216772196445568</c:v>
                </c:pt>
                <c:pt idx="338">
                  <c:v>0.86055960355013994</c:v>
                </c:pt>
                <c:pt idx="339">
                  <c:v>0.85886362352600243</c:v>
                </c:pt>
                <c:pt idx="340">
                  <c:v>0.85708157906869575</c:v>
                </c:pt>
                <c:pt idx="341">
                  <c:v>0.85521525377833163</c:v>
                </c:pt>
                <c:pt idx="342">
                  <c:v>0.85326641593081209</c:v>
                </c:pt>
                <c:pt idx="343">
                  <c:v>0.85123681671984897</c:v>
                </c:pt>
                <c:pt idx="344">
                  <c:v>0.84912818851242866</c:v>
                </c:pt>
                <c:pt idx="345">
                  <c:v>0.84694224309525323</c:v>
                </c:pt>
                <c:pt idx="346">
                  <c:v>0.84492564367430267</c:v>
                </c:pt>
                <c:pt idx="347">
                  <c:v>0.84308010443700909</c:v>
                </c:pt>
                <c:pt idx="348">
                  <c:v>0.84140733511422261</c:v>
                </c:pt>
                <c:pt idx="349">
                  <c:v>0.83990904431505353</c:v>
                </c:pt>
                <c:pt idx="350">
                  <c:v>0.83858694288142666</c:v>
                </c:pt>
                <c:pt idx="351">
                  <c:v>0.83758264466368137</c:v>
                </c:pt>
                <c:pt idx="352">
                  <c:v>0.83687698614953143</c:v>
                </c:pt>
                <c:pt idx="353">
                  <c:v>0.8364717812700152</c:v>
                </c:pt>
                <c:pt idx="354">
                  <c:v>0.83636887999729481</c:v>
                </c:pt>
                <c:pt idx="355">
                  <c:v>0.83657017411598245</c:v>
                </c:pt>
                <c:pt idx="356">
                  <c:v>0.83707818150587454</c:v>
                </c:pt>
                <c:pt idx="357">
                  <c:v>0.8378930295790068</c:v>
                </c:pt>
                <c:pt idx="358">
                  <c:v>0.83901287827512949</c:v>
                </c:pt>
                <c:pt idx="359">
                  <c:v>0.84043592923883303</c:v>
                </c:pt>
                <c:pt idx="360">
                  <c:v>0.84218142258333517</c:v>
                </c:pt>
                <c:pt idx="361">
                  <c:v>0.84410735019274008</c:v>
                </c:pt>
                <c:pt idx="362">
                  <c:v>0.8462118455872929</c:v>
                </c:pt>
                <c:pt idx="363">
                  <c:v>0.84849304343413667</c:v>
                </c:pt>
                <c:pt idx="364">
                  <c:v>0.85094907543504894</c:v>
                </c:pt>
                <c:pt idx="365">
                  <c:v>0.85357806620388721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6605984"/>
        <c:axId val="476605592"/>
      </c:lineChart>
      <c:dateAx>
        <c:axId val="476605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/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605592"/>
        <c:crosses val="autoZero"/>
        <c:auto val="1"/>
        <c:lblOffset val="100"/>
        <c:baseTimeUnit val="days"/>
      </c:dateAx>
      <c:valAx>
        <c:axId val="47660559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6059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Models!$BS$3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Models!$BS$4:$BS$11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6604808"/>
        <c:axId val="476604416"/>
      </c:scatterChart>
      <c:valAx>
        <c:axId val="476604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604416"/>
        <c:crosses val="autoZero"/>
        <c:crossBetween val="midCat"/>
      </c:valAx>
      <c:valAx>
        <c:axId val="47660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60480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18.923129406468622</c:v>
                </c:pt>
                <c:pt idx="1">
                  <c:v>19.054978571857873</c:v>
                </c:pt>
                <c:pt idx="2">
                  <c:v>19.195746492517408</c:v>
                </c:pt>
                <c:pt idx="3">
                  <c:v>19.345224892450815</c:v>
                </c:pt>
                <c:pt idx="4">
                  <c:v>19.503205499669601</c:v>
                </c:pt>
                <c:pt idx="5">
                  <c:v>19.669480039230709</c:v>
                </c:pt>
                <c:pt idx="6">
                  <c:v>19.843840240532984</c:v>
                </c:pt>
                <c:pt idx="7">
                  <c:v>20.026077827156101</c:v>
                </c:pt>
                <c:pt idx="8">
                  <c:v>20.217007046640653</c:v>
                </c:pt>
                <c:pt idx="9">
                  <c:v>20.417309027534031</c:v>
                </c:pt>
                <c:pt idx="10">
                  <c:v>20.626575804440296</c:v>
                </c:pt>
                <c:pt idx="11">
                  <c:v>20.844399423045772</c:v>
                </c:pt>
                <c:pt idx="12">
                  <c:v>21.070371920516337</c:v>
                </c:pt>
                <c:pt idx="13">
                  <c:v>21.304085338257913</c:v>
                </c:pt>
                <c:pt idx="14">
                  <c:v>21.545131718486161</c:v>
                </c:pt>
                <c:pt idx="15">
                  <c:v>21.793103099139088</c:v>
                </c:pt>
                <c:pt idx="16">
                  <c:v>22.047591523682982</c:v>
                </c:pt>
                <c:pt idx="17">
                  <c:v>22.308189031103709</c:v>
                </c:pt>
                <c:pt idx="18">
                  <c:v>22.574487662841591</c:v>
                </c:pt>
                <c:pt idx="19">
                  <c:v>22.846079458947766</c:v>
                </c:pt>
                <c:pt idx="20">
                  <c:v>23.12255645925913</c:v>
                </c:pt>
                <c:pt idx="21">
                  <c:v>23.403510707430542</c:v>
                </c:pt>
                <c:pt idx="22">
                  <c:v>23.690045884750518</c:v>
                </c:pt>
                <c:pt idx="23">
                  <c:v>23.983316494604303</c:v>
                </c:pt>
                <c:pt idx="24">
                  <c:v>24.282990804999798</c:v>
                </c:pt>
                <c:pt idx="25">
                  <c:v>24.588737080592132</c:v>
                </c:pt>
                <c:pt idx="26">
                  <c:v>24.900223591271789</c:v>
                </c:pt>
                <c:pt idx="27">
                  <c:v>25.217118601354638</c:v>
                </c:pt>
                <c:pt idx="28">
                  <c:v>25.539090380957347</c:v>
                </c:pt>
                <c:pt idx="29">
                  <c:v>25.865807194103088</c:v>
                </c:pt>
                <c:pt idx="30">
                  <c:v>26.196937310815386</c:v>
                </c:pt>
                <c:pt idx="31">
                  <c:v>26.532148995183938</c:v>
                </c:pt>
                <c:pt idx="32">
                  <c:v>26.871110517019407</c:v>
                </c:pt>
                <c:pt idx="33">
                  <c:v>27.213490141502447</c:v>
                </c:pt>
                <c:pt idx="34">
                  <c:v>27.558956136873793</c:v>
                </c:pt>
                <c:pt idx="35">
                  <c:v>27.907176768500356</c:v>
                </c:pt>
                <c:pt idx="36">
                  <c:v>28.259415273268576</c:v>
                </c:pt>
                <c:pt idx="37">
                  <c:v>28.616992738430518</c:v>
                </c:pt>
                <c:pt idx="38">
                  <c:v>28.979664217860311</c:v>
                </c:pt>
                <c:pt idx="39">
                  <c:v>29.347184760655676</c:v>
                </c:pt>
                <c:pt idx="40">
                  <c:v>29.719309419779371</c:v>
                </c:pt>
                <c:pt idx="41">
                  <c:v>30.09579324540017</c:v>
                </c:pt>
                <c:pt idx="42">
                  <c:v>30.476391288125889</c:v>
                </c:pt>
                <c:pt idx="43">
                  <c:v>30.860858600972485</c:v>
                </c:pt>
                <c:pt idx="44">
                  <c:v>31.24895023393578</c:v>
                </c:pt>
                <c:pt idx="45">
                  <c:v>31.640421238767779</c:v>
                </c:pt>
                <c:pt idx="46">
                  <c:v>32.035026666375671</c:v>
                </c:pt>
                <c:pt idx="47">
                  <c:v>32.432521568611264</c:v>
                </c:pt>
                <c:pt idx="48">
                  <c:v>32.832660995902756</c:v>
                </c:pt>
                <c:pt idx="49">
                  <c:v>33.23519999971613</c:v>
                </c:pt>
                <c:pt idx="50">
                  <c:v>33.641633819003722</c:v>
                </c:pt>
                <c:pt idx="51">
                  <c:v>34.053364431405704</c:v>
                </c:pt>
                <c:pt idx="52">
                  <c:v>34.470006997085044</c:v>
                </c:pt>
                <c:pt idx="53">
                  <c:v>34.891176676444175</c:v>
                </c:pt>
                <c:pt idx="54">
                  <c:v>35.316488629812376</c:v>
                </c:pt>
                <c:pt idx="55">
                  <c:v>35.745558017472334</c:v>
                </c:pt>
                <c:pt idx="56">
                  <c:v>36.177999999676828</c:v>
                </c:pt>
                <c:pt idx="57">
                  <c:v>36.613429737410378</c:v>
                </c:pt>
                <c:pt idx="58">
                  <c:v>37.051462390569839</c:v>
                </c:pt>
                <c:pt idx="59">
                  <c:v>37.491713119664098</c:v>
                </c:pt>
                <c:pt idx="60">
                  <c:v>37.933797084563409</c:v>
                </c:pt>
                <c:pt idx="61">
                  <c:v>38.37732944609597</c:v>
                </c:pt>
                <c:pt idx="62">
                  <c:v>38.821925364341581</c:v>
                </c:pt>
                <c:pt idx="63">
                  <c:v>39.267199999932203</c:v>
                </c:pt>
                <c:pt idx="64">
                  <c:v>39.714920116488692</c:v>
                </c:pt>
                <c:pt idx="65">
                  <c:v>40.166707871840998</c:v>
                </c:pt>
                <c:pt idx="66">
                  <c:v>40.621961515905738</c:v>
                </c:pt>
                <c:pt idx="67">
                  <c:v>41.08007930036235</c:v>
                </c:pt>
                <c:pt idx="68">
                  <c:v>41.540459475456736</c:v>
                </c:pt>
                <c:pt idx="69">
                  <c:v>42.002500291554526</c:v>
                </c:pt>
                <c:pt idx="70">
                  <c:v>42.465600000158886</c:v>
                </c:pt>
                <c:pt idx="71">
                  <c:v>42.929156851196396</c:v>
                </c:pt>
                <c:pt idx="72">
                  <c:v>43.392569096413041</c:v>
                </c:pt>
                <c:pt idx="73">
                  <c:v>43.855234985412764</c:v>
                </c:pt>
                <c:pt idx="74">
                  <c:v>44.316552769898308</c:v>
                </c:pt>
                <c:pt idx="75">
                  <c:v>44.775920699743025</c:v>
                </c:pt>
                <c:pt idx="76">
                  <c:v>45.232737026426804</c:v>
                </c:pt>
                <c:pt idx="77">
                  <c:v>45.686399999912823</c:v>
                </c:pt>
                <c:pt idx="78">
                  <c:v>46.138881632526008</c:v>
                </c:pt>
                <c:pt idx="79">
                  <c:v>46.59213061208969</c:v>
                </c:pt>
                <c:pt idx="80">
                  <c:v>47.045510203790457</c:v>
                </c:pt>
                <c:pt idx="81">
                  <c:v>47.498383673852572</c:v>
                </c:pt>
                <c:pt idx="82">
                  <c:v>47.95011428558999</c:v>
                </c:pt>
                <c:pt idx="83">
                  <c:v>48.400065306288056</c:v>
                </c:pt>
                <c:pt idx="84">
                  <c:v>48.847600000048985</c:v>
                </c:pt>
                <c:pt idx="85">
                  <c:v>49.292081632784431</c:v>
                </c:pt>
                <c:pt idx="86">
                  <c:v>49.732873469032342</c:v>
                </c:pt>
                <c:pt idx="87">
                  <c:v>50.169338775612417</c:v>
                </c:pt>
                <c:pt idx="88">
                  <c:v>50.600840816340813</c:v>
                </c:pt>
                <c:pt idx="89">
                  <c:v>51.026742857521668</c:v>
                </c:pt>
                <c:pt idx="90">
                  <c:v>51.446408163233926</c:v>
                </c:pt>
                <c:pt idx="91">
                  <c:v>51.859200000157585</c:v>
                </c:pt>
                <c:pt idx="92">
                  <c:v>52.266831486642218</c:v>
                </c:pt>
                <c:pt idx="93">
                  <c:v>52.671141691199907</c:v>
                </c:pt>
                <c:pt idx="94">
                  <c:v>53.071682798243799</c:v>
                </c:pt>
                <c:pt idx="95">
                  <c:v>53.468006997276099</c:v>
                </c:pt>
                <c:pt idx="96">
                  <c:v>53.859666471619022</c:v>
                </c:pt>
                <c:pt idx="97">
                  <c:v>54.246213411193878</c:v>
                </c:pt>
                <c:pt idx="98">
                  <c:v>54.627199999708679</c:v>
                </c:pt>
                <c:pt idx="99">
                  <c:v>55.002178425754295</c:v>
                </c:pt>
                <c:pt idx="100">
                  <c:v>55.370700874199557</c:v>
                </c:pt>
                <c:pt idx="101">
                  <c:v>55.732319533359259</c:v>
                </c:pt>
                <c:pt idx="102">
                  <c:v>56.086586589143351</c:v>
                </c:pt>
                <c:pt idx="103">
                  <c:v>56.433054226763275</c:v>
                </c:pt>
                <c:pt idx="104">
                  <c:v>56.771274635445195</c:v>
                </c:pt>
                <c:pt idx="105">
                  <c:v>57.100799998641016</c:v>
                </c:pt>
                <c:pt idx="106">
                  <c:v>57.42250845526744</c:v>
                </c:pt>
                <c:pt idx="107">
                  <c:v>57.737488045729691</c:v>
                </c:pt>
                <c:pt idx="108">
                  <c:v>58.045605830462378</c:v>
                </c:pt>
                <c:pt idx="109">
                  <c:v>58.346728862582573</c:v>
                </c:pt>
                <c:pt idx="110">
                  <c:v>58.640724197815032</c:v>
                </c:pt>
                <c:pt idx="111">
                  <c:v>58.927458891033055</c:v>
                </c:pt>
                <c:pt idx="112">
                  <c:v>59.206799999531356</c:v>
                </c:pt>
                <c:pt idx="113">
                  <c:v>59.478614575708555</c:v>
                </c:pt>
                <c:pt idx="114">
                  <c:v>59.742769678469216</c:v>
                </c:pt>
                <c:pt idx="115">
                  <c:v>59.999132361236427</c:v>
                </c:pt>
                <c:pt idx="116">
                  <c:v>60.247569678244851</c:v>
                </c:pt>
                <c:pt idx="117">
                  <c:v>60.487948687800341</c:v>
                </c:pt>
                <c:pt idx="118">
                  <c:v>60.720136441716122</c:v>
                </c:pt>
                <c:pt idx="119">
                  <c:v>60.943999999947849</c:v>
                </c:pt>
                <c:pt idx="120">
                  <c:v>61.159520698578234</c:v>
                </c:pt>
                <c:pt idx="121">
                  <c:v>61.366875801607968</c:v>
                </c:pt>
                <c:pt idx="122">
                  <c:v>61.566226237959093</c:v>
                </c:pt>
                <c:pt idx="123">
                  <c:v>61.757732944403379</c:v>
                </c:pt>
                <c:pt idx="124">
                  <c:v>61.941556850261975</c:v>
                </c:pt>
                <c:pt idx="125">
                  <c:v>62.1178588908964</c:v>
                </c:pt>
                <c:pt idx="126">
                  <c:v>62.286799999326469</c:v>
                </c:pt>
                <c:pt idx="127">
                  <c:v>62.448541107560914</c:v>
                </c:pt>
                <c:pt idx="128">
                  <c:v>62.603243148526438</c:v>
                </c:pt>
                <c:pt idx="129">
                  <c:v>62.751067054750663</c:v>
                </c:pt>
                <c:pt idx="130">
                  <c:v>62.892173761395476</c:v>
                </c:pt>
                <c:pt idx="131">
                  <c:v>63.026724197555858</c:v>
                </c:pt>
                <c:pt idx="132">
                  <c:v>63.154879300482563</c:v>
                </c:pt>
                <c:pt idx="133">
                  <c:v>63.276799999736255</c:v>
                </c:pt>
                <c:pt idx="134">
                  <c:v>63.391884547977568</c:v>
                </c:pt>
                <c:pt idx="135">
                  <c:v>63.499615159896862</c:v>
                </c:pt>
                <c:pt idx="136">
                  <c:v>63.600278717093175</c:v>
                </c:pt>
                <c:pt idx="137">
                  <c:v>63.694162098930349</c:v>
                </c:pt>
                <c:pt idx="138">
                  <c:v>63.781552186475274</c:v>
                </c:pt>
                <c:pt idx="139">
                  <c:v>63.862735859890066</c:v>
                </c:pt>
                <c:pt idx="140">
                  <c:v>63.937999999802557</c:v>
                </c:pt>
                <c:pt idx="141">
                  <c:v>64.007631486680893</c:v>
                </c:pt>
                <c:pt idx="142">
                  <c:v>64.071917201445572</c:v>
                </c:pt>
                <c:pt idx="143">
                  <c:v>64.131144023713262</c:v>
                </c:pt>
                <c:pt idx="144">
                  <c:v>64.185598834125059</c:v>
                </c:pt>
                <c:pt idx="145">
                  <c:v>64.235568513641397</c:v>
                </c:pt>
                <c:pt idx="146">
                  <c:v>64.281339942251464</c:v>
                </c:pt>
                <c:pt idx="147">
                  <c:v>64.323200000636291</c:v>
                </c:pt>
                <c:pt idx="148">
                  <c:v>64.360349854673927</c:v>
                </c:pt>
                <c:pt idx="149">
                  <c:v>64.391958017381171</c:v>
                </c:pt>
                <c:pt idx="150">
                  <c:v>64.418262390679274</c:v>
                </c:pt>
                <c:pt idx="151">
                  <c:v>64.439500875425125</c:v>
                </c:pt>
                <c:pt idx="152">
                  <c:v>64.455911370220463</c:v>
                </c:pt>
                <c:pt idx="153">
                  <c:v>64.467731779441237</c:v>
                </c:pt>
                <c:pt idx="154">
                  <c:v>64.475200000684708</c:v>
                </c:pt>
                <c:pt idx="155">
                  <c:v>64.478553936151513</c:v>
                </c:pt>
                <c:pt idx="156">
                  <c:v>64.478031487250703</c:v>
                </c:pt>
                <c:pt idx="157">
                  <c:v>64.47387055491231</c:v>
                </c:pt>
                <c:pt idx="158">
                  <c:v>64.46630903829687</c:v>
                </c:pt>
                <c:pt idx="159">
                  <c:v>64.455584840024159</c:v>
                </c:pt>
                <c:pt idx="160">
                  <c:v>64.441935860166069</c:v>
                </c:pt>
                <c:pt idx="161">
                  <c:v>64.425600000470865</c:v>
                </c:pt>
                <c:pt idx="162">
                  <c:v>64.405979009391743</c:v>
                </c:pt>
                <c:pt idx="163">
                  <c:v>64.382395335393284</c:v>
                </c:pt>
                <c:pt idx="164">
                  <c:v>64.354967930307609</c:v>
                </c:pt>
                <c:pt idx="165">
                  <c:v>64.323815744609703</c:v>
                </c:pt>
                <c:pt idx="166">
                  <c:v>64.289057726605932</c:v>
                </c:pt>
                <c:pt idx="167">
                  <c:v>64.250812828753681</c:v>
                </c:pt>
                <c:pt idx="168">
                  <c:v>64.209200000809503</c:v>
                </c:pt>
                <c:pt idx="169">
                  <c:v>64.164338193128685</c:v>
                </c:pt>
                <c:pt idx="170">
                  <c:v>64.116346356219481</c:v>
                </c:pt>
                <c:pt idx="171">
                  <c:v>64.065343440643375</c:v>
                </c:pt>
                <c:pt idx="172">
                  <c:v>64.011448397181397</c:v>
                </c:pt>
                <c:pt idx="173">
                  <c:v>63.954780175683211</c:v>
                </c:pt>
                <c:pt idx="174">
                  <c:v>63.895457726297906</c:v>
                </c:pt>
                <c:pt idx="175">
                  <c:v>63.833600000105804</c:v>
                </c:pt>
                <c:pt idx="176">
                  <c:v>63.768886297628555</c:v>
                </c:pt>
                <c:pt idx="177">
                  <c:v>63.700935276890441</c:v>
                </c:pt>
                <c:pt idx="178">
                  <c:v>63.629774927407766</c:v>
                </c:pt>
                <c:pt idx="179">
                  <c:v>63.555433236608017</c:v>
                </c:pt>
                <c:pt idx="180">
                  <c:v>63.477938192816708</c:v>
                </c:pt>
                <c:pt idx="181">
                  <c:v>63.397317784745248</c:v>
                </c:pt>
                <c:pt idx="182">
                  <c:v>63.31360000036657</c:v>
                </c:pt>
                <c:pt idx="183">
                  <c:v>63.226812828199144</c:v>
                </c:pt>
                <c:pt idx="184">
                  <c:v>63.136984256608415</c:v>
                </c:pt>
                <c:pt idx="185">
                  <c:v>63.044142274252536</c:v>
                </c:pt>
                <c:pt idx="186">
                  <c:v>62.948314868964786</c:v>
                </c:pt>
                <c:pt idx="187">
                  <c:v>62.849530029283571</c:v>
                </c:pt>
                <c:pt idx="188">
                  <c:v>62.747815743321553</c:v>
                </c:pt>
                <c:pt idx="189">
                  <c:v>62.643199999723578</c:v>
                </c:pt>
                <c:pt idx="190">
                  <c:v>62.535764431554298</c:v>
                </c:pt>
                <c:pt idx="191">
                  <c:v>62.425544023340834</c:v>
                </c:pt>
                <c:pt idx="192">
                  <c:v>62.31249679317034</c:v>
                </c:pt>
                <c:pt idx="193">
                  <c:v>62.196580758012296</c:v>
                </c:pt>
                <c:pt idx="194">
                  <c:v>62.077753935867392</c:v>
                </c:pt>
                <c:pt idx="195">
                  <c:v>61.955974344004474</c:v>
                </c:pt>
                <c:pt idx="196">
                  <c:v>61.831200000038372</c:v>
                </c:pt>
                <c:pt idx="197">
                  <c:v>61.703388921317782</c:v>
                </c:pt>
                <c:pt idx="198">
                  <c:v>61.572499125038405</c:v>
                </c:pt>
                <c:pt idx="199">
                  <c:v>61.438488629726429</c:v>
                </c:pt>
                <c:pt idx="200">
                  <c:v>61.301315451652883</c:v>
                </c:pt>
                <c:pt idx="201">
                  <c:v>61.160937609217527</c:v>
                </c:pt>
                <c:pt idx="202">
                  <c:v>61.017313119443131</c:v>
                </c:pt>
                <c:pt idx="203">
                  <c:v>60.870399999991058</c:v>
                </c:pt>
                <c:pt idx="204">
                  <c:v>60.720723032259521</c:v>
                </c:pt>
                <c:pt idx="205">
                  <c:v>60.56872303179864</c:v>
                </c:pt>
                <c:pt idx="206">
                  <c:v>60.414232069945761</c:v>
                </c:pt>
                <c:pt idx="207">
                  <c:v>60.257082215776393</c:v>
                </c:pt>
                <c:pt idx="208">
                  <c:v>60.097105539297416</c:v>
                </c:pt>
                <c:pt idx="209">
                  <c:v>59.934134110941422</c:v>
                </c:pt>
                <c:pt idx="210">
                  <c:v>59.767999999644232</c:v>
                </c:pt>
                <c:pt idx="211">
                  <c:v>59.598535276922789</c:v>
                </c:pt>
                <c:pt idx="212">
                  <c:v>59.425572012092118</c:v>
                </c:pt>
                <c:pt idx="213">
                  <c:v>59.248942274374087</c:v>
                </c:pt>
                <c:pt idx="214">
                  <c:v>59.068478134647009</c:v>
                </c:pt>
                <c:pt idx="215">
                  <c:v>58.884011661966461</c:v>
                </c:pt>
                <c:pt idx="216">
                  <c:v>58.6953749277762</c:v>
                </c:pt>
                <c:pt idx="217">
                  <c:v>58.502400000393393</c:v>
                </c:pt>
                <c:pt idx="218">
                  <c:v>58.305594169321871</c:v>
                </c:pt>
                <c:pt idx="219">
                  <c:v>58.105422740908608</c:v>
                </c:pt>
                <c:pt idx="220">
                  <c:v>57.901654810631385</c:v>
                </c:pt>
                <c:pt idx="221">
                  <c:v>57.694059475418186</c:v>
                </c:pt>
                <c:pt idx="222">
                  <c:v>57.482405830613729</c:v>
                </c:pt>
                <c:pt idx="223">
                  <c:v>57.266462974250317</c:v>
                </c:pt>
                <c:pt idx="224">
                  <c:v>57.046000000275669</c:v>
                </c:pt>
                <c:pt idx="225">
                  <c:v>56.820786006149966</c:v>
                </c:pt>
                <c:pt idx="226">
                  <c:v>56.590590087989611</c:v>
                </c:pt>
                <c:pt idx="227">
                  <c:v>56.355181341485263</c:v>
                </c:pt>
                <c:pt idx="228">
                  <c:v>56.114328863185698</c:v>
                </c:pt>
                <c:pt idx="229">
                  <c:v>55.867801749453477</c:v>
                </c:pt>
                <c:pt idx="230">
                  <c:v>55.615369096458224</c:v>
                </c:pt>
                <c:pt idx="231">
                  <c:v>55.356800000369546</c:v>
                </c:pt>
                <c:pt idx="232">
                  <c:v>55.092031486638419</c:v>
                </c:pt>
                <c:pt idx="233">
                  <c:v>54.821149854734543</c:v>
                </c:pt>
                <c:pt idx="234">
                  <c:v>54.544148104464902</c:v>
                </c:pt>
                <c:pt idx="235">
                  <c:v>54.261019241809848</c:v>
                </c:pt>
                <c:pt idx="236">
                  <c:v>53.971756268798245</c:v>
                </c:pt>
                <c:pt idx="237">
                  <c:v>53.676352186447801</c:v>
                </c:pt>
                <c:pt idx="238">
                  <c:v>53.374800000060347</c:v>
                </c:pt>
                <c:pt idx="239">
                  <c:v>53.067092711318814</c:v>
                </c:pt>
                <c:pt idx="240">
                  <c:v>52.753223323728889</c:v>
                </c:pt>
                <c:pt idx="241">
                  <c:v>52.4331848392263</c:v>
                </c:pt>
                <c:pt idx="242">
                  <c:v>52.106970262447639</c:v>
                </c:pt>
                <c:pt idx="243">
                  <c:v>51.774572594250955</c:v>
                </c:pt>
                <c:pt idx="244">
                  <c:v>51.435984838860371</c:v>
                </c:pt>
                <c:pt idx="245">
                  <c:v>51.091199999116363</c:v>
                </c:pt>
                <c:pt idx="246">
                  <c:v>50.739144023304931</c:v>
                </c:pt>
                <c:pt idx="247">
                  <c:v>50.379046063211618</c:v>
                </c:pt>
                <c:pt idx="248">
                  <c:v>50.011353935469273</c:v>
                </c:pt>
                <c:pt idx="249">
                  <c:v>49.636515451136177</c:v>
                </c:pt>
                <c:pt idx="250">
                  <c:v>49.254978425193777</c:v>
                </c:pt>
                <c:pt idx="251">
                  <c:v>48.867190670774185</c:v>
                </c:pt>
                <c:pt idx="252">
                  <c:v>48.473599999467844</c:v>
                </c:pt>
                <c:pt idx="253">
                  <c:v>48.074654227149274</c:v>
                </c:pt>
                <c:pt idx="254">
                  <c:v>47.670801165503718</c:v>
                </c:pt>
                <c:pt idx="255">
                  <c:v>47.262488629426144</c:v>
                </c:pt>
                <c:pt idx="256">
                  <c:v>46.850164430994269</c:v>
                </c:pt>
                <c:pt idx="257">
                  <c:v>46.434276384634103</c:v>
                </c:pt>
                <c:pt idx="258">
                  <c:v>46.015272302496513</c:v>
                </c:pt>
                <c:pt idx="259">
                  <c:v>45.593599999998695</c:v>
                </c:pt>
                <c:pt idx="260">
                  <c:v>45.167376093213846</c:v>
                </c:pt>
                <c:pt idx="261">
                  <c:v>44.734927113088112</c:v>
                </c:pt>
                <c:pt idx="262">
                  <c:v>44.297015742758028</c:v>
                </c:pt>
                <c:pt idx="263">
                  <c:v>43.854404664458706</c:v>
                </c:pt>
                <c:pt idx="264">
                  <c:v>43.407856559329332</c:v>
                </c:pt>
                <c:pt idx="265">
                  <c:v>42.958134110504758</c:v>
                </c:pt>
                <c:pt idx="266">
                  <c:v>42.505999999877531</c:v>
                </c:pt>
                <c:pt idx="267">
                  <c:v>42.052216909390076</c:v>
                </c:pt>
                <c:pt idx="268">
                  <c:v>41.597547521969375</c:v>
                </c:pt>
                <c:pt idx="269">
                  <c:v>41.142754518786177</c:v>
                </c:pt>
                <c:pt idx="270">
                  <c:v>40.688600582800746</c:v>
                </c:pt>
                <c:pt idx="271">
                  <c:v>40.235848396191642</c:v>
                </c:pt>
                <c:pt idx="272">
                  <c:v>39.785260641433496</c:v>
                </c:pt>
                <c:pt idx="273">
                  <c:v>39.337600000062956</c:v>
                </c:pt>
                <c:pt idx="274">
                  <c:v>38.89086763838506</c:v>
                </c:pt>
                <c:pt idx="275">
                  <c:v>38.442990087484944</c:v>
                </c:pt>
                <c:pt idx="276">
                  <c:v>37.994618076260672</c:v>
                </c:pt>
                <c:pt idx="277">
                  <c:v>37.546402332758795</c:v>
                </c:pt>
                <c:pt idx="278">
                  <c:v>37.098993586221638</c:v>
                </c:pt>
                <c:pt idx="279">
                  <c:v>36.653042565592166</c:v>
                </c:pt>
                <c:pt idx="280">
                  <c:v>36.209200000483548</c:v>
                </c:pt>
                <c:pt idx="281">
                  <c:v>35.768116618207259</c:v>
                </c:pt>
                <c:pt idx="282">
                  <c:v>35.330443148682491</c:v>
                </c:pt>
                <c:pt idx="283">
                  <c:v>34.896830320870507</c:v>
                </c:pt>
                <c:pt idx="284">
                  <c:v>34.467928863112213</c:v>
                </c:pt>
                <c:pt idx="285">
                  <c:v>34.044389505258636</c:v>
                </c:pt>
                <c:pt idx="286">
                  <c:v>33.626862974222085</c:v>
                </c:pt>
                <c:pt idx="287">
                  <c:v>33.216000000853086</c:v>
                </c:pt>
                <c:pt idx="288">
                  <c:v>32.810141108279851</c:v>
                </c:pt>
                <c:pt idx="289">
                  <c:v>32.407398251251188</c:v>
                </c:pt>
                <c:pt idx="290">
                  <c:v>32.008079300957199</c:v>
                </c:pt>
                <c:pt idx="291">
                  <c:v>31.612492128508165</c:v>
                </c:pt>
                <c:pt idx="292">
                  <c:v>31.220944606973454</c:v>
                </c:pt>
                <c:pt idx="293">
                  <c:v>30.833744607134058</c:v>
                </c:pt>
                <c:pt idx="294">
                  <c:v>30.45120000076713</c:v>
                </c:pt>
                <c:pt idx="295">
                  <c:v>30.073618659756278</c:v>
                </c:pt>
                <c:pt idx="296">
                  <c:v>29.701308455546052</c:v>
                </c:pt>
                <c:pt idx="297">
                  <c:v>29.334577260758465</c:v>
                </c:pt>
                <c:pt idx="298">
                  <c:v>28.973732945228196</c:v>
                </c:pt>
                <c:pt idx="299">
                  <c:v>28.619083383173816</c:v>
                </c:pt>
                <c:pt idx="300">
                  <c:v>28.270936443980986</c:v>
                </c:pt>
                <c:pt idx="301">
                  <c:v>27.929600000195208</c:v>
                </c:pt>
                <c:pt idx="302">
                  <c:v>27.593948689568791</c:v>
                </c:pt>
                <c:pt idx="303">
                  <c:v>27.262740525629901</c:v>
                </c:pt>
                <c:pt idx="304">
                  <c:v>26.936108455767059</c:v>
                </c:pt>
                <c:pt idx="305">
                  <c:v>26.614185423590243</c:v>
                </c:pt>
                <c:pt idx="306">
                  <c:v>26.297104373880266</c:v>
                </c:pt>
                <c:pt idx="307">
                  <c:v>25.984998251630792</c:v>
                </c:pt>
                <c:pt idx="308">
                  <c:v>25.678000000678004</c:v>
                </c:pt>
                <c:pt idx="309">
                  <c:v>25.376242567093243</c:v>
                </c:pt>
                <c:pt idx="310">
                  <c:v>25.07985889343545</c:v>
                </c:pt>
                <c:pt idx="311">
                  <c:v>24.788981925243778</c:v>
                </c:pt>
                <c:pt idx="312">
                  <c:v>24.503744606820071</c:v>
                </c:pt>
                <c:pt idx="313">
                  <c:v>24.224279884248972</c:v>
                </c:pt>
                <c:pt idx="314">
                  <c:v>23.950720700754651</c:v>
                </c:pt>
                <c:pt idx="315">
                  <c:v>23.68320000059903</c:v>
                </c:pt>
                <c:pt idx="316">
                  <c:v>23.420777824733939</c:v>
                </c:pt>
                <c:pt idx="317">
                  <c:v>23.162576409722014</c:v>
                </c:pt>
                <c:pt idx="318">
                  <c:v>22.908821999428</c:v>
                </c:pt>
                <c:pt idx="319">
                  <c:v>22.659740837583584</c:v>
                </c:pt>
                <c:pt idx="320">
                  <c:v>22.415559167521341</c:v>
                </c:pt>
                <c:pt idx="321">
                  <c:v>22.176503232760091</c:v>
                </c:pt>
                <c:pt idx="322">
                  <c:v>21.942799275368451</c:v>
                </c:pt>
                <c:pt idx="323">
                  <c:v>21.714673539330917</c:v>
                </c:pt>
                <c:pt idx="324">
                  <c:v>21.492352267501079</c:v>
                </c:pt>
                <c:pt idx="325">
                  <c:v>21.27606170446213</c:v>
                </c:pt>
                <c:pt idx="326">
                  <c:v>21.066028093107576</c:v>
                </c:pt>
                <c:pt idx="327">
                  <c:v>20.862477675532656</c:v>
                </c:pt>
                <c:pt idx="328">
                  <c:v>20.665636696639869</c:v>
                </c:pt>
                <c:pt idx="329">
                  <c:v>20.475731397978961</c:v>
                </c:pt>
                <c:pt idx="330">
                  <c:v>20.291899469814126</c:v>
                </c:pt>
                <c:pt idx="331">
                  <c:v>20.113352791858574</c:v>
                </c:pt>
                <c:pt idx="332">
                  <c:v>19.940428898975785</c:v>
                </c:pt>
                <c:pt idx="333">
                  <c:v>19.773465320122032</c:v>
                </c:pt>
                <c:pt idx="334">
                  <c:v>19.612799588870256</c:v>
                </c:pt>
                <c:pt idx="335">
                  <c:v>19.458769237170259</c:v>
                </c:pt>
                <c:pt idx="336">
                  <c:v>19.311711796373128</c:v>
                </c:pt>
                <c:pt idx="337">
                  <c:v>19.171964800996442</c:v>
                </c:pt>
                <c:pt idx="338">
                  <c:v>19.039865779078433</c:v>
                </c:pt>
                <c:pt idx="339">
                  <c:v>18.915752265815222</c:v>
                </c:pt>
                <c:pt idx="340">
                  <c:v>18.799961792065631</c:v>
                </c:pt>
                <c:pt idx="341">
                  <c:v>18.692831889273862</c:v>
                </c:pt>
                <c:pt idx="342">
                  <c:v>18.594700093913289</c:v>
                </c:pt>
                <c:pt idx="343">
                  <c:v>18.505903931893407</c:v>
                </c:pt>
                <c:pt idx="344">
                  <c:v>18.426052682006301</c:v>
                </c:pt>
                <c:pt idx="345">
                  <c:v>18.354638076591961</c:v>
                </c:pt>
                <c:pt idx="346">
                  <c:v>18.291821331950594</c:v>
                </c:pt>
                <c:pt idx="347">
                  <c:v>18.23776366793977</c:v>
                </c:pt>
                <c:pt idx="348">
                  <c:v>18.192626295856709</c:v>
                </c:pt>
                <c:pt idx="349">
                  <c:v>18.156570436504527</c:v>
                </c:pt>
                <c:pt idx="350">
                  <c:v>18.129757305613623</c:v>
                </c:pt>
                <c:pt idx="351">
                  <c:v>18.112348119186908</c:v>
                </c:pt>
                <c:pt idx="352">
                  <c:v>18.104504096907164</c:v>
                </c:pt>
                <c:pt idx="353">
                  <c:v>18.106386452898604</c:v>
                </c:pt>
                <c:pt idx="354">
                  <c:v>18.118156404461104</c:v>
                </c:pt>
                <c:pt idx="355">
                  <c:v>18.139975168778939</c:v>
                </c:pt>
                <c:pt idx="356">
                  <c:v>18.17200396217892</c:v>
                </c:pt>
                <c:pt idx="357">
                  <c:v>18.214404003990108</c:v>
                </c:pt>
                <c:pt idx="358">
                  <c:v>18.267405302758359</c:v>
                </c:pt>
                <c:pt idx="359">
                  <c:v>18.330991540104151</c:v>
                </c:pt>
                <c:pt idx="360">
                  <c:v>18.404954444437195</c:v>
                </c:pt>
                <c:pt idx="361">
                  <c:v>18.489085742368779</c:v>
                </c:pt>
                <c:pt idx="362">
                  <c:v>18.583177160266146</c:v>
                </c:pt>
                <c:pt idx="363">
                  <c:v>18.68702042783643</c:v>
                </c:pt>
                <c:pt idx="364">
                  <c:v>18.800407266269985</c:v>
                </c:pt>
                <c:pt idx="365">
                  <c:v>18.923129405543719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18.847767541805904</c:v>
                </c:pt>
                <c:pt idx="1">
                  <c:v>18.982296589612961</c:v>
                </c:pt>
                <c:pt idx="2">
                  <c:v>19.125764205058413</c:v>
                </c:pt>
                <c:pt idx="3">
                  <c:v>19.277908074061077</c:v>
                </c:pt>
                <c:pt idx="4">
                  <c:v>19.438465891480444</c:v>
                </c:pt>
                <c:pt idx="5">
                  <c:v>19.607175357739131</c:v>
                </c:pt>
                <c:pt idx="6">
                  <c:v>19.783774161338805</c:v>
                </c:pt>
                <c:pt idx="7">
                  <c:v>19.968000000715257</c:v>
                </c:pt>
                <c:pt idx="8">
                  <c:v>20.161892654746772</c:v>
                </c:pt>
                <c:pt idx="9">
                  <c:v>20.367173668635743</c:v>
                </c:pt>
                <c:pt idx="10">
                  <c:v>20.58310337524329</c:v>
                </c:pt>
                <c:pt idx="11">
                  <c:v>20.808942114242484</c:v>
                </c:pt>
                <c:pt idx="12">
                  <c:v>21.043950215939965</c:v>
                </c:pt>
                <c:pt idx="13">
                  <c:v>21.287388020434548</c:v>
                </c:pt>
                <c:pt idx="14">
                  <c:v>21.53851586058736</c:v>
                </c:pt>
                <c:pt idx="15">
                  <c:v>21.796594076497211</c:v>
                </c:pt>
                <c:pt idx="16">
                  <c:v>22.060882999535117</c:v>
                </c:pt>
                <c:pt idx="17">
                  <c:v>22.330642967032535</c:v>
                </c:pt>
                <c:pt idx="18">
                  <c:v>22.605134315362996</c:v>
                </c:pt>
                <c:pt idx="19">
                  <c:v>22.88361737898418</c:v>
                </c:pt>
                <c:pt idx="20">
                  <c:v>23.165352494269609</c:v>
                </c:pt>
                <c:pt idx="21">
                  <c:v>23.449599999934435</c:v>
                </c:pt>
                <c:pt idx="22">
                  <c:v>23.738197083824449</c:v>
                </c:pt>
                <c:pt idx="23">
                  <c:v>24.033250144230472</c:v>
                </c:pt>
                <c:pt idx="24">
                  <c:v>24.334423322922415</c:v>
                </c:pt>
                <c:pt idx="25">
                  <c:v>24.64138075709343</c:v>
                </c:pt>
                <c:pt idx="26">
                  <c:v>24.953786588247333</c:v>
                </c:pt>
                <c:pt idx="27">
                  <c:v>25.271304955439909</c:v>
                </c:pt>
                <c:pt idx="28">
                  <c:v>25.593599998950957</c:v>
                </c:pt>
                <c:pt idx="29">
                  <c:v>25.920335859486034</c:v>
                </c:pt>
                <c:pt idx="30">
                  <c:v>26.251176675888047</c:v>
                </c:pt>
                <c:pt idx="31">
                  <c:v>26.585786588702881</c:v>
                </c:pt>
                <c:pt idx="32">
                  <c:v>26.923829736613801</c:v>
                </c:pt>
                <c:pt idx="33">
                  <c:v>27.264970261710033</c:v>
                </c:pt>
                <c:pt idx="34">
                  <c:v>27.608872303207004</c:v>
                </c:pt>
                <c:pt idx="35">
                  <c:v>27.955199999362229</c:v>
                </c:pt>
                <c:pt idx="36">
                  <c:v>28.304214577323627</c:v>
                </c:pt>
                <c:pt idx="37">
                  <c:v>28.656475801659479</c:v>
                </c:pt>
                <c:pt idx="38">
                  <c:v>29.01209562617753</c:v>
                </c:pt>
                <c:pt idx="39">
                  <c:v>29.371186005430566</c:v>
                </c:pt>
                <c:pt idx="40">
                  <c:v>29.733858890725031</c:v>
                </c:pt>
                <c:pt idx="41">
                  <c:v>30.100226238369942</c:v>
                </c:pt>
                <c:pt idx="42">
                  <c:v>30.470399999246002</c:v>
                </c:pt>
                <c:pt idx="43">
                  <c:v>30.844492127746342</c:v>
                </c:pt>
                <c:pt idx="44">
                  <c:v>31.222614576295019</c:v>
                </c:pt>
                <c:pt idx="45">
                  <c:v>31.604879299764121</c:v>
                </c:pt>
                <c:pt idx="46">
                  <c:v>31.991398249566554</c:v>
                </c:pt>
                <c:pt idx="47">
                  <c:v>32.382283381372687</c:v>
                </c:pt>
                <c:pt idx="48">
                  <c:v>32.777646645956807</c:v>
                </c:pt>
                <c:pt idx="49">
                  <c:v>33.177600000053644</c:v>
                </c:pt>
                <c:pt idx="50">
                  <c:v>33.582945771675028</c:v>
                </c:pt>
                <c:pt idx="51">
                  <c:v>33.994113118999778</c:v>
                </c:pt>
                <c:pt idx="52">
                  <c:v>34.410654226318002</c:v>
                </c:pt>
                <c:pt idx="53">
                  <c:v>34.83212128239019</c:v>
                </c:pt>
                <c:pt idx="54">
                  <c:v>35.258066471293567</c:v>
                </c:pt>
                <c:pt idx="55">
                  <c:v>35.688041982320804</c:v>
                </c:pt>
                <c:pt idx="56">
                  <c:v>36.121599999815224</c:v>
                </c:pt>
                <c:pt idx="57">
                  <c:v>36.558292710781096</c:v>
                </c:pt>
                <c:pt idx="58">
                  <c:v>36.997672303154005</c:v>
                </c:pt>
                <c:pt idx="59">
                  <c:v>37.439290961463534</c:v>
                </c:pt>
                <c:pt idx="60">
                  <c:v>37.882700874443557</c:v>
                </c:pt>
                <c:pt idx="61">
                  <c:v>38.327454227421967</c:v>
                </c:pt>
                <c:pt idx="62">
                  <c:v>38.773103206844198</c:v>
                </c:pt>
                <c:pt idx="63">
                  <c:v>39.219200000166893</c:v>
                </c:pt>
                <c:pt idx="64">
                  <c:v>39.667871719785033</c:v>
                </c:pt>
                <c:pt idx="65">
                  <c:v>40.121096209729359</c:v>
                </c:pt>
                <c:pt idx="66">
                  <c:v>40.578201749415271</c:v>
                </c:pt>
                <c:pt idx="67">
                  <c:v>41.038516617992094</c:v>
                </c:pt>
                <c:pt idx="68">
                  <c:v>41.501369096298831</c:v>
                </c:pt>
                <c:pt idx="69">
                  <c:v>41.966087463311851</c:v>
                </c:pt>
                <c:pt idx="70">
                  <c:v>42.432000000029802</c:v>
                </c:pt>
                <c:pt idx="71">
                  <c:v>42.8984349855887</c:v>
                </c:pt>
                <c:pt idx="72">
                  <c:v>43.36472069965675</c:v>
                </c:pt>
                <c:pt idx="73">
                  <c:v>43.830185422727041</c:v>
                </c:pt>
                <c:pt idx="74">
                  <c:v>44.294157434520976</c:v>
                </c:pt>
                <c:pt idx="75">
                  <c:v>44.755965014653547</c:v>
                </c:pt>
                <c:pt idx="76">
                  <c:v>45.214936443258608</c:v>
                </c:pt>
                <c:pt idx="77">
                  <c:v>45.670399999991062</c:v>
                </c:pt>
                <c:pt idx="78">
                  <c:v>46.12530379046553</c:v>
                </c:pt>
                <c:pt idx="79">
                  <c:v>46.582446647595091</c:v>
                </c:pt>
                <c:pt idx="80">
                  <c:v>47.040932944696394</c:v>
                </c:pt>
                <c:pt idx="81">
                  <c:v>47.499867055458679</c:v>
                </c:pt>
                <c:pt idx="82">
                  <c:v>47.958353353650963</c:v>
                </c:pt>
                <c:pt idx="83">
                  <c:v>48.415496210541036</c:v>
                </c:pt>
                <c:pt idx="84">
                  <c:v>48.870400000270457</c:v>
                </c:pt>
                <c:pt idx="85">
                  <c:v>49.322169096315548</c:v>
                </c:pt>
                <c:pt idx="86">
                  <c:v>49.769907872711443</c:v>
                </c:pt>
                <c:pt idx="87">
                  <c:v>50.212720700406599</c:v>
                </c:pt>
                <c:pt idx="88">
                  <c:v>50.649711954008254</c:v>
                </c:pt>
                <c:pt idx="89">
                  <c:v>51.079986007458402</c:v>
                </c:pt>
                <c:pt idx="90">
                  <c:v>51.502647231253128</c:v>
                </c:pt>
                <c:pt idx="91">
                  <c:v>51.916800000518563</c:v>
                </c:pt>
                <c:pt idx="92">
                  <c:v>52.324515452182723</c:v>
                </c:pt>
                <c:pt idx="93">
                  <c:v>52.728237902053763</c:v>
                </c:pt>
                <c:pt idx="94">
                  <c:v>53.127631487750577</c:v>
                </c:pt>
                <c:pt idx="95">
                  <c:v>53.522360349552969</c:v>
                </c:pt>
                <c:pt idx="96">
                  <c:v>53.912088630561321</c:v>
                </c:pt>
                <c:pt idx="97">
                  <c:v>54.296480466638286</c:v>
                </c:pt>
                <c:pt idx="98">
                  <c:v>54.675200000032781</c:v>
                </c:pt>
                <c:pt idx="99">
                  <c:v>55.047911370439195</c:v>
                </c:pt>
                <c:pt idx="100">
                  <c:v>55.414278717126159</c:v>
                </c:pt>
                <c:pt idx="101">
                  <c:v>55.773966180958915</c:v>
                </c:pt>
                <c:pt idx="102">
                  <c:v>56.126637900993231</c:v>
                </c:pt>
                <c:pt idx="103">
                  <c:v>56.471958017029934</c:v>
                </c:pt>
                <c:pt idx="104">
                  <c:v>56.809590671211481</c:v>
                </c:pt>
                <c:pt idx="105">
                  <c:v>57.139199999719857</c:v>
                </c:pt>
                <c:pt idx="106">
                  <c:v>57.462017492258134</c:v>
                </c:pt>
                <c:pt idx="107">
                  <c:v>57.779274635229797</c:v>
                </c:pt>
                <c:pt idx="108">
                  <c:v>58.090635568009951</c:v>
                </c:pt>
                <c:pt idx="109">
                  <c:v>58.39576442986727</c:v>
                </c:pt>
                <c:pt idx="110">
                  <c:v>58.694325364700376</c:v>
                </c:pt>
                <c:pt idx="111">
                  <c:v>58.985982507041527</c:v>
                </c:pt>
                <c:pt idx="112">
                  <c:v>59.270399999246003</c:v>
                </c:pt>
                <c:pt idx="113">
                  <c:v>59.54724198196616</c:v>
                </c:pt>
                <c:pt idx="114">
                  <c:v>59.816172595747879</c:v>
                </c:pt>
                <c:pt idx="115">
                  <c:v>60.076855976453849</c:v>
                </c:pt>
                <c:pt idx="116">
                  <c:v>60.328956267450529</c:v>
                </c:pt>
                <c:pt idx="117">
                  <c:v>60.57213761040142</c:v>
                </c:pt>
                <c:pt idx="118">
                  <c:v>60.806064140583786</c:v>
                </c:pt>
                <c:pt idx="119">
                  <c:v>61.030399999022485</c:v>
                </c:pt>
                <c:pt idx="120">
                  <c:v>61.244678717745202</c:v>
                </c:pt>
                <c:pt idx="121">
                  <c:v>61.4489562690258</c:v>
                </c:pt>
                <c:pt idx="122">
                  <c:v>61.643680465168188</c:v>
                </c:pt>
                <c:pt idx="123">
                  <c:v>61.829299126139709</c:v>
                </c:pt>
                <c:pt idx="124">
                  <c:v>62.006260058922429</c:v>
                </c:pt>
                <c:pt idx="125">
                  <c:v>62.175011079651973</c:v>
                </c:pt>
                <c:pt idx="126">
                  <c:v>62.336000001057982</c:v>
                </c:pt>
                <c:pt idx="127">
                  <c:v>62.489674636295852</c:v>
                </c:pt>
                <c:pt idx="128">
                  <c:v>62.636482798893532</c:v>
                </c:pt>
                <c:pt idx="129">
                  <c:v>62.776872303336859</c:v>
                </c:pt>
                <c:pt idx="130">
                  <c:v>62.911290962621571</c:v>
                </c:pt>
                <c:pt idx="131">
                  <c:v>63.040186589104792</c:v>
                </c:pt>
                <c:pt idx="132">
                  <c:v>63.164006997644904</c:v>
                </c:pt>
                <c:pt idx="133">
                  <c:v>63.283199998736379</c:v>
                </c:pt>
                <c:pt idx="134">
                  <c:v>63.396366180479525</c:v>
                </c:pt>
                <c:pt idx="135">
                  <c:v>63.502031487226489</c:v>
                </c:pt>
                <c:pt idx="136">
                  <c:v>63.6005317785378</c:v>
                </c:pt>
                <c:pt idx="137">
                  <c:v>63.692202915251258</c:v>
                </c:pt>
                <c:pt idx="138">
                  <c:v>63.777380757512788</c:v>
                </c:pt>
                <c:pt idx="139">
                  <c:v>63.856401166639159</c:v>
                </c:pt>
                <c:pt idx="140">
                  <c:v>63.92960000038147</c:v>
                </c:pt>
                <c:pt idx="141">
                  <c:v>63.997313119577505</c:v>
                </c:pt>
                <c:pt idx="142">
                  <c:v>64.059876384852188</c:v>
                </c:pt>
                <c:pt idx="143">
                  <c:v>64.117625655978912</c:v>
                </c:pt>
                <c:pt idx="144">
                  <c:v>64.170896792943978</c:v>
                </c:pt>
                <c:pt idx="145">
                  <c:v>64.2200256555208</c:v>
                </c:pt>
                <c:pt idx="146">
                  <c:v>64.265348105239013</c:v>
                </c:pt>
                <c:pt idx="147">
                  <c:v>64.307200000435117</c:v>
                </c:pt>
                <c:pt idx="148">
                  <c:v>64.344592420011764</c:v>
                </c:pt>
                <c:pt idx="149">
                  <c:v>64.376461807744846</c:v>
                </c:pt>
                <c:pt idx="150">
                  <c:v>64.403032069706484</c:v>
                </c:pt>
                <c:pt idx="151">
                  <c:v>64.424527113458936</c:v>
                </c:pt>
                <c:pt idx="152">
                  <c:v>64.441170846245114</c:v>
                </c:pt>
                <c:pt idx="153">
                  <c:v>64.453187172434156</c:v>
                </c:pt>
                <c:pt idx="154">
                  <c:v>64.460800000280145</c:v>
                </c:pt>
                <c:pt idx="155">
                  <c:v>64.464233236440592</c:v>
                </c:pt>
                <c:pt idx="156">
                  <c:v>64.463710787306937</c:v>
                </c:pt>
                <c:pt idx="157">
                  <c:v>64.459456559909242</c:v>
                </c:pt>
                <c:pt idx="158">
                  <c:v>64.451694460745358</c:v>
                </c:pt>
                <c:pt idx="159">
                  <c:v>64.440648396313208</c:v>
                </c:pt>
                <c:pt idx="160">
                  <c:v>64.426542273962085</c:v>
                </c:pt>
                <c:pt idx="161">
                  <c:v>64.409600001573565</c:v>
                </c:pt>
                <c:pt idx="162">
                  <c:v>64.389000584025467</c:v>
                </c:pt>
                <c:pt idx="163">
                  <c:v>64.363923032528589</c:v>
                </c:pt>
                <c:pt idx="164">
                  <c:v>64.334591254325844</c:v>
                </c:pt>
                <c:pt idx="165">
                  <c:v>64.301229155276502</c:v>
                </c:pt>
                <c:pt idx="166">
                  <c:v>64.264060642011458</c:v>
                </c:pt>
                <c:pt idx="167">
                  <c:v>64.223309621480965</c:v>
                </c:pt>
                <c:pt idx="168">
                  <c:v>64.179200000315902</c:v>
                </c:pt>
                <c:pt idx="169">
                  <c:v>64.131955685466522</c:v>
                </c:pt>
                <c:pt idx="170">
                  <c:v>64.08180058319121</c:v>
                </c:pt>
                <c:pt idx="171">
                  <c:v>64.028958600865934</c:v>
                </c:pt>
                <c:pt idx="172">
                  <c:v>63.973653643844386</c:v>
                </c:pt>
                <c:pt idx="173">
                  <c:v>63.916109620886189</c:v>
                </c:pt>
                <c:pt idx="174">
                  <c:v>63.856550437611119</c:v>
                </c:pt>
                <c:pt idx="175">
                  <c:v>63.795199999958278</c:v>
                </c:pt>
                <c:pt idx="176">
                  <c:v>63.732207580363117</c:v>
                </c:pt>
                <c:pt idx="177">
                  <c:v>63.667423906177284</c:v>
                </c:pt>
                <c:pt idx="178">
                  <c:v>63.600625072685737</c:v>
                </c:pt>
                <c:pt idx="179">
                  <c:v>63.531587171927093</c:v>
                </c:pt>
                <c:pt idx="180">
                  <c:v>63.460086297164004</c:v>
                </c:pt>
                <c:pt idx="181">
                  <c:v>63.385898542297738</c:v>
                </c:pt>
                <c:pt idx="182">
                  <c:v>63.30879999920726</c:v>
                </c:pt>
                <c:pt idx="183">
                  <c:v>63.228566763283951</c:v>
                </c:pt>
                <c:pt idx="184">
                  <c:v>63.144974927311502</c:v>
                </c:pt>
                <c:pt idx="185">
                  <c:v>63.057800583328515</c:v>
                </c:pt>
                <c:pt idx="186">
                  <c:v>62.966819824996797</c:v>
                </c:pt>
                <c:pt idx="187">
                  <c:v>62.871808746457098</c:v>
                </c:pt>
                <c:pt idx="188">
                  <c:v>62.772543439960906</c:v>
                </c:pt>
                <c:pt idx="189">
                  <c:v>62.668799999356267</c:v>
                </c:pt>
                <c:pt idx="190">
                  <c:v>62.56042915356479</c:v>
                </c:pt>
                <c:pt idx="191">
                  <c:v>62.447580174409914</c:v>
                </c:pt>
                <c:pt idx="192">
                  <c:v>62.330476968389533</c:v>
                </c:pt>
                <c:pt idx="193">
                  <c:v>62.209343439979214</c:v>
                </c:pt>
                <c:pt idx="194">
                  <c:v>62.084403498657046</c:v>
                </c:pt>
                <c:pt idx="195">
                  <c:v>61.955881049484013</c:v>
                </c:pt>
                <c:pt idx="196">
                  <c:v>61.82399999946356</c:v>
                </c:pt>
                <c:pt idx="197">
                  <c:v>61.688984255918442</c:v>
                </c:pt>
                <c:pt idx="198">
                  <c:v>61.551057725080419</c:v>
                </c:pt>
                <c:pt idx="199">
                  <c:v>61.410444314405325</c:v>
                </c:pt>
                <c:pt idx="200">
                  <c:v>61.267367929619333</c:v>
                </c:pt>
                <c:pt idx="201">
                  <c:v>61.122052478364523</c:v>
                </c:pt>
                <c:pt idx="202">
                  <c:v>60.974721865462413</c:v>
                </c:pt>
                <c:pt idx="203">
                  <c:v>60.825599999353287</c:v>
                </c:pt>
                <c:pt idx="204">
                  <c:v>60.674836151408293</c:v>
                </c:pt>
                <c:pt idx="205">
                  <c:v>60.522281049191953</c:v>
                </c:pt>
                <c:pt idx="206">
                  <c:v>60.367710787164313</c:v>
                </c:pt>
                <c:pt idx="207">
                  <c:v>60.210901457603498</c:v>
                </c:pt>
                <c:pt idx="208">
                  <c:v>60.051629154091437</c:v>
                </c:pt>
                <c:pt idx="209">
                  <c:v>59.88966997063585</c:v>
                </c:pt>
                <c:pt idx="210">
                  <c:v>59.724799999594687</c:v>
                </c:pt>
                <c:pt idx="211">
                  <c:v>59.556795334975632</c:v>
                </c:pt>
                <c:pt idx="212">
                  <c:v>59.385432070546912</c:v>
                </c:pt>
                <c:pt idx="213">
                  <c:v>59.210486297096523</c:v>
                </c:pt>
                <c:pt idx="214">
                  <c:v>59.031734110973773</c:v>
                </c:pt>
                <c:pt idx="215">
                  <c:v>58.848951602833608</c:v>
                </c:pt>
                <c:pt idx="216">
                  <c:v>58.661914869264841</c:v>
                </c:pt>
                <c:pt idx="217">
                  <c:v>58.47040000036359</c:v>
                </c:pt>
                <c:pt idx="218">
                  <c:v>58.275713119762294</c:v>
                </c:pt>
                <c:pt idx="219">
                  <c:v>58.079011078817508</c:v>
                </c:pt>
                <c:pt idx="220">
                  <c:v>57.879846063788456</c:v>
                </c:pt>
                <c:pt idx="221">
                  <c:v>57.67777026221156</c:v>
                </c:pt>
                <c:pt idx="222">
                  <c:v>57.472335859973512</c:v>
                </c:pt>
                <c:pt idx="223">
                  <c:v>57.263095043599606</c:v>
                </c:pt>
                <c:pt idx="224">
                  <c:v>57.049599999189375</c:v>
                </c:pt>
                <c:pt idx="225">
                  <c:v>56.831402915183979</c:v>
                </c:pt>
                <c:pt idx="226">
                  <c:v>56.608055977150798</c:v>
                </c:pt>
                <c:pt idx="227">
                  <c:v>56.379111370231421</c:v>
                </c:pt>
                <c:pt idx="228">
                  <c:v>56.144121282920239</c:v>
                </c:pt>
                <c:pt idx="229">
                  <c:v>55.902637899986338</c:v>
                </c:pt>
                <c:pt idx="230">
                  <c:v>55.654213410615924</c:v>
                </c:pt>
                <c:pt idx="231">
                  <c:v>55.398399999737741</c:v>
                </c:pt>
                <c:pt idx="232">
                  <c:v>55.136354518788195</c:v>
                </c:pt>
                <c:pt idx="233">
                  <c:v>54.86938309073448</c:v>
                </c:pt>
                <c:pt idx="234">
                  <c:v>54.597261808173997</c:v>
                </c:pt>
                <c:pt idx="235">
                  <c:v>54.319766764129916</c:v>
                </c:pt>
                <c:pt idx="236">
                  <c:v>54.036674052423663</c:v>
                </c:pt>
                <c:pt idx="237">
                  <c:v>53.747759767302441</c:v>
                </c:pt>
                <c:pt idx="238">
                  <c:v>53.452800000831488</c:v>
                </c:pt>
                <c:pt idx="239">
                  <c:v>53.151570846140388</c:v>
                </c:pt>
                <c:pt idx="240">
                  <c:v>52.843848397369889</c:v>
                </c:pt>
                <c:pt idx="241">
                  <c:v>52.529408747170656</c:v>
                </c:pt>
                <c:pt idx="242">
                  <c:v>52.208027989151219</c:v>
                </c:pt>
                <c:pt idx="243">
                  <c:v>51.879482216813742</c:v>
                </c:pt>
                <c:pt idx="244">
                  <c:v>51.543547522915262</c:v>
                </c:pt>
                <c:pt idx="245">
                  <c:v>51.200000002235171</c:v>
                </c:pt>
                <c:pt idx="246">
                  <c:v>50.847962682587763</c:v>
                </c:pt>
                <c:pt idx="247">
                  <c:v>50.487081049701999</c:v>
                </c:pt>
                <c:pt idx="248">
                  <c:v>50.117914869583082</c:v>
                </c:pt>
                <c:pt idx="249">
                  <c:v>49.741023907171822</c:v>
                </c:pt>
                <c:pt idx="250">
                  <c:v>49.356967931294015</c:v>
                </c:pt>
                <c:pt idx="251">
                  <c:v>48.966306706092183</c:v>
                </c:pt>
                <c:pt idx="252">
                  <c:v>48.569600000232455</c:v>
                </c:pt>
                <c:pt idx="253">
                  <c:v>48.167407581316574</c:v>
                </c:pt>
                <c:pt idx="254">
                  <c:v>47.760289213274213</c:v>
                </c:pt>
                <c:pt idx="255">
                  <c:v>47.348804665676184</c:v>
                </c:pt>
                <c:pt idx="256">
                  <c:v>46.933513703250455</c:v>
                </c:pt>
                <c:pt idx="257">
                  <c:v>46.514976093173026</c:v>
                </c:pt>
                <c:pt idx="258">
                  <c:v>46.093751604216443</c:v>
                </c:pt>
                <c:pt idx="259">
                  <c:v>45.670400001108646</c:v>
                </c:pt>
                <c:pt idx="260">
                  <c:v>45.241898542409764</c:v>
                </c:pt>
                <c:pt idx="261">
                  <c:v>44.805523032136264</c:v>
                </c:pt>
                <c:pt idx="262">
                  <c:v>44.362281050266965</c:v>
                </c:pt>
                <c:pt idx="263">
                  <c:v>43.913180174651956</c:v>
                </c:pt>
                <c:pt idx="264">
                  <c:v>43.459227988336764</c:v>
                </c:pt>
                <c:pt idx="265">
                  <c:v>43.001432070269118</c:v>
                </c:pt>
                <c:pt idx="266">
                  <c:v>42.540799999888989</c:v>
                </c:pt>
                <c:pt idx="267">
                  <c:v>42.078339358525611</c:v>
                </c:pt>
                <c:pt idx="268">
                  <c:v>41.615057726377351</c:v>
                </c:pt>
                <c:pt idx="269">
                  <c:v>41.151962682658009</c:v>
                </c:pt>
                <c:pt idx="270">
                  <c:v>40.690061807738878</c:v>
                </c:pt>
                <c:pt idx="271">
                  <c:v>40.230362682443648</c:v>
                </c:pt>
                <c:pt idx="272">
                  <c:v>39.773872886518284</c:v>
                </c:pt>
                <c:pt idx="273">
                  <c:v>39.321600000187757</c:v>
                </c:pt>
                <c:pt idx="274">
                  <c:v>38.869606997345443</c:v>
                </c:pt>
                <c:pt idx="275">
                  <c:v>38.414031487091314</c:v>
                </c:pt>
                <c:pt idx="276">
                  <c:v>37.955993003418136</c:v>
                </c:pt>
                <c:pt idx="277">
                  <c:v>37.496611078908401</c:v>
                </c:pt>
                <c:pt idx="278">
                  <c:v>37.037005248053802</c:v>
                </c:pt>
                <c:pt idx="279">
                  <c:v>36.57829504380269</c:v>
                </c:pt>
                <c:pt idx="280">
                  <c:v>36.121600000699985</c:v>
                </c:pt>
                <c:pt idx="281">
                  <c:v>35.668039650948984</c:v>
                </c:pt>
                <c:pt idx="282">
                  <c:v>35.218733528329594</c:v>
                </c:pt>
                <c:pt idx="283">
                  <c:v>34.774801165663767</c:v>
                </c:pt>
                <c:pt idx="284">
                  <c:v>34.337362099791477</c:v>
                </c:pt>
                <c:pt idx="285">
                  <c:v>33.907535860434706</c:v>
                </c:pt>
                <c:pt idx="286">
                  <c:v>33.486441982776988</c:v>
                </c:pt>
                <c:pt idx="287">
                  <c:v>33.075200001895425</c:v>
                </c:pt>
                <c:pt idx="288">
                  <c:v>32.672858310384406</c:v>
                </c:pt>
                <c:pt idx="289">
                  <c:v>32.277495043618337</c:v>
                </c:pt>
                <c:pt idx="290">
                  <c:v>31.888774344112193</c:v>
                </c:pt>
                <c:pt idx="291">
                  <c:v>31.506360350442783</c:v>
                </c:pt>
                <c:pt idx="292">
                  <c:v>31.129917201399802</c:v>
                </c:pt>
                <c:pt idx="293">
                  <c:v>30.759109038540295</c:v>
                </c:pt>
                <c:pt idx="294">
                  <c:v>30.393600000813603</c:v>
                </c:pt>
                <c:pt idx="295">
                  <c:v>30.03305422727551</c:v>
                </c:pt>
                <c:pt idx="296">
                  <c:v>29.677135859695927</c:v>
                </c:pt>
                <c:pt idx="297">
                  <c:v>29.325509037503174</c:v>
                </c:pt>
                <c:pt idx="298">
                  <c:v>28.977837901189922</c:v>
                </c:pt>
                <c:pt idx="299">
                  <c:v>28.633786588481495</c:v>
                </c:pt>
                <c:pt idx="300">
                  <c:v>28.293019241839648</c:v>
                </c:pt>
                <c:pt idx="301">
                  <c:v>27.95520000010729</c:v>
                </c:pt>
                <c:pt idx="302">
                  <c:v>27.619862390256355</c:v>
                </c:pt>
                <c:pt idx="303">
                  <c:v>27.28706239025508</c:v>
                </c:pt>
                <c:pt idx="304">
                  <c:v>26.957247812247704</c:v>
                </c:pt>
                <c:pt idx="305">
                  <c:v>26.630866471678019</c:v>
                </c:pt>
                <c:pt idx="306">
                  <c:v>26.308366180849923</c:v>
                </c:pt>
                <c:pt idx="307">
                  <c:v>25.990194751535142</c:v>
                </c:pt>
                <c:pt idx="308">
                  <c:v>25.676799999549985</c:v>
                </c:pt>
                <c:pt idx="309">
                  <c:v>25.368629738049847</c:v>
                </c:pt>
                <c:pt idx="310">
                  <c:v>25.066131777901735</c:v>
                </c:pt>
                <c:pt idx="311">
                  <c:v>24.769753935400928</c:v>
                </c:pt>
                <c:pt idx="312">
                  <c:v>24.479944023383517</c:v>
                </c:pt>
                <c:pt idx="313">
                  <c:v>24.197149854046955</c:v>
                </c:pt>
                <c:pt idx="314">
                  <c:v>23.921819242196428</c:v>
                </c:pt>
                <c:pt idx="315">
                  <c:v>23.654399999976157</c:v>
                </c:pt>
                <c:pt idx="316">
                  <c:v>23.394948104928645</c:v>
                </c:pt>
                <c:pt idx="317">
                  <c:v>23.142997084558012</c:v>
                </c:pt>
                <c:pt idx="318">
                  <c:v>22.898211078452213</c:v>
                </c:pt>
                <c:pt idx="319">
                  <c:v>22.660254227582897</c:v>
                </c:pt>
                <c:pt idx="320">
                  <c:v>22.428790670420444</c:v>
                </c:pt>
                <c:pt idx="321">
                  <c:v>22.203484548628332</c:v>
                </c:pt>
                <c:pt idx="322">
                  <c:v>21.983999999612571</c:v>
                </c:pt>
                <c:pt idx="323">
                  <c:v>21.770001166633197</c:v>
                </c:pt>
                <c:pt idx="324">
                  <c:v>21.561152187202659</c:v>
                </c:pt>
                <c:pt idx="325">
                  <c:v>21.357117200855697</c:v>
                </c:pt>
                <c:pt idx="326">
                  <c:v>21.157560350054077</c:v>
                </c:pt>
                <c:pt idx="327">
                  <c:v>20.962145773853575</c:v>
                </c:pt>
                <c:pt idx="328">
                  <c:v>20.770537609500543</c:v>
                </c:pt>
                <c:pt idx="329">
                  <c:v>20.582400000840426</c:v>
                </c:pt>
                <c:pt idx="330">
                  <c:v>20.39605364538729</c:v>
                </c:pt>
                <c:pt idx="331">
                  <c:v>20.210714868562565</c:v>
                </c:pt>
                <c:pt idx="332">
                  <c:v>20.0273912543697</c:v>
                </c:pt>
                <c:pt idx="333">
                  <c:v>19.847090380745279</c:v>
                </c:pt>
                <c:pt idx="334">
                  <c:v>19.67081982541297</c:v>
                </c:pt>
                <c:pt idx="335">
                  <c:v>19.499587172482695</c:v>
                </c:pt>
                <c:pt idx="336">
                  <c:v>19.334399999305607</c:v>
                </c:pt>
                <c:pt idx="337">
                  <c:v>19.176265890789885</c:v>
                </c:pt>
                <c:pt idx="338">
                  <c:v>19.026192420987147</c:v>
                </c:pt>
                <c:pt idx="339">
                  <c:v>18.885187172251086</c:v>
                </c:pt>
                <c:pt idx="340">
                  <c:v>18.754257726030691</c:v>
                </c:pt>
                <c:pt idx="341">
                  <c:v>18.634411661433322</c:v>
                </c:pt>
                <c:pt idx="342">
                  <c:v>18.526656560759459</c:v>
                </c:pt>
                <c:pt idx="343">
                  <c:v>18.43200000077486</c:v>
                </c:pt>
                <c:pt idx="344">
                  <c:v>18.348659607980931</c:v>
                </c:pt>
                <c:pt idx="345">
                  <c:v>18.274264673888684</c:v>
                </c:pt>
                <c:pt idx="346">
                  <c:v>18.20894027959023</c:v>
                </c:pt>
                <c:pt idx="347">
                  <c:v>18.152811502558841</c:v>
                </c:pt>
                <c:pt idx="348">
                  <c:v>18.106003419629168</c:v>
                </c:pt>
                <c:pt idx="349">
                  <c:v>18.068641110828946</c:v>
                </c:pt>
                <c:pt idx="350">
                  <c:v>18.04084965661168</c:v>
                </c:pt>
                <c:pt idx="351">
                  <c:v>18.022754135302133</c:v>
                </c:pt>
                <c:pt idx="352">
                  <c:v>18.014479624586443</c:v>
                </c:pt>
                <c:pt idx="353">
                  <c:v>18.016151202150752</c:v>
                </c:pt>
                <c:pt idx="354">
                  <c:v>18.027893952599594</c:v>
                </c:pt>
                <c:pt idx="355">
                  <c:v>18.049832946487836</c:v>
                </c:pt>
                <c:pt idx="356">
                  <c:v>18.082093271506686</c:v>
                </c:pt>
                <c:pt idx="357">
                  <c:v>18.124800004065037</c:v>
                </c:pt>
                <c:pt idx="358">
                  <c:v>18.178377564450106</c:v>
                </c:pt>
                <c:pt idx="359">
                  <c:v>18.242992134094237</c:v>
                </c:pt>
                <c:pt idx="360">
                  <c:v>18.318381400704386</c:v>
                </c:pt>
                <c:pt idx="361">
                  <c:v>18.404283062020937</c:v>
                </c:pt>
                <c:pt idx="362">
                  <c:v>18.500434812406702</c:v>
                </c:pt>
                <c:pt idx="363">
                  <c:v>18.606574346125125</c:v>
                </c:pt>
                <c:pt idx="364">
                  <c:v>18.722439356545607</c:v>
                </c:pt>
                <c:pt idx="365">
                  <c:v>18.847767541805904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19.096733183956804</c:v>
                </c:pt>
                <c:pt idx="1">
                  <c:v>17.78447596879985</c:v>
                </c:pt>
                <c:pt idx="2">
                  <c:v>19.408966249247889</c:v>
                </c:pt>
                <c:pt idx="3">
                  <c:v>19.187961348193991</c:v>
                </c:pt>
                <c:pt idx="4">
                  <c:v>19.412334573306765</c:v>
                </c:pt>
                <c:pt idx="5">
                  <c:v>20.084255313401073</c:v>
                </c:pt>
                <c:pt idx="6">
                  <c:v>11.638105968264961</c:v>
                </c:pt>
                <c:pt idx="7">
                  <c:v>14.643565191481343</c:v>
                </c:pt>
                <c:pt idx="8">
                  <c:v>18.867508996859197</c:v>
                </c:pt>
                <c:pt idx="9">
                  <c:v>10.733503548463755</c:v>
                </c:pt>
                <c:pt idx="10">
                  <c:v>21.020658697052703</c:v>
                </c:pt>
                <c:pt idx="11">
                  <c:v>20.696537437632458</c:v>
                </c:pt>
                <c:pt idx="12">
                  <c:v>14.73462756836317</c:v>
                </c:pt>
                <c:pt idx="13">
                  <c:v>21.692421575213363</c:v>
                </c:pt>
                <c:pt idx="14">
                  <c:v>21.851929496030461</c:v>
                </c:pt>
                <c:pt idx="15">
                  <c:v>21.813416600563912</c:v>
                </c:pt>
                <c:pt idx="16">
                  <c:v>17.129787184609615</c:v>
                </c:pt>
                <c:pt idx="17">
                  <c:v>21.664293726015998</c:v>
                </c:pt>
                <c:pt idx="18">
                  <c:v>22.003301908530709</c:v>
                </c:pt>
                <c:pt idx="19">
                  <c:v>9.8558030999389263</c:v>
                </c:pt>
                <c:pt idx="20">
                  <c:v>16.681922261721198</c:v>
                </c:pt>
                <c:pt idx="21">
                  <c:v>23.286743891331543</c:v>
                </c:pt>
                <c:pt idx="22">
                  <c:v>23.298620808792489</c:v>
                </c:pt>
                <c:pt idx="23">
                  <c:v>23.805877087103614</c:v>
                </c:pt>
                <c:pt idx="24">
                  <c:v>24.058949643818465</c:v>
                </c:pt>
                <c:pt idx="25">
                  <c:v>24.131302627113506</c:v>
                </c:pt>
                <c:pt idx="26">
                  <c:v>23.460443635711847</c:v>
                </c:pt>
                <c:pt idx="27">
                  <c:v>17.183861490086507</c:v>
                </c:pt>
                <c:pt idx="28">
                  <c:v>19.986344451656461</c:v>
                </c:pt>
                <c:pt idx="29">
                  <c:v>10.95637555418933</c:v>
                </c:pt>
                <c:pt idx="30">
                  <c:v>19.362829984004698</c:v>
                </c:pt>
                <c:pt idx="31">
                  <c:v>21.665220022404377</c:v>
                </c:pt>
                <c:pt idx="32">
                  <c:v>24.095566163036541</c:v>
                </c:pt>
                <c:pt idx="33">
                  <c:v>22.364236578915285</c:v>
                </c:pt>
                <c:pt idx="34">
                  <c:v>23.372565339149336</c:v>
                </c:pt>
                <c:pt idx="35">
                  <c:v>27.755080564710749</c:v>
                </c:pt>
                <c:pt idx="36">
                  <c:v>28.804501994668065</c:v>
                </c:pt>
                <c:pt idx="37">
                  <c:v>20.435045615049184</c:v>
                </c:pt>
                <c:pt idx="38">
                  <c:v>29.411050619732659</c:v>
                </c:pt>
                <c:pt idx="39">
                  <c:v>29.418936956466233</c:v>
                </c:pt>
                <c:pt idx="40">
                  <c:v>28.45850777930519</c:v>
                </c:pt>
                <c:pt idx="41">
                  <c:v>26.844997488492737</c:v>
                </c:pt>
                <c:pt idx="42">
                  <c:v>30.627768501609644</c:v>
                </c:pt>
                <c:pt idx="43">
                  <c:v>31.571868913069107</c:v>
                </c:pt>
                <c:pt idx="44">
                  <c:v>31.764389384281085</c:v>
                </c:pt>
                <c:pt idx="45">
                  <c:v>31.923977618483878</c:v>
                </c:pt>
                <c:pt idx="46">
                  <c:v>32.585872870752389</c:v>
                </c:pt>
                <c:pt idx="47">
                  <c:v>33.205489118694373</c:v>
                </c:pt>
                <c:pt idx="48">
                  <c:v>33.121421529464264</c:v>
                </c:pt>
                <c:pt idx="49">
                  <c:v>32.195162026357977</c:v>
                </c:pt>
                <c:pt idx="50">
                  <c:v>33.58083461156118</c:v>
                </c:pt>
                <c:pt idx="51">
                  <c:v>33.349979242504801</c:v>
                </c:pt>
                <c:pt idx="52">
                  <c:v>33.437622553718462</c:v>
                </c:pt>
                <c:pt idx="53">
                  <c:v>34.318205709303783</c:v>
                </c:pt>
                <c:pt idx="54">
                  <c:v>35.33766783326174</c:v>
                </c:pt>
                <c:pt idx="55">
                  <c:v>35.142931851813223</c:v>
                </c:pt>
                <c:pt idx="56">
                  <c:v>37.238456464048674</c:v>
                </c:pt>
                <c:pt idx="57">
                  <c:v>35.739850450809598</c:v>
                </c:pt>
                <c:pt idx="58">
                  <c:v>33.764181045667172</c:v>
                </c:pt>
                <c:pt idx="59">
                  <c:v>37.154113437752279</c:v>
                </c:pt>
                <c:pt idx="60">
                  <c:v>26.224711056387971</c:v>
                </c:pt>
                <c:pt idx="61">
                  <c:v>35.584060448329645</c:v>
                </c:pt>
                <c:pt idx="62">
                  <c:v>29.708311263077956</c:v>
                </c:pt>
                <c:pt idx="63">
                  <c:v>38.591105820273576</c:v>
                </c:pt>
                <c:pt idx="64">
                  <c:v>24.167812123505598</c:v>
                </c:pt>
                <c:pt idx="65">
                  <c:v>37.878473795726443</c:v>
                </c:pt>
                <c:pt idx="66">
                  <c:v>30.478520113862707</c:v>
                </c:pt>
                <c:pt idx="67">
                  <c:v>39.141345127163731</c:v>
                </c:pt>
                <c:pt idx="68">
                  <c:v>39.134897044525324</c:v>
                </c:pt>
                <c:pt idx="69">
                  <c:v>33.079373904008349</c:v>
                </c:pt>
                <c:pt idx="70">
                  <c:v>39.985849154638863</c:v>
                </c:pt>
                <c:pt idx="71">
                  <c:v>40.053703033892276</c:v>
                </c:pt>
                <c:pt idx="72">
                  <c:v>37.84988818165337</c:v>
                </c:pt>
                <c:pt idx="73">
                  <c:v>32.044042478479284</c:v>
                </c:pt>
                <c:pt idx="74">
                  <c:v>45.869563285625219</c:v>
                </c:pt>
                <c:pt idx="75">
                  <c:v>24.974741617292128</c:v>
                </c:pt>
                <c:pt idx="76">
                  <c:v>30.155899568656967</c:v>
                </c:pt>
                <c:pt idx="77">
                  <c:v>42.600345506877346</c:v>
                </c:pt>
                <c:pt idx="78">
                  <c:v>46.71339553405334</c:v>
                </c:pt>
                <c:pt idx="79">
                  <c:v>47.074007170656884</c:v>
                </c:pt>
                <c:pt idx="80">
                  <c:v>46.536327342743263</c:v>
                </c:pt>
                <c:pt idx="81">
                  <c:v>48.667959104368599</c:v>
                </c:pt>
                <c:pt idx="82">
                  <c:v>47.980036095825021</c:v>
                </c:pt>
                <c:pt idx="83">
                  <c:v>46.654104834621393</c:v>
                </c:pt>
                <c:pt idx="84">
                  <c:v>49.888240917785708</c:v>
                </c:pt>
                <c:pt idx="85">
                  <c:v>49.214148253624103</c:v>
                </c:pt>
                <c:pt idx="86">
                  <c:v>48.325580600194776</c:v>
                </c:pt>
                <c:pt idx="87">
                  <c:v>50.344049299154825</c:v>
                </c:pt>
                <c:pt idx="88">
                  <c:v>50.446118707020261</c:v>
                </c:pt>
                <c:pt idx="89">
                  <c:v>45.61734121324757</c:v>
                </c:pt>
                <c:pt idx="90">
                  <c:v>47.773310266895436</c:v>
                </c:pt>
                <c:pt idx="91">
                  <c:v>42.352590855929826</c:v>
                </c:pt>
                <c:pt idx="92">
                  <c:v>48.910344837500652</c:v>
                </c:pt>
                <c:pt idx="93">
                  <c:v>53.219609194847415</c:v>
                </c:pt>
                <c:pt idx="94">
                  <c:v>55.117663879347624</c:v>
                </c:pt>
                <c:pt idx="95">
                  <c:v>55.281205017406521</c:v>
                </c:pt>
                <c:pt idx="96">
                  <c:v>54.094709331029712</c:v>
                </c:pt>
                <c:pt idx="97">
                  <c:v>51.981553630280644</c:v>
                </c:pt>
                <c:pt idx="98">
                  <c:v>51.372515344218137</c:v>
                </c:pt>
                <c:pt idx="99">
                  <c:v>56.041999013019073</c:v>
                </c:pt>
                <c:pt idx="100">
                  <c:v>55.083209342837009</c:v>
                </c:pt>
                <c:pt idx="101">
                  <c:v>55.421173257782392</c:v>
                </c:pt>
                <c:pt idx="102">
                  <c:v>56.406019342238785</c:v>
                </c:pt>
                <c:pt idx="103">
                  <c:v>56.154090506679154</c:v>
                </c:pt>
                <c:pt idx="104">
                  <c:v>56.104027308625504</c:v>
                </c:pt>
                <c:pt idx="105">
                  <c:v>50.539575554586463</c:v>
                </c:pt>
                <c:pt idx="106">
                  <c:v>57.416331755569935</c:v>
                </c:pt>
                <c:pt idx="107">
                  <c:v>46.081902572381331</c:v>
                </c:pt>
                <c:pt idx="108">
                  <c:v>56.480000775881308</c:v>
                </c:pt>
                <c:pt idx="109">
                  <c:v>48.589941916916572</c:v>
                </c:pt>
                <c:pt idx="110">
                  <c:v>55.308374448877338</c:v>
                </c:pt>
                <c:pt idx="111">
                  <c:v>59.256250971912621</c:v>
                </c:pt>
                <c:pt idx="112">
                  <c:v>58.448809737185101</c:v>
                </c:pt>
                <c:pt idx="113">
                  <c:v>54.689071133466982</c:v>
                </c:pt>
                <c:pt idx="114">
                  <c:v>56.298016159754951</c:v>
                </c:pt>
                <c:pt idx="115">
                  <c:v>58.802406404772384</c:v>
                </c:pt>
                <c:pt idx="116">
                  <c:v>41.902156737922802</c:v>
                </c:pt>
                <c:pt idx="117">
                  <c:v>48.054004151723234</c:v>
                </c:pt>
                <c:pt idx="118">
                  <c:v>54.78185076677125</c:v>
                </c:pt>
                <c:pt idx="119">
                  <c:v>60.84592314154898</c:v>
                </c:pt>
                <c:pt idx="120">
                  <c:v>56.845620095734738</c:v>
                </c:pt>
                <c:pt idx="121">
                  <c:v>39.747246661532351</c:v>
                </c:pt>
                <c:pt idx="122">
                  <c:v>59.744764721426584</c:v>
                </c:pt>
                <c:pt idx="123">
                  <c:v>56.648586728820725</c:v>
                </c:pt>
                <c:pt idx="124">
                  <c:v>58.989313810464012</c:v>
                </c:pt>
                <c:pt idx="125">
                  <c:v>64.322746160656237</c:v>
                </c:pt>
                <c:pt idx="126">
                  <c:v>59.596399989587596</c:v>
                </c:pt>
                <c:pt idx="127">
                  <c:v>57.502129764921655</c:v>
                </c:pt>
                <c:pt idx="128">
                  <c:v>60.389328198087391</c:v>
                </c:pt>
                <c:pt idx="129">
                  <c:v>55.43619024431473</c:v>
                </c:pt>
                <c:pt idx="130">
                  <c:v>60.770845469970119</c:v>
                </c:pt>
                <c:pt idx="131">
                  <c:v>58.685038325386628</c:v>
                </c:pt>
                <c:pt idx="132">
                  <c:v>65.198747930481261</c:v>
                </c:pt>
                <c:pt idx="133">
                  <c:v>63.557422198043149</c:v>
                </c:pt>
                <c:pt idx="134">
                  <c:v>64.50696341655771</c:v>
                </c:pt>
                <c:pt idx="135">
                  <c:v>55.026588126199115</c:v>
                </c:pt>
                <c:pt idx="136">
                  <c:v>59.347750252011501</c:v>
                </c:pt>
                <c:pt idx="137">
                  <c:v>64.728321842872035</c:v>
                </c:pt>
                <c:pt idx="138">
                  <c:v>63.647951946144374</c:v>
                </c:pt>
                <c:pt idx="139">
                  <c:v>63.420462429144116</c:v>
                </c:pt>
                <c:pt idx="140">
                  <c:v>62.068839464913452</c:v>
                </c:pt>
                <c:pt idx="141">
                  <c:v>63.02960296513583</c:v>
                </c:pt>
                <c:pt idx="142">
                  <c:v>57.069920377095102</c:v>
                </c:pt>
                <c:pt idx="143">
                  <c:v>28.542221114543629</c:v>
                </c:pt>
                <c:pt idx="144">
                  <c:v>59.272001912813224</c:v>
                </c:pt>
                <c:pt idx="145">
                  <c:v>63.227502087912768</c:v>
                </c:pt>
                <c:pt idx="146">
                  <c:v>62.760133675554769</c:v>
                </c:pt>
                <c:pt idx="147">
                  <c:v>61.94834261618918</c:v>
                </c:pt>
                <c:pt idx="148">
                  <c:v>65.426364345119993</c:v>
                </c:pt>
                <c:pt idx="149">
                  <c:v>63.612298063151371</c:v>
                </c:pt>
                <c:pt idx="150">
                  <c:v>64.631023417183059</c:v>
                </c:pt>
                <c:pt idx="151">
                  <c:v>65.060642777484958</c:v>
                </c:pt>
                <c:pt idx="152">
                  <c:v>63.821113384817394</c:v>
                </c:pt>
                <c:pt idx="153">
                  <c:v>59.795155783954719</c:v>
                </c:pt>
                <c:pt idx="154">
                  <c:v>57.885419490334492</c:v>
                </c:pt>
                <c:pt idx="155">
                  <c:v>47.550981784469194</c:v>
                </c:pt>
                <c:pt idx="156">
                  <c:v>63.625581606461907</c:v>
                </c:pt>
                <c:pt idx="157">
                  <c:v>57.342414657537475</c:v>
                </c:pt>
                <c:pt idx="158">
                  <c:v>65.985446784364868</c:v>
                </c:pt>
                <c:pt idx="159">
                  <c:v>59.948298229793359</c:v>
                </c:pt>
                <c:pt idx="160">
                  <c:v>64.477351008667043</c:v>
                </c:pt>
                <c:pt idx="161">
                  <c:v>60.507586593115512</c:v>
                </c:pt>
                <c:pt idx="162">
                  <c:v>60.838298485220825</c:v>
                </c:pt>
                <c:pt idx="163">
                  <c:v>63.47863553055479</c:v>
                </c:pt>
                <c:pt idx="164">
                  <c:v>54.493603449574607</c:v>
                </c:pt>
                <c:pt idx="165">
                  <c:v>59.57592395549829</c:v>
                </c:pt>
                <c:pt idx="166">
                  <c:v>65.039285563897309</c:v>
                </c:pt>
                <c:pt idx="167">
                  <c:v>64.172598180317252</c:v>
                </c:pt>
                <c:pt idx="168">
                  <c:v>62.517821200510539</c:v>
                </c:pt>
                <c:pt idx="169">
                  <c:v>60.851906660258678</c:v>
                </c:pt>
                <c:pt idx="170">
                  <c:v>61.778509370898874</c:v>
                </c:pt>
                <c:pt idx="171">
                  <c:v>55.37097904522787</c:v>
                </c:pt>
                <c:pt idx="172">
                  <c:v>63.646514520182144</c:v>
                </c:pt>
                <c:pt idx="173">
                  <c:v>56.737228376806002</c:v>
                </c:pt>
                <c:pt idx="174">
                  <c:v>62.884228215867878</c:v>
                </c:pt>
                <c:pt idx="175">
                  <c:v>58.027223678853936</c:v>
                </c:pt>
                <c:pt idx="176">
                  <c:v>61.058572386734099</c:v>
                </c:pt>
                <c:pt idx="177">
                  <c:v>60.869890690098934</c:v>
                </c:pt>
                <c:pt idx="178">
                  <c:v>66.004608536540786</c:v>
                </c:pt>
                <c:pt idx="179">
                  <c:v>61.307330955408737</c:v>
                </c:pt>
                <c:pt idx="180">
                  <c:v>57.379355434694759</c:v>
                </c:pt>
                <c:pt idx="181">
                  <c:v>60.605617418397848</c:v>
                </c:pt>
                <c:pt idx="182">
                  <c:v>56.741115224464892</c:v>
                </c:pt>
                <c:pt idx="183">
                  <c:v>51.509935845707219</c:v>
                </c:pt>
                <c:pt idx="184">
                  <c:v>59.188715550013768</c:v>
                </c:pt>
                <c:pt idx="185">
                  <c:v>62.028584740771763</c:v>
                </c:pt>
                <c:pt idx="186">
                  <c:v>61.321046316933298</c:v>
                </c:pt>
                <c:pt idx="187">
                  <c:v>58.207162099063567</c:v>
                </c:pt>
                <c:pt idx="188">
                  <c:v>63.900435008789167</c:v>
                </c:pt>
                <c:pt idx="189">
                  <c:v>62.784385427188184</c:v>
                </c:pt>
                <c:pt idx="190">
                  <c:v>62.966191858436069</c:v>
                </c:pt>
                <c:pt idx="191">
                  <c:v>62.533277298191116</c:v>
                </c:pt>
                <c:pt idx="192">
                  <c:v>63.366086116985848</c:v>
                </c:pt>
                <c:pt idx="193">
                  <c:v>59.825654709604933</c:v>
                </c:pt>
                <c:pt idx="194">
                  <c:v>62.288044884961785</c:v>
                </c:pt>
                <c:pt idx="195">
                  <c:v>63.922354684310292</c:v>
                </c:pt>
                <c:pt idx="196">
                  <c:v>61.80609820864801</c:v>
                </c:pt>
                <c:pt idx="197">
                  <c:v>61.03216766608417</c:v>
                </c:pt>
                <c:pt idx="198">
                  <c:v>58.166784898613678</c:v>
                </c:pt>
                <c:pt idx="199">
                  <c:v>60.668630393036239</c:v>
                </c:pt>
                <c:pt idx="200">
                  <c:v>59.226165984778646</c:v>
                </c:pt>
                <c:pt idx="201">
                  <c:v>57.123658871758579</c:v>
                </c:pt>
                <c:pt idx="202">
                  <c:v>55.801996612148457</c:v>
                </c:pt>
                <c:pt idx="203">
                  <c:v>56.868046767934125</c:v>
                </c:pt>
                <c:pt idx="204">
                  <c:v>57.12402573643886</c:v>
                </c:pt>
                <c:pt idx="205">
                  <c:v>58.709047096297212</c:v>
                </c:pt>
                <c:pt idx="206">
                  <c:v>58.036306990108471</c:v>
                </c:pt>
                <c:pt idx="207">
                  <c:v>61.033566863458468</c:v>
                </c:pt>
                <c:pt idx="208">
                  <c:v>61.3460462503919</c:v>
                </c:pt>
                <c:pt idx="209">
                  <c:v>60.078998480863916</c:v>
                </c:pt>
                <c:pt idx="210">
                  <c:v>51.973078310921963</c:v>
                </c:pt>
                <c:pt idx="211">
                  <c:v>56.547241978763836</c:v>
                </c:pt>
                <c:pt idx="212">
                  <c:v>58.727968528475465</c:v>
                </c:pt>
                <c:pt idx="213">
                  <c:v>57.016794472934762</c:v>
                </c:pt>
                <c:pt idx="214">
                  <c:v>57.318775039173993</c:v>
                </c:pt>
                <c:pt idx="215">
                  <c:v>52.926175209989978</c:v>
                </c:pt>
                <c:pt idx="216">
                  <c:v>57.776003242992068</c:v>
                </c:pt>
                <c:pt idx="217">
                  <c:v>56.847097363544755</c:v>
                </c:pt>
                <c:pt idx="218">
                  <c:v>56.073477746368091</c:v>
                </c:pt>
                <c:pt idx="219">
                  <c:v>56.876275086433836</c:v>
                </c:pt>
                <c:pt idx="220">
                  <c:v>56.037140301395539</c:v>
                </c:pt>
                <c:pt idx="221">
                  <c:v>52.689465220903699</c:v>
                </c:pt>
                <c:pt idx="222">
                  <c:v>51.041583493059605</c:v>
                </c:pt>
                <c:pt idx="223">
                  <c:v>50.771415231973002</c:v>
                </c:pt>
                <c:pt idx="224">
                  <c:v>52.03553309327885</c:v>
                </c:pt>
                <c:pt idx="225">
                  <c:v>56.382758921997223</c:v>
                </c:pt>
                <c:pt idx="226">
                  <c:v>51.37885714144074</c:v>
                </c:pt>
                <c:pt idx="227">
                  <c:v>55.398390259601427</c:v>
                </c:pt>
                <c:pt idx="228">
                  <c:v>54.145647175100791</c:v>
                </c:pt>
                <c:pt idx="229">
                  <c:v>53.373753498683605</c:v>
                </c:pt>
                <c:pt idx="230">
                  <c:v>48.36638609373653</c:v>
                </c:pt>
                <c:pt idx="231">
                  <c:v>52.08934331759658</c:v>
                </c:pt>
                <c:pt idx="232">
                  <c:v>51.212941565413232</c:v>
                </c:pt>
                <c:pt idx="233">
                  <c:v>55.17534928654144</c:v>
                </c:pt>
                <c:pt idx="234">
                  <c:v>52.366514381661467</c:v>
                </c:pt>
                <c:pt idx="235">
                  <c:v>52.23999379446547</c:v>
                </c:pt>
                <c:pt idx="236">
                  <c:v>48.806443569925385</c:v>
                </c:pt>
                <c:pt idx="237">
                  <c:v>50.962123018222243</c:v>
                </c:pt>
                <c:pt idx="238">
                  <c:v>52.302767889448141</c:v>
                </c:pt>
                <c:pt idx="239">
                  <c:v>52.43587821164941</c:v>
                </c:pt>
                <c:pt idx="240">
                  <c:v>51.701518118132348</c:v>
                </c:pt>
                <c:pt idx="241">
                  <c:v>49.974130891350057</c:v>
                </c:pt>
                <c:pt idx="242">
                  <c:v>49.874216739239351</c:v>
                </c:pt>
                <c:pt idx="243">
                  <c:v>46.736743029698395</c:v>
                </c:pt>
                <c:pt idx="244">
                  <c:v>49.068004680732784</c:v>
                </c:pt>
                <c:pt idx="245">
                  <c:v>51.035952311623831</c:v>
                </c:pt>
                <c:pt idx="246">
                  <c:v>50.502994047654042</c:v>
                </c:pt>
                <c:pt idx="247">
                  <c:v>48.405506175605858</c:v>
                </c:pt>
                <c:pt idx="248">
                  <c:v>51.846079488865243</c:v>
                </c:pt>
                <c:pt idx="249">
                  <c:v>50.605106354797776</c:v>
                </c:pt>
                <c:pt idx="250">
                  <c:v>44.460234506845794</c:v>
                </c:pt>
                <c:pt idx="251">
                  <c:v>45.722632872468637</c:v>
                </c:pt>
                <c:pt idx="252">
                  <c:v>45.892389083672228</c:v>
                </c:pt>
                <c:pt idx="253">
                  <c:v>45.738259725642457</c:v>
                </c:pt>
                <c:pt idx="254">
                  <c:v>47.211932330727613</c:v>
                </c:pt>
                <c:pt idx="255">
                  <c:v>44.152198897789638</c:v>
                </c:pt>
                <c:pt idx="256">
                  <c:v>43.575578607161226</c:v>
                </c:pt>
                <c:pt idx="257">
                  <c:v>44.117844760090314</c:v>
                </c:pt>
                <c:pt idx="258">
                  <c:v>41.206187812934779</c:v>
                </c:pt>
                <c:pt idx="259">
                  <c:v>45.756271072960018</c:v>
                </c:pt>
                <c:pt idx="260">
                  <c:v>46.131484277355973</c:v>
                </c:pt>
                <c:pt idx="261">
                  <c:v>44.239894934132181</c:v>
                </c:pt>
                <c:pt idx="262">
                  <c:v>45.37644417312903</c:v>
                </c:pt>
                <c:pt idx="263">
                  <c:v>44.08437994879354</c:v>
                </c:pt>
                <c:pt idx="264">
                  <c:v>42.604819732623852</c:v>
                </c:pt>
                <c:pt idx="265">
                  <c:v>39.039212402737128</c:v>
                </c:pt>
                <c:pt idx="266">
                  <c:v>35.529783803479539</c:v>
                </c:pt>
                <c:pt idx="267">
                  <c:v>30.660672457342763</c:v>
                </c:pt>
                <c:pt idx="268">
                  <c:v>32.960149765426706</c:v>
                </c:pt>
                <c:pt idx="269">
                  <c:v>32.432173480535852</c:v>
                </c:pt>
                <c:pt idx="270">
                  <c:v>28.532869501688754</c:v>
                </c:pt>
                <c:pt idx="271">
                  <c:v>39.545102096867112</c:v>
                </c:pt>
                <c:pt idx="272">
                  <c:v>31.942652402822652</c:v>
                </c:pt>
                <c:pt idx="273">
                  <c:v>37.95557881687494</c:v>
                </c:pt>
                <c:pt idx="274">
                  <c:v>37.358132748041285</c:v>
                </c:pt>
                <c:pt idx="275">
                  <c:v>36.035375229537863</c:v>
                </c:pt>
                <c:pt idx="276">
                  <c:v>37.738212573739389</c:v>
                </c:pt>
                <c:pt idx="277">
                  <c:v>38.133553863021795</c:v>
                </c:pt>
                <c:pt idx="278">
                  <c:v>33.977858149363783</c:v>
                </c:pt>
                <c:pt idx="279">
                  <c:v>36.648914494338172</c:v>
                </c:pt>
                <c:pt idx="280">
                  <c:v>35.752420228658309</c:v>
                </c:pt>
                <c:pt idx="281">
                  <c:v>34.859155610094177</c:v>
                </c:pt>
                <c:pt idx="282">
                  <c:v>29.687816972042782</c:v>
                </c:pt>
                <c:pt idx="283">
                  <c:v>35.147507739823403</c:v>
                </c:pt>
                <c:pt idx="284">
                  <c:v>33.883133366229487</c:v>
                </c:pt>
                <c:pt idx="285">
                  <c:v>32.567800155049106</c:v>
                </c:pt>
                <c:pt idx="286">
                  <c:v>34.446907354425804</c:v>
                </c:pt>
                <c:pt idx="287">
                  <c:v>32.705662850477829</c:v>
                </c:pt>
                <c:pt idx="288">
                  <c:v>31.515402769838211</c:v>
                </c:pt>
                <c:pt idx="289">
                  <c:v>29.529771052990444</c:v>
                </c:pt>
                <c:pt idx="290">
                  <c:v>32.248415453098012</c:v>
                </c:pt>
                <c:pt idx="291">
                  <c:v>30.51278811937587</c:v>
                </c:pt>
                <c:pt idx="292">
                  <c:v>26.828949468096958</c:v>
                </c:pt>
                <c:pt idx="293">
                  <c:v>22.431533601951021</c:v>
                </c:pt>
                <c:pt idx="294">
                  <c:v>28.264273143615551</c:v>
                </c:pt>
                <c:pt idx="295">
                  <c:v>30.486938678311564</c:v>
                </c:pt>
                <c:pt idx="296">
                  <c:v>30.713396956245166</c:v>
                </c:pt>
                <c:pt idx="297">
                  <c:v>29.429997890434077</c:v>
                </c:pt>
                <c:pt idx="298">
                  <c:v>29.199862154592079</c:v>
                </c:pt>
                <c:pt idx="299">
                  <c:v>29.266376232509479</c:v>
                </c:pt>
                <c:pt idx="300">
                  <c:v>28.371022569697843</c:v>
                </c:pt>
                <c:pt idx="301">
                  <c:v>25.15927908632538</c:v>
                </c:pt>
                <c:pt idx="302">
                  <c:v>25.463678721185552</c:v>
                </c:pt>
                <c:pt idx="303">
                  <c:v>27.758372597474693</c:v>
                </c:pt>
                <c:pt idx="304">
                  <c:v>26.743008767740822</c:v>
                </c:pt>
                <c:pt idx="305">
                  <c:v>25.963625869506139</c:v>
                </c:pt>
                <c:pt idx="306">
                  <c:v>25.318145187066094</c:v>
                </c:pt>
                <c:pt idx="307">
                  <c:v>18.873766608269342</c:v>
                </c:pt>
                <c:pt idx="308">
                  <c:v>23.673738340609276</c:v>
                </c:pt>
                <c:pt idx="309">
                  <c:v>23.777364402083492</c:v>
                </c:pt>
                <c:pt idx="310">
                  <c:v>23.644688895751436</c:v>
                </c:pt>
                <c:pt idx="311">
                  <c:v>20.22602199592037</c:v>
                </c:pt>
                <c:pt idx="312">
                  <c:v>19.543383638603277</c:v>
                </c:pt>
                <c:pt idx="313">
                  <c:v>20.686248828344251</c:v>
                </c:pt>
                <c:pt idx="314">
                  <c:v>21.412751227633198</c:v>
                </c:pt>
                <c:pt idx="315">
                  <c:v>21.417505226128377</c:v>
                </c:pt>
                <c:pt idx="316">
                  <c:v>23.366158746660897</c:v>
                </c:pt>
                <c:pt idx="317">
                  <c:v>17.041501964262778</c:v>
                </c:pt>
                <c:pt idx="318">
                  <c:v>21.801305387637619</c:v>
                </c:pt>
                <c:pt idx="319">
                  <c:v>20.909527532207395</c:v>
                </c:pt>
                <c:pt idx="320">
                  <c:v>21.918634591687038</c:v>
                </c:pt>
                <c:pt idx="321">
                  <c:v>20.767759562159952</c:v>
                </c:pt>
                <c:pt idx="322">
                  <c:v>21.77433778544162</c:v>
                </c:pt>
                <c:pt idx="323">
                  <c:v>22.468091458324675</c:v>
                </c:pt>
                <c:pt idx="324">
                  <c:v>21.653761632843604</c:v>
                </c:pt>
                <c:pt idx="325">
                  <c:v>21.944926765970493</c:v>
                </c:pt>
                <c:pt idx="326">
                  <c:v>21.331642050489656</c:v>
                </c:pt>
                <c:pt idx="327">
                  <c:v>20.115501391985529</c:v>
                </c:pt>
                <c:pt idx="328">
                  <c:v>18.431846699348394</c:v>
                </c:pt>
                <c:pt idx="329">
                  <c:v>20.271977727485368</c:v>
                </c:pt>
                <c:pt idx="330">
                  <c:v>18.707105113619761</c:v>
                </c:pt>
                <c:pt idx="331">
                  <c:v>15.033904025861062</c:v>
                </c:pt>
                <c:pt idx="332">
                  <c:v>19.928845702990856</c:v>
                </c:pt>
                <c:pt idx="333">
                  <c:v>19.468754862857971</c:v>
                </c:pt>
                <c:pt idx="334">
                  <c:v>18.687325201357915</c:v>
                </c:pt>
                <c:pt idx="335">
                  <c:v>8.2113391342416708</c:v>
                </c:pt>
                <c:pt idx="336">
                  <c:v>13.277660836257485</c:v>
                </c:pt>
                <c:pt idx="337">
                  <c:v>15.957241279151608</c:v>
                </c:pt>
                <c:pt idx="338">
                  <c:v>19.163900067358469</c:v>
                </c:pt>
                <c:pt idx="339">
                  <c:v>16.199835950430391</c:v>
                </c:pt>
                <c:pt idx="340">
                  <c:v>16.678463487438538</c:v>
                </c:pt>
                <c:pt idx="341">
                  <c:v>15.165312115790208</c:v>
                </c:pt>
                <c:pt idx="342">
                  <c:v>9.1704580125425537</c:v>
                </c:pt>
                <c:pt idx="343">
                  <c:v>16.668106879337483</c:v>
                </c:pt>
                <c:pt idx="344">
                  <c:v>15.154011286324524</c:v>
                </c:pt>
                <c:pt idx="345">
                  <c:v>17.813849297428309</c:v>
                </c:pt>
                <c:pt idx="346">
                  <c:v>18.138305430753984</c:v>
                </c:pt>
                <c:pt idx="347">
                  <c:v>18.109392366943464</c:v>
                </c:pt>
                <c:pt idx="348">
                  <c:v>17.774835996132822</c:v>
                </c:pt>
                <c:pt idx="349">
                  <c:v>17.653857308333976</c:v>
                </c:pt>
                <c:pt idx="350">
                  <c:v>17.652836359239622</c:v>
                </c:pt>
                <c:pt idx="351">
                  <c:v>18.053067103991125</c:v>
                </c:pt>
                <c:pt idx="352">
                  <c:v>17.589332525794376</c:v>
                </c:pt>
                <c:pt idx="353">
                  <c:v>18.435000096108368</c:v>
                </c:pt>
                <c:pt idx="354">
                  <c:v>17.268665801811821</c:v>
                </c:pt>
                <c:pt idx="355">
                  <c:v>17.399805301490186</c:v>
                </c:pt>
                <c:pt idx="356">
                  <c:v>16.064164889067985</c:v>
                </c:pt>
                <c:pt idx="357">
                  <c:v>18.395161157636586</c:v>
                </c:pt>
                <c:pt idx="358">
                  <c:v>13.899256266993024</c:v>
                </c:pt>
                <c:pt idx="359">
                  <c:v>17.569018811526597</c:v>
                </c:pt>
                <c:pt idx="360">
                  <c:v>17.805021501401317</c:v>
                </c:pt>
                <c:pt idx="361">
                  <c:v>16.929099541079747</c:v>
                </c:pt>
                <c:pt idx="362">
                  <c:v>18.983624487934243</c:v>
                </c:pt>
                <c:pt idx="363">
                  <c:v>18.10568803478461</c:v>
                </c:pt>
                <c:pt idx="364">
                  <c:v>17.949916308915405</c:v>
                </c:pt>
                <c:pt idx="365">
                  <c:v>13.024115631411625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'2021'!$F$14</c:f>
              <c:strCache>
                <c:ptCount val="1"/>
                <c:pt idx="0">
                  <c:v>Hors pertes 2021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'2021'!Wh_hp</c:f>
              <c:numCache>
                <c:formatCode>0.00</c:formatCode>
                <c:ptCount val="366"/>
                <c:pt idx="0">
                  <c:v>11.555214799429889</c:v>
                </c:pt>
                <c:pt idx="1">
                  <c:v>4.2339404418916224</c:v>
                </c:pt>
                <c:pt idx="2">
                  <c:v>18.511278736134297</c:v>
                </c:pt>
                <c:pt idx="3">
                  <c:v>17.526409253218535</c:v>
                </c:pt>
                <c:pt idx="4">
                  <c:v>3.4927969505585814</c:v>
                </c:pt>
                <c:pt idx="5">
                  <c:v>7.9155479353233398</c:v>
                </c:pt>
                <c:pt idx="6">
                  <c:v>11.638105968264961</c:v>
                </c:pt>
                <c:pt idx="7">
                  <c:v>14.643565191481343</c:v>
                </c:pt>
                <c:pt idx="8">
                  <c:v>5.4751516757263259</c:v>
                </c:pt>
                <c:pt idx="9">
                  <c:v>5.0601722740672903</c:v>
                </c:pt>
                <c:pt idx="10">
                  <c:v>6.7951169782014089</c:v>
                </c:pt>
                <c:pt idx="11">
                  <c:v>14.223170210618253</c:v>
                </c:pt>
                <c:pt idx="12">
                  <c:v>13.984144115014951</c:v>
                </c:pt>
                <c:pt idx="13">
                  <c:v>10.605476688407494</c:v>
                </c:pt>
                <c:pt idx="14">
                  <c:v>15.590712196745914</c:v>
                </c:pt>
                <c:pt idx="15">
                  <c:v>14.792602931232844</c:v>
                </c:pt>
                <c:pt idx="16">
                  <c:v>6.6441993897360643</c:v>
                </c:pt>
                <c:pt idx="17">
                  <c:v>21.664293726015998</c:v>
                </c:pt>
                <c:pt idx="18">
                  <c:v>22.003301908530709</c:v>
                </c:pt>
                <c:pt idx="19">
                  <c:v>6.5694254713819351</c:v>
                </c:pt>
                <c:pt idx="20">
                  <c:v>12.148410497151559</c:v>
                </c:pt>
                <c:pt idx="21">
                  <c:v>6.066146091914451</c:v>
                </c:pt>
                <c:pt idx="22">
                  <c:v>9.8112163394203442</c:v>
                </c:pt>
                <c:pt idx="23">
                  <c:v>15.57572179787536</c:v>
                </c:pt>
                <c:pt idx="24">
                  <c:v>7.5679555068959115</c:v>
                </c:pt>
                <c:pt idx="25">
                  <c:v>17.502091838592175</c:v>
                </c:pt>
                <c:pt idx="26">
                  <c:v>7.0318463165099345</c:v>
                </c:pt>
                <c:pt idx="27">
                  <c:v>16.635051340680512</c:v>
                </c:pt>
                <c:pt idx="28">
                  <c:v>13.612482359518143</c:v>
                </c:pt>
                <c:pt idx="29">
                  <c:v>7.8488323087975855</c:v>
                </c:pt>
                <c:pt idx="30">
                  <c:v>9.4222236280378446</c:v>
                </c:pt>
                <c:pt idx="31">
                  <c:v>10.672263197211642</c:v>
                </c:pt>
                <c:pt idx="32">
                  <c:v>24.095566163036541</c:v>
                </c:pt>
                <c:pt idx="33">
                  <c:v>19.44843732695978</c:v>
                </c:pt>
                <c:pt idx="34">
                  <c:v>15.491689116600892</c:v>
                </c:pt>
                <c:pt idx="35">
                  <c:v>10.06866782589486</c:v>
                </c:pt>
                <c:pt idx="36">
                  <c:v>8.3695186411746683</c:v>
                </c:pt>
                <c:pt idx="37">
                  <c:v>20.435045615049184</c:v>
                </c:pt>
                <c:pt idx="38">
                  <c:v>4.4029816183642234</c:v>
                </c:pt>
                <c:pt idx="39">
                  <c:v>13.77542908608992</c:v>
                </c:pt>
                <c:pt idx="40">
                  <c:v>14.20038640499601</c:v>
                </c:pt>
                <c:pt idx="41">
                  <c:v>26.844997488492737</c:v>
                </c:pt>
                <c:pt idx="42">
                  <c:v>4.6189452455474891</c:v>
                </c:pt>
                <c:pt idx="43">
                  <c:v>8.8594868387864452</c:v>
                </c:pt>
                <c:pt idx="44">
                  <c:v>29.037607356586587</c:v>
                </c:pt>
                <c:pt idx="45">
                  <c:v>30.039808889008253</c:v>
                </c:pt>
                <c:pt idx="46">
                  <c:v>28.662901415385651</c:v>
                </c:pt>
                <c:pt idx="47">
                  <c:v>30.421490415206364</c:v>
                </c:pt>
                <c:pt idx="48">
                  <c:v>14.902073574034318</c:v>
                </c:pt>
                <c:pt idx="49">
                  <c:v>32.195162026357977</c:v>
                </c:pt>
                <c:pt idx="50">
                  <c:v>27.621592946813827</c:v>
                </c:pt>
                <c:pt idx="51">
                  <c:v>10.659162852401909</c:v>
                </c:pt>
                <c:pt idx="52">
                  <c:v>8.7476353166766998</c:v>
                </c:pt>
                <c:pt idx="53">
                  <c:v>28.989662291900547</c:v>
                </c:pt>
                <c:pt idx="54">
                  <c:v>33.696730126601622</c:v>
                </c:pt>
                <c:pt idx="55">
                  <c:v>32.024210430564537</c:v>
                </c:pt>
                <c:pt idx="56">
                  <c:v>9.3632548758004663</c:v>
                </c:pt>
                <c:pt idx="57">
                  <c:v>35.533278293804834</c:v>
                </c:pt>
                <c:pt idx="58">
                  <c:v>31.013249607300796</c:v>
                </c:pt>
                <c:pt idx="59">
                  <c:v>33.6322182801417</c:v>
                </c:pt>
                <c:pt idx="60">
                  <c:v>16.044556316223243</c:v>
                </c:pt>
                <c:pt idx="61">
                  <c:v>18.168357496296156</c:v>
                </c:pt>
                <c:pt idx="62">
                  <c:v>29.708311263077956</c:v>
                </c:pt>
                <c:pt idx="63">
                  <c:v>30.961389590222311</c:v>
                </c:pt>
                <c:pt idx="64">
                  <c:v>11.538351018758171</c:v>
                </c:pt>
                <c:pt idx="65">
                  <c:v>11.539198305133917</c:v>
                </c:pt>
                <c:pt idx="66">
                  <c:v>23.970907073143547</c:v>
                </c:pt>
                <c:pt idx="67">
                  <c:v>39.141345127163731</c:v>
                </c:pt>
                <c:pt idx="68">
                  <c:v>39.134897044525324</c:v>
                </c:pt>
                <c:pt idx="69">
                  <c:v>32.016350732523946</c:v>
                </c:pt>
                <c:pt idx="70">
                  <c:v>27.600837470074801</c:v>
                </c:pt>
                <c:pt idx="71">
                  <c:v>40.053703033892276</c:v>
                </c:pt>
                <c:pt idx="72">
                  <c:v>25.676887565828103</c:v>
                </c:pt>
                <c:pt idx="73">
                  <c:v>18.646878221648759</c:v>
                </c:pt>
                <c:pt idx="74">
                  <c:v>33.645193491548689</c:v>
                </c:pt>
                <c:pt idx="75">
                  <c:v>24.974741617292128</c:v>
                </c:pt>
                <c:pt idx="76">
                  <c:v>19.813970868172625</c:v>
                </c:pt>
                <c:pt idx="77">
                  <c:v>13.155280988264222</c:v>
                </c:pt>
                <c:pt idx="78">
                  <c:v>38.718939838027275</c:v>
                </c:pt>
                <c:pt idx="79">
                  <c:v>40.691853995928554</c:v>
                </c:pt>
                <c:pt idx="80">
                  <c:v>38.011450397693253</c:v>
                </c:pt>
                <c:pt idx="81">
                  <c:v>47.436618423189778</c:v>
                </c:pt>
                <c:pt idx="82">
                  <c:v>47.045442014338271</c:v>
                </c:pt>
                <c:pt idx="83">
                  <c:v>35.181188957820467</c:v>
                </c:pt>
                <c:pt idx="84">
                  <c:v>40.139756782140154</c:v>
                </c:pt>
                <c:pt idx="85">
                  <c:v>41.247322277659237</c:v>
                </c:pt>
                <c:pt idx="86">
                  <c:v>48.325580600194776</c:v>
                </c:pt>
                <c:pt idx="87">
                  <c:v>50.344049299154825</c:v>
                </c:pt>
                <c:pt idx="88">
                  <c:v>47.063203507776926</c:v>
                </c:pt>
                <c:pt idx="89">
                  <c:v>45.61734121324757</c:v>
                </c:pt>
                <c:pt idx="90">
                  <c:v>47.089845528934916</c:v>
                </c:pt>
                <c:pt idx="91">
                  <c:v>40.66018396232797</c:v>
                </c:pt>
                <c:pt idx="92">
                  <c:v>48.910344837500652</c:v>
                </c:pt>
                <c:pt idx="93">
                  <c:v>50.431680438008819</c:v>
                </c:pt>
                <c:pt idx="94">
                  <c:v>49.467542942449327</c:v>
                </c:pt>
                <c:pt idx="95">
                  <c:v>33.223013228860637</c:v>
                </c:pt>
                <c:pt idx="96">
                  <c:v>54.094709331029712</c:v>
                </c:pt>
                <c:pt idx="97">
                  <c:v>51.981553630280644</c:v>
                </c:pt>
                <c:pt idx="98">
                  <c:v>31.598380855163605</c:v>
                </c:pt>
                <c:pt idx="99">
                  <c:v>31.375174000914917</c:v>
                </c:pt>
                <c:pt idx="100">
                  <c:v>8.0306131092378443</c:v>
                </c:pt>
                <c:pt idx="101">
                  <c:v>44.784134891072462</c:v>
                </c:pt>
                <c:pt idx="102">
                  <c:v>49.403806266938801</c:v>
                </c:pt>
                <c:pt idx="103">
                  <c:v>56.154090506679154</c:v>
                </c:pt>
                <c:pt idx="104">
                  <c:v>56.104027308625504</c:v>
                </c:pt>
                <c:pt idx="105">
                  <c:v>46.423143467968742</c:v>
                </c:pt>
                <c:pt idx="106">
                  <c:v>52.937579021960495</c:v>
                </c:pt>
                <c:pt idx="107">
                  <c:v>35.639845808532499</c:v>
                </c:pt>
                <c:pt idx="108">
                  <c:v>56.480000775881308</c:v>
                </c:pt>
                <c:pt idx="109">
                  <c:v>40.654424603691162</c:v>
                </c:pt>
                <c:pt idx="110">
                  <c:v>55.308374448877338</c:v>
                </c:pt>
                <c:pt idx="111">
                  <c:v>59.256250971912621</c:v>
                </c:pt>
                <c:pt idx="112">
                  <c:v>58.448809737185101</c:v>
                </c:pt>
                <c:pt idx="113">
                  <c:v>54.689071133466982</c:v>
                </c:pt>
                <c:pt idx="114">
                  <c:v>28.905950679176552</c:v>
                </c:pt>
                <c:pt idx="115">
                  <c:v>6.6730324061946762</c:v>
                </c:pt>
                <c:pt idx="116">
                  <c:v>21.276216443300701</c:v>
                </c:pt>
                <c:pt idx="117">
                  <c:v>16.354591601965218</c:v>
                </c:pt>
                <c:pt idx="118">
                  <c:v>26.007285985198639</c:v>
                </c:pt>
                <c:pt idx="119">
                  <c:v>18.363563770526309</c:v>
                </c:pt>
                <c:pt idx="120">
                  <c:v>21.85948850377299</c:v>
                </c:pt>
                <c:pt idx="121">
                  <c:v>39.747246661532351</c:v>
                </c:pt>
                <c:pt idx="122">
                  <c:v>59.744764721426584</c:v>
                </c:pt>
                <c:pt idx="123">
                  <c:v>51.902677527708505</c:v>
                </c:pt>
                <c:pt idx="124">
                  <c:v>36.936640129719891</c:v>
                </c:pt>
                <c:pt idx="125">
                  <c:v>38.595503231310182</c:v>
                </c:pt>
                <c:pt idx="126">
                  <c:v>35.323239791533695</c:v>
                </c:pt>
                <c:pt idx="127">
                  <c:v>57.502129764921655</c:v>
                </c:pt>
                <c:pt idx="128">
                  <c:v>22.334245897158699</c:v>
                </c:pt>
                <c:pt idx="129">
                  <c:v>44.004718022515235</c:v>
                </c:pt>
                <c:pt idx="130">
                  <c:v>37.201681864323817</c:v>
                </c:pt>
                <c:pt idx="131">
                  <c:v>38.007237481449835</c:v>
                </c:pt>
                <c:pt idx="132">
                  <c:v>48.586467374887206</c:v>
                </c:pt>
                <c:pt idx="133">
                  <c:v>46.314134971834996</c:v>
                </c:pt>
                <c:pt idx="134">
                  <c:v>21.80587531806081</c:v>
                </c:pt>
                <c:pt idx="135">
                  <c:v>14.186016005920877</c:v>
                </c:pt>
                <c:pt idx="136">
                  <c:v>59.208696526908184</c:v>
                </c:pt>
                <c:pt idx="137">
                  <c:v>38.256493297519384</c:v>
                </c:pt>
                <c:pt idx="138">
                  <c:v>54.319551164523439</c:v>
                </c:pt>
                <c:pt idx="139">
                  <c:v>63.420462429144116</c:v>
                </c:pt>
                <c:pt idx="140">
                  <c:v>41.747794997123648</c:v>
                </c:pt>
                <c:pt idx="141">
                  <c:v>36.343029260429155</c:v>
                </c:pt>
                <c:pt idx="142">
                  <c:v>38.317571127769519</c:v>
                </c:pt>
                <c:pt idx="143">
                  <c:v>28.542221114543629</c:v>
                </c:pt>
                <c:pt idx="144">
                  <c:v>51.709617150296843</c:v>
                </c:pt>
                <c:pt idx="145">
                  <c:v>53.802455984494976</c:v>
                </c:pt>
                <c:pt idx="146">
                  <c:v>62.740988263305802</c:v>
                </c:pt>
                <c:pt idx="147">
                  <c:v>43.133638752261078</c:v>
                </c:pt>
                <c:pt idx="148">
                  <c:v>40.872844181696394</c:v>
                </c:pt>
                <c:pt idx="149">
                  <c:v>52.480923450927868</c:v>
                </c:pt>
                <c:pt idx="150">
                  <c:v>59.455350800812774</c:v>
                </c:pt>
                <c:pt idx="151">
                  <c:v>35.901651237564444</c:v>
                </c:pt>
                <c:pt idx="152">
                  <c:v>40.490550209579382</c:v>
                </c:pt>
                <c:pt idx="153">
                  <c:v>52.947516192306189</c:v>
                </c:pt>
                <c:pt idx="154">
                  <c:v>11.216497424840929</c:v>
                </c:pt>
                <c:pt idx="155">
                  <c:v>47.550981784469194</c:v>
                </c:pt>
                <c:pt idx="156">
                  <c:v>48.351865175333586</c:v>
                </c:pt>
                <c:pt idx="157">
                  <c:v>57.342414657537475</c:v>
                </c:pt>
                <c:pt idx="158">
                  <c:v>63.75799356602392</c:v>
                </c:pt>
                <c:pt idx="159">
                  <c:v>59.948298229793359</c:v>
                </c:pt>
                <c:pt idx="160">
                  <c:v>60.945048919037703</c:v>
                </c:pt>
                <c:pt idx="161">
                  <c:v>47.553742982119623</c:v>
                </c:pt>
                <c:pt idx="162">
                  <c:v>52.441093003157654</c:v>
                </c:pt>
                <c:pt idx="163">
                  <c:v>61.251479122955359</c:v>
                </c:pt>
                <c:pt idx="164">
                  <c:v>54.493603449574607</c:v>
                </c:pt>
                <c:pt idx="165">
                  <c:v>55.380031401043752</c:v>
                </c:pt>
                <c:pt idx="166">
                  <c:v>51.49666579584725</c:v>
                </c:pt>
                <c:pt idx="167">
                  <c:v>16.917026790820511</c:v>
                </c:pt>
                <c:pt idx="168">
                  <c:v>43.199013531804496</c:v>
                </c:pt>
                <c:pt idx="169">
                  <c:v>35.058619401134571</c:v>
                </c:pt>
                <c:pt idx="170">
                  <c:v>36.925498834349249</c:v>
                </c:pt>
                <c:pt idx="171">
                  <c:v>38.54778868695881</c:v>
                </c:pt>
                <c:pt idx="172">
                  <c:v>42.293758908300227</c:v>
                </c:pt>
                <c:pt idx="173">
                  <c:v>26.849833782004513</c:v>
                </c:pt>
                <c:pt idx="174">
                  <c:v>41.693041027713107</c:v>
                </c:pt>
                <c:pt idx="175">
                  <c:v>58.027223678853936</c:v>
                </c:pt>
                <c:pt idx="176">
                  <c:v>60.512163811682484</c:v>
                </c:pt>
                <c:pt idx="177">
                  <c:v>8.9150967503166783</c:v>
                </c:pt>
                <c:pt idx="178">
                  <c:v>26.766709603867561</c:v>
                </c:pt>
                <c:pt idx="179">
                  <c:v>40.55973764335787</c:v>
                </c:pt>
                <c:pt idx="180">
                  <c:v>52.070802212796387</c:v>
                </c:pt>
                <c:pt idx="181">
                  <c:v>58.669413098495632</c:v>
                </c:pt>
                <c:pt idx="182">
                  <c:v>56.741115224464892</c:v>
                </c:pt>
                <c:pt idx="183">
                  <c:v>36.134540380566833</c:v>
                </c:pt>
                <c:pt idx="184">
                  <c:v>37.630982959841589</c:v>
                </c:pt>
                <c:pt idx="185">
                  <c:v>62.028584740771763</c:v>
                </c:pt>
                <c:pt idx="186">
                  <c:v>22.980824441879385</c:v>
                </c:pt>
                <c:pt idx="187">
                  <c:v>38.834294886879867</c:v>
                </c:pt>
                <c:pt idx="188">
                  <c:v>54.700324524515139</c:v>
                </c:pt>
                <c:pt idx="189">
                  <c:v>61.768884511378864</c:v>
                </c:pt>
                <c:pt idx="190">
                  <c:v>53.785915292744647</c:v>
                </c:pt>
                <c:pt idx="191">
                  <c:v>52.760305632743616</c:v>
                </c:pt>
                <c:pt idx="192">
                  <c:v>14.536261103904312</c:v>
                </c:pt>
                <c:pt idx="193">
                  <c:v>32.215429533541503</c:v>
                </c:pt>
                <c:pt idx="194">
                  <c:v>33.678845694394553</c:v>
                </c:pt>
                <c:pt idx="195">
                  <c:v>40.241203082710278</c:v>
                </c:pt>
                <c:pt idx="196">
                  <c:v>43.35548480192589</c:v>
                </c:pt>
                <c:pt idx="197">
                  <c:v>61.03216766608417</c:v>
                </c:pt>
                <c:pt idx="198">
                  <c:v>55.13996527757579</c:v>
                </c:pt>
                <c:pt idx="199">
                  <c:v>60.16442723969196</c:v>
                </c:pt>
                <c:pt idx="200">
                  <c:v>47.766702998906844</c:v>
                </c:pt>
                <c:pt idx="201">
                  <c:v>50.170636020195971</c:v>
                </c:pt>
                <c:pt idx="202">
                  <c:v>55.801996612148457</c:v>
                </c:pt>
                <c:pt idx="203">
                  <c:v>45.687050286417289</c:v>
                </c:pt>
                <c:pt idx="204">
                  <c:v>35.460524383498807</c:v>
                </c:pt>
                <c:pt idx="205">
                  <c:v>38.349912757491403</c:v>
                </c:pt>
                <c:pt idx="206">
                  <c:v>36.16090132151654</c:v>
                </c:pt>
                <c:pt idx="207">
                  <c:v>50.151387092288985</c:v>
                </c:pt>
                <c:pt idx="208">
                  <c:v>29.41751299591461</c:v>
                </c:pt>
                <c:pt idx="209">
                  <c:v>56.685943796954191</c:v>
                </c:pt>
                <c:pt idx="210">
                  <c:v>19.239170042258174</c:v>
                </c:pt>
                <c:pt idx="211">
                  <c:v>13.894203797701191</c:v>
                </c:pt>
                <c:pt idx="212">
                  <c:v>48.519036061928745</c:v>
                </c:pt>
                <c:pt idx="213">
                  <c:v>56.283067143469061</c:v>
                </c:pt>
                <c:pt idx="214">
                  <c:v>37.556547758828764</c:v>
                </c:pt>
                <c:pt idx="215">
                  <c:v>35.595183120947446</c:v>
                </c:pt>
                <c:pt idx="216">
                  <c:v>50.225789361301366</c:v>
                </c:pt>
                <c:pt idx="217">
                  <c:v>21.49293340318064</c:v>
                </c:pt>
                <c:pt idx="218">
                  <c:v>25.112993686263444</c:v>
                </c:pt>
                <c:pt idx="219">
                  <c:v>37.356326857120926</c:v>
                </c:pt>
                <c:pt idx="220">
                  <c:v>56.037140301395539</c:v>
                </c:pt>
                <c:pt idx="221">
                  <c:v>51.380903889395896</c:v>
                </c:pt>
                <c:pt idx="222">
                  <c:v>51.041583493059605</c:v>
                </c:pt>
                <c:pt idx="223">
                  <c:v>49.466529526765378</c:v>
                </c:pt>
                <c:pt idx="224">
                  <c:v>33.748467829209538</c:v>
                </c:pt>
                <c:pt idx="225">
                  <c:v>49.690371953660723</c:v>
                </c:pt>
                <c:pt idx="226">
                  <c:v>22.06657268672372</c:v>
                </c:pt>
                <c:pt idx="227">
                  <c:v>33.511370613460684</c:v>
                </c:pt>
                <c:pt idx="228">
                  <c:v>43.349028713540093</c:v>
                </c:pt>
                <c:pt idx="229">
                  <c:v>53.373753498683605</c:v>
                </c:pt>
                <c:pt idx="230">
                  <c:v>48.36638609373653</c:v>
                </c:pt>
                <c:pt idx="231">
                  <c:v>52.08934331759658</c:v>
                </c:pt>
                <c:pt idx="232">
                  <c:v>48.604050024955654</c:v>
                </c:pt>
                <c:pt idx="233">
                  <c:v>20.938182821118634</c:v>
                </c:pt>
                <c:pt idx="234">
                  <c:v>49.009931486332576</c:v>
                </c:pt>
                <c:pt idx="235">
                  <c:v>45.584779547736176</c:v>
                </c:pt>
                <c:pt idx="236">
                  <c:v>48.806443569925385</c:v>
                </c:pt>
                <c:pt idx="237">
                  <c:v>50.962123018222243</c:v>
                </c:pt>
                <c:pt idx="238">
                  <c:v>46.651083825819839</c:v>
                </c:pt>
                <c:pt idx="239">
                  <c:v>52.43587821164941</c:v>
                </c:pt>
                <c:pt idx="240">
                  <c:v>51.701518118132348</c:v>
                </c:pt>
                <c:pt idx="241">
                  <c:v>49.974130891350057</c:v>
                </c:pt>
                <c:pt idx="242">
                  <c:v>49.874216739239351</c:v>
                </c:pt>
                <c:pt idx="243">
                  <c:v>30.460822368529985</c:v>
                </c:pt>
                <c:pt idx="244">
                  <c:v>22.315007922458566</c:v>
                </c:pt>
                <c:pt idx="245">
                  <c:v>29.402564815938227</c:v>
                </c:pt>
                <c:pt idx="246">
                  <c:v>42.788528610104372</c:v>
                </c:pt>
                <c:pt idx="247">
                  <c:v>43.819007709213253</c:v>
                </c:pt>
                <c:pt idx="248">
                  <c:v>47.812072470645866</c:v>
                </c:pt>
                <c:pt idx="249">
                  <c:v>37.074604358263208</c:v>
                </c:pt>
                <c:pt idx="250">
                  <c:v>32.26773468624765</c:v>
                </c:pt>
                <c:pt idx="251">
                  <c:v>19.494778700629595</c:v>
                </c:pt>
                <c:pt idx="252">
                  <c:v>40.841734623800875</c:v>
                </c:pt>
                <c:pt idx="253">
                  <c:v>41.052738053568426</c:v>
                </c:pt>
                <c:pt idx="254">
                  <c:v>44.867322208797788</c:v>
                </c:pt>
                <c:pt idx="255">
                  <c:v>31.988748411003183</c:v>
                </c:pt>
                <c:pt idx="256">
                  <c:v>20.297273646029957</c:v>
                </c:pt>
                <c:pt idx="257">
                  <c:v>30.122237821456245</c:v>
                </c:pt>
                <c:pt idx="258">
                  <c:v>23.063288768306109</c:v>
                </c:pt>
                <c:pt idx="259">
                  <c:v>42.928635441802115</c:v>
                </c:pt>
                <c:pt idx="260">
                  <c:v>9.2445253847257121</c:v>
                </c:pt>
                <c:pt idx="261">
                  <c:v>29.398699936085748</c:v>
                </c:pt>
                <c:pt idx="262">
                  <c:v>28.277809234296917</c:v>
                </c:pt>
                <c:pt idx="263">
                  <c:v>14.156328184258429</c:v>
                </c:pt>
                <c:pt idx="264">
                  <c:v>40.04251325469788</c:v>
                </c:pt>
                <c:pt idx="265">
                  <c:v>33.136129448623308</c:v>
                </c:pt>
                <c:pt idx="266">
                  <c:v>35.529783803479539</c:v>
                </c:pt>
                <c:pt idx="267">
                  <c:v>30.052139977190851</c:v>
                </c:pt>
                <c:pt idx="268">
                  <c:v>31.46279655509711</c:v>
                </c:pt>
                <c:pt idx="269">
                  <c:v>24.976898672922466</c:v>
                </c:pt>
                <c:pt idx="270">
                  <c:v>25.8112507743758</c:v>
                </c:pt>
                <c:pt idx="271">
                  <c:v>25.77553955469098</c:v>
                </c:pt>
                <c:pt idx="272">
                  <c:v>21.912912021450754</c:v>
                </c:pt>
                <c:pt idx="273">
                  <c:v>30.244296250777897</c:v>
                </c:pt>
                <c:pt idx="274">
                  <c:v>37.237843335941406</c:v>
                </c:pt>
                <c:pt idx="275">
                  <c:v>6.6740371632853748</c:v>
                </c:pt>
                <c:pt idx="276">
                  <c:v>34.122776140718145</c:v>
                </c:pt>
                <c:pt idx="277">
                  <c:v>12.768593546612031</c:v>
                </c:pt>
                <c:pt idx="278">
                  <c:v>31.539510751204553</c:v>
                </c:pt>
                <c:pt idx="279">
                  <c:v>36.648914494338172</c:v>
                </c:pt>
                <c:pt idx="280">
                  <c:v>35.752420228658309</c:v>
                </c:pt>
                <c:pt idx="281">
                  <c:v>15.777781953410924</c:v>
                </c:pt>
                <c:pt idx="282">
                  <c:v>23.725985079936592</c:v>
                </c:pt>
                <c:pt idx="283">
                  <c:v>34.784203918251883</c:v>
                </c:pt>
                <c:pt idx="284">
                  <c:v>33.883133366229487</c:v>
                </c:pt>
                <c:pt idx="285">
                  <c:v>32.567800155049106</c:v>
                </c:pt>
                <c:pt idx="286">
                  <c:v>34.446907354425804</c:v>
                </c:pt>
                <c:pt idx="287">
                  <c:v>30.038087036752088</c:v>
                </c:pt>
                <c:pt idx="288">
                  <c:v>31.515402769838211</c:v>
                </c:pt>
                <c:pt idx="289">
                  <c:v>29.529771052990444</c:v>
                </c:pt>
                <c:pt idx="290">
                  <c:v>30.814440593225026</c:v>
                </c:pt>
                <c:pt idx="291">
                  <c:v>29.436618012405575</c:v>
                </c:pt>
                <c:pt idx="292">
                  <c:v>23.690537055401816</c:v>
                </c:pt>
                <c:pt idx="293">
                  <c:v>11.173651955757842</c:v>
                </c:pt>
                <c:pt idx="294">
                  <c:v>13.239726315455611</c:v>
                </c:pt>
                <c:pt idx="295">
                  <c:v>30.486938678311564</c:v>
                </c:pt>
                <c:pt idx="296">
                  <c:v>30.713396956245166</c:v>
                </c:pt>
                <c:pt idx="297">
                  <c:v>29.429997890434077</c:v>
                </c:pt>
                <c:pt idx="298">
                  <c:v>20.814554065729762</c:v>
                </c:pt>
                <c:pt idx="299">
                  <c:v>29.266376232509479</c:v>
                </c:pt>
                <c:pt idx="300">
                  <c:v>28.371022569697843</c:v>
                </c:pt>
                <c:pt idx="301">
                  <c:v>16.997644506684054</c:v>
                </c:pt>
                <c:pt idx="302">
                  <c:v>12.145131333427468</c:v>
                </c:pt>
                <c:pt idx="303">
                  <c:v>18.285263822521237</c:v>
                </c:pt>
                <c:pt idx="304">
                  <c:v>17.032846061426536</c:v>
                </c:pt>
                <c:pt idx="305">
                  <c:v>25.963625869506139</c:v>
                </c:pt>
                <c:pt idx="306">
                  <c:v>16.130010376405572</c:v>
                </c:pt>
                <c:pt idx="307">
                  <c:v>14.003062059853407</c:v>
                </c:pt>
                <c:pt idx="308">
                  <c:v>12.511216027865636</c:v>
                </c:pt>
                <c:pt idx="309">
                  <c:v>19.190304243948876</c:v>
                </c:pt>
                <c:pt idx="310">
                  <c:v>10.082431051790092</c:v>
                </c:pt>
                <c:pt idx="311">
                  <c:v>20.22602199592037</c:v>
                </c:pt>
                <c:pt idx="312">
                  <c:v>17.621400907989795</c:v>
                </c:pt>
                <c:pt idx="313">
                  <c:v>6.4299282762271464</c:v>
                </c:pt>
                <c:pt idx="314">
                  <c:v>9.0204094783565996</c:v>
                </c:pt>
                <c:pt idx="315">
                  <c:v>8.8212167965089101</c:v>
                </c:pt>
                <c:pt idx="316">
                  <c:v>6.1455201866906446</c:v>
                </c:pt>
                <c:pt idx="317">
                  <c:v>5.2926246447428396</c:v>
                </c:pt>
                <c:pt idx="318">
                  <c:v>6.6366388081224272</c:v>
                </c:pt>
                <c:pt idx="319">
                  <c:v>9.0288792964547699</c:v>
                </c:pt>
                <c:pt idx="320">
                  <c:v>3.2282426191589266</c:v>
                </c:pt>
                <c:pt idx="321">
                  <c:v>17.806061411993074</c:v>
                </c:pt>
                <c:pt idx="322">
                  <c:v>21.77433778544162</c:v>
                </c:pt>
                <c:pt idx="323">
                  <c:v>17.40624967285753</c:v>
                </c:pt>
                <c:pt idx="324">
                  <c:v>8.959054528945984</c:v>
                </c:pt>
                <c:pt idx="325">
                  <c:v>16.232423868552338</c:v>
                </c:pt>
                <c:pt idx="326">
                  <c:v>11.713944962314839</c:v>
                </c:pt>
                <c:pt idx="327">
                  <c:v>1.1239538007339809</c:v>
                </c:pt>
                <c:pt idx="328">
                  <c:v>13.620143373845158</c:v>
                </c:pt>
                <c:pt idx="329">
                  <c:v>7.6703478641384919</c:v>
                </c:pt>
                <c:pt idx="330">
                  <c:v>10.908993766873303</c:v>
                </c:pt>
                <c:pt idx="331">
                  <c:v>6.459801420546972</c:v>
                </c:pt>
                <c:pt idx="332">
                  <c:v>7.3461951224104594</c:v>
                </c:pt>
                <c:pt idx="333">
                  <c:v>19.468754862857971</c:v>
                </c:pt>
                <c:pt idx="334">
                  <c:v>4.8117127924897476</c:v>
                </c:pt>
                <c:pt idx="335">
                  <c:v>8.2113391342416708</c:v>
                </c:pt>
                <c:pt idx="336">
                  <c:v>13.277660836257485</c:v>
                </c:pt>
                <c:pt idx="337">
                  <c:v>6.6436582936747985</c:v>
                </c:pt>
                <c:pt idx="338">
                  <c:v>7.1467024594129818</c:v>
                </c:pt>
                <c:pt idx="339">
                  <c:v>10.389759884847308</c:v>
                </c:pt>
                <c:pt idx="340">
                  <c:v>6.1047113353287532</c:v>
                </c:pt>
                <c:pt idx="341">
                  <c:v>9.7673657331298589</c:v>
                </c:pt>
                <c:pt idx="342">
                  <c:v>8.1136142681814238</c:v>
                </c:pt>
                <c:pt idx="343">
                  <c:v>2.7143853774595832</c:v>
                </c:pt>
                <c:pt idx="344">
                  <c:v>10.692458724547576</c:v>
                </c:pt>
                <c:pt idx="345">
                  <c:v>17.813849297428309</c:v>
                </c:pt>
                <c:pt idx="346">
                  <c:v>18.138305430753984</c:v>
                </c:pt>
                <c:pt idx="347">
                  <c:v>18.109392366943464</c:v>
                </c:pt>
                <c:pt idx="348">
                  <c:v>17.512476970262838</c:v>
                </c:pt>
                <c:pt idx="349">
                  <c:v>17.653857308333976</c:v>
                </c:pt>
                <c:pt idx="350">
                  <c:v>17.652836359239622</c:v>
                </c:pt>
                <c:pt idx="351">
                  <c:v>18.053067103991125</c:v>
                </c:pt>
                <c:pt idx="352">
                  <c:v>17.589332525794376</c:v>
                </c:pt>
                <c:pt idx="353">
                  <c:v>18.435000096108368</c:v>
                </c:pt>
                <c:pt idx="354">
                  <c:v>15.227304712350294</c:v>
                </c:pt>
                <c:pt idx="355">
                  <c:v>17.399805301490186</c:v>
                </c:pt>
                <c:pt idx="356">
                  <c:v>6.2590831383422305</c:v>
                </c:pt>
                <c:pt idx="357">
                  <c:v>10.122401931881758</c:v>
                </c:pt>
                <c:pt idx="358">
                  <c:v>9.4462732856856295</c:v>
                </c:pt>
                <c:pt idx="359">
                  <c:v>11.364727643706745</c:v>
                </c:pt>
                <c:pt idx="360">
                  <c:v>11.654794849210347</c:v>
                </c:pt>
                <c:pt idx="361">
                  <c:v>5.7793575166815154</c:v>
                </c:pt>
                <c:pt idx="362">
                  <c:v>5.877991535507042</c:v>
                </c:pt>
                <c:pt idx="363">
                  <c:v>15.531873357342477</c:v>
                </c:pt>
                <c:pt idx="364">
                  <c:v>17.949916308915405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19.968</c:v>
                </c:pt>
                <c:pt idx="21">
                  <c:v>23.4496</c:v>
                </c:pt>
                <c:pt idx="35">
                  <c:v>27.955200000000001</c:v>
                </c:pt>
                <c:pt idx="49">
                  <c:v>33.177599999999998</c:v>
                </c:pt>
                <c:pt idx="63">
                  <c:v>39.219200000000001</c:v>
                </c:pt>
                <c:pt idx="77">
                  <c:v>45.670400000000001</c:v>
                </c:pt>
                <c:pt idx="91">
                  <c:v>51.916800000000002</c:v>
                </c:pt>
                <c:pt idx="105">
                  <c:v>57.139200000000002</c:v>
                </c:pt>
                <c:pt idx="119">
                  <c:v>61.0304</c:v>
                </c:pt>
                <c:pt idx="133">
                  <c:v>63.283200000000001</c:v>
                </c:pt>
                <c:pt idx="147">
                  <c:v>64.307199999999995</c:v>
                </c:pt>
                <c:pt idx="161">
                  <c:v>64.409599999999998</c:v>
                </c:pt>
                <c:pt idx="175">
                  <c:v>63.795200000000001</c:v>
                </c:pt>
                <c:pt idx="189">
                  <c:v>62.668799999999997</c:v>
                </c:pt>
                <c:pt idx="203">
                  <c:v>60.825599999999994</c:v>
                </c:pt>
                <c:pt idx="217">
                  <c:v>58.470400000000005</c:v>
                </c:pt>
                <c:pt idx="231">
                  <c:v>55.398400000000002</c:v>
                </c:pt>
                <c:pt idx="245">
                  <c:v>51.2</c:v>
                </c:pt>
                <c:pt idx="259">
                  <c:v>45.670400000000001</c:v>
                </c:pt>
                <c:pt idx="273">
                  <c:v>39.321600000000004</c:v>
                </c:pt>
                <c:pt idx="287">
                  <c:v>33.075200000000002</c:v>
                </c:pt>
                <c:pt idx="301">
                  <c:v>27.955200000000001</c:v>
                </c:pt>
                <c:pt idx="315">
                  <c:v>23.654400000000003</c:v>
                </c:pt>
                <c:pt idx="329">
                  <c:v>20.5824</c:v>
                </c:pt>
                <c:pt idx="343">
                  <c:v>18.431999999999999</c:v>
                </c:pt>
                <c:pt idx="357">
                  <c:v>18.1248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6603632"/>
        <c:axId val="476603240"/>
      </c:lineChart>
      <c:dateAx>
        <c:axId val="476603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603240"/>
        <c:crosses val="autoZero"/>
        <c:auto val="1"/>
        <c:lblOffset val="100"/>
        <c:baseTimeUnit val="days"/>
        <c:majorUnit val="1"/>
        <c:majorTimeUnit val="months"/>
      </c:dateAx>
      <c:valAx>
        <c:axId val="47660324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60363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3.7177668672508712E-2</c:v>
                </c:pt>
                <c:pt idx="1">
                  <c:v>3.7872021013054979E-2</c:v>
                </c:pt>
                <c:pt idx="2">
                  <c:v>3.8498747557724422E-2</c:v>
                </c:pt>
                <c:pt idx="3">
                  <c:v>3.9192147184373027E-2</c:v>
                </c:pt>
                <c:pt idx="4">
                  <c:v>3.9862702958934459E-2</c:v>
                </c:pt>
                <c:pt idx="5">
                  <c:v>4.0555118950706293E-2</c:v>
                </c:pt>
                <c:pt idx="6">
                  <c:v>4.122472349596018E-2</c:v>
                </c:pt>
                <c:pt idx="7">
                  <c:v>4.1916157248208741E-2</c:v>
                </c:pt>
                <c:pt idx="8">
                  <c:v>4.2607092363659338E-2</c:v>
                </c:pt>
                <c:pt idx="9">
                  <c:v>4.3275264819638282E-2</c:v>
                </c:pt>
                <c:pt idx="10">
                  <c:v>4.39652197962902E-2</c:v>
                </c:pt>
                <c:pt idx="11">
                  <c:v>4.463244440386227E-2</c:v>
                </c:pt>
                <c:pt idx="12">
                  <c:v>4.5321420632109422E-2</c:v>
                </c:pt>
                <c:pt idx="13">
                  <c:v>4.6009899995835268E-2</c:v>
                </c:pt>
                <c:pt idx="14">
                  <c:v>4.6631325556761194E-2</c:v>
                </c:pt>
                <c:pt idx="15">
                  <c:v>4.7318860264842222E-2</c:v>
                </c:pt>
                <c:pt idx="16">
                  <c:v>4.7983744338898293E-2</c:v>
                </c:pt>
                <c:pt idx="17">
                  <c:v>4.8670303731891407E-2</c:v>
                </c:pt>
                <c:pt idx="18">
                  <c:v>4.933424462233571E-2</c:v>
                </c:pt>
                <c:pt idx="19">
                  <c:v>5.0019830083792072E-2</c:v>
                </c:pt>
                <c:pt idx="20">
                  <c:v>5.0704921126024427E-2</c:v>
                </c:pt>
                <c:pt idx="21">
                  <c:v>5.1367442040103461E-2</c:v>
                </c:pt>
                <c:pt idx="22">
                  <c:v>5.2051561233755317E-2</c:v>
                </c:pt>
                <c:pt idx="23">
                  <c:v>5.2713142316526906E-2</c:v>
                </c:pt>
                <c:pt idx="24">
                  <c:v>5.3418319891438526E-2</c:v>
                </c:pt>
                <c:pt idx="25">
                  <c:v>5.4100960066802317E-2</c:v>
                </c:pt>
                <c:pt idx="26">
                  <c:v>5.4717115141647676E-2</c:v>
                </c:pt>
                <c:pt idx="27">
                  <c:v>5.5398818673258465E-2</c:v>
                </c:pt>
                <c:pt idx="28">
                  <c:v>5.6058063677282943E-2</c:v>
                </c:pt>
                <c:pt idx="29">
                  <c:v>5.6738800165729075E-2</c:v>
                </c:pt>
                <c:pt idx="30">
                  <c:v>5.7397109985548922E-2</c:v>
                </c:pt>
                <c:pt idx="31">
                  <c:v>5.807688080264739E-2</c:v>
                </c:pt>
                <c:pt idx="32">
                  <c:v>5.8756161393831441E-2</c:v>
                </c:pt>
                <c:pt idx="33">
                  <c:v>5.9413063280507439E-2</c:v>
                </c:pt>
                <c:pt idx="34">
                  <c:v>6.0091380265633765E-2</c:v>
                </c:pt>
                <c:pt idx="35">
                  <c:v>6.0747350291977642E-2</c:v>
                </c:pt>
                <c:pt idx="36">
                  <c:v>6.1424705037987581E-2</c:v>
                </c:pt>
                <c:pt idx="37">
                  <c:v>6.2101571300465341E-2</c:v>
                </c:pt>
                <c:pt idx="38">
                  <c:v>6.2712514807262365E-2</c:v>
                </c:pt>
                <c:pt idx="39">
                  <c:v>6.3388452348315139E-2</c:v>
                </c:pt>
                <c:pt idx="40">
                  <c:v>6.4042121320688983E-2</c:v>
                </c:pt>
                <c:pt idx="41">
                  <c:v>6.4717099998029881E-2</c:v>
                </c:pt>
                <c:pt idx="42">
                  <c:v>6.5369841696182096E-2</c:v>
                </c:pt>
                <c:pt idx="43">
                  <c:v>6.6043862870024839E-2</c:v>
                </c:pt>
                <c:pt idx="44">
                  <c:v>6.6717397964386027E-2</c:v>
                </c:pt>
                <c:pt idx="45">
                  <c:v>6.7368743637986284E-2</c:v>
                </c:pt>
                <c:pt idx="46">
                  <c:v>6.8041323276670673E-2</c:v>
                </c:pt>
                <c:pt idx="47">
                  <c:v>6.8691744971807855E-2</c:v>
                </c:pt>
                <c:pt idx="48">
                  <c:v>6.9363370510194811E-2</c:v>
                </c:pt>
                <c:pt idx="49">
                  <c:v>7.0034511696745128E-2</c:v>
                </c:pt>
                <c:pt idx="50">
                  <c:v>7.0640287716022598E-2</c:v>
                </c:pt>
                <c:pt idx="51">
                  <c:v>7.1310508036467435E-2</c:v>
                </c:pt>
                <c:pt idx="52">
                  <c:v>7.1958648140428627E-2</c:v>
                </c:pt>
                <c:pt idx="53">
                  <c:v>7.26279177074306E-2</c:v>
                </c:pt>
                <c:pt idx="54">
                  <c:v>7.3275138380248794E-2</c:v>
                </c:pt>
                <c:pt idx="55">
                  <c:v>7.3943458542516716E-2</c:v>
                </c:pt>
                <c:pt idx="56">
                  <c:v>7.4611296736664778E-2</c:v>
                </c:pt>
                <c:pt idx="57">
                  <c:v>7.5257133192797698E-2</c:v>
                </c:pt>
                <c:pt idx="58">
                  <c:v>7.5924024012712255E-2</c:v>
                </c:pt>
                <c:pt idx="59">
                  <c:v>7.6568944305584363E-2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4.0014745380521424E-2</c:v>
                </c:pt>
                <c:pt idx="1">
                  <c:v>4.602858420469487E-2</c:v>
                </c:pt>
                <c:pt idx="2">
                  <c:v>5.1320088221657338E-2</c:v>
                </c:pt>
                <c:pt idx="3">
                  <c:v>5.7305895880228115E-2</c:v>
                </c:pt>
                <c:pt idx="4">
                  <c:v>6.3938276597578128E-2</c:v>
                </c:pt>
                <c:pt idx="5">
                  <c:v>7.1320878917305874E-2</c:v>
                </c:pt>
                <c:pt idx="6">
                  <c:v>7.7410657998641691E-2</c:v>
                </c:pt>
                <c:pt idx="7">
                  <c:v>8.268169464176528E-2</c:v>
                </c:pt>
                <c:pt idx="8">
                  <c:v>8.7378836025211404E-2</c:v>
                </c:pt>
                <c:pt idx="9">
                  <c:v>9.0735472893466743E-2</c:v>
                </c:pt>
                <c:pt idx="10">
                  <c:v>9.2712054969518148E-2</c:v>
                </c:pt>
                <c:pt idx="11">
                  <c:v>9.5439474879242842E-2</c:v>
                </c:pt>
                <c:pt idx="12">
                  <c:v>9.9368472974781727E-2</c:v>
                </c:pt>
                <c:pt idx="13">
                  <c:v>0.10340018644752672</c:v>
                </c:pt>
                <c:pt idx="14">
                  <c:v>0.10699350198729367</c:v>
                </c:pt>
                <c:pt idx="15">
                  <c:v>0.11144580887297977</c:v>
                </c:pt>
                <c:pt idx="16">
                  <c:v>2.5719523646684655E-2</c:v>
                </c:pt>
                <c:pt idx="17">
                  <c:v>3.3333290725931705E-2</c:v>
                </c:pt>
                <c:pt idx="18">
                  <c:v>4.0232078471214572E-2</c:v>
                </c:pt>
                <c:pt idx="19">
                  <c:v>4.674552238386008E-2</c:v>
                </c:pt>
                <c:pt idx="20">
                  <c:v>5.2800903975647781E-2</c:v>
                </c:pt>
                <c:pt idx="21">
                  <c:v>5.7781177492008978E-2</c:v>
                </c:pt>
                <c:pt idx="22">
                  <c:v>6.1758833816951318E-2</c:v>
                </c:pt>
                <c:pt idx="23">
                  <c:v>6.5957752393572794E-2</c:v>
                </c:pt>
                <c:pt idx="24">
                  <c:v>7.1106854615813675E-2</c:v>
                </c:pt>
                <c:pt idx="25">
                  <c:v>7.608236846120997E-2</c:v>
                </c:pt>
                <c:pt idx="26">
                  <c:v>8.0484286199851082E-2</c:v>
                </c:pt>
                <c:pt idx="27">
                  <c:v>8.5666778287934481E-2</c:v>
                </c:pt>
                <c:pt idx="28">
                  <c:v>9.1960943611890847E-2</c:v>
                </c:pt>
                <c:pt idx="29">
                  <c:v>9.9174051833007468E-2</c:v>
                </c:pt>
                <c:pt idx="30">
                  <c:v>0.10467065142388184</c:v>
                </c:pt>
                <c:pt idx="31">
                  <c:v>0.10903073303781574</c:v>
                </c:pt>
                <c:pt idx="32">
                  <c:v>0.11273198862842321</c:v>
                </c:pt>
                <c:pt idx="33">
                  <c:v>0.11489814633058522</c:v>
                </c:pt>
                <c:pt idx="34">
                  <c:v>0.11540750530232349</c:v>
                </c:pt>
                <c:pt idx="35">
                  <c:v>0.11705599631011789</c:v>
                </c:pt>
                <c:pt idx="36">
                  <c:v>0.12021013706872795</c:v>
                </c:pt>
                <c:pt idx="37">
                  <c:v>0.12354584049389909</c:v>
                </c:pt>
                <c:pt idx="38">
                  <c:v>0.12654284851862899</c:v>
                </c:pt>
                <c:pt idx="39">
                  <c:v>0.13045667687412488</c:v>
                </c:pt>
                <c:pt idx="40">
                  <c:v>2.5939107385893806E-2</c:v>
                </c:pt>
                <c:pt idx="41">
                  <c:v>3.3551546320752315E-2</c:v>
                </c:pt>
                <c:pt idx="42">
                  <c:v>4.0445685951333223E-2</c:v>
                </c:pt>
                <c:pt idx="43">
                  <c:v>4.6951991681468887E-2</c:v>
                </c:pt>
                <c:pt idx="44">
                  <c:v>5.2999569578979187E-2</c:v>
                </c:pt>
                <c:pt idx="45">
                  <c:v>5.7970514580441806E-2</c:v>
                </c:pt>
                <c:pt idx="46">
                  <c:v>6.1936673843547202E-2</c:v>
                </c:pt>
                <c:pt idx="47">
                  <c:v>6.6127138005658254E-2</c:v>
                </c:pt>
                <c:pt idx="48">
                  <c:v>7.1106854615813675E-2</c:v>
                </c:pt>
                <c:pt idx="49">
                  <c:v>7.608236846120997E-2</c:v>
                </c:pt>
                <c:pt idx="50">
                  <c:v>8.0484286199851082E-2</c:v>
                </c:pt>
                <c:pt idx="51">
                  <c:v>8.5666778287934481E-2</c:v>
                </c:pt>
                <c:pt idx="52">
                  <c:v>9.1960943611890847E-2</c:v>
                </c:pt>
                <c:pt idx="53">
                  <c:v>9.9174051833007468E-2</c:v>
                </c:pt>
                <c:pt idx="54">
                  <c:v>0.10467065142388184</c:v>
                </c:pt>
                <c:pt idx="55">
                  <c:v>0.10903073303781574</c:v>
                </c:pt>
                <c:pt idx="56">
                  <c:v>0.11273198862842321</c:v>
                </c:pt>
                <c:pt idx="57">
                  <c:v>0.11489814633058522</c:v>
                </c:pt>
                <c:pt idx="58">
                  <c:v>0.11540750530232349</c:v>
                </c:pt>
                <c:pt idx="59">
                  <c:v>0.11705599631011789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8.3669911251288087E-2</c:v>
                </c:pt>
                <c:pt idx="1">
                  <c:v>3.76194853441736E-2</c:v>
                </c:pt>
                <c:pt idx="2">
                  <c:v>1.1370799318003258E-2</c:v>
                </c:pt>
                <c:pt idx="3">
                  <c:v>6.6552742106656395E-3</c:v>
                </c:pt>
                <c:pt idx="4">
                  <c:v>1.3477753373804706E-3</c:v>
                </c:pt>
                <c:pt idx="5">
                  <c:v>2.0641563874568676E-4</c:v>
                </c:pt>
                <c:pt idx="6">
                  <c:v>5.5050042459032925E-4</c:v>
                </c:pt>
                <c:pt idx="7">
                  <c:v>5.0213331138285466E-3</c:v>
                </c:pt>
                <c:pt idx="8">
                  <c:v>1.1904122093129781E-2</c:v>
                </c:pt>
                <c:pt idx="9">
                  <c:v>3.4343829687526528E-2</c:v>
                </c:pt>
                <c:pt idx="10">
                  <c:v>9.2332845410741632E-2</c:v>
                </c:pt>
                <c:pt idx="11">
                  <c:v>0.14481999158978395</c:v>
                </c:pt>
                <c:pt idx="12">
                  <c:v>0.10759623183510549</c:v>
                </c:pt>
                <c:pt idx="13">
                  <c:v>5.1430818414690806E-2</c:v>
                </c:pt>
                <c:pt idx="14">
                  <c:v>1.5634722774084047E-2</c:v>
                </c:pt>
                <c:pt idx="15">
                  <c:v>8.6751218489200047E-3</c:v>
                </c:pt>
                <c:pt idx="16">
                  <c:v>1.9055722724208811E-3</c:v>
                </c:pt>
                <c:pt idx="17">
                  <c:v>2.9729756432168088E-4</c:v>
                </c:pt>
                <c:pt idx="18">
                  <c:v>8.2011519533236048E-4</c:v>
                </c:pt>
                <c:pt idx="19">
                  <c:v>7.0378869604137495E-3</c:v>
                </c:pt>
                <c:pt idx="20">
                  <c:v>1.5486160284933343E-2</c:v>
                </c:pt>
                <c:pt idx="21">
                  <c:v>5.0013710012396344E-2</c:v>
                </c:pt>
                <c:pt idx="22">
                  <c:v>0.12047519886639657</c:v>
                </c:pt>
                <c:pt idx="23">
                  <c:v>0.18556174855585209</c:v>
                </c:pt>
                <c:pt idx="24">
                  <c:v>0.14369265665507014</c:v>
                </c:pt>
                <c:pt idx="25">
                  <c:v>6.935778527242302E-2</c:v>
                </c:pt>
                <c:pt idx="26">
                  <c:v>2.3687281137394711E-2</c:v>
                </c:pt>
                <c:pt idx="27">
                  <c:v>3.0643520460392602E-5</c:v>
                </c:pt>
                <c:pt idx="28">
                  <c:v>1.9553819448567833E-5</c:v>
                </c:pt>
                <c:pt idx="29">
                  <c:v>1.279296743500168E-5</c:v>
                </c:pt>
                <c:pt idx="30">
                  <c:v>2.564331553311981E-5</c:v>
                </c:pt>
                <c:pt idx="31">
                  <c:v>3.348943839489768E-4</c:v>
                </c:pt>
                <c:pt idx="32">
                  <c:v>1.2316127957331768E-3</c:v>
                </c:pt>
                <c:pt idx="33">
                  <c:v>1.4724592870506334E-3</c:v>
                </c:pt>
                <c:pt idx="34">
                  <c:v>7.4057345941922143E-3</c:v>
                </c:pt>
                <c:pt idx="35">
                  <c:v>9.1666723946964637E-3</c:v>
                </c:pt>
                <c:pt idx="36">
                  <c:v>9.0872652726135452E-3</c:v>
                </c:pt>
                <c:pt idx="37">
                  <c:v>1.6916944631677638E-3</c:v>
                </c:pt>
                <c:pt idx="38">
                  <c:v>1.4876721166274037E-3</c:v>
                </c:pt>
                <c:pt idx="39">
                  <c:v>8.0062321591987647E-4</c:v>
                </c:pt>
                <c:pt idx="40">
                  <c:v>1.2117050679052587E-4</c:v>
                </c:pt>
                <c:pt idx="41">
                  <c:v>4.0155725549966649E-5</c:v>
                </c:pt>
                <c:pt idx="42">
                  <c:v>8.1618516008767023E-5</c:v>
                </c:pt>
                <c:pt idx="43">
                  <c:v>8.9534954800551904E-4</c:v>
                </c:pt>
                <c:pt idx="44">
                  <c:v>2.9106165520518751E-3</c:v>
                </c:pt>
                <c:pt idx="45">
                  <c:v>3.7382273003232743E-3</c:v>
                </c:pt>
                <c:pt idx="46">
                  <c:v>1.9487696664334968E-2</c:v>
                </c:pt>
                <c:pt idx="47">
                  <c:v>2.9169210915404049E-2</c:v>
                </c:pt>
                <c:pt idx="48">
                  <c:v>2.2784591024090195E-2</c:v>
                </c:pt>
                <c:pt idx="49">
                  <c:v>6.6672459158594721E-3</c:v>
                </c:pt>
                <c:pt idx="50">
                  <c:v>3.410746436054058E-3</c:v>
                </c:pt>
                <c:pt idx="51">
                  <c:v>1.9310214015113331E-3</c:v>
                </c:pt>
                <c:pt idx="52">
                  <c:v>3.1606223574189935E-4</c:v>
                </c:pt>
                <c:pt idx="53">
                  <c:v>7.0781290410438046E-5</c:v>
                </c:pt>
                <c:pt idx="54">
                  <c:v>1.5952700504377634E-4</c:v>
                </c:pt>
                <c:pt idx="55">
                  <c:v>1.6338955164229333E-3</c:v>
                </c:pt>
                <c:pt idx="56">
                  <c:v>4.8736814701120226E-3</c:v>
                </c:pt>
                <c:pt idx="57">
                  <c:v>7.7642198153511097E-3</c:v>
                </c:pt>
                <c:pt idx="58">
                  <c:v>3.5057422582122251E-2</c:v>
                </c:pt>
                <c:pt idx="59">
                  <c:v>5.3303794185699083E-2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602848"/>
        <c:axId val="476602064"/>
      </c:lineChart>
      <c:dateAx>
        <c:axId val="476602848"/>
        <c:scaling>
          <c:orientation val="minMax"/>
          <c:max val="46722"/>
          <c:min val="44927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602064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47660206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602848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3.2575117522959385E-4</c:v>
                </c:pt>
                <c:pt idx="8">
                  <c:v>1.0466797742767486E-3</c:v>
                </c:pt>
                <c:pt idx="9">
                  <c:v>1.7438575871262518E-3</c:v>
                </c:pt>
                <c:pt idx="10">
                  <c:v>2.4637634995632318E-3</c:v>
                </c:pt>
                <c:pt idx="11">
                  <c:v>3.1599523179199895E-3</c:v>
                </c:pt>
                <c:pt idx="12">
                  <c:v>3.8788369944978696E-3</c:v>
                </c:pt>
                <c:pt idx="13">
                  <c:v>4.5972032376726535E-3</c:v>
                </c:pt>
                <c:pt idx="14">
                  <c:v>5.2456048734155214E-3</c:v>
                </c:pt>
                <c:pt idx="15">
                  <c:v>5.9629854534571924E-3</c:v>
                </c:pt>
                <c:pt idx="16">
                  <c:v>6.6567321357711151E-3</c:v>
                </c:pt>
                <c:pt idx="17">
                  <c:v>7.3730950623106528E-3</c:v>
                </c:pt>
                <c:pt idx="18">
                  <c:v>8.0658576174255092E-3</c:v>
                </c:pt>
                <c:pt idx="19">
                  <c:v>8.7812043340740331E-3</c:v>
                </c:pt>
                <c:pt idx="20">
                  <c:v>9.4960351687671807E-3</c:v>
                </c:pt>
                <c:pt idx="21">
                  <c:v>1.0187316106362698E-2</c:v>
                </c:pt>
                <c:pt idx="22">
                  <c:v>1.0901132904542199E-2</c:v>
                </c:pt>
                <c:pt idx="23">
                  <c:v>1.1591433212766566E-2</c:v>
                </c:pt>
                <c:pt idx="24">
                  <c:v>1.2304237412912644E-2</c:v>
                </c:pt>
                <c:pt idx="25">
                  <c:v>1.3016527564673419E-2</c:v>
                </c:pt>
                <c:pt idx="26">
                  <c:v>1.3659444884234762E-2</c:v>
                </c:pt>
                <c:pt idx="27">
                  <c:v>1.437075770980667E-2</c:v>
                </c:pt>
                <c:pt idx="28">
                  <c:v>1.5058636538083814E-2</c:v>
                </c:pt>
                <c:pt idx="29">
                  <c:v>1.5768940317678948E-2</c:v>
                </c:pt>
                <c:pt idx="30">
                  <c:v>1.6455843342709997E-2</c:v>
                </c:pt>
                <c:pt idx="31">
                  <c:v>1.7165139507729354E-2</c:v>
                </c:pt>
                <c:pt idx="32">
                  <c:v>1.7873924154230392E-2</c:v>
                </c:pt>
                <c:pt idx="33">
                  <c:v>1.8559358093571898E-2</c:v>
                </c:pt>
                <c:pt idx="34">
                  <c:v>1.9267137280491453E-2</c:v>
                </c:pt>
                <c:pt idx="35">
                  <c:v>1.9951598884829336E-2</c:v>
                </c:pt>
                <c:pt idx="36">
                  <c:v>2.0681164748842851E-2</c:v>
                </c:pt>
                <c:pt idx="37">
                  <c:v>2.1387413766208341E-2</c:v>
                </c:pt>
                <c:pt idx="38">
                  <c:v>2.202487832200084E-2</c:v>
                </c:pt>
                <c:pt idx="39">
                  <c:v>2.2730158302157522E-2</c:v>
                </c:pt>
                <c:pt idx="40">
                  <c:v>2.3412203035383605E-2</c:v>
                </c:pt>
                <c:pt idx="41">
                  <c:v>2.411648252756815E-2</c:v>
                </c:pt>
                <c:pt idx="42">
                  <c:v>2.4797559733611751E-2</c:v>
                </c:pt>
                <c:pt idx="43">
                  <c:v>2.550084015708487E-2</c:v>
                </c:pt>
                <c:pt idx="44">
                  <c:v>2.6203613400373027E-2</c:v>
                </c:pt>
                <c:pt idx="45">
                  <c:v>2.6883233980458665E-2</c:v>
                </c:pt>
                <c:pt idx="46">
                  <c:v>2.7585010291752643E-2</c:v>
                </c:pt>
                <c:pt idx="47">
                  <c:v>2.8263666783483021E-2</c:v>
                </c:pt>
                <c:pt idx="48">
                  <c:v>2.8964447576999119E-2</c:v>
                </c:pt>
                <c:pt idx="49">
                  <c:v>2.9664722992972181E-2</c:v>
                </c:pt>
                <c:pt idx="50">
                  <c:v>3.029679574068489E-2</c:v>
                </c:pt>
                <c:pt idx="51">
                  <c:v>3.0996110315767766E-2</c:v>
                </c:pt>
                <c:pt idx="52">
                  <c:v>3.1672386172481581E-2</c:v>
                </c:pt>
                <c:pt idx="53">
                  <c:v>3.2370708721928154E-2</c:v>
                </c:pt>
                <c:pt idx="54">
                  <c:v>3.3046025235005994E-2</c:v>
                </c:pt>
                <c:pt idx="55">
                  <c:v>3.3743357166072463E-2</c:v>
                </c:pt>
                <c:pt idx="56">
                  <c:v>3.444018620678968E-2</c:v>
                </c:pt>
                <c:pt idx="57">
                  <c:v>3.5114058414355553E-2</c:v>
                </c:pt>
                <c:pt idx="58">
                  <c:v>3.5809898955337149E-2</c:v>
                </c:pt>
                <c:pt idx="59">
                  <c:v>3.6482815229008092E-2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3.4189897952745974E-3</c:v>
                </c:pt>
                <c:pt idx="8">
                  <c:v>1.0756383737119145E-2</c:v>
                </c:pt>
                <c:pt idx="9">
                  <c:v>1.7371821925298868E-2</c:v>
                </c:pt>
                <c:pt idx="10">
                  <c:v>2.3462958246344576E-2</c:v>
                </c:pt>
                <c:pt idx="11">
                  <c:v>2.9158127560840942E-2</c:v>
                </c:pt>
                <c:pt idx="12">
                  <c:v>3.5128926070673513E-2</c:v>
                </c:pt>
                <c:pt idx="13">
                  <c:v>4.0971830349538295E-2</c:v>
                </c:pt>
                <c:pt idx="14">
                  <c:v>4.6110561437138112E-2</c:v>
                </c:pt>
                <c:pt idx="15">
                  <c:v>5.1903527051883828E-2</c:v>
                </c:pt>
                <c:pt idx="16">
                  <c:v>5.8267797937282595E-2</c:v>
                </c:pt>
                <c:pt idx="17">
                  <c:v>6.5331546548915889E-2</c:v>
                </c:pt>
                <c:pt idx="18">
                  <c:v>7.1203029508630375E-2</c:v>
                </c:pt>
                <c:pt idx="19">
                  <c:v>7.6324331399736572E-2</c:v>
                </c:pt>
                <c:pt idx="20">
                  <c:v>8.0906201863471278E-2</c:v>
                </c:pt>
                <c:pt idx="21">
                  <c:v>8.4227694786079693E-2</c:v>
                </c:pt>
                <c:pt idx="22">
                  <c:v>8.6259161072034421E-2</c:v>
                </c:pt>
                <c:pt idx="23">
                  <c:v>8.8969034339675901E-2</c:v>
                </c:pt>
                <c:pt idx="24">
                  <c:v>9.2828761255045467E-2</c:v>
                </c:pt>
                <c:pt idx="25">
                  <c:v>9.6672904328102785E-2</c:v>
                </c:pt>
                <c:pt idx="26">
                  <c:v>9.9938483233688119E-2</c:v>
                </c:pt>
                <c:pt idx="27">
                  <c:v>0.10383582940954575</c:v>
                </c:pt>
                <c:pt idx="28">
                  <c:v>0.10901861903854319</c:v>
                </c:pt>
                <c:pt idx="29">
                  <c:v>0.11502807668979881</c:v>
                </c:pt>
                <c:pt idx="30">
                  <c:v>0.11897390534638037</c:v>
                </c:pt>
                <c:pt idx="31">
                  <c:v>0.12147451888925664</c:v>
                </c:pt>
                <c:pt idx="32">
                  <c:v>0.12321060765127292</c:v>
                </c:pt>
                <c:pt idx="33">
                  <c:v>0.12335600168002718</c:v>
                </c:pt>
                <c:pt idx="34">
                  <c:v>0.12172233451022542</c:v>
                </c:pt>
                <c:pt idx="35">
                  <c:v>0.12143416180863721</c:v>
                </c:pt>
                <c:pt idx="36">
                  <c:v>0.12271394373189352</c:v>
                </c:pt>
                <c:pt idx="37">
                  <c:v>0.12412488729317227</c:v>
                </c:pt>
                <c:pt idx="38">
                  <c:v>0.12537954013741442</c:v>
                </c:pt>
                <c:pt idx="39">
                  <c:v>0.12734696899593717</c:v>
                </c:pt>
                <c:pt idx="40">
                  <c:v>3.5574005188122149E-2</c:v>
                </c:pt>
                <c:pt idx="41">
                  <c:v>4.8237169416407197E-2</c:v>
                </c:pt>
                <c:pt idx="42">
                  <c:v>5.9282164585083515E-2</c:v>
                </c:pt>
                <c:pt idx="43">
                  <c:v>6.9256125634324359E-2</c:v>
                </c:pt>
                <c:pt idx="44">
                  <c:v>7.8062348612303489E-2</c:v>
                </c:pt>
                <c:pt idx="45">
                  <c:v>8.4879877424591244E-2</c:v>
                </c:pt>
                <c:pt idx="46">
                  <c:v>8.9866655377535479E-2</c:v>
                </c:pt>
                <c:pt idx="47">
                  <c:v>9.4926540894471556E-2</c:v>
                </c:pt>
                <c:pt idx="48">
                  <c:v>0.1008220361248212</c:v>
                </c:pt>
                <c:pt idx="49">
                  <c:v>0.10645868763948439</c:v>
                </c:pt>
                <c:pt idx="50">
                  <c:v>0.11122467136030018</c:v>
                </c:pt>
                <c:pt idx="51">
                  <c:v>0.11672554791640943</c:v>
                </c:pt>
                <c:pt idx="52">
                  <c:v>0.12357562687984017</c:v>
                </c:pt>
                <c:pt idx="53">
                  <c:v>0.13136084019754093</c:v>
                </c:pt>
                <c:pt idx="54">
                  <c:v>0.13672094826241776</c:v>
                </c:pt>
                <c:pt idx="55">
                  <c:v>0.1403883477044818</c:v>
                </c:pt>
                <c:pt idx="56">
                  <c:v>0.14310562430493071</c:v>
                </c:pt>
                <c:pt idx="57">
                  <c:v>0.14388614668195082</c:v>
                </c:pt>
                <c:pt idx="58">
                  <c:v>2.8079040512977382E-2</c:v>
                </c:pt>
                <c:pt idx="59">
                  <c:v>3.3879077457987038E-2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1.0361640881883173E-5</c:v>
                </c:pt>
                <c:pt idx="1">
                  <c:v>1.3086649634967459E-5</c:v>
                </c:pt>
                <c:pt idx="2">
                  <c:v>3.9477465564825903E-5</c:v>
                </c:pt>
                <c:pt idx="3">
                  <c:v>6.9124199758607561E-5</c:v>
                </c:pt>
                <c:pt idx="4">
                  <c:v>2.4326319694099343E-5</c:v>
                </c:pt>
                <c:pt idx="5">
                  <c:v>1.4069686245575482E-5</c:v>
                </c:pt>
                <c:pt idx="6">
                  <c:v>2.7333522277589277E-5</c:v>
                </c:pt>
                <c:pt idx="7">
                  <c:v>3.537421249664739E-4</c:v>
                </c:pt>
                <c:pt idx="8">
                  <c:v>1.2976483708963796E-3</c:v>
                </c:pt>
                <c:pt idx="9">
                  <c:v>1.55033317401997E-3</c:v>
                </c:pt>
                <c:pt idx="10">
                  <c:v>7.7958006314856679E-3</c:v>
                </c:pt>
                <c:pt idx="11">
                  <c:v>9.6489434142431416E-3</c:v>
                </c:pt>
                <c:pt idx="12">
                  <c:v>9.5647579417170985E-3</c:v>
                </c:pt>
                <c:pt idx="13">
                  <c:v>1.7799980254596273E-3</c:v>
                </c:pt>
                <c:pt idx="14">
                  <c:v>1.5638547398404523E-3</c:v>
                </c:pt>
                <c:pt idx="15">
                  <c:v>8.3910389521809139E-4</c:v>
                </c:pt>
                <c:pt idx="16">
                  <c:v>1.3091045988783078E-4</c:v>
                </c:pt>
                <c:pt idx="17">
                  <c:v>4.1686275701706962E-5</c:v>
                </c:pt>
                <c:pt idx="18">
                  <c:v>8.5108946583405042E-5</c:v>
                </c:pt>
                <c:pt idx="19">
                  <c:v>9.2649782347536546E-4</c:v>
                </c:pt>
                <c:pt idx="20">
                  <c:v>2.9993093966854101E-3</c:v>
                </c:pt>
                <c:pt idx="21">
                  <c:v>3.860203545075434E-3</c:v>
                </c:pt>
                <c:pt idx="22">
                  <c:v>2.0143065492679604E-2</c:v>
                </c:pt>
                <c:pt idx="23">
                  <c:v>3.0292807403181216E-2</c:v>
                </c:pt>
                <c:pt idx="24">
                  <c:v>2.3518353099373571E-2</c:v>
                </c:pt>
                <c:pt idx="25">
                  <c:v>6.9524854819564058E-3</c:v>
                </c:pt>
                <c:pt idx="26">
                  <c:v>3.5108564326854037E-3</c:v>
                </c:pt>
                <c:pt idx="27">
                  <c:v>1.9895912446071104E-3</c:v>
                </c:pt>
                <c:pt idx="28">
                  <c:v>3.2580218883920429E-4</c:v>
                </c:pt>
                <c:pt idx="29">
                  <c:v>7.2311840562178366E-5</c:v>
                </c:pt>
                <c:pt idx="30">
                  <c:v>1.6517933728755528E-4</c:v>
                </c:pt>
                <c:pt idx="31">
                  <c:v>1.6832619158632313E-3</c:v>
                </c:pt>
                <c:pt idx="32">
                  <c:v>4.9884985363915614E-3</c:v>
                </c:pt>
                <c:pt idx="33">
                  <c:v>8.0984807548585159E-3</c:v>
                </c:pt>
                <c:pt idx="34">
                  <c:v>3.6038301617414753E-2</c:v>
                </c:pt>
                <c:pt idx="35">
                  <c:v>5.4645705522001625E-2</c:v>
                </c:pt>
                <c:pt idx="36">
                  <c:v>4.1811029498530293E-2</c:v>
                </c:pt>
                <c:pt idx="37">
                  <c:v>1.5080722669313653E-2</c:v>
                </c:pt>
                <c:pt idx="38">
                  <c:v>5.7639636656399923E-3</c:v>
                </c:pt>
                <c:pt idx="39">
                  <c:v>3.3934078826687443E-3</c:v>
                </c:pt>
                <c:pt idx="40">
                  <c:v>6.1037283531611291E-4</c:v>
                </c:pt>
                <c:pt idx="41">
                  <c:v>1.0930281913663499E-4</c:v>
                </c:pt>
                <c:pt idx="42">
                  <c:v>2.6525079069073849E-4</c:v>
                </c:pt>
                <c:pt idx="43">
                  <c:v>2.538995259820217E-3</c:v>
                </c:pt>
                <c:pt idx="44">
                  <c:v>6.964335172188676E-3</c:v>
                </c:pt>
                <c:pt idx="45">
                  <c:v>1.3838362134667812E-2</c:v>
                </c:pt>
                <c:pt idx="46">
                  <c:v>5.2870968648076035E-2</c:v>
                </c:pt>
                <c:pt idx="47">
                  <c:v>7.7669870879765082E-2</c:v>
                </c:pt>
                <c:pt idx="48">
                  <c:v>6.1618380495417541E-2</c:v>
                </c:pt>
                <c:pt idx="49">
                  <c:v>2.4762657726053315E-2</c:v>
                </c:pt>
                <c:pt idx="50">
                  <c:v>7.9714679151526632E-3</c:v>
                </c:pt>
                <c:pt idx="51">
                  <c:v>4.8172790972299756E-3</c:v>
                </c:pt>
                <c:pt idx="52">
                  <c:v>9.1765115050346203E-4</c:v>
                </c:pt>
                <c:pt idx="53">
                  <c:v>1.5165429996189195E-4</c:v>
                </c:pt>
                <c:pt idx="54">
                  <c:v>3.9791002044960611E-4</c:v>
                </c:pt>
                <c:pt idx="55">
                  <c:v>3.7072226393406954E-3</c:v>
                </c:pt>
                <c:pt idx="56">
                  <c:v>9.3425571564305209E-3</c:v>
                </c:pt>
                <c:pt idx="57">
                  <c:v>2.3443485534676223E-2</c:v>
                </c:pt>
                <c:pt idx="58">
                  <c:v>7.1992684538714158E-2</c:v>
                </c:pt>
                <c:pt idx="59">
                  <c:v>0.11025191355347101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601280"/>
        <c:axId val="476600888"/>
      </c:lineChart>
      <c:dateAx>
        <c:axId val="476601280"/>
        <c:scaling>
          <c:orientation val="minMax"/>
          <c:max val="44896"/>
          <c:min val="43101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600888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47660088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60128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2219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22198" name="Groupe 2"/>
        <xdr:cNvGrpSpPr>
          <a:grpSpLocks/>
        </xdr:cNvGrpSpPr>
      </xdr:nvGrpSpPr>
      <xdr:grpSpPr bwMode="auto">
        <a:xfrm>
          <a:off x="7791450" y="1095375"/>
          <a:ext cx="8743950" cy="4895850"/>
          <a:chOff x="6638925" y="1095374"/>
          <a:chExt cx="8277225" cy="4924425"/>
        </a:xfrm>
      </xdr:grpSpPr>
      <xdr:graphicFrame macro="">
        <xdr:nvGraphicFramePr>
          <xdr:cNvPr id="45822199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9152142" y="1095374"/>
            <a:ext cx="5727585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690980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80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4735080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35081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4738562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38562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4738869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38869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4735797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3579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28575</xdr:colOff>
      <xdr:row>13</xdr:row>
      <xdr:rowOff>190500</xdr:rowOff>
    </xdr:from>
    <xdr:to>
      <xdr:col>32</xdr:col>
      <xdr:colOff>114300</xdr:colOff>
      <xdr:row>44</xdr:row>
      <xdr:rowOff>142875</xdr:rowOff>
    </xdr:to>
    <xdr:grpSp>
      <xdr:nvGrpSpPr>
        <xdr:cNvPr id="42869231" name="Groupe 1"/>
        <xdr:cNvGrpSpPr>
          <a:grpSpLocks/>
        </xdr:cNvGrpSpPr>
      </xdr:nvGrpSpPr>
      <xdr:grpSpPr bwMode="auto">
        <a:xfrm>
          <a:off x="9201150" y="2724150"/>
          <a:ext cx="8639175" cy="5038725"/>
          <a:chOff x="12715662" y="8254361"/>
          <a:chExt cx="8021762" cy="4954782"/>
        </a:xfrm>
      </xdr:grpSpPr>
      <xdr:pic>
        <xdr:nvPicPr>
          <xdr:cNvPr id="42869232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2869233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490854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49085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68</xdr:col>
      <xdr:colOff>647700</xdr:colOff>
      <xdr:row>2</xdr:row>
      <xdr:rowOff>133350</xdr:rowOff>
    </xdr:from>
    <xdr:to>
      <xdr:col>72</xdr:col>
      <xdr:colOff>561975</xdr:colOff>
      <xdr:row>10</xdr:row>
      <xdr:rowOff>142875</xdr:rowOff>
    </xdr:to>
    <xdr:graphicFrame macro="">
      <xdr:nvGraphicFramePr>
        <xdr:cNvPr id="4349085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49085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683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8" cy="1438275"/>
        </a:xfrm>
      </xdr:grpSpPr>
      <xdr:graphicFrame macro="">
        <xdr:nvGraphicFramePr>
          <xdr:cNvPr id="42998687" name="Graphique 1"/>
          <xdr:cNvGraphicFramePr>
            <a:graphicFrameLocks/>
          </xdr:cNvGraphicFramePr>
        </xdr:nvGraphicFramePr>
        <xdr:xfrm>
          <a:off x="9986051" y="3257550"/>
          <a:ext cx="10039147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2998688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25</xdr:col>
      <xdr:colOff>180975</xdr:colOff>
      <xdr:row>23</xdr:row>
      <xdr:rowOff>0</xdr:rowOff>
    </xdr:from>
    <xdr:to>
      <xdr:col>52</xdr:col>
      <xdr:colOff>200025</xdr:colOff>
      <xdr:row>58</xdr:row>
      <xdr:rowOff>39375</xdr:rowOff>
    </xdr:to>
    <xdr:graphicFrame macro="">
      <xdr:nvGraphicFramePr>
        <xdr:cNvPr id="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26</xdr:col>
      <xdr:colOff>154951</xdr:colOff>
      <xdr:row>58</xdr:row>
      <xdr:rowOff>36517</xdr:rowOff>
    </xdr:to>
    <xdr:graphicFrame macro="">
      <xdr:nvGraphicFramePr>
        <xdr:cNvPr id="10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4653987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4653987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390525</xdr:colOff>
      <xdr:row>367</xdr:row>
      <xdr:rowOff>19050</xdr:rowOff>
    </xdr:from>
    <xdr:to>
      <xdr:col>46</xdr:col>
      <xdr:colOff>609600</xdr:colOff>
      <xdr:row>382</xdr:row>
      <xdr:rowOff>76200</xdr:rowOff>
    </xdr:to>
    <xdr:graphicFrame macro="">
      <xdr:nvGraphicFramePr>
        <xdr:cNvPr id="4272672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619125</xdr:colOff>
      <xdr:row>28</xdr:row>
      <xdr:rowOff>47625</xdr:rowOff>
    </xdr:to>
    <xdr:graphicFrame macro="">
      <xdr:nvGraphicFramePr>
        <xdr:cNvPr id="4272672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5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669264</xdr:colOff>
      <xdr:row>27</xdr:row>
      <xdr:rowOff>84142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45</xdr:row>
      <xdr:rowOff>19050</xdr:rowOff>
    </xdr:from>
    <xdr:to>
      <xdr:col>47</xdr:col>
      <xdr:colOff>723900</xdr:colOff>
      <xdr:row>62</xdr:row>
      <xdr:rowOff>114300</xdr:rowOff>
    </xdr:to>
    <xdr:graphicFrame macro="">
      <xdr:nvGraphicFramePr>
        <xdr:cNvPr id="4325405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5405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406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"/>
    </sheetNames>
    <definedNames>
      <definedName name="Inter_net" refersTo="='Gain action'!$M$4"/>
      <definedName name="Inter_tai" refersTo="='Gain action'!$N$4"/>
    </definedNames>
    <sheetDataSet>
      <sheetData sheetId="0"/>
      <sheetData sheetId="1"/>
      <sheetData sheetId="2"/>
      <sheetData sheetId="3">
        <row r="4">
          <cell r="M4">
            <v>2</v>
          </cell>
          <cell r="N4">
            <v>7</v>
          </cell>
        </row>
      </sheetData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</sheetNames>
    <definedNames>
      <definedName name="Inter_net" refersTo="='Gain action'!$M$4"/>
      <definedName name="Inter_tai" refersTo="='Gain action'!$N$4"/>
    </definedNames>
    <sheetDataSet>
      <sheetData sheetId="0">
        <row r="4">
          <cell r="M4">
            <v>1.2374153780807874E-4</v>
          </cell>
          <cell r="N4">
            <v>9.7389982502581092E-6</v>
          </cell>
        </row>
      </sheetData>
      <sheetData sheetId="1">
        <row r="4">
          <cell r="M4">
            <v>0.16773844333462143</v>
          </cell>
          <cell r="N4">
            <v>1.4052753730939343E-2</v>
          </cell>
        </row>
      </sheetData>
      <sheetData sheetId="2">
        <row r="4">
          <cell r="M4">
            <v>1.0422793311830363</v>
          </cell>
          <cell r="N4">
            <v>1.0723286917245025</v>
          </cell>
        </row>
      </sheetData>
      <sheetData sheetId="3">
        <row r="4">
          <cell r="M4">
            <v>2</v>
          </cell>
          <cell r="N4">
            <v>7</v>
          </cell>
        </row>
      </sheetData>
      <sheetData sheetId="4">
        <row r="4">
          <cell r="M4" t="str">
            <v>Gymnase Ayguesviv.</v>
          </cell>
          <cell r="N4" t="str">
            <v>Ecole Montbrun L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AD80"/>
  <sheetViews>
    <sheetView tabSelected="1" workbookViewId="0">
      <pane ySplit="5" topLeftCell="A6" activePane="bottomLeft" state="frozen"/>
      <selection activeCell="B15" sqref="B15:B380"/>
      <selection pane="bottomLeft" activeCell="K8" sqref="K8:L8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40" t="s">
        <v>50</v>
      </c>
      <c r="M1" s="240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215">
        <f>Tmaj</f>
        <v>44926</v>
      </c>
      <c r="D2" s="1215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8.5000000000000006E-3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216" t="str">
        <f>Station</f>
        <v>Crèche Ayguesvives</v>
      </c>
      <c r="D3" s="1217"/>
      <c r="E3" s="1217"/>
      <c r="F3" s="1217"/>
      <c r="G3" s="1217"/>
      <c r="H3" s="1218"/>
      <c r="K3" s="21"/>
      <c r="L3" s="30"/>
      <c r="M3" s="30"/>
      <c r="N3" s="211" t="s">
        <v>165</v>
      </c>
      <c r="O3" s="733">
        <f>Salim_i</f>
        <v>0.21</v>
      </c>
      <c r="P3" s="452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19">
        <f>T0</f>
        <v>43313</v>
      </c>
      <c r="D4" s="1220"/>
      <c r="G4" s="33"/>
      <c r="H4" s="33" t="s">
        <v>341</v>
      </c>
      <c r="I4" s="664">
        <f>Azi_pvG</f>
        <v>68</v>
      </c>
      <c r="J4" s="664"/>
      <c r="K4" s="21"/>
      <c r="L4" s="30"/>
      <c r="M4" s="30"/>
      <c r="N4" s="82" t="s">
        <v>22</v>
      </c>
      <c r="O4" s="160">
        <f>Persistant</f>
        <v>1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213">
        <f>Tservice</f>
        <v>43354</v>
      </c>
      <c r="D5" s="1214"/>
      <c r="E5" s="95"/>
      <c r="G5" s="33"/>
      <c r="H5" s="33" t="s">
        <v>15</v>
      </c>
      <c r="I5" s="665">
        <f>Ram_pv</f>
        <v>0.3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27">
        <f>Pc</f>
        <v>9</v>
      </c>
      <c r="D6" s="563"/>
      <c r="E6" s="132"/>
      <c r="F6" s="564"/>
      <c r="G6" s="564"/>
      <c r="H6" s="565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53"/>
      <c r="B7" s="537"/>
      <c r="C7" s="52"/>
      <c r="D7" s="854"/>
      <c r="E7" s="29"/>
      <c r="F7" s="537"/>
      <c r="G7" s="537"/>
      <c r="H7" s="708"/>
      <c r="I7" s="537"/>
      <c r="J7" s="22" t="s">
        <v>361</v>
      </c>
      <c r="K7" s="1221" t="s">
        <v>362</v>
      </c>
      <c r="L7" s="1222"/>
      <c r="M7" s="1203" t="b">
        <f>IF(K7="début",TRUE,FALSE)</f>
        <v>0</v>
      </c>
      <c r="N7" s="828"/>
      <c r="O7" s="30"/>
      <c r="P7" s="30"/>
      <c r="Q7" s="537"/>
      <c r="R7" s="537"/>
      <c r="S7" s="537"/>
      <c r="T7" s="537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5" t="str">
        <f>"Bilan ICEA "&amp;C3&amp;" (kWh)"</f>
        <v>Bilan ICEA Crèche Ayguesvives (kWh)</v>
      </c>
      <c r="B8" s="132"/>
      <c r="C8" s="133"/>
      <c r="D8" s="566"/>
      <c r="E8" s="563"/>
      <c r="F8" s="132"/>
      <c r="G8" s="132"/>
      <c r="H8" s="62"/>
      <c r="I8" s="132"/>
      <c r="J8" s="22" t="s">
        <v>115</v>
      </c>
      <c r="K8" s="560">
        <f>[3]!Inter_net</f>
        <v>2</v>
      </c>
      <c r="L8" s="561">
        <f>[3]!Inter_tai</f>
        <v>7</v>
      </c>
      <c r="N8" s="15"/>
    </row>
    <row r="9" spans="1:29" ht="15.75" x14ac:dyDescent="0.25">
      <c r="A9" s="29" t="s">
        <v>283</v>
      </c>
      <c r="B9" s="149">
        <f>AVERAGE(B11:B30)</f>
        <v>9147.9667425649932</v>
      </c>
      <c r="C9" s="907">
        <f t="shared" ref="C9:J9" si="0">AVERAGE(C11:C30)</f>
        <v>845.7840148547341</v>
      </c>
      <c r="D9" s="908">
        <f t="shared" si="0"/>
        <v>65.665181088459107</v>
      </c>
      <c r="E9" s="149">
        <f t="shared" si="0"/>
        <v>911.4491959431931</v>
      </c>
      <c r="F9" s="149">
        <f t="shared" si="0"/>
        <v>10059.415938508184</v>
      </c>
      <c r="G9" s="149">
        <f t="shared" si="0"/>
        <v>10486.29321907642</v>
      </c>
      <c r="H9" s="914">
        <f t="shared" si="0"/>
        <v>523.35808491333933</v>
      </c>
      <c r="I9" s="915">
        <f t="shared" si="0"/>
        <v>58.729202165530545</v>
      </c>
      <c r="J9" s="149">
        <f t="shared" si="0"/>
        <v>8548.7748245752173</v>
      </c>
      <c r="K9" s="344" t="s">
        <v>6</v>
      </c>
      <c r="L9" s="21"/>
      <c r="P9" s="15"/>
    </row>
    <row r="10" spans="1:29" s="242" customFormat="1" ht="51" customHeight="1" x14ac:dyDescent="0.25">
      <c r="A10" s="176" t="s">
        <v>52</v>
      </c>
      <c r="B10" s="176" t="s">
        <v>107</v>
      </c>
      <c r="C10" s="334" t="s">
        <v>61</v>
      </c>
      <c r="D10" s="335" t="s">
        <v>98</v>
      </c>
      <c r="E10" s="176" t="s">
        <v>97</v>
      </c>
      <c r="F10" s="176" t="s">
        <v>110</v>
      </c>
      <c r="G10" s="176" t="s">
        <v>109</v>
      </c>
      <c r="H10" s="334" t="s">
        <v>62</v>
      </c>
      <c r="I10" s="335" t="s">
        <v>63</v>
      </c>
      <c r="J10" s="176" t="s">
        <v>108</v>
      </c>
      <c r="K10" s="334" t="s">
        <v>55</v>
      </c>
      <c r="L10" s="335" t="s">
        <v>56</v>
      </c>
      <c r="M10" s="334" t="s">
        <v>277</v>
      </c>
      <c r="N10" s="335" t="s">
        <v>278</v>
      </c>
      <c r="O10" s="100" t="s">
        <v>279</v>
      </c>
      <c r="P10" s="100" t="s">
        <v>280</v>
      </c>
      <c r="Q10" s="100" t="s">
        <v>281</v>
      </c>
      <c r="R10" s="100" t="s">
        <v>282</v>
      </c>
      <c r="S10" s="100"/>
      <c r="T10" s="100"/>
      <c r="U10" s="243"/>
      <c r="V10" s="243"/>
      <c r="W10" s="243"/>
      <c r="X10" s="244"/>
      <c r="Y10" s="241"/>
      <c r="Z10" s="241"/>
      <c r="AA10" s="241"/>
      <c r="AB10" s="241"/>
    </row>
    <row r="11" spans="1:29" s="19" customFormat="1" ht="12.75" x14ac:dyDescent="0.2">
      <c r="A11" s="142">
        <f>'2018'!An</f>
        <v>2018</v>
      </c>
      <c r="B11" s="139">
        <f>'2018'!Prod_an</f>
        <v>1364.6160000000002</v>
      </c>
      <c r="C11" s="143">
        <f>'2018'!Wh_Psa</f>
        <v>30.231542956362031</v>
      </c>
      <c r="D11" s="331">
        <f>'2018'!Wh_Pvg</f>
        <v>4.3641226392145338</v>
      </c>
      <c r="E11" s="139">
        <f t="shared" ref="E11:E16" si="1">C11+D11</f>
        <v>34.595665595576563</v>
      </c>
      <c r="F11" s="139">
        <f t="shared" ref="F11:F16" si="2">B11+E11</f>
        <v>1399.2116655955767</v>
      </c>
      <c r="G11" s="139">
        <f>'2018'!F$9</f>
        <v>1402.4731894538429</v>
      </c>
      <c r="H11" s="145">
        <f>'2018'!Wh_gain_sa</f>
        <v>0</v>
      </c>
      <c r="I11" s="331">
        <f>'2018'!Wh_gain_vg</f>
        <v>0</v>
      </c>
      <c r="J11" s="139">
        <f>'2018'!Prod_an_s</f>
        <v>1364.6160000000002</v>
      </c>
      <c r="K11" s="885" t="str">
        <f>IF('2018'!Acti_net,'2018'!Tnet,"")</f>
        <v/>
      </c>
      <c r="L11" s="886" t="str">
        <f>IF('2018'!Acti_tai,'2018'!Ttai,"")</f>
        <v/>
      </c>
      <c r="M11" s="897">
        <v>0</v>
      </c>
      <c r="N11" s="898">
        <v>0</v>
      </c>
      <c r="O11" s="372">
        <f>+'2018'!$AJ$3</f>
        <v>0</v>
      </c>
      <c r="P11" s="372">
        <f>+'2018'!$AJ$4</f>
        <v>0</v>
      </c>
      <c r="Q11" s="372">
        <f>+'2018'!$AK$3</f>
        <v>0</v>
      </c>
      <c r="R11" s="372">
        <f>+'2018'!$AK$4</f>
        <v>0</v>
      </c>
      <c r="S11" s="891"/>
      <c r="T11" s="891"/>
    </row>
    <row r="12" spans="1:29" s="19" customFormat="1" ht="12.75" x14ac:dyDescent="0.2">
      <c r="A12" s="144">
        <f>'2019'!An</f>
        <v>2019</v>
      </c>
      <c r="B12" s="137">
        <f>'2019'!Prod_an</f>
        <v>10766.592999999999</v>
      </c>
      <c r="C12" s="145">
        <f>'2019'!Wh_Psa</f>
        <v>752.83976071819734</v>
      </c>
      <c r="D12" s="332">
        <f>'2019'!Wh_Pvg</f>
        <v>19.247998604648451</v>
      </c>
      <c r="E12" s="137">
        <f t="shared" si="1"/>
        <v>772.08775932284584</v>
      </c>
      <c r="F12" s="137">
        <f t="shared" si="2"/>
        <v>11538.680759322844</v>
      </c>
      <c r="G12" s="137">
        <f>'2019'!F$9</f>
        <v>11627.851527154764</v>
      </c>
      <c r="H12" s="145">
        <f>'2019'!Wh_gain_sa</f>
        <v>0</v>
      </c>
      <c r="I12" s="332">
        <f>'2019'!Wh_gain_vg</f>
        <v>0</v>
      </c>
      <c r="J12" s="137">
        <f>'2019'!Prod_an_s</f>
        <v>10766.592999999999</v>
      </c>
      <c r="K12" s="887" t="str">
        <f>IF('2019'!Acti_net,'2019'!Tnet,"")</f>
        <v/>
      </c>
      <c r="L12" s="888" t="str">
        <f>IF('2019'!Acti_tai,'2019'!Ttai,"")</f>
        <v/>
      </c>
      <c r="M12" s="899">
        <f>O12+P11+(K11="")*M11</f>
        <v>0</v>
      </c>
      <c r="N12" s="900">
        <f>Q12+R11+(L11="")*N11</f>
        <v>0</v>
      </c>
      <c r="O12" s="372">
        <f>+'2019'!$AJ$3</f>
        <v>0</v>
      </c>
      <c r="P12" s="372">
        <f>+'2019'!$AJ$4</f>
        <v>0</v>
      </c>
      <c r="Q12" s="372">
        <f>+'2019'!$AK$3</f>
        <v>0</v>
      </c>
      <c r="R12" s="372">
        <f>+'2019'!$AK$4</f>
        <v>0</v>
      </c>
      <c r="S12" s="891"/>
      <c r="T12" s="891"/>
    </row>
    <row r="13" spans="1:29" s="19" customFormat="1" ht="12.75" x14ac:dyDescent="0.2">
      <c r="A13" s="144">
        <f>'2020'!An</f>
        <v>2020</v>
      </c>
      <c r="B13" s="137">
        <f>'2020'!Prod_an</f>
        <v>9848.9630000000052</v>
      </c>
      <c r="C13" s="145">
        <f>'2020'!Wh_Psa</f>
        <v>1254.8570700330306</v>
      </c>
      <c r="D13" s="332">
        <f>'2020'!Wh_Pvg</f>
        <v>39.134222916327836</v>
      </c>
      <c r="E13" s="137">
        <f t="shared" si="1"/>
        <v>1293.9912929493585</v>
      </c>
      <c r="F13" s="137">
        <f t="shared" si="2"/>
        <v>11142.954292949364</v>
      </c>
      <c r="G13" s="137">
        <f>'2020'!F$9</f>
        <v>11328.42975204785</v>
      </c>
      <c r="H13" s="145">
        <f>'2020'!Wh_gain_sa</f>
        <v>0</v>
      </c>
      <c r="I13" s="332">
        <f>'2020'!Wh_gain_vg</f>
        <v>0</v>
      </c>
      <c r="J13" s="137">
        <f>'2020'!Prod_an_s</f>
        <v>9848.9630000000052</v>
      </c>
      <c r="K13" s="887" t="str">
        <f>IF('2020'!Acti_net,'2020'!Tnet,"")</f>
        <v/>
      </c>
      <c r="L13" s="888" t="str">
        <f>IF('2020'!Acti_tai,'2020'!Ttai,"")</f>
        <v/>
      </c>
      <c r="M13" s="899">
        <f t="shared" ref="M13:M20" si="3">O13+P12+(K12="")*M12</f>
        <v>0</v>
      </c>
      <c r="N13" s="900">
        <f>Q13+R12+(L12="")*N12</f>
        <v>0</v>
      </c>
      <c r="O13" s="372">
        <f>+'2020'!$AJ$3</f>
        <v>0</v>
      </c>
      <c r="P13" s="372">
        <f>+'2020'!$AJ$4</f>
        <v>0</v>
      </c>
      <c r="Q13" s="372">
        <f>+'2020'!$AK$3</f>
        <v>0</v>
      </c>
      <c r="R13" s="372">
        <f>+'2020'!$AK$4</f>
        <v>0</v>
      </c>
      <c r="S13" s="891"/>
      <c r="T13" s="891"/>
    </row>
    <row r="14" spans="1:29" s="19" customFormat="1" ht="12.75" x14ac:dyDescent="0.2">
      <c r="A14" s="144">
        <f>'2021'!An</f>
        <v>2021</v>
      </c>
      <c r="B14" s="137">
        <f>'2021'!Prod_an</f>
        <v>9878.5520000000051</v>
      </c>
      <c r="C14" s="145">
        <f>'2021'!Wh_Psa</f>
        <v>829.68153110089884</v>
      </c>
      <c r="D14" s="332">
        <f>'2021'!Wh_Pvg</f>
        <v>61.525349808578653</v>
      </c>
      <c r="E14" s="137">
        <f t="shared" si="1"/>
        <v>891.20688090947749</v>
      </c>
      <c r="F14" s="137">
        <f t="shared" si="2"/>
        <v>10769.758880909483</v>
      </c>
      <c r="G14" s="137">
        <f>'2021'!F$9</f>
        <v>11043.908086735075</v>
      </c>
      <c r="H14" s="145">
        <f>'2021'!Wh_gain_sa</f>
        <v>658.58802689882259</v>
      </c>
      <c r="I14" s="332">
        <f>'2021'!Wh_gain_vg</f>
        <v>-4.0991204228131082</v>
      </c>
      <c r="J14" s="137">
        <f>'2021'!Prod_an_s</f>
        <v>9220.3944376780219</v>
      </c>
      <c r="K14" s="887">
        <f>IF('2021'!Acti_net,'2021'!Tnet,"")</f>
        <v>44306</v>
      </c>
      <c r="L14" s="888" t="str">
        <f>IF('2021'!Acti_tai,'2021'!Ttai,"")</f>
        <v/>
      </c>
      <c r="M14" s="899">
        <f t="shared" si="3"/>
        <v>0</v>
      </c>
      <c r="N14" s="900">
        <f>Q14+R13+(L13="")*N13</f>
        <v>0</v>
      </c>
      <c r="O14" s="372">
        <f>+'2021'!$AJ$3</f>
        <v>0</v>
      </c>
      <c r="P14" s="372">
        <f>+'2021'!$AJ$4</f>
        <v>657.9962530811074</v>
      </c>
      <c r="Q14" s="372">
        <f>+'2021'!$AK$3</f>
        <v>0</v>
      </c>
      <c r="R14" s="372">
        <f>+'2021'!$AK$4</f>
        <v>-4.0991204228131082</v>
      </c>
      <c r="S14" s="891"/>
      <c r="T14" s="891"/>
    </row>
    <row r="15" spans="1:29" s="19" customFormat="1" ht="12.75" x14ac:dyDescent="0.2">
      <c r="A15" s="366">
        <f>'2022'!An</f>
        <v>2022</v>
      </c>
      <c r="B15" s="367">
        <f>'2022'!Prod_an</f>
        <v>9761.7630000000063</v>
      </c>
      <c r="C15" s="368">
        <f>'2022'!Wh_Psa</f>
        <v>1332.513927471857</v>
      </c>
      <c r="D15" s="369">
        <f>'2022'!Wh_Pvg</f>
        <v>90.919867244884784</v>
      </c>
      <c r="E15" s="367">
        <f t="shared" si="1"/>
        <v>1423.4337947167417</v>
      </c>
      <c r="F15" s="367">
        <f t="shared" si="2"/>
        <v>11185.196794716749</v>
      </c>
      <c r="G15" s="367">
        <f>'2022'!F$9</f>
        <v>11570.889551766088</v>
      </c>
      <c r="H15" s="368">
        <f>'2022'!Wh_gain_sa</f>
        <v>452.26827703952813</v>
      </c>
      <c r="I15" s="369">
        <f>'2022'!Wh_gain_vg</f>
        <v>-4.2493365285623383</v>
      </c>
      <c r="J15" s="367">
        <f>'2022'!Prod_an_s</f>
        <v>9305.5259051157518</v>
      </c>
      <c r="K15" s="889">
        <f>IF('2022'!Acti_net,'2022'!Tnet,"")</f>
        <v>44854</v>
      </c>
      <c r="L15" s="890" t="str">
        <f>IF('2022'!Acti_tai,'2022'!Ttai,"")</f>
        <v/>
      </c>
      <c r="M15" s="901">
        <f t="shared" si="3"/>
        <v>1004.8397043752391</v>
      </c>
      <c r="N15" s="902">
        <f t="shared" ref="N15:N20" si="4">Q15+R14+(L14="")*N14</f>
        <v>-4.0991204228131082</v>
      </c>
      <c r="O15" s="372">
        <f>+'2022'!$AJ$3</f>
        <v>346.84345129413168</v>
      </c>
      <c r="P15" s="372">
        <f>+'2022'!$AJ$4</f>
        <v>105.09892350111284</v>
      </c>
      <c r="Q15" s="372">
        <f>+'2022'!$AK$3</f>
        <v>0</v>
      </c>
      <c r="R15" s="372">
        <f>+'2022'!$AK$4</f>
        <v>-4.2153874441492576</v>
      </c>
      <c r="S15" s="891"/>
      <c r="T15" s="891"/>
    </row>
    <row r="16" spans="1:29" s="19" customFormat="1" ht="12.75" x14ac:dyDescent="0.2">
      <c r="A16" s="364">
        <f>'2023'!An</f>
        <v>2023</v>
      </c>
      <c r="B16" s="365">
        <f>'2023'!Prod_an</f>
        <v>10157.517921997873</v>
      </c>
      <c r="C16" s="145">
        <f>'2023'!Wh_Psa</f>
        <v>783.43436576866236</v>
      </c>
      <c r="D16" s="332">
        <f>'2023'!Wh_Pvg</f>
        <v>129.15685783639898</v>
      </c>
      <c r="E16" s="365">
        <f t="shared" si="1"/>
        <v>912.59122360506137</v>
      </c>
      <c r="F16" s="365">
        <f t="shared" si="2"/>
        <v>11070.109145602933</v>
      </c>
      <c r="G16" s="365">
        <f>'2023'!F$9</f>
        <v>11550.914452471736</v>
      </c>
      <c r="H16" s="145">
        <f>'2023'!Wh_gain_sa</f>
        <v>1005.0368561613833</v>
      </c>
      <c r="I16" s="332">
        <f>'2023'!Wh_gain_vg</f>
        <v>-12.781077411353209</v>
      </c>
      <c r="J16" s="365">
        <f>'2023'!Prod_an_s</f>
        <v>9152.3523810963707</v>
      </c>
      <c r="K16" s="887" t="str">
        <f>IF('2023'!Acti_net,'2023'!Tnet,"")</f>
        <v/>
      </c>
      <c r="L16" s="888" t="str">
        <f>IF('2023'!Acti_tai,'2023'!Ttai,"")</f>
        <v/>
      </c>
      <c r="M16" s="899">
        <f t="shared" si="3"/>
        <v>105.09892350111284</v>
      </c>
      <c r="N16" s="900">
        <f t="shared" si="4"/>
        <v>-8.3145078669623658</v>
      </c>
      <c r="O16" s="372">
        <f>+'2023'!$AJ$3</f>
        <v>0</v>
      </c>
      <c r="P16" s="372">
        <f>+'2023'!$AJ$4</f>
        <v>1005.0368561613833</v>
      </c>
      <c r="Q16" s="372">
        <f>+'2023'!$AK$3</f>
        <v>0</v>
      </c>
      <c r="R16" s="372">
        <f>+'2023'!$AK$4</f>
        <v>-12.781077411353209</v>
      </c>
      <c r="S16" s="891"/>
      <c r="T16" s="891"/>
    </row>
    <row r="17" spans="1:30" s="19" customFormat="1" ht="12.75" x14ac:dyDescent="0.2">
      <c r="A17" s="364">
        <f>'2024'!An</f>
        <v>2024</v>
      </c>
      <c r="B17" s="365">
        <f>'2024'!Prod_an</f>
        <v>10147.229242313544</v>
      </c>
      <c r="C17" s="145">
        <f>'2024'!Wh_Psa</f>
        <v>641.83461473031821</v>
      </c>
      <c r="D17" s="332">
        <f>'2024'!Wh_Pvg</f>
        <v>173.13847877616277</v>
      </c>
      <c r="E17" s="365">
        <f>C17+D17</f>
        <v>814.97309350648095</v>
      </c>
      <c r="F17" s="365">
        <f>B17+E17</f>
        <v>10962.202335820026</v>
      </c>
      <c r="G17" s="365">
        <f>'2024'!F$9</f>
        <v>11537.714274785152</v>
      </c>
      <c r="H17" s="145">
        <f>'2024'!Wh_gain_sa</f>
        <v>876.32221398759475</v>
      </c>
      <c r="I17" s="332">
        <f>'2024'!Wh_gain_vg</f>
        <v>-14.951481506683763</v>
      </c>
      <c r="J17" s="365">
        <f>'2024'!Prod_an_s</f>
        <v>9270.9589213950294</v>
      </c>
      <c r="K17" s="887">
        <f>IF('2024'!Acti_net,'2024'!Tnet,"")</f>
        <v>45412</v>
      </c>
      <c r="L17" s="888" t="str">
        <f>IF('2024'!Acti_tai,'2024'!Ttai,"")</f>
        <v/>
      </c>
      <c r="M17" s="899">
        <f t="shared" si="3"/>
        <v>1296.8641552331287</v>
      </c>
      <c r="N17" s="900">
        <f t="shared" si="4"/>
        <v>-21.095585278315575</v>
      </c>
      <c r="O17" s="372">
        <f>+'2024'!$AJ$3</f>
        <v>186.72837557063269</v>
      </c>
      <c r="P17" s="372">
        <f>+'2024'!$AJ$4</f>
        <v>689.48106533364478</v>
      </c>
      <c r="Q17" s="372">
        <f>+'2024'!$AK$3</f>
        <v>0</v>
      </c>
      <c r="R17" s="372">
        <f>+'2024'!$AK$4</f>
        <v>-14.951481506683763</v>
      </c>
      <c r="S17" s="891"/>
      <c r="T17" s="891"/>
    </row>
    <row r="18" spans="1:30" s="19" customFormat="1" ht="12.75" x14ac:dyDescent="0.2">
      <c r="A18" s="364">
        <f>'2025'!An</f>
        <v>2025</v>
      </c>
      <c r="B18" s="365">
        <f>'2025'!Prod_an</f>
        <v>9760.6319481704359</v>
      </c>
      <c r="C18" s="145">
        <f>'2025'!Wh_Psa</f>
        <v>1073.1270213794428</v>
      </c>
      <c r="D18" s="332">
        <f>'2025'!Wh_Pvg</f>
        <v>81.625800353609833</v>
      </c>
      <c r="E18" s="365">
        <f>C18+D18</f>
        <v>1154.7528217330525</v>
      </c>
      <c r="F18" s="365">
        <f>B18+E18</f>
        <v>10915.384769903489</v>
      </c>
      <c r="G18" s="365">
        <f>'2025'!F$9</f>
        <v>11584.606679437555</v>
      </c>
      <c r="H18" s="145">
        <f>'2025'!Wh_gain_sa</f>
        <v>618.37495722786957</v>
      </c>
      <c r="I18" s="332">
        <f>'2025'!Wh_gain_vg</f>
        <v>121.43259291448197</v>
      </c>
      <c r="J18" s="365">
        <f>'2025'!Prod_an_s</f>
        <v>8991.9266209232428</v>
      </c>
      <c r="K18" s="887" t="str">
        <f>IF('2025'!Acti_net,'2025'!Tnet,"")</f>
        <v/>
      </c>
      <c r="L18" s="888">
        <f>IF('2025'!Acti_tai,'2025'!Ttai,"")</f>
        <v>45747</v>
      </c>
      <c r="M18" s="899">
        <f t="shared" si="3"/>
        <v>689.48106533364478</v>
      </c>
      <c r="N18" s="900">
        <f t="shared" si="4"/>
        <v>-41.614502352036858</v>
      </c>
      <c r="O18" s="372">
        <f>+'2025'!$AJ$3</f>
        <v>0</v>
      </c>
      <c r="P18" s="372">
        <f>+'2025'!$AJ$4</f>
        <v>618.37495722786957</v>
      </c>
      <c r="Q18" s="372">
        <f>+'2025'!$AK$3</f>
        <v>-5.5674355670375206</v>
      </c>
      <c r="R18" s="372">
        <f>+'2025'!$AK$4</f>
        <v>125.95563161785431</v>
      </c>
      <c r="S18" s="891"/>
      <c r="T18" s="891"/>
    </row>
    <row r="19" spans="1:30" s="19" customFormat="1" ht="12.75" x14ac:dyDescent="0.2">
      <c r="A19" s="364">
        <f>'2026'!An</f>
        <v>2026</v>
      </c>
      <c r="B19" s="365">
        <f>'2026'!Prod_an</f>
        <v>10137.058085113817</v>
      </c>
      <c r="C19" s="145">
        <f>'2026'!Wh_Psa</f>
        <v>701.05621578851992</v>
      </c>
      <c r="D19" s="332">
        <f>'2026'!Wh_Pvg</f>
        <v>19.562186154156937</v>
      </c>
      <c r="E19" s="365">
        <f>C19+D19</f>
        <v>720.61840194267688</v>
      </c>
      <c r="F19" s="365">
        <f>B19+E19</f>
        <v>10857.676487056493</v>
      </c>
      <c r="G19" s="365">
        <f>'2026'!F$9</f>
        <v>11613.909421543274</v>
      </c>
      <c r="H19" s="145">
        <f>'2026'!Wh_gain_sa</f>
        <v>910.13454961487855</v>
      </c>
      <c r="I19" s="332">
        <f>'2026'!Wh_gain_vg</f>
        <v>236.8267189239024</v>
      </c>
      <c r="J19" s="365">
        <f>'2026'!Prod_an_s</f>
        <v>8945.7495102577668</v>
      </c>
      <c r="K19" s="887">
        <f>IF('2026'!Acti_net,'2026'!Tnet,"")</f>
        <v>46142</v>
      </c>
      <c r="L19" s="888" t="str">
        <f>IF('2026'!Acti_tai,'2026'!Ttai,"")</f>
        <v/>
      </c>
      <c r="M19" s="899">
        <f t="shared" si="3"/>
        <v>1409.6677960548327</v>
      </c>
      <c r="N19" s="900">
        <f t="shared" si="4"/>
        <v>125.95563161785431</v>
      </c>
      <c r="O19" s="372">
        <f>+'2026'!$AJ$3</f>
        <v>101.81177349331824</v>
      </c>
      <c r="P19" s="372">
        <f>+'2026'!$AJ$4</f>
        <v>807.8852669901853</v>
      </c>
      <c r="Q19" s="372">
        <f>+'2026'!$AK$3</f>
        <v>0</v>
      </c>
      <c r="R19" s="372">
        <f>+'2026'!$AK$4</f>
        <v>236.8267189239024</v>
      </c>
      <c r="S19" s="891"/>
      <c r="T19" s="891"/>
    </row>
    <row r="20" spans="1:30" s="19" customFormat="1" ht="12.75" x14ac:dyDescent="0.2">
      <c r="A20" s="364">
        <f>'2027'!An</f>
        <v>2027</v>
      </c>
      <c r="B20" s="365">
        <f>'2027'!Prod_an</f>
        <v>9656.7432280542216</v>
      </c>
      <c r="C20" s="145">
        <f>'2027'!Wh_Psa</f>
        <v>1058.2640986000511</v>
      </c>
      <c r="D20" s="332">
        <f>'2027'!Wh_Pvg</f>
        <v>37.976926550608241</v>
      </c>
      <c r="E20" s="365">
        <f>C20+D20</f>
        <v>1096.2410251506592</v>
      </c>
      <c r="F20" s="365">
        <f>B20+E20</f>
        <v>10752.984253204881</v>
      </c>
      <c r="G20" s="365">
        <f>'2027'!F$9</f>
        <v>11602.235255368863</v>
      </c>
      <c r="H20" s="145">
        <f>'2027'!Wh_gain_sa</f>
        <v>712.85596820331557</v>
      </c>
      <c r="I20" s="332">
        <f>'2027'!Wh_gain_vg</f>
        <v>265.11372568633357</v>
      </c>
      <c r="J20" s="365">
        <f>'2027'!Prod_an_s</f>
        <v>8620.6684692859799</v>
      </c>
      <c r="K20" s="887" t="str">
        <f>IF('2027'!Acti_net,'2027'!Tnet,"")</f>
        <v/>
      </c>
      <c r="L20" s="888" t="str">
        <f>IF('2027'!Acti_tai,'2027'!Ttai,"")</f>
        <v/>
      </c>
      <c r="M20" s="899">
        <f t="shared" si="3"/>
        <v>807.8852669901853</v>
      </c>
      <c r="N20" s="900">
        <f t="shared" si="4"/>
        <v>362.78235054175673</v>
      </c>
      <c r="O20" s="372">
        <f>+'2027'!$AJ$3</f>
        <v>0</v>
      </c>
      <c r="P20" s="372">
        <f>+'2027'!$AJ$4</f>
        <v>712.85596820331557</v>
      </c>
      <c r="Q20" s="372">
        <f>+'2027'!$AK$3</f>
        <v>0</v>
      </c>
      <c r="R20" s="372">
        <f>+'2027'!$AK$4</f>
        <v>265.11372568633357</v>
      </c>
      <c r="S20" s="891"/>
      <c r="T20" s="891"/>
    </row>
    <row r="21" spans="1:30" s="19" customFormat="1" ht="12.75" x14ac:dyDescent="0.2">
      <c r="A21" s="726"/>
      <c r="B21" s="727"/>
      <c r="C21" s="728"/>
      <c r="D21" s="725"/>
      <c r="E21" s="727"/>
      <c r="F21" s="727"/>
      <c r="G21" s="727"/>
      <c r="H21" s="728"/>
      <c r="I21" s="725"/>
      <c r="J21" s="727"/>
      <c r="K21" s="903"/>
      <c r="L21" s="904"/>
      <c r="M21" s="893"/>
      <c r="N21" s="894"/>
      <c r="O21" s="10"/>
      <c r="P21" s="10"/>
      <c r="Q21" s="10"/>
      <c r="R21" s="10"/>
      <c r="S21" s="891"/>
      <c r="T21" s="891"/>
    </row>
    <row r="22" spans="1:30" s="19" customFormat="1" ht="12.75" x14ac:dyDescent="0.2">
      <c r="A22" s="726"/>
      <c r="B22" s="727"/>
      <c r="C22" s="728"/>
      <c r="D22" s="725"/>
      <c r="E22" s="727"/>
      <c r="F22" s="727"/>
      <c r="G22" s="727"/>
      <c r="H22" s="728"/>
      <c r="I22" s="725"/>
      <c r="J22" s="727"/>
      <c r="K22" s="903"/>
      <c r="L22" s="904"/>
      <c r="M22" s="893"/>
      <c r="N22" s="894"/>
      <c r="O22" s="10"/>
      <c r="P22" s="892"/>
      <c r="Q22" s="10"/>
      <c r="R22" s="892"/>
      <c r="S22" s="891"/>
      <c r="T22" s="891"/>
    </row>
    <row r="23" spans="1:30" s="19" customFormat="1" ht="12.75" x14ac:dyDescent="0.2">
      <c r="A23" s="726"/>
      <c r="B23" s="727"/>
      <c r="C23" s="728"/>
      <c r="D23" s="725"/>
      <c r="E23" s="727"/>
      <c r="F23" s="727"/>
      <c r="G23" s="727"/>
      <c r="H23" s="728"/>
      <c r="I23" s="725"/>
      <c r="J23" s="727"/>
      <c r="K23" s="903"/>
      <c r="L23" s="904"/>
      <c r="M23" s="893"/>
      <c r="N23" s="894"/>
      <c r="O23" s="10"/>
      <c r="P23" s="892"/>
      <c r="Q23" s="10"/>
      <c r="S23" s="891"/>
      <c r="T23" s="891"/>
    </row>
    <row r="24" spans="1:30" s="19" customFormat="1" ht="12.75" x14ac:dyDescent="0.2">
      <c r="A24" s="726"/>
      <c r="B24" s="727"/>
      <c r="C24" s="728"/>
      <c r="D24" s="725"/>
      <c r="E24" s="727"/>
      <c r="F24" s="727"/>
      <c r="G24" s="727"/>
      <c r="H24" s="728"/>
      <c r="I24" s="725"/>
      <c r="J24" s="727"/>
      <c r="K24" s="903"/>
      <c r="L24" s="904"/>
      <c r="M24" s="893"/>
      <c r="N24" s="894"/>
      <c r="O24" s="10"/>
      <c r="P24" s="892"/>
      <c r="Q24" s="10"/>
      <c r="R24" s="892"/>
      <c r="S24" s="891"/>
      <c r="T24" s="891"/>
    </row>
    <row r="25" spans="1:30" s="19" customFormat="1" ht="12.75" x14ac:dyDescent="0.2">
      <c r="A25" s="726"/>
      <c r="B25" s="727"/>
      <c r="C25" s="728"/>
      <c r="D25" s="725"/>
      <c r="E25" s="727"/>
      <c r="F25" s="727"/>
      <c r="G25" s="727"/>
      <c r="H25" s="728"/>
      <c r="I25" s="725"/>
      <c r="J25" s="727"/>
      <c r="K25" s="903"/>
      <c r="L25" s="904"/>
      <c r="M25" s="893"/>
      <c r="N25" s="894"/>
      <c r="O25" s="10"/>
      <c r="P25" s="892"/>
      <c r="Q25" s="10"/>
      <c r="R25" s="892"/>
      <c r="S25" s="891"/>
      <c r="T25" s="891"/>
    </row>
    <row r="26" spans="1:30" s="19" customFormat="1" ht="12.75" x14ac:dyDescent="0.2">
      <c r="A26" s="726"/>
      <c r="B26" s="727"/>
      <c r="C26" s="728"/>
      <c r="D26" s="725"/>
      <c r="E26" s="727"/>
      <c r="F26" s="727"/>
      <c r="G26" s="727"/>
      <c r="H26" s="728"/>
      <c r="I26" s="725"/>
      <c r="J26" s="727"/>
      <c r="K26" s="903"/>
      <c r="L26" s="904"/>
      <c r="M26" s="893"/>
      <c r="N26" s="894"/>
      <c r="O26" s="10"/>
      <c r="P26" s="892"/>
      <c r="Q26" s="10"/>
      <c r="R26" s="892"/>
      <c r="S26" s="891"/>
      <c r="T26" s="891"/>
    </row>
    <row r="27" spans="1:30" s="19" customFormat="1" ht="12.75" x14ac:dyDescent="0.2">
      <c r="A27" s="726"/>
      <c r="B27" s="727"/>
      <c r="C27" s="728"/>
      <c r="D27" s="725"/>
      <c r="E27" s="727"/>
      <c r="F27" s="727"/>
      <c r="G27" s="727"/>
      <c r="H27" s="728"/>
      <c r="I27" s="725"/>
      <c r="J27" s="727"/>
      <c r="K27" s="903"/>
      <c r="L27" s="904"/>
      <c r="M27" s="893"/>
      <c r="N27" s="894"/>
      <c r="O27" s="10"/>
      <c r="P27" s="892"/>
      <c r="Q27" s="10"/>
      <c r="R27" s="892"/>
      <c r="S27" s="891"/>
      <c r="T27" s="891"/>
    </row>
    <row r="28" spans="1:30" s="19" customFormat="1" ht="12.75" x14ac:dyDescent="0.2">
      <c r="A28" s="726"/>
      <c r="B28" s="727"/>
      <c r="C28" s="728"/>
      <c r="D28" s="725"/>
      <c r="E28" s="727"/>
      <c r="F28" s="727"/>
      <c r="G28" s="727"/>
      <c r="H28" s="728"/>
      <c r="I28" s="725"/>
      <c r="J28" s="727"/>
      <c r="K28" s="903"/>
      <c r="L28" s="904"/>
      <c r="M28" s="893"/>
      <c r="N28" s="894"/>
      <c r="O28" s="10"/>
      <c r="P28" s="10"/>
      <c r="Q28" s="10"/>
      <c r="R28" s="10"/>
      <c r="S28" s="891"/>
      <c r="T28" s="891"/>
    </row>
    <row r="29" spans="1:30" s="19" customFormat="1" ht="12.75" x14ac:dyDescent="0.2">
      <c r="A29" s="726"/>
      <c r="B29" s="727"/>
      <c r="C29" s="728"/>
      <c r="D29" s="725"/>
      <c r="E29" s="727"/>
      <c r="F29" s="727"/>
      <c r="G29" s="727"/>
      <c r="H29" s="728"/>
      <c r="I29" s="725"/>
      <c r="J29" s="727"/>
      <c r="K29" s="903"/>
      <c r="L29" s="904"/>
      <c r="M29" s="893"/>
      <c r="N29" s="894"/>
      <c r="O29" s="10"/>
      <c r="P29" s="10"/>
      <c r="Q29" s="10"/>
      <c r="R29" s="10"/>
      <c r="S29" s="891"/>
      <c r="T29" s="891"/>
    </row>
    <row r="30" spans="1:30" s="19" customFormat="1" ht="12.75" x14ac:dyDescent="0.2">
      <c r="A30" s="729"/>
      <c r="B30" s="730"/>
      <c r="C30" s="731"/>
      <c r="D30" s="732"/>
      <c r="E30" s="730"/>
      <c r="F30" s="730"/>
      <c r="G30" s="730"/>
      <c r="H30" s="731"/>
      <c r="I30" s="732"/>
      <c r="J30" s="730"/>
      <c r="K30" s="905"/>
      <c r="L30" s="906"/>
      <c r="M30" s="895"/>
      <c r="N30" s="896"/>
      <c r="O30" s="10"/>
      <c r="P30" s="10"/>
      <c r="Q30" s="10"/>
      <c r="R30" s="10"/>
      <c r="S30" s="891"/>
      <c r="T30" s="891"/>
      <c r="AD30" s="30"/>
    </row>
    <row r="31" spans="1:30" s="4" customFormat="1" x14ac:dyDescent="0.25">
      <c r="A31" s="909" t="s">
        <v>357</v>
      </c>
      <c r="B31" s="910">
        <f>SUM(B11:B15)/1000</f>
        <v>41.620487000000018</v>
      </c>
      <c r="C31" s="911">
        <f t="shared" ref="C31:J31" si="5">SUM(C11:C15)/1000</f>
        <v>4.2001238322803456</v>
      </c>
      <c r="D31" s="912">
        <f t="shared" si="5"/>
        <v>0.21519156121365426</v>
      </c>
      <c r="E31" s="910">
        <f t="shared" si="5"/>
        <v>4.4153153934939997</v>
      </c>
      <c r="F31" s="910">
        <f t="shared" si="5"/>
        <v>46.035802393494016</v>
      </c>
      <c r="G31" s="910">
        <f t="shared" si="5"/>
        <v>46.973552107157623</v>
      </c>
      <c r="H31" s="911">
        <f t="shared" si="5"/>
        <v>1.1108563039383508</v>
      </c>
      <c r="I31" s="912">
        <f t="shared" si="5"/>
        <v>-8.3484569513754461E-3</v>
      </c>
      <c r="J31" s="910">
        <f t="shared" si="5"/>
        <v>40.506092342793778</v>
      </c>
      <c r="K31" s="1199" t="s">
        <v>10</v>
      </c>
      <c r="L31" s="3"/>
      <c r="M31" s="1200" t="s">
        <v>358</v>
      </c>
      <c r="N31" s="1200" t="s">
        <v>359</v>
      </c>
      <c r="O31" s="1200" t="s">
        <v>359</v>
      </c>
      <c r="P31" s="3"/>
      <c r="Q31" s="3"/>
      <c r="R31" s="77"/>
      <c r="S31" s="134"/>
      <c r="T31" s="77"/>
      <c r="U31" s="77"/>
      <c r="V31" s="77"/>
      <c r="W31" s="77"/>
      <c r="X31" s="913"/>
      <c r="Y31" s="3"/>
      <c r="Z31" s="3"/>
      <c r="AA31" s="3"/>
      <c r="AB31" s="3"/>
    </row>
    <row r="32" spans="1:30" ht="15.75" x14ac:dyDescent="0.25">
      <c r="A32" s="1204" t="s">
        <v>363</v>
      </c>
      <c r="B32" s="1205">
        <f>IF(K16&lt;&gt;"",B15-H16-C16+C15-D16+D15,B16)</f>
        <v>10157.517921997873</v>
      </c>
      <c r="J32" s="358" t="s">
        <v>257</v>
      </c>
      <c r="K32" s="68">
        <f>[1]!Inter_net</f>
        <v>2</v>
      </c>
      <c r="L32" s="68">
        <f>[1]!Inter_tai</f>
        <v>7</v>
      </c>
      <c r="M32" s="1201">
        <f>Inter_net</f>
        <v>2</v>
      </c>
      <c r="N32" s="1201">
        <f>CHOOSE(Inter_net,N33,N34,N35,N36)</f>
        <v>832.8645423455738</v>
      </c>
      <c r="O32" s="1206">
        <f>CHOOSE(Inter_net,O33,O34,O35,O36)</f>
        <v>8.1994887800479352E-2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283</v>
      </c>
      <c r="B33" s="1145">
        <f t="shared" ref="B33:J33" si="6">AVERAGE(B35:B54)</f>
        <v>4.0637592177166768E-2</v>
      </c>
      <c r="C33" s="1146">
        <f t="shared" si="6"/>
        <v>8.5210160061336415E-2</v>
      </c>
      <c r="D33" s="1147">
        <f t="shared" si="6"/>
        <v>6.7914861270904972E-2</v>
      </c>
      <c r="E33" s="1145">
        <f t="shared" si="6"/>
        <v>3.868211660285531E-2</v>
      </c>
      <c r="F33" s="1146">
        <f t="shared" si="6"/>
        <v>8.350104393937452E-2</v>
      </c>
      <c r="G33" s="1147">
        <f t="shared" si="6"/>
        <v>6.0449498052764696E-3</v>
      </c>
      <c r="H33" s="1148">
        <f t="shared" si="6"/>
        <v>5.4859241471692875E-2</v>
      </c>
      <c r="I33" s="1149">
        <f t="shared" si="6"/>
        <v>5.2165938185628593E-3</v>
      </c>
      <c r="J33" s="1150">
        <f t="shared" si="6"/>
        <v>0.11869715523552475</v>
      </c>
      <c r="K33" s="344"/>
      <c r="L33" s="21"/>
      <c r="M33" s="372">
        <v>1</v>
      </c>
      <c r="N33" s="1207">
        <f>O33*$B$32</f>
        <v>832.8645423455738</v>
      </c>
      <c r="O33" s="1208">
        <f>AVERAGE(H19:H20)/AVERAGE(B19:B20)</f>
        <v>8.1994887800479352E-2</v>
      </c>
      <c r="P33" s="15"/>
    </row>
    <row r="34" spans="1:28" s="242" customFormat="1" ht="41.25" customHeight="1" x14ac:dyDescent="0.2">
      <c r="A34" s="176" t="s">
        <v>52</v>
      </c>
      <c r="B34" s="1151" t="s">
        <v>343</v>
      </c>
      <c r="C34" s="1152" t="s">
        <v>344</v>
      </c>
      <c r="D34" s="1153" t="s">
        <v>345</v>
      </c>
      <c r="E34" s="1151" t="s">
        <v>346</v>
      </c>
      <c r="F34" s="334" t="s">
        <v>347</v>
      </c>
      <c r="G34" s="335" t="s">
        <v>348</v>
      </c>
      <c r="H34" s="334" t="s">
        <v>349</v>
      </c>
      <c r="I34" s="335" t="s">
        <v>350</v>
      </c>
      <c r="J34" s="176" t="s">
        <v>351</v>
      </c>
      <c r="K34" s="334" t="s">
        <v>352</v>
      </c>
      <c r="L34" s="334" t="s">
        <v>353</v>
      </c>
      <c r="M34" s="372">
        <v>2</v>
      </c>
      <c r="N34" s="1209">
        <f>O34*$B$32</f>
        <v>832.8645423455738</v>
      </c>
      <c r="O34" s="1210">
        <f>AVERAGE(H19:H20)/AVERAGE(B19:B20)</f>
        <v>8.1994887800479352E-2</v>
      </c>
      <c r="P34" s="100"/>
      <c r="Q34" s="100"/>
      <c r="R34" s="100"/>
      <c r="S34" s="100"/>
      <c r="T34" s="100"/>
      <c r="U34" s="243"/>
      <c r="V34" s="243"/>
      <c r="W34" s="243"/>
      <c r="X34" s="244"/>
      <c r="Y34" s="241"/>
      <c r="Z34" s="241"/>
      <c r="AA34" s="241"/>
      <c r="AB34" s="241"/>
    </row>
    <row r="35" spans="1:28" s="19" customFormat="1" ht="12.75" x14ac:dyDescent="0.2">
      <c r="A35" s="142">
        <f>A11</f>
        <v>2018</v>
      </c>
      <c r="B35" s="1154">
        <f>'2018'!L$379</f>
        <v>3.5310543301907416E-3</v>
      </c>
      <c r="C35" s="1155">
        <f>'2018'!O$379</f>
        <v>3.2250338200212551E-2</v>
      </c>
      <c r="D35" s="1156">
        <f>'2018'!P$379</f>
        <v>9.51855933062613E-3</v>
      </c>
      <c r="E35" s="1154">
        <f>'2018'!Wh_Ppv/Recap!B11</f>
        <v>2.2617185136911489E-3</v>
      </c>
      <c r="F35" s="1155">
        <f>'2018'!Wh_Psa/'2018'!D$9</f>
        <v>2.2103890041251059E-2</v>
      </c>
      <c r="G35" s="1156">
        <f>'2018'!Wh_Pvg/'2018'!E$9</f>
        <v>3.1216848880448013E-3</v>
      </c>
      <c r="H35" s="1157">
        <f>H11/'2018'!Z$9</f>
        <v>0</v>
      </c>
      <c r="I35" s="1158">
        <f>I11/'2018'!AA$9</f>
        <v>0</v>
      </c>
      <c r="J35" s="1159">
        <f>1-B11/G11</f>
        <v>2.6993164460124341E-2</v>
      </c>
      <c r="K35" s="885" t="str">
        <f>K11</f>
        <v/>
      </c>
      <c r="L35" s="1160">
        <f>(K35&lt;&gt;"")*('2018'!O$383-'2018'!O$381)</f>
        <v>0</v>
      </c>
      <c r="M35" s="372">
        <v>3</v>
      </c>
      <c r="N35" s="1209">
        <f>O35*$B$32</f>
        <v>770.33146875835564</v>
      </c>
      <c r="O35" s="1210">
        <f>AVERAGE(H18:H20)/AVERAGE(B18:B20)</f>
        <v>7.5838553736643555E-2</v>
      </c>
      <c r="P35" s="372"/>
      <c r="Q35" s="372"/>
      <c r="R35" s="372"/>
      <c r="S35" s="891"/>
      <c r="T35" s="891"/>
    </row>
    <row r="36" spans="1:28" s="19" customFormat="1" ht="12.75" x14ac:dyDescent="0.2">
      <c r="A36" s="144">
        <f t="shared" ref="A36:A44" si="7">A12</f>
        <v>2019</v>
      </c>
      <c r="B36" s="1145">
        <f>'2019'!L$379</f>
        <v>1.1959396366868713E-2</v>
      </c>
      <c r="C36" s="1146">
        <f>'2019'!O$379</f>
        <v>9.0910429481407803E-2</v>
      </c>
      <c r="D36" s="1147">
        <f>'2019'!P$379</f>
        <v>2.9103467993190385E-2</v>
      </c>
      <c r="E36" s="1145">
        <f>'2019'!Wh_Ppv/Recap!B12</f>
        <v>7.610457035857404E-3</v>
      </c>
      <c r="F36" s="1146">
        <f>'2019'!Wh_Psa/'2019'!D$9</f>
        <v>6.939554420740672E-2</v>
      </c>
      <c r="G36" s="1147">
        <f>'2019'!Wh_Pvg/'2019'!E$9</f>
        <v>1.6582951036481883E-3</v>
      </c>
      <c r="H36" s="1161">
        <f>H12/'2019'!Z$9</f>
        <v>0</v>
      </c>
      <c r="I36" s="1162">
        <f>I12/'2019'!AA$9</f>
        <v>0</v>
      </c>
      <c r="J36" s="1163">
        <f t="shared" ref="J36:J44" si="8">1-B12/G12</f>
        <v>7.4068586543563075E-2</v>
      </c>
      <c r="K36" s="887" t="str">
        <f t="shared" ref="K36:K44" si="9">K12</f>
        <v/>
      </c>
      <c r="L36" s="1164">
        <f>(K36&lt;&gt;"")*('2019'!O$383-'2019'!O$381)</f>
        <v>0</v>
      </c>
      <c r="M36" s="372">
        <v>4</v>
      </c>
      <c r="N36" s="1209">
        <f>O36*$B$32</f>
        <v>797.64842526779569</v>
      </c>
      <c r="O36" s="1210">
        <f>AVERAGE(H17:H20)/AVERAGE(B17:B20)</f>
        <v>7.8527887560045473E-2</v>
      </c>
      <c r="P36" s="372"/>
      <c r="Q36" s="372"/>
      <c r="R36" s="372"/>
      <c r="S36" s="891"/>
      <c r="T36" s="891"/>
    </row>
    <row r="37" spans="1:28" s="19" customFormat="1" ht="12.75" x14ac:dyDescent="0.2">
      <c r="A37" s="144">
        <f t="shared" si="7"/>
        <v>2020</v>
      </c>
      <c r="B37" s="1145">
        <f>'2020'!L$379</f>
        <v>2.0316449729879449E-2</v>
      </c>
      <c r="C37" s="1146">
        <f>'2020'!O$379</f>
        <v>0.12201565214404755</v>
      </c>
      <c r="D37" s="1147">
        <f>'2020'!P$379</f>
        <v>5.247118616012876E-2</v>
      </c>
      <c r="E37" s="1145">
        <f>'2020'!Wh_Ppv/Recap!B13</f>
        <v>1.6190377660076076E-2</v>
      </c>
      <c r="F37" s="1146">
        <f>'2020'!Wh_Psa/'2020'!D$9</f>
        <v>0.12538011900709539</v>
      </c>
      <c r="G37" s="1147">
        <f>'2020'!Wh_Pvg/'2020'!E$9</f>
        <v>3.4682406213009079E-3</v>
      </c>
      <c r="H37" s="1161">
        <f>H13/'2020'!Z$9</f>
        <v>0</v>
      </c>
      <c r="I37" s="1162">
        <f>I13/'2020'!AA$9</f>
        <v>0</v>
      </c>
      <c r="J37" s="1163">
        <f t="shared" si="8"/>
        <v>0.13059768956773565</v>
      </c>
      <c r="K37" s="887" t="str">
        <f t="shared" si="9"/>
        <v/>
      </c>
      <c r="L37" s="1164">
        <f>(K37&lt;&gt;"")*('2020'!O$383-'2020'!O$381)</f>
        <v>0</v>
      </c>
      <c r="M37" s="372"/>
      <c r="N37" s="1211" t="s">
        <v>360</v>
      </c>
      <c r="O37" s="1212"/>
      <c r="P37" s="372"/>
      <c r="Q37" s="372"/>
      <c r="R37" s="372"/>
      <c r="S37" s="891"/>
      <c r="T37" s="891"/>
    </row>
    <row r="38" spans="1:28" s="19" customFormat="1" ht="12.75" x14ac:dyDescent="0.2">
      <c r="A38" s="144">
        <f t="shared" si="7"/>
        <v>2021</v>
      </c>
      <c r="B38" s="1145">
        <f>'2021'!L$379</f>
        <v>2.8625423225242974E-2</v>
      </c>
      <c r="C38" s="1146">
        <f>'2021'!O$379</f>
        <v>9.7980689258486894E-2</v>
      </c>
      <c r="D38" s="1147">
        <f>'2021'!P$379</f>
        <v>7.4912985372924762E-2</v>
      </c>
      <c r="E38" s="1145">
        <f>'2021'!Wh_Ppv/Recap!B14</f>
        <v>2.4963679292763781E-2</v>
      </c>
      <c r="F38" s="1146">
        <f>'2021'!Wh_Psa/'2021'!D$9</f>
        <v>8.1942584275258884E-2</v>
      </c>
      <c r="G38" s="1147">
        <f>'2021'!Wh_Pvg/'2021'!E$9</f>
        <v>5.60567327824253E-3</v>
      </c>
      <c r="H38" s="1161">
        <f>H14/'2021'!Z$9</f>
        <v>6.9690457088159574E-2</v>
      </c>
      <c r="I38" s="1162">
        <f>I14/'2021'!AA$9</f>
        <v>-3.7347743474768066E-4</v>
      </c>
      <c r="J38" s="1163">
        <f t="shared" si="8"/>
        <v>0.10552026307922535</v>
      </c>
      <c r="K38" s="887">
        <f t="shared" si="9"/>
        <v>44306</v>
      </c>
      <c r="L38" s="1164">
        <f>(K38&lt;&gt;"")*('2021'!O$383-'2021'!O$381)</f>
        <v>0.10249727570237151</v>
      </c>
      <c r="M38" s="372"/>
      <c r="N38" s="372"/>
      <c r="O38" s="372"/>
      <c r="P38" s="372"/>
      <c r="Q38" s="372"/>
      <c r="R38" s="372"/>
      <c r="S38" s="891"/>
      <c r="T38" s="891"/>
    </row>
    <row r="39" spans="1:28" s="19" customFormat="1" ht="12.75" x14ac:dyDescent="0.2">
      <c r="A39" s="366">
        <f t="shared" si="7"/>
        <v>2022</v>
      </c>
      <c r="B39" s="1165">
        <f>'2022'!L$379</f>
        <v>3.684151185938267E-2</v>
      </c>
      <c r="C39" s="1166">
        <f>'2022'!O$379</f>
        <v>3.7054416556526928E-2</v>
      </c>
      <c r="D39" s="1167">
        <f>'2022'!P$379</f>
        <v>0.10619189643574961</v>
      </c>
      <c r="E39" s="1165">
        <f>'2022'!Wh_Ppv/Recap!B15</f>
        <v>3.3335860331915448E-2</v>
      </c>
      <c r="F39" s="1166">
        <f>'2022'!Wh_Psa/'2022'!D$9</f>
        <v>0.13209975019025294</v>
      </c>
      <c r="G39" s="1167">
        <f>'2022'!Wh_Pvg/'2022'!E$9</f>
        <v>7.9308235864891732E-3</v>
      </c>
      <c r="H39" s="1168">
        <f>H15/'2022'!Z$9</f>
        <v>4.7017367845478379E-2</v>
      </c>
      <c r="I39" s="1169">
        <f>I15/'2022'!AA$9</f>
        <v>-3.7066418362536978E-4</v>
      </c>
      <c r="J39" s="1170">
        <f t="shared" si="8"/>
        <v>0.15635155306533466</v>
      </c>
      <c r="K39" s="889">
        <f t="shared" si="9"/>
        <v>44854</v>
      </c>
      <c r="L39" s="1171">
        <f>(K39&lt;&gt;"")*('2022'!O$383-'2022'!O$381)</f>
        <v>0.12097584332556334</v>
      </c>
      <c r="M39" s="372"/>
      <c r="N39" s="372"/>
      <c r="O39" s="372"/>
      <c r="P39" s="372"/>
      <c r="Q39" s="372"/>
      <c r="R39" s="372"/>
      <c r="S39" s="891"/>
      <c r="T39" s="891"/>
    </row>
    <row r="40" spans="1:28" s="19" customFormat="1" ht="12.75" x14ac:dyDescent="0.2">
      <c r="A40" s="1172">
        <f t="shared" si="7"/>
        <v>2023</v>
      </c>
      <c r="B40" s="1173">
        <f>'2023'!L$379</f>
        <v>4.4988107103373975E-2</v>
      </c>
      <c r="C40" s="1174">
        <f>'2023'!O$379</f>
        <v>9.7430336710865373E-2</v>
      </c>
      <c r="D40" s="1175">
        <f>'2023'!P$379</f>
        <v>0.13942589846944184</v>
      </c>
      <c r="E40" s="1173">
        <f>'2023'!Wh_Ppv/Recap!B16</f>
        <v>4.2494640742911545E-2</v>
      </c>
      <c r="F40" s="1174">
        <f>'2023'!Wh_Psa/'2023'!D$9</f>
        <v>7.398457611035586E-2</v>
      </c>
      <c r="G40" s="1175">
        <f>'2023'!Wh_Pvg/'2023'!E$9</f>
        <v>1.132370418857786E-2</v>
      </c>
      <c r="H40" s="1173">
        <f>H16/'2023'!Z$9</f>
        <v>0.10533442194861471</v>
      </c>
      <c r="I40" s="1176">
        <f>I16/'2023'!AA$9</f>
        <v>-1.1205687583450226E-3</v>
      </c>
      <c r="J40" s="1175">
        <f t="shared" si="8"/>
        <v>0.12063084149806824</v>
      </c>
      <c r="K40" s="887" t="str">
        <f t="shared" si="9"/>
        <v/>
      </c>
      <c r="L40" s="1164">
        <f>(K40&lt;&gt;"")*('2023'!O$383-'2023'!O$381)</f>
        <v>0</v>
      </c>
      <c r="M40" s="372"/>
      <c r="N40" s="372"/>
      <c r="O40" s="372"/>
      <c r="P40" s="372"/>
      <c r="Q40" s="372"/>
      <c r="R40" s="372"/>
      <c r="S40" s="891"/>
      <c r="T40" s="891"/>
    </row>
    <row r="41" spans="1:28" s="19" customFormat="1" ht="12.75" x14ac:dyDescent="0.2">
      <c r="A41" s="1172">
        <f t="shared" si="7"/>
        <v>2024</v>
      </c>
      <c r="B41" s="1173">
        <f>'2024'!L$379</f>
        <v>5.3065796746795235E-2</v>
      </c>
      <c r="C41" s="1174">
        <f>'2024'!O$379</f>
        <v>6.8515869011334593E-2</v>
      </c>
      <c r="D41" s="1175">
        <f>'2024'!P$379</f>
        <v>0.17927794609748246</v>
      </c>
      <c r="E41" s="1173">
        <f>'2024'!Wh_Ppv/Recap!B17</f>
        <v>5.1449251752074904E-2</v>
      </c>
      <c r="F41" s="1174">
        <f>'2024'!Wh_Psa/'2024'!D$9</f>
        <v>6.0157163039219544E-2</v>
      </c>
      <c r="G41" s="1175">
        <f>'2024'!Wh_Pvg/'2024'!E$9</f>
        <v>1.5262353826757709E-2</v>
      </c>
      <c r="H41" s="1173">
        <f>H17/'2024'!Z$9</f>
        <v>8.9898601685190427E-2</v>
      </c>
      <c r="I41" s="1176">
        <f>I17/'2024'!AA$9</f>
        <v>-1.3179901001916926E-3</v>
      </c>
      <c r="J41" s="1175">
        <f t="shared" si="8"/>
        <v>0.12051650780695911</v>
      </c>
      <c r="K41" s="887">
        <f t="shared" si="9"/>
        <v>45412</v>
      </c>
      <c r="L41" s="1164">
        <f>(K41&lt;&gt;"")*('2024'!O$383-'2024'!O$381)</f>
        <v>9.1845907499814125E-2</v>
      </c>
      <c r="M41" s="372"/>
      <c r="N41" s="372"/>
      <c r="O41" s="372"/>
      <c r="P41" s="372"/>
      <c r="Q41" s="372"/>
      <c r="R41" s="372"/>
      <c r="S41" s="891"/>
      <c r="T41" s="891"/>
    </row>
    <row r="42" spans="1:28" s="19" customFormat="1" ht="12.75" x14ac:dyDescent="0.2">
      <c r="A42" s="1172">
        <f t="shared" si="7"/>
        <v>2025</v>
      </c>
      <c r="B42" s="1173">
        <f>'2025'!L$379</f>
        <v>6.1097013760201824E-2</v>
      </c>
      <c r="C42" s="1174">
        <f>'2025'!O$379</f>
        <v>0.11863093687909014</v>
      </c>
      <c r="D42" s="1175">
        <f>'2025'!P$379</f>
        <v>9.0428576580459472E-3</v>
      </c>
      <c r="E42" s="1173">
        <f>'2025'!Wh_Ppv/Recap!B18</f>
        <v>6.0438109359871879E-2</v>
      </c>
      <c r="F42" s="1174">
        <f>'2025'!Wh_Psa/'2025'!D$9</f>
        <v>0.10367829988133177</v>
      </c>
      <c r="G42" s="1175">
        <f>'2025'!Wh_Pvg/'2025'!E$9</f>
        <v>7.1049815867502784E-3</v>
      </c>
      <c r="H42" s="1173">
        <f>H18/'2025'!Z$9</f>
        <v>6.4852507026067804E-2</v>
      </c>
      <c r="I42" s="1176">
        <f>I18/'2025'!AA$9</f>
        <v>1.0718950043927217E-2</v>
      </c>
      <c r="J42" s="1175">
        <f t="shared" si="8"/>
        <v>0.15744813628456089</v>
      </c>
      <c r="K42" s="887" t="str">
        <f t="shared" si="9"/>
        <v/>
      </c>
      <c r="L42" s="1164">
        <f>(K42&lt;&gt;"")*('2025'!O$383-'2025'!O$381)</f>
        <v>0</v>
      </c>
      <c r="M42" s="372"/>
      <c r="N42" s="372"/>
      <c r="O42" s="372"/>
      <c r="P42" s="372"/>
      <c r="Q42" s="372"/>
      <c r="R42" s="372"/>
      <c r="S42" s="891"/>
      <c r="T42" s="891"/>
    </row>
    <row r="43" spans="1:28" s="19" customFormat="1" ht="12.75" x14ac:dyDescent="0.2">
      <c r="A43" s="1172">
        <f t="shared" si="7"/>
        <v>2026</v>
      </c>
      <c r="B43" s="1173">
        <f>'2026'!L$379</f>
        <v>6.903845091353733E-2</v>
      </c>
      <c r="C43" s="1174">
        <f>'2026'!O$379</f>
        <v>6.8681995492302278E-2</v>
      </c>
      <c r="D43" s="1175">
        <f>'2026'!P$379</f>
        <v>2.8040622479314988E-2</v>
      </c>
      <c r="E43" s="1173">
        <f>'2026'!Wh_Ppv/Recap!B19</f>
        <v>6.9516347385678953E-2</v>
      </c>
      <c r="F43" s="1174">
        <f>'2026'!Wh_Psa/'2026'!D$9</f>
        <v>6.4662647515104241E-2</v>
      </c>
      <c r="G43" s="1175">
        <f>'2026'!Wh_Pvg/'2026'!E$9</f>
        <v>1.6876261002373618E-3</v>
      </c>
      <c r="H43" s="1173">
        <f>H19/'2026'!Z$9</f>
        <v>9.5130663491827999E-2</v>
      </c>
      <c r="I43" s="1176">
        <f>I19/'2026'!AA$9</f>
        <v>2.0976078117786314E-2</v>
      </c>
      <c r="J43" s="1175">
        <f t="shared" si="8"/>
        <v>0.12716229159579684</v>
      </c>
      <c r="K43" s="887">
        <f t="shared" si="9"/>
        <v>46142</v>
      </c>
      <c r="L43" s="1164">
        <f>(K43&lt;&gt;"")*('2026'!O$383-'2026'!O$381)</f>
        <v>0.1105299471472959</v>
      </c>
      <c r="M43" s="372"/>
      <c r="N43" s="372"/>
      <c r="O43" s="372"/>
      <c r="P43" s="372"/>
      <c r="Q43" s="372"/>
      <c r="R43" s="372"/>
      <c r="S43" s="891"/>
      <c r="T43" s="891"/>
    </row>
    <row r="44" spans="1:28" s="19" customFormat="1" ht="12.75" x14ac:dyDescent="0.2">
      <c r="A44" s="1172">
        <f t="shared" si="7"/>
        <v>2027</v>
      </c>
      <c r="B44" s="1173">
        <f>'2027'!L$379</f>
        <v>7.6912717736194791E-2</v>
      </c>
      <c r="C44" s="1174">
        <f>'2027'!O$379</f>
        <v>0.11863093687909014</v>
      </c>
      <c r="D44" s="1175">
        <f>'2027'!P$379</f>
        <v>5.1163192712144909E-2</v>
      </c>
      <c r="E44" s="1173">
        <f>'2027'!Wh_Ppv/Recap!B20</f>
        <v>7.8560723953711969E-2</v>
      </c>
      <c r="F44" s="1174">
        <f>'2027'!Wh_Psa/'2027'!D$9</f>
        <v>0.10160586512646878</v>
      </c>
      <c r="G44" s="1175">
        <f>'2027'!Wh_Pvg/'2027'!E$9</f>
        <v>3.2861148727158871E-3</v>
      </c>
      <c r="H44" s="1173">
        <f>H20/'2027'!Z$9</f>
        <v>7.666839563158992E-2</v>
      </c>
      <c r="I44" s="1176">
        <f>I20/'2027'!AA$9</f>
        <v>2.3653610500824821E-2</v>
      </c>
      <c r="J44" s="1175">
        <f t="shared" si="8"/>
        <v>0.1676825184538796</v>
      </c>
      <c r="K44" s="887" t="str">
        <f t="shared" si="9"/>
        <v/>
      </c>
      <c r="L44" s="1164">
        <f>(K44&lt;&gt;"")*('2027'!O$383-'2027'!O$381)</f>
        <v>0</v>
      </c>
      <c r="M44" s="372"/>
      <c r="N44" s="372"/>
      <c r="O44" s="372"/>
      <c r="P44" s="372"/>
      <c r="Q44" s="372"/>
      <c r="R44" s="372"/>
      <c r="S44" s="891"/>
      <c r="T44" s="891"/>
    </row>
    <row r="45" spans="1:28" s="19" customFormat="1" ht="12.75" x14ac:dyDescent="0.2">
      <c r="A45" s="726"/>
      <c r="B45" s="893"/>
      <c r="C45" s="1177"/>
      <c r="D45" s="1178"/>
      <c r="E45" s="893"/>
      <c r="F45" s="1177"/>
      <c r="G45" s="1178"/>
      <c r="H45" s="1179"/>
      <c r="I45" s="727"/>
      <c r="J45" s="1178"/>
      <c r="K45" s="903"/>
      <c r="L45" s="1178"/>
      <c r="M45" s="10"/>
      <c r="N45" s="10"/>
      <c r="O45" s="10"/>
      <c r="P45" s="10"/>
      <c r="Q45" s="10"/>
      <c r="R45" s="10"/>
      <c r="S45" s="891"/>
      <c r="T45" s="891"/>
    </row>
    <row r="46" spans="1:28" s="19" customFormat="1" ht="12.75" x14ac:dyDescent="0.2">
      <c r="A46" s="726"/>
      <c r="B46" s="893"/>
      <c r="C46" s="1177"/>
      <c r="D46" s="1178"/>
      <c r="E46" s="893"/>
      <c r="F46" s="1177"/>
      <c r="G46" s="1178"/>
      <c r="H46" s="1179"/>
      <c r="I46" s="727"/>
      <c r="J46" s="1178"/>
      <c r="K46" s="903"/>
      <c r="L46" s="1178"/>
      <c r="M46" s="10"/>
      <c r="N46" s="10"/>
      <c r="O46" s="10"/>
      <c r="P46" s="892"/>
      <c r="Q46" s="10"/>
      <c r="R46" s="892"/>
      <c r="S46" s="891"/>
      <c r="T46" s="891"/>
    </row>
    <row r="47" spans="1:28" s="19" customFormat="1" ht="12.75" x14ac:dyDescent="0.2">
      <c r="A47" s="726"/>
      <c r="B47" s="893"/>
      <c r="C47" s="1177"/>
      <c r="D47" s="1178"/>
      <c r="E47" s="893"/>
      <c r="F47" s="1177"/>
      <c r="G47" s="1178"/>
      <c r="H47" s="1179"/>
      <c r="I47" s="727"/>
      <c r="J47" s="1178"/>
      <c r="K47" s="903"/>
      <c r="L47" s="1178"/>
      <c r="M47" s="10"/>
      <c r="N47" s="10"/>
      <c r="O47" s="10"/>
      <c r="P47" s="892"/>
      <c r="Q47" s="10"/>
      <c r="S47" s="891"/>
      <c r="T47" s="891"/>
    </row>
    <row r="48" spans="1:28" s="19" customFormat="1" ht="12.75" x14ac:dyDescent="0.2">
      <c r="A48" s="726"/>
      <c r="B48" s="893"/>
      <c r="C48" s="1177"/>
      <c r="D48" s="1178"/>
      <c r="E48" s="893"/>
      <c r="F48" s="1177"/>
      <c r="G48" s="1178"/>
      <c r="H48" s="1179"/>
      <c r="I48" s="727"/>
      <c r="J48" s="1178"/>
      <c r="K48" s="903"/>
      <c r="L48" s="1178"/>
      <c r="M48" s="10"/>
      <c r="N48" s="10"/>
      <c r="O48" s="10"/>
      <c r="P48" s="892"/>
      <c r="Q48" s="10"/>
      <c r="R48" s="892"/>
      <c r="S48" s="891"/>
      <c r="T48" s="891"/>
    </row>
    <row r="49" spans="1:30" s="19" customFormat="1" ht="12.75" x14ac:dyDescent="0.2">
      <c r="A49" s="726"/>
      <c r="B49" s="893"/>
      <c r="C49" s="1177"/>
      <c r="D49" s="1178"/>
      <c r="E49" s="893"/>
      <c r="F49" s="1177"/>
      <c r="G49" s="1178"/>
      <c r="H49" s="1179"/>
      <c r="I49" s="727"/>
      <c r="J49" s="1178"/>
      <c r="K49" s="903"/>
      <c r="L49" s="1178"/>
      <c r="M49" s="10"/>
      <c r="N49" s="10"/>
      <c r="O49" s="10"/>
      <c r="P49" s="892"/>
      <c r="Q49" s="10"/>
      <c r="R49" s="892"/>
      <c r="S49" s="891"/>
      <c r="T49" s="891"/>
    </row>
    <row r="50" spans="1:30" s="19" customFormat="1" ht="12.75" x14ac:dyDescent="0.2">
      <c r="A50" s="726"/>
      <c r="B50" s="893"/>
      <c r="C50" s="1177"/>
      <c r="D50" s="1178"/>
      <c r="E50" s="893"/>
      <c r="F50" s="1177"/>
      <c r="G50" s="1178"/>
      <c r="H50" s="1179"/>
      <c r="I50" s="727"/>
      <c r="J50" s="1178"/>
      <c r="K50" s="903"/>
      <c r="L50" s="1178"/>
      <c r="M50" s="10"/>
      <c r="N50" s="10"/>
      <c r="O50" s="10"/>
      <c r="P50" s="892"/>
      <c r="Q50" s="10"/>
      <c r="R50" s="892"/>
      <c r="S50" s="891"/>
      <c r="T50" s="891"/>
    </row>
    <row r="51" spans="1:30" s="19" customFormat="1" ht="12.75" x14ac:dyDescent="0.2">
      <c r="A51" s="726"/>
      <c r="B51" s="893"/>
      <c r="C51" s="1177"/>
      <c r="D51" s="1178"/>
      <c r="E51" s="893"/>
      <c r="F51" s="1177"/>
      <c r="G51" s="1178"/>
      <c r="H51" s="1179"/>
      <c r="I51" s="727"/>
      <c r="J51" s="1178"/>
      <c r="K51" s="903"/>
      <c r="L51" s="1178"/>
      <c r="M51" s="10"/>
      <c r="N51" s="10"/>
      <c r="O51" s="10"/>
      <c r="P51" s="892"/>
      <c r="Q51" s="10"/>
      <c r="R51" s="892"/>
      <c r="S51" s="891"/>
      <c r="T51" s="891"/>
    </row>
    <row r="52" spans="1:30" s="19" customFormat="1" ht="12.75" x14ac:dyDescent="0.2">
      <c r="A52" s="726"/>
      <c r="B52" s="893"/>
      <c r="C52" s="1177"/>
      <c r="D52" s="1178"/>
      <c r="E52" s="893"/>
      <c r="F52" s="1177"/>
      <c r="G52" s="1178"/>
      <c r="H52" s="1179"/>
      <c r="I52" s="727"/>
      <c r="J52" s="1178"/>
      <c r="K52" s="903"/>
      <c r="L52" s="1178"/>
      <c r="M52" s="10"/>
      <c r="N52" s="10"/>
      <c r="O52" s="10"/>
      <c r="P52" s="10"/>
      <c r="Q52" s="10"/>
      <c r="R52" s="10"/>
      <c r="S52" s="891"/>
      <c r="T52" s="891"/>
    </row>
    <row r="53" spans="1:30" s="19" customFormat="1" ht="12.75" x14ac:dyDescent="0.2">
      <c r="A53" s="726"/>
      <c r="B53" s="893"/>
      <c r="C53" s="1177"/>
      <c r="D53" s="1178"/>
      <c r="E53" s="893"/>
      <c r="F53" s="1177"/>
      <c r="G53" s="1178"/>
      <c r="H53" s="1179"/>
      <c r="I53" s="727"/>
      <c r="J53" s="1178"/>
      <c r="K53" s="903"/>
      <c r="L53" s="1178"/>
      <c r="M53" s="10"/>
      <c r="N53" s="10"/>
      <c r="O53" s="10"/>
      <c r="P53" s="10"/>
      <c r="Q53" s="10"/>
      <c r="R53" s="10"/>
      <c r="S53" s="891"/>
      <c r="T53" s="891"/>
    </row>
    <row r="54" spans="1:30" s="19" customFormat="1" ht="12.75" x14ac:dyDescent="0.2">
      <c r="A54" s="729"/>
      <c r="B54" s="895"/>
      <c r="C54" s="730"/>
      <c r="D54" s="1180"/>
      <c r="E54" s="895"/>
      <c r="F54" s="730"/>
      <c r="G54" s="1180"/>
      <c r="H54" s="1181"/>
      <c r="I54" s="730"/>
      <c r="J54" s="1180"/>
      <c r="K54" s="905"/>
      <c r="L54" s="1180"/>
      <c r="M54" s="10"/>
      <c r="N54" s="10"/>
      <c r="O54" s="10"/>
      <c r="P54" s="10"/>
      <c r="Q54" s="10"/>
      <c r="R54" s="10"/>
      <c r="S54" s="891"/>
      <c r="T54" s="891"/>
      <c r="AD54" s="30"/>
    </row>
    <row r="55" spans="1:30" s="19" customFormat="1" ht="12.75" x14ac:dyDescent="0.2">
      <c r="A55" s="1182"/>
      <c r="B55" s="727"/>
      <c r="C55" s="728"/>
      <c r="D55" s="725"/>
      <c r="E55" s="727"/>
      <c r="F55" s="727"/>
      <c r="G55" s="727"/>
      <c r="H55" s="728"/>
      <c r="I55" s="725"/>
      <c r="J55" s="727"/>
      <c r="K55" s="1183"/>
      <c r="L55" s="1183"/>
      <c r="M55" s="727"/>
      <c r="N55" s="1184"/>
      <c r="O55" s="10"/>
      <c r="P55" s="10"/>
      <c r="Q55" s="10"/>
      <c r="R55" s="10"/>
      <c r="S55" s="891"/>
      <c r="T55" s="891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71">
        <f>MIN(B$61:B$80)</f>
        <v>1.85539408107421</v>
      </c>
      <c r="C57" s="371">
        <f t="shared" ref="C57:N57" si="10">MIN(C$61:C$80)</f>
        <v>2.8425630412574239</v>
      </c>
      <c r="D57" s="371">
        <f t="shared" si="10"/>
        <v>4.020494712749052</v>
      </c>
      <c r="E57" s="371">
        <f t="shared" si="10"/>
        <v>5.1507725300491947</v>
      </c>
      <c r="F57" s="371">
        <f t="shared" si="10"/>
        <v>5.9187959539279014</v>
      </c>
      <c r="G57" s="371">
        <f t="shared" si="10"/>
        <v>5.9545730633171585</v>
      </c>
      <c r="H57" s="371">
        <f t="shared" si="10"/>
        <v>5.6862813285907183</v>
      </c>
      <c r="I57" s="371">
        <f t="shared" si="10"/>
        <v>5.1393037681959539</v>
      </c>
      <c r="J57" s="371">
        <f t="shared" si="10"/>
        <v>4.1891561101420187</v>
      </c>
      <c r="K57" s="371">
        <f t="shared" si="10"/>
        <v>2.9663379986612735</v>
      </c>
      <c r="L57" s="371">
        <f t="shared" si="10"/>
        <v>2.0018824785299012</v>
      </c>
      <c r="M57" s="371">
        <f t="shared" si="10"/>
        <v>1.4881189115447562</v>
      </c>
      <c r="N57" s="371">
        <f t="shared" si="10"/>
        <v>4.0041449681753241</v>
      </c>
      <c r="P57" s="372"/>
      <c r="Q57" s="373"/>
      <c r="R57" s="372"/>
      <c r="S57" s="372"/>
      <c r="T57" s="372"/>
      <c r="U57" s="372"/>
      <c r="V57" s="372"/>
    </row>
    <row r="58" spans="1:30" s="10" customFormat="1" ht="11.25" x14ac:dyDescent="0.2">
      <c r="A58" s="75" t="s">
        <v>58</v>
      </c>
      <c r="B58" s="371">
        <f>AVERAGE(B$61:B$80)</f>
        <v>2.0454664032086756</v>
      </c>
      <c r="C58" s="371">
        <f t="shared" ref="C58:N58" si="11">AVERAGE(C$61:C$80)</f>
        <v>3.0032495584981773</v>
      </c>
      <c r="D58" s="371">
        <f t="shared" si="11"/>
        <v>4.263441938257178</v>
      </c>
      <c r="E58" s="371">
        <f t="shared" si="11"/>
        <v>5.4861670210392788</v>
      </c>
      <c r="F58" s="371">
        <f t="shared" si="11"/>
        <v>6.2742051460912576</v>
      </c>
      <c r="G58" s="371">
        <f t="shared" si="11"/>
        <v>6.3912263750933729</v>
      </c>
      <c r="H58" s="371">
        <f t="shared" si="11"/>
        <v>6.1022683529911177</v>
      </c>
      <c r="I58" s="371">
        <f t="shared" si="11"/>
        <v>5.5068420306378671</v>
      </c>
      <c r="J58" s="371">
        <f t="shared" si="11"/>
        <v>4.4781312798532111</v>
      </c>
      <c r="K58" s="371">
        <f t="shared" si="11"/>
        <v>3.1630363411459106</v>
      </c>
      <c r="L58" s="371">
        <f t="shared" si="11"/>
        <v>2.1558764877929364</v>
      </c>
      <c r="M58" s="371">
        <f t="shared" si="11"/>
        <v>1.6822218313768971</v>
      </c>
      <c r="N58" s="371">
        <f t="shared" si="11"/>
        <v>4.2351634969872443</v>
      </c>
      <c r="P58" s="372"/>
      <c r="Q58" s="373"/>
      <c r="R58" s="372"/>
      <c r="S58" s="372"/>
      <c r="T58" s="372"/>
      <c r="U58" s="372"/>
      <c r="V58" s="372"/>
    </row>
    <row r="59" spans="1:30" s="10" customFormat="1" ht="11.25" x14ac:dyDescent="0.2">
      <c r="A59" s="75" t="s">
        <v>59</v>
      </c>
      <c r="B59" s="371">
        <f>MAX(B$61:B$80)</f>
        <v>2.334340335896667</v>
      </c>
      <c r="C59" s="371">
        <f t="shared" ref="C59:N59" si="12">MAX(C$61:C$80)</f>
        <v>3.3385140341218453</v>
      </c>
      <c r="D59" s="371">
        <f t="shared" si="12"/>
        <v>4.6591326973634146</v>
      </c>
      <c r="E59" s="371">
        <f t="shared" si="12"/>
        <v>5.9333232707213179</v>
      </c>
      <c r="F59" s="371">
        <f t="shared" si="12"/>
        <v>6.6120250157883618</v>
      </c>
      <c r="G59" s="371">
        <f t="shared" si="12"/>
        <v>7.1285156979938238</v>
      </c>
      <c r="H59" s="371">
        <f t="shared" si="12"/>
        <v>6.8551390095802134</v>
      </c>
      <c r="I59" s="371">
        <f t="shared" si="12"/>
        <v>6.2136952139925832</v>
      </c>
      <c r="J59" s="371">
        <f t="shared" si="12"/>
        <v>5.0596487502679999</v>
      </c>
      <c r="K59" s="371">
        <f t="shared" si="12"/>
        <v>3.5826908244988829</v>
      </c>
      <c r="L59" s="371">
        <f t="shared" si="12"/>
        <v>2.4733880525311016</v>
      </c>
      <c r="M59" s="371">
        <f t="shared" si="12"/>
        <v>1.9660733151224226</v>
      </c>
      <c r="N59" s="371">
        <f t="shared" si="12"/>
        <v>4.754164409141004</v>
      </c>
      <c r="P59" s="372"/>
      <c r="Q59" s="373"/>
      <c r="R59" s="372"/>
      <c r="S59" s="372"/>
      <c r="T59" s="372"/>
      <c r="U59" s="372"/>
      <c r="V59" s="372"/>
    </row>
    <row r="60" spans="1:30" s="19" customFormat="1" ht="12.75" x14ac:dyDescent="0.2">
      <c r="A60" s="107" t="s">
        <v>52</v>
      </c>
      <c r="B60" s="346">
        <v>15</v>
      </c>
      <c r="C60" s="346">
        <v>46</v>
      </c>
      <c r="D60" s="346">
        <v>75</v>
      </c>
      <c r="E60" s="346">
        <v>106</v>
      </c>
      <c r="F60" s="346">
        <v>136</v>
      </c>
      <c r="G60" s="346">
        <v>167</v>
      </c>
      <c r="H60" s="346">
        <v>197</v>
      </c>
      <c r="I60" s="346">
        <v>228</v>
      </c>
      <c r="J60" s="346">
        <v>259</v>
      </c>
      <c r="K60" s="346">
        <v>289</v>
      </c>
      <c r="L60" s="346">
        <v>320</v>
      </c>
      <c r="M60" s="346">
        <v>350</v>
      </c>
      <c r="N60" s="346" t="s">
        <v>60</v>
      </c>
      <c r="O60" s="30"/>
      <c r="P60" s="149"/>
      <c r="Q60" s="345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'2018'!An</f>
        <v>2018</v>
      </c>
      <c r="B61" s="347"/>
      <c r="C61" s="347"/>
      <c r="D61" s="347"/>
      <c r="E61" s="348"/>
      <c r="F61" s="347"/>
      <c r="G61" s="347">
        <f>AVERAGE('2018'!$V$166:$V$195)/Pc</f>
        <v>7.1285156979938238</v>
      </c>
      <c r="H61" s="347">
        <f>AVERAGE('2018'!$V$196:$V$226)/Pc</f>
        <v>6.8551390095802134</v>
      </c>
      <c r="I61" s="347">
        <f>AVERAGE('2018'!$V$227:$V$257)/Pc</f>
        <v>6.2136952139925832</v>
      </c>
      <c r="J61" s="349">
        <f>AVERAGE('2018'!$V$258:$V$287)/Pc</f>
        <v>5.0596487502679999</v>
      </c>
      <c r="K61" s="350">
        <f>AVERAGE('2018'!$V$288:$V$318)/Pc</f>
        <v>3.5826908244988829</v>
      </c>
      <c r="L61" s="347">
        <f>AVERAGE('2018'!$V$319:$V$348)/Pc</f>
        <v>2.4733880525311016</v>
      </c>
      <c r="M61" s="351">
        <f>AVERAGE('2018'!$V$349:$V$379)/Pc</f>
        <v>1.9660733151224226</v>
      </c>
      <c r="N61" s="355">
        <f t="shared" ref="N61:N66" si="13">AVERAGE(B61:M61)</f>
        <v>4.754164409141004</v>
      </c>
      <c r="O61" s="30"/>
      <c r="P61" s="149"/>
      <c r="Q61" s="345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>'2019'!An</f>
        <v>2019</v>
      </c>
      <c r="B62" s="352">
        <f>AVERAGE('2019'!$V$15:$V$45)/Pc</f>
        <v>2.334340335896667</v>
      </c>
      <c r="C62" s="352">
        <f>AVERAGE('2019'!$V$46:$V$73)/Pc</f>
        <v>3.3385140341218453</v>
      </c>
      <c r="D62" s="352">
        <f>AVERAGE('2019'!$V$74:$V$104)/Pc</f>
        <v>4.6591326973634146</v>
      </c>
      <c r="E62" s="353">
        <f>AVERAGE('2019'!$V$105:$V$134)/Pc</f>
        <v>5.9333232707213179</v>
      </c>
      <c r="F62" s="352">
        <f>AVERAGE('2019'!$V$135:$V$165)/Pc</f>
        <v>6.5719265420036059</v>
      </c>
      <c r="G62" s="352">
        <f>AVERAGE('2019'!$V$166:$V$195)/Pc</f>
        <v>6.6130477494298994</v>
      </c>
      <c r="H62" s="352">
        <f>AVERAGE('2019'!$V$196:$V$226)/Pc</f>
        <v>6.314338850513785</v>
      </c>
      <c r="I62" s="352">
        <f>AVERAGE('2019'!$V$227:$V$257)/Pc</f>
        <v>5.7071268188215116</v>
      </c>
      <c r="J62" s="350">
        <f>AVERAGE('2019'!$V$258:$V$287)/Pc</f>
        <v>4.6533485562687158</v>
      </c>
      <c r="K62" s="350">
        <f>AVERAGE('2019'!$V$288:$V$318)/Pc</f>
        <v>3.3003993186877225</v>
      </c>
      <c r="L62" s="352">
        <f>AVERAGE('2019'!$V$319:$V$348)/Pc</f>
        <v>2.2667871903093553</v>
      </c>
      <c r="M62" s="354">
        <f>AVERAGE('2019'!$V$349:$V$379)/Pc</f>
        <v>1.7930768341683665</v>
      </c>
      <c r="N62" s="356">
        <f t="shared" si="13"/>
        <v>4.457113516525518</v>
      </c>
      <c r="O62" s="30"/>
      <c r="P62" s="149"/>
      <c r="Q62" s="345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>'2020'!An</f>
        <v>2020</v>
      </c>
      <c r="B63" s="352">
        <f>AVERAGE('2020'!$V$15:$V$45)/Pc</f>
        <v>2.1455619762568023</v>
      </c>
      <c r="C63" s="352">
        <f>AVERAGE('2020'!$V$46:$V$74)/Pc</f>
        <v>3.1209431124573968</v>
      </c>
      <c r="D63" s="352">
        <f>AVERAGE('2020'!$V$75:$V$105)/Pc</f>
        <v>4.395357819129992</v>
      </c>
      <c r="E63" s="353">
        <f>AVERAGE('2020'!$V$106:$V$135)/Pc</f>
        <v>5.5859455723093445</v>
      </c>
      <c r="F63" s="352">
        <f>AVERAGE('2020'!$V$136:$V$166)/Pc</f>
        <v>6.1725414322514149</v>
      </c>
      <c r="G63" s="352">
        <f>AVERAGE('2020'!$V$167:$V$196)/Pc</f>
        <v>6.2040410361794018</v>
      </c>
      <c r="H63" s="352">
        <f>AVERAGE('2020'!$V$197:$V$227)/Pc</f>
        <v>5.9255359152014355</v>
      </c>
      <c r="I63" s="352">
        <f>AVERAGE('2020'!$V$228:$V$258)/Pc</f>
        <v>5.3539697422131862</v>
      </c>
      <c r="J63" s="350">
        <f>AVERAGE('2020'!$V$259:$V$288)/Pc</f>
        <v>4.3524748919928298</v>
      </c>
      <c r="K63" s="350">
        <f>AVERAGE('2020'!$V$289:$V$319)/Pc</f>
        <v>3.0778351542484454</v>
      </c>
      <c r="L63" s="352">
        <f>AVERAGE('2020'!$V$320:$V$349)/Pc</f>
        <v>2.1016230062577317</v>
      </c>
      <c r="M63" s="354">
        <f>AVERAGE('2020'!$V$350:$V$380)/Pc</f>
        <v>1.6703019559637595</v>
      </c>
      <c r="N63" s="357">
        <f t="shared" si="13"/>
        <v>4.1755109678718112</v>
      </c>
      <c r="O63" s="30"/>
      <c r="P63" s="149"/>
      <c r="Q63" s="345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>'2021'!An</f>
        <v>2021</v>
      </c>
      <c r="B64" s="352">
        <f>AVERAGE('2021'!$V$15:$V$45)/Pc</f>
        <v>2.0198670360203037</v>
      </c>
      <c r="C64" s="352">
        <f>AVERAGE('2021'!$V$46:$V$73)/Pc</f>
        <v>2.9565124490714911</v>
      </c>
      <c r="D64" s="352">
        <f>AVERAGE('2021'!$V$74:$V$104)/Pc</f>
        <v>4.1831342730603565</v>
      </c>
      <c r="E64" s="353">
        <f>AVERAGE('2021'!$V$105:$V$134)/Pc</f>
        <v>5.5961544751414172</v>
      </c>
      <c r="F64" s="352">
        <f>AVERAGE('2021'!$V$135:$V$165)/Pc</f>
        <v>6.6120250157883618</v>
      </c>
      <c r="G64" s="352">
        <f>AVERAGE('2021'!$V$166:$V$195)/Pc</f>
        <v>6.6193741755963016</v>
      </c>
      <c r="H64" s="352">
        <f>AVERAGE('2021'!$V$196:$V$226)/Pc</f>
        <v>6.2852315387977038</v>
      </c>
      <c r="I64" s="352">
        <f>AVERAGE('2021'!$V$227:$V$257)/Pc</f>
        <v>5.6436280752607706</v>
      </c>
      <c r="J64" s="350">
        <f>AVERAGE('2021'!$V$258:$V$287)/Pc</f>
        <v>4.5712134013947896</v>
      </c>
      <c r="K64" s="350">
        <f>AVERAGE('2021'!$V$288:$V$318)/Pc</f>
        <v>3.20621316666388</v>
      </c>
      <c r="L64" s="352">
        <f>AVERAGE('2021'!$V$319:$V$348)/Pc</f>
        <v>2.1471083034435474</v>
      </c>
      <c r="M64" s="354">
        <f>AVERAGE('2021'!$V$349:$V$379)/Pc</f>
        <v>1.6679527448849525</v>
      </c>
      <c r="N64" s="356">
        <f t="shared" si="13"/>
        <v>4.2923678879269893</v>
      </c>
      <c r="O64" s="30"/>
      <c r="P64" s="149"/>
      <c r="Q64" s="345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548">
        <f>'2022'!An</f>
        <v>2022</v>
      </c>
      <c r="B65" s="549">
        <f>AVERAGE('2022'!$V$15:$V$45)/Pc</f>
        <v>2.0119973627678243</v>
      </c>
      <c r="C65" s="549">
        <f>AVERAGE('2022'!$V$46:$V$73)/Pc</f>
        <v>2.9621480477254862</v>
      </c>
      <c r="D65" s="549">
        <f>AVERAGE('2022'!$V$74:$V$104)/Pc</f>
        <v>4.2034835870439409</v>
      </c>
      <c r="E65" s="551">
        <f>AVERAGE('2022'!$V$105:$V$134)/Pc</f>
        <v>5.3677391420321525</v>
      </c>
      <c r="F65" s="549">
        <f>AVERAGE('2022'!$V$135:$V$165)/Pc</f>
        <v>5.9565464935414321</v>
      </c>
      <c r="G65" s="549">
        <f>AVERAGE('2022'!$V$166:$V$195)/Pc</f>
        <v>5.9906744612021789</v>
      </c>
      <c r="H65" s="549">
        <f>AVERAGE('2022'!$V$196:$V$226)/Pc</f>
        <v>5.7191565814078364</v>
      </c>
      <c r="I65" s="549">
        <f>AVERAGE('2022'!$V$227:$V$257)/Pc</f>
        <v>5.1627077459455473</v>
      </c>
      <c r="J65" s="549">
        <f>AVERAGE('2022'!$V$258:$V$287)/Pc</f>
        <v>4.2021935079353376</v>
      </c>
      <c r="K65" s="549">
        <f>AVERAGE('2022'!$V$288:$V$318)/Pc</f>
        <v>3.0849450173893818</v>
      </c>
      <c r="L65" s="549">
        <f>AVERAGE('2022'!$V$319:$V$348)/Pc</f>
        <v>2.2272161294296389</v>
      </c>
      <c r="M65" s="550">
        <f>AVERAGE('2022'!$V$349:$V$379)/Pc</f>
        <v>1.7059313466855124</v>
      </c>
      <c r="N65" s="556">
        <f t="shared" si="13"/>
        <v>4.0495616185921888</v>
      </c>
      <c r="O65" s="30"/>
      <c r="P65" s="149"/>
      <c r="Q65" s="345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8">
        <v>2023</v>
      </c>
      <c r="B66" s="549">
        <f>AVERAGE('2023'!$V$15:$V$45)/Pc</f>
        <v>2.07951474263088</v>
      </c>
      <c r="C66" s="549">
        <f>AVERAGE('2023'!$V$46:$V$73)/Pc</f>
        <v>3.0945347980089748</v>
      </c>
      <c r="D66" s="549">
        <f>AVERAGE('2023'!$V$74:$V$104)/Pc</f>
        <v>4.4312858271110489</v>
      </c>
      <c r="E66" s="551">
        <f>AVERAGE('2023'!$V$105:$V$134)/Pc</f>
        <v>5.6705709615981137</v>
      </c>
      <c r="F66" s="549">
        <f>AVERAGE('2023'!$V$135:$V$165)/Pc</f>
        <v>6.3053679513301173</v>
      </c>
      <c r="G66" s="549">
        <f>AVERAGE('2023'!$V$166:$V$195)/Pc</f>
        <v>6.3497615215731651</v>
      </c>
      <c r="H66" s="549">
        <f>AVERAGE('2023'!$V$196:$V$226)/Pc</f>
        <v>6.0587460553558472</v>
      </c>
      <c r="I66" s="549">
        <f>AVERAGE('2023'!$V$227:$V$257)/Pc</f>
        <v>5.4551723690504197</v>
      </c>
      <c r="J66" s="549">
        <f>AVERAGE('2023'!$V$258:$V$287)/Pc</f>
        <v>4.4251575631381819</v>
      </c>
      <c r="K66" s="549">
        <f>AVERAGE('2023'!$V$288:$V$318)/Pc</f>
        <v>3.0685664838791258</v>
      </c>
      <c r="L66" s="549">
        <f>AVERAGE('2023'!$V$319:$V$348)/Pc</f>
        <v>2.0154695507392866</v>
      </c>
      <c r="M66" s="550">
        <f>AVERAGE('2023'!$V$349:$V$379)/Pc</f>
        <v>1.5249606385850727</v>
      </c>
      <c r="N66" s="556">
        <f t="shared" si="13"/>
        <v>4.2065923719166856</v>
      </c>
      <c r="O66" s="30"/>
      <c r="P66" s="149"/>
      <c r="Q66" s="345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8">
        <v>2024</v>
      </c>
      <c r="B67" s="549">
        <f>AVERAGE('2024'!$V$15:$V$45)/Pc</f>
        <v>1.884378404007514</v>
      </c>
      <c r="C67" s="549">
        <f>AVERAGE('2024'!$V$46:$V$73)/Pc</f>
        <v>2.8425630412574239</v>
      </c>
      <c r="D67" s="549">
        <f>AVERAGE('2024'!$V$74:$V$104)/Pc</f>
        <v>4.1168830422426241</v>
      </c>
      <c r="E67" s="551">
        <f>AVERAGE('2024'!$V$105:$V$134)/Pc</f>
        <v>5.2892050421554417</v>
      </c>
      <c r="F67" s="549">
        <f>AVERAGE('2024'!$V$135:$V$165)/Pc</f>
        <v>6.5034603667745516</v>
      </c>
      <c r="G67" s="549">
        <f>AVERAGE('2024'!$V$166:$V$195)/Pc</f>
        <v>6.5526350357127656</v>
      </c>
      <c r="H67" s="549">
        <f>AVERAGE('2024'!$V$196:$V$226)/Pc</f>
        <v>6.247179665058237</v>
      </c>
      <c r="I67" s="549">
        <f>AVERAGE('2024'!$V$227:$V$257)/Pc</f>
        <v>5.609582652210797</v>
      </c>
      <c r="J67" s="549">
        <f>AVERAGE('2024'!$V$258:$V$287)/Pc</f>
        <v>4.5337957262841</v>
      </c>
      <c r="K67" s="549">
        <f>AVERAGE('2024'!$V$288:$V$318)/Pc</f>
        <v>3.1028393692134966</v>
      </c>
      <c r="L67" s="549">
        <f>AVERAGE('2024'!$V$319:$V$348)/Pc</f>
        <v>2.0018824785299012</v>
      </c>
      <c r="M67" s="550">
        <f>AVERAGE('2024'!$V$349:$V$379)/Pc</f>
        <v>1.4881189115447562</v>
      </c>
      <c r="N67" s="556">
        <f>AVERAGE(B67:M67)</f>
        <v>4.1810436445826333</v>
      </c>
      <c r="O67" s="30"/>
      <c r="P67" s="149"/>
      <c r="Q67" s="345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8">
        <v>2025</v>
      </c>
      <c r="B68" s="549">
        <f>AVERAGE('2025'!$V$15:$V$45)/Pc</f>
        <v>1.85539408107421</v>
      </c>
      <c r="C68" s="549">
        <f>AVERAGE('2025'!$V$46:$V$73)/Pc</f>
        <v>2.8498109118441293</v>
      </c>
      <c r="D68" s="549">
        <f>AVERAGE('2025'!$V$74:$V$104)/Pc</f>
        <v>4.1725619856310008</v>
      </c>
      <c r="E68" s="551">
        <f>AVERAGE('2025'!$V$105:$V$134)/Pc</f>
        <v>5.4416052178300918</v>
      </c>
      <c r="F68" s="549">
        <f>AVERAGE('2025'!$V$135:$V$165)/Pc</f>
        <v>6.0222692557516408</v>
      </c>
      <c r="G68" s="549">
        <f>AVERAGE('2025'!$V$166:$V$195)/Pc</f>
        <v>6.0569825530535502</v>
      </c>
      <c r="H68" s="549">
        <f>AVERAGE('2025'!$V$196:$V$226)/Pc</f>
        <v>5.7847488746203481</v>
      </c>
      <c r="I68" s="549">
        <f>AVERAGE('2025'!$V$227:$V$257)/Pc</f>
        <v>5.2347908010535491</v>
      </c>
      <c r="J68" s="549">
        <f>AVERAGE('2025'!$V$258:$V$287)/Pc</f>
        <v>4.2762854281190252</v>
      </c>
      <c r="K68" s="549">
        <f>AVERAGE('2025'!$V$288:$V$318)/Pc</f>
        <v>3.041145275470404</v>
      </c>
      <c r="L68" s="549">
        <f>AVERAGE('2025'!$V$319:$V$348)/Pc</f>
        <v>2.1115482264311924</v>
      </c>
      <c r="M68" s="550">
        <f>AVERAGE('2025'!$V$349:$V$379)/Pc</f>
        <v>1.6856245988046119</v>
      </c>
      <c r="N68" s="556">
        <f>AVERAGE(B68:M68)</f>
        <v>4.0443972674736459</v>
      </c>
      <c r="O68" s="30"/>
      <c r="P68" s="149"/>
      <c r="Q68" s="345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8">
        <v>2026</v>
      </c>
      <c r="B69" s="549">
        <f>AVERAGE('2026'!$V$15:$V$45)/Pc</f>
        <v>2.0066905553748455</v>
      </c>
      <c r="C69" s="549">
        <f>AVERAGE('2026'!$V$46:$V$73)/Pc</f>
        <v>2.8751910443588926</v>
      </c>
      <c r="D69" s="549">
        <f>AVERAGE('2026'!$V$74:$V$104)/Pc</f>
        <v>4.020494712749052</v>
      </c>
      <c r="E69" s="551">
        <f>AVERAGE('2026'!$V$105:$V$134)/Pc</f>
        <v>5.1507725300491947</v>
      </c>
      <c r="F69" s="549">
        <f>AVERAGE('2026'!$V$135:$V$165)/Pc</f>
        <v>6.4049133034522976</v>
      </c>
      <c r="G69" s="549">
        <f>AVERAGE('2026'!$V$166:$V$195)/Pc</f>
        <v>6.442658456875483</v>
      </c>
      <c r="H69" s="549">
        <f>AVERAGE('2026'!$V$196:$V$226)/Pc</f>
        <v>6.1463257107850584</v>
      </c>
      <c r="I69" s="549">
        <f>AVERAGE('2026'!$V$227:$V$257)/Pc</f>
        <v>5.5484431196343538</v>
      </c>
      <c r="J69" s="549">
        <f>AVERAGE('2026'!$V$258:$V$287)/Pc</f>
        <v>4.5180388629891084</v>
      </c>
      <c r="K69" s="549">
        <f>AVERAGE('2026'!$V$288:$V$318)/Pc</f>
        <v>3.1993908027464886</v>
      </c>
      <c r="L69" s="549">
        <f>AVERAGE('2026'!$V$319:$V$348)/Pc</f>
        <v>2.1942168852093538</v>
      </c>
      <c r="M69" s="550">
        <f>AVERAGE('2026'!$V$349:$V$379)/Pc</f>
        <v>1.7337238277755025</v>
      </c>
      <c r="N69" s="556">
        <f>AVERAGE(B69:M69)</f>
        <v>4.1867383176666353</v>
      </c>
      <c r="O69" s="30"/>
      <c r="P69" s="149"/>
      <c r="Q69" s="345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8">
        <v>2027</v>
      </c>
      <c r="B70" s="549">
        <f>AVERAGE('2027'!$V$15:$V$45)/Pc</f>
        <v>2.0714531348490337</v>
      </c>
      <c r="C70" s="549">
        <f>AVERAGE('2027'!$V$46:$V$73)/Pc</f>
        <v>2.9890285876379541</v>
      </c>
      <c r="D70" s="549">
        <f>AVERAGE('2027'!$V$74:$V$104)/Pc</f>
        <v>4.1886434999831721</v>
      </c>
      <c r="E70" s="551">
        <f>AVERAGE('2027'!$V$105:$V$134)/Pc</f>
        <v>5.3401869775164306</v>
      </c>
      <c r="F70" s="549">
        <f>AVERAGE('2027'!$V$135:$V$165)/Pc</f>
        <v>5.9187959539279014</v>
      </c>
      <c r="G70" s="549">
        <f>AVERAGE('2027'!$V$166:$V$195)/Pc</f>
        <v>5.9545730633171585</v>
      </c>
      <c r="H70" s="549">
        <f>AVERAGE('2027'!$V$196:$V$226)/Pc</f>
        <v>5.6862813285907183</v>
      </c>
      <c r="I70" s="549">
        <f>AVERAGE('2027'!$V$227:$V$257)/Pc</f>
        <v>5.1393037681959539</v>
      </c>
      <c r="J70" s="549">
        <f>AVERAGE('2027'!$V$258:$V$287)/Pc</f>
        <v>4.1891561101420187</v>
      </c>
      <c r="K70" s="549">
        <f>AVERAGE('2027'!$V$288:$V$318)/Pc</f>
        <v>2.9663379986612735</v>
      </c>
      <c r="L70" s="549">
        <f>AVERAGE('2027'!$V$319:$V$348)/Pc</f>
        <v>2.0195250550482569</v>
      </c>
      <c r="M70" s="550">
        <f>AVERAGE('2027'!$V$349:$V$379)/Pc</f>
        <v>1.5864541402340151</v>
      </c>
      <c r="N70" s="556">
        <f>AVERAGE(B70:M70)</f>
        <v>4.0041449681753241</v>
      </c>
      <c r="O70" s="30"/>
      <c r="P70" s="149"/>
      <c r="Q70" s="345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8"/>
      <c r="B71" s="549"/>
      <c r="C71" s="549"/>
      <c r="D71" s="549"/>
      <c r="E71" s="551"/>
      <c r="F71" s="549"/>
      <c r="G71" s="549"/>
      <c r="H71" s="549"/>
      <c r="I71" s="549"/>
      <c r="J71" s="549"/>
      <c r="K71" s="549"/>
      <c r="L71" s="549"/>
      <c r="M71" s="550"/>
      <c r="N71" s="556"/>
      <c r="O71" s="30"/>
      <c r="P71" s="149"/>
      <c r="Q71" s="345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8"/>
      <c r="B72" s="549"/>
      <c r="C72" s="549"/>
      <c r="D72" s="549"/>
      <c r="E72" s="551"/>
      <c r="F72" s="549"/>
      <c r="G72" s="549"/>
      <c r="H72" s="549"/>
      <c r="I72" s="549"/>
      <c r="J72" s="549"/>
      <c r="K72" s="549"/>
      <c r="L72" s="549"/>
      <c r="M72" s="550"/>
      <c r="N72" s="556"/>
      <c r="O72" s="30"/>
      <c r="P72" s="149"/>
      <c r="Q72" s="345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8"/>
      <c r="B73" s="549"/>
      <c r="C73" s="549"/>
      <c r="D73" s="549"/>
      <c r="E73" s="551"/>
      <c r="F73" s="549"/>
      <c r="G73" s="549"/>
      <c r="H73" s="549"/>
      <c r="I73" s="549"/>
      <c r="J73" s="549"/>
      <c r="K73" s="549"/>
      <c r="L73" s="549"/>
      <c r="M73" s="550"/>
      <c r="N73" s="556"/>
      <c r="O73" s="30"/>
      <c r="P73" s="149"/>
      <c r="Q73" s="345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8"/>
      <c r="B74" s="549"/>
      <c r="C74" s="549"/>
      <c r="D74" s="549"/>
      <c r="E74" s="551"/>
      <c r="F74" s="549"/>
      <c r="G74" s="549"/>
      <c r="H74" s="549"/>
      <c r="I74" s="549"/>
      <c r="J74" s="549"/>
      <c r="K74" s="549"/>
      <c r="L74" s="549"/>
      <c r="M74" s="550"/>
      <c r="N74" s="556"/>
      <c r="O74" s="30"/>
      <c r="P74" s="149"/>
      <c r="Q74" s="345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8"/>
      <c r="B75" s="549"/>
      <c r="C75" s="549"/>
      <c r="D75" s="549"/>
      <c r="E75" s="551"/>
      <c r="F75" s="549"/>
      <c r="G75" s="549"/>
      <c r="H75" s="549"/>
      <c r="I75" s="549"/>
      <c r="J75" s="549"/>
      <c r="K75" s="549"/>
      <c r="L75" s="549"/>
      <c r="M75" s="550"/>
      <c r="N75" s="556"/>
      <c r="O75" s="30"/>
      <c r="P75" s="149"/>
      <c r="Q75" s="345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8"/>
      <c r="B76" s="549"/>
      <c r="C76" s="549"/>
      <c r="D76" s="549"/>
      <c r="E76" s="551"/>
      <c r="F76" s="549"/>
      <c r="G76" s="549"/>
      <c r="H76" s="549"/>
      <c r="I76" s="549"/>
      <c r="J76" s="549"/>
      <c r="K76" s="549"/>
      <c r="L76" s="549"/>
      <c r="M76" s="550"/>
      <c r="N76" s="556"/>
      <c r="O76" s="30"/>
      <c r="P76" s="149"/>
      <c r="Q76" s="345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8"/>
      <c r="B77" s="549"/>
      <c r="C77" s="549"/>
      <c r="D77" s="549"/>
      <c r="E77" s="551"/>
      <c r="F77" s="549"/>
      <c r="G77" s="549"/>
      <c r="H77" s="549"/>
      <c r="I77" s="549"/>
      <c r="J77" s="549"/>
      <c r="K77" s="549"/>
      <c r="L77" s="549"/>
      <c r="M77" s="550"/>
      <c r="N77" s="556"/>
      <c r="O77" s="30"/>
      <c r="P77" s="149"/>
      <c r="Q77" s="345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8"/>
      <c r="B78" s="549"/>
      <c r="C78" s="549"/>
      <c r="D78" s="549"/>
      <c r="E78" s="551"/>
      <c r="F78" s="549"/>
      <c r="G78" s="549"/>
      <c r="H78" s="549"/>
      <c r="I78" s="549"/>
      <c r="J78" s="549"/>
      <c r="K78" s="549"/>
      <c r="L78" s="549"/>
      <c r="M78" s="550"/>
      <c r="N78" s="556"/>
      <c r="O78" s="30"/>
      <c r="P78" s="149"/>
      <c r="Q78" s="345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8"/>
      <c r="B79" s="549"/>
      <c r="C79" s="549"/>
      <c r="D79" s="549"/>
      <c r="E79" s="551"/>
      <c r="F79" s="549"/>
      <c r="G79" s="549"/>
      <c r="H79" s="549"/>
      <c r="I79" s="549"/>
      <c r="J79" s="549"/>
      <c r="K79" s="549"/>
      <c r="L79" s="549"/>
      <c r="M79" s="550"/>
      <c r="N79" s="556"/>
      <c r="O79" s="30"/>
      <c r="P79" s="149"/>
      <c r="Q79" s="345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52"/>
      <c r="B80" s="553"/>
      <c r="C80" s="553"/>
      <c r="D80" s="553"/>
      <c r="E80" s="554"/>
      <c r="F80" s="553"/>
      <c r="G80" s="553"/>
      <c r="H80" s="553"/>
      <c r="I80" s="553"/>
      <c r="J80" s="553"/>
      <c r="K80" s="553"/>
      <c r="L80" s="553"/>
      <c r="M80" s="555"/>
      <c r="N80" s="557"/>
      <c r="O80" s="30"/>
      <c r="P80" s="149"/>
      <c r="Q80" s="345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C5:D5"/>
    <mergeCell ref="C2:D2"/>
    <mergeCell ref="C3:H3"/>
    <mergeCell ref="C4:D4"/>
    <mergeCell ref="K7:L7"/>
  </mergeCells>
  <conditionalFormatting sqref="M12:M30">
    <cfRule type="expression" dxfId="48" priority="5" stopIfTrue="1">
      <formula>K12&lt;&gt;""</formula>
    </cfRule>
  </conditionalFormatting>
  <conditionalFormatting sqref="N12:N30">
    <cfRule type="expression" dxfId="47" priority="4" stopIfTrue="1">
      <formula>$L12&lt;&gt;""</formula>
    </cfRule>
  </conditionalFormatting>
  <conditionalFormatting sqref="M55">
    <cfRule type="expression" dxfId="46" priority="3" stopIfTrue="1">
      <formula>K55&lt;&gt;""</formula>
    </cfRule>
  </conditionalFormatting>
  <conditionalFormatting sqref="N55">
    <cfRule type="expression" dxfId="45" priority="2" stopIfTrue="1">
      <formula>$L55&lt;&gt;""</formula>
    </cfRule>
  </conditionalFormatting>
  <conditionalFormatting sqref="L36:L54">
    <cfRule type="expression" dxfId="44" priority="1" stopIfTrue="1">
      <formula>K36&lt;&gt;""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0"/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6">
        <f>'2022'!An+1</f>
        <v>2023</v>
      </c>
      <c r="K1" s="1267"/>
      <c r="L1" s="113" t="str">
        <f>"Calcul pertes et enveloppes en "&amp;TEXT(An,0)</f>
        <v>Calcul pertes et enveloppes en 2023</v>
      </c>
      <c r="M1" s="245"/>
      <c r="N1" s="245"/>
      <c r="V1" s="460"/>
      <c r="W1" s="458"/>
      <c r="X1" s="489" t="str">
        <f>"Prévision sans nettoyage ni taille végétation en "&amp;TEXT(An,0)</f>
        <v>Prévision sans nettoyage ni taille végétation en 2023</v>
      </c>
      <c r="Y1" s="490"/>
      <c r="Z1" s="491"/>
      <c r="AA1" s="492"/>
      <c r="AB1" s="493"/>
      <c r="AC1" s="494"/>
      <c r="AD1" s="494"/>
      <c r="AE1" s="494"/>
      <c r="AF1" s="494"/>
      <c r="AG1" s="494"/>
      <c r="AH1" s="494"/>
      <c r="AI1" s="494"/>
      <c r="AL1" s="856" t="s">
        <v>270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6" t="s">
        <v>24</v>
      </c>
      <c r="P2" s="18"/>
      <c r="Q2" s="812"/>
      <c r="R2" s="18"/>
      <c r="S2" s="497"/>
      <c r="T2" s="497"/>
      <c r="U2" s="296" t="s">
        <v>79</v>
      </c>
      <c r="V2" s="498">
        <f>PertePVan</f>
        <v>8.5000000000000006E-3</v>
      </c>
      <c r="W2" s="452" t="s">
        <v>14</v>
      </c>
      <c r="X2" s="499"/>
      <c r="Y2" s="500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862" t="s">
        <v>262</v>
      </c>
      <c r="AK2" s="862" t="s">
        <v>264</v>
      </c>
      <c r="AL2" s="862" t="s">
        <v>263</v>
      </c>
      <c r="AM2" s="862" t="s">
        <v>265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6">
        <f>Tmaj</f>
        <v>44926</v>
      </c>
      <c r="F3" s="1276"/>
      <c r="G3" s="8"/>
      <c r="H3" s="26"/>
      <c r="I3" s="6"/>
      <c r="J3" s="34"/>
      <c r="K3" s="193"/>
      <c r="L3" s="54"/>
      <c r="M3" s="34"/>
      <c r="N3" s="34"/>
      <c r="O3" s="503"/>
      <c r="P3" s="34"/>
      <c r="Q3" s="503"/>
      <c r="R3" s="34"/>
      <c r="S3" s="515"/>
      <c r="T3" s="452"/>
      <c r="U3" s="211" t="s">
        <v>165</v>
      </c>
      <c r="V3" s="637">
        <f>Salim_i</f>
        <v>0.21</v>
      </c>
      <c r="W3" s="452"/>
      <c r="X3" s="504" t="s">
        <v>96</v>
      </c>
      <c r="Y3" s="505"/>
      <c r="Z3" s="506"/>
      <c r="AA3" s="500"/>
      <c r="AB3" s="500"/>
      <c r="AC3" s="430"/>
      <c r="AD3" s="430"/>
      <c r="AE3" s="430"/>
      <c r="AF3" s="430"/>
      <c r="AG3" s="430"/>
      <c r="AH3" s="430"/>
      <c r="AI3" s="430"/>
      <c r="AJ3" s="860">
        <f>AL11-AJ11</f>
        <v>0</v>
      </c>
      <c r="AK3" s="861">
        <f>AM11-AK11</f>
        <v>0</v>
      </c>
      <c r="AL3" s="860"/>
      <c r="AM3" s="861"/>
      <c r="AN3" s="859" t="s">
        <v>271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6" t="str">
        <f>Station</f>
        <v>Crèche Ayguesvives</v>
      </c>
      <c r="F4" s="1217"/>
      <c r="G4" s="1217"/>
      <c r="H4" s="1217"/>
      <c r="I4" s="1218"/>
      <c r="J4" s="158"/>
      <c r="K4" s="193"/>
      <c r="L4" s="508"/>
      <c r="M4" s="507"/>
      <c r="N4" s="507"/>
      <c r="O4" s="430"/>
      <c r="P4" s="34"/>
      <c r="Q4" s="507"/>
      <c r="R4" s="34"/>
      <c r="S4" s="497"/>
      <c r="T4" s="411"/>
      <c r="U4" s="297" t="s">
        <v>82</v>
      </c>
      <c r="V4" s="636">
        <f>Persistant</f>
        <v>1</v>
      </c>
      <c r="W4" s="510" t="s">
        <v>54</v>
      </c>
      <c r="X4" s="511"/>
      <c r="Y4" s="512"/>
      <c r="Z4" s="513" t="s">
        <v>27</v>
      </c>
      <c r="AA4" s="514" t="s">
        <v>28</v>
      </c>
      <c r="AB4" s="507"/>
      <c r="AC4" s="430"/>
      <c r="AD4" s="430"/>
      <c r="AE4" s="430"/>
      <c r="AF4" s="430"/>
      <c r="AG4" s="430"/>
      <c r="AH4" s="430"/>
      <c r="AI4" s="430"/>
      <c r="AJ4" s="860">
        <f>AL12-AJ12</f>
        <v>1005.0368561613833</v>
      </c>
      <c r="AK4" s="861">
        <f>AM12-AK12</f>
        <v>-12.781077411353209</v>
      </c>
      <c r="AL4" s="860"/>
      <c r="AM4" s="861"/>
      <c r="AN4" s="859" t="s">
        <v>272</v>
      </c>
    </row>
    <row r="5" spans="1:40" s="35" customFormat="1" ht="16.5" customHeight="1" x14ac:dyDescent="0.25">
      <c r="D5" s="161" t="s">
        <v>20</v>
      </c>
      <c r="E5" s="1277">
        <f>T0</f>
        <v>43313</v>
      </c>
      <c r="F5" s="1277"/>
      <c r="G5" s="34"/>
      <c r="H5" s="158"/>
      <c r="I5" s="158"/>
      <c r="K5" s="194"/>
      <c r="L5" s="508"/>
      <c r="M5" s="507"/>
      <c r="N5" s="507"/>
      <c r="O5" s="19"/>
      <c r="R5" s="39"/>
      <c r="S5" s="180"/>
      <c r="T5" s="180"/>
      <c r="U5" s="41"/>
      <c r="V5" s="509"/>
      <c r="W5" s="510"/>
      <c r="X5" s="511"/>
      <c r="Y5" s="512"/>
      <c r="Z5" s="238">
        <f>Wh_Psa_s-Wh_Psa</f>
        <v>1005.0368561613833</v>
      </c>
      <c r="AA5" s="239">
        <f>Wh_Pvg_s-Wh_Pvg</f>
        <v>-12.781077411353209</v>
      </c>
      <c r="AB5" s="516" t="s">
        <v>6</v>
      </c>
      <c r="AC5" s="510"/>
      <c r="AD5" s="510"/>
      <c r="AE5" s="510"/>
      <c r="AF5" s="510"/>
      <c r="AG5" s="510"/>
      <c r="AH5" s="510"/>
      <c r="AI5" s="510"/>
      <c r="AJ5" s="518">
        <f>SUMIF(AJ15:AJ380,"VRAI",Wh)</f>
        <v>0</v>
      </c>
      <c r="AK5" s="518">
        <f>SUMIF(AK15:AK380,"VRAI",Wh)</f>
        <v>0</v>
      </c>
      <c r="AL5" s="518">
        <f>SUMIF(AJ15:AJ380,"VRAI",Wh_s)</f>
        <v>0</v>
      </c>
      <c r="AM5" s="518">
        <f>SUMIF(AK15:AK380,"VRAI",Wh_s)</f>
        <v>0</v>
      </c>
      <c r="AN5" s="859" t="s">
        <v>268</v>
      </c>
    </row>
    <row r="6" spans="1:40" s="6" customFormat="1" ht="16.5" customHeight="1" x14ac:dyDescent="0.2">
      <c r="B6" s="8"/>
      <c r="C6" s="8"/>
      <c r="D6" s="161" t="s">
        <v>11</v>
      </c>
      <c r="E6" s="1278">
        <f>Tservice</f>
        <v>43354</v>
      </c>
      <c r="F6" s="1278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2"/>
      <c r="W6" s="464"/>
      <c r="X6" s="499"/>
      <c r="Y6" s="500"/>
      <c r="Z6" s="464"/>
      <c r="AA6" s="464"/>
      <c r="AB6" s="518"/>
      <c r="AC6" s="464"/>
      <c r="AD6" s="464"/>
      <c r="AE6" s="464"/>
      <c r="AF6" s="464"/>
      <c r="AG6" s="464"/>
      <c r="AH6" s="464"/>
      <c r="AI6" s="464"/>
      <c r="AJ6" s="518">
        <f>SUMIF(AJ15:AJ380,"FAUX",Wh)</f>
        <v>10157.517921997873</v>
      </c>
      <c r="AK6" s="518">
        <f>SUMIF(AK15:AK380,"FAUX",Wh)</f>
        <v>10157.517921997873</v>
      </c>
      <c r="AL6" s="518">
        <f>SUMIF(AJ15:AJ380,"FAUX",Wh_s)</f>
        <v>9152.3523810963707</v>
      </c>
      <c r="AM6" s="518">
        <f>SUMIF(AK15:AK380,"FAUX",Wh_s)</f>
        <v>9152.3523810963707</v>
      </c>
      <c r="AN6" s="859" t="s">
        <v>269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AND(YEAR(Tnet)=An,Resal_2023="I")</f>
        <v>0</v>
      </c>
      <c r="F7" s="322" t="b">
        <f>YEAR(Tnet)=An</f>
        <v>0</v>
      </c>
      <c r="J7" s="180"/>
      <c r="K7" s="193"/>
      <c r="L7" s="191" t="s">
        <v>81</v>
      </c>
      <c r="M7" s="870"/>
      <c r="N7" s="870"/>
      <c r="O7" s="18"/>
      <c r="P7" s="118"/>
      <c r="Q7" s="118"/>
      <c r="R7" s="141"/>
      <c r="S7" s="141"/>
      <c r="T7" s="141"/>
      <c r="U7" s="141"/>
      <c r="V7" s="430"/>
      <c r="W7" s="520"/>
      <c r="X7" s="521"/>
      <c r="Y7" s="250"/>
      <c r="Z7" s="520"/>
      <c r="AA7" s="520"/>
      <c r="AB7" s="520"/>
      <c r="AC7" s="520"/>
      <c r="AD7" s="250"/>
      <c r="AE7" s="250"/>
      <c r="AF7" s="495"/>
      <c r="AG7" s="495"/>
      <c r="AH7" s="495"/>
      <c r="AI7" s="520"/>
      <c r="AJ7" s="518">
        <f>SUMIF(AJ15:AJ380,"VRAI",Wh_pvt)</f>
        <v>0</v>
      </c>
      <c r="AK7" s="518">
        <f>SUMIF(AK15:AK380,"VRAI",Wh_sa)</f>
        <v>0</v>
      </c>
      <c r="AL7" s="518">
        <f>SUMIF(AJ15:AJ380,"VRAI",Wh_pvt_s)</f>
        <v>0</v>
      </c>
      <c r="AM7" s="518">
        <f>SUMIF(AK15:AK380,"VRAI",Wh_sa_s)</f>
        <v>0</v>
      </c>
      <c r="AN7" s="859" t="s">
        <v>260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AND(YEAR(Tnet)=An,Resal_2023&lt;&gt;"I")</f>
        <v>0</v>
      </c>
      <c r="F8" s="323" t="b">
        <f>YEAR(Ttai)=An</f>
        <v>0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20"/>
      <c r="W8" s="406"/>
      <c r="X8" s="1264" t="s">
        <v>102</v>
      </c>
      <c r="Y8" s="1265"/>
      <c r="Z8" s="500"/>
      <c r="AA8" s="500"/>
      <c r="AB8" s="464"/>
      <c r="AC8" s="522" t="s">
        <v>61</v>
      </c>
      <c r="AD8" s="464"/>
      <c r="AE8" s="464"/>
      <c r="AF8" s="464"/>
      <c r="AG8" s="464"/>
      <c r="AH8" s="464"/>
      <c r="AI8" s="464"/>
      <c r="AJ8" s="518">
        <f>SUMIF(AJ15:AJ380,"FAUX",Wh_pvt)</f>
        <v>10589.157996932858</v>
      </c>
      <c r="AK8" s="518">
        <f>SUMIF(AK15:AK380,"FAUX",Wh_sa)</f>
        <v>11405.88412462051</v>
      </c>
      <c r="AL8" s="518">
        <f>SUMIF(AJ15:AJ380,"FAUX",Wh_pvt_s)</f>
        <v>9541.3905309289148</v>
      </c>
      <c r="AM8" s="518">
        <f>SUMIF(AK15:AK380,"FAUX",Wh_sa_s)</f>
        <v>11405.88412462051</v>
      </c>
      <c r="AN8" s="859" t="s">
        <v>261</v>
      </c>
    </row>
    <row r="9" spans="1:40" s="19" customFormat="1" ht="15" customHeight="1" x14ac:dyDescent="0.25">
      <c r="A9" s="34"/>
      <c r="B9" s="212"/>
      <c r="C9" s="212"/>
      <c r="D9" s="186">
        <f>SUM(D$15:D$380)</f>
        <v>10589.157996932858</v>
      </c>
      <c r="E9" s="186">
        <f>SUM(E$15:E$380)</f>
        <v>11405.88412462051</v>
      </c>
      <c r="F9" s="186">
        <f>SUM(F$15:F$380)</f>
        <v>11550.914452471736</v>
      </c>
      <c r="H9" s="1268">
        <f>+SUM(Wh)</f>
        <v>10157.517921997873</v>
      </c>
      <c r="I9" s="1269"/>
      <c r="J9" s="1270"/>
      <c r="K9" s="193"/>
      <c r="L9" s="234"/>
      <c r="M9" s="234"/>
      <c r="N9" s="234"/>
      <c r="O9" s="225">
        <f>Tnet_2023</f>
        <v>44854</v>
      </c>
      <c r="P9" s="246" t="s">
        <v>91</v>
      </c>
      <c r="Q9" s="247"/>
      <c r="R9" s="247"/>
      <c r="S9" s="247"/>
      <c r="T9" s="247"/>
      <c r="U9" s="248"/>
      <c r="V9" s="464"/>
      <c r="W9" s="523"/>
      <c r="X9" s="1262">
        <f>+SUM(Wh_s)</f>
        <v>9152.3523810963707</v>
      </c>
      <c r="Y9" s="1263"/>
      <c r="Z9" s="518">
        <f>SUM(Z$15:Z$380)</f>
        <v>9541.3905309289148</v>
      </c>
      <c r="AA9" s="518">
        <f>SUM(AA$15:AA$380)</f>
        <v>11405.88412462051</v>
      </c>
      <c r="AB9" s="518">
        <f>F9</f>
        <v>11550.914452471736</v>
      </c>
      <c r="AC9" s="327">
        <f>IF(An_Tnet,Tnet,'2022'!Tnet_s)</f>
        <v>44854</v>
      </c>
      <c r="AD9" s="318" t="s">
        <v>91</v>
      </c>
      <c r="AE9" s="318"/>
      <c r="AF9" s="318"/>
      <c r="AG9" s="318"/>
      <c r="AH9" s="318"/>
      <c r="AI9" s="319"/>
      <c r="AJ9" s="518">
        <f>SUMIF(AJ15:AJ380,"VRAI",Wh_sa)</f>
        <v>0</v>
      </c>
      <c r="AK9" s="518">
        <f>SUMIF(AK15:AK380,"VRAI",Wh_hp)</f>
        <v>0</v>
      </c>
      <c r="AL9" s="518">
        <f>SUMIF(AJ15:AJ380,"VRAI",Wh_sa_s)</f>
        <v>0</v>
      </c>
      <c r="AM9" s="518">
        <f>SUMIF(AK15:AK380,"VRAI",Wh_hp)</f>
        <v>0</v>
      </c>
      <c r="AN9" s="859" t="s">
        <v>266</v>
      </c>
    </row>
    <row r="10" spans="1:40" s="19" customFormat="1" ht="15" customHeight="1" x14ac:dyDescent="0.25">
      <c r="A10" s="208"/>
      <c r="B10" s="209"/>
      <c r="C10" s="866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IF(Inflex,'2022'!Resal+('2022'!Salim-'2022'!Resal)*(1-EXP(-(Tnet-'2022'!Tnet)/('2022'!Tau_j))),IF(An_Tnet,Resal_2023,'2022'!Resal))</f>
        <v>2.1999999999999999E-2</v>
      </c>
      <c r="P10" s="423" t="b">
        <f>NOT(Acti_tai)</f>
        <v>1</v>
      </c>
      <c r="Q10" s="259">
        <f>IF(Acti_tai,'2022'!PousD,Dens-Dd)</f>
        <v>0</v>
      </c>
      <c r="R10" s="276"/>
      <c r="S10" s="277"/>
      <c r="T10" s="278"/>
      <c r="U10" s="268">
        <f>IF(Acti_tai,'2022'!PousH,Hdtf-Hdd)</f>
        <v>0.60022433765500394</v>
      </c>
      <c r="V10" s="430"/>
      <c r="W10" s="507"/>
      <c r="X10" s="508"/>
      <c r="Y10" s="524" t="s">
        <v>26</v>
      </c>
      <c r="Z10" s="514" t="s">
        <v>27</v>
      </c>
      <c r="AA10" s="514" t="s">
        <v>28</v>
      </c>
      <c r="AB10" s="430"/>
      <c r="AC10" s="320">
        <f>IF(OR(Inflex,GainD),'2022'!Resal_s+('2022'!Salim-'2022'!Resal_s)*(1-EXP(('2022'!Tnet_s-Tnet)/('2022'!Tau_j))),IF(Acti_net,'2022'!Resal+('2022'!Salim-'2022'!Resal)*(1-EXP(('2022'!Tnet-Tnet)/'2022'!Tau_j)),'2022'!Resal_s))</f>
        <v>0.13769041681018965</v>
      </c>
      <c r="AD10" s="430"/>
      <c r="AE10" s="430"/>
      <c r="AF10" s="262"/>
      <c r="AG10" s="263"/>
      <c r="AH10" s="264"/>
      <c r="AI10" s="475"/>
      <c r="AJ10" s="518">
        <f>SUMIF(AJ15:AJ380,"FAUX",Wh_sa)</f>
        <v>11405.88412462051</v>
      </c>
      <c r="AK10" s="518">
        <f>SUMIF(AK15:AK380,"FAUX",Wh_hp)</f>
        <v>11550.914452471736</v>
      </c>
      <c r="AL10" s="518">
        <f>SUMIF(AJ15:AJ380,"FAUX",Wh_sa_s)</f>
        <v>11405.88412462051</v>
      </c>
      <c r="AM10" s="518">
        <f>SUMIF(AK15:AK380,"FAUX",Wh_hp)</f>
        <v>11550.914452471736</v>
      </c>
      <c r="AN10" s="859" t="s">
        <v>267</v>
      </c>
    </row>
    <row r="11" spans="1:40" s="40" customFormat="1" ht="15" customHeight="1" x14ac:dyDescent="0.25">
      <c r="A11" s="218"/>
      <c r="B11" s="219" t="s">
        <v>43</v>
      </c>
      <c r="C11" s="867"/>
      <c r="D11" s="50">
        <f>D$9-Prod_an</f>
        <v>431.64007493498502</v>
      </c>
      <c r="E11" s="51">
        <f>(E$9-D$9)*Prod_an/D$9</f>
        <v>783.43436576866236</v>
      </c>
      <c r="F11" s="188">
        <f>(F$9-E$9)*Prod_an/E$9</f>
        <v>129.15685783639898</v>
      </c>
      <c r="G11" s="187" t="s">
        <v>6</v>
      </c>
      <c r="K11" s="196"/>
      <c r="L11" s="213">
        <f>Tvie_2023</f>
        <v>43313</v>
      </c>
      <c r="M11" s="871"/>
      <c r="N11" s="871"/>
      <c r="O11" s="204">
        <f>IF(An_Tnet,Salim_2023,'2022'!Salim)</f>
        <v>0.22</v>
      </c>
      <c r="P11" s="258">
        <f>Ttai_2023</f>
        <v>43101</v>
      </c>
      <c r="Q11" s="274">
        <f>Dens_2023</f>
        <v>0.9</v>
      </c>
      <c r="R11" s="279"/>
      <c r="S11" s="232"/>
      <c r="T11" s="232"/>
      <c r="U11" s="268">
        <f>Htf_2023</f>
        <v>1.1004484891493691</v>
      </c>
      <c r="V11" s="430"/>
      <c r="W11" s="521"/>
      <c r="X11" s="528" t="s">
        <v>43</v>
      </c>
      <c r="Y11" s="50">
        <f>Z$9-Prod_an_s</f>
        <v>389.03814983254415</v>
      </c>
      <c r="Z11" s="51">
        <f>(AA$9-Z$9)*Prod_an_s/Z$9</f>
        <v>1788.4712219300457</v>
      </c>
      <c r="AA11" s="188">
        <f>(AB$9-AA$9)*Prod_an_s/AA$9</f>
        <v>116.37578042504578</v>
      </c>
      <c r="AB11" s="529" t="s">
        <v>6</v>
      </c>
      <c r="AC11" s="327"/>
      <c r="AD11" s="430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60">
        <f>IF($AJ7=0,0,($AJ9-$AJ7)*$AJ5/$AJ7)</f>
        <v>0</v>
      </c>
      <c r="AK11" s="861">
        <f>IF($AK7=0,0,($AK9-$AK7)*$AK5/$AK7)</f>
        <v>0</v>
      </c>
      <c r="AL11" s="860">
        <f>IF($AL7=0,0,($AL9-$AL7)*$AL5/$AL7)</f>
        <v>0</v>
      </c>
      <c r="AM11" s="861">
        <f>IF($AM7=0,0,($AM9-$AM7)*$AM5/$AM7)</f>
        <v>0</v>
      </c>
      <c r="AN11" s="859" t="s">
        <v>273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3.7798110649190475E-2</v>
      </c>
      <c r="K12" s="193"/>
      <c r="L12" s="214">
        <f>Pspv_2023</f>
        <v>0</v>
      </c>
      <c r="M12" s="214"/>
      <c r="N12" s="214"/>
      <c r="O12" s="207">
        <f>IF(An_Tnet,Tau_2023*365,'2022'!Tau_j)</f>
        <v>912.5</v>
      </c>
      <c r="P12" s="283">
        <f>INDEX(Croivg,MIN(MAX(Ttai-$A$15,0)+1,366))</f>
        <v>2.3909964587625958E-6</v>
      </c>
      <c r="Q12" s="282">
        <f>'2022'!Df</f>
        <v>0.9</v>
      </c>
      <c r="R12" s="280"/>
      <c r="S12" s="281"/>
      <c r="T12" s="281"/>
      <c r="U12" s="269">
        <f>'2022'!Hdf</f>
        <v>0.50022415149436517</v>
      </c>
      <c r="V12" s="40"/>
      <c r="W12" s="34"/>
      <c r="X12" s="54"/>
      <c r="Y12" s="34"/>
      <c r="AB12" s="321" t="s">
        <v>106</v>
      </c>
      <c r="AC12" s="320" t="b">
        <f>NOT(An_Tnet)</f>
        <v>1</v>
      </c>
      <c r="AE12" s="298">
        <f>'2022'!Df_s</f>
        <v>0.9</v>
      </c>
      <c r="AF12" s="205"/>
      <c r="AG12" s="205"/>
      <c r="AH12" s="205"/>
      <c r="AI12" s="299">
        <f>'2022'!Hdf_s</f>
        <v>0.50022415149436517</v>
      </c>
      <c r="AJ12" s="860">
        <f>IF($AJ8=0,0,($AJ10-$AJ8)*$AJ6/$AJ8)</f>
        <v>783.43436576866236</v>
      </c>
      <c r="AK12" s="861">
        <f>IF($AK8=0,0,($AK10-$AK8)*$AK6/$AK8)</f>
        <v>129.15685783639898</v>
      </c>
      <c r="AL12" s="860">
        <f>IF($AL8=0,0,($AL10-$AL8)*$AL6/$AL8)</f>
        <v>1788.4712219300457</v>
      </c>
      <c r="AM12" s="861">
        <f>IF($AM8=0,0,($AM10-$AM8)*$AM6/$AM8)</f>
        <v>116.37578042504578</v>
      </c>
      <c r="AN12" s="859" t="s">
        <v>274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205</v>
      </c>
      <c r="V13" s="124" t="s">
        <v>41</v>
      </c>
      <c r="W13" s="864" t="s">
        <v>46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209</v>
      </c>
      <c r="AJ13" s="73">
        <f>+AJ11+AJ12</f>
        <v>783.43436576866236</v>
      </c>
      <c r="AK13" s="73">
        <f>+AK11+AK12</f>
        <v>129.15685783639898</v>
      </c>
      <c r="AL13" s="73">
        <f>+AL11+AL12</f>
        <v>1788.4712219300457</v>
      </c>
      <c r="AM13" s="73">
        <f>+AM11+AM12</f>
        <v>116.37578042504578</v>
      </c>
      <c r="AN13" s="858" t="s">
        <v>275</v>
      </c>
    </row>
    <row r="14" spans="1:40" s="46" customFormat="1" ht="40.5" customHeight="1" thickBot="1" x14ac:dyDescent="0.25">
      <c r="A14" s="45" t="s">
        <v>2</v>
      </c>
      <c r="B14" s="418" t="s">
        <v>190</v>
      </c>
      <c r="C14" s="418"/>
      <c r="D14" s="53" t="s">
        <v>30</v>
      </c>
      <c r="E14" s="162" t="s">
        <v>29</v>
      </c>
      <c r="F14" s="162" t="str">
        <f>"Hors pertes "&amp; TEXT(An,0)</f>
        <v>Hors pertes 2023</v>
      </c>
      <c r="G14" s="107" t="s">
        <v>42</v>
      </c>
      <c r="H14" s="415" t="s">
        <v>117</v>
      </c>
      <c r="I14" s="417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206</v>
      </c>
      <c r="S14" s="174" t="s">
        <v>207</v>
      </c>
      <c r="T14" s="174" t="s">
        <v>208</v>
      </c>
      <c r="U14" s="108" t="s">
        <v>204</v>
      </c>
      <c r="V14" s="45" t="str">
        <f>"Enveloppe "&amp; TEXT(An,0)</f>
        <v>Enveloppe 2023</v>
      </c>
      <c r="W14" s="865" t="s">
        <v>116</v>
      </c>
      <c r="X14" s="260" t="s">
        <v>2</v>
      </c>
      <c r="Y14" s="107" t="str">
        <f>"Wh / Jour "&amp; TEXT(An,0)</f>
        <v>Wh / Jour 2023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206</v>
      </c>
      <c r="AG14" s="174" t="s">
        <v>207</v>
      </c>
      <c r="AH14" s="174" t="s">
        <v>208</v>
      </c>
      <c r="AI14" s="108" t="s">
        <v>211</v>
      </c>
      <c r="AJ14" s="705" t="s">
        <v>258</v>
      </c>
      <c r="AK14" s="705" t="s">
        <v>259</v>
      </c>
      <c r="AL14" s="267"/>
      <c r="AM14" s="267"/>
      <c r="AN14" s="75"/>
    </row>
    <row r="15" spans="1:40" s="6" customFormat="1" ht="11.25" x14ac:dyDescent="0.2">
      <c r="A15" s="129">
        <f>DATE(An,1,1)</f>
        <v>44927</v>
      </c>
      <c r="B15" s="412">
        <f>'2022'!Wh/'2022'!Env_an*'2023'!Env_an</f>
        <v>15.845990118019856</v>
      </c>
      <c r="C15" s="868"/>
      <c r="D15" s="395">
        <f t="shared" ref="D15:D78" si="0">Wh/(1-Ppv)</f>
        <v>16.452493624940846</v>
      </c>
      <c r="E15" s="402">
        <f t="shared" ref="E15:E79" si="1">Wh_pvt/(1-Psa)</f>
        <v>17.089110614888188</v>
      </c>
      <c r="F15" s="402">
        <f t="shared" ref="F15:F78" si="2">Wh_sa/(1-Pvg*MEDIAN((-Sdif+Wh/Env_an)/Csdif,0,1))</f>
        <v>19.096733183956804</v>
      </c>
      <c r="G15" s="123">
        <f>+Wh_hp/MaxiM</f>
        <v>1.0132092907872867</v>
      </c>
      <c r="H15" s="416" t="b">
        <f>Wh_hp&gt;='2022'!Maxi_hp</f>
        <v>1</v>
      </c>
      <c r="I15" s="398">
        <f>IF(H15,Wh_hp,'2022'!Maxi_hp)</f>
        <v>19.096733183956804</v>
      </c>
      <c r="J15" s="84">
        <f>IF(H15,An,'2022'!An_max)</f>
        <v>2023</v>
      </c>
      <c r="K15" s="199">
        <f t="shared" ref="K15:K78" si="3">t</f>
        <v>44927</v>
      </c>
      <c r="L15" s="146">
        <f>IF(t&lt;Tvie,1-EXP((T0-t)*PertePVj)+'2022'!Pspv,1-EXP((T0-t)*PertePVj)+Pspv)</f>
        <v>3.6863925964485622E-2</v>
      </c>
      <c r="M15" s="872"/>
      <c r="N15" s="872"/>
      <c r="O15" s="48">
        <f>IF(t&lt;Tnet,'2022'!Resal+('2022'!Salim-'2022'!Resal)*(1-EXP(('2022'!Tnet-t)/('2022'!Tau_j))),Resal+(Salim-Resal)*(1-EXP((Tnet-t)/(Tau_j))))*Salcycl</f>
        <v>3.7252786543069967E-2</v>
      </c>
      <c r="P15" s="304">
        <f>(INDEX(Models!$BJ15:$BT15,,T15)*(1-R15)+INDEX(Models!$BJ15:$BT15,,T15+1)*R15-ERP_i)*Q15*Ramure*Pc/MaxiM</f>
        <v>0.10512911028967105</v>
      </c>
      <c r="Q15" s="305">
        <f t="shared" ref="Q15:Q78" si="4">IF(OR(t&lt;Ttai,Notai),Dd+PousD*Croivg,Dens+PousD*(Croivg-Croi_tai))</f>
        <v>0.9</v>
      </c>
      <c r="R15" s="306">
        <f t="shared" ref="R15:R78" si="5">(Hp_vg-S15)/(INDEX(Echel_vg,T15+1)-S15)</f>
        <v>0.50022558662863092</v>
      </c>
      <c r="S15" s="838">
        <f t="shared" ref="S15:S78" si="6">INDEX(Echel_vg,T15)</f>
        <v>0</v>
      </c>
      <c r="T15" s="251">
        <f t="shared" ref="T15:T78" si="7">MIN(MATCH(Hp_vg,Echel_vg),10)</f>
        <v>6</v>
      </c>
      <c r="U15" s="253">
        <f t="shared" ref="U15:U78" si="8">IF(OR(t&lt;Ttai,Notai),Hdd+PousH*Croivg,Hdtf+PousH*(Croivg-Croi_tai))</f>
        <v>0.50022558662863092</v>
      </c>
      <c r="V15" s="384">
        <f t="shared" ref="V15:V78" si="9">MaxiM*(1-Ppv)*(1-Pvg)*(1-Psa)</f>
        <v>15.639404673941709</v>
      </c>
      <c r="W15" s="404">
        <f t="shared" ref="W15:W78" si="10">Wh*(A15&gt;Tmaj)</f>
        <v>15.845990118019856</v>
      </c>
      <c r="X15" s="156">
        <f t="shared" ref="X15:X78" si="11">t</f>
        <v>44927</v>
      </c>
      <c r="Y15" s="387">
        <f t="shared" ref="Y15:Y78" si="12">Wh_pvt_s*(1-Ppv)</f>
        <v>14.086816286298399</v>
      </c>
      <c r="Z15" s="387">
        <f>Wh_sa_s*(1-Psa_s)</f>
        <v>14.625987610738134</v>
      </c>
      <c r="AA15" s="388">
        <f t="shared" ref="AA15:AA78" si="13">Wh_hp*(1-Pvg_s*MEDIAN((-Sdif+Wh/Env_an)/Csdif,0,1))</f>
        <v>17.089110614888188</v>
      </c>
      <c r="AB15" s="199">
        <f t="shared" ref="AB15:AB78" si="14">t</f>
        <v>44927</v>
      </c>
      <c r="AC15" s="119">
        <f>IF(OR(t&lt;Tnet,NoTnet),'2022'!Resal_s+('2022'!Salim-'2022'!Resal_s)*(1-EXP(('2022'!Tnet_s-t)/'2022'!Tau_j)),Resal_s+(Salim-Resal_s)*(1-EXP((Tnet_s-t)/Tau_j)))*Salcycl</f>
        <v>0.14413406640390983</v>
      </c>
      <c r="AD15" s="233">
        <f>(INDEX(Models!$BJ15:$BT15,,AH15)*(1-AF15)+INDEX(Models!$BJ15:$BT15,,AH15+1)*AF15-ERP_i)*AE15*Ramure*Pc/MaxiM</f>
        <v>0.10512911028967105</v>
      </c>
      <c r="AE15" s="305">
        <f t="shared" ref="AE15:AE78" si="15">IF(OR(t&lt;Ttai,Notai),Dd_s+PousD*Croivg,Dens_s+PousD*(Croivg-Croi_tai))</f>
        <v>0.9</v>
      </c>
      <c r="AF15" s="306">
        <f>(Hp_vg_s-AG15)/(INDEX(Echel_vg,AH15+1)-AG15)</f>
        <v>0.50022558662863092</v>
      </c>
      <c r="AG15" s="838">
        <f>INDEX(Echel_vg,AH15)</f>
        <v>0</v>
      </c>
      <c r="AH15" s="251">
        <f t="shared" ref="AH15:AH78" si="16">MIN(MATCH(Hp_vg_s,Echel_vg),10)</f>
        <v>6</v>
      </c>
      <c r="AI15" s="226">
        <f t="shared" ref="AI15:AI78" si="17">IF(OR(t&lt;Ttai,Notai),Hdd_s+PousH*Croivg,Hdtai_s+PousH*(Croivg-Croi_tai))</f>
        <v>0.50022558662863092</v>
      </c>
      <c r="AJ15" s="267" t="b">
        <f t="shared" ref="AJ15:AJ78" si="18">t&lt;Tnet</f>
        <v>0</v>
      </c>
      <c r="AK15" s="267" t="b">
        <f t="shared" ref="AK15:AK78" si="19">t&lt;Ttai</f>
        <v>0</v>
      </c>
      <c r="AL15" s="267"/>
      <c r="AM15" s="267"/>
      <c r="AN15" s="75"/>
    </row>
    <row r="16" spans="1:40" s="6" customFormat="1" ht="11.25" x14ac:dyDescent="0.2">
      <c r="A16" s="56">
        <f t="shared" ref="A16:A79" si="20">A15+1</f>
        <v>44928</v>
      </c>
      <c r="B16" s="413">
        <f>'2022'!Wh/'2022'!Env_an*'2023'!Env_an</f>
        <v>13.576233931075363</v>
      </c>
      <c r="C16" s="868"/>
      <c r="D16" s="395">
        <f t="shared" si="0"/>
        <v>14.096190811688412</v>
      </c>
      <c r="E16" s="387">
        <f t="shared" si="1"/>
        <v>14.644648187357843</v>
      </c>
      <c r="F16" s="387">
        <f t="shared" si="2"/>
        <v>15.975972110146312</v>
      </c>
      <c r="G16" s="110">
        <f t="shared" ref="G16:G79" si="21">+Wh_hp/MaxiM</f>
        <v>0.84162482841450814</v>
      </c>
      <c r="H16" s="416" t="b">
        <f>Wh_hp&gt;='2022'!Maxi_hp</f>
        <v>0</v>
      </c>
      <c r="I16" s="392">
        <f>IF(H16,Wh_hp,'2022'!Maxi_hp)</f>
        <v>17.78447596879985</v>
      </c>
      <c r="J16" s="85">
        <f>IF(H16,An,'2022'!An_max)</f>
        <v>2020</v>
      </c>
      <c r="K16" s="199">
        <f t="shared" si="3"/>
        <v>44928</v>
      </c>
      <c r="L16" s="147">
        <f>IF(t&lt;Tvie,1-EXP((T0-t)*PertePVj)+'2022'!Pspv,1-EXP((T0-t)*PertePVj)+Pspv)</f>
        <v>3.6886339547979707E-2</v>
      </c>
      <c r="M16" s="872"/>
      <c r="N16" s="872"/>
      <c r="O16" s="48">
        <f>IF(t&lt;Tnet,'2022'!Resal+('2022'!Salim-'2022'!Resal)*(1-EXP(('2022'!Tnet-t)/('2022'!Tau_j))),Resal+(Salim-Resal)*(1-EXP((Tnet-t)/(Tau_j))))*Salcycl</f>
        <v>3.7451044822155118E-2</v>
      </c>
      <c r="P16" s="171">
        <f>(INDEX(Models!$BJ16:$BT16,,T16)*(1-R16)+INDEX(Models!$BJ16:$BT16,,T16+1)*R16-ERP_i)*Q16*Ramure*Pc/MaxiM</f>
        <v>0.10397745641795658</v>
      </c>
      <c r="Q16" s="307">
        <f t="shared" si="4"/>
        <v>0.9</v>
      </c>
      <c r="R16" s="179">
        <f t="shared" si="5"/>
        <v>0.50026065727330005</v>
      </c>
      <c r="S16" s="839">
        <f t="shared" si="6"/>
        <v>0</v>
      </c>
      <c r="T16" s="178">
        <f t="shared" si="7"/>
        <v>6</v>
      </c>
      <c r="U16" s="253">
        <f t="shared" si="8"/>
        <v>0.50026065727330005</v>
      </c>
      <c r="V16" s="385">
        <f t="shared" si="9"/>
        <v>15.767689565358689</v>
      </c>
      <c r="W16" s="404">
        <f t="shared" si="10"/>
        <v>13.576233931075363</v>
      </c>
      <c r="X16" s="157">
        <f t="shared" si="11"/>
        <v>44928</v>
      </c>
      <c r="Y16" s="387">
        <f t="shared" si="12"/>
        <v>12.070466542858991</v>
      </c>
      <c r="Z16" s="387">
        <f t="shared" ref="Z16:Z78" si="22">Wh_sa_s*(1-Psa_s)</f>
        <v>12.532753960933263</v>
      </c>
      <c r="AA16" s="388">
        <f t="shared" si="13"/>
        <v>14.644648187357843</v>
      </c>
      <c r="AB16" s="199">
        <f t="shared" si="14"/>
        <v>44928</v>
      </c>
      <c r="AC16" s="119">
        <f>IF(OR(t&lt;Tnet,NoTnet),'2022'!Resal_s+('2022'!Salim-'2022'!Resal_s)*(1-EXP(('2022'!Tnet_s-t)/'2022'!Tau_j)),Resal_s+(Salim-Resal_s)*(1-EXP((Tnet_s-t)/Tau_j)))*Salcycl</f>
        <v>0.14420928378789577</v>
      </c>
      <c r="AD16" s="233">
        <f>(INDEX(Models!$BJ16:$BT16,,AH16)*(1-AF16)+INDEX(Models!$BJ16:$BT16,,AH16+1)*AF16-ERP_i)*AE16*Ramure*Pc/MaxiM</f>
        <v>0.10397745641795658</v>
      </c>
      <c r="AE16" s="307">
        <f t="shared" si="15"/>
        <v>0.9</v>
      </c>
      <c r="AF16" s="179">
        <f t="shared" ref="AF16:AF78" si="23">(Hp_vg_s-AG16)/(INDEX(Echel_vg,AH16+1)-AG16)</f>
        <v>0.50026065727330005</v>
      </c>
      <c r="AG16" s="839">
        <f t="shared" ref="AG16:AG79" si="24">INDEX(Echel_vg,AH16)</f>
        <v>0</v>
      </c>
      <c r="AH16" s="178">
        <f t="shared" si="16"/>
        <v>6</v>
      </c>
      <c r="AI16" s="227">
        <f t="shared" si="17"/>
        <v>0.50026065727330005</v>
      </c>
      <c r="AJ16" s="267" t="b">
        <f t="shared" si="18"/>
        <v>0</v>
      </c>
      <c r="AK16" s="267" t="b">
        <f t="shared" si="19"/>
        <v>0</v>
      </c>
      <c r="AL16" s="267"/>
      <c r="AM16" s="267"/>
      <c r="AN16" s="75"/>
    </row>
    <row r="17" spans="1:40" s="6" customFormat="1" ht="11.25" x14ac:dyDescent="0.2">
      <c r="A17" s="56">
        <f t="shared" si="20"/>
        <v>44929</v>
      </c>
      <c r="B17" s="413">
        <f>'2022'!Wh/'2022'!Env_an*'2023'!Env_an</f>
        <v>13.190487706351732</v>
      </c>
      <c r="C17" s="868"/>
      <c r="D17" s="395">
        <f t="shared" si="0"/>
        <v>13.695989598178343</v>
      </c>
      <c r="E17" s="387">
        <f t="shared" si="1"/>
        <v>14.231805398874357</v>
      </c>
      <c r="F17" s="387">
        <f t="shared" si="2"/>
        <v>15.43059393917761</v>
      </c>
      <c r="G17" s="110">
        <f t="shared" si="21"/>
        <v>0.80679620295101739</v>
      </c>
      <c r="H17" s="416" t="b">
        <f>Wh_hp&gt;='2022'!Maxi_hp</f>
        <v>0</v>
      </c>
      <c r="I17" s="392">
        <f>IF(H17,Wh_hp,'2022'!Maxi_hp)</f>
        <v>19.408966249247889</v>
      </c>
      <c r="J17" s="85">
        <f>IF(H17,An,'2022'!An_max)</f>
        <v>2019</v>
      </c>
      <c r="K17" s="199">
        <f t="shared" si="3"/>
        <v>44929</v>
      </c>
      <c r="L17" s="147">
        <f>IF(t&lt;Tvie,1-EXP((T0-t)*PertePVj)+'2022'!Pspv,1-EXP((T0-t)*PertePVj)+Pspv)</f>
        <v>3.6908752609876916E-2</v>
      </c>
      <c r="M17" s="872"/>
      <c r="N17" s="872"/>
      <c r="O17" s="48">
        <f>IF(t&lt;Tnet,'2022'!Resal+('2022'!Salim-'2022'!Resal)*(1-EXP(('2022'!Tnet-t)/('2022'!Tau_j))),Resal+(Salim-Resal)*(1-EXP((Tnet-t)/(Tau_j))))*Salcycl</f>
        <v>3.7649179824956976E-2</v>
      </c>
      <c r="P17" s="171">
        <f>(INDEX(Models!$BJ17:$BT17,,T17)*(1-R17)+INDEX(Models!$BJ17:$BT17,,T17+1)*R17-ERP_i)*Q17*Ramure*Pc/MaxiM</f>
        <v>0.102739786289148</v>
      </c>
      <c r="Q17" s="307">
        <f t="shared" si="4"/>
        <v>0.9</v>
      </c>
      <c r="R17" s="179">
        <f t="shared" si="5"/>
        <v>0.50029719484403645</v>
      </c>
      <c r="S17" s="839">
        <f t="shared" si="6"/>
        <v>0</v>
      </c>
      <c r="T17" s="178">
        <f t="shared" si="7"/>
        <v>6</v>
      </c>
      <c r="U17" s="253">
        <f t="shared" si="8"/>
        <v>0.50029719484403645</v>
      </c>
      <c r="V17" s="385">
        <f t="shared" si="9"/>
        <v>15.905160819572854</v>
      </c>
      <c r="W17" s="404">
        <f t="shared" si="10"/>
        <v>13.190487706351732</v>
      </c>
      <c r="X17" s="157">
        <f t="shared" si="11"/>
        <v>44929</v>
      </c>
      <c r="Y17" s="387">
        <f t="shared" si="12"/>
        <v>11.728882922041617</v>
      </c>
      <c r="Z17" s="387">
        <f t="shared" si="22"/>
        <v>12.17837141997258</v>
      </c>
      <c r="AA17" s="388">
        <f t="shared" si="13"/>
        <v>14.231805398874357</v>
      </c>
      <c r="AB17" s="199">
        <f t="shared" si="14"/>
        <v>44929</v>
      </c>
      <c r="AC17" s="119">
        <f>IF(OR(t&lt;Tnet,NoTnet),'2022'!Resal_s+('2022'!Salim-'2022'!Resal_s)*(1-EXP(('2022'!Tnet_s-t)/'2022'!Tau_j)),Resal_s+(Salim-Resal_s)*(1-EXP((Tnet_s-t)/Tau_j)))*Salcycl</f>
        <v>0.14428485503773056</v>
      </c>
      <c r="AD17" s="233">
        <f>(INDEX(Models!$BJ17:$BT17,,AH17)*(1-AF17)+INDEX(Models!$BJ17:$BT17,,AH17+1)*AF17-ERP_i)*AE17*Ramure*Pc/MaxiM</f>
        <v>0.102739786289148</v>
      </c>
      <c r="AE17" s="307">
        <f t="shared" si="15"/>
        <v>0.9</v>
      </c>
      <c r="AF17" s="179">
        <f>(Hp_vg_s-AG17)/(INDEX(Echel_vg,AH17+1)-AG17)</f>
        <v>0.50029719484403645</v>
      </c>
      <c r="AG17" s="839">
        <f>INDEX(Echel_vg,AH17)</f>
        <v>0</v>
      </c>
      <c r="AH17" s="178">
        <f t="shared" si="16"/>
        <v>6</v>
      </c>
      <c r="AI17" s="227">
        <f t="shared" si="17"/>
        <v>0.50029719484403645</v>
      </c>
      <c r="AJ17" s="267" t="b">
        <f t="shared" si="18"/>
        <v>0</v>
      </c>
      <c r="AK17" s="267" t="b">
        <f t="shared" si="19"/>
        <v>0</v>
      </c>
      <c r="AL17" s="267"/>
      <c r="AM17" s="267"/>
      <c r="AN17" s="75"/>
    </row>
    <row r="18" spans="1:40" s="6" customFormat="1" ht="11.25" x14ac:dyDescent="0.2">
      <c r="A18" s="56">
        <f t="shared" si="20"/>
        <v>44930</v>
      </c>
      <c r="B18" s="413">
        <f>'2022'!Wh/'2022'!Env_an*'2023'!Env_an</f>
        <v>13.857541184586784</v>
      </c>
      <c r="C18" s="868"/>
      <c r="D18" s="395">
        <f t="shared" si="0"/>
        <v>14.388941561739824</v>
      </c>
      <c r="E18" s="387">
        <f t="shared" si="1"/>
        <v>14.95494404046474</v>
      </c>
      <c r="F18" s="387">
        <f t="shared" si="2"/>
        <v>16.283989376960484</v>
      </c>
      <c r="G18" s="110">
        <f t="shared" si="21"/>
        <v>0.84469690976849365</v>
      </c>
      <c r="H18" s="416" t="b">
        <f>Wh_hp&gt;='2022'!Maxi_hp</f>
        <v>0</v>
      </c>
      <c r="I18" s="392">
        <f>IF(H18,Wh_hp,'2022'!Maxi_hp)</f>
        <v>19.187961348193991</v>
      </c>
      <c r="J18" s="85">
        <f>IF(H18,An,'2022'!An_max)</f>
        <v>2019</v>
      </c>
      <c r="K18" s="199">
        <f t="shared" si="3"/>
        <v>44930</v>
      </c>
      <c r="L18" s="147">
        <f>IF(t&lt;Tvie,1-EXP((T0-t)*PertePVj)+'2022'!Pspv,1-EXP((T0-t)*PertePVj)+Pspv)</f>
        <v>3.693116515018946E-2</v>
      </c>
      <c r="M18" s="872"/>
      <c r="N18" s="872"/>
      <c r="O18" s="48">
        <f>IF(t&lt;Tnet,'2022'!Resal+('2022'!Salim-'2022'!Resal)*(1-EXP(('2022'!Tnet-t)/('2022'!Tau_j))),Resal+(Salim-Resal)*(1-EXP((Tnet-t)/(Tau_j))))*Salcycl</f>
        <v>3.7847181319665274E-2</v>
      </c>
      <c r="P18" s="171">
        <f>(INDEX(Models!$BJ18:$BT18,,T18)*(1-R18)+INDEX(Models!$BJ18:$BT18,,T18+1)*R18-ERP_i)*Q18*Ramure*Pc/MaxiM</f>
        <v>0.10142076895251857</v>
      </c>
      <c r="Q18" s="307">
        <f t="shared" si="4"/>
        <v>0.9</v>
      </c>
      <c r="R18" s="179">
        <f t="shared" si="5"/>
        <v>0.50033526050887434</v>
      </c>
      <c r="S18" s="839">
        <f t="shared" si="6"/>
        <v>0</v>
      </c>
      <c r="T18" s="178">
        <f t="shared" si="7"/>
        <v>6</v>
      </c>
      <c r="U18" s="253">
        <f t="shared" si="8"/>
        <v>0.50033526050887434</v>
      </c>
      <c r="V18" s="385">
        <f t="shared" si="9"/>
        <v>16.051575549461717</v>
      </c>
      <c r="W18" s="404">
        <f t="shared" si="10"/>
        <v>13.857541184586784</v>
      </c>
      <c r="X18" s="157">
        <f t="shared" si="11"/>
        <v>44930</v>
      </c>
      <c r="Y18" s="387">
        <f t="shared" si="12"/>
        <v>12.323464776890402</v>
      </c>
      <c r="Z18" s="387">
        <f>Wh_sa_s*(1-Psa_s)</f>
        <v>12.796037345359879</v>
      </c>
      <c r="AA18" s="388">
        <f t="shared" si="13"/>
        <v>14.95494404046474</v>
      </c>
      <c r="AB18" s="199">
        <f>t</f>
        <v>44930</v>
      </c>
      <c r="AC18" s="119">
        <f>IF(OR(t&lt;Tnet,NoTnet),'2022'!Resal_s+('2022'!Salim-'2022'!Resal_s)*(1-EXP(('2022'!Tnet_s-t)/'2022'!Tau_j)),Resal_s+(Salim-Resal_s)*(1-EXP((Tnet_s-t)/Tau_j)))*Salcycl</f>
        <v>0.14436073376559225</v>
      </c>
      <c r="AD18" s="233">
        <f>(INDEX(Models!$BJ18:$BT18,,AH18)*(1-AF18)+INDEX(Models!$BJ18:$BT18,,AH18+1)*AF18-ERP_i)*AE18*Ramure*Pc/MaxiM</f>
        <v>0.10142076895251857</v>
      </c>
      <c r="AE18" s="307">
        <f t="shared" si="15"/>
        <v>0.9</v>
      </c>
      <c r="AF18" s="179">
        <f t="shared" si="23"/>
        <v>0.50033526050887434</v>
      </c>
      <c r="AG18" s="839">
        <f t="shared" si="24"/>
        <v>0</v>
      </c>
      <c r="AH18" s="178">
        <f t="shared" si="16"/>
        <v>6</v>
      </c>
      <c r="AI18" s="227">
        <f t="shared" si="17"/>
        <v>0.50033526050887434</v>
      </c>
      <c r="AJ18" s="267" t="b">
        <f t="shared" si="18"/>
        <v>0</v>
      </c>
      <c r="AK18" s="267" t="b">
        <f t="shared" si="19"/>
        <v>0</v>
      </c>
      <c r="AL18" s="267"/>
      <c r="AM18" s="267"/>
      <c r="AN18" s="75"/>
    </row>
    <row r="19" spans="1:40" s="6" customFormat="1" ht="11.25" x14ac:dyDescent="0.2">
      <c r="A19" s="56">
        <f t="shared" si="20"/>
        <v>44931</v>
      </c>
      <c r="B19" s="413">
        <f>'2022'!Wh/'2022'!Env_an*'2023'!Env_an</f>
        <v>10.95612931552002</v>
      </c>
      <c r="C19" s="868"/>
      <c r="D19" s="395">
        <f t="shared" si="0"/>
        <v>11.376532902030052</v>
      </c>
      <c r="E19" s="387">
        <f t="shared" si="1"/>
        <v>11.826471487761395</v>
      </c>
      <c r="F19" s="387">
        <f t="shared" si="2"/>
        <v>12.498006111345255</v>
      </c>
      <c r="G19" s="110">
        <f t="shared" si="21"/>
        <v>0.64295228754769806</v>
      </c>
      <c r="H19" s="416" t="b">
        <f>Wh_hp&gt;='2022'!Maxi_hp</f>
        <v>0</v>
      </c>
      <c r="I19" s="392">
        <f>IF(H19,Wh_hp,'2022'!Maxi_hp)</f>
        <v>19.412334573306765</v>
      </c>
      <c r="J19" s="85">
        <f>IF(H19,An,'2022'!An_max)</f>
        <v>2019</v>
      </c>
      <c r="K19" s="199">
        <f t="shared" si="3"/>
        <v>44931</v>
      </c>
      <c r="L19" s="147">
        <f>IF(t&lt;Tvie,1-EXP((T0-t)*PertePVj)+'2022'!Pspv,1-EXP((T0-t)*PertePVj)+Pspv)</f>
        <v>3.6953577168929441E-2</v>
      </c>
      <c r="M19" s="872"/>
      <c r="N19" s="872"/>
      <c r="O19" s="48">
        <f>IF(t&lt;Tnet,'2022'!Resal+('2022'!Salim-'2022'!Resal)*(1-EXP(('2022'!Tnet-t)/('2022'!Tau_j))),Resal+(Salim-Resal)*(1-EXP((Tnet-t)/(Tau_j))))*Salcycl</f>
        <v>3.8045040416066829E-2</v>
      </c>
      <c r="P19" s="171">
        <f>(INDEX(Models!$BJ19:$BT19,,T19)*(1-R19)+INDEX(Models!$BJ19:$BT19,,T19+1)*R19-ERP_i)*Q19*Ramure*Pc/MaxiM</f>
        <v>0.10002508387103368</v>
      </c>
      <c r="Q19" s="307">
        <f t="shared" si="4"/>
        <v>0.9</v>
      </c>
      <c r="R19" s="179">
        <f t="shared" si="5"/>
        <v>0.50037491797017619</v>
      </c>
      <c r="S19" s="839">
        <f t="shared" si="6"/>
        <v>0</v>
      </c>
      <c r="T19" s="178">
        <f t="shared" si="7"/>
        <v>6</v>
      </c>
      <c r="U19" s="253">
        <f t="shared" si="8"/>
        <v>0.50037491797017619</v>
      </c>
      <c r="V19" s="385">
        <f t="shared" si="9"/>
        <v>16.20669102189952</v>
      </c>
      <c r="W19" s="404">
        <f t="shared" si="10"/>
        <v>10.95612931552002</v>
      </c>
      <c r="X19" s="157">
        <f t="shared" si="11"/>
        <v>44931</v>
      </c>
      <c r="Y19" s="387">
        <f t="shared" si="12"/>
        <v>9.7443857340304589</v>
      </c>
      <c r="Z19" s="387">
        <f t="shared" si="22"/>
        <v>10.118292849668512</v>
      </c>
      <c r="AA19" s="388">
        <f t="shared" si="13"/>
        <v>11.826471487761395</v>
      </c>
      <c r="AB19" s="199">
        <f t="shared" si="14"/>
        <v>44931</v>
      </c>
      <c r="AC19" s="119">
        <f>IF(OR(t&lt;Tnet,NoTnet),'2022'!Resal_s+('2022'!Salim-'2022'!Resal_s)*(1-EXP(('2022'!Tnet_s-t)/'2022'!Tau_j)),Resal_s+(Salim-Resal_s)*(1-EXP((Tnet_s-t)/Tau_j)))*Salcycl</f>
        <v>0.14443687957651527</v>
      </c>
      <c r="AD19" s="233">
        <f>(INDEX(Models!$BJ19:$BT19,,AH19)*(1-AF19)+INDEX(Models!$BJ19:$BT19,,AH19+1)*AF19-ERP_i)*AE19*Ramure*Pc/MaxiM</f>
        <v>0.10002508387103368</v>
      </c>
      <c r="AE19" s="307">
        <f t="shared" si="15"/>
        <v>0.9</v>
      </c>
      <c r="AF19" s="179">
        <f t="shared" si="23"/>
        <v>0.50037491797017619</v>
      </c>
      <c r="AG19" s="839">
        <f t="shared" si="24"/>
        <v>0</v>
      </c>
      <c r="AH19" s="178">
        <f t="shared" si="16"/>
        <v>6</v>
      </c>
      <c r="AI19" s="227">
        <f t="shared" si="17"/>
        <v>0.50037491797017619</v>
      </c>
      <c r="AJ19" s="267" t="b">
        <f t="shared" si="18"/>
        <v>0</v>
      </c>
      <c r="AK19" s="267" t="b">
        <f t="shared" si="19"/>
        <v>0</v>
      </c>
      <c r="AL19" s="267"/>
      <c r="AM19" s="267"/>
      <c r="AN19" s="75"/>
    </row>
    <row r="20" spans="1:40" s="6" customFormat="1" ht="11.25" x14ac:dyDescent="0.2">
      <c r="A20" s="56">
        <f t="shared" si="20"/>
        <v>44932</v>
      </c>
      <c r="B20" s="413">
        <f>'2022'!Wh/'2022'!Env_an*'2023'!Env_an</f>
        <v>16.768584377520327</v>
      </c>
      <c r="C20" s="868"/>
      <c r="D20" s="395">
        <f t="shared" si="0"/>
        <v>17.412426045633119</v>
      </c>
      <c r="E20" s="387">
        <f t="shared" si="1"/>
        <v>18.104803512107807</v>
      </c>
      <c r="F20" s="387">
        <f t="shared" si="2"/>
        <v>20.084255313401076</v>
      </c>
      <c r="G20" s="110">
        <f t="shared" si="21"/>
        <v>1.0243319064045417</v>
      </c>
      <c r="H20" s="416" t="b">
        <f>Wh_hp&gt;='2022'!Maxi_hp</f>
        <v>1</v>
      </c>
      <c r="I20" s="392">
        <f>IF(H20,Wh_hp,'2022'!Maxi_hp)</f>
        <v>20.084255313401076</v>
      </c>
      <c r="J20" s="85">
        <f>IF(H20,An,'2022'!An_max)</f>
        <v>2023</v>
      </c>
      <c r="K20" s="199">
        <f t="shared" si="3"/>
        <v>44932</v>
      </c>
      <c r="L20" s="147">
        <f>IF(t&lt;Tvie,1-EXP((T0-t)*PertePVj)+'2022'!Pspv,1-EXP((T0-t)*PertePVj)+Pspv)</f>
        <v>3.6975988666108961E-2</v>
      </c>
      <c r="M20" s="872"/>
      <c r="N20" s="872"/>
      <c r="O20" s="48">
        <f>IF(t&lt;Tnet,'2022'!Resal+('2022'!Salim-'2022'!Resal)*(1-EXP(('2022'!Tnet-t)/('2022'!Tau_j))),Resal+(Salim-Resal)*(1-EXP((Tnet-t)/(Tau_j))))*Salcycl</f>
        <v>3.8242749556030887E-2</v>
      </c>
      <c r="P20" s="171">
        <f>(INDEX(Models!$BJ20:$BT20,,T20)*(1-R20)+INDEX(Models!$BJ20:$BT20,,T20+1)*R20-ERP_i)*Q20*Ramure*Pc/MaxiM</f>
        <v>9.8557390871868336E-2</v>
      </c>
      <c r="Q20" s="307">
        <f t="shared" si="4"/>
        <v>0.9</v>
      </c>
      <c r="R20" s="179">
        <f t="shared" si="5"/>
        <v>0.50041623356824405</v>
      </c>
      <c r="S20" s="839">
        <f t="shared" si="6"/>
        <v>0</v>
      </c>
      <c r="T20" s="178">
        <f t="shared" si="7"/>
        <v>6</v>
      </c>
      <c r="U20" s="253">
        <f t="shared" si="8"/>
        <v>0.50041623356824405</v>
      </c>
      <c r="V20" s="385">
        <f t="shared" si="9"/>
        <v>16.370264630708352</v>
      </c>
      <c r="W20" s="404">
        <f t="shared" si="10"/>
        <v>16.768584377520327</v>
      </c>
      <c r="X20" s="157">
        <f t="shared" si="11"/>
        <v>44932</v>
      </c>
      <c r="Y20" s="387">
        <f t="shared" si="12"/>
        <v>14.91571975394848</v>
      </c>
      <c r="Z20" s="387">
        <f t="shared" si="22"/>
        <v>15.488419373145863</v>
      </c>
      <c r="AA20" s="388">
        <f t="shared" si="13"/>
        <v>18.104803512107807</v>
      </c>
      <c r="AB20" s="199">
        <f t="shared" si="14"/>
        <v>44932</v>
      </c>
      <c r="AC20" s="119">
        <f>IF(OR(t&lt;Tnet,NoTnet),'2022'!Resal_s+('2022'!Salim-'2022'!Resal_s)*(1-EXP(('2022'!Tnet_s-t)/'2022'!Tau_j)),Resal_s+(Salim-Resal_s)*(1-EXP((Tnet_s-t)/Tau_j)))*Salcycl</f>
        <v>0.14451325788828392</v>
      </c>
      <c r="AD20" s="233">
        <f>(INDEX(Models!$BJ20:$BT20,,AH20)*(1-AF20)+INDEX(Models!$BJ20:$BT20,,AH20+1)*AF20-ERP_i)*AE20*Ramure*Pc/MaxiM</f>
        <v>9.8557390871868336E-2</v>
      </c>
      <c r="AE20" s="307">
        <f t="shared" si="15"/>
        <v>0.9</v>
      </c>
      <c r="AF20" s="179">
        <f t="shared" si="23"/>
        <v>0.50041623356824405</v>
      </c>
      <c r="AG20" s="839">
        <f t="shared" si="24"/>
        <v>0</v>
      </c>
      <c r="AH20" s="178">
        <f t="shared" si="16"/>
        <v>6</v>
      </c>
      <c r="AI20" s="227">
        <f t="shared" si="17"/>
        <v>0.50041623356824405</v>
      </c>
      <c r="AJ20" s="267" t="b">
        <f t="shared" si="18"/>
        <v>0</v>
      </c>
      <c r="AK20" s="267" t="b">
        <f t="shared" si="19"/>
        <v>0</v>
      </c>
      <c r="AL20" s="267"/>
      <c r="AM20" s="267"/>
      <c r="AN20" s="75"/>
    </row>
    <row r="21" spans="1:40" s="6" customFormat="1" ht="11.25" x14ac:dyDescent="0.2">
      <c r="A21" s="56">
        <f t="shared" si="20"/>
        <v>44933</v>
      </c>
      <c r="B21" s="413">
        <f>'2022'!Wh/'2022'!Env_an*'2023'!Env_an</f>
        <v>8.406513147026887</v>
      </c>
      <c r="C21" s="868"/>
      <c r="D21" s="395">
        <f t="shared" si="0"/>
        <v>8.7294903184994315</v>
      </c>
      <c r="E21" s="387">
        <f t="shared" si="1"/>
        <v>9.0784694295198403</v>
      </c>
      <c r="F21" s="387">
        <f t="shared" si="2"/>
        <v>9.3482205206176676</v>
      </c>
      <c r="G21" s="110">
        <f t="shared" si="21"/>
        <v>0.47251957307953096</v>
      </c>
      <c r="H21" s="416" t="b">
        <f>Wh_hp&gt;='2022'!Maxi_hp</f>
        <v>0</v>
      </c>
      <c r="I21" s="392">
        <f>IF(H21,Wh_hp,'2022'!Maxi_hp)</f>
        <v>11.638105968264961</v>
      </c>
      <c r="J21" s="85">
        <f>IF(H21,An,'2022'!An_max)</f>
        <v>2021</v>
      </c>
      <c r="K21" s="199">
        <f t="shared" si="3"/>
        <v>44933</v>
      </c>
      <c r="L21" s="147">
        <f>IF(t&lt;Tvie,1-EXP((T0-t)*PertePVj)+'2022'!Pspv,1-EXP((T0-t)*PertePVj)+Pspv)</f>
        <v>3.6998399641740232E-2</v>
      </c>
      <c r="M21" s="872"/>
      <c r="N21" s="872"/>
      <c r="O21" s="48">
        <f>IF(t&lt;Tnet,'2022'!Resal+('2022'!Salim-'2022'!Resal)*(1-EXP(('2022'!Tnet-t)/('2022'!Tau_j))),Resal+(Salim-Resal)*(1-EXP((Tnet-t)/(Tau_j))))*Salcycl</f>
        <v>3.8440302490379878E-2</v>
      </c>
      <c r="P21" s="171">
        <f>(INDEX(Models!$BJ21:$BT21,,T21)*(1-R21)+INDEX(Models!$BJ21:$BT21,,T21+1)*R21-ERP_i)*Q21*Ramure*Pc/MaxiM</f>
        <v>9.7022302948464437E-2</v>
      </c>
      <c r="Q21" s="307">
        <f t="shared" si="4"/>
        <v>0.9</v>
      </c>
      <c r="R21" s="179">
        <f t="shared" si="5"/>
        <v>0.50045927638904719</v>
      </c>
      <c r="S21" s="839">
        <f t="shared" si="6"/>
        <v>0</v>
      </c>
      <c r="T21" s="178">
        <f t="shared" si="7"/>
        <v>6</v>
      </c>
      <c r="U21" s="253">
        <f t="shared" si="8"/>
        <v>0.50045927638904719</v>
      </c>
      <c r="V21" s="385">
        <f t="shared" si="9"/>
        <v>16.542053856636961</v>
      </c>
      <c r="W21" s="404">
        <f t="shared" si="10"/>
        <v>8.406513147026887</v>
      </c>
      <c r="X21" s="157">
        <f t="shared" si="11"/>
        <v>44933</v>
      </c>
      <c r="Y21" s="387">
        <f t="shared" si="12"/>
        <v>7.4784922633879569</v>
      </c>
      <c r="Z21" s="387">
        <f t="shared" si="22"/>
        <v>7.7658149899291731</v>
      </c>
      <c r="AA21" s="388">
        <f t="shared" si="13"/>
        <v>9.0784694295198403</v>
      </c>
      <c r="AB21" s="199">
        <f t="shared" si="14"/>
        <v>44933</v>
      </c>
      <c r="AC21" s="119">
        <f>IF(OR(t&lt;Tnet,NoTnet),'2022'!Resal_s+('2022'!Salim-'2022'!Resal_s)*(1-EXP(('2022'!Tnet_s-t)/'2022'!Tau_j)),Resal_s+(Salim-Resal_s)*(1-EXP((Tnet_s-t)/Tau_j)))*Salcycl</f>
        <v>0.14458983970606296</v>
      </c>
      <c r="AD21" s="233">
        <f>(INDEX(Models!$BJ21:$BT21,,AH21)*(1-AF21)+INDEX(Models!$BJ21:$BT21,,AH21+1)*AF21-ERP_i)*AE21*Ramure*Pc/MaxiM</f>
        <v>9.7022302948464437E-2</v>
      </c>
      <c r="AE21" s="307">
        <f t="shared" si="15"/>
        <v>0.9</v>
      </c>
      <c r="AF21" s="179">
        <f t="shared" si="23"/>
        <v>0.50045927638904719</v>
      </c>
      <c r="AG21" s="839">
        <f t="shared" si="24"/>
        <v>0</v>
      </c>
      <c r="AH21" s="178">
        <f t="shared" si="16"/>
        <v>6</v>
      </c>
      <c r="AI21" s="227">
        <f t="shared" si="17"/>
        <v>0.50045927638904719</v>
      </c>
      <c r="AJ21" s="267" t="b">
        <f t="shared" si="18"/>
        <v>0</v>
      </c>
      <c r="AK21" s="267" t="b">
        <f t="shared" si="19"/>
        <v>0</v>
      </c>
      <c r="AL21" s="267"/>
      <c r="AM21" s="267"/>
      <c r="AN21" s="75"/>
    </row>
    <row r="22" spans="1:40" s="6" customFormat="1" ht="11.25" x14ac:dyDescent="0.2">
      <c r="A22" s="56">
        <f t="shared" si="20"/>
        <v>44934</v>
      </c>
      <c r="B22" s="413">
        <f>'2022'!Wh/'2022'!Env_an*'2023'!Env_an</f>
        <v>6.8271663376650578</v>
      </c>
      <c r="C22" s="868"/>
      <c r="D22" s="395">
        <f t="shared" si="0"/>
        <v>7.0896301906009986</v>
      </c>
      <c r="E22" s="387">
        <f t="shared" si="1"/>
        <v>7.3745664336367609</v>
      </c>
      <c r="F22" s="387">
        <f t="shared" si="2"/>
        <v>7.485050635366604</v>
      </c>
      <c r="G22" s="110">
        <f t="shared" si="21"/>
        <v>0.37485229542760856</v>
      </c>
      <c r="H22" s="416" t="b">
        <f>Wh_hp&gt;='2022'!Maxi_hp</f>
        <v>0</v>
      </c>
      <c r="I22" s="392">
        <f>IF(H22,Wh_hp,'2022'!Maxi_hp)</f>
        <v>14.643565191481343</v>
      </c>
      <c r="J22" s="85">
        <f>IF(H22,An,'2022'!An_max)</f>
        <v>2021</v>
      </c>
      <c r="K22" s="199">
        <f t="shared" si="3"/>
        <v>44934</v>
      </c>
      <c r="L22" s="147">
        <f>IF(t&lt;Tvie,1-EXP((T0-t)*PertePVj)+'2022'!Pspv,1-EXP((T0-t)*PertePVj)+Pspv)</f>
        <v>3.7020810095835355E-2</v>
      </c>
      <c r="M22" s="872"/>
      <c r="N22" s="872"/>
      <c r="O22" s="48">
        <f>IF(t&lt;Tnet,'2022'!Resal+('2022'!Salim-'2022'!Resal)*(1-EXP(('2022'!Tnet-t)/('2022'!Tau_j))),Resal+(Salim-Resal)*(1-EXP((Tnet-t)/(Tau_j))))*Salcycl</f>
        <v>3.8637694242757877E-2</v>
      </c>
      <c r="P22" s="171">
        <f>(INDEX(Models!$BJ22:$BT22,,T22)*(1-R22)+INDEX(Models!$BJ22:$BT22,,T22+1)*R22-ERP_i)*Q22*Ramure*Pc/MaxiM</f>
        <v>9.5424361708626754E-2</v>
      </c>
      <c r="Q22" s="307">
        <f t="shared" si="4"/>
        <v>0.9</v>
      </c>
      <c r="R22" s="179">
        <f t="shared" si="5"/>
        <v>0.50050411837622111</v>
      </c>
      <c r="S22" s="839">
        <f t="shared" si="6"/>
        <v>0</v>
      </c>
      <c r="T22" s="178">
        <f t="shared" si="7"/>
        <v>6</v>
      </c>
      <c r="U22" s="253">
        <f t="shared" si="8"/>
        <v>0.50050411837622111</v>
      </c>
      <c r="V22" s="385">
        <f t="shared" si="9"/>
        <v>16.721816263952917</v>
      </c>
      <c r="W22" s="404">
        <f t="shared" si="10"/>
        <v>6.8271663376650578</v>
      </c>
      <c r="X22" s="157">
        <f t="shared" si="11"/>
        <v>44934</v>
      </c>
      <c r="Y22" s="387">
        <f t="shared" si="12"/>
        <v>6.0741963271661854</v>
      </c>
      <c r="Z22" s="387">
        <f t="shared" si="22"/>
        <v>6.3077129712124798</v>
      </c>
      <c r="AA22" s="388">
        <f t="shared" si="13"/>
        <v>7.3745664336367609</v>
      </c>
      <c r="AB22" s="199">
        <f t="shared" si="14"/>
        <v>44934</v>
      </c>
      <c r="AC22" s="119">
        <f>IF(OR(t&lt;Tnet,NoTnet),'2022'!Resal_s+('2022'!Salim-'2022'!Resal_s)*(1-EXP(('2022'!Tnet_s-t)/'2022'!Tau_j)),Resal_s+(Salim-Resal_s)*(1-EXP((Tnet_s-t)/Tau_j)))*Salcycl</f>
        <v>0.14466660135545939</v>
      </c>
      <c r="AD22" s="233">
        <f>(INDEX(Models!$BJ22:$BT22,,AH22)*(1-AF22)+INDEX(Models!$BJ22:$BT22,,AH22+1)*AF22-ERP_i)*AE22*Ramure*Pc/MaxiM</f>
        <v>9.5424361708626754E-2</v>
      </c>
      <c r="AE22" s="307">
        <f t="shared" si="15"/>
        <v>0.9</v>
      </c>
      <c r="AF22" s="179">
        <f t="shared" si="23"/>
        <v>0.50050411837622111</v>
      </c>
      <c r="AG22" s="839">
        <f t="shared" si="24"/>
        <v>0</v>
      </c>
      <c r="AH22" s="178">
        <f t="shared" si="16"/>
        <v>6</v>
      </c>
      <c r="AI22" s="227">
        <f t="shared" si="17"/>
        <v>0.50050411837622111</v>
      </c>
      <c r="AJ22" s="267" t="b">
        <f t="shared" si="18"/>
        <v>0</v>
      </c>
      <c r="AK22" s="267" t="b">
        <f t="shared" si="19"/>
        <v>0</v>
      </c>
      <c r="AL22" s="267"/>
      <c r="AM22" s="267"/>
      <c r="AN22" s="75"/>
    </row>
    <row r="23" spans="1:40" s="6" customFormat="1" ht="11.25" x14ac:dyDescent="0.2">
      <c r="A23" s="56">
        <f t="shared" si="20"/>
        <v>44935</v>
      </c>
      <c r="B23" s="413">
        <f>'2022'!Wh/'2022'!Env_an*'2023'!Env_an</f>
        <v>2.0595322456953569</v>
      </c>
      <c r="C23" s="868"/>
      <c r="D23" s="395">
        <f t="shared" si="0"/>
        <v>2.1387587569154576</v>
      </c>
      <c r="E23" s="387">
        <f t="shared" si="1"/>
        <v>2.2251731817773428</v>
      </c>
      <c r="F23" s="387">
        <f t="shared" si="2"/>
        <v>2.2251731817773428</v>
      </c>
      <c r="G23" s="110">
        <f t="shared" si="21"/>
        <v>0.1103652925784953</v>
      </c>
      <c r="H23" s="416" t="b">
        <f>Wh_hp&gt;='2022'!Maxi_hp</f>
        <v>0</v>
      </c>
      <c r="I23" s="392">
        <f>IF(H23,Wh_hp,'2022'!Maxi_hp)</f>
        <v>18.867508996859197</v>
      </c>
      <c r="J23" s="85">
        <f>IF(H23,An,'2022'!An_max)</f>
        <v>2020</v>
      </c>
      <c r="K23" s="199">
        <f t="shared" si="3"/>
        <v>44935</v>
      </c>
      <c r="L23" s="147">
        <f>IF(t&lt;Tvie,1-EXP((T0-t)*PertePVj)+'2022'!Pspv,1-EXP((T0-t)*PertePVj)+Pspv)</f>
        <v>3.7043220028406543E-2</v>
      </c>
      <c r="M23" s="872"/>
      <c r="N23" s="872"/>
      <c r="O23" s="48">
        <f>IF(t&lt;Tnet,'2022'!Resal+('2022'!Salim-'2022'!Resal)*(1-EXP(('2022'!Tnet-t)/('2022'!Tau_j))),Resal+(Salim-Resal)*(1-EXP((Tnet-t)/(Tau_j))))*Salcycl</f>
        <v>3.8834921061228315E-2</v>
      </c>
      <c r="P23" s="171">
        <f>(INDEX(Models!$BJ23:$BT23,,T23)*(1-R23)+INDEX(Models!$BJ23:$BT23,,T23+1)*R23-ERP_i)*Q23*Ramure*Pc/MaxiM</f>
        <v>9.3757309436794001E-2</v>
      </c>
      <c r="Q23" s="307">
        <f t="shared" si="4"/>
        <v>0.9</v>
      </c>
      <c r="R23" s="179">
        <f t="shared" si="5"/>
        <v>0.50055083444749127</v>
      </c>
      <c r="S23" s="839">
        <f t="shared" si="6"/>
        <v>0</v>
      </c>
      <c r="T23" s="178">
        <f t="shared" si="7"/>
        <v>6</v>
      </c>
      <c r="U23" s="253">
        <f t="shared" si="8"/>
        <v>0.50055083444749127</v>
      </c>
      <c r="V23" s="385">
        <f t="shared" si="9"/>
        <v>16.911440182276266</v>
      </c>
      <c r="W23" s="404">
        <f t="shared" si="10"/>
        <v>2.0595322456953569</v>
      </c>
      <c r="X23" s="157">
        <f t="shared" si="11"/>
        <v>44935</v>
      </c>
      <c r="Y23" s="387">
        <f t="shared" si="12"/>
        <v>1.8325970521525314</v>
      </c>
      <c r="Z23" s="387">
        <f t="shared" si="22"/>
        <v>1.903093773540482</v>
      </c>
      <c r="AA23" s="388">
        <f t="shared" si="13"/>
        <v>2.2251731817773428</v>
      </c>
      <c r="AB23" s="199">
        <f t="shared" si="14"/>
        <v>44935</v>
      </c>
      <c r="AC23" s="119">
        <f>IF(OR(t&lt;Tnet,NoTnet),'2022'!Resal_s+('2022'!Salim-'2022'!Resal_s)*(1-EXP(('2022'!Tnet_s-t)/'2022'!Tau_j)),Resal_s+(Salim-Resal_s)*(1-EXP((Tnet_s-t)/Tau_j)))*Salcycl</f>
        <v>0.14474352417801564</v>
      </c>
      <c r="AD23" s="233">
        <f>(INDEX(Models!$BJ23:$BT23,,AH23)*(1-AF23)+INDEX(Models!$BJ23:$BT23,,AH23+1)*AF23-ERP_i)*AE23*Ramure*Pc/MaxiM</f>
        <v>9.3757309436794001E-2</v>
      </c>
      <c r="AE23" s="307">
        <f t="shared" si="15"/>
        <v>0.9</v>
      </c>
      <c r="AF23" s="179">
        <f t="shared" si="23"/>
        <v>0.50055083444749127</v>
      </c>
      <c r="AG23" s="839">
        <f t="shared" si="24"/>
        <v>0</v>
      </c>
      <c r="AH23" s="178">
        <f t="shared" si="16"/>
        <v>6</v>
      </c>
      <c r="AI23" s="227">
        <f t="shared" si="17"/>
        <v>0.50055083444749127</v>
      </c>
      <c r="AJ23" s="267" t="b">
        <f t="shared" si="18"/>
        <v>0</v>
      </c>
      <c r="AK23" s="267" t="b">
        <f t="shared" si="19"/>
        <v>0</v>
      </c>
      <c r="AL23" s="267"/>
      <c r="AM23" s="267"/>
      <c r="AN23" s="75"/>
    </row>
    <row r="24" spans="1:40" s="6" customFormat="1" ht="11.25" x14ac:dyDescent="0.2">
      <c r="A24" s="56">
        <f t="shared" si="20"/>
        <v>44936</v>
      </c>
      <c r="B24" s="413">
        <f>'2022'!Wh/'2022'!Env_an*'2023'!Env_an</f>
        <v>1.7441594325752861</v>
      </c>
      <c r="C24" s="868"/>
      <c r="D24" s="395">
        <f t="shared" si="0"/>
        <v>1.8112962688827823</v>
      </c>
      <c r="E24" s="387">
        <f t="shared" si="1"/>
        <v>1.8848663346345369</v>
      </c>
      <c r="F24" s="387">
        <f t="shared" si="2"/>
        <v>1.8848663346345369</v>
      </c>
      <c r="G24" s="110">
        <f t="shared" si="21"/>
        <v>9.2544324769868333E-2</v>
      </c>
      <c r="H24" s="416" t="b">
        <f>Wh_hp&gt;='2022'!Maxi_hp</f>
        <v>0</v>
      </c>
      <c r="I24" s="392">
        <f>IF(H24,Wh_hp,'2022'!Maxi_hp)</f>
        <v>10.733503548463755</v>
      </c>
      <c r="J24" s="85">
        <f>IF(H24,An,'2022'!An_max)</f>
        <v>2019</v>
      </c>
      <c r="K24" s="199">
        <f t="shared" si="3"/>
        <v>44936</v>
      </c>
      <c r="L24" s="147">
        <f>IF(t&lt;Tvie,1-EXP((T0-t)*PertePVj)+'2022'!Pspv,1-EXP((T0-t)*PertePVj)+Pspv)</f>
        <v>3.7065629439465786E-2</v>
      </c>
      <c r="M24" s="872"/>
      <c r="N24" s="872"/>
      <c r="O24" s="48">
        <f>IF(t&lt;Tnet,'2022'!Resal+('2022'!Salim-'2022'!Resal)*(1-EXP(('2022'!Tnet-t)/('2022'!Tau_j))),Resal+(Salim-Resal)*(1-EXP((Tnet-t)/(Tau_j))))*Salcycl</f>
        <v>3.9031980358447654E-2</v>
      </c>
      <c r="P24" s="171">
        <f>(INDEX(Models!$BJ24:$BT24,,T24)*(1-R24)+INDEX(Models!$BJ24:$BT24,,T24+1)*R24-ERP_i)*Q24*Ramure*Pc/MaxiM</f>
        <v>9.205002556798883E-2</v>
      </c>
      <c r="Q24" s="307">
        <f t="shared" si="4"/>
        <v>0.9</v>
      </c>
      <c r="R24" s="179">
        <f t="shared" si="5"/>
        <v>0.50059950261569142</v>
      </c>
      <c r="S24" s="839">
        <f t="shared" si="6"/>
        <v>0</v>
      </c>
      <c r="T24" s="178">
        <f t="shared" si="7"/>
        <v>6</v>
      </c>
      <c r="U24" s="253">
        <f t="shared" si="8"/>
        <v>0.50059950261569142</v>
      </c>
      <c r="V24" s="385">
        <f t="shared" si="9"/>
        <v>17.111903038355653</v>
      </c>
      <c r="W24" s="404">
        <f t="shared" si="10"/>
        <v>1.7441594325752861</v>
      </c>
      <c r="X24" s="157">
        <f t="shared" si="11"/>
        <v>44936</v>
      </c>
      <c r="Y24" s="387">
        <f t="shared" si="12"/>
        <v>1.5521528257913102</v>
      </c>
      <c r="Z24" s="387">
        <f t="shared" si="22"/>
        <v>1.6118988720776326</v>
      </c>
      <c r="AA24" s="388">
        <f t="shared" si="13"/>
        <v>1.8848663346345369</v>
      </c>
      <c r="AB24" s="199">
        <f t="shared" si="14"/>
        <v>44936</v>
      </c>
      <c r="AC24" s="119">
        <f>IF(OR(t&lt;Tnet,NoTnet),'2022'!Resal_s+('2022'!Salim-'2022'!Resal_s)*(1-EXP(('2022'!Tnet_s-t)/'2022'!Tau_j)),Resal_s+(Salim-Resal_s)*(1-EXP((Tnet_s-t)/Tau_j)))*Salcycl</f>
        <v>0.14482059419339724</v>
      </c>
      <c r="AD24" s="233">
        <f>(INDEX(Models!$BJ24:$BT24,,AH24)*(1-AF24)+INDEX(Models!$BJ24:$BT24,,AH24+1)*AF24-ERP_i)*AE24*Ramure*Pc/MaxiM</f>
        <v>9.205002556798883E-2</v>
      </c>
      <c r="AE24" s="307">
        <f t="shared" si="15"/>
        <v>0.9</v>
      </c>
      <c r="AF24" s="179">
        <f t="shared" si="23"/>
        <v>0.50059950261569142</v>
      </c>
      <c r="AG24" s="839">
        <f t="shared" si="24"/>
        <v>0</v>
      </c>
      <c r="AH24" s="178">
        <f t="shared" si="16"/>
        <v>6</v>
      </c>
      <c r="AI24" s="227">
        <f t="shared" si="17"/>
        <v>0.50059950261569142</v>
      </c>
      <c r="AJ24" s="267" t="b">
        <f t="shared" si="18"/>
        <v>0</v>
      </c>
      <c r="AK24" s="267" t="b">
        <f t="shared" si="19"/>
        <v>0</v>
      </c>
      <c r="AL24" s="267"/>
      <c r="AM24" s="267"/>
      <c r="AN24" s="75"/>
    </row>
    <row r="25" spans="1:40" s="6" customFormat="1" ht="11.25" x14ac:dyDescent="0.2">
      <c r="A25" s="56">
        <f t="shared" si="20"/>
        <v>44937</v>
      </c>
      <c r="B25" s="413">
        <f>'2022'!Wh/'2022'!Env_an*'2023'!Env_an</f>
        <v>17.690044374867746</v>
      </c>
      <c r="C25" s="868"/>
      <c r="D25" s="395">
        <f t="shared" si="0"/>
        <v>18.371403699430211</v>
      </c>
      <c r="E25" s="387">
        <f t="shared" si="1"/>
        <v>19.121519306782293</v>
      </c>
      <c r="F25" s="387">
        <f t="shared" si="2"/>
        <v>21.020658697052706</v>
      </c>
      <c r="G25" s="110">
        <f t="shared" si="21"/>
        <v>1.0212579859233324</v>
      </c>
      <c r="H25" s="416" t="b">
        <f>Wh_hp&gt;='2022'!Maxi_hp</f>
        <v>1</v>
      </c>
      <c r="I25" s="392">
        <f>IF(H25,Wh_hp,'2022'!Maxi_hp)</f>
        <v>21.020658697052706</v>
      </c>
      <c r="J25" s="85">
        <f>IF(H25,An,'2022'!An_max)</f>
        <v>2023</v>
      </c>
      <c r="K25" s="199">
        <f t="shared" si="3"/>
        <v>44937</v>
      </c>
      <c r="L25" s="147">
        <f>IF(t&lt;Tvie,1-EXP((T0-t)*PertePVj)+'2022'!Pspv,1-EXP((T0-t)*PertePVj)+Pspv)</f>
        <v>3.7088038329025297E-2</v>
      </c>
      <c r="M25" s="872"/>
      <c r="N25" s="872"/>
      <c r="O25" s="48">
        <f>IF(t&lt;Tnet,'2022'!Resal+('2022'!Salim-'2022'!Resal)*(1-EXP(('2022'!Tnet-t)/('2022'!Tau_j))),Resal+(Salim-Resal)*(1-EXP((Tnet-t)/(Tau_j))))*Salcycl</f>
        <v>3.9228870641362733E-2</v>
      </c>
      <c r="P25" s="171">
        <f>(INDEX(Models!$BJ25:$BT25,,T25)*(1-R25)+INDEX(Models!$BJ25:$BT25,,T25+1)*R25-ERP_i)*Q25*Ramure*Pc/MaxiM</f>
        <v>9.0346331085081083E-2</v>
      </c>
      <c r="Q25" s="307">
        <f t="shared" si="4"/>
        <v>0.9</v>
      </c>
      <c r="R25" s="179">
        <f t="shared" si="5"/>
        <v>0.50065020411453764</v>
      </c>
      <c r="S25" s="839">
        <f t="shared" si="6"/>
        <v>0</v>
      </c>
      <c r="T25" s="178">
        <f t="shared" si="7"/>
        <v>6</v>
      </c>
      <c r="U25" s="253">
        <f t="shared" si="8"/>
        <v>0.50065020411453764</v>
      </c>
      <c r="V25" s="385">
        <f t="shared" si="9"/>
        <v>17.321817423903866</v>
      </c>
      <c r="W25" s="404">
        <f t="shared" si="10"/>
        <v>17.690044374867746</v>
      </c>
      <c r="X25" s="157">
        <f t="shared" si="11"/>
        <v>44937</v>
      </c>
      <c r="Y25" s="387">
        <f t="shared" si="12"/>
        <v>15.744432123488595</v>
      </c>
      <c r="Z25" s="387">
        <f t="shared" si="22"/>
        <v>16.350853193439132</v>
      </c>
      <c r="AA25" s="388">
        <f t="shared" si="13"/>
        <v>19.121519306782293</v>
      </c>
      <c r="AB25" s="199">
        <f t="shared" si="14"/>
        <v>44937</v>
      </c>
      <c r="AC25" s="119">
        <f>IF(OR(t&lt;Tnet,NoTnet),'2022'!Resal_s+('2022'!Salim-'2022'!Resal_s)*(1-EXP(('2022'!Tnet_s-t)/'2022'!Tau_j)),Resal_s+(Salim-Resal_s)*(1-EXP((Tnet_s-t)/Tau_j)))*Salcycl</f>
        <v>0.14489780173275368</v>
      </c>
      <c r="AD25" s="233">
        <f>(INDEX(Models!$BJ25:$BT25,,AH25)*(1-AF25)+INDEX(Models!$BJ25:$BT25,,AH25+1)*AF25-ERP_i)*AE25*Ramure*Pc/MaxiM</f>
        <v>9.0346331085081083E-2</v>
      </c>
      <c r="AE25" s="307">
        <f t="shared" si="15"/>
        <v>0.9</v>
      </c>
      <c r="AF25" s="179">
        <f t="shared" si="23"/>
        <v>0.50065020411453764</v>
      </c>
      <c r="AG25" s="839">
        <f t="shared" si="24"/>
        <v>0</v>
      </c>
      <c r="AH25" s="178">
        <f t="shared" si="16"/>
        <v>6</v>
      </c>
      <c r="AI25" s="227">
        <f t="shared" si="17"/>
        <v>0.50065020411453764</v>
      </c>
      <c r="AJ25" s="267" t="b">
        <f t="shared" si="18"/>
        <v>0</v>
      </c>
      <c r="AK25" s="267" t="b">
        <f t="shared" si="19"/>
        <v>0</v>
      </c>
      <c r="AL25" s="267"/>
      <c r="AM25" s="267"/>
      <c r="AN25" s="75"/>
    </row>
    <row r="26" spans="1:40" s="6" customFormat="1" ht="11.25" x14ac:dyDescent="0.2">
      <c r="A26" s="56">
        <f t="shared" si="20"/>
        <v>44938</v>
      </c>
      <c r="B26" s="413">
        <f>'2022'!Wh/'2022'!Env_an*'2023'!Env_an</f>
        <v>16.130709844894024</v>
      </c>
      <c r="C26" s="868"/>
      <c r="D26" s="395">
        <f t="shared" si="0"/>
        <v>16.752398849444859</v>
      </c>
      <c r="E26" s="387">
        <f t="shared" si="1"/>
        <v>17.43998039090976</v>
      </c>
      <c r="F26" s="387">
        <f t="shared" si="2"/>
        <v>18.925085236945527</v>
      </c>
      <c r="G26" s="110">
        <f t="shared" si="21"/>
        <v>0.90946887799704301</v>
      </c>
      <c r="H26" s="416" t="b">
        <f>Wh_hp&gt;='2022'!Maxi_hp</f>
        <v>0</v>
      </c>
      <c r="I26" s="392">
        <f>IF(H26,Wh_hp,'2022'!Maxi_hp)</f>
        <v>20.696537437632458</v>
      </c>
      <c r="J26" s="85">
        <f>IF(H26,An,'2022'!An_max)</f>
        <v>2020</v>
      </c>
      <c r="K26" s="199">
        <f t="shared" si="3"/>
        <v>44938</v>
      </c>
      <c r="L26" s="147">
        <f>IF(t&lt;Tvie,1-EXP((T0-t)*PertePVj)+'2022'!Pspv,1-EXP((T0-t)*PertePVj)+Pspv)</f>
        <v>3.7110446697097177E-2</v>
      </c>
      <c r="M26" s="872"/>
      <c r="N26" s="872"/>
      <c r="O26" s="48">
        <f>IF(t&lt;Tnet,'2022'!Resal+('2022'!Salim-'2022'!Resal)*(1-EXP(('2022'!Tnet-t)/('2022'!Tau_j))),Resal+(Salim-Resal)*(1-EXP((Tnet-t)/(Tau_j))))*Salcycl</f>
        <v>3.9425591431472611E-2</v>
      </c>
      <c r="P26" s="171">
        <f>(INDEX(Models!$BJ26:$BT26,,T26)*(1-R26)+INDEX(Models!$BJ26:$BT26,,T26+1)*R26-ERP_i)*Q26*Ramure*Pc/MaxiM</f>
        <v>8.8651713233701968E-2</v>
      </c>
      <c r="Q26" s="307">
        <f t="shared" si="4"/>
        <v>0.9</v>
      </c>
      <c r="R26" s="179">
        <f t="shared" si="5"/>
        <v>0.50070302352933438</v>
      </c>
      <c r="S26" s="839">
        <f t="shared" si="6"/>
        <v>0</v>
      </c>
      <c r="T26" s="178">
        <f t="shared" si="7"/>
        <v>6</v>
      </c>
      <c r="U26" s="253">
        <f t="shared" si="8"/>
        <v>0.50070302352933438</v>
      </c>
      <c r="V26" s="385">
        <f t="shared" si="9"/>
        <v>17.540496026369979</v>
      </c>
      <c r="W26" s="404">
        <f t="shared" si="10"/>
        <v>16.130709844894024</v>
      </c>
      <c r="X26" s="157">
        <f t="shared" si="11"/>
        <v>44938</v>
      </c>
      <c r="Y26" s="387">
        <f t="shared" si="12"/>
        <v>14.358240014410891</v>
      </c>
      <c r="Z26" s="387">
        <f t="shared" si="22"/>
        <v>14.911616773864946</v>
      </c>
      <c r="AA26" s="388">
        <f t="shared" si="13"/>
        <v>17.43998039090976</v>
      </c>
      <c r="AB26" s="199">
        <f t="shared" si="14"/>
        <v>44938</v>
      </c>
      <c r="AC26" s="119">
        <f>IF(OR(t&lt;Tnet,NoTnet),'2022'!Resal_s+('2022'!Salim-'2022'!Resal_s)*(1-EXP(('2022'!Tnet_s-t)/'2022'!Tau_j)),Resal_s+(Salim-Resal_s)*(1-EXP((Tnet_s-t)/Tau_j)))*Salcycl</f>
        <v>0.14497514104790357</v>
      </c>
      <c r="AD26" s="233">
        <f>(INDEX(Models!$BJ26:$BT26,,AH26)*(1-AF26)+INDEX(Models!$BJ26:$BT26,,AH26+1)*AF26-ERP_i)*AE26*Ramure*Pc/MaxiM</f>
        <v>8.8651713233701968E-2</v>
      </c>
      <c r="AE26" s="307">
        <f t="shared" si="15"/>
        <v>0.9</v>
      </c>
      <c r="AF26" s="179">
        <f t="shared" si="23"/>
        <v>0.50070302352933438</v>
      </c>
      <c r="AG26" s="839">
        <f t="shared" si="24"/>
        <v>0</v>
      </c>
      <c r="AH26" s="178">
        <f t="shared" si="16"/>
        <v>6</v>
      </c>
      <c r="AI26" s="227">
        <f t="shared" si="17"/>
        <v>0.50070302352933438</v>
      </c>
      <c r="AJ26" s="267" t="b">
        <f t="shared" si="18"/>
        <v>0</v>
      </c>
      <c r="AK26" s="267" t="b">
        <f t="shared" si="19"/>
        <v>0</v>
      </c>
      <c r="AL26" s="267"/>
      <c r="AM26" s="267"/>
      <c r="AN26" s="75"/>
    </row>
    <row r="27" spans="1:40" s="6" customFormat="1" ht="11.25" x14ac:dyDescent="0.2">
      <c r="A27" s="56">
        <f t="shared" si="20"/>
        <v>44939</v>
      </c>
      <c r="B27" s="413">
        <f>'2022'!Wh/'2022'!Env_an*'2023'!Env_an</f>
        <v>5.9347618347368138</v>
      </c>
      <c r="C27" s="868"/>
      <c r="D27" s="395">
        <f t="shared" si="0"/>
        <v>6.1636352042361029</v>
      </c>
      <c r="E27" s="387">
        <f t="shared" si="1"/>
        <v>6.4179272360822885</v>
      </c>
      <c r="F27" s="387">
        <f t="shared" si="2"/>
        <v>6.4451762040348335</v>
      </c>
      <c r="G27" s="110">
        <f t="shared" si="21"/>
        <v>0.30627216553443781</v>
      </c>
      <c r="H27" s="416" t="b">
        <f>Wh_hp&gt;='2022'!Maxi_hp</f>
        <v>0</v>
      </c>
      <c r="I27" s="392">
        <f>IF(H27,Wh_hp,'2022'!Maxi_hp)</f>
        <v>14.73462756836317</v>
      </c>
      <c r="J27" s="85">
        <f>IF(H27,An,'2022'!An_max)</f>
        <v>2020</v>
      </c>
      <c r="K27" s="199">
        <f t="shared" si="3"/>
        <v>44939</v>
      </c>
      <c r="L27" s="147">
        <f>IF(t&lt;Tvie,1-EXP((T0-t)*PertePVj)+'2022'!Pspv,1-EXP((T0-t)*PertePVj)+Pspv)</f>
        <v>3.7132854543693639E-2</v>
      </c>
      <c r="M27" s="872"/>
      <c r="N27" s="872"/>
      <c r="O27" s="48">
        <f>IF(t&lt;Tnet,'2022'!Resal+('2022'!Salim-'2022'!Resal)*(1-EXP(('2022'!Tnet-t)/('2022'!Tau_j))),Resal+(Salim-Resal)*(1-EXP((Tnet-t)/(Tau_j))))*Salcycl</f>
        <v>3.9622143176776523E-2</v>
      </c>
      <c r="P27" s="171">
        <f>(INDEX(Models!$BJ27:$BT27,,T27)*(1-R27)+INDEX(Models!$BJ27:$BT27,,T27+1)*R27-ERP_i)*Q27*Ramure*Pc/MaxiM</f>
        <v>8.6971170705036141E-2</v>
      </c>
      <c r="Q27" s="307">
        <f t="shared" si="4"/>
        <v>0.9</v>
      </c>
      <c r="R27" s="179">
        <f t="shared" si="5"/>
        <v>0.50075804893279108</v>
      </c>
      <c r="S27" s="839">
        <f t="shared" si="6"/>
        <v>0</v>
      </c>
      <c r="T27" s="178">
        <f t="shared" si="7"/>
        <v>6</v>
      </c>
      <c r="U27" s="253">
        <f t="shared" si="8"/>
        <v>0.50075804893279108</v>
      </c>
      <c r="V27" s="385">
        <f t="shared" si="9"/>
        <v>17.767252023609966</v>
      </c>
      <c r="W27" s="404">
        <f t="shared" si="10"/>
        <v>5.9347618347368138</v>
      </c>
      <c r="X27" s="157">
        <f t="shared" si="11"/>
        <v>44939</v>
      </c>
      <c r="Y27" s="387">
        <f t="shared" si="12"/>
        <v>5.2832425335694229</v>
      </c>
      <c r="Z27" s="387">
        <f t="shared" si="22"/>
        <v>5.4869901403330932</v>
      </c>
      <c r="AA27" s="388">
        <f t="shared" si="13"/>
        <v>6.4179272360822885</v>
      </c>
      <c r="AB27" s="199">
        <f t="shared" si="14"/>
        <v>44939</v>
      </c>
      <c r="AC27" s="119">
        <f>IF(OR(t&lt;Tnet,NoTnet),'2022'!Resal_s+('2022'!Salim-'2022'!Resal_s)*(1-EXP(('2022'!Tnet_s-t)/'2022'!Tau_j)),Resal_s+(Salim-Resal_s)*(1-EXP((Tnet_s-t)/Tau_j)))*Salcycl</f>
        <v>0.14505260990111654</v>
      </c>
      <c r="AD27" s="233">
        <f>(INDEX(Models!$BJ27:$BT27,,AH27)*(1-AF27)+INDEX(Models!$BJ27:$BT27,,AH27+1)*AF27-ERP_i)*AE27*Ramure*Pc/MaxiM</f>
        <v>8.6971170705036141E-2</v>
      </c>
      <c r="AE27" s="307">
        <f t="shared" si="15"/>
        <v>0.9</v>
      </c>
      <c r="AF27" s="179">
        <f t="shared" si="23"/>
        <v>0.50075804893279108</v>
      </c>
      <c r="AG27" s="839">
        <f t="shared" si="24"/>
        <v>0</v>
      </c>
      <c r="AH27" s="178">
        <f t="shared" si="16"/>
        <v>6</v>
      </c>
      <c r="AI27" s="227">
        <f t="shared" si="17"/>
        <v>0.50075804893279108</v>
      </c>
      <c r="AJ27" s="267" t="b">
        <f t="shared" si="18"/>
        <v>0</v>
      </c>
      <c r="AK27" s="267" t="b">
        <f t="shared" si="19"/>
        <v>0</v>
      </c>
      <c r="AL27" s="267"/>
      <c r="AM27" s="267"/>
      <c r="AN27" s="75"/>
    </row>
    <row r="28" spans="1:40" s="6" customFormat="1" ht="11.25" x14ac:dyDescent="0.2">
      <c r="A28" s="56">
        <f t="shared" si="20"/>
        <v>44940</v>
      </c>
      <c r="B28" s="413">
        <f>'2022'!Wh/'2022'!Env_an*'2023'!Env_an</f>
        <v>18.343910397029866</v>
      </c>
      <c r="C28" s="868"/>
      <c r="D28" s="395">
        <f t="shared" si="0"/>
        <v>19.051784436849445</v>
      </c>
      <c r="E28" s="387">
        <f t="shared" si="1"/>
        <v>19.841857998395909</v>
      </c>
      <c r="F28" s="387">
        <f t="shared" si="2"/>
        <v>21.692421575213356</v>
      </c>
      <c r="G28" s="110">
        <f t="shared" si="21"/>
        <v>1.0190269259145368</v>
      </c>
      <c r="H28" s="416" t="b">
        <f>Wh_hp&gt;='2022'!Maxi_hp</f>
        <v>1</v>
      </c>
      <c r="I28" s="392">
        <f>IF(H28,Wh_hp,'2022'!Maxi_hp)</f>
        <v>21.692421575213356</v>
      </c>
      <c r="J28" s="85">
        <f>IF(H28,An,'2022'!An_max)</f>
        <v>2023</v>
      </c>
      <c r="K28" s="199">
        <f t="shared" si="3"/>
        <v>44940</v>
      </c>
      <c r="L28" s="147">
        <f>IF(t&lt;Tvie,1-EXP((T0-t)*PertePVj)+'2022'!Pspv,1-EXP((T0-t)*PertePVj)+Pspv)</f>
        <v>3.7155261868826783E-2</v>
      </c>
      <c r="M28" s="872"/>
      <c r="N28" s="872"/>
      <c r="O28" s="48">
        <f>IF(t&lt;Tnet,'2022'!Resal+('2022'!Salim-'2022'!Resal)*(1-EXP(('2022'!Tnet-t)/('2022'!Tau_j))),Resal+(Salim-Resal)*(1-EXP((Tnet-t)/(Tau_j))))*Salcycl</f>
        <v>3.98185271565967E-2</v>
      </c>
      <c r="P28" s="171">
        <f>(INDEX(Models!$BJ28:$BT28,,T28)*(1-R28)+INDEX(Models!$BJ28:$BT28,,T28+1)*R28-ERP_i)*Q28*Ramure*Pc/MaxiM</f>
        <v>8.5309220568162744E-2</v>
      </c>
      <c r="Q28" s="307">
        <f t="shared" si="4"/>
        <v>0.9</v>
      </c>
      <c r="R28" s="179">
        <f t="shared" si="5"/>
        <v>0.50081537202612836</v>
      </c>
      <c r="S28" s="839">
        <f t="shared" si="6"/>
        <v>0</v>
      </c>
      <c r="T28" s="178">
        <f t="shared" si="7"/>
        <v>6</v>
      </c>
      <c r="U28" s="253">
        <f t="shared" si="8"/>
        <v>0.50081537202612836</v>
      </c>
      <c r="V28" s="385">
        <f t="shared" si="9"/>
        <v>18.001399109809508</v>
      </c>
      <c r="W28" s="404">
        <f t="shared" si="10"/>
        <v>18.343910397029866</v>
      </c>
      <c r="X28" s="157">
        <f t="shared" si="11"/>
        <v>44940</v>
      </c>
      <c r="Y28" s="387">
        <f t="shared" si="12"/>
        <v>16.331969828806319</v>
      </c>
      <c r="Z28" s="387">
        <f t="shared" si="22"/>
        <v>16.962204997355794</v>
      </c>
      <c r="AA28" s="388">
        <f t="shared" si="13"/>
        <v>19.841857998395909</v>
      </c>
      <c r="AB28" s="199">
        <f t="shared" si="14"/>
        <v>44940</v>
      </c>
      <c r="AC28" s="119">
        <f>IF(OR(t&lt;Tnet,NoTnet),'2022'!Resal_s+('2022'!Salim-'2022'!Resal_s)*(1-EXP(('2022'!Tnet_s-t)/'2022'!Tau_j)),Resal_s+(Salim-Resal_s)*(1-EXP((Tnet_s-t)/Tau_j)))*Salcycl</f>
        <v>0.14513020914033953</v>
      </c>
      <c r="AD28" s="233">
        <f>(INDEX(Models!$BJ28:$BT28,,AH28)*(1-AF28)+INDEX(Models!$BJ28:$BT28,,AH28+1)*AF28-ERP_i)*AE28*Ramure*Pc/MaxiM</f>
        <v>8.5309220568162744E-2</v>
      </c>
      <c r="AE28" s="307">
        <f t="shared" si="15"/>
        <v>0.9</v>
      </c>
      <c r="AF28" s="179">
        <f t="shared" si="23"/>
        <v>0.50081537202612836</v>
      </c>
      <c r="AG28" s="839">
        <f t="shared" si="24"/>
        <v>0</v>
      </c>
      <c r="AH28" s="178">
        <f t="shared" si="16"/>
        <v>6</v>
      </c>
      <c r="AI28" s="227">
        <f t="shared" si="17"/>
        <v>0.50081537202612836</v>
      </c>
      <c r="AJ28" s="267" t="b">
        <f t="shared" si="18"/>
        <v>0</v>
      </c>
      <c r="AK28" s="267" t="b">
        <f t="shared" si="19"/>
        <v>0</v>
      </c>
      <c r="AL28" s="267"/>
      <c r="AM28" s="267"/>
      <c r="AN28" s="75"/>
    </row>
    <row r="29" spans="1:40" s="6" customFormat="1" ht="11.25" x14ac:dyDescent="0.2">
      <c r="A29" s="56">
        <f t="shared" si="20"/>
        <v>44941</v>
      </c>
      <c r="B29" s="413">
        <f>'2022'!Wh/'2022'!Env_an*'2023'!Env_an</f>
        <v>18.507700156632705</v>
      </c>
      <c r="C29" s="868"/>
      <c r="D29" s="395">
        <f t="shared" si="0"/>
        <v>19.222342019337269</v>
      </c>
      <c r="E29" s="387">
        <f t="shared" si="1"/>
        <v>20.023580494428188</v>
      </c>
      <c r="F29" s="387">
        <f t="shared" si="2"/>
        <v>21.851929496030461</v>
      </c>
      <c r="G29" s="110">
        <f t="shared" si="21"/>
        <v>1.0145513106600166</v>
      </c>
      <c r="H29" s="416" t="b">
        <f>Wh_hp&gt;='2022'!Maxi_hp</f>
        <v>1</v>
      </c>
      <c r="I29" s="392">
        <f>IF(H29,Wh_hp,'2022'!Maxi_hp)</f>
        <v>21.851929496030461</v>
      </c>
      <c r="J29" s="85">
        <f>IF(H29,An,'2022'!An_max)</f>
        <v>2023</v>
      </c>
      <c r="K29" s="199">
        <f t="shared" si="3"/>
        <v>44941</v>
      </c>
      <c r="L29" s="147">
        <f>IF(t&lt;Tvie,1-EXP((T0-t)*PertePVj)+'2022'!Pspv,1-EXP((T0-t)*PertePVj)+Pspv)</f>
        <v>3.7177668672508712E-2</v>
      </c>
      <c r="M29" s="872"/>
      <c r="N29" s="872"/>
      <c r="O29" s="48">
        <f>IF(t&lt;Tnet,'2022'!Resal+('2022'!Salim-'2022'!Resal)*(1-EXP(('2022'!Tnet-t)/('2022'!Tau_j))),Resal+(Salim-Resal)*(1-EXP((Tnet-t)/(Tau_j))))*Salcycl</f>
        <v>4.0014745380521424E-2</v>
      </c>
      <c r="P29" s="171">
        <f>(INDEX(Models!$BJ29:$BT29,,T29)*(1-R29)+INDEX(Models!$BJ29:$BT29,,T29+1)*R29-ERP_i)*Q29*Ramure*Pc/MaxiM</f>
        <v>8.3669911251288087E-2</v>
      </c>
      <c r="Q29" s="307">
        <f t="shared" si="4"/>
        <v>0.9</v>
      </c>
      <c r="R29" s="179">
        <f t="shared" si="5"/>
        <v>0.50087508828566607</v>
      </c>
      <c r="S29" s="839">
        <f t="shared" si="6"/>
        <v>0</v>
      </c>
      <c r="T29" s="178">
        <f t="shared" si="7"/>
        <v>6</v>
      </c>
      <c r="U29" s="253">
        <f t="shared" si="8"/>
        <v>0.50087508828566607</v>
      </c>
      <c r="V29" s="385">
        <f t="shared" si="9"/>
        <v>18.242251488091338</v>
      </c>
      <c r="W29" s="404">
        <f t="shared" si="10"/>
        <v>18.507700156632705</v>
      </c>
      <c r="X29" s="157">
        <f t="shared" si="11"/>
        <v>44941</v>
      </c>
      <c r="Y29" s="387">
        <f t="shared" si="12"/>
        <v>16.47966468725199</v>
      </c>
      <c r="Z29" s="387">
        <f t="shared" si="22"/>
        <v>17.11599757405985</v>
      </c>
      <c r="AA29" s="388">
        <f t="shared" si="13"/>
        <v>20.023580494428188</v>
      </c>
      <c r="AB29" s="199">
        <f t="shared" si="14"/>
        <v>44941</v>
      </c>
      <c r="AC29" s="119">
        <f>IF(OR(t&lt;Tnet,NoTnet),'2022'!Resal_s+('2022'!Salim-'2022'!Resal_s)*(1-EXP(('2022'!Tnet_s-t)/'2022'!Tau_j)),Resal_s+(Salim-Resal_s)*(1-EXP((Tnet_s-t)/Tau_j)))*Salcycl</f>
        <v>0.14520794226474174</v>
      </c>
      <c r="AD29" s="233">
        <f>(INDEX(Models!$BJ29:$BT29,,AH29)*(1-AF29)+INDEX(Models!$BJ29:$BT29,,AH29+1)*AF29-ERP_i)*AE29*Ramure*Pc/MaxiM</f>
        <v>8.3669911251288087E-2</v>
      </c>
      <c r="AE29" s="307">
        <f t="shared" si="15"/>
        <v>0.9</v>
      </c>
      <c r="AF29" s="179">
        <f t="shared" si="23"/>
        <v>0.50087508828566607</v>
      </c>
      <c r="AG29" s="839">
        <f t="shared" si="24"/>
        <v>0</v>
      </c>
      <c r="AH29" s="178">
        <f t="shared" si="16"/>
        <v>6</v>
      </c>
      <c r="AI29" s="227">
        <f t="shared" si="17"/>
        <v>0.50087508828566607</v>
      </c>
      <c r="AJ29" s="267" t="b">
        <f t="shared" si="18"/>
        <v>0</v>
      </c>
      <c r="AK29" s="267" t="b">
        <f t="shared" si="19"/>
        <v>0</v>
      </c>
      <c r="AL29" s="267"/>
      <c r="AM29" s="267"/>
      <c r="AN29" s="75"/>
    </row>
    <row r="30" spans="1:40" s="6" customFormat="1" ht="11.25" x14ac:dyDescent="0.2">
      <c r="A30" s="56">
        <f t="shared" si="20"/>
        <v>44942</v>
      </c>
      <c r="B30" s="413">
        <f>'2022'!Wh/'2022'!Env_an*'2023'!Env_an</f>
        <v>18.503247375827936</v>
      </c>
      <c r="C30" s="868"/>
      <c r="D30" s="395">
        <f t="shared" si="0"/>
        <v>19.218164537100836</v>
      </c>
      <c r="E30" s="387">
        <f t="shared" si="1"/>
        <v>20.023318189834999</v>
      </c>
      <c r="F30" s="387">
        <f t="shared" si="2"/>
        <v>21.813416600563905</v>
      </c>
      <c r="G30" s="110">
        <f t="shared" si="21"/>
        <v>1.0007717959974689</v>
      </c>
      <c r="H30" s="416" t="b">
        <f>Wh_hp&gt;='2022'!Maxi_hp</f>
        <v>1</v>
      </c>
      <c r="I30" s="392">
        <f>IF(H30,Wh_hp,'2022'!Maxi_hp)</f>
        <v>21.813416600563905</v>
      </c>
      <c r="J30" s="85">
        <f>IF(H30,An,'2022'!An_max)</f>
        <v>2023</v>
      </c>
      <c r="K30" s="199">
        <f t="shared" si="3"/>
        <v>44942</v>
      </c>
      <c r="L30" s="147">
        <f>IF(t&lt;Tvie,1-EXP((T0-t)*PertePVj)+'2022'!Pspv,1-EXP((T0-t)*PertePVj)+Pspv)</f>
        <v>3.7200074954751639E-2</v>
      </c>
      <c r="M30" s="872"/>
      <c r="N30" s="872"/>
      <c r="O30" s="48">
        <f>IF(t&lt;Tnet,'2022'!Resal+('2022'!Salim-'2022'!Resal)*(1-EXP(('2022'!Tnet-t)/('2022'!Tau_j))),Resal+(Salim-Resal)*(1-EXP((Tnet-t)/(Tau_j))))*Salcycl</f>
        <v>4.0210800482754473E-2</v>
      </c>
      <c r="P30" s="171">
        <f>(INDEX(Models!$BJ30:$BT30,,T30)*(1-R30)+INDEX(Models!$BJ30:$BT30,,T30+1)*R30-ERP_i)*Q30*Ramure*Pc/MaxiM</f>
        <v>8.2064100434529358E-2</v>
      </c>
      <c r="Q30" s="307">
        <f t="shared" si="4"/>
        <v>0.9</v>
      </c>
      <c r="R30" s="179">
        <f t="shared" si="5"/>
        <v>0.50093729711508272</v>
      </c>
      <c r="S30" s="839">
        <f t="shared" si="6"/>
        <v>0</v>
      </c>
      <c r="T30" s="178">
        <f t="shared" si="7"/>
        <v>6</v>
      </c>
      <c r="U30" s="253">
        <f t="shared" si="8"/>
        <v>0.50093729711508272</v>
      </c>
      <c r="V30" s="385">
        <f t="shared" si="9"/>
        <v>18.488977656875065</v>
      </c>
      <c r="W30" s="404">
        <f t="shared" si="10"/>
        <v>18.503247375827936</v>
      </c>
      <c r="X30" s="157">
        <f t="shared" si="11"/>
        <v>44942</v>
      </c>
      <c r="Y30" s="387">
        <f t="shared" si="12"/>
        <v>16.477564041050218</v>
      </c>
      <c r="Z30" s="387">
        <f t="shared" si="22"/>
        <v>17.11421408791222</v>
      </c>
      <c r="AA30" s="388">
        <f t="shared" si="13"/>
        <v>20.023318189834999</v>
      </c>
      <c r="AB30" s="199">
        <f t="shared" si="14"/>
        <v>44942</v>
      </c>
      <c r="AC30" s="119">
        <f>IF(OR(t&lt;Tnet,NoTnet),'2022'!Resal_s+('2022'!Salim-'2022'!Resal_s)*(1-EXP(('2022'!Tnet_s-t)/'2022'!Tau_j)),Resal_s+(Salim-Resal_s)*(1-EXP((Tnet_s-t)/Tau_j)))*Salcycl</f>
        <v>0.14528581498543078</v>
      </c>
      <c r="AD30" s="233">
        <f>(INDEX(Models!$BJ30:$BT30,,AH30)*(1-AF30)+INDEX(Models!$BJ30:$BT30,,AH30+1)*AF30-ERP_i)*AE30*Ramure*Pc/MaxiM</f>
        <v>8.2064100434529358E-2</v>
      </c>
      <c r="AE30" s="307">
        <f t="shared" si="15"/>
        <v>0.9</v>
      </c>
      <c r="AF30" s="179">
        <f t="shared" si="23"/>
        <v>0.50093729711508272</v>
      </c>
      <c r="AG30" s="839">
        <f t="shared" si="24"/>
        <v>0</v>
      </c>
      <c r="AH30" s="178">
        <f t="shared" si="16"/>
        <v>6</v>
      </c>
      <c r="AI30" s="227">
        <f t="shared" si="17"/>
        <v>0.50093729711508272</v>
      </c>
      <c r="AJ30" s="267" t="b">
        <f t="shared" si="18"/>
        <v>0</v>
      </c>
      <c r="AK30" s="267" t="b">
        <f t="shared" si="19"/>
        <v>0</v>
      </c>
      <c r="AL30" s="267"/>
      <c r="AM30" s="267"/>
      <c r="AN30" s="75"/>
    </row>
    <row r="31" spans="1:40" s="6" customFormat="1" ht="11.25" x14ac:dyDescent="0.2">
      <c r="A31" s="56">
        <f t="shared" si="20"/>
        <v>44943</v>
      </c>
      <c r="B31" s="413">
        <f>'2022'!Wh/'2022'!Env_an*'2023'!Env_an</f>
        <v>14.827049083434545</v>
      </c>
      <c r="C31" s="868"/>
      <c r="D31" s="395">
        <f t="shared" si="0"/>
        <v>15.400285929458022</v>
      </c>
      <c r="E31" s="387">
        <f t="shared" si="1"/>
        <v>16.048763428272249</v>
      </c>
      <c r="F31" s="387">
        <f t="shared" si="2"/>
        <v>17.009641486283115</v>
      </c>
      <c r="G31" s="110">
        <f t="shared" si="21"/>
        <v>0.77103176181304955</v>
      </c>
      <c r="H31" s="416" t="b">
        <f>Wh_hp&gt;='2022'!Maxi_hp</f>
        <v>0</v>
      </c>
      <c r="I31" s="392">
        <f>IF(H31,Wh_hp,'2022'!Maxi_hp)</f>
        <v>17.129787184609615</v>
      </c>
      <c r="J31" s="85">
        <f>IF(H31,An,'2022'!An_max)</f>
        <v>2022</v>
      </c>
      <c r="K31" s="199">
        <f t="shared" si="3"/>
        <v>44943</v>
      </c>
      <c r="L31" s="147">
        <f>IF(t&lt;Tvie,1-EXP((T0-t)*PertePVj)+'2022'!Pspv,1-EXP((T0-t)*PertePVj)+Pspv)</f>
        <v>3.7222480715567552E-2</v>
      </c>
      <c r="M31" s="872"/>
      <c r="N31" s="872"/>
      <c r="O31" s="48">
        <f>IF(t&lt;Tnet,'2022'!Resal+('2022'!Salim-'2022'!Resal)*(1-EXP(('2022'!Tnet-t)/('2022'!Tau_j))),Resal+(Salim-Resal)*(1-EXP((Tnet-t)/(Tau_j))))*Salcycl</f>
        <v>4.0406695613185974E-2</v>
      </c>
      <c r="P31" s="171">
        <f>(INDEX(Models!$BJ31:$BT31,,T31)*(1-R31)+INDEX(Models!$BJ31:$BT31,,T31+1)*R31-ERP_i)*Q31*Ramure*Pc/MaxiM</f>
        <v>8.0507806197311849E-2</v>
      </c>
      <c r="Q31" s="307">
        <f t="shared" si="4"/>
        <v>0.9</v>
      </c>
      <c r="R31" s="179">
        <f t="shared" si="5"/>
        <v>0.501002102003546</v>
      </c>
      <c r="S31" s="839">
        <f t="shared" si="6"/>
        <v>0</v>
      </c>
      <c r="T31" s="178">
        <f t="shared" si="7"/>
        <v>6</v>
      </c>
      <c r="U31" s="253">
        <f t="shared" si="8"/>
        <v>0.501002102003546</v>
      </c>
      <c r="V31" s="385">
        <f t="shared" si="9"/>
        <v>18.740625750397417</v>
      </c>
      <c r="W31" s="404">
        <f t="shared" si="10"/>
        <v>14.827049083434545</v>
      </c>
      <c r="X31" s="157">
        <f t="shared" si="11"/>
        <v>44943</v>
      </c>
      <c r="Y31" s="387">
        <f t="shared" si="12"/>
        <v>13.205315535420187</v>
      </c>
      <c r="Z31" s="387">
        <f t="shared" si="22"/>
        <v>13.715853632763265</v>
      </c>
      <c r="AA31" s="388">
        <f t="shared" si="13"/>
        <v>16.048763428272249</v>
      </c>
      <c r="AB31" s="199">
        <f t="shared" si="14"/>
        <v>44943</v>
      </c>
      <c r="AC31" s="119">
        <f>IF(OR(t&lt;Tnet,NoTnet),'2022'!Resal_s+('2022'!Salim-'2022'!Resal_s)*(1-EXP(('2022'!Tnet_s-t)/'2022'!Tau_j)),Resal_s+(Salim-Resal_s)*(1-EXP((Tnet_s-t)/Tau_j)))*Salcycl</f>
        <v>0.14536383478612569</v>
      </c>
      <c r="AD31" s="233">
        <f>(INDEX(Models!$BJ31:$BT31,,AH31)*(1-AF31)+INDEX(Models!$BJ31:$BT31,,AH31+1)*AF31-ERP_i)*AE31*Ramure*Pc/MaxiM</f>
        <v>8.0507806197311849E-2</v>
      </c>
      <c r="AE31" s="307">
        <f t="shared" si="15"/>
        <v>0.9</v>
      </c>
      <c r="AF31" s="179">
        <f t="shared" si="23"/>
        <v>0.501002102003546</v>
      </c>
      <c r="AG31" s="839">
        <f t="shared" si="24"/>
        <v>0</v>
      </c>
      <c r="AH31" s="178">
        <f t="shared" si="16"/>
        <v>6</v>
      </c>
      <c r="AI31" s="227">
        <f t="shared" si="17"/>
        <v>0.501002102003546</v>
      </c>
      <c r="AJ31" s="267" t="b">
        <f t="shared" si="18"/>
        <v>0</v>
      </c>
      <c r="AK31" s="267" t="b">
        <f t="shared" si="19"/>
        <v>0</v>
      </c>
      <c r="AL31" s="267"/>
      <c r="AM31" s="267"/>
      <c r="AN31" s="75"/>
    </row>
    <row r="32" spans="1:40" s="6" customFormat="1" ht="11.25" x14ac:dyDescent="0.2">
      <c r="A32" s="56">
        <f t="shared" si="20"/>
        <v>44944</v>
      </c>
      <c r="B32" s="413">
        <f>'2022'!Wh/'2022'!Env_an*'2023'!Env_an</f>
        <v>4.1087052930885122</v>
      </c>
      <c r="C32" s="868"/>
      <c r="D32" s="395">
        <f t="shared" si="0"/>
        <v>4.2676535633508301</v>
      </c>
      <c r="E32" s="387">
        <f t="shared" si="1"/>
        <v>4.4482639064807143</v>
      </c>
      <c r="F32" s="387">
        <f t="shared" si="2"/>
        <v>4.4482639064807143</v>
      </c>
      <c r="G32" s="110">
        <f t="shared" si="21"/>
        <v>0.19919999227285273</v>
      </c>
      <c r="H32" s="416" t="b">
        <f>Wh_hp&gt;='2022'!Maxi_hp</f>
        <v>0</v>
      </c>
      <c r="I32" s="392">
        <f>IF(H32,Wh_hp,'2022'!Maxi_hp)</f>
        <v>21.664293726015998</v>
      </c>
      <c r="J32" s="85">
        <f>IF(H32,An,'2022'!An_max)</f>
        <v>2021</v>
      </c>
      <c r="K32" s="199">
        <f t="shared" si="3"/>
        <v>44944</v>
      </c>
      <c r="L32" s="147">
        <f>IF(t&lt;Tvie,1-EXP((T0-t)*PertePVj)+'2022'!Pspv,1-EXP((T0-t)*PertePVj)+Pspv)</f>
        <v>3.7244885954968776E-2</v>
      </c>
      <c r="M32" s="872"/>
      <c r="N32" s="872"/>
      <c r="O32" s="48">
        <f>IF(t&lt;Tnet,'2022'!Resal+('2022'!Salim-'2022'!Resal)*(1-EXP(('2022'!Tnet-t)/('2022'!Tau_j))),Resal+(Salim-Resal)*(1-EXP((Tnet-t)/(Tau_j))))*Salcycl</f>
        <v>4.0602434326513524E-2</v>
      </c>
      <c r="P32" s="171">
        <f>(INDEX(Models!$BJ32:$BT32,,T32)*(1-R32)+INDEX(Models!$BJ32:$BT32,,T32+1)*R32-ERP_i)*Q32*Ramure*Pc/MaxiM</f>
        <v>7.900308926984892E-2</v>
      </c>
      <c r="Q32" s="307">
        <f t="shared" si="4"/>
        <v>0.9</v>
      </c>
      <c r="R32" s="179">
        <f t="shared" si="5"/>
        <v>0.50106961068991585</v>
      </c>
      <c r="S32" s="839">
        <f t="shared" si="6"/>
        <v>0</v>
      </c>
      <c r="T32" s="178">
        <f t="shared" si="7"/>
        <v>6</v>
      </c>
      <c r="U32" s="253">
        <f t="shared" si="8"/>
        <v>0.50106961068991585</v>
      </c>
      <c r="V32" s="385">
        <f t="shared" si="9"/>
        <v>18.996511188875399</v>
      </c>
      <c r="W32" s="404">
        <f t="shared" si="10"/>
        <v>4.1087052930885122</v>
      </c>
      <c r="X32" s="157">
        <f t="shared" si="11"/>
        <v>44944</v>
      </c>
      <c r="Y32" s="387">
        <f t="shared" si="12"/>
        <v>3.659720495843017</v>
      </c>
      <c r="Z32" s="387">
        <f t="shared" si="22"/>
        <v>3.8012994607389223</v>
      </c>
      <c r="AA32" s="388">
        <f t="shared" si="13"/>
        <v>4.4482639064807143</v>
      </c>
      <c r="AB32" s="199">
        <f t="shared" si="14"/>
        <v>44944</v>
      </c>
      <c r="AC32" s="119">
        <f>IF(OR(t&lt;Tnet,NoTnet),'2022'!Resal_s+('2022'!Salim-'2022'!Resal_s)*(1-EXP(('2022'!Tnet_s-t)/'2022'!Tau_j)),Resal_s+(Salim-Resal_s)*(1-EXP((Tnet_s-t)/Tau_j)))*Salcycl</f>
        <v>0.14544201048845684</v>
      </c>
      <c r="AD32" s="233">
        <f>(INDEX(Models!$BJ32:$BT32,,AH32)*(1-AF32)+INDEX(Models!$BJ32:$BT32,,AH32+1)*AF32-ERP_i)*AE32*Ramure*Pc/MaxiM</f>
        <v>7.900308926984892E-2</v>
      </c>
      <c r="AE32" s="307">
        <f t="shared" si="15"/>
        <v>0.9</v>
      </c>
      <c r="AF32" s="179">
        <f t="shared" si="23"/>
        <v>0.50106961068991585</v>
      </c>
      <c r="AG32" s="839">
        <f t="shared" si="24"/>
        <v>0</v>
      </c>
      <c r="AH32" s="178">
        <f t="shared" si="16"/>
        <v>6</v>
      </c>
      <c r="AI32" s="227">
        <f t="shared" si="17"/>
        <v>0.50106961068991585</v>
      </c>
      <c r="AJ32" s="267" t="b">
        <f t="shared" si="18"/>
        <v>0</v>
      </c>
      <c r="AK32" s="267" t="b">
        <f t="shared" si="19"/>
        <v>0</v>
      </c>
      <c r="AL32" s="267"/>
      <c r="AM32" s="267"/>
      <c r="AN32" s="75"/>
    </row>
    <row r="33" spans="1:40" s="6" customFormat="1" ht="11.25" x14ac:dyDescent="0.2">
      <c r="A33" s="56">
        <f t="shared" si="20"/>
        <v>44945</v>
      </c>
      <c r="B33" s="413">
        <f>'2022'!Wh/'2022'!Env_an*'2023'!Env_an</f>
        <v>10.069324801787676</v>
      </c>
      <c r="C33" s="868"/>
      <c r="D33" s="395">
        <f t="shared" si="0"/>
        <v>10.459107397344289</v>
      </c>
      <c r="E33" s="387">
        <f t="shared" si="1"/>
        <v>10.903967694559238</v>
      </c>
      <c r="F33" s="387">
        <f t="shared" si="2"/>
        <v>11.180080956098349</v>
      </c>
      <c r="G33" s="110">
        <f t="shared" si="21"/>
        <v>0.49458148755612991</v>
      </c>
      <c r="H33" s="416" t="b">
        <f>Wh_hp&gt;='2022'!Maxi_hp</f>
        <v>0</v>
      </c>
      <c r="I33" s="392">
        <f>IF(H33,Wh_hp,'2022'!Maxi_hp)</f>
        <v>22.003301908530709</v>
      </c>
      <c r="J33" s="85">
        <f>IF(H33,An,'2022'!An_max)</f>
        <v>2021</v>
      </c>
      <c r="K33" s="199">
        <f t="shared" si="3"/>
        <v>44945</v>
      </c>
      <c r="L33" s="147">
        <f>IF(t&lt;Tvie,1-EXP((T0-t)*PertePVj)+'2022'!Pspv,1-EXP((T0-t)*PertePVj)+Pspv)</f>
        <v>3.7267290672967301E-2</v>
      </c>
      <c r="M33" s="872"/>
      <c r="N33" s="872"/>
      <c r="O33" s="48">
        <f>IF(t&lt;Tnet,'2022'!Resal+('2022'!Salim-'2022'!Resal)*(1-EXP(('2022'!Tnet-t)/('2022'!Tau_j))),Resal+(Salim-Resal)*(1-EXP((Tnet-t)/(Tau_j))))*Salcycl</f>
        <v>4.0798020470743122E-2</v>
      </c>
      <c r="P33" s="171">
        <f>(INDEX(Models!$BJ33:$BT33,,T33)*(1-R33)+INDEX(Models!$BJ33:$BT33,,T33+1)*R33-ERP_i)*Q33*Ramure*Pc/MaxiM</f>
        <v>7.7551638238782708E-2</v>
      </c>
      <c r="Q33" s="307">
        <f t="shared" si="4"/>
        <v>0.9</v>
      </c>
      <c r="R33" s="179">
        <f t="shared" si="5"/>
        <v>0.50113993533323065</v>
      </c>
      <c r="S33" s="839">
        <f t="shared" si="6"/>
        <v>0</v>
      </c>
      <c r="T33" s="178">
        <f t="shared" si="7"/>
        <v>6</v>
      </c>
      <c r="U33" s="253">
        <f t="shared" si="8"/>
        <v>0.50113993533323065</v>
      </c>
      <c r="V33" s="385">
        <f t="shared" si="9"/>
        <v>19.255949999661766</v>
      </c>
      <c r="W33" s="404">
        <f t="shared" si="10"/>
        <v>10.069324801787676</v>
      </c>
      <c r="X33" s="157">
        <f t="shared" si="11"/>
        <v>44945</v>
      </c>
      <c r="Y33" s="387">
        <f t="shared" si="12"/>
        <v>8.9699909900099577</v>
      </c>
      <c r="Z33" s="387">
        <f t="shared" si="22"/>
        <v>9.3172184793431825</v>
      </c>
      <c r="AA33" s="388">
        <f t="shared" si="13"/>
        <v>10.903967694559238</v>
      </c>
      <c r="AB33" s="199">
        <f t="shared" si="14"/>
        <v>44945</v>
      </c>
      <c r="AC33" s="119">
        <f>IF(OR(t&lt;Tnet,NoTnet),'2022'!Resal_s+('2022'!Salim-'2022'!Resal_s)*(1-EXP(('2022'!Tnet_s-t)/'2022'!Tau_j)),Resal_s+(Salim-Resal_s)*(1-EXP((Tnet_s-t)/Tau_j)))*Salcycl</f>
        <v>0.14552035182640882</v>
      </c>
      <c r="AD33" s="233">
        <f>(INDEX(Models!$BJ33:$BT33,,AH33)*(1-AF33)+INDEX(Models!$BJ33:$BT33,,AH33+1)*AF33-ERP_i)*AE33*Ramure*Pc/MaxiM</f>
        <v>7.7551638238782708E-2</v>
      </c>
      <c r="AE33" s="307">
        <f t="shared" si="15"/>
        <v>0.9</v>
      </c>
      <c r="AF33" s="179">
        <f t="shared" si="23"/>
        <v>0.50113993533323065</v>
      </c>
      <c r="AG33" s="839">
        <f t="shared" si="24"/>
        <v>0</v>
      </c>
      <c r="AH33" s="178">
        <f t="shared" si="16"/>
        <v>6</v>
      </c>
      <c r="AI33" s="227">
        <f t="shared" si="17"/>
        <v>0.50113993533323065</v>
      </c>
      <c r="AJ33" s="267" t="b">
        <f t="shared" si="18"/>
        <v>0</v>
      </c>
      <c r="AK33" s="267" t="b">
        <f t="shared" si="19"/>
        <v>0</v>
      </c>
      <c r="AL33" s="267"/>
      <c r="AM33" s="267"/>
      <c r="AN33" s="75"/>
    </row>
    <row r="34" spans="1:40" s="6" customFormat="1" ht="11.25" x14ac:dyDescent="0.2">
      <c r="A34" s="56">
        <f t="shared" si="20"/>
        <v>44946</v>
      </c>
      <c r="B34" s="413">
        <f>'2022'!Wh/'2022'!Env_an*'2023'!Env_an</f>
        <v>5.9456652469491225</v>
      </c>
      <c r="C34" s="868"/>
      <c r="D34" s="395">
        <f t="shared" si="0"/>
        <v>6.1759651010940662</v>
      </c>
      <c r="E34" s="387">
        <f t="shared" si="1"/>
        <v>6.4399613882779843</v>
      </c>
      <c r="F34" s="387">
        <f t="shared" si="2"/>
        <v>6.4432004724647038</v>
      </c>
      <c r="G34" s="110">
        <f t="shared" si="21"/>
        <v>0.2815638963786381</v>
      </c>
      <c r="H34" s="416" t="b">
        <f>Wh_hp&gt;='2022'!Maxi_hp</f>
        <v>0</v>
      </c>
      <c r="I34" s="392">
        <f>IF(H34,Wh_hp,'2022'!Maxi_hp)</f>
        <v>9.8558030999389263</v>
      </c>
      <c r="J34" s="85">
        <f>IF(H34,An,'2022'!An_max)</f>
        <v>2020</v>
      </c>
      <c r="K34" s="199">
        <f t="shared" si="3"/>
        <v>44946</v>
      </c>
      <c r="L34" s="147">
        <f>IF(t&lt;Tvie,1-EXP((T0-t)*PertePVj)+'2022'!Pspv,1-EXP((T0-t)*PertePVj)+Pspv)</f>
        <v>3.7289694869575341E-2</v>
      </c>
      <c r="M34" s="872"/>
      <c r="N34" s="872"/>
      <c r="O34" s="48">
        <f>IF(t&lt;Tnet,'2022'!Resal+('2022'!Salim-'2022'!Resal)*(1-EXP(('2022'!Tnet-t)/('2022'!Tau_j))),Resal+(Salim-Resal)*(1-EXP((Tnet-t)/(Tau_j))))*Salcycl</f>
        <v>4.0993458076386019E-2</v>
      </c>
      <c r="P34" s="171">
        <f>(INDEX(Models!$BJ34:$BT34,,T34)*(1-R34)+INDEX(Models!$BJ34:$BT34,,T34+1)*R34-ERP_i)*Q34*Ramure*Pc/MaxiM</f>
        <v>7.6155228579272705E-2</v>
      </c>
      <c r="Q34" s="307">
        <f t="shared" si="4"/>
        <v>0.9</v>
      </c>
      <c r="R34" s="179">
        <f t="shared" si="5"/>
        <v>0.50121319268968367</v>
      </c>
      <c r="S34" s="839">
        <f t="shared" si="6"/>
        <v>0</v>
      </c>
      <c r="T34" s="178">
        <f t="shared" si="7"/>
        <v>6</v>
      </c>
      <c r="U34" s="253">
        <f t="shared" si="8"/>
        <v>0.50121319268968367</v>
      </c>
      <c r="V34" s="385">
        <f t="shared" si="9"/>
        <v>19.518249859506891</v>
      </c>
      <c r="W34" s="404">
        <f t="shared" si="10"/>
        <v>5.9456652469491225</v>
      </c>
      <c r="X34" s="157">
        <f t="shared" si="11"/>
        <v>44946</v>
      </c>
      <c r="Y34" s="387">
        <f t="shared" si="12"/>
        <v>5.2971308215975483</v>
      </c>
      <c r="Z34" s="387">
        <f t="shared" si="22"/>
        <v>5.5023102935206571</v>
      </c>
      <c r="AA34" s="388">
        <f t="shared" si="13"/>
        <v>6.4399613882779843</v>
      </c>
      <c r="AB34" s="199">
        <f t="shared" si="14"/>
        <v>44946</v>
      </c>
      <c r="AC34" s="119">
        <f>IF(OR(t&lt;Tnet,NoTnet),'2022'!Resal_s+('2022'!Salim-'2022'!Resal_s)*(1-EXP(('2022'!Tnet_s-t)/'2022'!Tau_j)),Resal_s+(Salim-Resal_s)*(1-EXP((Tnet_s-t)/Tau_j)))*Salcycl</f>
        <v>0.14559886903422112</v>
      </c>
      <c r="AD34" s="233">
        <f>(INDEX(Models!$BJ34:$BT34,,AH34)*(1-AF34)+INDEX(Models!$BJ34:$BT34,,AH34+1)*AF34-ERP_i)*AE34*Ramure*Pc/MaxiM</f>
        <v>7.6155228579272705E-2</v>
      </c>
      <c r="AE34" s="307">
        <f t="shared" si="15"/>
        <v>0.9</v>
      </c>
      <c r="AF34" s="179">
        <f t="shared" si="23"/>
        <v>0.50121319268968367</v>
      </c>
      <c r="AG34" s="839">
        <f t="shared" si="24"/>
        <v>0</v>
      </c>
      <c r="AH34" s="178">
        <f t="shared" si="16"/>
        <v>6</v>
      </c>
      <c r="AI34" s="227">
        <f t="shared" si="17"/>
        <v>0.50121319268968367</v>
      </c>
      <c r="AJ34" s="267" t="b">
        <f t="shared" si="18"/>
        <v>0</v>
      </c>
      <c r="AK34" s="267" t="b">
        <f t="shared" si="19"/>
        <v>0</v>
      </c>
      <c r="AL34" s="267"/>
      <c r="AM34" s="267"/>
      <c r="AN34" s="75"/>
    </row>
    <row r="35" spans="1:40" s="6" customFormat="1" ht="11.25" x14ac:dyDescent="0.2">
      <c r="A35" s="56">
        <f t="shared" si="20"/>
        <v>44947</v>
      </c>
      <c r="B35" s="413">
        <f>'2022'!Wh/'2022'!Env_an*'2023'!Env_an</f>
        <v>14.562570541685217</v>
      </c>
      <c r="C35" s="868"/>
      <c r="D35" s="395">
        <f t="shared" si="0"/>
        <v>15.126990294229827</v>
      </c>
      <c r="E35" s="387">
        <f t="shared" si="1"/>
        <v>15.776817714553962</v>
      </c>
      <c r="F35" s="387">
        <f t="shared" si="2"/>
        <v>16.548174921760143</v>
      </c>
      <c r="G35" s="110">
        <f t="shared" si="21"/>
        <v>0.7143502317028696</v>
      </c>
      <c r="H35" s="416" t="b">
        <f>Wh_hp&gt;='2022'!Maxi_hp</f>
        <v>0</v>
      </c>
      <c r="I35" s="392">
        <f>IF(H35,Wh_hp,'2022'!Maxi_hp)</f>
        <v>16.681922261721198</v>
      </c>
      <c r="J35" s="85">
        <f>IF(H35,An,'2022'!An_max)</f>
        <v>2022</v>
      </c>
      <c r="K35" s="199">
        <f t="shared" si="3"/>
        <v>44947</v>
      </c>
      <c r="L35" s="147">
        <f>IF(t&lt;Tvie,1-EXP((T0-t)*PertePVj)+'2022'!Pspv,1-EXP((T0-t)*PertePVj)+Pspv)</f>
        <v>3.7312098544804884E-2</v>
      </c>
      <c r="M35" s="872"/>
      <c r="N35" s="872"/>
      <c r="O35" s="48">
        <f>IF(t&lt;Tnet,'2022'!Resal+('2022'!Salim-'2022'!Resal)*(1-EXP(('2022'!Tnet-t)/('2022'!Tau_j))),Resal+(Salim-Resal)*(1-EXP((Tnet-t)/(Tau_j))))*Salcycl</f>
        <v>4.118875124764082E-2</v>
      </c>
      <c r="P35" s="171">
        <f>(INDEX(Models!$BJ35:$BT35,,T35)*(1-R35)+INDEX(Models!$BJ35:$BT35,,T35+1)*R35-ERP_i)*Q35*Ramure*Pc/MaxiM</f>
        <v>7.4815490314779173E-2</v>
      </c>
      <c r="Q35" s="307">
        <f t="shared" si="4"/>
        <v>0.9</v>
      </c>
      <c r="R35" s="179">
        <f t="shared" si="5"/>
        <v>0.50128950429631436</v>
      </c>
      <c r="S35" s="839">
        <f t="shared" si="6"/>
        <v>0</v>
      </c>
      <c r="T35" s="178">
        <f t="shared" si="7"/>
        <v>6</v>
      </c>
      <c r="U35" s="253">
        <f t="shared" si="8"/>
        <v>0.50128950429631436</v>
      </c>
      <c r="V35" s="385">
        <f t="shared" si="9"/>
        <v>19.782715265185285</v>
      </c>
      <c r="W35" s="404">
        <f t="shared" si="10"/>
        <v>14.562570541685217</v>
      </c>
      <c r="X35" s="157">
        <f t="shared" si="11"/>
        <v>44947</v>
      </c>
      <c r="Y35" s="387">
        <f t="shared" si="12"/>
        <v>12.975578491285839</v>
      </c>
      <c r="Z35" s="387">
        <f t="shared" si="22"/>
        <v>13.478489208882761</v>
      </c>
      <c r="AA35" s="388">
        <f t="shared" si="13"/>
        <v>15.776817714553964</v>
      </c>
      <c r="AB35" s="199">
        <f t="shared" si="14"/>
        <v>44947</v>
      </c>
      <c r="AC35" s="119">
        <f>IF(OR(t&lt;Tnet,NoTnet),'2022'!Resal_s+('2022'!Salim-'2022'!Resal_s)*(1-EXP(('2022'!Tnet_s-t)/'2022'!Tau_j)),Resal_s+(Salim-Resal_s)*(1-EXP((Tnet_s-t)/Tau_j)))*Salcycl</f>
        <v>0.145677572451827</v>
      </c>
      <c r="AD35" s="233">
        <f>(INDEX(Models!$BJ35:$BT35,,AH35)*(1-AF35)+INDEX(Models!$BJ35:$BT35,,AH35+1)*AF35-ERP_i)*AE35*Ramure*Pc/MaxiM</f>
        <v>7.4815490314779173E-2</v>
      </c>
      <c r="AE35" s="307">
        <f t="shared" si="15"/>
        <v>0.9</v>
      </c>
      <c r="AF35" s="179">
        <f t="shared" si="23"/>
        <v>0.50128950429631436</v>
      </c>
      <c r="AG35" s="839">
        <f t="shared" si="24"/>
        <v>0</v>
      </c>
      <c r="AH35" s="178">
        <f t="shared" si="16"/>
        <v>6</v>
      </c>
      <c r="AI35" s="227">
        <f t="shared" si="17"/>
        <v>0.50128950429631436</v>
      </c>
      <c r="AJ35" s="267" t="b">
        <f t="shared" si="18"/>
        <v>0</v>
      </c>
      <c r="AK35" s="267" t="b">
        <f t="shared" si="19"/>
        <v>0</v>
      </c>
      <c r="AL35" s="267"/>
      <c r="AM35" s="267"/>
      <c r="AN35" s="75"/>
    </row>
    <row r="36" spans="1:40" s="6" customFormat="1" ht="11.25" x14ac:dyDescent="0.2">
      <c r="A36" s="56">
        <f t="shared" si="20"/>
        <v>44948</v>
      </c>
      <c r="B36" s="413">
        <f>'2022'!Wh/'2022'!Env_an*'2023'!Env_an</f>
        <v>19.919980498733324</v>
      </c>
      <c r="C36" s="868"/>
      <c r="D36" s="395">
        <f t="shared" si="0"/>
        <v>20.69252563209449</v>
      </c>
      <c r="E36" s="387">
        <f t="shared" si="1"/>
        <v>21.585831616706727</v>
      </c>
      <c r="F36" s="387">
        <f t="shared" si="2"/>
        <v>23.282150446478617</v>
      </c>
      <c r="G36" s="110">
        <f t="shared" si="21"/>
        <v>0.99285917229051734</v>
      </c>
      <c r="H36" s="416" t="b">
        <f>Wh_hp&gt;='2022'!Maxi_hp</f>
        <v>0</v>
      </c>
      <c r="I36" s="392">
        <f>IF(H36,Wh_hp,'2022'!Maxi_hp)</f>
        <v>23.286743891331543</v>
      </c>
      <c r="J36" s="85">
        <f>IF(H36,An,'2022'!An_max)</f>
        <v>2022</v>
      </c>
      <c r="K36" s="199">
        <f t="shared" si="3"/>
        <v>44948</v>
      </c>
      <c r="L36" s="147">
        <f>IF(t&lt;Tvie,1-EXP((T0-t)*PertePVj)+'2022'!Pspv,1-EXP((T0-t)*PertePVj)+Pspv)</f>
        <v>3.7334501698668254E-2</v>
      </c>
      <c r="M36" s="872"/>
      <c r="N36" s="872"/>
      <c r="O36" s="48">
        <f>IF(t&lt;Tnet,'2022'!Resal+('2022'!Salim-'2022'!Resal)*(1-EXP(('2022'!Tnet-t)/('2022'!Tau_j))),Resal+(Salim-Resal)*(1-EXP((Tnet-t)/(Tau_j))))*Salcycl</f>
        <v>4.1383904056809626E-2</v>
      </c>
      <c r="P36" s="171">
        <f>(INDEX(Models!$BJ36:$BT36,,T36)*(1-R36)+INDEX(Models!$BJ36:$BT36,,T36+1)*R36-ERP_i)*Q36*Ramure*Pc/MaxiM</f>
        <v>7.3533425262080745E-2</v>
      </c>
      <c r="Q36" s="307">
        <f t="shared" si="4"/>
        <v>0.9</v>
      </c>
      <c r="R36" s="179">
        <f t="shared" si="5"/>
        <v>0.50136899666162882</v>
      </c>
      <c r="S36" s="839">
        <f t="shared" si="6"/>
        <v>0</v>
      </c>
      <c r="T36" s="178">
        <f t="shared" si="7"/>
        <v>6</v>
      </c>
      <c r="U36" s="253">
        <f t="shared" si="8"/>
        <v>0.50136899666162882</v>
      </c>
      <c r="V36" s="385">
        <f t="shared" si="9"/>
        <v>20.048658499020036</v>
      </c>
      <c r="W36" s="404">
        <f t="shared" si="10"/>
        <v>19.919980498733324</v>
      </c>
      <c r="X36" s="157">
        <f t="shared" si="11"/>
        <v>44948</v>
      </c>
      <c r="Y36" s="387">
        <f t="shared" si="12"/>
        <v>17.751125281456797</v>
      </c>
      <c r="Z36" s="387">
        <f t="shared" si="22"/>
        <v>18.439556951796327</v>
      </c>
      <c r="AA36" s="388">
        <f t="shared" si="13"/>
        <v>21.585831616706727</v>
      </c>
      <c r="AB36" s="199">
        <f t="shared" si="14"/>
        <v>44948</v>
      </c>
      <c r="AC36" s="119">
        <f>IF(OR(t&lt;Tnet,NoTnet),'2022'!Resal_s+('2022'!Salim-'2022'!Resal_s)*(1-EXP(('2022'!Tnet_s-t)/'2022'!Tau_j)),Resal_s+(Salim-Resal_s)*(1-EXP((Tnet_s-t)/Tau_j)))*Salcycl</f>
        <v>0.14575647215163523</v>
      </c>
      <c r="AD36" s="233">
        <f>(INDEX(Models!$BJ36:$BT36,,AH36)*(1-AF36)+INDEX(Models!$BJ36:$BT36,,AH36+1)*AF36-ERP_i)*AE36*Ramure*Pc/MaxiM</f>
        <v>7.3533425262080745E-2</v>
      </c>
      <c r="AE36" s="307">
        <f t="shared" si="15"/>
        <v>0.9</v>
      </c>
      <c r="AF36" s="179">
        <f t="shared" si="23"/>
        <v>0.50136899666162882</v>
      </c>
      <c r="AG36" s="839">
        <f t="shared" si="24"/>
        <v>0</v>
      </c>
      <c r="AH36" s="178">
        <f t="shared" si="16"/>
        <v>6</v>
      </c>
      <c r="AI36" s="227">
        <f t="shared" si="17"/>
        <v>0.50136899666162882</v>
      </c>
      <c r="AJ36" s="267" t="b">
        <f t="shared" si="18"/>
        <v>0</v>
      </c>
      <c r="AK36" s="267" t="b">
        <f t="shared" si="19"/>
        <v>0</v>
      </c>
      <c r="AL36" s="267"/>
      <c r="AM36" s="267"/>
      <c r="AN36" s="75"/>
    </row>
    <row r="37" spans="1:40" s="6" customFormat="1" ht="11.25" x14ac:dyDescent="0.2">
      <c r="A37" s="56">
        <f t="shared" si="20"/>
        <v>44949</v>
      </c>
      <c r="B37" s="413">
        <f>'2022'!Wh/'2022'!Env_an*'2023'!Env_an</f>
        <v>19.969256717662454</v>
      </c>
      <c r="C37" s="868"/>
      <c r="D37" s="395">
        <f t="shared" si="0"/>
        <v>20.744195649986217</v>
      </c>
      <c r="E37" s="387">
        <f t="shared" si="1"/>
        <v>21.644135435311714</v>
      </c>
      <c r="F37" s="387">
        <f t="shared" si="2"/>
        <v>23.286540052478429</v>
      </c>
      <c r="G37" s="110">
        <f t="shared" si="21"/>
        <v>0.98097340628898111</v>
      </c>
      <c r="H37" s="416" t="b">
        <f>Wh_hp&gt;='2022'!Maxi_hp</f>
        <v>0</v>
      </c>
      <c r="I37" s="392">
        <f>IF(H37,Wh_hp,'2022'!Maxi_hp)</f>
        <v>23.298620808792489</v>
      </c>
      <c r="J37" s="85">
        <f>IF(H37,An,'2022'!An_max)</f>
        <v>2022</v>
      </c>
      <c r="K37" s="199">
        <f t="shared" si="3"/>
        <v>44949</v>
      </c>
      <c r="L37" s="147">
        <f>IF(t&lt;Tvie,1-EXP((T0-t)*PertePVj)+'2022'!Pspv,1-EXP((T0-t)*PertePVj)+Pspv)</f>
        <v>3.7356904331177554E-2</v>
      </c>
      <c r="M37" s="872"/>
      <c r="N37" s="872"/>
      <c r="O37" s="48">
        <f>IF(t&lt;Tnet,'2022'!Resal+('2022'!Salim-'2022'!Resal)*(1-EXP(('2022'!Tnet-t)/('2022'!Tau_j))),Resal+(Salim-Resal)*(1-EXP((Tnet-t)/(Tau_j))))*Salcycl</f>
        <v>4.1578920443145706E-2</v>
      </c>
      <c r="P37" s="171">
        <f>(INDEX(Models!$BJ37:$BT37,,T37)*(1-R37)+INDEX(Models!$BJ37:$BT37,,T37+1)*R37-ERP_i)*Q37*Ramure*Pc/MaxiM</f>
        <v>7.2301932881827374E-2</v>
      </c>
      <c r="Q37" s="307">
        <f t="shared" si="4"/>
        <v>0.9</v>
      </c>
      <c r="R37" s="179">
        <f t="shared" si="5"/>
        <v>0.50145180146338164</v>
      </c>
      <c r="S37" s="839">
        <f t="shared" si="6"/>
        <v>0</v>
      </c>
      <c r="T37" s="178">
        <f t="shared" si="7"/>
        <v>6</v>
      </c>
      <c r="U37" s="253">
        <f t="shared" si="8"/>
        <v>0.50145180146338164</v>
      </c>
      <c r="V37" s="385">
        <f t="shared" si="9"/>
        <v>20.317770025249985</v>
      </c>
      <c r="W37" s="404">
        <f t="shared" si="10"/>
        <v>19.969256717662454</v>
      </c>
      <c r="X37" s="157">
        <f t="shared" si="11"/>
        <v>44949</v>
      </c>
      <c r="Y37" s="387">
        <f t="shared" si="12"/>
        <v>17.797009053768605</v>
      </c>
      <c r="Z37" s="387">
        <f t="shared" si="22"/>
        <v>18.487650442663433</v>
      </c>
      <c r="AA37" s="388">
        <f t="shared" si="13"/>
        <v>21.644135435311714</v>
      </c>
      <c r="AB37" s="199">
        <f t="shared" si="14"/>
        <v>44949</v>
      </c>
      <c r="AC37" s="119">
        <f>IF(OR(t&lt;Tnet,NoTnet),'2022'!Resal_s+('2022'!Salim-'2022'!Resal_s)*(1-EXP(('2022'!Tnet_s-t)/'2022'!Tau_j)),Resal_s+(Salim-Resal_s)*(1-EXP((Tnet_s-t)/Tau_j)))*Salcycl</f>
        <v>0.14583557759015756</v>
      </c>
      <c r="AD37" s="233">
        <f>(INDEX(Models!$BJ37:$BT37,,AH37)*(1-AF37)+INDEX(Models!$BJ37:$BT37,,AH37+1)*AF37-ERP_i)*AE37*Ramure*Pc/MaxiM</f>
        <v>7.2301932881827374E-2</v>
      </c>
      <c r="AE37" s="307">
        <f t="shared" si="15"/>
        <v>0.9</v>
      </c>
      <c r="AF37" s="179">
        <f t="shared" si="23"/>
        <v>0.50145180146338164</v>
      </c>
      <c r="AG37" s="839">
        <f t="shared" si="24"/>
        <v>0</v>
      </c>
      <c r="AH37" s="178">
        <f t="shared" si="16"/>
        <v>6</v>
      </c>
      <c r="AI37" s="227">
        <f t="shared" si="17"/>
        <v>0.50145180146338164</v>
      </c>
      <c r="AJ37" s="267" t="b">
        <f t="shared" si="18"/>
        <v>0</v>
      </c>
      <c r="AK37" s="267" t="b">
        <f t="shared" si="19"/>
        <v>0</v>
      </c>
      <c r="AL37" s="267"/>
      <c r="AM37" s="267"/>
      <c r="AN37" s="75"/>
    </row>
    <row r="38" spans="1:40" s="6" customFormat="1" ht="11.25" x14ac:dyDescent="0.2">
      <c r="A38" s="56">
        <f t="shared" si="20"/>
        <v>44950</v>
      </c>
      <c r="B38" s="413">
        <f>'2022'!Wh/'2022'!Env_an*'2023'!Env_an</f>
        <v>20.412220944505073</v>
      </c>
      <c r="C38" s="868"/>
      <c r="D38" s="395">
        <f t="shared" si="0"/>
        <v>21.204843279511842</v>
      </c>
      <c r="E38" s="387">
        <f t="shared" si="1"/>
        <v>22.129266942005859</v>
      </c>
      <c r="F38" s="387">
        <f t="shared" si="2"/>
        <v>23.79964462201962</v>
      </c>
      <c r="G38" s="110">
        <f t="shared" si="21"/>
        <v>0.99027990301732316</v>
      </c>
      <c r="H38" s="416" t="b">
        <f>Wh_hp&gt;='2022'!Maxi_hp</f>
        <v>0</v>
      </c>
      <c r="I38" s="392">
        <f>IF(H38,Wh_hp,'2022'!Maxi_hp)</f>
        <v>23.805877087103614</v>
      </c>
      <c r="J38" s="85">
        <f>IF(H38,An,'2022'!An_max)</f>
        <v>2022</v>
      </c>
      <c r="K38" s="199">
        <f t="shared" si="3"/>
        <v>44950</v>
      </c>
      <c r="L38" s="147">
        <f>IF(t&lt;Tvie,1-EXP((T0-t)*PertePVj)+'2022'!Pspv,1-EXP((T0-t)*PertePVj)+Pspv)</f>
        <v>3.7379306442344773E-2</v>
      </c>
      <c r="M38" s="872"/>
      <c r="N38" s="872"/>
      <c r="O38" s="48">
        <f>IF(t&lt;Tnet,'2022'!Resal+('2022'!Salim-'2022'!Resal)*(1-EXP(('2022'!Tnet-t)/('2022'!Tau_j))),Resal+(Salim-Resal)*(1-EXP((Tnet-t)/(Tau_j))))*Salcycl</f>
        <v>4.1773804117264821E-2</v>
      </c>
      <c r="P38" s="171">
        <f>(INDEX(Models!$BJ38:$BT38,,T38)*(1-R38)+INDEX(Models!$BJ38:$BT38,,T38+1)*R38-ERP_i)*Q38*Ramure*Pc/MaxiM</f>
        <v>7.1075532885171558E-2</v>
      </c>
      <c r="Q38" s="307">
        <f t="shared" si="4"/>
        <v>0.9</v>
      </c>
      <c r="R38" s="179">
        <f t="shared" si="5"/>
        <v>0.50153805575374533</v>
      </c>
      <c r="S38" s="839">
        <f t="shared" si="6"/>
        <v>0</v>
      </c>
      <c r="T38" s="178">
        <f t="shared" si="7"/>
        <v>6</v>
      </c>
      <c r="U38" s="253">
        <f t="shared" si="8"/>
        <v>0.50153805575374533</v>
      </c>
      <c r="V38" s="385">
        <f t="shared" si="9"/>
        <v>20.592835089582813</v>
      </c>
      <c r="W38" s="404">
        <f t="shared" si="10"/>
        <v>20.412220944505073</v>
      </c>
      <c r="X38" s="157">
        <f t="shared" si="11"/>
        <v>44950</v>
      </c>
      <c r="Y38" s="387">
        <f t="shared" si="12"/>
        <v>18.193797974719889</v>
      </c>
      <c r="Z38" s="387">
        <f t="shared" si="22"/>
        <v>18.900277229112142</v>
      </c>
      <c r="AA38" s="388">
        <f t="shared" si="13"/>
        <v>22.129266942005859</v>
      </c>
      <c r="AB38" s="199">
        <f t="shared" si="14"/>
        <v>44950</v>
      </c>
      <c r="AC38" s="119">
        <f>IF(OR(t&lt;Tnet,NoTnet),'2022'!Resal_s+('2022'!Salim-'2022'!Resal_s)*(1-EXP(('2022'!Tnet_s-t)/'2022'!Tau_j)),Resal_s+(Salim-Resal_s)*(1-EXP((Tnet_s-t)/Tau_j)))*Salcycl</f>
        <v>0.14591489728764753</v>
      </c>
      <c r="AD38" s="233">
        <f>(INDEX(Models!$BJ38:$BT38,,AH38)*(1-AF38)+INDEX(Models!$BJ38:$BT38,,AH38+1)*AF38-ERP_i)*AE38*Ramure*Pc/MaxiM</f>
        <v>7.1075532885171558E-2</v>
      </c>
      <c r="AE38" s="307">
        <f t="shared" si="15"/>
        <v>0.9</v>
      </c>
      <c r="AF38" s="179">
        <f t="shared" si="23"/>
        <v>0.50153805575374533</v>
      </c>
      <c r="AG38" s="839">
        <f t="shared" si="24"/>
        <v>0</v>
      </c>
      <c r="AH38" s="178">
        <f t="shared" si="16"/>
        <v>6</v>
      </c>
      <c r="AI38" s="227">
        <f t="shared" si="17"/>
        <v>0.50153805575374533</v>
      </c>
      <c r="AJ38" s="267" t="b">
        <f t="shared" si="18"/>
        <v>0</v>
      </c>
      <c r="AK38" s="267" t="b">
        <f t="shared" si="19"/>
        <v>0</v>
      </c>
      <c r="AL38" s="267"/>
      <c r="AM38" s="267"/>
      <c r="AN38" s="75"/>
    </row>
    <row r="39" spans="1:40" s="6" customFormat="1" ht="11.25" x14ac:dyDescent="0.2">
      <c r="A39" s="56">
        <f t="shared" si="20"/>
        <v>44951</v>
      </c>
      <c r="B39" s="413">
        <f>'2022'!Wh/'2022'!Env_an*'2023'!Env_an</f>
        <v>20.654718889834189</v>
      </c>
      <c r="C39" s="868"/>
      <c r="D39" s="395">
        <f t="shared" si="0"/>
        <v>21.457256949428217</v>
      </c>
      <c r="E39" s="387">
        <f t="shared" si="1"/>
        <v>22.397236686939216</v>
      </c>
      <c r="F39" s="387">
        <f t="shared" si="2"/>
        <v>24.051499298390215</v>
      </c>
      <c r="G39" s="110">
        <f t="shared" si="21"/>
        <v>0.98837350609144325</v>
      </c>
      <c r="H39" s="416" t="b">
        <f>Wh_hp&gt;='2022'!Maxi_hp</f>
        <v>0</v>
      </c>
      <c r="I39" s="392">
        <f>IF(H39,Wh_hp,'2022'!Maxi_hp)</f>
        <v>24.058949643818465</v>
      </c>
      <c r="J39" s="85">
        <f>IF(H39,An,'2022'!An_max)</f>
        <v>2022</v>
      </c>
      <c r="K39" s="199">
        <f t="shared" si="3"/>
        <v>44951</v>
      </c>
      <c r="L39" s="147">
        <f>IF(t&lt;Tvie,1-EXP((T0-t)*PertePVj)+'2022'!Pspv,1-EXP((T0-t)*PertePVj)+Pspv)</f>
        <v>3.7401708032182235E-2</v>
      </c>
      <c r="M39" s="872"/>
      <c r="N39" s="872"/>
      <c r="O39" s="48">
        <f>IF(t&lt;Tnet,'2022'!Resal+('2022'!Salim-'2022'!Resal)*(1-EXP(('2022'!Tnet-t)/('2022'!Tau_j))),Resal+(Salim-Resal)*(1-EXP((Tnet-t)/(Tau_j))))*Salcycl</f>
        <v>4.1968558472177057E-2</v>
      </c>
      <c r="P39" s="171">
        <f>(INDEX(Models!$BJ39:$BT39,,T39)*(1-R39)+INDEX(Models!$BJ39:$BT39,,T39+1)*R39-ERP_i)*Q39*Ramure*Pc/MaxiM</f>
        <v>6.9828670266706014E-2</v>
      </c>
      <c r="Q39" s="307">
        <f t="shared" si="4"/>
        <v>0.9</v>
      </c>
      <c r="R39" s="179">
        <f t="shared" si="5"/>
        <v>0.50162790217210429</v>
      </c>
      <c r="S39" s="839">
        <f t="shared" si="6"/>
        <v>0</v>
      </c>
      <c r="T39" s="178">
        <f t="shared" si="7"/>
        <v>6</v>
      </c>
      <c r="U39" s="253">
        <f t="shared" si="8"/>
        <v>0.50162790217210429</v>
      </c>
      <c r="V39" s="385">
        <f t="shared" si="9"/>
        <v>20.874152752245728</v>
      </c>
      <c r="W39" s="404">
        <f t="shared" si="10"/>
        <v>20.654718889834189</v>
      </c>
      <c r="X39" s="157">
        <f t="shared" si="11"/>
        <v>44951</v>
      </c>
      <c r="Y39" s="387">
        <f t="shared" si="12"/>
        <v>18.411968582378524</v>
      </c>
      <c r="Z39" s="387">
        <f t="shared" si="22"/>
        <v>19.127364692014314</v>
      </c>
      <c r="AA39" s="388">
        <f t="shared" si="13"/>
        <v>22.397236686939216</v>
      </c>
      <c r="AB39" s="199">
        <f t="shared" si="14"/>
        <v>44951</v>
      </c>
      <c r="AC39" s="119">
        <f>IF(OR(t&lt;Tnet,NoTnet),'2022'!Resal_s+('2022'!Salim-'2022'!Resal_s)*(1-EXP(('2022'!Tnet_s-t)/'2022'!Tau_j)),Resal_s+(Salim-Resal_s)*(1-EXP((Tnet_s-t)/Tau_j)))*Salcycl</f>
        <v>0.14599443853855879</v>
      </c>
      <c r="AD39" s="233">
        <f>(INDEX(Models!$BJ39:$BT39,,AH39)*(1-AF39)+INDEX(Models!$BJ39:$BT39,,AH39+1)*AF39-ERP_i)*AE39*Ramure*Pc/MaxiM</f>
        <v>6.9828670266706014E-2</v>
      </c>
      <c r="AE39" s="307">
        <f t="shared" si="15"/>
        <v>0.9</v>
      </c>
      <c r="AF39" s="179">
        <f t="shared" si="23"/>
        <v>0.50162790217210429</v>
      </c>
      <c r="AG39" s="839">
        <f t="shared" si="24"/>
        <v>0</v>
      </c>
      <c r="AH39" s="178">
        <f t="shared" si="16"/>
        <v>6</v>
      </c>
      <c r="AI39" s="227">
        <f t="shared" si="17"/>
        <v>0.50162790217210429</v>
      </c>
      <c r="AJ39" s="267" t="b">
        <f t="shared" si="18"/>
        <v>0</v>
      </c>
      <c r="AK39" s="267" t="b">
        <f t="shared" si="19"/>
        <v>0</v>
      </c>
      <c r="AL39" s="267"/>
      <c r="AM39" s="267"/>
      <c r="AN39" s="75"/>
    </row>
    <row r="40" spans="1:40" s="6" customFormat="1" ht="11.25" x14ac:dyDescent="0.2">
      <c r="A40" s="56">
        <f t="shared" si="20"/>
        <v>44952</v>
      </c>
      <c r="B40" s="413">
        <f>'2022'!Wh/'2022'!Env_an*'2023'!Env_an</f>
        <v>20.753720077233968</v>
      </c>
      <c r="C40" s="868"/>
      <c r="D40" s="395">
        <f t="shared" si="0"/>
        <v>21.560606569778678</v>
      </c>
      <c r="E40" s="387">
        <f t="shared" si="1"/>
        <v>22.509686687691403</v>
      </c>
      <c r="F40" s="387">
        <f t="shared" si="2"/>
        <v>24.117789456617189</v>
      </c>
      <c r="G40" s="110">
        <f t="shared" si="21"/>
        <v>0.97875154376949769</v>
      </c>
      <c r="H40" s="416" t="b">
        <f>Wh_hp&gt;='2022'!Maxi_hp</f>
        <v>0</v>
      </c>
      <c r="I40" s="392">
        <f>IF(H40,Wh_hp,'2022'!Maxi_hp)</f>
        <v>24.131302627113506</v>
      </c>
      <c r="J40" s="85">
        <f>IF(H40,An,'2022'!An_max)</f>
        <v>2022</v>
      </c>
      <c r="K40" s="199">
        <f t="shared" si="3"/>
        <v>44952</v>
      </c>
      <c r="L40" s="147">
        <f>IF(t&lt;Tvie,1-EXP((T0-t)*PertePVj)+'2022'!Pspv,1-EXP((T0-t)*PertePVj)+Pspv)</f>
        <v>3.742410910070193E-2</v>
      </c>
      <c r="M40" s="872"/>
      <c r="N40" s="872"/>
      <c r="O40" s="48">
        <f>IF(t&lt;Tnet,'2022'!Resal+('2022'!Salim-'2022'!Resal)*(1-EXP(('2022'!Tnet-t)/('2022'!Tau_j))),Resal+(Salim-Resal)*(1-EXP((Tnet-t)/(Tau_j))))*Salcycl</f>
        <v>4.2163186501911434E-2</v>
      </c>
      <c r="P40" s="171">
        <f>(INDEX(Models!$BJ40:$BT40,,T40)*(1-R40)+INDEX(Models!$BJ40:$BT40,,T40+1)*R40-ERP_i)*Q40*Ramure*Pc/MaxiM</f>
        <v>6.8564074450221071E-2</v>
      </c>
      <c r="Q40" s="307">
        <f t="shared" si="4"/>
        <v>0.9</v>
      </c>
      <c r="R40" s="179">
        <f t="shared" si="5"/>
        <v>0.50172148916570813</v>
      </c>
      <c r="S40" s="839">
        <f t="shared" si="6"/>
        <v>0</v>
      </c>
      <c r="T40" s="178">
        <f t="shared" si="7"/>
        <v>6</v>
      </c>
      <c r="U40" s="253">
        <f t="shared" si="8"/>
        <v>0.50172148916570813</v>
      </c>
      <c r="V40" s="385">
        <f t="shared" si="9"/>
        <v>21.16140644884435</v>
      </c>
      <c r="W40" s="404">
        <f t="shared" si="10"/>
        <v>20.753720077233968</v>
      </c>
      <c r="X40" s="157">
        <f t="shared" si="11"/>
        <v>44952</v>
      </c>
      <c r="Y40" s="387">
        <f t="shared" si="12"/>
        <v>18.502250719209144</v>
      </c>
      <c r="Z40" s="387">
        <f t="shared" si="22"/>
        <v>19.221602051473774</v>
      </c>
      <c r="AA40" s="388">
        <f t="shared" si="13"/>
        <v>22.509686687691403</v>
      </c>
      <c r="AB40" s="199">
        <f t="shared" si="14"/>
        <v>44952</v>
      </c>
      <c r="AC40" s="119">
        <f>IF(OR(t&lt;Tnet,NoTnet),'2022'!Resal_s+('2022'!Salim-'2022'!Resal_s)*(1-EXP(('2022'!Tnet_s-t)/'2022'!Tau_j)),Resal_s+(Salim-Resal_s)*(1-EXP((Tnet_s-t)/Tau_j)))*Salcycl</f>
        <v>0.14607420715525093</v>
      </c>
      <c r="AD40" s="233">
        <f>(INDEX(Models!$BJ40:$BT40,,AH40)*(1-AF40)+INDEX(Models!$BJ40:$BT40,,AH40+1)*AF40-ERP_i)*AE40*Ramure*Pc/MaxiM</f>
        <v>6.8564074450221071E-2</v>
      </c>
      <c r="AE40" s="307">
        <f t="shared" si="15"/>
        <v>0.9</v>
      </c>
      <c r="AF40" s="179">
        <f t="shared" si="23"/>
        <v>0.50172148916570813</v>
      </c>
      <c r="AG40" s="839">
        <f t="shared" si="24"/>
        <v>0</v>
      </c>
      <c r="AH40" s="178">
        <f t="shared" si="16"/>
        <v>6</v>
      </c>
      <c r="AI40" s="227">
        <f t="shared" si="17"/>
        <v>0.50172148916570813</v>
      </c>
      <c r="AJ40" s="267" t="b">
        <f t="shared" si="18"/>
        <v>0</v>
      </c>
      <c r="AK40" s="267" t="b">
        <f t="shared" si="19"/>
        <v>0</v>
      </c>
      <c r="AL40" s="267"/>
      <c r="AM40" s="267"/>
      <c r="AN40" s="75"/>
    </row>
    <row r="41" spans="1:40" s="6" customFormat="1" ht="11.25" x14ac:dyDescent="0.2">
      <c r="A41" s="56">
        <f t="shared" si="20"/>
        <v>44953</v>
      </c>
      <c r="B41" s="413">
        <f>'2022'!Wh/'2022'!Env_an*'2023'!Env_an</f>
        <v>20.254164988326419</v>
      </c>
      <c r="C41" s="868"/>
      <c r="D41" s="395">
        <f t="shared" si="0"/>
        <v>21.04211889660057</v>
      </c>
      <c r="E41" s="387">
        <f t="shared" si="1"/>
        <v>21.972837554149194</v>
      </c>
      <c r="F41" s="387">
        <f t="shared" si="2"/>
        <v>23.422889946926261</v>
      </c>
      <c r="G41" s="110">
        <f t="shared" si="21"/>
        <v>0.93865072798041449</v>
      </c>
      <c r="H41" s="416" t="b">
        <f>Wh_hp&gt;='2022'!Maxi_hp</f>
        <v>0</v>
      </c>
      <c r="I41" s="392">
        <f>IF(H41,Wh_hp,'2022'!Maxi_hp)</f>
        <v>23.460443635711847</v>
      </c>
      <c r="J41" s="85">
        <f>IF(H41,An,'2022'!An_max)</f>
        <v>2022</v>
      </c>
      <c r="K41" s="199">
        <f t="shared" si="3"/>
        <v>44953</v>
      </c>
      <c r="L41" s="147">
        <f>IF(t&lt;Tvie,1-EXP((T0-t)*PertePVj)+'2022'!Pspv,1-EXP((T0-t)*PertePVj)+Pspv)</f>
        <v>3.7446509647916071E-2</v>
      </c>
      <c r="M41" s="872"/>
      <c r="N41" s="872"/>
      <c r="O41" s="48">
        <f>IF(t&lt;Tnet,'2022'!Resal+('2022'!Salim-'2022'!Resal)*(1-EXP(('2022'!Tnet-t)/('2022'!Tau_j))),Resal+(Salim-Resal)*(1-EXP((Tnet-t)/(Tau_j))))*Salcycl</f>
        <v>4.2357690728609336E-2</v>
      </c>
      <c r="P41" s="171">
        <f>(INDEX(Models!$BJ41:$BT41,,T41)*(1-R41)+INDEX(Models!$BJ41:$BT41,,T41+1)*R41-ERP_i)*Q41*Ramure*Pc/MaxiM</f>
        <v>6.7284301555161963E-2</v>
      </c>
      <c r="Q41" s="307">
        <f t="shared" si="4"/>
        <v>0.9</v>
      </c>
      <c r="R41" s="179">
        <f t="shared" si="5"/>
        <v>0.50181897121843011</v>
      </c>
      <c r="S41" s="839">
        <f t="shared" si="6"/>
        <v>0</v>
      </c>
      <c r="T41" s="178">
        <f t="shared" si="7"/>
        <v>6</v>
      </c>
      <c r="U41" s="253">
        <f t="shared" si="8"/>
        <v>0.50181897121843011</v>
      </c>
      <c r="V41" s="385">
        <f t="shared" si="9"/>
        <v>21.4542798540357</v>
      </c>
      <c r="W41" s="404">
        <f t="shared" si="10"/>
        <v>20.254164988326419</v>
      </c>
      <c r="X41" s="157">
        <f t="shared" si="11"/>
        <v>44953</v>
      </c>
      <c r="Y41" s="387">
        <f t="shared" si="12"/>
        <v>18.058865396377527</v>
      </c>
      <c r="Z41" s="387">
        <f t="shared" si="22"/>
        <v>18.76141490045601</v>
      </c>
      <c r="AA41" s="388">
        <f t="shared" si="13"/>
        <v>21.972837554149194</v>
      </c>
      <c r="AB41" s="199">
        <f t="shared" si="14"/>
        <v>44953</v>
      </c>
      <c r="AC41" s="119">
        <f>IF(OR(t&lt;Tnet,NoTnet),'2022'!Resal_s+('2022'!Salim-'2022'!Resal_s)*(1-EXP(('2022'!Tnet_s-t)/'2022'!Tau_j)),Resal_s+(Salim-Resal_s)*(1-EXP((Tnet_s-t)/Tau_j)))*Salcycl</f>
        <v>0.14615420724697259</v>
      </c>
      <c r="AD41" s="233">
        <f>(INDEX(Models!$BJ41:$BT41,,AH41)*(1-AF41)+INDEX(Models!$BJ41:$BT41,,AH41+1)*AF41-ERP_i)*AE41*Ramure*Pc/MaxiM</f>
        <v>6.7284301555161963E-2</v>
      </c>
      <c r="AE41" s="307">
        <f t="shared" si="15"/>
        <v>0.9</v>
      </c>
      <c r="AF41" s="179">
        <f t="shared" si="23"/>
        <v>0.50181897121843011</v>
      </c>
      <c r="AG41" s="839">
        <f t="shared" si="24"/>
        <v>0</v>
      </c>
      <c r="AH41" s="178">
        <f t="shared" si="16"/>
        <v>6</v>
      </c>
      <c r="AI41" s="227">
        <f t="shared" si="17"/>
        <v>0.50181897121843011</v>
      </c>
      <c r="AJ41" s="267" t="b">
        <f t="shared" si="18"/>
        <v>0</v>
      </c>
      <c r="AK41" s="267" t="b">
        <f t="shared" si="19"/>
        <v>0</v>
      </c>
      <c r="AL41" s="267"/>
      <c r="AM41" s="267"/>
      <c r="AN41" s="75"/>
    </row>
    <row r="42" spans="1:40" s="6" customFormat="1" ht="11.25" x14ac:dyDescent="0.2">
      <c r="A42" s="56">
        <f t="shared" si="20"/>
        <v>44954</v>
      </c>
      <c r="B42" s="413">
        <f>'2022'!Wh/'2022'!Env_an*'2023'!Env_an</f>
        <v>4.2367386762269046</v>
      </c>
      <c r="C42" s="868"/>
      <c r="D42" s="395">
        <f t="shared" si="0"/>
        <v>4.4016642358962583</v>
      </c>
      <c r="E42" s="387">
        <f t="shared" si="1"/>
        <v>4.5972883876061132</v>
      </c>
      <c r="F42" s="387">
        <f t="shared" si="2"/>
        <v>4.5972883876061132</v>
      </c>
      <c r="G42" s="110">
        <f t="shared" si="21"/>
        <v>0.18191733255217196</v>
      </c>
      <c r="H42" s="416" t="b">
        <f>Wh_hp&gt;='2022'!Maxi_hp</f>
        <v>0</v>
      </c>
      <c r="I42" s="392">
        <f>IF(H42,Wh_hp,'2022'!Maxi_hp)</f>
        <v>17.183861490086507</v>
      </c>
      <c r="J42" s="85">
        <f>IF(H42,An,'2022'!An_max)</f>
        <v>2020</v>
      </c>
      <c r="K42" s="199">
        <f t="shared" si="3"/>
        <v>44954</v>
      </c>
      <c r="L42" s="147">
        <f>IF(t&lt;Tvie,1-EXP((T0-t)*PertePVj)+'2022'!Pspv,1-EXP((T0-t)*PertePVj)+Pspv)</f>
        <v>3.7468909673836648E-2</v>
      </c>
      <c r="M42" s="872"/>
      <c r="N42" s="872"/>
      <c r="O42" s="48">
        <f>IF(t&lt;Tnet,'2022'!Resal+('2022'!Salim-'2022'!Resal)*(1-EXP(('2022'!Tnet-t)/('2022'!Tau_j))),Resal+(Salim-Resal)*(1-EXP((Tnet-t)/(Tau_j))))*Salcycl</f>
        <v>4.2552073138861744E-2</v>
      </c>
      <c r="P42" s="171">
        <f>(INDEX(Models!$BJ42:$BT42,,T42)*(1-R42)+INDEX(Models!$BJ42:$BT42,,T42+1)*R42-ERP_i)*Q42*Ramure*Pc/MaxiM</f>
        <v>6.5991736739737808E-2</v>
      </c>
      <c r="Q42" s="307">
        <f t="shared" si="4"/>
        <v>0.9</v>
      </c>
      <c r="R42" s="179">
        <f t="shared" si="5"/>
        <v>0.50192050908786823</v>
      </c>
      <c r="S42" s="839">
        <f t="shared" si="6"/>
        <v>0</v>
      </c>
      <c r="T42" s="178">
        <f t="shared" si="7"/>
        <v>6</v>
      </c>
      <c r="U42" s="253">
        <f t="shared" si="8"/>
        <v>0.50192050908786823</v>
      </c>
      <c r="V42" s="385">
        <f t="shared" si="9"/>
        <v>21.752456884422511</v>
      </c>
      <c r="W42" s="404">
        <f t="shared" si="10"/>
        <v>4.2367386762269046</v>
      </c>
      <c r="X42" s="157">
        <f t="shared" si="11"/>
        <v>44954</v>
      </c>
      <c r="Y42" s="387">
        <f t="shared" si="12"/>
        <v>3.77794077632272</v>
      </c>
      <c r="Z42" s="387">
        <f t="shared" si="22"/>
        <v>3.9250064899644195</v>
      </c>
      <c r="AA42" s="388">
        <f t="shared" si="13"/>
        <v>4.5972883876061132</v>
      </c>
      <c r="AB42" s="199">
        <f t="shared" si="14"/>
        <v>44954</v>
      </c>
      <c r="AC42" s="119">
        <f>IF(OR(t&lt;Tnet,NoTnet),'2022'!Resal_s+('2022'!Salim-'2022'!Resal_s)*(1-EXP(('2022'!Tnet_s-t)/'2022'!Tau_j)),Resal_s+(Salim-Resal_s)*(1-EXP((Tnet_s-t)/Tau_j)))*Salcycl</f>
        <v>0.14623444103574332</v>
      </c>
      <c r="AD42" s="233">
        <f>(INDEX(Models!$BJ42:$BT42,,AH42)*(1-AF42)+INDEX(Models!$BJ42:$BT42,,AH42+1)*AF42-ERP_i)*AE42*Ramure*Pc/MaxiM</f>
        <v>6.5991736739737808E-2</v>
      </c>
      <c r="AE42" s="307">
        <f t="shared" si="15"/>
        <v>0.9</v>
      </c>
      <c r="AF42" s="179">
        <f t="shared" si="23"/>
        <v>0.50192050908786823</v>
      </c>
      <c r="AG42" s="839">
        <f t="shared" si="24"/>
        <v>0</v>
      </c>
      <c r="AH42" s="178">
        <f t="shared" si="16"/>
        <v>6</v>
      </c>
      <c r="AI42" s="227">
        <f t="shared" si="17"/>
        <v>0.50192050908786823</v>
      </c>
      <c r="AJ42" s="267" t="b">
        <f t="shared" si="18"/>
        <v>0</v>
      </c>
      <c r="AK42" s="267" t="b">
        <f t="shared" si="19"/>
        <v>0</v>
      </c>
      <c r="AL42" s="267"/>
      <c r="AM42" s="267"/>
      <c r="AN42" s="75"/>
    </row>
    <row r="43" spans="1:40" s="6" customFormat="1" ht="11.25" x14ac:dyDescent="0.2">
      <c r="A43" s="56">
        <f t="shared" si="20"/>
        <v>44955</v>
      </c>
      <c r="B43" s="413">
        <f>'2022'!Wh/'2022'!Env_an*'2023'!Env_an</f>
        <v>6.6253564294470646</v>
      </c>
      <c r="C43" s="868"/>
      <c r="D43" s="395">
        <f t="shared" si="0"/>
        <v>6.8834250460556001</v>
      </c>
      <c r="E43" s="387">
        <f t="shared" si="1"/>
        <v>7.1908056335204273</v>
      </c>
      <c r="F43" s="387">
        <f t="shared" si="2"/>
        <v>7.1910668608535779</v>
      </c>
      <c r="G43" s="110">
        <f t="shared" si="21"/>
        <v>0.28097129208662824</v>
      </c>
      <c r="H43" s="416" t="b">
        <f>Wh_hp&gt;='2022'!Maxi_hp</f>
        <v>0</v>
      </c>
      <c r="I43" s="392">
        <f>IF(H43,Wh_hp,'2022'!Maxi_hp)</f>
        <v>19.986344451656461</v>
      </c>
      <c r="J43" s="85">
        <f>IF(H43,An,'2022'!An_max)</f>
        <v>2020</v>
      </c>
      <c r="K43" s="199">
        <f t="shared" si="3"/>
        <v>44955</v>
      </c>
      <c r="L43" s="147">
        <f>IF(t&lt;Tvie,1-EXP((T0-t)*PertePVj)+'2022'!Pspv,1-EXP((T0-t)*PertePVj)+Pspv)</f>
        <v>3.7491309178475984E-2</v>
      </c>
      <c r="M43" s="872"/>
      <c r="N43" s="872"/>
      <c r="O43" s="48">
        <f>IF(t&lt;Tnet,'2022'!Resal+('2022'!Salim-'2022'!Resal)*(1-EXP(('2022'!Tnet-t)/('2022'!Tau_j))),Resal+(Salim-Resal)*(1-EXP((Tnet-t)/(Tau_j))))*Salcycl</f>
        <v>4.2746335129954315E-2</v>
      </c>
      <c r="P43" s="171">
        <f>(INDEX(Models!$BJ43:$BT43,,T43)*(1-R43)+INDEX(Models!$BJ43:$BT43,,T43+1)*R43-ERP_i)*Q43*Ramure*Pc/MaxiM</f>
        <v>6.4688597544802579E-2</v>
      </c>
      <c r="Q43" s="307">
        <f t="shared" si="4"/>
        <v>0.9</v>
      </c>
      <c r="R43" s="179">
        <f t="shared" si="5"/>
        <v>0.50202627005104161</v>
      </c>
      <c r="S43" s="839">
        <f t="shared" si="6"/>
        <v>0</v>
      </c>
      <c r="T43" s="178">
        <f t="shared" si="7"/>
        <v>6</v>
      </c>
      <c r="U43" s="253">
        <f t="shared" si="8"/>
        <v>0.50202627005104161</v>
      </c>
      <c r="V43" s="385">
        <f t="shared" si="9"/>
        <v>22.055621710897665</v>
      </c>
      <c r="W43" s="404">
        <f t="shared" si="10"/>
        <v>6.6253564294470646</v>
      </c>
      <c r="X43" s="157">
        <f t="shared" si="11"/>
        <v>44955</v>
      </c>
      <c r="Y43" s="387">
        <f t="shared" si="12"/>
        <v>5.9085362802626742</v>
      </c>
      <c r="Z43" s="387">
        <f t="shared" si="22"/>
        <v>6.138683563698109</v>
      </c>
      <c r="AA43" s="388">
        <f t="shared" si="13"/>
        <v>7.1908056335204273</v>
      </c>
      <c r="AB43" s="199">
        <f t="shared" si="14"/>
        <v>44955</v>
      </c>
      <c r="AC43" s="119">
        <f>IF(OR(t&lt;Tnet,NoTnet),'2022'!Resal_s+('2022'!Salim-'2022'!Resal_s)*(1-EXP(('2022'!Tnet_s-t)/'2022'!Tau_j)),Resal_s+(Salim-Resal_s)*(1-EXP((Tnet_s-t)/Tau_j)))*Salcycl</f>
        <v>0.14631490871033703</v>
      </c>
      <c r="AD43" s="233">
        <f>(INDEX(Models!$BJ43:$BT43,,AH43)*(1-AF43)+INDEX(Models!$BJ43:$BT43,,AH43+1)*AF43-ERP_i)*AE43*Ramure*Pc/MaxiM</f>
        <v>6.4688597544802579E-2</v>
      </c>
      <c r="AE43" s="307">
        <f t="shared" si="15"/>
        <v>0.9</v>
      </c>
      <c r="AF43" s="179">
        <f t="shared" si="23"/>
        <v>0.50202627005104161</v>
      </c>
      <c r="AG43" s="839">
        <f t="shared" si="24"/>
        <v>0</v>
      </c>
      <c r="AH43" s="178">
        <f t="shared" si="16"/>
        <v>6</v>
      </c>
      <c r="AI43" s="227">
        <f t="shared" si="17"/>
        <v>0.50202627005104161</v>
      </c>
      <c r="AJ43" s="267" t="b">
        <f t="shared" si="18"/>
        <v>0</v>
      </c>
      <c r="AK43" s="267" t="b">
        <f t="shared" si="19"/>
        <v>0</v>
      </c>
      <c r="AL43" s="267"/>
      <c r="AM43" s="267"/>
      <c r="AN43" s="75"/>
    </row>
    <row r="44" spans="1:40" s="6" customFormat="1" ht="11.25" x14ac:dyDescent="0.2">
      <c r="A44" s="56">
        <f t="shared" si="20"/>
        <v>44956</v>
      </c>
      <c r="B44" s="413">
        <f>'2022'!Wh/'2022'!Env_an*'2023'!Env_an</f>
        <v>4.8223321831483155</v>
      </c>
      <c r="C44" s="868"/>
      <c r="D44" s="395">
        <f t="shared" si="0"/>
        <v>5.0102866129538715</v>
      </c>
      <c r="E44" s="387">
        <f t="shared" si="1"/>
        <v>5.235083602419162</v>
      </c>
      <c r="F44" s="387">
        <f t="shared" si="2"/>
        <v>5.235083602419162</v>
      </c>
      <c r="G44" s="110">
        <f t="shared" si="21"/>
        <v>0.20196820098313983</v>
      </c>
      <c r="H44" s="416" t="b">
        <f>Wh_hp&gt;='2022'!Maxi_hp</f>
        <v>0</v>
      </c>
      <c r="I44" s="392">
        <f>IF(H44,Wh_hp,'2022'!Maxi_hp)</f>
        <v>10.95637555418933</v>
      </c>
      <c r="J44" s="85">
        <f>IF(H44,An,'2022'!An_max)</f>
        <v>2020</v>
      </c>
      <c r="K44" s="199">
        <f t="shared" si="3"/>
        <v>44956</v>
      </c>
      <c r="L44" s="147">
        <f>IF(t&lt;Tvie,1-EXP((T0-t)*PertePVj)+'2022'!Pspv,1-EXP((T0-t)*PertePVj)+Pspv)</f>
        <v>3.7513708161846071E-2</v>
      </c>
      <c r="M44" s="872"/>
      <c r="N44" s="872"/>
      <c r="O44" s="48">
        <f>IF(t&lt;Tnet,'2022'!Resal+('2022'!Salim-'2022'!Resal)*(1-EXP(('2022'!Tnet-t)/('2022'!Tau_j))),Resal+(Salim-Resal)*(1-EXP((Tnet-t)/(Tau_j))))*Salcycl</f>
        <v>4.2940477466570093E-2</v>
      </c>
      <c r="P44" s="171">
        <f>(INDEX(Models!$BJ44:$BT44,,T44)*(1-R44)+INDEX(Models!$BJ44:$BT44,,T44+1)*R44-ERP_i)*Q44*Ramure*Pc/MaxiM</f>
        <v>6.3335809488088077E-2</v>
      </c>
      <c r="Q44" s="307">
        <f t="shared" si="4"/>
        <v>0.9</v>
      </c>
      <c r="R44" s="179">
        <f t="shared" si="5"/>
        <v>0.50213642815892567</v>
      </c>
      <c r="S44" s="839">
        <f t="shared" si="6"/>
        <v>0</v>
      </c>
      <c r="T44" s="178">
        <f t="shared" si="7"/>
        <v>6</v>
      </c>
      <c r="U44" s="253">
        <f t="shared" si="8"/>
        <v>0.50213642815892567</v>
      </c>
      <c r="V44" s="385">
        <f t="shared" si="9"/>
        <v>22.364440781869551</v>
      </c>
      <c r="W44" s="404">
        <f t="shared" si="10"/>
        <v>4.8223321831483155</v>
      </c>
      <c r="X44" s="157">
        <f t="shared" si="11"/>
        <v>44956</v>
      </c>
      <c r="Y44" s="387">
        <f t="shared" si="12"/>
        <v>4.3010532080417452</v>
      </c>
      <c r="Z44" s="387">
        <f t="shared" si="22"/>
        <v>4.4686903538414082</v>
      </c>
      <c r="AA44" s="388">
        <f t="shared" si="13"/>
        <v>5.235083602419162</v>
      </c>
      <c r="AB44" s="199">
        <f t="shared" si="14"/>
        <v>44956</v>
      </c>
      <c r="AC44" s="119">
        <f>IF(OR(t&lt;Tnet,NoTnet),'2022'!Resal_s+('2022'!Salim-'2022'!Resal_s)*(1-EXP(('2022'!Tnet_s-t)/'2022'!Tau_j)),Resal_s+(Salim-Resal_s)*(1-EXP((Tnet_s-t)/Tau_j)))*Salcycl</f>
        <v>0.1463956083191488</v>
      </c>
      <c r="AD44" s="233">
        <f>(INDEX(Models!$BJ44:$BT44,,AH44)*(1-AF44)+INDEX(Models!$BJ44:$BT44,,AH44+1)*AF44-ERP_i)*AE44*Ramure*Pc/MaxiM</f>
        <v>6.3335809488088077E-2</v>
      </c>
      <c r="AE44" s="307">
        <f t="shared" si="15"/>
        <v>0.9</v>
      </c>
      <c r="AF44" s="179">
        <f t="shared" si="23"/>
        <v>0.50213642815892567</v>
      </c>
      <c r="AG44" s="839">
        <f t="shared" si="24"/>
        <v>0</v>
      </c>
      <c r="AH44" s="178">
        <f t="shared" si="16"/>
        <v>6</v>
      </c>
      <c r="AI44" s="227">
        <f t="shared" si="17"/>
        <v>0.50213642815892567</v>
      </c>
      <c r="AJ44" s="267" t="b">
        <f t="shared" si="18"/>
        <v>0</v>
      </c>
      <c r="AK44" s="267" t="b">
        <f t="shared" si="19"/>
        <v>0</v>
      </c>
      <c r="AL44" s="267"/>
      <c r="AM44" s="267"/>
      <c r="AN44" s="75"/>
    </row>
    <row r="45" spans="1:40" s="6" customFormat="1" ht="11.25" x14ac:dyDescent="0.2">
      <c r="A45" s="56">
        <f t="shared" si="20"/>
        <v>44957</v>
      </c>
      <c r="B45" s="413">
        <f>'2022'!Wh/'2022'!Env_an*'2023'!Env_an</f>
        <v>10.812973260477365</v>
      </c>
      <c r="C45" s="868"/>
      <c r="D45" s="395">
        <f t="shared" si="0"/>
        <v>11.234679383710311</v>
      </c>
      <c r="E45" s="387">
        <f t="shared" si="1"/>
        <v>11.741127030524735</v>
      </c>
      <c r="F45" s="387">
        <f t="shared" si="2"/>
        <v>11.92768731794944</v>
      </c>
      <c r="G45" s="110">
        <f t="shared" si="21"/>
        <v>0.4543677209298253</v>
      </c>
      <c r="H45" s="416" t="b">
        <f>Wh_hp&gt;='2022'!Maxi_hp</f>
        <v>0</v>
      </c>
      <c r="I45" s="392">
        <f>IF(H45,Wh_hp,'2022'!Maxi_hp)</f>
        <v>19.362829984004698</v>
      </c>
      <c r="J45" s="85">
        <f>IF(H45,An,'2022'!An_max)</f>
        <v>2020</v>
      </c>
      <c r="K45" s="199">
        <f t="shared" si="3"/>
        <v>44957</v>
      </c>
      <c r="L45" s="147">
        <f>IF(t&lt;Tvie,1-EXP((T0-t)*PertePVj)+'2022'!Pspv,1-EXP((T0-t)*PertePVj)+Pspv)</f>
        <v>3.753610662395912E-2</v>
      </c>
      <c r="M45" s="872"/>
      <c r="N45" s="872"/>
      <c r="O45" s="48">
        <f>IF(t&lt;Tnet,'2022'!Resal+('2022'!Salim-'2022'!Resal)*(1-EXP(('2022'!Tnet-t)/('2022'!Tau_j))),Resal+(Salim-Resal)*(1-EXP((Tnet-t)/(Tau_j))))*Salcycl</f>
        <v>4.3134500248379531E-2</v>
      </c>
      <c r="P45" s="171">
        <f>(INDEX(Models!$BJ45:$BT45,,T45)*(1-R45)+INDEX(Models!$BJ45:$BT45,,T45+1)*R45-ERP_i)*Q45*Ramure*Pc/MaxiM</f>
        <v>6.1930717158536451E-2</v>
      </c>
      <c r="Q45" s="307">
        <f t="shared" si="4"/>
        <v>0.9</v>
      </c>
      <c r="R45" s="179">
        <f t="shared" si="5"/>
        <v>0.50225116450007734</v>
      </c>
      <c r="S45" s="839">
        <f t="shared" si="6"/>
        <v>0</v>
      </c>
      <c r="T45" s="178">
        <f t="shared" si="7"/>
        <v>6</v>
      </c>
      <c r="U45" s="253">
        <f t="shared" si="8"/>
        <v>0.50225116450007734</v>
      </c>
      <c r="V45" s="385">
        <f t="shared" si="9"/>
        <v>22.678745753396178</v>
      </c>
      <c r="W45" s="404">
        <f t="shared" si="10"/>
        <v>10.812973260477365</v>
      </c>
      <c r="X45" s="157">
        <f t="shared" si="11"/>
        <v>44957</v>
      </c>
      <c r="Y45" s="387">
        <f t="shared" si="12"/>
        <v>9.6451658033826497</v>
      </c>
      <c r="Z45" s="387">
        <f t="shared" si="22"/>
        <v>10.021327417852776</v>
      </c>
      <c r="AA45" s="388">
        <f t="shared" si="13"/>
        <v>11.741127030524735</v>
      </c>
      <c r="AB45" s="199">
        <f t="shared" si="14"/>
        <v>44957</v>
      </c>
      <c r="AC45" s="119">
        <f>IF(OR(t&lt;Tnet,NoTnet),'2022'!Resal_s+('2022'!Salim-'2022'!Resal_s)*(1-EXP(('2022'!Tnet_s-t)/'2022'!Tau_j)),Resal_s+(Salim-Resal_s)*(1-EXP((Tnet_s-t)/Tau_j)))*Salcycl</f>
        <v>0.1464765357023054</v>
      </c>
      <c r="AD45" s="233">
        <f>(INDEX(Models!$BJ45:$BT45,,AH45)*(1-AF45)+INDEX(Models!$BJ45:$BT45,,AH45+1)*AF45-ERP_i)*AE45*Ramure*Pc/MaxiM</f>
        <v>6.1930717158536451E-2</v>
      </c>
      <c r="AE45" s="307">
        <f t="shared" si="15"/>
        <v>0.9</v>
      </c>
      <c r="AF45" s="179">
        <f t="shared" si="23"/>
        <v>0.50225116450007734</v>
      </c>
      <c r="AG45" s="839">
        <f t="shared" si="24"/>
        <v>0</v>
      </c>
      <c r="AH45" s="178">
        <f t="shared" si="16"/>
        <v>6</v>
      </c>
      <c r="AI45" s="227">
        <f t="shared" si="17"/>
        <v>0.50225116450007734</v>
      </c>
      <c r="AJ45" s="267" t="b">
        <f t="shared" si="18"/>
        <v>0</v>
      </c>
      <c r="AK45" s="267" t="b">
        <f t="shared" si="19"/>
        <v>0</v>
      </c>
      <c r="AL45" s="267"/>
      <c r="AM45" s="267"/>
      <c r="AN45" s="75"/>
    </row>
    <row r="46" spans="1:40" s="6" customFormat="1" ht="11.25" x14ac:dyDescent="0.2">
      <c r="A46" s="56">
        <f t="shared" si="20"/>
        <v>44958</v>
      </c>
      <c r="B46" s="413">
        <f>'2022'!Wh/'2022'!Env_an*'2023'!Env_an</f>
        <v>10.63245399784762</v>
      </c>
      <c r="C46" s="868"/>
      <c r="D46" s="395">
        <f t="shared" si="0"/>
        <v>11.047376955666383</v>
      </c>
      <c r="E46" s="387">
        <f t="shared" si="1"/>
        <v>11.54772127554088</v>
      </c>
      <c r="F46" s="387">
        <f t="shared" si="2"/>
        <v>11.711962667814481</v>
      </c>
      <c r="G46" s="110">
        <f t="shared" si="21"/>
        <v>0.44053474320715619</v>
      </c>
      <c r="H46" s="416" t="b">
        <f>Wh_hp&gt;='2022'!Maxi_hp</f>
        <v>0</v>
      </c>
      <c r="I46" s="392">
        <f>IF(H46,Wh_hp,'2022'!Maxi_hp)</f>
        <v>21.665220022404377</v>
      </c>
      <c r="J46" s="85">
        <f>IF(H46,An,'2022'!An_max)</f>
        <v>2019</v>
      </c>
      <c r="K46" s="199">
        <f t="shared" si="3"/>
        <v>44958</v>
      </c>
      <c r="L46" s="147">
        <f>IF(t&lt;Tvie,1-EXP((T0-t)*PertePVj)+'2022'!Pspv,1-EXP((T0-t)*PertePVj)+Pspv)</f>
        <v>3.7558504564827233E-2</v>
      </c>
      <c r="M46" s="872"/>
      <c r="N46" s="872"/>
      <c r="O46" s="48">
        <f>IF(t&lt;Tnet,'2022'!Resal+('2022'!Salim-'2022'!Resal)*(1-EXP(('2022'!Tnet-t)/('2022'!Tau_j))),Resal+(Salim-Resal)*(1-EXP((Tnet-t)/(Tau_j))))*Salcycl</f>
        <v>4.3328402888825474E-2</v>
      </c>
      <c r="P46" s="171">
        <f>(INDEX(Models!$BJ46:$BT46,,T46)*(1-R46)+INDEX(Models!$BJ46:$BT46,,T46+1)*R46-ERP_i)*Q46*Ramure*Pc/MaxiM</f>
        <v>6.0476783298354389E-2</v>
      </c>
      <c r="Q46" s="307">
        <f t="shared" si="4"/>
        <v>0.9</v>
      </c>
      <c r="R46" s="179">
        <f t="shared" si="5"/>
        <v>0.5023706674736006</v>
      </c>
      <c r="S46" s="839">
        <f t="shared" si="6"/>
        <v>0</v>
      </c>
      <c r="T46" s="178">
        <f t="shared" si="7"/>
        <v>6</v>
      </c>
      <c r="U46" s="253">
        <f t="shared" si="8"/>
        <v>0.5023706674736006</v>
      </c>
      <c r="V46" s="385">
        <f t="shared" si="9"/>
        <v>22.998221383124491</v>
      </c>
      <c r="W46" s="404">
        <f t="shared" si="10"/>
        <v>10.63245399784762</v>
      </c>
      <c r="X46" s="157">
        <f t="shared" si="11"/>
        <v>44958</v>
      </c>
      <c r="Y46" s="387">
        <f t="shared" si="12"/>
        <v>9.4851631292964829</v>
      </c>
      <c r="Z46" s="387">
        <f t="shared" si="22"/>
        <v>9.8553139845739075</v>
      </c>
      <c r="AA46" s="388">
        <f t="shared" si="13"/>
        <v>11.54772127554088</v>
      </c>
      <c r="AB46" s="199">
        <f t="shared" si="14"/>
        <v>44958</v>
      </c>
      <c r="AC46" s="119">
        <f>IF(OR(t&lt;Tnet,NoTnet),'2022'!Resal_s+('2022'!Salim-'2022'!Resal_s)*(1-EXP(('2022'!Tnet_s-t)/'2022'!Tau_j)),Resal_s+(Salim-Resal_s)*(1-EXP((Tnet_s-t)/Tau_j)))*Salcycl</f>
        <v>0.14655768446296363</v>
      </c>
      <c r="AD46" s="233">
        <f>(INDEX(Models!$BJ46:$BT46,,AH46)*(1-AF46)+INDEX(Models!$BJ46:$BT46,,AH46+1)*AF46-ERP_i)*AE46*Ramure*Pc/MaxiM</f>
        <v>6.0476783298354389E-2</v>
      </c>
      <c r="AE46" s="307">
        <f t="shared" si="15"/>
        <v>0.9</v>
      </c>
      <c r="AF46" s="179">
        <f t="shared" si="23"/>
        <v>0.5023706674736006</v>
      </c>
      <c r="AG46" s="839">
        <f t="shared" si="24"/>
        <v>0</v>
      </c>
      <c r="AH46" s="178">
        <f t="shared" si="16"/>
        <v>6</v>
      </c>
      <c r="AI46" s="227">
        <f t="shared" si="17"/>
        <v>0.5023706674736006</v>
      </c>
      <c r="AJ46" s="267" t="b">
        <f t="shared" si="18"/>
        <v>0</v>
      </c>
      <c r="AK46" s="267" t="b">
        <f t="shared" si="19"/>
        <v>0</v>
      </c>
      <c r="AL46" s="267"/>
      <c r="AM46" s="267"/>
      <c r="AN46" s="75"/>
    </row>
    <row r="47" spans="1:40" s="6" customFormat="1" ht="11.25" x14ac:dyDescent="0.2">
      <c r="A47" s="56">
        <f t="shared" si="20"/>
        <v>44959</v>
      </c>
      <c r="B47" s="413">
        <f>'2022'!Wh/'2022'!Env_an*'2023'!Env_an</f>
        <v>5.5557252326110991</v>
      </c>
      <c r="C47" s="868"/>
      <c r="D47" s="395">
        <f t="shared" si="0"/>
        <v>5.7726672756876303</v>
      </c>
      <c r="E47" s="387">
        <f t="shared" si="1"/>
        <v>6.0353383839725838</v>
      </c>
      <c r="F47" s="387">
        <f t="shared" si="2"/>
        <v>6.0353383839725838</v>
      </c>
      <c r="G47" s="110">
        <f t="shared" si="21"/>
        <v>0.22416344342592198</v>
      </c>
      <c r="H47" s="416" t="b">
        <f>Wh_hp&gt;='2022'!Maxi_hp</f>
        <v>0</v>
      </c>
      <c r="I47" s="392">
        <f>IF(H47,Wh_hp,'2022'!Maxi_hp)</f>
        <v>24.095566163036541</v>
      </c>
      <c r="J47" s="85">
        <f>IF(H47,An,'2022'!An_max)</f>
        <v>2021</v>
      </c>
      <c r="K47" s="199">
        <f t="shared" si="3"/>
        <v>44959</v>
      </c>
      <c r="L47" s="147">
        <f>IF(t&lt;Tvie,1-EXP((T0-t)*PertePVj)+'2022'!Pspv,1-EXP((T0-t)*PertePVj)+Pspv)</f>
        <v>3.7580901984462511E-2</v>
      </c>
      <c r="M47" s="872"/>
      <c r="N47" s="872"/>
      <c r="O47" s="48">
        <f>IF(t&lt;Tnet,'2022'!Resal+('2022'!Salim-'2022'!Resal)*(1-EXP(('2022'!Tnet-t)/('2022'!Tau_j))),Resal+(Salim-Resal)*(1-EXP((Tnet-t)/(Tau_j))))*Salcycl</f>
        <v>4.3522184105285994E-2</v>
      </c>
      <c r="P47" s="171">
        <f>(INDEX(Models!$BJ47:$BT47,,T47)*(1-R47)+INDEX(Models!$BJ47:$BT47,,T47+1)*R47-ERP_i)*Q47*Ramure*Pc/MaxiM</f>
        <v>5.8977270407347904E-2</v>
      </c>
      <c r="Q47" s="307">
        <f t="shared" si="4"/>
        <v>0.9</v>
      </c>
      <c r="R47" s="179">
        <f t="shared" si="5"/>
        <v>0.50249513307170157</v>
      </c>
      <c r="S47" s="839">
        <f t="shared" si="6"/>
        <v>0</v>
      </c>
      <c r="T47" s="178">
        <f t="shared" si="7"/>
        <v>6</v>
      </c>
      <c r="U47" s="253">
        <f t="shared" si="8"/>
        <v>0.50249513307170157</v>
      </c>
      <c r="V47" s="385">
        <f t="shared" si="9"/>
        <v>23.322552702426506</v>
      </c>
      <c r="W47" s="404">
        <f t="shared" si="10"/>
        <v>5.5557252326110991</v>
      </c>
      <c r="X47" s="157">
        <f t="shared" si="11"/>
        <v>44959</v>
      </c>
      <c r="Y47" s="387">
        <f t="shared" si="12"/>
        <v>4.956768370371365</v>
      </c>
      <c r="Z47" s="387">
        <f t="shared" si="22"/>
        <v>5.1503221211964583</v>
      </c>
      <c r="AA47" s="388">
        <f t="shared" si="13"/>
        <v>6.0353383839725838</v>
      </c>
      <c r="AB47" s="199">
        <f t="shared" si="14"/>
        <v>44959</v>
      </c>
      <c r="AC47" s="119">
        <f>IF(OR(t&lt;Tnet,NoTnet),'2022'!Resal_s+('2022'!Salim-'2022'!Resal_s)*(1-EXP(('2022'!Tnet_s-t)/'2022'!Tau_j)),Resal_s+(Salim-Resal_s)*(1-EXP((Tnet_s-t)/Tau_j)))*Salcycl</f>
        <v>0.14663904597733426</v>
      </c>
      <c r="AD47" s="233">
        <f>(INDEX(Models!$BJ47:$BT47,,AH47)*(1-AF47)+INDEX(Models!$BJ47:$BT47,,AH47+1)*AF47-ERP_i)*AE47*Ramure*Pc/MaxiM</f>
        <v>5.8977270407347904E-2</v>
      </c>
      <c r="AE47" s="307">
        <f t="shared" si="15"/>
        <v>0.9</v>
      </c>
      <c r="AF47" s="179">
        <f t="shared" si="23"/>
        <v>0.50249513307170157</v>
      </c>
      <c r="AG47" s="839">
        <f t="shared" si="24"/>
        <v>0</v>
      </c>
      <c r="AH47" s="178">
        <f t="shared" si="16"/>
        <v>6</v>
      </c>
      <c r="AI47" s="227">
        <f t="shared" si="17"/>
        <v>0.50249513307170157</v>
      </c>
      <c r="AJ47" s="267" t="b">
        <f t="shared" si="18"/>
        <v>0</v>
      </c>
      <c r="AK47" s="267" t="b">
        <f t="shared" si="19"/>
        <v>0</v>
      </c>
      <c r="AL47" s="267"/>
      <c r="AM47" s="267"/>
      <c r="AN47" s="75"/>
    </row>
    <row r="48" spans="1:40" s="6" customFormat="1" ht="11.25" x14ac:dyDescent="0.2">
      <c r="A48" s="56">
        <f t="shared" si="20"/>
        <v>44960</v>
      </c>
      <c r="B48" s="413">
        <f>'2022'!Wh/'2022'!Env_an*'2023'!Env_an</f>
        <v>13.287646655469619</v>
      </c>
      <c r="C48" s="868"/>
      <c r="D48" s="395">
        <f t="shared" si="0"/>
        <v>13.806828971925709</v>
      </c>
      <c r="E48" s="387">
        <f t="shared" si="1"/>
        <v>14.43799821975133</v>
      </c>
      <c r="F48" s="387">
        <f t="shared" si="2"/>
        <v>14.754960416188746</v>
      </c>
      <c r="G48" s="110">
        <f t="shared" si="21"/>
        <v>0.541169136608599</v>
      </c>
      <c r="H48" s="416" t="b">
        <f>Wh_hp&gt;='2022'!Maxi_hp</f>
        <v>0</v>
      </c>
      <c r="I48" s="392">
        <f>IF(H48,Wh_hp,'2022'!Maxi_hp)</f>
        <v>22.364236578915285</v>
      </c>
      <c r="J48" s="85">
        <f>IF(H48,An,'2022'!An_max)</f>
        <v>2020</v>
      </c>
      <c r="K48" s="199">
        <f t="shared" si="3"/>
        <v>44960</v>
      </c>
      <c r="L48" s="147">
        <f>IF(t&lt;Tvie,1-EXP((T0-t)*PertePVj)+'2022'!Pspv,1-EXP((T0-t)*PertePVj)+Pspv)</f>
        <v>3.7603298882877167E-2</v>
      </c>
      <c r="M48" s="872"/>
      <c r="N48" s="872"/>
      <c r="O48" s="48">
        <f>IF(t&lt;Tnet,'2022'!Resal+('2022'!Salim-'2022'!Resal)*(1-EXP(('2022'!Tnet-t)/('2022'!Tau_j))),Resal+(Salim-Resal)*(1-EXP((Tnet-t)/(Tau_j))))*Salcycl</f>
        <v>4.3715841920673945E-2</v>
      </c>
      <c r="P48" s="171">
        <f>(INDEX(Models!$BJ48:$BT48,,T48)*(1-R48)+INDEX(Models!$BJ48:$BT48,,T48+1)*R48-ERP_i)*Q48*Ramure*Pc/MaxiM</f>
        <v>5.7435241889896398E-2</v>
      </c>
      <c r="Q48" s="307">
        <f t="shared" si="4"/>
        <v>0.9</v>
      </c>
      <c r="R48" s="179">
        <f t="shared" si="5"/>
        <v>0.50262476517208121</v>
      </c>
      <c r="S48" s="839">
        <f t="shared" si="6"/>
        <v>0</v>
      </c>
      <c r="T48" s="178">
        <f t="shared" si="7"/>
        <v>6</v>
      </c>
      <c r="U48" s="253">
        <f t="shared" si="8"/>
        <v>0.50262476517208121</v>
      </c>
      <c r="V48" s="385">
        <f t="shared" si="9"/>
        <v>23.651425046951523</v>
      </c>
      <c r="W48" s="404">
        <f t="shared" si="10"/>
        <v>13.287646655469619</v>
      </c>
      <c r="X48" s="157">
        <f t="shared" si="11"/>
        <v>44960</v>
      </c>
      <c r="Y48" s="387">
        <f t="shared" si="12"/>
        <v>11.856386979047937</v>
      </c>
      <c r="Z48" s="387">
        <f t="shared" si="22"/>
        <v>12.31964632181862</v>
      </c>
      <c r="AA48" s="388">
        <f t="shared" si="13"/>
        <v>14.43799821975133</v>
      </c>
      <c r="AB48" s="199">
        <f t="shared" si="14"/>
        <v>44960</v>
      </c>
      <c r="AC48" s="119">
        <f>IF(OR(t&lt;Tnet,NoTnet),'2022'!Resal_s+('2022'!Salim-'2022'!Resal_s)*(1-EXP(('2022'!Tnet_s-t)/'2022'!Tau_j)),Resal_s+(Salim-Resal_s)*(1-EXP((Tnet_s-t)/Tau_j)))*Salcycl</f>
        <v>0.14672060944257381</v>
      </c>
      <c r="AD48" s="233">
        <f>(INDEX(Models!$BJ48:$BT48,,AH48)*(1-AF48)+INDEX(Models!$BJ48:$BT48,,AH48+1)*AF48-ERP_i)*AE48*Ramure*Pc/MaxiM</f>
        <v>5.7435241889896398E-2</v>
      </c>
      <c r="AE48" s="307">
        <f t="shared" si="15"/>
        <v>0.9</v>
      </c>
      <c r="AF48" s="179">
        <f t="shared" si="23"/>
        <v>0.50262476517208121</v>
      </c>
      <c r="AG48" s="839">
        <f t="shared" si="24"/>
        <v>0</v>
      </c>
      <c r="AH48" s="178">
        <f t="shared" si="16"/>
        <v>6</v>
      </c>
      <c r="AI48" s="227">
        <f t="shared" si="17"/>
        <v>0.50262476517208121</v>
      </c>
      <c r="AJ48" s="267" t="b">
        <f t="shared" si="18"/>
        <v>0</v>
      </c>
      <c r="AK48" s="267" t="b">
        <f t="shared" si="19"/>
        <v>0</v>
      </c>
      <c r="AL48" s="267"/>
      <c r="AM48" s="267"/>
      <c r="AN48" s="75"/>
    </row>
    <row r="49" spans="1:40" s="6" customFormat="1" ht="11.25" x14ac:dyDescent="0.2">
      <c r="A49" s="56">
        <f t="shared" si="20"/>
        <v>44961</v>
      </c>
      <c r="B49" s="413">
        <f>'2022'!Wh/'2022'!Env_an*'2023'!Env_an</f>
        <v>11.081303609301964</v>
      </c>
      <c r="C49" s="868"/>
      <c r="D49" s="395">
        <f t="shared" si="0"/>
        <v>11.51454642411375</v>
      </c>
      <c r="E49" s="387">
        <f t="shared" si="1"/>
        <v>12.043362948123514</v>
      </c>
      <c r="F49" s="387">
        <f t="shared" si="2"/>
        <v>12.201094046146022</v>
      </c>
      <c r="G49" s="110">
        <f t="shared" si="21"/>
        <v>0.4419265630320135</v>
      </c>
      <c r="H49" s="416" t="b">
        <f>Wh_hp&gt;='2022'!Maxi_hp</f>
        <v>0</v>
      </c>
      <c r="I49" s="392">
        <f>IF(H49,Wh_hp,'2022'!Maxi_hp)</f>
        <v>23.372565339149336</v>
      </c>
      <c r="J49" s="85">
        <f>IF(H49,An,'2022'!An_max)</f>
        <v>2019</v>
      </c>
      <c r="K49" s="199">
        <f t="shared" si="3"/>
        <v>44961</v>
      </c>
      <c r="L49" s="147">
        <f>IF(t&lt;Tvie,1-EXP((T0-t)*PertePVj)+'2022'!Pspv,1-EXP((T0-t)*PertePVj)+Pspv)</f>
        <v>3.7625695260083303E-2</v>
      </c>
      <c r="M49" s="872"/>
      <c r="N49" s="872"/>
      <c r="O49" s="48">
        <f>IF(t&lt;Tnet,'2022'!Resal+('2022'!Salim-'2022'!Resal)*(1-EXP(('2022'!Tnet-t)/('2022'!Tau_j))),Resal+(Salim-Resal)*(1-EXP((Tnet-t)/(Tau_j))))*Salcycl</f>
        <v>4.3909373676408243E-2</v>
      </c>
      <c r="P49" s="171">
        <f>(INDEX(Models!$BJ49:$BT49,,T49)*(1-R49)+INDEX(Models!$BJ49:$BT49,,T49+1)*R49-ERP_i)*Q49*Ramure*Pc/MaxiM</f>
        <v>5.5853564279092369E-2</v>
      </c>
      <c r="Q49" s="307">
        <f t="shared" si="4"/>
        <v>0.9</v>
      </c>
      <c r="R49" s="179">
        <f t="shared" si="5"/>
        <v>0.50275977584041442</v>
      </c>
      <c r="S49" s="839">
        <f t="shared" si="6"/>
        <v>0</v>
      </c>
      <c r="T49" s="178">
        <f t="shared" si="7"/>
        <v>6</v>
      </c>
      <c r="U49" s="253">
        <f t="shared" si="8"/>
        <v>0.50275977584041442</v>
      </c>
      <c r="V49" s="385">
        <f t="shared" si="9"/>
        <v>23.984524076398326</v>
      </c>
      <c r="W49" s="404">
        <f t="shared" si="10"/>
        <v>11.081303609301964</v>
      </c>
      <c r="X49" s="157">
        <f t="shared" si="11"/>
        <v>44961</v>
      </c>
      <c r="Y49" s="387">
        <f t="shared" si="12"/>
        <v>9.8887509254233876</v>
      </c>
      <c r="Z49" s="387">
        <f t="shared" si="22"/>
        <v>10.275368821381655</v>
      </c>
      <c r="AA49" s="388">
        <f t="shared" si="13"/>
        <v>12.043362948123514</v>
      </c>
      <c r="AB49" s="199">
        <f t="shared" si="14"/>
        <v>44961</v>
      </c>
      <c r="AC49" s="119">
        <f>IF(OR(t&lt;Tnet,NoTnet),'2022'!Resal_s+('2022'!Salim-'2022'!Resal_s)*(1-EXP(('2022'!Tnet_s-t)/'2022'!Tau_j)),Resal_s+(Salim-Resal_s)*(1-EXP((Tnet_s-t)/Tau_j)))*Salcycl</f>
        <v>0.14680236196131019</v>
      </c>
      <c r="AD49" s="233">
        <f>(INDEX(Models!$BJ49:$BT49,,AH49)*(1-AF49)+INDEX(Models!$BJ49:$BT49,,AH49+1)*AF49-ERP_i)*AE49*Ramure*Pc/MaxiM</f>
        <v>5.5853564279092369E-2</v>
      </c>
      <c r="AE49" s="307">
        <f t="shared" si="15"/>
        <v>0.9</v>
      </c>
      <c r="AF49" s="179">
        <f t="shared" si="23"/>
        <v>0.50275977584041442</v>
      </c>
      <c r="AG49" s="839">
        <f t="shared" si="24"/>
        <v>0</v>
      </c>
      <c r="AH49" s="178">
        <f t="shared" si="16"/>
        <v>6</v>
      </c>
      <c r="AI49" s="227">
        <f t="shared" si="17"/>
        <v>0.50275977584041442</v>
      </c>
      <c r="AJ49" s="267" t="b">
        <f t="shared" si="18"/>
        <v>0</v>
      </c>
      <c r="AK49" s="267" t="b">
        <f t="shared" si="19"/>
        <v>0</v>
      </c>
      <c r="AL49" s="267"/>
      <c r="AM49" s="267"/>
      <c r="AN49" s="75"/>
    </row>
    <row r="50" spans="1:40" s="6" customFormat="1" ht="11.25" x14ac:dyDescent="0.2">
      <c r="A50" s="56">
        <f t="shared" si="20"/>
        <v>44962</v>
      </c>
      <c r="B50" s="413">
        <f>'2022'!Wh/'2022'!Env_an*'2023'!Env_an</f>
        <v>9.6014373848872321</v>
      </c>
      <c r="C50" s="868"/>
      <c r="D50" s="395">
        <f t="shared" si="0"/>
        <v>9.9770544394955802</v>
      </c>
      <c r="E50" s="387">
        <f t="shared" si="1"/>
        <v>10.437371497258404</v>
      </c>
      <c r="F50" s="387">
        <f t="shared" si="2"/>
        <v>10.514576994736808</v>
      </c>
      <c r="G50" s="110">
        <f t="shared" si="21"/>
        <v>0.37612240280794584</v>
      </c>
      <c r="H50" s="416" t="b">
        <f>Wh_hp&gt;='2022'!Maxi_hp</f>
        <v>0</v>
      </c>
      <c r="I50" s="392">
        <f>IF(H50,Wh_hp,'2022'!Maxi_hp)</f>
        <v>27.755080564710749</v>
      </c>
      <c r="J50" s="85">
        <f>IF(H50,An,'2022'!An_max)</f>
        <v>2020</v>
      </c>
      <c r="K50" s="199">
        <f t="shared" si="3"/>
        <v>44962</v>
      </c>
      <c r="L50" s="147">
        <f>IF(t&lt;Tvie,1-EXP((T0-t)*PertePVj)+'2022'!Pspv,1-EXP((T0-t)*PertePVj)+Pspv)</f>
        <v>3.7648091116092908E-2</v>
      </c>
      <c r="M50" s="872"/>
      <c r="N50" s="872"/>
      <c r="O50" s="48">
        <f>IF(t&lt;Tnet,'2022'!Resal+('2022'!Salim-'2022'!Resal)*(1-EXP(('2022'!Tnet-t)/('2022'!Tau_j))),Resal+(Salim-Resal)*(1-EXP((Tnet-t)/(Tau_j))))*Salcycl</f>
        <v>4.4102776056570987E-2</v>
      </c>
      <c r="P50" s="171">
        <f>(INDEX(Models!$BJ50:$BT50,,T50)*(1-R50)+INDEX(Models!$BJ50:$BT50,,T50+1)*R50-ERP_i)*Q50*Ramure*Pc/MaxiM</f>
        <v>5.4234910314863959E-2</v>
      </c>
      <c r="Q50" s="307">
        <f t="shared" si="4"/>
        <v>0.9</v>
      </c>
      <c r="R50" s="179">
        <f t="shared" si="5"/>
        <v>0.50290038564315742</v>
      </c>
      <c r="S50" s="839">
        <f t="shared" si="6"/>
        <v>0</v>
      </c>
      <c r="T50" s="178">
        <f t="shared" si="7"/>
        <v>6</v>
      </c>
      <c r="U50" s="253">
        <f t="shared" si="8"/>
        <v>0.50290038564315742</v>
      </c>
      <c r="V50" s="385">
        <f t="shared" si="9"/>
        <v>24.321535801671594</v>
      </c>
      <c r="W50" s="404">
        <f t="shared" si="10"/>
        <v>9.6014373848872321</v>
      </c>
      <c r="X50" s="157">
        <f t="shared" si="11"/>
        <v>44962</v>
      </c>
      <c r="Y50" s="387">
        <f t="shared" si="12"/>
        <v>8.5690562534447423</v>
      </c>
      <c r="Z50" s="387">
        <f t="shared" si="22"/>
        <v>8.9042856093908025</v>
      </c>
      <c r="AA50" s="388">
        <f t="shared" si="13"/>
        <v>10.437371497258404</v>
      </c>
      <c r="AB50" s="199">
        <f t="shared" si="14"/>
        <v>44962</v>
      </c>
      <c r="AC50" s="119">
        <f>IF(OR(t&lt;Tnet,NoTnet),'2022'!Resal_s+('2022'!Salim-'2022'!Resal_s)*(1-EXP(('2022'!Tnet_s-t)/'2022'!Tau_j)),Resal_s+(Salim-Resal_s)*(1-EXP((Tnet_s-t)/Tau_j)))*Salcycl</f>
        <v>0.14688428866121112</v>
      </c>
      <c r="AD50" s="233">
        <f>(INDEX(Models!$BJ50:$BT50,,AH50)*(1-AF50)+INDEX(Models!$BJ50:$BT50,,AH50+1)*AF50-ERP_i)*AE50*Ramure*Pc/MaxiM</f>
        <v>5.4234910314863959E-2</v>
      </c>
      <c r="AE50" s="307">
        <f t="shared" si="15"/>
        <v>0.9</v>
      </c>
      <c r="AF50" s="179">
        <f t="shared" si="23"/>
        <v>0.50290038564315742</v>
      </c>
      <c r="AG50" s="839">
        <f t="shared" si="24"/>
        <v>0</v>
      </c>
      <c r="AH50" s="178">
        <f t="shared" si="16"/>
        <v>6</v>
      </c>
      <c r="AI50" s="227">
        <f t="shared" si="17"/>
        <v>0.50290038564315742</v>
      </c>
      <c r="AJ50" s="267" t="b">
        <f t="shared" si="18"/>
        <v>0</v>
      </c>
      <c r="AK50" s="267" t="b">
        <f t="shared" si="19"/>
        <v>0</v>
      </c>
      <c r="AL50" s="267"/>
      <c r="AM50" s="267"/>
      <c r="AN50" s="75"/>
    </row>
    <row r="51" spans="1:40" s="6" customFormat="1" ht="11.25" x14ac:dyDescent="0.2">
      <c r="A51" s="56">
        <f t="shared" si="20"/>
        <v>44963</v>
      </c>
      <c r="B51" s="413">
        <f>'2022'!Wh/'2022'!Env_an*'2023'!Env_an</f>
        <v>17.827430425995448</v>
      </c>
      <c r="C51" s="868"/>
      <c r="D51" s="395">
        <f t="shared" si="0"/>
        <v>18.525286998886369</v>
      </c>
      <c r="E51" s="387">
        <f t="shared" si="1"/>
        <v>19.383917900883397</v>
      </c>
      <c r="F51" s="387">
        <f t="shared" si="2"/>
        <v>20.019796133264805</v>
      </c>
      <c r="G51" s="110">
        <f t="shared" si="21"/>
        <v>0.70730795509528055</v>
      </c>
      <c r="H51" s="416" t="b">
        <f>Wh_hp&gt;='2022'!Maxi_hp</f>
        <v>0</v>
      </c>
      <c r="I51" s="392">
        <f>IF(H51,Wh_hp,'2022'!Maxi_hp)</f>
        <v>28.804501994668065</v>
      </c>
      <c r="J51" s="85">
        <f>IF(H51,An,'2022'!An_max)</f>
        <v>2020</v>
      </c>
      <c r="K51" s="199">
        <f t="shared" si="3"/>
        <v>44963</v>
      </c>
      <c r="L51" s="147">
        <f>IF(t&lt;Tvie,1-EXP((T0-t)*PertePVj)+'2022'!Pspv,1-EXP((T0-t)*PertePVj)+Pspv)</f>
        <v>3.7670486450918306E-2</v>
      </c>
      <c r="M51" s="872"/>
      <c r="N51" s="872"/>
      <c r="O51" s="48">
        <f>IF(t&lt;Tnet,'2022'!Resal+('2022'!Salim-'2022'!Resal)*(1-EXP(('2022'!Tnet-t)/('2022'!Tau_j))),Resal+(Salim-Resal)*(1-EXP((Tnet-t)/(Tau_j))))*Salcycl</f>
        <v>4.4296045122946826E-2</v>
      </c>
      <c r="P51" s="171">
        <f>(INDEX(Models!$BJ51:$BT51,,T51)*(1-R51)+INDEX(Models!$BJ51:$BT51,,T51+1)*R51-ERP_i)*Q51*Ramure*Pc/MaxiM</f>
        <v>5.2580653502517061E-2</v>
      </c>
      <c r="Q51" s="307">
        <f t="shared" si="4"/>
        <v>0.9</v>
      </c>
      <c r="R51" s="179">
        <f t="shared" si="5"/>
        <v>0.50304682397092471</v>
      </c>
      <c r="S51" s="839">
        <f t="shared" si="6"/>
        <v>0</v>
      </c>
      <c r="T51" s="178">
        <f t="shared" si="7"/>
        <v>6</v>
      </c>
      <c r="U51" s="253">
        <f t="shared" si="8"/>
        <v>0.50304682397092471</v>
      </c>
      <c r="V51" s="385">
        <f t="shared" si="9"/>
        <v>24.662695754892312</v>
      </c>
      <c r="W51" s="404">
        <f t="shared" si="10"/>
        <v>17.827430425995448</v>
      </c>
      <c r="X51" s="157">
        <f t="shared" si="11"/>
        <v>44963</v>
      </c>
      <c r="Y51" s="387">
        <f t="shared" si="12"/>
        <v>15.912247261809279</v>
      </c>
      <c r="Z51" s="387">
        <f t="shared" si="22"/>
        <v>16.535133795413525</v>
      </c>
      <c r="AA51" s="388">
        <f t="shared" si="13"/>
        <v>19.383917900883397</v>
      </c>
      <c r="AB51" s="199">
        <f t="shared" si="14"/>
        <v>44963</v>
      </c>
      <c r="AC51" s="119">
        <f>IF(OR(t&lt;Tnet,NoTnet),'2022'!Resal_s+('2022'!Salim-'2022'!Resal_s)*(1-EXP(('2022'!Tnet_s-t)/'2022'!Tau_j)),Resal_s+(Salim-Resal_s)*(1-EXP((Tnet_s-t)/Tau_j)))*Salcycl</f>
        <v>0.14696637284767086</v>
      </c>
      <c r="AD51" s="233">
        <f>(INDEX(Models!$BJ51:$BT51,,AH51)*(1-AF51)+INDEX(Models!$BJ51:$BT51,,AH51+1)*AF51-ERP_i)*AE51*Ramure*Pc/MaxiM</f>
        <v>5.2580653502517061E-2</v>
      </c>
      <c r="AE51" s="307">
        <f t="shared" si="15"/>
        <v>0.9</v>
      </c>
      <c r="AF51" s="179">
        <f t="shared" si="23"/>
        <v>0.50304682397092471</v>
      </c>
      <c r="AG51" s="839">
        <f t="shared" si="24"/>
        <v>0</v>
      </c>
      <c r="AH51" s="178">
        <f t="shared" si="16"/>
        <v>6</v>
      </c>
      <c r="AI51" s="227">
        <f t="shared" si="17"/>
        <v>0.50304682397092471</v>
      </c>
      <c r="AJ51" s="267" t="b">
        <f t="shared" si="18"/>
        <v>0</v>
      </c>
      <c r="AK51" s="267" t="b">
        <f t="shared" si="19"/>
        <v>0</v>
      </c>
      <c r="AL51" s="267"/>
      <c r="AM51" s="267"/>
      <c r="AN51" s="75"/>
    </row>
    <row r="52" spans="1:40" s="6" customFormat="1" ht="11.25" x14ac:dyDescent="0.2">
      <c r="A52" s="56">
        <f t="shared" si="20"/>
        <v>44964</v>
      </c>
      <c r="B52" s="413">
        <f>'2022'!Wh/'2022'!Env_an*'2023'!Env_an</f>
        <v>12.359855939995635</v>
      </c>
      <c r="C52" s="868"/>
      <c r="D52" s="395">
        <f t="shared" si="0"/>
        <v>12.843982653103273</v>
      </c>
      <c r="E52" s="387">
        <f t="shared" si="1"/>
        <v>13.442006448635997</v>
      </c>
      <c r="F52" s="387">
        <f t="shared" si="2"/>
        <v>13.634544072174689</v>
      </c>
      <c r="G52" s="110">
        <f t="shared" si="21"/>
        <v>0.47579277251479479</v>
      </c>
      <c r="H52" s="416" t="b">
        <f>Wh_hp&gt;='2022'!Maxi_hp</f>
        <v>0</v>
      </c>
      <c r="I52" s="392">
        <f>IF(H52,Wh_hp,'2022'!Maxi_hp)</f>
        <v>20.435045615049184</v>
      </c>
      <c r="J52" s="85">
        <f>IF(H52,An,'2022'!An_max)</f>
        <v>2021</v>
      </c>
      <c r="K52" s="199">
        <f t="shared" si="3"/>
        <v>44964</v>
      </c>
      <c r="L52" s="147">
        <f>IF(t&lt;Tvie,1-EXP((T0-t)*PertePVj)+'2022'!Pspv,1-EXP((T0-t)*PertePVj)+Pspv)</f>
        <v>3.7692881264571598E-2</v>
      </c>
      <c r="M52" s="872"/>
      <c r="N52" s="872"/>
      <c r="O52" s="48">
        <f>IF(t&lt;Tnet,'2022'!Resal+('2022'!Salim-'2022'!Resal)*(1-EXP(('2022'!Tnet-t)/('2022'!Tau_j))),Resal+(Salim-Resal)*(1-EXP((Tnet-t)/(Tau_j))))*Salcycl</f>
        <v>4.4489176360528154E-2</v>
      </c>
      <c r="P52" s="171">
        <f>(INDEX(Models!$BJ52:$BT52,,T52)*(1-R52)+INDEX(Models!$BJ52:$BT52,,T52+1)*R52-ERP_i)*Q52*Ramure*Pc/MaxiM</f>
        <v>5.0893639050385762E-2</v>
      </c>
      <c r="Q52" s="307">
        <f t="shared" si="4"/>
        <v>0.9</v>
      </c>
      <c r="R52" s="179">
        <f t="shared" si="5"/>
        <v>0.50319932937266809</v>
      </c>
      <c r="S52" s="839">
        <f t="shared" si="6"/>
        <v>0</v>
      </c>
      <c r="T52" s="178">
        <f t="shared" si="7"/>
        <v>6</v>
      </c>
      <c r="U52" s="253">
        <f t="shared" si="8"/>
        <v>0.50319932937266809</v>
      </c>
      <c r="V52" s="385">
        <f t="shared" si="9"/>
        <v>25.008461375985057</v>
      </c>
      <c r="W52" s="404">
        <f t="shared" si="10"/>
        <v>12.359855939995635</v>
      </c>
      <c r="X52" s="157">
        <f t="shared" si="11"/>
        <v>44964</v>
      </c>
      <c r="Y52" s="387">
        <f t="shared" si="12"/>
        <v>11.033215128621874</v>
      </c>
      <c r="Z52" s="387">
        <f t="shared" si="22"/>
        <v>11.465378270422301</v>
      </c>
      <c r="AA52" s="388">
        <f t="shared" si="13"/>
        <v>13.442006448635997</v>
      </c>
      <c r="AB52" s="199">
        <f t="shared" si="14"/>
        <v>44964</v>
      </c>
      <c r="AC52" s="119">
        <f>IF(OR(t&lt;Tnet,NoTnet),'2022'!Resal_s+('2022'!Salim-'2022'!Resal_s)*(1-EXP(('2022'!Tnet_s-t)/'2022'!Tau_j)),Resal_s+(Salim-Resal_s)*(1-EXP((Tnet_s-t)/Tau_j)))*Salcycl</f>
        <v>0.14704859618738475</v>
      </c>
      <c r="AD52" s="233">
        <f>(INDEX(Models!$BJ52:$BT52,,AH52)*(1-AF52)+INDEX(Models!$BJ52:$BT52,,AH52+1)*AF52-ERP_i)*AE52*Ramure*Pc/MaxiM</f>
        <v>5.0893639050385762E-2</v>
      </c>
      <c r="AE52" s="307">
        <f t="shared" si="15"/>
        <v>0.9</v>
      </c>
      <c r="AF52" s="179">
        <f t="shared" si="23"/>
        <v>0.50319932937266809</v>
      </c>
      <c r="AG52" s="839">
        <f t="shared" si="24"/>
        <v>0</v>
      </c>
      <c r="AH52" s="178">
        <f t="shared" si="16"/>
        <v>6</v>
      </c>
      <c r="AI52" s="227">
        <f t="shared" si="17"/>
        <v>0.50319932937266809</v>
      </c>
      <c r="AJ52" s="267" t="b">
        <f t="shared" si="18"/>
        <v>0</v>
      </c>
      <c r="AK52" s="267" t="b">
        <f t="shared" si="19"/>
        <v>0</v>
      </c>
      <c r="AL52" s="267"/>
      <c r="AM52" s="267"/>
      <c r="AN52" s="75"/>
    </row>
    <row r="53" spans="1:40" s="6" customFormat="1" ht="11.25" x14ac:dyDescent="0.2">
      <c r="A53" s="56">
        <f t="shared" si="20"/>
        <v>44965</v>
      </c>
      <c r="B53" s="413">
        <f>'2022'!Wh/'2022'!Env_an*'2023'!Env_an</f>
        <v>25.706792627748396</v>
      </c>
      <c r="C53" s="868"/>
      <c r="D53" s="395">
        <f t="shared" si="0"/>
        <v>26.714330982059398</v>
      </c>
      <c r="E53" s="387">
        <f t="shared" si="1"/>
        <v>27.96381475971506</v>
      </c>
      <c r="F53" s="387">
        <f t="shared" si="2"/>
        <v>29.411050619732663</v>
      </c>
      <c r="G53" s="110">
        <f t="shared" si="21"/>
        <v>1.0137513331920482</v>
      </c>
      <c r="H53" s="416" t="b">
        <f>Wh_hp&gt;='2022'!Maxi_hp</f>
        <v>1</v>
      </c>
      <c r="I53" s="392">
        <f>IF(H53,Wh_hp,'2022'!Maxi_hp)</f>
        <v>29.411050619732663</v>
      </c>
      <c r="J53" s="85">
        <f>IF(H53,An,'2022'!An_max)</f>
        <v>2023</v>
      </c>
      <c r="K53" s="199">
        <f t="shared" si="3"/>
        <v>44965</v>
      </c>
      <c r="L53" s="147">
        <f>IF(t&lt;Tvie,1-EXP((T0-t)*PertePVj)+'2022'!Pspv,1-EXP((T0-t)*PertePVj)+Pspv)</f>
        <v>3.7715275557064776E-2</v>
      </c>
      <c r="M53" s="872"/>
      <c r="N53" s="872"/>
      <c r="O53" s="48">
        <f>IF(t&lt;Tnet,'2022'!Resal+('2022'!Salim-'2022'!Resal)*(1-EXP(('2022'!Tnet-t)/('2022'!Tau_j))),Resal+(Salim-Resal)*(1-EXP((Tnet-t)/(Tau_j))))*Salcycl</f>
        <v>4.4682164732963436E-2</v>
      </c>
      <c r="P53" s="171">
        <f>(INDEX(Models!$BJ53:$BT53,,T53)*(1-R53)+INDEX(Models!$BJ53:$BT53,,T53+1)*R53-ERP_i)*Q53*Ramure*Pc/MaxiM</f>
        <v>4.9207213939056312E-2</v>
      </c>
      <c r="Q53" s="307">
        <f t="shared" si="4"/>
        <v>0.9</v>
      </c>
      <c r="R53" s="179">
        <f t="shared" si="5"/>
        <v>0.5033581499008879</v>
      </c>
      <c r="S53" s="839">
        <f t="shared" si="6"/>
        <v>0</v>
      </c>
      <c r="T53" s="178">
        <f t="shared" si="7"/>
        <v>6</v>
      </c>
      <c r="U53" s="253">
        <f t="shared" si="8"/>
        <v>0.5033581499008879</v>
      </c>
      <c r="V53" s="385">
        <f t="shared" si="9"/>
        <v>25.358085149741964</v>
      </c>
      <c r="W53" s="404">
        <f t="shared" si="10"/>
        <v>25.706792627748396</v>
      </c>
      <c r="X53" s="157">
        <f t="shared" si="11"/>
        <v>44965</v>
      </c>
      <c r="Y53" s="387">
        <f t="shared" si="12"/>
        <v>22.949983013422688</v>
      </c>
      <c r="Z53" s="387">
        <f t="shared" si="22"/>
        <v>23.849472438324728</v>
      </c>
      <c r="AA53" s="388">
        <f t="shared" si="13"/>
        <v>27.96381475971506</v>
      </c>
      <c r="AB53" s="199">
        <f t="shared" si="14"/>
        <v>44965</v>
      </c>
      <c r="AC53" s="119">
        <f>IF(OR(t&lt;Tnet,NoTnet),'2022'!Resal_s+('2022'!Salim-'2022'!Resal_s)*(1-EXP(('2022'!Tnet_s-t)/'2022'!Tau_j)),Resal_s+(Salim-Resal_s)*(1-EXP((Tnet_s-t)/Tau_j)))*Salcycl</f>
        <v>0.14713093892030391</v>
      </c>
      <c r="AD53" s="233">
        <f>(INDEX(Models!$BJ53:$BT53,,AH53)*(1-AF53)+INDEX(Models!$BJ53:$BT53,,AH53+1)*AF53-ERP_i)*AE53*Ramure*Pc/MaxiM</f>
        <v>4.9207213939056312E-2</v>
      </c>
      <c r="AE53" s="307">
        <f t="shared" si="15"/>
        <v>0.9</v>
      </c>
      <c r="AF53" s="179">
        <f t="shared" si="23"/>
        <v>0.5033581499008879</v>
      </c>
      <c r="AG53" s="839">
        <f t="shared" si="24"/>
        <v>0</v>
      </c>
      <c r="AH53" s="178">
        <f t="shared" si="16"/>
        <v>6</v>
      </c>
      <c r="AI53" s="227">
        <f t="shared" si="17"/>
        <v>0.5033581499008879</v>
      </c>
      <c r="AJ53" s="267" t="b">
        <f t="shared" si="18"/>
        <v>0</v>
      </c>
      <c r="AK53" s="267" t="b">
        <f t="shared" si="19"/>
        <v>0</v>
      </c>
      <c r="AL53" s="267"/>
      <c r="AM53" s="267"/>
      <c r="AN53" s="75"/>
    </row>
    <row r="54" spans="1:40" s="6" customFormat="1" ht="11.25" x14ac:dyDescent="0.2">
      <c r="A54" s="56">
        <f t="shared" si="20"/>
        <v>44966</v>
      </c>
      <c r="B54" s="413">
        <f>'2022'!Wh/'2022'!Env_an*'2023'!Env_an</f>
        <v>25.753467099223961</v>
      </c>
      <c r="C54" s="868"/>
      <c r="D54" s="395">
        <f t="shared" si="0"/>
        <v>26.763457612696833</v>
      </c>
      <c r="E54" s="387">
        <f t="shared" si="1"/>
        <v>28.02089542805512</v>
      </c>
      <c r="F54" s="387">
        <f t="shared" si="2"/>
        <v>29.418936956466229</v>
      </c>
      <c r="G54" s="110">
        <f t="shared" si="21"/>
        <v>1.001625775378183</v>
      </c>
      <c r="H54" s="416" t="b">
        <f>Wh_hp&gt;='2022'!Maxi_hp</f>
        <v>1</v>
      </c>
      <c r="I54" s="392">
        <f>IF(H54,Wh_hp,'2022'!Maxi_hp)</f>
        <v>29.418936956466229</v>
      </c>
      <c r="J54" s="85">
        <f>IF(H54,An,'2022'!An_max)</f>
        <v>2023</v>
      </c>
      <c r="K54" s="199">
        <f t="shared" si="3"/>
        <v>44966</v>
      </c>
      <c r="L54" s="147">
        <f>IF(t&lt;Tvie,1-EXP((T0-t)*PertePVj)+'2022'!Pspv,1-EXP((T0-t)*PertePVj)+Pspv)</f>
        <v>3.7737669328410051E-2</v>
      </c>
      <c r="M54" s="872"/>
      <c r="N54" s="872"/>
      <c r="O54" s="48">
        <f>IF(t&lt;Tnet,'2022'!Resal+('2022'!Salim-'2022'!Resal)*(1-EXP(('2022'!Tnet-t)/('2022'!Tau_j))),Resal+(Salim-Resal)*(1-EXP((Tnet-t)/(Tau_j))))*Salcycl</f>
        <v>4.4875004747325538E-2</v>
      </c>
      <c r="P54" s="171">
        <f>(INDEX(Models!$BJ54:$BT54,,T54)*(1-R54)+INDEX(Models!$BJ54:$BT54,,T54+1)*R54-ERP_i)*Q54*Ramure*Pc/MaxiM</f>
        <v>4.7521823459491894E-2</v>
      </c>
      <c r="Q54" s="307">
        <f t="shared" si="4"/>
        <v>0.9</v>
      </c>
      <c r="R54" s="179">
        <f t="shared" si="5"/>
        <v>0.50352354346809247</v>
      </c>
      <c r="S54" s="839">
        <f t="shared" si="6"/>
        <v>0</v>
      </c>
      <c r="T54" s="178">
        <f t="shared" si="7"/>
        <v>6</v>
      </c>
      <c r="U54" s="253">
        <f t="shared" si="8"/>
        <v>0.50352354346809247</v>
      </c>
      <c r="V54" s="385">
        <f t="shared" si="9"/>
        <v>25.711665706186771</v>
      </c>
      <c r="W54" s="404">
        <f t="shared" si="10"/>
        <v>25.753467099223961</v>
      </c>
      <c r="X54" s="157">
        <f t="shared" si="11"/>
        <v>44966</v>
      </c>
      <c r="Y54" s="387">
        <f t="shared" si="12"/>
        <v>22.994071213176337</v>
      </c>
      <c r="Z54" s="387">
        <f t="shared" si="22"/>
        <v>23.895844698740444</v>
      </c>
      <c r="AA54" s="388">
        <f t="shared" si="13"/>
        <v>28.02089542805512</v>
      </c>
      <c r="AB54" s="199">
        <f t="shared" si="14"/>
        <v>44966</v>
      </c>
      <c r="AC54" s="119">
        <f>IF(OR(t&lt;Tnet,NoTnet),'2022'!Resal_s+('2022'!Salim-'2022'!Resal_s)*(1-EXP(('2022'!Tnet_s-t)/'2022'!Tau_j)),Resal_s+(Salim-Resal_s)*(1-EXP((Tnet_s-t)/Tau_j)))*Salcycl</f>
        <v>0.14721338009721796</v>
      </c>
      <c r="AD54" s="233">
        <f>(INDEX(Models!$BJ54:$BT54,,AH54)*(1-AF54)+INDEX(Models!$BJ54:$BT54,,AH54+1)*AF54-ERP_i)*AE54*Ramure*Pc/MaxiM</f>
        <v>4.7521823459491894E-2</v>
      </c>
      <c r="AE54" s="307">
        <f t="shared" si="15"/>
        <v>0.9</v>
      </c>
      <c r="AF54" s="179">
        <f t="shared" si="23"/>
        <v>0.50352354346809247</v>
      </c>
      <c r="AG54" s="839">
        <f t="shared" si="24"/>
        <v>0</v>
      </c>
      <c r="AH54" s="178">
        <f t="shared" si="16"/>
        <v>6</v>
      </c>
      <c r="AI54" s="227">
        <f t="shared" si="17"/>
        <v>0.50352354346809247</v>
      </c>
      <c r="AJ54" s="267" t="b">
        <f t="shared" si="18"/>
        <v>0</v>
      </c>
      <c r="AK54" s="267" t="b">
        <f t="shared" si="19"/>
        <v>0</v>
      </c>
      <c r="AL54" s="267"/>
      <c r="AM54" s="267"/>
      <c r="AN54" s="75"/>
    </row>
    <row r="55" spans="1:40" s="6" customFormat="1" ht="11.25" x14ac:dyDescent="0.2">
      <c r="A55" s="56">
        <f t="shared" si="20"/>
        <v>44967</v>
      </c>
      <c r="B55" s="413">
        <f>'2022'!Wh/'2022'!Env_an*'2023'!Env_an</f>
        <v>24.998448476598295</v>
      </c>
      <c r="C55" s="868"/>
      <c r="D55" s="395">
        <f t="shared" si="0"/>
        <v>25.979433511759417</v>
      </c>
      <c r="E55" s="387">
        <f t="shared" si="1"/>
        <v>27.205523631418394</v>
      </c>
      <c r="F55" s="387">
        <f t="shared" si="2"/>
        <v>28.432323362390676</v>
      </c>
      <c r="G55" s="110">
        <f t="shared" si="21"/>
        <v>0.95622715729170471</v>
      </c>
      <c r="H55" s="416" t="b">
        <f>Wh_hp&gt;='2022'!Maxi_hp</f>
        <v>0</v>
      </c>
      <c r="I55" s="392">
        <f>IF(H55,Wh_hp,'2022'!Maxi_hp)</f>
        <v>28.45850777930519</v>
      </c>
      <c r="J55" s="85">
        <f>IF(H55,An,'2022'!An_max)</f>
        <v>2022</v>
      </c>
      <c r="K55" s="199">
        <f t="shared" si="3"/>
        <v>44967</v>
      </c>
      <c r="L55" s="147">
        <f>IF(t&lt;Tvie,1-EXP((T0-t)*PertePVj)+'2022'!Pspv,1-EXP((T0-t)*PertePVj)+Pspv)</f>
        <v>3.7760062578619524E-2</v>
      </c>
      <c r="M55" s="872"/>
      <c r="N55" s="872"/>
      <c r="O55" s="48">
        <f>IF(t&lt;Tnet,'2022'!Resal+('2022'!Salim-'2022'!Resal)*(1-EXP(('2022'!Tnet-t)/('2022'!Tau_j))),Resal+(Salim-Resal)*(1-EXP((Tnet-t)/(Tau_j))))*Salcycl</f>
        <v>4.5067690527486257E-2</v>
      </c>
      <c r="P55" s="171">
        <f>(INDEX(Models!$BJ55:$BT55,,T55)*(1-R55)+INDEX(Models!$BJ55:$BT55,,T55+1)*R55-ERP_i)*Q55*Ramure*Pc/MaxiM</f>
        <v>4.5837910364933274E-2</v>
      </c>
      <c r="Q55" s="307">
        <f t="shared" si="4"/>
        <v>0.9</v>
      </c>
      <c r="R55" s="179">
        <f t="shared" si="5"/>
        <v>0.503695778214717</v>
      </c>
      <c r="S55" s="839">
        <f t="shared" si="6"/>
        <v>0</v>
      </c>
      <c r="T55" s="178">
        <f t="shared" si="7"/>
        <v>6</v>
      </c>
      <c r="U55" s="253">
        <f t="shared" si="8"/>
        <v>0.503695778214717</v>
      </c>
      <c r="V55" s="385">
        <f t="shared" si="9"/>
        <v>26.069301762506804</v>
      </c>
      <c r="W55" s="404">
        <f t="shared" si="10"/>
        <v>24.998448476598295</v>
      </c>
      <c r="X55" s="157">
        <f t="shared" si="11"/>
        <v>44967</v>
      </c>
      <c r="Y55" s="387">
        <f t="shared" si="12"/>
        <v>22.32229379211752</v>
      </c>
      <c r="Z55" s="387">
        <f t="shared" si="22"/>
        <v>23.198261601921253</v>
      </c>
      <c r="AA55" s="388">
        <f t="shared" si="13"/>
        <v>27.205523631418394</v>
      </c>
      <c r="AB55" s="199">
        <f t="shared" si="14"/>
        <v>44967</v>
      </c>
      <c r="AC55" s="119">
        <f>IF(OR(t&lt;Tnet,NoTnet),'2022'!Resal_s+('2022'!Salim-'2022'!Resal_s)*(1-EXP(('2022'!Tnet_s-t)/'2022'!Tau_j)),Resal_s+(Salim-Resal_s)*(1-EXP((Tnet_s-t)/Tau_j)))*Salcycl</f>
        <v>0.14729589784000113</v>
      </c>
      <c r="AD55" s="233">
        <f>(INDEX(Models!$BJ55:$BT55,,AH55)*(1-AF55)+INDEX(Models!$BJ55:$BT55,,AH55+1)*AF55-ERP_i)*AE55*Ramure*Pc/MaxiM</f>
        <v>4.5837910364933274E-2</v>
      </c>
      <c r="AE55" s="307">
        <f t="shared" si="15"/>
        <v>0.9</v>
      </c>
      <c r="AF55" s="179">
        <f t="shared" si="23"/>
        <v>0.503695778214717</v>
      </c>
      <c r="AG55" s="839">
        <f t="shared" si="24"/>
        <v>0</v>
      </c>
      <c r="AH55" s="178">
        <f t="shared" si="16"/>
        <v>6</v>
      </c>
      <c r="AI55" s="227">
        <f t="shared" si="17"/>
        <v>0.503695778214717</v>
      </c>
      <c r="AJ55" s="267" t="b">
        <f t="shared" si="18"/>
        <v>0</v>
      </c>
      <c r="AK55" s="267" t="b">
        <f t="shared" si="19"/>
        <v>0</v>
      </c>
      <c r="AL55" s="267"/>
      <c r="AM55" s="267"/>
      <c r="AN55" s="75"/>
    </row>
    <row r="56" spans="1:40" s="6" customFormat="1" ht="11.25" x14ac:dyDescent="0.2">
      <c r="A56" s="56">
        <f t="shared" si="20"/>
        <v>44968</v>
      </c>
      <c r="B56" s="413">
        <f>'2022'!Wh/'2022'!Env_an*'2023'!Env_an</f>
        <v>13.18704134663842</v>
      </c>
      <c r="C56" s="868"/>
      <c r="D56" s="395">
        <f t="shared" si="0"/>
        <v>13.70484400266831</v>
      </c>
      <c r="E56" s="387">
        <f t="shared" si="1"/>
        <v>14.354533277902439</v>
      </c>
      <c r="F56" s="387">
        <f t="shared" si="2"/>
        <v>14.536942051234609</v>
      </c>
      <c r="G56" s="110">
        <f t="shared" si="21"/>
        <v>0.48295125545281775</v>
      </c>
      <c r="H56" s="416" t="b">
        <f>Wh_hp&gt;='2022'!Maxi_hp</f>
        <v>0</v>
      </c>
      <c r="I56" s="392">
        <f>IF(H56,Wh_hp,'2022'!Maxi_hp)</f>
        <v>26.844997488492737</v>
      </c>
      <c r="J56" s="85">
        <f>IF(H56,An,'2022'!An_max)</f>
        <v>2021</v>
      </c>
      <c r="K56" s="199">
        <f t="shared" si="3"/>
        <v>44968</v>
      </c>
      <c r="L56" s="147">
        <f>IF(t&lt;Tvie,1-EXP((T0-t)*PertePVj)+'2022'!Pspv,1-EXP((T0-t)*PertePVj)+Pspv)</f>
        <v>3.7782455307705409E-2</v>
      </c>
      <c r="M56" s="872"/>
      <c r="N56" s="872"/>
      <c r="O56" s="48">
        <f>IF(t&lt;Tnet,'2022'!Resal+('2022'!Salim-'2022'!Resal)*(1-EXP(('2022'!Tnet-t)/('2022'!Tau_j))),Resal+(Salim-Resal)*(1-EXP((Tnet-t)/(Tau_j))))*Salcycl</f>
        <v>4.5260215895299709E-2</v>
      </c>
      <c r="P56" s="171">
        <f>(INDEX(Models!$BJ56:$BT56,,T56)*(1-R56)+INDEX(Models!$BJ56:$BT56,,T56+1)*R56-ERP_i)*Q56*Ramure*Pc/MaxiM</f>
        <v>4.4155913954546898E-2</v>
      </c>
      <c r="Q56" s="307">
        <f t="shared" si="4"/>
        <v>0.9</v>
      </c>
      <c r="R56" s="179">
        <f t="shared" si="5"/>
        <v>0.5038751328886979</v>
      </c>
      <c r="S56" s="839">
        <f t="shared" si="6"/>
        <v>0</v>
      </c>
      <c r="T56" s="178">
        <f t="shared" si="7"/>
        <v>6</v>
      </c>
      <c r="U56" s="253">
        <f t="shared" si="8"/>
        <v>0.5038751328886979</v>
      </c>
      <c r="V56" s="385">
        <f t="shared" si="9"/>
        <v>26.431092142883877</v>
      </c>
      <c r="W56" s="404">
        <f t="shared" si="10"/>
        <v>13.18704134663842</v>
      </c>
      <c r="X56" s="157">
        <f t="shared" si="11"/>
        <v>44968</v>
      </c>
      <c r="Y56" s="387">
        <f t="shared" si="12"/>
        <v>11.776565260324318</v>
      </c>
      <c r="Z56" s="387">
        <f t="shared" si="22"/>
        <v>12.238984131275968</v>
      </c>
      <c r="AA56" s="388">
        <f t="shared" si="13"/>
        <v>14.354533277902439</v>
      </c>
      <c r="AB56" s="199">
        <f t="shared" si="14"/>
        <v>44968</v>
      </c>
      <c r="AC56" s="119">
        <f>IF(OR(t&lt;Tnet,NoTnet),'2022'!Resal_s+('2022'!Salim-'2022'!Resal_s)*(1-EXP(('2022'!Tnet_s-t)/'2022'!Tau_j)),Resal_s+(Salim-Resal_s)*(1-EXP((Tnet_s-t)/Tau_j)))*Salcycl</f>
        <v>0.14737846962138262</v>
      </c>
      <c r="AD56" s="233">
        <f>(INDEX(Models!$BJ56:$BT56,,AH56)*(1-AF56)+INDEX(Models!$BJ56:$BT56,,AH56+1)*AF56-ERP_i)*AE56*Ramure*Pc/MaxiM</f>
        <v>4.4155913954546898E-2</v>
      </c>
      <c r="AE56" s="307">
        <f t="shared" si="15"/>
        <v>0.9</v>
      </c>
      <c r="AF56" s="179">
        <f t="shared" si="23"/>
        <v>0.5038751328886979</v>
      </c>
      <c r="AG56" s="839">
        <f t="shared" si="24"/>
        <v>0</v>
      </c>
      <c r="AH56" s="178">
        <f t="shared" si="16"/>
        <v>6</v>
      </c>
      <c r="AI56" s="227">
        <f t="shared" si="17"/>
        <v>0.5038751328886979</v>
      </c>
      <c r="AJ56" s="267" t="b">
        <f t="shared" si="18"/>
        <v>0</v>
      </c>
      <c r="AK56" s="267" t="b">
        <f t="shared" si="19"/>
        <v>0</v>
      </c>
      <c r="AL56" s="267"/>
      <c r="AM56" s="267"/>
      <c r="AN56" s="75"/>
    </row>
    <row r="57" spans="1:40" s="6" customFormat="1" ht="11.25" x14ac:dyDescent="0.2">
      <c r="A57" s="56">
        <f t="shared" si="20"/>
        <v>44969</v>
      </c>
      <c r="B57" s="413">
        <f>'2022'!Wh/'2022'!Env_an*'2023'!Env_an</f>
        <v>22.552130905122905</v>
      </c>
      <c r="C57" s="868"/>
      <c r="D57" s="395">
        <f t="shared" si="0"/>
        <v>23.438208815430933</v>
      </c>
      <c r="E57" s="387">
        <f t="shared" si="1"/>
        <v>24.554263296179681</v>
      </c>
      <c r="F57" s="387">
        <f t="shared" si="2"/>
        <v>25.388628312818838</v>
      </c>
      <c r="G57" s="110">
        <f t="shared" si="21"/>
        <v>0.83322267884396284</v>
      </c>
      <c r="H57" s="416" t="b">
        <f>Wh_hp&gt;='2022'!Maxi_hp</f>
        <v>0</v>
      </c>
      <c r="I57" s="392">
        <f>IF(H57,Wh_hp,'2022'!Maxi_hp)</f>
        <v>30.627768501609644</v>
      </c>
      <c r="J57" s="85">
        <f>IF(H57,An,'2022'!An_max)</f>
        <v>2019</v>
      </c>
      <c r="K57" s="199">
        <f t="shared" si="3"/>
        <v>44969</v>
      </c>
      <c r="L57" s="147">
        <f>IF(t&lt;Tvie,1-EXP((T0-t)*PertePVj)+'2022'!Pspv,1-EXP((T0-t)*PertePVj)+Pspv)</f>
        <v>3.7804847515679807E-2</v>
      </c>
      <c r="M57" s="872"/>
      <c r="N57" s="872"/>
      <c r="O57" s="48">
        <f>IF(t&lt;Tnet,'2022'!Resal+('2022'!Salim-'2022'!Resal)*(1-EXP(('2022'!Tnet-t)/('2022'!Tau_j))),Resal+(Salim-Resal)*(1-EXP((Tnet-t)/(Tau_j))))*Salcycl</f>
        <v>4.5452574458725109E-2</v>
      </c>
      <c r="P57" s="171">
        <f>(INDEX(Models!$BJ57:$BT57,,T57)*(1-R57)+INDEX(Models!$BJ57:$BT57,,T57+1)*R57-ERP_i)*Q57*Ramure*Pc/MaxiM</f>
        <v>4.2476269219770511E-2</v>
      </c>
      <c r="Q57" s="307">
        <f t="shared" si="4"/>
        <v>0.9</v>
      </c>
      <c r="R57" s="179">
        <f t="shared" si="5"/>
        <v>0.50406189723688566</v>
      </c>
      <c r="S57" s="839">
        <f t="shared" si="6"/>
        <v>0</v>
      </c>
      <c r="T57" s="178">
        <f t="shared" si="7"/>
        <v>6</v>
      </c>
      <c r="U57" s="253">
        <f t="shared" si="8"/>
        <v>0.50406189723688566</v>
      </c>
      <c r="V57" s="385">
        <f t="shared" si="9"/>
        <v>26.79713578093142</v>
      </c>
      <c r="W57" s="404">
        <f t="shared" si="10"/>
        <v>22.552130905122905</v>
      </c>
      <c r="X57" s="157">
        <f t="shared" si="11"/>
        <v>44969</v>
      </c>
      <c r="Y57" s="387">
        <f t="shared" si="12"/>
        <v>20.142078831144378</v>
      </c>
      <c r="Z57" s="387">
        <f t="shared" si="22"/>
        <v>20.933465294580781</v>
      </c>
      <c r="AA57" s="388">
        <f t="shared" si="13"/>
        <v>24.554263296179681</v>
      </c>
      <c r="AB57" s="199">
        <f t="shared" si="14"/>
        <v>44969</v>
      </c>
      <c r="AC57" s="119">
        <f>IF(OR(t&lt;Tnet,NoTnet),'2022'!Resal_s+('2022'!Salim-'2022'!Resal_s)*(1-EXP(('2022'!Tnet_s-t)/'2022'!Tau_j)),Resal_s+(Salim-Resal_s)*(1-EXP((Tnet_s-t)/Tau_j)))*Salcycl</f>
        <v>0.14746107256096122</v>
      </c>
      <c r="AD57" s="233">
        <f>(INDEX(Models!$BJ57:$BT57,,AH57)*(1-AF57)+INDEX(Models!$BJ57:$BT57,,AH57+1)*AF57-ERP_i)*AE57*Ramure*Pc/MaxiM</f>
        <v>4.2476269219770511E-2</v>
      </c>
      <c r="AE57" s="307">
        <f t="shared" si="15"/>
        <v>0.9</v>
      </c>
      <c r="AF57" s="179">
        <f t="shared" si="23"/>
        <v>0.50406189723688566</v>
      </c>
      <c r="AG57" s="839">
        <f t="shared" si="24"/>
        <v>0</v>
      </c>
      <c r="AH57" s="178">
        <f t="shared" si="16"/>
        <v>6</v>
      </c>
      <c r="AI57" s="227">
        <f t="shared" si="17"/>
        <v>0.50406189723688566</v>
      </c>
      <c r="AJ57" s="267" t="b">
        <f t="shared" si="18"/>
        <v>0</v>
      </c>
      <c r="AK57" s="267" t="b">
        <f t="shared" si="19"/>
        <v>0</v>
      </c>
      <c r="AL57" s="267"/>
      <c r="AM57" s="267"/>
      <c r="AN57" s="75"/>
    </row>
    <row r="58" spans="1:40" s="6" customFormat="1" ht="11.25" x14ac:dyDescent="0.2">
      <c r="A58" s="56">
        <f t="shared" si="20"/>
        <v>44970</v>
      </c>
      <c r="B58" s="413">
        <f>'2022'!Wh/'2022'!Env_an*'2023'!Env_an</f>
        <v>26.294594617233574</v>
      </c>
      <c r="C58" s="868"/>
      <c r="D58" s="395">
        <f t="shared" si="0"/>
        <v>27.328350675237065</v>
      </c>
      <c r="E58" s="387">
        <f t="shared" si="1"/>
        <v>28.635406944291521</v>
      </c>
      <c r="F58" s="387">
        <f t="shared" si="2"/>
        <v>29.795569710421386</v>
      </c>
      <c r="G58" s="110">
        <f t="shared" si="21"/>
        <v>0.96599320186629389</v>
      </c>
      <c r="H58" s="416" t="b">
        <f>Wh_hp&gt;='2022'!Maxi_hp</f>
        <v>0</v>
      </c>
      <c r="I58" s="392">
        <f>IF(H58,Wh_hp,'2022'!Maxi_hp)</f>
        <v>31.571868913069107</v>
      </c>
      <c r="J58" s="85">
        <f>IF(H58,An,'2022'!An_max)</f>
        <v>2019</v>
      </c>
      <c r="K58" s="199">
        <f t="shared" si="3"/>
        <v>44970</v>
      </c>
      <c r="L58" s="147">
        <f>IF(t&lt;Tvie,1-EXP((T0-t)*PertePVj)+'2022'!Pspv,1-EXP((T0-t)*PertePVj)+Pspv)</f>
        <v>3.7827239202554708E-2</v>
      </c>
      <c r="M58" s="872"/>
      <c r="N58" s="872"/>
      <c r="O58" s="48">
        <f>IF(t&lt;Tnet,'2022'!Resal+('2022'!Salim-'2022'!Resal)*(1-EXP(('2022'!Tnet-t)/('2022'!Tau_j))),Resal+(Salim-Resal)*(1-EXP((Tnet-t)/(Tau_j))))*Salcycl</f>
        <v>4.5644759705956148E-2</v>
      </c>
      <c r="P58" s="171">
        <f>(INDEX(Models!$BJ58:$BT58,,T58)*(1-R58)+INDEX(Models!$BJ58:$BT58,,T58+1)*R58-ERP_i)*Q58*Ramure*Pc/MaxiM</f>
        <v>4.0810075108509508E-2</v>
      </c>
      <c r="Q58" s="307">
        <f t="shared" si="4"/>
        <v>0.9</v>
      </c>
      <c r="R58" s="179">
        <f t="shared" si="5"/>
        <v>0.50425637240846211</v>
      </c>
      <c r="S58" s="839">
        <f t="shared" si="6"/>
        <v>0</v>
      </c>
      <c r="T58" s="178">
        <f t="shared" si="7"/>
        <v>6</v>
      </c>
      <c r="U58" s="253">
        <f t="shared" si="8"/>
        <v>0.50425637240846211</v>
      </c>
      <c r="V58" s="385">
        <f t="shared" si="9"/>
        <v>27.167229557319647</v>
      </c>
      <c r="W58" s="404">
        <f t="shared" si="10"/>
        <v>26.294594617233574</v>
      </c>
      <c r="X58" s="157">
        <f t="shared" si="11"/>
        <v>44970</v>
      </c>
      <c r="Y58" s="387">
        <f t="shared" si="12"/>
        <v>23.487054210763631</v>
      </c>
      <c r="Z58" s="387">
        <f t="shared" si="22"/>
        <v>24.410433518506224</v>
      </c>
      <c r="AA58" s="388">
        <f t="shared" si="13"/>
        <v>28.635406944291521</v>
      </c>
      <c r="AB58" s="199">
        <f t="shared" si="14"/>
        <v>44970</v>
      </c>
      <c r="AC58" s="119">
        <f>IF(OR(t&lt;Tnet,NoTnet),'2022'!Resal_s+('2022'!Salim-'2022'!Resal_s)*(1-EXP(('2022'!Tnet_s-t)/'2022'!Tau_j)),Resal_s+(Salim-Resal_s)*(1-EXP((Tnet_s-t)/Tau_j)))*Salcycl</f>
        <v>0.14754368373408244</v>
      </c>
      <c r="AD58" s="233">
        <f>(INDEX(Models!$BJ58:$BT58,,AH58)*(1-AF58)+INDEX(Models!$BJ58:$BT58,,AH58+1)*AF58-ERP_i)*AE58*Ramure*Pc/MaxiM</f>
        <v>4.0810075108509508E-2</v>
      </c>
      <c r="AE58" s="307">
        <f t="shared" si="15"/>
        <v>0.9</v>
      </c>
      <c r="AF58" s="179">
        <f t="shared" si="23"/>
        <v>0.50425637240846211</v>
      </c>
      <c r="AG58" s="839">
        <f t="shared" si="24"/>
        <v>0</v>
      </c>
      <c r="AH58" s="178">
        <f t="shared" si="16"/>
        <v>6</v>
      </c>
      <c r="AI58" s="227">
        <f t="shared" si="17"/>
        <v>0.50425637240846211</v>
      </c>
      <c r="AJ58" s="267" t="b">
        <f t="shared" si="18"/>
        <v>0</v>
      </c>
      <c r="AK58" s="267" t="b">
        <f t="shared" si="19"/>
        <v>0</v>
      </c>
      <c r="AL58" s="267"/>
      <c r="AM58" s="267"/>
      <c r="AN58" s="75"/>
    </row>
    <row r="59" spans="1:40" s="6" customFormat="1" ht="11.25" x14ac:dyDescent="0.2">
      <c r="A59" s="56">
        <f t="shared" si="20"/>
        <v>44971</v>
      </c>
      <c r="B59" s="413">
        <f>'2022'!Wh/'2022'!Env_an*'2023'!Env_an</f>
        <v>15.455240643822485</v>
      </c>
      <c r="C59" s="868"/>
      <c r="D59" s="395">
        <f t="shared" si="0"/>
        <v>16.063227881665995</v>
      </c>
      <c r="E59" s="387">
        <f t="shared" si="1"/>
        <v>16.834884529402849</v>
      </c>
      <c r="F59" s="387">
        <f t="shared" si="2"/>
        <v>17.084715349223639</v>
      </c>
      <c r="G59" s="110">
        <f t="shared" si="21"/>
        <v>0.54719041249654909</v>
      </c>
      <c r="H59" s="416" t="b">
        <f>Wh_hp&gt;='2022'!Maxi_hp</f>
        <v>0</v>
      </c>
      <c r="I59" s="392">
        <f>IF(H59,Wh_hp,'2022'!Maxi_hp)</f>
        <v>31.764389384281085</v>
      </c>
      <c r="J59" s="85">
        <f>IF(H59,An,'2022'!An_max)</f>
        <v>2019</v>
      </c>
      <c r="K59" s="199">
        <f t="shared" si="3"/>
        <v>44971</v>
      </c>
      <c r="L59" s="147">
        <f>IF(t&lt;Tvie,1-EXP((T0-t)*PertePVj)+'2022'!Pspv,1-EXP((T0-t)*PertePVj)+Pspv)</f>
        <v>3.7849630368342435E-2</v>
      </c>
      <c r="M59" s="872"/>
      <c r="N59" s="872"/>
      <c r="O59" s="48">
        <f>IF(t&lt;Tnet,'2022'!Resal+('2022'!Salim-'2022'!Resal)*(1-EXP(('2022'!Tnet-t)/('2022'!Tau_j))),Resal+(Salim-Resal)*(1-EXP((Tnet-t)/(Tau_j))))*Salcycl</f>
        <v>4.5836765104573393E-2</v>
      </c>
      <c r="P59" s="171">
        <f>(INDEX(Models!$BJ59:$BT59,,T59)*(1-R59)+INDEX(Models!$BJ59:$BT59,,T59+1)*R59-ERP_i)*Q59*Ramure*Pc/MaxiM</f>
        <v>3.9191543283315679E-2</v>
      </c>
      <c r="Q59" s="307">
        <f t="shared" si="4"/>
        <v>0.9</v>
      </c>
      <c r="R59" s="179">
        <f t="shared" si="5"/>
        <v>0.50445887137051215</v>
      </c>
      <c r="S59" s="839">
        <f t="shared" si="6"/>
        <v>0</v>
      </c>
      <c r="T59" s="178">
        <f t="shared" si="7"/>
        <v>6</v>
      </c>
      <c r="U59" s="253">
        <f t="shared" si="8"/>
        <v>0.50445887137051215</v>
      </c>
      <c r="V59" s="385">
        <f t="shared" si="9"/>
        <v>27.540493274877363</v>
      </c>
      <c r="W59" s="404">
        <f t="shared" si="10"/>
        <v>15.455240643822485</v>
      </c>
      <c r="X59" s="157">
        <f t="shared" si="11"/>
        <v>44971</v>
      </c>
      <c r="Y59" s="387">
        <f t="shared" si="12"/>
        <v>13.806485590422959</v>
      </c>
      <c r="Z59" s="387">
        <f t="shared" si="22"/>
        <v>14.349613143846247</v>
      </c>
      <c r="AA59" s="388">
        <f t="shared" si="13"/>
        <v>16.834884529402849</v>
      </c>
      <c r="AB59" s="199">
        <f t="shared" si="14"/>
        <v>44971</v>
      </c>
      <c r="AC59" s="119">
        <f>IF(OR(t&lt;Tnet,NoTnet),'2022'!Resal_s+('2022'!Salim-'2022'!Resal_s)*(1-EXP(('2022'!Tnet_s-t)/'2022'!Tau_j)),Resal_s+(Salim-Resal_s)*(1-EXP((Tnet_s-t)/Tau_j)))*Salcycl</f>
        <v>0.14762628049013155</v>
      </c>
      <c r="AD59" s="233">
        <f>(INDEX(Models!$BJ59:$BT59,,AH59)*(1-AF59)+INDEX(Models!$BJ59:$BT59,,AH59+1)*AF59-ERP_i)*AE59*Ramure*Pc/MaxiM</f>
        <v>3.9191543283315679E-2</v>
      </c>
      <c r="AE59" s="307">
        <f t="shared" si="15"/>
        <v>0.9</v>
      </c>
      <c r="AF59" s="179">
        <f t="shared" si="23"/>
        <v>0.50445887137051215</v>
      </c>
      <c r="AG59" s="839">
        <f t="shared" si="24"/>
        <v>0</v>
      </c>
      <c r="AH59" s="178">
        <f t="shared" si="16"/>
        <v>6</v>
      </c>
      <c r="AI59" s="227">
        <f t="shared" si="17"/>
        <v>0.50445887137051215</v>
      </c>
      <c r="AJ59" s="267" t="b">
        <f t="shared" si="18"/>
        <v>0</v>
      </c>
      <c r="AK59" s="267" t="b">
        <f t="shared" si="19"/>
        <v>0</v>
      </c>
      <c r="AL59" s="267"/>
      <c r="AM59" s="267"/>
      <c r="AN59" s="75"/>
    </row>
    <row r="60" spans="1:40" s="6" customFormat="1" ht="11.25" x14ac:dyDescent="0.2">
      <c r="A60" s="56">
        <f t="shared" si="20"/>
        <v>44972</v>
      </c>
      <c r="B60" s="413">
        <f>'2022'!Wh/'2022'!Env_an*'2023'!Env_an</f>
        <v>18.823437362443478</v>
      </c>
      <c r="C60" s="868"/>
      <c r="D60" s="395">
        <f t="shared" si="0"/>
        <v>19.564379971844566</v>
      </c>
      <c r="E60" s="387">
        <f t="shared" si="1"/>
        <v>20.508350300552948</v>
      </c>
      <c r="F60" s="387">
        <f t="shared" si="2"/>
        <v>20.929316814608605</v>
      </c>
      <c r="G60" s="110">
        <f t="shared" si="21"/>
        <v>0.66221790047351348</v>
      </c>
      <c r="H60" s="416" t="b">
        <f>Wh_hp&gt;='2022'!Maxi_hp</f>
        <v>0</v>
      </c>
      <c r="I60" s="392">
        <f>IF(H60,Wh_hp,'2022'!Maxi_hp)</f>
        <v>31.923977618483878</v>
      </c>
      <c r="J60" s="85">
        <f>IF(H60,An,'2022'!An_max)</f>
        <v>2019</v>
      </c>
      <c r="K60" s="199">
        <f t="shared" si="3"/>
        <v>44972</v>
      </c>
      <c r="L60" s="147">
        <f>IF(t&lt;Tvie,1-EXP((T0-t)*PertePVj)+'2022'!Pspv,1-EXP((T0-t)*PertePVj)+Pspv)</f>
        <v>3.7872021013054979E-2</v>
      </c>
      <c r="M60" s="872"/>
      <c r="N60" s="872"/>
      <c r="O60" s="48">
        <f>IF(t&lt;Tnet,'2022'!Resal+('2022'!Salim-'2022'!Resal)*(1-EXP(('2022'!Tnet-t)/('2022'!Tau_j))),Resal+(Salim-Resal)*(1-EXP((Tnet-t)/(Tau_j))))*Salcycl</f>
        <v>4.602858420469487E-2</v>
      </c>
      <c r="P60" s="171">
        <f>(INDEX(Models!$BJ60:$BT60,,T60)*(1-R60)+INDEX(Models!$BJ60:$BT60,,T60+1)*R60-ERP_i)*Q60*Ramure*Pc/MaxiM</f>
        <v>3.76194853441736E-2</v>
      </c>
      <c r="Q60" s="307">
        <f t="shared" si="4"/>
        <v>0.9</v>
      </c>
      <c r="R60" s="179">
        <f t="shared" si="5"/>
        <v>0.50466971933587379</v>
      </c>
      <c r="S60" s="839">
        <f t="shared" si="6"/>
        <v>0</v>
      </c>
      <c r="T60" s="178">
        <f t="shared" si="7"/>
        <v>6</v>
      </c>
      <c r="U60" s="253">
        <f t="shared" si="8"/>
        <v>0.50466971933587379</v>
      </c>
      <c r="V60" s="385">
        <f t="shared" si="9"/>
        <v>27.91702680450479</v>
      </c>
      <c r="W60" s="404">
        <f t="shared" si="10"/>
        <v>18.823437362443478</v>
      </c>
      <c r="X60" s="157">
        <f t="shared" si="11"/>
        <v>44972</v>
      </c>
      <c r="Y60" s="387">
        <f t="shared" si="12"/>
        <v>16.817117352335018</v>
      </c>
      <c r="Z60" s="387">
        <f t="shared" si="22"/>
        <v>17.479085651414369</v>
      </c>
      <c r="AA60" s="388">
        <f t="shared" si="13"/>
        <v>20.508350300552948</v>
      </c>
      <c r="AB60" s="199">
        <f t="shared" si="14"/>
        <v>44972</v>
      </c>
      <c r="AC60" s="119">
        <f>IF(OR(t&lt;Tnet,NoTnet),'2022'!Resal_s+('2022'!Salim-'2022'!Resal_s)*(1-EXP(('2022'!Tnet_s-t)/'2022'!Tau_j)),Resal_s+(Salim-Resal_s)*(1-EXP((Tnet_s-t)/Tau_j)))*Salcycl</f>
        <v>0.14770884077676905</v>
      </c>
      <c r="AD60" s="233">
        <f>(INDEX(Models!$BJ60:$BT60,,AH60)*(1-AF60)+INDEX(Models!$BJ60:$BT60,,AH60+1)*AF60-ERP_i)*AE60*Ramure*Pc/MaxiM</f>
        <v>3.76194853441736E-2</v>
      </c>
      <c r="AE60" s="307">
        <f t="shared" si="15"/>
        <v>0.9</v>
      </c>
      <c r="AF60" s="179">
        <f t="shared" si="23"/>
        <v>0.50466971933587379</v>
      </c>
      <c r="AG60" s="839">
        <f t="shared" si="24"/>
        <v>0</v>
      </c>
      <c r="AH60" s="178">
        <f t="shared" si="16"/>
        <v>6</v>
      </c>
      <c r="AI60" s="227">
        <f t="shared" si="17"/>
        <v>0.50466971933587379</v>
      </c>
      <c r="AJ60" s="267" t="b">
        <f t="shared" si="18"/>
        <v>0</v>
      </c>
      <c r="AK60" s="267" t="b">
        <f t="shared" si="19"/>
        <v>0</v>
      </c>
      <c r="AL60" s="267"/>
      <c r="AM60" s="267"/>
      <c r="AN60" s="75"/>
    </row>
    <row r="61" spans="1:40" s="6" customFormat="1" ht="11.25" x14ac:dyDescent="0.2">
      <c r="A61" s="56">
        <f t="shared" si="20"/>
        <v>44973</v>
      </c>
      <c r="B61" s="413">
        <f>'2022'!Wh/'2022'!Env_an*'2023'!Env_an</f>
        <v>9.604638046155813</v>
      </c>
      <c r="C61" s="868"/>
      <c r="D61" s="395">
        <f t="shared" si="0"/>
        <v>9.9829355086726608</v>
      </c>
      <c r="E61" s="387">
        <f t="shared" si="1"/>
        <v>10.466709004676144</v>
      </c>
      <c r="F61" s="387">
        <f t="shared" si="2"/>
        <v>10.488028112185658</v>
      </c>
      <c r="G61" s="110">
        <f t="shared" si="21"/>
        <v>0.32783900317104014</v>
      </c>
      <c r="H61" s="416" t="b">
        <f>Wh_hp&gt;='2022'!Maxi_hp</f>
        <v>0</v>
      </c>
      <c r="I61" s="392">
        <f>IF(H61,Wh_hp,'2022'!Maxi_hp)</f>
        <v>32.585872870752389</v>
      </c>
      <c r="J61" s="85">
        <f>IF(H61,An,'2022'!An_max)</f>
        <v>2019</v>
      </c>
      <c r="K61" s="199">
        <f t="shared" si="3"/>
        <v>44973</v>
      </c>
      <c r="L61" s="147">
        <f>IF(t&lt;Tvie,1-EXP((T0-t)*PertePVj)+'2022'!Pspv,1-EXP((T0-t)*PertePVj)+Pspv)</f>
        <v>3.7894411136704553E-2</v>
      </c>
      <c r="M61" s="872"/>
      <c r="N61" s="872"/>
      <c r="O61" s="48">
        <f>IF(t&lt;Tnet,'2022'!Resal+('2022'!Salim-'2022'!Resal)*(1-EXP(('2022'!Tnet-t)/('2022'!Tau_j))),Resal+(Salim-Resal)*(1-EXP((Tnet-t)/(Tau_j))))*Salcycl</f>
        <v>4.6220210745072723E-2</v>
      </c>
      <c r="P61" s="171">
        <f>(INDEX(Models!$BJ61:$BT61,,T61)*(1-R61)+INDEX(Models!$BJ61:$BT61,,T61+1)*R61-ERP_i)*Q61*Ramure*Pc/MaxiM</f>
        <v>3.6092750912901324E-2</v>
      </c>
      <c r="Q61" s="307">
        <f t="shared" si="4"/>
        <v>0.9</v>
      </c>
      <c r="R61" s="179">
        <f t="shared" si="5"/>
        <v>0.50488925420336928</v>
      </c>
      <c r="S61" s="839">
        <f t="shared" si="6"/>
        <v>0</v>
      </c>
      <c r="T61" s="178">
        <f t="shared" si="7"/>
        <v>6</v>
      </c>
      <c r="U61" s="253">
        <f t="shared" si="8"/>
        <v>0.50488925420336928</v>
      </c>
      <c r="V61" s="385">
        <f t="shared" si="9"/>
        <v>28.296930069773897</v>
      </c>
      <c r="W61" s="404">
        <f t="shared" si="10"/>
        <v>9.604638046155813</v>
      </c>
      <c r="X61" s="157">
        <f t="shared" si="11"/>
        <v>44973</v>
      </c>
      <c r="Y61" s="387">
        <f t="shared" si="12"/>
        <v>8.5818086921276375</v>
      </c>
      <c r="Z61" s="387">
        <f t="shared" si="22"/>
        <v>8.9198200192006336</v>
      </c>
      <c r="AA61" s="388">
        <f t="shared" si="13"/>
        <v>10.466709004676144</v>
      </c>
      <c r="AB61" s="199">
        <f t="shared" si="14"/>
        <v>44973</v>
      </c>
      <c r="AC61" s="119">
        <f>IF(OR(t&lt;Tnet,NoTnet),'2022'!Resal_s+('2022'!Salim-'2022'!Resal_s)*(1-EXP(('2022'!Tnet_s-t)/'2022'!Tau_j)),Resal_s+(Salim-Resal_s)*(1-EXP((Tnet_s-t)/Tau_j)))*Salcycl</f>
        <v>0.14779134346664421</v>
      </c>
      <c r="AD61" s="233">
        <f>(INDEX(Models!$BJ61:$BT61,,AH61)*(1-AF61)+INDEX(Models!$BJ61:$BT61,,AH61+1)*AF61-ERP_i)*AE61*Ramure*Pc/MaxiM</f>
        <v>3.6092750912901324E-2</v>
      </c>
      <c r="AE61" s="307">
        <f t="shared" si="15"/>
        <v>0.9</v>
      </c>
      <c r="AF61" s="179">
        <f t="shared" si="23"/>
        <v>0.50488925420336928</v>
      </c>
      <c r="AG61" s="839">
        <f t="shared" si="24"/>
        <v>0</v>
      </c>
      <c r="AH61" s="178">
        <f t="shared" si="16"/>
        <v>6</v>
      </c>
      <c r="AI61" s="227">
        <f t="shared" si="17"/>
        <v>0.50488925420336928</v>
      </c>
      <c r="AJ61" s="267" t="b">
        <f t="shared" si="18"/>
        <v>0</v>
      </c>
      <c r="AK61" s="267" t="b">
        <f t="shared" si="19"/>
        <v>0</v>
      </c>
      <c r="AL61" s="267"/>
      <c r="AM61" s="267"/>
      <c r="AN61" s="75"/>
    </row>
    <row r="62" spans="1:40" s="6" customFormat="1" ht="11.25" x14ac:dyDescent="0.2">
      <c r="A62" s="56">
        <f t="shared" si="20"/>
        <v>44974</v>
      </c>
      <c r="B62" s="413">
        <f>'2022'!Wh/'2022'!Env_an*'2023'!Env_an</f>
        <v>11.162309047735501</v>
      </c>
      <c r="C62" s="868"/>
      <c r="D62" s="395">
        <f t="shared" si="0"/>
        <v>11.602228431296862</v>
      </c>
      <c r="E62" s="387">
        <f t="shared" si="1"/>
        <v>12.166914890008563</v>
      </c>
      <c r="F62" s="387">
        <f t="shared" si="2"/>
        <v>12.220811353073842</v>
      </c>
      <c r="G62" s="110">
        <f t="shared" si="21"/>
        <v>0.37739189695633502</v>
      </c>
      <c r="H62" s="416" t="b">
        <f>Wh_hp&gt;='2022'!Maxi_hp</f>
        <v>0</v>
      </c>
      <c r="I62" s="392">
        <f>IF(H62,Wh_hp,'2022'!Maxi_hp)</f>
        <v>33.205489118694373</v>
      </c>
      <c r="J62" s="85">
        <f>IF(H62,An,'2022'!An_max)</f>
        <v>2019</v>
      </c>
      <c r="K62" s="199">
        <f t="shared" si="3"/>
        <v>44974</v>
      </c>
      <c r="L62" s="147">
        <f>IF(t&lt;Tvie,1-EXP((T0-t)*PertePVj)+'2022'!Pspv,1-EXP((T0-t)*PertePVj)+Pspv)</f>
        <v>3.7916800739303147E-2</v>
      </c>
      <c r="M62" s="872"/>
      <c r="N62" s="872"/>
      <c r="O62" s="48">
        <f>IF(t&lt;Tnet,'2022'!Resal+('2022'!Salim-'2022'!Resal)*(1-EXP(('2022'!Tnet-t)/('2022'!Tau_j))),Resal+(Salim-Resal)*(1-EXP((Tnet-t)/(Tau_j))))*Salcycl</f>
        <v>4.6411638761065181E-2</v>
      </c>
      <c r="P62" s="171">
        <f>(INDEX(Models!$BJ62:$BT62,,T62)*(1-R62)+INDEX(Models!$BJ62:$BT62,,T62+1)*R62-ERP_i)*Q62*Ramure*Pc/MaxiM</f>
        <v>3.4610225456309762E-2</v>
      </c>
      <c r="Q62" s="307">
        <f t="shared" si="4"/>
        <v>0.9</v>
      </c>
      <c r="R62" s="179">
        <f t="shared" si="5"/>
        <v>0.5051178270104939</v>
      </c>
      <c r="S62" s="839">
        <f t="shared" si="6"/>
        <v>0</v>
      </c>
      <c r="T62" s="178">
        <f t="shared" si="7"/>
        <v>6</v>
      </c>
      <c r="U62" s="253">
        <f t="shared" si="8"/>
        <v>0.5051178270104939</v>
      </c>
      <c r="V62" s="385">
        <f t="shared" si="9"/>
        <v>28.680303045546662</v>
      </c>
      <c r="W62" s="404">
        <f t="shared" si="10"/>
        <v>11.162309047735501</v>
      </c>
      <c r="X62" s="157">
        <f t="shared" si="11"/>
        <v>44974</v>
      </c>
      <c r="Y62" s="387">
        <f t="shared" si="12"/>
        <v>9.9746355222736778</v>
      </c>
      <c r="Z62" s="387">
        <f t="shared" si="22"/>
        <v>10.367747331975639</v>
      </c>
      <c r="AA62" s="388">
        <f t="shared" si="13"/>
        <v>12.166914890008563</v>
      </c>
      <c r="AB62" s="199">
        <f t="shared" si="14"/>
        <v>44974</v>
      </c>
      <c r="AC62" s="119">
        <f>IF(OR(t&lt;Tnet,NoTnet),'2022'!Resal_s+('2022'!Salim-'2022'!Resal_s)*(1-EXP(('2022'!Tnet_s-t)/'2022'!Tau_j)),Resal_s+(Salim-Resal_s)*(1-EXP((Tnet_s-t)/Tau_j)))*Salcycl</f>
        <v>0.1478737686831684</v>
      </c>
      <c r="AD62" s="233">
        <f>(INDEX(Models!$BJ62:$BT62,,AH62)*(1-AF62)+INDEX(Models!$BJ62:$BT62,,AH62+1)*AF62-ERP_i)*AE62*Ramure*Pc/MaxiM</f>
        <v>3.4610225456309762E-2</v>
      </c>
      <c r="AE62" s="307">
        <f t="shared" si="15"/>
        <v>0.9</v>
      </c>
      <c r="AF62" s="179">
        <f t="shared" si="23"/>
        <v>0.5051178270104939</v>
      </c>
      <c r="AG62" s="839">
        <f t="shared" si="24"/>
        <v>0</v>
      </c>
      <c r="AH62" s="178">
        <f t="shared" si="16"/>
        <v>6</v>
      </c>
      <c r="AI62" s="227">
        <f t="shared" si="17"/>
        <v>0.5051178270104939</v>
      </c>
      <c r="AJ62" s="267" t="b">
        <f t="shared" si="18"/>
        <v>0</v>
      </c>
      <c r="AK62" s="267" t="b">
        <f t="shared" si="19"/>
        <v>0</v>
      </c>
      <c r="AL62" s="267"/>
      <c r="AM62" s="267"/>
      <c r="AN62" s="75"/>
    </row>
    <row r="63" spans="1:40" s="6" customFormat="1" ht="11.25" x14ac:dyDescent="0.2">
      <c r="A63" s="56">
        <f t="shared" si="20"/>
        <v>44975</v>
      </c>
      <c r="B63" s="413">
        <f>'2022'!Wh/'2022'!Env_an*'2023'!Env_an</f>
        <v>26.356802049993227</v>
      </c>
      <c r="C63" s="868"/>
      <c r="D63" s="395">
        <f t="shared" si="0"/>
        <v>27.396191354146893</v>
      </c>
      <c r="E63" s="387">
        <f t="shared" si="1"/>
        <v>28.735340481032846</v>
      </c>
      <c r="F63" s="387">
        <f t="shared" si="2"/>
        <v>29.586000894176067</v>
      </c>
      <c r="G63" s="110">
        <f t="shared" si="21"/>
        <v>0.90262736717327952</v>
      </c>
      <c r="H63" s="416" t="b">
        <f>Wh_hp&gt;='2022'!Maxi_hp</f>
        <v>0</v>
      </c>
      <c r="I63" s="392">
        <f>IF(H63,Wh_hp,'2022'!Maxi_hp)</f>
        <v>33.121421529464264</v>
      </c>
      <c r="J63" s="85">
        <f>IF(H63,An,'2022'!An_max)</f>
        <v>2019</v>
      </c>
      <c r="K63" s="199">
        <f t="shared" si="3"/>
        <v>44975</v>
      </c>
      <c r="L63" s="147">
        <f>IF(t&lt;Tvie,1-EXP((T0-t)*PertePVj)+'2022'!Pspv,1-EXP((T0-t)*PertePVj)+Pspv)</f>
        <v>3.7939189820863084E-2</v>
      </c>
      <c r="M63" s="872"/>
      <c r="N63" s="872"/>
      <c r="O63" s="48">
        <f>IF(t&lt;Tnet,'2022'!Resal+('2022'!Salim-'2022'!Resal)*(1-EXP(('2022'!Tnet-t)/('2022'!Tau_j))),Resal+(Salim-Resal)*(1-EXP((Tnet-t)/(Tau_j))))*Salcycl</f>
        <v>4.6602862693409713E-2</v>
      </c>
      <c r="P63" s="171">
        <f>(INDEX(Models!$BJ63:$BT63,,T63)*(1-R63)+INDEX(Models!$BJ63:$BT63,,T63+1)*R63-ERP_i)*Q63*Ramure*Pc/MaxiM</f>
        <v>3.3170828290279293E-2</v>
      </c>
      <c r="Q63" s="307">
        <f t="shared" si="4"/>
        <v>0.9</v>
      </c>
      <c r="R63" s="179">
        <f t="shared" si="5"/>
        <v>0.50535580239860334</v>
      </c>
      <c r="S63" s="839">
        <f t="shared" si="6"/>
        <v>0</v>
      </c>
      <c r="T63" s="178">
        <f t="shared" si="7"/>
        <v>6</v>
      </c>
      <c r="U63" s="253">
        <f t="shared" si="8"/>
        <v>0.50535580239860334</v>
      </c>
      <c r="V63" s="385">
        <f t="shared" si="9"/>
        <v>29.067245740800466</v>
      </c>
      <c r="W63" s="404">
        <f t="shared" si="10"/>
        <v>26.356802049993227</v>
      </c>
      <c r="X63" s="157">
        <f t="shared" si="11"/>
        <v>44975</v>
      </c>
      <c r="Y63" s="387">
        <f t="shared" si="12"/>
        <v>23.554877166030643</v>
      </c>
      <c r="Z63" s="387">
        <f t="shared" si="22"/>
        <v>24.48377162525173</v>
      </c>
      <c r="AA63" s="388">
        <f t="shared" si="13"/>
        <v>28.735340481032846</v>
      </c>
      <c r="AB63" s="199">
        <f t="shared" si="14"/>
        <v>44975</v>
      </c>
      <c r="AC63" s="119">
        <f>IF(OR(t&lt;Tnet,NoTnet),'2022'!Resal_s+('2022'!Salim-'2022'!Resal_s)*(1-EXP(('2022'!Tnet_s-t)/'2022'!Tau_j)),Resal_s+(Salim-Resal_s)*(1-EXP((Tnet_s-t)/Tau_j)))*Salcycl</f>
        <v>0.14795609812201177</v>
      </c>
      <c r="AD63" s="233">
        <f>(INDEX(Models!$BJ63:$BT63,,AH63)*(1-AF63)+INDEX(Models!$BJ63:$BT63,,AH63+1)*AF63-ERP_i)*AE63*Ramure*Pc/MaxiM</f>
        <v>3.3170828290279293E-2</v>
      </c>
      <c r="AE63" s="307">
        <f t="shared" si="15"/>
        <v>0.9</v>
      </c>
      <c r="AF63" s="179">
        <f t="shared" si="23"/>
        <v>0.50535580239860334</v>
      </c>
      <c r="AG63" s="839">
        <f t="shared" si="24"/>
        <v>0</v>
      </c>
      <c r="AH63" s="178">
        <f t="shared" si="16"/>
        <v>6</v>
      </c>
      <c r="AI63" s="227">
        <f t="shared" si="17"/>
        <v>0.50535580239860334</v>
      </c>
      <c r="AJ63" s="267" t="b">
        <f t="shared" si="18"/>
        <v>0</v>
      </c>
      <c r="AK63" s="267" t="b">
        <f t="shared" si="19"/>
        <v>0</v>
      </c>
      <c r="AL63" s="267"/>
      <c r="AM63" s="267"/>
      <c r="AN63" s="75"/>
    </row>
    <row r="64" spans="1:40" s="6" customFormat="1" ht="11.25" x14ac:dyDescent="0.2">
      <c r="A64" s="56">
        <f t="shared" si="20"/>
        <v>44976</v>
      </c>
      <c r="B64" s="413">
        <f>'2022'!Wh/'2022'!Env_an*'2023'!Env_an</f>
        <v>15.912202895703341</v>
      </c>
      <c r="C64" s="868"/>
      <c r="D64" s="395">
        <f t="shared" si="0"/>
        <v>16.540090850978167</v>
      </c>
      <c r="E64" s="387">
        <f t="shared" si="1"/>
        <v>17.352061071052756</v>
      </c>
      <c r="F64" s="387">
        <f t="shared" si="2"/>
        <v>17.543307986916258</v>
      </c>
      <c r="G64" s="110">
        <f t="shared" si="21"/>
        <v>0.52876965141806198</v>
      </c>
      <c r="H64" s="416" t="b">
        <f>Wh_hp&gt;='2022'!Maxi_hp</f>
        <v>0</v>
      </c>
      <c r="I64" s="392">
        <f>IF(H64,Wh_hp,'2022'!Maxi_hp)</f>
        <v>32.195162026357977</v>
      </c>
      <c r="J64" s="85">
        <f>IF(H64,An,'2022'!An_max)</f>
        <v>2021</v>
      </c>
      <c r="K64" s="199">
        <f t="shared" si="3"/>
        <v>44976</v>
      </c>
      <c r="L64" s="147">
        <f>IF(t&lt;Tvie,1-EXP((T0-t)*PertePVj)+'2022'!Pspv,1-EXP((T0-t)*PertePVj)+Pspv)</f>
        <v>3.7961578381396355E-2</v>
      </c>
      <c r="M64" s="872"/>
      <c r="N64" s="872"/>
      <c r="O64" s="48">
        <f>IF(t&lt;Tnet,'2022'!Resal+('2022'!Salim-'2022'!Resal)*(1-EXP(('2022'!Tnet-t)/('2022'!Tau_j))),Resal+(Salim-Resal)*(1-EXP((Tnet-t)/(Tau_j))))*Salcycl</f>
        <v>4.6793877496728281E-2</v>
      </c>
      <c r="P64" s="171">
        <f>(INDEX(Models!$BJ64:$BT64,,T64)*(1-R64)+INDEX(Models!$BJ64:$BT64,,T64+1)*R64-ERP_i)*Q64*Ramure*Pc/MaxiM</f>
        <v>3.1773510711694465E-2</v>
      </c>
      <c r="Q64" s="307">
        <f t="shared" si="4"/>
        <v>0.9</v>
      </c>
      <c r="R64" s="179">
        <f t="shared" si="5"/>
        <v>0.50560355909060983</v>
      </c>
      <c r="S64" s="839">
        <f t="shared" si="6"/>
        <v>0</v>
      </c>
      <c r="T64" s="178">
        <f t="shared" si="7"/>
        <v>6</v>
      </c>
      <c r="U64" s="253">
        <f t="shared" si="8"/>
        <v>0.50560355909060983</v>
      </c>
      <c r="V64" s="385">
        <f t="shared" si="9"/>
        <v>29.457858199499391</v>
      </c>
      <c r="W64" s="404">
        <f t="shared" si="10"/>
        <v>15.912202895703341</v>
      </c>
      <c r="X64" s="157">
        <f t="shared" si="11"/>
        <v>44976</v>
      </c>
      <c r="Y64" s="387">
        <f t="shared" si="12"/>
        <v>14.22209411504198</v>
      </c>
      <c r="Z64" s="387">
        <f t="shared" si="22"/>
        <v>14.783291181981786</v>
      </c>
      <c r="AA64" s="388">
        <f t="shared" si="13"/>
        <v>17.352061071052756</v>
      </c>
      <c r="AB64" s="199">
        <f t="shared" si="14"/>
        <v>44976</v>
      </c>
      <c r="AC64" s="119">
        <f>IF(OR(t&lt;Tnet,NoTnet),'2022'!Resal_s+('2022'!Salim-'2022'!Resal_s)*(1-EXP(('2022'!Tnet_s-t)/'2022'!Tau_j)),Resal_s+(Salim-Resal_s)*(1-EXP((Tnet_s-t)/Tau_j)))*Salcycl</f>
        <v>0.14803831536509932</v>
      </c>
      <c r="AD64" s="233">
        <f>(INDEX(Models!$BJ64:$BT64,,AH64)*(1-AF64)+INDEX(Models!$BJ64:$BT64,,AH64+1)*AF64-ERP_i)*AE64*Ramure*Pc/MaxiM</f>
        <v>3.1773510711694465E-2</v>
      </c>
      <c r="AE64" s="307">
        <f t="shared" si="15"/>
        <v>0.9</v>
      </c>
      <c r="AF64" s="179">
        <f t="shared" si="23"/>
        <v>0.50560355909060983</v>
      </c>
      <c r="AG64" s="839">
        <f t="shared" si="24"/>
        <v>0</v>
      </c>
      <c r="AH64" s="178">
        <f t="shared" si="16"/>
        <v>6</v>
      </c>
      <c r="AI64" s="227">
        <f t="shared" si="17"/>
        <v>0.50560355909060983</v>
      </c>
      <c r="AJ64" s="267" t="b">
        <f t="shared" si="18"/>
        <v>0</v>
      </c>
      <c r="AK64" s="267" t="b">
        <f t="shared" si="19"/>
        <v>0</v>
      </c>
      <c r="AL64" s="267"/>
      <c r="AM64" s="267"/>
      <c r="AN64" s="75"/>
    </row>
    <row r="65" spans="1:40" s="6" customFormat="1" ht="11.25" x14ac:dyDescent="0.2">
      <c r="A65" s="56">
        <f t="shared" si="20"/>
        <v>44977</v>
      </c>
      <c r="B65" s="413">
        <f>'2022'!Wh/'2022'!Env_an*'2023'!Env_an</f>
        <v>19.044672313176058</v>
      </c>
      <c r="C65" s="868"/>
      <c r="D65" s="395">
        <f t="shared" si="0"/>
        <v>19.796626717667323</v>
      </c>
      <c r="E65" s="387">
        <f t="shared" si="1"/>
        <v>20.77262167373479</v>
      </c>
      <c r="F65" s="387">
        <f t="shared" si="2"/>
        <v>21.082208853319315</v>
      </c>
      <c r="G65" s="110">
        <f t="shared" si="21"/>
        <v>0.62776532459819978</v>
      </c>
      <c r="H65" s="416" t="b">
        <f>Wh_hp&gt;='2022'!Maxi_hp</f>
        <v>0</v>
      </c>
      <c r="I65" s="392">
        <f>IF(H65,Wh_hp,'2022'!Maxi_hp)</f>
        <v>33.58083461156118</v>
      </c>
      <c r="J65" s="85">
        <f>IF(H65,An,'2022'!An_max)</f>
        <v>2020</v>
      </c>
      <c r="K65" s="199">
        <f t="shared" si="3"/>
        <v>44977</v>
      </c>
      <c r="L65" s="147">
        <f>IF(t&lt;Tvie,1-EXP((T0-t)*PertePVj)+'2022'!Pspv,1-EXP((T0-t)*PertePVj)+Pspv)</f>
        <v>3.7983966420915061E-2</v>
      </c>
      <c r="M65" s="872"/>
      <c r="N65" s="872"/>
      <c r="O65" s="48">
        <f>IF(t&lt;Tnet,'2022'!Resal+('2022'!Salim-'2022'!Resal)*(1-EXP(('2022'!Tnet-t)/('2022'!Tau_j))),Resal+(Salim-Resal)*(1-EXP((Tnet-t)/(Tau_j))))*Salcycl</f>
        <v>4.6984678746714553E-2</v>
      </c>
      <c r="P65" s="171">
        <f>(INDEX(Models!$BJ65:$BT65,,T65)*(1-R65)+INDEX(Models!$BJ65:$BT65,,T65+1)*R65-ERP_i)*Q65*Ramure*Pc/MaxiM</f>
        <v>3.0416628994420634E-2</v>
      </c>
      <c r="Q65" s="307">
        <f t="shared" si="4"/>
        <v>0.9</v>
      </c>
      <c r="R65" s="179">
        <f t="shared" si="5"/>
        <v>0.5058614903811588</v>
      </c>
      <c r="S65" s="839">
        <f t="shared" si="6"/>
        <v>0</v>
      </c>
      <c r="T65" s="178">
        <f t="shared" si="7"/>
        <v>6</v>
      </c>
      <c r="U65" s="253">
        <f t="shared" si="8"/>
        <v>0.5058614903811588</v>
      </c>
      <c r="V65" s="385">
        <f t="shared" si="9"/>
        <v>29.85287342920174</v>
      </c>
      <c r="W65" s="404">
        <f t="shared" si="10"/>
        <v>19.044672313176058</v>
      </c>
      <c r="X65" s="157">
        <f t="shared" si="11"/>
        <v>44977</v>
      </c>
      <c r="Y65" s="387">
        <f t="shared" si="12"/>
        <v>17.023616884953356</v>
      </c>
      <c r="Z65" s="387">
        <f t="shared" si="22"/>
        <v>17.695772513914019</v>
      </c>
      <c r="AA65" s="388">
        <f t="shared" si="13"/>
        <v>20.77262167373479</v>
      </c>
      <c r="AB65" s="199">
        <f t="shared" si="14"/>
        <v>44977</v>
      </c>
      <c r="AC65" s="119">
        <f>IF(OR(t&lt;Tnet,NoTnet),'2022'!Resal_s+('2022'!Salim-'2022'!Resal_s)*(1-EXP(('2022'!Tnet_s-t)/'2022'!Tau_j)),Resal_s+(Salim-Resal_s)*(1-EXP((Tnet_s-t)/Tau_j)))*Salcycl</f>
        <v>0.14812040618402941</v>
      </c>
      <c r="AD65" s="233">
        <f>(INDEX(Models!$BJ65:$BT65,,AH65)*(1-AF65)+INDEX(Models!$BJ65:$BT65,,AH65+1)*AF65-ERP_i)*AE65*Ramure*Pc/MaxiM</f>
        <v>3.0416628994420634E-2</v>
      </c>
      <c r="AE65" s="307">
        <f t="shared" si="15"/>
        <v>0.9</v>
      </c>
      <c r="AF65" s="179">
        <f t="shared" si="23"/>
        <v>0.5058614903811588</v>
      </c>
      <c r="AG65" s="839">
        <f t="shared" si="24"/>
        <v>0</v>
      </c>
      <c r="AH65" s="178">
        <f t="shared" si="16"/>
        <v>6</v>
      </c>
      <c r="AI65" s="227">
        <f t="shared" si="17"/>
        <v>0.5058614903811588</v>
      </c>
      <c r="AJ65" s="267" t="b">
        <f t="shared" si="18"/>
        <v>0</v>
      </c>
      <c r="AK65" s="267" t="b">
        <f t="shared" si="19"/>
        <v>0</v>
      </c>
      <c r="AL65" s="267"/>
      <c r="AM65" s="267"/>
      <c r="AN65" s="75"/>
    </row>
    <row r="66" spans="1:40" s="6" customFormat="1" ht="11.25" x14ac:dyDescent="0.2">
      <c r="A66" s="56">
        <f t="shared" si="20"/>
        <v>44978</v>
      </c>
      <c r="B66" s="413">
        <f>'2022'!Wh/'2022'!Env_an*'2023'!Env_an</f>
        <v>19.555207467661116</v>
      </c>
      <c r="C66" s="868"/>
      <c r="D66" s="395">
        <f t="shared" si="0"/>
        <v>20.327792753872192</v>
      </c>
      <c r="E66" s="387">
        <f t="shared" si="1"/>
        <v>21.334241187350237</v>
      </c>
      <c r="F66" s="387">
        <f t="shared" si="2"/>
        <v>21.645962253401638</v>
      </c>
      <c r="G66" s="110">
        <f t="shared" si="21"/>
        <v>0.63675619886383839</v>
      </c>
      <c r="H66" s="416" t="b">
        <f>Wh_hp&gt;='2022'!Maxi_hp</f>
        <v>0</v>
      </c>
      <c r="I66" s="392">
        <f>IF(H66,Wh_hp,'2022'!Maxi_hp)</f>
        <v>33.349979242504801</v>
      </c>
      <c r="J66" s="85">
        <f>IF(H66,An,'2022'!An_max)</f>
        <v>2019</v>
      </c>
      <c r="K66" s="199">
        <f t="shared" si="3"/>
        <v>44978</v>
      </c>
      <c r="L66" s="147">
        <f>IF(t&lt;Tvie,1-EXP((T0-t)*PertePVj)+'2022'!Pspv,1-EXP((T0-t)*PertePVj)+Pspv)</f>
        <v>3.8006353939431414E-2</v>
      </c>
      <c r="M66" s="872"/>
      <c r="N66" s="872"/>
      <c r="O66" s="48">
        <f>IF(t&lt;Tnet,'2022'!Resal+('2022'!Salim-'2022'!Resal)*(1-EXP(('2022'!Tnet-t)/('2022'!Tau_j))),Resal+(Salim-Resal)*(1-EXP((Tnet-t)/(Tau_j))))*Salcycl</f>
        <v>4.717526274498117E-2</v>
      </c>
      <c r="P66" s="171">
        <f>(INDEX(Models!$BJ66:$BT66,,T66)*(1-R66)+INDEX(Models!$BJ66:$BT66,,T66+1)*R66-ERP_i)*Q66*Ramure*Pc/MaxiM</f>
        <v>2.9101322086050461E-2</v>
      </c>
      <c r="Q66" s="307">
        <f t="shared" si="4"/>
        <v>0.9</v>
      </c>
      <c r="R66" s="179">
        <f t="shared" si="5"/>
        <v>0.50613000463921054</v>
      </c>
      <c r="S66" s="839">
        <f t="shared" si="6"/>
        <v>0</v>
      </c>
      <c r="T66" s="178">
        <f t="shared" si="7"/>
        <v>6</v>
      </c>
      <c r="U66" s="253">
        <f t="shared" si="8"/>
        <v>0.50613000463921054</v>
      </c>
      <c r="V66" s="385">
        <f t="shared" si="9"/>
        <v>30.252610246620929</v>
      </c>
      <c r="W66" s="404">
        <f t="shared" si="10"/>
        <v>19.555207467661116</v>
      </c>
      <c r="X66" s="157">
        <f t="shared" si="11"/>
        <v>44978</v>
      </c>
      <c r="Y66" s="387">
        <f t="shared" si="12"/>
        <v>17.481787512707374</v>
      </c>
      <c r="Z66" s="387">
        <f t="shared" si="22"/>
        <v>18.172456319536536</v>
      </c>
      <c r="AA66" s="388">
        <f t="shared" si="13"/>
        <v>21.334241187350237</v>
      </c>
      <c r="AB66" s="199">
        <f t="shared" si="14"/>
        <v>44978</v>
      </c>
      <c r="AC66" s="119">
        <f>IF(OR(t&lt;Tnet,NoTnet),'2022'!Resal_s+('2022'!Salim-'2022'!Resal_s)*(1-EXP(('2022'!Tnet_s-t)/'2022'!Tau_j)),Resal_s+(Salim-Resal_s)*(1-EXP((Tnet_s-t)/Tau_j)))*Salcycl</f>
        <v>0.14820235883001198</v>
      </c>
      <c r="AD66" s="233">
        <f>(INDEX(Models!$BJ66:$BT66,,AH66)*(1-AF66)+INDEX(Models!$BJ66:$BT66,,AH66+1)*AF66-ERP_i)*AE66*Ramure*Pc/MaxiM</f>
        <v>2.9101322086050461E-2</v>
      </c>
      <c r="AE66" s="307">
        <f t="shared" si="15"/>
        <v>0.9</v>
      </c>
      <c r="AF66" s="179">
        <f t="shared" si="23"/>
        <v>0.50613000463921054</v>
      </c>
      <c r="AG66" s="839">
        <f t="shared" si="24"/>
        <v>0</v>
      </c>
      <c r="AH66" s="178">
        <f t="shared" si="16"/>
        <v>6</v>
      </c>
      <c r="AI66" s="227">
        <f t="shared" si="17"/>
        <v>0.50613000463921054</v>
      </c>
      <c r="AJ66" s="267" t="b">
        <f t="shared" si="18"/>
        <v>0</v>
      </c>
      <c r="AK66" s="267" t="b">
        <f t="shared" si="19"/>
        <v>0</v>
      </c>
      <c r="AL66" s="267"/>
      <c r="AM66" s="267"/>
      <c r="AN66" s="75"/>
    </row>
    <row r="67" spans="1:40" s="6" customFormat="1" ht="11.25" x14ac:dyDescent="0.2">
      <c r="A67" s="56">
        <f t="shared" si="20"/>
        <v>44979</v>
      </c>
      <c r="B67" s="413">
        <f>'2022'!Wh/'2022'!Env_an*'2023'!Env_an</f>
        <v>28.91149775518706</v>
      </c>
      <c r="C67" s="868"/>
      <c r="D67" s="395">
        <f t="shared" si="0"/>
        <v>30.054429883224145</v>
      </c>
      <c r="E67" s="387">
        <f t="shared" si="1"/>
        <v>31.548756504143135</v>
      </c>
      <c r="F67" s="387">
        <f t="shared" si="2"/>
        <v>32.376374010582843</v>
      </c>
      <c r="G67" s="110">
        <f t="shared" si="21"/>
        <v>0.94088225692090166</v>
      </c>
      <c r="H67" s="416" t="b">
        <f>Wh_hp&gt;='2022'!Maxi_hp</f>
        <v>0</v>
      </c>
      <c r="I67" s="392">
        <f>IF(H67,Wh_hp,'2022'!Maxi_hp)</f>
        <v>33.437622553718462</v>
      </c>
      <c r="J67" s="85">
        <f>IF(H67,An,'2022'!An_max)</f>
        <v>2020</v>
      </c>
      <c r="K67" s="199">
        <f t="shared" si="3"/>
        <v>44979</v>
      </c>
      <c r="L67" s="147">
        <f>IF(t&lt;Tvie,1-EXP((T0-t)*PertePVj)+'2022'!Pspv,1-EXP((T0-t)*PertePVj)+Pspv)</f>
        <v>3.8028740936957517E-2</v>
      </c>
      <c r="M67" s="872"/>
      <c r="N67" s="872"/>
      <c r="O67" s="48">
        <f>IF(t&lt;Tnet,'2022'!Resal+('2022'!Salim-'2022'!Resal)*(1-EXP(('2022'!Tnet-t)/('2022'!Tau_j))),Resal+(Salim-Resal)*(1-EXP((Tnet-t)/(Tau_j))))*Salcycl</f>
        <v>4.7365626620584834E-2</v>
      </c>
      <c r="P67" s="171">
        <f>(INDEX(Models!$BJ67:$BT67,,T67)*(1-R67)+INDEX(Models!$BJ67:$BT67,,T67+1)*R67-ERP_i)*Q67*Ramure*Pc/MaxiM</f>
        <v>2.7825289117889906E-2</v>
      </c>
      <c r="Q67" s="307">
        <f t="shared" si="4"/>
        <v>0.9</v>
      </c>
      <c r="R67" s="179">
        <f t="shared" si="5"/>
        <v>0.50640952582290988</v>
      </c>
      <c r="S67" s="839">
        <f t="shared" si="6"/>
        <v>0</v>
      </c>
      <c r="T67" s="178">
        <f t="shared" si="7"/>
        <v>6</v>
      </c>
      <c r="U67" s="253">
        <f t="shared" si="8"/>
        <v>0.50640952582290988</v>
      </c>
      <c r="V67" s="385">
        <f t="shared" si="9"/>
        <v>30.656713405258763</v>
      </c>
      <c r="W67" s="404">
        <f t="shared" si="10"/>
        <v>28.91149775518706</v>
      </c>
      <c r="X67" s="157">
        <f t="shared" si="11"/>
        <v>44979</v>
      </c>
      <c r="Y67" s="387">
        <f t="shared" si="12"/>
        <v>25.848721356047491</v>
      </c>
      <c r="Z67" s="387">
        <f t="shared" si="22"/>
        <v>26.870575510981563</v>
      </c>
      <c r="AA67" s="388">
        <f t="shared" si="13"/>
        <v>31.548756504143139</v>
      </c>
      <c r="AB67" s="199">
        <f t="shared" si="14"/>
        <v>44979</v>
      </c>
      <c r="AC67" s="119">
        <f>IF(OR(t&lt;Tnet,NoTnet),'2022'!Resal_s+('2022'!Salim-'2022'!Resal_s)*(1-EXP(('2022'!Tnet_s-t)/'2022'!Tau_j)),Resal_s+(Salim-Resal_s)*(1-EXP((Tnet_s-t)/Tau_j)))*Salcycl</f>
        <v>0.14828416430762387</v>
      </c>
      <c r="AD67" s="233">
        <f>(INDEX(Models!$BJ67:$BT67,,AH67)*(1-AF67)+INDEX(Models!$BJ67:$BT67,,AH67+1)*AF67-ERP_i)*AE67*Ramure*Pc/MaxiM</f>
        <v>2.7825289117889906E-2</v>
      </c>
      <c r="AE67" s="307">
        <f t="shared" si="15"/>
        <v>0.9</v>
      </c>
      <c r="AF67" s="179">
        <f t="shared" si="23"/>
        <v>0.50640952582290988</v>
      </c>
      <c r="AG67" s="839">
        <f t="shared" si="24"/>
        <v>0</v>
      </c>
      <c r="AH67" s="178">
        <f t="shared" si="16"/>
        <v>6</v>
      </c>
      <c r="AI67" s="227">
        <f t="shared" si="17"/>
        <v>0.50640952582290988</v>
      </c>
      <c r="AJ67" s="267" t="b">
        <f t="shared" si="18"/>
        <v>0</v>
      </c>
      <c r="AK67" s="267" t="b">
        <f t="shared" si="19"/>
        <v>0</v>
      </c>
      <c r="AL67" s="267"/>
      <c r="AM67" s="267"/>
      <c r="AN67" s="75"/>
    </row>
    <row r="68" spans="1:40" s="6" customFormat="1" ht="11.25" x14ac:dyDescent="0.2">
      <c r="A68" s="56">
        <f t="shared" si="20"/>
        <v>44980</v>
      </c>
      <c r="B68" s="413">
        <f>'2022'!Wh/'2022'!Env_an*'2023'!Env_an</f>
        <v>30.616820584810267</v>
      </c>
      <c r="C68" s="868"/>
      <c r="D68" s="395">
        <f t="shared" si="0"/>
        <v>31.82790838195751</v>
      </c>
      <c r="E68" s="387">
        <f t="shared" si="1"/>
        <v>33.417083464721422</v>
      </c>
      <c r="F68" s="387">
        <f t="shared" si="2"/>
        <v>34.310535118930005</v>
      </c>
      <c r="G68" s="110">
        <f t="shared" si="21"/>
        <v>0.98502571350071988</v>
      </c>
      <c r="H68" s="416" t="b">
        <f>Wh_hp&gt;='2022'!Maxi_hp</f>
        <v>0</v>
      </c>
      <c r="I68" s="392">
        <f>IF(H68,Wh_hp,'2022'!Maxi_hp)</f>
        <v>34.318205709303783</v>
      </c>
      <c r="J68" s="85">
        <f>IF(H68,An,'2022'!An_max)</f>
        <v>2022</v>
      </c>
      <c r="K68" s="199">
        <f t="shared" si="3"/>
        <v>44980</v>
      </c>
      <c r="L68" s="147">
        <f>IF(t&lt;Tvie,1-EXP((T0-t)*PertePVj)+'2022'!Pspv,1-EXP((T0-t)*PertePVj)+Pspv)</f>
        <v>3.805112741350547E-2</v>
      </c>
      <c r="M68" s="872"/>
      <c r="N68" s="872"/>
      <c r="O68" s="48">
        <f>IF(t&lt;Tnet,'2022'!Resal+('2022'!Salim-'2022'!Resal)*(1-EXP(('2022'!Tnet-t)/('2022'!Tau_j))),Resal+(Salim-Resal)*(1-EXP((Tnet-t)/(Tau_j))))*Salcycl</f>
        <v>4.7555768427296058E-2</v>
      </c>
      <c r="P68" s="171">
        <f>(INDEX(Models!$BJ68:$BT68,,T68)*(1-R68)+INDEX(Models!$BJ68:$BT68,,T68+1)*R68-ERP_i)*Q68*Ramure*Pc/MaxiM</f>
        <v>2.6587866628592589E-2</v>
      </c>
      <c r="Q68" s="307">
        <f t="shared" si="4"/>
        <v>0.9</v>
      </c>
      <c r="R68" s="179">
        <f t="shared" si="5"/>
        <v>0.50670049400656836</v>
      </c>
      <c r="S68" s="839">
        <f t="shared" si="6"/>
        <v>0</v>
      </c>
      <c r="T68" s="178">
        <f t="shared" si="7"/>
        <v>6</v>
      </c>
      <c r="U68" s="253">
        <f t="shared" si="8"/>
        <v>0.50670049400656836</v>
      </c>
      <c r="V68" s="385">
        <f t="shared" si="9"/>
        <v>31.064775904718839</v>
      </c>
      <c r="W68" s="404">
        <f t="shared" si="10"/>
        <v>30.616820584810267</v>
      </c>
      <c r="X68" s="157">
        <f t="shared" si="11"/>
        <v>44980</v>
      </c>
      <c r="Y68" s="387">
        <f t="shared" si="12"/>
        <v>27.37622858304141</v>
      </c>
      <c r="Z68" s="387">
        <f t="shared" si="22"/>
        <v>28.459130587088296</v>
      </c>
      <c r="AA68" s="388">
        <f t="shared" si="13"/>
        <v>33.417083464721422</v>
      </c>
      <c r="AB68" s="199">
        <f t="shared" si="14"/>
        <v>44980</v>
      </c>
      <c r="AC68" s="119">
        <f>IF(OR(t&lt;Tnet,NoTnet),'2022'!Resal_s+('2022'!Salim-'2022'!Resal_s)*(1-EXP(('2022'!Tnet_s-t)/'2022'!Tau_j)),Resal_s+(Salim-Resal_s)*(1-EXP((Tnet_s-t)/Tau_j)))*Salcycl</f>
        <v>0.14836581662990608</v>
      </c>
      <c r="AD68" s="233">
        <f>(INDEX(Models!$BJ68:$BT68,,AH68)*(1-AF68)+INDEX(Models!$BJ68:$BT68,,AH68+1)*AF68-ERP_i)*AE68*Ramure*Pc/MaxiM</f>
        <v>2.6587866628592589E-2</v>
      </c>
      <c r="AE68" s="307">
        <f t="shared" si="15"/>
        <v>0.9</v>
      </c>
      <c r="AF68" s="179">
        <f t="shared" si="23"/>
        <v>0.50670049400656836</v>
      </c>
      <c r="AG68" s="839">
        <f t="shared" si="24"/>
        <v>0</v>
      </c>
      <c r="AH68" s="178">
        <f t="shared" si="16"/>
        <v>6</v>
      </c>
      <c r="AI68" s="227">
        <f t="shared" si="17"/>
        <v>0.50670049400656836</v>
      </c>
      <c r="AJ68" s="267" t="b">
        <f t="shared" si="18"/>
        <v>0</v>
      </c>
      <c r="AK68" s="267" t="b">
        <f t="shared" si="19"/>
        <v>0</v>
      </c>
      <c r="AL68" s="267"/>
      <c r="AM68" s="267"/>
      <c r="AN68" s="75"/>
    </row>
    <row r="69" spans="1:40" s="6" customFormat="1" ht="11.25" x14ac:dyDescent="0.2">
      <c r="A69" s="56">
        <f t="shared" si="20"/>
        <v>44981</v>
      </c>
      <c r="B69" s="413">
        <f>'2022'!Wh/'2022'!Env_an*'2023'!Env_an</f>
        <v>18.432708173182938</v>
      </c>
      <c r="C69" s="868"/>
      <c r="D69" s="395">
        <f t="shared" si="0"/>
        <v>19.162283635355905</v>
      </c>
      <c r="E69" s="387">
        <f t="shared" si="1"/>
        <v>20.123073614369332</v>
      </c>
      <c r="F69" s="387">
        <f t="shared" si="2"/>
        <v>20.333703385250502</v>
      </c>
      <c r="G69" s="110">
        <f t="shared" si="21"/>
        <v>0.57671067702495282</v>
      </c>
      <c r="H69" s="416" t="b">
        <f>Wh_hp&gt;='2022'!Maxi_hp</f>
        <v>0</v>
      </c>
      <c r="I69" s="392">
        <f>IF(H69,Wh_hp,'2022'!Maxi_hp)</f>
        <v>35.33766783326174</v>
      </c>
      <c r="J69" s="85">
        <f>IF(H69,An,'2022'!An_max)</f>
        <v>2020</v>
      </c>
      <c r="K69" s="199">
        <f t="shared" si="3"/>
        <v>44981</v>
      </c>
      <c r="L69" s="147">
        <f>IF(t&lt;Tvie,1-EXP((T0-t)*PertePVj)+'2022'!Pspv,1-EXP((T0-t)*PertePVj)+Pspv)</f>
        <v>3.8073513369087375E-2</v>
      </c>
      <c r="M69" s="872"/>
      <c r="N69" s="872"/>
      <c r="O69" s="48">
        <f>IF(t&lt;Tnet,'2022'!Resal+('2022'!Salim-'2022'!Resal)*(1-EXP(('2022'!Tnet-t)/('2022'!Tau_j))),Resal+(Salim-Resal)*(1-EXP((Tnet-t)/(Tau_j))))*Salcycl</f>
        <v>4.7745687235738868E-2</v>
      </c>
      <c r="P69" s="171">
        <f>(INDEX(Models!$BJ69:$BT69,,T69)*(1-R69)+INDEX(Models!$BJ69:$BT69,,T69+1)*R69-ERP_i)*Q69*Ramure*Pc/MaxiM</f>
        <v>2.5388469738571274E-2</v>
      </c>
      <c r="Q69" s="307">
        <f t="shared" si="4"/>
        <v>0.9</v>
      </c>
      <c r="R69" s="179">
        <f t="shared" si="5"/>
        <v>0.50700336591952966</v>
      </c>
      <c r="S69" s="839">
        <f t="shared" si="6"/>
        <v>0</v>
      </c>
      <c r="T69" s="178">
        <f t="shared" si="7"/>
        <v>6</v>
      </c>
      <c r="U69" s="253">
        <f t="shared" si="8"/>
        <v>0.50700336591952966</v>
      </c>
      <c r="V69" s="385">
        <f t="shared" si="9"/>
        <v>31.476386449695529</v>
      </c>
      <c r="W69" s="404">
        <f t="shared" si="10"/>
        <v>18.432708173182938</v>
      </c>
      <c r="X69" s="157">
        <f t="shared" si="11"/>
        <v>44981</v>
      </c>
      <c r="Y69" s="387">
        <f t="shared" si="12"/>
        <v>16.483435109920645</v>
      </c>
      <c r="Z69" s="387">
        <f t="shared" si="22"/>
        <v>17.135857405957129</v>
      </c>
      <c r="AA69" s="388">
        <f t="shared" si="13"/>
        <v>20.123073614369332</v>
      </c>
      <c r="AB69" s="199">
        <f t="shared" si="14"/>
        <v>44981</v>
      </c>
      <c r="AC69" s="119">
        <f>IF(OR(t&lt;Tnet,NoTnet),'2022'!Resal_s+('2022'!Salim-'2022'!Resal_s)*(1-EXP(('2022'!Tnet_s-t)/'2022'!Tau_j)),Resal_s+(Salim-Resal_s)*(1-EXP((Tnet_s-t)/Tau_j)))*Salcycl</f>
        <v>0.14844731305257031</v>
      </c>
      <c r="AD69" s="233">
        <f>(INDEX(Models!$BJ69:$BT69,,AH69)*(1-AF69)+INDEX(Models!$BJ69:$BT69,,AH69+1)*AF69-ERP_i)*AE69*Ramure*Pc/MaxiM</f>
        <v>2.5388469738571274E-2</v>
      </c>
      <c r="AE69" s="307">
        <f t="shared" si="15"/>
        <v>0.9</v>
      </c>
      <c r="AF69" s="179">
        <f t="shared" si="23"/>
        <v>0.50700336591952966</v>
      </c>
      <c r="AG69" s="839">
        <f t="shared" si="24"/>
        <v>0</v>
      </c>
      <c r="AH69" s="178">
        <f t="shared" si="16"/>
        <v>6</v>
      </c>
      <c r="AI69" s="227">
        <f t="shared" si="17"/>
        <v>0.50700336591952966</v>
      </c>
      <c r="AJ69" s="267" t="b">
        <f t="shared" si="18"/>
        <v>0</v>
      </c>
      <c r="AK69" s="267" t="b">
        <f t="shared" si="19"/>
        <v>0</v>
      </c>
      <c r="AL69" s="267"/>
      <c r="AM69" s="267"/>
      <c r="AN69" s="75"/>
    </row>
    <row r="70" spans="1:40" s="6" customFormat="1" ht="11.25" x14ac:dyDescent="0.2">
      <c r="A70" s="56">
        <f t="shared" si="20"/>
        <v>44982</v>
      </c>
      <c r="B70" s="413">
        <f>'2022'!Wh/'2022'!Env_an*'2023'!Env_an</f>
        <v>27.287101218976474</v>
      </c>
      <c r="C70" s="868"/>
      <c r="D70" s="395">
        <f t="shared" si="0"/>
        <v>28.367797980111028</v>
      </c>
      <c r="E70" s="387">
        <f t="shared" si="1"/>
        <v>29.796084719587917</v>
      </c>
      <c r="F70" s="387">
        <f t="shared" si="2"/>
        <v>30.380298355299566</v>
      </c>
      <c r="G70" s="110">
        <f t="shared" si="21"/>
        <v>0.85127389085535721</v>
      </c>
      <c r="H70" s="416" t="b">
        <f>Wh_hp&gt;='2022'!Maxi_hp</f>
        <v>0</v>
      </c>
      <c r="I70" s="392">
        <f>IF(H70,Wh_hp,'2022'!Maxi_hp)</f>
        <v>35.142931851813223</v>
      </c>
      <c r="J70" s="85">
        <f>IF(H70,An,'2022'!An_max)</f>
        <v>2019</v>
      </c>
      <c r="K70" s="199">
        <f t="shared" si="3"/>
        <v>44982</v>
      </c>
      <c r="L70" s="147">
        <f>IF(t&lt;Tvie,1-EXP((T0-t)*PertePVj)+'2022'!Pspv,1-EXP((T0-t)*PertePVj)+Pspv)</f>
        <v>3.8095898803715444E-2</v>
      </c>
      <c r="M70" s="872"/>
      <c r="N70" s="872"/>
      <c r="O70" s="48">
        <f>IF(t&lt;Tnet,'2022'!Resal+('2022'!Salim-'2022'!Resal)*(1-EXP(('2022'!Tnet-t)/('2022'!Tau_j))),Resal+(Salim-Resal)*(1-EXP((Tnet-t)/(Tau_j))))*Salcycl</f>
        <v>4.793538321959246E-2</v>
      </c>
      <c r="P70" s="171">
        <f>(INDEX(Models!$BJ70:$BT70,,T70)*(1-R70)+INDEX(Models!$BJ70:$BT70,,T70+1)*R70-ERP_i)*Q70*Ramure*Pc/MaxiM</f>
        <v>2.422645105514256E-2</v>
      </c>
      <c r="Q70" s="307">
        <f t="shared" si="4"/>
        <v>0.9</v>
      </c>
      <c r="R70" s="179">
        <f t="shared" si="5"/>
        <v>0.50731861549662283</v>
      </c>
      <c r="S70" s="839">
        <f t="shared" si="6"/>
        <v>0</v>
      </c>
      <c r="T70" s="178">
        <f t="shared" si="7"/>
        <v>6</v>
      </c>
      <c r="U70" s="253">
        <f t="shared" si="8"/>
        <v>0.50731861549662283</v>
      </c>
      <c r="V70" s="385">
        <f t="shared" si="9"/>
        <v>31.891134100132138</v>
      </c>
      <c r="W70" s="404">
        <f t="shared" si="10"/>
        <v>27.287101218976474</v>
      </c>
      <c r="X70" s="157">
        <f t="shared" si="11"/>
        <v>44982</v>
      </c>
      <c r="Y70" s="387">
        <f t="shared" si="12"/>
        <v>24.403999882008776</v>
      </c>
      <c r="Z70" s="387">
        <f t="shared" si="22"/>
        <v>25.370512353215279</v>
      </c>
      <c r="AA70" s="388">
        <f t="shared" si="13"/>
        <v>29.796084719587917</v>
      </c>
      <c r="AB70" s="199">
        <f t="shared" si="14"/>
        <v>44982</v>
      </c>
      <c r="AC70" s="119">
        <f>IF(OR(t&lt;Tnet,NoTnet),'2022'!Resal_s+('2022'!Salim-'2022'!Resal_s)*(1-EXP(('2022'!Tnet_s-t)/'2022'!Tau_j)),Resal_s+(Salim-Resal_s)*(1-EXP((Tnet_s-t)/Tau_j)))*Salcycl</f>
        <v>0.14852865428534875</v>
      </c>
      <c r="AD70" s="233">
        <f>(INDEX(Models!$BJ70:$BT70,,AH70)*(1-AF70)+INDEX(Models!$BJ70:$BT70,,AH70+1)*AF70-ERP_i)*AE70*Ramure*Pc/MaxiM</f>
        <v>2.422645105514256E-2</v>
      </c>
      <c r="AE70" s="307">
        <f t="shared" si="15"/>
        <v>0.9</v>
      </c>
      <c r="AF70" s="179">
        <f t="shared" si="23"/>
        <v>0.50731861549662283</v>
      </c>
      <c r="AG70" s="839">
        <f t="shared" si="24"/>
        <v>0</v>
      </c>
      <c r="AH70" s="178">
        <f t="shared" si="16"/>
        <v>6</v>
      </c>
      <c r="AI70" s="227">
        <f t="shared" si="17"/>
        <v>0.50731861549662283</v>
      </c>
      <c r="AJ70" s="267" t="b">
        <f t="shared" si="18"/>
        <v>0</v>
      </c>
      <c r="AK70" s="267" t="b">
        <f t="shared" si="19"/>
        <v>0</v>
      </c>
      <c r="AL70" s="267"/>
      <c r="AM70" s="267"/>
      <c r="AN70" s="75"/>
    </row>
    <row r="71" spans="1:40" s="6" customFormat="1" ht="11.25" x14ac:dyDescent="0.2">
      <c r="A71" s="56">
        <f t="shared" si="20"/>
        <v>44983</v>
      </c>
      <c r="B71" s="413">
        <f>'2022'!Wh/'2022'!Env_an*'2023'!Env_an</f>
        <v>33.307569492095645</v>
      </c>
      <c r="C71" s="868"/>
      <c r="D71" s="395">
        <f t="shared" si="0"/>
        <v>34.627510772135281</v>
      </c>
      <c r="E71" s="387">
        <f t="shared" si="1"/>
        <v>36.378206798995748</v>
      </c>
      <c r="F71" s="387">
        <f t="shared" si="2"/>
        <v>37.238456464048674</v>
      </c>
      <c r="G71" s="110">
        <f t="shared" si="21"/>
        <v>1.0309193519733113</v>
      </c>
      <c r="H71" s="416" t="b">
        <f>Wh_hp&gt;='2022'!Maxi_hp</f>
        <v>1</v>
      </c>
      <c r="I71" s="392">
        <f>IF(H71,Wh_hp,'2022'!Maxi_hp)</f>
        <v>37.238456464048674</v>
      </c>
      <c r="J71" s="85">
        <f>IF(H71,An,'2022'!An_max)</f>
        <v>2023</v>
      </c>
      <c r="K71" s="199">
        <f t="shared" si="3"/>
        <v>44983</v>
      </c>
      <c r="L71" s="147">
        <f>IF(t&lt;Tvie,1-EXP((T0-t)*PertePVj)+'2022'!Pspv,1-EXP((T0-t)*PertePVj)+Pspv)</f>
        <v>3.811828371740178E-2</v>
      </c>
      <c r="M71" s="872"/>
      <c r="N71" s="872"/>
      <c r="O71" s="48">
        <f>IF(t&lt;Tnet,'2022'!Resal+('2022'!Salim-'2022'!Resal)*(1-EXP(('2022'!Tnet-t)/('2022'!Tau_j))),Resal+(Salim-Resal)*(1-EXP((Tnet-t)/(Tau_j))))*Salcycl</f>
        <v>4.8124857735120652E-2</v>
      </c>
      <c r="P71" s="171">
        <f>(INDEX(Models!$BJ71:$BT71,,T71)*(1-R71)+INDEX(Models!$BJ71:$BT71,,T71+1)*R71-ERP_i)*Q71*Ramure*Pc/MaxiM</f>
        <v>2.3101109625299394E-2</v>
      </c>
      <c r="Q71" s="307">
        <f t="shared" si="4"/>
        <v>0.9</v>
      </c>
      <c r="R71" s="179">
        <f t="shared" si="5"/>
        <v>0.50764673443983832</v>
      </c>
      <c r="S71" s="839">
        <f t="shared" si="6"/>
        <v>0</v>
      </c>
      <c r="T71" s="178">
        <f t="shared" si="7"/>
        <v>6</v>
      </c>
      <c r="U71" s="253">
        <f t="shared" si="8"/>
        <v>0.50764673443983832</v>
      </c>
      <c r="V71" s="385">
        <f t="shared" si="9"/>
        <v>32.308608261490768</v>
      </c>
      <c r="W71" s="404">
        <f t="shared" si="10"/>
        <v>33.307569492095645</v>
      </c>
      <c r="X71" s="157">
        <f t="shared" si="11"/>
        <v>44983</v>
      </c>
      <c r="Y71" s="387">
        <f t="shared" si="12"/>
        <v>29.791445856830645</v>
      </c>
      <c r="Z71" s="387">
        <f t="shared" si="22"/>
        <v>30.972047136903889</v>
      </c>
      <c r="AA71" s="388">
        <f t="shared" si="13"/>
        <v>36.378206798995748</v>
      </c>
      <c r="AB71" s="199">
        <f t="shared" si="14"/>
        <v>44983</v>
      </c>
      <c r="AC71" s="119">
        <f>IF(OR(t&lt;Tnet,NoTnet),'2022'!Resal_s+('2022'!Salim-'2022'!Resal_s)*(1-EXP(('2022'!Tnet_s-t)/'2022'!Tau_j)),Resal_s+(Salim-Resal_s)*(1-EXP((Tnet_s-t)/Tau_j)))*Salcycl</f>
        <v>0.14860984467879546</v>
      </c>
      <c r="AD71" s="233">
        <f>(INDEX(Models!$BJ71:$BT71,,AH71)*(1-AF71)+INDEX(Models!$BJ71:$BT71,,AH71+1)*AF71-ERP_i)*AE71*Ramure*Pc/MaxiM</f>
        <v>2.3101109625299394E-2</v>
      </c>
      <c r="AE71" s="307">
        <f t="shared" si="15"/>
        <v>0.9</v>
      </c>
      <c r="AF71" s="179">
        <f t="shared" si="23"/>
        <v>0.50764673443983832</v>
      </c>
      <c r="AG71" s="839">
        <f t="shared" si="24"/>
        <v>0</v>
      </c>
      <c r="AH71" s="178">
        <f t="shared" si="16"/>
        <v>6</v>
      </c>
      <c r="AI71" s="227">
        <f t="shared" si="17"/>
        <v>0.50764673443983832</v>
      </c>
      <c r="AJ71" s="267" t="b">
        <f t="shared" si="18"/>
        <v>0</v>
      </c>
      <c r="AK71" s="267" t="b">
        <f t="shared" si="19"/>
        <v>0</v>
      </c>
      <c r="AL71" s="267"/>
      <c r="AM71" s="267"/>
      <c r="AN71" s="75"/>
    </row>
    <row r="72" spans="1:40" s="6" customFormat="1" ht="11.25" x14ac:dyDescent="0.2">
      <c r="A72" s="56">
        <f t="shared" si="20"/>
        <v>44984</v>
      </c>
      <c r="B72" s="413">
        <f>'2022'!Wh/'2022'!Env_an*'2023'!Env_an</f>
        <v>25.43652642860631</v>
      </c>
      <c r="C72" s="868"/>
      <c r="D72" s="395">
        <f t="shared" si="0"/>
        <v>26.445162598390702</v>
      </c>
      <c r="E72" s="387">
        <f t="shared" si="1"/>
        <v>27.787700722015344</v>
      </c>
      <c r="F72" s="387">
        <f t="shared" si="2"/>
        <v>28.211467515613634</v>
      </c>
      <c r="G72" s="110">
        <f t="shared" si="21"/>
        <v>0.77168449136285922</v>
      </c>
      <c r="H72" s="416" t="b">
        <f>Wh_hp&gt;='2022'!Maxi_hp</f>
        <v>0</v>
      </c>
      <c r="I72" s="392">
        <f>IF(H72,Wh_hp,'2022'!Maxi_hp)</f>
        <v>35.739850450809598</v>
      </c>
      <c r="J72" s="85">
        <f>IF(H72,An,'2022'!An_max)</f>
        <v>2019</v>
      </c>
      <c r="K72" s="199">
        <f t="shared" si="3"/>
        <v>44984</v>
      </c>
      <c r="L72" s="147">
        <f>IF(t&lt;Tvie,1-EXP((T0-t)*PertePVj)+'2022'!Pspv,1-EXP((T0-t)*PertePVj)+Pspv)</f>
        <v>3.8140668110158371E-2</v>
      </c>
      <c r="M72" s="872"/>
      <c r="N72" s="872"/>
      <c r="O72" s="48">
        <f>IF(t&lt;Tnet,'2022'!Resal+('2022'!Salim-'2022'!Resal)*(1-EXP(('2022'!Tnet-t)/('2022'!Tau_j))),Resal+(Salim-Resal)*(1-EXP((Tnet-t)/(Tau_j))))*Salcycl</f>
        <v>4.8314113393375858E-2</v>
      </c>
      <c r="P72" s="171">
        <f>(INDEX(Models!$BJ72:$BT72,,T72)*(1-R72)+INDEX(Models!$BJ72:$BT72,,T72+1)*R72-ERP_i)*Q72*Ramure*Pc/MaxiM</f>
        <v>2.2033459673271246E-2</v>
      </c>
      <c r="Q72" s="307">
        <f t="shared" si="4"/>
        <v>0.9</v>
      </c>
      <c r="R72" s="179">
        <f t="shared" si="5"/>
        <v>0.5079882327907862</v>
      </c>
      <c r="S72" s="839">
        <f t="shared" si="6"/>
        <v>0</v>
      </c>
      <c r="T72" s="178">
        <f t="shared" si="7"/>
        <v>6</v>
      </c>
      <c r="U72" s="253">
        <f t="shared" si="8"/>
        <v>0.5079882327907862</v>
      </c>
      <c r="V72" s="385">
        <f t="shared" si="9"/>
        <v>32.727670475639066</v>
      </c>
      <c r="W72" s="404">
        <f t="shared" si="10"/>
        <v>25.43652642860631</v>
      </c>
      <c r="X72" s="157">
        <f t="shared" si="11"/>
        <v>44984</v>
      </c>
      <c r="Y72" s="387">
        <f t="shared" si="12"/>
        <v>22.753670007622393</v>
      </c>
      <c r="Z72" s="387">
        <f t="shared" si="22"/>
        <v>23.655922704327715</v>
      </c>
      <c r="AA72" s="388">
        <f t="shared" si="13"/>
        <v>27.787700722015344</v>
      </c>
      <c r="AB72" s="199">
        <f t="shared" si="14"/>
        <v>44984</v>
      </c>
      <c r="AC72" s="119">
        <f>IF(OR(t&lt;Tnet,NoTnet),'2022'!Resal_s+('2022'!Salim-'2022'!Resal_s)*(1-EXP(('2022'!Tnet_s-t)/'2022'!Tau_j)),Resal_s+(Salim-Resal_s)*(1-EXP((Tnet_s-t)/Tau_j)))*Salcycl</f>
        <v>0.14869089238513883</v>
      </c>
      <c r="AD72" s="233">
        <f>(INDEX(Models!$BJ72:$BT72,,AH72)*(1-AF72)+INDEX(Models!$BJ72:$BT72,,AH72+1)*AF72-ERP_i)*AE72*Ramure*Pc/MaxiM</f>
        <v>2.2033459673271246E-2</v>
      </c>
      <c r="AE72" s="307">
        <f t="shared" si="15"/>
        <v>0.9</v>
      </c>
      <c r="AF72" s="179">
        <f t="shared" si="23"/>
        <v>0.5079882327907862</v>
      </c>
      <c r="AG72" s="839">
        <f t="shared" si="24"/>
        <v>0</v>
      </c>
      <c r="AH72" s="178">
        <f t="shared" si="16"/>
        <v>6</v>
      </c>
      <c r="AI72" s="227">
        <f t="shared" si="17"/>
        <v>0.5079882327907862</v>
      </c>
      <c r="AJ72" s="267" t="b">
        <f t="shared" si="18"/>
        <v>0</v>
      </c>
      <c r="AK72" s="267" t="b">
        <f t="shared" si="19"/>
        <v>0</v>
      </c>
      <c r="AL72" s="267"/>
      <c r="AM72" s="267"/>
      <c r="AN72" s="75"/>
    </row>
    <row r="73" spans="1:40" s="6" customFormat="1" ht="11.25" x14ac:dyDescent="0.2">
      <c r="A73" s="56">
        <f t="shared" si="20"/>
        <v>44985</v>
      </c>
      <c r="B73" s="413">
        <f>'2022'!Wh/'2022'!Env_an*'2023'!Env_an</f>
        <v>30.297598061791266</v>
      </c>
      <c r="C73" s="868"/>
      <c r="D73" s="395">
        <f t="shared" si="0"/>
        <v>31.499723652978439</v>
      </c>
      <c r="E73" s="387">
        <f t="shared" si="1"/>
        <v>33.105442009106127</v>
      </c>
      <c r="F73" s="387">
        <f t="shared" si="2"/>
        <v>33.727084054844084</v>
      </c>
      <c r="G73" s="110">
        <f t="shared" si="21"/>
        <v>0.91160016172068459</v>
      </c>
      <c r="H73" s="416" t="b">
        <f>Wh_hp&gt;='2022'!Maxi_hp</f>
        <v>0</v>
      </c>
      <c r="I73" s="392">
        <f>IF(H73,Wh_hp,'2022'!Maxi_hp)</f>
        <v>33.764181045667172</v>
      </c>
      <c r="J73" s="85">
        <f>IF(H73,An,'2022'!An_max)</f>
        <v>2022</v>
      </c>
      <c r="K73" s="199">
        <f t="shared" si="3"/>
        <v>44985</v>
      </c>
      <c r="L73" s="147">
        <f>IF(t&lt;Tvie,1-EXP((T0-t)*PertePVj)+'2022'!Pspv,1-EXP((T0-t)*PertePVj)+Pspv)</f>
        <v>3.8163051981997542E-2</v>
      </c>
      <c r="M73" s="872"/>
      <c r="N73" s="872"/>
      <c r="O73" s="48">
        <f>IF(t&lt;Tnet,'2022'!Resal+('2022'!Salim-'2022'!Resal)*(1-EXP(('2022'!Tnet-t)/('2022'!Tau_j))),Resal+(Salim-Resal)*(1-EXP((Tnet-t)/(Tau_j))))*Salcycl</f>
        <v>4.8503154124509562E-2</v>
      </c>
      <c r="P73" s="171">
        <f>(INDEX(Models!$BJ73:$BT73,,T73)*(1-R73)+INDEX(Models!$BJ73:$BT73,,T73+1)*R73-ERP_i)*Q73*Ramure*Pc/MaxiM</f>
        <v>2.1013019340707824E-2</v>
      </c>
      <c r="Q73" s="307">
        <f t="shared" si="4"/>
        <v>0.9</v>
      </c>
      <c r="R73" s="179">
        <f t="shared" si="5"/>
        <v>0.50834363951340922</v>
      </c>
      <c r="S73" s="839">
        <f t="shared" si="6"/>
        <v>0</v>
      </c>
      <c r="T73" s="178">
        <f t="shared" si="7"/>
        <v>6</v>
      </c>
      <c r="U73" s="253">
        <f t="shared" si="8"/>
        <v>0.50834363951340922</v>
      </c>
      <c r="V73" s="385">
        <f t="shared" si="9"/>
        <v>33.14821344948092</v>
      </c>
      <c r="W73" s="404">
        <f t="shared" si="10"/>
        <v>30.297598061791266</v>
      </c>
      <c r="X73" s="157">
        <f t="shared" si="11"/>
        <v>44985</v>
      </c>
      <c r="Y73" s="387">
        <f t="shared" si="12"/>
        <v>27.104839797072433</v>
      </c>
      <c r="Z73" s="387">
        <f t="shared" si="22"/>
        <v>28.180285497376339</v>
      </c>
      <c r="AA73" s="388">
        <f t="shared" si="13"/>
        <v>33.105442009106127</v>
      </c>
      <c r="AB73" s="199">
        <f t="shared" si="14"/>
        <v>44985</v>
      </c>
      <c r="AC73" s="119">
        <f>IF(OR(t&lt;Tnet,NoTnet),'2022'!Resal_s+('2022'!Salim-'2022'!Resal_s)*(1-EXP(('2022'!Tnet_s-t)/'2022'!Tau_j)),Resal_s+(Salim-Resal_s)*(1-EXP((Tnet_s-t)/Tau_j)))*Salcycl</f>
        <v>0.14877180949207844</v>
      </c>
      <c r="AD73" s="233">
        <f>(INDEX(Models!$BJ73:$BT73,,AH73)*(1-AF73)+INDEX(Models!$BJ73:$BT73,,AH73+1)*AF73-ERP_i)*AE73*Ramure*Pc/MaxiM</f>
        <v>2.1013019340707824E-2</v>
      </c>
      <c r="AE73" s="307">
        <f t="shared" si="15"/>
        <v>0.9</v>
      </c>
      <c r="AF73" s="179">
        <f t="shared" si="23"/>
        <v>0.50834363951340922</v>
      </c>
      <c r="AG73" s="839">
        <f t="shared" si="24"/>
        <v>0</v>
      </c>
      <c r="AH73" s="178">
        <f t="shared" si="16"/>
        <v>6</v>
      </c>
      <c r="AI73" s="227">
        <f t="shared" si="17"/>
        <v>0.50834363951340922</v>
      </c>
      <c r="AJ73" s="267" t="b">
        <f t="shared" si="18"/>
        <v>0</v>
      </c>
      <c r="AK73" s="267" t="b">
        <f t="shared" si="19"/>
        <v>0</v>
      </c>
      <c r="AL73" s="267"/>
      <c r="AM73" s="267"/>
      <c r="AN73" s="75"/>
    </row>
    <row r="74" spans="1:40" s="6" customFormat="1" ht="11.25" x14ac:dyDescent="0.2">
      <c r="A74" s="56">
        <f t="shared" si="20"/>
        <v>44986</v>
      </c>
      <c r="B74" s="413">
        <f>'2022'!Wh/'2022'!Env_an*'2023'!Env_an</f>
        <v>33.318360727974238</v>
      </c>
      <c r="C74" s="868"/>
      <c r="D74" s="395">
        <f t="shared" si="0"/>
        <v>34.641148046564837</v>
      </c>
      <c r="E74" s="387">
        <f t="shared" si="1"/>
        <v>36.414229154870803</v>
      </c>
      <c r="F74" s="387">
        <f t="shared" si="2"/>
        <v>37.150708014097106</v>
      </c>
      <c r="G74" s="110">
        <f t="shared" si="21"/>
        <v>0.99229197615778919</v>
      </c>
      <c r="H74" s="416" t="b">
        <f>Wh_hp&gt;='2022'!Maxi_hp</f>
        <v>0</v>
      </c>
      <c r="I74" s="392">
        <f>IF(H74,Wh_hp,'2022'!Maxi_hp)</f>
        <v>37.154113437752279</v>
      </c>
      <c r="J74" s="85">
        <f>IF(H74,An,'2022'!An_max)</f>
        <v>2022</v>
      </c>
      <c r="K74" s="199">
        <f t="shared" si="3"/>
        <v>44986</v>
      </c>
      <c r="L74" s="147">
        <f>IF(t&lt;Tvie,1-EXP((T0-t)*PertePVj)+'2022'!Pspv,1-EXP((T0-t)*PertePVj)+Pspv)</f>
        <v>3.8185435332931283E-2</v>
      </c>
      <c r="M74" s="872"/>
      <c r="N74" s="872"/>
      <c r="O74" s="48">
        <f>IF(t&lt;Tnet,'2022'!Resal+('2022'!Salim-'2022'!Resal)*(1-EXP(('2022'!Tnet-t)/('2022'!Tau_j))),Resal+(Salim-Resal)*(1-EXP((Tnet-t)/(Tau_j))))*Salcycl</f>
        <v>4.8691985233711779E-2</v>
      </c>
      <c r="P74" s="171">
        <f>(INDEX(Models!$BJ74:$BT74,,T74)*(1-R74)+INDEX(Models!$BJ74:$BT74,,T74+1)*R74-ERP_i)*Q74*Ramure*Pc/MaxiM</f>
        <v>2.0038524401619601E-2</v>
      </c>
      <c r="Q74" s="307">
        <f t="shared" si="4"/>
        <v>0.9</v>
      </c>
      <c r="R74" s="179">
        <f t="shared" si="5"/>
        <v>0.50871350308633712</v>
      </c>
      <c r="S74" s="839">
        <f t="shared" si="6"/>
        <v>0</v>
      </c>
      <c r="T74" s="178">
        <f t="shared" si="7"/>
        <v>6</v>
      </c>
      <c r="U74" s="253">
        <f t="shared" si="8"/>
        <v>0.50871350308633712</v>
      </c>
      <c r="V74" s="385">
        <f t="shared" si="9"/>
        <v>33.569828554498272</v>
      </c>
      <c r="W74" s="404">
        <f t="shared" si="10"/>
        <v>33.318360727974238</v>
      </c>
      <c r="X74" s="157">
        <f t="shared" si="11"/>
        <v>44986</v>
      </c>
      <c r="Y74" s="387">
        <f t="shared" si="12"/>
        <v>29.810361377787153</v>
      </c>
      <c r="Z74" s="387">
        <f t="shared" si="22"/>
        <v>30.993876026514513</v>
      </c>
      <c r="AA74" s="388">
        <f t="shared" si="13"/>
        <v>36.414229154870803</v>
      </c>
      <c r="AB74" s="199">
        <f t="shared" si="14"/>
        <v>44986</v>
      </c>
      <c r="AC74" s="119">
        <f>IF(OR(t&lt;Tnet,NoTnet),'2022'!Resal_s+('2022'!Salim-'2022'!Resal_s)*(1-EXP(('2022'!Tnet_s-t)/'2022'!Tau_j)),Resal_s+(Salim-Resal_s)*(1-EXP((Tnet_s-t)/Tau_j)))*Salcycl</f>
        <v>0.14885261212871939</v>
      </c>
      <c r="AD74" s="233">
        <f>(INDEX(Models!$BJ74:$BT74,,AH74)*(1-AF74)+INDEX(Models!$BJ74:$BT74,,AH74+1)*AF74-ERP_i)*AE74*Ramure*Pc/MaxiM</f>
        <v>2.0038524401619601E-2</v>
      </c>
      <c r="AE74" s="307">
        <f t="shared" si="15"/>
        <v>0.9</v>
      </c>
      <c r="AF74" s="179">
        <f t="shared" si="23"/>
        <v>0.50871350308633712</v>
      </c>
      <c r="AG74" s="839">
        <f t="shared" si="24"/>
        <v>0</v>
      </c>
      <c r="AH74" s="178">
        <f t="shared" si="16"/>
        <v>6</v>
      </c>
      <c r="AI74" s="227">
        <f t="shared" si="17"/>
        <v>0.50871350308633712</v>
      </c>
      <c r="AJ74" s="267" t="b">
        <f t="shared" si="18"/>
        <v>0</v>
      </c>
      <c r="AK74" s="267" t="b">
        <f t="shared" si="19"/>
        <v>0</v>
      </c>
      <c r="AL74" s="267"/>
      <c r="AM74" s="267"/>
      <c r="AN74" s="75"/>
    </row>
    <row r="75" spans="1:40" s="6" customFormat="1" ht="11.25" x14ac:dyDescent="0.2">
      <c r="A75" s="56">
        <f t="shared" si="20"/>
        <v>44987</v>
      </c>
      <c r="B75" s="413">
        <f>'2022'!Wh/'2022'!Env_an*'2023'!Env_an</f>
        <v>15.471207931903338</v>
      </c>
      <c r="C75" s="868"/>
      <c r="D75" s="395">
        <f t="shared" si="0"/>
        <v>16.085811700354277</v>
      </c>
      <c r="E75" s="387">
        <f t="shared" si="1"/>
        <v>16.912505336133751</v>
      </c>
      <c r="F75" s="387">
        <f t="shared" si="2"/>
        <v>16.984435554762527</v>
      </c>
      <c r="G75" s="110">
        <f t="shared" si="21"/>
        <v>0.44834278345292361</v>
      </c>
      <c r="H75" s="416" t="b">
        <f>Wh_hp&gt;='2022'!Maxi_hp</f>
        <v>0</v>
      </c>
      <c r="I75" s="392">
        <f>IF(H75,Wh_hp,'2022'!Maxi_hp)</f>
        <v>26.224711056387971</v>
      </c>
      <c r="J75" s="85">
        <f>IF(H75,An,'2022'!An_max)</f>
        <v>2020</v>
      </c>
      <c r="K75" s="199">
        <f t="shared" si="3"/>
        <v>44987</v>
      </c>
      <c r="L75" s="147">
        <f>IF(t&lt;Tvie,1-EXP((T0-t)*PertePVj)+'2022'!Pspv,1-EXP((T0-t)*PertePVj)+Pspv)</f>
        <v>3.8207818162971696E-2</v>
      </c>
      <c r="M75" s="872"/>
      <c r="N75" s="872"/>
      <c r="O75" s="48">
        <f>IF(t&lt;Tnet,'2022'!Resal+('2022'!Salim-'2022'!Resal)*(1-EXP(('2022'!Tnet-t)/('2022'!Tau_j))),Resal+(Salim-Resal)*(1-EXP((Tnet-t)/(Tau_j))))*Salcycl</f>
        <v>4.8880613448395158E-2</v>
      </c>
      <c r="P75" s="171">
        <f>(INDEX(Models!$BJ75:$BT75,,T75)*(1-R75)+INDEX(Models!$BJ75:$BT75,,T75+1)*R75-ERP_i)*Q75*Ramure*Pc/MaxiM</f>
        <v>1.9108703109530122E-2</v>
      </c>
      <c r="Q75" s="307">
        <f t="shared" si="4"/>
        <v>0.9</v>
      </c>
      <c r="R75" s="179">
        <f t="shared" si="5"/>
        <v>0.50909839210416385</v>
      </c>
      <c r="S75" s="839">
        <f t="shared" si="6"/>
        <v>0</v>
      </c>
      <c r="T75" s="178">
        <f t="shared" si="7"/>
        <v>6</v>
      </c>
      <c r="U75" s="253">
        <f t="shared" si="8"/>
        <v>0.50909839210416385</v>
      </c>
      <c r="V75" s="385">
        <f t="shared" si="9"/>
        <v>33.99210756728975</v>
      </c>
      <c r="W75" s="404">
        <f t="shared" si="10"/>
        <v>15.471207931903338</v>
      </c>
      <c r="X75" s="157">
        <f t="shared" si="11"/>
        <v>44987</v>
      </c>
      <c r="Y75" s="387">
        <f t="shared" si="12"/>
        <v>13.843719040918989</v>
      </c>
      <c r="Z75" s="387">
        <f t="shared" si="22"/>
        <v>14.393669757719813</v>
      </c>
      <c r="AA75" s="388">
        <f t="shared" si="13"/>
        <v>16.912505336133751</v>
      </c>
      <c r="AB75" s="199">
        <f t="shared" si="14"/>
        <v>44987</v>
      </c>
      <c r="AC75" s="119">
        <f>IF(OR(t&lt;Tnet,NoTnet),'2022'!Resal_s+('2022'!Salim-'2022'!Resal_s)*(1-EXP(('2022'!Tnet_s-t)/'2022'!Tau_j)),Resal_s+(Salim-Resal_s)*(1-EXP((Tnet_s-t)/Tau_j)))*Salcycl</f>
        <v>0.14893332054313793</v>
      </c>
      <c r="AD75" s="233">
        <f>(INDEX(Models!$BJ75:$BT75,,AH75)*(1-AF75)+INDEX(Models!$BJ75:$BT75,,AH75+1)*AF75-ERP_i)*AE75*Ramure*Pc/MaxiM</f>
        <v>1.9108703109530122E-2</v>
      </c>
      <c r="AE75" s="307">
        <f t="shared" si="15"/>
        <v>0.9</v>
      </c>
      <c r="AF75" s="179">
        <f t="shared" si="23"/>
        <v>0.50909839210416385</v>
      </c>
      <c r="AG75" s="839">
        <f t="shared" si="24"/>
        <v>0</v>
      </c>
      <c r="AH75" s="178">
        <f t="shared" si="16"/>
        <v>6</v>
      </c>
      <c r="AI75" s="227">
        <f t="shared" si="17"/>
        <v>0.50909839210416385</v>
      </c>
      <c r="AJ75" s="267" t="b">
        <f t="shared" si="18"/>
        <v>0</v>
      </c>
      <c r="AK75" s="267" t="b">
        <f t="shared" si="19"/>
        <v>0</v>
      </c>
      <c r="AL75" s="267"/>
      <c r="AM75" s="267"/>
      <c r="AN75" s="75"/>
    </row>
    <row r="76" spans="1:40" s="6" customFormat="1" ht="11.25" x14ac:dyDescent="0.2">
      <c r="A76" s="56">
        <f t="shared" si="20"/>
        <v>44988</v>
      </c>
      <c r="B76" s="413">
        <f>'2022'!Wh/'2022'!Env_an*'2023'!Env_an</f>
        <v>31.986154246452802</v>
      </c>
      <c r="C76" s="868"/>
      <c r="D76" s="395">
        <f t="shared" si="0"/>
        <v>33.257598920401477</v>
      </c>
      <c r="E76" s="387">
        <f t="shared" si="1"/>
        <v>34.973726340438425</v>
      </c>
      <c r="F76" s="387">
        <f t="shared" si="2"/>
        <v>35.556328572836129</v>
      </c>
      <c r="G76" s="110">
        <f t="shared" si="21"/>
        <v>0.92769867682463525</v>
      </c>
      <c r="H76" s="416" t="b">
        <f>Wh_hp&gt;='2022'!Maxi_hp</f>
        <v>0</v>
      </c>
      <c r="I76" s="392">
        <f>IF(H76,Wh_hp,'2022'!Maxi_hp)</f>
        <v>35.584060448329645</v>
      </c>
      <c r="J76" s="85">
        <f>IF(H76,An,'2022'!An_max)</f>
        <v>2022</v>
      </c>
      <c r="K76" s="199">
        <f t="shared" si="3"/>
        <v>44988</v>
      </c>
      <c r="L76" s="147">
        <f>IF(t&lt;Tvie,1-EXP((T0-t)*PertePVj)+'2022'!Pspv,1-EXP((T0-t)*PertePVj)+Pspv)</f>
        <v>3.8230200472130993E-2</v>
      </c>
      <c r="M76" s="872"/>
      <c r="N76" s="872"/>
      <c r="O76" s="48">
        <f>IF(t&lt;Tnet,'2022'!Resal+('2022'!Salim-'2022'!Resal)*(1-EXP(('2022'!Tnet-t)/('2022'!Tau_j))),Resal+(Salim-Resal)*(1-EXP((Tnet-t)/(Tau_j))))*Salcycl</f>
        <v>4.9069046956334017E-2</v>
      </c>
      <c r="P76" s="171">
        <f>(INDEX(Models!$BJ76:$BT76,,T76)*(1-R76)+INDEX(Models!$BJ76:$BT76,,T76+1)*R76-ERP_i)*Q76*Ramure*Pc/MaxiM</f>
        <v>1.8222282256302139E-2</v>
      </c>
      <c r="Q76" s="307">
        <f t="shared" si="4"/>
        <v>0.9</v>
      </c>
      <c r="R76" s="179">
        <f t="shared" si="5"/>
        <v>0.50949889588682351</v>
      </c>
      <c r="S76" s="839">
        <f t="shared" si="6"/>
        <v>0</v>
      </c>
      <c r="T76" s="178">
        <f t="shared" si="7"/>
        <v>6</v>
      </c>
      <c r="U76" s="253">
        <f t="shared" si="8"/>
        <v>0.50949889588682351</v>
      </c>
      <c r="V76" s="385">
        <f t="shared" si="9"/>
        <v>34.414642668865262</v>
      </c>
      <c r="W76" s="404">
        <f t="shared" si="10"/>
        <v>31.986154246452802</v>
      </c>
      <c r="X76" s="157">
        <f t="shared" si="11"/>
        <v>44988</v>
      </c>
      <c r="Y76" s="387">
        <f t="shared" si="12"/>
        <v>28.624339839858642</v>
      </c>
      <c r="Z76" s="387">
        <f t="shared" si="22"/>
        <v>29.762152912173242</v>
      </c>
      <c r="AA76" s="388">
        <f t="shared" si="13"/>
        <v>34.973726340438425</v>
      </c>
      <c r="AB76" s="199">
        <f t="shared" si="14"/>
        <v>44988</v>
      </c>
      <c r="AC76" s="119">
        <f>IF(OR(t&lt;Tnet,NoTnet),'2022'!Resal_s+('2022'!Salim-'2022'!Resal_s)*(1-EXP(('2022'!Tnet_s-t)/'2022'!Tau_j)),Resal_s+(Salim-Resal_s)*(1-EXP((Tnet_s-t)/Tau_j)))*Salcycl</f>
        <v>0.14901395915136711</v>
      </c>
      <c r="AD76" s="233">
        <f>(INDEX(Models!$BJ76:$BT76,,AH76)*(1-AF76)+INDEX(Models!$BJ76:$BT76,,AH76+1)*AF76-ERP_i)*AE76*Ramure*Pc/MaxiM</f>
        <v>1.8222282256302139E-2</v>
      </c>
      <c r="AE76" s="307">
        <f t="shared" si="15"/>
        <v>0.9</v>
      </c>
      <c r="AF76" s="179">
        <f t="shared" si="23"/>
        <v>0.50949889588682351</v>
      </c>
      <c r="AG76" s="839">
        <f t="shared" si="24"/>
        <v>0</v>
      </c>
      <c r="AH76" s="178">
        <f t="shared" si="16"/>
        <v>6</v>
      </c>
      <c r="AI76" s="227">
        <f t="shared" si="17"/>
        <v>0.50949889588682351</v>
      </c>
      <c r="AJ76" s="267" t="b">
        <f t="shared" si="18"/>
        <v>0</v>
      </c>
      <c r="AK76" s="267" t="b">
        <f t="shared" si="19"/>
        <v>0</v>
      </c>
      <c r="AL76" s="267"/>
      <c r="AM76" s="267"/>
      <c r="AN76" s="75"/>
    </row>
    <row r="77" spans="1:40" s="6" customFormat="1" ht="11.25" x14ac:dyDescent="0.2">
      <c r="A77" s="56">
        <f t="shared" si="20"/>
        <v>44989</v>
      </c>
      <c r="B77" s="413">
        <f>'2022'!Wh/'2022'!Env_an*'2023'!Env_an</f>
        <v>6.0813855359545954</v>
      </c>
      <c r="C77" s="868"/>
      <c r="D77" s="395">
        <f t="shared" si="0"/>
        <v>6.3232668201468556</v>
      </c>
      <c r="E77" s="387">
        <f t="shared" si="1"/>
        <v>6.6508707243113614</v>
      </c>
      <c r="F77" s="387">
        <f t="shared" si="2"/>
        <v>6.6508707243113614</v>
      </c>
      <c r="G77" s="110">
        <f t="shared" si="21"/>
        <v>0.17153310347203149</v>
      </c>
      <c r="H77" s="416" t="b">
        <f>Wh_hp&gt;='2022'!Maxi_hp</f>
        <v>0</v>
      </c>
      <c r="I77" s="392">
        <f>IF(H77,Wh_hp,'2022'!Maxi_hp)</f>
        <v>29.708311263077956</v>
      </c>
      <c r="J77" s="85">
        <f>IF(H77,An,'2022'!An_max)</f>
        <v>2021</v>
      </c>
      <c r="K77" s="199">
        <f t="shared" si="3"/>
        <v>44989</v>
      </c>
      <c r="L77" s="147">
        <f>IF(t&lt;Tvie,1-EXP((T0-t)*PertePVj)+'2022'!Pspv,1-EXP((T0-t)*PertePVj)+Pspv)</f>
        <v>3.8252582260421275E-2</v>
      </c>
      <c r="M77" s="872"/>
      <c r="N77" s="872"/>
      <c r="O77" s="48">
        <f>IF(t&lt;Tnet,'2022'!Resal+('2022'!Salim-'2022'!Resal)*(1-EXP(('2022'!Tnet-t)/('2022'!Tau_j))),Resal+(Salim-Resal)*(1-EXP((Tnet-t)/(Tau_j))))*Salcycl</f>
        <v>4.9257295434565244E-2</v>
      </c>
      <c r="P77" s="171">
        <f>(INDEX(Models!$BJ77:$BT77,,T77)*(1-R77)+INDEX(Models!$BJ77:$BT77,,T77+1)*R77-ERP_i)*Q77*Ramure*Pc/MaxiM</f>
        <v>1.7377992504060941E-2</v>
      </c>
      <c r="Q77" s="307">
        <f t="shared" si="4"/>
        <v>0.9</v>
      </c>
      <c r="R77" s="179">
        <f t="shared" si="5"/>
        <v>0.50991562509612787</v>
      </c>
      <c r="S77" s="839">
        <f t="shared" si="6"/>
        <v>0</v>
      </c>
      <c r="T77" s="178">
        <f t="shared" si="7"/>
        <v>6</v>
      </c>
      <c r="U77" s="253">
        <f t="shared" si="8"/>
        <v>0.50991562509612787</v>
      </c>
      <c r="V77" s="385">
        <f t="shared" si="9"/>
        <v>34.837026455775707</v>
      </c>
      <c r="W77" s="404">
        <f t="shared" si="10"/>
        <v>6.0813855359545954</v>
      </c>
      <c r="X77" s="157">
        <f t="shared" si="11"/>
        <v>44989</v>
      </c>
      <c r="Y77" s="387">
        <f t="shared" si="12"/>
        <v>5.4427807138201123</v>
      </c>
      <c r="Z77" s="387">
        <f t="shared" si="22"/>
        <v>5.6592621029463528</v>
      </c>
      <c r="AA77" s="388">
        <f t="shared" si="13"/>
        <v>6.6508707243113614</v>
      </c>
      <c r="AB77" s="199">
        <f t="shared" si="14"/>
        <v>44989</v>
      </c>
      <c r="AC77" s="119">
        <f>IF(OR(t&lt;Tnet,NoTnet),'2022'!Resal_s+('2022'!Salim-'2022'!Resal_s)*(1-EXP(('2022'!Tnet_s-t)/'2022'!Tau_j)),Resal_s+(Salim-Resal_s)*(1-EXP((Tnet_s-t)/Tau_j)))*Salcycl</f>
        <v>0.14909455655788303</v>
      </c>
      <c r="AD77" s="233">
        <f>(INDEX(Models!$BJ77:$BT77,,AH77)*(1-AF77)+INDEX(Models!$BJ77:$BT77,,AH77+1)*AF77-ERP_i)*AE77*Ramure*Pc/MaxiM</f>
        <v>1.7377992504060941E-2</v>
      </c>
      <c r="AE77" s="307">
        <f t="shared" si="15"/>
        <v>0.9</v>
      </c>
      <c r="AF77" s="179">
        <f t="shared" si="23"/>
        <v>0.50991562509612787</v>
      </c>
      <c r="AG77" s="839">
        <f t="shared" si="24"/>
        <v>0</v>
      </c>
      <c r="AH77" s="178">
        <f t="shared" si="16"/>
        <v>6</v>
      </c>
      <c r="AI77" s="227">
        <f t="shared" si="17"/>
        <v>0.50991562509612787</v>
      </c>
      <c r="AJ77" s="267" t="b">
        <f t="shared" si="18"/>
        <v>0</v>
      </c>
      <c r="AK77" s="267" t="b">
        <f t="shared" si="19"/>
        <v>0</v>
      </c>
      <c r="AL77" s="267"/>
      <c r="AM77" s="267"/>
      <c r="AN77" s="75"/>
    </row>
    <row r="78" spans="1:40" s="6" customFormat="1" ht="11.25" x14ac:dyDescent="0.2">
      <c r="A78" s="56">
        <f t="shared" si="20"/>
        <v>44990</v>
      </c>
      <c r="B78" s="413">
        <f>'2022'!Wh/'2022'!Env_an*'2023'!Env_an</f>
        <v>13.633250970665562</v>
      </c>
      <c r="C78" s="868"/>
      <c r="D78" s="395">
        <f t="shared" si="0"/>
        <v>14.175830360698345</v>
      </c>
      <c r="E78" s="387">
        <f t="shared" si="1"/>
        <v>14.91322004472973</v>
      </c>
      <c r="F78" s="387">
        <f t="shared" si="2"/>
        <v>14.94388451673637</v>
      </c>
      <c r="G78" s="110">
        <f t="shared" si="21"/>
        <v>0.38103491444682142</v>
      </c>
      <c r="H78" s="416" t="b">
        <f>Wh_hp&gt;='2022'!Maxi_hp</f>
        <v>0</v>
      </c>
      <c r="I78" s="392">
        <f>IF(H78,Wh_hp,'2022'!Maxi_hp)</f>
        <v>38.591105820273576</v>
      </c>
      <c r="J78" s="85">
        <f>IF(H78,An,'2022'!An_max)</f>
        <v>2019</v>
      </c>
      <c r="K78" s="199">
        <f t="shared" si="3"/>
        <v>44990</v>
      </c>
      <c r="L78" s="147">
        <f>IF(t&lt;Tvie,1-EXP((T0-t)*PertePVj)+'2022'!Pspv,1-EXP((T0-t)*PertePVj)+Pspv)</f>
        <v>3.8274963527854533E-2</v>
      </c>
      <c r="M78" s="872"/>
      <c r="N78" s="872"/>
      <c r="O78" s="48">
        <f>IF(t&lt;Tnet,'2022'!Resal+('2022'!Salim-'2022'!Resal)*(1-EXP(('2022'!Tnet-t)/('2022'!Tau_j))),Resal+(Salim-Resal)*(1-EXP((Tnet-t)/(Tau_j))))*Salcycl</f>
        <v>4.9445370068952693E-2</v>
      </c>
      <c r="P78" s="171">
        <f>(INDEX(Models!$BJ78:$BT78,,T78)*(1-R78)+INDEX(Models!$BJ78:$BT78,,T78+1)*R78-ERP_i)*Q78*Ramure*Pc/MaxiM</f>
        <v>1.6574573052235874E-2</v>
      </c>
      <c r="Q78" s="307">
        <f t="shared" si="4"/>
        <v>0.9</v>
      </c>
      <c r="R78" s="179">
        <f t="shared" si="5"/>
        <v>0.51034921235839326</v>
      </c>
      <c r="S78" s="839">
        <f t="shared" si="6"/>
        <v>0</v>
      </c>
      <c r="T78" s="178">
        <f t="shared" si="7"/>
        <v>6</v>
      </c>
      <c r="U78" s="253">
        <f t="shared" si="8"/>
        <v>0.51034921235839326</v>
      </c>
      <c r="V78" s="385">
        <f t="shared" si="9"/>
        <v>35.258851947803727</v>
      </c>
      <c r="W78" s="404">
        <f t="shared" si="10"/>
        <v>13.633250970665562</v>
      </c>
      <c r="X78" s="157">
        <f t="shared" si="11"/>
        <v>44990</v>
      </c>
      <c r="Y78" s="387">
        <f t="shared" si="12"/>
        <v>12.202884934310617</v>
      </c>
      <c r="Z78" s="387">
        <f t="shared" si="22"/>
        <v>12.68853827396855</v>
      </c>
      <c r="AA78" s="388">
        <f t="shared" si="13"/>
        <v>14.91322004472973</v>
      </c>
      <c r="AB78" s="199">
        <f t="shared" si="14"/>
        <v>44990</v>
      </c>
      <c r="AC78" s="119">
        <f>IF(OR(t&lt;Tnet,NoTnet),'2022'!Resal_s+('2022'!Salim-'2022'!Resal_s)*(1-EXP(('2022'!Tnet_s-t)/'2022'!Tau_j)),Resal_s+(Salim-Resal_s)*(1-EXP((Tnet_s-t)/Tau_j)))*Salcycl</f>
        <v>0.14917514554795103</v>
      </c>
      <c r="AD78" s="233">
        <f>(INDEX(Models!$BJ78:$BT78,,AH78)*(1-AF78)+INDEX(Models!$BJ78:$BT78,,AH78+1)*AF78-ERP_i)*AE78*Ramure*Pc/MaxiM</f>
        <v>1.6574573052235874E-2</v>
      </c>
      <c r="AE78" s="307">
        <f t="shared" si="15"/>
        <v>0.9</v>
      </c>
      <c r="AF78" s="179">
        <f t="shared" si="23"/>
        <v>0.51034921235839326</v>
      </c>
      <c r="AG78" s="839">
        <f t="shared" si="24"/>
        <v>0</v>
      </c>
      <c r="AH78" s="178">
        <f t="shared" si="16"/>
        <v>6</v>
      </c>
      <c r="AI78" s="227">
        <f t="shared" si="17"/>
        <v>0.51034921235839326</v>
      </c>
      <c r="AJ78" s="267" t="b">
        <f t="shared" si="18"/>
        <v>0</v>
      </c>
      <c r="AK78" s="267" t="b">
        <f t="shared" si="19"/>
        <v>0</v>
      </c>
      <c r="AL78" s="267"/>
      <c r="AM78" s="267"/>
      <c r="AN78" s="75"/>
    </row>
    <row r="79" spans="1:40" s="6" customFormat="1" ht="11.25" x14ac:dyDescent="0.2">
      <c r="A79" s="56">
        <f t="shared" si="20"/>
        <v>44991</v>
      </c>
      <c r="B79" s="413">
        <f>'2022'!Wh/'2022'!Env_an*'2023'!Env_an</f>
        <v>20.002976534024214</v>
      </c>
      <c r="C79" s="868"/>
      <c r="D79" s="395">
        <f t="shared" ref="D79:D142" si="25">Wh/(1-Ppv)</f>
        <v>20.799543824627335</v>
      </c>
      <c r="E79" s="387">
        <f t="shared" si="1"/>
        <v>21.885808356838673</v>
      </c>
      <c r="F79" s="387">
        <f t="shared" ref="F79:F142" si="26">Wh_sa/(1-Pvg*MEDIAN((-Sdif+Wh/Env_an)/Csdif,0,1))</f>
        <v>22.01537981301092</v>
      </c>
      <c r="G79" s="110">
        <f t="shared" si="21"/>
        <v>0.554992714722085</v>
      </c>
      <c r="H79" s="416" t="b">
        <f>Wh_hp&gt;='2022'!Maxi_hp</f>
        <v>0</v>
      </c>
      <c r="I79" s="392">
        <f>IF(H79,Wh_hp,'2022'!Maxi_hp)</f>
        <v>24.167812123505598</v>
      </c>
      <c r="J79" s="85">
        <f>IF(H79,An,'2022'!An_max)</f>
        <v>2019</v>
      </c>
      <c r="K79" s="199">
        <f t="shared" ref="K79:K142" si="27">t</f>
        <v>44991</v>
      </c>
      <c r="L79" s="147">
        <f>IF(t&lt;Tvie,1-EXP((T0-t)*PertePVj)+'2022'!Pspv,1-EXP((T0-t)*PertePVj)+Pspv)</f>
        <v>3.8297344274443201E-2</v>
      </c>
      <c r="M79" s="872"/>
      <c r="N79" s="872"/>
      <c r="O79" s="48">
        <f>IF(t&lt;Tnet,'2022'!Resal+('2022'!Salim-'2022'!Resal)*(1-EXP(('2022'!Tnet-t)/('2022'!Tau_j))),Resal+(Salim-Resal)*(1-EXP((Tnet-t)/(Tau_j))))*Salcycl</f>
        <v>4.9633283564411351E-2</v>
      </c>
      <c r="P79" s="171">
        <f>(INDEX(Models!$BJ79:$BT79,,T79)*(1-R79)+INDEX(Models!$BJ79:$BT79,,T79+1)*R79-ERP_i)*Q79*Ramure*Pc/MaxiM</f>
        <v>1.580974937800253E-2</v>
      </c>
      <c r="Q79" s="307">
        <f t="shared" ref="Q79:Q142" si="28">IF(OR(t&lt;Ttai,Notai),Dd+PousD*Croivg,Dens+PousD*(Croivg-Croi_tai))</f>
        <v>0.9</v>
      </c>
      <c r="R79" s="179">
        <f t="shared" ref="R79:R142" si="29">(Hp_vg-S79)/(INDEX(Echel_vg,T79+1)-S79)</f>
        <v>0.51080031289195793</v>
      </c>
      <c r="S79" s="839">
        <f t="shared" ref="S79:S142" si="30">INDEX(Echel_vg,T79)</f>
        <v>0</v>
      </c>
      <c r="T79" s="178">
        <f t="shared" ref="T79:T142" si="31">MIN(MATCH(Hp_vg,Echel_vg),10)</f>
        <v>6</v>
      </c>
      <c r="U79" s="253">
        <f t="shared" ref="U79:U142" si="32">IF(OR(t&lt;Ttai,Notai),Hdd+PousH*Croivg,Hdtf+PousH*(Croivg-Croi_tai))</f>
        <v>0.51080031289195793</v>
      </c>
      <c r="V79" s="385">
        <f t="shared" ref="V79:V142" si="33">MaxiM*(1-Ppv)*(1-Pvg)*(1-Psa)</f>
        <v>35.682066000347398</v>
      </c>
      <c r="W79" s="404">
        <f t="shared" ref="W79:W142" si="34">Wh*(A79&gt;Tmaj)</f>
        <v>20.002976534024214</v>
      </c>
      <c r="X79" s="157">
        <f t="shared" ref="X79:X142" si="35">t</f>
        <v>44991</v>
      </c>
      <c r="Y79" s="387">
        <f t="shared" ref="Y79:Y142" si="36">Wh_pvt_s*(1-Ppv)</f>
        <v>17.906158447912489</v>
      </c>
      <c r="Z79" s="387">
        <f t="shared" ref="Z79:Z142" si="37">Wh_sa_s*(1-Psa_s)</f>
        <v>18.619225330518802</v>
      </c>
      <c r="AA79" s="388">
        <f t="shared" ref="AA79:AA142" si="38">Wh_hp*(1-Pvg_s*MEDIAN((-Sdif+Wh/Env_an)/Csdif,0,1))</f>
        <v>21.885808356838673</v>
      </c>
      <c r="AB79" s="199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0.14925576305246041</v>
      </c>
      <c r="AD79" s="233">
        <f>(INDEX(Models!$BJ79:$BT79,,AH79)*(1-AF79)+INDEX(Models!$BJ79:$BT79,,AH79+1)*AF79-ERP_i)*AE79*Ramure*Pc/MaxiM</f>
        <v>1.580974937800253E-2</v>
      </c>
      <c r="AE79" s="307">
        <f t="shared" ref="AE79:AE142" si="40">IF(OR(t&lt;Ttai,Notai),Dd_s+PousD*Croivg,Dens_s+PousD*(Croivg-Croi_tai))</f>
        <v>0.9</v>
      </c>
      <c r="AF79" s="179">
        <f t="shared" ref="AF79:AF142" si="41">(Hp_vg_s-AG79)/(INDEX(Echel_vg,AH79+1)-AG79)</f>
        <v>0.51080031289195793</v>
      </c>
      <c r="AG79" s="839">
        <f t="shared" si="24"/>
        <v>0</v>
      </c>
      <c r="AH79" s="178">
        <f t="shared" ref="AH79:AH142" si="42">MIN(MATCH(Hp_vg_s,Echel_vg),10)</f>
        <v>6</v>
      </c>
      <c r="AI79" s="227">
        <f t="shared" ref="AI79:AI142" si="43">IF(OR(t&lt;Ttai,Notai),Hdd_s+PousH*Croivg,Hdtai_s+PousH*(Croivg-Croi_tai))</f>
        <v>0.51080031289195793</v>
      </c>
      <c r="AJ79" s="267" t="b">
        <f t="shared" ref="AJ79:AJ142" si="44">t&lt;Tnet</f>
        <v>0</v>
      </c>
      <c r="AK79" s="267" t="b">
        <f t="shared" ref="AK79:AK142" si="45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6">A79+1</f>
        <v>44992</v>
      </c>
      <c r="B80" s="413">
        <f>'2022'!Wh/'2022'!Env_an*'2023'!Env_an</f>
        <v>34.114322261743631</v>
      </c>
      <c r="C80" s="868"/>
      <c r="D80" s="395">
        <f t="shared" si="25"/>
        <v>35.473663265074102</v>
      </c>
      <c r="E80" s="387">
        <f t="shared" ref="E80:E143" si="47">Wh_pvt/(1-Psa)</f>
        <v>37.333665695835798</v>
      </c>
      <c r="F80" s="387">
        <f t="shared" si="26"/>
        <v>37.860458700264729</v>
      </c>
      <c r="G80" s="110">
        <f t="shared" ref="G80:G143" si="48">+Wh_hp/MaxiM</f>
        <v>0.94365464249412945</v>
      </c>
      <c r="H80" s="416" t="b">
        <f>Wh_hp&gt;='2022'!Maxi_hp</f>
        <v>0</v>
      </c>
      <c r="I80" s="392">
        <f>IF(H80,Wh_hp,'2022'!Maxi_hp)</f>
        <v>37.878473795726443</v>
      </c>
      <c r="J80" s="85">
        <f>IF(H80,An,'2022'!An_max)</f>
        <v>2022</v>
      </c>
      <c r="K80" s="199">
        <f t="shared" si="27"/>
        <v>44992</v>
      </c>
      <c r="L80" s="147">
        <f>IF(t&lt;Tvie,1-EXP((T0-t)*PertePVj)+'2022'!Pspv,1-EXP((T0-t)*PertePVj)+Pspv)</f>
        <v>3.8319724500199048E-2</v>
      </c>
      <c r="M80" s="872"/>
      <c r="N80" s="872"/>
      <c r="O80" s="48">
        <f>IF(t&lt;Tnet,'2022'!Resal+('2022'!Salim-'2022'!Resal)*(1-EXP(('2022'!Tnet-t)/('2022'!Tau_j))),Resal+(Salim-Resal)*(1-EXP((Tnet-t)/(Tau_j))))*Salcycl</f>
        <v>4.9821050145878475E-2</v>
      </c>
      <c r="P80" s="171">
        <f>(INDEX(Models!$BJ80:$BT80,,T80)*(1-R80)+INDEX(Models!$BJ80:$BT80,,T80+1)*R80-ERP_i)*Q80*Ramure*Pc/MaxiM</f>
        <v>1.5105316390421808E-2</v>
      </c>
      <c r="Q80" s="307">
        <f t="shared" si="28"/>
        <v>0.9</v>
      </c>
      <c r="R80" s="179">
        <f t="shared" si="29"/>
        <v>0.51126960513823561</v>
      </c>
      <c r="S80" s="839">
        <f t="shared" si="30"/>
        <v>0</v>
      </c>
      <c r="T80" s="178">
        <f t="shared" si="31"/>
        <v>6</v>
      </c>
      <c r="U80" s="253">
        <f t="shared" si="32"/>
        <v>0.51126960513823561</v>
      </c>
      <c r="V80" s="385">
        <f t="shared" si="33"/>
        <v>36.107606189181844</v>
      </c>
      <c r="W80" s="404">
        <f t="shared" si="34"/>
        <v>34.114322261743631</v>
      </c>
      <c r="X80" s="157">
        <f t="shared" si="35"/>
        <v>44992</v>
      </c>
      <c r="Y80" s="387">
        <f t="shared" si="36"/>
        <v>30.541415890697284</v>
      </c>
      <c r="Z80" s="387">
        <f t="shared" si="37"/>
        <v>31.758388592117491</v>
      </c>
      <c r="AA80" s="388">
        <f t="shared" si="38"/>
        <v>37.333665695835798</v>
      </c>
      <c r="AB80" s="199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0.14933645008612634</v>
      </c>
      <c r="AD80" s="233">
        <f>(INDEX(Models!$BJ80:$BT80,,AH80)*(1-AF80)+INDEX(Models!$BJ80:$BT80,,AH80+1)*AF80-ERP_i)*AE80*Ramure*Pc/MaxiM</f>
        <v>1.5105316390421808E-2</v>
      </c>
      <c r="AE80" s="307">
        <f t="shared" si="40"/>
        <v>0.9</v>
      </c>
      <c r="AF80" s="179">
        <f t="shared" si="41"/>
        <v>0.51126960513823561</v>
      </c>
      <c r="AG80" s="839">
        <f t="shared" ref="AG80:AG143" si="49">INDEX(Echel_vg,AH80)</f>
        <v>0</v>
      </c>
      <c r="AH80" s="178">
        <f t="shared" si="42"/>
        <v>6</v>
      </c>
      <c r="AI80" s="227">
        <f t="shared" si="43"/>
        <v>0.51126960513823561</v>
      </c>
      <c r="AJ80" s="267" t="b">
        <f t="shared" si="44"/>
        <v>0</v>
      </c>
      <c r="AK80" s="267" t="b">
        <f t="shared" si="45"/>
        <v>0</v>
      </c>
      <c r="AL80" s="267"/>
      <c r="AM80" s="267"/>
      <c r="AN80" s="75"/>
    </row>
    <row r="81" spans="1:40" s="6" customFormat="1" ht="11.25" x14ac:dyDescent="0.2">
      <c r="A81" s="56">
        <f t="shared" si="46"/>
        <v>44993</v>
      </c>
      <c r="B81" s="413">
        <f>'2022'!Wh/'2022'!Env_an*'2023'!Env_an</f>
        <v>27.528888225655201</v>
      </c>
      <c r="C81" s="868"/>
      <c r="D81" s="395">
        <f t="shared" si="25"/>
        <v>28.626488012039864</v>
      </c>
      <c r="E81" s="387">
        <f t="shared" si="47"/>
        <v>30.133420776188327</v>
      </c>
      <c r="F81" s="387">
        <f t="shared" si="26"/>
        <v>30.418335899364017</v>
      </c>
      <c r="G81" s="110">
        <f t="shared" si="48"/>
        <v>0.74962257044331304</v>
      </c>
      <c r="H81" s="416" t="b">
        <f>Wh_hp&gt;='2022'!Maxi_hp</f>
        <v>0</v>
      </c>
      <c r="I81" s="392">
        <f>IF(H81,Wh_hp,'2022'!Maxi_hp)</f>
        <v>30.478520113862707</v>
      </c>
      <c r="J81" s="85">
        <f>IF(H81,An,'2022'!An_max)</f>
        <v>2022</v>
      </c>
      <c r="K81" s="199">
        <f t="shared" si="27"/>
        <v>44993</v>
      </c>
      <c r="L81" s="147">
        <f>IF(t&lt;Tvie,1-EXP((T0-t)*PertePVj)+'2022'!Pspv,1-EXP((T0-t)*PertePVj)+Pspv)</f>
        <v>3.8342104205134397E-2</v>
      </c>
      <c r="M81" s="872"/>
      <c r="N81" s="872"/>
      <c r="O81" s="48">
        <f>IF(t&lt;Tnet,'2022'!Resal+('2022'!Salim-'2022'!Resal)*(1-EXP(('2022'!Tnet-t)/('2022'!Tau_j))),Resal+(Salim-Resal)*(1-EXP((Tnet-t)/(Tau_j))))*Salcycl</f>
        <v>5.0008685550206579E-2</v>
      </c>
      <c r="P81" s="171">
        <f>(INDEX(Models!$BJ81:$BT81,,T81)*(1-R81)+INDEX(Models!$BJ81:$BT81,,T81+1)*R81-ERP_i)*Q81*Ramure*Pc/MaxiM</f>
        <v>1.4457907568548636E-2</v>
      </c>
      <c r="Q81" s="307">
        <f t="shared" si="28"/>
        <v>0.9</v>
      </c>
      <c r="R81" s="179">
        <f t="shared" si="29"/>
        <v>0.51175779139479893</v>
      </c>
      <c r="S81" s="839">
        <f t="shared" si="30"/>
        <v>0</v>
      </c>
      <c r="T81" s="178">
        <f t="shared" si="31"/>
        <v>6</v>
      </c>
      <c r="U81" s="253">
        <f t="shared" si="32"/>
        <v>0.51175779139479893</v>
      </c>
      <c r="V81" s="385">
        <f t="shared" si="33"/>
        <v>36.534924246700307</v>
      </c>
      <c r="W81" s="404">
        <f t="shared" si="34"/>
        <v>27.528888225655201</v>
      </c>
      <c r="X81" s="157">
        <f t="shared" si="35"/>
        <v>44993</v>
      </c>
      <c r="Y81" s="387">
        <f t="shared" si="36"/>
        <v>24.648222620097631</v>
      </c>
      <c r="Z81" s="387">
        <f t="shared" si="37"/>
        <v>25.630967860690685</v>
      </c>
      <c r="AA81" s="388">
        <f t="shared" si="38"/>
        <v>30.133420776188327</v>
      </c>
      <c r="AB81" s="199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0.14941725166017383</v>
      </c>
      <c r="AD81" s="233">
        <f>(INDEX(Models!$BJ81:$BT81,,AH81)*(1-AF81)+INDEX(Models!$BJ81:$BT81,,AH81+1)*AF81-ERP_i)*AE81*Ramure*Pc/MaxiM</f>
        <v>1.4457907568548636E-2</v>
      </c>
      <c r="AE81" s="307">
        <f t="shared" si="40"/>
        <v>0.9</v>
      </c>
      <c r="AF81" s="179">
        <f t="shared" si="41"/>
        <v>0.51175779139479893</v>
      </c>
      <c r="AG81" s="839">
        <f t="shared" si="49"/>
        <v>0</v>
      </c>
      <c r="AH81" s="178">
        <f t="shared" si="42"/>
        <v>6</v>
      </c>
      <c r="AI81" s="227">
        <f t="shared" si="43"/>
        <v>0.51175779139479893</v>
      </c>
      <c r="AJ81" s="267" t="b">
        <f t="shared" si="44"/>
        <v>0</v>
      </c>
      <c r="AK81" s="267" t="b">
        <f t="shared" si="45"/>
        <v>0</v>
      </c>
      <c r="AL81" s="267"/>
      <c r="AM81" s="267"/>
      <c r="AN81" s="75"/>
    </row>
    <row r="82" spans="1:40" s="6" customFormat="1" ht="11.25" x14ac:dyDescent="0.2">
      <c r="A82" s="56">
        <f t="shared" si="46"/>
        <v>44994</v>
      </c>
      <c r="B82" s="413">
        <f>'2022'!Wh/'2022'!Env_an*'2023'!Env_an</f>
        <v>28.671861174118831</v>
      </c>
      <c r="C82" s="868"/>
      <c r="D82" s="395">
        <f t="shared" si="25"/>
        <v>29.815726102933588</v>
      </c>
      <c r="E82" s="387">
        <f t="shared" si="47"/>
        <v>31.39145823902129</v>
      </c>
      <c r="F82" s="387">
        <f t="shared" si="26"/>
        <v>31.690061185209903</v>
      </c>
      <c r="G82" s="110">
        <f t="shared" si="48"/>
        <v>0.77220289125451369</v>
      </c>
      <c r="H82" s="416" t="b">
        <f>Wh_hp&gt;='2022'!Maxi_hp</f>
        <v>0</v>
      </c>
      <c r="I82" s="392">
        <f>IF(H82,Wh_hp,'2022'!Maxi_hp)</f>
        <v>39.141345127163731</v>
      </c>
      <c r="J82" s="85">
        <f>IF(H82,An,'2022'!An_max)</f>
        <v>2021</v>
      </c>
      <c r="K82" s="199">
        <f t="shared" si="27"/>
        <v>44994</v>
      </c>
      <c r="L82" s="147">
        <f>IF(t&lt;Tvie,1-EXP((T0-t)*PertePVj)+'2022'!Pspv,1-EXP((T0-t)*PertePVj)+Pspv)</f>
        <v>3.8364483389261239E-2</v>
      </c>
      <c r="M82" s="872"/>
      <c r="N82" s="872"/>
      <c r="O82" s="48">
        <f>IF(t&lt;Tnet,'2022'!Resal+('2022'!Salim-'2022'!Resal)*(1-EXP(('2022'!Tnet-t)/('2022'!Tau_j))),Resal+(Salim-Resal)*(1-EXP((Tnet-t)/(Tau_j))))*Salcycl</f>
        <v>5.0196207009236139E-2</v>
      </c>
      <c r="P82" s="171">
        <f>(INDEX(Models!$BJ82:$BT82,,T82)*(1-R82)+INDEX(Models!$BJ82:$BT82,,T82+1)*R82-ERP_i)*Q82*Ramure*Pc/MaxiM</f>
        <v>1.3866025818757892E-2</v>
      </c>
      <c r="Q82" s="307">
        <f t="shared" si="28"/>
        <v>0.9</v>
      </c>
      <c r="R82" s="179">
        <f t="shared" si="29"/>
        <v>0.51226559844881203</v>
      </c>
      <c r="S82" s="839">
        <f t="shared" si="30"/>
        <v>0</v>
      </c>
      <c r="T82" s="178">
        <f t="shared" si="31"/>
        <v>6</v>
      </c>
      <c r="U82" s="253">
        <f t="shared" si="32"/>
        <v>0.51226559844881203</v>
      </c>
      <c r="V82" s="385">
        <f t="shared" si="33"/>
        <v>36.96340495295658</v>
      </c>
      <c r="W82" s="404">
        <f t="shared" si="34"/>
        <v>28.671861174118831</v>
      </c>
      <c r="X82" s="157">
        <f t="shared" si="35"/>
        <v>44994</v>
      </c>
      <c r="Y82" s="387">
        <f t="shared" si="36"/>
        <v>25.674217390908645</v>
      </c>
      <c r="Z82" s="387">
        <f t="shared" si="37"/>
        <v>26.698491213590785</v>
      </c>
      <c r="AA82" s="388">
        <f t="shared" si="38"/>
        <v>31.39145823902129</v>
      </c>
      <c r="AB82" s="199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0.14949821667082963</v>
      </c>
      <c r="AD82" s="233">
        <f>(INDEX(Models!$BJ82:$BT82,,AH82)*(1-AF82)+INDEX(Models!$BJ82:$BT82,,AH82+1)*AF82-ERP_i)*AE82*Ramure*Pc/MaxiM</f>
        <v>1.3866025818757892E-2</v>
      </c>
      <c r="AE82" s="307">
        <f t="shared" si="40"/>
        <v>0.9</v>
      </c>
      <c r="AF82" s="179">
        <f t="shared" si="41"/>
        <v>0.51226559844881203</v>
      </c>
      <c r="AG82" s="839">
        <f t="shared" si="49"/>
        <v>0</v>
      </c>
      <c r="AH82" s="178">
        <f t="shared" si="42"/>
        <v>6</v>
      </c>
      <c r="AI82" s="227">
        <f t="shared" si="43"/>
        <v>0.51226559844881203</v>
      </c>
      <c r="AJ82" s="267" t="b">
        <f t="shared" si="44"/>
        <v>0</v>
      </c>
      <c r="AK82" s="267" t="b">
        <f t="shared" si="45"/>
        <v>0</v>
      </c>
      <c r="AL82" s="267"/>
      <c r="AM82" s="267"/>
      <c r="AN82" s="75"/>
    </row>
    <row r="83" spans="1:40" s="6" customFormat="1" ht="11.25" x14ac:dyDescent="0.2">
      <c r="A83" s="56">
        <f t="shared" si="46"/>
        <v>44995</v>
      </c>
      <c r="B83" s="413">
        <f>'2022'!Wh/'2022'!Env_an*'2023'!Env_an</f>
        <v>20.117200607929114</v>
      </c>
      <c r="C83" s="868"/>
      <c r="D83" s="395">
        <f t="shared" si="25"/>
        <v>20.920263892057338</v>
      </c>
      <c r="E83" s="387">
        <f t="shared" si="47"/>
        <v>22.030226756823097</v>
      </c>
      <c r="F83" s="387">
        <f t="shared" si="26"/>
        <v>22.130513744786139</v>
      </c>
      <c r="G83" s="110">
        <f t="shared" si="48"/>
        <v>0.53324779945054346</v>
      </c>
      <c r="H83" s="416" t="b">
        <f>Wh_hp&gt;='2022'!Maxi_hp</f>
        <v>0</v>
      </c>
      <c r="I83" s="392">
        <f>IF(H83,Wh_hp,'2022'!Maxi_hp)</f>
        <v>39.134897044525324</v>
      </c>
      <c r="J83" s="85">
        <f>IF(H83,An,'2022'!An_max)</f>
        <v>2021</v>
      </c>
      <c r="K83" s="199">
        <f t="shared" si="27"/>
        <v>44995</v>
      </c>
      <c r="L83" s="147">
        <f>IF(t&lt;Tvie,1-EXP((T0-t)*PertePVj)+'2022'!Pspv,1-EXP((T0-t)*PertePVj)+Pspv)</f>
        <v>3.8386862052591897E-2</v>
      </c>
      <c r="M83" s="872"/>
      <c r="N83" s="872"/>
      <c r="O83" s="48">
        <f>IF(t&lt;Tnet,'2022'!Resal+('2022'!Salim-'2022'!Resal)*(1-EXP(('2022'!Tnet-t)/('2022'!Tau_j))),Resal+(Salim-Resal)*(1-EXP((Tnet-t)/(Tau_j))))*Salcycl</f>
        <v>5.0383633224382801E-2</v>
      </c>
      <c r="P83" s="171">
        <f>(INDEX(Models!$BJ83:$BT83,,T83)*(1-R83)+INDEX(Models!$BJ83:$BT83,,T83+1)*R83-ERP_i)*Q83*Ramure*Pc/MaxiM</f>
        <v>1.3328175158088646E-2</v>
      </c>
      <c r="Q83" s="307">
        <f t="shared" si="28"/>
        <v>0.9</v>
      </c>
      <c r="R83" s="179">
        <f t="shared" si="29"/>
        <v>0.51279377820895311</v>
      </c>
      <c r="S83" s="839">
        <f t="shared" si="30"/>
        <v>0</v>
      </c>
      <c r="T83" s="178">
        <f t="shared" si="31"/>
        <v>6</v>
      </c>
      <c r="U83" s="253">
        <f t="shared" si="32"/>
        <v>0.51279377820895311</v>
      </c>
      <c r="V83" s="385">
        <f t="shared" si="33"/>
        <v>37.392433510621323</v>
      </c>
      <c r="W83" s="404">
        <f t="shared" si="34"/>
        <v>20.117200607929114</v>
      </c>
      <c r="X83" s="157">
        <f t="shared" si="35"/>
        <v>44995</v>
      </c>
      <c r="Y83" s="387">
        <f t="shared" si="36"/>
        <v>18.015782430503322</v>
      </c>
      <c r="Z83" s="387">
        <f t="shared" si="37"/>
        <v>18.734958705908017</v>
      </c>
      <c r="AA83" s="388">
        <f t="shared" si="38"/>
        <v>22.030226756823097</v>
      </c>
      <c r="AB83" s="199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0.14957939776514037</v>
      </c>
      <c r="AD83" s="233">
        <f>(INDEX(Models!$BJ83:$BT83,,AH83)*(1-AF83)+INDEX(Models!$BJ83:$BT83,,AH83+1)*AF83-ERP_i)*AE83*Ramure*Pc/MaxiM</f>
        <v>1.3328175158088646E-2</v>
      </c>
      <c r="AE83" s="307">
        <f t="shared" si="40"/>
        <v>0.9</v>
      </c>
      <c r="AF83" s="179">
        <f t="shared" si="41"/>
        <v>0.51279377820895311</v>
      </c>
      <c r="AG83" s="839">
        <f t="shared" si="49"/>
        <v>0</v>
      </c>
      <c r="AH83" s="178">
        <f t="shared" si="42"/>
        <v>6</v>
      </c>
      <c r="AI83" s="227">
        <f t="shared" si="43"/>
        <v>0.51279377820895311</v>
      </c>
      <c r="AJ83" s="267" t="b">
        <f t="shared" si="44"/>
        <v>0</v>
      </c>
      <c r="AK83" s="267" t="b">
        <f t="shared" si="45"/>
        <v>0</v>
      </c>
      <c r="AL83" s="267"/>
      <c r="AM83" s="267"/>
      <c r="AN83" s="75"/>
    </row>
    <row r="84" spans="1:40" s="6" customFormat="1" ht="11.25" x14ac:dyDescent="0.2">
      <c r="A84" s="56">
        <f t="shared" si="46"/>
        <v>44996</v>
      </c>
      <c r="B84" s="413">
        <f>'2022'!Wh/'2022'!Env_an*'2023'!Env_an</f>
        <v>14.311744388322291</v>
      </c>
      <c r="C84" s="868"/>
      <c r="D84" s="395">
        <f t="shared" si="25"/>
        <v>14.883404652543264</v>
      </c>
      <c r="E84" s="387">
        <f t="shared" si="47"/>
        <v>15.676163680430113</v>
      </c>
      <c r="F84" s="387">
        <f t="shared" si="26"/>
        <v>15.698745756740259</v>
      </c>
      <c r="G84" s="110">
        <f t="shared" si="48"/>
        <v>0.37408170991552703</v>
      </c>
      <c r="H84" s="416" t="b">
        <f>Wh_hp&gt;='2022'!Maxi_hp</f>
        <v>0</v>
      </c>
      <c r="I84" s="392">
        <f>IF(H84,Wh_hp,'2022'!Maxi_hp)</f>
        <v>33.079373904008349</v>
      </c>
      <c r="J84" s="85">
        <f>IF(H84,An,'2022'!An_max)</f>
        <v>2019</v>
      </c>
      <c r="K84" s="199">
        <f t="shared" si="27"/>
        <v>44996</v>
      </c>
      <c r="L84" s="147">
        <f>IF(t&lt;Tvie,1-EXP((T0-t)*PertePVj)+'2022'!Pspv,1-EXP((T0-t)*PertePVj)+Pspv)</f>
        <v>3.8409240195138361E-2</v>
      </c>
      <c r="M84" s="872"/>
      <c r="N84" s="872"/>
      <c r="O84" s="48">
        <f>IF(t&lt;Tnet,'2022'!Resal+('2022'!Salim-'2022'!Resal)*(1-EXP(('2022'!Tnet-t)/('2022'!Tau_j))),Resal+(Salim-Resal)*(1-EXP((Tnet-t)/(Tau_j))))*Salcycl</f>
        <v>5.0570984333145025E-2</v>
      </c>
      <c r="P84" s="171">
        <f>(INDEX(Models!$BJ84:$BT84,,T84)*(1-R84)+INDEX(Models!$BJ84:$BT84,,T84+1)*R84-ERP_i)*Q84*Ramure*Pc/MaxiM</f>
        <v>1.2842870363159609E-2</v>
      </c>
      <c r="Q84" s="307">
        <f t="shared" si="28"/>
        <v>0.9</v>
      </c>
      <c r="R84" s="179">
        <f t="shared" si="29"/>
        <v>0.51334310833377095</v>
      </c>
      <c r="S84" s="839">
        <f t="shared" si="30"/>
        <v>0</v>
      </c>
      <c r="T84" s="178">
        <f t="shared" si="31"/>
        <v>6</v>
      </c>
      <c r="U84" s="253">
        <f t="shared" si="32"/>
        <v>0.51334310833377095</v>
      </c>
      <c r="V84" s="385">
        <f t="shared" si="33"/>
        <v>37.821395542017179</v>
      </c>
      <c r="W84" s="404">
        <f t="shared" si="34"/>
        <v>14.311744388322291</v>
      </c>
      <c r="X84" s="157">
        <f t="shared" si="35"/>
        <v>44996</v>
      </c>
      <c r="Y84" s="387">
        <f t="shared" si="36"/>
        <v>12.818058370234853</v>
      </c>
      <c r="Z84" s="387">
        <f t="shared" si="37"/>
        <v>13.330055680689005</v>
      </c>
      <c r="AA84" s="388">
        <f t="shared" si="38"/>
        <v>15.676163680430113</v>
      </c>
      <c r="AB84" s="199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0.14966085118580091</v>
      </c>
      <c r="AD84" s="233">
        <f>(INDEX(Models!$BJ84:$BT84,,AH84)*(1-AF84)+INDEX(Models!$BJ84:$BT84,,AH84+1)*AF84-ERP_i)*AE84*Ramure*Pc/MaxiM</f>
        <v>1.2842870363159609E-2</v>
      </c>
      <c r="AE84" s="307">
        <f t="shared" si="40"/>
        <v>0.9</v>
      </c>
      <c r="AF84" s="179">
        <f t="shared" si="41"/>
        <v>0.51334310833377095</v>
      </c>
      <c r="AG84" s="839">
        <f t="shared" si="49"/>
        <v>0</v>
      </c>
      <c r="AH84" s="178">
        <f t="shared" si="42"/>
        <v>6</v>
      </c>
      <c r="AI84" s="227">
        <f t="shared" si="43"/>
        <v>0.51334310833377095</v>
      </c>
      <c r="AJ84" s="267" t="b">
        <f t="shared" si="44"/>
        <v>0</v>
      </c>
      <c r="AK84" s="267" t="b">
        <f t="shared" si="45"/>
        <v>0</v>
      </c>
      <c r="AL84" s="267"/>
      <c r="AM84" s="267"/>
      <c r="AN84" s="75"/>
    </row>
    <row r="85" spans="1:40" s="6" customFormat="1" ht="11.25" x14ac:dyDescent="0.2">
      <c r="A85" s="56">
        <f t="shared" si="46"/>
        <v>44997</v>
      </c>
      <c r="B85" s="413">
        <f>'2022'!Wh/'2022'!Env_an*'2023'!Env_an</f>
        <v>13.568814328628015</v>
      </c>
      <c r="C85" s="868"/>
      <c r="D85" s="395">
        <f t="shared" si="25"/>
        <v>14.111127799171381</v>
      </c>
      <c r="E85" s="387">
        <f t="shared" si="47"/>
        <v>14.865684398006124</v>
      </c>
      <c r="F85" s="387">
        <f t="shared" si="26"/>
        <v>14.880124271316712</v>
      </c>
      <c r="G85" s="110">
        <f t="shared" si="48"/>
        <v>0.35068166174835647</v>
      </c>
      <c r="H85" s="416" t="b">
        <f>Wh_hp&gt;='2022'!Maxi_hp</f>
        <v>0</v>
      </c>
      <c r="I85" s="392">
        <f>IF(H85,Wh_hp,'2022'!Maxi_hp)</f>
        <v>39.985849154638863</v>
      </c>
      <c r="J85" s="85">
        <f>IF(H85,An,'2022'!An_max)</f>
        <v>2020</v>
      </c>
      <c r="K85" s="199">
        <f t="shared" si="27"/>
        <v>44997</v>
      </c>
      <c r="L85" s="147">
        <f>IF(t&lt;Tvie,1-EXP((T0-t)*PertePVj)+'2022'!Pspv,1-EXP((T0-t)*PertePVj)+Pspv)</f>
        <v>3.8431617816912622E-2</v>
      </c>
      <c r="M85" s="872"/>
      <c r="N85" s="872"/>
      <c r="O85" s="48">
        <f>IF(t&lt;Tnet,'2022'!Resal+('2022'!Salim-'2022'!Resal)*(1-EXP(('2022'!Tnet-t)/('2022'!Tau_j))),Resal+(Salim-Resal)*(1-EXP((Tnet-t)/(Tau_j))))*Salcycl</f>
        <v>5.0758281868001194E-2</v>
      </c>
      <c r="P85" s="171">
        <f>(INDEX(Models!$BJ85:$BT85,,T85)*(1-R85)+INDEX(Models!$BJ85:$BT85,,T85+1)*R85-ERP_i)*Q85*Ramure*Pc/MaxiM</f>
        <v>1.2408645511243993E-2</v>
      </c>
      <c r="Q85" s="307">
        <f t="shared" si="28"/>
        <v>0.9</v>
      </c>
      <c r="R85" s="179">
        <f t="shared" si="29"/>
        <v>0.51391439285421192</v>
      </c>
      <c r="S85" s="839">
        <f t="shared" si="30"/>
        <v>0</v>
      </c>
      <c r="T85" s="178">
        <f t="shared" si="31"/>
        <v>6</v>
      </c>
      <c r="U85" s="253">
        <f t="shared" si="32"/>
        <v>0.51391439285421192</v>
      </c>
      <c r="V85" s="385">
        <f t="shared" si="33"/>
        <v>38.249677093392506</v>
      </c>
      <c r="W85" s="404">
        <f t="shared" si="34"/>
        <v>13.568814328628015</v>
      </c>
      <c r="X85" s="157">
        <f t="shared" si="35"/>
        <v>44997</v>
      </c>
      <c r="Y85" s="387">
        <f t="shared" si="36"/>
        <v>12.153895130388994</v>
      </c>
      <c r="Z85" s="387">
        <f t="shared" si="37"/>
        <v>12.639657621432516</v>
      </c>
      <c r="AA85" s="388">
        <f t="shared" si="38"/>
        <v>14.865684398006124</v>
      </c>
      <c r="AB85" s="199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0.14974263659681733</v>
      </c>
      <c r="AD85" s="233">
        <f>(INDEX(Models!$BJ85:$BT85,,AH85)*(1-AF85)+INDEX(Models!$BJ85:$BT85,,AH85+1)*AF85-ERP_i)*AE85*Ramure*Pc/MaxiM</f>
        <v>1.2408645511243993E-2</v>
      </c>
      <c r="AE85" s="307">
        <f t="shared" si="40"/>
        <v>0.9</v>
      </c>
      <c r="AF85" s="179">
        <f t="shared" si="41"/>
        <v>0.51391439285421192</v>
      </c>
      <c r="AG85" s="839">
        <f t="shared" si="49"/>
        <v>0</v>
      </c>
      <c r="AH85" s="178">
        <f t="shared" si="42"/>
        <v>6</v>
      </c>
      <c r="AI85" s="227">
        <f t="shared" si="43"/>
        <v>0.51391439285421192</v>
      </c>
      <c r="AJ85" s="267" t="b">
        <f t="shared" si="44"/>
        <v>0</v>
      </c>
      <c r="AK85" s="267" t="b">
        <f t="shared" si="45"/>
        <v>0</v>
      </c>
      <c r="AL85" s="267"/>
      <c r="AM85" s="267"/>
      <c r="AN85" s="75"/>
    </row>
    <row r="86" spans="1:40" s="6" customFormat="1" ht="11.25" x14ac:dyDescent="0.2">
      <c r="A86" s="56">
        <f t="shared" si="46"/>
        <v>44998</v>
      </c>
      <c r="B86" s="413">
        <f>'2022'!Wh/'2022'!Env_an*'2023'!Env_an</f>
        <v>8.9612123377521922</v>
      </c>
      <c r="C86" s="868"/>
      <c r="D86" s="395">
        <f t="shared" si="25"/>
        <v>9.319587716437244</v>
      </c>
      <c r="E86" s="387">
        <f t="shared" si="47"/>
        <v>9.8198661876061415</v>
      </c>
      <c r="F86" s="387">
        <f t="shared" si="26"/>
        <v>9.8198661876061415</v>
      </c>
      <c r="G86" s="110">
        <f t="shared" si="48"/>
        <v>0.22890966047840736</v>
      </c>
      <c r="H86" s="416" t="b">
        <f>Wh_hp&gt;='2022'!Maxi_hp</f>
        <v>0</v>
      </c>
      <c r="I86" s="392">
        <f>IF(H86,Wh_hp,'2022'!Maxi_hp)</f>
        <v>40.053703033892276</v>
      </c>
      <c r="J86" s="85">
        <f>IF(H86,An,'2022'!An_max)</f>
        <v>2021</v>
      </c>
      <c r="K86" s="199">
        <f t="shared" si="27"/>
        <v>44998</v>
      </c>
      <c r="L86" s="147">
        <f>IF(t&lt;Tvie,1-EXP((T0-t)*PertePVj)+'2022'!Pspv,1-EXP((T0-t)*PertePVj)+Pspv)</f>
        <v>3.8453994917927004E-2</v>
      </c>
      <c r="M86" s="872"/>
      <c r="N86" s="872"/>
      <c r="O86" s="48">
        <f>IF(t&lt;Tnet,'2022'!Resal+('2022'!Salim-'2022'!Resal)*(1-EXP(('2022'!Tnet-t)/('2022'!Tau_j))),Resal+(Salim-Resal)*(1-EXP((Tnet-t)/(Tau_j))))*Salcycl</f>
        <v>5.0945548708220635E-2</v>
      </c>
      <c r="P86" s="171">
        <f>(INDEX(Models!$BJ86:$BT86,,T86)*(1-R86)+INDEX(Models!$BJ86:$BT86,,T86+1)*R86-ERP_i)*Q86*Ramure*Pc/MaxiM</f>
        <v>1.2028600067807621E-2</v>
      </c>
      <c r="Q86" s="307">
        <f t="shared" si="28"/>
        <v>0.9</v>
      </c>
      <c r="R86" s="179">
        <f t="shared" si="29"/>
        <v>0.51450846278783435</v>
      </c>
      <c r="S86" s="839">
        <f t="shared" si="30"/>
        <v>0</v>
      </c>
      <c r="T86" s="178">
        <f t="shared" si="31"/>
        <v>6</v>
      </c>
      <c r="U86" s="253">
        <f t="shared" si="32"/>
        <v>0.51450846278783435</v>
      </c>
      <c r="V86" s="385">
        <f t="shared" si="33"/>
        <v>38.676486959595984</v>
      </c>
      <c r="W86" s="404">
        <f t="shared" si="34"/>
        <v>8.9612123377521922</v>
      </c>
      <c r="X86" s="157">
        <f t="shared" si="35"/>
        <v>44998</v>
      </c>
      <c r="Y86" s="387">
        <f t="shared" si="36"/>
        <v>8.0275692609088978</v>
      </c>
      <c r="Z86" s="387">
        <f t="shared" si="37"/>
        <v>8.3486065341446682</v>
      </c>
      <c r="AA86" s="388">
        <f t="shared" si="38"/>
        <v>9.8198661876061415</v>
      </c>
      <c r="AB86" s="199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0.14982481689194307</v>
      </c>
      <c r="AD86" s="233">
        <f>(INDEX(Models!$BJ86:$BT86,,AH86)*(1-AF86)+INDEX(Models!$BJ86:$BT86,,AH86+1)*AF86-ERP_i)*AE86*Ramure*Pc/MaxiM</f>
        <v>1.2028600067807621E-2</v>
      </c>
      <c r="AE86" s="307">
        <f t="shared" si="40"/>
        <v>0.9</v>
      </c>
      <c r="AF86" s="179">
        <f t="shared" si="41"/>
        <v>0.51450846278783435</v>
      </c>
      <c r="AG86" s="839">
        <f t="shared" si="49"/>
        <v>0</v>
      </c>
      <c r="AH86" s="178">
        <f t="shared" si="42"/>
        <v>6</v>
      </c>
      <c r="AI86" s="227">
        <f t="shared" si="43"/>
        <v>0.51450846278783435</v>
      </c>
      <c r="AJ86" s="267" t="b">
        <f t="shared" si="44"/>
        <v>0</v>
      </c>
      <c r="AK86" s="267" t="b">
        <f t="shared" si="45"/>
        <v>0</v>
      </c>
      <c r="AL86" s="267"/>
      <c r="AM86" s="267"/>
      <c r="AN86" s="75"/>
    </row>
    <row r="87" spans="1:40" s="6" customFormat="1" ht="11.25" x14ac:dyDescent="0.2">
      <c r="A87" s="56">
        <f t="shared" si="46"/>
        <v>44999</v>
      </c>
      <c r="B87" s="413">
        <f>'2022'!Wh/'2022'!Env_an*'2023'!Env_an</f>
        <v>12.345249296014339</v>
      </c>
      <c r="C87" s="868"/>
      <c r="D87" s="395">
        <f t="shared" si="25"/>
        <v>12.83925733083651</v>
      </c>
      <c r="E87" s="387">
        <f t="shared" si="47"/>
        <v>13.53114266459758</v>
      </c>
      <c r="F87" s="387">
        <f t="shared" si="26"/>
        <v>13.534693624526589</v>
      </c>
      <c r="G87" s="110">
        <f t="shared" si="48"/>
        <v>0.31211301274756559</v>
      </c>
      <c r="H87" s="416" t="b">
        <f>Wh_hp&gt;='2022'!Maxi_hp</f>
        <v>0</v>
      </c>
      <c r="I87" s="392">
        <f>IF(H87,Wh_hp,'2022'!Maxi_hp)</f>
        <v>37.84988818165337</v>
      </c>
      <c r="J87" s="85">
        <f>IF(H87,An,'2022'!An_max)</f>
        <v>2020</v>
      </c>
      <c r="K87" s="199">
        <f t="shared" si="27"/>
        <v>44999</v>
      </c>
      <c r="L87" s="147">
        <f>IF(t&lt;Tvie,1-EXP((T0-t)*PertePVj)+'2022'!Pspv,1-EXP((T0-t)*PertePVj)+Pspv)</f>
        <v>3.8476371498193607E-2</v>
      </c>
      <c r="M87" s="872"/>
      <c r="N87" s="872"/>
      <c r="O87" s="48">
        <f>IF(t&lt;Tnet,'2022'!Resal+('2022'!Salim-'2022'!Resal)*(1-EXP(('2022'!Tnet-t)/('2022'!Tau_j))),Resal+(Salim-Resal)*(1-EXP((Tnet-t)/(Tau_j))))*Salcycl</f>
        <v>5.1132809025160444E-2</v>
      </c>
      <c r="P87" s="171">
        <f>(INDEX(Models!$BJ87:$BT87,,T87)*(1-R87)+INDEX(Models!$BJ87:$BT87,,T87+1)*R87-ERP_i)*Q87*Ramure*Pc/MaxiM</f>
        <v>1.1682941489216774E-2</v>
      </c>
      <c r="Q87" s="307">
        <f t="shared" si="28"/>
        <v>0.9</v>
      </c>
      <c r="R87" s="179">
        <f t="shared" si="29"/>
        <v>0.51512617674198968</v>
      </c>
      <c r="S87" s="839">
        <f t="shared" si="30"/>
        <v>0</v>
      </c>
      <c r="T87" s="178">
        <f t="shared" si="31"/>
        <v>6</v>
      </c>
      <c r="U87" s="253">
        <f t="shared" si="32"/>
        <v>0.51512617674198968</v>
      </c>
      <c r="V87" s="385">
        <f t="shared" si="33"/>
        <v>39.101933819098114</v>
      </c>
      <c r="W87" s="404">
        <f t="shared" si="34"/>
        <v>12.345249296014339</v>
      </c>
      <c r="X87" s="157">
        <f t="shared" si="35"/>
        <v>44999</v>
      </c>
      <c r="Y87" s="387">
        <f t="shared" si="36"/>
        <v>11.06014040283118</v>
      </c>
      <c r="Z87" s="387">
        <f t="shared" si="37"/>
        <v>11.502723464075956</v>
      </c>
      <c r="AA87" s="388">
        <f t="shared" si="38"/>
        <v>13.53114266459758</v>
      </c>
      <c r="AB87" s="199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0.14990745798791341</v>
      </c>
      <c r="AD87" s="233">
        <f>(INDEX(Models!$BJ87:$BT87,,AH87)*(1-AF87)+INDEX(Models!$BJ87:$BT87,,AH87+1)*AF87-ERP_i)*AE87*Ramure*Pc/MaxiM</f>
        <v>1.1682941489216774E-2</v>
      </c>
      <c r="AE87" s="307">
        <f t="shared" si="40"/>
        <v>0.9</v>
      </c>
      <c r="AF87" s="179">
        <f t="shared" si="41"/>
        <v>0.51512617674198968</v>
      </c>
      <c r="AG87" s="839">
        <f t="shared" si="49"/>
        <v>0</v>
      </c>
      <c r="AH87" s="178">
        <f t="shared" si="42"/>
        <v>6</v>
      </c>
      <c r="AI87" s="227">
        <f t="shared" si="43"/>
        <v>0.51512617674198968</v>
      </c>
      <c r="AJ87" s="267" t="b">
        <f t="shared" si="44"/>
        <v>0</v>
      </c>
      <c r="AK87" s="267" t="b">
        <f t="shared" si="45"/>
        <v>0</v>
      </c>
      <c r="AL87" s="267"/>
      <c r="AM87" s="267"/>
      <c r="AN87" s="75"/>
    </row>
    <row r="88" spans="1:40" s="6" customFormat="1" ht="11.25" x14ac:dyDescent="0.2">
      <c r="A88" s="56">
        <f t="shared" si="46"/>
        <v>45000</v>
      </c>
      <c r="B88" s="413">
        <f>'2022'!Wh/'2022'!Env_an*'2023'!Env_an</f>
        <v>14.268607867453655</v>
      </c>
      <c r="C88" s="868"/>
      <c r="D88" s="395">
        <f t="shared" si="25"/>
        <v>14.839926449612484</v>
      </c>
      <c r="E88" s="387">
        <f t="shared" si="47"/>
        <v>15.642711799171948</v>
      </c>
      <c r="F88" s="387">
        <f t="shared" si="26"/>
        <v>15.658226883070958</v>
      </c>
      <c r="G88" s="110">
        <f t="shared" si="48"/>
        <v>0.35724756197247975</v>
      </c>
      <c r="H88" s="416" t="b">
        <f>Wh_hp&gt;='2022'!Maxi_hp</f>
        <v>0</v>
      </c>
      <c r="I88" s="392">
        <f>IF(H88,Wh_hp,'2022'!Maxi_hp)</f>
        <v>32.044042478479284</v>
      </c>
      <c r="J88" s="85">
        <f>IF(H88,An,'2022'!An_max)</f>
        <v>2020</v>
      </c>
      <c r="K88" s="199">
        <f t="shared" si="27"/>
        <v>45000</v>
      </c>
      <c r="L88" s="147">
        <f>IF(t&lt;Tvie,1-EXP((T0-t)*PertePVj)+'2022'!Pspv,1-EXP((T0-t)*PertePVj)+Pspv)</f>
        <v>3.8498747557724422E-2</v>
      </c>
      <c r="M88" s="872"/>
      <c r="N88" s="872"/>
      <c r="O88" s="48">
        <f>IF(t&lt;Tnet,'2022'!Resal+('2022'!Salim-'2022'!Resal)*(1-EXP(('2022'!Tnet-t)/('2022'!Tau_j))),Resal+(Salim-Resal)*(1-EXP((Tnet-t)/(Tau_j))))*Salcycl</f>
        <v>5.1320088221657338E-2</v>
      </c>
      <c r="P88" s="171">
        <f>(INDEX(Models!$BJ88:$BT88,,T88)*(1-R88)+INDEX(Models!$BJ88:$BT88,,T88+1)*R88-ERP_i)*Q88*Ramure*Pc/MaxiM</f>
        <v>1.1370799318003258E-2</v>
      </c>
      <c r="Q88" s="307">
        <f t="shared" si="28"/>
        <v>0.9</v>
      </c>
      <c r="R88" s="179">
        <f t="shared" si="29"/>
        <v>0.51576842150300251</v>
      </c>
      <c r="S88" s="839">
        <f t="shared" si="30"/>
        <v>0</v>
      </c>
      <c r="T88" s="178">
        <f t="shared" si="31"/>
        <v>6</v>
      </c>
      <c r="U88" s="253">
        <f t="shared" si="32"/>
        <v>0.51576842150300251</v>
      </c>
      <c r="V88" s="385">
        <f t="shared" si="33"/>
        <v>39.525402447398733</v>
      </c>
      <c r="W88" s="404">
        <f t="shared" si="34"/>
        <v>14.268607867453655</v>
      </c>
      <c r="X88" s="157">
        <f t="shared" si="35"/>
        <v>45000</v>
      </c>
      <c r="Y88" s="387">
        <f t="shared" si="36"/>
        <v>12.784554888873949</v>
      </c>
      <c r="Z88" s="387">
        <f t="shared" si="37"/>
        <v>13.296451623334187</v>
      </c>
      <c r="AA88" s="388">
        <f t="shared" si="38"/>
        <v>15.642711799171948</v>
      </c>
      <c r="AB88" s="199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0.14999062860455964</v>
      </c>
      <c r="AD88" s="233">
        <f>(INDEX(Models!$BJ88:$BT88,,AH88)*(1-AF88)+INDEX(Models!$BJ88:$BT88,,AH88+1)*AF88-ERP_i)*AE88*Ramure*Pc/MaxiM</f>
        <v>1.1370799318003258E-2</v>
      </c>
      <c r="AE88" s="307">
        <f t="shared" si="40"/>
        <v>0.9</v>
      </c>
      <c r="AF88" s="179">
        <f t="shared" si="41"/>
        <v>0.51576842150300251</v>
      </c>
      <c r="AG88" s="839">
        <f t="shared" si="49"/>
        <v>0</v>
      </c>
      <c r="AH88" s="178">
        <f t="shared" si="42"/>
        <v>6</v>
      </c>
      <c r="AI88" s="227">
        <f t="shared" si="43"/>
        <v>0.51576842150300251</v>
      </c>
      <c r="AJ88" s="267" t="b">
        <f t="shared" si="44"/>
        <v>0</v>
      </c>
      <c r="AK88" s="267" t="b">
        <f t="shared" si="45"/>
        <v>0</v>
      </c>
      <c r="AL88" s="267"/>
      <c r="AM88" s="267"/>
      <c r="AN88" s="75"/>
    </row>
    <row r="89" spans="1:40" s="6" customFormat="1" ht="11.25" x14ac:dyDescent="0.2">
      <c r="A89" s="56">
        <f t="shared" si="46"/>
        <v>45001</v>
      </c>
      <c r="B89" s="413">
        <f>'2022'!Wh/'2022'!Env_an*'2023'!Env_an</f>
        <v>12.524298371256858</v>
      </c>
      <c r="C89" s="868"/>
      <c r="D89" s="395">
        <f t="shared" si="25"/>
        <v>13.026077506343686</v>
      </c>
      <c r="E89" s="387">
        <f t="shared" si="47"/>
        <v>13.733452093395764</v>
      </c>
      <c r="F89" s="387">
        <f t="shared" si="26"/>
        <v>13.736396578968559</v>
      </c>
      <c r="G89" s="110">
        <f t="shared" si="48"/>
        <v>0.31011757248740435</v>
      </c>
      <c r="H89" s="416" t="b">
        <f>Wh_hp&gt;='2022'!Maxi_hp</f>
        <v>0</v>
      </c>
      <c r="I89" s="392">
        <f>IF(H89,Wh_hp,'2022'!Maxi_hp)</f>
        <v>45.869563285625219</v>
      </c>
      <c r="J89" s="85">
        <f>IF(H89,An,'2022'!An_max)</f>
        <v>2020</v>
      </c>
      <c r="K89" s="199">
        <f t="shared" si="27"/>
        <v>45001</v>
      </c>
      <c r="L89" s="147">
        <f>IF(t&lt;Tvie,1-EXP((T0-t)*PertePVj)+'2022'!Pspv,1-EXP((T0-t)*PertePVj)+Pspv)</f>
        <v>3.8521123096531773E-2</v>
      </c>
      <c r="M89" s="872"/>
      <c r="N89" s="872"/>
      <c r="O89" s="48">
        <f>IF(t&lt;Tnet,'2022'!Resal+('2022'!Salim-'2022'!Resal)*(1-EXP(('2022'!Tnet-t)/('2022'!Tau_j))),Resal+(Salim-Resal)*(1-EXP((Tnet-t)/(Tau_j))))*Salcycl</f>
        <v>5.1507412866153728E-2</v>
      </c>
      <c r="P89" s="171">
        <f>(INDEX(Models!$BJ89:$BT89,,T89)*(1-R89)+INDEX(Models!$BJ89:$BT89,,T89+1)*R89-ERP_i)*Q89*Ramure*Pc/MaxiM</f>
        <v>1.1091328410374118E-2</v>
      </c>
      <c r="Q89" s="307">
        <f t="shared" si="28"/>
        <v>0.9</v>
      </c>
      <c r="R89" s="179">
        <f t="shared" si="29"/>
        <v>0.51643611260811628</v>
      </c>
      <c r="S89" s="839">
        <f t="shared" si="30"/>
        <v>0</v>
      </c>
      <c r="T89" s="178">
        <f t="shared" si="31"/>
        <v>6</v>
      </c>
      <c r="U89" s="253">
        <f t="shared" si="32"/>
        <v>0.51643611260811628</v>
      </c>
      <c r="V89" s="385">
        <f t="shared" si="33"/>
        <v>39.946277867261514</v>
      </c>
      <c r="W89" s="404">
        <f t="shared" si="34"/>
        <v>12.524298371256858</v>
      </c>
      <c r="X89" s="157">
        <f t="shared" si="35"/>
        <v>45001</v>
      </c>
      <c r="Y89" s="387">
        <f t="shared" si="36"/>
        <v>11.222778070950373</v>
      </c>
      <c r="Z89" s="387">
        <f t="shared" si="37"/>
        <v>11.672412510084849</v>
      </c>
      <c r="AA89" s="388">
        <f t="shared" si="38"/>
        <v>13.733452093395764</v>
      </c>
      <c r="AB89" s="199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0.15007440003391742</v>
      </c>
      <c r="AD89" s="233">
        <f>(INDEX(Models!$BJ89:$BT89,,AH89)*(1-AF89)+INDEX(Models!$BJ89:$BT89,,AH89+1)*AF89-ERP_i)*AE89*Ramure*Pc/MaxiM</f>
        <v>1.1091328410374118E-2</v>
      </c>
      <c r="AE89" s="307">
        <f t="shared" si="40"/>
        <v>0.9</v>
      </c>
      <c r="AF89" s="179">
        <f t="shared" si="41"/>
        <v>0.51643611260811628</v>
      </c>
      <c r="AG89" s="839">
        <f t="shared" si="49"/>
        <v>0</v>
      </c>
      <c r="AH89" s="178">
        <f t="shared" si="42"/>
        <v>6</v>
      </c>
      <c r="AI89" s="227">
        <f t="shared" si="43"/>
        <v>0.51643611260811628</v>
      </c>
      <c r="AJ89" s="267" t="b">
        <f t="shared" si="44"/>
        <v>0</v>
      </c>
      <c r="AK89" s="267" t="b">
        <f t="shared" si="45"/>
        <v>0</v>
      </c>
      <c r="AL89" s="267"/>
      <c r="AM89" s="267"/>
      <c r="AN89" s="75"/>
    </row>
    <row r="90" spans="1:40" s="6" customFormat="1" ht="11.25" x14ac:dyDescent="0.2">
      <c r="A90" s="56">
        <f t="shared" si="46"/>
        <v>45002</v>
      </c>
      <c r="B90" s="413">
        <f>'2022'!Wh/'2022'!Env_an*'2023'!Env_an</f>
        <v>10.984785833715222</v>
      </c>
      <c r="C90" s="868"/>
      <c r="D90" s="395">
        <f t="shared" si="25"/>
        <v>11.425151124543396</v>
      </c>
      <c r="E90" s="387">
        <f t="shared" si="47"/>
        <v>12.047968578596331</v>
      </c>
      <c r="F90" s="387">
        <f t="shared" si="26"/>
        <v>12.047968578596331</v>
      </c>
      <c r="G90" s="110">
        <f t="shared" si="48"/>
        <v>0.26919246573393529</v>
      </c>
      <c r="H90" s="416" t="b">
        <f>Wh_hp&gt;='2022'!Maxi_hp</f>
        <v>0</v>
      </c>
      <c r="I90" s="392">
        <f>IF(H90,Wh_hp,'2022'!Maxi_hp)</f>
        <v>24.974741617292128</v>
      </c>
      <c r="J90" s="85">
        <f>IF(H90,An,'2022'!An_max)</f>
        <v>2021</v>
      </c>
      <c r="K90" s="199">
        <f t="shared" si="27"/>
        <v>45002</v>
      </c>
      <c r="L90" s="147">
        <f>IF(t&lt;Tvie,1-EXP((T0-t)*PertePVj)+'2022'!Pspv,1-EXP((T0-t)*PertePVj)+Pspv)</f>
        <v>3.8543498114627539E-2</v>
      </c>
      <c r="M90" s="872"/>
      <c r="N90" s="872"/>
      <c r="O90" s="48">
        <f>IF(t&lt;Tnet,'2022'!Resal+('2022'!Salim-'2022'!Resal)*(1-EXP(('2022'!Tnet-t)/('2022'!Tau_j))),Resal+(Salim-Resal)*(1-EXP((Tnet-t)/(Tau_j))))*Salcycl</f>
        <v>5.1694810622215016E-2</v>
      </c>
      <c r="P90" s="171">
        <f>(INDEX(Models!$BJ90:$BT90,,T90)*(1-R90)+INDEX(Models!$BJ90:$BT90,,T90+1)*R90-ERP_i)*Q90*Ramure*Pc/MaxiM</f>
        <v>1.0843712622903531E-2</v>
      </c>
      <c r="Q90" s="307">
        <f t="shared" si="28"/>
        <v>0.9</v>
      </c>
      <c r="R90" s="179">
        <f t="shared" si="29"/>
        <v>0.5171301948966931</v>
      </c>
      <c r="S90" s="839">
        <f t="shared" si="30"/>
        <v>0</v>
      </c>
      <c r="T90" s="178">
        <f t="shared" si="31"/>
        <v>6</v>
      </c>
      <c r="U90" s="253">
        <f t="shared" si="32"/>
        <v>0.5171301948966931</v>
      </c>
      <c r="V90" s="385">
        <f t="shared" si="33"/>
        <v>40.363945340319049</v>
      </c>
      <c r="W90" s="404">
        <f t="shared" si="34"/>
        <v>10.984785833715222</v>
      </c>
      <c r="X90" s="157">
        <f t="shared" si="35"/>
        <v>45002</v>
      </c>
      <c r="Y90" s="387">
        <f t="shared" si="36"/>
        <v>9.8442180587308901</v>
      </c>
      <c r="Z90" s="387">
        <f t="shared" si="37"/>
        <v>10.238859521389502</v>
      </c>
      <c r="AA90" s="388">
        <f t="shared" si="38"/>
        <v>12.047968578596331</v>
      </c>
      <c r="AB90" s="199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0.15015884590044321</v>
      </c>
      <c r="AD90" s="233">
        <f>(INDEX(Models!$BJ90:$BT90,,AH90)*(1-AF90)+INDEX(Models!$BJ90:$BT90,,AH90+1)*AF90-ERP_i)*AE90*Ramure*Pc/MaxiM</f>
        <v>1.0843712622903531E-2</v>
      </c>
      <c r="AE90" s="307">
        <f t="shared" si="40"/>
        <v>0.9</v>
      </c>
      <c r="AF90" s="179">
        <f t="shared" si="41"/>
        <v>0.5171301948966931</v>
      </c>
      <c r="AG90" s="839">
        <f t="shared" si="49"/>
        <v>0</v>
      </c>
      <c r="AH90" s="178">
        <f t="shared" si="42"/>
        <v>6</v>
      </c>
      <c r="AI90" s="227">
        <f t="shared" si="43"/>
        <v>0.5171301948966931</v>
      </c>
      <c r="AJ90" s="267" t="b">
        <f t="shared" si="44"/>
        <v>0</v>
      </c>
      <c r="AK90" s="267" t="b">
        <f t="shared" si="45"/>
        <v>0</v>
      </c>
      <c r="AL90" s="267"/>
      <c r="AM90" s="267"/>
      <c r="AN90" s="75"/>
    </row>
    <row r="91" spans="1:40" s="6" customFormat="1" ht="11.25" x14ac:dyDescent="0.2">
      <c r="A91" s="56">
        <f t="shared" si="46"/>
        <v>45003</v>
      </c>
      <c r="B91" s="413">
        <f>'2022'!Wh/'2022'!Env_an*'2023'!Env_an</f>
        <v>13.786901414744607</v>
      </c>
      <c r="C91" s="868"/>
      <c r="D91" s="395">
        <f t="shared" si="25"/>
        <v>14.339933461901188</v>
      </c>
      <c r="E91" s="387">
        <f t="shared" si="47"/>
        <v>15.124634437033325</v>
      </c>
      <c r="F91" s="387">
        <f t="shared" si="26"/>
        <v>15.133387523281703</v>
      </c>
      <c r="G91" s="110">
        <f t="shared" si="48"/>
        <v>0.33469885647794689</v>
      </c>
      <c r="H91" s="416" t="b">
        <f>Wh_hp&gt;='2022'!Maxi_hp</f>
        <v>0</v>
      </c>
      <c r="I91" s="392">
        <f>IF(H91,Wh_hp,'2022'!Maxi_hp)</f>
        <v>30.155899568656967</v>
      </c>
      <c r="J91" s="85">
        <f>IF(H91,An,'2022'!An_max)</f>
        <v>2019</v>
      </c>
      <c r="K91" s="199">
        <f t="shared" si="27"/>
        <v>45003</v>
      </c>
      <c r="L91" s="147">
        <f>IF(t&lt;Tvie,1-EXP((T0-t)*PertePVj)+'2022'!Pspv,1-EXP((T0-t)*PertePVj)+Pspv)</f>
        <v>3.8565872612023933E-2</v>
      </c>
      <c r="M91" s="872"/>
      <c r="N91" s="872"/>
      <c r="O91" s="48">
        <f>IF(t&lt;Tnet,'2022'!Resal+('2022'!Salim-'2022'!Resal)*(1-EXP(('2022'!Tnet-t)/('2022'!Tau_j))),Resal+(Salim-Resal)*(1-EXP((Tnet-t)/(Tau_j))))*Salcycl</f>
        <v>5.188231017410664E-2</v>
      </c>
      <c r="P91" s="171">
        <f>(INDEX(Models!$BJ91:$BT91,,T91)*(1-R91)+INDEX(Models!$BJ91:$BT91,,T91+1)*R91-ERP_i)*Q91*Ramure*Pc/MaxiM</f>
        <v>1.062716805666347E-2</v>
      </c>
      <c r="Q91" s="307">
        <f t="shared" si="28"/>
        <v>0.9</v>
      </c>
      <c r="R91" s="179">
        <f t="shared" si="29"/>
        <v>0.51785164303686404</v>
      </c>
      <c r="S91" s="839">
        <f t="shared" si="30"/>
        <v>0</v>
      </c>
      <c r="T91" s="178">
        <f t="shared" si="31"/>
        <v>6</v>
      </c>
      <c r="U91" s="253">
        <f t="shared" si="32"/>
        <v>0.51785164303686404</v>
      </c>
      <c r="V91" s="385">
        <f t="shared" si="33"/>
        <v>40.777790358718022</v>
      </c>
      <c r="W91" s="404">
        <f t="shared" si="34"/>
        <v>13.786901414744607</v>
      </c>
      <c r="X91" s="157">
        <f t="shared" si="35"/>
        <v>45003</v>
      </c>
      <c r="Y91" s="387">
        <f t="shared" si="36"/>
        <v>12.356590058844878</v>
      </c>
      <c r="Z91" s="387">
        <f t="shared" si="37"/>
        <v>12.852248226735261</v>
      </c>
      <c r="AA91" s="388">
        <f t="shared" si="38"/>
        <v>15.124634437033325</v>
      </c>
      <c r="AB91" s="199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0.15024404191442989</v>
      </c>
      <c r="AD91" s="233">
        <f>(INDEX(Models!$BJ91:$BT91,,AH91)*(1-AF91)+INDEX(Models!$BJ91:$BT91,,AH91+1)*AF91-ERP_i)*AE91*Ramure*Pc/MaxiM</f>
        <v>1.062716805666347E-2</v>
      </c>
      <c r="AE91" s="307">
        <f t="shared" si="40"/>
        <v>0.9</v>
      </c>
      <c r="AF91" s="179">
        <f t="shared" si="41"/>
        <v>0.51785164303686404</v>
      </c>
      <c r="AG91" s="839">
        <f t="shared" si="49"/>
        <v>0</v>
      </c>
      <c r="AH91" s="178">
        <f t="shared" si="42"/>
        <v>6</v>
      </c>
      <c r="AI91" s="227">
        <f t="shared" si="43"/>
        <v>0.51785164303686404</v>
      </c>
      <c r="AJ91" s="267" t="b">
        <f t="shared" si="44"/>
        <v>0</v>
      </c>
      <c r="AK91" s="267" t="b">
        <f t="shared" si="45"/>
        <v>0</v>
      </c>
      <c r="AL91" s="267"/>
      <c r="AM91" s="267"/>
      <c r="AN91" s="75"/>
    </row>
    <row r="92" spans="1:40" s="6" customFormat="1" ht="11.25" x14ac:dyDescent="0.2">
      <c r="A92" s="56">
        <f t="shared" si="46"/>
        <v>45004</v>
      </c>
      <c r="B92" s="413">
        <f>'2022'!Wh/'2022'!Env_an*'2023'!Env_an</f>
        <v>27.766748833809043</v>
      </c>
      <c r="C92" s="868"/>
      <c r="D92" s="395">
        <f t="shared" si="25"/>
        <v>28.881224652483681</v>
      </c>
      <c r="E92" s="387">
        <f t="shared" si="47"/>
        <v>30.467674680022327</v>
      </c>
      <c r="F92" s="387">
        <f t="shared" si="26"/>
        <v>30.638663855585175</v>
      </c>
      <c r="G92" s="110">
        <f t="shared" si="48"/>
        <v>0.67086480205102583</v>
      </c>
      <c r="H92" s="416" t="b">
        <f>Wh_hp&gt;='2022'!Maxi_hp</f>
        <v>0</v>
      </c>
      <c r="I92" s="392">
        <f>IF(H92,Wh_hp,'2022'!Maxi_hp)</f>
        <v>42.600345506877346</v>
      </c>
      <c r="J92" s="85">
        <f>IF(H92,An,'2022'!An_max)</f>
        <v>2020</v>
      </c>
      <c r="K92" s="199">
        <f t="shared" si="27"/>
        <v>45004</v>
      </c>
      <c r="L92" s="147">
        <f>IF(t&lt;Tvie,1-EXP((T0-t)*PertePVj)+'2022'!Pspv,1-EXP((T0-t)*PertePVj)+Pspv)</f>
        <v>3.8588246588733055E-2</v>
      </c>
      <c r="M92" s="872"/>
      <c r="N92" s="872"/>
      <c r="O92" s="48">
        <f>IF(t&lt;Tnet,'2022'!Resal+('2022'!Salim-'2022'!Resal)*(1-EXP(('2022'!Tnet-t)/('2022'!Tau_j))),Resal+(Salim-Resal)*(1-EXP((Tnet-t)/(Tau_j))))*Salcycl</f>
        <v>5.20699411490987E-2</v>
      </c>
      <c r="P92" s="171">
        <f>(INDEX(Models!$BJ92:$BT92,,T92)*(1-R92)+INDEX(Models!$BJ92:$BT92,,T92+1)*R92-ERP_i)*Q92*Ramure*Pc/MaxiM</f>
        <v>1.0440945909475753E-2</v>
      </c>
      <c r="Q92" s="307">
        <f t="shared" si="28"/>
        <v>0.9</v>
      </c>
      <c r="R92" s="179">
        <f t="shared" si="29"/>
        <v>0.51860146202351631</v>
      </c>
      <c r="S92" s="839">
        <f t="shared" si="30"/>
        <v>0</v>
      </c>
      <c r="T92" s="178">
        <f t="shared" si="31"/>
        <v>6</v>
      </c>
      <c r="U92" s="253">
        <f t="shared" si="32"/>
        <v>0.51860146202351631</v>
      </c>
      <c r="V92" s="385">
        <f t="shared" si="33"/>
        <v>41.187198635346853</v>
      </c>
      <c r="W92" s="404">
        <f t="shared" si="34"/>
        <v>27.766748833809043</v>
      </c>
      <c r="X92" s="157">
        <f t="shared" si="35"/>
        <v>45004</v>
      </c>
      <c r="Y92" s="387">
        <f t="shared" si="36"/>
        <v>24.888515180275508</v>
      </c>
      <c r="Z92" s="387">
        <f t="shared" si="37"/>
        <v>25.887467146065614</v>
      </c>
      <c r="AA92" s="388">
        <f t="shared" si="38"/>
        <v>30.467674680022327</v>
      </c>
      <c r="AB92" s="199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0.15033006562066123</v>
      </c>
      <c r="AD92" s="233">
        <f>(INDEX(Models!$BJ92:$BT92,,AH92)*(1-AF92)+INDEX(Models!$BJ92:$BT92,,AH92+1)*AF92-ERP_i)*AE92*Ramure*Pc/MaxiM</f>
        <v>1.0440945909475753E-2</v>
      </c>
      <c r="AE92" s="307">
        <f t="shared" si="40"/>
        <v>0.9</v>
      </c>
      <c r="AF92" s="179">
        <f t="shared" si="41"/>
        <v>0.51860146202351631</v>
      </c>
      <c r="AG92" s="839">
        <f t="shared" si="49"/>
        <v>0</v>
      </c>
      <c r="AH92" s="178">
        <f t="shared" si="42"/>
        <v>6</v>
      </c>
      <c r="AI92" s="227">
        <f t="shared" si="43"/>
        <v>0.51860146202351631</v>
      </c>
      <c r="AJ92" s="267" t="b">
        <f t="shared" si="44"/>
        <v>0</v>
      </c>
      <c r="AK92" s="267" t="b">
        <f t="shared" si="45"/>
        <v>0</v>
      </c>
      <c r="AL92" s="267"/>
      <c r="AM92" s="267"/>
      <c r="AN92" s="75"/>
    </row>
    <row r="93" spans="1:40" s="6" customFormat="1" ht="11.25" x14ac:dyDescent="0.2">
      <c r="A93" s="56">
        <f t="shared" si="46"/>
        <v>45005</v>
      </c>
      <c r="B93" s="413">
        <f>'2022'!Wh/'2022'!Env_an*'2023'!Env_an</f>
        <v>31.318561331150246</v>
      </c>
      <c r="C93" s="868"/>
      <c r="D93" s="395">
        <f t="shared" si="25"/>
        <v>32.576354580293568</v>
      </c>
      <c r="E93" s="387">
        <f t="shared" si="47"/>
        <v>34.372588150005299</v>
      </c>
      <c r="F93" s="387">
        <f t="shared" si="26"/>
        <v>34.602838096571027</v>
      </c>
      <c r="G93" s="110">
        <f t="shared" si="48"/>
        <v>0.75019209095645478</v>
      </c>
      <c r="H93" s="416" t="b">
        <f>Wh_hp&gt;='2022'!Maxi_hp</f>
        <v>0</v>
      </c>
      <c r="I93" s="392">
        <f>IF(H93,Wh_hp,'2022'!Maxi_hp)</f>
        <v>46.71339553405334</v>
      </c>
      <c r="J93" s="85">
        <f>IF(H93,An,'2022'!An_max)</f>
        <v>2019</v>
      </c>
      <c r="K93" s="199">
        <f t="shared" si="27"/>
        <v>45005</v>
      </c>
      <c r="L93" s="147">
        <f>IF(t&lt;Tvie,1-EXP((T0-t)*PertePVj)+'2022'!Pspv,1-EXP((T0-t)*PertePVj)+Pspv)</f>
        <v>3.8610620044767119E-2</v>
      </c>
      <c r="M93" s="872"/>
      <c r="N93" s="872"/>
      <c r="O93" s="48">
        <f>IF(t&lt;Tnet,'2022'!Resal+('2022'!Salim-'2022'!Resal)*(1-EXP(('2022'!Tnet-t)/('2022'!Tau_j))),Resal+(Salim-Resal)*(1-EXP((Tnet-t)/(Tau_j))))*Salcycl</f>
        <v>5.2257734037157555E-2</v>
      </c>
      <c r="P93" s="171">
        <f>(INDEX(Models!$BJ93:$BT93,,T93)*(1-R93)+INDEX(Models!$BJ93:$BT93,,T93+1)*R93-ERP_i)*Q93*Ramure*Pc/MaxiM</f>
        <v>1.0283528230032923E-2</v>
      </c>
      <c r="Q93" s="307">
        <f t="shared" si="28"/>
        <v>0.9</v>
      </c>
      <c r="R93" s="179">
        <f t="shared" si="29"/>
        <v>0.51938068764318213</v>
      </c>
      <c r="S93" s="839">
        <f t="shared" si="30"/>
        <v>0</v>
      </c>
      <c r="T93" s="178">
        <f t="shared" si="31"/>
        <v>6</v>
      </c>
      <c r="U93" s="253">
        <f t="shared" si="32"/>
        <v>0.51938068764318213</v>
      </c>
      <c r="V93" s="385">
        <f t="shared" si="33"/>
        <v>41.594854283179451</v>
      </c>
      <c r="W93" s="404">
        <f t="shared" si="34"/>
        <v>31.318561331150246</v>
      </c>
      <c r="X93" s="157">
        <f t="shared" si="35"/>
        <v>45005</v>
      </c>
      <c r="Y93" s="387">
        <f t="shared" si="36"/>
        <v>28.074845206071835</v>
      </c>
      <c r="Z93" s="387">
        <f t="shared" si="37"/>
        <v>29.202366690777406</v>
      </c>
      <c r="AA93" s="388">
        <f t="shared" si="38"/>
        <v>34.372588150005299</v>
      </c>
      <c r="AB93" s="199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0.15041699614426901</v>
      </c>
      <c r="AD93" s="233">
        <f>(INDEX(Models!$BJ93:$BT93,,AH93)*(1-AF93)+INDEX(Models!$BJ93:$BT93,,AH93+1)*AF93-ERP_i)*AE93*Ramure*Pc/MaxiM</f>
        <v>1.0283528230032923E-2</v>
      </c>
      <c r="AE93" s="307">
        <f t="shared" si="40"/>
        <v>0.9</v>
      </c>
      <c r="AF93" s="179">
        <f t="shared" si="41"/>
        <v>0.51938068764318213</v>
      </c>
      <c r="AG93" s="839">
        <f t="shared" si="49"/>
        <v>0</v>
      </c>
      <c r="AH93" s="178">
        <f t="shared" si="42"/>
        <v>6</v>
      </c>
      <c r="AI93" s="227">
        <f t="shared" si="43"/>
        <v>0.51938068764318213</v>
      </c>
      <c r="AJ93" s="267" t="b">
        <f t="shared" si="44"/>
        <v>0</v>
      </c>
      <c r="AK93" s="267" t="b">
        <f t="shared" si="45"/>
        <v>0</v>
      </c>
      <c r="AL93" s="267"/>
      <c r="AM93" s="267"/>
      <c r="AN93" s="75"/>
    </row>
    <row r="94" spans="1:40" s="6" customFormat="1" ht="11.25" x14ac:dyDescent="0.2">
      <c r="A94" s="56">
        <f t="shared" si="46"/>
        <v>45006</v>
      </c>
      <c r="B94" s="413">
        <f>'2022'!Wh/'2022'!Env_an*'2023'!Env_an</f>
        <v>41.983315419958998</v>
      </c>
      <c r="C94" s="868"/>
      <c r="D94" s="395">
        <f t="shared" si="25"/>
        <v>43.670435029909058</v>
      </c>
      <c r="E94" s="387">
        <f t="shared" si="47"/>
        <v>46.087528658429164</v>
      </c>
      <c r="F94" s="387">
        <f t="shared" si="26"/>
        <v>46.559797594493553</v>
      </c>
      <c r="G94" s="110">
        <f t="shared" si="48"/>
        <v>0.99951378566967763</v>
      </c>
      <c r="H94" s="416" t="b">
        <f>Wh_hp&gt;='2022'!Maxi_hp</f>
        <v>0</v>
      </c>
      <c r="I94" s="392">
        <f>IF(H94,Wh_hp,'2022'!Maxi_hp)</f>
        <v>47.074007170656884</v>
      </c>
      <c r="J94" s="85">
        <f>IF(H94,An,'2022'!An_max)</f>
        <v>2020</v>
      </c>
      <c r="K94" s="199">
        <f t="shared" si="27"/>
        <v>45006</v>
      </c>
      <c r="L94" s="147">
        <f>IF(t&lt;Tvie,1-EXP((T0-t)*PertePVj)+'2022'!Pspv,1-EXP((T0-t)*PertePVj)+Pspv)</f>
        <v>3.8632992980138225E-2</v>
      </c>
      <c r="M94" s="872"/>
      <c r="N94" s="872"/>
      <c r="O94" s="48">
        <f>IF(t&lt;Tnet,'2022'!Resal+('2022'!Salim-'2022'!Resal)*(1-EXP(('2022'!Tnet-t)/('2022'!Tau_j))),Resal+(Salim-Resal)*(1-EXP((Tnet-t)/(Tau_j))))*Salcycl</f>
        <v>5.2445720108666112E-2</v>
      </c>
      <c r="P94" s="171">
        <f>(INDEX(Models!$BJ94:$BT94,,T94)*(1-R94)+INDEX(Models!$BJ94:$BT94,,T94+1)*R94-ERP_i)*Q94*Ramure*Pc/MaxiM</f>
        <v>1.0150225782793912E-2</v>
      </c>
      <c r="Q94" s="307">
        <f t="shared" si="28"/>
        <v>0.9</v>
      </c>
      <c r="R94" s="179">
        <f t="shared" si="29"/>
        <v>0.52019038690105801</v>
      </c>
      <c r="S94" s="839">
        <f t="shared" si="30"/>
        <v>0</v>
      </c>
      <c r="T94" s="178">
        <f t="shared" si="31"/>
        <v>6</v>
      </c>
      <c r="U94" s="253">
        <f t="shared" si="32"/>
        <v>0.52019038690105801</v>
      </c>
      <c r="V94" s="385">
        <f t="shared" si="33"/>
        <v>42.003443384595656</v>
      </c>
      <c r="W94" s="404">
        <f t="shared" si="34"/>
        <v>41.983315419958998</v>
      </c>
      <c r="X94" s="157">
        <f t="shared" si="35"/>
        <v>45006</v>
      </c>
      <c r="Y94" s="387">
        <f t="shared" si="36"/>
        <v>37.638603827565973</v>
      </c>
      <c r="Z94" s="387">
        <f t="shared" si="37"/>
        <v>39.151129124185104</v>
      </c>
      <c r="AA94" s="388">
        <f t="shared" si="38"/>
        <v>46.087528658429164</v>
      </c>
      <c r="AB94" s="199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0.15050491393565812</v>
      </c>
      <c r="AD94" s="233">
        <f>(INDEX(Models!$BJ94:$BT94,,AH94)*(1-AF94)+INDEX(Models!$BJ94:$BT94,,AH94+1)*AF94-ERP_i)*AE94*Ramure*Pc/MaxiM</f>
        <v>1.0150225782793912E-2</v>
      </c>
      <c r="AE94" s="307">
        <f t="shared" si="40"/>
        <v>0.9</v>
      </c>
      <c r="AF94" s="179">
        <f t="shared" si="41"/>
        <v>0.52019038690105801</v>
      </c>
      <c r="AG94" s="839">
        <f t="shared" si="49"/>
        <v>0</v>
      </c>
      <c r="AH94" s="178">
        <f t="shared" si="42"/>
        <v>6</v>
      </c>
      <c r="AI94" s="227">
        <f t="shared" si="43"/>
        <v>0.52019038690105801</v>
      </c>
      <c r="AJ94" s="267" t="b">
        <f t="shared" si="44"/>
        <v>0</v>
      </c>
      <c r="AK94" s="267" t="b">
        <f t="shared" si="45"/>
        <v>0</v>
      </c>
      <c r="AL94" s="267"/>
      <c r="AM94" s="267"/>
      <c r="AN94" s="75"/>
    </row>
    <row r="95" spans="1:40" s="6" customFormat="1" ht="11.25" x14ac:dyDescent="0.2">
      <c r="A95" s="56">
        <f t="shared" si="46"/>
        <v>45007</v>
      </c>
      <c r="B95" s="413">
        <f>'2022'!Wh/'2022'!Env_an*'2023'!Env_an</f>
        <v>38.831439357326992</v>
      </c>
      <c r="C95" s="868"/>
      <c r="D95" s="395">
        <f t="shared" si="25"/>
        <v>40.392839320600615</v>
      </c>
      <c r="E95" s="387">
        <f t="shared" si="47"/>
        <v>42.63699182021729</v>
      </c>
      <c r="F95" s="387">
        <f t="shared" si="26"/>
        <v>43.016021398848039</v>
      </c>
      <c r="G95" s="110">
        <f t="shared" si="48"/>
        <v>0.91443810116223168</v>
      </c>
      <c r="H95" s="416" t="b">
        <f>Wh_hp&gt;='2022'!Maxi_hp</f>
        <v>0</v>
      </c>
      <c r="I95" s="392">
        <f>IF(H95,Wh_hp,'2022'!Maxi_hp)</f>
        <v>46.536327342743263</v>
      </c>
      <c r="J95" s="85">
        <f>IF(H95,An,'2022'!An_max)</f>
        <v>2020</v>
      </c>
      <c r="K95" s="199">
        <f t="shared" si="27"/>
        <v>45007</v>
      </c>
      <c r="L95" s="147">
        <f>IF(t&lt;Tvie,1-EXP((T0-t)*PertePVj)+'2022'!Pspv,1-EXP((T0-t)*PertePVj)+Pspv)</f>
        <v>3.8655365394858365E-2</v>
      </c>
      <c r="M95" s="872"/>
      <c r="N95" s="872"/>
      <c r="O95" s="48">
        <f>IF(t&lt;Tnet,'2022'!Resal+('2022'!Salim-'2022'!Resal)*(1-EXP(('2022'!Tnet-t)/('2022'!Tau_j))),Resal+(Salim-Resal)*(1-EXP((Tnet-t)/(Tau_j))))*Salcycl</f>
        <v>5.2633931330787753E-2</v>
      </c>
      <c r="P95" s="171">
        <f>(INDEX(Models!$BJ95:$BT95,,T95)*(1-R95)+INDEX(Models!$BJ95:$BT95,,T95+1)*R95-ERP_i)*Q95*Ramure*Pc/MaxiM</f>
        <v>1.0020151382382159E-2</v>
      </c>
      <c r="Q95" s="307">
        <f t="shared" si="28"/>
        <v>0.9</v>
      </c>
      <c r="R95" s="179">
        <f t="shared" si="29"/>
        <v>0.52103165840503063</v>
      </c>
      <c r="S95" s="839">
        <f t="shared" si="30"/>
        <v>0</v>
      </c>
      <c r="T95" s="178">
        <f t="shared" si="31"/>
        <v>6</v>
      </c>
      <c r="U95" s="253">
        <f t="shared" si="32"/>
        <v>0.52103165840503063</v>
      </c>
      <c r="V95" s="385">
        <f t="shared" si="33"/>
        <v>42.413021569667237</v>
      </c>
      <c r="W95" s="404">
        <f t="shared" si="34"/>
        <v>38.831439357326992</v>
      </c>
      <c r="X95" s="157">
        <f t="shared" si="35"/>
        <v>45007</v>
      </c>
      <c r="Y95" s="387">
        <f t="shared" si="36"/>
        <v>34.816173528549562</v>
      </c>
      <c r="Z95" s="387">
        <f t="shared" si="37"/>
        <v>36.216120915731537</v>
      </c>
      <c r="AA95" s="388">
        <f t="shared" si="38"/>
        <v>42.63699182021729</v>
      </c>
      <c r="AB95" s="199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0.15059390051624494</v>
      </c>
      <c r="AD95" s="233">
        <f>(INDEX(Models!$BJ95:$BT95,,AH95)*(1-AF95)+INDEX(Models!$BJ95:$BT95,,AH95+1)*AF95-ERP_i)*AE95*Ramure*Pc/MaxiM</f>
        <v>1.0020151382382159E-2</v>
      </c>
      <c r="AE95" s="307">
        <f t="shared" si="40"/>
        <v>0.9</v>
      </c>
      <c r="AF95" s="179">
        <f t="shared" si="41"/>
        <v>0.52103165840503063</v>
      </c>
      <c r="AG95" s="839">
        <f t="shared" si="49"/>
        <v>0</v>
      </c>
      <c r="AH95" s="178">
        <f t="shared" si="42"/>
        <v>6</v>
      </c>
      <c r="AI95" s="227">
        <f t="shared" si="43"/>
        <v>0.52103165840503063</v>
      </c>
      <c r="AJ95" s="267" t="b">
        <f t="shared" si="44"/>
        <v>0</v>
      </c>
      <c r="AK95" s="267" t="b">
        <f t="shared" si="45"/>
        <v>0</v>
      </c>
      <c r="AL95" s="267"/>
      <c r="AM95" s="267"/>
      <c r="AN95" s="75"/>
    </row>
    <row r="96" spans="1:40" s="6" customFormat="1" ht="11.25" x14ac:dyDescent="0.2">
      <c r="A96" s="56">
        <f t="shared" si="46"/>
        <v>45008</v>
      </c>
      <c r="B96" s="413">
        <f>'2022'!Wh/'2022'!Env_an*'2023'!Env_an</f>
        <v>43.875844744614731</v>
      </c>
      <c r="C96" s="868"/>
      <c r="D96" s="395">
        <f t="shared" si="25"/>
        <v>45.641140797965967</v>
      </c>
      <c r="E96" s="387">
        <f t="shared" si="47"/>
        <v>48.186465570559733</v>
      </c>
      <c r="F96" s="387">
        <f t="shared" si="26"/>
        <v>48.667959104368606</v>
      </c>
      <c r="G96" s="110">
        <f t="shared" si="48"/>
        <v>1.0245914803834317</v>
      </c>
      <c r="H96" s="416" t="b">
        <f>Wh_hp&gt;='2022'!Maxi_hp</f>
        <v>1</v>
      </c>
      <c r="I96" s="392">
        <f>IF(H96,Wh_hp,'2022'!Maxi_hp)</f>
        <v>48.667959104368606</v>
      </c>
      <c r="J96" s="85">
        <f>IF(H96,An,'2022'!An_max)</f>
        <v>2023</v>
      </c>
      <c r="K96" s="199">
        <f t="shared" si="27"/>
        <v>45008</v>
      </c>
      <c r="L96" s="147">
        <f>IF(t&lt;Tvie,1-EXP((T0-t)*PertePVj)+'2022'!Pspv,1-EXP((T0-t)*PertePVj)+Pspv)</f>
        <v>3.8677737288939751E-2</v>
      </c>
      <c r="M96" s="872"/>
      <c r="N96" s="872"/>
      <c r="O96" s="48">
        <f>IF(t&lt;Tnet,'2022'!Resal+('2022'!Salim-'2022'!Resal)*(1-EXP(('2022'!Tnet-t)/('2022'!Tau_j))),Resal+(Salim-Resal)*(1-EXP((Tnet-t)/(Tau_j))))*Salcycl</f>
        <v>5.282240028305514E-2</v>
      </c>
      <c r="P96" s="171">
        <f>(INDEX(Models!$BJ96:$BT96,,T96)*(1-R96)+INDEX(Models!$BJ96:$BT96,,T96+1)*R96-ERP_i)*Q96*Ramure*Pc/MaxiM</f>
        <v>9.8934400100136703E-3</v>
      </c>
      <c r="Q96" s="307">
        <f t="shared" si="28"/>
        <v>0.9</v>
      </c>
      <c r="R96" s="179">
        <f t="shared" si="29"/>
        <v>0.52190563270122337</v>
      </c>
      <c r="S96" s="839">
        <f t="shared" si="30"/>
        <v>0</v>
      </c>
      <c r="T96" s="178">
        <f t="shared" si="31"/>
        <v>6</v>
      </c>
      <c r="U96" s="253">
        <f t="shared" si="32"/>
        <v>0.52190563270122337</v>
      </c>
      <c r="V96" s="385">
        <f t="shared" si="33"/>
        <v>42.822769449727545</v>
      </c>
      <c r="W96" s="404">
        <f t="shared" si="34"/>
        <v>43.875844744614731</v>
      </c>
      <c r="X96" s="157">
        <f t="shared" si="35"/>
        <v>45008</v>
      </c>
      <c r="Y96" s="387">
        <f t="shared" si="36"/>
        <v>39.342627284501198</v>
      </c>
      <c r="Z96" s="387">
        <f t="shared" si="37"/>
        <v>40.925534350520095</v>
      </c>
      <c r="AA96" s="388">
        <f t="shared" si="38"/>
        <v>48.186465570559733</v>
      </c>
      <c r="AB96" s="199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0.15068403822661389</v>
      </c>
      <c r="AD96" s="233">
        <f>(INDEX(Models!$BJ96:$BT96,,AH96)*(1-AF96)+INDEX(Models!$BJ96:$BT96,,AH96+1)*AF96-ERP_i)*AE96*Ramure*Pc/MaxiM</f>
        <v>9.8934400100136703E-3</v>
      </c>
      <c r="AE96" s="307">
        <f t="shared" si="40"/>
        <v>0.9</v>
      </c>
      <c r="AF96" s="179">
        <f t="shared" si="41"/>
        <v>0.52190563270122337</v>
      </c>
      <c r="AG96" s="839">
        <f t="shared" si="49"/>
        <v>0</v>
      </c>
      <c r="AH96" s="178">
        <f t="shared" si="42"/>
        <v>6</v>
      </c>
      <c r="AI96" s="227">
        <f t="shared" si="43"/>
        <v>0.52190563270122337</v>
      </c>
      <c r="AJ96" s="267" t="b">
        <f t="shared" si="44"/>
        <v>0</v>
      </c>
      <c r="AK96" s="267" t="b">
        <f t="shared" si="45"/>
        <v>0</v>
      </c>
      <c r="AL96" s="267"/>
      <c r="AM96" s="267"/>
      <c r="AN96" s="75"/>
    </row>
    <row r="97" spans="1:40" s="6" customFormat="1" ht="11.25" x14ac:dyDescent="0.2">
      <c r="A97" s="56">
        <f t="shared" si="46"/>
        <v>45009</v>
      </c>
      <c r="B97" s="413">
        <f>'2022'!Wh/'2022'!Env_an*'2023'!Env_an</f>
        <v>43.251413986436539</v>
      </c>
      <c r="C97" s="868"/>
      <c r="D97" s="395">
        <f t="shared" si="25"/>
        <v>44.992633803644921</v>
      </c>
      <c r="E97" s="387">
        <f t="shared" si="47"/>
        <v>47.511260858258971</v>
      </c>
      <c r="F97" s="387">
        <f t="shared" si="26"/>
        <v>47.980036095825014</v>
      </c>
      <c r="G97" s="110">
        <f t="shared" si="48"/>
        <v>1.0004521160685846</v>
      </c>
      <c r="H97" s="416" t="b">
        <f>Wh_hp&gt;='2022'!Maxi_hp</f>
        <v>1</v>
      </c>
      <c r="I97" s="392">
        <f>IF(H97,Wh_hp,'2022'!Maxi_hp)</f>
        <v>47.980036095825014</v>
      </c>
      <c r="J97" s="85">
        <f>IF(H97,An,'2022'!An_max)</f>
        <v>2023</v>
      </c>
      <c r="K97" s="199">
        <f t="shared" si="27"/>
        <v>45009</v>
      </c>
      <c r="L97" s="147">
        <f>IF(t&lt;Tvie,1-EXP((T0-t)*PertePVj)+'2022'!Pspv,1-EXP((T0-t)*PertePVj)+Pspv)</f>
        <v>3.8700108662394483E-2</v>
      </c>
      <c r="M97" s="872"/>
      <c r="N97" s="872"/>
      <c r="O97" s="48">
        <f>IF(t&lt;Tnet,'2022'!Resal+('2022'!Salim-'2022'!Resal)*(1-EXP(('2022'!Tnet-t)/('2022'!Tau_j))),Resal+(Salim-Resal)*(1-EXP((Tnet-t)/(Tau_j))))*Salcycl</f>
        <v>5.3011160072722642E-2</v>
      </c>
      <c r="P97" s="171">
        <f>(INDEX(Models!$BJ97:$BT97,,T97)*(1-R97)+INDEX(Models!$BJ97:$BT97,,T97+1)*R97-ERP_i)*Q97*Ramure*Pc/MaxiM</f>
        <v>9.7702143581095136E-3</v>
      </c>
      <c r="Q97" s="307">
        <f t="shared" si="28"/>
        <v>0.9</v>
      </c>
      <c r="R97" s="179">
        <f t="shared" si="29"/>
        <v>0.52281347255520139</v>
      </c>
      <c r="S97" s="839">
        <f t="shared" si="30"/>
        <v>0</v>
      </c>
      <c r="T97" s="178">
        <f t="shared" si="31"/>
        <v>6</v>
      </c>
      <c r="U97" s="253">
        <f t="shared" si="32"/>
        <v>0.52281347255520139</v>
      </c>
      <c r="V97" s="385">
        <f t="shared" si="33"/>
        <v>43.231868164164581</v>
      </c>
      <c r="W97" s="404">
        <f t="shared" si="34"/>
        <v>43.251413986436539</v>
      </c>
      <c r="X97" s="157">
        <f t="shared" si="35"/>
        <v>45009</v>
      </c>
      <c r="Y97" s="387">
        <f t="shared" si="36"/>
        <v>38.78626944885702</v>
      </c>
      <c r="Z97" s="387">
        <f t="shared" si="37"/>
        <v>40.347731023757497</v>
      </c>
      <c r="AA97" s="388">
        <f t="shared" si="38"/>
        <v>47.511260858258971</v>
      </c>
      <c r="AB97" s="199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0.15077540997854255</v>
      </c>
      <c r="AD97" s="233">
        <f>(INDEX(Models!$BJ97:$BT97,,AH97)*(1-AF97)+INDEX(Models!$BJ97:$BT97,,AH97+1)*AF97-ERP_i)*AE97*Ramure*Pc/MaxiM</f>
        <v>9.7702143581095136E-3</v>
      </c>
      <c r="AE97" s="307">
        <f t="shared" si="40"/>
        <v>0.9</v>
      </c>
      <c r="AF97" s="179">
        <f t="shared" si="41"/>
        <v>0.52281347255520139</v>
      </c>
      <c r="AG97" s="839">
        <f t="shared" si="49"/>
        <v>0</v>
      </c>
      <c r="AH97" s="178">
        <f t="shared" si="42"/>
        <v>6</v>
      </c>
      <c r="AI97" s="227">
        <f t="shared" si="43"/>
        <v>0.52281347255520139</v>
      </c>
      <c r="AJ97" s="267" t="b">
        <f t="shared" si="44"/>
        <v>0</v>
      </c>
      <c r="AK97" s="267" t="b">
        <f t="shared" si="45"/>
        <v>0</v>
      </c>
      <c r="AL97" s="267"/>
      <c r="AM97" s="267"/>
      <c r="AN97" s="75"/>
    </row>
    <row r="98" spans="1:40" s="6" customFormat="1" ht="11.25" x14ac:dyDescent="0.2">
      <c r="A98" s="56">
        <f t="shared" si="46"/>
        <v>45010</v>
      </c>
      <c r="B98" s="413">
        <f>'2022'!Wh/'2022'!Env_an*'2023'!Env_an</f>
        <v>39.589391169267252</v>
      </c>
      <c r="C98" s="868"/>
      <c r="D98" s="395">
        <f t="shared" si="25"/>
        <v>41.184143315140261</v>
      </c>
      <c r="E98" s="387">
        <f t="shared" si="47"/>
        <v>43.498261448676445</v>
      </c>
      <c r="F98" s="387">
        <f t="shared" si="26"/>
        <v>43.865462729963504</v>
      </c>
      <c r="G98" s="110">
        <f t="shared" si="48"/>
        <v>0.90602113296967723</v>
      </c>
      <c r="H98" s="416" t="b">
        <f>Wh_hp&gt;='2022'!Maxi_hp</f>
        <v>0</v>
      </c>
      <c r="I98" s="392">
        <f>IF(H98,Wh_hp,'2022'!Maxi_hp)</f>
        <v>46.654104834621393</v>
      </c>
      <c r="J98" s="85">
        <f>IF(H98,An,'2022'!An_max)</f>
        <v>2020</v>
      </c>
      <c r="K98" s="199">
        <f t="shared" si="27"/>
        <v>45010</v>
      </c>
      <c r="L98" s="147">
        <f>IF(t&lt;Tvie,1-EXP((T0-t)*PertePVj)+'2022'!Pspv,1-EXP((T0-t)*PertePVj)+Pspv)</f>
        <v>3.8722479515234665E-2</v>
      </c>
      <c r="M98" s="872"/>
      <c r="N98" s="872"/>
      <c r="O98" s="48">
        <f>IF(t&lt;Tnet,'2022'!Resal+('2022'!Salim-'2022'!Resal)*(1-EXP(('2022'!Tnet-t)/('2022'!Tau_j))),Resal+(Salim-Resal)*(1-EXP((Tnet-t)/(Tau_j))))*Salcycl</f>
        <v>5.3200244250373278E-2</v>
      </c>
      <c r="P98" s="171">
        <f>(INDEX(Models!$BJ98:$BT98,,T98)*(1-R98)+INDEX(Models!$BJ98:$BT98,,T98+1)*R98-ERP_i)*Q98*Ramure*Pc/MaxiM</f>
        <v>9.6505861961407348E-3</v>
      </c>
      <c r="Q98" s="307">
        <f t="shared" si="28"/>
        <v>0.9</v>
      </c>
      <c r="R98" s="179">
        <f t="shared" si="29"/>
        <v>0.52375637317258716</v>
      </c>
      <c r="S98" s="839">
        <f t="shared" si="30"/>
        <v>0</v>
      </c>
      <c r="T98" s="178">
        <f t="shared" si="31"/>
        <v>6</v>
      </c>
      <c r="U98" s="253">
        <f t="shared" si="32"/>
        <v>0.52375637317258716</v>
      </c>
      <c r="V98" s="385">
        <f t="shared" si="33"/>
        <v>43.639499376599964</v>
      </c>
      <c r="W98" s="404">
        <f t="shared" si="34"/>
        <v>39.589391169267252</v>
      </c>
      <c r="X98" s="157">
        <f t="shared" si="35"/>
        <v>45010</v>
      </c>
      <c r="Y98" s="387">
        <f t="shared" si="36"/>
        <v>35.505517168088737</v>
      </c>
      <c r="Z98" s="387">
        <f t="shared" si="37"/>
        <v>36.93576143358014</v>
      </c>
      <c r="AA98" s="388">
        <f t="shared" si="38"/>
        <v>43.498261448676445</v>
      </c>
      <c r="AB98" s="199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0.15086809901217285</v>
      </c>
      <c r="AD98" s="233">
        <f>(INDEX(Models!$BJ98:$BT98,,AH98)*(1-AF98)+INDEX(Models!$BJ98:$BT98,,AH98+1)*AF98-ERP_i)*AE98*Ramure*Pc/MaxiM</f>
        <v>9.6505861961407348E-3</v>
      </c>
      <c r="AE98" s="307">
        <f t="shared" si="40"/>
        <v>0.9</v>
      </c>
      <c r="AF98" s="179">
        <f t="shared" si="41"/>
        <v>0.52375637317258716</v>
      </c>
      <c r="AG98" s="839">
        <f t="shared" si="49"/>
        <v>0</v>
      </c>
      <c r="AH98" s="178">
        <f t="shared" si="42"/>
        <v>6</v>
      </c>
      <c r="AI98" s="227">
        <f t="shared" si="43"/>
        <v>0.52375637317258716</v>
      </c>
      <c r="AJ98" s="267" t="b">
        <f t="shared" si="44"/>
        <v>0</v>
      </c>
      <c r="AK98" s="267" t="b">
        <f t="shared" si="45"/>
        <v>0</v>
      </c>
      <c r="AL98" s="267"/>
      <c r="AM98" s="267"/>
      <c r="AN98" s="75"/>
    </row>
    <row r="99" spans="1:40" s="6" customFormat="1" ht="11.25" x14ac:dyDescent="0.2">
      <c r="A99" s="56">
        <f t="shared" si="46"/>
        <v>45011</v>
      </c>
      <c r="B99" s="413">
        <f>'2022'!Wh/'2022'!Env_an*'2023'!Env_an</f>
        <v>42.752060277368898</v>
      </c>
      <c r="C99" s="868"/>
      <c r="D99" s="395">
        <f t="shared" si="25"/>
        <v>44.475247046099255</v>
      </c>
      <c r="E99" s="387">
        <f t="shared" si="47"/>
        <v>46.983691623097613</v>
      </c>
      <c r="F99" s="387">
        <f t="shared" si="26"/>
        <v>47.416837886788784</v>
      </c>
      <c r="G99" s="110">
        <f t="shared" si="48"/>
        <v>0.97025679934124487</v>
      </c>
      <c r="H99" s="416" t="b">
        <f>Wh_hp&gt;='2022'!Maxi_hp</f>
        <v>0</v>
      </c>
      <c r="I99" s="392">
        <f>IF(H99,Wh_hp,'2022'!Maxi_hp)</f>
        <v>49.888240917785708</v>
      </c>
      <c r="J99" s="85">
        <f>IF(H99,An,'2022'!An_max)</f>
        <v>2019</v>
      </c>
      <c r="K99" s="199">
        <f t="shared" si="27"/>
        <v>45011</v>
      </c>
      <c r="L99" s="147">
        <f>IF(t&lt;Tvie,1-EXP((T0-t)*PertePVj)+'2022'!Pspv,1-EXP((T0-t)*PertePVj)+Pspv)</f>
        <v>3.8744849847472396E-2</v>
      </c>
      <c r="M99" s="872"/>
      <c r="N99" s="872"/>
      <c r="O99" s="48">
        <f>IF(t&lt;Tnet,'2022'!Resal+('2022'!Salim-'2022'!Resal)*(1-EXP(('2022'!Tnet-t)/('2022'!Tau_j))),Resal+(Salim-Resal)*(1-EXP((Tnet-t)/(Tau_j))))*Salcycl</f>
        <v>5.3389686726216773E-2</v>
      </c>
      <c r="P99" s="171">
        <f>(INDEX(Models!$BJ99:$BT99,,T99)*(1-R99)+INDEX(Models!$BJ99:$BT99,,T99+1)*R99-ERP_i)*Q99*Ramure*Pc/MaxiM</f>
        <v>9.5346577057408635E-3</v>
      </c>
      <c r="Q99" s="307">
        <f t="shared" si="28"/>
        <v>0.9</v>
      </c>
      <c r="R99" s="179">
        <f t="shared" si="29"/>
        <v>0.52473556235244101</v>
      </c>
      <c r="S99" s="839">
        <f t="shared" si="30"/>
        <v>0</v>
      </c>
      <c r="T99" s="178">
        <f t="shared" si="31"/>
        <v>6</v>
      </c>
      <c r="U99" s="253">
        <f t="shared" si="32"/>
        <v>0.52473556235244101</v>
      </c>
      <c r="V99" s="385">
        <f t="shared" si="33"/>
        <v>44.044845278816595</v>
      </c>
      <c r="W99" s="404">
        <f t="shared" si="34"/>
        <v>42.752060277368898</v>
      </c>
      <c r="X99" s="157">
        <f t="shared" si="35"/>
        <v>45011</v>
      </c>
      <c r="Y99" s="387">
        <f t="shared" si="36"/>
        <v>38.34536258395832</v>
      </c>
      <c r="Z99" s="387">
        <f t="shared" si="37"/>
        <v>39.890930704375265</v>
      </c>
      <c r="AA99" s="388">
        <f t="shared" si="38"/>
        <v>46.983691623097613</v>
      </c>
      <c r="AB99" s="199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0.15096218865942579</v>
      </c>
      <c r="AD99" s="233">
        <f>(INDEX(Models!$BJ99:$BT99,,AH99)*(1-AF99)+INDEX(Models!$BJ99:$BT99,,AH99+1)*AF99-ERP_i)*AE99*Ramure*Pc/MaxiM</f>
        <v>9.5346577057408635E-3</v>
      </c>
      <c r="AE99" s="307">
        <f t="shared" si="40"/>
        <v>0.9</v>
      </c>
      <c r="AF99" s="179">
        <f t="shared" si="41"/>
        <v>0.52473556235244101</v>
      </c>
      <c r="AG99" s="839">
        <f t="shared" si="49"/>
        <v>0</v>
      </c>
      <c r="AH99" s="178">
        <f t="shared" si="42"/>
        <v>6</v>
      </c>
      <c r="AI99" s="227">
        <f t="shared" si="43"/>
        <v>0.52473556235244101</v>
      </c>
      <c r="AJ99" s="267" t="b">
        <f t="shared" si="44"/>
        <v>0</v>
      </c>
      <c r="AK99" s="267" t="b">
        <f t="shared" si="45"/>
        <v>0</v>
      </c>
      <c r="AL99" s="267"/>
      <c r="AM99" s="267"/>
      <c r="AN99" s="75"/>
    </row>
    <row r="100" spans="1:40" s="6" customFormat="1" ht="11.25" x14ac:dyDescent="0.2">
      <c r="A100" s="56">
        <f t="shared" si="46"/>
        <v>45012</v>
      </c>
      <c r="B100" s="413">
        <f>'2022'!Wh/'2022'!Env_an*'2023'!Env_an</f>
        <v>42.203676311293485</v>
      </c>
      <c r="C100" s="868"/>
      <c r="D100" s="395">
        <f t="shared" si="25"/>
        <v>43.905781382452311</v>
      </c>
      <c r="E100" s="387">
        <f t="shared" si="47"/>
        <v>46.391410993912316</v>
      </c>
      <c r="F100" s="387">
        <f t="shared" si="26"/>
        <v>46.800467707124241</v>
      </c>
      <c r="G100" s="110">
        <f t="shared" si="48"/>
        <v>0.9488728611211934</v>
      </c>
      <c r="H100" s="416" t="b">
        <f>Wh_hp&gt;='2022'!Maxi_hp</f>
        <v>0</v>
      </c>
      <c r="I100" s="392">
        <f>IF(H100,Wh_hp,'2022'!Maxi_hp)</f>
        <v>49.214148253624103</v>
      </c>
      <c r="J100" s="85">
        <f>IF(H100,An,'2022'!An_max)</f>
        <v>2019</v>
      </c>
      <c r="K100" s="199">
        <f t="shared" si="27"/>
        <v>45012</v>
      </c>
      <c r="L100" s="147">
        <f>IF(t&lt;Tvie,1-EXP((T0-t)*PertePVj)+'2022'!Pspv,1-EXP((T0-t)*PertePVj)+Pspv)</f>
        <v>3.8767219659119889E-2</v>
      </c>
      <c r="M100" s="872"/>
      <c r="N100" s="872"/>
      <c r="O100" s="48">
        <f>IF(t&lt;Tnet,'2022'!Resal+('2022'!Salim-'2022'!Resal)*(1-EXP(('2022'!Tnet-t)/('2022'!Tau_j))),Resal+(Salim-Resal)*(1-EXP((Tnet-t)/(Tau_j))))*Salcycl</f>
        <v>5.3579521687455924E-2</v>
      </c>
      <c r="P100" s="171">
        <f>(INDEX(Models!$BJ100:$BT100,,T100)*(1-R100)+INDEX(Models!$BJ100:$BT100,,T100+1)*R100-ERP_i)*Q100*Ramure*Pc/MaxiM</f>
        <v>9.4196875301529107E-3</v>
      </c>
      <c r="Q100" s="307">
        <f t="shared" si="28"/>
        <v>0.9</v>
      </c>
      <c r="R100" s="179">
        <f t="shared" si="29"/>
        <v>0.5257523005663578</v>
      </c>
      <c r="S100" s="839">
        <f t="shared" si="30"/>
        <v>0</v>
      </c>
      <c r="T100" s="178">
        <f t="shared" si="31"/>
        <v>6</v>
      </c>
      <c r="U100" s="253">
        <f t="shared" si="32"/>
        <v>0.5257523005663578</v>
      </c>
      <c r="V100" s="385">
        <f t="shared" si="33"/>
        <v>44.447215804575698</v>
      </c>
      <c r="W100" s="404">
        <f t="shared" si="34"/>
        <v>42.203676311293485</v>
      </c>
      <c r="X100" s="157">
        <f t="shared" si="35"/>
        <v>45012</v>
      </c>
      <c r="Y100" s="387">
        <f t="shared" si="36"/>
        <v>37.856834499802652</v>
      </c>
      <c r="Z100" s="387">
        <f t="shared" si="37"/>
        <v>39.383628267834929</v>
      </c>
      <c r="AA100" s="388">
        <f t="shared" si="38"/>
        <v>46.391410993912316</v>
      </c>
      <c r="AB100" s="199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0.1510577621145642</v>
      </c>
      <c r="AD100" s="233">
        <f>(INDEX(Models!$BJ100:$BT100,,AH100)*(1-AF100)+INDEX(Models!$BJ100:$BT100,,AH100+1)*AF100-ERP_i)*AE100*Ramure*Pc/MaxiM</f>
        <v>9.4196875301529107E-3</v>
      </c>
      <c r="AE100" s="307">
        <f t="shared" si="40"/>
        <v>0.9</v>
      </c>
      <c r="AF100" s="179">
        <f t="shared" si="41"/>
        <v>0.5257523005663578</v>
      </c>
      <c r="AG100" s="839">
        <f t="shared" si="49"/>
        <v>0</v>
      </c>
      <c r="AH100" s="178">
        <f t="shared" si="42"/>
        <v>6</v>
      </c>
      <c r="AI100" s="227">
        <f t="shared" si="43"/>
        <v>0.5257523005663578</v>
      </c>
      <c r="AJ100" s="267" t="b">
        <f t="shared" si="44"/>
        <v>0</v>
      </c>
      <c r="AK100" s="267" t="b">
        <f t="shared" si="45"/>
        <v>0</v>
      </c>
      <c r="AL100" s="267"/>
      <c r="AM100" s="267"/>
      <c r="AN100" s="75"/>
    </row>
    <row r="101" spans="1:40" s="6" customFormat="1" ht="11.25" x14ac:dyDescent="0.2">
      <c r="A101" s="56">
        <f t="shared" si="46"/>
        <v>45013</v>
      </c>
      <c r="B101" s="413">
        <f>'2022'!Wh/'2022'!Env_an*'2023'!Env_an</f>
        <v>32.824058948809338</v>
      </c>
      <c r="C101" s="868"/>
      <c r="D101" s="395">
        <f t="shared" si="25"/>
        <v>34.148671894803648</v>
      </c>
      <c r="E101" s="387">
        <f t="shared" si="47"/>
        <v>36.089179250405451</v>
      </c>
      <c r="F101" s="387">
        <f t="shared" si="26"/>
        <v>36.297510795992849</v>
      </c>
      <c r="G101" s="110">
        <f t="shared" si="48"/>
        <v>0.72930636899761203</v>
      </c>
      <c r="H101" s="416" t="b">
        <f>Wh_hp&gt;='2022'!Maxi_hp</f>
        <v>0</v>
      </c>
      <c r="I101" s="392">
        <f>IF(H101,Wh_hp,'2022'!Maxi_hp)</f>
        <v>48.325580600194776</v>
      </c>
      <c r="J101" s="85">
        <f>IF(H101,An,'2022'!An_max)</f>
        <v>2021</v>
      </c>
      <c r="K101" s="199">
        <f t="shared" si="27"/>
        <v>45013</v>
      </c>
      <c r="L101" s="147">
        <f>IF(t&lt;Tvie,1-EXP((T0-t)*PertePVj)+'2022'!Pspv,1-EXP((T0-t)*PertePVj)+Pspv)</f>
        <v>3.8789588950189136E-2</v>
      </c>
      <c r="M101" s="872"/>
      <c r="N101" s="872"/>
      <c r="O101" s="48">
        <f>IF(t&lt;Tnet,'2022'!Resal+('2022'!Salim-'2022'!Resal)*(1-EXP(('2022'!Tnet-t)/('2022'!Tau_j))),Resal+(Salim-Resal)*(1-EXP((Tnet-t)/(Tau_j))))*Salcycl</f>
        <v>5.3769783517035749E-2</v>
      </c>
      <c r="P101" s="171">
        <f>(INDEX(Models!$BJ101:$BT101,,T101)*(1-R101)+INDEX(Models!$BJ101:$BT101,,T101+1)*R101-ERP_i)*Q101*Ramure*Pc/MaxiM</f>
        <v>9.3017397681843406E-3</v>
      </c>
      <c r="Q101" s="307">
        <f t="shared" si="28"/>
        <v>0.9</v>
      </c>
      <c r="R101" s="179">
        <f t="shared" si="29"/>
        <v>0.52680788095582376</v>
      </c>
      <c r="S101" s="839">
        <f t="shared" si="30"/>
        <v>0</v>
      </c>
      <c r="T101" s="178">
        <f t="shared" si="31"/>
        <v>6</v>
      </c>
      <c r="U101" s="253">
        <f t="shared" si="32"/>
        <v>0.52680788095582376</v>
      </c>
      <c r="V101" s="385">
        <f t="shared" si="33"/>
        <v>44.84597967335462</v>
      </c>
      <c r="W101" s="404">
        <f t="shared" si="34"/>
        <v>32.824058948809338</v>
      </c>
      <c r="X101" s="157">
        <f t="shared" si="35"/>
        <v>45013</v>
      </c>
      <c r="Y101" s="387">
        <f t="shared" si="36"/>
        <v>29.445837855129078</v>
      </c>
      <c r="Z101" s="387">
        <f t="shared" si="37"/>
        <v>30.634122889876988</v>
      </c>
      <c r="AA101" s="388">
        <f t="shared" si="38"/>
        <v>36.089179250405451</v>
      </c>
      <c r="AB101" s="199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0.15115490221261207</v>
      </c>
      <c r="AD101" s="233">
        <f>(INDEX(Models!$BJ101:$BT101,,AH101)*(1-AF101)+INDEX(Models!$BJ101:$BT101,,AH101+1)*AF101-ERP_i)*AE101*Ramure*Pc/MaxiM</f>
        <v>9.3017397681843406E-3</v>
      </c>
      <c r="AE101" s="307">
        <f t="shared" si="40"/>
        <v>0.9</v>
      </c>
      <c r="AF101" s="179">
        <f t="shared" si="41"/>
        <v>0.52680788095582376</v>
      </c>
      <c r="AG101" s="839">
        <f t="shared" si="49"/>
        <v>0</v>
      </c>
      <c r="AH101" s="178">
        <f t="shared" si="42"/>
        <v>6</v>
      </c>
      <c r="AI101" s="227">
        <f t="shared" si="43"/>
        <v>0.52680788095582376</v>
      </c>
      <c r="AJ101" s="267" t="b">
        <f t="shared" si="44"/>
        <v>0</v>
      </c>
      <c r="AK101" s="267" t="b">
        <f t="shared" si="45"/>
        <v>0</v>
      </c>
      <c r="AL101" s="267"/>
      <c r="AM101" s="267"/>
      <c r="AN101" s="75"/>
    </row>
    <row r="102" spans="1:40" s="6" customFormat="1" ht="11.25" x14ac:dyDescent="0.2">
      <c r="A102" s="56">
        <f t="shared" si="46"/>
        <v>45014</v>
      </c>
      <c r="B102" s="413">
        <f>'2022'!Wh/'2022'!Env_an*'2023'!Env_an</f>
        <v>27.102392845603529</v>
      </c>
      <c r="C102" s="868"/>
      <c r="D102" s="395">
        <f t="shared" si="25"/>
        <v>28.196764476318727</v>
      </c>
      <c r="E102" s="387">
        <f t="shared" si="47"/>
        <v>29.80506065172818</v>
      </c>
      <c r="F102" s="387">
        <f t="shared" si="26"/>
        <v>29.922434577385832</v>
      </c>
      <c r="G102" s="110">
        <f t="shared" si="48"/>
        <v>0.59591342910728862</v>
      </c>
      <c r="H102" s="416" t="b">
        <f>Wh_hp&gt;='2022'!Maxi_hp</f>
        <v>0</v>
      </c>
      <c r="I102" s="392">
        <f>IF(H102,Wh_hp,'2022'!Maxi_hp)</f>
        <v>50.344049299154825</v>
      </c>
      <c r="J102" s="85">
        <f>IF(H102,An,'2022'!An_max)</f>
        <v>2021</v>
      </c>
      <c r="K102" s="199">
        <f t="shared" si="27"/>
        <v>45014</v>
      </c>
      <c r="L102" s="147">
        <f>IF(t&lt;Tvie,1-EXP((T0-t)*PertePVj)+'2022'!Pspv,1-EXP((T0-t)*PertePVj)+Pspv)</f>
        <v>3.8811957720692236E-2</v>
      </c>
      <c r="M102" s="872"/>
      <c r="N102" s="872"/>
      <c r="O102" s="48">
        <f>IF(t&lt;Tnet,'2022'!Resal+('2022'!Salim-'2022'!Resal)*(1-EXP(('2022'!Tnet-t)/('2022'!Tau_j))),Resal+(Salim-Resal)*(1-EXP((Tnet-t)/(Tau_j))))*Salcycl</f>
        <v>5.3960506714023394E-2</v>
      </c>
      <c r="P102" s="171">
        <f>(INDEX(Models!$BJ102:$BT102,,T102)*(1-R102)+INDEX(Models!$BJ102:$BT102,,T102+1)*R102-ERP_i)*Q102*Ramure*Pc/MaxiM</f>
        <v>9.1810243921200026E-3</v>
      </c>
      <c r="Q102" s="307">
        <f t="shared" si="28"/>
        <v>0.9</v>
      </c>
      <c r="R102" s="179">
        <f t="shared" si="29"/>
        <v>0.52790362923996192</v>
      </c>
      <c r="S102" s="839">
        <f t="shared" si="30"/>
        <v>0</v>
      </c>
      <c r="T102" s="178">
        <f t="shared" si="31"/>
        <v>6</v>
      </c>
      <c r="U102" s="253">
        <f t="shared" si="32"/>
        <v>0.52790362923996192</v>
      </c>
      <c r="V102" s="385">
        <f t="shared" si="33"/>
        <v>45.240322800410929</v>
      </c>
      <c r="W102" s="404">
        <f t="shared" si="34"/>
        <v>27.102392845603529</v>
      </c>
      <c r="X102" s="157">
        <f t="shared" si="35"/>
        <v>45014</v>
      </c>
      <c r="Y102" s="387">
        <f t="shared" si="36"/>
        <v>24.315111631351922</v>
      </c>
      <c r="Z102" s="387">
        <f t="shared" si="37"/>
        <v>25.296935211233404</v>
      </c>
      <c r="AA102" s="388">
        <f t="shared" si="38"/>
        <v>29.80506065172818</v>
      </c>
      <c r="AB102" s="199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0.1512536912161386</v>
      </c>
      <c r="AD102" s="233">
        <f>(INDEX(Models!$BJ102:$BT102,,AH102)*(1-AF102)+INDEX(Models!$BJ102:$BT102,,AH102+1)*AF102-ERP_i)*AE102*Ramure*Pc/MaxiM</f>
        <v>9.1810243921200026E-3</v>
      </c>
      <c r="AE102" s="307">
        <f t="shared" si="40"/>
        <v>0.9</v>
      </c>
      <c r="AF102" s="179">
        <f t="shared" si="41"/>
        <v>0.52790362923996192</v>
      </c>
      <c r="AG102" s="839">
        <f t="shared" si="49"/>
        <v>0</v>
      </c>
      <c r="AH102" s="178">
        <f t="shared" si="42"/>
        <v>6</v>
      </c>
      <c r="AI102" s="227">
        <f t="shared" si="43"/>
        <v>0.52790362923996192</v>
      </c>
      <c r="AJ102" s="267" t="b">
        <f t="shared" si="44"/>
        <v>0</v>
      </c>
      <c r="AK102" s="267" t="b">
        <f t="shared" si="45"/>
        <v>0</v>
      </c>
      <c r="AL102" s="267"/>
      <c r="AM102" s="267"/>
      <c r="AN102" s="75"/>
    </row>
    <row r="103" spans="1:40" s="6" customFormat="1" ht="11.25" x14ac:dyDescent="0.2">
      <c r="A103" s="56">
        <f t="shared" si="46"/>
        <v>45015</v>
      </c>
      <c r="B103" s="413">
        <f>'2022'!Wh/'2022'!Env_an*'2023'!Env_an</f>
        <v>7.6385555758587422</v>
      </c>
      <c r="C103" s="868"/>
      <c r="D103" s="395">
        <f t="shared" si="25"/>
        <v>7.9471789122854437</v>
      </c>
      <c r="E103" s="387">
        <f t="shared" si="47"/>
        <v>8.402170970962473</v>
      </c>
      <c r="F103" s="387">
        <f t="shared" si="26"/>
        <v>8.402170970962473</v>
      </c>
      <c r="G103" s="110">
        <f t="shared" si="48"/>
        <v>0.1658878332534634</v>
      </c>
      <c r="H103" s="416" t="b">
        <f>Wh_hp&gt;='2022'!Maxi_hp</f>
        <v>0</v>
      </c>
      <c r="I103" s="392">
        <f>IF(H103,Wh_hp,'2022'!Maxi_hp)</f>
        <v>50.446118707020261</v>
      </c>
      <c r="J103" s="85">
        <f>IF(H103,An,'2022'!An_max)</f>
        <v>2019</v>
      </c>
      <c r="K103" s="199">
        <f t="shared" si="27"/>
        <v>45015</v>
      </c>
      <c r="L103" s="147">
        <f>IF(t&lt;Tvie,1-EXP((T0-t)*PertePVj)+'2022'!Pspv,1-EXP((T0-t)*PertePVj)+Pspv)</f>
        <v>3.8834325970641514E-2</v>
      </c>
      <c r="M103" s="872"/>
      <c r="N103" s="872"/>
      <c r="O103" s="48">
        <f>IF(t&lt;Tnet,'2022'!Resal+('2022'!Salim-'2022'!Resal)*(1-EXP(('2022'!Tnet-t)/('2022'!Tau_j))),Resal+(Salim-Resal)*(1-EXP((Tnet-t)/(Tau_j))))*Salcycl</f>
        <v>5.4151725815799502E-2</v>
      </c>
      <c r="P103" s="171">
        <f>(INDEX(Models!$BJ103:$BT103,,T103)*(1-R103)+INDEX(Models!$BJ103:$BT103,,T103+1)*R103-ERP_i)*Q103*Ramure*Pc/MaxiM</f>
        <v>9.0577335532945995E-3</v>
      </c>
      <c r="Q103" s="307">
        <f t="shared" si="28"/>
        <v>0.9</v>
      </c>
      <c r="R103" s="179">
        <f t="shared" si="29"/>
        <v>0.5290409035253848</v>
      </c>
      <c r="S103" s="839">
        <f t="shared" si="30"/>
        <v>0</v>
      </c>
      <c r="T103" s="178">
        <f t="shared" si="31"/>
        <v>6</v>
      </c>
      <c r="U103" s="253">
        <f t="shared" si="32"/>
        <v>0.5290409035253848</v>
      </c>
      <c r="V103" s="385">
        <f t="shared" si="33"/>
        <v>45.629431805014832</v>
      </c>
      <c r="W103" s="404">
        <f t="shared" si="34"/>
        <v>7.6385555758587422</v>
      </c>
      <c r="X103" s="157">
        <f t="shared" si="35"/>
        <v>45015</v>
      </c>
      <c r="Y103" s="387">
        <f t="shared" si="36"/>
        <v>6.8535601358047629</v>
      </c>
      <c r="Z103" s="387">
        <f t="shared" si="37"/>
        <v>7.1304670162361861</v>
      </c>
      <c r="AA103" s="388">
        <f t="shared" si="38"/>
        <v>8.402170970962473</v>
      </c>
      <c r="AB103" s="199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0.15135421061071469</v>
      </c>
      <c r="AD103" s="233">
        <f>(INDEX(Models!$BJ103:$BT103,,AH103)*(1-AF103)+INDEX(Models!$BJ103:$BT103,,AH103+1)*AF103-ERP_i)*AE103*Ramure*Pc/MaxiM</f>
        <v>9.0577335532945995E-3</v>
      </c>
      <c r="AE103" s="307">
        <f t="shared" si="40"/>
        <v>0.9</v>
      </c>
      <c r="AF103" s="179">
        <f t="shared" si="41"/>
        <v>0.5290409035253848</v>
      </c>
      <c r="AG103" s="839">
        <f t="shared" si="49"/>
        <v>0</v>
      </c>
      <c r="AH103" s="178">
        <f t="shared" si="42"/>
        <v>6</v>
      </c>
      <c r="AI103" s="227">
        <f t="shared" si="43"/>
        <v>0.5290409035253848</v>
      </c>
      <c r="AJ103" s="267" t="b">
        <f t="shared" si="44"/>
        <v>0</v>
      </c>
      <c r="AK103" s="267" t="b">
        <f t="shared" si="45"/>
        <v>0</v>
      </c>
      <c r="AL103" s="267"/>
      <c r="AM103" s="267"/>
      <c r="AN103" s="75"/>
    </row>
    <row r="104" spans="1:40" s="6" customFormat="1" ht="11.25" x14ac:dyDescent="0.2">
      <c r="A104" s="56">
        <f t="shared" si="46"/>
        <v>45016</v>
      </c>
      <c r="B104" s="413">
        <f>'2022'!Wh/'2022'!Env_an*'2023'!Env_an</f>
        <v>26.673700664958204</v>
      </c>
      <c r="C104" s="868"/>
      <c r="D104" s="395">
        <f t="shared" si="25"/>
        <v>27.752053715737937</v>
      </c>
      <c r="E104" s="387">
        <f t="shared" si="47"/>
        <v>29.346864312275191</v>
      </c>
      <c r="F104" s="387">
        <f t="shared" si="26"/>
        <v>29.451980206328045</v>
      </c>
      <c r="G104" s="110">
        <f t="shared" si="48"/>
        <v>0.57658551828944582</v>
      </c>
      <c r="H104" s="416" t="b">
        <f>Wh_hp&gt;='2022'!Maxi_hp</f>
        <v>0</v>
      </c>
      <c r="I104" s="392">
        <f>IF(H104,Wh_hp,'2022'!Maxi_hp)</f>
        <v>45.61734121324757</v>
      </c>
      <c r="J104" s="85">
        <f>IF(H104,An,'2022'!An_max)</f>
        <v>2021</v>
      </c>
      <c r="K104" s="199">
        <f t="shared" si="27"/>
        <v>45016</v>
      </c>
      <c r="L104" s="147">
        <f>IF(t&lt;Tvie,1-EXP((T0-t)*PertePVj)+'2022'!Pspv,1-EXP((T0-t)*PertePVj)+Pspv)</f>
        <v>3.885669370004885E-2</v>
      </c>
      <c r="M104" s="872"/>
      <c r="N104" s="872"/>
      <c r="O104" s="48">
        <f>IF(t&lt;Tnet,'2022'!Resal+('2022'!Salim-'2022'!Resal)*(1-EXP(('2022'!Tnet-t)/('2022'!Tau_j))),Resal+(Salim-Resal)*(1-EXP((Tnet-t)/(Tau_j))))*Salcycl</f>
        <v>5.4343475322171875E-2</v>
      </c>
      <c r="P104" s="171">
        <f>(INDEX(Models!$BJ104:$BT104,,T104)*(1-R104)+INDEX(Models!$BJ104:$BT104,,T104+1)*R104-ERP_i)*Q104*Ramure*Pc/MaxiM</f>
        <v>8.9320420691915512E-3</v>
      </c>
      <c r="Q104" s="307">
        <f t="shared" si="28"/>
        <v>0.9</v>
      </c>
      <c r="R104" s="179">
        <f t="shared" si="29"/>
        <v>0.53022109400946438</v>
      </c>
      <c r="S104" s="839">
        <f t="shared" si="30"/>
        <v>0</v>
      </c>
      <c r="T104" s="178">
        <f t="shared" si="31"/>
        <v>6</v>
      </c>
      <c r="U104" s="253">
        <f t="shared" si="32"/>
        <v>0.53022109400946438</v>
      </c>
      <c r="V104" s="385">
        <f t="shared" si="33"/>
        <v>46.012494016687782</v>
      </c>
      <c r="W104" s="404">
        <f t="shared" si="34"/>
        <v>26.673700664958204</v>
      </c>
      <c r="X104" s="157">
        <f t="shared" si="35"/>
        <v>45016</v>
      </c>
      <c r="Y104" s="387">
        <f t="shared" si="36"/>
        <v>23.934476882828534</v>
      </c>
      <c r="Z104" s="387">
        <f t="shared" si="37"/>
        <v>24.902089757007705</v>
      </c>
      <c r="AA104" s="388">
        <f t="shared" si="38"/>
        <v>29.346864312275191</v>
      </c>
      <c r="AB104" s="199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0.1514565409091535</v>
      </c>
      <c r="AD104" s="233">
        <f>(INDEX(Models!$BJ104:$BT104,,AH104)*(1-AF104)+INDEX(Models!$BJ104:$BT104,,AH104+1)*AF104-ERP_i)*AE104*Ramure*Pc/MaxiM</f>
        <v>8.9320420691915512E-3</v>
      </c>
      <c r="AE104" s="307">
        <f t="shared" si="40"/>
        <v>0.9</v>
      </c>
      <c r="AF104" s="179">
        <f t="shared" si="41"/>
        <v>0.53022109400946438</v>
      </c>
      <c r="AG104" s="839">
        <f t="shared" si="49"/>
        <v>0</v>
      </c>
      <c r="AH104" s="178">
        <f t="shared" si="42"/>
        <v>6</v>
      </c>
      <c r="AI104" s="227">
        <f t="shared" si="43"/>
        <v>0.53022109400946438</v>
      </c>
      <c r="AJ104" s="267" t="b">
        <f t="shared" si="44"/>
        <v>0</v>
      </c>
      <c r="AK104" s="267" t="b">
        <f t="shared" si="45"/>
        <v>0</v>
      </c>
      <c r="AL104" s="267"/>
      <c r="AM104" s="267"/>
      <c r="AN104" s="75"/>
    </row>
    <row r="105" spans="1:40" s="6" customFormat="1" ht="11.25" x14ac:dyDescent="0.2">
      <c r="A105" s="56">
        <f t="shared" si="46"/>
        <v>45017</v>
      </c>
      <c r="B105" s="413">
        <f>'2022'!Wh/'2022'!Env_an*'2023'!Env_an</f>
        <v>29.075192541380023</v>
      </c>
      <c r="C105" s="868"/>
      <c r="D105" s="395">
        <f t="shared" si="25"/>
        <v>30.251336079386906</v>
      </c>
      <c r="E105" s="387">
        <f t="shared" si="47"/>
        <v>31.996278386121968</v>
      </c>
      <c r="F105" s="387">
        <f t="shared" si="26"/>
        <v>32.128323341871734</v>
      </c>
      <c r="G105" s="110">
        <f t="shared" si="48"/>
        <v>0.62381887279719173</v>
      </c>
      <c r="H105" s="416" t="b">
        <f>Wh_hp&gt;='2022'!Maxi_hp</f>
        <v>0</v>
      </c>
      <c r="I105" s="392">
        <f>IF(H105,Wh_hp,'2022'!Maxi_hp)</f>
        <v>47.773310266895436</v>
      </c>
      <c r="J105" s="85">
        <f>IF(H105,An,'2022'!An_max)</f>
        <v>2020</v>
      </c>
      <c r="K105" s="199">
        <f t="shared" si="27"/>
        <v>45017</v>
      </c>
      <c r="L105" s="147">
        <f>IF(t&lt;Tvie,1-EXP((T0-t)*PertePVj)+'2022'!Pspv,1-EXP((T0-t)*PertePVj)+Pspv)</f>
        <v>3.8879060908926344E-2</v>
      </c>
      <c r="M105" s="872"/>
      <c r="N105" s="872"/>
      <c r="O105" s="48">
        <f>IF(t&lt;Tnet,'2022'!Resal+('2022'!Salim-'2022'!Resal)*(1-EXP(('2022'!Tnet-t)/('2022'!Tau_j))),Resal+(Salim-Resal)*(1-EXP((Tnet-t)/(Tau_j))))*Salcycl</f>
        <v>5.4535789621455194E-2</v>
      </c>
      <c r="P105" s="171">
        <f>(INDEX(Models!$BJ105:$BT105,,T105)*(1-R105)+INDEX(Models!$BJ105:$BT105,,T105+1)*R105-ERP_i)*Q105*Ramure*Pc/MaxiM</f>
        <v>8.8041079181293593E-3</v>
      </c>
      <c r="Q105" s="307">
        <f t="shared" si="28"/>
        <v>0.9</v>
      </c>
      <c r="R105" s="179">
        <f t="shared" si="29"/>
        <v>0.53144562256792582</v>
      </c>
      <c r="S105" s="839">
        <f t="shared" si="30"/>
        <v>0</v>
      </c>
      <c r="T105" s="178">
        <f t="shared" si="31"/>
        <v>6</v>
      </c>
      <c r="U105" s="253">
        <f t="shared" si="32"/>
        <v>0.53144562256792582</v>
      </c>
      <c r="V105" s="385">
        <f t="shared" si="33"/>
        <v>46.388697483609185</v>
      </c>
      <c r="W105" s="404">
        <f t="shared" si="34"/>
        <v>29.075192541380023</v>
      </c>
      <c r="X105" s="157">
        <f t="shared" si="35"/>
        <v>45017</v>
      </c>
      <c r="Y105" s="387">
        <f t="shared" si="36"/>
        <v>26.09145216634489</v>
      </c>
      <c r="Z105" s="387">
        <f t="shared" si="37"/>
        <v>27.146898069892661</v>
      </c>
      <c r="AA105" s="388">
        <f t="shared" si="38"/>
        <v>31.996278386121968</v>
      </c>
      <c r="AB105" s="199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0.15156076146445424</v>
      </c>
      <c r="AD105" s="233">
        <f>(INDEX(Models!$BJ105:$BT105,,AH105)*(1-AF105)+INDEX(Models!$BJ105:$BT105,,AH105+1)*AF105-ERP_i)*AE105*Ramure*Pc/MaxiM</f>
        <v>8.8041079181293593E-3</v>
      </c>
      <c r="AE105" s="307">
        <f t="shared" si="40"/>
        <v>0.9</v>
      </c>
      <c r="AF105" s="179">
        <f t="shared" si="41"/>
        <v>0.53144562256792582</v>
      </c>
      <c r="AG105" s="839">
        <f t="shared" si="49"/>
        <v>0</v>
      </c>
      <c r="AH105" s="178">
        <f t="shared" si="42"/>
        <v>6</v>
      </c>
      <c r="AI105" s="227">
        <f t="shared" si="43"/>
        <v>0.53144562256792582</v>
      </c>
      <c r="AJ105" s="267" t="b">
        <f t="shared" si="44"/>
        <v>0</v>
      </c>
      <c r="AK105" s="267" t="b">
        <f t="shared" si="45"/>
        <v>0</v>
      </c>
      <c r="AL105" s="267"/>
      <c r="AM105" s="267"/>
      <c r="AN105" s="75"/>
    </row>
    <row r="106" spans="1:40" s="6" customFormat="1" ht="11.25" x14ac:dyDescent="0.2">
      <c r="A106" s="56">
        <f t="shared" si="46"/>
        <v>45018</v>
      </c>
      <c r="B106" s="413">
        <f>'2022'!Wh/'2022'!Env_an*'2023'!Env_an</f>
        <v>19.698885011788548</v>
      </c>
      <c r="C106" s="868"/>
      <c r="D106" s="395">
        <f t="shared" si="25"/>
        <v>20.496217118023605</v>
      </c>
      <c r="E106" s="387">
        <f t="shared" si="47"/>
        <v>21.682893769550557</v>
      </c>
      <c r="F106" s="387">
        <f t="shared" si="26"/>
        <v>21.715534601178309</v>
      </c>
      <c r="G106" s="110">
        <f t="shared" si="48"/>
        <v>0.41827567571501723</v>
      </c>
      <c r="H106" s="416" t="b">
        <f>Wh_hp&gt;='2022'!Maxi_hp</f>
        <v>0</v>
      </c>
      <c r="I106" s="392">
        <f>IF(H106,Wh_hp,'2022'!Maxi_hp)</f>
        <v>42.352590855929826</v>
      </c>
      <c r="J106" s="85">
        <f>IF(H106,An,'2022'!An_max)</f>
        <v>2020</v>
      </c>
      <c r="K106" s="199">
        <f t="shared" si="27"/>
        <v>45018</v>
      </c>
      <c r="L106" s="147">
        <f>IF(t&lt;Tvie,1-EXP((T0-t)*PertePVj)+'2022'!Pspv,1-EXP((T0-t)*PertePVj)+Pspv)</f>
        <v>3.890142759728632E-2</v>
      </c>
      <c r="M106" s="872"/>
      <c r="N106" s="872"/>
      <c r="O106" s="48">
        <f>IF(t&lt;Tnet,'2022'!Resal+('2022'!Salim-'2022'!Resal)*(1-EXP(('2022'!Tnet-t)/('2022'!Tau_j))),Resal+(Salim-Resal)*(1-EXP((Tnet-t)/(Tau_j))))*Salcycl</f>
        <v>5.4728702918491849E-2</v>
      </c>
      <c r="P106" s="171">
        <f>(INDEX(Models!$BJ106:$BT106,,T106)*(1-R106)+INDEX(Models!$BJ106:$BT106,,T106+1)*R106-ERP_i)*Q106*Ramure*Pc/MaxiM</f>
        <v>8.6740727305472682E-3</v>
      </c>
      <c r="Q106" s="307">
        <f t="shared" si="28"/>
        <v>0.9</v>
      </c>
      <c r="R106" s="179">
        <f t="shared" si="29"/>
        <v>0.53271594221728302</v>
      </c>
      <c r="S106" s="839">
        <f t="shared" si="30"/>
        <v>0</v>
      </c>
      <c r="T106" s="178">
        <f t="shared" si="31"/>
        <v>6</v>
      </c>
      <c r="U106" s="253">
        <f t="shared" si="32"/>
        <v>0.53271594221728302</v>
      </c>
      <c r="V106" s="385">
        <f t="shared" si="33"/>
        <v>46.757230991632191</v>
      </c>
      <c r="W106" s="404">
        <f t="shared" si="34"/>
        <v>19.698885011788548</v>
      </c>
      <c r="X106" s="157">
        <f t="shared" si="35"/>
        <v>45018</v>
      </c>
      <c r="Y106" s="387">
        <f t="shared" si="36"/>
        <v>17.678750269376756</v>
      </c>
      <c r="Z106" s="387">
        <f t="shared" si="37"/>
        <v>18.394315398035065</v>
      </c>
      <c r="AA106" s="388">
        <f t="shared" si="38"/>
        <v>21.682893769550557</v>
      </c>
      <c r="AB106" s="199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0.1516669502911861</v>
      </c>
      <c r="AD106" s="233">
        <f>(INDEX(Models!$BJ106:$BT106,,AH106)*(1-AF106)+INDEX(Models!$BJ106:$BT106,,AH106+1)*AF106-ERP_i)*AE106*Ramure*Pc/MaxiM</f>
        <v>8.6740727305472682E-3</v>
      </c>
      <c r="AE106" s="307">
        <f t="shared" si="40"/>
        <v>0.9</v>
      </c>
      <c r="AF106" s="179">
        <f t="shared" si="41"/>
        <v>0.53271594221728302</v>
      </c>
      <c r="AG106" s="839">
        <f t="shared" si="49"/>
        <v>0</v>
      </c>
      <c r="AH106" s="178">
        <f t="shared" si="42"/>
        <v>6</v>
      </c>
      <c r="AI106" s="227">
        <f t="shared" si="43"/>
        <v>0.53271594221728302</v>
      </c>
      <c r="AJ106" s="267" t="b">
        <f t="shared" si="44"/>
        <v>0</v>
      </c>
      <c r="AK106" s="267" t="b">
        <f t="shared" si="45"/>
        <v>0</v>
      </c>
      <c r="AL106" s="267"/>
      <c r="AM106" s="267"/>
      <c r="AN106" s="75"/>
    </row>
    <row r="107" spans="1:40" s="6" customFormat="1" ht="11.25" x14ac:dyDescent="0.2">
      <c r="A107" s="56">
        <f t="shared" si="46"/>
        <v>45019</v>
      </c>
      <c r="B107" s="413">
        <f>'2022'!Wh/'2022'!Env_an*'2023'!Env_an</f>
        <v>24.389521589406254</v>
      </c>
      <c r="C107" s="868"/>
      <c r="D107" s="395">
        <f t="shared" si="25"/>
        <v>25.377302477350234</v>
      </c>
      <c r="E107" s="387">
        <f t="shared" si="47"/>
        <v>26.852079053724427</v>
      </c>
      <c r="F107" s="387">
        <f t="shared" si="26"/>
        <v>26.923568333418558</v>
      </c>
      <c r="G107" s="110">
        <f t="shared" si="48"/>
        <v>0.51454978800564199</v>
      </c>
      <c r="H107" s="416" t="b">
        <f>Wh_hp&gt;='2022'!Maxi_hp</f>
        <v>0</v>
      </c>
      <c r="I107" s="392">
        <f>IF(H107,Wh_hp,'2022'!Maxi_hp)</f>
        <v>48.910344837500652</v>
      </c>
      <c r="J107" s="85">
        <f>IF(H107,An,'2022'!An_max)</f>
        <v>2021</v>
      </c>
      <c r="K107" s="199">
        <f t="shared" si="27"/>
        <v>45019</v>
      </c>
      <c r="L107" s="147">
        <f>IF(t&lt;Tvie,1-EXP((T0-t)*PertePVj)+'2022'!Pspv,1-EXP((T0-t)*PertePVj)+Pspv)</f>
        <v>3.8923793765140879E-2</v>
      </c>
      <c r="M107" s="872"/>
      <c r="N107" s="872"/>
      <c r="O107" s="48">
        <f>IF(t&lt;Tnet,'2022'!Resal+('2022'!Salim-'2022'!Resal)*(1-EXP(('2022'!Tnet-t)/('2022'!Tau_j))),Resal+(Salim-Resal)*(1-EXP((Tnet-t)/(Tau_j))))*Salcycl</f>
        <v>5.4922249164525712E-2</v>
      </c>
      <c r="P107" s="171">
        <f>(INDEX(Models!$BJ107:$BT107,,T107)*(1-R107)+INDEX(Models!$BJ107:$BT107,,T107+1)*R107-ERP_i)*Q107*Ramure*Pc/MaxiM</f>
        <v>8.5415779438548934E-3</v>
      </c>
      <c r="Q107" s="307">
        <f t="shared" si="28"/>
        <v>0.9</v>
      </c>
      <c r="R107" s="179">
        <f t="shared" si="29"/>
        <v>0.53403353644226181</v>
      </c>
      <c r="S107" s="839">
        <f t="shared" si="30"/>
        <v>0</v>
      </c>
      <c r="T107" s="178">
        <f t="shared" si="31"/>
        <v>6</v>
      </c>
      <c r="U107" s="253">
        <f t="shared" si="32"/>
        <v>0.53403353644226181</v>
      </c>
      <c r="V107" s="385">
        <f t="shared" si="33"/>
        <v>47.119978757714378</v>
      </c>
      <c r="W107" s="404">
        <f t="shared" si="34"/>
        <v>24.389521589406254</v>
      </c>
      <c r="X107" s="157">
        <f t="shared" si="35"/>
        <v>45019</v>
      </c>
      <c r="Y107" s="387">
        <f t="shared" si="36"/>
        <v>21.890048143422508</v>
      </c>
      <c r="Z107" s="387">
        <f t="shared" si="37"/>
        <v>22.77659981738557</v>
      </c>
      <c r="AA107" s="388">
        <f t="shared" si="38"/>
        <v>26.852079053724427</v>
      </c>
      <c r="AB107" s="199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0.15177518389487921</v>
      </c>
      <c r="AD107" s="233">
        <f>(INDEX(Models!$BJ107:$BT107,,AH107)*(1-AF107)+INDEX(Models!$BJ107:$BT107,,AH107+1)*AF107-ERP_i)*AE107*Ramure*Pc/MaxiM</f>
        <v>8.5415779438548934E-3</v>
      </c>
      <c r="AE107" s="307">
        <f t="shared" si="40"/>
        <v>0.9</v>
      </c>
      <c r="AF107" s="179">
        <f t="shared" si="41"/>
        <v>0.53403353644226181</v>
      </c>
      <c r="AG107" s="839">
        <f t="shared" si="49"/>
        <v>0</v>
      </c>
      <c r="AH107" s="178">
        <f t="shared" si="42"/>
        <v>6</v>
      </c>
      <c r="AI107" s="227">
        <f t="shared" si="43"/>
        <v>0.53403353644226181</v>
      </c>
      <c r="AJ107" s="267" t="b">
        <f t="shared" si="44"/>
        <v>0</v>
      </c>
      <c r="AK107" s="267" t="b">
        <f t="shared" si="45"/>
        <v>0</v>
      </c>
      <c r="AL107" s="267"/>
      <c r="AM107" s="267"/>
      <c r="AN107" s="75"/>
    </row>
    <row r="108" spans="1:40" s="6" customFormat="1" ht="11.25" x14ac:dyDescent="0.2">
      <c r="A108" s="56">
        <f t="shared" si="46"/>
        <v>45020</v>
      </c>
      <c r="B108" s="413">
        <f>'2022'!Wh/'2022'!Env_an*'2023'!Env_an</f>
        <v>42.241130026609824</v>
      </c>
      <c r="C108" s="868"/>
      <c r="D108" s="395">
        <f t="shared" si="25"/>
        <v>43.952927757707684</v>
      </c>
      <c r="E108" s="387">
        <f t="shared" si="47"/>
        <v>46.516767399947739</v>
      </c>
      <c r="F108" s="387">
        <f t="shared" si="26"/>
        <v>46.848386181098491</v>
      </c>
      <c r="G108" s="110">
        <f t="shared" si="48"/>
        <v>0.88848761204807392</v>
      </c>
      <c r="H108" s="416" t="b">
        <f>Wh_hp&gt;='2022'!Maxi_hp</f>
        <v>0</v>
      </c>
      <c r="I108" s="392">
        <f>IF(H108,Wh_hp,'2022'!Maxi_hp)</f>
        <v>53.219609194847415</v>
      </c>
      <c r="J108" s="85">
        <f>IF(H108,An,'2022'!An_max)</f>
        <v>2020</v>
      </c>
      <c r="K108" s="199">
        <f t="shared" si="27"/>
        <v>45020</v>
      </c>
      <c r="L108" s="147">
        <f>IF(t&lt;Tvie,1-EXP((T0-t)*PertePVj)+'2022'!Pspv,1-EXP((T0-t)*PertePVj)+Pspv)</f>
        <v>3.8946159412501902E-2</v>
      </c>
      <c r="M108" s="872"/>
      <c r="N108" s="872"/>
      <c r="O108" s="48">
        <f>IF(t&lt;Tnet,'2022'!Resal+('2022'!Salim-'2022'!Resal)*(1-EXP(('2022'!Tnet-t)/('2022'!Tau_j))),Resal+(Salim-Resal)*(1-EXP((Tnet-t)/(Tau_j))))*Salcycl</f>
        <v>5.5116461988778127E-2</v>
      </c>
      <c r="P108" s="171">
        <f>(INDEX(Models!$BJ108:$BT108,,T108)*(1-R108)+INDEX(Models!$BJ108:$BT108,,T108+1)*R108-ERP_i)*Q108*Ramure*Pc/MaxiM</f>
        <v>8.4029222710422149E-3</v>
      </c>
      <c r="Q108" s="307">
        <f t="shared" si="28"/>
        <v>0.9</v>
      </c>
      <c r="R108" s="179">
        <f t="shared" si="29"/>
        <v>0.53539991837800405</v>
      </c>
      <c r="S108" s="839">
        <f t="shared" si="30"/>
        <v>0</v>
      </c>
      <c r="T108" s="178">
        <f t="shared" si="31"/>
        <v>6</v>
      </c>
      <c r="U108" s="253">
        <f t="shared" si="32"/>
        <v>0.53539991837800405</v>
      </c>
      <c r="V108" s="385">
        <f t="shared" si="33"/>
        <v>47.479320791198198</v>
      </c>
      <c r="W108" s="404">
        <f t="shared" si="34"/>
        <v>42.241130026609824</v>
      </c>
      <c r="X108" s="157">
        <f t="shared" si="35"/>
        <v>45020</v>
      </c>
      <c r="Y108" s="387">
        <f t="shared" si="36"/>
        <v>37.915057108348954</v>
      </c>
      <c r="Z108" s="387">
        <f t="shared" si="37"/>
        <v>39.451543198840191</v>
      </c>
      <c r="AA108" s="388">
        <f t="shared" si="38"/>
        <v>46.516767399947739</v>
      </c>
      <c r="AB108" s="199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0.15188553710882943</v>
      </c>
      <c r="AD108" s="233">
        <f>(INDEX(Models!$BJ108:$BT108,,AH108)*(1-AF108)+INDEX(Models!$BJ108:$BT108,,AH108+1)*AF108-ERP_i)*AE108*Ramure*Pc/MaxiM</f>
        <v>8.4029222710422149E-3</v>
      </c>
      <c r="AE108" s="307">
        <f t="shared" si="40"/>
        <v>0.9</v>
      </c>
      <c r="AF108" s="179">
        <f t="shared" si="41"/>
        <v>0.53539991837800405</v>
      </c>
      <c r="AG108" s="839">
        <f t="shared" si="49"/>
        <v>0</v>
      </c>
      <c r="AH108" s="178">
        <f t="shared" si="42"/>
        <v>6</v>
      </c>
      <c r="AI108" s="227">
        <f t="shared" si="43"/>
        <v>0.53539991837800405</v>
      </c>
      <c r="AJ108" s="267" t="b">
        <f t="shared" si="44"/>
        <v>0</v>
      </c>
      <c r="AK108" s="267" t="b">
        <f t="shared" si="45"/>
        <v>0</v>
      </c>
      <c r="AL108" s="267"/>
      <c r="AM108" s="267"/>
      <c r="AN108" s="75"/>
    </row>
    <row r="109" spans="1:40" s="6" customFormat="1" ht="11.25" x14ac:dyDescent="0.2">
      <c r="A109" s="56">
        <f t="shared" si="46"/>
        <v>45021</v>
      </c>
      <c r="B109" s="413">
        <f>'2022'!Wh/'2022'!Env_an*'2023'!Env_an</f>
        <v>48.882973427108077</v>
      </c>
      <c r="C109" s="868"/>
      <c r="D109" s="395">
        <f t="shared" si="25"/>
        <v>50.865111783855646</v>
      </c>
      <c r="E109" s="387">
        <f t="shared" si="47"/>
        <v>53.843256304706181</v>
      </c>
      <c r="F109" s="387">
        <f t="shared" si="26"/>
        <v>54.291772673602431</v>
      </c>
      <c r="G109" s="110">
        <f t="shared" si="48"/>
        <v>1.0219121604568475</v>
      </c>
      <c r="H109" s="416" t="b">
        <f>Wh_hp&gt;='2022'!Maxi_hp</f>
        <v>0</v>
      </c>
      <c r="I109" s="392">
        <f>IF(H109,Wh_hp,'2022'!Maxi_hp)</f>
        <v>55.117663879347624</v>
      </c>
      <c r="J109" s="85">
        <f>IF(H109,An,'2022'!An_max)</f>
        <v>2020</v>
      </c>
      <c r="K109" s="199">
        <f t="shared" si="27"/>
        <v>45021</v>
      </c>
      <c r="L109" s="147">
        <f>IF(t&lt;Tvie,1-EXP((T0-t)*PertePVj)+'2022'!Pspv,1-EXP((T0-t)*PertePVj)+Pspv)</f>
        <v>3.8968524539381599E-2</v>
      </c>
      <c r="M109" s="872"/>
      <c r="N109" s="872"/>
      <c r="O109" s="48">
        <f>IF(t&lt;Tnet,'2022'!Resal+('2022'!Salim-'2022'!Resal)*(1-EXP(('2022'!Tnet-t)/('2022'!Tau_j))),Resal+(Salim-Resal)*(1-EXP((Tnet-t)/(Tau_j))))*Salcycl</f>
        <v>5.5311374631519569E-2</v>
      </c>
      <c r="P109" s="171">
        <f>(INDEX(Models!$BJ109:$BT109,,T109)*(1-R109)+INDEX(Models!$BJ109:$BT109,,T109+1)*R109-ERP_i)*Q109*Ramure*Pc/MaxiM</f>
        <v>8.2612216696754028E-3</v>
      </c>
      <c r="Q109" s="307">
        <f t="shared" si="28"/>
        <v>0.9</v>
      </c>
      <c r="R109" s="179">
        <f t="shared" si="29"/>
        <v>0.53681662983652412</v>
      </c>
      <c r="S109" s="839">
        <f t="shared" si="30"/>
        <v>0</v>
      </c>
      <c r="T109" s="178">
        <f t="shared" si="31"/>
        <v>6</v>
      </c>
      <c r="U109" s="253">
        <f t="shared" si="32"/>
        <v>0.53681662983652412</v>
      </c>
      <c r="V109" s="385">
        <f t="shared" si="33"/>
        <v>47.834809407938607</v>
      </c>
      <c r="W109" s="404">
        <f t="shared" si="34"/>
        <v>48.882973427108077</v>
      </c>
      <c r="X109" s="157">
        <f t="shared" si="35"/>
        <v>45021</v>
      </c>
      <c r="Y109" s="387">
        <f t="shared" si="36"/>
        <v>43.879913513015858</v>
      </c>
      <c r="Z109" s="387">
        <f t="shared" si="37"/>
        <v>45.659184567273819</v>
      </c>
      <c r="AA109" s="388">
        <f t="shared" si="38"/>
        <v>53.843256304706181</v>
      </c>
      <c r="AB109" s="199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0.15199808293758479</v>
      </c>
      <c r="AD109" s="233">
        <f>(INDEX(Models!$BJ109:$BT109,,AH109)*(1-AF109)+INDEX(Models!$BJ109:$BT109,,AH109+1)*AF109-ERP_i)*AE109*Ramure*Pc/MaxiM</f>
        <v>8.2612216696754028E-3</v>
      </c>
      <c r="AE109" s="307">
        <f t="shared" si="40"/>
        <v>0.9</v>
      </c>
      <c r="AF109" s="179">
        <f t="shared" si="41"/>
        <v>0.53681662983652412</v>
      </c>
      <c r="AG109" s="839">
        <f t="shared" si="49"/>
        <v>0</v>
      </c>
      <c r="AH109" s="178">
        <f t="shared" si="42"/>
        <v>6</v>
      </c>
      <c r="AI109" s="227">
        <f t="shared" si="43"/>
        <v>0.53681662983652412</v>
      </c>
      <c r="AJ109" s="267" t="b">
        <f t="shared" si="44"/>
        <v>0</v>
      </c>
      <c r="AK109" s="267" t="b">
        <f t="shared" si="45"/>
        <v>0</v>
      </c>
      <c r="AL109" s="267"/>
      <c r="AM109" s="267"/>
      <c r="AN109" s="75"/>
    </row>
    <row r="110" spans="1:40" s="6" customFormat="1" ht="11.25" x14ac:dyDescent="0.2">
      <c r="A110" s="56">
        <f t="shared" si="46"/>
        <v>45022</v>
      </c>
      <c r="B110" s="413">
        <f>'2022'!Wh/'2022'!Env_an*'2023'!Env_an</f>
        <v>12.419077033396434</v>
      </c>
      <c r="C110" s="868"/>
      <c r="D110" s="395">
        <f t="shared" si="25"/>
        <v>12.922954520543042</v>
      </c>
      <c r="E110" s="387">
        <f t="shared" si="47"/>
        <v>13.682425166229363</v>
      </c>
      <c r="F110" s="387">
        <f t="shared" si="26"/>
        <v>13.682425166229363</v>
      </c>
      <c r="G110" s="110">
        <f t="shared" si="48"/>
        <v>0.25563942017634955</v>
      </c>
      <c r="H110" s="416" t="b">
        <f>Wh_hp&gt;='2022'!Maxi_hp</f>
        <v>0</v>
      </c>
      <c r="I110" s="392">
        <f>IF(H110,Wh_hp,'2022'!Maxi_hp)</f>
        <v>55.281205017406521</v>
      </c>
      <c r="J110" s="85">
        <f>IF(H110,An,'2022'!An_max)</f>
        <v>2020</v>
      </c>
      <c r="K110" s="199">
        <f t="shared" si="27"/>
        <v>45022</v>
      </c>
      <c r="L110" s="147">
        <f>IF(t&lt;Tvie,1-EXP((T0-t)*PertePVj)+'2022'!Pspv,1-EXP((T0-t)*PertePVj)+Pspv)</f>
        <v>3.8990889145792296E-2</v>
      </c>
      <c r="M110" s="872"/>
      <c r="N110" s="872"/>
      <c r="O110" s="48">
        <f>IF(t&lt;Tnet,'2022'!Resal+('2022'!Salim-'2022'!Resal)*(1-EXP(('2022'!Tnet-t)/('2022'!Tau_j))),Resal+(Salim-Resal)*(1-EXP((Tnet-t)/(Tau_j))))*Salcycl</f>
        <v>5.5507019878378541E-2</v>
      </c>
      <c r="P110" s="171">
        <f>(INDEX(Models!$BJ110:$BT110,,T110)*(1-R110)+INDEX(Models!$BJ110:$BT110,,T110+1)*R110-ERP_i)*Q110*Ramure*Pc/MaxiM</f>
        <v>8.116556761759066E-3</v>
      </c>
      <c r="Q110" s="307">
        <f t="shared" si="28"/>
        <v>0.9</v>
      </c>
      <c r="R110" s="179">
        <f t="shared" si="29"/>
        <v>0.53828524016660251</v>
      </c>
      <c r="S110" s="839">
        <f t="shared" si="30"/>
        <v>0</v>
      </c>
      <c r="T110" s="178">
        <f t="shared" si="31"/>
        <v>6</v>
      </c>
      <c r="U110" s="253">
        <f t="shared" si="32"/>
        <v>0.53828524016660251</v>
      </c>
      <c r="V110" s="385">
        <f t="shared" si="33"/>
        <v>48.186139998395426</v>
      </c>
      <c r="W110" s="404">
        <f t="shared" si="34"/>
        <v>12.419077033396434</v>
      </c>
      <c r="X110" s="157">
        <f t="shared" si="35"/>
        <v>45022</v>
      </c>
      <c r="Y110" s="387">
        <f t="shared" si="36"/>
        <v>11.148812671402229</v>
      </c>
      <c r="Z110" s="387">
        <f t="shared" si="37"/>
        <v>11.601151899062055</v>
      </c>
      <c r="AA110" s="388">
        <f t="shared" si="38"/>
        <v>13.682425166229363</v>
      </c>
      <c r="AB110" s="199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0.15211289240625686</v>
      </c>
      <c r="AD110" s="233">
        <f>(INDEX(Models!$BJ110:$BT110,,AH110)*(1-AF110)+INDEX(Models!$BJ110:$BT110,,AH110+1)*AF110-ERP_i)*AE110*Ramure*Pc/MaxiM</f>
        <v>8.116556761759066E-3</v>
      </c>
      <c r="AE110" s="307">
        <f t="shared" si="40"/>
        <v>0.9</v>
      </c>
      <c r="AF110" s="179">
        <f t="shared" si="41"/>
        <v>0.53828524016660251</v>
      </c>
      <c r="AG110" s="839">
        <f t="shared" si="49"/>
        <v>0</v>
      </c>
      <c r="AH110" s="178">
        <f t="shared" si="42"/>
        <v>6</v>
      </c>
      <c r="AI110" s="227">
        <f t="shared" si="43"/>
        <v>0.53828524016660251</v>
      </c>
      <c r="AJ110" s="267" t="b">
        <f t="shared" si="44"/>
        <v>0</v>
      </c>
      <c r="AK110" s="267" t="b">
        <f t="shared" si="45"/>
        <v>0</v>
      </c>
      <c r="AL110" s="267"/>
      <c r="AM110" s="267"/>
      <c r="AN110" s="75"/>
    </row>
    <row r="111" spans="1:40" s="6" customFormat="1" ht="11.25" x14ac:dyDescent="0.2">
      <c r="A111" s="56">
        <f t="shared" si="46"/>
        <v>45023</v>
      </c>
      <c r="B111" s="413">
        <f>'2022'!Wh/'2022'!Env_an*'2023'!Env_an</f>
        <v>37.571946114537397</v>
      </c>
      <c r="C111" s="868"/>
      <c r="D111" s="395">
        <f t="shared" si="25"/>
        <v>39.097257314827488</v>
      </c>
      <c r="E111" s="387">
        <f t="shared" si="47"/>
        <v>41.403578660298066</v>
      </c>
      <c r="F111" s="387">
        <f t="shared" si="26"/>
        <v>41.628283430385387</v>
      </c>
      <c r="G111" s="110">
        <f t="shared" si="48"/>
        <v>0.77215119072176752</v>
      </c>
      <c r="H111" s="416" t="b">
        <f>Wh_hp&gt;='2022'!Maxi_hp</f>
        <v>0</v>
      </c>
      <c r="I111" s="392">
        <f>IF(H111,Wh_hp,'2022'!Maxi_hp)</f>
        <v>54.094709331029712</v>
      </c>
      <c r="J111" s="85">
        <f>IF(H111,An,'2022'!An_max)</f>
        <v>2021</v>
      </c>
      <c r="K111" s="199">
        <f t="shared" si="27"/>
        <v>45023</v>
      </c>
      <c r="L111" s="147">
        <f>IF(t&lt;Tvie,1-EXP((T0-t)*PertePVj)+'2022'!Pspv,1-EXP((T0-t)*PertePVj)+Pspv)</f>
        <v>3.9013253231745759E-2</v>
      </c>
      <c r="M111" s="872"/>
      <c r="N111" s="872"/>
      <c r="O111" s="48">
        <f>IF(t&lt;Tnet,'2022'!Resal+('2022'!Salim-'2022'!Resal)*(1-EXP(('2022'!Tnet-t)/('2022'!Tau_j))),Resal+(Salim-Resal)*(1-EXP((Tnet-t)/(Tau_j))))*Salcycl</f>
        <v>5.5703429995584149E-2</v>
      </c>
      <c r="P111" s="171">
        <f>(INDEX(Models!$BJ111:$BT111,,T111)*(1-R111)+INDEX(Models!$BJ111:$BT111,,T111+1)*R111-ERP_i)*Q111*Ramure*Pc/MaxiM</f>
        <v>7.9690004477519609E-3</v>
      </c>
      <c r="Q111" s="307">
        <f t="shared" si="28"/>
        <v>0.9</v>
      </c>
      <c r="R111" s="179">
        <f t="shared" si="29"/>
        <v>0.53980734493605764</v>
      </c>
      <c r="S111" s="839">
        <f t="shared" si="30"/>
        <v>0</v>
      </c>
      <c r="T111" s="178">
        <f t="shared" si="31"/>
        <v>6</v>
      </c>
      <c r="U111" s="253">
        <f t="shared" si="32"/>
        <v>0.53980734493605764</v>
      </c>
      <c r="V111" s="385">
        <f t="shared" si="33"/>
        <v>48.533008242175711</v>
      </c>
      <c r="W111" s="404">
        <f t="shared" si="34"/>
        <v>37.571946114537397</v>
      </c>
      <c r="X111" s="157">
        <f t="shared" si="35"/>
        <v>45023</v>
      </c>
      <c r="Y111" s="387">
        <f t="shared" si="36"/>
        <v>33.731317550317108</v>
      </c>
      <c r="Z111" s="387">
        <f t="shared" si="37"/>
        <v>35.10071045594924</v>
      </c>
      <c r="AA111" s="388">
        <f t="shared" si="38"/>
        <v>41.403578660298066</v>
      </c>
      <c r="AB111" s="199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0.15223003441469779</v>
      </c>
      <c r="AD111" s="233">
        <f>(INDEX(Models!$BJ111:$BT111,,AH111)*(1-AF111)+INDEX(Models!$BJ111:$BT111,,AH111+1)*AF111-ERP_i)*AE111*Ramure*Pc/MaxiM</f>
        <v>7.9690004477519609E-3</v>
      </c>
      <c r="AE111" s="307">
        <f t="shared" si="40"/>
        <v>0.9</v>
      </c>
      <c r="AF111" s="179">
        <f t="shared" si="41"/>
        <v>0.53980734493605764</v>
      </c>
      <c r="AG111" s="839">
        <f t="shared" si="49"/>
        <v>0</v>
      </c>
      <c r="AH111" s="178">
        <f t="shared" si="42"/>
        <v>6</v>
      </c>
      <c r="AI111" s="227">
        <f t="shared" si="43"/>
        <v>0.53980734493605764</v>
      </c>
      <c r="AJ111" s="267" t="b">
        <f t="shared" si="44"/>
        <v>0</v>
      </c>
      <c r="AK111" s="267" t="b">
        <f t="shared" si="45"/>
        <v>0</v>
      </c>
      <c r="AL111" s="267"/>
      <c r="AM111" s="267"/>
      <c r="AN111" s="75"/>
    </row>
    <row r="112" spans="1:40" s="6" customFormat="1" ht="11.25" x14ac:dyDescent="0.2">
      <c r="A112" s="56">
        <f t="shared" si="46"/>
        <v>45024</v>
      </c>
      <c r="B112" s="413">
        <f>'2022'!Wh/'2022'!Env_an*'2023'!Env_an</f>
        <v>29.349882552134961</v>
      </c>
      <c r="C112" s="868"/>
      <c r="D112" s="395">
        <f t="shared" si="25"/>
        <v>30.542112762094618</v>
      </c>
      <c r="E112" s="387">
        <f t="shared" si="47"/>
        <v>32.350527866295266</v>
      </c>
      <c r="F112" s="387">
        <f t="shared" si="26"/>
        <v>32.459478353242545</v>
      </c>
      <c r="G112" s="110">
        <f t="shared" si="48"/>
        <v>0.59781919701382524</v>
      </c>
      <c r="H112" s="416" t="b">
        <f>Wh_hp&gt;='2022'!Maxi_hp</f>
        <v>0</v>
      </c>
      <c r="I112" s="392">
        <f>IF(H112,Wh_hp,'2022'!Maxi_hp)</f>
        <v>51.981553630280644</v>
      </c>
      <c r="J112" s="85">
        <f>IF(H112,An,'2022'!An_max)</f>
        <v>2021</v>
      </c>
      <c r="K112" s="199">
        <f t="shared" si="27"/>
        <v>45024</v>
      </c>
      <c r="L112" s="147">
        <f>IF(t&lt;Tvie,1-EXP((T0-t)*PertePVj)+'2022'!Pspv,1-EXP((T0-t)*PertePVj)+Pspv)</f>
        <v>3.9035616797254313E-2</v>
      </c>
      <c r="M112" s="872"/>
      <c r="N112" s="872"/>
      <c r="O112" s="48">
        <f>IF(t&lt;Tnet,'2022'!Resal+('2022'!Salim-'2022'!Resal)*(1-EXP(('2022'!Tnet-t)/('2022'!Tau_j))),Resal+(Salim-Resal)*(1-EXP((Tnet-t)/(Tau_j))))*Salcycl</f>
        <v>5.5900636665801119E-2</v>
      </c>
      <c r="P112" s="171">
        <f>(INDEX(Models!$BJ112:$BT112,,T112)*(1-R112)+INDEX(Models!$BJ112:$BT112,,T112+1)*R112-ERP_i)*Q112*Ramure*Pc/MaxiM</f>
        <v>7.8186180589810191E-3</v>
      </c>
      <c r="Q112" s="307">
        <f t="shared" si="28"/>
        <v>0.9</v>
      </c>
      <c r="R112" s="179">
        <f t="shared" si="29"/>
        <v>0.54138456442514238</v>
      </c>
      <c r="S112" s="839">
        <f t="shared" si="30"/>
        <v>0</v>
      </c>
      <c r="T112" s="178">
        <f t="shared" si="31"/>
        <v>6</v>
      </c>
      <c r="U112" s="253">
        <f t="shared" si="32"/>
        <v>0.54138456442514238</v>
      </c>
      <c r="V112" s="385">
        <f t="shared" si="33"/>
        <v>48.875110107650414</v>
      </c>
      <c r="W112" s="404">
        <f t="shared" si="34"/>
        <v>29.349882552134961</v>
      </c>
      <c r="X112" s="157">
        <f t="shared" si="35"/>
        <v>45024</v>
      </c>
      <c r="Y112" s="387">
        <f t="shared" si="36"/>
        <v>26.351506385597194</v>
      </c>
      <c r="Z112" s="387">
        <f t="shared" si="37"/>
        <v>27.421938675574737</v>
      </c>
      <c r="AA112" s="388">
        <f t="shared" si="38"/>
        <v>32.350527866295266</v>
      </c>
      <c r="AB112" s="199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0.1523495755955015</v>
      </c>
      <c r="AD112" s="233">
        <f>(INDEX(Models!$BJ112:$BT112,,AH112)*(1-AF112)+INDEX(Models!$BJ112:$BT112,,AH112+1)*AF112-ERP_i)*AE112*Ramure*Pc/MaxiM</f>
        <v>7.8186180589810191E-3</v>
      </c>
      <c r="AE112" s="307">
        <f t="shared" si="40"/>
        <v>0.9</v>
      </c>
      <c r="AF112" s="179">
        <f t="shared" si="41"/>
        <v>0.54138456442514238</v>
      </c>
      <c r="AG112" s="839">
        <f t="shared" si="49"/>
        <v>0</v>
      </c>
      <c r="AH112" s="178">
        <f t="shared" si="42"/>
        <v>6</v>
      </c>
      <c r="AI112" s="227">
        <f t="shared" si="43"/>
        <v>0.54138456442514238</v>
      </c>
      <c r="AJ112" s="267" t="b">
        <f t="shared" si="44"/>
        <v>0</v>
      </c>
      <c r="AK112" s="267" t="b">
        <f t="shared" si="45"/>
        <v>0</v>
      </c>
      <c r="AL112" s="267"/>
      <c r="AM112" s="267"/>
      <c r="AN112" s="75"/>
    </row>
    <row r="113" spans="1:40" s="6" customFormat="1" ht="11.25" x14ac:dyDescent="0.2">
      <c r="A113" s="56">
        <f t="shared" si="46"/>
        <v>45025</v>
      </c>
      <c r="B113" s="413">
        <f>'2022'!Wh/'2022'!Env_an*'2023'!Env_an</f>
        <v>35.617412611015745</v>
      </c>
      <c r="C113" s="868"/>
      <c r="D113" s="395">
        <f t="shared" si="25"/>
        <v>37.065100561604844</v>
      </c>
      <c r="E113" s="387">
        <f t="shared" si="47"/>
        <v>39.267982171288757</v>
      </c>
      <c r="F113" s="387">
        <f t="shared" si="26"/>
        <v>39.451049769379182</v>
      </c>
      <c r="G113" s="110">
        <f t="shared" si="48"/>
        <v>0.72155291191171733</v>
      </c>
      <c r="H113" s="416" t="b">
        <f>Wh_hp&gt;='2022'!Maxi_hp</f>
        <v>0</v>
      </c>
      <c r="I113" s="392">
        <f>IF(H113,Wh_hp,'2022'!Maxi_hp)</f>
        <v>51.372515344218137</v>
      </c>
      <c r="J113" s="85">
        <f>IF(H113,An,'2022'!An_max)</f>
        <v>2020</v>
      </c>
      <c r="K113" s="199">
        <f t="shared" si="27"/>
        <v>45025</v>
      </c>
      <c r="L113" s="147">
        <f>IF(t&lt;Tvie,1-EXP((T0-t)*PertePVj)+'2022'!Pspv,1-EXP((T0-t)*PertePVj)+Pspv)</f>
        <v>3.9057979842330059E-2</v>
      </c>
      <c r="M113" s="872"/>
      <c r="N113" s="872"/>
      <c r="O113" s="48">
        <f>IF(t&lt;Tnet,'2022'!Resal+('2022'!Salim-'2022'!Resal)*(1-EXP(('2022'!Tnet-t)/('2022'!Tau_j))),Resal+(Salim-Resal)*(1-EXP((Tnet-t)/(Tau_j))))*Salcycl</f>
        <v>5.6098670924185509E-2</v>
      </c>
      <c r="P113" s="171">
        <f>(INDEX(Models!$BJ113:$BT113,,T113)*(1-R113)+INDEX(Models!$BJ113:$BT113,,T113+1)*R113-ERP_i)*Q113*Ramure*Pc/MaxiM</f>
        <v>7.6654674971059185E-3</v>
      </c>
      <c r="Q113" s="307">
        <f t="shared" si="28"/>
        <v>0.9</v>
      </c>
      <c r="R113" s="179">
        <f t="shared" si="29"/>
        <v>0.5430185419196788</v>
      </c>
      <c r="S113" s="839">
        <f t="shared" si="30"/>
        <v>0</v>
      </c>
      <c r="T113" s="178">
        <f t="shared" si="31"/>
        <v>6</v>
      </c>
      <c r="U113" s="253">
        <f t="shared" si="32"/>
        <v>0.5430185419196788</v>
      </c>
      <c r="V113" s="385">
        <f t="shared" si="33"/>
        <v>49.212141873414652</v>
      </c>
      <c r="W113" s="404">
        <f t="shared" si="34"/>
        <v>35.617412611015745</v>
      </c>
      <c r="X113" s="157">
        <f t="shared" si="35"/>
        <v>45025</v>
      </c>
      <c r="Y113" s="387">
        <f t="shared" si="36"/>
        <v>31.980852763535214</v>
      </c>
      <c r="Z113" s="387">
        <f t="shared" si="37"/>
        <v>33.28073087935924</v>
      </c>
      <c r="AA113" s="388">
        <f t="shared" si="38"/>
        <v>39.267982171288757</v>
      </c>
      <c r="AB113" s="199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0.15247158017472981</v>
      </c>
      <c r="AD113" s="233">
        <f>(INDEX(Models!$BJ113:$BT113,,AH113)*(1-AF113)+INDEX(Models!$BJ113:$BT113,,AH113+1)*AF113-ERP_i)*AE113*Ramure*Pc/MaxiM</f>
        <v>7.6654674971059185E-3</v>
      </c>
      <c r="AE113" s="307">
        <f t="shared" si="40"/>
        <v>0.9</v>
      </c>
      <c r="AF113" s="179">
        <f t="shared" si="41"/>
        <v>0.5430185419196788</v>
      </c>
      <c r="AG113" s="839">
        <f t="shared" si="49"/>
        <v>0</v>
      </c>
      <c r="AH113" s="178">
        <f t="shared" si="42"/>
        <v>6</v>
      </c>
      <c r="AI113" s="227">
        <f t="shared" si="43"/>
        <v>0.5430185419196788</v>
      </c>
      <c r="AJ113" s="267" t="b">
        <f t="shared" si="44"/>
        <v>0</v>
      </c>
      <c r="AK113" s="267" t="b">
        <f t="shared" si="45"/>
        <v>0</v>
      </c>
      <c r="AL113" s="267"/>
      <c r="AM113" s="267"/>
      <c r="AN113" s="75"/>
    </row>
    <row r="114" spans="1:40" s="6" customFormat="1" ht="11.25" x14ac:dyDescent="0.2">
      <c r="A114" s="56">
        <f t="shared" si="46"/>
        <v>45026</v>
      </c>
      <c r="B114" s="413">
        <f>'2022'!Wh/'2022'!Env_an*'2023'!Env_an</f>
        <v>50.438672249424336</v>
      </c>
      <c r="C114" s="868"/>
      <c r="D114" s="395">
        <f t="shared" si="25"/>
        <v>52.489999396689818</v>
      </c>
      <c r="E114" s="387">
        <f t="shared" si="47"/>
        <v>55.621345610590041</v>
      </c>
      <c r="F114" s="387">
        <f t="shared" si="26"/>
        <v>56.041999013019066</v>
      </c>
      <c r="G114" s="110">
        <f t="shared" si="48"/>
        <v>1.0180585896509362</v>
      </c>
      <c r="H114" s="416" t="b">
        <f>Wh_hp&gt;='2022'!Maxi_hp</f>
        <v>1</v>
      </c>
      <c r="I114" s="392">
        <f>IF(H114,Wh_hp,'2022'!Maxi_hp)</f>
        <v>56.041999013019066</v>
      </c>
      <c r="J114" s="85">
        <f>IF(H114,An,'2022'!An_max)</f>
        <v>2023</v>
      </c>
      <c r="K114" s="199">
        <f t="shared" si="27"/>
        <v>45026</v>
      </c>
      <c r="L114" s="147">
        <f>IF(t&lt;Tvie,1-EXP((T0-t)*PertePVj)+'2022'!Pspv,1-EXP((T0-t)*PertePVj)+Pspv)</f>
        <v>3.9080342366985099E-2</v>
      </c>
      <c r="M114" s="872"/>
      <c r="N114" s="872"/>
      <c r="O114" s="48">
        <f>IF(t&lt;Tnet,'2022'!Resal+('2022'!Salim-'2022'!Resal)*(1-EXP(('2022'!Tnet-t)/('2022'!Tau_j))),Resal+(Salim-Resal)*(1-EXP((Tnet-t)/(Tau_j))))*Salcycl</f>
        <v>5.6297563094266888E-2</v>
      </c>
      <c r="P114" s="171">
        <f>(INDEX(Models!$BJ114:$BT114,,T114)*(1-R114)+INDEX(Models!$BJ114:$BT114,,T114+1)*R114-ERP_i)*Q114*Ramure*Pc/MaxiM</f>
        <v>7.5060385039317293E-3</v>
      </c>
      <c r="Q114" s="307">
        <f t="shared" si="28"/>
        <v>0.9</v>
      </c>
      <c r="R114" s="179">
        <f t="shared" si="29"/>
        <v>0.5447109417924817</v>
      </c>
      <c r="S114" s="839">
        <f t="shared" si="30"/>
        <v>0</v>
      </c>
      <c r="T114" s="178">
        <f t="shared" si="31"/>
        <v>6</v>
      </c>
      <c r="U114" s="253">
        <f t="shared" si="32"/>
        <v>0.5447109417924817</v>
      </c>
      <c r="V114" s="385">
        <f t="shared" si="33"/>
        <v>49.543977883157339</v>
      </c>
      <c r="W114" s="404">
        <f t="shared" si="34"/>
        <v>50.438672249424336</v>
      </c>
      <c r="X114" s="157">
        <f t="shared" si="35"/>
        <v>45026</v>
      </c>
      <c r="Y114" s="387">
        <f t="shared" si="36"/>
        <v>45.291741768839003</v>
      </c>
      <c r="Z114" s="387">
        <f t="shared" si="37"/>
        <v>47.133744646668873</v>
      </c>
      <c r="AA114" s="388">
        <f t="shared" si="38"/>
        <v>55.621345610590041</v>
      </c>
      <c r="AB114" s="199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0.15259610983422825</v>
      </c>
      <c r="AD114" s="233">
        <f>(INDEX(Models!$BJ114:$BT114,,AH114)*(1-AF114)+INDEX(Models!$BJ114:$BT114,,AH114+1)*AF114-ERP_i)*AE114*Ramure*Pc/MaxiM</f>
        <v>7.5060385039317293E-3</v>
      </c>
      <c r="AE114" s="307">
        <f t="shared" si="40"/>
        <v>0.9</v>
      </c>
      <c r="AF114" s="179">
        <f t="shared" si="41"/>
        <v>0.5447109417924817</v>
      </c>
      <c r="AG114" s="839">
        <f t="shared" si="49"/>
        <v>0</v>
      </c>
      <c r="AH114" s="178">
        <f t="shared" si="42"/>
        <v>6</v>
      </c>
      <c r="AI114" s="227">
        <f t="shared" si="43"/>
        <v>0.5447109417924817</v>
      </c>
      <c r="AJ114" s="267" t="b">
        <f t="shared" si="44"/>
        <v>0</v>
      </c>
      <c r="AK114" s="267" t="b">
        <f t="shared" si="45"/>
        <v>0</v>
      </c>
      <c r="AL114" s="267"/>
      <c r="AM114" s="267"/>
      <c r="AN114" s="75"/>
    </row>
    <row r="115" spans="1:40" s="6" customFormat="1" ht="11.25" x14ac:dyDescent="0.2">
      <c r="A115" s="56">
        <f t="shared" si="46"/>
        <v>45027</v>
      </c>
      <c r="B115" s="413">
        <f>'2022'!Wh/'2022'!Env_an*'2023'!Env_an</f>
        <v>38.596033323657508</v>
      </c>
      <c r="C115" s="868"/>
      <c r="D115" s="395">
        <f t="shared" si="25"/>
        <v>40.16665828828458</v>
      </c>
      <c r="E115" s="387">
        <f t="shared" si="47"/>
        <v>42.571854968822684</v>
      </c>
      <c r="F115" s="387">
        <f t="shared" si="26"/>
        <v>42.784558822664245</v>
      </c>
      <c r="G115" s="110">
        <f t="shared" si="48"/>
        <v>0.77208545907575599</v>
      </c>
      <c r="H115" s="416" t="b">
        <f>Wh_hp&gt;='2022'!Maxi_hp</f>
        <v>0</v>
      </c>
      <c r="I115" s="392">
        <f>IF(H115,Wh_hp,'2022'!Maxi_hp)</f>
        <v>55.083209342837009</v>
      </c>
      <c r="J115" s="85">
        <f>IF(H115,An,'2022'!An_max)</f>
        <v>2020</v>
      </c>
      <c r="K115" s="199">
        <f t="shared" si="27"/>
        <v>45027</v>
      </c>
      <c r="L115" s="147">
        <f>IF(t&lt;Tvie,1-EXP((T0-t)*PertePVj)+'2022'!Pspv,1-EXP((T0-t)*PertePVj)+Pspv)</f>
        <v>3.9102704371231534E-2</v>
      </c>
      <c r="M115" s="872"/>
      <c r="N115" s="872"/>
      <c r="O115" s="48">
        <f>IF(t&lt;Tnet,'2022'!Resal+('2022'!Salim-'2022'!Resal)*(1-EXP(('2022'!Tnet-t)/('2022'!Tau_j))),Resal+(Salim-Resal)*(1-EXP((Tnet-t)/(Tau_j))))*Salcycl</f>
        <v>5.6497342723250757E-2</v>
      </c>
      <c r="P115" s="171">
        <f>(INDEX(Models!$BJ115:$BT115,,T115)*(1-R115)+INDEX(Models!$BJ115:$BT115,,T115+1)*R115-ERP_i)*Q115*Ramure*Pc/MaxiM</f>
        <v>7.3429768602334437E-3</v>
      </c>
      <c r="Q115" s="307">
        <f t="shared" si="28"/>
        <v>0.9</v>
      </c>
      <c r="R115" s="179">
        <f t="shared" si="29"/>
        <v>0.54646344736163543</v>
      </c>
      <c r="S115" s="839">
        <f t="shared" si="30"/>
        <v>0</v>
      </c>
      <c r="T115" s="178">
        <f t="shared" si="31"/>
        <v>6</v>
      </c>
      <c r="U115" s="253">
        <f t="shared" si="32"/>
        <v>0.54646344736163543</v>
      </c>
      <c r="V115" s="385">
        <f t="shared" si="33"/>
        <v>49.87018773342087</v>
      </c>
      <c r="W115" s="404">
        <f t="shared" si="34"/>
        <v>38.596033323657508</v>
      </c>
      <c r="X115" s="157">
        <f t="shared" si="35"/>
        <v>45027</v>
      </c>
      <c r="Y115" s="387">
        <f t="shared" si="36"/>
        <v>34.659703865245213</v>
      </c>
      <c r="Z115" s="387">
        <f t="shared" si="37"/>
        <v>36.070144044442799</v>
      </c>
      <c r="AA115" s="388">
        <f t="shared" si="38"/>
        <v>42.571854968822684</v>
      </c>
      <c r="AB115" s="199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0.15272322357438703</v>
      </c>
      <c r="AD115" s="233">
        <f>(INDEX(Models!$BJ115:$BT115,,AH115)*(1-AF115)+INDEX(Models!$BJ115:$BT115,,AH115+1)*AF115-ERP_i)*AE115*Ramure*Pc/MaxiM</f>
        <v>7.3429768602334437E-3</v>
      </c>
      <c r="AE115" s="307">
        <f t="shared" si="40"/>
        <v>0.9</v>
      </c>
      <c r="AF115" s="179">
        <f t="shared" si="41"/>
        <v>0.54646344736163543</v>
      </c>
      <c r="AG115" s="839">
        <f t="shared" si="49"/>
        <v>0</v>
      </c>
      <c r="AH115" s="178">
        <f t="shared" si="42"/>
        <v>6</v>
      </c>
      <c r="AI115" s="227">
        <f t="shared" si="43"/>
        <v>0.54646344736163543</v>
      </c>
      <c r="AJ115" s="267" t="b">
        <f t="shared" si="44"/>
        <v>0</v>
      </c>
      <c r="AK115" s="267" t="b">
        <f t="shared" si="45"/>
        <v>0</v>
      </c>
      <c r="AL115" s="267"/>
      <c r="AM115" s="267"/>
      <c r="AN115" s="75"/>
    </row>
    <row r="116" spans="1:40" s="6" customFormat="1" ht="11.25" x14ac:dyDescent="0.2">
      <c r="A116" s="56">
        <f t="shared" si="46"/>
        <v>45028</v>
      </c>
      <c r="B116" s="413">
        <f>'2022'!Wh/'2022'!Env_an*'2023'!Env_an</f>
        <v>35.461716139658179</v>
      </c>
      <c r="C116" s="868"/>
      <c r="D116" s="395">
        <f t="shared" si="25"/>
        <v>36.905652212913132</v>
      </c>
      <c r="E116" s="387">
        <f t="shared" si="47"/>
        <v>39.123900638207282</v>
      </c>
      <c r="F116" s="387">
        <f t="shared" si="26"/>
        <v>39.287645172514956</v>
      </c>
      <c r="G116" s="110">
        <f t="shared" si="48"/>
        <v>0.70440830843992686</v>
      </c>
      <c r="H116" s="416" t="b">
        <f>Wh_hp&gt;='2022'!Maxi_hp</f>
        <v>0</v>
      </c>
      <c r="I116" s="392">
        <f>IF(H116,Wh_hp,'2022'!Maxi_hp)</f>
        <v>55.421173257782392</v>
      </c>
      <c r="J116" s="85">
        <f>IF(H116,An,'2022'!An_max)</f>
        <v>2019</v>
      </c>
      <c r="K116" s="199">
        <f t="shared" si="27"/>
        <v>45028</v>
      </c>
      <c r="L116" s="147">
        <f>IF(t&lt;Tvie,1-EXP((T0-t)*PertePVj)+'2022'!Pspv,1-EXP((T0-t)*PertePVj)+Pspv)</f>
        <v>3.9125065855081353E-2</v>
      </c>
      <c r="M116" s="872"/>
      <c r="N116" s="872"/>
      <c r="O116" s="48">
        <f>IF(t&lt;Tnet,'2022'!Resal+('2022'!Salim-'2022'!Resal)*(1-EXP(('2022'!Tnet-t)/('2022'!Tau_j))),Resal+(Salim-Resal)*(1-EXP((Tnet-t)/(Tau_j))))*Salcycl</f>
        <v>5.6698038516330117E-2</v>
      </c>
      <c r="P116" s="171">
        <f>(INDEX(Models!$BJ116:$BT116,,T116)*(1-R116)+INDEX(Models!$BJ116:$BT116,,T116+1)*R116-ERP_i)*Q116*Ramure*Pc/MaxiM</f>
        <v>7.1763323287827221E-3</v>
      </c>
      <c r="Q116" s="307">
        <f t="shared" si="28"/>
        <v>0.9</v>
      </c>
      <c r="R116" s="179">
        <f t="shared" si="29"/>
        <v>0.54827775851429572</v>
      </c>
      <c r="S116" s="839">
        <f t="shared" si="30"/>
        <v>0</v>
      </c>
      <c r="T116" s="178">
        <f t="shared" si="31"/>
        <v>6</v>
      </c>
      <c r="U116" s="253">
        <f t="shared" si="32"/>
        <v>0.54827775851429572</v>
      </c>
      <c r="V116" s="385">
        <f t="shared" si="33"/>
        <v>50.190468831889731</v>
      </c>
      <c r="W116" s="404">
        <f t="shared" si="34"/>
        <v>35.461716139658179</v>
      </c>
      <c r="X116" s="157">
        <f t="shared" si="35"/>
        <v>45028</v>
      </c>
      <c r="Y116" s="387">
        <f t="shared" si="36"/>
        <v>31.846946645269881</v>
      </c>
      <c r="Z116" s="387">
        <f t="shared" si="37"/>
        <v>33.14369593126127</v>
      </c>
      <c r="AA116" s="388">
        <f t="shared" si="38"/>
        <v>39.123900638207282</v>
      </c>
      <c r="AB116" s="199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0.1528529775762163</v>
      </c>
      <c r="AD116" s="233">
        <f>(INDEX(Models!$BJ116:$BT116,,AH116)*(1-AF116)+INDEX(Models!$BJ116:$BT116,,AH116+1)*AF116-ERP_i)*AE116*Ramure*Pc/MaxiM</f>
        <v>7.1763323287827221E-3</v>
      </c>
      <c r="AE116" s="307">
        <f t="shared" si="40"/>
        <v>0.9</v>
      </c>
      <c r="AF116" s="179">
        <f t="shared" si="41"/>
        <v>0.54827775851429572</v>
      </c>
      <c r="AG116" s="839">
        <f t="shared" si="49"/>
        <v>0</v>
      </c>
      <c r="AH116" s="178">
        <f t="shared" si="42"/>
        <v>6</v>
      </c>
      <c r="AI116" s="227">
        <f t="shared" si="43"/>
        <v>0.54827775851429572</v>
      </c>
      <c r="AJ116" s="267" t="b">
        <f t="shared" si="44"/>
        <v>0</v>
      </c>
      <c r="AK116" s="267" t="b">
        <f t="shared" si="45"/>
        <v>0</v>
      </c>
      <c r="AL116" s="267"/>
      <c r="AM116" s="267"/>
      <c r="AN116" s="75"/>
    </row>
    <row r="117" spans="1:40" s="6" customFormat="1" ht="11.25" x14ac:dyDescent="0.2">
      <c r="A117" s="56">
        <f t="shared" si="46"/>
        <v>45029</v>
      </c>
      <c r="B117" s="413">
        <f>'2022'!Wh/'2022'!Env_an*'2023'!Env_an</f>
        <v>7.8159056424044326</v>
      </c>
      <c r="C117" s="868"/>
      <c r="D117" s="395">
        <f t="shared" si="25"/>
        <v>8.1343442902227938</v>
      </c>
      <c r="E117" s="387">
        <f t="shared" si="47"/>
        <v>8.6251102908096851</v>
      </c>
      <c r="F117" s="387">
        <f t="shared" si="26"/>
        <v>8.6251102908096851</v>
      </c>
      <c r="G117" s="110">
        <f t="shared" si="48"/>
        <v>0.15367231342137908</v>
      </c>
      <c r="H117" s="416" t="b">
        <f>Wh_hp&gt;='2022'!Maxi_hp</f>
        <v>0</v>
      </c>
      <c r="I117" s="392">
        <f>IF(H117,Wh_hp,'2022'!Maxi_hp)</f>
        <v>56.406019342238785</v>
      </c>
      <c r="J117" s="85">
        <f>IF(H117,An,'2022'!An_max)</f>
        <v>2019</v>
      </c>
      <c r="K117" s="199">
        <f t="shared" si="27"/>
        <v>45029</v>
      </c>
      <c r="L117" s="147">
        <f>IF(t&lt;Tvie,1-EXP((T0-t)*PertePVj)+'2022'!Pspv,1-EXP((T0-t)*PertePVj)+Pspv)</f>
        <v>3.9147426818546882E-2</v>
      </c>
      <c r="M117" s="872"/>
      <c r="N117" s="872"/>
      <c r="O117" s="48">
        <f>IF(t&lt;Tnet,'2022'!Resal+('2022'!Salim-'2022'!Resal)*(1-EXP(('2022'!Tnet-t)/('2022'!Tau_j))),Resal+(Salim-Resal)*(1-EXP((Tnet-t)/(Tau_j))))*Salcycl</f>
        <v>5.6899678269600455E-2</v>
      </c>
      <c r="P117" s="171">
        <f>(INDEX(Models!$BJ117:$BT117,,T117)*(1-R117)+INDEX(Models!$BJ117:$BT117,,T117+1)*R117-ERP_i)*Q117*Ramure*Pc/MaxiM</f>
        <v>7.0061463206045303E-3</v>
      </c>
      <c r="Q117" s="307">
        <f t="shared" si="28"/>
        <v>0.9</v>
      </c>
      <c r="R117" s="179">
        <f t="shared" si="29"/>
        <v>0.55015558908489337</v>
      </c>
      <c r="S117" s="839">
        <f t="shared" si="30"/>
        <v>0</v>
      </c>
      <c r="T117" s="178">
        <f t="shared" si="31"/>
        <v>6</v>
      </c>
      <c r="U117" s="253">
        <f t="shared" si="32"/>
        <v>0.55015558908489337</v>
      </c>
      <c r="V117" s="385">
        <f t="shared" si="33"/>
        <v>50.504518940664099</v>
      </c>
      <c r="W117" s="404">
        <f t="shared" si="34"/>
        <v>7.8159056424044326</v>
      </c>
      <c r="X117" s="157">
        <f t="shared" si="35"/>
        <v>45029</v>
      </c>
      <c r="Y117" s="387">
        <f t="shared" si="36"/>
        <v>7.0195989153230069</v>
      </c>
      <c r="Z117" s="387">
        <f t="shared" si="37"/>
        <v>7.3055941267666089</v>
      </c>
      <c r="AA117" s="388">
        <f t="shared" si="38"/>
        <v>8.6251102908096851</v>
      </c>
      <c r="AB117" s="199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0.15298542506164356</v>
      </c>
      <c r="AD117" s="233">
        <f>(INDEX(Models!$BJ117:$BT117,,AH117)*(1-AF117)+INDEX(Models!$BJ117:$BT117,,AH117+1)*AF117-ERP_i)*AE117*Ramure*Pc/MaxiM</f>
        <v>7.0061463206045303E-3</v>
      </c>
      <c r="AE117" s="307">
        <f t="shared" si="40"/>
        <v>0.9</v>
      </c>
      <c r="AF117" s="179">
        <f t="shared" si="41"/>
        <v>0.55015558908489337</v>
      </c>
      <c r="AG117" s="839">
        <f t="shared" si="49"/>
        <v>0</v>
      </c>
      <c r="AH117" s="178">
        <f t="shared" si="42"/>
        <v>6</v>
      </c>
      <c r="AI117" s="227">
        <f t="shared" si="43"/>
        <v>0.55015558908489337</v>
      </c>
      <c r="AJ117" s="267" t="b">
        <f t="shared" si="44"/>
        <v>0</v>
      </c>
      <c r="AK117" s="267" t="b">
        <f t="shared" si="45"/>
        <v>0</v>
      </c>
      <c r="AL117" s="267"/>
      <c r="AM117" s="267"/>
      <c r="AN117" s="75"/>
    </row>
    <row r="118" spans="1:40" s="6" customFormat="1" ht="11.25" x14ac:dyDescent="0.2">
      <c r="A118" s="56">
        <f t="shared" si="46"/>
        <v>45030</v>
      </c>
      <c r="B118" s="413">
        <f>'2022'!Wh/'2022'!Env_an*'2023'!Env_an</f>
        <v>38.214981657743742</v>
      </c>
      <c r="C118" s="868"/>
      <c r="D118" s="395">
        <f t="shared" si="25"/>
        <v>39.772876779999756</v>
      </c>
      <c r="E118" s="387">
        <f t="shared" si="47"/>
        <v>42.181539214292968</v>
      </c>
      <c r="F118" s="387">
        <f t="shared" si="26"/>
        <v>42.368496292266919</v>
      </c>
      <c r="G118" s="110">
        <f t="shared" si="48"/>
        <v>0.75025725652172515</v>
      </c>
      <c r="H118" s="416" t="b">
        <f>Wh_hp&gt;='2022'!Maxi_hp</f>
        <v>0</v>
      </c>
      <c r="I118" s="392">
        <f>IF(H118,Wh_hp,'2022'!Maxi_hp)</f>
        <v>56.154090506679154</v>
      </c>
      <c r="J118" s="85">
        <f>IF(H118,An,'2022'!An_max)</f>
        <v>2021</v>
      </c>
      <c r="K118" s="199">
        <f t="shared" si="27"/>
        <v>45030</v>
      </c>
      <c r="L118" s="147">
        <f>IF(t&lt;Tvie,1-EXP((T0-t)*PertePVj)+'2022'!Pspv,1-EXP((T0-t)*PertePVj)+Pspv)</f>
        <v>3.916978726164011E-2</v>
      </c>
      <c r="M118" s="872"/>
      <c r="N118" s="872"/>
      <c r="O118" s="48">
        <f>IF(t&lt;Tnet,'2022'!Resal+('2022'!Salim-'2022'!Resal)*(1-EXP(('2022'!Tnet-t)/('2022'!Tau_j))),Resal+(Salim-Resal)*(1-EXP((Tnet-t)/(Tau_j))))*Salcycl</f>
        <v>5.7102288801188485E-2</v>
      </c>
      <c r="P118" s="171">
        <f>(INDEX(Models!$BJ118:$BT118,,T118)*(1-R118)+INDEX(Models!$BJ118:$BT118,,T118+1)*R118-ERP_i)*Q118*Ramure*Pc/MaxiM</f>
        <v>6.8324519724971043E-3</v>
      </c>
      <c r="Q118" s="307">
        <f t="shared" si="28"/>
        <v>0.9</v>
      </c>
      <c r="R118" s="179">
        <f t="shared" si="29"/>
        <v>0.55209866397694063</v>
      </c>
      <c r="S118" s="839">
        <f t="shared" si="30"/>
        <v>0</v>
      </c>
      <c r="T118" s="178">
        <f t="shared" si="31"/>
        <v>6</v>
      </c>
      <c r="U118" s="253">
        <f t="shared" si="32"/>
        <v>0.55209866397694063</v>
      </c>
      <c r="V118" s="385">
        <f t="shared" si="33"/>
        <v>50.81203618988485</v>
      </c>
      <c r="W118" s="404">
        <f t="shared" si="34"/>
        <v>38.214981657743742</v>
      </c>
      <c r="X118" s="157">
        <f t="shared" si="35"/>
        <v>45030</v>
      </c>
      <c r="Y118" s="387">
        <f t="shared" si="36"/>
        <v>34.323426322631846</v>
      </c>
      <c r="Z118" s="387">
        <f t="shared" si="37"/>
        <v>35.722675939602588</v>
      </c>
      <c r="AA118" s="388">
        <f t="shared" si="38"/>
        <v>42.181539214292968</v>
      </c>
      <c r="AB118" s="199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0.15312061615100647</v>
      </c>
      <c r="AD118" s="233">
        <f>(INDEX(Models!$BJ118:$BT118,,AH118)*(1-AF118)+INDEX(Models!$BJ118:$BT118,,AH118+1)*AF118-ERP_i)*AE118*Ramure*Pc/MaxiM</f>
        <v>6.8324519724971043E-3</v>
      </c>
      <c r="AE118" s="307">
        <f t="shared" si="40"/>
        <v>0.9</v>
      </c>
      <c r="AF118" s="179">
        <f t="shared" si="41"/>
        <v>0.55209866397694063</v>
      </c>
      <c r="AG118" s="839">
        <f t="shared" si="49"/>
        <v>0</v>
      </c>
      <c r="AH118" s="178">
        <f t="shared" si="42"/>
        <v>6</v>
      </c>
      <c r="AI118" s="227">
        <f t="shared" si="43"/>
        <v>0.55209866397694063</v>
      </c>
      <c r="AJ118" s="267" t="b">
        <f t="shared" si="44"/>
        <v>0</v>
      </c>
      <c r="AK118" s="267" t="b">
        <f t="shared" si="45"/>
        <v>0</v>
      </c>
      <c r="AL118" s="267"/>
      <c r="AM118" s="267"/>
      <c r="AN118" s="75"/>
    </row>
    <row r="119" spans="1:40" s="6" customFormat="1" ht="11.25" x14ac:dyDescent="0.2">
      <c r="A119" s="56">
        <f t="shared" si="46"/>
        <v>45031</v>
      </c>
      <c r="B119" s="413">
        <f>'2022'!Wh/'2022'!Env_an*'2023'!Env_an</f>
        <v>42.433295606490759</v>
      </c>
      <c r="C119" s="868"/>
      <c r="D119" s="395">
        <f t="shared" si="25"/>
        <v>44.164184838977832</v>
      </c>
      <c r="E119" s="387">
        <f t="shared" si="47"/>
        <v>46.848903208337717</v>
      </c>
      <c r="F119" s="387">
        <f t="shared" si="26"/>
        <v>47.086255835066702</v>
      </c>
      <c r="G119" s="110">
        <f t="shared" si="48"/>
        <v>0.82884342729348126</v>
      </c>
      <c r="H119" s="416" t="b">
        <f>Wh_hp&gt;='2022'!Maxi_hp</f>
        <v>0</v>
      </c>
      <c r="I119" s="392">
        <f>IF(H119,Wh_hp,'2022'!Maxi_hp)</f>
        <v>56.104027308625504</v>
      </c>
      <c r="J119" s="85">
        <f>IF(H119,An,'2022'!An_max)</f>
        <v>2021</v>
      </c>
      <c r="K119" s="199">
        <f t="shared" si="27"/>
        <v>45031</v>
      </c>
      <c r="L119" s="147">
        <f>IF(t&lt;Tvie,1-EXP((T0-t)*PertePVj)+'2022'!Pspv,1-EXP((T0-t)*PertePVj)+Pspv)</f>
        <v>3.9192147184373027E-2</v>
      </c>
      <c r="M119" s="872"/>
      <c r="N119" s="872"/>
      <c r="O119" s="48">
        <f>IF(t&lt;Tnet,'2022'!Resal+('2022'!Salim-'2022'!Resal)*(1-EXP(('2022'!Tnet-t)/('2022'!Tau_j))),Resal+(Salim-Resal)*(1-EXP((Tnet-t)/(Tau_j))))*Salcycl</f>
        <v>5.7305895880228115E-2</v>
      </c>
      <c r="P119" s="171">
        <f>(INDEX(Models!$BJ119:$BT119,,T119)*(1-R119)+INDEX(Models!$BJ119:$BT119,,T119+1)*R119-ERP_i)*Q119*Ramure*Pc/MaxiM</f>
        <v>6.6552742106656395E-3</v>
      </c>
      <c r="Q119" s="307">
        <f t="shared" si="28"/>
        <v>0.9</v>
      </c>
      <c r="R119" s="179">
        <f t="shared" si="29"/>
        <v>0.55410871601808387</v>
      </c>
      <c r="S119" s="839">
        <f t="shared" si="30"/>
        <v>0</v>
      </c>
      <c r="T119" s="178">
        <f t="shared" si="31"/>
        <v>6</v>
      </c>
      <c r="U119" s="253">
        <f t="shared" si="32"/>
        <v>0.55410871601808387</v>
      </c>
      <c r="V119" s="385">
        <f t="shared" si="33"/>
        <v>51.112719090837729</v>
      </c>
      <c r="W119" s="404">
        <f t="shared" si="34"/>
        <v>42.433295606490759</v>
      </c>
      <c r="X119" s="157">
        <f t="shared" si="35"/>
        <v>45031</v>
      </c>
      <c r="Y119" s="387">
        <f t="shared" si="36"/>
        <v>38.114196395538919</v>
      </c>
      <c r="Z119" s="387">
        <f t="shared" si="37"/>
        <v>39.668905998057859</v>
      </c>
      <c r="AA119" s="388">
        <f t="shared" si="38"/>
        <v>46.848903208337717</v>
      </c>
      <c r="AB119" s="199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0.15325859771679853</v>
      </c>
      <c r="AD119" s="233">
        <f>(INDEX(Models!$BJ119:$BT119,,AH119)*(1-AF119)+INDEX(Models!$BJ119:$BT119,,AH119+1)*AF119-ERP_i)*AE119*Ramure*Pc/MaxiM</f>
        <v>6.6552742106656395E-3</v>
      </c>
      <c r="AE119" s="307">
        <f t="shared" si="40"/>
        <v>0.9</v>
      </c>
      <c r="AF119" s="179">
        <f t="shared" si="41"/>
        <v>0.55410871601808387</v>
      </c>
      <c r="AG119" s="839">
        <f t="shared" si="49"/>
        <v>0</v>
      </c>
      <c r="AH119" s="178">
        <f t="shared" si="42"/>
        <v>6</v>
      </c>
      <c r="AI119" s="227">
        <f t="shared" si="43"/>
        <v>0.55410871601808387</v>
      </c>
      <c r="AJ119" s="267" t="b">
        <f t="shared" si="44"/>
        <v>0</v>
      </c>
      <c r="AK119" s="267" t="b">
        <f t="shared" si="45"/>
        <v>0</v>
      </c>
      <c r="AL119" s="267"/>
      <c r="AM119" s="267"/>
      <c r="AN119" s="75"/>
    </row>
    <row r="120" spans="1:40" s="6" customFormat="1" ht="11.25" x14ac:dyDescent="0.2">
      <c r="A120" s="56">
        <f t="shared" si="46"/>
        <v>45032</v>
      </c>
      <c r="B120" s="413">
        <f>'2022'!Wh/'2022'!Env_an*'2023'!Env_an</f>
        <v>45.503802168880618</v>
      </c>
      <c r="C120" s="868"/>
      <c r="D120" s="395">
        <f t="shared" si="25"/>
        <v>47.361042064889972</v>
      </c>
      <c r="E120" s="387">
        <f t="shared" si="47"/>
        <v>50.251003622449005</v>
      </c>
      <c r="F120" s="387">
        <f t="shared" si="26"/>
        <v>50.524472691079872</v>
      </c>
      <c r="G120" s="110">
        <f t="shared" si="48"/>
        <v>0.88423486312947297</v>
      </c>
      <c r="H120" s="416" t="b">
        <f>Wh_hp&gt;='2022'!Maxi_hp</f>
        <v>0</v>
      </c>
      <c r="I120" s="392">
        <f>IF(H120,Wh_hp,'2022'!Maxi_hp)</f>
        <v>50.539575554586463</v>
      </c>
      <c r="J120" s="85">
        <f>IF(H120,An,'2022'!An_max)</f>
        <v>2022</v>
      </c>
      <c r="K120" s="199">
        <f t="shared" si="27"/>
        <v>45032</v>
      </c>
      <c r="L120" s="147">
        <f>IF(t&lt;Tvie,1-EXP((T0-t)*PertePVj)+'2022'!Pspv,1-EXP((T0-t)*PertePVj)+Pspv)</f>
        <v>3.9214506586758069E-2</v>
      </c>
      <c r="M120" s="872"/>
      <c r="N120" s="872"/>
      <c r="O120" s="48">
        <f>IF(t&lt;Tnet,'2022'!Resal+('2022'!Salim-'2022'!Resal)*(1-EXP(('2022'!Tnet-t)/('2022'!Tau_j))),Resal+(Salim-Resal)*(1-EXP((Tnet-t)/(Tau_j))))*Salcycl</f>
        <v>5.751052415335197E-2</v>
      </c>
      <c r="P120" s="171">
        <f>(INDEX(Models!$BJ120:$BT120,,T120)*(1-R120)+INDEX(Models!$BJ120:$BT120,,T120+1)*R120-ERP_i)*Q120*Ramure*Pc/MaxiM</f>
        <v>6.4746298004184077E-3</v>
      </c>
      <c r="Q120" s="307">
        <f t="shared" si="28"/>
        <v>0.9</v>
      </c>
      <c r="R120" s="179">
        <f t="shared" si="29"/>
        <v>0.55618748253863282</v>
      </c>
      <c r="S120" s="839">
        <f t="shared" si="30"/>
        <v>0</v>
      </c>
      <c r="T120" s="178">
        <f t="shared" si="31"/>
        <v>6</v>
      </c>
      <c r="U120" s="253">
        <f t="shared" si="32"/>
        <v>0.55618748253863282</v>
      </c>
      <c r="V120" s="385">
        <f t="shared" si="33"/>
        <v>51.406266540449877</v>
      </c>
      <c r="W120" s="404">
        <f t="shared" si="34"/>
        <v>45.503802168880618</v>
      </c>
      <c r="X120" s="157">
        <f t="shared" si="35"/>
        <v>45032</v>
      </c>
      <c r="Y120" s="387">
        <f t="shared" si="36"/>
        <v>40.874244862739822</v>
      </c>
      <c r="Z120" s="387">
        <f t="shared" si="37"/>
        <v>42.542529152404121</v>
      </c>
      <c r="AA120" s="388">
        <f t="shared" si="38"/>
        <v>50.251003622449005</v>
      </c>
      <c r="AB120" s="199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0.15339941323283776</v>
      </c>
      <c r="AD120" s="233">
        <f>(INDEX(Models!$BJ120:$BT120,,AH120)*(1-AF120)+INDEX(Models!$BJ120:$BT120,,AH120+1)*AF120-ERP_i)*AE120*Ramure*Pc/MaxiM</f>
        <v>6.4746298004184077E-3</v>
      </c>
      <c r="AE120" s="307">
        <f t="shared" si="40"/>
        <v>0.9</v>
      </c>
      <c r="AF120" s="179">
        <f t="shared" si="41"/>
        <v>0.55618748253863282</v>
      </c>
      <c r="AG120" s="839">
        <f t="shared" si="49"/>
        <v>0</v>
      </c>
      <c r="AH120" s="178">
        <f t="shared" si="42"/>
        <v>6</v>
      </c>
      <c r="AI120" s="227">
        <f t="shared" si="43"/>
        <v>0.55618748253863282</v>
      </c>
      <c r="AJ120" s="267" t="b">
        <f t="shared" si="44"/>
        <v>0</v>
      </c>
      <c r="AK120" s="267" t="b">
        <f t="shared" si="45"/>
        <v>0</v>
      </c>
      <c r="AL120" s="267"/>
      <c r="AM120" s="267"/>
      <c r="AN120" s="75"/>
    </row>
    <row r="121" spans="1:40" s="6" customFormat="1" ht="11.25" x14ac:dyDescent="0.2">
      <c r="A121" s="56">
        <f t="shared" si="46"/>
        <v>45033</v>
      </c>
      <c r="B121" s="413">
        <f>'2022'!Wh/'2022'!Env_an*'2023'!Env_an</f>
        <v>51.652961903633958</v>
      </c>
      <c r="C121" s="868"/>
      <c r="D121" s="395">
        <f t="shared" si="25"/>
        <v>53.762431183247017</v>
      </c>
      <c r="E121" s="387">
        <f t="shared" si="47"/>
        <v>57.055455072010965</v>
      </c>
      <c r="F121" s="387">
        <f t="shared" si="26"/>
        <v>57.416215926427469</v>
      </c>
      <c r="G121" s="110">
        <f t="shared" si="48"/>
        <v>0.99920292450857928</v>
      </c>
      <c r="H121" s="416" t="b">
        <f>Wh_hp&gt;='2022'!Maxi_hp</f>
        <v>0</v>
      </c>
      <c r="I121" s="392">
        <f>IF(H121,Wh_hp,'2022'!Maxi_hp)</f>
        <v>57.416331755569935</v>
      </c>
      <c r="J121" s="85">
        <f>IF(H121,An,'2022'!An_max)</f>
        <v>2022</v>
      </c>
      <c r="K121" s="199">
        <f t="shared" si="27"/>
        <v>45033</v>
      </c>
      <c r="L121" s="147">
        <f>IF(t&lt;Tvie,1-EXP((T0-t)*PertePVj)+'2022'!Pspv,1-EXP((T0-t)*PertePVj)+Pspv)</f>
        <v>3.9236865468807003E-2</v>
      </c>
      <c r="M121" s="872"/>
      <c r="N121" s="872"/>
      <c r="O121" s="48">
        <f>IF(t&lt;Tnet,'2022'!Resal+('2022'!Salim-'2022'!Resal)*(1-EXP(('2022'!Tnet-t)/('2022'!Tau_j))),Resal+(Salim-Resal)*(1-EXP((Tnet-t)/(Tau_j))))*Salcycl</f>
        <v>5.7716197068409102E-2</v>
      </c>
      <c r="P121" s="171">
        <f>(INDEX(Models!$BJ121:$BT121,,T121)*(1-R121)+INDEX(Models!$BJ121:$BT121,,T121+1)*R121-ERP_i)*Q121*Ramure*Pc/MaxiM</f>
        <v>6.2903557959927293E-3</v>
      </c>
      <c r="Q121" s="307">
        <f t="shared" si="28"/>
        <v>0.9</v>
      </c>
      <c r="R121" s="179">
        <f t="shared" si="29"/>
        <v>0.55833670166453153</v>
      </c>
      <c r="S121" s="839">
        <f t="shared" si="30"/>
        <v>0</v>
      </c>
      <c r="T121" s="178">
        <f t="shared" si="31"/>
        <v>6</v>
      </c>
      <c r="U121" s="253">
        <f t="shared" si="32"/>
        <v>0.55833670166453153</v>
      </c>
      <c r="V121" s="385">
        <f t="shared" si="33"/>
        <v>51.693796782273147</v>
      </c>
      <c r="W121" s="404">
        <f t="shared" si="34"/>
        <v>51.652961903633958</v>
      </c>
      <c r="X121" s="157">
        <f t="shared" si="35"/>
        <v>45033</v>
      </c>
      <c r="Y121" s="387">
        <f t="shared" si="36"/>
        <v>46.400039709381154</v>
      </c>
      <c r="Z121" s="387">
        <f t="shared" si="37"/>
        <v>48.294983478963502</v>
      </c>
      <c r="AA121" s="388">
        <f t="shared" si="38"/>
        <v>57.055455072010965</v>
      </c>
      <c r="AB121" s="199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0.15354310261815762</v>
      </c>
      <c r="AD121" s="233">
        <f>(INDEX(Models!$BJ121:$BT121,,AH121)*(1-AF121)+INDEX(Models!$BJ121:$BT121,,AH121+1)*AF121-ERP_i)*AE121*Ramure*Pc/MaxiM</f>
        <v>6.2903557959927293E-3</v>
      </c>
      <c r="AE121" s="307">
        <f t="shared" si="40"/>
        <v>0.9</v>
      </c>
      <c r="AF121" s="179">
        <f t="shared" si="41"/>
        <v>0.55833670166453153</v>
      </c>
      <c r="AG121" s="839">
        <f t="shared" si="49"/>
        <v>0</v>
      </c>
      <c r="AH121" s="178">
        <f t="shared" si="42"/>
        <v>6</v>
      </c>
      <c r="AI121" s="227">
        <f t="shared" si="43"/>
        <v>0.55833670166453153</v>
      </c>
      <c r="AJ121" s="267" t="b">
        <f t="shared" si="44"/>
        <v>0</v>
      </c>
      <c r="AK121" s="267" t="b">
        <f t="shared" si="45"/>
        <v>0</v>
      </c>
      <c r="AL121" s="267"/>
      <c r="AM121" s="267"/>
      <c r="AN121" s="75"/>
    </row>
    <row r="122" spans="1:40" s="18" customFormat="1" ht="11.25" x14ac:dyDescent="0.2">
      <c r="A122" s="56">
        <f t="shared" si="46"/>
        <v>45034</v>
      </c>
      <c r="B122" s="413">
        <f>'2022'!Wh/'2022'!Env_an*'2023'!Env_an</f>
        <v>41.506288533439673</v>
      </c>
      <c r="C122" s="868"/>
      <c r="D122" s="395">
        <f t="shared" si="25"/>
        <v>43.202380457846061</v>
      </c>
      <c r="E122" s="387">
        <f t="shared" si="47"/>
        <v>45.858648029150558</v>
      </c>
      <c r="F122" s="387">
        <f t="shared" si="26"/>
        <v>46.058742687867252</v>
      </c>
      <c r="G122" s="110">
        <f t="shared" si="48"/>
        <v>0.79714989464031494</v>
      </c>
      <c r="H122" s="416" t="b">
        <f>Wh_hp&gt;='2022'!Maxi_hp</f>
        <v>0</v>
      </c>
      <c r="I122" s="392">
        <f>IF(H122,Wh_hp,'2022'!Maxi_hp)</f>
        <v>46.081902572381331</v>
      </c>
      <c r="J122" s="85">
        <f>IF(H122,An,'2022'!An_max)</f>
        <v>2022</v>
      </c>
      <c r="K122" s="199">
        <f t="shared" si="27"/>
        <v>45034</v>
      </c>
      <c r="L122" s="147">
        <f>IF(t&lt;Tvie,1-EXP((T0-t)*PertePVj)+'2022'!Pspv,1-EXP((T0-t)*PertePVj)+Pspv)</f>
        <v>3.9259223830532153E-2</v>
      </c>
      <c r="M122" s="872"/>
      <c r="N122" s="872"/>
      <c r="O122" s="48">
        <f>IF(t&lt;Tnet,'2022'!Resal+('2022'!Salim-'2022'!Resal)*(1-EXP(('2022'!Tnet-t)/('2022'!Tau_j))),Resal+(Salim-Resal)*(1-EXP((Tnet-t)/(Tau_j))))*Salcycl</f>
        <v>5.7922936795171402E-2</v>
      </c>
      <c r="P122" s="171">
        <f>(INDEX(Models!$BJ122:$BT122,,T122)*(1-R122)+INDEX(Models!$BJ122:$BT122,,T122+1)*R122-ERP_i)*Q122*Ramure*Pc/MaxiM</f>
        <v>6.0996651211464234E-3</v>
      </c>
      <c r="Q122" s="307">
        <f t="shared" si="28"/>
        <v>0.9</v>
      </c>
      <c r="R122" s="179">
        <f t="shared" si="29"/>
        <v>0.56055810831663144</v>
      </c>
      <c r="S122" s="839">
        <f t="shared" si="30"/>
        <v>0</v>
      </c>
      <c r="T122" s="178">
        <f t="shared" si="31"/>
        <v>6</v>
      </c>
      <c r="U122" s="253">
        <f t="shared" si="32"/>
        <v>0.56055810831663144</v>
      </c>
      <c r="V122" s="385">
        <f t="shared" si="33"/>
        <v>51.97656516313139</v>
      </c>
      <c r="W122" s="404">
        <f t="shared" si="34"/>
        <v>41.506288533439673</v>
      </c>
      <c r="X122" s="157">
        <f t="shared" si="35"/>
        <v>45034</v>
      </c>
      <c r="Y122" s="387">
        <f t="shared" si="36"/>
        <v>37.286970234680169</v>
      </c>
      <c r="Z122" s="387">
        <f t="shared" si="37"/>
        <v>38.81064607598482</v>
      </c>
      <c r="AA122" s="388">
        <f t="shared" si="38"/>
        <v>45.858648029150558</v>
      </c>
      <c r="AB122" s="199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0.1536897020750721</v>
      </c>
      <c r="AD122" s="233">
        <f>(INDEX(Models!$BJ122:$BT122,,AH122)*(1-AF122)+INDEX(Models!$BJ122:$BT122,,AH122+1)*AF122-ERP_i)*AE122*Ramure*Pc/MaxiM</f>
        <v>6.0996651211464234E-3</v>
      </c>
      <c r="AE122" s="307">
        <f t="shared" si="40"/>
        <v>0.9</v>
      </c>
      <c r="AF122" s="179">
        <f t="shared" si="41"/>
        <v>0.56055810831663144</v>
      </c>
      <c r="AG122" s="839">
        <f t="shared" si="49"/>
        <v>0</v>
      </c>
      <c r="AH122" s="178">
        <f t="shared" si="42"/>
        <v>6</v>
      </c>
      <c r="AI122" s="227">
        <f t="shared" si="43"/>
        <v>0.56055810831663144</v>
      </c>
      <c r="AJ122" s="267" t="b">
        <f t="shared" si="44"/>
        <v>0</v>
      </c>
      <c r="AK122" s="267" t="b">
        <f t="shared" si="45"/>
        <v>0</v>
      </c>
      <c r="AL122" s="267"/>
      <c r="AM122" s="267"/>
      <c r="AN122" s="267"/>
    </row>
    <row r="123" spans="1:40" s="18" customFormat="1" ht="11.25" x14ac:dyDescent="0.2">
      <c r="A123" s="56">
        <f t="shared" si="46"/>
        <v>45035</v>
      </c>
      <c r="B123" s="413">
        <f>'2022'!Wh/'2022'!Env_an*'2023'!Env_an</f>
        <v>11.341414016373967</v>
      </c>
      <c r="C123" s="868"/>
      <c r="D123" s="395">
        <f t="shared" si="25"/>
        <v>11.80513852967607</v>
      </c>
      <c r="E123" s="387">
        <f t="shared" si="47"/>
        <v>12.533734068649974</v>
      </c>
      <c r="F123" s="387">
        <f t="shared" si="26"/>
        <v>12.533734068649974</v>
      </c>
      <c r="G123" s="110">
        <f t="shared" si="48"/>
        <v>0.21576169628882835</v>
      </c>
      <c r="H123" s="416" t="b">
        <f>Wh_hp&gt;='2022'!Maxi_hp</f>
        <v>0</v>
      </c>
      <c r="I123" s="392">
        <f>IF(H123,Wh_hp,'2022'!Maxi_hp)</f>
        <v>56.480000775881308</v>
      </c>
      <c r="J123" s="85">
        <f>IF(H123,An,'2022'!An_max)</f>
        <v>2021</v>
      </c>
      <c r="K123" s="199">
        <f t="shared" si="27"/>
        <v>45035</v>
      </c>
      <c r="L123" s="147">
        <f>IF(t&lt;Tvie,1-EXP((T0-t)*PertePVj)+'2022'!Pspv,1-EXP((T0-t)*PertePVj)+Pspv)</f>
        <v>3.928158167194562E-2</v>
      </c>
      <c r="M123" s="872"/>
      <c r="N123" s="872"/>
      <c r="O123" s="48">
        <f>IF(t&lt;Tnet,'2022'!Resal+('2022'!Salim-'2022'!Resal)*(1-EXP(('2022'!Tnet-t)/('2022'!Tau_j))),Resal+(Salim-Resal)*(1-EXP((Tnet-t)/(Tau_j))))*Salcycl</f>
        <v>5.8130764142850705E-2</v>
      </c>
      <c r="P123" s="171">
        <f>(INDEX(Models!$BJ123:$BT123,,T123)*(1-R123)+INDEX(Models!$BJ123:$BT123,,T123+1)*R123-ERP_i)*Q123*Ramure*Pc/MaxiM</f>
        <v>5.9056295510978374E-3</v>
      </c>
      <c r="Q123" s="307">
        <f t="shared" si="28"/>
        <v>0.9</v>
      </c>
      <c r="R123" s="179">
        <f t="shared" si="29"/>
        <v>0.56285342990920617</v>
      </c>
      <c r="S123" s="839">
        <f t="shared" si="30"/>
        <v>0</v>
      </c>
      <c r="T123" s="178">
        <f t="shared" si="31"/>
        <v>6</v>
      </c>
      <c r="U123" s="253">
        <f t="shared" si="32"/>
        <v>0.56285342990920617</v>
      </c>
      <c r="V123" s="385">
        <f t="shared" si="33"/>
        <v>52.254111923161581</v>
      </c>
      <c r="W123" s="404">
        <f t="shared" si="34"/>
        <v>11.341414016373967</v>
      </c>
      <c r="X123" s="157">
        <f t="shared" si="35"/>
        <v>45035</v>
      </c>
      <c r="Y123" s="387">
        <f t="shared" si="36"/>
        <v>10.18895096447878</v>
      </c>
      <c r="Z123" s="387">
        <f t="shared" si="37"/>
        <v>10.605553896021572</v>
      </c>
      <c r="AA123" s="388">
        <f t="shared" si="38"/>
        <v>12.533734068649974</v>
      </c>
      <c r="AB123" s="199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0.15383924392103282</v>
      </c>
      <c r="AD123" s="233">
        <f>(INDEX(Models!$BJ123:$BT123,,AH123)*(1-AF123)+INDEX(Models!$BJ123:$BT123,,AH123+1)*AF123-ERP_i)*AE123*Ramure*Pc/MaxiM</f>
        <v>5.9056295510978374E-3</v>
      </c>
      <c r="AE123" s="307">
        <f t="shared" si="40"/>
        <v>0.9</v>
      </c>
      <c r="AF123" s="179">
        <f t="shared" si="41"/>
        <v>0.56285342990920617</v>
      </c>
      <c r="AG123" s="839">
        <f t="shared" si="49"/>
        <v>0</v>
      </c>
      <c r="AH123" s="178">
        <f t="shared" si="42"/>
        <v>6</v>
      </c>
      <c r="AI123" s="227">
        <f t="shared" si="43"/>
        <v>0.56285342990920617</v>
      </c>
      <c r="AJ123" s="267" t="b">
        <f t="shared" si="44"/>
        <v>0</v>
      </c>
      <c r="AK123" s="267" t="b">
        <f t="shared" si="45"/>
        <v>0</v>
      </c>
      <c r="AL123" s="267"/>
      <c r="AM123" s="267"/>
      <c r="AN123" s="267"/>
    </row>
    <row r="124" spans="1:40" s="6" customFormat="1" ht="11.25" x14ac:dyDescent="0.2">
      <c r="A124" s="56">
        <f t="shared" si="46"/>
        <v>45036</v>
      </c>
      <c r="B124" s="413">
        <f>'2022'!Wh/'2022'!Env_an*'2023'!Env_an</f>
        <v>10.707041485785084</v>
      </c>
      <c r="C124" s="868"/>
      <c r="D124" s="395">
        <f t="shared" si="25"/>
        <v>11.14508731779606</v>
      </c>
      <c r="E124" s="387">
        <f t="shared" si="47"/>
        <v>11.835570958804054</v>
      </c>
      <c r="F124" s="387">
        <f t="shared" si="26"/>
        <v>11.835570958804054</v>
      </c>
      <c r="G124" s="110">
        <f t="shared" si="48"/>
        <v>0.20267858592755397</v>
      </c>
      <c r="H124" s="416" t="b">
        <f>Wh_hp&gt;='2022'!Maxi_hp</f>
        <v>0</v>
      </c>
      <c r="I124" s="392">
        <f>IF(H124,Wh_hp,'2022'!Maxi_hp)</f>
        <v>48.589941916916572</v>
      </c>
      <c r="J124" s="85">
        <f>IF(H124,An,'2022'!An_max)</f>
        <v>2019</v>
      </c>
      <c r="K124" s="199">
        <f t="shared" si="27"/>
        <v>45036</v>
      </c>
      <c r="L124" s="147">
        <f>IF(t&lt;Tvie,1-EXP((T0-t)*PertePVj)+'2022'!Pspv,1-EXP((T0-t)*PertePVj)+Pspv)</f>
        <v>3.9303938993059395E-2</v>
      </c>
      <c r="M124" s="872"/>
      <c r="N124" s="872"/>
      <c r="O124" s="48">
        <f>IF(t&lt;Tnet,'2022'!Resal+('2022'!Salim-'2022'!Resal)*(1-EXP(('2022'!Tnet-t)/('2022'!Tau_j))),Resal+(Salim-Resal)*(1-EXP((Tnet-t)/(Tau_j))))*Salcycl</f>
        <v>5.8339698474315568E-2</v>
      </c>
      <c r="P124" s="171">
        <f>(INDEX(Models!$BJ124:$BT124,,T124)*(1-R124)+INDEX(Models!$BJ124:$BT124,,T124+1)*R124-ERP_i)*Q124*Ramure*Pc/MaxiM</f>
        <v>5.7082484523078179E-3</v>
      </c>
      <c r="Q124" s="307">
        <f t="shared" si="28"/>
        <v>0.9</v>
      </c>
      <c r="R124" s="179">
        <f t="shared" si="29"/>
        <v>0.56522438174190193</v>
      </c>
      <c r="S124" s="839">
        <f t="shared" si="30"/>
        <v>0</v>
      </c>
      <c r="T124" s="178">
        <f t="shared" si="31"/>
        <v>6</v>
      </c>
      <c r="U124" s="253">
        <f t="shared" si="32"/>
        <v>0.56522438174190193</v>
      </c>
      <c r="V124" s="385">
        <f t="shared" si="33"/>
        <v>52.526136316149184</v>
      </c>
      <c r="W124" s="404">
        <f t="shared" si="34"/>
        <v>10.707041485785084</v>
      </c>
      <c r="X124" s="157">
        <f t="shared" si="35"/>
        <v>45036</v>
      </c>
      <c r="Y124" s="387">
        <f t="shared" si="36"/>
        <v>9.6194406270651438</v>
      </c>
      <c r="Z124" s="387">
        <f t="shared" si="37"/>
        <v>10.012990598694302</v>
      </c>
      <c r="AA124" s="388">
        <f t="shared" si="38"/>
        <v>11.835570958804054</v>
      </c>
      <c r="AB124" s="199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0.15399175641408339</v>
      </c>
      <c r="AD124" s="233">
        <f>(INDEX(Models!$BJ124:$BT124,,AH124)*(1-AF124)+INDEX(Models!$BJ124:$BT124,,AH124+1)*AF124-ERP_i)*AE124*Ramure*Pc/MaxiM</f>
        <v>5.7082484523078179E-3</v>
      </c>
      <c r="AE124" s="307">
        <f t="shared" si="40"/>
        <v>0.9</v>
      </c>
      <c r="AF124" s="179">
        <f t="shared" si="41"/>
        <v>0.56522438174190193</v>
      </c>
      <c r="AG124" s="839">
        <f t="shared" si="49"/>
        <v>0</v>
      </c>
      <c r="AH124" s="178">
        <f t="shared" si="42"/>
        <v>6</v>
      </c>
      <c r="AI124" s="227">
        <f t="shared" si="43"/>
        <v>0.56522438174190193</v>
      </c>
      <c r="AJ124" s="267" t="b">
        <f t="shared" si="44"/>
        <v>0</v>
      </c>
      <c r="AK124" s="267" t="b">
        <f t="shared" si="45"/>
        <v>0</v>
      </c>
      <c r="AL124" s="267"/>
      <c r="AM124" s="267"/>
      <c r="AN124" s="75"/>
    </row>
    <row r="125" spans="1:40" s="6" customFormat="1" ht="11.25" x14ac:dyDescent="0.2">
      <c r="A125" s="56">
        <f t="shared" si="46"/>
        <v>45037</v>
      </c>
      <c r="B125" s="413">
        <f>'2022'!Wh/'2022'!Env_an*'2023'!Env_an</f>
        <v>10.217383267207941</v>
      </c>
      <c r="C125" s="868"/>
      <c r="D125" s="395">
        <f t="shared" si="25"/>
        <v>10.635643738839947</v>
      </c>
      <c r="E125" s="387">
        <f t="shared" si="47"/>
        <v>11.297085347727634</v>
      </c>
      <c r="F125" s="387">
        <f t="shared" si="26"/>
        <v>11.297085347727634</v>
      </c>
      <c r="G125" s="110">
        <f t="shared" si="48"/>
        <v>0.19247321231707804</v>
      </c>
      <c r="H125" s="416" t="b">
        <f>Wh_hp&gt;='2022'!Maxi_hp</f>
        <v>0</v>
      </c>
      <c r="I125" s="392">
        <f>IF(H125,Wh_hp,'2022'!Maxi_hp)</f>
        <v>55.308374448877338</v>
      </c>
      <c r="J125" s="85">
        <f>IF(H125,An,'2022'!An_max)</f>
        <v>2021</v>
      </c>
      <c r="K125" s="199">
        <f t="shared" si="27"/>
        <v>45037</v>
      </c>
      <c r="L125" s="147">
        <f>IF(t&lt;Tvie,1-EXP((T0-t)*PertePVj)+'2022'!Pspv,1-EXP((T0-t)*PertePVj)+Pspv)</f>
        <v>3.9326295793885579E-2</v>
      </c>
      <c r="M125" s="872"/>
      <c r="N125" s="872"/>
      <c r="O125" s="48">
        <f>IF(t&lt;Tnet,'2022'!Resal+('2022'!Salim-'2022'!Resal)*(1-EXP(('2022'!Tnet-t)/('2022'!Tau_j))),Resal+(Salim-Resal)*(1-EXP((Tnet-t)/(Tau_j))))*Salcycl</f>
        <v>5.8549757616970968E-2</v>
      </c>
      <c r="P125" s="171">
        <f>(INDEX(Models!$BJ125:$BT125,,T125)*(1-R125)+INDEX(Models!$BJ125:$BT125,,T125+1)*R125-ERP_i)*Q125*Ramure*Pc/MaxiM</f>
        <v>5.5075286435539742E-3</v>
      </c>
      <c r="Q125" s="307">
        <f t="shared" si="28"/>
        <v>0.9</v>
      </c>
      <c r="R125" s="179">
        <f t="shared" si="29"/>
        <v>0.56767266208078215</v>
      </c>
      <c r="S125" s="839">
        <f t="shared" si="30"/>
        <v>0</v>
      </c>
      <c r="T125" s="178">
        <f t="shared" si="31"/>
        <v>6</v>
      </c>
      <c r="U125" s="253">
        <f t="shared" si="32"/>
        <v>0.56767266208078215</v>
      </c>
      <c r="V125" s="385">
        <f t="shared" si="33"/>
        <v>52.79233724983159</v>
      </c>
      <c r="W125" s="404">
        <f t="shared" si="34"/>
        <v>10.217383267207941</v>
      </c>
      <c r="X125" s="157">
        <f t="shared" si="35"/>
        <v>45037</v>
      </c>
      <c r="Y125" s="387">
        <f t="shared" si="36"/>
        <v>9.1798814282807708</v>
      </c>
      <c r="Z125" s="387">
        <f t="shared" si="37"/>
        <v>9.5556705550370822</v>
      </c>
      <c r="AA125" s="388">
        <f t="shared" si="38"/>
        <v>11.297085347727634</v>
      </c>
      <c r="AB125" s="199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0.15414726357191152</v>
      </c>
      <c r="AD125" s="233">
        <f>(INDEX(Models!$BJ125:$BT125,,AH125)*(1-AF125)+INDEX(Models!$BJ125:$BT125,,AH125+1)*AF125-ERP_i)*AE125*Ramure*Pc/MaxiM</f>
        <v>5.5075286435539742E-3</v>
      </c>
      <c r="AE125" s="307">
        <f t="shared" si="40"/>
        <v>0.9</v>
      </c>
      <c r="AF125" s="179">
        <f t="shared" si="41"/>
        <v>0.56767266208078215</v>
      </c>
      <c r="AG125" s="839">
        <f t="shared" si="49"/>
        <v>0</v>
      </c>
      <c r="AH125" s="178">
        <f t="shared" si="42"/>
        <v>6</v>
      </c>
      <c r="AI125" s="227">
        <f t="shared" si="43"/>
        <v>0.56767266208078215</v>
      </c>
      <c r="AJ125" s="267" t="b">
        <f t="shared" si="44"/>
        <v>0</v>
      </c>
      <c r="AK125" s="267" t="b">
        <f t="shared" si="45"/>
        <v>0</v>
      </c>
      <c r="AL125" s="267"/>
      <c r="AM125" s="267"/>
      <c r="AN125" s="75"/>
    </row>
    <row r="126" spans="1:40" s="6" customFormat="1" ht="11.25" x14ac:dyDescent="0.2">
      <c r="A126" s="56">
        <f t="shared" si="46"/>
        <v>45038</v>
      </c>
      <c r="B126" s="413">
        <f>'2022'!Wh/'2022'!Env_an*'2023'!Env_an</f>
        <v>30.902289251563783</v>
      </c>
      <c r="C126" s="868"/>
      <c r="D126" s="395">
        <f t="shared" si="25"/>
        <v>32.168059013599859</v>
      </c>
      <c r="E126" s="387">
        <f t="shared" si="47"/>
        <v>34.176290581187999</v>
      </c>
      <c r="F126" s="387">
        <f t="shared" si="26"/>
        <v>34.249592300950816</v>
      </c>
      <c r="G126" s="110">
        <f t="shared" si="48"/>
        <v>0.58063951544525394</v>
      </c>
      <c r="H126" s="416" t="b">
        <f>Wh_hp&gt;='2022'!Maxi_hp</f>
        <v>0</v>
      </c>
      <c r="I126" s="392">
        <f>IF(H126,Wh_hp,'2022'!Maxi_hp)</f>
        <v>59.256250971912621</v>
      </c>
      <c r="J126" s="85">
        <f>IF(H126,An,'2022'!An_max)</f>
        <v>2021</v>
      </c>
      <c r="K126" s="199">
        <f t="shared" si="27"/>
        <v>45038</v>
      </c>
      <c r="L126" s="147">
        <f>IF(t&lt;Tvie,1-EXP((T0-t)*PertePVj)+'2022'!Pspv,1-EXP((T0-t)*PertePVj)+Pspv)</f>
        <v>3.9348652074436385E-2</v>
      </c>
      <c r="M126" s="872"/>
      <c r="N126" s="872"/>
      <c r="O126" s="48">
        <f>IF(t&lt;Tnet,'2022'!Resal+('2022'!Salim-'2022'!Resal)*(1-EXP(('2022'!Tnet-t)/('2022'!Tau_j))),Resal+(Salim-Resal)*(1-EXP((Tnet-t)/(Tau_j))))*Salcycl</f>
        <v>5.8760957770342404E-2</v>
      </c>
      <c r="P126" s="171">
        <f>(INDEX(Models!$BJ126:$BT126,,T126)*(1-R126)+INDEX(Models!$BJ126:$BT126,,T126+1)*R126-ERP_i)*Q126*Ramure*Pc/MaxiM</f>
        <v>5.3034667234670187E-3</v>
      </c>
      <c r="Q126" s="307">
        <f t="shared" si="28"/>
        <v>0.9</v>
      </c>
      <c r="R126" s="179">
        <f t="shared" si="29"/>
        <v>0.57019994692578913</v>
      </c>
      <c r="S126" s="839">
        <f t="shared" si="30"/>
        <v>0</v>
      </c>
      <c r="T126" s="178">
        <f t="shared" si="31"/>
        <v>6</v>
      </c>
      <c r="U126" s="253">
        <f t="shared" si="32"/>
        <v>0.57019994692578913</v>
      </c>
      <c r="V126" s="385">
        <f t="shared" si="33"/>
        <v>53.052414208876549</v>
      </c>
      <c r="W126" s="404">
        <f t="shared" si="34"/>
        <v>30.902289251563783</v>
      </c>
      <c r="X126" s="157">
        <f t="shared" si="35"/>
        <v>45038</v>
      </c>
      <c r="Y126" s="387">
        <f t="shared" si="36"/>
        <v>27.765409293763891</v>
      </c>
      <c r="Z126" s="387">
        <f t="shared" si="37"/>
        <v>28.902691235192336</v>
      </c>
      <c r="AA126" s="388">
        <f t="shared" si="38"/>
        <v>34.176290581187999</v>
      </c>
      <c r="AB126" s="199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0.15430578498470701</v>
      </c>
      <c r="AD126" s="233">
        <f>(INDEX(Models!$BJ126:$BT126,,AH126)*(1-AF126)+INDEX(Models!$BJ126:$BT126,,AH126+1)*AF126-ERP_i)*AE126*Ramure*Pc/MaxiM</f>
        <v>5.3034667234670187E-3</v>
      </c>
      <c r="AE126" s="307">
        <f t="shared" si="40"/>
        <v>0.9</v>
      </c>
      <c r="AF126" s="179">
        <f t="shared" si="41"/>
        <v>0.57019994692578913</v>
      </c>
      <c r="AG126" s="839">
        <f t="shared" si="49"/>
        <v>0</v>
      </c>
      <c r="AH126" s="178">
        <f t="shared" si="42"/>
        <v>6</v>
      </c>
      <c r="AI126" s="227">
        <f t="shared" si="43"/>
        <v>0.57019994692578913</v>
      </c>
      <c r="AJ126" s="267" t="b">
        <f t="shared" si="44"/>
        <v>0</v>
      </c>
      <c r="AK126" s="267" t="b">
        <f t="shared" si="45"/>
        <v>0</v>
      </c>
      <c r="AL126" s="267"/>
      <c r="AM126" s="267"/>
      <c r="AN126" s="75"/>
    </row>
    <row r="127" spans="1:40" s="6" customFormat="1" ht="11.25" x14ac:dyDescent="0.2">
      <c r="A127" s="56">
        <f t="shared" si="46"/>
        <v>45039</v>
      </c>
      <c r="B127" s="413">
        <f>'2022'!Wh/'2022'!Env_an*'2023'!Env_an</f>
        <v>8.9389202059240365</v>
      </c>
      <c r="C127" s="868"/>
      <c r="D127" s="395">
        <f t="shared" si="25"/>
        <v>9.3052783944981083</v>
      </c>
      <c r="E127" s="387">
        <f t="shared" si="47"/>
        <v>9.888431993594704</v>
      </c>
      <c r="F127" s="387">
        <f t="shared" si="26"/>
        <v>9.888431993594704</v>
      </c>
      <c r="G127" s="110">
        <f t="shared" si="48"/>
        <v>0.16683592474018225</v>
      </c>
      <c r="H127" s="416" t="b">
        <f>Wh_hp&gt;='2022'!Maxi_hp</f>
        <v>0</v>
      </c>
      <c r="I127" s="392">
        <f>IF(H127,Wh_hp,'2022'!Maxi_hp)</f>
        <v>58.448809737185101</v>
      </c>
      <c r="J127" s="85">
        <f>IF(H127,An,'2022'!An_max)</f>
        <v>2021</v>
      </c>
      <c r="K127" s="199">
        <f t="shared" si="27"/>
        <v>45039</v>
      </c>
      <c r="L127" s="147">
        <f>IF(t&lt;Tvie,1-EXP((T0-t)*PertePVj)+'2022'!Pspv,1-EXP((T0-t)*PertePVj)+Pspv)</f>
        <v>3.9371007834723915E-2</v>
      </c>
      <c r="M127" s="872"/>
      <c r="N127" s="872"/>
      <c r="O127" s="48">
        <f>IF(t&lt;Tnet,'2022'!Resal+('2022'!Salim-'2022'!Resal)*(1-EXP(('2022'!Tnet-t)/('2022'!Tau_j))),Resal+(Salim-Resal)*(1-EXP((Tnet-t)/(Tau_j))))*Salcycl</f>
        <v>5.8973313410491938E-2</v>
      </c>
      <c r="P127" s="171">
        <f>(INDEX(Models!$BJ127:$BT127,,T127)*(1-R127)+INDEX(Models!$BJ127:$BT127,,T127+1)*R127-ERP_i)*Q127*Ramure*Pc/MaxiM</f>
        <v>5.0960341558813835E-3</v>
      </c>
      <c r="Q127" s="307">
        <f t="shared" si="28"/>
        <v>0.9</v>
      </c>
      <c r="R127" s="179">
        <f t="shared" si="29"/>
        <v>0.57280788446383302</v>
      </c>
      <c r="S127" s="839">
        <f t="shared" si="30"/>
        <v>0</v>
      </c>
      <c r="T127" s="178">
        <f t="shared" si="31"/>
        <v>6</v>
      </c>
      <c r="U127" s="253">
        <f t="shared" si="32"/>
        <v>0.57280788446383302</v>
      </c>
      <c r="V127" s="385">
        <f t="shared" si="33"/>
        <v>53.306068085083062</v>
      </c>
      <c r="W127" s="404">
        <f t="shared" si="34"/>
        <v>8.9389202059240365</v>
      </c>
      <c r="X127" s="157">
        <f t="shared" si="35"/>
        <v>45039</v>
      </c>
      <c r="Y127" s="387">
        <f t="shared" si="36"/>
        <v>8.0318115586790348</v>
      </c>
      <c r="Z127" s="387">
        <f t="shared" si="37"/>
        <v>8.3609922500623028</v>
      </c>
      <c r="AA127" s="388">
        <f t="shared" si="38"/>
        <v>9.888431993594704</v>
      </c>
      <c r="AB127" s="199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0.15446733562225132</v>
      </c>
      <c r="AD127" s="233">
        <f>(INDEX(Models!$BJ127:$BT127,,AH127)*(1-AF127)+INDEX(Models!$BJ127:$BT127,,AH127+1)*AF127-ERP_i)*AE127*Ramure*Pc/MaxiM</f>
        <v>5.0960341558813835E-3</v>
      </c>
      <c r="AE127" s="307">
        <f t="shared" si="40"/>
        <v>0.9</v>
      </c>
      <c r="AF127" s="179">
        <f t="shared" si="41"/>
        <v>0.57280788446383302</v>
      </c>
      <c r="AG127" s="839">
        <f t="shared" si="49"/>
        <v>0</v>
      </c>
      <c r="AH127" s="178">
        <f t="shared" si="42"/>
        <v>6</v>
      </c>
      <c r="AI127" s="227">
        <f t="shared" si="43"/>
        <v>0.57280788446383302</v>
      </c>
      <c r="AJ127" s="267" t="b">
        <f t="shared" si="44"/>
        <v>0</v>
      </c>
      <c r="AK127" s="267" t="b">
        <f t="shared" si="45"/>
        <v>0</v>
      </c>
      <c r="AL127" s="267"/>
      <c r="AM127" s="267"/>
      <c r="AN127" s="75"/>
    </row>
    <row r="128" spans="1:40" s="6" customFormat="1" ht="11.25" x14ac:dyDescent="0.2">
      <c r="A128" s="56">
        <f t="shared" si="46"/>
        <v>45040</v>
      </c>
      <c r="B128" s="413">
        <f>'2022'!Wh/'2022'!Env_an*'2023'!Env_an</f>
        <v>38.214030395653189</v>
      </c>
      <c r="C128" s="868"/>
      <c r="D128" s="395">
        <f t="shared" si="25"/>
        <v>39.781143422005357</v>
      </c>
      <c r="E128" s="387">
        <f t="shared" si="47"/>
        <v>42.283787041467939</v>
      </c>
      <c r="F128" s="387">
        <f t="shared" si="26"/>
        <v>42.406219496711536</v>
      </c>
      <c r="G128" s="110">
        <f t="shared" si="48"/>
        <v>0.71214414110991453</v>
      </c>
      <c r="H128" s="416" t="b">
        <f>Wh_hp&gt;='2022'!Maxi_hp</f>
        <v>0</v>
      </c>
      <c r="I128" s="392">
        <f>IF(H128,Wh_hp,'2022'!Maxi_hp)</f>
        <v>54.689071133466982</v>
      </c>
      <c r="J128" s="85">
        <f>IF(H128,An,'2022'!An_max)</f>
        <v>2021</v>
      </c>
      <c r="K128" s="199">
        <f t="shared" si="27"/>
        <v>45040</v>
      </c>
      <c r="L128" s="147">
        <f>IF(t&lt;Tvie,1-EXP((T0-t)*PertePVj)+'2022'!Pspv,1-EXP((T0-t)*PertePVj)+Pspv)</f>
        <v>3.9393363074760268E-2</v>
      </c>
      <c r="M128" s="872"/>
      <c r="N128" s="872"/>
      <c r="O128" s="48">
        <f>IF(t&lt;Tnet,'2022'!Resal+('2022'!Salim-'2022'!Resal)*(1-EXP(('2022'!Tnet-t)/('2022'!Tau_j))),Resal+(Salim-Resal)*(1-EXP((Tnet-t)/(Tau_j))))*Salcycl</f>
        <v>5.9186837191480095E-2</v>
      </c>
      <c r="P128" s="171">
        <f>(INDEX(Models!$BJ128:$BT128,,T128)*(1-R128)+INDEX(Models!$BJ128:$BT128,,T128+1)*R128-ERP_i)*Q128*Ramure*Pc/MaxiM</f>
        <v>4.886643845471059E-3</v>
      </c>
      <c r="Q128" s="307">
        <f t="shared" si="28"/>
        <v>0.9</v>
      </c>
      <c r="R128" s="179">
        <f t="shared" si="29"/>
        <v>0.57549808920882539</v>
      </c>
      <c r="S128" s="839">
        <f t="shared" si="30"/>
        <v>0</v>
      </c>
      <c r="T128" s="178">
        <f t="shared" si="31"/>
        <v>6</v>
      </c>
      <c r="U128" s="253">
        <f t="shared" si="32"/>
        <v>0.57549808920882539</v>
      </c>
      <c r="V128" s="385">
        <f t="shared" si="33"/>
        <v>53.552922276261157</v>
      </c>
      <c r="W128" s="404">
        <f t="shared" si="34"/>
        <v>38.214030395653189</v>
      </c>
      <c r="X128" s="157">
        <f t="shared" si="35"/>
        <v>45040</v>
      </c>
      <c r="Y128" s="387">
        <f t="shared" si="36"/>
        <v>34.337233540428336</v>
      </c>
      <c r="Z128" s="387">
        <f t="shared" si="37"/>
        <v>35.745363628068155</v>
      </c>
      <c r="AA128" s="388">
        <f t="shared" si="38"/>
        <v>42.283787041467939</v>
      </c>
      <c r="AB128" s="199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0.15463192563588299</v>
      </c>
      <c r="AD128" s="233">
        <f>(INDEX(Models!$BJ128:$BT128,,AH128)*(1-AF128)+INDEX(Models!$BJ128:$BT128,,AH128+1)*AF128-ERP_i)*AE128*Ramure*Pc/MaxiM</f>
        <v>4.886643845471059E-3</v>
      </c>
      <c r="AE128" s="307">
        <f t="shared" si="40"/>
        <v>0.9</v>
      </c>
      <c r="AF128" s="179">
        <f t="shared" si="41"/>
        <v>0.57549808920882539</v>
      </c>
      <c r="AG128" s="839">
        <f t="shared" si="49"/>
        <v>0</v>
      </c>
      <c r="AH128" s="178">
        <f t="shared" si="42"/>
        <v>6</v>
      </c>
      <c r="AI128" s="227">
        <f t="shared" si="43"/>
        <v>0.57549808920882539</v>
      </c>
      <c r="AJ128" s="267" t="b">
        <f t="shared" si="44"/>
        <v>0</v>
      </c>
      <c r="AK128" s="267" t="b">
        <f t="shared" si="45"/>
        <v>0</v>
      </c>
      <c r="AL128" s="267"/>
      <c r="AM128" s="267"/>
      <c r="AN128" s="75"/>
    </row>
    <row r="129" spans="1:40" s="6" customFormat="1" ht="11.25" x14ac:dyDescent="0.2">
      <c r="A129" s="56">
        <f t="shared" si="46"/>
        <v>45041</v>
      </c>
      <c r="B129" s="413">
        <f>'2022'!Wh/'2022'!Env_an*'2023'!Env_an</f>
        <v>47.681991179734254</v>
      </c>
      <c r="C129" s="868"/>
      <c r="D129" s="395">
        <f t="shared" si="25"/>
        <v>49.638529448201396</v>
      </c>
      <c r="E129" s="387">
        <f t="shared" si="47"/>
        <v>52.773347555744671</v>
      </c>
      <c r="F129" s="387">
        <f t="shared" si="26"/>
        <v>52.980997120404226</v>
      </c>
      <c r="G129" s="110">
        <f t="shared" si="48"/>
        <v>0.88573031040388661</v>
      </c>
      <c r="H129" s="416" t="b">
        <f>Wh_hp&gt;='2022'!Maxi_hp</f>
        <v>0</v>
      </c>
      <c r="I129" s="392">
        <f>IF(H129,Wh_hp,'2022'!Maxi_hp)</f>
        <v>56.298016159754951</v>
      </c>
      <c r="J129" s="85">
        <f>IF(H129,An,'2022'!An_max)</f>
        <v>2020</v>
      </c>
      <c r="K129" s="199">
        <f t="shared" si="27"/>
        <v>45041</v>
      </c>
      <c r="L129" s="147">
        <f>IF(t&lt;Tvie,1-EXP((T0-t)*PertePVj)+'2022'!Pspv,1-EXP((T0-t)*PertePVj)+Pspv)</f>
        <v>3.9415717794557548E-2</v>
      </c>
      <c r="M129" s="872"/>
      <c r="N129" s="872"/>
      <c r="O129" s="48">
        <f>IF(t&lt;Tnet,'2022'!Resal+('2022'!Salim-'2022'!Resal)*(1-EXP(('2022'!Tnet-t)/('2022'!Tau_j))),Resal+(Salim-Resal)*(1-EXP((Tnet-t)/(Tau_j))))*Salcycl</f>
        <v>5.9401539844179022E-2</v>
      </c>
      <c r="P129" s="171">
        <f>(INDEX(Models!$BJ129:$BT129,,T129)*(1-R129)+INDEX(Models!$BJ129:$BT129,,T129+1)*R129-ERP_i)*Q129*Ramure*Pc/MaxiM</f>
        <v>4.678542502596997E-3</v>
      </c>
      <c r="Q129" s="307">
        <f t="shared" si="28"/>
        <v>0.9</v>
      </c>
      <c r="R129" s="179">
        <f t="shared" si="29"/>
        <v>0.57827213583231296</v>
      </c>
      <c r="S129" s="839">
        <f t="shared" si="30"/>
        <v>0</v>
      </c>
      <c r="T129" s="178">
        <f t="shared" si="31"/>
        <v>6</v>
      </c>
      <c r="U129" s="253">
        <f t="shared" si="32"/>
        <v>0.57827213583231296</v>
      </c>
      <c r="V129" s="385">
        <f t="shared" si="33"/>
        <v>53.792499829626394</v>
      </c>
      <c r="W129" s="404">
        <f t="shared" si="34"/>
        <v>47.681991179734254</v>
      </c>
      <c r="X129" s="157">
        <f t="shared" si="35"/>
        <v>45041</v>
      </c>
      <c r="Y129" s="387">
        <f t="shared" si="36"/>
        <v>42.845955660041128</v>
      </c>
      <c r="Z129" s="387">
        <f t="shared" si="37"/>
        <v>44.60405656614477</v>
      </c>
      <c r="AA129" s="388">
        <f t="shared" si="38"/>
        <v>52.773347555744671</v>
      </c>
      <c r="AB129" s="199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0.15479956015620663</v>
      </c>
      <c r="AD129" s="233">
        <f>(INDEX(Models!$BJ129:$BT129,,AH129)*(1-AF129)+INDEX(Models!$BJ129:$BT129,,AH129+1)*AF129-ERP_i)*AE129*Ramure*Pc/MaxiM</f>
        <v>4.678542502596997E-3</v>
      </c>
      <c r="AE129" s="307">
        <f t="shared" si="40"/>
        <v>0.9</v>
      </c>
      <c r="AF129" s="179">
        <f t="shared" si="41"/>
        <v>0.57827213583231296</v>
      </c>
      <c r="AG129" s="839">
        <f t="shared" si="49"/>
        <v>0</v>
      </c>
      <c r="AH129" s="178">
        <f t="shared" si="42"/>
        <v>6</v>
      </c>
      <c r="AI129" s="227">
        <f t="shared" si="43"/>
        <v>0.57827213583231296</v>
      </c>
      <c r="AJ129" s="267" t="b">
        <f t="shared" si="44"/>
        <v>0</v>
      </c>
      <c r="AK129" s="267" t="b">
        <f t="shared" si="45"/>
        <v>0</v>
      </c>
      <c r="AL129" s="267"/>
      <c r="AM129" s="267"/>
      <c r="AN129" s="75"/>
    </row>
    <row r="130" spans="1:40" s="6" customFormat="1" ht="11.25" x14ac:dyDescent="0.2">
      <c r="A130" s="56">
        <f t="shared" si="46"/>
        <v>45042</v>
      </c>
      <c r="B130" s="413">
        <f>'2022'!Wh/'2022'!Env_an*'2023'!Env_an</f>
        <v>52.883401912669022</v>
      </c>
      <c r="C130" s="868"/>
      <c r="D130" s="395">
        <f t="shared" si="25"/>
        <v>55.054651210729361</v>
      </c>
      <c r="E130" s="387">
        <f t="shared" si="47"/>
        <v>58.544950716168032</v>
      </c>
      <c r="F130" s="387">
        <f t="shared" si="26"/>
        <v>58.799947858928569</v>
      </c>
      <c r="G130" s="110">
        <f t="shared" si="48"/>
        <v>0.97874542372813678</v>
      </c>
      <c r="H130" s="416" t="b">
        <f>Wh_hp&gt;='2022'!Maxi_hp</f>
        <v>0</v>
      </c>
      <c r="I130" s="392">
        <f>IF(H130,Wh_hp,'2022'!Maxi_hp)</f>
        <v>58.802406404772384</v>
      </c>
      <c r="J130" s="85">
        <f>IF(H130,An,'2022'!An_max)</f>
        <v>2022</v>
      </c>
      <c r="K130" s="199">
        <f t="shared" si="27"/>
        <v>45042</v>
      </c>
      <c r="L130" s="147">
        <f>IF(t&lt;Tvie,1-EXP((T0-t)*PertePVj)+'2022'!Pspv,1-EXP((T0-t)*PertePVj)+Pspv)</f>
        <v>3.9438071994127744E-2</v>
      </c>
      <c r="M130" s="872"/>
      <c r="N130" s="872"/>
      <c r="O130" s="48">
        <f>IF(t&lt;Tnet,'2022'!Resal+('2022'!Salim-'2022'!Resal)*(1-EXP(('2022'!Tnet-t)/('2022'!Tau_j))),Resal+(Salim-Resal)*(1-EXP((Tnet-t)/(Tau_j))))*Salcycl</f>
        <v>5.9617430072834182E-2</v>
      </c>
      <c r="P130" s="171">
        <f>(INDEX(Models!$BJ130:$BT130,,T130)*(1-R130)+INDEX(Models!$BJ130:$BT130,,T130+1)*R130-ERP_i)*Q130*Ramure*Pc/MaxiM</f>
        <v>4.4716173171325266E-3</v>
      </c>
      <c r="Q130" s="307">
        <f t="shared" si="28"/>
        <v>0.9</v>
      </c>
      <c r="R130" s="179">
        <f t="shared" si="29"/>
        <v>0.58113155269093952</v>
      </c>
      <c r="S130" s="839">
        <f t="shared" si="30"/>
        <v>0</v>
      </c>
      <c r="T130" s="178">
        <f t="shared" si="31"/>
        <v>6</v>
      </c>
      <c r="U130" s="253">
        <f t="shared" si="32"/>
        <v>0.58113155269093952</v>
      </c>
      <c r="V130" s="385">
        <f t="shared" si="33"/>
        <v>54.024503342283872</v>
      </c>
      <c r="W130" s="404">
        <f t="shared" si="34"/>
        <v>52.883401912669022</v>
      </c>
      <c r="X130" s="157">
        <f t="shared" si="35"/>
        <v>45042</v>
      </c>
      <c r="Y130" s="387">
        <f t="shared" si="36"/>
        <v>47.521136507194583</v>
      </c>
      <c r="Z130" s="387">
        <f t="shared" si="37"/>
        <v>49.472225706309764</v>
      </c>
      <c r="AA130" s="388">
        <f t="shared" si="38"/>
        <v>58.544950716168032</v>
      </c>
      <c r="AB130" s="199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0.15497023908763335</v>
      </c>
      <c r="AD130" s="233">
        <f>(INDEX(Models!$BJ130:$BT130,,AH130)*(1-AF130)+INDEX(Models!$BJ130:$BT130,,AH130+1)*AF130-ERP_i)*AE130*Ramure*Pc/MaxiM</f>
        <v>4.4716173171325266E-3</v>
      </c>
      <c r="AE130" s="307">
        <f t="shared" si="40"/>
        <v>0.9</v>
      </c>
      <c r="AF130" s="179">
        <f t="shared" si="41"/>
        <v>0.58113155269093952</v>
      </c>
      <c r="AG130" s="839">
        <f t="shared" si="49"/>
        <v>0</v>
      </c>
      <c r="AH130" s="178">
        <f t="shared" si="42"/>
        <v>6</v>
      </c>
      <c r="AI130" s="227">
        <f t="shared" si="43"/>
        <v>0.58113155269093952</v>
      </c>
      <c r="AJ130" s="267" t="b">
        <f t="shared" si="44"/>
        <v>0</v>
      </c>
      <c r="AK130" s="267" t="b">
        <f t="shared" si="45"/>
        <v>0</v>
      </c>
      <c r="AL130" s="267"/>
      <c r="AM130" s="267"/>
      <c r="AN130" s="75"/>
    </row>
    <row r="131" spans="1:40" s="6" customFormat="1" ht="11.25" x14ac:dyDescent="0.2">
      <c r="A131" s="56">
        <f t="shared" si="46"/>
        <v>45043</v>
      </c>
      <c r="B131" s="413">
        <f>'2022'!Wh/'2022'!Env_an*'2023'!Env_an</f>
        <v>37.727359721689673</v>
      </c>
      <c r="C131" s="868"/>
      <c r="D131" s="395">
        <f t="shared" si="25"/>
        <v>39.277257002286703</v>
      </c>
      <c r="E131" s="387">
        <f t="shared" si="47"/>
        <v>41.776961190299041</v>
      </c>
      <c r="F131" s="387">
        <f t="shared" si="26"/>
        <v>41.877881083163899</v>
      </c>
      <c r="G131" s="110">
        <f t="shared" si="48"/>
        <v>0.6941588861161585</v>
      </c>
      <c r="H131" s="416" t="b">
        <f>Wh_hp&gt;='2022'!Maxi_hp</f>
        <v>0</v>
      </c>
      <c r="I131" s="392">
        <f>IF(H131,Wh_hp,'2022'!Maxi_hp)</f>
        <v>41.902156737922802</v>
      </c>
      <c r="J131" s="85">
        <f>IF(H131,An,'2022'!An_max)</f>
        <v>2022</v>
      </c>
      <c r="K131" s="199">
        <f t="shared" si="27"/>
        <v>45043</v>
      </c>
      <c r="L131" s="147">
        <f>IF(t&lt;Tvie,1-EXP((T0-t)*PertePVj)+'2022'!Pspv,1-EXP((T0-t)*PertePVj)+Pspv)</f>
        <v>3.9460425673483068E-2</v>
      </c>
      <c r="M131" s="872"/>
      <c r="N131" s="872"/>
      <c r="O131" s="48">
        <f>IF(t&lt;Tnet,'2022'!Resal+('2022'!Salim-'2022'!Resal)*(1-EXP(('2022'!Tnet-t)/('2022'!Tau_j))),Resal+(Salim-Resal)*(1-EXP((Tnet-t)/(Tau_j))))*Salcycl</f>
        <v>5.9834514449863485E-2</v>
      </c>
      <c r="P131" s="171">
        <f>(INDEX(Models!$BJ131:$BT131,,T131)*(1-R131)+INDEX(Models!$BJ131:$BT131,,T131+1)*R131-ERP_i)*Q131*Ramure*Pc/MaxiM</f>
        <v>4.2657518679756505E-3</v>
      </c>
      <c r="Q131" s="307">
        <f t="shared" si="28"/>
        <v>0.9</v>
      </c>
      <c r="R131" s="179">
        <f t="shared" si="29"/>
        <v>0.58407781505975764</v>
      </c>
      <c r="S131" s="839">
        <f t="shared" si="30"/>
        <v>0</v>
      </c>
      <c r="T131" s="178">
        <f t="shared" si="31"/>
        <v>6</v>
      </c>
      <c r="U131" s="253">
        <f t="shared" si="32"/>
        <v>0.58407781505975764</v>
      </c>
      <c r="V131" s="385">
        <f t="shared" si="33"/>
        <v>54.248635996782816</v>
      </c>
      <c r="W131" s="404">
        <f t="shared" si="34"/>
        <v>37.727359721689673</v>
      </c>
      <c r="X131" s="157">
        <f t="shared" si="35"/>
        <v>45043</v>
      </c>
      <c r="Y131" s="387">
        <f t="shared" si="36"/>
        <v>33.902741954397541</v>
      </c>
      <c r="Z131" s="387">
        <f t="shared" si="37"/>
        <v>35.295518123934116</v>
      </c>
      <c r="AA131" s="388">
        <f t="shared" si="38"/>
        <v>41.776961190299041</v>
      </c>
      <c r="AB131" s="199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0.15514395690105784</v>
      </c>
      <c r="AD131" s="233">
        <f>(INDEX(Models!$BJ131:$BT131,,AH131)*(1-AF131)+INDEX(Models!$BJ131:$BT131,,AH131+1)*AF131-ERP_i)*AE131*Ramure*Pc/MaxiM</f>
        <v>4.2657518679756505E-3</v>
      </c>
      <c r="AE131" s="307">
        <f t="shared" si="40"/>
        <v>0.9</v>
      </c>
      <c r="AF131" s="179">
        <f t="shared" si="41"/>
        <v>0.58407781505975764</v>
      </c>
      <c r="AG131" s="839">
        <f t="shared" si="49"/>
        <v>0</v>
      </c>
      <c r="AH131" s="178">
        <f t="shared" si="42"/>
        <v>6</v>
      </c>
      <c r="AI131" s="227">
        <f t="shared" si="43"/>
        <v>0.58407781505975764</v>
      </c>
      <c r="AJ131" s="267" t="b">
        <f t="shared" si="44"/>
        <v>0</v>
      </c>
      <c r="AK131" s="267" t="b">
        <f t="shared" si="45"/>
        <v>0</v>
      </c>
      <c r="AL131" s="267"/>
      <c r="AM131" s="267"/>
      <c r="AN131" s="75"/>
    </row>
    <row r="132" spans="1:40" s="6" customFormat="1" ht="11.25" x14ac:dyDescent="0.2">
      <c r="A132" s="56">
        <f t="shared" si="46"/>
        <v>45044</v>
      </c>
      <c r="B132" s="413">
        <f>'2022'!Wh/'2022'!Env_an*'2023'!Env_an</f>
        <v>23.113589182914236</v>
      </c>
      <c r="C132" s="868"/>
      <c r="D132" s="395">
        <f t="shared" si="25"/>
        <v>24.06369055499405</v>
      </c>
      <c r="E132" s="387">
        <f t="shared" si="47"/>
        <v>25.601108749633607</v>
      </c>
      <c r="F132" s="387">
        <f t="shared" si="26"/>
        <v>25.619594319312938</v>
      </c>
      <c r="G132" s="110">
        <f t="shared" si="48"/>
        <v>0.42296004945537125</v>
      </c>
      <c r="H132" s="416" t="b">
        <f>Wh_hp&gt;='2022'!Maxi_hp</f>
        <v>0</v>
      </c>
      <c r="I132" s="392">
        <f>IF(H132,Wh_hp,'2022'!Maxi_hp)</f>
        <v>48.054004151723234</v>
      </c>
      <c r="J132" s="85">
        <f>IF(H132,An,'2022'!An_max)</f>
        <v>2019</v>
      </c>
      <c r="K132" s="199">
        <f t="shared" si="27"/>
        <v>45044</v>
      </c>
      <c r="L132" s="147">
        <f>IF(t&lt;Tvie,1-EXP((T0-t)*PertePVj)+'2022'!Pspv,1-EXP((T0-t)*PertePVj)+Pspv)</f>
        <v>3.9482778832635623E-2</v>
      </c>
      <c r="M132" s="872"/>
      <c r="N132" s="872"/>
      <c r="O132" s="48">
        <f>IF(t&lt;Tnet,'2022'!Resal+('2022'!Salim-'2022'!Resal)*(1-EXP(('2022'!Tnet-t)/('2022'!Tau_j))),Resal+(Salim-Resal)*(1-EXP((Tnet-t)/(Tau_j))))*Salcycl</f>
        <v>6.0052797309474333E-2</v>
      </c>
      <c r="P132" s="171">
        <f>(INDEX(Models!$BJ132:$BT132,,T132)*(1-R132)+INDEX(Models!$BJ132:$BT132,,T132+1)*R132-ERP_i)*Q132*Ramure*Pc/MaxiM</f>
        <v>4.0608260682259813E-3</v>
      </c>
      <c r="Q132" s="307">
        <f t="shared" si="28"/>
        <v>0.9</v>
      </c>
      <c r="R132" s="179">
        <f t="shared" si="29"/>
        <v>0.58711233808344654</v>
      </c>
      <c r="S132" s="839">
        <f t="shared" si="30"/>
        <v>0</v>
      </c>
      <c r="T132" s="178">
        <f t="shared" si="31"/>
        <v>6</v>
      </c>
      <c r="U132" s="253">
        <f t="shared" si="32"/>
        <v>0.58711233808344654</v>
      </c>
      <c r="V132" s="385">
        <f t="shared" si="33"/>
        <v>54.46460156772163</v>
      </c>
      <c r="W132" s="404">
        <f t="shared" si="34"/>
        <v>23.113589182914236</v>
      </c>
      <c r="X132" s="157">
        <f t="shared" si="35"/>
        <v>45044</v>
      </c>
      <c r="Y132" s="387">
        <f t="shared" si="36"/>
        <v>20.770922259834411</v>
      </c>
      <c r="Z132" s="387">
        <f t="shared" si="37"/>
        <v>21.624726555751362</v>
      </c>
      <c r="AA132" s="388">
        <f t="shared" si="38"/>
        <v>25.601108749633607</v>
      </c>
      <c r="AB132" s="199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0.15532070242618512</v>
      </c>
      <c r="AD132" s="233">
        <f>(INDEX(Models!$BJ132:$BT132,,AH132)*(1-AF132)+INDEX(Models!$BJ132:$BT132,,AH132+1)*AF132-ERP_i)*AE132*Ramure*Pc/MaxiM</f>
        <v>4.0608260682259813E-3</v>
      </c>
      <c r="AE132" s="307">
        <f t="shared" si="40"/>
        <v>0.9</v>
      </c>
      <c r="AF132" s="179">
        <f t="shared" si="41"/>
        <v>0.58711233808344654</v>
      </c>
      <c r="AG132" s="839">
        <f t="shared" si="49"/>
        <v>0</v>
      </c>
      <c r="AH132" s="178">
        <f t="shared" si="42"/>
        <v>6</v>
      </c>
      <c r="AI132" s="227">
        <f t="shared" si="43"/>
        <v>0.58711233808344654</v>
      </c>
      <c r="AJ132" s="267" t="b">
        <f t="shared" si="44"/>
        <v>0</v>
      </c>
      <c r="AK132" s="267" t="b">
        <f t="shared" si="45"/>
        <v>0</v>
      </c>
      <c r="AL132" s="267"/>
      <c r="AM132" s="267"/>
      <c r="AN132" s="75"/>
    </row>
    <row r="133" spans="1:40" s="6" customFormat="1" ht="11.25" x14ac:dyDescent="0.2">
      <c r="A133" s="56">
        <f t="shared" si="46"/>
        <v>45045</v>
      </c>
      <c r="B133" s="413">
        <f>'2022'!Wh/'2022'!Env_an*'2023'!Env_an</f>
        <v>43.431305823767659</v>
      </c>
      <c r="C133" s="868"/>
      <c r="D133" s="395">
        <f t="shared" si="25"/>
        <v>45.217634416214864</v>
      </c>
      <c r="E133" s="387">
        <f t="shared" si="47"/>
        <v>48.117804215722387</v>
      </c>
      <c r="F133" s="387">
        <f t="shared" si="26"/>
        <v>48.249231354792791</v>
      </c>
      <c r="G133" s="110">
        <f t="shared" si="48"/>
        <v>0.79349374173010834</v>
      </c>
      <c r="H133" s="416" t="b">
        <f>Wh_hp&gt;='2022'!Maxi_hp</f>
        <v>0</v>
      </c>
      <c r="I133" s="392">
        <f>IF(H133,Wh_hp,'2022'!Maxi_hp)</f>
        <v>54.78185076677125</v>
      </c>
      <c r="J133" s="85">
        <f>IF(H133,An,'2022'!An_max)</f>
        <v>2019</v>
      </c>
      <c r="K133" s="199">
        <f t="shared" si="27"/>
        <v>45045</v>
      </c>
      <c r="L133" s="147">
        <f>IF(t&lt;Tvie,1-EXP((T0-t)*PertePVj)+'2022'!Pspv,1-EXP((T0-t)*PertePVj)+Pspv)</f>
        <v>3.9505131471597621E-2</v>
      </c>
      <c r="M133" s="872"/>
      <c r="N133" s="872"/>
      <c r="O133" s="48">
        <f>IF(t&lt;Tnet,'2022'!Resal+('2022'!Salim-'2022'!Resal)*(1-EXP(('2022'!Tnet-t)/('2022'!Tau_j))),Resal+(Salim-Resal)*(1-EXP((Tnet-t)/(Tau_j))))*Salcycl</f>
        <v>6.0272280640767367E-2</v>
      </c>
      <c r="P133" s="171">
        <f>(INDEX(Models!$BJ133:$BT133,,T133)*(1-R133)+INDEX(Models!$BJ133:$BT133,,T133+1)*R133-ERP_i)*Q133*Ramure*Pc/MaxiM</f>
        <v>3.8567160963028091E-3</v>
      </c>
      <c r="Q133" s="307">
        <f t="shared" si="28"/>
        <v>0.9</v>
      </c>
      <c r="R133" s="179">
        <f t="shared" si="29"/>
        <v>0.59023646946073183</v>
      </c>
      <c r="S133" s="839">
        <f t="shared" si="30"/>
        <v>0</v>
      </c>
      <c r="T133" s="178">
        <f t="shared" si="31"/>
        <v>6</v>
      </c>
      <c r="U133" s="253">
        <f t="shared" si="32"/>
        <v>0.59023646946073183</v>
      </c>
      <c r="V133" s="385">
        <f t="shared" si="33"/>
        <v>54.672104432074676</v>
      </c>
      <c r="W133" s="404">
        <f t="shared" si="34"/>
        <v>43.431305823767659</v>
      </c>
      <c r="X133" s="157">
        <f t="shared" si="35"/>
        <v>45045</v>
      </c>
      <c r="Y133" s="387">
        <f t="shared" si="36"/>
        <v>39.030154259597936</v>
      </c>
      <c r="Z133" s="387">
        <f t="shared" si="37"/>
        <v>40.635463591176688</v>
      </c>
      <c r="AA133" s="388">
        <f t="shared" si="38"/>
        <v>48.117804215722387</v>
      </c>
      <c r="AB133" s="199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0.15550045864521939</v>
      </c>
      <c r="AD133" s="233">
        <f>(INDEX(Models!$BJ133:$BT133,,AH133)*(1-AF133)+INDEX(Models!$BJ133:$BT133,,AH133+1)*AF133-ERP_i)*AE133*Ramure*Pc/MaxiM</f>
        <v>3.8567160963028091E-3</v>
      </c>
      <c r="AE133" s="307">
        <f t="shared" si="40"/>
        <v>0.9</v>
      </c>
      <c r="AF133" s="179">
        <f t="shared" si="41"/>
        <v>0.59023646946073183</v>
      </c>
      <c r="AG133" s="839">
        <f t="shared" si="49"/>
        <v>0</v>
      </c>
      <c r="AH133" s="178">
        <f t="shared" si="42"/>
        <v>6</v>
      </c>
      <c r="AI133" s="227">
        <f t="shared" si="43"/>
        <v>0.59023646946073183</v>
      </c>
      <c r="AJ133" s="267" t="b">
        <f t="shared" si="44"/>
        <v>0</v>
      </c>
      <c r="AK133" s="267" t="b">
        <f t="shared" si="45"/>
        <v>0</v>
      </c>
      <c r="AL133" s="267"/>
      <c r="AM133" s="267"/>
      <c r="AN133" s="75"/>
    </row>
    <row r="134" spans="1:40" s="6" customFormat="1" ht="11.25" x14ac:dyDescent="0.2">
      <c r="A134" s="56">
        <f t="shared" si="46"/>
        <v>45046</v>
      </c>
      <c r="B134" s="413">
        <f>'2022'!Wh/'2022'!Env_an*'2023'!Env_an</f>
        <v>45.360037204115251</v>
      </c>
      <c r="C134" s="868"/>
      <c r="D134" s="395">
        <f t="shared" si="25"/>
        <v>47.226793509591957</v>
      </c>
      <c r="E134" s="387">
        <f t="shared" si="47"/>
        <v>50.267631533353295</v>
      </c>
      <c r="F134" s="387">
        <f t="shared" si="26"/>
        <v>50.406182092840474</v>
      </c>
      <c r="G134" s="110">
        <f t="shared" si="48"/>
        <v>0.82591924833603947</v>
      </c>
      <c r="H134" s="416" t="b">
        <f>Wh_hp&gt;='2022'!Maxi_hp</f>
        <v>0</v>
      </c>
      <c r="I134" s="392">
        <f>IF(H134,Wh_hp,'2022'!Maxi_hp)</f>
        <v>60.84592314154898</v>
      </c>
      <c r="J134" s="85">
        <f>IF(H134,An,'2022'!An_max)</f>
        <v>2019</v>
      </c>
      <c r="K134" s="199">
        <f t="shared" si="27"/>
        <v>45046</v>
      </c>
      <c r="L134" s="147">
        <f>IF(t&lt;Tvie,1-EXP((T0-t)*PertePVj)+'2022'!Pspv,1-EXP((T0-t)*PertePVj)+Pspv)</f>
        <v>3.9527483590380941E-2</v>
      </c>
      <c r="M134" s="872"/>
      <c r="N134" s="872"/>
      <c r="O134" s="48">
        <f>IF(t&lt;Tnet,'2022'!Resal+('2022'!Salim-'2022'!Resal)*(1-EXP(('2022'!Tnet-t)/('2022'!Tau_j))),Resal+(Salim-Resal)*(1-EXP((Tnet-t)/(Tau_j))))*Salcycl</f>
        <v>6.049296398107995E-2</v>
      </c>
      <c r="P134" s="171">
        <f>(INDEX(Models!$BJ134:$BT134,,T134)*(1-R134)+INDEX(Models!$BJ134:$BT134,,T134+1)*R134-ERP_i)*Q134*Ramure*Pc/MaxiM</f>
        <v>3.6532943125908951E-3</v>
      </c>
      <c r="Q134" s="307">
        <f t="shared" si="28"/>
        <v>0.9</v>
      </c>
      <c r="R134" s="179">
        <f t="shared" si="29"/>
        <v>0.59345148188076013</v>
      </c>
      <c r="S134" s="839">
        <f t="shared" si="30"/>
        <v>0</v>
      </c>
      <c r="T134" s="178">
        <f t="shared" si="31"/>
        <v>6</v>
      </c>
      <c r="U134" s="253">
        <f t="shared" si="32"/>
        <v>0.59345148188076013</v>
      </c>
      <c r="V134" s="385">
        <f t="shared" si="33"/>
        <v>54.870849594200401</v>
      </c>
      <c r="W134" s="404">
        <f t="shared" si="34"/>
        <v>45.360037204115251</v>
      </c>
      <c r="X134" s="157">
        <f t="shared" si="35"/>
        <v>45046</v>
      </c>
      <c r="Y134" s="387">
        <f t="shared" si="36"/>
        <v>40.764187897311679</v>
      </c>
      <c r="Z134" s="387">
        <f t="shared" si="37"/>
        <v>42.441805674663058</v>
      </c>
      <c r="AA134" s="388">
        <f t="shared" si="38"/>
        <v>50.267631533353295</v>
      </c>
      <c r="AB134" s="199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0.15568320248981068</v>
      </c>
      <c r="AD134" s="233">
        <f>(INDEX(Models!$BJ134:$BT134,,AH134)*(1-AF134)+INDEX(Models!$BJ134:$BT134,,AH134+1)*AF134-ERP_i)*AE134*Ramure*Pc/MaxiM</f>
        <v>3.6532943125908951E-3</v>
      </c>
      <c r="AE134" s="307">
        <f t="shared" si="40"/>
        <v>0.9</v>
      </c>
      <c r="AF134" s="179">
        <f t="shared" si="41"/>
        <v>0.59345148188076013</v>
      </c>
      <c r="AG134" s="839">
        <f t="shared" si="49"/>
        <v>0</v>
      </c>
      <c r="AH134" s="178">
        <f t="shared" si="42"/>
        <v>6</v>
      </c>
      <c r="AI134" s="227">
        <f t="shared" si="43"/>
        <v>0.59345148188076013</v>
      </c>
      <c r="AJ134" s="267" t="b">
        <f t="shared" si="44"/>
        <v>0</v>
      </c>
      <c r="AK134" s="267" t="b">
        <f t="shared" si="45"/>
        <v>0</v>
      </c>
      <c r="AL134" s="267"/>
      <c r="AM134" s="267"/>
      <c r="AN134" s="75"/>
    </row>
    <row r="135" spans="1:40" s="6" customFormat="1" ht="11.25" x14ac:dyDescent="0.2">
      <c r="A135" s="56">
        <f t="shared" si="46"/>
        <v>45047</v>
      </c>
      <c r="B135" s="413">
        <f>'2022'!Wh/'2022'!Env_an*'2023'!Env_an</f>
        <v>44.743074284838556</v>
      </c>
      <c r="C135" s="868"/>
      <c r="D135" s="395">
        <f t="shared" si="25"/>
        <v>46.585524084576647</v>
      </c>
      <c r="E135" s="387">
        <f t="shared" si="47"/>
        <v>49.596785174758658</v>
      </c>
      <c r="F135" s="387">
        <f t="shared" si="26"/>
        <v>49.722423420494387</v>
      </c>
      <c r="G135" s="110">
        <f t="shared" si="48"/>
        <v>0.81186520137769413</v>
      </c>
      <c r="H135" s="416" t="b">
        <f>Wh_hp&gt;='2022'!Maxi_hp</f>
        <v>0</v>
      </c>
      <c r="I135" s="392">
        <f>IF(H135,Wh_hp,'2022'!Maxi_hp)</f>
        <v>56.845620095734738</v>
      </c>
      <c r="J135" s="85">
        <f>IF(H135,An,'2022'!An_max)</f>
        <v>2019</v>
      </c>
      <c r="K135" s="199">
        <f t="shared" si="27"/>
        <v>45047</v>
      </c>
      <c r="L135" s="147">
        <f>IF(t&lt;Tvie,1-EXP((T0-t)*PertePVj)+'2022'!Pspv,1-EXP((T0-t)*PertePVj)+Pspv)</f>
        <v>3.9549835188997795E-2</v>
      </c>
      <c r="M135" s="872"/>
      <c r="N135" s="872"/>
      <c r="O135" s="48">
        <f>IF(t&lt;Tnet,'2022'!Resal+('2022'!Salim-'2022'!Resal)*(1-EXP(('2022'!Tnet-t)/('2022'!Tau_j))),Resal+(Salim-Resal)*(1-EXP((Tnet-t)/(Tau_j))))*Salcycl</f>
        <v>6.0714844310403804E-2</v>
      </c>
      <c r="P135" s="171">
        <f>(INDEX(Models!$BJ135:$BT135,,T135)*(1-R135)+INDEX(Models!$BJ135:$BT135,,T135+1)*R135-ERP_i)*Q135*Ramure*Pc/MaxiM</f>
        <v>3.4504365223436751E-3</v>
      </c>
      <c r="Q135" s="307">
        <f t="shared" si="28"/>
        <v>0.9</v>
      </c>
      <c r="R135" s="179">
        <f t="shared" si="29"/>
        <v>0.59675856523382087</v>
      </c>
      <c r="S135" s="839">
        <f t="shared" si="30"/>
        <v>0</v>
      </c>
      <c r="T135" s="178">
        <f t="shared" si="31"/>
        <v>6</v>
      </c>
      <c r="U135" s="253">
        <f t="shared" si="32"/>
        <v>0.59675856523382087</v>
      </c>
      <c r="V135" s="385">
        <f t="shared" si="33"/>
        <v>55.060424866914367</v>
      </c>
      <c r="W135" s="404">
        <f t="shared" si="34"/>
        <v>44.743074284838556</v>
      </c>
      <c r="X135" s="157">
        <f t="shared" si="35"/>
        <v>45047</v>
      </c>
      <c r="Y135" s="387">
        <f t="shared" si="36"/>
        <v>40.210387736785826</v>
      </c>
      <c r="Z135" s="387">
        <f t="shared" si="37"/>
        <v>41.866188595738798</v>
      </c>
      <c r="AA135" s="388">
        <f t="shared" si="38"/>
        <v>49.596785174758658</v>
      </c>
      <c r="AB135" s="199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0.15586890464332362</v>
      </c>
      <c r="AD135" s="233">
        <f>(INDEX(Models!$BJ135:$BT135,,AH135)*(1-AF135)+INDEX(Models!$BJ135:$BT135,,AH135+1)*AF135-ERP_i)*AE135*Ramure*Pc/MaxiM</f>
        <v>3.4504365223436751E-3</v>
      </c>
      <c r="AE135" s="307">
        <f t="shared" si="40"/>
        <v>0.9</v>
      </c>
      <c r="AF135" s="179">
        <f t="shared" si="41"/>
        <v>0.59675856523382087</v>
      </c>
      <c r="AG135" s="839">
        <f t="shared" si="49"/>
        <v>0</v>
      </c>
      <c r="AH135" s="178">
        <f t="shared" si="42"/>
        <v>6</v>
      </c>
      <c r="AI135" s="227">
        <f t="shared" si="43"/>
        <v>0.59675856523382087</v>
      </c>
      <c r="AJ135" s="267" t="b">
        <f t="shared" si="44"/>
        <v>0</v>
      </c>
      <c r="AK135" s="267" t="b">
        <f t="shared" si="45"/>
        <v>0</v>
      </c>
      <c r="AL135" s="267"/>
      <c r="AM135" s="267"/>
      <c r="AN135" s="75"/>
    </row>
    <row r="136" spans="1:40" s="6" customFormat="1" ht="11.25" x14ac:dyDescent="0.2">
      <c r="A136" s="56">
        <f t="shared" si="46"/>
        <v>45048</v>
      </c>
      <c r="B136" s="413">
        <f>'2022'!Wh/'2022'!Env_an*'2023'!Env_an</f>
        <v>27.352903617842365</v>
      </c>
      <c r="C136" s="868"/>
      <c r="D136" s="395">
        <f t="shared" si="25"/>
        <v>28.479916165213865</v>
      </c>
      <c r="E136" s="387">
        <f t="shared" si="47"/>
        <v>30.328043958838201</v>
      </c>
      <c r="F136" s="387">
        <f t="shared" si="26"/>
        <v>30.355566962289394</v>
      </c>
      <c r="G136" s="110">
        <f t="shared" si="48"/>
        <v>0.49399646154104881</v>
      </c>
      <c r="H136" s="416" t="b">
        <f>Wh_hp&gt;='2022'!Maxi_hp</f>
        <v>0</v>
      </c>
      <c r="I136" s="392">
        <f>IF(H136,Wh_hp,'2022'!Maxi_hp)</f>
        <v>39.747246661532351</v>
      </c>
      <c r="J136" s="85">
        <f>IF(H136,An,'2022'!An_max)</f>
        <v>2021</v>
      </c>
      <c r="K136" s="199">
        <f t="shared" si="27"/>
        <v>45048</v>
      </c>
      <c r="L136" s="147">
        <f>IF(t&lt;Tvie,1-EXP((T0-t)*PertePVj)+'2022'!Pspv,1-EXP((T0-t)*PertePVj)+Pspv)</f>
        <v>3.9572186267460396E-2</v>
      </c>
      <c r="M136" s="872"/>
      <c r="N136" s="872"/>
      <c r="O136" s="48">
        <f>IF(t&lt;Tnet,'2022'!Resal+('2022'!Salim-'2022'!Resal)*(1-EXP(('2022'!Tnet-t)/('2022'!Tau_j))),Resal+(Salim-Resal)*(1-EXP((Tnet-t)/(Tau_j))))*Salcycl</f>
        <v>6.0937915947782494E-2</v>
      </c>
      <c r="P136" s="171">
        <f>(INDEX(Models!$BJ136:$BT136,,T136)*(1-R136)+INDEX(Models!$BJ136:$BT136,,T136+1)*R136-ERP_i)*Q136*Ramure*Pc/MaxiM</f>
        <v>3.2521247707514166E-3</v>
      </c>
      <c r="Q136" s="307">
        <f t="shared" si="28"/>
        <v>0.9</v>
      </c>
      <c r="R136" s="179">
        <f t="shared" si="29"/>
        <v>0.60015881862262377</v>
      </c>
      <c r="S136" s="839">
        <f t="shared" si="30"/>
        <v>0</v>
      </c>
      <c r="T136" s="178">
        <f t="shared" si="31"/>
        <v>6</v>
      </c>
      <c r="U136" s="253">
        <f t="shared" si="32"/>
        <v>0.60015881862262377</v>
      </c>
      <c r="V136" s="385">
        <f t="shared" si="33"/>
        <v>55.240660598086379</v>
      </c>
      <c r="W136" s="404">
        <f t="shared" si="34"/>
        <v>27.352903617842365</v>
      </c>
      <c r="X136" s="157">
        <f t="shared" si="35"/>
        <v>45048</v>
      </c>
      <c r="Y136" s="387">
        <f t="shared" si="36"/>
        <v>24.582269320323284</v>
      </c>
      <c r="Z136" s="387">
        <f t="shared" si="37"/>
        <v>25.595124348584271</v>
      </c>
      <c r="AA136" s="388">
        <f t="shared" si="38"/>
        <v>30.328043958838201</v>
      </c>
      <c r="AB136" s="199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0.15605752935064118</v>
      </c>
      <c r="AD136" s="233">
        <f>(INDEX(Models!$BJ136:$BT136,,AH136)*(1-AF136)+INDEX(Models!$BJ136:$BT136,,AH136+1)*AF136-ERP_i)*AE136*Ramure*Pc/MaxiM</f>
        <v>3.2521247707514166E-3</v>
      </c>
      <c r="AE136" s="307">
        <f t="shared" si="40"/>
        <v>0.9</v>
      </c>
      <c r="AF136" s="179">
        <f t="shared" si="41"/>
        <v>0.60015881862262377</v>
      </c>
      <c r="AG136" s="839">
        <f t="shared" si="49"/>
        <v>0</v>
      </c>
      <c r="AH136" s="178">
        <f t="shared" si="42"/>
        <v>6</v>
      </c>
      <c r="AI136" s="227">
        <f t="shared" si="43"/>
        <v>0.60015881862262377</v>
      </c>
      <c r="AJ136" s="267" t="b">
        <f t="shared" si="44"/>
        <v>0</v>
      </c>
      <c r="AK136" s="267" t="b">
        <f t="shared" si="45"/>
        <v>0</v>
      </c>
      <c r="AL136" s="267"/>
      <c r="AM136" s="267"/>
      <c r="AN136" s="75"/>
    </row>
    <row r="137" spans="1:40" s="6" customFormat="1" ht="11.25" x14ac:dyDescent="0.2">
      <c r="A137" s="56">
        <f t="shared" si="46"/>
        <v>45049</v>
      </c>
      <c r="B137" s="413">
        <f>'2022'!Wh/'2022'!Env_an*'2023'!Env_an</f>
        <v>32.326708920973175</v>
      </c>
      <c r="C137" s="868"/>
      <c r="D137" s="395">
        <f t="shared" si="25"/>
        <v>33.659438810490244</v>
      </c>
      <c r="E137" s="387">
        <f t="shared" si="47"/>
        <v>35.852239599939765</v>
      </c>
      <c r="F137" s="387">
        <f t="shared" si="26"/>
        <v>35.89671962868028</v>
      </c>
      <c r="G137" s="110">
        <f t="shared" si="48"/>
        <v>0.58232602852069726</v>
      </c>
      <c r="H137" s="416" t="b">
        <f>Wh_hp&gt;='2022'!Maxi_hp</f>
        <v>0</v>
      </c>
      <c r="I137" s="392">
        <f>IF(H137,Wh_hp,'2022'!Maxi_hp)</f>
        <v>59.744764721426584</v>
      </c>
      <c r="J137" s="85">
        <f>IF(H137,An,'2022'!An_max)</f>
        <v>2021</v>
      </c>
      <c r="K137" s="199">
        <f t="shared" si="27"/>
        <v>45049</v>
      </c>
      <c r="L137" s="147">
        <f>IF(t&lt;Tvie,1-EXP((T0-t)*PertePVj)+'2022'!Pspv,1-EXP((T0-t)*PertePVj)+Pspv)</f>
        <v>3.9594536825780624E-2</v>
      </c>
      <c r="M137" s="872"/>
      <c r="N137" s="872"/>
      <c r="O137" s="48">
        <f>IF(t&lt;Tnet,'2022'!Resal+('2022'!Salim-'2022'!Resal)*(1-EXP(('2022'!Tnet-t)/('2022'!Tau_j))),Resal+(Salim-Resal)*(1-EXP((Tnet-t)/(Tau_j))))*Salcycl</f>
        <v>6.1162170450662898E-2</v>
      </c>
      <c r="P137" s="171">
        <f>(INDEX(Models!$BJ137:$BT137,,T137)*(1-R137)+INDEX(Models!$BJ137:$BT137,,T137+1)*R137-ERP_i)*Q137*Ramure*Pc/MaxiM</f>
        <v>3.0607209012796645E-3</v>
      </c>
      <c r="Q137" s="307">
        <f t="shared" si="28"/>
        <v>0.9</v>
      </c>
      <c r="R137" s="179">
        <f t="shared" si="29"/>
        <v>0.60365324220428829</v>
      </c>
      <c r="S137" s="839">
        <f t="shared" si="30"/>
        <v>0</v>
      </c>
      <c r="T137" s="178">
        <f t="shared" si="31"/>
        <v>6</v>
      </c>
      <c r="U137" s="253">
        <f t="shared" si="32"/>
        <v>0.60365324220428829</v>
      </c>
      <c r="V137" s="385">
        <f t="shared" si="33"/>
        <v>55.411827116844101</v>
      </c>
      <c r="W137" s="404">
        <f t="shared" si="34"/>
        <v>32.326708920973175</v>
      </c>
      <c r="X137" s="157">
        <f t="shared" si="35"/>
        <v>45049</v>
      </c>
      <c r="Y137" s="387">
        <f t="shared" si="36"/>
        <v>29.052612723409567</v>
      </c>
      <c r="Z137" s="387">
        <f t="shared" si="37"/>
        <v>30.250361787185469</v>
      </c>
      <c r="AA137" s="388">
        <f t="shared" si="38"/>
        <v>35.852239599939765</v>
      </c>
      <c r="AB137" s="199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0.15624903423784176</v>
      </c>
      <c r="AD137" s="233">
        <f>(INDEX(Models!$BJ137:$BT137,,AH137)*(1-AF137)+INDEX(Models!$BJ137:$BT137,,AH137+1)*AF137-ERP_i)*AE137*Ramure*Pc/MaxiM</f>
        <v>3.0607209012796645E-3</v>
      </c>
      <c r="AE137" s="307">
        <f t="shared" si="40"/>
        <v>0.9</v>
      </c>
      <c r="AF137" s="179">
        <f t="shared" si="41"/>
        <v>0.60365324220428829</v>
      </c>
      <c r="AG137" s="839">
        <f t="shared" si="49"/>
        <v>0</v>
      </c>
      <c r="AH137" s="178">
        <f t="shared" si="42"/>
        <v>6</v>
      </c>
      <c r="AI137" s="227">
        <f t="shared" si="43"/>
        <v>0.60365324220428829</v>
      </c>
      <c r="AJ137" s="267" t="b">
        <f t="shared" si="44"/>
        <v>0</v>
      </c>
      <c r="AK137" s="267" t="b">
        <f t="shared" si="45"/>
        <v>0</v>
      </c>
      <c r="AL137" s="267"/>
      <c r="AM137" s="267"/>
      <c r="AN137" s="75"/>
    </row>
    <row r="138" spans="1:40" s="6" customFormat="1" ht="11.25" x14ac:dyDescent="0.2">
      <c r="A138" s="56">
        <f t="shared" si="46"/>
        <v>45050</v>
      </c>
      <c r="B138" s="413">
        <f>'2022'!Wh/'2022'!Env_an*'2023'!Env_an</f>
        <v>0.82071683989689515</v>
      </c>
      <c r="C138" s="868"/>
      <c r="D138" s="395">
        <f t="shared" si="25"/>
        <v>0.85457233542656885</v>
      </c>
      <c r="E138" s="387">
        <f t="shared" si="47"/>
        <v>0.91046350150130684</v>
      </c>
      <c r="F138" s="387">
        <f t="shared" si="26"/>
        <v>0.91046350150130684</v>
      </c>
      <c r="G138" s="110">
        <f t="shared" si="48"/>
        <v>1.4725437848548864E-2</v>
      </c>
      <c r="H138" s="416" t="b">
        <f>Wh_hp&gt;='2022'!Maxi_hp</f>
        <v>0</v>
      </c>
      <c r="I138" s="392">
        <f>IF(H138,Wh_hp,'2022'!Maxi_hp)</f>
        <v>56.648586728820725</v>
      </c>
      <c r="J138" s="85">
        <f>IF(H138,An,'2022'!An_max)</f>
        <v>2020</v>
      </c>
      <c r="K138" s="199">
        <f t="shared" si="27"/>
        <v>45050</v>
      </c>
      <c r="L138" s="147">
        <f>IF(t&lt;Tvie,1-EXP((T0-t)*PertePVj)+'2022'!Pspv,1-EXP((T0-t)*PertePVj)+Pspv)</f>
        <v>3.9616886863970802E-2</v>
      </c>
      <c r="M138" s="872"/>
      <c r="N138" s="872"/>
      <c r="O138" s="48">
        <f>IF(t&lt;Tnet,'2022'!Resal+('2022'!Salim-'2022'!Resal)*(1-EXP(('2022'!Tnet-t)/('2022'!Tau_j))),Resal+(Salim-Resal)*(1-EXP((Tnet-t)/(Tau_j))))*Salcycl</f>
        <v>6.1387596518230982E-2</v>
      </c>
      <c r="P138" s="171">
        <f>(INDEX(Models!$BJ138:$BT138,,T138)*(1-R138)+INDEX(Models!$BJ138:$BT138,,T138+1)*R138-ERP_i)*Q138*Ramure*Pc/MaxiM</f>
        <v>2.8760317489477357E-3</v>
      </c>
      <c r="Q138" s="307">
        <f t="shared" si="28"/>
        <v>0.9</v>
      </c>
      <c r="R138" s="179">
        <f t="shared" si="29"/>
        <v>0.60724272889726594</v>
      </c>
      <c r="S138" s="839">
        <f t="shared" si="30"/>
        <v>0</v>
      </c>
      <c r="T138" s="178">
        <f t="shared" si="31"/>
        <v>6</v>
      </c>
      <c r="U138" s="253">
        <f t="shared" si="32"/>
        <v>0.60724272889726594</v>
      </c>
      <c r="V138" s="385">
        <f t="shared" si="33"/>
        <v>55.574336099561314</v>
      </c>
      <c r="W138" s="404">
        <f t="shared" si="34"/>
        <v>0.82071683989689515</v>
      </c>
      <c r="X138" s="157">
        <f t="shared" si="35"/>
        <v>45050</v>
      </c>
      <c r="Y138" s="387">
        <f t="shared" si="36"/>
        <v>0.73760066344870168</v>
      </c>
      <c r="Z138" s="387">
        <f t="shared" si="37"/>
        <v>0.76802752293316046</v>
      </c>
      <c r="AA138" s="388">
        <f t="shared" si="38"/>
        <v>0.91046350150130684</v>
      </c>
      <c r="AB138" s="199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0.15644337014419238</v>
      </c>
      <c r="AD138" s="233">
        <f>(INDEX(Models!$BJ138:$BT138,,AH138)*(1-AF138)+INDEX(Models!$BJ138:$BT138,,AH138+1)*AF138-ERP_i)*AE138*Ramure*Pc/MaxiM</f>
        <v>2.8760317489477357E-3</v>
      </c>
      <c r="AE138" s="307">
        <f t="shared" si="40"/>
        <v>0.9</v>
      </c>
      <c r="AF138" s="179">
        <f t="shared" si="41"/>
        <v>0.60724272889726594</v>
      </c>
      <c r="AG138" s="839">
        <f t="shared" si="49"/>
        <v>0</v>
      </c>
      <c r="AH138" s="178">
        <f t="shared" si="42"/>
        <v>6</v>
      </c>
      <c r="AI138" s="227">
        <f t="shared" si="43"/>
        <v>0.60724272889726594</v>
      </c>
      <c r="AJ138" s="267" t="b">
        <f t="shared" si="44"/>
        <v>0</v>
      </c>
      <c r="AK138" s="267" t="b">
        <f t="shared" si="45"/>
        <v>0</v>
      </c>
      <c r="AL138" s="267"/>
      <c r="AM138" s="267"/>
      <c r="AN138" s="75"/>
    </row>
    <row r="139" spans="1:40" s="6" customFormat="1" ht="11.25" x14ac:dyDescent="0.2">
      <c r="A139" s="56">
        <f t="shared" si="46"/>
        <v>45051</v>
      </c>
      <c r="B139" s="413">
        <f>'2022'!Wh/'2022'!Env_an*'2023'!Env_an</f>
        <v>37.718131092116181</v>
      </c>
      <c r="C139" s="868"/>
      <c r="D139" s="395">
        <f t="shared" si="25"/>
        <v>39.274960536726908</v>
      </c>
      <c r="E139" s="387">
        <f t="shared" si="47"/>
        <v>41.853744691638241</v>
      </c>
      <c r="F139" s="387">
        <f t="shared" si="26"/>
        <v>41.91461725851957</v>
      </c>
      <c r="G139" s="110">
        <f t="shared" si="48"/>
        <v>0.675973961640156</v>
      </c>
      <c r="H139" s="416" t="b">
        <f>Wh_hp&gt;='2022'!Maxi_hp</f>
        <v>0</v>
      </c>
      <c r="I139" s="392">
        <f>IF(H139,Wh_hp,'2022'!Maxi_hp)</f>
        <v>58.989313810464012</v>
      </c>
      <c r="J139" s="85">
        <f>IF(H139,An,'2022'!An_max)</f>
        <v>2020</v>
      </c>
      <c r="K139" s="199">
        <f t="shared" si="27"/>
        <v>45051</v>
      </c>
      <c r="L139" s="147">
        <f>IF(t&lt;Tvie,1-EXP((T0-t)*PertePVj)+'2022'!Pspv,1-EXP((T0-t)*PertePVj)+Pspv)</f>
        <v>3.9639236382042919E-2</v>
      </c>
      <c r="M139" s="872"/>
      <c r="N139" s="872"/>
      <c r="O139" s="48">
        <f>IF(t&lt;Tnet,'2022'!Resal+('2022'!Salim-'2022'!Resal)*(1-EXP(('2022'!Tnet-t)/('2022'!Tau_j))),Resal+(Salim-Resal)*(1-EXP((Tnet-t)/(Tau_j))))*Salcycl</f>
        <v>6.1614179899810335E-2</v>
      </c>
      <c r="P139" s="171">
        <f>(INDEX(Models!$BJ139:$BT139,,T139)*(1-R139)+INDEX(Models!$BJ139:$BT139,,T139+1)*R139-ERP_i)*Q139*Ramure*Pc/MaxiM</f>
        <v>2.6978777063035339E-3</v>
      </c>
      <c r="Q139" s="307">
        <f t="shared" si="28"/>
        <v>0.9</v>
      </c>
      <c r="R139" s="179">
        <f t="shared" si="29"/>
        <v>0.61092805599154476</v>
      </c>
      <c r="S139" s="839">
        <f t="shared" si="30"/>
        <v>0</v>
      </c>
      <c r="T139" s="178">
        <f t="shared" si="31"/>
        <v>6</v>
      </c>
      <c r="U139" s="253">
        <f t="shared" si="32"/>
        <v>0.61092805599154476</v>
      </c>
      <c r="V139" s="385">
        <f t="shared" si="33"/>
        <v>55.72859904155068</v>
      </c>
      <c r="W139" s="404">
        <f t="shared" si="34"/>
        <v>37.718131092116181</v>
      </c>
      <c r="X139" s="157">
        <f t="shared" si="35"/>
        <v>45051</v>
      </c>
      <c r="Y139" s="387">
        <f t="shared" si="36"/>
        <v>33.898577978512051</v>
      </c>
      <c r="Z139" s="387">
        <f t="shared" si="37"/>
        <v>35.297753992787349</v>
      </c>
      <c r="AA139" s="388">
        <f t="shared" si="38"/>
        <v>41.853744691638241</v>
      </c>
      <c r="AB139" s="199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0.15664048096897479</v>
      </c>
      <c r="AD139" s="233">
        <f>(INDEX(Models!$BJ139:$BT139,,AH139)*(1-AF139)+INDEX(Models!$BJ139:$BT139,,AH139+1)*AF139-ERP_i)*AE139*Ramure*Pc/MaxiM</f>
        <v>2.6978777063035339E-3</v>
      </c>
      <c r="AE139" s="307">
        <f t="shared" si="40"/>
        <v>0.9</v>
      </c>
      <c r="AF139" s="179">
        <f t="shared" si="41"/>
        <v>0.61092805599154476</v>
      </c>
      <c r="AG139" s="839">
        <f t="shared" si="49"/>
        <v>0</v>
      </c>
      <c r="AH139" s="178">
        <f t="shared" si="42"/>
        <v>6</v>
      </c>
      <c r="AI139" s="227">
        <f t="shared" si="43"/>
        <v>0.61092805599154476</v>
      </c>
      <c r="AJ139" s="267" t="b">
        <f t="shared" si="44"/>
        <v>0</v>
      </c>
      <c r="AK139" s="267" t="b">
        <f t="shared" si="45"/>
        <v>0</v>
      </c>
      <c r="AL139" s="267"/>
      <c r="AM139" s="267"/>
      <c r="AN139" s="75"/>
    </row>
    <row r="140" spans="1:40" s="6" customFormat="1" ht="11.25" x14ac:dyDescent="0.2">
      <c r="A140" s="56">
        <f t="shared" si="46"/>
        <v>45052</v>
      </c>
      <c r="B140" s="413">
        <f>'2022'!Wh/'2022'!Env_an*'2023'!Env_an</f>
        <v>34.964723967517727</v>
      </c>
      <c r="C140" s="868"/>
      <c r="D140" s="395">
        <f t="shared" si="25"/>
        <v>36.408752826318398</v>
      </c>
      <c r="E140" s="387">
        <f t="shared" si="47"/>
        <v>38.808760436810879</v>
      </c>
      <c r="F140" s="387">
        <f t="shared" si="26"/>
        <v>38.854437505887304</v>
      </c>
      <c r="G140" s="110">
        <f t="shared" si="48"/>
        <v>0.62492047578586118</v>
      </c>
      <c r="H140" s="416" t="b">
        <f>Wh_hp&gt;='2022'!Maxi_hp</f>
        <v>0</v>
      </c>
      <c r="I140" s="392">
        <f>IF(H140,Wh_hp,'2022'!Maxi_hp)</f>
        <v>64.322746160656237</v>
      </c>
      <c r="J140" s="85">
        <f>IF(H140,An,'2022'!An_max)</f>
        <v>2019</v>
      </c>
      <c r="K140" s="199">
        <f t="shared" si="27"/>
        <v>45052</v>
      </c>
      <c r="L140" s="147">
        <f>IF(t&lt;Tvie,1-EXP((T0-t)*PertePVj)+'2022'!Pspv,1-EXP((T0-t)*PertePVj)+Pspv)</f>
        <v>3.9661585380009079E-2</v>
      </c>
      <c r="M140" s="872"/>
      <c r="N140" s="872"/>
      <c r="O140" s="48">
        <f>IF(t&lt;Tnet,'2022'!Resal+('2022'!Salim-'2022'!Resal)*(1-EXP(('2022'!Tnet-t)/('2022'!Tau_j))),Resal+(Salim-Resal)*(1-EXP((Tnet-t)/(Tau_j))))*Salcycl</f>
        <v>6.1841903309440019E-2</v>
      </c>
      <c r="P140" s="171">
        <f>(INDEX(Models!$BJ140:$BT140,,T140)*(1-R140)+INDEX(Models!$BJ140:$BT140,,T140+1)*R140-ERP_i)*Q140*Ramure*Pc/MaxiM</f>
        <v>2.5260918206909729E-3</v>
      </c>
      <c r="Q140" s="307">
        <f t="shared" si="28"/>
        <v>0.9</v>
      </c>
      <c r="R140" s="179">
        <f t="shared" si="29"/>
        <v>0.61470987670464405</v>
      </c>
      <c r="S140" s="839">
        <f t="shared" si="30"/>
        <v>0</v>
      </c>
      <c r="T140" s="178">
        <f t="shared" si="31"/>
        <v>6</v>
      </c>
      <c r="U140" s="253">
        <f t="shared" si="32"/>
        <v>0.61470987670464405</v>
      </c>
      <c r="V140" s="385">
        <f t="shared" si="33"/>
        <v>55.875027276672185</v>
      </c>
      <c r="W140" s="404">
        <f t="shared" si="34"/>
        <v>34.964723967517727</v>
      </c>
      <c r="X140" s="157">
        <f t="shared" si="35"/>
        <v>45052</v>
      </c>
      <c r="Y140" s="387">
        <f t="shared" si="36"/>
        <v>31.42417696058514</v>
      </c>
      <c r="Z140" s="387">
        <f t="shared" si="37"/>
        <v>32.721982670056775</v>
      </c>
      <c r="AA140" s="388">
        <f t="shared" si="38"/>
        <v>38.808760436810879</v>
      </c>
      <c r="AB140" s="199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0.15684030353571088</v>
      </c>
      <c r="AD140" s="233">
        <f>(INDEX(Models!$BJ140:$BT140,,AH140)*(1-AF140)+INDEX(Models!$BJ140:$BT140,,AH140+1)*AF140-ERP_i)*AE140*Ramure*Pc/MaxiM</f>
        <v>2.5260918206909729E-3</v>
      </c>
      <c r="AE140" s="307">
        <f t="shared" si="40"/>
        <v>0.9</v>
      </c>
      <c r="AF140" s="179">
        <f t="shared" si="41"/>
        <v>0.61470987670464405</v>
      </c>
      <c r="AG140" s="839">
        <f t="shared" si="49"/>
        <v>0</v>
      </c>
      <c r="AH140" s="178">
        <f t="shared" si="42"/>
        <v>6</v>
      </c>
      <c r="AI140" s="227">
        <f t="shared" si="43"/>
        <v>0.61470987670464405</v>
      </c>
      <c r="AJ140" s="267" t="b">
        <f t="shared" si="44"/>
        <v>0</v>
      </c>
      <c r="AK140" s="267" t="b">
        <f t="shared" si="45"/>
        <v>0</v>
      </c>
      <c r="AL140" s="267"/>
      <c r="AM140" s="267"/>
      <c r="AN140" s="75"/>
    </row>
    <row r="141" spans="1:40" s="6" customFormat="1" ht="11.25" x14ac:dyDescent="0.2">
      <c r="A141" s="56">
        <f t="shared" si="46"/>
        <v>45053</v>
      </c>
      <c r="B141" s="413">
        <f>'2022'!Wh/'2022'!Env_an*'2023'!Env_an</f>
        <v>48.032755561959277</v>
      </c>
      <c r="C141" s="868"/>
      <c r="D141" s="395">
        <f t="shared" si="25"/>
        <v>50.017652786880312</v>
      </c>
      <c r="E141" s="387">
        <f t="shared" si="47"/>
        <v>53.32774576772745</v>
      </c>
      <c r="F141" s="387">
        <f t="shared" si="26"/>
        <v>53.428192280234377</v>
      </c>
      <c r="G141" s="110">
        <f t="shared" si="48"/>
        <v>0.85710010715040397</v>
      </c>
      <c r="H141" s="416" t="b">
        <f>Wh_hp&gt;='2022'!Maxi_hp</f>
        <v>0</v>
      </c>
      <c r="I141" s="392">
        <f>IF(H141,Wh_hp,'2022'!Maxi_hp)</f>
        <v>59.596399989587596</v>
      </c>
      <c r="J141" s="85">
        <f>IF(H141,An,'2022'!An_max)</f>
        <v>2020</v>
      </c>
      <c r="K141" s="199">
        <f t="shared" si="27"/>
        <v>45053</v>
      </c>
      <c r="L141" s="147">
        <f>IF(t&lt;Tvie,1-EXP((T0-t)*PertePVj)+'2022'!Pspv,1-EXP((T0-t)*PertePVj)+Pspv)</f>
        <v>3.9683933857881382E-2</v>
      </c>
      <c r="M141" s="872"/>
      <c r="N141" s="872"/>
      <c r="O141" s="48">
        <f>IF(t&lt;Tnet,'2022'!Resal+('2022'!Salim-'2022'!Resal)*(1-EXP(('2022'!Tnet-t)/('2022'!Tau_j))),Resal+(Salim-Resal)*(1-EXP((Tnet-t)/(Tau_j))))*Salcycl</f>
        <v>6.2070746347773008E-2</v>
      </c>
      <c r="P141" s="171">
        <f>(INDEX(Models!$BJ141:$BT141,,T141)*(1-R141)+INDEX(Models!$BJ141:$BT141,,T141+1)*R141-ERP_i)*Q141*Ramure*Pc/MaxiM</f>
        <v>2.3605189635291586E-3</v>
      </c>
      <c r="Q141" s="307">
        <f t="shared" si="28"/>
        <v>0.9</v>
      </c>
      <c r="R141" s="179">
        <f t="shared" si="29"/>
        <v>0.61858871173003127</v>
      </c>
      <c r="S141" s="839">
        <f t="shared" si="30"/>
        <v>0</v>
      </c>
      <c r="T141" s="178">
        <f t="shared" si="31"/>
        <v>6</v>
      </c>
      <c r="U141" s="253">
        <f t="shared" si="32"/>
        <v>0.61858871173003127</v>
      </c>
      <c r="V141" s="385">
        <f t="shared" si="33"/>
        <v>56.014031964877809</v>
      </c>
      <c r="W141" s="404">
        <f t="shared" si="34"/>
        <v>48.032755561959277</v>
      </c>
      <c r="X141" s="157">
        <f t="shared" si="35"/>
        <v>45053</v>
      </c>
      <c r="Y141" s="387">
        <f t="shared" si="36"/>
        <v>43.169096753651523</v>
      </c>
      <c r="Z141" s="387">
        <f t="shared" si="37"/>
        <v>44.953008989087209</v>
      </c>
      <c r="AA141" s="388">
        <f t="shared" si="38"/>
        <v>53.32774576772745</v>
      </c>
      <c r="AB141" s="199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0.15704276747637086</v>
      </c>
      <c r="AD141" s="233">
        <f>(INDEX(Models!$BJ141:$BT141,,AH141)*(1-AF141)+INDEX(Models!$BJ141:$BT141,,AH141+1)*AF141-ERP_i)*AE141*Ramure*Pc/MaxiM</f>
        <v>2.3605189635291586E-3</v>
      </c>
      <c r="AE141" s="307">
        <f t="shared" si="40"/>
        <v>0.9</v>
      </c>
      <c r="AF141" s="179">
        <f t="shared" si="41"/>
        <v>0.61858871173003127</v>
      </c>
      <c r="AG141" s="839">
        <f t="shared" si="49"/>
        <v>0</v>
      </c>
      <c r="AH141" s="178">
        <f t="shared" si="42"/>
        <v>6</v>
      </c>
      <c r="AI141" s="227">
        <f t="shared" si="43"/>
        <v>0.61858871173003127</v>
      </c>
      <c r="AJ141" s="267" t="b">
        <f t="shared" si="44"/>
        <v>0</v>
      </c>
      <c r="AK141" s="267" t="b">
        <f t="shared" si="45"/>
        <v>0</v>
      </c>
      <c r="AL141" s="267"/>
      <c r="AM141" s="267"/>
      <c r="AN141" s="75"/>
    </row>
    <row r="142" spans="1:40" s="6" customFormat="1" ht="11.25" x14ac:dyDescent="0.2">
      <c r="A142" s="56">
        <f t="shared" si="46"/>
        <v>45054</v>
      </c>
      <c r="B142" s="413">
        <f>'2022'!Wh/'2022'!Env_an*'2023'!Env_an</f>
        <v>48.862043096669829</v>
      </c>
      <c r="C142" s="868"/>
      <c r="D142" s="395">
        <f t="shared" si="25"/>
        <v>50.882393762874521</v>
      </c>
      <c r="E142" s="387">
        <f t="shared" si="47"/>
        <v>54.263016910000253</v>
      </c>
      <c r="F142" s="387">
        <f t="shared" si="26"/>
        <v>54.360662680636906</v>
      </c>
      <c r="G142" s="110">
        <f t="shared" si="48"/>
        <v>0.86991431779775386</v>
      </c>
      <c r="H142" s="416" t="b">
        <f>Wh_hp&gt;='2022'!Maxi_hp</f>
        <v>0</v>
      </c>
      <c r="I142" s="392">
        <f>IF(H142,Wh_hp,'2022'!Maxi_hp)</f>
        <v>57.502129764921655</v>
      </c>
      <c r="J142" s="85">
        <f>IF(H142,An,'2022'!An_max)</f>
        <v>2021</v>
      </c>
      <c r="K142" s="199">
        <f t="shared" si="27"/>
        <v>45054</v>
      </c>
      <c r="L142" s="147">
        <f>IF(t&lt;Tvie,1-EXP((T0-t)*PertePVj)+'2022'!Pspv,1-EXP((T0-t)*PertePVj)+Pspv)</f>
        <v>3.970628181567204E-2</v>
      </c>
      <c r="M142" s="872"/>
      <c r="N142" s="872"/>
      <c r="O142" s="48">
        <f>IF(t&lt;Tnet,'2022'!Resal+('2022'!Salim-'2022'!Resal)*(1-EXP(('2022'!Tnet-t)/('2022'!Tau_j))),Resal+(Salim-Resal)*(1-EXP((Tnet-t)/(Tau_j))))*Salcycl</f>
        <v>6.2300685432451673E-2</v>
      </c>
      <c r="P142" s="171">
        <f>(INDEX(Models!$BJ142:$BT142,,T142)*(1-R142)+INDEX(Models!$BJ142:$BT142,,T142+1)*R142-ERP_i)*Q142*Ramure*Pc/MaxiM</f>
        <v>2.2048841378471931E-3</v>
      </c>
      <c r="Q142" s="307">
        <f t="shared" si="28"/>
        <v>0.9</v>
      </c>
      <c r="R142" s="179">
        <f t="shared" si="29"/>
        <v>0.62256494082864811</v>
      </c>
      <c r="S142" s="839">
        <f t="shared" si="30"/>
        <v>0</v>
      </c>
      <c r="T142" s="178">
        <f t="shared" si="31"/>
        <v>6</v>
      </c>
      <c r="U142" s="253">
        <f t="shared" si="32"/>
        <v>0.62256494082864811</v>
      </c>
      <c r="V142" s="385">
        <f t="shared" si="33"/>
        <v>56.145806381311225</v>
      </c>
      <c r="W142" s="404">
        <f t="shared" si="34"/>
        <v>48.862043096669829</v>
      </c>
      <c r="X142" s="157">
        <f t="shared" si="35"/>
        <v>45054</v>
      </c>
      <c r="Y142" s="387">
        <f t="shared" si="36"/>
        <v>43.914497871596275</v>
      </c>
      <c r="Z142" s="387">
        <f t="shared" si="37"/>
        <v>45.730277143359281</v>
      </c>
      <c r="AA142" s="388">
        <f t="shared" si="38"/>
        <v>54.263016910000253</v>
      </c>
      <c r="AB142" s="199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0.15724779513813683</v>
      </c>
      <c r="AD142" s="233">
        <f>(INDEX(Models!$BJ142:$BT142,,AH142)*(1-AF142)+INDEX(Models!$BJ142:$BT142,,AH142+1)*AF142-ERP_i)*AE142*Ramure*Pc/MaxiM</f>
        <v>2.2048841378471931E-3</v>
      </c>
      <c r="AE142" s="307">
        <f t="shared" si="40"/>
        <v>0.9</v>
      </c>
      <c r="AF142" s="179">
        <f t="shared" si="41"/>
        <v>0.62256494082864811</v>
      </c>
      <c r="AG142" s="839">
        <f t="shared" si="49"/>
        <v>0</v>
      </c>
      <c r="AH142" s="178">
        <f t="shared" si="42"/>
        <v>6</v>
      </c>
      <c r="AI142" s="227">
        <f t="shared" si="43"/>
        <v>0.62256494082864811</v>
      </c>
      <c r="AJ142" s="267" t="b">
        <f t="shared" si="44"/>
        <v>0</v>
      </c>
      <c r="AK142" s="267" t="b">
        <f t="shared" si="45"/>
        <v>0</v>
      </c>
      <c r="AL142" s="267"/>
      <c r="AM142" s="267"/>
      <c r="AN142" s="75"/>
    </row>
    <row r="143" spans="1:40" s="6" customFormat="1" ht="11.25" x14ac:dyDescent="0.2">
      <c r="A143" s="56">
        <f t="shared" si="46"/>
        <v>45055</v>
      </c>
      <c r="B143" s="413">
        <f>'2022'!Wh/'2022'!Env_an*'2023'!Env_an</f>
        <v>54.255908318837818</v>
      </c>
      <c r="C143" s="868"/>
      <c r="D143" s="395">
        <f t="shared" ref="D143:D206" si="50">Wh/(1-Ppv)</f>
        <v>56.500599696785784</v>
      </c>
      <c r="E143" s="387">
        <f t="shared" si="47"/>
        <v>60.269343848091893</v>
      </c>
      <c r="F143" s="387">
        <f t="shared" ref="F143:F206" si="51">Wh_sa/(1-Pvg*MEDIAN((-Sdif+Wh/Env_an)/Csdif,0,1))</f>
        <v>60.387247446781217</v>
      </c>
      <c r="G143" s="110">
        <f t="shared" si="48"/>
        <v>0.96409065050261655</v>
      </c>
      <c r="H143" s="416" t="b">
        <f>Wh_hp&gt;='2022'!Maxi_hp</f>
        <v>0</v>
      </c>
      <c r="I143" s="392">
        <f>IF(H143,Wh_hp,'2022'!Maxi_hp)</f>
        <v>60.389328198087391</v>
      </c>
      <c r="J143" s="85">
        <f>IF(H143,An,'2022'!An_max)</f>
        <v>2022</v>
      </c>
      <c r="K143" s="199">
        <f t="shared" ref="K143:K206" si="52">t</f>
        <v>45055</v>
      </c>
      <c r="L143" s="147">
        <f>IF(t&lt;Tvie,1-EXP((T0-t)*PertePVj)+'2022'!Pspv,1-EXP((T0-t)*PertePVj)+Pspv)</f>
        <v>3.9728629253392933E-2</v>
      </c>
      <c r="M143" s="872"/>
      <c r="N143" s="872"/>
      <c r="O143" s="48">
        <f>IF(t&lt;Tnet,'2022'!Resal+('2022'!Salim-'2022'!Resal)*(1-EXP(('2022'!Tnet-t)/('2022'!Tau_j))),Resal+(Salim-Resal)*(1-EXP((Tnet-t)/(Tau_j))))*Salcycl</f>
        <v>6.2531693738116359E-2</v>
      </c>
      <c r="P143" s="171">
        <f>(INDEX(Models!$BJ143:$BT143,,T143)*(1-R143)+INDEX(Models!$BJ143:$BT143,,T143+1)*R143-ERP_i)*Q143*Ramure*Pc/MaxiM</f>
        <v>2.0577186988337305E-3</v>
      </c>
      <c r="Q143" s="307">
        <f t="shared" ref="Q143:Q206" si="53">IF(OR(t&lt;Ttai,Notai),Dd+PousD*Croivg,Dens+PousD*(Croivg-Croi_tai))</f>
        <v>0.9</v>
      </c>
      <c r="R143" s="179">
        <f t="shared" ref="R143:R206" si="54">(Hp_vg-S143)/(INDEX(Echel_vg,T143+1)-S143)</f>
        <v>0.6266387945181302</v>
      </c>
      <c r="S143" s="839">
        <f t="shared" ref="S143:S206" si="55">INDEX(Echel_vg,T143)</f>
        <v>0</v>
      </c>
      <c r="T143" s="178">
        <f t="shared" ref="T143:T206" si="56">MIN(MATCH(Hp_vg,Echel_vg),10)</f>
        <v>6</v>
      </c>
      <c r="U143" s="253">
        <f t="shared" ref="U143:U206" si="57">IF(OR(t&lt;Ttai,Notai),Hdd+PousH*Croivg,Hdtf+PousH*(Croivg-Croi_tai))</f>
        <v>0.6266387945181302</v>
      </c>
      <c r="V143" s="385">
        <f t="shared" ref="V143:V206" si="58">MaxiM*(1-Ppv)*(1-Pvg)*(1-Psa)</f>
        <v>56.27083525214821</v>
      </c>
      <c r="W143" s="404">
        <f t="shared" ref="W143:W206" si="59">Wh*(A143&gt;Tmaj)</f>
        <v>54.255908318837818</v>
      </c>
      <c r="X143" s="157">
        <f t="shared" ref="X143:X206" si="60">t</f>
        <v>45055</v>
      </c>
      <c r="Y143" s="387">
        <f t="shared" ref="Y143:Y206" si="61">Wh_pvt_s*(1-Ppv)</f>
        <v>48.762211597094165</v>
      </c>
      <c r="Z143" s="387">
        <f t="shared" ref="Z143:Z206" si="62">Wh_sa_s*(1-Psa_s)</f>
        <v>50.779616140364304</v>
      </c>
      <c r="AA143" s="388">
        <f t="shared" ref="AA143:AA206" si="63">Wh_hp*(1-Pvg_s*MEDIAN((-Sdif+Wh/Env_an)/Csdif,0,1))</f>
        <v>60.269343848091893</v>
      </c>
      <c r="AB143" s="199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0.15745530151525006</v>
      </c>
      <c r="AD143" s="233">
        <f>(INDEX(Models!$BJ143:$BT143,,AH143)*(1-AF143)+INDEX(Models!$BJ143:$BT143,,AH143+1)*AF143-ERP_i)*AE143*Ramure*Pc/MaxiM</f>
        <v>2.0577186988337305E-3</v>
      </c>
      <c r="AE143" s="307">
        <f t="shared" ref="AE143:AE206" si="65">IF(OR(t&lt;Ttai,Notai),Dd_s+PousD*Croivg,Dens_s+PousD*(Croivg-Croi_tai))</f>
        <v>0.9</v>
      </c>
      <c r="AF143" s="179">
        <f t="shared" ref="AF143:AF206" si="66">(Hp_vg_s-AG143)/(INDEX(Echel_vg,AH143+1)-AG143)</f>
        <v>0.6266387945181302</v>
      </c>
      <c r="AG143" s="839">
        <f t="shared" si="49"/>
        <v>0</v>
      </c>
      <c r="AH143" s="178">
        <f t="shared" ref="AH143:AH206" si="67">MIN(MATCH(Hp_vg_s,Echel_vg),10)</f>
        <v>6</v>
      </c>
      <c r="AI143" s="227">
        <f t="shared" ref="AI143:AI206" si="68">IF(OR(t&lt;Ttai,Notai),Hdd_s+PousH*Croivg,Hdtai_s+PousH*(Croivg-Croi_tai))</f>
        <v>0.6266387945181302</v>
      </c>
      <c r="AJ143" s="267" t="b">
        <f t="shared" ref="AJ143:AJ206" si="69">t&lt;Tnet</f>
        <v>0</v>
      </c>
      <c r="AK143" s="267" t="b">
        <f t="shared" ref="AK143:AK206" si="70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71">A143+1</f>
        <v>45056</v>
      </c>
      <c r="B144" s="413">
        <f>'2022'!Wh/'2022'!Env_an*'2023'!Env_an</f>
        <v>49.806497937672603</v>
      </c>
      <c r="C144" s="868"/>
      <c r="D144" s="395">
        <f t="shared" si="50"/>
        <v>51.868314053652206</v>
      </c>
      <c r="E144" s="387">
        <f t="shared" ref="E144:E169" si="72">Wh_pvt/(1-Psa)</f>
        <v>55.341770619437852</v>
      </c>
      <c r="F144" s="387">
        <f t="shared" si="51"/>
        <v>55.430398003568563</v>
      </c>
      <c r="G144" s="110">
        <f t="shared" ref="G144:G169" si="73">+Wh_hp/MaxiM</f>
        <v>0.88297482766789892</v>
      </c>
      <c r="H144" s="416" t="b">
        <f>Wh_hp&gt;='2022'!Maxi_hp</f>
        <v>0</v>
      </c>
      <c r="I144" s="392">
        <f>IF(H144,Wh_hp,'2022'!Maxi_hp)</f>
        <v>55.43619024431473</v>
      </c>
      <c r="J144" s="85">
        <f>IF(H144,An,'2022'!An_max)</f>
        <v>2022</v>
      </c>
      <c r="K144" s="199">
        <f t="shared" si="52"/>
        <v>45056</v>
      </c>
      <c r="L144" s="147">
        <f>IF(t&lt;Tvie,1-EXP((T0-t)*PertePVj)+'2022'!Pspv,1-EXP((T0-t)*PertePVj)+Pspv)</f>
        <v>3.9750976171056496E-2</v>
      </c>
      <c r="M144" s="872"/>
      <c r="N144" s="872"/>
      <c r="O144" s="48">
        <f>IF(t&lt;Tnet,'2022'!Resal+('2022'!Salim-'2022'!Resal)*(1-EXP(('2022'!Tnet-t)/('2022'!Tau_j))),Resal+(Salim-Resal)*(1-EXP((Tnet-t)/(Tau_j))))*Salcycl</f>
        <v>6.2763741147191535E-2</v>
      </c>
      <c r="P144" s="171">
        <f>(INDEX(Models!$BJ144:$BT144,,T144)*(1-R144)+INDEX(Models!$BJ144:$BT144,,T144+1)*R144-ERP_i)*Q144*Ramure*Pc/MaxiM</f>
        <v>1.9189219451852433E-3</v>
      </c>
      <c r="Q144" s="307">
        <f t="shared" si="53"/>
        <v>0.9</v>
      </c>
      <c r="R144" s="179">
        <f t="shared" si="54"/>
        <v>0.63081034591799889</v>
      </c>
      <c r="S144" s="839">
        <f t="shared" si="55"/>
        <v>0</v>
      </c>
      <c r="T144" s="178">
        <f t="shared" si="56"/>
        <v>6</v>
      </c>
      <c r="U144" s="253">
        <f t="shared" si="57"/>
        <v>0.63081034591799889</v>
      </c>
      <c r="V144" s="385">
        <f t="shared" si="58"/>
        <v>56.389527116692861</v>
      </c>
      <c r="W144" s="404">
        <f t="shared" si="59"/>
        <v>49.806497937672603</v>
      </c>
      <c r="X144" s="157">
        <f t="shared" si="60"/>
        <v>45056</v>
      </c>
      <c r="Y144" s="387">
        <f t="shared" si="61"/>
        <v>44.763256192031619</v>
      </c>
      <c r="Z144" s="387">
        <f t="shared" si="62"/>
        <v>46.61629960688785</v>
      </c>
      <c r="AA144" s="388">
        <f t="shared" si="63"/>
        <v>55.341770619437852</v>
      </c>
      <c r="AB144" s="199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0.15766519420839292</v>
      </c>
      <c r="AD144" s="233">
        <f>(INDEX(Models!$BJ144:$BT144,,AH144)*(1-AF144)+INDEX(Models!$BJ144:$BT144,,AH144+1)*AF144-ERP_i)*AE144*Ramure*Pc/MaxiM</f>
        <v>1.9189219451852433E-3</v>
      </c>
      <c r="AE144" s="307">
        <f t="shared" si="65"/>
        <v>0.9</v>
      </c>
      <c r="AF144" s="179">
        <f t="shared" si="66"/>
        <v>0.63081034591799889</v>
      </c>
      <c r="AG144" s="839">
        <f t="shared" ref="AG144:AG207" si="74">INDEX(Echel_vg,AH144)</f>
        <v>0</v>
      </c>
      <c r="AH144" s="178">
        <f t="shared" si="67"/>
        <v>6</v>
      </c>
      <c r="AI144" s="227">
        <f t="shared" si="68"/>
        <v>0.63081034591799889</v>
      </c>
      <c r="AJ144" s="267" t="b">
        <f t="shared" si="69"/>
        <v>0</v>
      </c>
      <c r="AK144" s="267" t="b">
        <f t="shared" si="70"/>
        <v>0</v>
      </c>
      <c r="AL144" s="267"/>
      <c r="AM144" s="267"/>
      <c r="AN144" s="75"/>
    </row>
    <row r="145" spans="1:40" s="6" customFormat="1" ht="11.25" x14ac:dyDescent="0.2">
      <c r="A145" s="56">
        <f t="shared" si="71"/>
        <v>45057</v>
      </c>
      <c r="B145" s="413">
        <f>'2022'!Wh/'2022'!Env_an*'2023'!Env_an</f>
        <v>54.58310209678001</v>
      </c>
      <c r="C145" s="868"/>
      <c r="D145" s="395">
        <f t="shared" si="50"/>
        <v>56.843975885770725</v>
      </c>
      <c r="E145" s="387">
        <f t="shared" si="72"/>
        <v>60.665721882990347</v>
      </c>
      <c r="F145" s="387">
        <f t="shared" si="51"/>
        <v>60.769128160624604</v>
      </c>
      <c r="G145" s="110">
        <f t="shared" si="73"/>
        <v>0.9659494699724136</v>
      </c>
      <c r="H145" s="416" t="b">
        <f>Wh_hp&gt;='2022'!Maxi_hp</f>
        <v>0</v>
      </c>
      <c r="I145" s="392">
        <f>IF(H145,Wh_hp,'2022'!Maxi_hp)</f>
        <v>60.770845469970119</v>
      </c>
      <c r="J145" s="85">
        <f>IF(H145,An,'2022'!An_max)</f>
        <v>2022</v>
      </c>
      <c r="K145" s="199">
        <f t="shared" si="52"/>
        <v>45057</v>
      </c>
      <c r="L145" s="147">
        <f>IF(t&lt;Tvie,1-EXP((T0-t)*PertePVj)+'2022'!Pspv,1-EXP((T0-t)*PertePVj)+Pspv)</f>
        <v>3.9773322568674496E-2</v>
      </c>
      <c r="M145" s="872"/>
      <c r="N145" s="872"/>
      <c r="O145" s="48">
        <f>IF(t&lt;Tnet,'2022'!Resal+('2022'!Salim-'2022'!Resal)*(1-EXP(('2022'!Tnet-t)/('2022'!Tau_j))),Resal+(Salim-Resal)*(1-EXP((Tnet-t)/(Tau_j))))*Salcycl</f>
        <v>6.2996794212568041E-2</v>
      </c>
      <c r="P145" s="171">
        <f>(INDEX(Models!$BJ145:$BT145,,T145)*(1-R145)+INDEX(Models!$BJ145:$BT145,,T145+1)*R145-ERP_i)*Q145*Ramure*Pc/MaxiM</f>
        <v>1.7884051063125777E-3</v>
      </c>
      <c r="Q145" s="307">
        <f t="shared" si="53"/>
        <v>0.9</v>
      </c>
      <c r="R145" s="179">
        <f t="shared" si="54"/>
        <v>0.63507950281251591</v>
      </c>
      <c r="S145" s="839">
        <f t="shared" si="55"/>
        <v>0</v>
      </c>
      <c r="T145" s="178">
        <f t="shared" si="56"/>
        <v>6</v>
      </c>
      <c r="U145" s="253">
        <f t="shared" si="57"/>
        <v>0.63507950281251591</v>
      </c>
      <c r="V145" s="385">
        <f t="shared" si="58"/>
        <v>56.502290234700517</v>
      </c>
      <c r="W145" s="404">
        <f t="shared" si="59"/>
        <v>54.58310209678001</v>
      </c>
      <c r="X145" s="157">
        <f t="shared" si="60"/>
        <v>45057</v>
      </c>
      <c r="Y145" s="387">
        <f t="shared" si="61"/>
        <v>49.056038465019455</v>
      </c>
      <c r="Z145" s="387">
        <f t="shared" si="62"/>
        <v>51.087977055842522</v>
      </c>
      <c r="AA145" s="388">
        <f t="shared" si="63"/>
        <v>60.665721882990347</v>
      </c>
      <c r="AB145" s="199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0.157877373413952</v>
      </c>
      <c r="AD145" s="233">
        <f>(INDEX(Models!$BJ145:$BT145,,AH145)*(1-AF145)+INDEX(Models!$BJ145:$BT145,,AH145+1)*AF145-ERP_i)*AE145*Ramure*Pc/MaxiM</f>
        <v>1.7884051063125777E-3</v>
      </c>
      <c r="AE145" s="307">
        <f t="shared" si="65"/>
        <v>0.9</v>
      </c>
      <c r="AF145" s="179">
        <f t="shared" si="66"/>
        <v>0.63507950281251591</v>
      </c>
      <c r="AG145" s="839">
        <f t="shared" si="74"/>
        <v>0</v>
      </c>
      <c r="AH145" s="178">
        <f t="shared" si="67"/>
        <v>6</v>
      </c>
      <c r="AI145" s="227">
        <f t="shared" si="68"/>
        <v>0.63507950281251591</v>
      </c>
      <c r="AJ145" s="267" t="b">
        <f t="shared" si="69"/>
        <v>0</v>
      </c>
      <c r="AK145" s="267" t="b">
        <f t="shared" si="70"/>
        <v>0</v>
      </c>
      <c r="AL145" s="267"/>
      <c r="AM145" s="267"/>
      <c r="AN145" s="75"/>
    </row>
    <row r="146" spans="1:40" s="6" customFormat="1" ht="11.25" x14ac:dyDescent="0.2">
      <c r="A146" s="56">
        <f t="shared" si="71"/>
        <v>45058</v>
      </c>
      <c r="B146" s="413">
        <f>'2022'!Wh/'2022'!Env_an*'2023'!Env_an</f>
        <v>42.574267147407433</v>
      </c>
      <c r="C146" s="868"/>
      <c r="D146" s="395">
        <f t="shared" si="50"/>
        <v>44.338757646006961</v>
      </c>
      <c r="E146" s="387">
        <f t="shared" si="72"/>
        <v>47.33157154357712</v>
      </c>
      <c r="F146" s="387">
        <f t="shared" si="51"/>
        <v>47.382554337781691</v>
      </c>
      <c r="G146" s="110">
        <f t="shared" si="73"/>
        <v>0.75162458903588969</v>
      </c>
      <c r="H146" s="416" t="b">
        <f>Wh_hp&gt;='2022'!Maxi_hp</f>
        <v>0</v>
      </c>
      <c r="I146" s="392">
        <f>IF(H146,Wh_hp,'2022'!Maxi_hp)</f>
        <v>58.685038325386628</v>
      </c>
      <c r="J146" s="85">
        <f>IF(H146,An,'2022'!An_max)</f>
        <v>2019</v>
      </c>
      <c r="K146" s="199">
        <f t="shared" si="52"/>
        <v>45058</v>
      </c>
      <c r="L146" s="147">
        <f>IF(t&lt;Tvie,1-EXP((T0-t)*PertePVj)+'2022'!Pspv,1-EXP((T0-t)*PertePVj)+Pspv)</f>
        <v>3.9795668446259147E-2</v>
      </c>
      <c r="M146" s="872"/>
      <c r="N146" s="872"/>
      <c r="O146" s="48">
        <f>IF(t&lt;Tnet,'2022'!Resal+('2022'!Salim-'2022'!Resal)*(1-EXP(('2022'!Tnet-t)/('2022'!Tau_j))),Resal+(Salim-Resal)*(1-EXP((Tnet-t)/(Tau_j))))*Salcycl</f>
        <v>6.3230816133259857E-2</v>
      </c>
      <c r="P146" s="171">
        <f>(INDEX(Models!$BJ146:$BT146,,T146)*(1-R146)+INDEX(Models!$BJ146:$BT146,,T146+1)*R146-ERP_i)*Q146*Ramure*Pc/MaxiM</f>
        <v>1.6660905598306817E-3</v>
      </c>
      <c r="Q146" s="307">
        <f t="shared" si="53"/>
        <v>0.9</v>
      </c>
      <c r="R146" s="179">
        <f t="shared" si="54"/>
        <v>0.63944599999594087</v>
      </c>
      <c r="S146" s="839">
        <f t="shared" si="55"/>
        <v>0</v>
      </c>
      <c r="T146" s="178">
        <f t="shared" si="56"/>
        <v>6</v>
      </c>
      <c r="U146" s="253">
        <f t="shared" si="57"/>
        <v>0.63944599999594087</v>
      </c>
      <c r="V146" s="385">
        <f t="shared" si="58"/>
        <v>56.609532582972214</v>
      </c>
      <c r="W146" s="404">
        <f t="shared" si="59"/>
        <v>42.574267147407433</v>
      </c>
      <c r="X146" s="157">
        <f t="shared" si="60"/>
        <v>45058</v>
      </c>
      <c r="Y146" s="387">
        <f t="shared" si="61"/>
        <v>38.263030141337403</v>
      </c>
      <c r="Z146" s="387">
        <f t="shared" si="62"/>
        <v>39.848841422557044</v>
      </c>
      <c r="AA146" s="388">
        <f t="shared" si="63"/>
        <v>47.33157154357712</v>
      </c>
      <c r="AB146" s="199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0.15809173194536544</v>
      </c>
      <c r="AD146" s="233">
        <f>(INDEX(Models!$BJ146:$BT146,,AH146)*(1-AF146)+INDEX(Models!$BJ146:$BT146,,AH146+1)*AF146-ERP_i)*AE146*Ramure*Pc/MaxiM</f>
        <v>1.6660905598306817E-3</v>
      </c>
      <c r="AE146" s="307">
        <f t="shared" si="65"/>
        <v>0.9</v>
      </c>
      <c r="AF146" s="179">
        <f t="shared" si="66"/>
        <v>0.63944599999594087</v>
      </c>
      <c r="AG146" s="839">
        <f t="shared" si="74"/>
        <v>0</v>
      </c>
      <c r="AH146" s="178">
        <f t="shared" si="67"/>
        <v>6</v>
      </c>
      <c r="AI146" s="227">
        <f t="shared" si="68"/>
        <v>0.63944599999594087</v>
      </c>
      <c r="AJ146" s="267" t="b">
        <f t="shared" si="69"/>
        <v>0</v>
      </c>
      <c r="AK146" s="267" t="b">
        <f t="shared" si="70"/>
        <v>0</v>
      </c>
      <c r="AL146" s="267"/>
      <c r="AM146" s="267"/>
      <c r="AN146" s="75"/>
    </row>
    <row r="147" spans="1:40" s="6" customFormat="1" ht="11.25" x14ac:dyDescent="0.2">
      <c r="A147" s="56">
        <f t="shared" si="71"/>
        <v>45059</v>
      </c>
      <c r="B147" s="413">
        <f>'2022'!Wh/'2022'!Env_an*'2023'!Env_an</f>
        <v>45.433037858435654</v>
      </c>
      <c r="C147" s="868"/>
      <c r="D147" s="395">
        <f t="shared" si="50"/>
        <v>47.317111247235076</v>
      </c>
      <c r="E147" s="387">
        <f t="shared" si="72"/>
        <v>50.523632310517023</v>
      </c>
      <c r="F147" s="387">
        <f t="shared" si="51"/>
        <v>50.579826419321705</v>
      </c>
      <c r="G147" s="110">
        <f t="shared" si="73"/>
        <v>0.80076975517413884</v>
      </c>
      <c r="H147" s="416" t="b">
        <f>Wh_hp&gt;='2022'!Maxi_hp</f>
        <v>0</v>
      </c>
      <c r="I147" s="392">
        <f>IF(H147,Wh_hp,'2022'!Maxi_hp)</f>
        <v>65.198747930481261</v>
      </c>
      <c r="J147" s="85">
        <f>IF(H147,An,'2022'!An_max)</f>
        <v>2019</v>
      </c>
      <c r="K147" s="199">
        <f t="shared" si="52"/>
        <v>45059</v>
      </c>
      <c r="L147" s="147">
        <f>IF(t&lt;Tvie,1-EXP((T0-t)*PertePVj)+'2022'!Pspv,1-EXP((T0-t)*PertePVj)+Pspv)</f>
        <v>3.9818013803822661E-2</v>
      </c>
      <c r="M147" s="872"/>
      <c r="N147" s="872"/>
      <c r="O147" s="48">
        <f>IF(t&lt;Tnet,'2022'!Resal+('2022'!Salim-'2022'!Resal)*(1-EXP(('2022'!Tnet-t)/('2022'!Tau_j))),Resal+(Salim-Resal)*(1-EXP((Tnet-t)/(Tau_j))))*Salcycl</f>
        <v>6.3465766744060417E-2</v>
      </c>
      <c r="P147" s="171">
        <f>(INDEX(Models!$BJ147:$BT147,,T147)*(1-R147)+INDEX(Models!$BJ147:$BT147,,T147+1)*R147-ERP_i)*Q147*Ramure*Pc/MaxiM</f>
        <v>1.5519110799994409E-3</v>
      </c>
      <c r="Q147" s="307">
        <f t="shared" si="53"/>
        <v>0.9</v>
      </c>
      <c r="R147" s="179">
        <f t="shared" si="54"/>
        <v>0.64390939196755581</v>
      </c>
      <c r="S147" s="839">
        <f t="shared" si="55"/>
        <v>0</v>
      </c>
      <c r="T147" s="178">
        <f t="shared" si="56"/>
        <v>6</v>
      </c>
      <c r="U147" s="253">
        <f t="shared" si="57"/>
        <v>0.64390939196755581</v>
      </c>
      <c r="V147" s="385">
        <f t="shared" si="58"/>
        <v>56.711661853563292</v>
      </c>
      <c r="W147" s="404">
        <f t="shared" si="59"/>
        <v>45.433037858435654</v>
      </c>
      <c r="X147" s="157">
        <f t="shared" si="60"/>
        <v>45059</v>
      </c>
      <c r="Y147" s="387">
        <f t="shared" si="61"/>
        <v>40.832055132638729</v>
      </c>
      <c r="Z147" s="387">
        <f t="shared" si="62"/>
        <v>42.525329280960101</v>
      </c>
      <c r="AA147" s="388">
        <f t="shared" si="63"/>
        <v>50.523632310517023</v>
      </c>
      <c r="AB147" s="199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0.15830815528858941</v>
      </c>
      <c r="AD147" s="233">
        <f>(INDEX(Models!$BJ147:$BT147,,AH147)*(1-AF147)+INDEX(Models!$BJ147:$BT147,,AH147+1)*AF147-ERP_i)*AE147*Ramure*Pc/MaxiM</f>
        <v>1.5519110799994409E-3</v>
      </c>
      <c r="AE147" s="307">
        <f t="shared" si="65"/>
        <v>0.9</v>
      </c>
      <c r="AF147" s="179">
        <f t="shared" si="66"/>
        <v>0.64390939196755581</v>
      </c>
      <c r="AG147" s="839">
        <f t="shared" si="74"/>
        <v>0</v>
      </c>
      <c r="AH147" s="178">
        <f t="shared" si="67"/>
        <v>6</v>
      </c>
      <c r="AI147" s="227">
        <f t="shared" si="68"/>
        <v>0.64390939196755581</v>
      </c>
      <c r="AJ147" s="267" t="b">
        <f t="shared" si="69"/>
        <v>0</v>
      </c>
      <c r="AK147" s="267" t="b">
        <f t="shared" si="70"/>
        <v>0</v>
      </c>
      <c r="AL147" s="267"/>
      <c r="AM147" s="267"/>
      <c r="AN147" s="75"/>
    </row>
    <row r="148" spans="1:40" s="6" customFormat="1" ht="11.25" x14ac:dyDescent="0.2">
      <c r="A148" s="56">
        <f t="shared" si="71"/>
        <v>45060</v>
      </c>
      <c r="B148" s="413">
        <f>'2022'!Wh/'2022'!Env_an*'2023'!Env_an</f>
        <v>46.830381976803608</v>
      </c>
      <c r="C148" s="868"/>
      <c r="D148" s="395">
        <f t="shared" si="50"/>
        <v>48.773537190689211</v>
      </c>
      <c r="E148" s="387">
        <f t="shared" si="72"/>
        <v>52.091872977641415</v>
      </c>
      <c r="F148" s="387">
        <f t="shared" si="51"/>
        <v>52.148350030590457</v>
      </c>
      <c r="G148" s="110">
        <f t="shared" si="73"/>
        <v>0.82404729899296714</v>
      </c>
      <c r="H148" s="416" t="b">
        <f>Wh_hp&gt;='2022'!Maxi_hp</f>
        <v>0</v>
      </c>
      <c r="I148" s="392">
        <f>IF(H148,Wh_hp,'2022'!Maxi_hp)</f>
        <v>63.557422198043149</v>
      </c>
      <c r="J148" s="85">
        <f>IF(H148,An,'2022'!An_max)</f>
        <v>2019</v>
      </c>
      <c r="K148" s="199">
        <f t="shared" si="52"/>
        <v>45060</v>
      </c>
      <c r="L148" s="147">
        <f>IF(t&lt;Tvie,1-EXP((T0-t)*PertePVj)+'2022'!Pspv,1-EXP((T0-t)*PertePVj)+Pspv)</f>
        <v>3.9840358641377138E-2</v>
      </c>
      <c r="M148" s="872"/>
      <c r="N148" s="872"/>
      <c r="O148" s="48">
        <f>IF(t&lt;Tnet,'2022'!Resal+('2022'!Salim-'2022'!Resal)*(1-EXP(('2022'!Tnet-t)/('2022'!Tau_j))),Resal+(Salim-Resal)*(1-EXP((Tnet-t)/(Tau_j))))*Salcycl</f>
        <v>6.3701602520156705E-2</v>
      </c>
      <c r="P148" s="171">
        <f>(INDEX(Models!$BJ148:$BT148,,T148)*(1-R148)+INDEX(Models!$BJ148:$BT148,,T148+1)*R148-ERP_i)*Q148*Ramure*Pc/MaxiM</f>
        <v>1.4458091121236842E-3</v>
      </c>
      <c r="Q148" s="307">
        <f t="shared" si="53"/>
        <v>0.9</v>
      </c>
      <c r="R148" s="179">
        <f t="shared" si="54"/>
        <v>0.64846904604592437</v>
      </c>
      <c r="S148" s="839">
        <f t="shared" si="55"/>
        <v>0</v>
      </c>
      <c r="T148" s="178">
        <f t="shared" si="56"/>
        <v>6</v>
      </c>
      <c r="U148" s="253">
        <f t="shared" si="57"/>
        <v>0.64846904604592437</v>
      </c>
      <c r="V148" s="385">
        <f t="shared" si="58"/>
        <v>56.809085442568517</v>
      </c>
      <c r="W148" s="404">
        <f t="shared" si="59"/>
        <v>46.830381976803608</v>
      </c>
      <c r="X148" s="157">
        <f t="shared" si="60"/>
        <v>45060</v>
      </c>
      <c r="Y148" s="387">
        <f t="shared" si="61"/>
        <v>42.087570072222114</v>
      </c>
      <c r="Z148" s="387">
        <f t="shared" si="62"/>
        <v>43.833929545995431</v>
      </c>
      <c r="AA148" s="388">
        <f t="shared" si="63"/>
        <v>52.091872977641415</v>
      </c>
      <c r="AB148" s="199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0.15852652169351664</v>
      </c>
      <c r="AD148" s="233">
        <f>(INDEX(Models!$BJ148:$BT148,,AH148)*(1-AF148)+INDEX(Models!$BJ148:$BT148,,AH148+1)*AF148-ERP_i)*AE148*Ramure*Pc/MaxiM</f>
        <v>1.4458091121236842E-3</v>
      </c>
      <c r="AE148" s="307">
        <f t="shared" si="65"/>
        <v>0.9</v>
      </c>
      <c r="AF148" s="179">
        <f t="shared" si="66"/>
        <v>0.64846904604592437</v>
      </c>
      <c r="AG148" s="839">
        <f t="shared" si="74"/>
        <v>0</v>
      </c>
      <c r="AH148" s="178">
        <f t="shared" si="67"/>
        <v>6</v>
      </c>
      <c r="AI148" s="227">
        <f t="shared" si="68"/>
        <v>0.64846904604592437</v>
      </c>
      <c r="AJ148" s="267" t="b">
        <f t="shared" si="69"/>
        <v>0</v>
      </c>
      <c r="AK148" s="267" t="b">
        <f t="shared" si="70"/>
        <v>0</v>
      </c>
      <c r="AL148" s="267"/>
      <c r="AM148" s="267"/>
      <c r="AN148" s="75"/>
    </row>
    <row r="149" spans="1:40" s="6" customFormat="1" ht="11.25" x14ac:dyDescent="0.2">
      <c r="A149" s="56">
        <f t="shared" si="71"/>
        <v>45061</v>
      </c>
      <c r="B149" s="413">
        <f>'2022'!Wh/'2022'!Env_an*'2023'!Env_an</f>
        <v>50.663573592263333</v>
      </c>
      <c r="C149" s="868"/>
      <c r="D149" s="395">
        <f t="shared" si="50"/>
        <v>52.767009206284825</v>
      </c>
      <c r="E149" s="387">
        <f t="shared" si="72"/>
        <v>56.371292498197562</v>
      </c>
      <c r="F149" s="387">
        <f t="shared" si="51"/>
        <v>56.435444323621887</v>
      </c>
      <c r="G149" s="110">
        <f t="shared" si="73"/>
        <v>0.8901999865884902</v>
      </c>
      <c r="H149" s="416" t="b">
        <f>Wh_hp&gt;='2022'!Maxi_hp</f>
        <v>0</v>
      </c>
      <c r="I149" s="392">
        <f>IF(H149,Wh_hp,'2022'!Maxi_hp)</f>
        <v>64.50696341655771</v>
      </c>
      <c r="J149" s="85">
        <f>IF(H149,An,'2022'!An_max)</f>
        <v>2019</v>
      </c>
      <c r="K149" s="199">
        <f t="shared" si="52"/>
        <v>45061</v>
      </c>
      <c r="L149" s="147">
        <f>IF(t&lt;Tvie,1-EXP((T0-t)*PertePVj)+'2022'!Pspv,1-EXP((T0-t)*PertePVj)+Pspv)</f>
        <v>3.9862702958934459E-2</v>
      </c>
      <c r="M149" s="872"/>
      <c r="N149" s="872"/>
      <c r="O149" s="48">
        <f>IF(t&lt;Tnet,'2022'!Resal+('2022'!Salim-'2022'!Resal)*(1-EXP(('2022'!Tnet-t)/('2022'!Tau_j))),Resal+(Salim-Resal)*(1-EXP((Tnet-t)/(Tau_j))))*Salcycl</f>
        <v>6.3938276597578128E-2</v>
      </c>
      <c r="P149" s="171">
        <f>(INDEX(Models!$BJ149:$BT149,,T149)*(1-R149)+INDEX(Models!$BJ149:$BT149,,T149+1)*R149-ERP_i)*Q149*Ramure*Pc/MaxiM</f>
        <v>1.3477753373804706E-3</v>
      </c>
      <c r="Q149" s="307">
        <f t="shared" si="53"/>
        <v>0.9</v>
      </c>
      <c r="R149" s="179">
        <f t="shared" si="54"/>
        <v>0.65312413597337182</v>
      </c>
      <c r="S149" s="839">
        <f t="shared" si="55"/>
        <v>0</v>
      </c>
      <c r="T149" s="178">
        <f t="shared" si="56"/>
        <v>6</v>
      </c>
      <c r="U149" s="253">
        <f t="shared" si="57"/>
        <v>0.65312413597337182</v>
      </c>
      <c r="V149" s="385">
        <f t="shared" si="58"/>
        <v>56.900550261596919</v>
      </c>
      <c r="W149" s="404">
        <f t="shared" si="59"/>
        <v>50.663573592263333</v>
      </c>
      <c r="X149" s="157">
        <f t="shared" si="60"/>
        <v>45061</v>
      </c>
      <c r="Y149" s="387">
        <f t="shared" si="61"/>
        <v>45.532145255004224</v>
      </c>
      <c r="Z149" s="387">
        <f t="shared" si="62"/>
        <v>47.422535709553621</v>
      </c>
      <c r="AA149" s="388">
        <f t="shared" si="63"/>
        <v>56.371292498197562</v>
      </c>
      <c r="AB149" s="199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0.15874670230295096</v>
      </c>
      <c r="AD149" s="233">
        <f>(INDEX(Models!$BJ149:$BT149,,AH149)*(1-AF149)+INDEX(Models!$BJ149:$BT149,,AH149+1)*AF149-ERP_i)*AE149*Ramure*Pc/MaxiM</f>
        <v>1.3477753373804706E-3</v>
      </c>
      <c r="AE149" s="307">
        <f t="shared" si="65"/>
        <v>0.9</v>
      </c>
      <c r="AF149" s="179">
        <f t="shared" si="66"/>
        <v>0.65312413597337182</v>
      </c>
      <c r="AG149" s="839">
        <f t="shared" si="74"/>
        <v>0</v>
      </c>
      <c r="AH149" s="178">
        <f t="shared" si="67"/>
        <v>6</v>
      </c>
      <c r="AI149" s="227">
        <f t="shared" si="68"/>
        <v>0.65312413597337182</v>
      </c>
      <c r="AJ149" s="267" t="b">
        <f t="shared" si="69"/>
        <v>0</v>
      </c>
      <c r="AK149" s="267" t="b">
        <f t="shared" si="70"/>
        <v>0</v>
      </c>
      <c r="AL149" s="267"/>
      <c r="AM149" s="267"/>
      <c r="AN149" s="75"/>
    </row>
    <row r="150" spans="1:40" s="6" customFormat="1" ht="11.25" x14ac:dyDescent="0.2">
      <c r="A150" s="56">
        <f t="shared" si="71"/>
        <v>45062</v>
      </c>
      <c r="B150" s="413">
        <f>'2022'!Wh/'2022'!Env_an*'2023'!Env_an</f>
        <v>49.387165181654495</v>
      </c>
      <c r="C150" s="868"/>
      <c r="D150" s="395">
        <f t="shared" si="50"/>
        <v>51.438804296103392</v>
      </c>
      <c r="E150" s="387">
        <f t="shared" si="72"/>
        <v>54.966307702589376</v>
      </c>
      <c r="F150" s="387">
        <f t="shared" si="51"/>
        <v>55.022394829510517</v>
      </c>
      <c r="G150" s="110">
        <f t="shared" si="73"/>
        <v>0.86646668682683547</v>
      </c>
      <c r="H150" s="416" t="b">
        <f>Wh_hp&gt;='2022'!Maxi_hp</f>
        <v>0</v>
      </c>
      <c r="I150" s="392">
        <f>IF(H150,Wh_hp,'2022'!Maxi_hp)</f>
        <v>55.026588126199115</v>
      </c>
      <c r="J150" s="85">
        <f>IF(H150,An,'2022'!An_max)</f>
        <v>2022</v>
      </c>
      <c r="K150" s="199">
        <f t="shared" si="52"/>
        <v>45062</v>
      </c>
      <c r="L150" s="147">
        <f>IF(t&lt;Tvie,1-EXP((T0-t)*PertePVj)+'2022'!Pspv,1-EXP((T0-t)*PertePVj)+Pspv)</f>
        <v>3.9885046756506948E-2</v>
      </c>
      <c r="M150" s="872"/>
      <c r="N150" s="872"/>
      <c r="O150" s="48">
        <f>IF(t&lt;Tnet,'2022'!Resal+('2022'!Salim-'2022'!Resal)*(1-EXP(('2022'!Tnet-t)/('2022'!Tau_j))),Resal+(Salim-Resal)*(1-EXP((Tnet-t)/(Tau_j))))*Salcycl</f>
        <v>6.4175738810264032E-2</v>
      </c>
      <c r="P150" s="171">
        <f>(INDEX(Models!$BJ150:$BT150,,T150)*(1-R150)+INDEX(Models!$BJ150:$BT150,,T150+1)*R150-ERP_i)*Q150*Ramure*Pc/MaxiM</f>
        <v>1.2591801850172293E-3</v>
      </c>
      <c r="Q150" s="307">
        <f t="shared" si="53"/>
        <v>0.9</v>
      </c>
      <c r="R150" s="179">
        <f t="shared" si="54"/>
        <v>0.65787363608252758</v>
      </c>
      <c r="S150" s="839">
        <f t="shared" si="55"/>
        <v>0</v>
      </c>
      <c r="T150" s="178">
        <f t="shared" si="56"/>
        <v>6</v>
      </c>
      <c r="U150" s="253">
        <f t="shared" si="57"/>
        <v>0.65787363608252758</v>
      </c>
      <c r="V150" s="385">
        <f t="shared" si="58"/>
        <v>56.984658910847955</v>
      </c>
      <c r="W150" s="404">
        <f t="shared" si="59"/>
        <v>49.387165181654495</v>
      </c>
      <c r="X150" s="157">
        <f t="shared" si="60"/>
        <v>45062</v>
      </c>
      <c r="Y150" s="387">
        <f t="shared" si="61"/>
        <v>44.384571235868449</v>
      </c>
      <c r="Z150" s="387">
        <f t="shared" si="62"/>
        <v>46.228392846009719</v>
      </c>
      <c r="AA150" s="388">
        <f t="shared" si="63"/>
        <v>54.966307702589376</v>
      </c>
      <c r="AB150" s="199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0.15896856132048376</v>
      </c>
      <c r="AD150" s="233">
        <f>(INDEX(Models!$BJ150:$BT150,,AH150)*(1-AF150)+INDEX(Models!$BJ150:$BT150,,AH150+1)*AF150-ERP_i)*AE150*Ramure*Pc/MaxiM</f>
        <v>1.2591801850172293E-3</v>
      </c>
      <c r="AE150" s="307">
        <f t="shared" si="65"/>
        <v>0.9</v>
      </c>
      <c r="AF150" s="179">
        <f t="shared" si="66"/>
        <v>0.65787363608252758</v>
      </c>
      <c r="AG150" s="839">
        <f t="shared" si="74"/>
        <v>0</v>
      </c>
      <c r="AH150" s="178">
        <f t="shared" si="67"/>
        <v>6</v>
      </c>
      <c r="AI150" s="227">
        <f t="shared" si="68"/>
        <v>0.65787363608252758</v>
      </c>
      <c r="AJ150" s="267" t="b">
        <f t="shared" si="69"/>
        <v>0</v>
      </c>
      <c r="AK150" s="267" t="b">
        <f t="shared" si="70"/>
        <v>0</v>
      </c>
      <c r="AL150" s="267"/>
      <c r="AM150" s="267"/>
      <c r="AN150" s="75"/>
    </row>
    <row r="151" spans="1:40" s="6" customFormat="1" ht="11.25" x14ac:dyDescent="0.2">
      <c r="A151" s="56">
        <f t="shared" si="71"/>
        <v>45063</v>
      </c>
      <c r="B151" s="413">
        <f>'2022'!Wh/'2022'!Env_an*'2023'!Env_an</f>
        <v>53.250479755614897</v>
      </c>
      <c r="C151" s="868"/>
      <c r="D151" s="395">
        <f t="shared" si="50"/>
        <v>55.463899214375353</v>
      </c>
      <c r="E151" s="387">
        <f t="shared" si="72"/>
        <v>59.282519624217521</v>
      </c>
      <c r="F151" s="387">
        <f t="shared" si="51"/>
        <v>59.345646309341873</v>
      </c>
      <c r="G151" s="110">
        <f t="shared" si="73"/>
        <v>0.93309984444765681</v>
      </c>
      <c r="H151" s="416" t="b">
        <f>Wh_hp&gt;='2022'!Maxi_hp</f>
        <v>0</v>
      </c>
      <c r="I151" s="392">
        <f>IF(H151,Wh_hp,'2022'!Maxi_hp)</f>
        <v>59.347750252011501</v>
      </c>
      <c r="J151" s="85">
        <f>IF(H151,An,'2022'!An_max)</f>
        <v>2022</v>
      </c>
      <c r="K151" s="199">
        <f t="shared" si="52"/>
        <v>45063</v>
      </c>
      <c r="L151" s="147">
        <f>IF(t&lt;Tvie,1-EXP((T0-t)*PertePVj)+'2022'!Pspv,1-EXP((T0-t)*PertePVj)+Pspv)</f>
        <v>3.9907390034106593E-2</v>
      </c>
      <c r="M151" s="872"/>
      <c r="N151" s="872"/>
      <c r="O151" s="48">
        <f>IF(t&lt;Tnet,'2022'!Resal+('2022'!Salim-'2022'!Resal)*(1-EXP(('2022'!Tnet-t)/('2022'!Tau_j))),Resal+(Salim-Resal)*(1-EXP((Tnet-t)/(Tau_j))))*Salcycl</f>
        <v>6.4413935744428386E-2</v>
      </c>
      <c r="P151" s="171">
        <f>(INDEX(Models!$BJ151:$BT151,,T151)*(1-R151)+INDEX(Models!$BJ151:$BT151,,T151+1)*R151-ERP_i)*Q151*Ramure*Pc/MaxiM</f>
        <v>1.1759207440379981E-3</v>
      </c>
      <c r="Q151" s="307">
        <f t="shared" si="53"/>
        <v>0.9</v>
      </c>
      <c r="R151" s="179">
        <f t="shared" si="54"/>
        <v>0.66271631609688142</v>
      </c>
      <c r="S151" s="839">
        <f t="shared" si="55"/>
        <v>0</v>
      </c>
      <c r="T151" s="178">
        <f t="shared" si="56"/>
        <v>6</v>
      </c>
      <c r="U151" s="253">
        <f t="shared" si="57"/>
        <v>0.66271631609688142</v>
      </c>
      <c r="V151" s="385">
        <f t="shared" si="58"/>
        <v>57.061951674778584</v>
      </c>
      <c r="W151" s="404">
        <f t="shared" si="59"/>
        <v>53.250479755614897</v>
      </c>
      <c r="X151" s="157">
        <f t="shared" si="60"/>
        <v>45063</v>
      </c>
      <c r="Y151" s="387">
        <f t="shared" si="61"/>
        <v>47.856026745523238</v>
      </c>
      <c r="Z151" s="387">
        <f t="shared" si="62"/>
        <v>49.845219355686204</v>
      </c>
      <c r="AA151" s="388">
        <f t="shared" si="63"/>
        <v>59.282519624217521</v>
      </c>
      <c r="AB151" s="199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0.15919195621834001</v>
      </c>
      <c r="AD151" s="233">
        <f>(INDEX(Models!$BJ151:$BT151,,AH151)*(1-AF151)+INDEX(Models!$BJ151:$BT151,,AH151+1)*AF151-ERP_i)*AE151*Ramure*Pc/MaxiM</f>
        <v>1.1759207440379981E-3</v>
      </c>
      <c r="AE151" s="307">
        <f t="shared" si="65"/>
        <v>0.9</v>
      </c>
      <c r="AF151" s="179">
        <f t="shared" si="66"/>
        <v>0.66271631609688142</v>
      </c>
      <c r="AG151" s="839">
        <f t="shared" si="74"/>
        <v>0</v>
      </c>
      <c r="AH151" s="178">
        <f t="shared" si="67"/>
        <v>6</v>
      </c>
      <c r="AI151" s="227">
        <f t="shared" si="68"/>
        <v>0.66271631609688142</v>
      </c>
      <c r="AJ151" s="267" t="b">
        <f t="shared" si="69"/>
        <v>0</v>
      </c>
      <c r="AK151" s="267" t="b">
        <f t="shared" si="70"/>
        <v>0</v>
      </c>
      <c r="AL151" s="267"/>
      <c r="AM151" s="267"/>
      <c r="AN151" s="75"/>
    </row>
    <row r="152" spans="1:40" s="6" customFormat="1" ht="11.25" x14ac:dyDescent="0.2">
      <c r="A152" s="56">
        <f t="shared" si="71"/>
        <v>45064</v>
      </c>
      <c r="B152" s="413">
        <f>'2022'!Wh/'2022'!Env_an*'2023'!Env_an</f>
        <v>51.820359575936365</v>
      </c>
      <c r="C152" s="868"/>
      <c r="D152" s="395">
        <f t="shared" si="50"/>
        <v>53.975590481124343</v>
      </c>
      <c r="E152" s="387">
        <f t="shared" si="72"/>
        <v>57.706476381151788</v>
      </c>
      <c r="F152" s="387">
        <f t="shared" si="51"/>
        <v>57.761472517815598</v>
      </c>
      <c r="G152" s="110">
        <f t="shared" si="73"/>
        <v>0.90688451449344465</v>
      </c>
      <c r="H152" s="416" t="b">
        <f>Wh_hp&gt;='2022'!Maxi_hp</f>
        <v>0</v>
      </c>
      <c r="I152" s="392">
        <f>IF(H152,Wh_hp,'2022'!Maxi_hp)</f>
        <v>64.728321842872035</v>
      </c>
      <c r="J152" s="85">
        <f>IF(H152,An,'2022'!An_max)</f>
        <v>2020</v>
      </c>
      <c r="K152" s="199">
        <f t="shared" si="52"/>
        <v>45064</v>
      </c>
      <c r="L152" s="147">
        <f>IF(t&lt;Tvie,1-EXP((T0-t)*PertePVj)+'2022'!Pspv,1-EXP((T0-t)*PertePVj)+Pspv)</f>
        <v>3.9929732791745498E-2</v>
      </c>
      <c r="M152" s="872"/>
      <c r="N152" s="872"/>
      <c r="O152" s="48">
        <f>IF(t&lt;Tnet,'2022'!Resal+('2022'!Salim-'2022'!Resal)*(1-EXP(('2022'!Tnet-t)/('2022'!Tau_j))),Resal+(Salim-Resal)*(1-EXP((Tnet-t)/(Tau_j))))*Salcycl</f>
        <v>6.4652810810781697E-2</v>
      </c>
      <c r="P152" s="171">
        <f>(INDEX(Models!$BJ152:$BT152,,T152)*(1-R152)+INDEX(Models!$BJ152:$BT152,,T152+1)*R152-ERP_i)*Q152*Ramure*Pc/MaxiM</f>
        <v>1.0979717474087474E-3</v>
      </c>
      <c r="Q152" s="307">
        <f t="shared" si="53"/>
        <v>0.9</v>
      </c>
      <c r="R152" s="179">
        <f t="shared" si="54"/>
        <v>0.66765073663661867</v>
      </c>
      <c r="S152" s="839">
        <f t="shared" si="55"/>
        <v>0</v>
      </c>
      <c r="T152" s="178">
        <f t="shared" si="56"/>
        <v>6</v>
      </c>
      <c r="U152" s="253">
        <f t="shared" si="57"/>
        <v>0.66765073663661867</v>
      </c>
      <c r="V152" s="385">
        <f t="shared" si="58"/>
        <v>57.132737089810959</v>
      </c>
      <c r="W152" s="404">
        <f t="shared" si="59"/>
        <v>51.820359575936365</v>
      </c>
      <c r="X152" s="157">
        <f t="shared" si="60"/>
        <v>45064</v>
      </c>
      <c r="Y152" s="387">
        <f t="shared" si="61"/>
        <v>46.570222687940806</v>
      </c>
      <c r="Z152" s="387">
        <f t="shared" si="62"/>
        <v>48.507098155805075</v>
      </c>
      <c r="AA152" s="388">
        <f t="shared" si="63"/>
        <v>57.706476381151788</v>
      </c>
      <c r="AB152" s="199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0.1594167379859539</v>
      </c>
      <c r="AD152" s="233">
        <f>(INDEX(Models!$BJ152:$BT152,,AH152)*(1-AF152)+INDEX(Models!$BJ152:$BT152,,AH152+1)*AF152-ERP_i)*AE152*Ramure*Pc/MaxiM</f>
        <v>1.0979717474087474E-3</v>
      </c>
      <c r="AE152" s="307">
        <f t="shared" si="65"/>
        <v>0.9</v>
      </c>
      <c r="AF152" s="179">
        <f t="shared" si="66"/>
        <v>0.66765073663661867</v>
      </c>
      <c r="AG152" s="839">
        <f t="shared" si="74"/>
        <v>0</v>
      </c>
      <c r="AH152" s="178">
        <f t="shared" si="67"/>
        <v>6</v>
      </c>
      <c r="AI152" s="227">
        <f t="shared" si="68"/>
        <v>0.66765073663661867</v>
      </c>
      <c r="AJ152" s="267" t="b">
        <f t="shared" si="69"/>
        <v>0</v>
      </c>
      <c r="AK152" s="267" t="b">
        <f t="shared" si="70"/>
        <v>0</v>
      </c>
      <c r="AL152" s="267"/>
      <c r="AM152" s="267"/>
      <c r="AN152" s="75"/>
    </row>
    <row r="153" spans="1:40" s="6" customFormat="1" ht="11.25" x14ac:dyDescent="0.2">
      <c r="A153" s="56">
        <f t="shared" si="71"/>
        <v>45065</v>
      </c>
      <c r="B153" s="413">
        <f>'2022'!Wh/'2022'!Env_an*'2023'!Env_an</f>
        <v>53.710462239943944</v>
      </c>
      <c r="C153" s="868"/>
      <c r="D153" s="395">
        <f t="shared" si="50"/>
        <v>55.94560525881117</v>
      </c>
      <c r="E153" s="387">
        <f t="shared" si="72"/>
        <v>59.827980796402493</v>
      </c>
      <c r="F153" s="387">
        <f t="shared" si="51"/>
        <v>59.884033557007555</v>
      </c>
      <c r="G153" s="110">
        <f t="shared" si="73"/>
        <v>0.93895410638909615</v>
      </c>
      <c r="H153" s="416" t="b">
        <f>Wh_hp&gt;='2022'!Maxi_hp</f>
        <v>0</v>
      </c>
      <c r="I153" s="392">
        <f>IF(H153,Wh_hp,'2022'!Maxi_hp)</f>
        <v>63.647951946144374</v>
      </c>
      <c r="J153" s="85">
        <f>IF(H153,An,'2022'!An_max)</f>
        <v>2020</v>
      </c>
      <c r="K153" s="199">
        <f t="shared" si="52"/>
        <v>45065</v>
      </c>
      <c r="L153" s="147">
        <f>IF(t&lt;Tvie,1-EXP((T0-t)*PertePVj)+'2022'!Pspv,1-EXP((T0-t)*PertePVj)+Pspv)</f>
        <v>3.9952075029435874E-2</v>
      </c>
      <c r="M153" s="872"/>
      <c r="N153" s="872"/>
      <c r="O153" s="48">
        <f>IF(t&lt;Tnet,'2022'!Resal+('2022'!Salim-'2022'!Resal)*(1-EXP(('2022'!Tnet-t)/('2022'!Tau_j))),Resal+(Salim-Resal)*(1-EXP((Tnet-t)/(Tau_j))))*Salcycl</f>
        <v>6.4892304335044157E-2</v>
      </c>
      <c r="P153" s="171">
        <f>(INDEX(Models!$BJ153:$BT153,,T153)*(1-R153)+INDEX(Models!$BJ153:$BT153,,T153+1)*R153-ERP_i)*Q153*Ramure*Pc/MaxiM</f>
        <v>1.025314959782136E-3</v>
      </c>
      <c r="Q153" s="307">
        <f t="shared" si="53"/>
        <v>0.9</v>
      </c>
      <c r="R153" s="179">
        <f t="shared" si="54"/>
        <v>0.67267524549944557</v>
      </c>
      <c r="S153" s="839">
        <f t="shared" si="55"/>
        <v>0</v>
      </c>
      <c r="T153" s="178">
        <f t="shared" si="56"/>
        <v>6</v>
      </c>
      <c r="U153" s="253">
        <f t="shared" si="57"/>
        <v>0.67267524549944557</v>
      </c>
      <c r="V153" s="385">
        <f t="shared" si="58"/>
        <v>57.197323494327605</v>
      </c>
      <c r="W153" s="404">
        <f t="shared" si="59"/>
        <v>53.710462239943944</v>
      </c>
      <c r="X153" s="157">
        <f t="shared" si="60"/>
        <v>45065</v>
      </c>
      <c r="Y153" s="387">
        <f t="shared" si="61"/>
        <v>48.268211754837886</v>
      </c>
      <c r="Z153" s="387">
        <f t="shared" si="62"/>
        <v>50.276877330178941</v>
      </c>
      <c r="AA153" s="388">
        <f t="shared" si="63"/>
        <v>59.827980796402493</v>
      </c>
      <c r="AB153" s="199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0.15964275141971473</v>
      </c>
      <c r="AD153" s="233">
        <f>(INDEX(Models!$BJ153:$BT153,,AH153)*(1-AF153)+INDEX(Models!$BJ153:$BT153,,AH153+1)*AF153-ERP_i)*AE153*Ramure*Pc/MaxiM</f>
        <v>1.025314959782136E-3</v>
      </c>
      <c r="AE153" s="307">
        <f t="shared" si="65"/>
        <v>0.9</v>
      </c>
      <c r="AF153" s="179">
        <f t="shared" si="66"/>
        <v>0.67267524549944557</v>
      </c>
      <c r="AG153" s="839">
        <f t="shared" si="74"/>
        <v>0</v>
      </c>
      <c r="AH153" s="178">
        <f t="shared" si="67"/>
        <v>6</v>
      </c>
      <c r="AI153" s="227">
        <f t="shared" si="68"/>
        <v>0.67267524549944557</v>
      </c>
      <c r="AJ153" s="267" t="b">
        <f t="shared" si="69"/>
        <v>0</v>
      </c>
      <c r="AK153" s="267" t="b">
        <f t="shared" si="70"/>
        <v>0</v>
      </c>
      <c r="AL153" s="267"/>
      <c r="AM153" s="267"/>
      <c r="AN153" s="75"/>
    </row>
    <row r="154" spans="1:40" s="6" customFormat="1" ht="11.25" x14ac:dyDescent="0.2">
      <c r="A154" s="56">
        <f t="shared" si="71"/>
        <v>45066</v>
      </c>
      <c r="B154" s="413">
        <f>'2022'!Wh/'2022'!Env_an*'2023'!Env_an</f>
        <v>46.780059084815264</v>
      </c>
      <c r="C154" s="868"/>
      <c r="D154" s="395">
        <f t="shared" si="50"/>
        <v>48.727929651950056</v>
      </c>
      <c r="E154" s="387">
        <f t="shared" si="72"/>
        <v>52.122811012967162</v>
      </c>
      <c r="F154" s="387">
        <f t="shared" si="51"/>
        <v>52.159716695404278</v>
      </c>
      <c r="G154" s="110">
        <f t="shared" si="73"/>
        <v>0.81682831701223957</v>
      </c>
      <c r="H154" s="416" t="b">
        <f>Wh_hp&gt;='2022'!Maxi_hp</f>
        <v>0</v>
      </c>
      <c r="I154" s="392">
        <f>IF(H154,Wh_hp,'2022'!Maxi_hp)</f>
        <v>63.420462429144116</v>
      </c>
      <c r="J154" s="85">
        <f>IF(H154,An,'2022'!An_max)</f>
        <v>2021</v>
      </c>
      <c r="K154" s="199">
        <f t="shared" si="52"/>
        <v>45066</v>
      </c>
      <c r="L154" s="147">
        <f>IF(t&lt;Tvie,1-EXP((T0-t)*PertePVj)+'2022'!Pspv,1-EXP((T0-t)*PertePVj)+Pspv)</f>
        <v>3.9974416747189601E-2</v>
      </c>
      <c r="M154" s="872"/>
      <c r="N154" s="872"/>
      <c r="O154" s="48">
        <f>IF(t&lt;Tnet,'2022'!Resal+('2022'!Salim-'2022'!Resal)*(1-EXP(('2022'!Tnet-t)/('2022'!Tau_j))),Resal+(Salim-Resal)*(1-EXP((Tnet-t)/(Tau_j))))*Salcycl</f>
        <v>6.513235366704459E-2</v>
      </c>
      <c r="P154" s="171">
        <f>(INDEX(Models!$BJ154:$BT154,,T154)*(1-R154)+INDEX(Models!$BJ154:$BT154,,T154+1)*R154-ERP_i)*Q154*Ramure*Pc/MaxiM</f>
        <v>9.5793879688516243E-4</v>
      </c>
      <c r="Q154" s="307">
        <f t="shared" si="53"/>
        <v>0.9</v>
      </c>
      <c r="R154" s="179">
        <f t="shared" si="54"/>
        <v>0.67778797478365194</v>
      </c>
      <c r="S154" s="839">
        <f t="shared" si="55"/>
        <v>0</v>
      </c>
      <c r="T154" s="178">
        <f t="shared" si="56"/>
        <v>6</v>
      </c>
      <c r="U154" s="253">
        <f t="shared" si="57"/>
        <v>0.67778797478365194</v>
      </c>
      <c r="V154" s="385">
        <f t="shared" si="58"/>
        <v>57.256019021012207</v>
      </c>
      <c r="W154" s="404">
        <f t="shared" si="59"/>
        <v>46.780059084815264</v>
      </c>
      <c r="X154" s="157">
        <f t="shared" si="60"/>
        <v>45066</v>
      </c>
      <c r="Y154" s="387">
        <f t="shared" si="61"/>
        <v>42.039468250461979</v>
      </c>
      <c r="Z154" s="387">
        <f t="shared" si="62"/>
        <v>43.789945792925216</v>
      </c>
      <c r="AA154" s="388">
        <f t="shared" si="63"/>
        <v>52.122811012967162</v>
      </c>
      <c r="AB154" s="199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0.15986983545397984</v>
      </c>
      <c r="AD154" s="233">
        <f>(INDEX(Models!$BJ154:$BT154,,AH154)*(1-AF154)+INDEX(Models!$BJ154:$BT154,,AH154+1)*AF154-ERP_i)*AE154*Ramure*Pc/MaxiM</f>
        <v>9.5793879688516243E-4</v>
      </c>
      <c r="AE154" s="307">
        <f t="shared" si="65"/>
        <v>0.9</v>
      </c>
      <c r="AF154" s="179">
        <f t="shared" si="66"/>
        <v>0.67778797478365194</v>
      </c>
      <c r="AG154" s="839">
        <f t="shared" si="74"/>
        <v>0</v>
      </c>
      <c r="AH154" s="178">
        <f t="shared" si="67"/>
        <v>6</v>
      </c>
      <c r="AI154" s="227">
        <f t="shared" si="68"/>
        <v>0.67778797478365194</v>
      </c>
      <c r="AJ154" s="267" t="b">
        <f t="shared" si="69"/>
        <v>0</v>
      </c>
      <c r="AK154" s="267" t="b">
        <f t="shared" si="70"/>
        <v>0</v>
      </c>
      <c r="AL154" s="267"/>
      <c r="AM154" s="267"/>
      <c r="AN154" s="75"/>
    </row>
    <row r="155" spans="1:40" s="6" customFormat="1" ht="11.25" x14ac:dyDescent="0.2">
      <c r="A155" s="56">
        <f t="shared" si="71"/>
        <v>45067</v>
      </c>
      <c r="B155" s="413">
        <f>'2022'!Wh/'2022'!Env_an*'2023'!Env_an</f>
        <v>47.462664684278707</v>
      </c>
      <c r="C155" s="868"/>
      <c r="D155" s="395">
        <f t="shared" si="50"/>
        <v>49.440108746591548</v>
      </c>
      <c r="E155" s="387">
        <f t="shared" si="72"/>
        <v>52.898218329669753</v>
      </c>
      <c r="F155" s="387">
        <f t="shared" si="51"/>
        <v>52.933999426121829</v>
      </c>
      <c r="G155" s="110">
        <f t="shared" si="73"/>
        <v>0.82800454602884999</v>
      </c>
      <c r="H155" s="416" t="b">
        <f>Wh_hp&gt;='2022'!Maxi_hp</f>
        <v>0</v>
      </c>
      <c r="I155" s="392">
        <f>IF(H155,Wh_hp,'2022'!Maxi_hp)</f>
        <v>62.068839464913452</v>
      </c>
      <c r="J155" s="85">
        <f>IF(H155,An,'2022'!An_max)</f>
        <v>2020</v>
      </c>
      <c r="K155" s="199">
        <f t="shared" si="52"/>
        <v>45067</v>
      </c>
      <c r="L155" s="147">
        <f>IF(t&lt;Tvie,1-EXP((T0-t)*PertePVj)+'2022'!Pspv,1-EXP((T0-t)*PertePVj)+Pspv)</f>
        <v>3.9996757945019001E-2</v>
      </c>
      <c r="M155" s="872"/>
      <c r="N155" s="872"/>
      <c r="O155" s="48">
        <f>IF(t&lt;Tnet,'2022'!Resal+('2022'!Salim-'2022'!Resal)*(1-EXP(('2022'!Tnet-t)/('2022'!Tau_j))),Resal+(Salim-Resal)*(1-EXP((Tnet-t)/(Tau_j))))*Salcycl</f>
        <v>6.537289330855596E-2</v>
      </c>
      <c r="P155" s="171">
        <f>(INDEX(Models!$BJ155:$BT155,,T155)*(1-R155)+INDEX(Models!$BJ155:$BT155,,T155+1)*R155-ERP_i)*Q155*Ramure*Pc/MaxiM</f>
        <v>8.9583794930299008E-4</v>
      </c>
      <c r="Q155" s="307">
        <f t="shared" si="53"/>
        <v>0.9</v>
      </c>
      <c r="R155" s="179">
        <f t="shared" si="54"/>
        <v>0.68298683891724343</v>
      </c>
      <c r="S155" s="839">
        <f t="shared" si="55"/>
        <v>0</v>
      </c>
      <c r="T155" s="178">
        <f t="shared" si="56"/>
        <v>6</v>
      </c>
      <c r="U155" s="253">
        <f t="shared" si="57"/>
        <v>0.68298683891724343</v>
      </c>
      <c r="V155" s="385">
        <f t="shared" si="58"/>
        <v>57.30913158276509</v>
      </c>
      <c r="W155" s="404">
        <f t="shared" si="59"/>
        <v>47.462664684278707</v>
      </c>
      <c r="X155" s="157">
        <f t="shared" si="60"/>
        <v>45067</v>
      </c>
      <c r="Y155" s="387">
        <f t="shared" si="61"/>
        <v>42.652299600384836</v>
      </c>
      <c r="Z155" s="387">
        <f t="shared" si="62"/>
        <v>44.429328706310834</v>
      </c>
      <c r="AA155" s="388">
        <f t="shared" si="63"/>
        <v>52.898218329669753</v>
      </c>
      <c r="AB155" s="199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0.16009782353310106</v>
      </c>
      <c r="AD155" s="233">
        <f>(INDEX(Models!$BJ155:$BT155,,AH155)*(1-AF155)+INDEX(Models!$BJ155:$BT155,,AH155+1)*AF155-ERP_i)*AE155*Ramure*Pc/MaxiM</f>
        <v>8.9583794930299008E-4</v>
      </c>
      <c r="AE155" s="307">
        <f t="shared" si="65"/>
        <v>0.9</v>
      </c>
      <c r="AF155" s="179">
        <f t="shared" si="66"/>
        <v>0.68298683891724343</v>
      </c>
      <c r="AG155" s="839">
        <f t="shared" si="74"/>
        <v>0</v>
      </c>
      <c r="AH155" s="178">
        <f t="shared" si="67"/>
        <v>6</v>
      </c>
      <c r="AI155" s="227">
        <f t="shared" si="68"/>
        <v>0.68298683891724343</v>
      </c>
      <c r="AJ155" s="267" t="b">
        <f t="shared" si="69"/>
        <v>0</v>
      </c>
      <c r="AK155" s="267" t="b">
        <f t="shared" si="70"/>
        <v>0</v>
      </c>
      <c r="AL155" s="267"/>
      <c r="AM155" s="267"/>
      <c r="AN155" s="75"/>
    </row>
    <row r="156" spans="1:40" s="18" customFormat="1" ht="11.25" x14ac:dyDescent="0.2">
      <c r="A156" s="56">
        <f t="shared" si="71"/>
        <v>45068</v>
      </c>
      <c r="B156" s="413">
        <f>'2022'!Wh/'2022'!Env_an*'2023'!Env_an</f>
        <v>33.727721109060582</v>
      </c>
      <c r="C156" s="868"/>
      <c r="D156" s="395">
        <f t="shared" si="50"/>
        <v>35.133741786611772</v>
      </c>
      <c r="E156" s="387">
        <f t="shared" si="72"/>
        <v>37.600880510554568</v>
      </c>
      <c r="F156" s="387">
        <f t="shared" si="51"/>
        <v>37.613881878775047</v>
      </c>
      <c r="G156" s="110">
        <f t="shared" si="73"/>
        <v>0.58774157922058967</v>
      </c>
      <c r="H156" s="416" t="b">
        <f>Wh_hp&gt;='2022'!Maxi_hp</f>
        <v>0</v>
      </c>
      <c r="I156" s="392">
        <f>IF(H156,Wh_hp,'2022'!Maxi_hp)</f>
        <v>63.02960296513583</v>
      </c>
      <c r="J156" s="85">
        <f>IF(H156,An,'2022'!An_max)</f>
        <v>2019</v>
      </c>
      <c r="K156" s="199">
        <f t="shared" si="52"/>
        <v>45068</v>
      </c>
      <c r="L156" s="147">
        <f>IF(t&lt;Tvie,1-EXP((T0-t)*PertePVj)+'2022'!Pspv,1-EXP((T0-t)*PertePVj)+Pspv)</f>
        <v>4.0019098622936178E-2</v>
      </c>
      <c r="M156" s="872"/>
      <c r="N156" s="872"/>
      <c r="O156" s="48">
        <f>IF(t&lt;Tnet,'2022'!Resal+('2022'!Salim-'2022'!Resal)*(1-EXP(('2022'!Tnet-t)/('2022'!Tau_j))),Resal+(Salim-Resal)*(1-EXP((Tnet-t)/(Tau_j))))*Salcycl</f>
        <v>6.5613855059864126E-2</v>
      </c>
      <c r="P156" s="171">
        <f>(INDEX(Models!$BJ156:$BT156,,T156)*(1-R156)+INDEX(Models!$BJ156:$BT156,,T156+1)*R156-ERP_i)*Q156*Ramure*Pc/MaxiM</f>
        <v>8.4003544318609583E-4</v>
      </c>
      <c r="Q156" s="307">
        <f t="shared" si="53"/>
        <v>0.9</v>
      </c>
      <c r="R156" s="179">
        <f t="shared" si="54"/>
        <v>0.68826953365258947</v>
      </c>
      <c r="S156" s="839">
        <f t="shared" si="55"/>
        <v>0</v>
      </c>
      <c r="T156" s="178">
        <f t="shared" si="56"/>
        <v>6</v>
      </c>
      <c r="U156" s="253">
        <f t="shared" si="57"/>
        <v>0.68826953365258947</v>
      </c>
      <c r="V156" s="385">
        <f t="shared" si="58"/>
        <v>57.356910175371475</v>
      </c>
      <c r="W156" s="404">
        <f t="shared" si="59"/>
        <v>33.727721109060582</v>
      </c>
      <c r="X156" s="157">
        <f t="shared" si="60"/>
        <v>45068</v>
      </c>
      <c r="Y156" s="387">
        <f t="shared" si="61"/>
        <v>30.308959844068774</v>
      </c>
      <c r="Z156" s="387">
        <f t="shared" si="62"/>
        <v>31.572461286043794</v>
      </c>
      <c r="AA156" s="388">
        <f t="shared" si="63"/>
        <v>37.600880510554568</v>
      </c>
      <c r="AB156" s="199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0.16032654402384533</v>
      </c>
      <c r="AD156" s="233">
        <f>(INDEX(Models!$BJ156:$BT156,,AH156)*(1-AF156)+INDEX(Models!$BJ156:$BT156,,AH156+1)*AF156-ERP_i)*AE156*Ramure*Pc/MaxiM</f>
        <v>8.4003544318609583E-4</v>
      </c>
      <c r="AE156" s="307">
        <f t="shared" si="65"/>
        <v>0.9</v>
      </c>
      <c r="AF156" s="179">
        <f t="shared" si="66"/>
        <v>0.68826953365258947</v>
      </c>
      <c r="AG156" s="839">
        <f t="shared" si="74"/>
        <v>0</v>
      </c>
      <c r="AH156" s="178">
        <f t="shared" si="67"/>
        <v>6</v>
      </c>
      <c r="AI156" s="227">
        <f t="shared" si="68"/>
        <v>0.68826953365258947</v>
      </c>
      <c r="AJ156" s="267" t="b">
        <f t="shared" si="69"/>
        <v>0</v>
      </c>
      <c r="AK156" s="267" t="b">
        <f t="shared" si="70"/>
        <v>0</v>
      </c>
      <c r="AL156" s="267"/>
      <c r="AM156" s="267"/>
      <c r="AN156" s="267"/>
    </row>
    <row r="157" spans="1:40" s="18" customFormat="1" ht="11.25" x14ac:dyDescent="0.2">
      <c r="A157" s="56">
        <f t="shared" si="71"/>
        <v>45069</v>
      </c>
      <c r="B157" s="413">
        <f>'2022'!Wh/'2022'!Env_an*'2023'!Env_an</f>
        <v>17.405990612298574</v>
      </c>
      <c r="C157" s="868"/>
      <c r="D157" s="395">
        <f t="shared" si="50"/>
        <v>18.132022897107959</v>
      </c>
      <c r="E157" s="387">
        <f t="shared" si="72"/>
        <v>19.410290866649138</v>
      </c>
      <c r="F157" s="387">
        <f t="shared" si="51"/>
        <v>19.410361555381886</v>
      </c>
      <c r="G157" s="110">
        <f t="shared" si="73"/>
        <v>0.30300341884474391</v>
      </c>
      <c r="H157" s="416" t="b">
        <f>Wh_hp&gt;='2022'!Maxi_hp</f>
        <v>0</v>
      </c>
      <c r="I157" s="392">
        <f>IF(H157,Wh_hp,'2022'!Maxi_hp)</f>
        <v>57.069920377095102</v>
      </c>
      <c r="J157" s="85">
        <f>IF(H157,An,'2022'!An_max)</f>
        <v>2020</v>
      </c>
      <c r="K157" s="199">
        <f t="shared" si="52"/>
        <v>45069</v>
      </c>
      <c r="L157" s="147">
        <f>IF(t&lt;Tvie,1-EXP((T0-t)*PertePVj)+'2022'!Pspv,1-EXP((T0-t)*PertePVj)+Pspv)</f>
        <v>4.0041438780953009E-2</v>
      </c>
      <c r="M157" s="872"/>
      <c r="N157" s="872"/>
      <c r="O157" s="48">
        <f>IF(t&lt;Tnet,'2022'!Resal+('2022'!Salim-'2022'!Resal)*(1-EXP(('2022'!Tnet-t)/('2022'!Tau_j))),Resal+(Salim-Resal)*(1-EXP((Tnet-t)/(Tau_j))))*Salcycl</f>
        <v>6.5855168184908858E-2</v>
      </c>
      <c r="P157" s="171">
        <f>(INDEX(Models!$BJ157:$BT157,,T157)*(1-R157)+INDEX(Models!$BJ157:$BT157,,T157+1)*R157-ERP_i)*Q157*Ramure*Pc/MaxiM</f>
        <v>7.8660415015761843E-4</v>
      </c>
      <c r="Q157" s="307">
        <f t="shared" si="53"/>
        <v>0.9</v>
      </c>
      <c r="R157" s="179">
        <f t="shared" si="54"/>
        <v>0.69363353608066181</v>
      </c>
      <c r="S157" s="839">
        <f t="shared" si="55"/>
        <v>0</v>
      </c>
      <c r="T157" s="178">
        <f t="shared" si="56"/>
        <v>6</v>
      </c>
      <c r="U157" s="253">
        <f t="shared" si="57"/>
        <v>0.69363353608066181</v>
      </c>
      <c r="V157" s="385">
        <f t="shared" si="58"/>
        <v>57.399888072985938</v>
      </c>
      <c r="W157" s="404">
        <f t="shared" si="59"/>
        <v>17.405990612298574</v>
      </c>
      <c r="X157" s="157">
        <f t="shared" si="60"/>
        <v>45069</v>
      </c>
      <c r="Y157" s="387">
        <f t="shared" si="61"/>
        <v>15.641426262161529</v>
      </c>
      <c r="Z157" s="387">
        <f t="shared" si="62"/>
        <v>16.293855687164822</v>
      </c>
      <c r="AA157" s="388">
        <f t="shared" si="63"/>
        <v>19.410290866649138</v>
      </c>
      <c r="AB157" s="199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0.1605558206672211</v>
      </c>
      <c r="AD157" s="233">
        <f>(INDEX(Models!$BJ157:$BT157,,AH157)*(1-AF157)+INDEX(Models!$BJ157:$BT157,,AH157+1)*AF157-ERP_i)*AE157*Ramure*Pc/MaxiM</f>
        <v>7.8660415015761843E-4</v>
      </c>
      <c r="AE157" s="307">
        <f t="shared" si="65"/>
        <v>0.9</v>
      </c>
      <c r="AF157" s="179">
        <f t="shared" si="66"/>
        <v>0.69363353608066181</v>
      </c>
      <c r="AG157" s="839">
        <f t="shared" si="74"/>
        <v>0</v>
      </c>
      <c r="AH157" s="178">
        <f t="shared" si="67"/>
        <v>6</v>
      </c>
      <c r="AI157" s="227">
        <f t="shared" si="68"/>
        <v>0.69363353608066181</v>
      </c>
      <c r="AJ157" s="267" t="b">
        <f t="shared" si="69"/>
        <v>0</v>
      </c>
      <c r="AK157" s="267" t="b">
        <f t="shared" si="70"/>
        <v>0</v>
      </c>
      <c r="AL157" s="267"/>
      <c r="AM157" s="267"/>
      <c r="AN157" s="267"/>
    </row>
    <row r="158" spans="1:40" s="6" customFormat="1" ht="11.25" x14ac:dyDescent="0.2">
      <c r="A158" s="56">
        <f t="shared" si="71"/>
        <v>45070</v>
      </c>
      <c r="B158" s="413">
        <f>'2022'!Wh/'2022'!Env_an*'2023'!Env_an</f>
        <v>14.50278638651239</v>
      </c>
      <c r="C158" s="868"/>
      <c r="D158" s="395">
        <f t="shared" si="50"/>
        <v>15.108072870328575</v>
      </c>
      <c r="E158" s="387">
        <f t="shared" si="72"/>
        <v>16.177342808845449</v>
      </c>
      <c r="F158" s="387">
        <f t="shared" si="51"/>
        <v>16.177342808845449</v>
      </c>
      <c r="G158" s="110">
        <f t="shared" si="73"/>
        <v>0.2523072656439973</v>
      </c>
      <c r="H158" s="416" t="b">
        <f>Wh_hp&gt;='2022'!Maxi_hp</f>
        <v>0</v>
      </c>
      <c r="I158" s="392">
        <f>IF(H158,Wh_hp,'2022'!Maxi_hp)</f>
        <v>28.542221114543629</v>
      </c>
      <c r="J158" s="85">
        <f>IF(H158,An,'2022'!An_max)</f>
        <v>2021</v>
      </c>
      <c r="K158" s="199">
        <f t="shared" si="52"/>
        <v>45070</v>
      </c>
      <c r="L158" s="147">
        <f>IF(t&lt;Tvie,1-EXP((T0-t)*PertePVj)+'2022'!Pspv,1-EXP((T0-t)*PertePVj)+Pspv)</f>
        <v>4.0063778419081819E-2</v>
      </c>
      <c r="M158" s="872"/>
      <c r="N158" s="872"/>
      <c r="O158" s="48">
        <f>IF(t&lt;Tnet,'2022'!Resal+('2022'!Salim-'2022'!Resal)*(1-EXP(('2022'!Tnet-t)/('2022'!Tau_j))),Resal+(Salim-Resal)*(1-EXP((Tnet-t)/(Tau_j))))*Salcycl</f>
        <v>6.6096759594673329E-2</v>
      </c>
      <c r="P158" s="171">
        <f>(INDEX(Models!$BJ158:$BT158,,T158)*(1-R158)+INDEX(Models!$BJ158:$BT158,,T158+1)*R158-ERP_i)*Q158*Ramure*Pc/MaxiM</f>
        <v>7.3552861237925369E-4</v>
      </c>
      <c r="Q158" s="307">
        <f t="shared" si="53"/>
        <v>0.9</v>
      </c>
      <c r="R158" s="179">
        <f t="shared" si="54"/>
        <v>0.69907610571259371</v>
      </c>
      <c r="S158" s="839">
        <f t="shared" si="55"/>
        <v>0</v>
      </c>
      <c r="T158" s="178">
        <f t="shared" si="56"/>
        <v>6</v>
      </c>
      <c r="U158" s="253">
        <f t="shared" si="57"/>
        <v>0.69907610571259371</v>
      </c>
      <c r="V158" s="385">
        <f t="shared" si="58"/>
        <v>57.438374337638372</v>
      </c>
      <c r="W158" s="404">
        <f t="shared" si="59"/>
        <v>14.50278638651239</v>
      </c>
      <c r="X158" s="157">
        <f t="shared" si="60"/>
        <v>45070</v>
      </c>
      <c r="Y158" s="387">
        <f t="shared" si="61"/>
        <v>13.032344776173403</v>
      </c>
      <c r="Z158" s="387">
        <f t="shared" si="62"/>
        <v>13.576261092336368</v>
      </c>
      <c r="AA158" s="388">
        <f t="shared" si="63"/>
        <v>16.177342808845449</v>
      </c>
      <c r="AB158" s="199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0.16078547306834967</v>
      </c>
      <c r="AD158" s="233">
        <f>(INDEX(Models!$BJ158:$BT158,,AH158)*(1-AF158)+INDEX(Models!$BJ158:$BT158,,AH158+1)*AF158-ERP_i)*AE158*Ramure*Pc/MaxiM</f>
        <v>7.3552861237925369E-4</v>
      </c>
      <c r="AE158" s="307">
        <f t="shared" si="65"/>
        <v>0.9</v>
      </c>
      <c r="AF158" s="179">
        <f t="shared" si="66"/>
        <v>0.69907610571259371</v>
      </c>
      <c r="AG158" s="839">
        <f t="shared" si="74"/>
        <v>0</v>
      </c>
      <c r="AH158" s="178">
        <f t="shared" si="67"/>
        <v>6</v>
      </c>
      <c r="AI158" s="227">
        <f t="shared" si="68"/>
        <v>0.69907610571259371</v>
      </c>
      <c r="AJ158" s="267" t="b">
        <f t="shared" si="69"/>
        <v>0</v>
      </c>
      <c r="AK158" s="267" t="b">
        <f t="shared" si="70"/>
        <v>0</v>
      </c>
      <c r="AL158" s="267"/>
      <c r="AM158" s="267"/>
      <c r="AN158" s="75"/>
    </row>
    <row r="159" spans="1:40" s="6" customFormat="1" ht="11.25" x14ac:dyDescent="0.2">
      <c r="A159" s="56">
        <f t="shared" si="71"/>
        <v>45071</v>
      </c>
      <c r="B159" s="413">
        <f>'2022'!Wh/'2022'!Env_an*'2023'!Env_an</f>
        <v>40.349001705668115</v>
      </c>
      <c r="C159" s="868"/>
      <c r="D159" s="395">
        <f t="shared" si="50"/>
        <v>42.033980800603153</v>
      </c>
      <c r="E159" s="387">
        <f t="shared" si="72"/>
        <v>45.020581049867175</v>
      </c>
      <c r="F159" s="387">
        <f t="shared" si="51"/>
        <v>45.03834752606619</v>
      </c>
      <c r="G159" s="110">
        <f t="shared" si="73"/>
        <v>0.70185005628623942</v>
      </c>
      <c r="H159" s="416" t="b">
        <f>Wh_hp&gt;='2022'!Maxi_hp</f>
        <v>0</v>
      </c>
      <c r="I159" s="392">
        <f>IF(H159,Wh_hp,'2022'!Maxi_hp)</f>
        <v>59.272001912813224</v>
      </c>
      <c r="J159" s="85">
        <f>IF(H159,An,'2022'!An_max)</f>
        <v>2020</v>
      </c>
      <c r="K159" s="199">
        <f t="shared" si="52"/>
        <v>45071</v>
      </c>
      <c r="L159" s="147">
        <f>IF(t&lt;Tvie,1-EXP((T0-t)*PertePVj)+'2022'!Pspv,1-EXP((T0-t)*PertePVj)+Pspv)</f>
        <v>4.0086117537334487E-2</v>
      </c>
      <c r="M159" s="872"/>
      <c r="N159" s="872"/>
      <c r="O159" s="48">
        <f>IF(t&lt;Tnet,'2022'!Resal+('2022'!Salim-'2022'!Resal)*(1-EXP(('2022'!Tnet-t)/('2022'!Tau_j))),Resal+(Salim-Resal)*(1-EXP((Tnet-t)/(Tau_j))))*Salcycl</f>
        <v>6.6338554048334178E-2</v>
      </c>
      <c r="P159" s="171">
        <f>(INDEX(Models!$BJ159:$BT159,,T159)*(1-R159)+INDEX(Models!$BJ159:$BT159,,T159+1)*R159-ERP_i)*Q159*Ramure*Pc/MaxiM</f>
        <v>6.8680117115116086E-4</v>
      </c>
      <c r="Q159" s="307">
        <f t="shared" si="53"/>
        <v>0.9</v>
      </c>
      <c r="R159" s="179">
        <f t="shared" si="54"/>
        <v>0.70459428666900303</v>
      </c>
      <c r="S159" s="839">
        <f t="shared" si="55"/>
        <v>0</v>
      </c>
      <c r="T159" s="178">
        <f t="shared" si="56"/>
        <v>6</v>
      </c>
      <c r="U159" s="253">
        <f t="shared" si="57"/>
        <v>0.70459428666900303</v>
      </c>
      <c r="V159" s="385">
        <f t="shared" si="58"/>
        <v>57.472677528859499</v>
      </c>
      <c r="W159" s="404">
        <f t="shared" si="59"/>
        <v>40.349001705668115</v>
      </c>
      <c r="X159" s="157">
        <f t="shared" si="60"/>
        <v>45071</v>
      </c>
      <c r="Y159" s="387">
        <f t="shared" si="61"/>
        <v>36.25746199888097</v>
      </c>
      <c r="Z159" s="387">
        <f t="shared" si="62"/>
        <v>37.771577910574862</v>
      </c>
      <c r="AA159" s="388">
        <f t="shared" si="63"/>
        <v>45.020581049867175</v>
      </c>
      <c r="AB159" s="199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0.16101531722264828</v>
      </c>
      <c r="AD159" s="233">
        <f>(INDEX(Models!$BJ159:$BT159,,AH159)*(1-AF159)+INDEX(Models!$BJ159:$BT159,,AH159+1)*AF159-ERP_i)*AE159*Ramure*Pc/MaxiM</f>
        <v>6.8680117115116086E-4</v>
      </c>
      <c r="AE159" s="307">
        <f t="shared" si="65"/>
        <v>0.9</v>
      </c>
      <c r="AF159" s="179">
        <f t="shared" si="66"/>
        <v>0.70459428666900303</v>
      </c>
      <c r="AG159" s="839">
        <f t="shared" si="74"/>
        <v>0</v>
      </c>
      <c r="AH159" s="178">
        <f t="shared" si="67"/>
        <v>6</v>
      </c>
      <c r="AI159" s="227">
        <f t="shared" si="68"/>
        <v>0.70459428666900303</v>
      </c>
      <c r="AJ159" s="267" t="b">
        <f t="shared" si="69"/>
        <v>0</v>
      </c>
      <c r="AK159" s="267" t="b">
        <f t="shared" si="70"/>
        <v>0</v>
      </c>
      <c r="AL159" s="267"/>
      <c r="AM159" s="267"/>
      <c r="AN159" s="75"/>
    </row>
    <row r="160" spans="1:40" s="6" customFormat="1" ht="11.25" x14ac:dyDescent="0.2">
      <c r="A160" s="56">
        <f t="shared" si="71"/>
        <v>45072</v>
      </c>
      <c r="B160" s="413">
        <f>'2022'!Wh/'2022'!Env_an*'2023'!Env_an</f>
        <v>21.191387378437543</v>
      </c>
      <c r="C160" s="868"/>
      <c r="D160" s="395">
        <f t="shared" si="50"/>
        <v>22.076855988465596</v>
      </c>
      <c r="E160" s="387">
        <f t="shared" si="72"/>
        <v>23.651590075321135</v>
      </c>
      <c r="F160" s="387">
        <f t="shared" si="51"/>
        <v>23.653072959199555</v>
      </c>
      <c r="G160" s="110">
        <f t="shared" si="73"/>
        <v>0.36831304126341741</v>
      </c>
      <c r="H160" s="416" t="b">
        <f>Wh_hp&gt;='2022'!Maxi_hp</f>
        <v>0</v>
      </c>
      <c r="I160" s="392">
        <f>IF(H160,Wh_hp,'2022'!Maxi_hp)</f>
        <v>63.227502087912768</v>
      </c>
      <c r="J160" s="85">
        <f>IF(H160,An,'2022'!An_max)</f>
        <v>2020</v>
      </c>
      <c r="K160" s="199">
        <f t="shared" si="52"/>
        <v>45072</v>
      </c>
      <c r="L160" s="147">
        <f>IF(t&lt;Tvie,1-EXP((T0-t)*PertePVj)+'2022'!Pspv,1-EXP((T0-t)*PertePVj)+Pspv)</f>
        <v>4.0108456135723336E-2</v>
      </c>
      <c r="M160" s="872"/>
      <c r="N160" s="872"/>
      <c r="O160" s="48">
        <f>IF(t&lt;Tnet,'2022'!Resal+('2022'!Salim-'2022'!Resal)*(1-EXP(('2022'!Tnet-t)/('2022'!Tau_j))),Resal+(Salim-Resal)*(1-EXP((Tnet-t)/(Tau_j))))*Salcycl</f>
        <v>6.6580474371516776E-2</v>
      </c>
      <c r="P160" s="171">
        <f>(INDEX(Models!$BJ160:$BT160,,T160)*(1-R160)+INDEX(Models!$BJ160:$BT160,,T160+1)*R160-ERP_i)*Q160*Ramure*Pc/MaxiM</f>
        <v>6.4041645107898351E-4</v>
      </c>
      <c r="Q160" s="307">
        <f t="shared" si="53"/>
        <v>0.9</v>
      </c>
      <c r="R160" s="179">
        <f t="shared" si="54"/>
        <v>0.71018491100932513</v>
      </c>
      <c r="S160" s="839">
        <f t="shared" si="55"/>
        <v>0</v>
      </c>
      <c r="T160" s="178">
        <f t="shared" si="56"/>
        <v>6</v>
      </c>
      <c r="U160" s="253">
        <f t="shared" si="57"/>
        <v>0.71018491100932513</v>
      </c>
      <c r="V160" s="385">
        <f t="shared" si="58"/>
        <v>57.503105994683018</v>
      </c>
      <c r="W160" s="404">
        <f t="shared" si="59"/>
        <v>21.191387378437543</v>
      </c>
      <c r="X160" s="157">
        <f t="shared" si="60"/>
        <v>45072</v>
      </c>
      <c r="Y160" s="387">
        <f t="shared" si="61"/>
        <v>19.042218545029925</v>
      </c>
      <c r="Z160" s="387">
        <f t="shared" si="62"/>
        <v>19.837885505659159</v>
      </c>
      <c r="AA160" s="388">
        <f t="shared" si="63"/>
        <v>23.651590075321135</v>
      </c>
      <c r="AB160" s="199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0.16124516607622599</v>
      </c>
      <c r="AD160" s="233">
        <f>(INDEX(Models!$BJ160:$BT160,,AH160)*(1-AF160)+INDEX(Models!$BJ160:$BT160,,AH160+1)*AF160-ERP_i)*AE160*Ramure*Pc/MaxiM</f>
        <v>6.4041645107898351E-4</v>
      </c>
      <c r="AE160" s="307">
        <f t="shared" si="65"/>
        <v>0.9</v>
      </c>
      <c r="AF160" s="179">
        <f t="shared" si="66"/>
        <v>0.71018491100932513</v>
      </c>
      <c r="AG160" s="839">
        <f t="shared" si="74"/>
        <v>0</v>
      </c>
      <c r="AH160" s="178">
        <f t="shared" si="67"/>
        <v>6</v>
      </c>
      <c r="AI160" s="227">
        <f t="shared" si="68"/>
        <v>0.71018491100932513</v>
      </c>
      <c r="AJ160" s="267" t="b">
        <f t="shared" si="69"/>
        <v>0</v>
      </c>
      <c r="AK160" s="267" t="b">
        <f t="shared" si="70"/>
        <v>0</v>
      </c>
      <c r="AL160" s="267"/>
      <c r="AM160" s="267"/>
      <c r="AN160" s="75"/>
    </row>
    <row r="161" spans="1:40" s="6" customFormat="1" ht="11.25" x14ac:dyDescent="0.2">
      <c r="A161" s="56">
        <f t="shared" si="71"/>
        <v>45073</v>
      </c>
      <c r="B161" s="413">
        <f>'2022'!Wh/'2022'!Env_an*'2023'!Env_an</f>
        <v>40.169952362728019</v>
      </c>
      <c r="C161" s="868"/>
      <c r="D161" s="395">
        <f t="shared" si="50"/>
        <v>41.849402106660236</v>
      </c>
      <c r="E161" s="387">
        <f t="shared" si="72"/>
        <v>44.846130014622027</v>
      </c>
      <c r="F161" s="387">
        <f t="shared" si="51"/>
        <v>44.861350909661148</v>
      </c>
      <c r="G161" s="110">
        <f t="shared" si="73"/>
        <v>0.69806438823294847</v>
      </c>
      <c r="H161" s="416" t="b">
        <f>Wh_hp&gt;='2022'!Maxi_hp</f>
        <v>0</v>
      </c>
      <c r="I161" s="392">
        <f>IF(H161,Wh_hp,'2022'!Maxi_hp)</f>
        <v>62.760133675554769</v>
      </c>
      <c r="J161" s="85">
        <f>IF(H161,An,'2022'!An_max)</f>
        <v>2020</v>
      </c>
      <c r="K161" s="199">
        <f t="shared" si="52"/>
        <v>45073</v>
      </c>
      <c r="L161" s="147">
        <f>IF(t&lt;Tvie,1-EXP((T0-t)*PertePVj)+'2022'!Pspv,1-EXP((T0-t)*PertePVj)+Pspv)</f>
        <v>4.0130794214260357E-2</v>
      </c>
      <c r="M161" s="872"/>
      <c r="N161" s="872"/>
      <c r="O161" s="48">
        <f>IF(t&lt;Tnet,'2022'!Resal+('2022'!Salim-'2022'!Resal)*(1-EXP(('2022'!Tnet-t)/('2022'!Tau_j))),Resal+(Salim-Resal)*(1-EXP((Tnet-t)/(Tau_j))))*Salcycl</f>
        <v>6.6822441690837411E-2</v>
      </c>
      <c r="P161" s="171">
        <f>(INDEX(Models!$BJ161:$BT161,,T161)*(1-R161)+INDEX(Models!$BJ161:$BT161,,T161+1)*R161-ERP_i)*Q161*Ramure*Pc/MaxiM</f>
        <v>5.9637123808599477E-4</v>
      </c>
      <c r="Q161" s="307">
        <f t="shared" si="53"/>
        <v>0.9</v>
      </c>
      <c r="R161" s="179">
        <f t="shared" si="54"/>
        <v>0.71584460322437582</v>
      </c>
      <c r="S161" s="839">
        <f t="shared" si="55"/>
        <v>0</v>
      </c>
      <c r="T161" s="178">
        <f t="shared" si="56"/>
        <v>6</v>
      </c>
      <c r="U161" s="253">
        <f t="shared" si="57"/>
        <v>0.71584460322437582</v>
      </c>
      <c r="V161" s="385">
        <f t="shared" si="58"/>
        <v>57.529967854898906</v>
      </c>
      <c r="W161" s="404">
        <f t="shared" si="59"/>
        <v>40.169952362728019</v>
      </c>
      <c r="X161" s="157">
        <f t="shared" si="60"/>
        <v>45073</v>
      </c>
      <c r="Y161" s="387">
        <f t="shared" si="61"/>
        <v>36.095505972238065</v>
      </c>
      <c r="Z161" s="387">
        <f t="shared" si="62"/>
        <v>37.604608789059583</v>
      </c>
      <c r="AA161" s="388">
        <f t="shared" si="63"/>
        <v>44.846130014622027</v>
      </c>
      <c r="AB161" s="199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0.16147483011803587</v>
      </c>
      <c r="AD161" s="233">
        <f>(INDEX(Models!$BJ161:$BT161,,AH161)*(1-AF161)+INDEX(Models!$BJ161:$BT161,,AH161+1)*AF161-ERP_i)*AE161*Ramure*Pc/MaxiM</f>
        <v>5.9637123808599477E-4</v>
      </c>
      <c r="AE161" s="307">
        <f t="shared" si="65"/>
        <v>0.9</v>
      </c>
      <c r="AF161" s="179">
        <f t="shared" si="66"/>
        <v>0.71584460322437582</v>
      </c>
      <c r="AG161" s="839">
        <f t="shared" si="74"/>
        <v>0</v>
      </c>
      <c r="AH161" s="178">
        <f t="shared" si="67"/>
        <v>6</v>
      </c>
      <c r="AI161" s="227">
        <f t="shared" si="68"/>
        <v>0.71584460322437582</v>
      </c>
      <c r="AJ161" s="267" t="b">
        <f t="shared" si="69"/>
        <v>0</v>
      </c>
      <c r="AK161" s="267" t="b">
        <f t="shared" si="70"/>
        <v>0</v>
      </c>
      <c r="AL161" s="267"/>
      <c r="AM161" s="267"/>
      <c r="AN161" s="75"/>
    </row>
    <row r="162" spans="1:40" s="6" customFormat="1" ht="11.25" x14ac:dyDescent="0.2">
      <c r="A162" s="56">
        <f t="shared" si="71"/>
        <v>45074</v>
      </c>
      <c r="B162" s="413">
        <f>'2022'!Wh/'2022'!Env_an*'2023'!Env_an</f>
        <v>53.635376874582484</v>
      </c>
      <c r="C162" s="868"/>
      <c r="D162" s="395">
        <f t="shared" si="50"/>
        <v>55.87909764570442</v>
      </c>
      <c r="E162" s="387">
        <f t="shared" si="72"/>
        <v>59.895984448721556</v>
      </c>
      <c r="F162" s="387">
        <f t="shared" si="51"/>
        <v>59.925990591688347</v>
      </c>
      <c r="G162" s="110">
        <f t="shared" si="73"/>
        <v>0.93187062399362552</v>
      </c>
      <c r="H162" s="416" t="b">
        <f>Wh_hp&gt;='2022'!Maxi_hp</f>
        <v>0</v>
      </c>
      <c r="I162" s="392">
        <f>IF(H162,Wh_hp,'2022'!Maxi_hp)</f>
        <v>61.94834261618918</v>
      </c>
      <c r="J162" s="85">
        <f>IF(H162,An,'2022'!An_max)</f>
        <v>2020</v>
      </c>
      <c r="K162" s="199">
        <f t="shared" si="52"/>
        <v>45074</v>
      </c>
      <c r="L162" s="147">
        <f>IF(t&lt;Tvie,1-EXP((T0-t)*PertePVj)+'2022'!Pspv,1-EXP((T0-t)*PertePVj)+Pspv)</f>
        <v>4.0153131772957651E-2</v>
      </c>
      <c r="M162" s="872"/>
      <c r="N162" s="872"/>
      <c r="O162" s="48">
        <f>IF(t&lt;Tnet,'2022'!Resal+('2022'!Salim-'2022'!Resal)*(1-EXP(('2022'!Tnet-t)/('2022'!Tau_j))),Resal+(Salim-Resal)*(1-EXP((Tnet-t)/(Tau_j))))*Salcycl</f>
        <v>6.7064375683750413E-2</v>
      </c>
      <c r="P162" s="171">
        <f>(INDEX(Models!$BJ162:$BT162,,T162)*(1-R162)+INDEX(Models!$BJ162:$BT162,,T162+1)*R162-ERP_i)*Q162*Ramure*Pc/MaxiM</f>
        <v>5.5466435675422194E-4</v>
      </c>
      <c r="Q162" s="307">
        <f t="shared" si="53"/>
        <v>0.9</v>
      </c>
      <c r="R162" s="179">
        <f t="shared" si="54"/>
        <v>0.72156978590558374</v>
      </c>
      <c r="S162" s="839">
        <f t="shared" si="55"/>
        <v>0</v>
      </c>
      <c r="T162" s="178">
        <f t="shared" si="56"/>
        <v>6</v>
      </c>
      <c r="U162" s="253">
        <f t="shared" si="57"/>
        <v>0.72156978590558374</v>
      </c>
      <c r="V162" s="385">
        <f t="shared" si="58"/>
        <v>57.553570977713569</v>
      </c>
      <c r="W162" s="404">
        <f t="shared" si="59"/>
        <v>53.635376874582484</v>
      </c>
      <c r="X162" s="157">
        <f t="shared" si="60"/>
        <v>45074</v>
      </c>
      <c r="Y162" s="387">
        <f t="shared" si="61"/>
        <v>48.19444599554317</v>
      </c>
      <c r="Z162" s="387">
        <f t="shared" si="62"/>
        <v>50.210557111640483</v>
      </c>
      <c r="AA162" s="388">
        <f t="shared" si="63"/>
        <v>59.895984448721556</v>
      </c>
      <c r="AB162" s="199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0.16170411800098244</v>
      </c>
      <c r="AD162" s="233">
        <f>(INDEX(Models!$BJ162:$BT162,,AH162)*(1-AF162)+INDEX(Models!$BJ162:$BT162,,AH162+1)*AF162-ERP_i)*AE162*Ramure*Pc/MaxiM</f>
        <v>5.5466435675422194E-4</v>
      </c>
      <c r="AE162" s="307">
        <f t="shared" si="65"/>
        <v>0.9</v>
      </c>
      <c r="AF162" s="179">
        <f t="shared" si="66"/>
        <v>0.72156978590558374</v>
      </c>
      <c r="AG162" s="839">
        <f t="shared" si="74"/>
        <v>0</v>
      </c>
      <c r="AH162" s="178">
        <f t="shared" si="67"/>
        <v>6</v>
      </c>
      <c r="AI162" s="227">
        <f t="shared" si="68"/>
        <v>0.72156978590558374</v>
      </c>
      <c r="AJ162" s="267" t="b">
        <f t="shared" si="69"/>
        <v>0</v>
      </c>
      <c r="AK162" s="267" t="b">
        <f t="shared" si="70"/>
        <v>0</v>
      </c>
      <c r="AL162" s="267"/>
      <c r="AM162" s="267"/>
      <c r="AN162" s="75"/>
    </row>
    <row r="163" spans="1:40" s="6" customFormat="1" ht="11.25" x14ac:dyDescent="0.2">
      <c r="A163" s="56">
        <f t="shared" si="71"/>
        <v>45075</v>
      </c>
      <c r="B163" s="413">
        <f>'2022'!Wh/'2022'!Env_an*'2023'!Env_an</f>
        <v>58.540964406976734</v>
      </c>
      <c r="C163" s="868"/>
      <c r="D163" s="395">
        <f t="shared" si="50"/>
        <v>60.991319251351612</v>
      </c>
      <c r="E163" s="387">
        <f t="shared" si="72"/>
        <v>65.392649671406573</v>
      </c>
      <c r="F163" s="387">
        <f t="shared" si="51"/>
        <v>65.426364345119993</v>
      </c>
      <c r="G163" s="110">
        <f t="shared" si="73"/>
        <v>1.0168121653183677</v>
      </c>
      <c r="H163" s="416" t="b">
        <f>Wh_hp&gt;='2022'!Maxi_hp</f>
        <v>1</v>
      </c>
      <c r="I163" s="392">
        <f>IF(H163,Wh_hp,'2022'!Maxi_hp)</f>
        <v>65.426364345119993</v>
      </c>
      <c r="J163" s="85">
        <f>IF(H163,An,'2022'!An_max)</f>
        <v>2023</v>
      </c>
      <c r="K163" s="199">
        <f t="shared" si="52"/>
        <v>45075</v>
      </c>
      <c r="L163" s="147">
        <f>IF(t&lt;Tvie,1-EXP((T0-t)*PertePVj)+'2022'!Pspv,1-EXP((T0-t)*PertePVj)+Pspv)</f>
        <v>4.017546881182732E-2</v>
      </c>
      <c r="M163" s="872"/>
      <c r="N163" s="872"/>
      <c r="O163" s="48">
        <f>IF(t&lt;Tnet,'2022'!Resal+('2022'!Salim-'2022'!Resal)*(1-EXP(('2022'!Tnet-t)/('2022'!Tau_j))),Resal+(Salim-Resal)*(1-EXP((Tnet-t)/(Tau_j))))*Salcycl</f>
        <v>6.7306194842560077E-2</v>
      </c>
      <c r="P163" s="171">
        <f>(INDEX(Models!$BJ163:$BT163,,T163)*(1-R163)+INDEX(Models!$BJ163:$BT163,,T163+1)*R163-ERP_i)*Q163*Ramure*Pc/MaxiM</f>
        <v>5.1530715562262287E-4</v>
      </c>
      <c r="Q163" s="307">
        <f t="shared" si="53"/>
        <v>0.9</v>
      </c>
      <c r="R163" s="179">
        <f t="shared" si="54"/>
        <v>0.72735668659390396</v>
      </c>
      <c r="S163" s="839">
        <f t="shared" si="55"/>
        <v>0</v>
      </c>
      <c r="T163" s="178">
        <f t="shared" si="56"/>
        <v>6</v>
      </c>
      <c r="U163" s="253">
        <f t="shared" si="57"/>
        <v>0.72735668659390396</v>
      </c>
      <c r="V163" s="385">
        <f t="shared" si="58"/>
        <v>57.573036991200176</v>
      </c>
      <c r="W163" s="404">
        <f t="shared" si="59"/>
        <v>58.540964406976734</v>
      </c>
      <c r="X163" s="157">
        <f t="shared" si="60"/>
        <v>45075</v>
      </c>
      <c r="Y163" s="387">
        <f t="shared" si="61"/>
        <v>52.601678790502554</v>
      </c>
      <c r="Z163" s="387">
        <f t="shared" si="62"/>
        <v>54.803432378818883</v>
      </c>
      <c r="AA163" s="388">
        <f t="shared" si="63"/>
        <v>65.392649671406573</v>
      </c>
      <c r="AB163" s="199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0.16193283718885459</v>
      </c>
      <c r="AD163" s="233">
        <f>(INDEX(Models!$BJ163:$BT163,,AH163)*(1-AF163)+INDEX(Models!$BJ163:$BT163,,AH163+1)*AF163-ERP_i)*AE163*Ramure*Pc/MaxiM</f>
        <v>5.1530715562262287E-4</v>
      </c>
      <c r="AE163" s="307">
        <f t="shared" si="65"/>
        <v>0.9</v>
      </c>
      <c r="AF163" s="179">
        <f t="shared" si="66"/>
        <v>0.72735668659390396</v>
      </c>
      <c r="AG163" s="839">
        <f t="shared" si="74"/>
        <v>0</v>
      </c>
      <c r="AH163" s="178">
        <f t="shared" si="67"/>
        <v>6</v>
      </c>
      <c r="AI163" s="227">
        <f t="shared" si="68"/>
        <v>0.72735668659390396</v>
      </c>
      <c r="AJ163" s="267" t="b">
        <f t="shared" si="69"/>
        <v>0</v>
      </c>
      <c r="AK163" s="267" t="b">
        <f t="shared" si="70"/>
        <v>0</v>
      </c>
      <c r="AL163" s="267"/>
      <c r="AM163" s="267"/>
      <c r="AN163" s="75"/>
    </row>
    <row r="164" spans="1:40" s="6" customFormat="1" ht="11.25" x14ac:dyDescent="0.2">
      <c r="A164" s="56">
        <f t="shared" si="71"/>
        <v>45076</v>
      </c>
      <c r="B164" s="413">
        <f>'2022'!Wh/'2022'!Env_an*'2023'!Env_an</f>
        <v>50.053205714415981</v>
      </c>
      <c r="C164" s="868"/>
      <c r="D164" s="395">
        <f t="shared" si="50"/>
        <v>52.149501212248516</v>
      </c>
      <c r="E164" s="387">
        <f t="shared" si="72"/>
        <v>55.927265922160153</v>
      </c>
      <c r="F164" s="387">
        <f t="shared" si="51"/>
        <v>55.949090349877508</v>
      </c>
      <c r="G164" s="110">
        <f t="shared" si="73"/>
        <v>0.86909234802255819</v>
      </c>
      <c r="H164" s="416" t="b">
        <f>Wh_hp&gt;='2022'!Maxi_hp</f>
        <v>0</v>
      </c>
      <c r="I164" s="392">
        <f>IF(H164,Wh_hp,'2022'!Maxi_hp)</f>
        <v>63.612298063151371</v>
      </c>
      <c r="J164" s="85">
        <f>IF(H164,An,'2022'!An_max)</f>
        <v>2019</v>
      </c>
      <c r="K164" s="199">
        <f t="shared" si="52"/>
        <v>45076</v>
      </c>
      <c r="L164" s="147">
        <f>IF(t&lt;Tvie,1-EXP((T0-t)*PertePVj)+'2022'!Pspv,1-EXP((T0-t)*PertePVj)+Pspv)</f>
        <v>4.0197805330881464E-2</v>
      </c>
      <c r="M164" s="872"/>
      <c r="N164" s="872"/>
      <c r="O164" s="48">
        <f>IF(t&lt;Tnet,'2022'!Resal+('2022'!Salim-'2022'!Resal)*(1-EXP(('2022'!Tnet-t)/('2022'!Tau_j))),Resal+(Salim-Resal)*(1-EXP((Tnet-t)/(Tau_j))))*Salcycl</f>
        <v>6.754781675130607E-2</v>
      </c>
      <c r="P164" s="171">
        <f>(INDEX(Models!$BJ164:$BT164,,T164)*(1-R164)+INDEX(Models!$BJ164:$BT164,,T164+1)*R164-ERP_i)*Q164*Ramure*Pc/MaxiM</f>
        <v>4.7973967450461429E-4</v>
      </c>
      <c r="Q164" s="307">
        <f t="shared" si="53"/>
        <v>0.9</v>
      </c>
      <c r="R164" s="179">
        <f t="shared" si="54"/>
        <v>0.73320134580047558</v>
      </c>
      <c r="S164" s="839">
        <f t="shared" si="55"/>
        <v>0</v>
      </c>
      <c r="T164" s="178">
        <f t="shared" si="56"/>
        <v>6</v>
      </c>
      <c r="U164" s="253">
        <f t="shared" si="57"/>
        <v>0.73320134580047558</v>
      </c>
      <c r="V164" s="385">
        <f t="shared" si="58"/>
        <v>57.587339423457131</v>
      </c>
      <c r="W164" s="404">
        <f t="shared" si="59"/>
        <v>50.053205714415981</v>
      </c>
      <c r="X164" s="157">
        <f t="shared" si="60"/>
        <v>45076</v>
      </c>
      <c r="Y164" s="387">
        <f t="shared" si="61"/>
        <v>44.974465024144187</v>
      </c>
      <c r="Z164" s="387">
        <f t="shared" si="62"/>
        <v>46.858056038982753</v>
      </c>
      <c r="AA164" s="388">
        <f t="shared" si="63"/>
        <v>55.927265922160153</v>
      </c>
      <c r="AB164" s="199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0.16216079462564784</v>
      </c>
      <c r="AD164" s="233">
        <f>(INDEX(Models!$BJ164:$BT164,,AH164)*(1-AF164)+INDEX(Models!$BJ164:$BT164,,AH164+1)*AF164-ERP_i)*AE164*Ramure*Pc/MaxiM</f>
        <v>4.7973967450461429E-4</v>
      </c>
      <c r="AE164" s="307">
        <f t="shared" si="65"/>
        <v>0.9</v>
      </c>
      <c r="AF164" s="179">
        <f t="shared" si="66"/>
        <v>0.73320134580047558</v>
      </c>
      <c r="AG164" s="839">
        <f t="shared" si="74"/>
        <v>0</v>
      </c>
      <c r="AH164" s="178">
        <f t="shared" si="67"/>
        <v>6</v>
      </c>
      <c r="AI164" s="227">
        <f t="shared" si="68"/>
        <v>0.73320134580047558</v>
      </c>
      <c r="AJ164" s="267" t="b">
        <f t="shared" si="69"/>
        <v>0</v>
      </c>
      <c r="AK164" s="267" t="b">
        <f t="shared" si="70"/>
        <v>0</v>
      </c>
      <c r="AL164" s="267"/>
      <c r="AM164" s="267"/>
      <c r="AN164" s="75"/>
    </row>
    <row r="165" spans="1:40" s="6" customFormat="1" ht="11.25" x14ac:dyDescent="0.2">
      <c r="A165" s="56">
        <f t="shared" si="71"/>
        <v>45077</v>
      </c>
      <c r="B165" s="413">
        <f>'2022'!Wh/'2022'!Env_an*'2023'!Env_an</f>
        <v>53.654664077831661</v>
      </c>
      <c r="C165" s="868"/>
      <c r="D165" s="395">
        <f t="shared" si="50"/>
        <v>55.903094436874483</v>
      </c>
      <c r="E165" s="387">
        <f t="shared" si="72"/>
        <v>59.96829466107814</v>
      </c>
      <c r="F165" s="387">
        <f t="shared" si="51"/>
        <v>59.992464295667197</v>
      </c>
      <c r="G165" s="110">
        <f t="shared" si="73"/>
        <v>0.93151614710832997</v>
      </c>
      <c r="H165" s="416" t="b">
        <f>Wh_hp&gt;='2022'!Maxi_hp</f>
        <v>0</v>
      </c>
      <c r="I165" s="392">
        <f>IF(H165,Wh_hp,'2022'!Maxi_hp)</f>
        <v>64.631023417183059</v>
      </c>
      <c r="J165" s="85">
        <f>IF(H165,An,'2022'!An_max)</f>
        <v>2019</v>
      </c>
      <c r="K165" s="199">
        <f t="shared" si="52"/>
        <v>45077</v>
      </c>
      <c r="L165" s="147">
        <f>IF(t&lt;Tvie,1-EXP((T0-t)*PertePVj)+'2022'!Pspv,1-EXP((T0-t)*PertePVj)+Pspv)</f>
        <v>4.0220141330132186E-2</v>
      </c>
      <c r="M165" s="872"/>
      <c r="N165" s="872"/>
      <c r="O165" s="48">
        <f>IF(t&lt;Tnet,'2022'!Resal+('2022'!Salim-'2022'!Resal)*(1-EXP(('2022'!Tnet-t)/('2022'!Tau_j))),Resal+(Salim-Resal)*(1-EXP((Tnet-t)/(Tau_j))))*Salcycl</f>
        <v>6.7789158374085598E-2</v>
      </c>
      <c r="P165" s="171">
        <f>(INDEX(Models!$BJ165:$BT165,,T165)*(1-R165)+INDEX(Models!$BJ165:$BT165,,T165+1)*R165-ERP_i)*Q165*Ramure*Pc/MaxiM</f>
        <v>4.4653857543863225E-4</v>
      </c>
      <c r="Q165" s="307">
        <f t="shared" si="53"/>
        <v>0.9</v>
      </c>
      <c r="R165" s="179">
        <f t="shared" si="54"/>
        <v>0.73909962617974767</v>
      </c>
      <c r="S165" s="839">
        <f t="shared" si="55"/>
        <v>0</v>
      </c>
      <c r="T165" s="178">
        <f t="shared" si="56"/>
        <v>6</v>
      </c>
      <c r="U165" s="253">
        <f t="shared" si="57"/>
        <v>0.73909962617974767</v>
      </c>
      <c r="V165" s="385">
        <f t="shared" si="58"/>
        <v>57.596769200691888</v>
      </c>
      <c r="W165" s="404">
        <f t="shared" si="59"/>
        <v>53.654664077831661</v>
      </c>
      <c r="X165" s="157">
        <f t="shared" si="60"/>
        <v>45077</v>
      </c>
      <c r="Y165" s="387">
        <f t="shared" si="61"/>
        <v>48.209910623166159</v>
      </c>
      <c r="Z165" s="387">
        <f t="shared" si="62"/>
        <v>50.230175375818924</v>
      </c>
      <c r="AA165" s="388">
        <f t="shared" si="63"/>
        <v>59.96829466107814</v>
      </c>
      <c r="AB165" s="199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0.16238779742355505</v>
      </c>
      <c r="AD165" s="233">
        <f>(INDEX(Models!$BJ165:$BT165,,AH165)*(1-AF165)+INDEX(Models!$BJ165:$BT165,,AH165+1)*AF165-ERP_i)*AE165*Ramure*Pc/MaxiM</f>
        <v>4.4653857543863225E-4</v>
      </c>
      <c r="AE165" s="307">
        <f t="shared" si="65"/>
        <v>0.9</v>
      </c>
      <c r="AF165" s="179">
        <f t="shared" si="66"/>
        <v>0.73909962617974767</v>
      </c>
      <c r="AG165" s="839">
        <f t="shared" si="74"/>
        <v>0</v>
      </c>
      <c r="AH165" s="178">
        <f t="shared" si="67"/>
        <v>6</v>
      </c>
      <c r="AI165" s="227">
        <f t="shared" si="68"/>
        <v>0.73909962617974767</v>
      </c>
      <c r="AJ165" s="267" t="b">
        <f t="shared" si="69"/>
        <v>0</v>
      </c>
      <c r="AK165" s="267" t="b">
        <f t="shared" si="70"/>
        <v>0</v>
      </c>
      <c r="AL165" s="267"/>
      <c r="AM165" s="267"/>
      <c r="AN165" s="75"/>
    </row>
    <row r="166" spans="1:40" s="6" customFormat="1" ht="11.25" x14ac:dyDescent="0.2">
      <c r="A166" s="56">
        <f t="shared" si="71"/>
        <v>45078</v>
      </c>
      <c r="B166" s="413">
        <f>'2022'!Wh/'2022'!Env_an*'2023'!Env_an</f>
        <v>55.18388086578117</v>
      </c>
      <c r="C166" s="868"/>
      <c r="D166" s="395">
        <f t="shared" si="50"/>
        <v>57.497732012915016</v>
      </c>
      <c r="E166" s="387">
        <f t="shared" si="72"/>
        <v>61.694840418904541</v>
      </c>
      <c r="F166" s="387">
        <f t="shared" si="51"/>
        <v>61.718958664332106</v>
      </c>
      <c r="G166" s="110">
        <f t="shared" si="73"/>
        <v>0.95800406195668286</v>
      </c>
      <c r="H166" s="416" t="b">
        <f>Wh_hp&gt;='2022'!Maxi_hp</f>
        <v>0</v>
      </c>
      <c r="I166" s="392">
        <f>IF(H166,Wh_hp,'2022'!Maxi_hp)</f>
        <v>65.060642777484958</v>
      </c>
      <c r="J166" s="85">
        <f>IF(H166,An,'2022'!An_max)</f>
        <v>2019</v>
      </c>
      <c r="K166" s="199">
        <f t="shared" si="52"/>
        <v>45078</v>
      </c>
      <c r="L166" s="147">
        <f>IF(t&lt;Tvie,1-EXP((T0-t)*PertePVj)+'2022'!Pspv,1-EXP((T0-t)*PertePVj)+Pspv)</f>
        <v>4.0242476809591587E-2</v>
      </c>
      <c r="M166" s="872"/>
      <c r="N166" s="872"/>
      <c r="O166" s="48">
        <f>IF(t&lt;Tnet,'2022'!Resal+('2022'!Salim-'2022'!Resal)*(1-EXP(('2022'!Tnet-t)/('2022'!Tau_j))),Resal+(Salim-Resal)*(1-EXP((Tnet-t)/(Tau_j))))*Salcycl</f>
        <v>6.8030136353241039E-2</v>
      </c>
      <c r="P166" s="171">
        <f>(INDEX(Models!$BJ166:$BT166,,T166)*(1-R166)+INDEX(Models!$BJ166:$BT166,,T166+1)*R166-ERP_i)*Q166*Ramure*Pc/MaxiM</f>
        <v>4.1570076056726479E-4</v>
      </c>
      <c r="Q166" s="307">
        <f t="shared" si="53"/>
        <v>0.9</v>
      </c>
      <c r="R166" s="179">
        <f t="shared" si="54"/>
        <v>0.74504722282423363</v>
      </c>
      <c r="S166" s="839">
        <f t="shared" si="55"/>
        <v>0</v>
      </c>
      <c r="T166" s="178">
        <f t="shared" si="56"/>
        <v>6</v>
      </c>
      <c r="U166" s="253">
        <f t="shared" si="57"/>
        <v>0.74504722282423363</v>
      </c>
      <c r="V166" s="385">
        <f t="shared" si="58"/>
        <v>57.601535355145344</v>
      </c>
      <c r="W166" s="404">
        <f t="shared" si="59"/>
        <v>55.18388086578117</v>
      </c>
      <c r="X166" s="157">
        <f t="shared" si="60"/>
        <v>45078</v>
      </c>
      <c r="Y166" s="387">
        <f t="shared" si="61"/>
        <v>49.583393393694429</v>
      </c>
      <c r="Z166" s="387">
        <f t="shared" si="62"/>
        <v>51.662417012236823</v>
      </c>
      <c r="AA166" s="388">
        <f t="shared" si="63"/>
        <v>61.694840418904541</v>
      </c>
      <c r="AB166" s="199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0.16261365356564861</v>
      </c>
      <c r="AD166" s="233">
        <f>(INDEX(Models!$BJ166:$BT166,,AH166)*(1-AF166)+INDEX(Models!$BJ166:$BT166,,AH166+1)*AF166-ERP_i)*AE166*Ramure*Pc/MaxiM</f>
        <v>4.1570076056726479E-4</v>
      </c>
      <c r="AE166" s="307">
        <f t="shared" si="65"/>
        <v>0.9</v>
      </c>
      <c r="AF166" s="179">
        <f t="shared" si="66"/>
        <v>0.74504722282423363</v>
      </c>
      <c r="AG166" s="839">
        <f t="shared" si="74"/>
        <v>0</v>
      </c>
      <c r="AH166" s="178">
        <f t="shared" si="67"/>
        <v>6</v>
      </c>
      <c r="AI166" s="227">
        <f t="shared" si="68"/>
        <v>0.74504722282423363</v>
      </c>
      <c r="AJ166" s="267" t="b">
        <f t="shared" si="69"/>
        <v>0</v>
      </c>
      <c r="AK166" s="267" t="b">
        <f t="shared" si="70"/>
        <v>0</v>
      </c>
      <c r="AL166" s="267"/>
      <c r="AM166" s="267"/>
      <c r="AN166" s="75"/>
    </row>
    <row r="167" spans="1:40" s="6" customFormat="1" ht="11.25" x14ac:dyDescent="0.2">
      <c r="A167" s="56">
        <f t="shared" si="71"/>
        <v>45079</v>
      </c>
      <c r="B167" s="413">
        <f>'2022'!Wh/'2022'!Env_an*'2023'!Env_an</f>
        <v>43.340957424954155</v>
      </c>
      <c r="C167" s="868"/>
      <c r="D167" s="395">
        <f t="shared" si="50"/>
        <v>45.159287641472446</v>
      </c>
      <c r="E167" s="387">
        <f t="shared" si="72"/>
        <v>48.468247223010529</v>
      </c>
      <c r="F167" s="387">
        <f t="shared" si="51"/>
        <v>48.480380439363373</v>
      </c>
      <c r="G167" s="110">
        <f t="shared" si="73"/>
        <v>0.75231998119705557</v>
      </c>
      <c r="H167" s="416" t="b">
        <f>Wh_hp&gt;='2022'!Maxi_hp</f>
        <v>0</v>
      </c>
      <c r="I167" s="392">
        <f>IF(H167,Wh_hp,'2022'!Maxi_hp)</f>
        <v>63.821113384817394</v>
      </c>
      <c r="J167" s="85">
        <f>IF(H167,An,'2022'!An_max)</f>
        <v>2019</v>
      </c>
      <c r="K167" s="199">
        <f t="shared" si="52"/>
        <v>45079</v>
      </c>
      <c r="L167" s="147">
        <f>IF(t&lt;Tvie,1-EXP((T0-t)*PertePVj)+'2022'!Pspv,1-EXP((T0-t)*PertePVj)+Pspv)</f>
        <v>4.0264811769271769E-2</v>
      </c>
      <c r="M167" s="872"/>
      <c r="N167" s="872"/>
      <c r="O167" s="48">
        <f>IF(t&lt;Tnet,'2022'!Resal+('2022'!Salim-'2022'!Resal)*(1-EXP(('2022'!Tnet-t)/('2022'!Tau_j))),Resal+(Salim-Resal)*(1-EXP((Tnet-t)/(Tau_j))))*Salcycl</f>
        <v>6.827066731571714E-2</v>
      </c>
      <c r="P167" s="171">
        <f>(INDEX(Models!$BJ167:$BT167,,T167)*(1-R167)+INDEX(Models!$BJ167:$BT167,,T167+1)*R167-ERP_i)*Q167*Ramure*Pc/MaxiM</f>
        <v>3.8722486323844739E-4</v>
      </c>
      <c r="Q167" s="307">
        <f t="shared" si="53"/>
        <v>0.9</v>
      </c>
      <c r="R167" s="179">
        <f t="shared" si="54"/>
        <v>0.75103967463842014</v>
      </c>
      <c r="S167" s="839">
        <f t="shared" si="55"/>
        <v>0</v>
      </c>
      <c r="T167" s="178">
        <f t="shared" si="56"/>
        <v>6</v>
      </c>
      <c r="U167" s="253">
        <f t="shared" si="57"/>
        <v>0.75103967463842014</v>
      </c>
      <c r="V167" s="385">
        <f t="shared" si="58"/>
        <v>57.601846681503005</v>
      </c>
      <c r="W167" s="404">
        <f t="shared" si="59"/>
        <v>43.340957424954155</v>
      </c>
      <c r="X167" s="157">
        <f t="shared" si="60"/>
        <v>45079</v>
      </c>
      <c r="Y167" s="387">
        <f t="shared" si="61"/>
        <v>38.941990818066472</v>
      </c>
      <c r="Z167" s="387">
        <f t="shared" si="62"/>
        <v>40.575766415167116</v>
      </c>
      <c r="AA167" s="388">
        <f t="shared" si="63"/>
        <v>48.468247223010529</v>
      </c>
      <c r="AB167" s="199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0.16283817261905065</v>
      </c>
      <c r="AD167" s="233">
        <f>(INDEX(Models!$BJ167:$BT167,,AH167)*(1-AF167)+INDEX(Models!$BJ167:$BT167,,AH167+1)*AF167-ERP_i)*AE167*Ramure*Pc/MaxiM</f>
        <v>3.8722486323844739E-4</v>
      </c>
      <c r="AE167" s="307">
        <f t="shared" si="65"/>
        <v>0.9</v>
      </c>
      <c r="AF167" s="179">
        <f t="shared" si="66"/>
        <v>0.75103967463842014</v>
      </c>
      <c r="AG167" s="839">
        <f t="shared" si="74"/>
        <v>0</v>
      </c>
      <c r="AH167" s="178">
        <f t="shared" si="67"/>
        <v>6</v>
      </c>
      <c r="AI167" s="227">
        <f t="shared" si="68"/>
        <v>0.75103967463842014</v>
      </c>
      <c r="AJ167" s="267" t="b">
        <f t="shared" si="69"/>
        <v>0</v>
      </c>
      <c r="AK167" s="267" t="b">
        <f t="shared" si="70"/>
        <v>0</v>
      </c>
      <c r="AL167" s="267"/>
      <c r="AM167" s="267"/>
      <c r="AN167" s="75"/>
    </row>
    <row r="168" spans="1:40" s="6" customFormat="1" ht="11.25" x14ac:dyDescent="0.2">
      <c r="A168" s="56">
        <f t="shared" si="71"/>
        <v>45080</v>
      </c>
      <c r="B168" s="413">
        <f>'2022'!Wh/'2022'!Env_an*'2023'!Env_an</f>
        <v>52.526728003408749</v>
      </c>
      <c r="C168" s="868"/>
      <c r="D168" s="395">
        <f t="shared" si="50"/>
        <v>54.731712507476523</v>
      </c>
      <c r="E168" s="387">
        <f t="shared" si="72"/>
        <v>58.7572080947809</v>
      </c>
      <c r="F168" s="387">
        <f t="shared" si="51"/>
        <v>58.775763094093044</v>
      </c>
      <c r="G168" s="110">
        <f t="shared" si="73"/>
        <v>0.91191399017783137</v>
      </c>
      <c r="H168" s="416" t="b">
        <f>Wh_hp&gt;='2022'!Maxi_hp</f>
        <v>0</v>
      </c>
      <c r="I168" s="392">
        <f>IF(H168,Wh_hp,'2022'!Maxi_hp)</f>
        <v>59.795155783954719</v>
      </c>
      <c r="J168" s="85">
        <f>IF(H168,An,'2022'!An_max)</f>
        <v>2020</v>
      </c>
      <c r="K168" s="199">
        <f t="shared" si="52"/>
        <v>45080</v>
      </c>
      <c r="L168" s="147">
        <f>IF(t&lt;Tvie,1-EXP((T0-t)*PertePVj)+'2022'!Pspv,1-EXP((T0-t)*PertePVj)+Pspv)</f>
        <v>4.0287146209184721E-2</v>
      </c>
      <c r="M168" s="872"/>
      <c r="N168" s="872"/>
      <c r="O168" s="48">
        <f>IF(t&lt;Tnet,'2022'!Resal+('2022'!Salim-'2022'!Resal)*(1-EXP(('2022'!Tnet-t)/('2022'!Tau_j))),Resal+(Salim-Resal)*(1-EXP((Tnet-t)/(Tau_j))))*Salcycl</f>
        <v>6.8510668185780263E-2</v>
      </c>
      <c r="P168" s="171">
        <f>(INDEX(Models!$BJ168:$BT168,,T168)*(1-R168)+INDEX(Models!$BJ168:$BT168,,T168+1)*R168-ERP_i)*Q168*Ramure*Pc/MaxiM</f>
        <v>3.6111116613641344E-4</v>
      </c>
      <c r="Q168" s="307">
        <f t="shared" si="53"/>
        <v>0.9</v>
      </c>
      <c r="R168" s="179">
        <f t="shared" si="54"/>
        <v>0.75707237673783745</v>
      </c>
      <c r="S168" s="839">
        <f t="shared" si="55"/>
        <v>0</v>
      </c>
      <c r="T168" s="178">
        <f t="shared" si="56"/>
        <v>6</v>
      </c>
      <c r="U168" s="253">
        <f t="shared" si="57"/>
        <v>0.75707237673783745</v>
      </c>
      <c r="V168" s="385">
        <f t="shared" si="58"/>
        <v>57.59791171185401</v>
      </c>
      <c r="W168" s="404">
        <f t="shared" si="59"/>
        <v>52.526728003408749</v>
      </c>
      <c r="X168" s="157">
        <f t="shared" si="60"/>
        <v>45080</v>
      </c>
      <c r="Y168" s="387">
        <f t="shared" si="61"/>
        <v>47.195020880731477</v>
      </c>
      <c r="Z168" s="387">
        <f t="shared" si="62"/>
        <v>49.176189205254076</v>
      </c>
      <c r="AA168" s="388">
        <f t="shared" si="63"/>
        <v>58.7572080947809</v>
      </c>
      <c r="AB168" s="199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0.16306116645419469</v>
      </c>
      <c r="AD168" s="233">
        <f>(INDEX(Models!$BJ168:$BT168,,AH168)*(1-AF168)+INDEX(Models!$BJ168:$BT168,,AH168+1)*AF168-ERP_i)*AE168*Ramure*Pc/MaxiM</f>
        <v>3.6111116613641344E-4</v>
      </c>
      <c r="AE168" s="307">
        <f t="shared" si="65"/>
        <v>0.9</v>
      </c>
      <c r="AF168" s="179">
        <f t="shared" si="66"/>
        <v>0.75707237673783745</v>
      </c>
      <c r="AG168" s="839">
        <f t="shared" si="74"/>
        <v>0</v>
      </c>
      <c r="AH168" s="178">
        <f t="shared" si="67"/>
        <v>6</v>
      </c>
      <c r="AI168" s="227">
        <f t="shared" si="68"/>
        <v>0.75707237673783745</v>
      </c>
      <c r="AJ168" s="267" t="b">
        <f t="shared" si="69"/>
        <v>0</v>
      </c>
      <c r="AK168" s="267" t="b">
        <f t="shared" si="70"/>
        <v>0</v>
      </c>
      <c r="AL168" s="267"/>
      <c r="AM168" s="267"/>
      <c r="AN168" s="75"/>
    </row>
    <row r="169" spans="1:40" s="18" customFormat="1" ht="11.25" x14ac:dyDescent="0.2">
      <c r="A169" s="56">
        <f t="shared" si="71"/>
        <v>45081</v>
      </c>
      <c r="B169" s="413">
        <f>'2022'!Wh/'2022'!Env_an*'2023'!Env_an</f>
        <v>29.828153342396043</v>
      </c>
      <c r="C169" s="868"/>
      <c r="D169" s="395">
        <f t="shared" si="50"/>
        <v>31.081012810688328</v>
      </c>
      <c r="E169" s="387">
        <f t="shared" si="72"/>
        <v>33.375586251256017</v>
      </c>
      <c r="F169" s="387">
        <f t="shared" si="51"/>
        <v>33.379092233243803</v>
      </c>
      <c r="G169" s="110">
        <f t="shared" si="73"/>
        <v>0.51782001205536909</v>
      </c>
      <c r="H169" s="416" t="b">
        <f>Wh_hp&gt;='2022'!Maxi_hp</f>
        <v>0</v>
      </c>
      <c r="I169" s="392">
        <f>IF(H169,Wh_hp,'2022'!Maxi_hp)</f>
        <v>57.885419490334492</v>
      </c>
      <c r="J169" s="85">
        <f>IF(H169,An,'2022'!An_max)</f>
        <v>2019</v>
      </c>
      <c r="K169" s="199">
        <f t="shared" si="52"/>
        <v>45081</v>
      </c>
      <c r="L169" s="147">
        <f>IF(t&lt;Tvie,1-EXP((T0-t)*PertePVj)+'2022'!Pspv,1-EXP((T0-t)*PertePVj)+Pspv)</f>
        <v>4.0309480129342656E-2</v>
      </c>
      <c r="M169" s="872"/>
      <c r="N169" s="872"/>
      <c r="O169" s="48">
        <f>IF(t&lt;Tnet,'2022'!Resal+('2022'!Salim-'2022'!Resal)*(1-EXP(('2022'!Tnet-t)/('2022'!Tau_j))),Resal+(Salim-Resal)*(1-EXP((Tnet-t)/(Tau_j))))*Salcycl</f>
        <v>6.8750056502193721E-2</v>
      </c>
      <c r="P169" s="171">
        <f>(INDEX(Models!$BJ169:$BT169,,T169)*(1-R169)+INDEX(Models!$BJ169:$BT169,,T169+1)*R169-ERP_i)*Q169*Ramure*Pc/MaxiM</f>
        <v>3.373615189092675E-4</v>
      </c>
      <c r="Q169" s="307">
        <f t="shared" si="53"/>
        <v>0.9</v>
      </c>
      <c r="R169" s="179">
        <f t="shared" si="54"/>
        <v>0.76314059380806587</v>
      </c>
      <c r="S169" s="839">
        <f t="shared" si="55"/>
        <v>0</v>
      </c>
      <c r="T169" s="178">
        <f t="shared" si="56"/>
        <v>6</v>
      </c>
      <c r="U169" s="253">
        <f t="shared" si="57"/>
        <v>0.76314059380806587</v>
      </c>
      <c r="V169" s="385">
        <f t="shared" si="58"/>
        <v>57.589938699188799</v>
      </c>
      <c r="W169" s="404">
        <f t="shared" si="59"/>
        <v>29.828153342396043</v>
      </c>
      <c r="X169" s="157">
        <f t="shared" si="60"/>
        <v>45081</v>
      </c>
      <c r="Y169" s="387">
        <f t="shared" si="61"/>
        <v>26.800258685608238</v>
      </c>
      <c r="Z169" s="387">
        <f t="shared" si="62"/>
        <v>27.925938759111901</v>
      </c>
      <c r="AA169" s="388">
        <f t="shared" si="63"/>
        <v>33.375586251256017</v>
      </c>
      <c r="AB169" s="199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0.16328244996562519</v>
      </c>
      <c r="AD169" s="233">
        <f>(INDEX(Models!$BJ169:$BT169,,AH169)*(1-AF169)+INDEX(Models!$BJ169:$BT169,,AH169+1)*AF169-ERP_i)*AE169*Ramure*Pc/MaxiM</f>
        <v>3.373615189092675E-4</v>
      </c>
      <c r="AE169" s="307">
        <f t="shared" si="65"/>
        <v>0.9</v>
      </c>
      <c r="AF169" s="179">
        <f t="shared" si="66"/>
        <v>0.76314059380806587</v>
      </c>
      <c r="AG169" s="839">
        <f t="shared" si="74"/>
        <v>0</v>
      </c>
      <c r="AH169" s="178">
        <f t="shared" si="67"/>
        <v>6</v>
      </c>
      <c r="AI169" s="227">
        <f t="shared" si="68"/>
        <v>0.76314059380806587</v>
      </c>
      <c r="AJ169" s="267" t="b">
        <f t="shared" si="69"/>
        <v>0</v>
      </c>
      <c r="AK169" s="267" t="b">
        <f t="shared" si="70"/>
        <v>0</v>
      </c>
      <c r="AL169" s="267"/>
      <c r="AM169" s="267"/>
      <c r="AN169" s="267"/>
    </row>
    <row r="170" spans="1:40" s="18" customFormat="1" ht="11.25" x14ac:dyDescent="0.2">
      <c r="A170" s="56">
        <f t="shared" si="71"/>
        <v>45082</v>
      </c>
      <c r="B170" s="413">
        <f>'2022'!Wh/'2022'!Env_an*'2023'!Env_an</f>
        <v>31.159254038425605</v>
      </c>
      <c r="C170" s="868"/>
      <c r="D170" s="395">
        <f t="shared" si="50"/>
        <v>32.468778769287461</v>
      </c>
      <c r="E170" s="387">
        <f t="shared" ref="E170:E232" si="75">Wh_pvt/(1-Psa)</f>
        <v>34.874743774600091</v>
      </c>
      <c r="F170" s="387">
        <f t="shared" si="51"/>
        <v>34.878546379895255</v>
      </c>
      <c r="G170" s="110">
        <f t="shared" ref="G170:G232" si="76">+Wh_hp/MaxiM</f>
        <v>0.54105268346198176</v>
      </c>
      <c r="H170" s="416" t="b">
        <f>Wh_hp&gt;='2022'!Maxi_hp</f>
        <v>0</v>
      </c>
      <c r="I170" s="392">
        <f>IF(H170,Wh_hp,'2022'!Maxi_hp)</f>
        <v>47.550981784469194</v>
      </c>
      <c r="J170" s="85">
        <f>IF(H170,An,'2022'!An_max)</f>
        <v>2021</v>
      </c>
      <c r="K170" s="199">
        <f t="shared" si="52"/>
        <v>45082</v>
      </c>
      <c r="L170" s="147">
        <f>IF(t&lt;Tvie,1-EXP((T0-t)*PertePVj)+'2022'!Pspv,1-EXP((T0-t)*PertePVj)+Pspv)</f>
        <v>4.0331813529757676E-2</v>
      </c>
      <c r="M170" s="872"/>
      <c r="N170" s="872"/>
      <c r="O170" s="48">
        <f>IF(t&lt;Tnet,'2022'!Resal+('2022'!Salim-'2022'!Resal)*(1-EXP(('2022'!Tnet-t)/('2022'!Tau_j))),Resal+(Salim-Resal)*(1-EXP((Tnet-t)/(Tau_j))))*Salcycl</f>
        <v>6.8988750737860399E-2</v>
      </c>
      <c r="P170" s="171">
        <f>(INDEX(Models!$BJ170:$BT170,,T170)*(1-R170)+INDEX(Models!$BJ170:$BT170,,T170+1)*R170-ERP_i)*Q170*Ramure*Pc/MaxiM</f>
        <v>3.1645118502669658E-4</v>
      </c>
      <c r="Q170" s="307">
        <f t="shared" si="53"/>
        <v>0.9</v>
      </c>
      <c r="R170" s="179">
        <f t="shared" si="54"/>
        <v>0.76923947434769513</v>
      </c>
      <c r="S170" s="839">
        <f t="shared" si="55"/>
        <v>0</v>
      </c>
      <c r="T170" s="178">
        <f t="shared" si="56"/>
        <v>6</v>
      </c>
      <c r="U170" s="253">
        <f t="shared" si="57"/>
        <v>0.76923947434769513</v>
      </c>
      <c r="V170" s="385">
        <f t="shared" si="58"/>
        <v>57.578108408877824</v>
      </c>
      <c r="W170" s="404">
        <f t="shared" si="59"/>
        <v>31.159254038425605</v>
      </c>
      <c r="X170" s="157">
        <f t="shared" si="60"/>
        <v>45082</v>
      </c>
      <c r="Y170" s="387">
        <f t="shared" si="61"/>
        <v>27.99607269515624</v>
      </c>
      <c r="Z170" s="387">
        <f t="shared" si="62"/>
        <v>29.172658935510466</v>
      </c>
      <c r="AA170" s="388">
        <f t="shared" si="63"/>
        <v>34.874743774600091</v>
      </c>
      <c r="AB170" s="199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0.16350184178966087</v>
      </c>
      <c r="AD170" s="233">
        <f>(INDEX(Models!$BJ170:$BT170,,AH170)*(1-AF170)+INDEX(Models!$BJ170:$BT170,,AH170+1)*AF170-ERP_i)*AE170*Ramure*Pc/MaxiM</f>
        <v>3.1645118502669658E-4</v>
      </c>
      <c r="AE170" s="307">
        <f t="shared" si="65"/>
        <v>0.9</v>
      </c>
      <c r="AF170" s="179">
        <f t="shared" si="66"/>
        <v>0.76923947434769513</v>
      </c>
      <c r="AG170" s="839">
        <f t="shared" si="74"/>
        <v>0</v>
      </c>
      <c r="AH170" s="178">
        <f t="shared" si="67"/>
        <v>6</v>
      </c>
      <c r="AI170" s="227">
        <f t="shared" si="68"/>
        <v>0.76923947434769513</v>
      </c>
      <c r="AJ170" s="267" t="b">
        <f t="shared" si="69"/>
        <v>0</v>
      </c>
      <c r="AK170" s="267" t="b">
        <f t="shared" si="70"/>
        <v>0</v>
      </c>
      <c r="AL170" s="267"/>
      <c r="AM170" s="267"/>
      <c r="AN170" s="267"/>
    </row>
    <row r="171" spans="1:40" s="6" customFormat="1" ht="11.25" x14ac:dyDescent="0.2">
      <c r="A171" s="56">
        <f t="shared" si="71"/>
        <v>45083</v>
      </c>
      <c r="B171" s="413">
        <f>'2022'!Wh/'2022'!Env_an*'2023'!Env_an</f>
        <v>41.575797244532374</v>
      </c>
      <c r="C171" s="868"/>
      <c r="D171" s="395">
        <f t="shared" si="50"/>
        <v>43.324104500653007</v>
      </c>
      <c r="E171" s="387">
        <f t="shared" si="75"/>
        <v>46.546353589123555</v>
      </c>
      <c r="F171" s="387">
        <f t="shared" si="51"/>
        <v>46.554704671857593</v>
      </c>
      <c r="G171" s="110">
        <f t="shared" si="76"/>
        <v>0.72218468504646383</v>
      </c>
      <c r="H171" s="416" t="b">
        <f>Wh_hp&gt;='2022'!Maxi_hp</f>
        <v>0</v>
      </c>
      <c r="I171" s="392">
        <f>IF(H171,Wh_hp,'2022'!Maxi_hp)</f>
        <v>63.625581606461907</v>
      </c>
      <c r="J171" s="85">
        <f>IF(H171,An,'2022'!An_max)</f>
        <v>2019</v>
      </c>
      <c r="K171" s="199">
        <f t="shared" si="52"/>
        <v>45083</v>
      </c>
      <c r="L171" s="147">
        <f>IF(t&lt;Tvie,1-EXP((T0-t)*PertePVj)+'2022'!Pspv,1-EXP((T0-t)*PertePVj)+Pspv)</f>
        <v>4.0354146410441882E-2</v>
      </c>
      <c r="M171" s="872"/>
      <c r="N171" s="872"/>
      <c r="O171" s="48">
        <f>IF(t&lt;Tnet,'2022'!Resal+('2022'!Salim-'2022'!Resal)*(1-EXP(('2022'!Tnet-t)/('2022'!Tau_j))),Resal+(Salim-Resal)*(1-EXP((Tnet-t)/(Tau_j))))*Salcycl</f>
        <v>6.9226670619876224E-2</v>
      </c>
      <c r="P171" s="171">
        <f>(INDEX(Models!$BJ171:$BT171,,T171)*(1-R171)+INDEX(Models!$BJ171:$BT171,,T171+1)*R171-ERP_i)*Q171*Ramure*Pc/MaxiM</f>
        <v>2.9736312357209752E-4</v>
      </c>
      <c r="Q171" s="307">
        <f t="shared" si="53"/>
        <v>0.9</v>
      </c>
      <c r="R171" s="179">
        <f t="shared" si="54"/>
        <v>0.77536406570914895</v>
      </c>
      <c r="S171" s="839">
        <f t="shared" si="55"/>
        <v>0</v>
      </c>
      <c r="T171" s="178">
        <f t="shared" si="56"/>
        <v>6</v>
      </c>
      <c r="U171" s="253">
        <f t="shared" si="57"/>
        <v>0.77536406570914895</v>
      </c>
      <c r="V171" s="385">
        <f t="shared" si="58"/>
        <v>57.562687318015712</v>
      </c>
      <c r="W171" s="404">
        <f t="shared" si="59"/>
        <v>41.575797244532374</v>
      </c>
      <c r="X171" s="157">
        <f t="shared" si="60"/>
        <v>45083</v>
      </c>
      <c r="Y171" s="387">
        <f t="shared" si="61"/>
        <v>37.355005066609117</v>
      </c>
      <c r="Z171" s="387">
        <f t="shared" si="62"/>
        <v>38.925823445058001</v>
      </c>
      <c r="AA171" s="388">
        <f t="shared" si="63"/>
        <v>46.546353589123555</v>
      </c>
      <c r="AB171" s="199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0.1637191650141685</v>
      </c>
      <c r="AD171" s="233">
        <f>(INDEX(Models!$BJ171:$BT171,,AH171)*(1-AF171)+INDEX(Models!$BJ171:$BT171,,AH171+1)*AF171-ERP_i)*AE171*Ramure*Pc/MaxiM</f>
        <v>2.9736312357209752E-4</v>
      </c>
      <c r="AE171" s="307">
        <f t="shared" si="65"/>
        <v>0.9</v>
      </c>
      <c r="AF171" s="179">
        <f t="shared" si="66"/>
        <v>0.77536406570914895</v>
      </c>
      <c r="AG171" s="839">
        <f t="shared" si="74"/>
        <v>0</v>
      </c>
      <c r="AH171" s="178">
        <f t="shared" si="67"/>
        <v>6</v>
      </c>
      <c r="AI171" s="227">
        <f t="shared" si="68"/>
        <v>0.77536406570914895</v>
      </c>
      <c r="AJ171" s="267" t="b">
        <f t="shared" si="69"/>
        <v>0</v>
      </c>
      <c r="AK171" s="267" t="b">
        <f t="shared" si="70"/>
        <v>0</v>
      </c>
      <c r="AL171" s="267"/>
      <c r="AM171" s="267"/>
      <c r="AN171" s="75"/>
    </row>
    <row r="172" spans="1:40" s="6" customFormat="1" ht="11.25" x14ac:dyDescent="0.2">
      <c r="A172" s="56">
        <f t="shared" si="71"/>
        <v>45084</v>
      </c>
      <c r="B172" s="413">
        <f>'2022'!Wh/'2022'!Env_an*'2023'!Env_an</f>
        <v>31.289699162011718</v>
      </c>
      <c r="C172" s="868"/>
      <c r="D172" s="395">
        <f t="shared" si="50"/>
        <v>32.606223659411711</v>
      </c>
      <c r="E172" s="387">
        <f t="shared" si="75"/>
        <v>35.040250414298832</v>
      </c>
      <c r="F172" s="387">
        <f t="shared" si="51"/>
        <v>35.043668516886825</v>
      </c>
      <c r="G172" s="110">
        <f t="shared" si="76"/>
        <v>0.54365442073370418</v>
      </c>
      <c r="H172" s="416" t="b">
        <f>Wh_hp&gt;='2022'!Maxi_hp</f>
        <v>0</v>
      </c>
      <c r="I172" s="392">
        <f>IF(H172,Wh_hp,'2022'!Maxi_hp)</f>
        <v>57.342414657537475</v>
      </c>
      <c r="J172" s="85">
        <f>IF(H172,An,'2022'!An_max)</f>
        <v>2021</v>
      </c>
      <c r="K172" s="199">
        <f t="shared" si="52"/>
        <v>45084</v>
      </c>
      <c r="L172" s="147">
        <f>IF(t&lt;Tvie,1-EXP((T0-t)*PertePVj)+'2022'!Pspv,1-EXP((T0-t)*PertePVj)+Pspv)</f>
        <v>4.0376478771407265E-2</v>
      </c>
      <c r="M172" s="872"/>
      <c r="N172" s="872"/>
      <c r="O172" s="48">
        <f>IF(t&lt;Tnet,'2022'!Resal+('2022'!Salim-'2022'!Resal)*(1-EXP(('2022'!Tnet-t)/('2022'!Tau_j))),Resal+(Salim-Resal)*(1-EXP((Tnet-t)/(Tau_j))))*Salcycl</f>
        <v>6.9463737447888557E-2</v>
      </c>
      <c r="P172" s="171">
        <f>(INDEX(Models!$BJ172:$BT172,,T172)*(1-R172)+INDEX(Models!$BJ172:$BT172,,T172+1)*R172-ERP_i)*Q172*Ramure*Pc/MaxiM</f>
        <v>2.8010595947046966E-4</v>
      </c>
      <c r="Q172" s="307">
        <f t="shared" si="53"/>
        <v>0.9</v>
      </c>
      <c r="R172" s="179">
        <f t="shared" si="54"/>
        <v>0.78150932984200538</v>
      </c>
      <c r="S172" s="839">
        <f t="shared" si="55"/>
        <v>0</v>
      </c>
      <c r="T172" s="178">
        <f t="shared" si="56"/>
        <v>6</v>
      </c>
      <c r="U172" s="253">
        <f t="shared" si="57"/>
        <v>0.78150932984200538</v>
      </c>
      <c r="V172" s="385">
        <f t="shared" si="58"/>
        <v>57.543882523481081</v>
      </c>
      <c r="W172" s="404">
        <f t="shared" si="59"/>
        <v>31.289699162011718</v>
      </c>
      <c r="X172" s="157">
        <f t="shared" si="60"/>
        <v>45084</v>
      </c>
      <c r="Y172" s="387">
        <f t="shared" si="61"/>
        <v>28.11308588005382</v>
      </c>
      <c r="Z172" s="387">
        <f t="shared" si="62"/>
        <v>29.295953317256153</v>
      </c>
      <c r="AA172" s="388">
        <f t="shared" si="63"/>
        <v>35.040250414298832</v>
      </c>
      <c r="AB172" s="199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0.1639342478756548</v>
      </c>
      <c r="AD172" s="233">
        <f>(INDEX(Models!$BJ172:$BT172,,AH172)*(1-AF172)+INDEX(Models!$BJ172:$BT172,,AH172+1)*AF172-ERP_i)*AE172*Ramure*Pc/MaxiM</f>
        <v>2.8010595947046966E-4</v>
      </c>
      <c r="AE172" s="307">
        <f t="shared" si="65"/>
        <v>0.9</v>
      </c>
      <c r="AF172" s="179">
        <f t="shared" si="66"/>
        <v>0.78150932984200538</v>
      </c>
      <c r="AG172" s="839">
        <f t="shared" si="74"/>
        <v>0</v>
      </c>
      <c r="AH172" s="178">
        <f t="shared" si="67"/>
        <v>6</v>
      </c>
      <c r="AI172" s="227">
        <f t="shared" si="68"/>
        <v>0.78150932984200538</v>
      </c>
      <c r="AJ172" s="267" t="b">
        <f t="shared" si="69"/>
        <v>0</v>
      </c>
      <c r="AK172" s="267" t="b">
        <f t="shared" si="70"/>
        <v>0</v>
      </c>
      <c r="AL172" s="267"/>
      <c r="AM172" s="267"/>
      <c r="AN172" s="75"/>
    </row>
    <row r="173" spans="1:40" s="6" customFormat="1" ht="11.25" x14ac:dyDescent="0.2">
      <c r="A173" s="56">
        <f t="shared" si="71"/>
        <v>45085</v>
      </c>
      <c r="B173" s="413">
        <f>'2022'!Wh/'2022'!Env_an*'2023'!Env_an</f>
        <v>22.012877894082106</v>
      </c>
      <c r="C173" s="868"/>
      <c r="D173" s="395">
        <f t="shared" si="50"/>
        <v>22.939610889953588</v>
      </c>
      <c r="E173" s="387">
        <f t="shared" si="75"/>
        <v>24.658290651493999</v>
      </c>
      <c r="F173" s="387">
        <f t="shared" si="51"/>
        <v>24.65906164676359</v>
      </c>
      <c r="G173" s="110">
        <f t="shared" si="76"/>
        <v>0.3825975694367868</v>
      </c>
      <c r="H173" s="416" t="b">
        <f>Wh_hp&gt;='2022'!Maxi_hp</f>
        <v>0</v>
      </c>
      <c r="I173" s="392">
        <f>IF(H173,Wh_hp,'2022'!Maxi_hp)</f>
        <v>65.985446784364868</v>
      </c>
      <c r="J173" s="85">
        <f>IF(H173,An,'2022'!An_max)</f>
        <v>2019</v>
      </c>
      <c r="K173" s="199">
        <f t="shared" si="52"/>
        <v>45085</v>
      </c>
      <c r="L173" s="147">
        <f>IF(t&lt;Tvie,1-EXP((T0-t)*PertePVj)+'2022'!Pspv,1-EXP((T0-t)*PertePVj)+Pspv)</f>
        <v>4.0398810612665925E-2</v>
      </c>
      <c r="M173" s="872"/>
      <c r="N173" s="872"/>
      <c r="O173" s="48">
        <f>IF(t&lt;Tnet,'2022'!Resal+('2022'!Salim-'2022'!Resal)*(1-EXP(('2022'!Tnet-t)/('2022'!Tau_j))),Resal+(Salim-Resal)*(1-EXP((Tnet-t)/(Tau_j))))*Salcycl</f>
        <v>6.9699874408621215E-2</v>
      </c>
      <c r="P173" s="171">
        <f>(INDEX(Models!$BJ173:$BT173,,T173)*(1-R173)+INDEX(Models!$BJ173:$BT173,,T173+1)*R173-ERP_i)*Q173*Ramure*Pc/MaxiM</f>
        <v>2.6468936729947851E-4</v>
      </c>
      <c r="Q173" s="307">
        <f t="shared" si="53"/>
        <v>0.9</v>
      </c>
      <c r="R173" s="179">
        <f t="shared" si="54"/>
        <v>0.78767015963515474</v>
      </c>
      <c r="S173" s="839">
        <f t="shared" si="55"/>
        <v>0</v>
      </c>
      <c r="T173" s="178">
        <f t="shared" si="56"/>
        <v>6</v>
      </c>
      <c r="U173" s="253">
        <f t="shared" si="57"/>
        <v>0.78767015963515474</v>
      </c>
      <c r="V173" s="385">
        <f t="shared" si="58"/>
        <v>57.521900753951421</v>
      </c>
      <c r="W173" s="404">
        <f t="shared" si="59"/>
        <v>22.012877894082106</v>
      </c>
      <c r="X173" s="157">
        <f t="shared" si="60"/>
        <v>45085</v>
      </c>
      <c r="Y173" s="387">
        <f t="shared" si="61"/>
        <v>19.778059986849343</v>
      </c>
      <c r="Z173" s="387">
        <f t="shared" si="62"/>
        <v>20.610708079131104</v>
      </c>
      <c r="AA173" s="388">
        <f t="shared" si="63"/>
        <v>24.658290651493999</v>
      </c>
      <c r="AB173" s="199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0.16414692443888693</v>
      </c>
      <c r="AD173" s="233">
        <f>(INDEX(Models!$BJ173:$BT173,,AH173)*(1-AF173)+INDEX(Models!$BJ173:$BT173,,AH173+1)*AF173-ERP_i)*AE173*Ramure*Pc/MaxiM</f>
        <v>2.6468936729947851E-4</v>
      </c>
      <c r="AE173" s="307">
        <f t="shared" si="65"/>
        <v>0.9</v>
      </c>
      <c r="AF173" s="179">
        <f t="shared" si="66"/>
        <v>0.78767015963515474</v>
      </c>
      <c r="AG173" s="839">
        <f t="shared" si="74"/>
        <v>0</v>
      </c>
      <c r="AH173" s="178">
        <f t="shared" si="67"/>
        <v>6</v>
      </c>
      <c r="AI173" s="227">
        <f t="shared" si="68"/>
        <v>0.78767015963515474</v>
      </c>
      <c r="AJ173" s="267" t="b">
        <f t="shared" si="69"/>
        <v>0</v>
      </c>
      <c r="AK173" s="267" t="b">
        <f t="shared" si="70"/>
        <v>0</v>
      </c>
      <c r="AL173" s="267"/>
      <c r="AM173" s="267"/>
      <c r="AN173" s="75"/>
    </row>
    <row r="174" spans="1:40" s="6" customFormat="1" ht="11.25" x14ac:dyDescent="0.2">
      <c r="A174" s="56">
        <f t="shared" si="71"/>
        <v>45086</v>
      </c>
      <c r="B174" s="413">
        <f>'2022'!Wh/'2022'!Env_an*'2023'!Env_an</f>
        <v>43.78544922855923</v>
      </c>
      <c r="C174" s="868"/>
      <c r="D174" s="395">
        <f t="shared" si="50"/>
        <v>45.62986028768691</v>
      </c>
      <c r="E174" s="387">
        <f t="shared" si="75"/>
        <v>49.060937273677347</v>
      </c>
      <c r="F174" s="387">
        <f t="shared" si="51"/>
        <v>49.069061734626636</v>
      </c>
      <c r="G174" s="110">
        <f t="shared" si="76"/>
        <v>0.76146132845916537</v>
      </c>
      <c r="H174" s="416" t="b">
        <f>Wh_hp&gt;='2022'!Maxi_hp</f>
        <v>0</v>
      </c>
      <c r="I174" s="392">
        <f>IF(H174,Wh_hp,'2022'!Maxi_hp)</f>
        <v>59.948298229793359</v>
      </c>
      <c r="J174" s="85">
        <f>IF(H174,An,'2022'!An_max)</f>
        <v>2021</v>
      </c>
      <c r="K174" s="199">
        <f t="shared" si="52"/>
        <v>45086</v>
      </c>
      <c r="L174" s="147">
        <f>IF(t&lt;Tvie,1-EXP((T0-t)*PertePVj)+'2022'!Pspv,1-EXP((T0-t)*PertePVj)+Pspv)</f>
        <v>4.0421141934230076E-2</v>
      </c>
      <c r="M174" s="872"/>
      <c r="N174" s="872"/>
      <c r="O174" s="48">
        <f>IF(t&lt;Tnet,'2022'!Resal+('2022'!Salim-'2022'!Resal)*(1-EXP(('2022'!Tnet-t)/('2022'!Tau_j))),Resal+(Salim-Resal)*(1-EXP((Tnet-t)/(Tau_j))))*Salcycl</f>
        <v>6.9935006884414161E-2</v>
      </c>
      <c r="P174" s="171">
        <f>(INDEX(Models!$BJ174:$BT174,,T174)*(1-R174)+INDEX(Models!$BJ174:$BT174,,T174+1)*R174-ERP_i)*Q174*Ramure*Pc/MaxiM</f>
        <v>2.5112399361755381E-4</v>
      </c>
      <c r="Q174" s="307">
        <f t="shared" si="53"/>
        <v>0.9</v>
      </c>
      <c r="R174" s="179">
        <f t="shared" si="54"/>
        <v>0.79384139574697898</v>
      </c>
      <c r="S174" s="839">
        <f t="shared" si="55"/>
        <v>0</v>
      </c>
      <c r="T174" s="178">
        <f t="shared" si="56"/>
        <v>6</v>
      </c>
      <c r="U174" s="253">
        <f t="shared" si="57"/>
        <v>0.79384139574697898</v>
      </c>
      <c r="V174" s="385">
        <f t="shared" si="58"/>
        <v>57.496948351667918</v>
      </c>
      <c r="W174" s="404">
        <f t="shared" si="59"/>
        <v>43.78544922855923</v>
      </c>
      <c r="X174" s="157">
        <f t="shared" si="60"/>
        <v>45086</v>
      </c>
      <c r="Y174" s="387">
        <f t="shared" si="61"/>
        <v>39.340264257777974</v>
      </c>
      <c r="Z174" s="387">
        <f t="shared" si="62"/>
        <v>40.997427076578603</v>
      </c>
      <c r="AA174" s="388">
        <f t="shared" si="63"/>
        <v>49.060937273677347</v>
      </c>
      <c r="AB174" s="199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0.16435703525429909</v>
      </c>
      <c r="AD174" s="233">
        <f>(INDEX(Models!$BJ174:$BT174,,AH174)*(1-AF174)+INDEX(Models!$BJ174:$BT174,,AH174+1)*AF174-ERP_i)*AE174*Ramure*Pc/MaxiM</f>
        <v>2.5112399361755381E-4</v>
      </c>
      <c r="AE174" s="307">
        <f t="shared" si="65"/>
        <v>0.9</v>
      </c>
      <c r="AF174" s="179">
        <f t="shared" si="66"/>
        <v>0.79384139574697898</v>
      </c>
      <c r="AG174" s="839">
        <f t="shared" si="74"/>
        <v>0</v>
      </c>
      <c r="AH174" s="178">
        <f t="shared" si="67"/>
        <v>6</v>
      </c>
      <c r="AI174" s="227">
        <f t="shared" si="68"/>
        <v>0.79384139574697898</v>
      </c>
      <c r="AJ174" s="267" t="b">
        <f t="shared" si="69"/>
        <v>0</v>
      </c>
      <c r="AK174" s="267" t="b">
        <f t="shared" si="70"/>
        <v>0</v>
      </c>
      <c r="AL174" s="267"/>
      <c r="AM174" s="267"/>
      <c r="AN174" s="75"/>
    </row>
    <row r="175" spans="1:40" s="6" customFormat="1" ht="11.25" x14ac:dyDescent="0.2">
      <c r="A175" s="56">
        <f t="shared" si="71"/>
        <v>45087</v>
      </c>
      <c r="B175" s="413">
        <f>'2022'!Wh/'2022'!Env_an*'2023'!Env_an</f>
        <v>57.514553242700963</v>
      </c>
      <c r="C175" s="868"/>
      <c r="D175" s="395">
        <f t="shared" si="50"/>
        <v>59.938681681109394</v>
      </c>
      <c r="E175" s="387">
        <f t="shared" si="75"/>
        <v>64.461913752422277</v>
      </c>
      <c r="F175" s="387">
        <f t="shared" si="51"/>
        <v>64.477351008667029</v>
      </c>
      <c r="G175" s="110">
        <f t="shared" si="76"/>
        <v>1.0007886304760683</v>
      </c>
      <c r="H175" s="416" t="b">
        <f>Wh_hp&gt;='2022'!Maxi_hp</f>
        <v>1</v>
      </c>
      <c r="I175" s="392">
        <f>IF(H175,Wh_hp,'2022'!Maxi_hp)</f>
        <v>64.477351008667029</v>
      </c>
      <c r="J175" s="85">
        <f>IF(H175,An,'2022'!An_max)</f>
        <v>2023</v>
      </c>
      <c r="K175" s="199">
        <f t="shared" si="52"/>
        <v>45087</v>
      </c>
      <c r="L175" s="147">
        <f>IF(t&lt;Tvie,1-EXP((T0-t)*PertePVj)+'2022'!Pspv,1-EXP((T0-t)*PertePVj)+Pspv)</f>
        <v>4.0443472736111818E-2</v>
      </c>
      <c r="M175" s="872"/>
      <c r="N175" s="872"/>
      <c r="O175" s="48">
        <f>IF(t&lt;Tnet,'2022'!Resal+('2022'!Salim-'2022'!Resal)*(1-EXP(('2022'!Tnet-t)/('2022'!Tau_j))),Resal+(Salim-Resal)*(1-EXP((Tnet-t)/(Tau_j))))*Salcycl</f>
        <v>7.0169062753631342E-2</v>
      </c>
      <c r="P175" s="171">
        <f>(INDEX(Models!$BJ175:$BT175,,T175)*(1-R175)+INDEX(Models!$BJ175:$BT175,,T175+1)*R175-ERP_i)*Q175*Ramure*Pc/MaxiM</f>
        <v>2.3942137825551697E-4</v>
      </c>
      <c r="Q175" s="307">
        <f t="shared" si="53"/>
        <v>0.9</v>
      </c>
      <c r="R175" s="179">
        <f t="shared" si="54"/>
        <v>0.80001784380684871</v>
      </c>
      <c r="S175" s="839">
        <f t="shared" si="55"/>
        <v>0</v>
      </c>
      <c r="T175" s="178">
        <f t="shared" si="56"/>
        <v>6</v>
      </c>
      <c r="U175" s="253">
        <f t="shared" si="57"/>
        <v>0.80001784380684871</v>
      </c>
      <c r="V175" s="385">
        <f t="shared" si="58"/>
        <v>57.469231255496652</v>
      </c>
      <c r="W175" s="404">
        <f t="shared" si="59"/>
        <v>57.514553242700963</v>
      </c>
      <c r="X175" s="157">
        <f t="shared" si="60"/>
        <v>45087</v>
      </c>
      <c r="Y175" s="387">
        <f t="shared" si="61"/>
        <v>51.675742075861599</v>
      </c>
      <c r="Z175" s="387">
        <f t="shared" si="62"/>
        <v>53.85377578870893</v>
      </c>
      <c r="AA175" s="388">
        <f t="shared" si="63"/>
        <v>64.461913752422277</v>
      </c>
      <c r="AB175" s="199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0.1645644279885303</v>
      </c>
      <c r="AD175" s="233">
        <f>(INDEX(Models!$BJ175:$BT175,,AH175)*(1-AF175)+INDEX(Models!$BJ175:$BT175,,AH175+1)*AF175-ERP_i)*AE175*Ramure*Pc/MaxiM</f>
        <v>2.3942137825551697E-4</v>
      </c>
      <c r="AE175" s="307">
        <f t="shared" si="65"/>
        <v>0.9</v>
      </c>
      <c r="AF175" s="179">
        <f t="shared" si="66"/>
        <v>0.80001784380684871</v>
      </c>
      <c r="AG175" s="839">
        <f t="shared" si="74"/>
        <v>0</v>
      </c>
      <c r="AH175" s="178">
        <f t="shared" si="67"/>
        <v>6</v>
      </c>
      <c r="AI175" s="227">
        <f t="shared" si="68"/>
        <v>0.80001784380684871</v>
      </c>
      <c r="AJ175" s="267" t="b">
        <f t="shared" si="69"/>
        <v>0</v>
      </c>
      <c r="AK175" s="267" t="b">
        <f t="shared" si="70"/>
        <v>0</v>
      </c>
      <c r="AL175" s="267"/>
      <c r="AM175" s="267"/>
      <c r="AN175" s="75"/>
    </row>
    <row r="176" spans="1:40" s="6" customFormat="1" ht="11.25" x14ac:dyDescent="0.2">
      <c r="A176" s="56">
        <f t="shared" si="71"/>
        <v>45088</v>
      </c>
      <c r="B176" s="413">
        <f>'2022'!Wh/'2022'!Env_an*'2023'!Env_an</f>
        <v>53.959999866253767</v>
      </c>
      <c r="C176" s="868"/>
      <c r="D176" s="395">
        <f t="shared" si="50"/>
        <v>56.235619361968581</v>
      </c>
      <c r="E176" s="387">
        <f t="shared" si="75"/>
        <v>60.4945553984697</v>
      </c>
      <c r="F176" s="387">
        <f t="shared" si="51"/>
        <v>60.507245470734254</v>
      </c>
      <c r="G176" s="110">
        <f t="shared" si="76"/>
        <v>0.93941346428569694</v>
      </c>
      <c r="H176" s="416" t="b">
        <f>Wh_hp&gt;='2022'!Maxi_hp</f>
        <v>0</v>
      </c>
      <c r="I176" s="392">
        <f>IF(H176,Wh_hp,'2022'!Maxi_hp)</f>
        <v>60.507586593115512</v>
      </c>
      <c r="J176" s="85">
        <f>IF(H176,An,'2022'!An_max)</f>
        <v>2022</v>
      </c>
      <c r="K176" s="199">
        <f t="shared" si="52"/>
        <v>45088</v>
      </c>
      <c r="L176" s="147">
        <f>IF(t&lt;Tvie,1-EXP((T0-t)*PertePVj)+'2022'!Pspv,1-EXP((T0-t)*PertePVj)+Pspv)</f>
        <v>4.0465803018323032E-2</v>
      </c>
      <c r="M176" s="872"/>
      <c r="N176" s="872"/>
      <c r="O176" s="48">
        <f>IF(t&lt;Tnet,'2022'!Resal+('2022'!Salim-'2022'!Resal)*(1-EXP(('2022'!Tnet-t)/('2022'!Tau_j))),Resal+(Salim-Resal)*(1-EXP((Tnet-t)/(Tau_j))))*Salcycl</f>
        <v>7.0401972680815092E-2</v>
      </c>
      <c r="P176" s="171">
        <f>(INDEX(Models!$BJ176:$BT176,,T176)*(1-R176)+INDEX(Models!$BJ176:$BT176,,T176+1)*R176-ERP_i)*Q176*Ramure*Pc/MaxiM</f>
        <v>2.2959387469360967E-4</v>
      </c>
      <c r="Q176" s="307">
        <f t="shared" si="53"/>
        <v>0.9</v>
      </c>
      <c r="R176" s="179">
        <f t="shared" si="54"/>
        <v>0.80619429186671843</v>
      </c>
      <c r="S176" s="839">
        <f t="shared" si="55"/>
        <v>0</v>
      </c>
      <c r="T176" s="178">
        <f t="shared" si="56"/>
        <v>6</v>
      </c>
      <c r="U176" s="253">
        <f t="shared" si="57"/>
        <v>0.80619429186671843</v>
      </c>
      <c r="V176" s="385">
        <f t="shared" si="58"/>
        <v>57.438954984073028</v>
      </c>
      <c r="W176" s="404">
        <f t="shared" si="59"/>
        <v>53.959999866253767</v>
      </c>
      <c r="X176" s="157">
        <f t="shared" si="60"/>
        <v>45088</v>
      </c>
      <c r="Y176" s="387">
        <f t="shared" si="61"/>
        <v>48.482317721038171</v>
      </c>
      <c r="Z176" s="387">
        <f t="shared" si="62"/>
        <v>50.526930539364592</v>
      </c>
      <c r="AA176" s="388">
        <f t="shared" si="63"/>
        <v>60.4945553984697</v>
      </c>
      <c r="AB176" s="199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0.16476895802357211</v>
      </c>
      <c r="AD176" s="233">
        <f>(INDEX(Models!$BJ176:$BT176,,AH176)*(1-AF176)+INDEX(Models!$BJ176:$BT176,,AH176+1)*AF176-ERP_i)*AE176*Ramure*Pc/MaxiM</f>
        <v>2.2959387469360967E-4</v>
      </c>
      <c r="AE176" s="307">
        <f t="shared" si="65"/>
        <v>0.9</v>
      </c>
      <c r="AF176" s="179">
        <f t="shared" si="66"/>
        <v>0.80619429186671843</v>
      </c>
      <c r="AG176" s="839">
        <f t="shared" si="74"/>
        <v>0</v>
      </c>
      <c r="AH176" s="178">
        <f t="shared" si="67"/>
        <v>6</v>
      </c>
      <c r="AI176" s="227">
        <f t="shared" si="68"/>
        <v>0.80619429186671843</v>
      </c>
      <c r="AJ176" s="267" t="b">
        <f t="shared" si="69"/>
        <v>0</v>
      </c>
      <c r="AK176" s="267" t="b">
        <f t="shared" si="70"/>
        <v>0</v>
      </c>
      <c r="AL176" s="267"/>
      <c r="AM176" s="267"/>
      <c r="AN176" s="75"/>
    </row>
    <row r="177" spans="1:40" s="6" customFormat="1" ht="11.25" x14ac:dyDescent="0.2">
      <c r="A177" s="56">
        <f t="shared" si="71"/>
        <v>45089</v>
      </c>
      <c r="B177" s="413">
        <f>'2022'!Wh/'2022'!Env_an*'2023'!Env_an</f>
        <v>42.584792976450665</v>
      </c>
      <c r="C177" s="868"/>
      <c r="D177" s="395">
        <f t="shared" si="50"/>
        <v>44.381726199875715</v>
      </c>
      <c r="E177" s="387">
        <f t="shared" si="75"/>
        <v>47.75482475109186</v>
      </c>
      <c r="F177" s="387">
        <f t="shared" si="51"/>
        <v>47.76150687684175</v>
      </c>
      <c r="G177" s="110">
        <f t="shared" si="76"/>
        <v>0.74176499780447125</v>
      </c>
      <c r="H177" s="416" t="b">
        <f>Wh_hp&gt;='2022'!Maxi_hp</f>
        <v>0</v>
      </c>
      <c r="I177" s="392">
        <f>IF(H177,Wh_hp,'2022'!Maxi_hp)</f>
        <v>60.838298485220825</v>
      </c>
      <c r="J177" s="85">
        <f>IF(H177,An,'2022'!An_max)</f>
        <v>2019</v>
      </c>
      <c r="K177" s="199">
        <f t="shared" si="52"/>
        <v>45089</v>
      </c>
      <c r="L177" s="147">
        <f>IF(t&lt;Tvie,1-EXP((T0-t)*PertePVj)+'2022'!Pspv,1-EXP((T0-t)*PertePVj)+Pspv)</f>
        <v>4.0488132780876041E-2</v>
      </c>
      <c r="M177" s="872"/>
      <c r="N177" s="872"/>
      <c r="O177" s="48">
        <f>IF(t&lt;Tnet,'2022'!Resal+('2022'!Salim-'2022'!Resal)*(1-EXP(('2022'!Tnet-t)/('2022'!Tau_j))),Resal+(Salim-Resal)*(1-EXP((Tnet-t)/(Tau_j))))*Salcycl</f>
        <v>7.0633670394508588E-2</v>
      </c>
      <c r="P177" s="171">
        <f>(INDEX(Models!$BJ177:$BT177,,T177)*(1-R177)+INDEX(Models!$BJ177:$BT177,,T177+1)*R177-ERP_i)*Q177*Ramure*Pc/MaxiM</f>
        <v>2.2165816667537029E-4</v>
      </c>
      <c r="Q177" s="307">
        <f t="shared" si="53"/>
        <v>0.9</v>
      </c>
      <c r="R177" s="179">
        <f t="shared" si="54"/>
        <v>0.81236552797854267</v>
      </c>
      <c r="S177" s="839">
        <f t="shared" si="55"/>
        <v>0</v>
      </c>
      <c r="T177" s="178">
        <f t="shared" si="56"/>
        <v>6</v>
      </c>
      <c r="U177" s="253">
        <f t="shared" si="57"/>
        <v>0.81236552797854267</v>
      </c>
      <c r="V177" s="385">
        <f t="shared" si="58"/>
        <v>57.405392840254414</v>
      </c>
      <c r="W177" s="404">
        <f t="shared" si="59"/>
        <v>42.584792976450665</v>
      </c>
      <c r="X177" s="157">
        <f t="shared" si="60"/>
        <v>45089</v>
      </c>
      <c r="Y177" s="387">
        <f t="shared" si="61"/>
        <v>38.262155321892713</v>
      </c>
      <c r="Z177" s="387">
        <f t="shared" si="62"/>
        <v>39.87668795883144</v>
      </c>
      <c r="AA177" s="388">
        <f t="shared" si="63"/>
        <v>47.75482475109186</v>
      </c>
      <c r="AB177" s="199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0.16497048902017583</v>
      </c>
      <c r="AD177" s="233">
        <f>(INDEX(Models!$BJ177:$BT177,,AH177)*(1-AF177)+INDEX(Models!$BJ177:$BT177,,AH177+1)*AF177-ERP_i)*AE177*Ramure*Pc/MaxiM</f>
        <v>2.2165816667537029E-4</v>
      </c>
      <c r="AE177" s="307">
        <f t="shared" si="65"/>
        <v>0.9</v>
      </c>
      <c r="AF177" s="179">
        <f t="shared" si="66"/>
        <v>0.81236552797854267</v>
      </c>
      <c r="AG177" s="839">
        <f t="shared" si="74"/>
        <v>0</v>
      </c>
      <c r="AH177" s="178">
        <f t="shared" si="67"/>
        <v>6</v>
      </c>
      <c r="AI177" s="227">
        <f t="shared" si="68"/>
        <v>0.81236552797854267</v>
      </c>
      <c r="AJ177" s="267" t="b">
        <f t="shared" si="69"/>
        <v>0</v>
      </c>
      <c r="AK177" s="267" t="b">
        <f t="shared" si="70"/>
        <v>0</v>
      </c>
      <c r="AL177" s="267"/>
      <c r="AM177" s="267"/>
      <c r="AN177" s="75"/>
    </row>
    <row r="178" spans="1:40" s="6" customFormat="1" ht="11.25" x14ac:dyDescent="0.2">
      <c r="A178" s="56">
        <f t="shared" si="71"/>
        <v>45090</v>
      </c>
      <c r="B178" s="413">
        <f>'2022'!Wh/'2022'!Env_an*'2023'!Env_an</f>
        <v>52.317387017209519</v>
      </c>
      <c r="C178" s="868"/>
      <c r="D178" s="395">
        <f t="shared" si="50"/>
        <v>54.526271466762275</v>
      </c>
      <c r="E178" s="387">
        <f t="shared" si="75"/>
        <v>58.684925480843553</v>
      </c>
      <c r="F178" s="387">
        <f t="shared" si="51"/>
        <v>58.696003037850751</v>
      </c>
      <c r="G178" s="110">
        <f t="shared" si="76"/>
        <v>0.91193948834017846</v>
      </c>
      <c r="H178" s="416" t="b">
        <f>Wh_hp&gt;='2022'!Maxi_hp</f>
        <v>0</v>
      </c>
      <c r="I178" s="392">
        <f>IF(H178,Wh_hp,'2022'!Maxi_hp)</f>
        <v>63.47863553055479</v>
      </c>
      <c r="J178" s="85">
        <f>IF(H178,An,'2022'!An_max)</f>
        <v>2019</v>
      </c>
      <c r="K178" s="199">
        <f t="shared" si="52"/>
        <v>45090</v>
      </c>
      <c r="L178" s="147">
        <f>IF(t&lt;Tvie,1-EXP((T0-t)*PertePVj)+'2022'!Pspv,1-EXP((T0-t)*PertePVj)+Pspv)</f>
        <v>4.0510462023782945E-2</v>
      </c>
      <c r="M178" s="872"/>
      <c r="N178" s="872"/>
      <c r="O178" s="48">
        <f>IF(t&lt;Tnet,'2022'!Resal+('2022'!Salim-'2022'!Resal)*(1-EXP(('2022'!Tnet-t)/('2022'!Tau_j))),Resal+(Salim-Resal)*(1-EXP((Tnet-t)/(Tau_j))))*Salcycl</f>
        <v>7.0864092950732094E-2</v>
      </c>
      <c r="P178" s="171">
        <f>(INDEX(Models!$BJ178:$BT178,,T178)*(1-R178)+INDEX(Models!$BJ178:$BT178,,T178+1)*R178-ERP_i)*Q178*Ramure*Pc/MaxiM</f>
        <v>2.1587753533559704E-4</v>
      </c>
      <c r="Q178" s="307">
        <f t="shared" si="53"/>
        <v>0.9</v>
      </c>
      <c r="R178" s="179">
        <f t="shared" si="54"/>
        <v>0.81852635777169214</v>
      </c>
      <c r="S178" s="839">
        <f t="shared" si="55"/>
        <v>0</v>
      </c>
      <c r="T178" s="178">
        <f t="shared" si="56"/>
        <v>6</v>
      </c>
      <c r="U178" s="253">
        <f t="shared" si="57"/>
        <v>0.81852635777169214</v>
      </c>
      <c r="V178" s="385">
        <f t="shared" si="58"/>
        <v>57.367804558748659</v>
      </c>
      <c r="W178" s="404">
        <f t="shared" si="59"/>
        <v>52.317387017209519</v>
      </c>
      <c r="X178" s="157">
        <f t="shared" si="60"/>
        <v>45090</v>
      </c>
      <c r="Y178" s="387">
        <f t="shared" si="61"/>
        <v>47.007312670261761</v>
      </c>
      <c r="Z178" s="387">
        <f t="shared" si="62"/>
        <v>48.992001277482338</v>
      </c>
      <c r="AA178" s="388">
        <f t="shared" si="63"/>
        <v>58.684925480843553</v>
      </c>
      <c r="AB178" s="199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0.16516889344138752</v>
      </c>
      <c r="AD178" s="233">
        <f>(INDEX(Models!$BJ178:$BT178,,AH178)*(1-AF178)+INDEX(Models!$BJ178:$BT178,,AH178+1)*AF178-ERP_i)*AE178*Ramure*Pc/MaxiM</f>
        <v>2.1587753533559704E-4</v>
      </c>
      <c r="AE178" s="307">
        <f t="shared" si="65"/>
        <v>0.9</v>
      </c>
      <c r="AF178" s="179">
        <f t="shared" si="66"/>
        <v>0.81852635777169214</v>
      </c>
      <c r="AG178" s="839">
        <f t="shared" si="74"/>
        <v>0</v>
      </c>
      <c r="AH178" s="178">
        <f t="shared" si="67"/>
        <v>6</v>
      </c>
      <c r="AI178" s="227">
        <f t="shared" si="68"/>
        <v>0.81852635777169214</v>
      </c>
      <c r="AJ178" s="267" t="b">
        <f t="shared" si="69"/>
        <v>0</v>
      </c>
      <c r="AK178" s="267" t="b">
        <f t="shared" si="70"/>
        <v>0</v>
      </c>
      <c r="AL178" s="267"/>
      <c r="AM178" s="267"/>
      <c r="AN178" s="75"/>
    </row>
    <row r="179" spans="1:40" s="6" customFormat="1" ht="11.25" x14ac:dyDescent="0.2">
      <c r="A179" s="56">
        <f t="shared" si="71"/>
        <v>45091</v>
      </c>
      <c r="B179" s="413">
        <f>'2022'!Wh/'2022'!Env_an*'2023'!Env_an</f>
        <v>44.933398764998593</v>
      </c>
      <c r="C179" s="868"/>
      <c r="D179" s="395">
        <f t="shared" si="50"/>
        <v>46.831614808373089</v>
      </c>
      <c r="E179" s="387">
        <f t="shared" si="75"/>
        <v>50.415837034967275</v>
      </c>
      <c r="F179" s="387">
        <f t="shared" si="51"/>
        <v>50.423183378898074</v>
      </c>
      <c r="G179" s="110">
        <f t="shared" si="76"/>
        <v>0.78376472743203496</v>
      </c>
      <c r="H179" s="416" t="b">
        <f>Wh_hp&gt;='2022'!Maxi_hp</f>
        <v>0</v>
      </c>
      <c r="I179" s="392">
        <f>IF(H179,Wh_hp,'2022'!Maxi_hp)</f>
        <v>54.493603449574607</v>
      </c>
      <c r="J179" s="85">
        <f>IF(H179,An,'2022'!An_max)</f>
        <v>2021</v>
      </c>
      <c r="K179" s="199">
        <f t="shared" si="52"/>
        <v>45091</v>
      </c>
      <c r="L179" s="147">
        <f>IF(t&lt;Tvie,1-EXP((T0-t)*PertePVj)+'2022'!Pspv,1-EXP((T0-t)*PertePVj)+Pspv)</f>
        <v>4.0532790747055625E-2</v>
      </c>
      <c r="M179" s="872"/>
      <c r="N179" s="872"/>
      <c r="O179" s="48">
        <f>IF(t&lt;Tnet,'2022'!Resal+('2022'!Salim-'2022'!Resal)*(1-EXP(('2022'!Tnet-t)/('2022'!Tau_j))),Resal+(Salim-Resal)*(1-EXP((Tnet-t)/(Tau_j))))*Salcycl</f>
        <v>7.1093180980179929E-2</v>
      </c>
      <c r="P179" s="171">
        <f>(INDEX(Models!$BJ179:$BT179,,T179)*(1-R179)+INDEX(Models!$BJ179:$BT179,,T179+1)*R179-ERP_i)*Q179*Ramure*Pc/MaxiM</f>
        <v>2.107943777763775E-4</v>
      </c>
      <c r="Q179" s="307">
        <f t="shared" si="53"/>
        <v>0.9</v>
      </c>
      <c r="R179" s="179">
        <f t="shared" si="54"/>
        <v>0.82467162190454846</v>
      </c>
      <c r="S179" s="839">
        <f t="shared" si="55"/>
        <v>0</v>
      </c>
      <c r="T179" s="178">
        <f t="shared" si="56"/>
        <v>6</v>
      </c>
      <c r="U179" s="253">
        <f t="shared" si="57"/>
        <v>0.82467162190454846</v>
      </c>
      <c r="V179" s="385">
        <f t="shared" si="58"/>
        <v>57.326480224007376</v>
      </c>
      <c r="W179" s="404">
        <f t="shared" si="59"/>
        <v>44.933398764998593</v>
      </c>
      <c r="X179" s="157">
        <f t="shared" si="60"/>
        <v>45091</v>
      </c>
      <c r="Y179" s="387">
        <f t="shared" si="61"/>
        <v>40.373295857892074</v>
      </c>
      <c r="Z179" s="387">
        <f t="shared" si="62"/>
        <v>42.078869885847723</v>
      </c>
      <c r="AA179" s="388">
        <f t="shared" si="63"/>
        <v>50.415837034967275</v>
      </c>
      <c r="AB179" s="199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0.16536405303232843</v>
      </c>
      <c r="AD179" s="233">
        <f>(INDEX(Models!$BJ179:$BT179,,AH179)*(1-AF179)+INDEX(Models!$BJ179:$BT179,,AH179+1)*AF179-ERP_i)*AE179*Ramure*Pc/MaxiM</f>
        <v>2.107943777763775E-4</v>
      </c>
      <c r="AE179" s="307">
        <f t="shared" si="65"/>
        <v>0.9</v>
      </c>
      <c r="AF179" s="179">
        <f t="shared" si="66"/>
        <v>0.82467162190454846</v>
      </c>
      <c r="AG179" s="839">
        <f t="shared" si="74"/>
        <v>0</v>
      </c>
      <c r="AH179" s="178">
        <f t="shared" si="67"/>
        <v>6</v>
      </c>
      <c r="AI179" s="227">
        <f t="shared" si="68"/>
        <v>0.82467162190454846</v>
      </c>
      <c r="AJ179" s="267" t="b">
        <f t="shared" si="69"/>
        <v>0</v>
      </c>
      <c r="AK179" s="267" t="b">
        <f t="shared" si="70"/>
        <v>0</v>
      </c>
      <c r="AL179" s="267"/>
      <c r="AM179" s="267"/>
      <c r="AN179" s="75"/>
    </row>
    <row r="180" spans="1:40" s="6" customFormat="1" ht="11.25" x14ac:dyDescent="0.2">
      <c r="A180" s="56">
        <f t="shared" si="71"/>
        <v>45092</v>
      </c>
      <c r="B180" s="413">
        <f>'2022'!Wh/'2022'!Env_an*'2023'!Env_an</f>
        <v>53.073014735894247</v>
      </c>
      <c r="C180" s="868"/>
      <c r="D180" s="395">
        <f t="shared" si="50"/>
        <v>55.316376984419492</v>
      </c>
      <c r="E180" s="387">
        <f t="shared" si="75"/>
        <v>59.564574812373593</v>
      </c>
      <c r="F180" s="387">
        <f t="shared" si="51"/>
        <v>59.575581411530251</v>
      </c>
      <c r="G180" s="110">
        <f t="shared" si="76"/>
        <v>0.92650766080482505</v>
      </c>
      <c r="H180" s="416" t="b">
        <f>Wh_hp&gt;='2022'!Maxi_hp</f>
        <v>0</v>
      </c>
      <c r="I180" s="392">
        <f>IF(H180,Wh_hp,'2022'!Maxi_hp)</f>
        <v>59.57592395549829</v>
      </c>
      <c r="J180" s="85">
        <f>IF(H180,An,'2022'!An_max)</f>
        <v>2022</v>
      </c>
      <c r="K180" s="199">
        <f t="shared" si="52"/>
        <v>45092</v>
      </c>
      <c r="L180" s="147">
        <f>IF(t&lt;Tvie,1-EXP((T0-t)*PertePVj)+'2022'!Pspv,1-EXP((T0-t)*PertePVj)+Pspv)</f>
        <v>4.0555118950706293E-2</v>
      </c>
      <c r="M180" s="872"/>
      <c r="N180" s="872"/>
      <c r="O180" s="48">
        <f>IF(t&lt;Tnet,'2022'!Resal+('2022'!Salim-'2022'!Resal)*(1-EXP(('2022'!Tnet-t)/('2022'!Tau_j))),Resal+(Salim-Resal)*(1-EXP((Tnet-t)/(Tau_j))))*Salcycl</f>
        <v>7.1320878917305874E-2</v>
      </c>
      <c r="P180" s="171">
        <f>(INDEX(Models!$BJ180:$BT180,,T180)*(1-R180)+INDEX(Models!$BJ180:$BT180,,T180+1)*R180-ERP_i)*Q180*Ramure*Pc/MaxiM</f>
        <v>2.0641563874568676E-4</v>
      </c>
      <c r="Q180" s="307">
        <f t="shared" si="53"/>
        <v>0.9</v>
      </c>
      <c r="R180" s="179">
        <f t="shared" si="54"/>
        <v>0.83079621326600228</v>
      </c>
      <c r="S180" s="839">
        <f t="shared" si="55"/>
        <v>0</v>
      </c>
      <c r="T180" s="178">
        <f t="shared" si="56"/>
        <v>6</v>
      </c>
      <c r="U180" s="253">
        <f t="shared" si="57"/>
        <v>0.83079621326600228</v>
      </c>
      <c r="V180" s="385">
        <f t="shared" si="58"/>
        <v>57.281625308850074</v>
      </c>
      <c r="W180" s="404">
        <f t="shared" si="59"/>
        <v>53.073014735894247</v>
      </c>
      <c r="X180" s="157">
        <f t="shared" si="60"/>
        <v>45092</v>
      </c>
      <c r="Y180" s="387">
        <f t="shared" si="61"/>
        <v>47.687586780818883</v>
      </c>
      <c r="Z180" s="387">
        <f t="shared" si="62"/>
        <v>49.703310448293301</v>
      </c>
      <c r="AA180" s="388">
        <f t="shared" si="63"/>
        <v>59.564574812373593</v>
      </c>
      <c r="AB180" s="199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0.16555585925263369</v>
      </c>
      <c r="AD180" s="233">
        <f>(INDEX(Models!$BJ180:$BT180,,AH180)*(1-AF180)+INDEX(Models!$BJ180:$BT180,,AH180+1)*AF180-ERP_i)*AE180*Ramure*Pc/MaxiM</f>
        <v>2.0641563874568676E-4</v>
      </c>
      <c r="AE180" s="307">
        <f t="shared" si="65"/>
        <v>0.9</v>
      </c>
      <c r="AF180" s="179">
        <f t="shared" si="66"/>
        <v>0.83079621326600228</v>
      </c>
      <c r="AG180" s="839">
        <f t="shared" si="74"/>
        <v>0</v>
      </c>
      <c r="AH180" s="178">
        <f t="shared" si="67"/>
        <v>6</v>
      </c>
      <c r="AI180" s="227">
        <f t="shared" si="68"/>
        <v>0.83079621326600228</v>
      </c>
      <c r="AJ180" s="267" t="b">
        <f t="shared" si="69"/>
        <v>0</v>
      </c>
      <c r="AK180" s="267" t="b">
        <f t="shared" si="70"/>
        <v>0</v>
      </c>
      <c r="AL180" s="267"/>
      <c r="AM180" s="267"/>
      <c r="AN180" s="75"/>
    </row>
    <row r="181" spans="1:40" s="6" customFormat="1" ht="11.25" x14ac:dyDescent="0.2">
      <c r="A181" s="56">
        <f t="shared" si="71"/>
        <v>45093</v>
      </c>
      <c r="B181" s="413">
        <f>'2022'!Wh/'2022'!Env_an*'2023'!Env_an</f>
        <v>49.269372520451149</v>
      </c>
      <c r="C181" s="868"/>
      <c r="D181" s="395">
        <f t="shared" si="50"/>
        <v>51.353152318167631</v>
      </c>
      <c r="E181" s="387">
        <f t="shared" si="75"/>
        <v>55.310457068555344</v>
      </c>
      <c r="F181" s="387">
        <f t="shared" si="51"/>
        <v>55.31944342955547</v>
      </c>
      <c r="G181" s="110">
        <f t="shared" si="76"/>
        <v>0.86081462759904392</v>
      </c>
      <c r="H181" s="416" t="b">
        <f>Wh_hp&gt;='2022'!Maxi_hp</f>
        <v>0</v>
      </c>
      <c r="I181" s="392">
        <f>IF(H181,Wh_hp,'2022'!Maxi_hp)</f>
        <v>65.039285563897309</v>
      </c>
      <c r="J181" s="85">
        <f>IF(H181,An,'2022'!An_max)</f>
        <v>2019</v>
      </c>
      <c r="K181" s="199">
        <f t="shared" si="52"/>
        <v>45093</v>
      </c>
      <c r="L181" s="147">
        <f>IF(t&lt;Tvie,1-EXP((T0-t)*PertePVj)+'2022'!Pspv,1-EXP((T0-t)*PertePVj)+Pspv)</f>
        <v>4.057744663474705E-2</v>
      </c>
      <c r="M181" s="872"/>
      <c r="N181" s="872"/>
      <c r="O181" s="48">
        <f>IF(t&lt;Tnet,'2022'!Resal+('2022'!Salim-'2022'!Resal)*(1-EXP(('2022'!Tnet-t)/('2022'!Tau_j))),Resal+(Salim-Resal)*(1-EXP((Tnet-t)/(Tau_j))))*Salcycl</f>
        <v>7.1547135209582141E-2</v>
      </c>
      <c r="P181" s="171">
        <f>(INDEX(Models!$BJ181:$BT181,,T181)*(1-R181)+INDEX(Models!$BJ181:$BT181,,T181+1)*R181-ERP_i)*Q181*Ramure*Pc/MaxiM</f>
        <v>2.0274861432351929E-4</v>
      </c>
      <c r="Q181" s="307">
        <f t="shared" si="53"/>
        <v>0.9</v>
      </c>
      <c r="R181" s="179">
        <f t="shared" si="54"/>
        <v>0.83689509380563154</v>
      </c>
      <c r="S181" s="839">
        <f t="shared" si="55"/>
        <v>0</v>
      </c>
      <c r="T181" s="178">
        <f t="shared" si="56"/>
        <v>6</v>
      </c>
      <c r="U181" s="253">
        <f t="shared" si="57"/>
        <v>0.83689509380563154</v>
      </c>
      <c r="V181" s="385">
        <f t="shared" si="58"/>
        <v>57.233444784877307</v>
      </c>
      <c r="W181" s="404">
        <f t="shared" si="59"/>
        <v>49.269372520451149</v>
      </c>
      <c r="X181" s="157">
        <f t="shared" si="60"/>
        <v>45093</v>
      </c>
      <c r="Y181" s="387">
        <f t="shared" si="61"/>
        <v>44.270700940634356</v>
      </c>
      <c r="Z181" s="387">
        <f t="shared" si="62"/>
        <v>46.143068854647261</v>
      </c>
      <c r="AA181" s="388">
        <f t="shared" si="63"/>
        <v>55.310457068555344</v>
      </c>
      <c r="AB181" s="199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0.16574421365828584</v>
      </c>
      <c r="AD181" s="233">
        <f>(INDEX(Models!$BJ181:$BT181,,AH181)*(1-AF181)+INDEX(Models!$BJ181:$BT181,,AH181+1)*AF181-ERP_i)*AE181*Ramure*Pc/MaxiM</f>
        <v>2.0274861432351929E-4</v>
      </c>
      <c r="AE181" s="307">
        <f t="shared" si="65"/>
        <v>0.9</v>
      </c>
      <c r="AF181" s="179">
        <f t="shared" si="66"/>
        <v>0.83689509380563154</v>
      </c>
      <c r="AG181" s="839">
        <f t="shared" si="74"/>
        <v>0</v>
      </c>
      <c r="AH181" s="178">
        <f t="shared" si="67"/>
        <v>6</v>
      </c>
      <c r="AI181" s="227">
        <f t="shared" si="68"/>
        <v>0.83689509380563154</v>
      </c>
      <c r="AJ181" s="267" t="b">
        <f t="shared" si="69"/>
        <v>0</v>
      </c>
      <c r="AK181" s="267" t="b">
        <f t="shared" si="70"/>
        <v>0</v>
      </c>
      <c r="AL181" s="267"/>
      <c r="AM181" s="267"/>
      <c r="AN181" s="75"/>
    </row>
    <row r="182" spans="1:40" s="6" customFormat="1" ht="11.25" x14ac:dyDescent="0.2">
      <c r="A182" s="56">
        <f t="shared" si="71"/>
        <v>45094</v>
      </c>
      <c r="B182" s="413">
        <f>'2022'!Wh/'2022'!Env_an*'2023'!Env_an</f>
        <v>50.828303723216628</v>
      </c>
      <c r="C182" s="868"/>
      <c r="D182" s="395">
        <f t="shared" si="50"/>
        <v>52.979249259190674</v>
      </c>
      <c r="E182" s="387">
        <f t="shared" si="75"/>
        <v>57.075679353151884</v>
      </c>
      <c r="F182" s="387">
        <f t="shared" si="51"/>
        <v>57.085274540046569</v>
      </c>
      <c r="G182" s="110">
        <f t="shared" si="76"/>
        <v>0.88885600689991662</v>
      </c>
      <c r="H182" s="416" t="b">
        <f>Wh_hp&gt;='2022'!Maxi_hp</f>
        <v>0</v>
      </c>
      <c r="I182" s="392">
        <f>IF(H182,Wh_hp,'2022'!Maxi_hp)</f>
        <v>64.172598180317252</v>
      </c>
      <c r="J182" s="85">
        <f>IF(H182,An,'2022'!An_max)</f>
        <v>2019</v>
      </c>
      <c r="K182" s="199">
        <f t="shared" si="52"/>
        <v>45094</v>
      </c>
      <c r="L182" s="147">
        <f>IF(t&lt;Tvie,1-EXP((T0-t)*PertePVj)+'2022'!Pspv,1-EXP((T0-t)*PertePVj)+Pspv)</f>
        <v>4.0599773799189998E-2</v>
      </c>
      <c r="M182" s="872"/>
      <c r="N182" s="872"/>
      <c r="O182" s="48">
        <f>IF(t&lt;Tnet,'2022'!Resal+('2022'!Salim-'2022'!Resal)*(1-EXP(('2022'!Tnet-t)/('2022'!Tau_j))),Resal+(Salim-Resal)*(1-EXP((Tnet-t)/(Tau_j))))*Salcycl</f>
        <v>7.177190250535305E-2</v>
      </c>
      <c r="P182" s="171">
        <f>(INDEX(Models!$BJ182:$BT182,,T182)*(1-R182)+INDEX(Models!$BJ182:$BT182,,T182+1)*R182-ERP_i)*Q182*Ramure*Pc/MaxiM</f>
        <v>1.9980091818279656E-4</v>
      </c>
      <c r="Q182" s="307">
        <f t="shared" si="53"/>
        <v>0.9</v>
      </c>
      <c r="R182" s="179">
        <f t="shared" si="54"/>
        <v>0.84296331087586007</v>
      </c>
      <c r="S182" s="839">
        <f t="shared" si="55"/>
        <v>0</v>
      </c>
      <c r="T182" s="178">
        <f t="shared" si="56"/>
        <v>6</v>
      </c>
      <c r="U182" s="253">
        <f t="shared" si="57"/>
        <v>0.84296331087586007</v>
      </c>
      <c r="V182" s="385">
        <f t="shared" si="58"/>
        <v>57.182143113083598</v>
      </c>
      <c r="W182" s="404">
        <f t="shared" si="59"/>
        <v>50.828303723216628</v>
      </c>
      <c r="X182" s="157">
        <f t="shared" si="60"/>
        <v>45094</v>
      </c>
      <c r="Y182" s="387">
        <f t="shared" si="61"/>
        <v>45.672408316740821</v>
      </c>
      <c r="Z182" s="387">
        <f t="shared" si="62"/>
        <v>47.605167342519707</v>
      </c>
      <c r="AA182" s="388">
        <f t="shared" si="63"/>
        <v>57.075679353151884</v>
      </c>
      <c r="AB182" s="199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0.16592902822994057</v>
      </c>
      <c r="AD182" s="233">
        <f>(INDEX(Models!$BJ182:$BT182,,AH182)*(1-AF182)+INDEX(Models!$BJ182:$BT182,,AH182+1)*AF182-ERP_i)*AE182*Ramure*Pc/MaxiM</f>
        <v>1.9980091818279656E-4</v>
      </c>
      <c r="AE182" s="307">
        <f t="shared" si="65"/>
        <v>0.9</v>
      </c>
      <c r="AF182" s="179">
        <f t="shared" si="66"/>
        <v>0.84296331087586007</v>
      </c>
      <c r="AG182" s="839">
        <f t="shared" si="74"/>
        <v>0</v>
      </c>
      <c r="AH182" s="178">
        <f t="shared" si="67"/>
        <v>6</v>
      </c>
      <c r="AI182" s="227">
        <f t="shared" si="68"/>
        <v>0.84296331087586007</v>
      </c>
      <c r="AJ182" s="267" t="b">
        <f t="shared" si="69"/>
        <v>0</v>
      </c>
      <c r="AK182" s="267" t="b">
        <f t="shared" si="70"/>
        <v>0</v>
      </c>
      <c r="AL182" s="267"/>
      <c r="AM182" s="267"/>
      <c r="AN182" s="75"/>
    </row>
    <row r="183" spans="1:40" s="6" customFormat="1" ht="11.25" x14ac:dyDescent="0.2">
      <c r="A183" s="56">
        <f t="shared" si="71"/>
        <v>45095</v>
      </c>
      <c r="B183" s="413">
        <f>'2022'!Wh/'2022'!Env_an*'2023'!Env_an</f>
        <v>52.840868395101666</v>
      </c>
      <c r="C183" s="868"/>
      <c r="D183" s="395">
        <f t="shared" si="50"/>
        <v>55.078263132347551</v>
      </c>
      <c r="E183" s="387">
        <f t="shared" si="75"/>
        <v>59.351265685067354</v>
      </c>
      <c r="F183" s="387">
        <f t="shared" si="51"/>
        <v>59.361737033297622</v>
      </c>
      <c r="G183" s="110">
        <f t="shared" si="76"/>
        <v>0.92493731665407852</v>
      </c>
      <c r="H183" s="416" t="b">
        <f>Wh_hp&gt;='2022'!Maxi_hp</f>
        <v>0</v>
      </c>
      <c r="I183" s="392">
        <f>IF(H183,Wh_hp,'2022'!Maxi_hp)</f>
        <v>62.517821200510539</v>
      </c>
      <c r="J183" s="85">
        <f>IF(H183,An,'2022'!An_max)</f>
        <v>2019</v>
      </c>
      <c r="K183" s="199">
        <f t="shared" si="52"/>
        <v>45095</v>
      </c>
      <c r="L183" s="147">
        <f>IF(t&lt;Tvie,1-EXP((T0-t)*PertePVj)+'2022'!Pspv,1-EXP((T0-t)*PertePVj)+Pspv)</f>
        <v>4.0622100444047238E-2</v>
      </c>
      <c r="M183" s="872"/>
      <c r="N183" s="872"/>
      <c r="O183" s="48">
        <f>IF(t&lt;Tnet,'2022'!Resal+('2022'!Salim-'2022'!Resal)*(1-EXP(('2022'!Tnet-t)/('2022'!Tau_j))),Resal+(Salim-Resal)*(1-EXP((Tnet-t)/(Tau_j))))*Salcycl</f>
        <v>7.1995137818853291E-2</v>
      </c>
      <c r="P183" s="171">
        <f>(INDEX(Models!$BJ183:$BT183,,T183)*(1-R183)+INDEX(Models!$BJ183:$BT183,,T183+1)*R183-ERP_i)*Q183*Ramure*Pc/MaxiM</f>
        <v>1.9758044810970341E-4</v>
      </c>
      <c r="Q183" s="307">
        <f t="shared" si="53"/>
        <v>0.9</v>
      </c>
      <c r="R183" s="179">
        <f t="shared" si="54"/>
        <v>0.84899601297527738</v>
      </c>
      <c r="S183" s="839">
        <f t="shared" si="55"/>
        <v>0</v>
      </c>
      <c r="T183" s="178">
        <f t="shared" si="56"/>
        <v>6</v>
      </c>
      <c r="U183" s="253">
        <f t="shared" si="57"/>
        <v>0.84899601297527738</v>
      </c>
      <c r="V183" s="385">
        <f t="shared" si="58"/>
        <v>57.127924236158293</v>
      </c>
      <c r="W183" s="404">
        <f t="shared" si="59"/>
        <v>52.840868395101666</v>
      </c>
      <c r="X183" s="157">
        <f t="shared" si="60"/>
        <v>45095</v>
      </c>
      <c r="Y183" s="387">
        <f t="shared" si="61"/>
        <v>47.481927755353034</v>
      </c>
      <c r="Z183" s="387">
        <f t="shared" si="62"/>
        <v>49.492413549790967</v>
      </c>
      <c r="AA183" s="388">
        <f t="shared" si="63"/>
        <v>59.351265685067354</v>
      </c>
      <c r="AB183" s="199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0.16611022564522751</v>
      </c>
      <c r="AD183" s="233">
        <f>(INDEX(Models!$BJ183:$BT183,,AH183)*(1-AF183)+INDEX(Models!$BJ183:$BT183,,AH183+1)*AF183-ERP_i)*AE183*Ramure*Pc/MaxiM</f>
        <v>1.9758044810970341E-4</v>
      </c>
      <c r="AE183" s="307">
        <f t="shared" si="65"/>
        <v>0.9</v>
      </c>
      <c r="AF183" s="179">
        <f t="shared" si="66"/>
        <v>0.84899601297527738</v>
      </c>
      <c r="AG183" s="839">
        <f t="shared" si="74"/>
        <v>0</v>
      </c>
      <c r="AH183" s="178">
        <f t="shared" si="67"/>
        <v>6</v>
      </c>
      <c r="AI183" s="227">
        <f t="shared" si="68"/>
        <v>0.84899601297527738</v>
      </c>
      <c r="AJ183" s="267" t="b">
        <f t="shared" si="69"/>
        <v>0</v>
      </c>
      <c r="AK183" s="267" t="b">
        <f t="shared" si="70"/>
        <v>0</v>
      </c>
      <c r="AL183" s="267"/>
      <c r="AM183" s="267"/>
      <c r="AN183" s="75"/>
    </row>
    <row r="184" spans="1:40" s="6" customFormat="1" ht="11.25" x14ac:dyDescent="0.2">
      <c r="A184" s="56">
        <f t="shared" si="71"/>
        <v>45096</v>
      </c>
      <c r="B184" s="413">
        <f>'2022'!Wh/'2022'!Env_an*'2023'!Env_an</f>
        <v>54.15264437706557</v>
      </c>
      <c r="C184" s="868"/>
      <c r="D184" s="395">
        <f t="shared" si="50"/>
        <v>56.446896100696989</v>
      </c>
      <c r="E184" s="387">
        <f t="shared" si="75"/>
        <v>60.840610460730439</v>
      </c>
      <c r="F184" s="387">
        <f t="shared" si="51"/>
        <v>60.851685768311903</v>
      </c>
      <c r="G184" s="110">
        <f t="shared" si="76"/>
        <v>0.94885124144283672</v>
      </c>
      <c r="H184" s="416" t="b">
        <f>Wh_hp&gt;='2022'!Maxi_hp</f>
        <v>0</v>
      </c>
      <c r="I184" s="392">
        <f>IF(H184,Wh_hp,'2022'!Maxi_hp)</f>
        <v>60.851906660258678</v>
      </c>
      <c r="J184" s="85">
        <f>IF(H184,An,'2022'!An_max)</f>
        <v>2022</v>
      </c>
      <c r="K184" s="199">
        <f t="shared" si="52"/>
        <v>45096</v>
      </c>
      <c r="L184" s="147">
        <f>IF(t&lt;Tvie,1-EXP((T0-t)*PertePVj)+'2022'!Pspv,1-EXP((T0-t)*PertePVj)+Pspv)</f>
        <v>4.064442656933076E-2</v>
      </c>
      <c r="M184" s="872"/>
      <c r="N184" s="872"/>
      <c r="O184" s="48">
        <f>IF(t&lt;Tnet,'2022'!Resal+('2022'!Salim-'2022'!Resal)*(1-EXP(('2022'!Tnet-t)/('2022'!Tau_j))),Resal+(Salim-Resal)*(1-EXP((Tnet-t)/(Tau_j))))*Salcycl</f>
        <v>7.2216802671126595E-2</v>
      </c>
      <c r="P184" s="171">
        <f>(INDEX(Models!$BJ184:$BT184,,T184)*(1-R184)+INDEX(Models!$BJ184:$BT184,,T184+1)*R184-ERP_i)*Q184*Ramure*Pc/MaxiM</f>
        <v>1.9634822128686697E-4</v>
      </c>
      <c r="Q184" s="307">
        <f t="shared" si="53"/>
        <v>0.9</v>
      </c>
      <c r="R184" s="179">
        <f t="shared" si="54"/>
        <v>0.85498846478946378</v>
      </c>
      <c r="S184" s="839">
        <f t="shared" si="55"/>
        <v>0</v>
      </c>
      <c r="T184" s="178">
        <f t="shared" si="56"/>
        <v>6</v>
      </c>
      <c r="U184" s="253">
        <f t="shared" si="57"/>
        <v>0.85498846478946378</v>
      </c>
      <c r="V184" s="385">
        <f t="shared" si="58"/>
        <v>57.070977139538918</v>
      </c>
      <c r="W184" s="404">
        <f t="shared" si="59"/>
        <v>54.15264437706557</v>
      </c>
      <c r="X184" s="157">
        <f t="shared" si="60"/>
        <v>45096</v>
      </c>
      <c r="Y184" s="387">
        <f t="shared" si="61"/>
        <v>48.661932751122528</v>
      </c>
      <c r="Z184" s="387">
        <f t="shared" si="62"/>
        <v>50.723562877845971</v>
      </c>
      <c r="AA184" s="388">
        <f t="shared" si="63"/>
        <v>60.840610460730439</v>
      </c>
      <c r="AB184" s="199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0.16628773949292502</v>
      </c>
      <c r="AD184" s="233">
        <f>(INDEX(Models!$BJ184:$BT184,,AH184)*(1-AF184)+INDEX(Models!$BJ184:$BT184,,AH184+1)*AF184-ERP_i)*AE184*Ramure*Pc/MaxiM</f>
        <v>1.9634822128686697E-4</v>
      </c>
      <c r="AE184" s="307">
        <f t="shared" si="65"/>
        <v>0.9</v>
      </c>
      <c r="AF184" s="179">
        <f t="shared" si="66"/>
        <v>0.85498846478946378</v>
      </c>
      <c r="AG184" s="839">
        <f t="shared" si="74"/>
        <v>0</v>
      </c>
      <c r="AH184" s="178">
        <f t="shared" si="67"/>
        <v>6</v>
      </c>
      <c r="AI184" s="227">
        <f t="shared" si="68"/>
        <v>0.85498846478946378</v>
      </c>
      <c r="AJ184" s="267" t="b">
        <f t="shared" si="69"/>
        <v>0</v>
      </c>
      <c r="AK184" s="267" t="b">
        <f t="shared" si="70"/>
        <v>0</v>
      </c>
      <c r="AL184" s="267"/>
      <c r="AM184" s="267"/>
      <c r="AN184" s="75"/>
    </row>
    <row r="185" spans="1:40" s="6" customFormat="1" ht="11.25" x14ac:dyDescent="0.2">
      <c r="A185" s="56">
        <f t="shared" si="71"/>
        <v>45097</v>
      </c>
      <c r="B185" s="413">
        <f>'2022'!Wh/'2022'!Env_an*'2023'!Env_an</f>
        <v>32.158516582818031</v>
      </c>
      <c r="C185" s="868"/>
      <c r="D185" s="395">
        <f t="shared" si="50"/>
        <v>33.521736743440904</v>
      </c>
      <c r="E185" s="387">
        <f t="shared" si="75"/>
        <v>36.139574131088963</v>
      </c>
      <c r="F185" s="387">
        <f t="shared" si="51"/>
        <v>36.142241252336461</v>
      </c>
      <c r="G185" s="110">
        <f t="shared" si="76"/>
        <v>0.56400164981969381</v>
      </c>
      <c r="H185" s="416" t="b">
        <f>Wh_hp&gt;='2022'!Maxi_hp</f>
        <v>0</v>
      </c>
      <c r="I185" s="392">
        <f>IF(H185,Wh_hp,'2022'!Maxi_hp)</f>
        <v>61.778509370898874</v>
      </c>
      <c r="J185" s="85">
        <f>IF(H185,An,'2022'!An_max)</f>
        <v>2020</v>
      </c>
      <c r="K185" s="199">
        <f t="shared" si="52"/>
        <v>45097</v>
      </c>
      <c r="L185" s="147">
        <f>IF(t&lt;Tvie,1-EXP((T0-t)*PertePVj)+'2022'!Pspv,1-EXP((T0-t)*PertePVj)+Pspv)</f>
        <v>4.0666752175052778E-2</v>
      </c>
      <c r="M185" s="872"/>
      <c r="N185" s="872"/>
      <c r="O185" s="48">
        <f>IF(t&lt;Tnet,'2022'!Resal+('2022'!Salim-'2022'!Resal)*(1-EXP(('2022'!Tnet-t)/('2022'!Tau_j))),Resal+(Salim-Resal)*(1-EXP((Tnet-t)/(Tau_j))))*Salcycl</f>
        <v>7.2436863205758512E-2</v>
      </c>
      <c r="P185" s="171">
        <f>(INDEX(Models!$BJ185:$BT185,,T185)*(1-R185)+INDEX(Models!$BJ185:$BT185,,T185+1)*R185-ERP_i)*Q185*Ramure*Pc/MaxiM</f>
        <v>1.9561675184791733E-4</v>
      </c>
      <c r="Q185" s="307">
        <f t="shared" si="53"/>
        <v>0.9</v>
      </c>
      <c r="R185" s="179">
        <f t="shared" si="54"/>
        <v>0.86093606143394974</v>
      </c>
      <c r="S185" s="839">
        <f t="shared" si="55"/>
        <v>0</v>
      </c>
      <c r="T185" s="178">
        <f t="shared" si="56"/>
        <v>6</v>
      </c>
      <c r="U185" s="253">
        <f t="shared" si="57"/>
        <v>0.86093606143394974</v>
      </c>
      <c r="V185" s="385">
        <f t="shared" si="58"/>
        <v>57.011533035766085</v>
      </c>
      <c r="W185" s="404">
        <f t="shared" si="59"/>
        <v>32.158516582818031</v>
      </c>
      <c r="X185" s="157">
        <f t="shared" si="60"/>
        <v>45097</v>
      </c>
      <c r="Y185" s="387">
        <f t="shared" si="61"/>
        <v>28.898691795091814</v>
      </c>
      <c r="Z185" s="387">
        <f t="shared" si="62"/>
        <v>30.123725890468727</v>
      </c>
      <c r="AA185" s="388">
        <f t="shared" si="63"/>
        <v>36.139574131088963</v>
      </c>
      <c r="AB185" s="199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0.16646151442734142</v>
      </c>
      <c r="AD185" s="233">
        <f>(INDEX(Models!$BJ185:$BT185,,AH185)*(1-AF185)+INDEX(Models!$BJ185:$BT185,,AH185+1)*AF185-ERP_i)*AE185*Ramure*Pc/MaxiM</f>
        <v>1.9561675184791733E-4</v>
      </c>
      <c r="AE185" s="307">
        <f t="shared" si="65"/>
        <v>0.9</v>
      </c>
      <c r="AF185" s="179">
        <f t="shared" si="66"/>
        <v>0.86093606143394974</v>
      </c>
      <c r="AG185" s="839">
        <f t="shared" si="74"/>
        <v>0</v>
      </c>
      <c r="AH185" s="178">
        <f t="shared" si="67"/>
        <v>6</v>
      </c>
      <c r="AI185" s="227">
        <f t="shared" si="68"/>
        <v>0.86093606143394974</v>
      </c>
      <c r="AJ185" s="267" t="b">
        <f t="shared" si="69"/>
        <v>0</v>
      </c>
      <c r="AK185" s="267" t="b">
        <f t="shared" si="70"/>
        <v>0</v>
      </c>
      <c r="AL185" s="267"/>
      <c r="AM185" s="267"/>
      <c r="AN185" s="75"/>
    </row>
    <row r="186" spans="1:40" s="6" customFormat="1" ht="11.25" x14ac:dyDescent="0.2">
      <c r="A186" s="56">
        <f t="shared" si="71"/>
        <v>45098</v>
      </c>
      <c r="B186" s="413">
        <f>'2022'!Wh/'2022'!Env_an*'2023'!Env_an</f>
        <v>19.093146139245501</v>
      </c>
      <c r="C186" s="868"/>
      <c r="D186" s="395">
        <f t="shared" si="50"/>
        <v>19.902980031474804</v>
      </c>
      <c r="E186" s="387">
        <f t="shared" si="75"/>
        <v>21.462331992439562</v>
      </c>
      <c r="F186" s="387">
        <f t="shared" si="51"/>
        <v>21.462543247161133</v>
      </c>
      <c r="G186" s="110">
        <f t="shared" si="76"/>
        <v>0.33520056730816283</v>
      </c>
      <c r="H186" s="416" t="b">
        <f>Wh_hp&gt;='2022'!Maxi_hp</f>
        <v>0</v>
      </c>
      <c r="I186" s="392">
        <f>IF(H186,Wh_hp,'2022'!Maxi_hp)</f>
        <v>55.37097904522787</v>
      </c>
      <c r="J186" s="85">
        <f>IF(H186,An,'2022'!An_max)</f>
        <v>2020</v>
      </c>
      <c r="K186" s="199">
        <f t="shared" si="52"/>
        <v>45098</v>
      </c>
      <c r="L186" s="147">
        <f>IF(t&lt;Tvie,1-EXP((T0-t)*PertePVj)+'2022'!Pspv,1-EXP((T0-t)*PertePVj)+Pspv)</f>
        <v>4.0689077261225393E-2</v>
      </c>
      <c r="M186" s="872"/>
      <c r="N186" s="872"/>
      <c r="O186" s="48">
        <f>IF(t&lt;Tnet,'2022'!Resal+('2022'!Salim-'2022'!Resal)*(1-EXP(('2022'!Tnet-t)/('2022'!Tau_j))),Resal+(Salim-Resal)*(1-EXP((Tnet-t)/(Tau_j))))*Salcycl</f>
        <v>7.2655290278524423E-2</v>
      </c>
      <c r="P186" s="171">
        <f>(INDEX(Models!$BJ186:$BT186,,T186)*(1-R186)+INDEX(Models!$BJ186:$BT186,,T186+1)*R186-ERP_i)*Q186*Ramure*Pc/MaxiM</f>
        <v>1.9539200410555486E-4</v>
      </c>
      <c r="Q186" s="307">
        <f t="shared" si="53"/>
        <v>0.9</v>
      </c>
      <c r="R186" s="179">
        <f t="shared" si="54"/>
        <v>0.86683434181322183</v>
      </c>
      <c r="S186" s="839">
        <f t="shared" si="55"/>
        <v>0</v>
      </c>
      <c r="T186" s="178">
        <f t="shared" si="56"/>
        <v>6</v>
      </c>
      <c r="U186" s="253">
        <f t="shared" si="57"/>
        <v>0.86683434181322183</v>
      </c>
      <c r="V186" s="385">
        <f t="shared" si="58"/>
        <v>56.949794394596296</v>
      </c>
      <c r="W186" s="404">
        <f t="shared" si="59"/>
        <v>19.093146139245501</v>
      </c>
      <c r="X186" s="157">
        <f t="shared" si="60"/>
        <v>45098</v>
      </c>
      <c r="Y186" s="387">
        <f t="shared" si="61"/>
        <v>17.158265175813028</v>
      </c>
      <c r="Z186" s="387">
        <f t="shared" si="62"/>
        <v>17.886031284650883</v>
      </c>
      <c r="AA186" s="388">
        <f t="shared" si="63"/>
        <v>21.462331992439562</v>
      </c>
      <c r="AB186" s="199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0.16663150626169079</v>
      </c>
      <c r="AD186" s="233">
        <f>(INDEX(Models!$BJ186:$BT186,,AH186)*(1-AF186)+INDEX(Models!$BJ186:$BT186,,AH186+1)*AF186-ERP_i)*AE186*Ramure*Pc/MaxiM</f>
        <v>1.9539200410555486E-4</v>
      </c>
      <c r="AE186" s="307">
        <f t="shared" si="65"/>
        <v>0.9</v>
      </c>
      <c r="AF186" s="179">
        <f t="shared" si="66"/>
        <v>0.86683434181322183</v>
      </c>
      <c r="AG186" s="839">
        <f t="shared" si="74"/>
        <v>0</v>
      </c>
      <c r="AH186" s="178">
        <f t="shared" si="67"/>
        <v>6</v>
      </c>
      <c r="AI186" s="227">
        <f t="shared" si="68"/>
        <v>0.86683434181322183</v>
      </c>
      <c r="AJ186" s="267" t="b">
        <f t="shared" si="69"/>
        <v>0</v>
      </c>
      <c r="AK186" s="267" t="b">
        <f t="shared" si="70"/>
        <v>0</v>
      </c>
      <c r="AL186" s="267"/>
      <c r="AM186" s="267"/>
      <c r="AN186" s="75"/>
    </row>
    <row r="187" spans="1:40" s="6" customFormat="1" ht="11.25" x14ac:dyDescent="0.2">
      <c r="A187" s="56">
        <f t="shared" si="71"/>
        <v>45099</v>
      </c>
      <c r="B187" s="413">
        <f>'2022'!Wh/'2022'!Env_an*'2023'!Env_an</f>
        <v>46.112639019399246</v>
      </c>
      <c r="C187" s="868"/>
      <c r="D187" s="395">
        <f t="shared" si="50"/>
        <v>48.069620661877785</v>
      </c>
      <c r="E187" s="387">
        <f t="shared" si="75"/>
        <v>51.847882652532363</v>
      </c>
      <c r="F187" s="387">
        <f t="shared" si="51"/>
        <v>51.85528442031476</v>
      </c>
      <c r="G187" s="110">
        <f t="shared" si="76"/>
        <v>0.81057250081423682</v>
      </c>
      <c r="H187" s="416" t="b">
        <f>Wh_hp&gt;='2022'!Maxi_hp</f>
        <v>0</v>
      </c>
      <c r="I187" s="392">
        <f>IF(H187,Wh_hp,'2022'!Maxi_hp)</f>
        <v>63.646514520182144</v>
      </c>
      <c r="J187" s="85">
        <f>IF(H187,An,'2022'!An_max)</f>
        <v>2020</v>
      </c>
      <c r="K187" s="199">
        <f t="shared" si="52"/>
        <v>45099</v>
      </c>
      <c r="L187" s="147">
        <f>IF(t&lt;Tvie,1-EXP((T0-t)*PertePVj)+'2022'!Pspv,1-EXP((T0-t)*PertePVj)+Pspv)</f>
        <v>4.0711401827860594E-2</v>
      </c>
      <c r="M187" s="872"/>
      <c r="N187" s="872"/>
      <c r="O187" s="48">
        <f>IF(t&lt;Tnet,'2022'!Resal+('2022'!Salim-'2022'!Resal)*(1-EXP(('2022'!Tnet-t)/('2022'!Tau_j))),Resal+(Salim-Resal)*(1-EXP((Tnet-t)/(Tau_j))))*Salcycl</f>
        <v>7.2872059520255883E-2</v>
      </c>
      <c r="P187" s="171">
        <f>(INDEX(Models!$BJ187:$BT187,,T187)*(1-R187)+INDEX(Models!$BJ187:$BT187,,T187+1)*R187-ERP_i)*Q187*Ramure*Pc/MaxiM</f>
        <v>1.9568004865398554E-4</v>
      </c>
      <c r="Q187" s="307">
        <f t="shared" si="53"/>
        <v>0.9</v>
      </c>
      <c r="R187" s="179">
        <f t="shared" si="54"/>
        <v>0.87267900101979357</v>
      </c>
      <c r="S187" s="839">
        <f t="shared" si="55"/>
        <v>0</v>
      </c>
      <c r="T187" s="178">
        <f t="shared" si="56"/>
        <v>6</v>
      </c>
      <c r="U187" s="253">
        <f t="shared" si="57"/>
        <v>0.87267900101979357</v>
      </c>
      <c r="V187" s="385">
        <f t="shared" si="58"/>
        <v>56.88596315548304</v>
      </c>
      <c r="W187" s="404">
        <f t="shared" si="59"/>
        <v>46.112639019399246</v>
      </c>
      <c r="X187" s="157">
        <f t="shared" si="60"/>
        <v>45099</v>
      </c>
      <c r="Y187" s="387">
        <f t="shared" si="61"/>
        <v>41.4410525695004</v>
      </c>
      <c r="Z187" s="387">
        <f t="shared" si="62"/>
        <v>43.199776009496588</v>
      </c>
      <c r="AA187" s="388">
        <f t="shared" si="63"/>
        <v>51.847882652532363</v>
      </c>
      <c r="AB187" s="199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0.16679768199971773</v>
      </c>
      <c r="AD187" s="233">
        <f>(INDEX(Models!$BJ187:$BT187,,AH187)*(1-AF187)+INDEX(Models!$BJ187:$BT187,,AH187+1)*AF187-ERP_i)*AE187*Ramure*Pc/MaxiM</f>
        <v>1.9568004865398554E-4</v>
      </c>
      <c r="AE187" s="307">
        <f t="shared" si="65"/>
        <v>0.9</v>
      </c>
      <c r="AF187" s="179">
        <f t="shared" si="66"/>
        <v>0.87267900101979357</v>
      </c>
      <c r="AG187" s="839">
        <f t="shared" si="74"/>
        <v>0</v>
      </c>
      <c r="AH187" s="178">
        <f t="shared" si="67"/>
        <v>6</v>
      </c>
      <c r="AI187" s="227">
        <f t="shared" si="68"/>
        <v>0.87267900101979357</v>
      </c>
      <c r="AJ187" s="267" t="b">
        <f t="shared" si="69"/>
        <v>0</v>
      </c>
      <c r="AK187" s="267" t="b">
        <f t="shared" si="70"/>
        <v>0</v>
      </c>
      <c r="AL187" s="267"/>
      <c r="AM187" s="267"/>
      <c r="AN187" s="75"/>
    </row>
    <row r="188" spans="1:40" s="6" customFormat="1" ht="11.25" x14ac:dyDescent="0.2">
      <c r="A188" s="56">
        <f t="shared" si="71"/>
        <v>45100</v>
      </c>
      <c r="B188" s="413">
        <f>'2022'!Wh/'2022'!Env_an*'2023'!Env_an</f>
        <v>40.866286356435701</v>
      </c>
      <c r="C188" s="868"/>
      <c r="D188" s="395">
        <f t="shared" si="50"/>
        <v>42.601608603107465</v>
      </c>
      <c r="E188" s="387">
        <f t="shared" si="75"/>
        <v>45.96074880846183</v>
      </c>
      <c r="F188" s="387">
        <f t="shared" si="51"/>
        <v>45.966157749208499</v>
      </c>
      <c r="G188" s="110">
        <f t="shared" si="76"/>
        <v>0.71916388562841915</v>
      </c>
      <c r="H188" s="416" t="b">
        <f>Wh_hp&gt;='2022'!Maxi_hp</f>
        <v>0</v>
      </c>
      <c r="I188" s="392">
        <f>IF(H188,Wh_hp,'2022'!Maxi_hp)</f>
        <v>56.737228376806002</v>
      </c>
      <c r="J188" s="85">
        <f>IF(H188,An,'2022'!An_max)</f>
        <v>2020</v>
      </c>
      <c r="K188" s="199">
        <f t="shared" si="52"/>
        <v>45100</v>
      </c>
      <c r="L188" s="147">
        <f>IF(t&lt;Tvie,1-EXP((T0-t)*PertePVj)+'2022'!Pspv,1-EXP((T0-t)*PertePVj)+Pspv)</f>
        <v>4.0733725874970483E-2</v>
      </c>
      <c r="M188" s="872"/>
      <c r="N188" s="872"/>
      <c r="O188" s="48">
        <f>IF(t&lt;Tnet,'2022'!Resal+('2022'!Salim-'2022'!Resal)*(1-EXP(('2022'!Tnet-t)/('2022'!Tau_j))),Resal+(Salim-Resal)*(1-EXP((Tnet-t)/(Tau_j))))*Salcycl</f>
        <v>7.3087151372431769E-2</v>
      </c>
      <c r="P188" s="171">
        <f>(INDEX(Models!$BJ188:$BT188,,T188)*(1-R188)+INDEX(Models!$BJ188:$BT188,,T188+1)*R188-ERP_i)*Q188*Ramure*Pc/MaxiM</f>
        <v>1.964850312742642E-4</v>
      </c>
      <c r="Q188" s="307">
        <f t="shared" si="53"/>
        <v>0.9</v>
      </c>
      <c r="R188" s="179">
        <f t="shared" si="54"/>
        <v>0.87846590170811367</v>
      </c>
      <c r="S188" s="839">
        <f t="shared" si="55"/>
        <v>0</v>
      </c>
      <c r="T188" s="178">
        <f t="shared" si="56"/>
        <v>6</v>
      </c>
      <c r="U188" s="253">
        <f t="shared" si="57"/>
        <v>0.87846590170811367</v>
      </c>
      <c r="V188" s="385">
        <f t="shared" si="58"/>
        <v>56.820240848983126</v>
      </c>
      <c r="W188" s="404">
        <f t="shared" si="59"/>
        <v>40.866286356435701</v>
      </c>
      <c r="X188" s="157">
        <f t="shared" si="60"/>
        <v>45100</v>
      </c>
      <c r="Y188" s="387">
        <f t="shared" si="61"/>
        <v>36.727563359815377</v>
      </c>
      <c r="Z188" s="387">
        <f t="shared" si="62"/>
        <v>38.287141277134438</v>
      </c>
      <c r="AA188" s="388">
        <f t="shared" si="63"/>
        <v>45.96074880846183</v>
      </c>
      <c r="AB188" s="199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0.16696001980530409</v>
      </c>
      <c r="AD188" s="233">
        <f>(INDEX(Models!$BJ188:$BT188,,AH188)*(1-AF188)+INDEX(Models!$BJ188:$BT188,,AH188+1)*AF188-ERP_i)*AE188*Ramure*Pc/MaxiM</f>
        <v>1.964850312742642E-4</v>
      </c>
      <c r="AE188" s="307">
        <f t="shared" si="65"/>
        <v>0.9</v>
      </c>
      <c r="AF188" s="179">
        <f t="shared" si="66"/>
        <v>0.87846590170811367</v>
      </c>
      <c r="AG188" s="839">
        <f t="shared" si="74"/>
        <v>0</v>
      </c>
      <c r="AH188" s="178">
        <f t="shared" si="67"/>
        <v>6</v>
      </c>
      <c r="AI188" s="227">
        <f t="shared" si="68"/>
        <v>0.87846590170811367</v>
      </c>
      <c r="AJ188" s="267" t="b">
        <f t="shared" si="69"/>
        <v>0</v>
      </c>
      <c r="AK188" s="267" t="b">
        <f t="shared" si="70"/>
        <v>0</v>
      </c>
      <c r="AL188" s="267"/>
      <c r="AM188" s="267"/>
      <c r="AN188" s="75"/>
    </row>
    <row r="189" spans="1:40" s="6" customFormat="1" ht="11.25" x14ac:dyDescent="0.2">
      <c r="A189" s="56">
        <f t="shared" si="71"/>
        <v>45101</v>
      </c>
      <c r="B189" s="413">
        <f>'2022'!Wh/'2022'!Env_an*'2023'!Env_an</f>
        <v>43.216409757123174</v>
      </c>
      <c r="C189" s="868"/>
      <c r="D189" s="395">
        <f t="shared" si="50"/>
        <v>45.052574718044653</v>
      </c>
      <c r="E189" s="387">
        <f t="shared" si="75"/>
        <v>48.616166515788755</v>
      </c>
      <c r="F189" s="387">
        <f t="shared" si="51"/>
        <v>48.622507359389388</v>
      </c>
      <c r="G189" s="110">
        <f t="shared" si="76"/>
        <v>0.76143335376210719</v>
      </c>
      <c r="H189" s="416" t="b">
        <f>Wh_hp&gt;='2022'!Maxi_hp</f>
        <v>0</v>
      </c>
      <c r="I189" s="392">
        <f>IF(H189,Wh_hp,'2022'!Maxi_hp)</f>
        <v>62.884228215867878</v>
      </c>
      <c r="J189" s="85">
        <f>IF(H189,An,'2022'!An_max)</f>
        <v>2020</v>
      </c>
      <c r="K189" s="199">
        <f t="shared" si="52"/>
        <v>45101</v>
      </c>
      <c r="L189" s="147">
        <f>IF(t&lt;Tvie,1-EXP((T0-t)*PertePVj)+'2022'!Pspv,1-EXP((T0-t)*PertePVj)+Pspv)</f>
        <v>4.0756049402567163E-2</v>
      </c>
      <c r="M189" s="872"/>
      <c r="N189" s="872"/>
      <c r="O189" s="48">
        <f>IF(t&lt;Tnet,'2022'!Resal+('2022'!Salim-'2022'!Resal)*(1-EXP(('2022'!Tnet-t)/('2022'!Tau_j))),Resal+(Salim-Resal)*(1-EXP((Tnet-t)/(Tau_j))))*Salcycl</f>
        <v>7.3300551095216104E-2</v>
      </c>
      <c r="P189" s="171">
        <f>(INDEX(Models!$BJ189:$BT189,,T189)*(1-R189)+INDEX(Models!$BJ189:$BT189,,T189+1)*R189-ERP_i)*Q189*Ramure*Pc/MaxiM</f>
        <v>1.9781099937781871E-4</v>
      </c>
      <c r="Q189" s="307">
        <f t="shared" si="53"/>
        <v>0.9</v>
      </c>
      <c r="R189" s="179">
        <f t="shared" si="54"/>
        <v>0.88419108438932148</v>
      </c>
      <c r="S189" s="839">
        <f t="shared" si="55"/>
        <v>0</v>
      </c>
      <c r="T189" s="178">
        <f t="shared" si="56"/>
        <v>6</v>
      </c>
      <c r="U189" s="253">
        <f t="shared" si="57"/>
        <v>0.88419108438932148</v>
      </c>
      <c r="V189" s="385">
        <f t="shared" si="58"/>
        <v>56.75282848966912</v>
      </c>
      <c r="W189" s="404">
        <f t="shared" si="59"/>
        <v>43.216409757123174</v>
      </c>
      <c r="X189" s="157">
        <f t="shared" si="60"/>
        <v>45101</v>
      </c>
      <c r="Y189" s="387">
        <f t="shared" si="61"/>
        <v>38.841231470027253</v>
      </c>
      <c r="Z189" s="387">
        <f t="shared" si="62"/>
        <v>40.49150525873663</v>
      </c>
      <c r="AA189" s="388">
        <f t="shared" si="63"/>
        <v>48.616166515788755</v>
      </c>
      <c r="AB189" s="199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0.16711850891027238</v>
      </c>
      <c r="AD189" s="233">
        <f>(INDEX(Models!$BJ189:$BT189,,AH189)*(1-AF189)+INDEX(Models!$BJ189:$BT189,,AH189+1)*AF189-ERP_i)*AE189*Ramure*Pc/MaxiM</f>
        <v>1.9781099937781871E-4</v>
      </c>
      <c r="AE189" s="307">
        <f t="shared" si="65"/>
        <v>0.9</v>
      </c>
      <c r="AF189" s="179">
        <f t="shared" si="66"/>
        <v>0.88419108438932148</v>
      </c>
      <c r="AG189" s="839">
        <f t="shared" si="74"/>
        <v>0</v>
      </c>
      <c r="AH189" s="178">
        <f t="shared" si="67"/>
        <v>6</v>
      </c>
      <c r="AI189" s="227">
        <f t="shared" si="68"/>
        <v>0.88419108438932148</v>
      </c>
      <c r="AJ189" s="267" t="b">
        <f t="shared" si="69"/>
        <v>0</v>
      </c>
      <c r="AK189" s="267" t="b">
        <f t="shared" si="70"/>
        <v>0</v>
      </c>
      <c r="AL189" s="267"/>
      <c r="AM189" s="267"/>
      <c r="AN189" s="75"/>
    </row>
    <row r="190" spans="1:40" s="6" customFormat="1" ht="11.25" x14ac:dyDescent="0.2">
      <c r="A190" s="56">
        <f t="shared" si="71"/>
        <v>45102</v>
      </c>
      <c r="B190" s="413">
        <f>'2022'!Wh/'2022'!Env_an*'2023'!Env_an</f>
        <v>30.270548487419727</v>
      </c>
      <c r="C190" s="868"/>
      <c r="D190" s="395">
        <f t="shared" si="50"/>
        <v>31.55740823264588</v>
      </c>
      <c r="E190" s="387">
        <f t="shared" si="75"/>
        <v>34.061333449899358</v>
      </c>
      <c r="F190" s="387">
        <f t="shared" si="51"/>
        <v>34.063607246670742</v>
      </c>
      <c r="G190" s="110">
        <f t="shared" si="76"/>
        <v>0.53395251126562848</v>
      </c>
      <c r="H190" s="416" t="b">
        <f>Wh_hp&gt;='2022'!Maxi_hp</f>
        <v>0</v>
      </c>
      <c r="I190" s="392">
        <f>IF(H190,Wh_hp,'2022'!Maxi_hp)</f>
        <v>58.027223678853936</v>
      </c>
      <c r="J190" s="85">
        <f>IF(H190,An,'2022'!An_max)</f>
        <v>2021</v>
      </c>
      <c r="K190" s="199">
        <f t="shared" si="52"/>
        <v>45102</v>
      </c>
      <c r="L190" s="147">
        <f>IF(t&lt;Tvie,1-EXP((T0-t)*PertePVj)+'2022'!Pspv,1-EXP((T0-t)*PertePVj)+Pspv)</f>
        <v>4.0778372410662844E-2</v>
      </c>
      <c r="M190" s="872"/>
      <c r="N190" s="872"/>
      <c r="O190" s="48">
        <f>IF(t&lt;Tnet,'2022'!Resal+('2022'!Salim-'2022'!Resal)*(1-EXP(('2022'!Tnet-t)/('2022'!Tau_j))),Resal+(Salim-Resal)*(1-EXP((Tnet-t)/(Tau_j))))*Salcycl</f>
        <v>7.3512248747879719E-2</v>
      </c>
      <c r="P190" s="171">
        <f>(INDEX(Models!$BJ190:$BT190,,T190)*(1-R190)+INDEX(Models!$BJ190:$BT190,,T190+1)*R190-ERP_i)*Q190*Ramure*Pc/MaxiM</f>
        <v>1.9966391799203288E-4</v>
      </c>
      <c r="Q190" s="307">
        <f t="shared" si="53"/>
        <v>0.9</v>
      </c>
      <c r="R190" s="179">
        <f t="shared" si="54"/>
        <v>0.8898507766043724</v>
      </c>
      <c r="S190" s="839">
        <f t="shared" si="55"/>
        <v>0</v>
      </c>
      <c r="T190" s="178">
        <f t="shared" si="56"/>
        <v>6</v>
      </c>
      <c r="U190" s="253">
        <f t="shared" si="57"/>
        <v>0.8898507766043724</v>
      </c>
      <c r="V190" s="385">
        <f t="shared" si="58"/>
        <v>56.683926469806146</v>
      </c>
      <c r="W190" s="404">
        <f t="shared" si="59"/>
        <v>30.270548487419727</v>
      </c>
      <c r="X190" s="157">
        <f t="shared" si="60"/>
        <v>45102</v>
      </c>
      <c r="Y190" s="387">
        <f t="shared" si="61"/>
        <v>27.207157862527527</v>
      </c>
      <c r="Z190" s="387">
        <f t="shared" si="62"/>
        <v>28.363786928890516</v>
      </c>
      <c r="AA190" s="388">
        <f t="shared" si="63"/>
        <v>34.061333449899358</v>
      </c>
      <c r="AB190" s="199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0.16727314946108421</v>
      </c>
      <c r="AD190" s="233">
        <f>(INDEX(Models!$BJ190:$BT190,,AH190)*(1-AF190)+INDEX(Models!$BJ190:$BT190,,AH190+1)*AF190-ERP_i)*AE190*Ramure*Pc/MaxiM</f>
        <v>1.9966391799203288E-4</v>
      </c>
      <c r="AE190" s="307">
        <f t="shared" si="65"/>
        <v>0.9</v>
      </c>
      <c r="AF190" s="179">
        <f t="shared" si="66"/>
        <v>0.8898507766043724</v>
      </c>
      <c r="AG190" s="839">
        <f t="shared" si="74"/>
        <v>0</v>
      </c>
      <c r="AH190" s="178">
        <f t="shared" si="67"/>
        <v>6</v>
      </c>
      <c r="AI190" s="227">
        <f t="shared" si="68"/>
        <v>0.8898507766043724</v>
      </c>
      <c r="AJ190" s="267" t="b">
        <f t="shared" si="69"/>
        <v>0</v>
      </c>
      <c r="AK190" s="267" t="b">
        <f t="shared" si="70"/>
        <v>0</v>
      </c>
      <c r="AL190" s="267"/>
      <c r="AM190" s="267"/>
      <c r="AN190" s="75"/>
    </row>
    <row r="191" spans="1:40" s="6" customFormat="1" ht="11.25" x14ac:dyDescent="0.2">
      <c r="A191" s="56">
        <f t="shared" si="71"/>
        <v>45103</v>
      </c>
      <c r="B191" s="413">
        <f>'2022'!Wh/'2022'!Env_an*'2023'!Env_an</f>
        <v>11.567506068345415</v>
      </c>
      <c r="C191" s="868"/>
      <c r="D191" s="395">
        <f t="shared" si="50"/>
        <v>12.059543837065906</v>
      </c>
      <c r="E191" s="387">
        <f t="shared" si="75"/>
        <v>13.019360225049773</v>
      </c>
      <c r="F191" s="387">
        <f t="shared" si="51"/>
        <v>13.019360225049773</v>
      </c>
      <c r="G191" s="110">
        <f t="shared" si="76"/>
        <v>0.20428227295646417</v>
      </c>
      <c r="H191" s="416" t="b">
        <f>Wh_hp&gt;='2022'!Maxi_hp</f>
        <v>0</v>
      </c>
      <c r="I191" s="392">
        <f>IF(H191,Wh_hp,'2022'!Maxi_hp)</f>
        <v>61.058572386734099</v>
      </c>
      <c r="J191" s="85">
        <f>IF(H191,An,'2022'!An_max)</f>
        <v>2019</v>
      </c>
      <c r="K191" s="199">
        <f t="shared" si="52"/>
        <v>45103</v>
      </c>
      <c r="L191" s="147">
        <f>IF(t&lt;Tvie,1-EXP((T0-t)*PertePVj)+'2022'!Pspv,1-EXP((T0-t)*PertePVj)+Pspv)</f>
        <v>4.0800694899269407E-2</v>
      </c>
      <c r="M191" s="872"/>
      <c r="N191" s="872"/>
      <c r="O191" s="48">
        <f>IF(t&lt;Tnet,'2022'!Resal+('2022'!Salim-'2022'!Resal)*(1-EXP(('2022'!Tnet-t)/('2022'!Tau_j))),Resal+(Salim-Resal)*(1-EXP((Tnet-t)/(Tau_j))))*Salcycl</f>
        <v>7.3722239141762291E-2</v>
      </c>
      <c r="P191" s="171">
        <f>(INDEX(Models!$BJ191:$BT191,,T191)*(1-R191)+INDEX(Models!$BJ191:$BT191,,T191+1)*R191-ERP_i)*Q191*Ramure*Pc/MaxiM</f>
        <v>2.0204993544706027E-4</v>
      </c>
      <c r="Q191" s="307">
        <f t="shared" si="53"/>
        <v>0.9</v>
      </c>
      <c r="R191" s="179">
        <f t="shared" si="54"/>
        <v>0.89544140094469427</v>
      </c>
      <c r="S191" s="839">
        <f t="shared" si="55"/>
        <v>0</v>
      </c>
      <c r="T191" s="178">
        <f t="shared" si="56"/>
        <v>6</v>
      </c>
      <c r="U191" s="253">
        <f t="shared" si="57"/>
        <v>0.89544140094469427</v>
      </c>
      <c r="V191" s="385">
        <f t="shared" si="58"/>
        <v>56.613668367375894</v>
      </c>
      <c r="W191" s="404">
        <f t="shared" si="59"/>
        <v>11.567506068345415</v>
      </c>
      <c r="X191" s="157">
        <f t="shared" si="60"/>
        <v>45103</v>
      </c>
      <c r="Y191" s="387">
        <f t="shared" si="61"/>
        <v>10.397343962075146</v>
      </c>
      <c r="Z191" s="387">
        <f t="shared" si="62"/>
        <v>10.839607479681469</v>
      </c>
      <c r="AA191" s="388">
        <f t="shared" si="63"/>
        <v>13.019360225049773</v>
      </c>
      <c r="AB191" s="199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0.16742395230561111</v>
      </c>
      <c r="AD191" s="233">
        <f>(INDEX(Models!$BJ191:$BT191,,AH191)*(1-AF191)+INDEX(Models!$BJ191:$BT191,,AH191+1)*AF191-ERP_i)*AE191*Ramure*Pc/MaxiM</f>
        <v>2.0204993544706027E-4</v>
      </c>
      <c r="AE191" s="307">
        <f t="shared" si="65"/>
        <v>0.9</v>
      </c>
      <c r="AF191" s="179">
        <f t="shared" si="66"/>
        <v>0.89544140094469427</v>
      </c>
      <c r="AG191" s="839">
        <f t="shared" si="74"/>
        <v>0</v>
      </c>
      <c r="AH191" s="178">
        <f t="shared" si="67"/>
        <v>6</v>
      </c>
      <c r="AI191" s="227">
        <f t="shared" si="68"/>
        <v>0.89544140094469427</v>
      </c>
      <c r="AJ191" s="267" t="b">
        <f t="shared" si="69"/>
        <v>0</v>
      </c>
      <c r="AK191" s="267" t="b">
        <f t="shared" si="70"/>
        <v>0</v>
      </c>
      <c r="AL191" s="267"/>
      <c r="AM191" s="267"/>
      <c r="AN191" s="75"/>
    </row>
    <row r="192" spans="1:40" s="6" customFormat="1" ht="11.25" x14ac:dyDescent="0.2">
      <c r="A192" s="56">
        <f t="shared" si="71"/>
        <v>45104</v>
      </c>
      <c r="B192" s="413">
        <f>'2022'!Wh/'2022'!Env_an*'2023'!Env_an</f>
        <v>17.175138252909932</v>
      </c>
      <c r="C192" s="868"/>
      <c r="D192" s="395">
        <f t="shared" si="50"/>
        <v>17.906120095621052</v>
      </c>
      <c r="E192" s="387">
        <f t="shared" si="75"/>
        <v>19.335611977808224</v>
      </c>
      <c r="F192" s="387">
        <f t="shared" si="51"/>
        <v>19.335633317199967</v>
      </c>
      <c r="G192" s="110">
        <f t="shared" si="76"/>
        <v>0.30369743474612204</v>
      </c>
      <c r="H192" s="416" t="b">
        <f>Wh_hp&gt;='2022'!Maxi_hp</f>
        <v>0</v>
      </c>
      <c r="I192" s="392">
        <f>IF(H192,Wh_hp,'2022'!Maxi_hp)</f>
        <v>60.869890690098934</v>
      </c>
      <c r="J192" s="85">
        <f>IF(H192,An,'2022'!An_max)</f>
        <v>2019</v>
      </c>
      <c r="K192" s="199">
        <f t="shared" si="52"/>
        <v>45104</v>
      </c>
      <c r="L192" s="147">
        <f>IF(t&lt;Tvie,1-EXP((T0-t)*PertePVj)+'2022'!Pspv,1-EXP((T0-t)*PertePVj)+Pspv)</f>
        <v>4.0823016868399176E-2</v>
      </c>
      <c r="M192" s="872"/>
      <c r="N192" s="872"/>
      <c r="O192" s="48">
        <f>IF(t&lt;Tnet,'2022'!Resal+('2022'!Salim-'2022'!Resal)*(1-EXP(('2022'!Tnet-t)/('2022'!Tau_j))),Resal+(Salim-Resal)*(1-EXP((Tnet-t)/(Tau_j))))*Salcycl</f>
        <v>7.3930521766149546E-2</v>
      </c>
      <c r="P192" s="171">
        <f>(INDEX(Models!$BJ192:$BT192,,T192)*(1-R192)+INDEX(Models!$BJ192:$BT192,,T192+1)*R192-ERP_i)*Q192*Ramure*Pc/MaxiM</f>
        <v>2.0548938779315921E-4</v>
      </c>
      <c r="Q192" s="307">
        <f t="shared" si="53"/>
        <v>0.9</v>
      </c>
      <c r="R192" s="179">
        <f t="shared" si="54"/>
        <v>0.9009595819011037</v>
      </c>
      <c r="S192" s="839">
        <f t="shared" si="55"/>
        <v>0</v>
      </c>
      <c r="T192" s="178">
        <f t="shared" si="56"/>
        <v>6</v>
      </c>
      <c r="U192" s="253">
        <f t="shared" si="57"/>
        <v>0.9009595819011037</v>
      </c>
      <c r="V192" s="385">
        <f t="shared" si="58"/>
        <v>56.541893117238551</v>
      </c>
      <c r="W192" s="404">
        <f t="shared" si="59"/>
        <v>17.175138252909932</v>
      </c>
      <c r="X192" s="157">
        <f t="shared" si="60"/>
        <v>45104</v>
      </c>
      <c r="Y192" s="387">
        <f t="shared" si="61"/>
        <v>15.438457425961957</v>
      </c>
      <c r="Z192" s="387">
        <f t="shared" si="62"/>
        <v>16.095525327929781</v>
      </c>
      <c r="AA192" s="388">
        <f t="shared" si="63"/>
        <v>19.335611977808224</v>
      </c>
      <c r="AB192" s="199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0.16757093872162607</v>
      </c>
      <c r="AD192" s="233">
        <f>(INDEX(Models!$BJ192:$BT192,,AH192)*(1-AF192)+INDEX(Models!$BJ192:$BT192,,AH192+1)*AF192-ERP_i)*AE192*Ramure*Pc/MaxiM</f>
        <v>2.0548938779315921E-4</v>
      </c>
      <c r="AE192" s="307">
        <f t="shared" si="65"/>
        <v>0.9</v>
      </c>
      <c r="AF192" s="179">
        <f t="shared" si="66"/>
        <v>0.9009595819011037</v>
      </c>
      <c r="AG192" s="839">
        <f t="shared" si="74"/>
        <v>0</v>
      </c>
      <c r="AH192" s="178">
        <f t="shared" si="67"/>
        <v>6</v>
      </c>
      <c r="AI192" s="227">
        <f t="shared" si="68"/>
        <v>0.9009595819011037</v>
      </c>
      <c r="AJ192" s="267" t="b">
        <f t="shared" si="69"/>
        <v>0</v>
      </c>
      <c r="AK192" s="267" t="b">
        <f t="shared" si="70"/>
        <v>0</v>
      </c>
      <c r="AL192" s="267"/>
      <c r="AM192" s="267"/>
      <c r="AN192" s="75"/>
    </row>
    <row r="193" spans="1:40" s="6" customFormat="1" ht="11.25" x14ac:dyDescent="0.2">
      <c r="A193" s="56">
        <f t="shared" si="71"/>
        <v>45105</v>
      </c>
      <c r="B193" s="413">
        <f>'2022'!Wh/'2022'!Env_an*'2023'!Env_an</f>
        <v>58.602816350191276</v>
      </c>
      <c r="C193" s="868"/>
      <c r="D193" s="395">
        <f t="shared" si="50"/>
        <v>61.098401218660271</v>
      </c>
      <c r="E193" s="387">
        <f t="shared" si="75"/>
        <v>65.990765224569714</v>
      </c>
      <c r="F193" s="387">
        <f t="shared" si="51"/>
        <v>66.004608536540786</v>
      </c>
      <c r="G193" s="110">
        <f t="shared" si="76"/>
        <v>1.0377981106491905</v>
      </c>
      <c r="H193" s="416" t="b">
        <f>Wh_hp&gt;='2022'!Maxi_hp</f>
        <v>1</v>
      </c>
      <c r="I193" s="392">
        <f>IF(H193,Wh_hp,'2022'!Maxi_hp)</f>
        <v>66.004608536540786</v>
      </c>
      <c r="J193" s="85">
        <f>IF(H193,An,'2022'!An_max)</f>
        <v>2023</v>
      </c>
      <c r="K193" s="199">
        <f t="shared" si="52"/>
        <v>45105</v>
      </c>
      <c r="L193" s="147">
        <f>IF(t&lt;Tvie,1-EXP((T0-t)*PertePVj)+'2022'!Pspv,1-EXP((T0-t)*PertePVj)+Pspv)</f>
        <v>4.0845338318064028E-2</v>
      </c>
      <c r="M193" s="872"/>
      <c r="N193" s="872"/>
      <c r="O193" s="48">
        <f>IF(t&lt;Tnet,'2022'!Resal+('2022'!Salim-'2022'!Resal)*(1-EXP(('2022'!Tnet-t)/('2022'!Tau_j))),Resal+(Salim-Resal)*(1-EXP((Tnet-t)/(Tau_j))))*Salcycl</f>
        <v>7.4137100687656707E-2</v>
      </c>
      <c r="P193" s="171">
        <f>(INDEX(Models!$BJ193:$BT193,,T193)*(1-R193)+INDEX(Models!$BJ193:$BT193,,T193+1)*R193-ERP_i)*Q193*Ramure*Pc/MaxiM</f>
        <v>2.0973250622953999E-4</v>
      </c>
      <c r="Q193" s="307">
        <f t="shared" si="53"/>
        <v>0.9</v>
      </c>
      <c r="R193" s="179">
        <f t="shared" si="54"/>
        <v>0.9064021515330356</v>
      </c>
      <c r="S193" s="839">
        <f t="shared" si="55"/>
        <v>0</v>
      </c>
      <c r="T193" s="178">
        <f t="shared" si="56"/>
        <v>6</v>
      </c>
      <c r="U193" s="253">
        <f t="shared" si="57"/>
        <v>0.9064021515330356</v>
      </c>
      <c r="V193" s="385">
        <f t="shared" si="58"/>
        <v>56.468416880748151</v>
      </c>
      <c r="W193" s="404">
        <f t="shared" si="59"/>
        <v>58.602816350191276</v>
      </c>
      <c r="X193" s="157">
        <f t="shared" si="60"/>
        <v>45105</v>
      </c>
      <c r="Y193" s="387">
        <f t="shared" si="61"/>
        <v>52.679824880599412</v>
      </c>
      <c r="Z193" s="387">
        <f t="shared" si="62"/>
        <v>54.923180781107959</v>
      </c>
      <c r="AA193" s="388">
        <f t="shared" si="63"/>
        <v>65.990765224569714</v>
      </c>
      <c r="AB193" s="199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0.16771414008912061</v>
      </c>
      <c r="AD193" s="233">
        <f>(INDEX(Models!$BJ193:$BT193,,AH193)*(1-AF193)+INDEX(Models!$BJ193:$BT193,,AH193+1)*AF193-ERP_i)*AE193*Ramure*Pc/MaxiM</f>
        <v>2.0973250622953999E-4</v>
      </c>
      <c r="AE193" s="307">
        <f t="shared" si="65"/>
        <v>0.9</v>
      </c>
      <c r="AF193" s="179">
        <f t="shared" si="66"/>
        <v>0.9064021515330356</v>
      </c>
      <c r="AG193" s="839">
        <f t="shared" si="74"/>
        <v>0</v>
      </c>
      <c r="AH193" s="178">
        <f t="shared" si="67"/>
        <v>6</v>
      </c>
      <c r="AI193" s="227">
        <f t="shared" si="68"/>
        <v>0.9064021515330356</v>
      </c>
      <c r="AJ193" s="267" t="b">
        <f t="shared" si="69"/>
        <v>0</v>
      </c>
      <c r="AK193" s="267" t="b">
        <f t="shared" si="70"/>
        <v>0</v>
      </c>
      <c r="AL193" s="267"/>
      <c r="AM193" s="267"/>
      <c r="AN193" s="75"/>
    </row>
    <row r="194" spans="1:40" s="6" customFormat="1" ht="11.25" x14ac:dyDescent="0.2">
      <c r="A194" s="56">
        <f t="shared" si="71"/>
        <v>45106</v>
      </c>
      <c r="B194" s="413">
        <f>'2022'!Wh/'2022'!Env_an*'2023'!Env_an</f>
        <v>54.419141862430855</v>
      </c>
      <c r="C194" s="868"/>
      <c r="D194" s="395">
        <f t="shared" si="50"/>
        <v>56.737886473288583</v>
      </c>
      <c r="E194" s="387">
        <f t="shared" si="75"/>
        <v>61.294652580713695</v>
      </c>
      <c r="F194" s="387">
        <f t="shared" si="51"/>
        <v>61.307162243895341</v>
      </c>
      <c r="G194" s="110">
        <f t="shared" si="76"/>
        <v>0.96498710284048017</v>
      </c>
      <c r="H194" s="416" t="b">
        <f>Wh_hp&gt;='2022'!Maxi_hp</f>
        <v>0</v>
      </c>
      <c r="I194" s="392">
        <f>IF(H194,Wh_hp,'2022'!Maxi_hp)</f>
        <v>61.307330955408737</v>
      </c>
      <c r="J194" s="85">
        <f>IF(H194,An,'2022'!An_max)</f>
        <v>2022</v>
      </c>
      <c r="K194" s="199">
        <f t="shared" si="52"/>
        <v>45106</v>
      </c>
      <c r="L194" s="147">
        <f>IF(t&lt;Tvie,1-EXP((T0-t)*PertePVj)+'2022'!Pspv,1-EXP((T0-t)*PertePVj)+Pspv)</f>
        <v>4.0867659248276067E-2</v>
      </c>
      <c r="M194" s="872"/>
      <c r="N194" s="872"/>
      <c r="O194" s="48">
        <f>IF(t&lt;Tnet,'2022'!Resal+('2022'!Salim-'2022'!Resal)*(1-EXP(('2022'!Tnet-t)/('2022'!Tau_j))),Resal+(Salim-Resal)*(1-EXP((Tnet-t)/(Tau_j))))*Salcycl</f>
        <v>7.4341984423921745E-2</v>
      </c>
      <c r="P194" s="171">
        <f>(INDEX(Models!$BJ194:$BT194,,T194)*(1-R194)+INDEX(Models!$BJ194:$BT194,,T194+1)*R194-ERP_i)*Q194*Ramure*Pc/MaxiM</f>
        <v>2.1478920468652395E-4</v>
      </c>
      <c r="Q194" s="307">
        <f t="shared" si="53"/>
        <v>0.9</v>
      </c>
      <c r="R194" s="179">
        <f t="shared" si="54"/>
        <v>0.91176615396110794</v>
      </c>
      <c r="S194" s="839">
        <f t="shared" si="55"/>
        <v>0</v>
      </c>
      <c r="T194" s="178">
        <f t="shared" si="56"/>
        <v>6</v>
      </c>
      <c r="U194" s="253">
        <f t="shared" si="57"/>
        <v>0.91176615396110794</v>
      </c>
      <c r="V194" s="385">
        <f t="shared" si="58"/>
        <v>56.393041014220046</v>
      </c>
      <c r="W194" s="404">
        <f t="shared" si="59"/>
        <v>54.419141862430855</v>
      </c>
      <c r="X194" s="157">
        <f t="shared" si="60"/>
        <v>45106</v>
      </c>
      <c r="Y194" s="387">
        <f t="shared" si="61"/>
        <v>48.921623715737873</v>
      </c>
      <c r="Z194" s="387">
        <f t="shared" si="62"/>
        <v>51.006124636976942</v>
      </c>
      <c r="AA194" s="388">
        <f t="shared" si="63"/>
        <v>61.294652580713695</v>
      </c>
      <c r="AB194" s="199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0.16785359750899426</v>
      </c>
      <c r="AD194" s="233">
        <f>(INDEX(Models!$BJ194:$BT194,,AH194)*(1-AF194)+INDEX(Models!$BJ194:$BT194,,AH194+1)*AF194-ERP_i)*AE194*Ramure*Pc/MaxiM</f>
        <v>2.1478920468652395E-4</v>
      </c>
      <c r="AE194" s="307">
        <f t="shared" si="65"/>
        <v>0.9</v>
      </c>
      <c r="AF194" s="179">
        <f t="shared" si="66"/>
        <v>0.91176615396110794</v>
      </c>
      <c r="AG194" s="839">
        <f t="shared" si="74"/>
        <v>0</v>
      </c>
      <c r="AH194" s="178">
        <f t="shared" si="67"/>
        <v>6</v>
      </c>
      <c r="AI194" s="227">
        <f t="shared" si="68"/>
        <v>0.91176615396110794</v>
      </c>
      <c r="AJ194" s="267" t="b">
        <f t="shared" si="69"/>
        <v>0</v>
      </c>
      <c r="AK194" s="267" t="b">
        <f t="shared" si="70"/>
        <v>0</v>
      </c>
      <c r="AL194" s="267"/>
      <c r="AM194" s="267"/>
      <c r="AN194" s="75"/>
    </row>
    <row r="195" spans="1:40" s="6" customFormat="1" ht="11.25" x14ac:dyDescent="0.2">
      <c r="A195" s="56">
        <f t="shared" si="71"/>
        <v>45107</v>
      </c>
      <c r="B195" s="413">
        <f>'2022'!Wh/'2022'!Env_an*'2023'!Env_an</f>
        <v>13.181364435376301</v>
      </c>
      <c r="C195" s="868"/>
      <c r="D195" s="395">
        <f t="shared" si="50"/>
        <v>13.743328873459669</v>
      </c>
      <c r="E195" s="387">
        <f t="shared" si="75"/>
        <v>14.850351051693762</v>
      </c>
      <c r="F195" s="387">
        <f t="shared" si="51"/>
        <v>14.850351051693762</v>
      </c>
      <c r="G195" s="110">
        <f t="shared" si="76"/>
        <v>0.23401088649886403</v>
      </c>
      <c r="H195" s="416" t="b">
        <f>Wh_hp&gt;='2022'!Maxi_hp</f>
        <v>0</v>
      </c>
      <c r="I195" s="392">
        <f>IF(H195,Wh_hp,'2022'!Maxi_hp)</f>
        <v>57.379355434694759</v>
      </c>
      <c r="J195" s="85">
        <f>IF(H195,An,'2022'!An_max)</f>
        <v>2019</v>
      </c>
      <c r="K195" s="199">
        <f t="shared" si="52"/>
        <v>45107</v>
      </c>
      <c r="L195" s="147">
        <f>IF(t&lt;Tvie,1-EXP((T0-t)*PertePVj)+'2022'!Pspv,1-EXP((T0-t)*PertePVj)+Pspv)</f>
        <v>4.0889979659047615E-2</v>
      </c>
      <c r="M195" s="872"/>
      <c r="N195" s="872"/>
      <c r="O195" s="48">
        <f>IF(t&lt;Tnet,'2022'!Resal+('2022'!Salim-'2022'!Resal)*(1-EXP(('2022'!Tnet-t)/('2022'!Tau_j))),Resal+(Salim-Resal)*(1-EXP((Tnet-t)/(Tau_j))))*Salcycl</f>
        <v>7.4545185792616681E-2</v>
      </c>
      <c r="P195" s="171">
        <f>(INDEX(Models!$BJ195:$BT195,,T195)*(1-R195)+INDEX(Models!$BJ195:$BT195,,T195+1)*R195-ERP_i)*Q195*Ramure*Pc/MaxiM</f>
        <v>2.2066944179038395E-4</v>
      </c>
      <c r="Q195" s="307">
        <f t="shared" si="53"/>
        <v>0.9</v>
      </c>
      <c r="R195" s="179">
        <f t="shared" si="54"/>
        <v>0.91704884869645409</v>
      </c>
      <c r="S195" s="839">
        <f t="shared" si="55"/>
        <v>0</v>
      </c>
      <c r="T195" s="178">
        <f t="shared" si="56"/>
        <v>6</v>
      </c>
      <c r="U195" s="253">
        <f t="shared" si="57"/>
        <v>0.91704884869645409</v>
      </c>
      <c r="V195" s="385">
        <f t="shared" si="58"/>
        <v>56.315566802095276</v>
      </c>
      <c r="W195" s="404">
        <f t="shared" si="59"/>
        <v>13.181364435376301</v>
      </c>
      <c r="X195" s="157">
        <f t="shared" si="60"/>
        <v>45107</v>
      </c>
      <c r="Y195" s="387">
        <f t="shared" si="61"/>
        <v>11.850427782658226</v>
      </c>
      <c r="Z195" s="387">
        <f t="shared" si="62"/>
        <v>12.355650062383393</v>
      </c>
      <c r="AA195" s="388">
        <f t="shared" si="63"/>
        <v>14.850351051693762</v>
      </c>
      <c r="AB195" s="199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0.16798936137107914</v>
      </c>
      <c r="AD195" s="233">
        <f>(INDEX(Models!$BJ195:$BT195,,AH195)*(1-AF195)+INDEX(Models!$BJ195:$BT195,,AH195+1)*AF195-ERP_i)*AE195*Ramure*Pc/MaxiM</f>
        <v>2.2066944179038395E-4</v>
      </c>
      <c r="AE195" s="307">
        <f t="shared" si="65"/>
        <v>0.9</v>
      </c>
      <c r="AF195" s="179">
        <f t="shared" si="66"/>
        <v>0.91704884869645409</v>
      </c>
      <c r="AG195" s="839">
        <f t="shared" si="74"/>
        <v>0</v>
      </c>
      <c r="AH195" s="178">
        <f t="shared" si="67"/>
        <v>6</v>
      </c>
      <c r="AI195" s="227">
        <f t="shared" si="68"/>
        <v>0.91704884869645409</v>
      </c>
      <c r="AJ195" s="267" t="b">
        <f t="shared" si="69"/>
        <v>0</v>
      </c>
      <c r="AK195" s="267" t="b">
        <f t="shared" si="70"/>
        <v>0</v>
      </c>
      <c r="AL195" s="267"/>
      <c r="AM195" s="267"/>
      <c r="AN195" s="75"/>
    </row>
    <row r="196" spans="1:40" s="6" customFormat="1" ht="11.25" x14ac:dyDescent="0.2">
      <c r="A196" s="56">
        <f t="shared" si="71"/>
        <v>45108</v>
      </c>
      <c r="B196" s="413">
        <f>'2022'!Wh/'2022'!Env_an*'2023'!Env_an</f>
        <v>53.769703306727543</v>
      </c>
      <c r="C196" s="868"/>
      <c r="D196" s="395">
        <f t="shared" si="50"/>
        <v>56.06338532078027</v>
      </c>
      <c r="E196" s="387">
        <f t="shared" si="75"/>
        <v>60.592474123440397</v>
      </c>
      <c r="F196" s="387">
        <f t="shared" si="51"/>
        <v>60.605391461524832</v>
      </c>
      <c r="G196" s="110">
        <f t="shared" si="76"/>
        <v>0.95613366466805771</v>
      </c>
      <c r="H196" s="416" t="b">
        <f>Wh_hp&gt;='2022'!Maxi_hp</f>
        <v>0</v>
      </c>
      <c r="I196" s="392">
        <f>IF(H196,Wh_hp,'2022'!Maxi_hp)</f>
        <v>60.605617418397848</v>
      </c>
      <c r="J196" s="85">
        <f>IF(H196,An,'2022'!An_max)</f>
        <v>2022</v>
      </c>
      <c r="K196" s="199">
        <f t="shared" si="52"/>
        <v>45108</v>
      </c>
      <c r="L196" s="147">
        <f>IF(t&lt;Tvie,1-EXP((T0-t)*PertePVj)+'2022'!Pspv,1-EXP((T0-t)*PertePVj)+Pspv)</f>
        <v>4.0912299550390441E-2</v>
      </c>
      <c r="M196" s="872"/>
      <c r="N196" s="872"/>
      <c r="O196" s="48">
        <f>IF(t&lt;Tnet,'2022'!Resal+('2022'!Salim-'2022'!Resal)*(1-EXP(('2022'!Tnet-t)/('2022'!Tau_j))),Resal+(Salim-Resal)*(1-EXP((Tnet-t)/(Tau_j))))*Salcycl</f>
        <v>7.4746721736982713E-2</v>
      </c>
      <c r="P196" s="171">
        <f>(INDEX(Models!$BJ196:$BT196,,T196)*(1-R196)+INDEX(Models!$BJ196:$BT196,,T196+1)*R196-ERP_i)*Q196*Ramure*Pc/MaxiM</f>
        <v>2.2738324905768293E-4</v>
      </c>
      <c r="Q196" s="307">
        <f t="shared" si="53"/>
        <v>0.9</v>
      </c>
      <c r="R196" s="179">
        <f t="shared" si="54"/>
        <v>0.92224771283004547</v>
      </c>
      <c r="S196" s="839">
        <f t="shared" si="55"/>
        <v>0</v>
      </c>
      <c r="T196" s="178">
        <f t="shared" si="56"/>
        <v>6</v>
      </c>
      <c r="U196" s="253">
        <f t="shared" si="57"/>
        <v>0.92224771283004547</v>
      </c>
      <c r="V196" s="385">
        <f t="shared" si="58"/>
        <v>56.235795465377606</v>
      </c>
      <c r="W196" s="404">
        <f t="shared" si="59"/>
        <v>53.769703306727543</v>
      </c>
      <c r="X196" s="157">
        <f t="shared" si="60"/>
        <v>45108</v>
      </c>
      <c r="Y196" s="387">
        <f t="shared" si="61"/>
        <v>48.343368971222006</v>
      </c>
      <c r="Z196" s="387">
        <f t="shared" si="62"/>
        <v>50.405577038011408</v>
      </c>
      <c r="AA196" s="388">
        <f t="shared" si="63"/>
        <v>60.592474123440397</v>
      </c>
      <c r="AB196" s="199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0.168121490874857</v>
      </c>
      <c r="AD196" s="233">
        <f>(INDEX(Models!$BJ196:$BT196,,AH196)*(1-AF196)+INDEX(Models!$BJ196:$BT196,,AH196+1)*AF196-ERP_i)*AE196*Ramure*Pc/MaxiM</f>
        <v>2.2738324905768293E-4</v>
      </c>
      <c r="AE196" s="307">
        <f t="shared" si="65"/>
        <v>0.9</v>
      </c>
      <c r="AF196" s="179">
        <f t="shared" si="66"/>
        <v>0.92224771283004547</v>
      </c>
      <c r="AG196" s="839">
        <f t="shared" si="74"/>
        <v>0</v>
      </c>
      <c r="AH196" s="178">
        <f t="shared" si="67"/>
        <v>6</v>
      </c>
      <c r="AI196" s="227">
        <f t="shared" si="68"/>
        <v>0.92224771283004547</v>
      </c>
      <c r="AJ196" s="267" t="b">
        <f t="shared" si="69"/>
        <v>0</v>
      </c>
      <c r="AK196" s="267" t="b">
        <f t="shared" si="70"/>
        <v>0</v>
      </c>
      <c r="AL196" s="267"/>
      <c r="AM196" s="267"/>
      <c r="AN196" s="75"/>
    </row>
    <row r="197" spans="1:40" s="6" customFormat="1" ht="11.25" x14ac:dyDescent="0.2">
      <c r="A197" s="56">
        <f t="shared" si="71"/>
        <v>45109</v>
      </c>
      <c r="B197" s="413">
        <f>'2022'!Wh/'2022'!Env_an*'2023'!Env_an</f>
        <v>50.070376844938167</v>
      </c>
      <c r="C197" s="868"/>
      <c r="D197" s="395">
        <f t="shared" si="50"/>
        <v>52.207469722945326</v>
      </c>
      <c r="E197" s="387">
        <f t="shared" si="75"/>
        <v>56.437250502431439</v>
      </c>
      <c r="F197" s="387">
        <f t="shared" si="51"/>
        <v>56.44846013721304</v>
      </c>
      <c r="G197" s="110">
        <f t="shared" si="76"/>
        <v>0.89163686782753548</v>
      </c>
      <c r="H197" s="416" t="b">
        <f>Wh_hp&gt;='2022'!Maxi_hp</f>
        <v>0</v>
      </c>
      <c r="I197" s="392">
        <f>IF(H197,Wh_hp,'2022'!Maxi_hp)</f>
        <v>56.741115224464892</v>
      </c>
      <c r="J197" s="85">
        <f>IF(H197,An,'2022'!An_max)</f>
        <v>2021</v>
      </c>
      <c r="K197" s="199">
        <f t="shared" si="52"/>
        <v>45109</v>
      </c>
      <c r="L197" s="147">
        <f>IF(t&lt;Tvie,1-EXP((T0-t)*PertePVj)+'2022'!Pspv,1-EXP((T0-t)*PertePVj)+Pspv)</f>
        <v>4.0934618922316868E-2</v>
      </c>
      <c r="M197" s="872"/>
      <c r="N197" s="872"/>
      <c r="O197" s="48">
        <f>IF(t&lt;Tnet,'2022'!Resal+('2022'!Salim-'2022'!Resal)*(1-EXP(('2022'!Tnet-t)/('2022'!Tau_j))),Resal+(Salim-Resal)*(1-EXP((Tnet-t)/(Tau_j))))*Salcycl</f>
        <v>7.4946613129282108E-2</v>
      </c>
      <c r="P197" s="171">
        <f>(INDEX(Models!$BJ197:$BT197,,T197)*(1-R197)+INDEX(Models!$BJ197:$BT197,,T197+1)*R197-ERP_i)*Q197*Ramure*Pc/MaxiM</f>
        <v>2.3494076168240942E-4</v>
      </c>
      <c r="Q197" s="307">
        <f t="shared" si="53"/>
        <v>0.9</v>
      </c>
      <c r="R197" s="179">
        <f t="shared" si="54"/>
        <v>0.92736044211425184</v>
      </c>
      <c r="S197" s="839">
        <f t="shared" si="55"/>
        <v>0</v>
      </c>
      <c r="T197" s="178">
        <f t="shared" si="56"/>
        <v>6</v>
      </c>
      <c r="U197" s="253">
        <f t="shared" si="57"/>
        <v>0.92736044211425184</v>
      </c>
      <c r="V197" s="385">
        <f t="shared" si="58"/>
        <v>56.153528169618802</v>
      </c>
      <c r="W197" s="404">
        <f t="shared" si="59"/>
        <v>50.070376844938167</v>
      </c>
      <c r="X197" s="157">
        <f t="shared" si="60"/>
        <v>45109</v>
      </c>
      <c r="Y197" s="387">
        <f t="shared" si="61"/>
        <v>45.020140299753969</v>
      </c>
      <c r="Z197" s="387">
        <f t="shared" si="62"/>
        <v>46.941680085632655</v>
      </c>
      <c r="AA197" s="388">
        <f t="shared" si="63"/>
        <v>56.437250502431439</v>
      </c>
      <c r="AB197" s="199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0.16825005350658775</v>
      </c>
      <c r="AD197" s="233">
        <f>(INDEX(Models!$BJ197:$BT197,,AH197)*(1-AF197)+INDEX(Models!$BJ197:$BT197,,AH197+1)*AF197-ERP_i)*AE197*Ramure*Pc/MaxiM</f>
        <v>2.3494076168240942E-4</v>
      </c>
      <c r="AE197" s="307">
        <f t="shared" si="65"/>
        <v>0.9</v>
      </c>
      <c r="AF197" s="179">
        <f t="shared" si="66"/>
        <v>0.92736044211425184</v>
      </c>
      <c r="AG197" s="839">
        <f t="shared" si="74"/>
        <v>0</v>
      </c>
      <c r="AH197" s="178">
        <f t="shared" si="67"/>
        <v>6</v>
      </c>
      <c r="AI197" s="227">
        <f t="shared" si="68"/>
        <v>0.92736044211425184</v>
      </c>
      <c r="AJ197" s="267" t="b">
        <f t="shared" si="69"/>
        <v>0</v>
      </c>
      <c r="AK197" s="267" t="b">
        <f t="shared" si="70"/>
        <v>0</v>
      </c>
      <c r="AL197" s="267"/>
      <c r="AM197" s="267"/>
      <c r="AN197" s="75"/>
    </row>
    <row r="198" spans="1:40" s="6" customFormat="1" ht="11.25" x14ac:dyDescent="0.2">
      <c r="A198" s="56">
        <f t="shared" si="71"/>
        <v>45110</v>
      </c>
      <c r="B198" s="413">
        <f>'2022'!Wh/'2022'!Env_an*'2023'!Env_an</f>
        <v>42.367616226361477</v>
      </c>
      <c r="C198" s="868"/>
      <c r="D198" s="395">
        <f t="shared" si="50"/>
        <v>44.176969622261382</v>
      </c>
      <c r="E198" s="387">
        <f t="shared" si="75"/>
        <v>47.766367817455205</v>
      </c>
      <c r="F198" s="387">
        <f t="shared" si="51"/>
        <v>47.773983622822641</v>
      </c>
      <c r="G198" s="110">
        <f t="shared" si="76"/>
        <v>0.75557593771941078</v>
      </c>
      <c r="H198" s="416" t="b">
        <f>Wh_hp&gt;='2022'!Maxi_hp</f>
        <v>0</v>
      </c>
      <c r="I198" s="392">
        <f>IF(H198,Wh_hp,'2022'!Maxi_hp)</f>
        <v>51.509935845707219</v>
      </c>
      <c r="J198" s="85">
        <f>IF(H198,An,'2022'!An_max)</f>
        <v>2019</v>
      </c>
      <c r="K198" s="199">
        <f t="shared" si="52"/>
        <v>45110</v>
      </c>
      <c r="L198" s="147">
        <f>IF(t&lt;Tvie,1-EXP((T0-t)*PertePVj)+'2022'!Pspv,1-EXP((T0-t)*PertePVj)+Pspv)</f>
        <v>4.0956937774838886E-2</v>
      </c>
      <c r="M198" s="872"/>
      <c r="N198" s="872"/>
      <c r="O198" s="48">
        <f>IF(t&lt;Tnet,'2022'!Resal+('2022'!Salim-'2022'!Resal)*(1-EXP(('2022'!Tnet-t)/('2022'!Tau_j))),Resal+(Salim-Resal)*(1-EXP((Tnet-t)/(Tau_j))))*Salcycl</f>
        <v>7.5144884553733041E-2</v>
      </c>
      <c r="P198" s="171">
        <f>(INDEX(Models!$BJ198:$BT198,,T198)*(1-R198)+INDEX(Models!$BJ198:$BT198,,T198+1)*R198-ERP_i)*Q198*Ramure*Pc/MaxiM</f>
        <v>2.4490635389533299E-4</v>
      </c>
      <c r="Q198" s="307">
        <f t="shared" si="53"/>
        <v>0.9</v>
      </c>
      <c r="R198" s="179">
        <f t="shared" si="54"/>
        <v>0.93238495097707874</v>
      </c>
      <c r="S198" s="839">
        <f t="shared" si="55"/>
        <v>0</v>
      </c>
      <c r="T198" s="178">
        <f t="shared" si="56"/>
        <v>6</v>
      </c>
      <c r="U198" s="253">
        <f t="shared" si="57"/>
        <v>0.93238495097707874</v>
      </c>
      <c r="V198" s="385">
        <f t="shared" si="58"/>
        <v>56.068478884001287</v>
      </c>
      <c r="W198" s="404">
        <f t="shared" si="59"/>
        <v>42.367616226361477</v>
      </c>
      <c r="X198" s="157">
        <f t="shared" si="60"/>
        <v>45110</v>
      </c>
      <c r="Y198" s="387">
        <f t="shared" si="61"/>
        <v>38.096738593976504</v>
      </c>
      <c r="Z198" s="387">
        <f t="shared" si="62"/>
        <v>39.723699690381864</v>
      </c>
      <c r="AA198" s="388">
        <f t="shared" si="63"/>
        <v>47.766367817455205</v>
      </c>
      <c r="AB198" s="199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0.16837512447689859</v>
      </c>
      <c r="AD198" s="233">
        <f>(INDEX(Models!$BJ198:$BT198,,AH198)*(1-AF198)+INDEX(Models!$BJ198:$BT198,,AH198+1)*AF198-ERP_i)*AE198*Ramure*Pc/MaxiM</f>
        <v>2.4490635389533299E-4</v>
      </c>
      <c r="AE198" s="307">
        <f t="shared" si="65"/>
        <v>0.9</v>
      </c>
      <c r="AF198" s="179">
        <f t="shared" si="66"/>
        <v>0.93238495097707874</v>
      </c>
      <c r="AG198" s="839">
        <f t="shared" si="74"/>
        <v>0</v>
      </c>
      <c r="AH198" s="178">
        <f t="shared" si="67"/>
        <v>6</v>
      </c>
      <c r="AI198" s="227">
        <f t="shared" si="68"/>
        <v>0.93238495097707874</v>
      </c>
      <c r="AJ198" s="267" t="b">
        <f t="shared" si="69"/>
        <v>0</v>
      </c>
      <c r="AK198" s="267" t="b">
        <f t="shared" si="70"/>
        <v>0</v>
      </c>
      <c r="AL198" s="267"/>
      <c r="AM198" s="267"/>
      <c r="AN198" s="75"/>
    </row>
    <row r="199" spans="1:40" s="6" customFormat="1" ht="11.25" x14ac:dyDescent="0.2">
      <c r="A199" s="56">
        <f t="shared" si="71"/>
        <v>45111</v>
      </c>
      <c r="B199" s="413">
        <f>'2022'!Wh/'2022'!Env_an*'2023'!Env_an</f>
        <v>44.457836317616504</v>
      </c>
      <c r="C199" s="868"/>
      <c r="D199" s="395">
        <f t="shared" si="50"/>
        <v>46.357533557815998</v>
      </c>
      <c r="E199" s="387">
        <f t="shared" si="75"/>
        <v>50.134765180856768</v>
      </c>
      <c r="F199" s="387">
        <f t="shared" si="51"/>
        <v>50.14386398313021</v>
      </c>
      <c r="G199" s="110">
        <f t="shared" si="76"/>
        <v>0.79410695848486201</v>
      </c>
      <c r="H199" s="416" t="b">
        <f>Wh_hp&gt;='2022'!Maxi_hp</f>
        <v>0</v>
      </c>
      <c r="I199" s="392">
        <f>IF(H199,Wh_hp,'2022'!Maxi_hp)</f>
        <v>59.188715550013768</v>
      </c>
      <c r="J199" s="85">
        <f>IF(H199,An,'2022'!An_max)</f>
        <v>2019</v>
      </c>
      <c r="K199" s="199">
        <f t="shared" si="52"/>
        <v>45111</v>
      </c>
      <c r="L199" s="147">
        <f>IF(t&lt;Tvie,1-EXP((T0-t)*PertePVj)+'2022'!Pspv,1-EXP((T0-t)*PertePVj)+Pspv)</f>
        <v>4.0979256107968598E-2</v>
      </c>
      <c r="M199" s="872"/>
      <c r="N199" s="872"/>
      <c r="O199" s="48">
        <f>IF(t&lt;Tnet,'2022'!Resal+('2022'!Salim-'2022'!Resal)*(1-EXP(('2022'!Tnet-t)/('2022'!Tau_j))),Resal+(Salim-Resal)*(1-EXP((Tnet-t)/(Tau_j))))*Salcycl</f>
        <v>7.5341564070655231E-2</v>
      </c>
      <c r="P199" s="171">
        <f>(INDEX(Models!$BJ199:$BT199,,T199)*(1-R199)+INDEX(Models!$BJ199:$BT199,,T199+1)*R199-ERP_i)*Q199*Ramure*Pc/MaxiM</f>
        <v>2.5703409593521399E-4</v>
      </c>
      <c r="Q199" s="307">
        <f t="shared" si="53"/>
        <v>0.9</v>
      </c>
      <c r="R199" s="179">
        <f t="shared" si="54"/>
        <v>0.93731937151681599</v>
      </c>
      <c r="S199" s="839">
        <f t="shared" si="55"/>
        <v>0</v>
      </c>
      <c r="T199" s="178">
        <f t="shared" si="56"/>
        <v>6</v>
      </c>
      <c r="U199" s="253">
        <f t="shared" si="57"/>
        <v>0.93731937151681599</v>
      </c>
      <c r="V199" s="385">
        <f t="shared" si="58"/>
        <v>55.980463466702354</v>
      </c>
      <c r="W199" s="404">
        <f t="shared" si="59"/>
        <v>44.457836317616504</v>
      </c>
      <c r="X199" s="157">
        <f t="shared" si="60"/>
        <v>45111</v>
      </c>
      <c r="Y199" s="387">
        <f t="shared" si="61"/>
        <v>39.978907176630806</v>
      </c>
      <c r="Z199" s="387">
        <f t="shared" si="62"/>
        <v>41.687218374842281</v>
      </c>
      <c r="AA199" s="388">
        <f t="shared" si="63"/>
        <v>50.134765180856768</v>
      </c>
      <c r="AB199" s="199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0.16849678612317628</v>
      </c>
      <c r="AD199" s="233">
        <f>(INDEX(Models!$BJ199:$BT199,,AH199)*(1-AF199)+INDEX(Models!$BJ199:$BT199,,AH199+1)*AF199-ERP_i)*AE199*Ramure*Pc/MaxiM</f>
        <v>2.5703409593521399E-4</v>
      </c>
      <c r="AE199" s="307">
        <f t="shared" si="65"/>
        <v>0.9</v>
      </c>
      <c r="AF199" s="179">
        <f t="shared" si="66"/>
        <v>0.93731937151681599</v>
      </c>
      <c r="AG199" s="839">
        <f t="shared" si="74"/>
        <v>0</v>
      </c>
      <c r="AH199" s="178">
        <f t="shared" si="67"/>
        <v>6</v>
      </c>
      <c r="AI199" s="227">
        <f t="shared" si="68"/>
        <v>0.93731937151681599</v>
      </c>
      <c r="AJ199" s="267" t="b">
        <f t="shared" si="69"/>
        <v>0</v>
      </c>
      <c r="AK199" s="267" t="b">
        <f t="shared" si="70"/>
        <v>0</v>
      </c>
      <c r="AL199" s="267"/>
      <c r="AM199" s="267"/>
      <c r="AN199" s="75"/>
    </row>
    <row r="200" spans="1:40" s="6" customFormat="1" ht="11.25" x14ac:dyDescent="0.2">
      <c r="A200" s="56">
        <f t="shared" si="71"/>
        <v>45112</v>
      </c>
      <c r="B200" s="413">
        <f>'2022'!Wh/'2022'!Env_an*'2023'!Env_an</f>
        <v>53.596217971050471</v>
      </c>
      <c r="C200" s="868"/>
      <c r="D200" s="395">
        <f t="shared" si="50"/>
        <v>55.887701703772635</v>
      </c>
      <c r="E200" s="387">
        <f t="shared" si="75"/>
        <v>60.45421237798886</v>
      </c>
      <c r="F200" s="387">
        <f t="shared" si="51"/>
        <v>60.469658792993059</v>
      </c>
      <c r="G200" s="110">
        <f t="shared" si="76"/>
        <v>0.95895604086420172</v>
      </c>
      <c r="H200" s="416" t="b">
        <f>Wh_hp&gt;='2022'!Maxi_hp</f>
        <v>0</v>
      </c>
      <c r="I200" s="392">
        <f>IF(H200,Wh_hp,'2022'!Maxi_hp)</f>
        <v>62.028584740771763</v>
      </c>
      <c r="J200" s="85">
        <f>IF(H200,An,'2022'!An_max)</f>
        <v>2021</v>
      </c>
      <c r="K200" s="199">
        <f t="shared" si="52"/>
        <v>45112</v>
      </c>
      <c r="L200" s="147">
        <f>IF(t&lt;Tvie,1-EXP((T0-t)*PertePVj)+'2022'!Pspv,1-EXP((T0-t)*PertePVj)+Pspv)</f>
        <v>4.1001573921718104E-2</v>
      </c>
      <c r="M200" s="872"/>
      <c r="N200" s="872"/>
      <c r="O200" s="48">
        <f>IF(t&lt;Tnet,'2022'!Resal+('2022'!Salim-'2022'!Resal)*(1-EXP(('2022'!Tnet-t)/('2022'!Tau_j))),Resal+(Salim-Resal)*(1-EXP((Tnet-t)/(Tau_j))))*Salcycl</f>
        <v>7.5536682963698185E-2</v>
      </c>
      <c r="P200" s="171">
        <f>(INDEX(Models!$BJ200:$BT200,,T200)*(1-R200)+INDEX(Models!$BJ200:$BT200,,T200+1)*R200-ERP_i)*Q200*Ramure*Pc/MaxiM</f>
        <v>2.7134493730705366E-4</v>
      </c>
      <c r="Q200" s="307">
        <f t="shared" si="53"/>
        <v>0.9</v>
      </c>
      <c r="R200" s="179">
        <f t="shared" si="54"/>
        <v>0.94216205153116994</v>
      </c>
      <c r="S200" s="839">
        <f t="shared" si="55"/>
        <v>0</v>
      </c>
      <c r="T200" s="178">
        <f t="shared" si="56"/>
        <v>6</v>
      </c>
      <c r="U200" s="253">
        <f t="shared" si="57"/>
        <v>0.94216205153116994</v>
      </c>
      <c r="V200" s="385">
        <f t="shared" si="58"/>
        <v>55.889282787848778</v>
      </c>
      <c r="W200" s="404">
        <f t="shared" si="59"/>
        <v>53.596217971050471</v>
      </c>
      <c r="X200" s="157">
        <f t="shared" si="60"/>
        <v>45112</v>
      </c>
      <c r="Y200" s="387">
        <f t="shared" si="61"/>
        <v>48.199949132554501</v>
      </c>
      <c r="Z200" s="387">
        <f t="shared" si="62"/>
        <v>50.260717663179975</v>
      </c>
      <c r="AA200" s="388">
        <f t="shared" si="63"/>
        <v>60.45421237798886</v>
      </c>
      <c r="AB200" s="199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0.16861512728135869</v>
      </c>
      <c r="AD200" s="233">
        <f>(INDEX(Models!$BJ200:$BT200,,AH200)*(1-AF200)+INDEX(Models!$BJ200:$BT200,,AH200+1)*AF200-ERP_i)*AE200*Ramure*Pc/MaxiM</f>
        <v>2.7134493730705366E-4</v>
      </c>
      <c r="AE200" s="307">
        <f t="shared" si="65"/>
        <v>0.9</v>
      </c>
      <c r="AF200" s="179">
        <f t="shared" si="66"/>
        <v>0.94216205153116994</v>
      </c>
      <c r="AG200" s="839">
        <f t="shared" si="74"/>
        <v>0</v>
      </c>
      <c r="AH200" s="178">
        <f t="shared" si="67"/>
        <v>6</v>
      </c>
      <c r="AI200" s="227">
        <f t="shared" si="68"/>
        <v>0.94216205153116994</v>
      </c>
      <c r="AJ200" s="267" t="b">
        <f t="shared" si="69"/>
        <v>0</v>
      </c>
      <c r="AK200" s="267" t="b">
        <f t="shared" si="70"/>
        <v>0</v>
      </c>
      <c r="AL200" s="267"/>
      <c r="AM200" s="267"/>
      <c r="AN200" s="75"/>
    </row>
    <row r="201" spans="1:40" s="6" customFormat="1" ht="11.25" x14ac:dyDescent="0.2">
      <c r="A201" s="56">
        <f t="shared" si="71"/>
        <v>45113</v>
      </c>
      <c r="B201" s="413">
        <f>'2022'!Wh/'2022'!Env_an*'2023'!Env_an</f>
        <v>41.52376555882735</v>
      </c>
      <c r="C201" s="868"/>
      <c r="D201" s="395">
        <f t="shared" si="50"/>
        <v>43.300104328443162</v>
      </c>
      <c r="E201" s="387">
        <f t="shared" si="75"/>
        <v>46.847909413631911</v>
      </c>
      <c r="F201" s="387">
        <f t="shared" si="51"/>
        <v>46.856469047450354</v>
      </c>
      <c r="G201" s="110">
        <f t="shared" si="76"/>
        <v>0.74414539558577331</v>
      </c>
      <c r="H201" s="416" t="b">
        <f>Wh_hp&gt;='2022'!Maxi_hp</f>
        <v>0</v>
      </c>
      <c r="I201" s="392">
        <f>IF(H201,Wh_hp,'2022'!Maxi_hp)</f>
        <v>61.321046316933298</v>
      </c>
      <c r="J201" s="85">
        <f>IF(H201,An,'2022'!An_max)</f>
        <v>2020</v>
      </c>
      <c r="K201" s="199">
        <f t="shared" si="52"/>
        <v>45113</v>
      </c>
      <c r="L201" s="147">
        <f>IF(t&lt;Tvie,1-EXP((T0-t)*PertePVj)+'2022'!Pspv,1-EXP((T0-t)*PertePVj)+Pspv)</f>
        <v>4.1023891216099506E-2</v>
      </c>
      <c r="M201" s="872"/>
      <c r="N201" s="872"/>
      <c r="O201" s="48">
        <f>IF(t&lt;Tnet,'2022'!Resal+('2022'!Salim-'2022'!Resal)*(1-EXP(('2022'!Tnet-t)/('2022'!Tau_j))),Resal+(Salim-Resal)*(1-EXP((Tnet-t)/(Tau_j))))*Salcycl</f>
        <v>7.5730275472151651E-2</v>
      </c>
      <c r="P201" s="171">
        <f>(INDEX(Models!$BJ201:$BT201,,T201)*(1-R201)+INDEX(Models!$BJ201:$BT201,,T201+1)*R201-ERP_i)*Q201*Ramure*Pc/MaxiM</f>
        <v>2.8786041875215684E-4</v>
      </c>
      <c r="Q201" s="307">
        <f t="shared" si="53"/>
        <v>0.9</v>
      </c>
      <c r="R201" s="179">
        <f t="shared" si="54"/>
        <v>0.9469115516403257</v>
      </c>
      <c r="S201" s="839">
        <f t="shared" si="55"/>
        <v>0</v>
      </c>
      <c r="T201" s="178">
        <f t="shared" si="56"/>
        <v>6</v>
      </c>
      <c r="U201" s="253">
        <f t="shared" si="57"/>
        <v>0.9469115516403257</v>
      </c>
      <c r="V201" s="385">
        <f t="shared" si="58"/>
        <v>55.79473773025186</v>
      </c>
      <c r="W201" s="404">
        <f t="shared" si="59"/>
        <v>41.52376555882735</v>
      </c>
      <c r="X201" s="157">
        <f t="shared" si="60"/>
        <v>45113</v>
      </c>
      <c r="Y201" s="387">
        <f t="shared" si="61"/>
        <v>37.345646627912267</v>
      </c>
      <c r="Z201" s="387">
        <f t="shared" si="62"/>
        <v>38.943250291470903</v>
      </c>
      <c r="AA201" s="388">
        <f t="shared" si="63"/>
        <v>46.847909413631911</v>
      </c>
      <c r="AB201" s="199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0.16873024263193456</v>
      </c>
      <c r="AD201" s="233">
        <f>(INDEX(Models!$BJ201:$BT201,,AH201)*(1-AF201)+INDEX(Models!$BJ201:$BT201,,AH201+1)*AF201-ERP_i)*AE201*Ramure*Pc/MaxiM</f>
        <v>2.8786041875215684E-4</v>
      </c>
      <c r="AE201" s="307">
        <f t="shared" si="65"/>
        <v>0.9</v>
      </c>
      <c r="AF201" s="179">
        <f t="shared" si="66"/>
        <v>0.9469115516403257</v>
      </c>
      <c r="AG201" s="839">
        <f t="shared" si="74"/>
        <v>0</v>
      </c>
      <c r="AH201" s="178">
        <f t="shared" si="67"/>
        <v>6</v>
      </c>
      <c r="AI201" s="227">
        <f t="shared" si="68"/>
        <v>0.9469115516403257</v>
      </c>
      <c r="AJ201" s="267" t="b">
        <f t="shared" si="69"/>
        <v>0</v>
      </c>
      <c r="AK201" s="267" t="b">
        <f t="shared" si="70"/>
        <v>0</v>
      </c>
      <c r="AL201" s="267"/>
      <c r="AM201" s="267"/>
      <c r="AN201" s="75"/>
    </row>
    <row r="202" spans="1:40" s="6" customFormat="1" ht="11.25" x14ac:dyDescent="0.2">
      <c r="A202" s="56">
        <f t="shared" si="71"/>
        <v>45114</v>
      </c>
      <c r="B202" s="413">
        <f>'2022'!Wh/'2022'!Env_an*'2023'!Env_an</f>
        <v>51.565541925632736</v>
      </c>
      <c r="C202" s="868"/>
      <c r="D202" s="395">
        <f t="shared" si="50"/>
        <v>53.772707668854487</v>
      </c>
      <c r="E202" s="387">
        <f t="shared" si="75"/>
        <v>58.190682707126314</v>
      </c>
      <c r="F202" s="387">
        <f t="shared" si="51"/>
        <v>58.206638047913408</v>
      </c>
      <c r="G202" s="110">
        <f t="shared" si="76"/>
        <v>0.92579868797226905</v>
      </c>
      <c r="H202" s="416" t="b">
        <f>Wh_hp&gt;='2022'!Maxi_hp</f>
        <v>0</v>
      </c>
      <c r="I202" s="392">
        <f>IF(H202,Wh_hp,'2022'!Maxi_hp)</f>
        <v>58.207162099063567</v>
      </c>
      <c r="J202" s="85">
        <f>IF(H202,An,'2022'!An_max)</f>
        <v>2022</v>
      </c>
      <c r="K202" s="199">
        <f t="shared" si="52"/>
        <v>45114</v>
      </c>
      <c r="L202" s="147">
        <f>IF(t&lt;Tvie,1-EXP((T0-t)*PertePVj)+'2022'!Pspv,1-EXP((T0-t)*PertePVj)+Pspv)</f>
        <v>4.1046207991124795E-2</v>
      </c>
      <c r="M202" s="872"/>
      <c r="N202" s="872"/>
      <c r="O202" s="48">
        <f>IF(t&lt;Tnet,'2022'!Resal+('2022'!Salim-'2022'!Resal)*(1-EXP(('2022'!Tnet-t)/('2022'!Tau_j))),Resal+(Salim-Resal)*(1-EXP((Tnet-t)/(Tau_j))))*Salcycl</f>
        <v>7.5922378510448016E-2</v>
      </c>
      <c r="P202" s="171">
        <f>(INDEX(Models!$BJ202:$BT202,,T202)*(1-R202)+INDEX(Models!$BJ202:$BT202,,T202+1)*R202-ERP_i)*Q202*Ramure*Pc/MaxiM</f>
        <v>3.0660277559230154E-4</v>
      </c>
      <c r="Q202" s="307">
        <f t="shared" si="53"/>
        <v>0.9</v>
      </c>
      <c r="R202" s="179">
        <f t="shared" si="54"/>
        <v>0.95156664156777304</v>
      </c>
      <c r="S202" s="839">
        <f t="shared" si="55"/>
        <v>0</v>
      </c>
      <c r="T202" s="178">
        <f t="shared" si="56"/>
        <v>6</v>
      </c>
      <c r="U202" s="253">
        <f t="shared" si="57"/>
        <v>0.95156664156777304</v>
      </c>
      <c r="V202" s="385">
        <f t="shared" si="58"/>
        <v>55.696629203986511</v>
      </c>
      <c r="W202" s="404">
        <f t="shared" si="59"/>
        <v>51.565541925632736</v>
      </c>
      <c r="X202" s="157">
        <f t="shared" si="60"/>
        <v>45114</v>
      </c>
      <c r="Y202" s="387">
        <f t="shared" si="61"/>
        <v>46.380411920632298</v>
      </c>
      <c r="Z202" s="387">
        <f t="shared" si="62"/>
        <v>48.365637955789055</v>
      </c>
      <c r="AA202" s="388">
        <f t="shared" si="63"/>
        <v>58.190682707126314</v>
      </c>
      <c r="AB202" s="199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0.16884223202512857</v>
      </c>
      <c r="AD202" s="233">
        <f>(INDEX(Models!$BJ202:$BT202,,AH202)*(1-AF202)+INDEX(Models!$BJ202:$BT202,,AH202+1)*AF202-ERP_i)*AE202*Ramure*Pc/MaxiM</f>
        <v>3.0660277559230154E-4</v>
      </c>
      <c r="AE202" s="307">
        <f t="shared" si="65"/>
        <v>0.9</v>
      </c>
      <c r="AF202" s="179">
        <f t="shared" si="66"/>
        <v>0.95156664156777304</v>
      </c>
      <c r="AG202" s="839">
        <f t="shared" si="74"/>
        <v>0</v>
      </c>
      <c r="AH202" s="178">
        <f t="shared" si="67"/>
        <v>6</v>
      </c>
      <c r="AI202" s="227">
        <f t="shared" si="68"/>
        <v>0.95156664156777304</v>
      </c>
      <c r="AJ202" s="267" t="b">
        <f t="shared" si="69"/>
        <v>0</v>
      </c>
      <c r="AK202" s="267" t="b">
        <f t="shared" si="70"/>
        <v>0</v>
      </c>
      <c r="AL202" s="267"/>
      <c r="AM202" s="267"/>
      <c r="AN202" s="75"/>
    </row>
    <row r="203" spans="1:40" s="6" customFormat="1" ht="11.25" x14ac:dyDescent="0.2">
      <c r="A203" s="56">
        <f t="shared" si="71"/>
        <v>45115</v>
      </c>
      <c r="B203" s="413">
        <f>'2022'!Wh/'2022'!Env_an*'2023'!Env_an</f>
        <v>56.593679911409154</v>
      </c>
      <c r="C203" s="868"/>
      <c r="D203" s="395">
        <f t="shared" si="50"/>
        <v>59.017439037505348</v>
      </c>
      <c r="E203" s="387">
        <f t="shared" si="75"/>
        <v>63.879501542781711</v>
      </c>
      <c r="F203" s="387">
        <f t="shared" si="51"/>
        <v>63.900435008789181</v>
      </c>
      <c r="G203" s="110">
        <f t="shared" si="76"/>
        <v>1.0179679125142835</v>
      </c>
      <c r="H203" s="416" t="b">
        <f>Wh_hp&gt;='2022'!Maxi_hp</f>
        <v>1</v>
      </c>
      <c r="I203" s="392">
        <f>IF(H203,Wh_hp,'2022'!Maxi_hp)</f>
        <v>63.900435008789181</v>
      </c>
      <c r="J203" s="85">
        <f>IF(H203,An,'2022'!An_max)</f>
        <v>2023</v>
      </c>
      <c r="K203" s="199">
        <f t="shared" si="52"/>
        <v>45115</v>
      </c>
      <c r="L203" s="147">
        <f>IF(t&lt;Tvie,1-EXP((T0-t)*PertePVj)+'2022'!Pspv,1-EXP((T0-t)*PertePVj)+Pspv)</f>
        <v>4.1068524246806182E-2</v>
      </c>
      <c r="M203" s="872"/>
      <c r="N203" s="872"/>
      <c r="O203" s="48">
        <f>IF(t&lt;Tnet,'2022'!Resal+('2022'!Salim-'2022'!Resal)*(1-EXP(('2022'!Tnet-t)/('2022'!Tau_j))),Resal+(Salim-Resal)*(1-EXP((Tnet-t)/(Tau_j))))*Salcycl</f>
        <v>7.6113031377054691E-2</v>
      </c>
      <c r="P203" s="171">
        <f>(INDEX(Models!$BJ203:$BT203,,T203)*(1-R203)+INDEX(Models!$BJ203:$BT203,,T203+1)*R203-ERP_i)*Q203*Ramure*Pc/MaxiM</f>
        <v>3.2759504695997407E-4</v>
      </c>
      <c r="Q203" s="307">
        <f t="shared" si="53"/>
        <v>0.9</v>
      </c>
      <c r="R203" s="179">
        <f t="shared" si="54"/>
        <v>0.9561262956461416</v>
      </c>
      <c r="S203" s="839">
        <f t="shared" si="55"/>
        <v>0</v>
      </c>
      <c r="T203" s="178">
        <f t="shared" si="56"/>
        <v>6</v>
      </c>
      <c r="U203" s="253">
        <f t="shared" si="57"/>
        <v>0.9561262956461416</v>
      </c>
      <c r="V203" s="385">
        <f t="shared" si="58"/>
        <v>55.594758160528045</v>
      </c>
      <c r="W203" s="404">
        <f t="shared" si="59"/>
        <v>56.593679911409154</v>
      </c>
      <c r="X203" s="157">
        <f t="shared" si="60"/>
        <v>45115</v>
      </c>
      <c r="Y203" s="387">
        <f t="shared" si="61"/>
        <v>50.906779061864846</v>
      </c>
      <c r="Z203" s="387">
        <f t="shared" si="62"/>
        <v>53.086983115117853</v>
      </c>
      <c r="AA203" s="388">
        <f t="shared" si="63"/>
        <v>63.879501542781711</v>
      </c>
      <c r="AB203" s="199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0.16895119979037157</v>
      </c>
      <c r="AD203" s="233">
        <f>(INDEX(Models!$BJ203:$BT203,,AH203)*(1-AF203)+INDEX(Models!$BJ203:$BT203,,AH203+1)*AF203-ERP_i)*AE203*Ramure*Pc/MaxiM</f>
        <v>3.2759504695997407E-4</v>
      </c>
      <c r="AE203" s="307">
        <f t="shared" si="65"/>
        <v>0.9</v>
      </c>
      <c r="AF203" s="179">
        <f t="shared" si="66"/>
        <v>0.9561262956461416</v>
      </c>
      <c r="AG203" s="839">
        <f t="shared" si="74"/>
        <v>0</v>
      </c>
      <c r="AH203" s="178">
        <f t="shared" si="67"/>
        <v>6</v>
      </c>
      <c r="AI203" s="227">
        <f t="shared" si="68"/>
        <v>0.9561262956461416</v>
      </c>
      <c r="AJ203" s="267" t="b">
        <f t="shared" si="69"/>
        <v>0</v>
      </c>
      <c r="AK203" s="267" t="b">
        <f t="shared" si="70"/>
        <v>0</v>
      </c>
      <c r="AL203" s="267"/>
      <c r="AM203" s="267"/>
      <c r="AN203" s="75"/>
    </row>
    <row r="204" spans="1:40" s="6" customFormat="1" ht="11.25" x14ac:dyDescent="0.2">
      <c r="A204" s="56">
        <f t="shared" si="71"/>
        <v>45116</v>
      </c>
      <c r="B204" s="413">
        <f>'2022'!Wh/'2022'!Env_an*'2023'!Env_an</f>
        <v>55.591268583992779</v>
      </c>
      <c r="C204" s="868"/>
      <c r="D204" s="395">
        <f t="shared" si="50"/>
        <v>57.97344618442925</v>
      </c>
      <c r="E204" s="387">
        <f t="shared" si="75"/>
        <v>62.7623568229398</v>
      </c>
      <c r="F204" s="387">
        <f t="shared" si="51"/>
        <v>62.784385427188184</v>
      </c>
      <c r="G204" s="110">
        <f t="shared" si="76"/>
        <v>1.0018443855288932</v>
      </c>
      <c r="H204" s="416" t="b">
        <f>Wh_hp&gt;='2022'!Maxi_hp</f>
        <v>1</v>
      </c>
      <c r="I204" s="392">
        <f>IF(H204,Wh_hp,'2022'!Maxi_hp)</f>
        <v>62.784385427188184</v>
      </c>
      <c r="J204" s="85">
        <f>IF(H204,An,'2022'!An_max)</f>
        <v>2023</v>
      </c>
      <c r="K204" s="199">
        <f t="shared" si="52"/>
        <v>45116</v>
      </c>
      <c r="L204" s="147">
        <f>IF(t&lt;Tvie,1-EXP((T0-t)*PertePVj)+'2022'!Pspv,1-EXP((T0-t)*PertePVj)+Pspv)</f>
        <v>4.1090839983155658E-2</v>
      </c>
      <c r="M204" s="872"/>
      <c r="N204" s="872"/>
      <c r="O204" s="48">
        <f>IF(t&lt;Tnet,'2022'!Resal+('2022'!Salim-'2022'!Resal)*(1-EXP(('2022'!Tnet-t)/('2022'!Tau_j))),Resal+(Salim-Resal)*(1-EXP((Tnet-t)/(Tau_j))))*Salcycl</f>
        <v>7.6302275455025478E-2</v>
      </c>
      <c r="P204" s="171">
        <f>(INDEX(Models!$BJ204:$BT204,,T204)*(1-R204)+INDEX(Models!$BJ204:$BT204,,T204+1)*R204-ERP_i)*Q204*Ramure*Pc/MaxiM</f>
        <v>3.5086119101902384E-4</v>
      </c>
      <c r="Q204" s="307">
        <f t="shared" si="53"/>
        <v>0.9</v>
      </c>
      <c r="R204" s="179">
        <f t="shared" si="54"/>
        <v>0.96058968761775654</v>
      </c>
      <c r="S204" s="839">
        <f t="shared" si="55"/>
        <v>0</v>
      </c>
      <c r="T204" s="178">
        <f t="shared" si="56"/>
        <v>6</v>
      </c>
      <c r="U204" s="253">
        <f t="shared" si="57"/>
        <v>0.96058968761775654</v>
      </c>
      <c r="V204" s="385">
        <f t="shared" si="58"/>
        <v>55.488925612579109</v>
      </c>
      <c r="W204" s="404">
        <f t="shared" si="59"/>
        <v>55.591268583992779</v>
      </c>
      <c r="X204" s="157">
        <f t="shared" si="60"/>
        <v>45116</v>
      </c>
      <c r="Y204" s="387">
        <f t="shared" si="61"/>
        <v>50.008958711685914</v>
      </c>
      <c r="Z204" s="387">
        <f t="shared" si="62"/>
        <v>52.15192512167414</v>
      </c>
      <c r="AA204" s="388">
        <f t="shared" si="63"/>
        <v>62.7623568229398</v>
      </c>
      <c r="AB204" s="199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0.16905725403523272</v>
      </c>
      <c r="AD204" s="233">
        <f>(INDEX(Models!$BJ204:$BT204,,AH204)*(1-AF204)+INDEX(Models!$BJ204:$BT204,,AH204+1)*AF204-ERP_i)*AE204*Ramure*Pc/MaxiM</f>
        <v>3.5086119101902384E-4</v>
      </c>
      <c r="AE204" s="307">
        <f t="shared" si="65"/>
        <v>0.9</v>
      </c>
      <c r="AF204" s="179">
        <f t="shared" si="66"/>
        <v>0.96058968761775654</v>
      </c>
      <c r="AG204" s="839">
        <f t="shared" si="74"/>
        <v>0</v>
      </c>
      <c r="AH204" s="178">
        <f t="shared" si="67"/>
        <v>6</v>
      </c>
      <c r="AI204" s="227">
        <f t="shared" si="68"/>
        <v>0.96058968761775654</v>
      </c>
      <c r="AJ204" s="267" t="b">
        <f t="shared" si="69"/>
        <v>0</v>
      </c>
      <c r="AK204" s="267" t="b">
        <f t="shared" si="70"/>
        <v>0</v>
      </c>
      <c r="AL204" s="267"/>
      <c r="AM204" s="267"/>
      <c r="AN204" s="75"/>
    </row>
    <row r="205" spans="1:40" s="6" customFormat="1" ht="11.25" x14ac:dyDescent="0.2">
      <c r="A205" s="56">
        <f t="shared" si="71"/>
        <v>45117</v>
      </c>
      <c r="B205" s="413">
        <f>'2022'!Wh/'2022'!Env_an*'2023'!Env_an</f>
        <v>55.032843492904647</v>
      </c>
      <c r="C205" s="868"/>
      <c r="D205" s="395">
        <f t="shared" si="50"/>
        <v>57.392427262253008</v>
      </c>
      <c r="E205" s="387">
        <f t="shared" si="75"/>
        <v>62.145983072111235</v>
      </c>
      <c r="F205" s="387">
        <f t="shared" si="51"/>
        <v>62.169176182164193</v>
      </c>
      <c r="G205" s="110">
        <f t="shared" si="76"/>
        <v>0.99374599924114648</v>
      </c>
      <c r="H205" s="416" t="b">
        <f>Wh_hp&gt;='2022'!Maxi_hp</f>
        <v>0</v>
      </c>
      <c r="I205" s="392">
        <f>IF(H205,Wh_hp,'2022'!Maxi_hp)</f>
        <v>62.966191858436069</v>
      </c>
      <c r="J205" s="85">
        <f>IF(H205,An,'2022'!An_max)</f>
        <v>2019</v>
      </c>
      <c r="K205" s="199">
        <f t="shared" si="52"/>
        <v>45117</v>
      </c>
      <c r="L205" s="147">
        <f>IF(t&lt;Tvie,1-EXP((T0-t)*PertePVj)+'2022'!Pspv,1-EXP((T0-t)*PertePVj)+Pspv)</f>
        <v>4.1113155200185436E-2</v>
      </c>
      <c r="M205" s="872"/>
      <c r="N205" s="872"/>
      <c r="O205" s="48">
        <f>IF(t&lt;Tnet,'2022'!Resal+('2022'!Salim-'2022'!Resal)*(1-EXP(('2022'!Tnet-t)/('2022'!Tau_j))),Resal+(Salim-Resal)*(1-EXP((Tnet-t)/(Tau_j))))*Salcycl</f>
        <v>7.6490153906527247E-2</v>
      </c>
      <c r="P205" s="171">
        <f>(INDEX(Models!$BJ205:$BT205,,T205)*(1-R205)+INDEX(Models!$BJ205:$BT205,,T205+1)*R205-ERP_i)*Q205*Ramure*Pc/MaxiM</f>
        <v>3.7642575734339124E-4</v>
      </c>
      <c r="Q205" s="307">
        <f t="shared" si="53"/>
        <v>0.9</v>
      </c>
      <c r="R205" s="179">
        <f t="shared" si="54"/>
        <v>0.9649561848011815</v>
      </c>
      <c r="S205" s="839">
        <f t="shared" si="55"/>
        <v>0</v>
      </c>
      <c r="T205" s="178">
        <f t="shared" si="56"/>
        <v>6</v>
      </c>
      <c r="U205" s="253">
        <f t="shared" si="57"/>
        <v>0.9649561848011815</v>
      </c>
      <c r="V205" s="385">
        <f t="shared" si="58"/>
        <v>55.378998742198398</v>
      </c>
      <c r="W205" s="404">
        <f t="shared" si="59"/>
        <v>55.032843492904647</v>
      </c>
      <c r="X205" s="157">
        <f t="shared" si="60"/>
        <v>45117</v>
      </c>
      <c r="Y205" s="387">
        <f t="shared" si="61"/>
        <v>49.510527730479829</v>
      </c>
      <c r="Z205" s="387">
        <f t="shared" si="62"/>
        <v>51.63333713355518</v>
      </c>
      <c r="AA205" s="388">
        <f t="shared" si="63"/>
        <v>62.145983072111235</v>
      </c>
      <c r="AB205" s="199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0.16916050593901905</v>
      </c>
      <c r="AD205" s="233">
        <f>(INDEX(Models!$BJ205:$BT205,,AH205)*(1-AF205)+INDEX(Models!$BJ205:$BT205,,AH205+1)*AF205-ERP_i)*AE205*Ramure*Pc/MaxiM</f>
        <v>3.7642575734339124E-4</v>
      </c>
      <c r="AE205" s="307">
        <f t="shared" si="65"/>
        <v>0.9</v>
      </c>
      <c r="AF205" s="179">
        <f t="shared" si="66"/>
        <v>0.9649561848011815</v>
      </c>
      <c r="AG205" s="839">
        <f t="shared" si="74"/>
        <v>0</v>
      </c>
      <c r="AH205" s="178">
        <f t="shared" si="67"/>
        <v>6</v>
      </c>
      <c r="AI205" s="227">
        <f t="shared" si="68"/>
        <v>0.9649561848011815</v>
      </c>
      <c r="AJ205" s="267" t="b">
        <f t="shared" si="69"/>
        <v>0</v>
      </c>
      <c r="AK205" s="267" t="b">
        <f t="shared" si="70"/>
        <v>0</v>
      </c>
      <c r="AL205" s="267"/>
      <c r="AM205" s="267"/>
      <c r="AN205" s="75"/>
    </row>
    <row r="206" spans="1:40" s="6" customFormat="1" ht="11.25" x14ac:dyDescent="0.2">
      <c r="A206" s="56">
        <f t="shared" si="71"/>
        <v>45118</v>
      </c>
      <c r="B206" s="413">
        <f>'2022'!Wh/'2022'!Env_an*'2023'!Env_an</f>
        <v>53.138076933023839</v>
      </c>
      <c r="C206" s="868"/>
      <c r="D206" s="395">
        <f t="shared" si="50"/>
        <v>55.417710494897648</v>
      </c>
      <c r="E206" s="387">
        <f t="shared" si="75"/>
        <v>60.01983398116792</v>
      </c>
      <c r="F206" s="387">
        <f t="shared" si="51"/>
        <v>60.042836921124923</v>
      </c>
      <c r="G206" s="110">
        <f t="shared" si="76"/>
        <v>0.96149181046617371</v>
      </c>
      <c r="H206" s="416" t="b">
        <f>Wh_hp&gt;='2022'!Maxi_hp</f>
        <v>0</v>
      </c>
      <c r="I206" s="392">
        <f>IF(H206,Wh_hp,'2022'!Maxi_hp)</f>
        <v>62.533277298191116</v>
      </c>
      <c r="J206" s="85">
        <f>IF(H206,An,'2022'!An_max)</f>
        <v>2019</v>
      </c>
      <c r="K206" s="199">
        <f t="shared" si="52"/>
        <v>45118</v>
      </c>
      <c r="L206" s="147">
        <f>IF(t&lt;Tvie,1-EXP((T0-t)*PertePVj)+'2022'!Pspv,1-EXP((T0-t)*PertePVj)+Pspv)</f>
        <v>4.1135469897907395E-2</v>
      </c>
      <c r="M206" s="872"/>
      <c r="N206" s="872"/>
      <c r="O206" s="48">
        <f>IF(t&lt;Tnet,'2022'!Resal+('2022'!Salim-'2022'!Resal)*(1-EXP(('2022'!Tnet-t)/('2022'!Tau_j))),Resal+(Salim-Resal)*(1-EXP((Tnet-t)/(Tau_j))))*Salcycl</f>
        <v>7.667671136368448E-2</v>
      </c>
      <c r="P206" s="171">
        <f>(INDEX(Models!$BJ206:$BT206,,T206)*(1-R206)+INDEX(Models!$BJ206:$BT206,,T206+1)*R206-ERP_i)*Q206*Ramure*Pc/MaxiM</f>
        <v>4.0539803062882555E-4</v>
      </c>
      <c r="Q206" s="307">
        <f t="shared" si="53"/>
        <v>0.9</v>
      </c>
      <c r="R206" s="179">
        <f t="shared" si="54"/>
        <v>0.96922534169569852</v>
      </c>
      <c r="S206" s="839">
        <f t="shared" si="55"/>
        <v>0</v>
      </c>
      <c r="T206" s="178">
        <f t="shared" si="56"/>
        <v>6</v>
      </c>
      <c r="U206" s="253">
        <f t="shared" si="57"/>
        <v>0.96922534169569852</v>
      </c>
      <c r="V206" s="385">
        <f t="shared" si="58"/>
        <v>55.265049056577105</v>
      </c>
      <c r="W206" s="404">
        <f t="shared" si="59"/>
        <v>53.138076933023839</v>
      </c>
      <c r="X206" s="157">
        <f t="shared" si="60"/>
        <v>45118</v>
      </c>
      <c r="Y206" s="387">
        <f t="shared" si="61"/>
        <v>47.809764756910809</v>
      </c>
      <c r="Z206" s="387">
        <f t="shared" si="62"/>
        <v>49.860812717538302</v>
      </c>
      <c r="AA206" s="388">
        <f t="shared" si="63"/>
        <v>60.01983398116792</v>
      </c>
      <c r="AB206" s="199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0.16926106904622815</v>
      </c>
      <c r="AD206" s="233">
        <f>(INDEX(Models!$BJ206:$BT206,,AH206)*(1-AF206)+INDEX(Models!$BJ206:$BT206,,AH206+1)*AF206-ERP_i)*AE206*Ramure*Pc/MaxiM</f>
        <v>4.0539803062882555E-4</v>
      </c>
      <c r="AE206" s="307">
        <f t="shared" si="65"/>
        <v>0.9</v>
      </c>
      <c r="AF206" s="179">
        <f t="shared" si="66"/>
        <v>0.96922534169569852</v>
      </c>
      <c r="AG206" s="839">
        <f t="shared" si="74"/>
        <v>0</v>
      </c>
      <c r="AH206" s="178">
        <f t="shared" si="67"/>
        <v>6</v>
      </c>
      <c r="AI206" s="227">
        <f t="shared" si="68"/>
        <v>0.96922534169569852</v>
      </c>
      <c r="AJ206" s="267" t="b">
        <f t="shared" si="69"/>
        <v>0</v>
      </c>
      <c r="AK206" s="267" t="b">
        <f t="shared" si="70"/>
        <v>0</v>
      </c>
      <c r="AL206" s="267"/>
      <c r="AM206" s="267"/>
      <c r="AN206" s="75"/>
    </row>
    <row r="207" spans="1:40" s="6" customFormat="1" ht="11.25" x14ac:dyDescent="0.2">
      <c r="A207" s="56">
        <f t="shared" si="71"/>
        <v>45119</v>
      </c>
      <c r="B207" s="413">
        <f>'2022'!Wh/'2022'!Env_an*'2023'!Env_an</f>
        <v>53.245031698233625</v>
      </c>
      <c r="C207" s="868"/>
      <c r="D207" s="395">
        <f t="shared" ref="D207:D270" si="77">Wh/(1-Ppv)</f>
        <v>55.530545916714715</v>
      </c>
      <c r="E207" s="387">
        <f t="shared" si="75"/>
        <v>60.154110796886933</v>
      </c>
      <c r="F207" s="387">
        <f t="shared" ref="F207:F270" si="78">Wh_sa/(1-Pvg*MEDIAN((-Sdif+Wh/Env_an)/Csdif,0,1))</f>
        <v>60.179128353386275</v>
      </c>
      <c r="G207" s="110">
        <f t="shared" si="76"/>
        <v>0.96548480422997085</v>
      </c>
      <c r="H207" s="416" t="b">
        <f>Wh_hp&gt;='2022'!Maxi_hp</f>
        <v>0</v>
      </c>
      <c r="I207" s="392">
        <f>IF(H207,Wh_hp,'2022'!Maxi_hp)</f>
        <v>63.366086116985848</v>
      </c>
      <c r="J207" s="85">
        <f>IF(H207,An,'2022'!An_max)</f>
        <v>2019</v>
      </c>
      <c r="K207" s="199">
        <f t="shared" ref="K207:K270" si="79">t</f>
        <v>45119</v>
      </c>
      <c r="L207" s="147">
        <f>IF(t&lt;Tvie,1-EXP((T0-t)*PertePVj)+'2022'!Pspv,1-EXP((T0-t)*PertePVj)+Pspv)</f>
        <v>4.1157784076333859E-2</v>
      </c>
      <c r="M207" s="872"/>
      <c r="N207" s="872"/>
      <c r="O207" s="48">
        <f>IF(t&lt;Tnet,'2022'!Resal+('2022'!Salim-'2022'!Resal)*(1-EXP(('2022'!Tnet-t)/('2022'!Tau_j))),Resal+(Salim-Resal)*(1-EXP((Tnet-t)/(Tau_j))))*Salcycl</f>
        <v>7.6861993618090166E-2</v>
      </c>
      <c r="P207" s="171">
        <f>(INDEX(Models!$BJ207:$BT207,,T207)*(1-R207)+INDEX(Models!$BJ207:$BT207,,T207+1)*R207-ERP_i)*Q207*Ramure*Pc/MaxiM</f>
        <v>4.3726559840289456E-4</v>
      </c>
      <c r="Q207" s="307">
        <f t="shared" ref="Q207:Q270" si="80">IF(OR(t&lt;Ttai,Notai),Dd+PousD*Croivg,Dens+PousD*(Croivg-Croi_tai))</f>
        <v>0.9</v>
      </c>
      <c r="R207" s="179">
        <f t="shared" ref="R207:R270" si="81">(Hp_vg-S207)/(INDEX(Echel_vg,T207+1)-S207)</f>
        <v>0.97339689309556721</v>
      </c>
      <c r="S207" s="839">
        <f t="shared" ref="S207:S270" si="82">INDEX(Echel_vg,T207)</f>
        <v>0</v>
      </c>
      <c r="T207" s="178">
        <f t="shared" ref="T207:T270" si="83">MIN(MATCH(Hp_vg,Echel_vg),10)</f>
        <v>6</v>
      </c>
      <c r="U207" s="253">
        <f t="shared" ref="U207:U270" si="84">IF(OR(t&lt;Ttai,Notai),Hdd+PousH*Croivg,Hdtf+PousH*(Croivg-Croi_tai))</f>
        <v>0.97339689309556721</v>
      </c>
      <c r="V207" s="385">
        <f t="shared" ref="V207:V270" si="85">MaxiM*(1-Ppv)*(1-Pvg)*(1-Psa)</f>
        <v>55.147303917951973</v>
      </c>
      <c r="W207" s="404">
        <f t="shared" ref="W207:W270" si="86">Wh*(A207&gt;Tmaj)</f>
        <v>53.245031698233625</v>
      </c>
      <c r="X207" s="157">
        <f t="shared" ref="X207:X270" si="87">t</f>
        <v>45119</v>
      </c>
      <c r="Y207" s="387">
        <f t="shared" ref="Y207:Y270" si="88">Wh_pvt_s*(1-Ppv)</f>
        <v>47.909958154470345</v>
      </c>
      <c r="Z207" s="387">
        <f t="shared" ref="Z207:Z270" si="89">Wh_sa_s*(1-Psa_s)</f>
        <v>49.9664672235129</v>
      </c>
      <c r="AA207" s="388">
        <f t="shared" ref="AA207:AA270" si="90">Wh_hp*(1-Pvg_s*MEDIAN((-Sdif+Wh/Env_an)/Csdif,0,1))</f>
        <v>60.154110796886933</v>
      </c>
      <c r="AB207" s="199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0.16935905856497602</v>
      </c>
      <c r="AD207" s="233">
        <f>(INDEX(Models!$BJ207:$BT207,,AH207)*(1-AF207)+INDEX(Models!$BJ207:$BT207,,AH207+1)*AF207-ERP_i)*AE207*Ramure*Pc/MaxiM</f>
        <v>4.3726559840289456E-4</v>
      </c>
      <c r="AE207" s="307">
        <f t="shared" ref="AE207:AE270" si="92">IF(OR(t&lt;Ttai,Notai),Dd_s+PousD*Croivg,Dens_s+PousD*(Croivg-Croi_tai))</f>
        <v>0.9</v>
      </c>
      <c r="AF207" s="179">
        <f t="shared" ref="AF207:AF270" si="93">(Hp_vg_s-AG207)/(INDEX(Echel_vg,AH207+1)-AG207)</f>
        <v>0.97339689309556721</v>
      </c>
      <c r="AG207" s="839">
        <f t="shared" si="74"/>
        <v>0</v>
      </c>
      <c r="AH207" s="178">
        <f t="shared" ref="AH207:AH270" si="94">MIN(MATCH(Hp_vg_s,Echel_vg),10)</f>
        <v>6</v>
      </c>
      <c r="AI207" s="227">
        <f t="shared" ref="AI207:AI270" si="95">IF(OR(t&lt;Ttai,Notai),Hdd_s+PousH*Croivg,Hdtai_s+PousH*(Croivg-Croi_tai))</f>
        <v>0.97339689309556721</v>
      </c>
      <c r="AJ207" s="267" t="b">
        <f t="shared" ref="AJ207:AJ270" si="96">t&lt;Tnet</f>
        <v>0</v>
      </c>
      <c r="AK207" s="267" t="b">
        <f t="shared" ref="AK207:AK270" si="97">t&lt;Ttai</f>
        <v>0</v>
      </c>
      <c r="AL207" s="267"/>
      <c r="AM207" s="267"/>
      <c r="AN207" s="75"/>
    </row>
    <row r="208" spans="1:40" s="6" customFormat="1" ht="11.25" x14ac:dyDescent="0.2">
      <c r="A208" s="56">
        <f t="shared" ref="A208:A271" si="98">A207+1</f>
        <v>45120</v>
      </c>
      <c r="B208" s="413">
        <f>'2022'!Wh/'2022'!Env_an*'2023'!Env_an</f>
        <v>52.918503648882329</v>
      </c>
      <c r="C208" s="868"/>
      <c r="D208" s="395">
        <f t="shared" si="77"/>
        <v>55.191286209120584</v>
      </c>
      <c r="E208" s="387">
        <f t="shared" si="75"/>
        <v>59.798526295207949</v>
      </c>
      <c r="F208" s="387">
        <f t="shared" si="78"/>
        <v>59.825221896958553</v>
      </c>
      <c r="G208" s="110">
        <f t="shared" si="76"/>
        <v>0.96167582856229772</v>
      </c>
      <c r="H208" s="416" t="b">
        <f>Wh_hp&gt;='2022'!Maxi_hp</f>
        <v>0</v>
      </c>
      <c r="I208" s="392">
        <f>IF(H208,Wh_hp,'2022'!Maxi_hp)</f>
        <v>59.825654709604933</v>
      </c>
      <c r="J208" s="85">
        <f>IF(H208,An,'2022'!An_max)</f>
        <v>2022</v>
      </c>
      <c r="K208" s="199">
        <f t="shared" si="79"/>
        <v>45120</v>
      </c>
      <c r="L208" s="147">
        <f>IF(t&lt;Tvie,1-EXP((T0-t)*PertePVj)+'2022'!Pspv,1-EXP((T0-t)*PertePVj)+Pspv)</f>
        <v>4.1180097735476706E-2</v>
      </c>
      <c r="M208" s="872"/>
      <c r="N208" s="872"/>
      <c r="O208" s="48">
        <f>IF(t&lt;Tnet,'2022'!Resal+('2022'!Salim-'2022'!Resal)*(1-EXP(('2022'!Tnet-t)/('2022'!Tau_j))),Resal+(Salim-Resal)*(1-EXP((Tnet-t)/(Tau_j))))*Salcycl</f>
        <v>7.7046047311312746E-2</v>
      </c>
      <c r="P208" s="171">
        <f>(INDEX(Models!$BJ208:$BT208,,T208)*(1-R208)+INDEX(Models!$BJ208:$BT208,,T208+1)*R208-ERP_i)*Q208*Ramure*Pc/MaxiM</f>
        <v>4.7205419018060159E-4</v>
      </c>
      <c r="Q208" s="307">
        <f t="shared" si="80"/>
        <v>0.9</v>
      </c>
      <c r="R208" s="179">
        <f t="shared" si="81"/>
        <v>0.97747074678504942</v>
      </c>
      <c r="S208" s="839">
        <f t="shared" si="82"/>
        <v>0</v>
      </c>
      <c r="T208" s="178">
        <f t="shared" si="83"/>
        <v>6</v>
      </c>
      <c r="U208" s="253">
        <f t="shared" si="84"/>
        <v>0.97747074678504942</v>
      </c>
      <c r="V208" s="385">
        <f t="shared" si="85"/>
        <v>55.025960626687535</v>
      </c>
      <c r="W208" s="404">
        <f t="shared" si="86"/>
        <v>52.918503648882329</v>
      </c>
      <c r="X208" s="157">
        <f t="shared" si="87"/>
        <v>45120</v>
      </c>
      <c r="Y208" s="387">
        <f t="shared" si="88"/>
        <v>47.62016582286715</v>
      </c>
      <c r="Z208" s="387">
        <f t="shared" si="89"/>
        <v>49.665391498860956</v>
      </c>
      <c r="AA208" s="388">
        <f t="shared" si="90"/>
        <v>59.798526295207949</v>
      </c>
      <c r="AB208" s="199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0.1694545906754065</v>
      </c>
      <c r="AD208" s="233">
        <f>(INDEX(Models!$BJ208:$BT208,,AH208)*(1-AF208)+INDEX(Models!$BJ208:$BT208,,AH208+1)*AF208-ERP_i)*AE208*Ramure*Pc/MaxiM</f>
        <v>4.7205419018060159E-4</v>
      </c>
      <c r="AE208" s="307">
        <f t="shared" si="92"/>
        <v>0.9</v>
      </c>
      <c r="AF208" s="179">
        <f t="shared" si="93"/>
        <v>0.97747074678504942</v>
      </c>
      <c r="AG208" s="839">
        <f t="shared" ref="AG208:AG271" si="99">INDEX(Echel_vg,AH208)</f>
        <v>0</v>
      </c>
      <c r="AH208" s="178">
        <f t="shared" si="94"/>
        <v>6</v>
      </c>
      <c r="AI208" s="227">
        <f t="shared" si="95"/>
        <v>0.97747074678504942</v>
      </c>
      <c r="AJ208" s="267" t="b">
        <f t="shared" si="96"/>
        <v>0</v>
      </c>
      <c r="AK208" s="267" t="b">
        <f t="shared" si="97"/>
        <v>0</v>
      </c>
      <c r="AL208" s="267"/>
      <c r="AM208" s="267"/>
      <c r="AN208" s="75"/>
    </row>
    <row r="209" spans="1:40" s="6" customFormat="1" ht="11.25" x14ac:dyDescent="0.2">
      <c r="A209" s="56">
        <f t="shared" si="98"/>
        <v>45121</v>
      </c>
      <c r="B209" s="413">
        <f>'2022'!Wh/'2022'!Env_an*'2023'!Env_an</f>
        <v>52.250734132377097</v>
      </c>
      <c r="C209" s="868"/>
      <c r="D209" s="395">
        <f t="shared" si="77"/>
        <v>54.496105043484896</v>
      </c>
      <c r="E209" s="387">
        <f t="shared" si="75"/>
        <v>59.057014467289598</v>
      </c>
      <c r="F209" s="387">
        <f t="shared" si="78"/>
        <v>59.085058077752123</v>
      </c>
      <c r="G209" s="110">
        <f t="shared" si="76"/>
        <v>0.95168922866481587</v>
      </c>
      <c r="H209" s="416" t="b">
        <f>Wh_hp&gt;='2022'!Maxi_hp</f>
        <v>0</v>
      </c>
      <c r="I209" s="392">
        <f>IF(H209,Wh_hp,'2022'!Maxi_hp)</f>
        <v>62.288044884961785</v>
      </c>
      <c r="J209" s="85">
        <f>IF(H209,An,'2022'!An_max)</f>
        <v>2019</v>
      </c>
      <c r="K209" s="199">
        <f t="shared" si="79"/>
        <v>45121</v>
      </c>
      <c r="L209" s="147">
        <f>IF(t&lt;Tvie,1-EXP((T0-t)*PertePVj)+'2022'!Pspv,1-EXP((T0-t)*PertePVj)+Pspv)</f>
        <v>4.120241087534815E-2</v>
      </c>
      <c r="M209" s="872"/>
      <c r="N209" s="872"/>
      <c r="O209" s="48">
        <f>IF(t&lt;Tnet,'2022'!Resal+('2022'!Salim-'2022'!Resal)*(1-EXP(('2022'!Tnet-t)/('2022'!Tau_j))),Resal+(Salim-Resal)*(1-EXP((Tnet-t)/(Tau_j))))*Salcycl</f>
        <v>7.7228919628690135E-2</v>
      </c>
      <c r="P209" s="171">
        <f>(INDEX(Models!$BJ209:$BT209,,T209)*(1-R209)+INDEX(Models!$BJ209:$BT209,,T209+1)*R209-ERP_i)*Q209*Ramure*Pc/MaxiM</f>
        <v>5.0979015835729612E-4</v>
      </c>
      <c r="Q209" s="307">
        <f t="shared" si="80"/>
        <v>0.9</v>
      </c>
      <c r="R209" s="179">
        <f t="shared" si="81"/>
        <v>0.98144697588366614</v>
      </c>
      <c r="S209" s="839">
        <f t="shared" si="82"/>
        <v>0</v>
      </c>
      <c r="T209" s="178">
        <f t="shared" si="83"/>
        <v>6</v>
      </c>
      <c r="U209" s="253">
        <f t="shared" si="84"/>
        <v>0.98144697588366614</v>
      </c>
      <c r="V209" s="385">
        <f t="shared" si="85"/>
        <v>54.901216283144151</v>
      </c>
      <c r="W209" s="404">
        <f t="shared" si="86"/>
        <v>52.250734132377097</v>
      </c>
      <c r="X209" s="157">
        <f t="shared" si="87"/>
        <v>45121</v>
      </c>
      <c r="Y209" s="387">
        <f t="shared" si="88"/>
        <v>47.02329644161042</v>
      </c>
      <c r="Z209" s="387">
        <f t="shared" si="89"/>
        <v>49.044028661504058</v>
      </c>
      <c r="AA209" s="388">
        <f t="shared" si="90"/>
        <v>59.057014467289598</v>
      </c>
      <c r="AB209" s="199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0.16954778185293332</v>
      </c>
      <c r="AD209" s="233">
        <f>(INDEX(Models!$BJ209:$BT209,,AH209)*(1-AF209)+INDEX(Models!$BJ209:$BT209,,AH209+1)*AF209-ERP_i)*AE209*Ramure*Pc/MaxiM</f>
        <v>5.0979015835729612E-4</v>
      </c>
      <c r="AE209" s="307">
        <f t="shared" si="92"/>
        <v>0.9</v>
      </c>
      <c r="AF209" s="179">
        <f t="shared" si="93"/>
        <v>0.98144697588366614</v>
      </c>
      <c r="AG209" s="839">
        <f t="shared" si="99"/>
        <v>0</v>
      </c>
      <c r="AH209" s="178">
        <f t="shared" si="94"/>
        <v>6</v>
      </c>
      <c r="AI209" s="227">
        <f t="shared" si="95"/>
        <v>0.98144697588366614</v>
      </c>
      <c r="AJ209" s="267" t="b">
        <f t="shared" si="96"/>
        <v>0</v>
      </c>
      <c r="AK209" s="267" t="b">
        <f t="shared" si="97"/>
        <v>0</v>
      </c>
      <c r="AL209" s="267"/>
      <c r="AM209" s="267"/>
      <c r="AN209" s="75"/>
    </row>
    <row r="210" spans="1:40" s="6" customFormat="1" ht="11.25" x14ac:dyDescent="0.2">
      <c r="A210" s="56">
        <f t="shared" si="98"/>
        <v>45122</v>
      </c>
      <c r="B210" s="413">
        <f>'2022'!Wh/'2022'!Env_an*'2023'!Env_an</f>
        <v>50.485290395025721</v>
      </c>
      <c r="C210" s="868"/>
      <c r="D210" s="395">
        <f t="shared" si="77"/>
        <v>52.656020271099472</v>
      </c>
      <c r="E210" s="387">
        <f t="shared" si="75"/>
        <v>57.074169268933467</v>
      </c>
      <c r="F210" s="387">
        <f t="shared" si="78"/>
        <v>57.102088425309098</v>
      </c>
      <c r="G210" s="110">
        <f t="shared" si="76"/>
        <v>0.921657273822025</v>
      </c>
      <c r="H210" s="416" t="b">
        <f>Wh_hp&gt;='2022'!Maxi_hp</f>
        <v>0</v>
      </c>
      <c r="I210" s="392">
        <f>IF(H210,Wh_hp,'2022'!Maxi_hp)</f>
        <v>63.922354684310292</v>
      </c>
      <c r="J210" s="85">
        <f>IF(H210,An,'2022'!An_max)</f>
        <v>2019</v>
      </c>
      <c r="K210" s="199">
        <f t="shared" si="79"/>
        <v>45122</v>
      </c>
      <c r="L210" s="147">
        <f>IF(t&lt;Tvie,1-EXP((T0-t)*PertePVj)+'2022'!Pspv,1-EXP((T0-t)*PertePVj)+Pspv)</f>
        <v>4.122472349596018E-2</v>
      </c>
      <c r="M210" s="872"/>
      <c r="N210" s="872"/>
      <c r="O210" s="48">
        <f>IF(t&lt;Tnet,'2022'!Resal+('2022'!Salim-'2022'!Resal)*(1-EXP(('2022'!Tnet-t)/('2022'!Tau_j))),Resal+(Salim-Resal)*(1-EXP((Tnet-t)/(Tau_j))))*Salcycl</f>
        <v>7.7410657998641691E-2</v>
      </c>
      <c r="P210" s="171">
        <f>(INDEX(Models!$BJ210:$BT210,,T210)*(1-R210)+INDEX(Models!$BJ210:$BT210,,T210+1)*R210-ERP_i)*Q210*Ramure*Pc/MaxiM</f>
        <v>5.5050042459032925E-4</v>
      </c>
      <c r="Q210" s="307">
        <f t="shared" si="80"/>
        <v>0.9</v>
      </c>
      <c r="R210" s="179">
        <f t="shared" si="81"/>
        <v>0.98532581090905347</v>
      </c>
      <c r="S210" s="839">
        <f t="shared" si="82"/>
        <v>0</v>
      </c>
      <c r="T210" s="178">
        <f t="shared" si="83"/>
        <v>6</v>
      </c>
      <c r="U210" s="253">
        <f t="shared" si="84"/>
        <v>0.98532581090905347</v>
      </c>
      <c r="V210" s="385">
        <f t="shared" si="85"/>
        <v>54.77326780033485</v>
      </c>
      <c r="W210" s="404">
        <f t="shared" si="86"/>
        <v>50.485290395025721</v>
      </c>
      <c r="X210" s="157">
        <f t="shared" si="87"/>
        <v>45122</v>
      </c>
      <c r="Y210" s="387">
        <f t="shared" si="88"/>
        <v>45.438449178708332</v>
      </c>
      <c r="Z210" s="387">
        <f t="shared" si="89"/>
        <v>47.392178638971068</v>
      </c>
      <c r="AA210" s="388">
        <f t="shared" si="90"/>
        <v>57.074169268933467</v>
      </c>
      <c r="AB210" s="199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0.1696387482109615</v>
      </c>
      <c r="AD210" s="233">
        <f>(INDEX(Models!$BJ210:$BT210,,AH210)*(1-AF210)+INDEX(Models!$BJ210:$BT210,,AH210+1)*AF210-ERP_i)*AE210*Ramure*Pc/MaxiM</f>
        <v>5.5050042459032925E-4</v>
      </c>
      <c r="AE210" s="307">
        <f t="shared" si="92"/>
        <v>0.9</v>
      </c>
      <c r="AF210" s="179">
        <f t="shared" si="93"/>
        <v>0.98532581090905347</v>
      </c>
      <c r="AG210" s="839">
        <f t="shared" si="99"/>
        <v>0</v>
      </c>
      <c r="AH210" s="178">
        <f t="shared" si="94"/>
        <v>6</v>
      </c>
      <c r="AI210" s="227">
        <f t="shared" si="95"/>
        <v>0.98532581090905347</v>
      </c>
      <c r="AJ210" s="267" t="b">
        <f t="shared" si="96"/>
        <v>0</v>
      </c>
      <c r="AK210" s="267" t="b">
        <f t="shared" si="97"/>
        <v>0</v>
      </c>
      <c r="AL210" s="267"/>
      <c r="AM210" s="267"/>
      <c r="AN210" s="75"/>
    </row>
    <row r="211" spans="1:40" s="6" customFormat="1" ht="11.25" x14ac:dyDescent="0.2">
      <c r="A211" s="56">
        <f t="shared" si="98"/>
        <v>45123</v>
      </c>
      <c r="B211" s="413">
        <f>'2022'!Wh/'2022'!Env_an*'2023'!Env_an</f>
        <v>51.992573923584551</v>
      </c>
      <c r="C211" s="868"/>
      <c r="D211" s="395">
        <f t="shared" si="77"/>
        <v>54.22937487966685</v>
      </c>
      <c r="E211" s="387">
        <f t="shared" si="75"/>
        <v>58.791049407706488</v>
      </c>
      <c r="F211" s="387">
        <f t="shared" si="78"/>
        <v>58.823581696996982</v>
      </c>
      <c r="G211" s="110">
        <f t="shared" si="76"/>
        <v>0.95146838925833632</v>
      </c>
      <c r="H211" s="416" t="b">
        <f>Wh_hp&gt;='2022'!Maxi_hp</f>
        <v>0</v>
      </c>
      <c r="I211" s="392">
        <f>IF(H211,Wh_hp,'2022'!Maxi_hp)</f>
        <v>61.80609820864801</v>
      </c>
      <c r="J211" s="85">
        <f>IF(H211,An,'2022'!An_max)</f>
        <v>2019</v>
      </c>
      <c r="K211" s="199">
        <f t="shared" si="79"/>
        <v>45123</v>
      </c>
      <c r="L211" s="147">
        <f>IF(t&lt;Tvie,1-EXP((T0-t)*PertePVj)+'2022'!Pspv,1-EXP((T0-t)*PertePVj)+Pspv)</f>
        <v>4.1247035597324899E-2</v>
      </c>
      <c r="M211" s="872"/>
      <c r="N211" s="872"/>
      <c r="O211" s="48">
        <f>IF(t&lt;Tnet,'2022'!Resal+('2022'!Salim-'2022'!Resal)*(1-EXP(('2022'!Tnet-t)/('2022'!Tau_j))),Resal+(Salim-Resal)*(1-EXP((Tnet-t)/(Tau_j))))*Salcycl</f>
        <v>7.7591309799645833E-2</v>
      </c>
      <c r="P211" s="171">
        <f>(INDEX(Models!$BJ211:$BT211,,T211)*(1-R211)+INDEX(Models!$BJ211:$BT211,,T211+1)*R211-ERP_i)*Q211*Ramure*Pc/MaxiM</f>
        <v>5.9421242523827243E-4</v>
      </c>
      <c r="Q211" s="307">
        <f t="shared" si="80"/>
        <v>0.9</v>
      </c>
      <c r="R211" s="179">
        <f t="shared" si="81"/>
        <v>0.98910763162215276</v>
      </c>
      <c r="S211" s="839">
        <f t="shared" si="82"/>
        <v>0</v>
      </c>
      <c r="T211" s="178">
        <f t="shared" si="83"/>
        <v>6</v>
      </c>
      <c r="U211" s="253">
        <f t="shared" si="84"/>
        <v>0.98910763162215276</v>
      </c>
      <c r="V211" s="385">
        <f t="shared" si="85"/>
        <v>54.642311929621407</v>
      </c>
      <c r="W211" s="404">
        <f t="shared" si="86"/>
        <v>51.992573923584551</v>
      </c>
      <c r="X211" s="157">
        <f t="shared" si="87"/>
        <v>45123</v>
      </c>
      <c r="Y211" s="387">
        <f t="shared" si="88"/>
        <v>46.799210956330072</v>
      </c>
      <c r="Z211" s="387">
        <f t="shared" si="89"/>
        <v>48.812585404090036</v>
      </c>
      <c r="AA211" s="388">
        <f t="shared" si="90"/>
        <v>58.791049407706488</v>
      </c>
      <c r="AB211" s="199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0.16972760486749278</v>
      </c>
      <c r="AD211" s="233">
        <f>(INDEX(Models!$BJ211:$BT211,,AH211)*(1-AF211)+INDEX(Models!$BJ211:$BT211,,AH211+1)*AF211-ERP_i)*AE211*Ramure*Pc/MaxiM</f>
        <v>5.9421242523827243E-4</v>
      </c>
      <c r="AE211" s="307">
        <f t="shared" si="92"/>
        <v>0.9</v>
      </c>
      <c r="AF211" s="179">
        <f t="shared" si="93"/>
        <v>0.98910763162215276</v>
      </c>
      <c r="AG211" s="839">
        <f t="shared" si="99"/>
        <v>0</v>
      </c>
      <c r="AH211" s="178">
        <f t="shared" si="94"/>
        <v>6</v>
      </c>
      <c r="AI211" s="227">
        <f t="shared" si="95"/>
        <v>0.98910763162215276</v>
      </c>
      <c r="AJ211" s="267" t="b">
        <f t="shared" si="96"/>
        <v>0</v>
      </c>
      <c r="AK211" s="267" t="b">
        <f t="shared" si="97"/>
        <v>0</v>
      </c>
      <c r="AL211" s="267"/>
      <c r="AM211" s="267"/>
      <c r="AN211" s="75"/>
    </row>
    <row r="212" spans="1:40" s="6" customFormat="1" ht="11.25" x14ac:dyDescent="0.2">
      <c r="A212" s="56">
        <f t="shared" si="98"/>
        <v>45124</v>
      </c>
      <c r="B212" s="413">
        <f>'2022'!Wh/'2022'!Env_an*'2023'!Env_an</f>
        <v>51.106412631798598</v>
      </c>
      <c r="C212" s="868"/>
      <c r="D212" s="395">
        <f t="shared" si="77"/>
        <v>53.306330074505986</v>
      </c>
      <c r="E212" s="387">
        <f t="shared" si="75"/>
        <v>57.801614968111856</v>
      </c>
      <c r="F212" s="387">
        <f t="shared" si="78"/>
        <v>57.835469706760449</v>
      </c>
      <c r="G212" s="110">
        <f t="shared" si="76"/>
        <v>0.93753318204800418</v>
      </c>
      <c r="H212" s="416" t="b">
        <f>Wh_hp&gt;='2022'!Maxi_hp</f>
        <v>0</v>
      </c>
      <c r="I212" s="392">
        <f>IF(H212,Wh_hp,'2022'!Maxi_hp)</f>
        <v>61.03216766608417</v>
      </c>
      <c r="J212" s="85">
        <f>IF(H212,An,'2022'!An_max)</f>
        <v>2021</v>
      </c>
      <c r="K212" s="199">
        <f t="shared" si="79"/>
        <v>45124</v>
      </c>
      <c r="L212" s="147">
        <f>IF(t&lt;Tvie,1-EXP((T0-t)*PertePVj)+'2022'!Pspv,1-EXP((T0-t)*PertePVj)+Pspv)</f>
        <v>4.1269347179454519E-2</v>
      </c>
      <c r="M212" s="872"/>
      <c r="N212" s="872"/>
      <c r="O212" s="48">
        <f>IF(t&lt;Tnet,'2022'!Resal+('2022'!Salim-'2022'!Resal)*(1-EXP(('2022'!Tnet-t)/('2022'!Tau_j))),Resal+(Salim-Resal)*(1-EXP((Tnet-t)/(Tau_j))))*Salcycl</f>
        <v>7.7770922076932217E-2</v>
      </c>
      <c r="P212" s="171">
        <f>(INDEX(Models!$BJ212:$BT212,,T212)*(1-R212)+INDEX(Models!$BJ212:$BT212,,T212+1)*R212-ERP_i)*Q212*Ramure*Pc/MaxiM</f>
        <v>6.4266378451516867E-4</v>
      </c>
      <c r="Q212" s="307">
        <f t="shared" si="80"/>
        <v>0.9</v>
      </c>
      <c r="R212" s="179">
        <f t="shared" si="81"/>
        <v>0.99279295871643158</v>
      </c>
      <c r="S212" s="839">
        <f t="shared" si="82"/>
        <v>0</v>
      </c>
      <c r="T212" s="178">
        <f t="shared" si="83"/>
        <v>6</v>
      </c>
      <c r="U212" s="253">
        <f t="shared" si="84"/>
        <v>0.99279295871643158</v>
      </c>
      <c r="V212" s="385">
        <f t="shared" si="85"/>
        <v>54.508452023687866</v>
      </c>
      <c r="W212" s="404">
        <f t="shared" si="86"/>
        <v>51.106412631798598</v>
      </c>
      <c r="X212" s="157">
        <f t="shared" si="87"/>
        <v>45124</v>
      </c>
      <c r="Y212" s="387">
        <f t="shared" si="88"/>
        <v>46.005711065680707</v>
      </c>
      <c r="Z212" s="387">
        <f t="shared" si="89"/>
        <v>47.986064626528659</v>
      </c>
      <c r="AA212" s="388">
        <f t="shared" si="90"/>
        <v>57.801614968111856</v>
      </c>
      <c r="AB212" s="199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0.16981446533973601</v>
      </c>
      <c r="AD212" s="233">
        <f>(INDEX(Models!$BJ212:$BT212,,AH212)*(1-AF212)+INDEX(Models!$BJ212:$BT212,,AH212+1)*AF212-ERP_i)*AE212*Ramure*Pc/MaxiM</f>
        <v>6.4266378451516867E-4</v>
      </c>
      <c r="AE212" s="307">
        <f t="shared" si="92"/>
        <v>0.9</v>
      </c>
      <c r="AF212" s="179">
        <f t="shared" si="93"/>
        <v>0.99279295871643158</v>
      </c>
      <c r="AG212" s="839">
        <f t="shared" si="99"/>
        <v>0</v>
      </c>
      <c r="AH212" s="178">
        <f t="shared" si="94"/>
        <v>6</v>
      </c>
      <c r="AI212" s="227">
        <f t="shared" si="95"/>
        <v>0.99279295871643158</v>
      </c>
      <c r="AJ212" s="267" t="b">
        <f t="shared" si="96"/>
        <v>0</v>
      </c>
      <c r="AK212" s="267" t="b">
        <f t="shared" si="97"/>
        <v>0</v>
      </c>
      <c r="AL212" s="267"/>
      <c r="AM212" s="267"/>
      <c r="AN212" s="75"/>
    </row>
    <row r="213" spans="1:40" s="6" customFormat="1" ht="11.25" x14ac:dyDescent="0.2">
      <c r="A213" s="56">
        <f t="shared" si="98"/>
        <v>45125</v>
      </c>
      <c r="B213" s="413">
        <f>'2022'!Wh/'2022'!Env_an*'2023'!Env_an</f>
        <v>51.384467582588464</v>
      </c>
      <c r="C213" s="868"/>
      <c r="D213" s="395">
        <f t="shared" si="77"/>
        <v>53.597601423164036</v>
      </c>
      <c r="E213" s="387">
        <f t="shared" si="75"/>
        <v>58.12870750808451</v>
      </c>
      <c r="F213" s="387">
        <f t="shared" si="78"/>
        <v>58.165920839590783</v>
      </c>
      <c r="G213" s="110">
        <f t="shared" si="76"/>
        <v>0.94500278288296125</v>
      </c>
      <c r="H213" s="416" t="b">
        <f>Wh_hp&gt;='2022'!Maxi_hp</f>
        <v>0</v>
      </c>
      <c r="I213" s="392">
        <f>IF(H213,Wh_hp,'2022'!Maxi_hp)</f>
        <v>58.166784898613678</v>
      </c>
      <c r="J213" s="85">
        <f>IF(H213,An,'2022'!An_max)</f>
        <v>2022</v>
      </c>
      <c r="K213" s="199">
        <f t="shared" si="79"/>
        <v>45125</v>
      </c>
      <c r="L213" s="147">
        <f>IF(t&lt;Tvie,1-EXP((T0-t)*PertePVj)+'2022'!Pspv,1-EXP((T0-t)*PertePVj)+Pspv)</f>
        <v>4.1291658242361029E-2</v>
      </c>
      <c r="M213" s="872"/>
      <c r="N213" s="872"/>
      <c r="O213" s="48">
        <f>IF(t&lt;Tnet,'2022'!Resal+('2022'!Salim-'2022'!Resal)*(1-EXP(('2022'!Tnet-t)/('2022'!Tau_j))),Resal+(Salim-Resal)*(1-EXP((Tnet-t)/(Tau_j))))*Salcycl</f>
        <v>7.7949541270813424E-2</v>
      </c>
      <c r="P213" s="171">
        <f>(INDEX(Models!$BJ213:$BT213,,T213)*(1-R213)+INDEX(Models!$BJ213:$BT213,,T213+1)*R213-ERP_i)*Q213*Ramure*Pc/MaxiM</f>
        <v>6.9427527194609786E-4</v>
      </c>
      <c r="Q213" s="307">
        <f t="shared" si="80"/>
        <v>0.9</v>
      </c>
      <c r="R213" s="179">
        <f t="shared" si="81"/>
        <v>0.99638244540940912</v>
      </c>
      <c r="S213" s="839">
        <f t="shared" si="82"/>
        <v>0</v>
      </c>
      <c r="T213" s="178">
        <f t="shared" si="83"/>
        <v>6</v>
      </c>
      <c r="U213" s="253">
        <f t="shared" si="84"/>
        <v>0.99638244540940912</v>
      </c>
      <c r="V213" s="385">
        <f t="shared" si="85"/>
        <v>54.371972713589059</v>
      </c>
      <c r="W213" s="404">
        <f t="shared" si="86"/>
        <v>51.384467582588464</v>
      </c>
      <c r="X213" s="157">
        <f t="shared" si="87"/>
        <v>45125</v>
      </c>
      <c r="Y213" s="387">
        <f t="shared" si="88"/>
        <v>46.260239731919611</v>
      </c>
      <c r="Z213" s="387">
        <f t="shared" si="89"/>
        <v>48.252672598121798</v>
      </c>
      <c r="AA213" s="388">
        <f t="shared" si="90"/>
        <v>58.12870750808451</v>
      </c>
      <c r="AB213" s="199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0.16989944097052492</v>
      </c>
      <c r="AD213" s="233">
        <f>(INDEX(Models!$BJ213:$BT213,,AH213)*(1-AF213)+INDEX(Models!$BJ213:$BT213,,AH213+1)*AF213-ERP_i)*AE213*Ramure*Pc/MaxiM</f>
        <v>6.9427527194609786E-4</v>
      </c>
      <c r="AE213" s="307">
        <f t="shared" si="92"/>
        <v>0.9</v>
      </c>
      <c r="AF213" s="179">
        <f t="shared" si="93"/>
        <v>0.99638244540940912</v>
      </c>
      <c r="AG213" s="839">
        <f t="shared" si="99"/>
        <v>0</v>
      </c>
      <c r="AH213" s="178">
        <f t="shared" si="94"/>
        <v>6</v>
      </c>
      <c r="AI213" s="227">
        <f t="shared" si="95"/>
        <v>0.99638244540940912</v>
      </c>
      <c r="AJ213" s="267" t="b">
        <f t="shared" si="96"/>
        <v>0</v>
      </c>
      <c r="AK213" s="267" t="b">
        <f t="shared" si="97"/>
        <v>0</v>
      </c>
      <c r="AL213" s="267"/>
      <c r="AM213" s="267"/>
      <c r="AN213" s="75"/>
    </row>
    <row r="214" spans="1:40" s="6" customFormat="1" ht="11.25" x14ac:dyDescent="0.2">
      <c r="A214" s="56">
        <f t="shared" si="98"/>
        <v>45126</v>
      </c>
      <c r="B214" s="413">
        <f>'2022'!Wh/'2022'!Env_an*'2023'!Env_an</f>
        <v>41.55788021519885</v>
      </c>
      <c r="C214" s="868"/>
      <c r="D214" s="395">
        <f t="shared" si="77"/>
        <v>43.348790805448438</v>
      </c>
      <c r="E214" s="387">
        <f t="shared" si="75"/>
        <v>47.022530022349464</v>
      </c>
      <c r="F214" s="387">
        <f t="shared" si="78"/>
        <v>47.046004848462012</v>
      </c>
      <c r="G214" s="110">
        <f t="shared" si="76"/>
        <v>0.76609126303660724</v>
      </c>
      <c r="H214" s="416" t="b">
        <f>Wh_hp&gt;='2022'!Maxi_hp</f>
        <v>0</v>
      </c>
      <c r="I214" s="392">
        <f>IF(H214,Wh_hp,'2022'!Maxi_hp)</f>
        <v>60.668630393036239</v>
      </c>
      <c r="J214" s="85">
        <f>IF(H214,An,'2022'!An_max)</f>
        <v>2020</v>
      </c>
      <c r="K214" s="199">
        <f t="shared" si="79"/>
        <v>45126</v>
      </c>
      <c r="L214" s="147">
        <f>IF(t&lt;Tvie,1-EXP((T0-t)*PertePVj)+'2022'!Pspv,1-EXP((T0-t)*PertePVj)+Pspv)</f>
        <v>4.1313968786056421E-2</v>
      </c>
      <c r="M214" s="872"/>
      <c r="N214" s="872"/>
      <c r="O214" s="48">
        <f>IF(t&lt;Tnet,'2022'!Resal+('2022'!Salim-'2022'!Resal)*(1-EXP(('2022'!Tnet-t)/('2022'!Tau_j))),Resal+(Salim-Resal)*(1-EXP((Tnet-t)/(Tau_j))))*Salcycl</f>
        <v>7.8127212958446143E-2</v>
      </c>
      <c r="P214" s="171">
        <f>(INDEX(Models!$BJ214:$BT214,,T214)*(1-R214)+INDEX(Models!$BJ214:$BT214,,T214+1)*R214-ERP_i)*Q214*Ramure*Pc/MaxiM</f>
        <v>7.4907979777378479E-4</v>
      </c>
      <c r="Q214" s="307">
        <f t="shared" si="80"/>
        <v>0.9</v>
      </c>
      <c r="R214" s="179">
        <f t="shared" si="81"/>
        <v>0.99987686899107364</v>
      </c>
      <c r="S214" s="839">
        <f t="shared" si="82"/>
        <v>0</v>
      </c>
      <c r="T214" s="178">
        <f t="shared" si="83"/>
        <v>6</v>
      </c>
      <c r="U214" s="253">
        <f t="shared" si="84"/>
        <v>0.99987686899107364</v>
      </c>
      <c r="V214" s="385">
        <f t="shared" si="85"/>
        <v>54.233070191852441</v>
      </c>
      <c r="W214" s="404">
        <f t="shared" si="86"/>
        <v>41.55788021519885</v>
      </c>
      <c r="X214" s="157">
        <f t="shared" si="87"/>
        <v>45126</v>
      </c>
      <c r="Y214" s="387">
        <f t="shared" si="88"/>
        <v>37.417051996842879</v>
      </c>
      <c r="Z214" s="387">
        <f t="shared" si="89"/>
        <v>39.029516211332762</v>
      </c>
      <c r="AA214" s="388">
        <f t="shared" si="90"/>
        <v>47.022530022349464</v>
      </c>
      <c r="AB214" s="199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0.16998264038999342</v>
      </c>
      <c r="AD214" s="233">
        <f>(INDEX(Models!$BJ214:$BT214,,AH214)*(1-AF214)+INDEX(Models!$BJ214:$BT214,,AH214+1)*AF214-ERP_i)*AE214*Ramure*Pc/MaxiM</f>
        <v>7.4907979777378479E-4</v>
      </c>
      <c r="AE214" s="307">
        <f t="shared" si="92"/>
        <v>0.9</v>
      </c>
      <c r="AF214" s="179">
        <f t="shared" si="93"/>
        <v>0.99987686899107364</v>
      </c>
      <c r="AG214" s="839">
        <f t="shared" si="99"/>
        <v>0</v>
      </c>
      <c r="AH214" s="178">
        <f t="shared" si="94"/>
        <v>6</v>
      </c>
      <c r="AI214" s="227">
        <f t="shared" si="95"/>
        <v>0.99987686899107364</v>
      </c>
      <c r="AJ214" s="267" t="b">
        <f t="shared" si="96"/>
        <v>0</v>
      </c>
      <c r="AK214" s="267" t="b">
        <f t="shared" si="97"/>
        <v>0</v>
      </c>
      <c r="AL214" s="267"/>
      <c r="AM214" s="267"/>
      <c r="AN214" s="75"/>
    </row>
    <row r="215" spans="1:40" s="6" customFormat="1" ht="11.25" x14ac:dyDescent="0.2">
      <c r="A215" s="56">
        <f t="shared" si="98"/>
        <v>45127</v>
      </c>
      <c r="B215" s="413">
        <f>'2022'!Wh/'2022'!Env_an*'2023'!Env_an</f>
        <v>39.861839618198147</v>
      </c>
      <c r="C215" s="868"/>
      <c r="D215" s="395">
        <f t="shared" si="77"/>
        <v>41.580628052493935</v>
      </c>
      <c r="E215" s="387">
        <f t="shared" si="75"/>
        <v>45.11316879197949</v>
      </c>
      <c r="F215" s="387">
        <f t="shared" si="78"/>
        <v>45.135922882139816</v>
      </c>
      <c r="G215" s="110">
        <f t="shared" si="76"/>
        <v>0.73670412827248499</v>
      </c>
      <c r="H215" s="416" t="b">
        <f>Wh_hp&gt;='2022'!Maxi_hp</f>
        <v>0</v>
      </c>
      <c r="I215" s="392">
        <f>IF(H215,Wh_hp,'2022'!Maxi_hp)</f>
        <v>59.226165984778646</v>
      </c>
      <c r="J215" s="85">
        <f>IF(H215,An,'2022'!An_max)</f>
        <v>2020</v>
      </c>
      <c r="K215" s="199">
        <f t="shared" si="79"/>
        <v>45127</v>
      </c>
      <c r="L215" s="147">
        <f>IF(t&lt;Tvie,1-EXP((T0-t)*PertePVj)+'2022'!Pspv,1-EXP((T0-t)*PertePVj)+Pspv)</f>
        <v>4.1336278810552907E-2</v>
      </c>
      <c r="M215" s="872"/>
      <c r="N215" s="872"/>
      <c r="O215" s="48">
        <f>IF(t&lt;Tnet,'2022'!Resal+('2022'!Salim-'2022'!Resal)*(1-EXP(('2022'!Tnet-t)/('2022'!Tau_j))),Resal+(Salim-Resal)*(1-EXP((Tnet-t)/(Tau_j))))*Salcycl</f>
        <v>7.8303981610655451E-2</v>
      </c>
      <c r="P215" s="171">
        <f>(INDEX(Models!$BJ215:$BT215,,T215)*(1-R215)+INDEX(Models!$BJ215:$BT215,,T215+1)*R215-ERP_i)*Q215*Ramure*Pc/MaxiM</f>
        <v>8.0765407648083196E-4</v>
      </c>
      <c r="Q215" s="307">
        <f t="shared" si="80"/>
        <v>0.9</v>
      </c>
      <c r="R215" s="179">
        <f t="shared" si="81"/>
        <v>3.2771223798766513E-3</v>
      </c>
      <c r="S215" s="839">
        <f t="shared" si="82"/>
        <v>1</v>
      </c>
      <c r="T215" s="178">
        <f t="shared" si="83"/>
        <v>7</v>
      </c>
      <c r="U215" s="253">
        <f t="shared" si="84"/>
        <v>1.0032771223798767</v>
      </c>
      <c r="V215" s="385">
        <f t="shared" si="85"/>
        <v>54.091911133117208</v>
      </c>
      <c r="W215" s="404">
        <f t="shared" si="86"/>
        <v>39.861839618198147</v>
      </c>
      <c r="X215" s="157">
        <f t="shared" si="87"/>
        <v>45127</v>
      </c>
      <c r="Y215" s="387">
        <f t="shared" si="88"/>
        <v>35.893362158500892</v>
      </c>
      <c r="Z215" s="387">
        <f t="shared" si="89"/>
        <v>37.441035229712</v>
      </c>
      <c r="AA215" s="388">
        <f t="shared" si="90"/>
        <v>45.11316879197949</v>
      </c>
      <c r="AB215" s="199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0.17006416901557772</v>
      </c>
      <c r="AD215" s="233">
        <f>(INDEX(Models!$BJ215:$BT215,,AH215)*(1-AF215)+INDEX(Models!$BJ215:$BT215,,AH215+1)*AF215-ERP_i)*AE215*Ramure*Pc/MaxiM</f>
        <v>8.0765407648083196E-4</v>
      </c>
      <c r="AE215" s="307">
        <f t="shared" si="92"/>
        <v>0.9</v>
      </c>
      <c r="AF215" s="179">
        <f t="shared" si="93"/>
        <v>3.2771223798766513E-3</v>
      </c>
      <c r="AG215" s="839">
        <f t="shared" si="99"/>
        <v>1</v>
      </c>
      <c r="AH215" s="178">
        <f t="shared" si="94"/>
        <v>7</v>
      </c>
      <c r="AI215" s="227">
        <f t="shared" si="95"/>
        <v>1.0032771223798767</v>
      </c>
      <c r="AJ215" s="267" t="b">
        <f t="shared" si="96"/>
        <v>0</v>
      </c>
      <c r="AK215" s="267" t="b">
        <f t="shared" si="97"/>
        <v>0</v>
      </c>
      <c r="AL215" s="267"/>
      <c r="AM215" s="267"/>
      <c r="AN215" s="75"/>
    </row>
    <row r="216" spans="1:40" s="6" customFormat="1" ht="11.25" x14ac:dyDescent="0.2">
      <c r="A216" s="56">
        <f t="shared" si="98"/>
        <v>45128</v>
      </c>
      <c r="B216" s="413">
        <f>'2022'!Wh/'2022'!Env_an*'2023'!Env_an</f>
        <v>50.42257134145536</v>
      </c>
      <c r="C216" s="868"/>
      <c r="D216" s="395">
        <f t="shared" si="77"/>
        <v>52.597948228496811</v>
      </c>
      <c r="E216" s="387">
        <f t="shared" si="75"/>
        <v>57.077374306401659</v>
      </c>
      <c r="F216" s="387">
        <f t="shared" si="78"/>
        <v>57.12240764579132</v>
      </c>
      <c r="G216" s="110">
        <f t="shared" si="76"/>
        <v>0.93456298225605294</v>
      </c>
      <c r="H216" s="416" t="b">
        <f>Wh_hp&gt;='2022'!Maxi_hp</f>
        <v>0</v>
      </c>
      <c r="I216" s="392">
        <f>IF(H216,Wh_hp,'2022'!Maxi_hp)</f>
        <v>57.123658871758579</v>
      </c>
      <c r="J216" s="85">
        <f>IF(H216,An,'2022'!An_max)</f>
        <v>2022</v>
      </c>
      <c r="K216" s="199">
        <f t="shared" si="79"/>
        <v>45128</v>
      </c>
      <c r="L216" s="147">
        <f>IF(t&lt;Tvie,1-EXP((T0-t)*PertePVj)+'2022'!Pspv,1-EXP((T0-t)*PertePVj)+Pspv)</f>
        <v>4.1358588315862588E-2</v>
      </c>
      <c r="M216" s="872"/>
      <c r="N216" s="872"/>
      <c r="O216" s="48">
        <f>IF(t&lt;Tnet,'2022'!Resal+('2022'!Salim-'2022'!Resal)*(1-EXP(('2022'!Tnet-t)/('2022'!Tau_j))),Resal+(Salim-Resal)*(1-EXP((Tnet-t)/(Tau_j))))*Salcycl</f>
        <v>7.8479890365286867E-2</v>
      </c>
      <c r="P216" s="171">
        <f>(INDEX(Models!$BJ216:$BT216,,T216)*(1-R216)+INDEX(Models!$BJ216:$BT216,,T216+1)*R216-ERP_i)*Q216*Ramure*Pc/MaxiM</f>
        <v>8.6955885194698451E-4</v>
      </c>
      <c r="Q216" s="307">
        <f t="shared" si="80"/>
        <v>0.9</v>
      </c>
      <c r="R216" s="179">
        <f t="shared" si="81"/>
        <v>6.5842057329374981E-3</v>
      </c>
      <c r="S216" s="839">
        <f t="shared" si="82"/>
        <v>1</v>
      </c>
      <c r="T216" s="178">
        <f t="shared" si="83"/>
        <v>7</v>
      </c>
      <c r="U216" s="253">
        <f t="shared" si="84"/>
        <v>1.0065842057329375</v>
      </c>
      <c r="V216" s="385">
        <f t="shared" si="85"/>
        <v>53.948717309060243</v>
      </c>
      <c r="W216" s="404">
        <f t="shared" si="86"/>
        <v>50.42257134145536</v>
      </c>
      <c r="X216" s="157">
        <f t="shared" si="87"/>
        <v>45128</v>
      </c>
      <c r="Y216" s="387">
        <f t="shared" si="88"/>
        <v>45.407003538676186</v>
      </c>
      <c r="Z216" s="387">
        <f t="shared" si="89"/>
        <v>47.365994192662036</v>
      </c>
      <c r="AA216" s="388">
        <f t="shared" si="90"/>
        <v>57.077374306401659</v>
      </c>
      <c r="AB216" s="199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0.1701441285930074</v>
      </c>
      <c r="AD216" s="233">
        <f>(INDEX(Models!$BJ216:$BT216,,AH216)*(1-AF216)+INDEX(Models!$BJ216:$BT216,,AH216+1)*AF216-ERP_i)*AE216*Ramure*Pc/MaxiM</f>
        <v>8.6955885194698451E-4</v>
      </c>
      <c r="AE216" s="307">
        <f t="shared" si="92"/>
        <v>0.9</v>
      </c>
      <c r="AF216" s="179">
        <f t="shared" si="93"/>
        <v>6.5842057329374981E-3</v>
      </c>
      <c r="AG216" s="839">
        <f t="shared" si="99"/>
        <v>1</v>
      </c>
      <c r="AH216" s="178">
        <f t="shared" si="94"/>
        <v>7</v>
      </c>
      <c r="AI216" s="227">
        <f t="shared" si="95"/>
        <v>1.0065842057329375</v>
      </c>
      <c r="AJ216" s="267" t="b">
        <f t="shared" si="96"/>
        <v>0</v>
      </c>
      <c r="AK216" s="267" t="b">
        <f t="shared" si="97"/>
        <v>0</v>
      </c>
      <c r="AL216" s="267"/>
      <c r="AM216" s="267"/>
      <c r="AN216" s="75"/>
    </row>
    <row r="217" spans="1:40" s="6" customFormat="1" ht="11.25" x14ac:dyDescent="0.2">
      <c r="A217" s="56">
        <f t="shared" si="98"/>
        <v>45129</v>
      </c>
      <c r="B217" s="413">
        <f>'2022'!Wh/'2022'!Env_an*'2023'!Env_an</f>
        <v>37.97830077776004</v>
      </c>
      <c r="C217" s="868"/>
      <c r="D217" s="395">
        <f t="shared" si="77"/>
        <v>39.617717475972825</v>
      </c>
      <c r="E217" s="387">
        <f t="shared" si="75"/>
        <v>42.999871547753763</v>
      </c>
      <c r="F217" s="387">
        <f t="shared" si="78"/>
        <v>43.02319107909485</v>
      </c>
      <c r="G217" s="110">
        <f t="shared" si="76"/>
        <v>0.7055906080887635</v>
      </c>
      <c r="H217" s="416" t="b">
        <f>Wh_hp&gt;='2022'!Maxi_hp</f>
        <v>0</v>
      </c>
      <c r="I217" s="392">
        <f>IF(H217,Wh_hp,'2022'!Maxi_hp)</f>
        <v>55.801996612148457</v>
      </c>
      <c r="J217" s="85">
        <f>IF(H217,An,'2022'!An_max)</f>
        <v>2021</v>
      </c>
      <c r="K217" s="199">
        <f t="shared" si="79"/>
        <v>45129</v>
      </c>
      <c r="L217" s="147">
        <f>IF(t&lt;Tvie,1-EXP((T0-t)*PertePVj)+'2022'!Pspv,1-EXP((T0-t)*PertePVj)+Pspv)</f>
        <v>4.1380897301997455E-2</v>
      </c>
      <c r="M217" s="872"/>
      <c r="N217" s="872"/>
      <c r="O217" s="48">
        <f>IF(t&lt;Tnet,'2022'!Resal+('2022'!Salim-'2022'!Resal)*(1-EXP(('2022'!Tnet-t)/('2022'!Tau_j))),Resal+(Salim-Resal)*(1-EXP((Tnet-t)/(Tau_j))))*Salcycl</f>
        <v>7.8654980818369746E-2</v>
      </c>
      <c r="P217" s="171">
        <f>(INDEX(Models!$BJ217:$BT217,,T217)*(1-R217)+INDEX(Models!$BJ217:$BT217,,T217+1)*R217-ERP_i)*Q217*Ramure*Pc/MaxiM</f>
        <v>9.3482517624276932E-4</v>
      </c>
      <c r="Q217" s="307">
        <f t="shared" si="80"/>
        <v>0.9</v>
      </c>
      <c r="R217" s="179">
        <f t="shared" si="81"/>
        <v>9.7992181529655831E-3</v>
      </c>
      <c r="S217" s="839">
        <f t="shared" si="82"/>
        <v>1</v>
      </c>
      <c r="T217" s="178">
        <f t="shared" si="83"/>
        <v>7</v>
      </c>
      <c r="U217" s="253">
        <f t="shared" si="84"/>
        <v>1.0097992181529656</v>
      </c>
      <c r="V217" s="385">
        <f t="shared" si="85"/>
        <v>53.803684840176615</v>
      </c>
      <c r="W217" s="404">
        <f t="shared" si="86"/>
        <v>37.97830077776004</v>
      </c>
      <c r="X217" s="157">
        <f t="shared" si="87"/>
        <v>45129</v>
      </c>
      <c r="Y217" s="387">
        <f t="shared" si="88"/>
        <v>34.203837197148388</v>
      </c>
      <c r="Z217" s="387">
        <f t="shared" si="89"/>
        <v>35.680320891668849</v>
      </c>
      <c r="AA217" s="388">
        <f t="shared" si="90"/>
        <v>42.999871547753763</v>
      </c>
      <c r="AB217" s="199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0.17022261678052084</v>
      </c>
      <c r="AD217" s="233">
        <f>(INDEX(Models!$BJ217:$BT217,,AH217)*(1-AF217)+INDEX(Models!$BJ217:$BT217,,AH217+1)*AF217-ERP_i)*AE217*Ramure*Pc/MaxiM</f>
        <v>9.3482517624276932E-4</v>
      </c>
      <c r="AE217" s="307">
        <f t="shared" si="92"/>
        <v>0.9</v>
      </c>
      <c r="AF217" s="179">
        <f t="shared" si="93"/>
        <v>9.7992181529655831E-3</v>
      </c>
      <c r="AG217" s="839">
        <f t="shared" si="99"/>
        <v>1</v>
      </c>
      <c r="AH217" s="178">
        <f t="shared" si="94"/>
        <v>7</v>
      </c>
      <c r="AI217" s="227">
        <f t="shared" si="95"/>
        <v>1.0097992181529656</v>
      </c>
      <c r="AJ217" s="267" t="b">
        <f t="shared" si="96"/>
        <v>0</v>
      </c>
      <c r="AK217" s="267" t="b">
        <f t="shared" si="97"/>
        <v>0</v>
      </c>
      <c r="AL217" s="267"/>
      <c r="AM217" s="267"/>
      <c r="AN217" s="75"/>
    </row>
    <row r="218" spans="1:40" s="6" customFormat="1" ht="11.25" x14ac:dyDescent="0.2">
      <c r="A218" s="56">
        <f t="shared" si="98"/>
        <v>45130</v>
      </c>
      <c r="B218" s="413">
        <f>'2022'!Wh/'2022'!Env_an*'2023'!Env_an</f>
        <v>47.425745536944646</v>
      </c>
      <c r="C218" s="868"/>
      <c r="D218" s="395">
        <f t="shared" si="77"/>
        <v>49.474133256400833</v>
      </c>
      <c r="E218" s="387">
        <f t="shared" si="75"/>
        <v>53.707888094508291</v>
      </c>
      <c r="F218" s="387">
        <f t="shared" si="78"/>
        <v>53.752880305395436</v>
      </c>
      <c r="G218" s="110">
        <f t="shared" si="76"/>
        <v>0.88372133289218602</v>
      </c>
      <c r="H218" s="416" t="b">
        <f>Wh_hp&gt;='2022'!Maxi_hp</f>
        <v>0</v>
      </c>
      <c r="I218" s="392">
        <f>IF(H218,Wh_hp,'2022'!Maxi_hp)</f>
        <v>56.868046767934125</v>
      </c>
      <c r="J218" s="85">
        <f>IF(H218,An,'2022'!An_max)</f>
        <v>2019</v>
      </c>
      <c r="K218" s="199">
        <f t="shared" si="79"/>
        <v>45130</v>
      </c>
      <c r="L218" s="147">
        <f>IF(t&lt;Tvie,1-EXP((T0-t)*PertePVj)+'2022'!Pspv,1-EXP((T0-t)*PertePVj)+Pspv)</f>
        <v>4.1403205768969609E-2</v>
      </c>
      <c r="M218" s="872"/>
      <c r="N218" s="872"/>
      <c r="O218" s="48">
        <f>IF(t&lt;Tnet,'2022'!Resal+('2022'!Salim-'2022'!Resal)*(1-EXP(('2022'!Tnet-t)/('2022'!Tau_j))),Resal+(Salim-Resal)*(1-EXP((Tnet-t)/(Tau_j))))*Salcycl</f>
        <v>7.8829292834181719E-2</v>
      </c>
      <c r="P218" s="171">
        <f>(INDEX(Models!$BJ218:$BT218,,T218)*(1-R218)+INDEX(Models!$BJ218:$BT218,,T218+1)*R218-ERP_i)*Q218*Ramure*Pc/MaxiM</f>
        <v>1.0035026190233119E-3</v>
      </c>
      <c r="Q218" s="307">
        <f t="shared" si="80"/>
        <v>0.9</v>
      </c>
      <c r="R218" s="179">
        <f t="shared" si="81"/>
        <v>1.2923349530250983E-2</v>
      </c>
      <c r="S218" s="839">
        <f t="shared" si="82"/>
        <v>1</v>
      </c>
      <c r="T218" s="178">
        <f t="shared" si="83"/>
        <v>7</v>
      </c>
      <c r="U218" s="253">
        <f t="shared" si="84"/>
        <v>1.012923349530251</v>
      </c>
      <c r="V218" s="385">
        <f t="shared" si="85"/>
        <v>53.65700880286866</v>
      </c>
      <c r="W218" s="404">
        <f t="shared" si="86"/>
        <v>47.425745536944646</v>
      </c>
      <c r="X218" s="157">
        <f t="shared" si="87"/>
        <v>45130</v>
      </c>
      <c r="Y218" s="387">
        <f t="shared" si="88"/>
        <v>42.716462566229133</v>
      </c>
      <c r="Z218" s="387">
        <f t="shared" si="89"/>
        <v>44.561449426185</v>
      </c>
      <c r="AA218" s="388">
        <f t="shared" si="90"/>
        <v>53.707888094508291</v>
      </c>
      <c r="AB218" s="199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0.17029972677809549</v>
      </c>
      <c r="AD218" s="233">
        <f>(INDEX(Models!$BJ218:$BT218,,AH218)*(1-AF218)+INDEX(Models!$BJ218:$BT218,,AH218+1)*AF218-ERP_i)*AE218*Ramure*Pc/MaxiM</f>
        <v>1.0035026190233119E-3</v>
      </c>
      <c r="AE218" s="307">
        <f t="shared" si="92"/>
        <v>0.9</v>
      </c>
      <c r="AF218" s="179">
        <f t="shared" si="93"/>
        <v>1.2923349530250983E-2</v>
      </c>
      <c r="AG218" s="839">
        <f t="shared" si="99"/>
        <v>1</v>
      </c>
      <c r="AH218" s="178">
        <f t="shared" si="94"/>
        <v>7</v>
      </c>
      <c r="AI218" s="227">
        <f t="shared" si="95"/>
        <v>1.012923349530251</v>
      </c>
      <c r="AJ218" s="267" t="b">
        <f t="shared" si="96"/>
        <v>0</v>
      </c>
      <c r="AK218" s="267" t="b">
        <f t="shared" si="97"/>
        <v>0</v>
      </c>
      <c r="AL218" s="267"/>
      <c r="AM218" s="267"/>
      <c r="AN218" s="75"/>
    </row>
    <row r="219" spans="1:40" s="6" customFormat="1" ht="11.25" x14ac:dyDescent="0.2">
      <c r="A219" s="56">
        <f t="shared" si="98"/>
        <v>45131</v>
      </c>
      <c r="B219" s="413">
        <f>'2022'!Wh/'2022'!Env_an*'2023'!Env_an</f>
        <v>49.978045967993246</v>
      </c>
      <c r="C219" s="868"/>
      <c r="D219" s="395">
        <f t="shared" si="77"/>
        <v>52.13788462259086</v>
      </c>
      <c r="E219" s="387">
        <f t="shared" si="75"/>
        <v>56.610257085343946</v>
      </c>
      <c r="F219" s="387">
        <f t="shared" si="78"/>
        <v>56.665463140487333</v>
      </c>
      <c r="G219" s="110">
        <f t="shared" si="76"/>
        <v>0.93392033229532012</v>
      </c>
      <c r="H219" s="416" t="b">
        <f>Wh_hp&gt;='2022'!Maxi_hp</f>
        <v>0</v>
      </c>
      <c r="I219" s="392">
        <f>IF(H219,Wh_hp,'2022'!Maxi_hp)</f>
        <v>57.12402573643886</v>
      </c>
      <c r="J219" s="85">
        <f>IF(H219,An,'2022'!An_max)</f>
        <v>2019</v>
      </c>
      <c r="K219" s="199">
        <f t="shared" si="79"/>
        <v>45131</v>
      </c>
      <c r="L219" s="147">
        <f>IF(t&lt;Tvie,1-EXP((T0-t)*PertePVj)+'2022'!Pspv,1-EXP((T0-t)*PertePVj)+Pspv)</f>
        <v>4.1425513716791151E-2</v>
      </c>
      <c r="M219" s="872"/>
      <c r="N219" s="872"/>
      <c r="O219" s="48">
        <f>IF(t&lt;Tnet,'2022'!Resal+('2022'!Salim-'2022'!Resal)*(1-EXP(('2022'!Tnet-t)/('2022'!Tau_j))),Resal+(Salim-Resal)*(1-EXP((Tnet-t)/(Tau_j))))*Salcycl</f>
        <v>7.9002864375102094E-2</v>
      </c>
      <c r="P219" s="171">
        <f>(INDEX(Models!$BJ219:$BT219,,T219)*(1-R219)+INDEX(Models!$BJ219:$BT219,,T219+1)*R219-ERP_i)*Q219*Ramure*Pc/MaxiM</f>
        <v>1.075639374311619E-3</v>
      </c>
      <c r="Q219" s="307">
        <f t="shared" si="80"/>
        <v>0.9</v>
      </c>
      <c r="R219" s="179">
        <f t="shared" si="81"/>
        <v>1.5957872553939767E-2</v>
      </c>
      <c r="S219" s="839">
        <f t="shared" si="82"/>
        <v>1</v>
      </c>
      <c r="T219" s="178">
        <f t="shared" si="83"/>
        <v>7</v>
      </c>
      <c r="U219" s="253">
        <f t="shared" si="84"/>
        <v>1.0159578725539398</v>
      </c>
      <c r="V219" s="385">
        <f t="shared" si="85"/>
        <v>53.508818488183962</v>
      </c>
      <c r="W219" s="404">
        <f t="shared" si="86"/>
        <v>49.978045967993246</v>
      </c>
      <c r="X219" s="157">
        <f t="shared" si="87"/>
        <v>45131</v>
      </c>
      <c r="Y219" s="387">
        <f t="shared" si="88"/>
        <v>45.019693812534207</v>
      </c>
      <c r="Z219" s="387">
        <f t="shared" si="89"/>
        <v>46.965253568446464</v>
      </c>
      <c r="AA219" s="388">
        <f t="shared" si="90"/>
        <v>56.610257085343946</v>
      </c>
      <c r="AB219" s="199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0.1703755470030274</v>
      </c>
      <c r="AD219" s="233">
        <f>(INDEX(Models!$BJ219:$BT219,,AH219)*(1-AF219)+INDEX(Models!$BJ219:$BT219,,AH219+1)*AF219-ERP_i)*AE219*Ramure*Pc/MaxiM</f>
        <v>1.075639374311619E-3</v>
      </c>
      <c r="AE219" s="307">
        <f t="shared" si="92"/>
        <v>0.9</v>
      </c>
      <c r="AF219" s="179">
        <f t="shared" si="93"/>
        <v>1.5957872553939767E-2</v>
      </c>
      <c r="AG219" s="839">
        <f t="shared" si="99"/>
        <v>1</v>
      </c>
      <c r="AH219" s="178">
        <f t="shared" si="94"/>
        <v>7</v>
      </c>
      <c r="AI219" s="227">
        <f t="shared" si="95"/>
        <v>1.0159578725539398</v>
      </c>
      <c r="AJ219" s="267" t="b">
        <f t="shared" si="96"/>
        <v>0</v>
      </c>
      <c r="AK219" s="267" t="b">
        <f t="shared" si="97"/>
        <v>0</v>
      </c>
      <c r="AL219" s="267"/>
      <c r="AM219" s="267"/>
      <c r="AN219" s="75"/>
    </row>
    <row r="220" spans="1:40" s="6" customFormat="1" ht="11.25" x14ac:dyDescent="0.2">
      <c r="A220" s="56">
        <f t="shared" si="98"/>
        <v>45132</v>
      </c>
      <c r="B220" s="413">
        <f>'2022'!Wh/'2022'!Env_an*'2023'!Env_an</f>
        <v>30.194501671960115</v>
      </c>
      <c r="C220" s="868"/>
      <c r="D220" s="395">
        <f t="shared" si="77"/>
        <v>31.50011270961032</v>
      </c>
      <c r="E220" s="387">
        <f t="shared" si="75"/>
        <v>34.208603945525979</v>
      </c>
      <c r="F220" s="387">
        <f t="shared" si="78"/>
        <v>34.223632993023244</v>
      </c>
      <c r="G220" s="110">
        <f t="shared" si="76"/>
        <v>0.56547163126926081</v>
      </c>
      <c r="H220" s="416" t="b">
        <f>Wh_hp&gt;='2022'!Maxi_hp</f>
        <v>0</v>
      </c>
      <c r="I220" s="392">
        <f>IF(H220,Wh_hp,'2022'!Maxi_hp)</f>
        <v>58.709047096297212</v>
      </c>
      <c r="J220" s="85">
        <f>IF(H220,An,'2022'!An_max)</f>
        <v>2020</v>
      </c>
      <c r="K220" s="199">
        <f t="shared" si="79"/>
        <v>45132</v>
      </c>
      <c r="L220" s="147">
        <f>IF(t&lt;Tvie,1-EXP((T0-t)*PertePVj)+'2022'!Pspv,1-EXP((T0-t)*PertePVj)+Pspv)</f>
        <v>4.1447821145474184E-2</v>
      </c>
      <c r="M220" s="872"/>
      <c r="N220" s="872"/>
      <c r="O220" s="48">
        <f>IF(t&lt;Tnet,'2022'!Resal+('2022'!Salim-'2022'!Resal)*(1-EXP(('2022'!Tnet-t)/('2022'!Tau_j))),Resal+(Salim-Resal)*(1-EXP((Tnet-t)/(Tau_j))))*Salcycl</f>
        <v>7.9175731351933426E-2</v>
      </c>
      <c r="P220" s="171">
        <f>(INDEX(Models!$BJ220:$BT220,,T220)*(1-R220)+INDEX(Models!$BJ220:$BT220,,T220+1)*R220-ERP_i)*Q220*Ramure*Pc/MaxiM</f>
        <v>1.1561700193737979E-3</v>
      </c>
      <c r="Q220" s="307">
        <f t="shared" si="80"/>
        <v>0.9</v>
      </c>
      <c r="R220" s="179">
        <f t="shared" si="81"/>
        <v>1.8904134922757887E-2</v>
      </c>
      <c r="S220" s="839">
        <f t="shared" si="82"/>
        <v>1</v>
      </c>
      <c r="T220" s="178">
        <f t="shared" si="83"/>
        <v>7</v>
      </c>
      <c r="U220" s="253">
        <f t="shared" si="84"/>
        <v>1.0189041349227579</v>
      </c>
      <c r="V220" s="385">
        <f t="shared" si="85"/>
        <v>53.358718986680309</v>
      </c>
      <c r="W220" s="404">
        <f t="shared" si="86"/>
        <v>30.194501671960115</v>
      </c>
      <c r="X220" s="157">
        <f t="shared" si="87"/>
        <v>45132</v>
      </c>
      <c r="Y220" s="387">
        <f t="shared" si="88"/>
        <v>27.201546330972505</v>
      </c>
      <c r="Z220" s="387">
        <f t="shared" si="89"/>
        <v>28.377741901832067</v>
      </c>
      <c r="AA220" s="388">
        <f t="shared" si="90"/>
        <v>34.208603945525979</v>
      </c>
      <c r="AB220" s="199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0.17045016081273057</v>
      </c>
      <c r="AD220" s="233">
        <f>(INDEX(Models!$BJ220:$BT220,,AH220)*(1-AF220)+INDEX(Models!$BJ220:$BT220,,AH220+1)*AF220-ERP_i)*AE220*Ramure*Pc/MaxiM</f>
        <v>1.1561700193737979E-3</v>
      </c>
      <c r="AE220" s="307">
        <f t="shared" si="92"/>
        <v>0.9</v>
      </c>
      <c r="AF220" s="179">
        <f t="shared" si="93"/>
        <v>1.8904134922757887E-2</v>
      </c>
      <c r="AG220" s="839">
        <f t="shared" si="99"/>
        <v>1</v>
      </c>
      <c r="AH220" s="178">
        <f t="shared" si="94"/>
        <v>7</v>
      </c>
      <c r="AI220" s="227">
        <f t="shared" si="95"/>
        <v>1.0189041349227579</v>
      </c>
      <c r="AJ220" s="267" t="b">
        <f t="shared" si="96"/>
        <v>0</v>
      </c>
      <c r="AK220" s="267" t="b">
        <f t="shared" si="97"/>
        <v>0</v>
      </c>
      <c r="AL220" s="267"/>
      <c r="AM220" s="267"/>
      <c r="AN220" s="75"/>
    </row>
    <row r="221" spans="1:40" s="6" customFormat="1" ht="11.25" x14ac:dyDescent="0.2">
      <c r="A221" s="56">
        <f t="shared" si="98"/>
        <v>45133</v>
      </c>
      <c r="B221" s="413">
        <f>'2022'!Wh/'2022'!Env_an*'2023'!Env_an</f>
        <v>51.097855930942863</v>
      </c>
      <c r="C221" s="868"/>
      <c r="D221" s="395">
        <f t="shared" si="77"/>
        <v>53.308569118726922</v>
      </c>
      <c r="E221" s="387">
        <f t="shared" si="75"/>
        <v>57.903056660361258</v>
      </c>
      <c r="F221" s="387">
        <f t="shared" si="78"/>
        <v>57.971095259811918</v>
      </c>
      <c r="G221" s="110">
        <f t="shared" si="76"/>
        <v>0.96029971161566763</v>
      </c>
      <c r="H221" s="416" t="b">
        <f>Wh_hp&gt;='2022'!Maxi_hp</f>
        <v>0</v>
      </c>
      <c r="I221" s="392">
        <f>IF(H221,Wh_hp,'2022'!Maxi_hp)</f>
        <v>58.036306990108471</v>
      </c>
      <c r="J221" s="85">
        <f>IF(H221,An,'2022'!An_max)</f>
        <v>2020</v>
      </c>
      <c r="K221" s="199">
        <f t="shared" si="79"/>
        <v>45133</v>
      </c>
      <c r="L221" s="147">
        <f>IF(t&lt;Tvie,1-EXP((T0-t)*PertePVj)+'2022'!Pspv,1-EXP((T0-t)*PertePVj)+Pspv)</f>
        <v>4.1470128055030697E-2</v>
      </c>
      <c r="M221" s="872"/>
      <c r="N221" s="872"/>
      <c r="O221" s="48">
        <f>IF(t&lt;Tnet,'2022'!Resal+('2022'!Salim-'2022'!Resal)*(1-EXP(('2022'!Tnet-t)/('2022'!Tau_j))),Resal+(Salim-Resal)*(1-EXP((Tnet-t)/(Tau_j))))*Salcycl</f>
        <v>7.9347927495157441E-2</v>
      </c>
      <c r="P221" s="171">
        <f>(INDEX(Models!$BJ221:$BT221,,T221)*(1-R221)+INDEX(Models!$BJ221:$BT221,,T221+1)*R221-ERP_i)*Q221*Ramure*Pc/MaxiM</f>
        <v>1.2441027471651149E-3</v>
      </c>
      <c r="Q221" s="307">
        <f t="shared" si="80"/>
        <v>0.9</v>
      </c>
      <c r="R221" s="179">
        <f t="shared" si="81"/>
        <v>2.176355178138456E-2</v>
      </c>
      <c r="S221" s="839">
        <f t="shared" si="82"/>
        <v>1</v>
      </c>
      <c r="T221" s="178">
        <f t="shared" si="83"/>
        <v>7</v>
      </c>
      <c r="U221" s="253">
        <f t="shared" si="84"/>
        <v>1.0217635517813846</v>
      </c>
      <c r="V221" s="385">
        <f t="shared" si="85"/>
        <v>53.206568558926108</v>
      </c>
      <c r="W221" s="404">
        <f t="shared" si="86"/>
        <v>51.097855930942863</v>
      </c>
      <c r="X221" s="157">
        <f t="shared" si="87"/>
        <v>45133</v>
      </c>
      <c r="Y221" s="387">
        <f t="shared" si="88"/>
        <v>46.037438557477074</v>
      </c>
      <c r="Z221" s="387">
        <f t="shared" si="89"/>
        <v>48.029216308159207</v>
      </c>
      <c r="AA221" s="388">
        <f t="shared" si="90"/>
        <v>57.903056660361258</v>
      </c>
      <c r="AB221" s="199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0.17052364627516101</v>
      </c>
      <c r="AD221" s="233">
        <f>(INDEX(Models!$BJ221:$BT221,,AH221)*(1-AF221)+INDEX(Models!$BJ221:$BT221,,AH221+1)*AF221-ERP_i)*AE221*Ramure*Pc/MaxiM</f>
        <v>1.2441027471651149E-3</v>
      </c>
      <c r="AE221" s="307">
        <f t="shared" si="92"/>
        <v>0.9</v>
      </c>
      <c r="AF221" s="179">
        <f t="shared" si="93"/>
        <v>2.176355178138456E-2</v>
      </c>
      <c r="AG221" s="839">
        <f t="shared" si="99"/>
        <v>1</v>
      </c>
      <c r="AH221" s="178">
        <f t="shared" si="94"/>
        <v>7</v>
      </c>
      <c r="AI221" s="227">
        <f t="shared" si="95"/>
        <v>1.0217635517813846</v>
      </c>
      <c r="AJ221" s="267" t="b">
        <f t="shared" si="96"/>
        <v>0</v>
      </c>
      <c r="AK221" s="267" t="b">
        <f t="shared" si="97"/>
        <v>0</v>
      </c>
      <c r="AL221" s="267"/>
      <c r="AM221" s="267"/>
      <c r="AN221" s="75"/>
    </row>
    <row r="222" spans="1:40" s="6" customFormat="1" ht="11.25" x14ac:dyDescent="0.2">
      <c r="A222" s="56">
        <f t="shared" si="98"/>
        <v>45134</v>
      </c>
      <c r="B222" s="413">
        <f>'2022'!Wh/'2022'!Env_an*'2023'!Env_an</f>
        <v>53.777021332497647</v>
      </c>
      <c r="C222" s="868"/>
      <c r="D222" s="395">
        <f t="shared" si="77"/>
        <v>56.104952391675624</v>
      </c>
      <c r="E222" s="387">
        <f t="shared" si="75"/>
        <v>60.951808790652954</v>
      </c>
      <c r="F222" s="387">
        <f t="shared" si="78"/>
        <v>61.033566863458461</v>
      </c>
      <c r="G222" s="110">
        <f t="shared" si="76"/>
        <v>1.0136630640953654</v>
      </c>
      <c r="H222" s="416" t="b">
        <f>Wh_hp&gt;='2022'!Maxi_hp</f>
        <v>1</v>
      </c>
      <c r="I222" s="392">
        <f>IF(H222,Wh_hp,'2022'!Maxi_hp)</f>
        <v>61.033566863458461</v>
      </c>
      <c r="J222" s="85">
        <f>IF(H222,An,'2022'!An_max)</f>
        <v>2023</v>
      </c>
      <c r="K222" s="199">
        <f t="shared" si="79"/>
        <v>45134</v>
      </c>
      <c r="L222" s="147">
        <f>IF(t&lt;Tvie,1-EXP((T0-t)*PertePVj)+'2022'!Pspv,1-EXP((T0-t)*PertePVj)+Pspv)</f>
        <v>4.1492434445472903E-2</v>
      </c>
      <c r="M222" s="872"/>
      <c r="N222" s="872"/>
      <c r="O222" s="48">
        <f>IF(t&lt;Tnet,'2022'!Resal+('2022'!Salim-'2022'!Resal)*(1-EXP(('2022'!Tnet-t)/('2022'!Tau_j))),Resal+(Salim-Resal)*(1-EXP((Tnet-t)/(Tau_j))))*Salcycl</f>
        <v>7.951948424737483E-2</v>
      </c>
      <c r="P222" s="171">
        <f>(INDEX(Models!$BJ222:$BT222,,T222)*(1-R222)+INDEX(Models!$BJ222:$BT222,,T222+1)*R222-ERP_i)*Q222*Ramure*Pc/MaxiM</f>
        <v>1.3395591476475716E-3</v>
      </c>
      <c r="Q222" s="307">
        <f t="shared" si="80"/>
        <v>0.9</v>
      </c>
      <c r="R222" s="179">
        <f t="shared" si="81"/>
        <v>2.453759840487213E-2</v>
      </c>
      <c r="S222" s="839">
        <f t="shared" si="82"/>
        <v>1</v>
      </c>
      <c r="T222" s="178">
        <f t="shared" si="83"/>
        <v>7</v>
      </c>
      <c r="U222" s="253">
        <f t="shared" si="84"/>
        <v>1.0245375984048721</v>
      </c>
      <c r="V222" s="385">
        <f t="shared" si="85"/>
        <v>53.052166185507083</v>
      </c>
      <c r="W222" s="404">
        <f t="shared" si="86"/>
        <v>53.777021332497647</v>
      </c>
      <c r="X222" s="157">
        <f t="shared" si="87"/>
        <v>45134</v>
      </c>
      <c r="Y222" s="387">
        <f t="shared" si="88"/>
        <v>48.456074573664992</v>
      </c>
      <c r="Z222" s="387">
        <f t="shared" si="89"/>
        <v>50.553669386669483</v>
      </c>
      <c r="AA222" s="388">
        <f t="shared" si="90"/>
        <v>60.951808790652954</v>
      </c>
      <c r="AB222" s="199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0.17059607598680551</v>
      </c>
      <c r="AD222" s="233">
        <f>(INDEX(Models!$BJ222:$BT222,,AH222)*(1-AF222)+INDEX(Models!$BJ222:$BT222,,AH222+1)*AF222-ERP_i)*AE222*Ramure*Pc/MaxiM</f>
        <v>1.3395591476475716E-3</v>
      </c>
      <c r="AE222" s="307">
        <f t="shared" si="92"/>
        <v>0.9</v>
      </c>
      <c r="AF222" s="179">
        <f t="shared" si="93"/>
        <v>2.453759840487213E-2</v>
      </c>
      <c r="AG222" s="839">
        <f t="shared" si="99"/>
        <v>1</v>
      </c>
      <c r="AH222" s="178">
        <f t="shared" si="94"/>
        <v>7</v>
      </c>
      <c r="AI222" s="227">
        <f t="shared" si="95"/>
        <v>1.0245375984048721</v>
      </c>
      <c r="AJ222" s="267" t="b">
        <f t="shared" si="96"/>
        <v>0</v>
      </c>
      <c r="AK222" s="267" t="b">
        <f t="shared" si="97"/>
        <v>0</v>
      </c>
      <c r="AL222" s="267"/>
      <c r="AM222" s="267"/>
      <c r="AN222" s="75"/>
    </row>
    <row r="223" spans="1:40" s="6" customFormat="1" ht="11.25" x14ac:dyDescent="0.2">
      <c r="A223" s="56">
        <f t="shared" si="98"/>
        <v>45135</v>
      </c>
      <c r="B223" s="413">
        <f>'2022'!Wh/'2022'!Env_an*'2023'!Env_an</f>
        <v>45.849879274134103</v>
      </c>
      <c r="C223" s="868"/>
      <c r="D223" s="395">
        <f t="shared" si="77"/>
        <v>47.835768793449247</v>
      </c>
      <c r="E223" s="387">
        <f t="shared" si="75"/>
        <v>51.977910898651643</v>
      </c>
      <c r="F223" s="387">
        <f t="shared" si="78"/>
        <v>52.038700048271487</v>
      </c>
      <c r="G223" s="110">
        <f t="shared" si="76"/>
        <v>0.86656599964575631</v>
      </c>
      <c r="H223" s="416" t="b">
        <f>Wh_hp&gt;='2022'!Maxi_hp</f>
        <v>0</v>
      </c>
      <c r="I223" s="392">
        <f>IF(H223,Wh_hp,'2022'!Maxi_hp)</f>
        <v>61.3460462503919</v>
      </c>
      <c r="J223" s="85">
        <f>IF(H223,An,'2022'!An_max)</f>
        <v>2019</v>
      </c>
      <c r="K223" s="199">
        <f t="shared" si="79"/>
        <v>45135</v>
      </c>
      <c r="L223" s="147">
        <f>IF(t&lt;Tvie,1-EXP((T0-t)*PertePVj)+'2022'!Pspv,1-EXP((T0-t)*PertePVj)+Pspv)</f>
        <v>4.1514740316812793E-2</v>
      </c>
      <c r="M223" s="872"/>
      <c r="N223" s="872"/>
      <c r="O223" s="48">
        <f>IF(t&lt;Tnet,'2022'!Resal+('2022'!Salim-'2022'!Resal)*(1-EXP(('2022'!Tnet-t)/('2022'!Tau_j))),Resal+(Salim-Resal)*(1-EXP((Tnet-t)/(Tau_j))))*Salcycl</f>
        <v>7.9690430676963658E-2</v>
      </c>
      <c r="P223" s="171">
        <f>(INDEX(Models!$BJ223:$BT223,,T223)*(1-R223)+INDEX(Models!$BJ223:$BT223,,T223+1)*R223-ERP_i)*Q223*Ramure*Pc/MaxiM</f>
        <v>1.4426619951528768E-3</v>
      </c>
      <c r="Q223" s="307">
        <f t="shared" si="80"/>
        <v>0.9</v>
      </c>
      <c r="R223" s="179">
        <f t="shared" si="81"/>
        <v>2.7227803149864283E-2</v>
      </c>
      <c r="S223" s="839">
        <f t="shared" si="82"/>
        <v>1</v>
      </c>
      <c r="T223" s="178">
        <f t="shared" si="83"/>
        <v>7</v>
      </c>
      <c r="U223" s="253">
        <f t="shared" si="84"/>
        <v>1.0272278031498643</v>
      </c>
      <c r="V223" s="385">
        <f t="shared" si="85"/>
        <v>52.89531132824105</v>
      </c>
      <c r="W223" s="404">
        <f t="shared" si="86"/>
        <v>45.849879274134103</v>
      </c>
      <c r="X223" s="157">
        <f t="shared" si="87"/>
        <v>45135</v>
      </c>
      <c r="Y223" s="387">
        <f t="shared" si="88"/>
        <v>41.317395248311726</v>
      </c>
      <c r="Z223" s="387">
        <f t="shared" si="89"/>
        <v>43.10696990996874</v>
      </c>
      <c r="AA223" s="388">
        <f t="shared" si="90"/>
        <v>51.977910898651643</v>
      </c>
      <c r="AB223" s="199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0.17066751693771953</v>
      </c>
      <c r="AD223" s="233">
        <f>(INDEX(Models!$BJ223:$BT223,,AH223)*(1-AF223)+INDEX(Models!$BJ223:$BT223,,AH223+1)*AF223-ERP_i)*AE223*Ramure*Pc/MaxiM</f>
        <v>1.4426619951528768E-3</v>
      </c>
      <c r="AE223" s="307">
        <f t="shared" si="92"/>
        <v>0.9</v>
      </c>
      <c r="AF223" s="179">
        <f t="shared" si="93"/>
        <v>2.7227803149864283E-2</v>
      </c>
      <c r="AG223" s="839">
        <f t="shared" si="99"/>
        <v>1</v>
      </c>
      <c r="AH223" s="178">
        <f t="shared" si="94"/>
        <v>7</v>
      </c>
      <c r="AI223" s="227">
        <f t="shared" si="95"/>
        <v>1.0272278031498643</v>
      </c>
      <c r="AJ223" s="267" t="b">
        <f t="shared" si="96"/>
        <v>0</v>
      </c>
      <c r="AK223" s="267" t="b">
        <f t="shared" si="97"/>
        <v>0</v>
      </c>
      <c r="AL223" s="267"/>
      <c r="AM223" s="267"/>
      <c r="AN223" s="75"/>
    </row>
    <row r="224" spans="1:40" s="6" customFormat="1" ht="11.25" x14ac:dyDescent="0.2">
      <c r="A224" s="56">
        <f t="shared" si="98"/>
        <v>45136</v>
      </c>
      <c r="B224" s="413">
        <f>'2022'!Wh/'2022'!Env_an*'2023'!Env_an</f>
        <v>26.567313700187309</v>
      </c>
      <c r="C224" s="868"/>
      <c r="D224" s="395">
        <f t="shared" si="77"/>
        <v>27.718665160859377</v>
      </c>
      <c r="E224" s="387">
        <f t="shared" si="75"/>
        <v>30.124425698223767</v>
      </c>
      <c r="F224" s="387">
        <f t="shared" si="78"/>
        <v>30.138055917382992</v>
      </c>
      <c r="G224" s="110">
        <f t="shared" si="76"/>
        <v>0.50322628146322734</v>
      </c>
      <c r="H224" s="416" t="b">
        <f>Wh_hp&gt;='2022'!Maxi_hp</f>
        <v>0</v>
      </c>
      <c r="I224" s="392">
        <f>IF(H224,Wh_hp,'2022'!Maxi_hp)</f>
        <v>60.078998480863916</v>
      </c>
      <c r="J224" s="85">
        <f>IF(H224,An,'2022'!An_max)</f>
        <v>2019</v>
      </c>
      <c r="K224" s="199">
        <f t="shared" si="79"/>
        <v>45136</v>
      </c>
      <c r="L224" s="147">
        <f>IF(t&lt;Tvie,1-EXP((T0-t)*PertePVj)+'2022'!Pspv,1-EXP((T0-t)*PertePVj)+Pspv)</f>
        <v>4.1537045669062467E-2</v>
      </c>
      <c r="M224" s="872"/>
      <c r="N224" s="872"/>
      <c r="O224" s="48">
        <f>IF(t&lt;Tnet,'2022'!Resal+('2022'!Salim-'2022'!Resal)*(1-EXP(('2022'!Tnet-t)/('2022'!Tau_j))),Resal+(Salim-Resal)*(1-EXP((Tnet-t)/(Tau_j))))*Salcycl</f>
        <v>7.9860793412776715E-2</v>
      </c>
      <c r="P224" s="171">
        <f>(INDEX(Models!$BJ224:$BT224,,T224)*(1-R224)+INDEX(Models!$BJ224:$BT224,,T224+1)*R224-ERP_i)*Q224*Ramure*Pc/MaxiM</f>
        <v>1.5535357140671884E-3</v>
      </c>
      <c r="Q224" s="307">
        <f t="shared" si="80"/>
        <v>0.9</v>
      </c>
      <c r="R224" s="179">
        <f t="shared" si="81"/>
        <v>2.9835740687908174E-2</v>
      </c>
      <c r="S224" s="839">
        <f t="shared" si="82"/>
        <v>1</v>
      </c>
      <c r="T224" s="178">
        <f t="shared" si="83"/>
        <v>7</v>
      </c>
      <c r="U224" s="253">
        <f t="shared" si="84"/>
        <v>1.0298357406879082</v>
      </c>
      <c r="V224" s="385">
        <f t="shared" si="85"/>
        <v>52.735803924248799</v>
      </c>
      <c r="W224" s="404">
        <f t="shared" si="86"/>
        <v>26.567313700187309</v>
      </c>
      <c r="X224" s="157">
        <f t="shared" si="87"/>
        <v>45136</v>
      </c>
      <c r="Y224" s="387">
        <f t="shared" si="88"/>
        <v>23.943401963176914</v>
      </c>
      <c r="Z224" s="387">
        <f t="shared" si="89"/>
        <v>24.981040586895496</v>
      </c>
      <c r="AA224" s="388">
        <f t="shared" si="90"/>
        <v>30.124425698223767</v>
      </c>
      <c r="AB224" s="199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0.17073803042265276</v>
      </c>
      <c r="AD224" s="233">
        <f>(INDEX(Models!$BJ224:$BT224,,AH224)*(1-AF224)+INDEX(Models!$BJ224:$BT224,,AH224+1)*AF224-ERP_i)*AE224*Ramure*Pc/MaxiM</f>
        <v>1.5535357140671884E-3</v>
      </c>
      <c r="AE224" s="307">
        <f t="shared" si="92"/>
        <v>0.9</v>
      </c>
      <c r="AF224" s="179">
        <f t="shared" si="93"/>
        <v>2.9835740687908174E-2</v>
      </c>
      <c r="AG224" s="839">
        <f t="shared" si="99"/>
        <v>1</v>
      </c>
      <c r="AH224" s="178">
        <f t="shared" si="94"/>
        <v>7</v>
      </c>
      <c r="AI224" s="227">
        <f t="shared" si="95"/>
        <v>1.0298357406879082</v>
      </c>
      <c r="AJ224" s="267" t="b">
        <f t="shared" si="96"/>
        <v>0</v>
      </c>
      <c r="AK224" s="267" t="b">
        <f t="shared" si="97"/>
        <v>0</v>
      </c>
      <c r="AL224" s="267"/>
      <c r="AM224" s="267"/>
      <c r="AN224" s="75"/>
    </row>
    <row r="225" spans="1:40" s="6" customFormat="1" ht="11.25" x14ac:dyDescent="0.2">
      <c r="A225" s="56">
        <f t="shared" si="98"/>
        <v>45137</v>
      </c>
      <c r="B225" s="413">
        <f>'2022'!Wh/'2022'!Env_an*'2023'!Env_an</f>
        <v>45.081450942136584</v>
      </c>
      <c r="C225" s="868"/>
      <c r="D225" s="395">
        <f t="shared" si="77"/>
        <v>47.03624680960661</v>
      </c>
      <c r="E225" s="387">
        <f t="shared" si="75"/>
        <v>51.128055602441911</v>
      </c>
      <c r="F225" s="387">
        <f t="shared" si="78"/>
        <v>51.196241847109945</v>
      </c>
      <c r="G225" s="110">
        <f t="shared" si="76"/>
        <v>0.85720239912829144</v>
      </c>
      <c r="H225" s="416" t="b">
        <f>Wh_hp&gt;='2022'!Maxi_hp</f>
        <v>0</v>
      </c>
      <c r="I225" s="392">
        <f>IF(H225,Wh_hp,'2022'!Maxi_hp)</f>
        <v>51.973078310921963</v>
      </c>
      <c r="J225" s="85">
        <f>IF(H225,An,'2022'!An_max)</f>
        <v>2020</v>
      </c>
      <c r="K225" s="199">
        <f t="shared" si="79"/>
        <v>45137</v>
      </c>
      <c r="L225" s="147">
        <f>IF(t&lt;Tvie,1-EXP((T0-t)*PertePVj)+'2022'!Pspv,1-EXP((T0-t)*PertePVj)+Pspv)</f>
        <v>4.1559350502234027E-2</v>
      </c>
      <c r="M225" s="872"/>
      <c r="N225" s="872"/>
      <c r="O225" s="48">
        <f>IF(t&lt;Tnet,'2022'!Resal+('2022'!Salim-'2022'!Resal)*(1-EXP(('2022'!Tnet-t)/('2022'!Tau_j))),Resal+(Salim-Resal)*(1-EXP((Tnet-t)/(Tau_j))))*Salcycl</f>
        <v>8.0030596599489578E-2</v>
      </c>
      <c r="P225" s="171">
        <f>(INDEX(Models!$BJ225:$BT225,,T225)*(1-R225)+INDEX(Models!$BJ225:$BT225,,T225+1)*R225-ERP_i)*Q225*Ramure*Pc/MaxiM</f>
        <v>1.6723068639896642E-3</v>
      </c>
      <c r="Q225" s="307">
        <f t="shared" si="80"/>
        <v>0.9</v>
      </c>
      <c r="R225" s="179">
        <f t="shared" si="81"/>
        <v>3.2363025532915479E-2</v>
      </c>
      <c r="S225" s="839">
        <f t="shared" si="82"/>
        <v>1</v>
      </c>
      <c r="T225" s="178">
        <f t="shared" si="83"/>
        <v>7</v>
      </c>
      <c r="U225" s="253">
        <f t="shared" si="84"/>
        <v>1.0323630255329155</v>
      </c>
      <c r="V225" s="385">
        <f t="shared" si="85"/>
        <v>52.573444377665936</v>
      </c>
      <c r="W225" s="404">
        <f t="shared" si="86"/>
        <v>45.081450942136584</v>
      </c>
      <c r="X225" s="157">
        <f t="shared" si="87"/>
        <v>45137</v>
      </c>
      <c r="Y225" s="387">
        <f t="shared" si="88"/>
        <v>40.633083141999947</v>
      </c>
      <c r="Z225" s="387">
        <f t="shared" si="89"/>
        <v>42.394991451262165</v>
      </c>
      <c r="AA225" s="388">
        <f t="shared" si="90"/>
        <v>51.128055602441911</v>
      </c>
      <c r="AB225" s="199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0.17080767199687225</v>
      </c>
      <c r="AD225" s="233">
        <f>(INDEX(Models!$BJ225:$BT225,,AH225)*(1-AF225)+INDEX(Models!$BJ225:$BT225,,AH225+1)*AF225-ERP_i)*AE225*Ramure*Pc/MaxiM</f>
        <v>1.6723068639896642E-3</v>
      </c>
      <c r="AE225" s="307">
        <f t="shared" si="92"/>
        <v>0.9</v>
      </c>
      <c r="AF225" s="179">
        <f t="shared" si="93"/>
        <v>3.2363025532915479E-2</v>
      </c>
      <c r="AG225" s="839">
        <f t="shared" si="99"/>
        <v>1</v>
      </c>
      <c r="AH225" s="178">
        <f t="shared" si="94"/>
        <v>7</v>
      </c>
      <c r="AI225" s="227">
        <f t="shared" si="95"/>
        <v>1.0323630255329155</v>
      </c>
      <c r="AJ225" s="267" t="b">
        <f t="shared" si="96"/>
        <v>0</v>
      </c>
      <c r="AK225" s="267" t="b">
        <f t="shared" si="97"/>
        <v>0</v>
      </c>
      <c r="AL225" s="267"/>
      <c r="AM225" s="267"/>
      <c r="AN225" s="75"/>
    </row>
    <row r="226" spans="1:40" s="6" customFormat="1" ht="11.25" x14ac:dyDescent="0.2">
      <c r="A226" s="56">
        <f t="shared" si="98"/>
        <v>45138</v>
      </c>
      <c r="B226" s="413">
        <f>'2022'!Wh/'2022'!Env_an*'2023'!Env_an</f>
        <v>49.764209026013269</v>
      </c>
      <c r="C226" s="868"/>
      <c r="D226" s="395">
        <f t="shared" si="77"/>
        <v>51.923264278165519</v>
      </c>
      <c r="E226" s="387">
        <f t="shared" si="75"/>
        <v>56.450594130044351</v>
      </c>
      <c r="F226" s="387">
        <f t="shared" si="78"/>
        <v>56.545234786029233</v>
      </c>
      <c r="G226" s="110">
        <f t="shared" si="76"/>
        <v>0.94943380462283178</v>
      </c>
      <c r="H226" s="416" t="b">
        <f>Wh_hp&gt;='2022'!Maxi_hp</f>
        <v>0</v>
      </c>
      <c r="I226" s="392">
        <f>IF(H226,Wh_hp,'2022'!Maxi_hp)</f>
        <v>56.547241978763836</v>
      </c>
      <c r="J226" s="85">
        <f>IF(H226,An,'2022'!An_max)</f>
        <v>2022</v>
      </c>
      <c r="K226" s="199">
        <f t="shared" si="79"/>
        <v>45138</v>
      </c>
      <c r="L226" s="147">
        <f>IF(t&lt;Tvie,1-EXP((T0-t)*PertePVj)+'2022'!Pspv,1-EXP((T0-t)*PertePVj)+Pspv)</f>
        <v>4.1581654816339464E-2</v>
      </c>
      <c r="M226" s="872"/>
      <c r="N226" s="872"/>
      <c r="O226" s="48">
        <f>IF(t&lt;Tnet,'2022'!Resal+('2022'!Salim-'2022'!Resal)*(1-EXP(('2022'!Tnet-t)/('2022'!Tau_j))),Resal+(Salim-Resal)*(1-EXP((Tnet-t)/(Tau_j))))*Salcycl</f>
        <v>8.0199861873008663E-2</v>
      </c>
      <c r="P226" s="171">
        <f>(INDEX(Models!$BJ226:$BT226,,T226)*(1-R226)+INDEX(Models!$BJ226:$BT226,,T226+1)*R226-ERP_i)*Q226*Ramure*Pc/MaxiM</f>
        <v>1.8036913182781908E-3</v>
      </c>
      <c r="Q226" s="307">
        <f t="shared" si="80"/>
        <v>0.9</v>
      </c>
      <c r="R226" s="179">
        <f t="shared" si="81"/>
        <v>3.4811305871795595E-2</v>
      </c>
      <c r="S226" s="839">
        <f t="shared" si="82"/>
        <v>1</v>
      </c>
      <c r="T226" s="178">
        <f t="shared" si="83"/>
        <v>7</v>
      </c>
      <c r="U226" s="253">
        <f t="shared" si="84"/>
        <v>1.0348113058717956</v>
      </c>
      <c r="V226" s="385">
        <f t="shared" si="85"/>
        <v>52.407792743066494</v>
      </c>
      <c r="W226" s="404">
        <f t="shared" si="86"/>
        <v>49.764209026013269</v>
      </c>
      <c r="X226" s="157">
        <f t="shared" si="87"/>
        <v>45138</v>
      </c>
      <c r="Y226" s="387">
        <f t="shared" si="88"/>
        <v>44.858305490848544</v>
      </c>
      <c r="Z226" s="387">
        <f t="shared" si="89"/>
        <v>46.804514663429572</v>
      </c>
      <c r="AA226" s="388">
        <f t="shared" si="90"/>
        <v>56.450594130044351</v>
      </c>
      <c r="AB226" s="199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0.17087649147488612</v>
      </c>
      <c r="AD226" s="233">
        <f>(INDEX(Models!$BJ226:$BT226,,AH226)*(1-AF226)+INDEX(Models!$BJ226:$BT226,,AH226+1)*AF226-ERP_i)*AE226*Ramure*Pc/MaxiM</f>
        <v>1.8036913182781908E-3</v>
      </c>
      <c r="AE226" s="307">
        <f t="shared" si="92"/>
        <v>0.9</v>
      </c>
      <c r="AF226" s="179">
        <f t="shared" si="93"/>
        <v>3.4811305871795595E-2</v>
      </c>
      <c r="AG226" s="839">
        <f t="shared" si="99"/>
        <v>1</v>
      </c>
      <c r="AH226" s="178">
        <f t="shared" si="94"/>
        <v>7</v>
      </c>
      <c r="AI226" s="227">
        <f t="shared" si="95"/>
        <v>1.0348113058717956</v>
      </c>
      <c r="AJ226" s="267" t="b">
        <f t="shared" si="96"/>
        <v>0</v>
      </c>
      <c r="AK226" s="267" t="b">
        <f t="shared" si="97"/>
        <v>0</v>
      </c>
      <c r="AL226" s="267"/>
      <c r="AM226" s="267"/>
      <c r="AN226" s="75"/>
    </row>
    <row r="227" spans="1:40" s="6" customFormat="1" ht="11.25" x14ac:dyDescent="0.2">
      <c r="A227" s="56">
        <f t="shared" si="98"/>
        <v>45139</v>
      </c>
      <c r="B227" s="413">
        <f>'2022'!Wh/'2022'!Env_an*'2023'!Env_an</f>
        <v>51.661564953942055</v>
      </c>
      <c r="C227" s="868"/>
      <c r="D227" s="395">
        <f t="shared" si="77"/>
        <v>53.904192758444836</v>
      </c>
      <c r="E227" s="387">
        <f t="shared" si="75"/>
        <v>58.614998626821823</v>
      </c>
      <c r="F227" s="387">
        <f t="shared" si="78"/>
        <v>58.727474439134276</v>
      </c>
      <c r="G227" s="110">
        <f t="shared" si="76"/>
        <v>0.98892055494972209</v>
      </c>
      <c r="H227" s="416" t="b">
        <f>Wh_hp&gt;='2022'!Maxi_hp</f>
        <v>0</v>
      </c>
      <c r="I227" s="392">
        <f>IF(H227,Wh_hp,'2022'!Maxi_hp)</f>
        <v>58.727968528475465</v>
      </c>
      <c r="J227" s="85">
        <f>IF(H227,An,'2022'!An_max)</f>
        <v>2022</v>
      </c>
      <c r="K227" s="199">
        <f t="shared" si="79"/>
        <v>45139</v>
      </c>
      <c r="L227" s="147">
        <f>IF(t&lt;Tvie,1-EXP((T0-t)*PertePVj)+'2022'!Pspv,1-EXP((T0-t)*PertePVj)+Pspv)</f>
        <v>4.160395861139099E-2</v>
      </c>
      <c r="M227" s="872"/>
      <c r="N227" s="872"/>
      <c r="O227" s="48">
        <f>IF(t&lt;Tnet,'2022'!Resal+('2022'!Salim-'2022'!Resal)*(1-EXP(('2022'!Tnet-t)/('2022'!Tau_j))),Resal+(Salim-Resal)*(1-EXP((Tnet-t)/(Tau_j))))*Salcycl</f>
        <v>8.0368608355154969E-2</v>
      </c>
      <c r="P227" s="171">
        <f>(INDEX(Models!$BJ227:$BT227,,T227)*(1-R227)+INDEX(Models!$BJ227:$BT227,,T227+1)*R227-ERP_i)*Q227*Ramure*Pc/MaxiM</f>
        <v>1.9459313997191546E-3</v>
      </c>
      <c r="Q227" s="307">
        <f t="shared" si="80"/>
        <v>0.9</v>
      </c>
      <c r="R227" s="179">
        <f t="shared" si="81"/>
        <v>3.718225770449135E-2</v>
      </c>
      <c r="S227" s="839">
        <f t="shared" si="82"/>
        <v>1</v>
      </c>
      <c r="T227" s="178">
        <f t="shared" si="83"/>
        <v>7</v>
      </c>
      <c r="U227" s="253">
        <f t="shared" si="84"/>
        <v>1.0371822577044914</v>
      </c>
      <c r="V227" s="385">
        <f t="shared" si="85"/>
        <v>52.238751492078933</v>
      </c>
      <c r="W227" s="404">
        <f t="shared" si="86"/>
        <v>51.661564953942055</v>
      </c>
      <c r="X227" s="157">
        <f t="shared" si="87"/>
        <v>45139</v>
      </c>
      <c r="Y227" s="387">
        <f t="shared" si="88"/>
        <v>46.573337153912306</v>
      </c>
      <c r="Z227" s="387">
        <f t="shared" si="89"/>
        <v>48.59508506152919</v>
      </c>
      <c r="AA227" s="388">
        <f t="shared" si="90"/>
        <v>58.614998626821823</v>
      </c>
      <c r="AB227" s="199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0.17094453296988713</v>
      </c>
      <c r="AD227" s="233">
        <f>(INDEX(Models!$BJ227:$BT227,,AH227)*(1-AF227)+INDEX(Models!$BJ227:$BT227,,AH227+1)*AF227-ERP_i)*AE227*Ramure*Pc/MaxiM</f>
        <v>1.9459313997191546E-3</v>
      </c>
      <c r="AE227" s="307">
        <f t="shared" si="92"/>
        <v>0.9</v>
      </c>
      <c r="AF227" s="179">
        <f t="shared" si="93"/>
        <v>3.718225770449135E-2</v>
      </c>
      <c r="AG227" s="839">
        <f t="shared" si="99"/>
        <v>1</v>
      </c>
      <c r="AH227" s="178">
        <f t="shared" si="94"/>
        <v>7</v>
      </c>
      <c r="AI227" s="227">
        <f t="shared" si="95"/>
        <v>1.0371822577044914</v>
      </c>
      <c r="AJ227" s="267" t="b">
        <f t="shared" si="96"/>
        <v>0</v>
      </c>
      <c r="AK227" s="267" t="b">
        <f t="shared" si="97"/>
        <v>0</v>
      </c>
      <c r="AL227" s="267"/>
      <c r="AM227" s="267"/>
      <c r="AN227" s="75"/>
    </row>
    <row r="228" spans="1:40" s="6" customFormat="1" ht="11.25" x14ac:dyDescent="0.2">
      <c r="A228" s="56">
        <f t="shared" si="98"/>
        <v>45140</v>
      </c>
      <c r="B228" s="413">
        <f>'2022'!Wh/'2022'!Env_an*'2023'!Env_an</f>
        <v>49.825025436582806</v>
      </c>
      <c r="C228" s="868"/>
      <c r="D228" s="395">
        <f t="shared" si="77"/>
        <v>51.989138949807973</v>
      </c>
      <c r="E228" s="387">
        <f t="shared" si="75"/>
        <v>56.542928447527871</v>
      </c>
      <c r="F228" s="387">
        <f t="shared" si="78"/>
        <v>56.654541886599361</v>
      </c>
      <c r="G228" s="110">
        <f t="shared" si="76"/>
        <v>0.95683290966954115</v>
      </c>
      <c r="H228" s="416" t="b">
        <f>Wh_hp&gt;='2022'!Maxi_hp</f>
        <v>0</v>
      </c>
      <c r="I228" s="392">
        <f>IF(H228,Wh_hp,'2022'!Maxi_hp)</f>
        <v>57.016794472934762</v>
      </c>
      <c r="J228" s="85">
        <f>IF(H228,An,'2022'!An_max)</f>
        <v>2019</v>
      </c>
      <c r="K228" s="199">
        <f t="shared" si="79"/>
        <v>45140</v>
      </c>
      <c r="L228" s="147">
        <f>IF(t&lt;Tvie,1-EXP((T0-t)*PertePVj)+'2022'!Pspv,1-EXP((T0-t)*PertePVj)+Pspv)</f>
        <v>4.1626261887400595E-2</v>
      </c>
      <c r="M228" s="872"/>
      <c r="N228" s="872"/>
      <c r="O228" s="48">
        <f>IF(t&lt;Tnet,'2022'!Resal+('2022'!Salim-'2022'!Resal)*(1-EXP(('2022'!Tnet-t)/('2022'!Tau_j))),Resal+(Salim-Resal)*(1-EXP((Tnet-t)/(Tau_j))))*Salcycl</f>
        <v>8.0536852666657319E-2</v>
      </c>
      <c r="P228" s="171">
        <f>(INDEX(Models!$BJ228:$BT228,,T228)*(1-R228)+INDEX(Models!$BJ228:$BT228,,T228+1)*R228-ERP_i)*Q228*Ramure*Pc/MaxiM</f>
        <v>2.0991480414897278E-3</v>
      </c>
      <c r="Q228" s="307">
        <f t="shared" si="80"/>
        <v>0.9</v>
      </c>
      <c r="R228" s="179">
        <f t="shared" si="81"/>
        <v>3.9477579297066079E-2</v>
      </c>
      <c r="S228" s="839">
        <f t="shared" si="82"/>
        <v>1</v>
      </c>
      <c r="T228" s="178">
        <f t="shared" si="83"/>
        <v>7</v>
      </c>
      <c r="U228" s="253">
        <f t="shared" si="84"/>
        <v>1.0394775792970661</v>
      </c>
      <c r="V228" s="385">
        <f t="shared" si="85"/>
        <v>52.066124548966187</v>
      </c>
      <c r="W228" s="404">
        <f t="shared" si="86"/>
        <v>49.825025436582806</v>
      </c>
      <c r="X228" s="157">
        <f t="shared" si="87"/>
        <v>45140</v>
      </c>
      <c r="Y228" s="387">
        <f t="shared" si="88"/>
        <v>44.922253305060963</v>
      </c>
      <c r="Z228" s="387">
        <f t="shared" si="89"/>
        <v>46.873418499060584</v>
      </c>
      <c r="AA228" s="388">
        <f t="shared" si="90"/>
        <v>56.542928447527871</v>
      </c>
      <c r="AB228" s="199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0.17101183497138187</v>
      </c>
      <c r="AD228" s="233">
        <f>(INDEX(Models!$BJ228:$BT228,,AH228)*(1-AF228)+INDEX(Models!$BJ228:$BT228,,AH228+1)*AF228-ERP_i)*AE228*Ramure*Pc/MaxiM</f>
        <v>2.0991480414897278E-3</v>
      </c>
      <c r="AE228" s="307">
        <f t="shared" si="92"/>
        <v>0.9</v>
      </c>
      <c r="AF228" s="179">
        <f t="shared" si="93"/>
        <v>3.9477579297066079E-2</v>
      </c>
      <c r="AG228" s="839">
        <f t="shared" si="99"/>
        <v>1</v>
      </c>
      <c r="AH228" s="178">
        <f t="shared" si="94"/>
        <v>7</v>
      </c>
      <c r="AI228" s="227">
        <f t="shared" si="95"/>
        <v>1.0394775792970661</v>
      </c>
      <c r="AJ228" s="267" t="b">
        <f t="shared" si="96"/>
        <v>0</v>
      </c>
      <c r="AK228" s="267" t="b">
        <f t="shared" si="97"/>
        <v>0</v>
      </c>
      <c r="AL228" s="267"/>
      <c r="AM228" s="267"/>
      <c r="AN228" s="75"/>
    </row>
    <row r="229" spans="1:40" s="6" customFormat="1" ht="11.25" x14ac:dyDescent="0.2">
      <c r="A229" s="56">
        <f t="shared" si="98"/>
        <v>45141</v>
      </c>
      <c r="B229" s="413">
        <f>'2022'!Wh/'2022'!Env_an*'2023'!Env_an</f>
        <v>47.984437685220001</v>
      </c>
      <c r="C229" s="868"/>
      <c r="D229" s="395">
        <f t="shared" si="77"/>
        <v>50.069771813316279</v>
      </c>
      <c r="E229" s="387">
        <f t="shared" si="75"/>
        <v>54.465378920834411</v>
      </c>
      <c r="F229" s="387">
        <f t="shared" si="78"/>
        <v>54.57562775249005</v>
      </c>
      <c r="G229" s="110">
        <f t="shared" si="76"/>
        <v>0.92451337529562172</v>
      </c>
      <c r="H229" s="416" t="b">
        <f>Wh_hp&gt;='2022'!Maxi_hp</f>
        <v>0</v>
      </c>
      <c r="I229" s="392">
        <f>IF(H229,Wh_hp,'2022'!Maxi_hp)</f>
        <v>57.318775039173993</v>
      </c>
      <c r="J229" s="85">
        <f>IF(H229,An,'2022'!An_max)</f>
        <v>2019</v>
      </c>
      <c r="K229" s="199">
        <f t="shared" si="79"/>
        <v>45141</v>
      </c>
      <c r="L229" s="147">
        <f>IF(t&lt;Tvie,1-EXP((T0-t)*PertePVj)+'2022'!Pspv,1-EXP((T0-t)*PertePVj)+Pspv)</f>
        <v>4.1648564644380381E-2</v>
      </c>
      <c r="M229" s="872"/>
      <c r="N229" s="872"/>
      <c r="O229" s="48">
        <f>IF(t&lt;Tnet,'2022'!Resal+('2022'!Salim-'2022'!Resal)*(1-EXP(('2022'!Tnet-t)/('2022'!Tau_j))),Resal+(Salim-Resal)*(1-EXP((Tnet-t)/(Tau_j))))*Salcycl</f>
        <v>8.070460895731868E-2</v>
      </c>
      <c r="P229" s="171">
        <f>(INDEX(Models!$BJ229:$BT229,,T229)*(1-R229)+INDEX(Models!$BJ229:$BT229,,T229+1)*R229-ERP_i)*Q229*Ramure*Pc/MaxiM</f>
        <v>2.2634701170972655E-3</v>
      </c>
      <c r="Q229" s="307">
        <f t="shared" si="80"/>
        <v>0.9</v>
      </c>
      <c r="R229" s="179">
        <f t="shared" si="81"/>
        <v>4.1698985949166101E-2</v>
      </c>
      <c r="S229" s="839">
        <f t="shared" si="82"/>
        <v>1</v>
      </c>
      <c r="T229" s="178">
        <f t="shared" si="83"/>
        <v>7</v>
      </c>
      <c r="U229" s="253">
        <f t="shared" si="84"/>
        <v>1.0416989859491661</v>
      </c>
      <c r="V229" s="385">
        <f t="shared" si="85"/>
        <v>51.889716129867544</v>
      </c>
      <c r="W229" s="404">
        <f t="shared" si="86"/>
        <v>47.984437685220001</v>
      </c>
      <c r="X229" s="157">
        <f t="shared" si="87"/>
        <v>45141</v>
      </c>
      <c r="Y229" s="387">
        <f t="shared" si="88"/>
        <v>43.267197668098511</v>
      </c>
      <c r="Z229" s="387">
        <f t="shared" si="89"/>
        <v>45.147527380749594</v>
      </c>
      <c r="AA229" s="388">
        <f t="shared" si="90"/>
        <v>54.465378920834411</v>
      </c>
      <c r="AB229" s="199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0.17107843045815108</v>
      </c>
      <c r="AD229" s="233">
        <f>(INDEX(Models!$BJ229:$BT229,,AH229)*(1-AF229)+INDEX(Models!$BJ229:$BT229,,AH229+1)*AF229-ERP_i)*AE229*Ramure*Pc/MaxiM</f>
        <v>2.2634701170972655E-3</v>
      </c>
      <c r="AE229" s="307">
        <f t="shared" si="92"/>
        <v>0.9</v>
      </c>
      <c r="AF229" s="179">
        <f t="shared" si="93"/>
        <v>4.1698985949166101E-2</v>
      </c>
      <c r="AG229" s="839">
        <f t="shared" si="99"/>
        <v>1</v>
      </c>
      <c r="AH229" s="178">
        <f t="shared" si="94"/>
        <v>7</v>
      </c>
      <c r="AI229" s="227">
        <f t="shared" si="95"/>
        <v>1.0416989859491661</v>
      </c>
      <c r="AJ229" s="267" t="b">
        <f t="shared" si="96"/>
        <v>0</v>
      </c>
      <c r="AK229" s="267" t="b">
        <f t="shared" si="97"/>
        <v>0</v>
      </c>
      <c r="AL229" s="267"/>
      <c r="AM229" s="267"/>
      <c r="AN229" s="75"/>
    </row>
    <row r="230" spans="1:40" s="6" customFormat="1" ht="11.25" x14ac:dyDescent="0.2">
      <c r="A230" s="56">
        <f t="shared" si="98"/>
        <v>45142</v>
      </c>
      <c r="B230" s="413">
        <f>'2022'!Wh/'2022'!Env_an*'2023'!Env_an</f>
        <v>44.566559300052852</v>
      </c>
      <c r="C230" s="868"/>
      <c r="D230" s="395">
        <f t="shared" si="77"/>
        <v>46.504439612586893</v>
      </c>
      <c r="E230" s="387">
        <f t="shared" si="75"/>
        <v>50.596254269239289</v>
      </c>
      <c r="F230" s="387">
        <f t="shared" si="78"/>
        <v>50.695502521045078</v>
      </c>
      <c r="G230" s="110">
        <f t="shared" si="76"/>
        <v>0.86145124323003341</v>
      </c>
      <c r="H230" s="416" t="b">
        <f>Wh_hp&gt;='2022'!Maxi_hp</f>
        <v>0</v>
      </c>
      <c r="I230" s="392">
        <f>IF(H230,Wh_hp,'2022'!Maxi_hp)</f>
        <v>52.926175209989978</v>
      </c>
      <c r="J230" s="85">
        <f>IF(H230,An,'2022'!An_max)</f>
        <v>2019</v>
      </c>
      <c r="K230" s="199">
        <f t="shared" si="79"/>
        <v>45142</v>
      </c>
      <c r="L230" s="147">
        <f>IF(t&lt;Tvie,1-EXP((T0-t)*PertePVj)+'2022'!Pspv,1-EXP((T0-t)*PertePVj)+Pspv)</f>
        <v>4.167086688234245E-2</v>
      </c>
      <c r="M230" s="872"/>
      <c r="N230" s="872"/>
      <c r="O230" s="48">
        <f>IF(t&lt;Tnet,'2022'!Resal+('2022'!Salim-'2022'!Resal)*(1-EXP(('2022'!Tnet-t)/('2022'!Tau_j))),Resal+(Salim-Resal)*(1-EXP((Tnet-t)/(Tau_j))))*Salcycl</f>
        <v>8.0871888952065665E-2</v>
      </c>
      <c r="P230" s="171">
        <f>(INDEX(Models!$BJ230:$BT230,,T230)*(1-R230)+INDEX(Models!$BJ230:$BT230,,T230+1)*R230-ERP_i)*Q230*Ramure*Pc/MaxiM</f>
        <v>2.4390350656642496E-3</v>
      </c>
      <c r="Q230" s="307">
        <f t="shared" si="80"/>
        <v>0.9</v>
      </c>
      <c r="R230" s="179">
        <f t="shared" si="81"/>
        <v>4.3848205075064595E-2</v>
      </c>
      <c r="S230" s="839">
        <f t="shared" si="82"/>
        <v>1</v>
      </c>
      <c r="T230" s="178">
        <f t="shared" si="83"/>
        <v>7</v>
      </c>
      <c r="U230" s="253">
        <f t="shared" si="84"/>
        <v>1.0438482050750646</v>
      </c>
      <c r="V230" s="385">
        <f t="shared" si="85"/>
        <v>51.709330727315837</v>
      </c>
      <c r="W230" s="404">
        <f t="shared" si="86"/>
        <v>44.566559300052852</v>
      </c>
      <c r="X230" s="157">
        <f t="shared" si="87"/>
        <v>45142</v>
      </c>
      <c r="Y230" s="387">
        <f t="shared" si="88"/>
        <v>40.189440584684647</v>
      </c>
      <c r="Z230" s="387">
        <f t="shared" si="89"/>
        <v>41.936991369488545</v>
      </c>
      <c r="AA230" s="388">
        <f t="shared" si="90"/>
        <v>50.596254269239289</v>
      </c>
      <c r="AB230" s="199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0.17114434704339901</v>
      </c>
      <c r="AD230" s="233">
        <f>(INDEX(Models!$BJ230:$BT230,,AH230)*(1-AF230)+INDEX(Models!$BJ230:$BT230,,AH230+1)*AF230-ERP_i)*AE230*Ramure*Pc/MaxiM</f>
        <v>2.4390350656642496E-3</v>
      </c>
      <c r="AE230" s="307">
        <f t="shared" si="92"/>
        <v>0.9</v>
      </c>
      <c r="AF230" s="179">
        <f t="shared" si="93"/>
        <v>4.3848205075064595E-2</v>
      </c>
      <c r="AG230" s="839">
        <f t="shared" si="99"/>
        <v>1</v>
      </c>
      <c r="AH230" s="178">
        <f t="shared" si="94"/>
        <v>7</v>
      </c>
      <c r="AI230" s="227">
        <f t="shared" si="95"/>
        <v>1.0438482050750646</v>
      </c>
      <c r="AJ230" s="267" t="b">
        <f t="shared" si="96"/>
        <v>0</v>
      </c>
      <c r="AK230" s="267" t="b">
        <f t="shared" si="97"/>
        <v>0</v>
      </c>
      <c r="AL230" s="267"/>
      <c r="AM230" s="267"/>
      <c r="AN230" s="75"/>
    </row>
    <row r="231" spans="1:40" s="6" customFormat="1" ht="11.25" x14ac:dyDescent="0.2">
      <c r="A231" s="56">
        <f t="shared" si="98"/>
        <v>45143</v>
      </c>
      <c r="B231" s="413">
        <f>'2022'!Wh/'2022'!Env_an*'2023'!Env_an</f>
        <v>43.614134393765426</v>
      </c>
      <c r="C231" s="868"/>
      <c r="D231" s="395">
        <f t="shared" si="77"/>
        <v>45.511659694743301</v>
      </c>
      <c r="E231" s="387">
        <f t="shared" si="75"/>
        <v>49.525110354876375</v>
      </c>
      <c r="F231" s="387">
        <f t="shared" si="78"/>
        <v>49.626846982937515</v>
      </c>
      <c r="G231" s="110">
        <f t="shared" si="76"/>
        <v>0.8459806859959641</v>
      </c>
      <c r="H231" s="416" t="b">
        <f>Wh_hp&gt;='2022'!Maxi_hp</f>
        <v>0</v>
      </c>
      <c r="I231" s="392">
        <f>IF(H231,Wh_hp,'2022'!Maxi_hp)</f>
        <v>57.776003242992068</v>
      </c>
      <c r="J231" s="85">
        <f>IF(H231,An,'2022'!An_max)</f>
        <v>2020</v>
      </c>
      <c r="K231" s="199">
        <f t="shared" si="79"/>
        <v>45143</v>
      </c>
      <c r="L231" s="147">
        <f>IF(t&lt;Tvie,1-EXP((T0-t)*PertePVj)+'2022'!Pspv,1-EXP((T0-t)*PertePVj)+Pspv)</f>
        <v>4.1693168601298902E-2</v>
      </c>
      <c r="M231" s="872"/>
      <c r="N231" s="872"/>
      <c r="O231" s="48">
        <f>IF(t&lt;Tnet,'2022'!Resal+('2022'!Salim-'2022'!Resal)*(1-EXP(('2022'!Tnet-t)/('2022'!Tau_j))),Resal+(Salim-Resal)*(1-EXP((Tnet-t)/(Tau_j))))*Salcycl</f>
        <v>8.1038702011451427E-2</v>
      </c>
      <c r="P231" s="171">
        <f>(INDEX(Models!$BJ231:$BT231,,T231)*(1-R231)+INDEX(Models!$BJ231:$BT231,,T231+1)*R231-ERP_i)*Q231*Ramure*Pc/MaxiM</f>
        <v>2.6259895440415891E-3</v>
      </c>
      <c r="Q231" s="307">
        <f t="shared" si="80"/>
        <v>0.9</v>
      </c>
      <c r="R231" s="179">
        <f t="shared" si="81"/>
        <v>4.5926971595613431E-2</v>
      </c>
      <c r="S231" s="839">
        <f t="shared" si="82"/>
        <v>1</v>
      </c>
      <c r="T231" s="178">
        <f t="shared" si="83"/>
        <v>7</v>
      </c>
      <c r="U231" s="253">
        <f t="shared" si="84"/>
        <v>1.0459269715956134</v>
      </c>
      <c r="V231" s="385">
        <f t="shared" si="85"/>
        <v>51.524773114173961</v>
      </c>
      <c r="W231" s="404">
        <f t="shared" si="86"/>
        <v>43.614134393765426</v>
      </c>
      <c r="X231" s="157">
        <f t="shared" si="87"/>
        <v>45143</v>
      </c>
      <c r="Y231" s="387">
        <f t="shared" si="88"/>
        <v>39.334600550858489</v>
      </c>
      <c r="Z231" s="387">
        <f t="shared" si="89"/>
        <v>41.045935667021695</v>
      </c>
      <c r="AA231" s="388">
        <f t="shared" si="90"/>
        <v>49.525110354876375</v>
      </c>
      <c r="AB231" s="199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0.17120960714870567</v>
      </c>
      <c r="AD231" s="233">
        <f>(INDEX(Models!$BJ231:$BT231,,AH231)*(1-AF231)+INDEX(Models!$BJ231:$BT231,,AH231+1)*AF231-ERP_i)*AE231*Ramure*Pc/MaxiM</f>
        <v>2.6259895440415891E-3</v>
      </c>
      <c r="AE231" s="307">
        <f t="shared" si="92"/>
        <v>0.9</v>
      </c>
      <c r="AF231" s="179">
        <f t="shared" si="93"/>
        <v>4.5926971595613431E-2</v>
      </c>
      <c r="AG231" s="839">
        <f t="shared" si="99"/>
        <v>1</v>
      </c>
      <c r="AH231" s="178">
        <f t="shared" si="94"/>
        <v>7</v>
      </c>
      <c r="AI231" s="227">
        <f t="shared" si="95"/>
        <v>1.0459269715956134</v>
      </c>
      <c r="AJ231" s="267" t="b">
        <f t="shared" si="96"/>
        <v>0</v>
      </c>
      <c r="AK231" s="267" t="b">
        <f t="shared" si="97"/>
        <v>0</v>
      </c>
      <c r="AL231" s="267"/>
      <c r="AM231" s="267"/>
      <c r="AN231" s="75"/>
    </row>
    <row r="232" spans="1:40" s="6" customFormat="1" ht="11.25" x14ac:dyDescent="0.2">
      <c r="A232" s="56">
        <f t="shared" si="98"/>
        <v>45144</v>
      </c>
      <c r="B232" s="413">
        <f>'2022'!Wh/'2022'!Env_an*'2023'!Env_an</f>
        <v>46.228635341636625</v>
      </c>
      <c r="C232" s="868"/>
      <c r="D232" s="395">
        <f t="shared" si="77"/>
        <v>48.241032683736726</v>
      </c>
      <c r="E232" s="387">
        <f t="shared" si="75"/>
        <v>52.504677955649321</v>
      </c>
      <c r="F232" s="387">
        <f t="shared" si="78"/>
        <v>52.632209185087163</v>
      </c>
      <c r="G232" s="110">
        <f t="shared" si="76"/>
        <v>0.90015134469338121</v>
      </c>
      <c r="H232" s="416" t="b">
        <f>Wh_hp&gt;='2022'!Maxi_hp</f>
        <v>0</v>
      </c>
      <c r="I232" s="392">
        <f>IF(H232,Wh_hp,'2022'!Maxi_hp)</f>
        <v>56.847097363544755</v>
      </c>
      <c r="J232" s="85">
        <f>IF(H232,An,'2022'!An_max)</f>
        <v>2020</v>
      </c>
      <c r="K232" s="199">
        <f t="shared" si="79"/>
        <v>45144</v>
      </c>
      <c r="L232" s="147">
        <f>IF(t&lt;Tvie,1-EXP((T0-t)*PertePVj)+'2022'!Pspv,1-EXP((T0-t)*PertePVj)+Pspv)</f>
        <v>4.1715469801261729E-2</v>
      </c>
      <c r="M232" s="872"/>
      <c r="N232" s="872"/>
      <c r="O232" s="48">
        <f>IF(t&lt;Tnet,'2022'!Resal+('2022'!Salim-'2022'!Resal)*(1-EXP(('2022'!Tnet-t)/('2022'!Tau_j))),Resal+(Salim-Resal)*(1-EXP((Tnet-t)/(Tau_j))))*Salcycl</f>
        <v>8.1205055205063714E-2</v>
      </c>
      <c r="P232" s="171">
        <f>(INDEX(Models!$BJ232:$BT232,,T232)*(1-R232)+INDEX(Models!$BJ232:$BT232,,T232+1)*R232-ERP_i)*Q232*Ramure*Pc/MaxiM</f>
        <v>2.8244901102470552E-3</v>
      </c>
      <c r="Q232" s="307">
        <f t="shared" si="80"/>
        <v>0.9</v>
      </c>
      <c r="R232" s="179">
        <f t="shared" si="81"/>
        <v>4.7937023636756892E-2</v>
      </c>
      <c r="S232" s="839">
        <f t="shared" si="82"/>
        <v>1</v>
      </c>
      <c r="T232" s="178">
        <f t="shared" si="83"/>
        <v>7</v>
      </c>
      <c r="U232" s="253">
        <f t="shared" si="84"/>
        <v>1.0479370236367569</v>
      </c>
      <c r="V232" s="385">
        <f t="shared" si="85"/>
        <v>51.335848325724044</v>
      </c>
      <c r="W232" s="404">
        <f t="shared" si="86"/>
        <v>46.228635341636625</v>
      </c>
      <c r="X232" s="157">
        <f t="shared" si="87"/>
        <v>45144</v>
      </c>
      <c r="Y232" s="387">
        <f t="shared" si="88"/>
        <v>41.696857083994615</v>
      </c>
      <c r="Z232" s="387">
        <f t="shared" si="89"/>
        <v>43.51197976173853</v>
      </c>
      <c r="AA232" s="388">
        <f t="shared" si="90"/>
        <v>52.504677955649321</v>
      </c>
      <c r="AB232" s="199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0.1712742282031883</v>
      </c>
      <c r="AD232" s="233">
        <f>(INDEX(Models!$BJ232:$BT232,,AH232)*(1-AF232)+INDEX(Models!$BJ232:$BT232,,AH232+1)*AF232-ERP_i)*AE232*Ramure*Pc/MaxiM</f>
        <v>2.8244901102470552E-3</v>
      </c>
      <c r="AE232" s="307">
        <f t="shared" si="92"/>
        <v>0.9</v>
      </c>
      <c r="AF232" s="179">
        <f t="shared" si="93"/>
        <v>4.7937023636756892E-2</v>
      </c>
      <c r="AG232" s="839">
        <f t="shared" si="99"/>
        <v>1</v>
      </c>
      <c r="AH232" s="178">
        <f t="shared" si="94"/>
        <v>7</v>
      </c>
      <c r="AI232" s="227">
        <f t="shared" si="95"/>
        <v>1.0479370236367569</v>
      </c>
      <c r="AJ232" s="267" t="b">
        <f t="shared" si="96"/>
        <v>0</v>
      </c>
      <c r="AK232" s="267" t="b">
        <f t="shared" si="97"/>
        <v>0</v>
      </c>
      <c r="AL232" s="267"/>
      <c r="AM232" s="267"/>
      <c r="AN232" s="75"/>
    </row>
    <row r="233" spans="1:40" s="6" customFormat="1" ht="11.25" x14ac:dyDescent="0.2">
      <c r="A233" s="56">
        <f t="shared" si="98"/>
        <v>45145</v>
      </c>
      <c r="B233" s="413">
        <f>'2022'!Wh/'2022'!Env_an*'2023'!Env_an</f>
        <v>49.216843915690781</v>
      </c>
      <c r="C233" s="868"/>
      <c r="D233" s="395">
        <f t="shared" si="77"/>
        <v>51.360517402902367</v>
      </c>
      <c r="E233" s="387">
        <f t="shared" ref="E233:E296" si="100">Wh_pvt/(1-Psa)</f>
        <v>55.909964520263209</v>
      </c>
      <c r="F233" s="387">
        <f t="shared" si="78"/>
        <v>56.070960750133104</v>
      </c>
      <c r="G233" s="110">
        <f t="shared" ref="G233:G296" si="101">+Wh_hp/MaxiM</f>
        <v>0.96216687447310667</v>
      </c>
      <c r="H233" s="416" t="b">
        <f>Wh_hp&gt;='2022'!Maxi_hp</f>
        <v>0</v>
      </c>
      <c r="I233" s="392">
        <f>IF(H233,Wh_hp,'2022'!Maxi_hp)</f>
        <v>56.073477746368091</v>
      </c>
      <c r="J233" s="85">
        <f>IF(H233,An,'2022'!An_max)</f>
        <v>2022</v>
      </c>
      <c r="K233" s="199">
        <f t="shared" si="79"/>
        <v>45145</v>
      </c>
      <c r="L233" s="147">
        <f>IF(t&lt;Tvie,1-EXP((T0-t)*PertePVj)+'2022'!Pspv,1-EXP((T0-t)*PertePVj)+Pspv)</f>
        <v>4.1737770482243031E-2</v>
      </c>
      <c r="M233" s="872"/>
      <c r="N233" s="872"/>
      <c r="O233" s="48">
        <f>IF(t&lt;Tnet,'2022'!Resal+('2022'!Salim-'2022'!Resal)*(1-EXP(('2022'!Tnet-t)/('2022'!Tau_j))),Resal+(Salim-Resal)*(1-EXP((Tnet-t)/(Tau_j))))*Salcycl</f>
        <v>8.1370953396187592E-2</v>
      </c>
      <c r="P233" s="171">
        <f>(INDEX(Models!$BJ233:$BT233,,T233)*(1-R233)+INDEX(Models!$BJ233:$BT233,,T233+1)*R233-ERP_i)*Q233*Ramure*Pc/MaxiM</f>
        <v>3.0346242631614511E-3</v>
      </c>
      <c r="Q233" s="307">
        <f t="shared" si="80"/>
        <v>0.9</v>
      </c>
      <c r="R233" s="179">
        <f t="shared" si="81"/>
        <v>4.9880098528804151E-2</v>
      </c>
      <c r="S233" s="839">
        <f t="shared" si="82"/>
        <v>1</v>
      </c>
      <c r="T233" s="178">
        <f t="shared" si="83"/>
        <v>7</v>
      </c>
      <c r="U233" s="253">
        <f t="shared" si="84"/>
        <v>1.0498800985288042</v>
      </c>
      <c r="V233" s="385">
        <f t="shared" si="85"/>
        <v>51.143708527290983</v>
      </c>
      <c r="W233" s="404">
        <f t="shared" si="86"/>
        <v>49.216843915690781</v>
      </c>
      <c r="X233" s="157">
        <f t="shared" si="87"/>
        <v>45145</v>
      </c>
      <c r="Y233" s="387">
        <f t="shared" si="88"/>
        <v>44.396720847196455</v>
      </c>
      <c r="Z233" s="387">
        <f t="shared" si="89"/>
        <v>46.330450558965467</v>
      </c>
      <c r="AA233" s="388">
        <f t="shared" si="90"/>
        <v>55.909964520263209</v>
      </c>
      <c r="AB233" s="199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0.17133822286411712</v>
      </c>
      <c r="AD233" s="233">
        <f>(INDEX(Models!$BJ233:$BT233,,AH233)*(1-AF233)+INDEX(Models!$BJ233:$BT233,,AH233+1)*AF233-ERP_i)*AE233*Ramure*Pc/MaxiM</f>
        <v>3.0346242631614511E-3</v>
      </c>
      <c r="AE233" s="307">
        <f t="shared" si="92"/>
        <v>0.9</v>
      </c>
      <c r="AF233" s="179">
        <f t="shared" si="93"/>
        <v>4.9880098528804151E-2</v>
      </c>
      <c r="AG233" s="839">
        <f t="shared" si="99"/>
        <v>1</v>
      </c>
      <c r="AH233" s="178">
        <f t="shared" si="94"/>
        <v>7</v>
      </c>
      <c r="AI233" s="227">
        <f t="shared" si="95"/>
        <v>1.0498800985288042</v>
      </c>
      <c r="AJ233" s="267" t="b">
        <f t="shared" si="96"/>
        <v>0</v>
      </c>
      <c r="AK233" s="267" t="b">
        <f t="shared" si="97"/>
        <v>0</v>
      </c>
      <c r="AL233" s="267"/>
      <c r="AM233" s="267"/>
      <c r="AN233" s="75"/>
    </row>
    <row r="234" spans="1:40" s="6" customFormat="1" ht="11.25" x14ac:dyDescent="0.2">
      <c r="A234" s="56">
        <f t="shared" si="98"/>
        <v>45146</v>
      </c>
      <c r="B234" s="413">
        <f>'2022'!Wh/'2022'!Env_an*'2023'!Env_an</f>
        <v>49.897726349770871</v>
      </c>
      <c r="C234" s="868"/>
      <c r="D234" s="395">
        <f t="shared" si="77"/>
        <v>52.072267937445147</v>
      </c>
      <c r="E234" s="387">
        <f t="shared" si="100"/>
        <v>56.694971798337193</v>
      </c>
      <c r="F234" s="387">
        <f t="shared" si="78"/>
        <v>56.874776311426693</v>
      </c>
      <c r="G234" s="110">
        <f t="shared" si="101"/>
        <v>0.97926557727099417</v>
      </c>
      <c r="H234" s="416" t="b">
        <f>Wh_hp&gt;='2022'!Maxi_hp</f>
        <v>0</v>
      </c>
      <c r="I234" s="392">
        <f>IF(H234,Wh_hp,'2022'!Maxi_hp)</f>
        <v>56.876275086433836</v>
      </c>
      <c r="J234" s="85">
        <f>IF(H234,An,'2022'!An_max)</f>
        <v>2022</v>
      </c>
      <c r="K234" s="199">
        <f t="shared" si="79"/>
        <v>45146</v>
      </c>
      <c r="L234" s="147">
        <f>IF(t&lt;Tvie,1-EXP((T0-t)*PertePVj)+'2022'!Pspv,1-EXP((T0-t)*PertePVj)+Pspv)</f>
        <v>4.176007064425491E-2</v>
      </c>
      <c r="M234" s="872"/>
      <c r="N234" s="872"/>
      <c r="O234" s="48">
        <f>IF(t&lt;Tnet,'2022'!Resal+('2022'!Salim-'2022'!Resal)*(1-EXP(('2022'!Tnet-t)/('2022'!Tau_j))),Resal+(Salim-Resal)*(1-EXP((Tnet-t)/(Tau_j))))*Salcycl</f>
        <v>8.1536399335992327E-2</v>
      </c>
      <c r="P234" s="171">
        <f>(INDEX(Models!$BJ234:$BT234,,T234)*(1-R234)+INDEX(Models!$BJ234:$BT234,,T234+1)*R234-ERP_i)*Q234*Ramure*Pc/MaxiM</f>
        <v>3.2574592490855251E-3</v>
      </c>
      <c r="Q234" s="307">
        <f t="shared" si="80"/>
        <v>0.9</v>
      </c>
      <c r="R234" s="179">
        <f t="shared" si="81"/>
        <v>5.1757929099401689E-2</v>
      </c>
      <c r="S234" s="839">
        <f t="shared" si="82"/>
        <v>1</v>
      </c>
      <c r="T234" s="178">
        <f t="shared" si="83"/>
        <v>7</v>
      </c>
      <c r="U234" s="253">
        <f t="shared" si="84"/>
        <v>1.0517579290994017</v>
      </c>
      <c r="V234" s="385">
        <f t="shared" si="85"/>
        <v>50.949323342341607</v>
      </c>
      <c r="W234" s="404">
        <f t="shared" si="86"/>
        <v>49.897726349770871</v>
      </c>
      <c r="X234" s="157">
        <f t="shared" si="87"/>
        <v>45146</v>
      </c>
      <c r="Y234" s="387">
        <f t="shared" si="88"/>
        <v>45.01558496638895</v>
      </c>
      <c r="Z234" s="387">
        <f t="shared" si="89"/>
        <v>46.977362962378685</v>
      </c>
      <c r="AA234" s="388">
        <f t="shared" si="90"/>
        <v>56.694971798337193</v>
      </c>
      <c r="AB234" s="199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0.1714015992551127</v>
      </c>
      <c r="AD234" s="233">
        <f>(INDEX(Models!$BJ234:$BT234,,AH234)*(1-AF234)+INDEX(Models!$BJ234:$BT234,,AH234+1)*AF234-ERP_i)*AE234*Ramure*Pc/MaxiM</f>
        <v>3.2574592490855251E-3</v>
      </c>
      <c r="AE234" s="307">
        <f t="shared" si="92"/>
        <v>0.9</v>
      </c>
      <c r="AF234" s="179">
        <f t="shared" si="93"/>
        <v>5.1757929099401689E-2</v>
      </c>
      <c r="AG234" s="839">
        <f t="shared" si="99"/>
        <v>1</v>
      </c>
      <c r="AH234" s="178">
        <f t="shared" si="94"/>
        <v>7</v>
      </c>
      <c r="AI234" s="227">
        <f t="shared" si="95"/>
        <v>1.0517579290994017</v>
      </c>
      <c r="AJ234" s="267" t="b">
        <f t="shared" si="96"/>
        <v>0</v>
      </c>
      <c r="AK234" s="267" t="b">
        <f t="shared" si="97"/>
        <v>0</v>
      </c>
      <c r="AL234" s="267"/>
      <c r="AM234" s="267"/>
      <c r="AN234" s="75"/>
    </row>
    <row r="235" spans="1:40" s="6" customFormat="1" ht="11.25" x14ac:dyDescent="0.2">
      <c r="A235" s="56">
        <f t="shared" si="98"/>
        <v>45147</v>
      </c>
      <c r="B235" s="413">
        <f>'2022'!Wh/'2022'!Env_an*'2023'!Env_an</f>
        <v>47.98133114140937</v>
      </c>
      <c r="C235" s="868"/>
      <c r="D235" s="395">
        <f t="shared" si="77"/>
        <v>50.073521560854573</v>
      </c>
      <c r="E235" s="387">
        <f t="shared" si="100"/>
        <v>54.528582773504716</v>
      </c>
      <c r="F235" s="387">
        <f t="shared" si="78"/>
        <v>54.704503862648274</v>
      </c>
      <c r="G235" s="110">
        <f t="shared" si="101"/>
        <v>0.9451390696920533</v>
      </c>
      <c r="H235" s="416" t="b">
        <f>Wh_hp&gt;='2022'!Maxi_hp</f>
        <v>0</v>
      </c>
      <c r="I235" s="392">
        <f>IF(H235,Wh_hp,'2022'!Maxi_hp)</f>
        <v>56.037140301395539</v>
      </c>
      <c r="J235" s="85">
        <f>IF(H235,An,'2022'!An_max)</f>
        <v>2021</v>
      </c>
      <c r="K235" s="199">
        <f t="shared" si="79"/>
        <v>45147</v>
      </c>
      <c r="L235" s="147">
        <f>IF(t&lt;Tvie,1-EXP((T0-t)*PertePVj)+'2022'!Pspv,1-EXP((T0-t)*PertePVj)+Pspv)</f>
        <v>4.1782370287309467E-2</v>
      </c>
      <c r="M235" s="872"/>
      <c r="N235" s="872"/>
      <c r="O235" s="48">
        <f>IF(t&lt;Tnet,'2022'!Resal+('2022'!Salim-'2022'!Resal)*(1-EXP(('2022'!Tnet-t)/('2022'!Tau_j))),Resal+(Salim-Resal)*(1-EXP((Tnet-t)/(Tau_j))))*Salcycl</f>
        <v>8.1701393765451866E-2</v>
      </c>
      <c r="P235" s="171">
        <f>(INDEX(Models!$BJ235:$BT235,,T235)*(1-R235)+INDEX(Models!$BJ235:$BT235,,T235+1)*R235-ERP_i)*Q235*Ramure*Pc/MaxiM</f>
        <v>3.4879145895354942E-3</v>
      </c>
      <c r="Q235" s="307">
        <f t="shared" si="80"/>
        <v>0.9</v>
      </c>
      <c r="R235" s="179">
        <f t="shared" si="81"/>
        <v>5.3572240252061976E-2</v>
      </c>
      <c r="S235" s="839">
        <f t="shared" si="82"/>
        <v>1</v>
      </c>
      <c r="T235" s="178">
        <f t="shared" si="83"/>
        <v>7</v>
      </c>
      <c r="U235" s="253">
        <f t="shared" si="84"/>
        <v>1.053572240252062</v>
      </c>
      <c r="V235" s="385">
        <f t="shared" si="85"/>
        <v>50.752567744274998</v>
      </c>
      <c r="W235" s="404">
        <f t="shared" si="86"/>
        <v>47.98133114140937</v>
      </c>
      <c r="X235" s="157">
        <f t="shared" si="87"/>
        <v>45147</v>
      </c>
      <c r="Y235" s="387">
        <f t="shared" si="88"/>
        <v>43.291193710801906</v>
      </c>
      <c r="Z235" s="387">
        <f t="shared" si="89"/>
        <v>45.178874160123961</v>
      </c>
      <c r="AA235" s="388">
        <f t="shared" si="90"/>
        <v>54.528582773504716</v>
      </c>
      <c r="AB235" s="199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0.17146436121798037</v>
      </c>
      <c r="AD235" s="233">
        <f>(INDEX(Models!$BJ235:$BT235,,AH235)*(1-AF235)+INDEX(Models!$BJ235:$BT235,,AH235+1)*AF235-ERP_i)*AE235*Ramure*Pc/MaxiM</f>
        <v>3.4879145895354942E-3</v>
      </c>
      <c r="AE235" s="307">
        <f t="shared" si="92"/>
        <v>0.9</v>
      </c>
      <c r="AF235" s="179">
        <f t="shared" si="93"/>
        <v>5.3572240252061976E-2</v>
      </c>
      <c r="AG235" s="839">
        <f t="shared" si="99"/>
        <v>1</v>
      </c>
      <c r="AH235" s="178">
        <f t="shared" si="94"/>
        <v>7</v>
      </c>
      <c r="AI235" s="227">
        <f t="shared" si="95"/>
        <v>1.053572240252062</v>
      </c>
      <c r="AJ235" s="267" t="b">
        <f t="shared" si="96"/>
        <v>0</v>
      </c>
      <c r="AK235" s="267" t="b">
        <f t="shared" si="97"/>
        <v>0</v>
      </c>
      <c r="AL235" s="267"/>
      <c r="AM235" s="267"/>
      <c r="AN235" s="75"/>
    </row>
    <row r="236" spans="1:40" s="6" customFormat="1" ht="11.25" x14ac:dyDescent="0.2">
      <c r="A236" s="56">
        <f t="shared" si="98"/>
        <v>45148</v>
      </c>
      <c r="B236" s="413">
        <f>'2022'!Wh/'2022'!Env_an*'2023'!Env_an</f>
        <v>46.196424859506109</v>
      </c>
      <c r="C236" s="868"/>
      <c r="D236" s="395">
        <f t="shared" si="77"/>
        <v>48.211907723584375</v>
      </c>
      <c r="E236" s="387">
        <f t="shared" si="100"/>
        <v>52.510749343622834</v>
      </c>
      <c r="F236" s="387">
        <f t="shared" si="78"/>
        <v>52.682883285227554</v>
      </c>
      <c r="G236" s="110">
        <f t="shared" si="101"/>
        <v>0.91340013744850879</v>
      </c>
      <c r="H236" s="416" t="b">
        <f>Wh_hp&gt;='2022'!Maxi_hp</f>
        <v>0</v>
      </c>
      <c r="I236" s="392">
        <f>IF(H236,Wh_hp,'2022'!Maxi_hp)</f>
        <v>52.689465220903699</v>
      </c>
      <c r="J236" s="85">
        <f>IF(H236,An,'2022'!An_max)</f>
        <v>2022</v>
      </c>
      <c r="K236" s="199">
        <f t="shared" si="79"/>
        <v>45148</v>
      </c>
      <c r="L236" s="147">
        <f>IF(t&lt;Tvie,1-EXP((T0-t)*PertePVj)+'2022'!Pspv,1-EXP((T0-t)*PertePVj)+Pspv)</f>
        <v>4.1804669411418693E-2</v>
      </c>
      <c r="M236" s="872"/>
      <c r="N236" s="872"/>
      <c r="O236" s="48">
        <f>IF(t&lt;Tnet,'2022'!Resal+('2022'!Salim-'2022'!Resal)*(1-EXP(('2022'!Tnet-t)/('2022'!Tau_j))),Resal+(Salim-Resal)*(1-EXP((Tnet-t)/(Tau_j))))*Salcycl</f>
        <v>8.1865935523171771E-2</v>
      </c>
      <c r="P236" s="171">
        <f>(INDEX(Models!$BJ236:$BT236,,T236)*(1-R236)+INDEX(Models!$BJ236:$BT236,,T236+1)*R236-ERP_i)*Q236*Ramure*Pc/MaxiM</f>
        <v>3.7260912046371635E-3</v>
      </c>
      <c r="Q236" s="307">
        <f t="shared" si="80"/>
        <v>0.9</v>
      </c>
      <c r="R236" s="179">
        <f t="shared" si="81"/>
        <v>5.5324745821215604E-2</v>
      </c>
      <c r="S236" s="839">
        <f t="shared" si="82"/>
        <v>1</v>
      </c>
      <c r="T236" s="178">
        <f t="shared" si="83"/>
        <v>7</v>
      </c>
      <c r="U236" s="253">
        <f t="shared" si="84"/>
        <v>1.0553247458212156</v>
      </c>
      <c r="V236" s="385">
        <f t="shared" si="85"/>
        <v>50.553050906459966</v>
      </c>
      <c r="W236" s="404">
        <f t="shared" si="86"/>
        <v>46.196424859506109</v>
      </c>
      <c r="X236" s="157">
        <f t="shared" si="87"/>
        <v>45148</v>
      </c>
      <c r="Y236" s="387">
        <f t="shared" si="88"/>
        <v>41.685103380357155</v>
      </c>
      <c r="Z236" s="387">
        <f t="shared" si="89"/>
        <v>43.503763846095609</v>
      </c>
      <c r="AA236" s="388">
        <f t="shared" si="90"/>
        <v>52.510749343622834</v>
      </c>
      <c r="AB236" s="199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0.17152650857421209</v>
      </c>
      <c r="AD236" s="233">
        <f>(INDEX(Models!$BJ236:$BT236,,AH236)*(1-AF236)+INDEX(Models!$BJ236:$BT236,,AH236+1)*AF236-ERP_i)*AE236*Ramure*Pc/MaxiM</f>
        <v>3.7260912046371635E-3</v>
      </c>
      <c r="AE236" s="307">
        <f t="shared" si="92"/>
        <v>0.9</v>
      </c>
      <c r="AF236" s="179">
        <f t="shared" si="93"/>
        <v>5.5324745821215604E-2</v>
      </c>
      <c r="AG236" s="839">
        <f t="shared" si="99"/>
        <v>1</v>
      </c>
      <c r="AH236" s="178">
        <f t="shared" si="94"/>
        <v>7</v>
      </c>
      <c r="AI236" s="227">
        <f t="shared" si="95"/>
        <v>1.0553247458212156</v>
      </c>
      <c r="AJ236" s="267" t="b">
        <f t="shared" si="96"/>
        <v>0</v>
      </c>
      <c r="AK236" s="267" t="b">
        <f t="shared" si="97"/>
        <v>0</v>
      </c>
      <c r="AL236" s="267"/>
      <c r="AM236" s="267"/>
      <c r="AN236" s="75"/>
    </row>
    <row r="237" spans="1:40" s="6" customFormat="1" ht="11.25" x14ac:dyDescent="0.2">
      <c r="A237" s="56">
        <f t="shared" si="98"/>
        <v>45149</v>
      </c>
      <c r="B237" s="413">
        <f>'2022'!Wh/'2022'!Env_an*'2023'!Env_an</f>
        <v>41.842882084272532</v>
      </c>
      <c r="C237" s="868"/>
      <c r="D237" s="395">
        <f t="shared" si="77"/>
        <v>43.669442457233778</v>
      </c>
      <c r="E237" s="387">
        <f t="shared" si="100"/>
        <v>47.57175450996062</v>
      </c>
      <c r="F237" s="387">
        <f t="shared" si="78"/>
        <v>47.715536567028614</v>
      </c>
      <c r="G237" s="110">
        <f t="shared" si="101"/>
        <v>0.83023485739788772</v>
      </c>
      <c r="H237" s="416" t="b">
        <f>Wh_hp&gt;='2022'!Maxi_hp</f>
        <v>0</v>
      </c>
      <c r="I237" s="392">
        <f>IF(H237,Wh_hp,'2022'!Maxi_hp)</f>
        <v>51.041583493059605</v>
      </c>
      <c r="J237" s="85">
        <f>IF(H237,An,'2022'!An_max)</f>
        <v>2021</v>
      </c>
      <c r="K237" s="199">
        <f t="shared" si="79"/>
        <v>45149</v>
      </c>
      <c r="L237" s="147">
        <f>IF(t&lt;Tvie,1-EXP((T0-t)*PertePVj)+'2022'!Pspv,1-EXP((T0-t)*PertePVj)+Pspv)</f>
        <v>4.1826968016594801E-2</v>
      </c>
      <c r="M237" s="872"/>
      <c r="N237" s="872"/>
      <c r="O237" s="48">
        <f>IF(t&lt;Tnet,'2022'!Resal+('2022'!Salim-'2022'!Resal)*(1-EXP(('2022'!Tnet-t)/('2022'!Tau_j))),Resal+(Salim-Resal)*(1-EXP((Tnet-t)/(Tau_j))))*Salcycl</f>
        <v>8.2030021657279281E-2</v>
      </c>
      <c r="P237" s="171">
        <f>(INDEX(Models!$BJ237:$BT237,,T237)*(1-R237)+INDEX(Models!$BJ237:$BT237,,T237+1)*R237-ERP_i)*Q237*Ramure*Pc/MaxiM</f>
        <v>3.9721034633010089E-3</v>
      </c>
      <c r="Q237" s="307">
        <f t="shared" si="80"/>
        <v>0.9</v>
      </c>
      <c r="R237" s="179">
        <f t="shared" si="81"/>
        <v>5.7017145694018723E-2</v>
      </c>
      <c r="S237" s="839">
        <f t="shared" si="82"/>
        <v>1</v>
      </c>
      <c r="T237" s="178">
        <f t="shared" si="83"/>
        <v>7</v>
      </c>
      <c r="U237" s="253">
        <f t="shared" si="84"/>
        <v>1.0570171456940187</v>
      </c>
      <c r="V237" s="385">
        <f t="shared" si="85"/>
        <v>50.350382286709866</v>
      </c>
      <c r="W237" s="404">
        <f t="shared" si="86"/>
        <v>41.842882084272532</v>
      </c>
      <c r="X237" s="157">
        <f t="shared" si="87"/>
        <v>45149</v>
      </c>
      <c r="Y237" s="387">
        <f t="shared" si="88"/>
        <v>37.760651095778307</v>
      </c>
      <c r="Z237" s="387">
        <f t="shared" si="89"/>
        <v>39.409010518292575</v>
      </c>
      <c r="AA237" s="388">
        <f t="shared" si="90"/>
        <v>47.57175450996062</v>
      </c>
      <c r="AB237" s="199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0.17158803739220765</v>
      </c>
      <c r="AD237" s="233">
        <f>(INDEX(Models!$BJ237:$BT237,,AH237)*(1-AF237)+INDEX(Models!$BJ237:$BT237,,AH237+1)*AF237-ERP_i)*AE237*Ramure*Pc/MaxiM</f>
        <v>3.9721034633010089E-3</v>
      </c>
      <c r="AE237" s="307">
        <f t="shared" si="92"/>
        <v>0.9</v>
      </c>
      <c r="AF237" s="179">
        <f t="shared" si="93"/>
        <v>5.7017145694018723E-2</v>
      </c>
      <c r="AG237" s="839">
        <f t="shared" si="99"/>
        <v>1</v>
      </c>
      <c r="AH237" s="178">
        <f t="shared" si="94"/>
        <v>7</v>
      </c>
      <c r="AI237" s="227">
        <f t="shared" si="95"/>
        <v>1.0570171456940187</v>
      </c>
      <c r="AJ237" s="267" t="b">
        <f t="shared" si="96"/>
        <v>0</v>
      </c>
      <c r="AK237" s="267" t="b">
        <f t="shared" si="97"/>
        <v>0</v>
      </c>
      <c r="AL237" s="267"/>
      <c r="AM237" s="267"/>
      <c r="AN237" s="75"/>
    </row>
    <row r="238" spans="1:40" s="6" customFormat="1" ht="11.25" x14ac:dyDescent="0.2">
      <c r="A238" s="56">
        <f t="shared" si="98"/>
        <v>45150</v>
      </c>
      <c r="B238" s="413">
        <f>'2022'!Wh/'2022'!Env_an*'2023'!Env_an</f>
        <v>44.481802554721128</v>
      </c>
      <c r="C238" s="868"/>
      <c r="D238" s="395">
        <f t="shared" si="77"/>
        <v>46.424639653301035</v>
      </c>
      <c r="E238" s="387">
        <f t="shared" si="100"/>
        <v>50.582172948406431</v>
      </c>
      <c r="F238" s="387">
        <f t="shared" si="78"/>
        <v>50.762091168613807</v>
      </c>
      <c r="G238" s="110">
        <f t="shared" si="101"/>
        <v>0.88647131507586185</v>
      </c>
      <c r="H238" s="416" t="b">
        <f>Wh_hp&gt;='2022'!Maxi_hp</f>
        <v>0</v>
      </c>
      <c r="I238" s="392">
        <f>IF(H238,Wh_hp,'2022'!Maxi_hp)</f>
        <v>50.771415231973002</v>
      </c>
      <c r="J238" s="85">
        <f>IF(H238,An,'2022'!An_max)</f>
        <v>2022</v>
      </c>
      <c r="K238" s="199">
        <f t="shared" si="79"/>
        <v>45150</v>
      </c>
      <c r="L238" s="147">
        <f>IF(t&lt;Tvie,1-EXP((T0-t)*PertePVj)+'2022'!Pspv,1-EXP((T0-t)*PertePVj)+Pspv)</f>
        <v>4.184926610284978E-2</v>
      </c>
      <c r="M238" s="872"/>
      <c r="N238" s="872"/>
      <c r="O238" s="48">
        <f>IF(t&lt;Tnet,'2022'!Resal+('2022'!Salim-'2022'!Resal)*(1-EXP(('2022'!Tnet-t)/('2022'!Tau_j))),Resal+(Salim-Resal)*(1-EXP((Tnet-t)/(Tau_j))))*Salcycl</f>
        <v>8.2193647539540393E-2</v>
      </c>
      <c r="P238" s="171">
        <f>(INDEX(Models!$BJ238:$BT238,,T238)*(1-R238)+INDEX(Models!$BJ238:$BT238,,T238+1)*R238-ERP_i)*Q238*Ramure*Pc/MaxiM</f>
        <v>4.2260799811278818E-3</v>
      </c>
      <c r="Q238" s="307">
        <f t="shared" si="80"/>
        <v>0.9</v>
      </c>
      <c r="R238" s="179">
        <f t="shared" si="81"/>
        <v>5.8651123188555143E-2</v>
      </c>
      <c r="S238" s="839">
        <f t="shared" si="82"/>
        <v>1</v>
      </c>
      <c r="T238" s="178">
        <f t="shared" si="83"/>
        <v>7</v>
      </c>
      <c r="U238" s="253">
        <f t="shared" si="84"/>
        <v>1.0586511231885551</v>
      </c>
      <c r="V238" s="385">
        <f t="shared" si="85"/>
        <v>50.144171624825233</v>
      </c>
      <c r="W238" s="404">
        <f t="shared" si="86"/>
        <v>44.481802554721128</v>
      </c>
      <c r="X238" s="157">
        <f t="shared" si="87"/>
        <v>45150</v>
      </c>
      <c r="Y238" s="387">
        <f t="shared" si="88"/>
        <v>40.146320829806179</v>
      </c>
      <c r="Z238" s="387">
        <f t="shared" si="89"/>
        <v>41.899796565949885</v>
      </c>
      <c r="AA238" s="388">
        <f t="shared" si="90"/>
        <v>50.582172948406431</v>
      </c>
      <c r="AB238" s="199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0.17164894025633354</v>
      </c>
      <c r="AD238" s="233">
        <f>(INDEX(Models!$BJ238:$BT238,,AH238)*(1-AF238)+INDEX(Models!$BJ238:$BT238,,AH238+1)*AF238-ERP_i)*AE238*Ramure*Pc/MaxiM</f>
        <v>4.2260799811278818E-3</v>
      </c>
      <c r="AE238" s="307">
        <f t="shared" si="92"/>
        <v>0.9</v>
      </c>
      <c r="AF238" s="179">
        <f t="shared" si="93"/>
        <v>5.8651123188555143E-2</v>
      </c>
      <c r="AG238" s="839">
        <f t="shared" si="99"/>
        <v>1</v>
      </c>
      <c r="AH238" s="178">
        <f t="shared" si="94"/>
        <v>7</v>
      </c>
      <c r="AI238" s="227">
        <f t="shared" si="95"/>
        <v>1.0586511231885551</v>
      </c>
      <c r="AJ238" s="267" t="b">
        <f t="shared" si="96"/>
        <v>0</v>
      </c>
      <c r="AK238" s="267" t="b">
        <f t="shared" si="97"/>
        <v>0</v>
      </c>
      <c r="AL238" s="267"/>
      <c r="AM238" s="267"/>
      <c r="AN238" s="75"/>
    </row>
    <row r="239" spans="1:40" s="6" customFormat="1" ht="11.25" x14ac:dyDescent="0.2">
      <c r="A239" s="56">
        <f t="shared" si="98"/>
        <v>45151</v>
      </c>
      <c r="B239" s="413">
        <f>'2022'!Wh/'2022'!Env_an*'2023'!Env_an</f>
        <v>29.998466440905371</v>
      </c>
      <c r="C239" s="868"/>
      <c r="D239" s="395">
        <f t="shared" si="77"/>
        <v>31.309441723509583</v>
      </c>
      <c r="E239" s="387">
        <f t="shared" si="100"/>
        <v>34.119407152648833</v>
      </c>
      <c r="F239" s="387">
        <f t="shared" si="78"/>
        <v>34.185329617936404</v>
      </c>
      <c r="G239" s="110">
        <f t="shared" si="101"/>
        <v>0.59922119731640799</v>
      </c>
      <c r="H239" s="416" t="b">
        <f>Wh_hp&gt;='2022'!Maxi_hp</f>
        <v>0</v>
      </c>
      <c r="I239" s="392">
        <f>IF(H239,Wh_hp,'2022'!Maxi_hp)</f>
        <v>52.03553309327885</v>
      </c>
      <c r="J239" s="85">
        <f>IF(H239,An,'2022'!An_max)</f>
        <v>2019</v>
      </c>
      <c r="K239" s="199">
        <f t="shared" si="79"/>
        <v>45151</v>
      </c>
      <c r="L239" s="147">
        <f>IF(t&lt;Tvie,1-EXP((T0-t)*PertePVj)+'2022'!Pspv,1-EXP((T0-t)*PertePVj)+Pspv)</f>
        <v>4.1871563670195622E-2</v>
      </c>
      <c r="M239" s="872"/>
      <c r="N239" s="872"/>
      <c r="O239" s="48">
        <f>IF(t&lt;Tnet,'2022'!Resal+('2022'!Salim-'2022'!Resal)*(1-EXP(('2022'!Tnet-t)/('2022'!Tau_j))),Resal+(Salim-Resal)*(1-EXP((Tnet-t)/(Tau_j))))*Salcycl</f>
        <v>8.2356806979897973E-2</v>
      </c>
      <c r="P239" s="171">
        <f>(INDEX(Models!$BJ239:$BT239,,T239)*(1-R239)+INDEX(Models!$BJ239:$BT239,,T239+1)*R239-ERP_i)*Q239*Ramure*Pc/MaxiM</f>
        <v>4.4881644678667967E-3</v>
      </c>
      <c r="Q239" s="307">
        <f t="shared" si="80"/>
        <v>0.9</v>
      </c>
      <c r="R239" s="179">
        <f t="shared" si="81"/>
        <v>6.022834267763999E-2</v>
      </c>
      <c r="S239" s="839">
        <f t="shared" si="82"/>
        <v>1</v>
      </c>
      <c r="T239" s="178">
        <f t="shared" si="83"/>
        <v>7</v>
      </c>
      <c r="U239" s="253">
        <f t="shared" si="84"/>
        <v>1.06022834267764</v>
      </c>
      <c r="V239" s="385">
        <f t="shared" si="85"/>
        <v>49.934028937151076</v>
      </c>
      <c r="W239" s="404">
        <f t="shared" si="86"/>
        <v>29.998466440905371</v>
      </c>
      <c r="X239" s="157">
        <f t="shared" si="87"/>
        <v>45151</v>
      </c>
      <c r="Y239" s="387">
        <f t="shared" si="88"/>
        <v>27.077467320737636</v>
      </c>
      <c r="Z239" s="387">
        <f t="shared" si="89"/>
        <v>28.260790823055274</v>
      </c>
      <c r="AA239" s="388">
        <f t="shared" si="90"/>
        <v>34.119407152648833</v>
      </c>
      <c r="AB239" s="199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0.17170920653405114</v>
      </c>
      <c r="AD239" s="233">
        <f>(INDEX(Models!$BJ239:$BT239,,AH239)*(1-AF239)+INDEX(Models!$BJ239:$BT239,,AH239+1)*AF239-ERP_i)*AE239*Ramure*Pc/MaxiM</f>
        <v>4.4881644678667967E-3</v>
      </c>
      <c r="AE239" s="307">
        <f t="shared" si="92"/>
        <v>0.9</v>
      </c>
      <c r="AF239" s="179">
        <f t="shared" si="93"/>
        <v>6.022834267763999E-2</v>
      </c>
      <c r="AG239" s="839">
        <f t="shared" si="99"/>
        <v>1</v>
      </c>
      <c r="AH239" s="178">
        <f t="shared" si="94"/>
        <v>7</v>
      </c>
      <c r="AI239" s="227">
        <f t="shared" si="95"/>
        <v>1.06022834267764</v>
      </c>
      <c r="AJ239" s="267" t="b">
        <f t="shared" si="96"/>
        <v>0</v>
      </c>
      <c r="AK239" s="267" t="b">
        <f t="shared" si="97"/>
        <v>0</v>
      </c>
      <c r="AL239" s="267"/>
      <c r="AM239" s="267"/>
      <c r="AN239" s="75"/>
    </row>
    <row r="240" spans="1:40" s="6" customFormat="1" ht="11.25" x14ac:dyDescent="0.2">
      <c r="A240" s="56">
        <f t="shared" si="98"/>
        <v>45152</v>
      </c>
      <c r="B240" s="413">
        <f>'2022'!Wh/'2022'!Env_an*'2023'!Env_an</f>
        <v>32.273509818398345</v>
      </c>
      <c r="C240" s="868"/>
      <c r="D240" s="395">
        <f t="shared" si="77"/>
        <v>33.684691596492293</v>
      </c>
      <c r="E240" s="387">
        <f t="shared" si="100"/>
        <v>36.714340321400336</v>
      </c>
      <c r="F240" s="387">
        <f t="shared" si="78"/>
        <v>36.801609479755768</v>
      </c>
      <c r="G240" s="110">
        <f t="shared" si="101"/>
        <v>0.64755764580858632</v>
      </c>
      <c r="H240" s="416" t="b">
        <f>Wh_hp&gt;='2022'!Maxi_hp</f>
        <v>0</v>
      </c>
      <c r="I240" s="392">
        <f>IF(H240,Wh_hp,'2022'!Maxi_hp)</f>
        <v>56.382758921997223</v>
      </c>
      <c r="J240" s="85">
        <f>IF(H240,An,'2022'!An_max)</f>
        <v>2019</v>
      </c>
      <c r="K240" s="199">
        <f t="shared" si="79"/>
        <v>45152</v>
      </c>
      <c r="L240" s="147">
        <f>IF(t&lt;Tvie,1-EXP((T0-t)*PertePVj)+'2022'!Pspv,1-EXP((T0-t)*PertePVj)+Pspv)</f>
        <v>4.1893860718644649E-2</v>
      </c>
      <c r="M240" s="872"/>
      <c r="N240" s="872"/>
      <c r="O240" s="48">
        <f>IF(t&lt;Tnet,'2022'!Resal+('2022'!Salim-'2022'!Resal)*(1-EXP(('2022'!Tnet-t)/('2022'!Tau_j))),Resal+(Salim-Resal)*(1-EXP((Tnet-t)/(Tau_j))))*Salcycl</f>
        <v>8.2519492339675649E-2</v>
      </c>
      <c r="P240" s="171">
        <f>(INDEX(Models!$BJ240:$BT240,,T240)*(1-R240)+INDEX(Models!$BJ240:$BT240,,T240+1)*R240-ERP_i)*Q240*Ramure*Pc/MaxiM</f>
        <v>4.7547935344536777E-3</v>
      </c>
      <c r="Q240" s="307">
        <f t="shared" si="80"/>
        <v>0.9</v>
      </c>
      <c r="R240" s="179">
        <f t="shared" si="81"/>
        <v>6.1750447447094903E-2</v>
      </c>
      <c r="S240" s="839">
        <f t="shared" si="82"/>
        <v>1</v>
      </c>
      <c r="T240" s="178">
        <f t="shared" si="83"/>
        <v>7</v>
      </c>
      <c r="U240" s="253">
        <f t="shared" si="84"/>
        <v>1.0617504474470949</v>
      </c>
      <c r="V240" s="385">
        <f t="shared" si="85"/>
        <v>49.71975051031972</v>
      </c>
      <c r="W240" s="404">
        <f t="shared" si="86"/>
        <v>32.273509818398345</v>
      </c>
      <c r="X240" s="157">
        <f t="shared" si="87"/>
        <v>45152</v>
      </c>
      <c r="Y240" s="387">
        <f t="shared" si="88"/>
        <v>29.134054414601621</v>
      </c>
      <c r="Z240" s="387">
        <f t="shared" si="89"/>
        <v>30.40796131048084</v>
      </c>
      <c r="AA240" s="388">
        <f t="shared" si="90"/>
        <v>36.714340321400336</v>
      </c>
      <c r="AB240" s="199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0.17176882263750176</v>
      </c>
      <c r="AD240" s="233">
        <f>(INDEX(Models!$BJ240:$BT240,,AH240)*(1-AF240)+INDEX(Models!$BJ240:$BT240,,AH240+1)*AF240-ERP_i)*AE240*Ramure*Pc/MaxiM</f>
        <v>4.7547935344536777E-3</v>
      </c>
      <c r="AE240" s="307">
        <f t="shared" si="92"/>
        <v>0.9</v>
      </c>
      <c r="AF240" s="179">
        <f t="shared" si="93"/>
        <v>6.1750447447094903E-2</v>
      </c>
      <c r="AG240" s="839">
        <f t="shared" si="99"/>
        <v>1</v>
      </c>
      <c r="AH240" s="178">
        <f t="shared" si="94"/>
        <v>7</v>
      </c>
      <c r="AI240" s="227">
        <f t="shared" si="95"/>
        <v>1.0617504474470949</v>
      </c>
      <c r="AJ240" s="267" t="b">
        <f t="shared" si="96"/>
        <v>0</v>
      </c>
      <c r="AK240" s="267" t="b">
        <f t="shared" si="97"/>
        <v>0</v>
      </c>
      <c r="AL240" s="267"/>
      <c r="AM240" s="267"/>
      <c r="AN240" s="75"/>
    </row>
    <row r="241" spans="1:40" s="6" customFormat="1" ht="11.25" x14ac:dyDescent="0.2">
      <c r="A241" s="56">
        <f t="shared" si="98"/>
        <v>45153</v>
      </c>
      <c r="B241" s="413">
        <f>'2022'!Wh/'2022'!Env_an*'2023'!Env_an</f>
        <v>37.846047720697975</v>
      </c>
      <c r="C241" s="868"/>
      <c r="D241" s="395">
        <f t="shared" si="77"/>
        <v>39.501811879007619</v>
      </c>
      <c r="E241" s="387">
        <f t="shared" si="100"/>
        <v>43.062273638572179</v>
      </c>
      <c r="F241" s="387">
        <f t="shared" si="78"/>
        <v>43.206252421798226</v>
      </c>
      <c r="G241" s="110">
        <f t="shared" si="101"/>
        <v>0.76325271511245574</v>
      </c>
      <c r="H241" s="416" t="b">
        <f>Wh_hp&gt;='2022'!Maxi_hp</f>
        <v>0</v>
      </c>
      <c r="I241" s="392">
        <f>IF(H241,Wh_hp,'2022'!Maxi_hp)</f>
        <v>51.37885714144074</v>
      </c>
      <c r="J241" s="85">
        <f>IF(H241,An,'2022'!An_max)</f>
        <v>2020</v>
      </c>
      <c r="K241" s="199">
        <f t="shared" si="79"/>
        <v>45153</v>
      </c>
      <c r="L241" s="147">
        <f>IF(t&lt;Tvie,1-EXP((T0-t)*PertePVj)+'2022'!Pspv,1-EXP((T0-t)*PertePVj)+Pspv)</f>
        <v>4.1916157248208741E-2</v>
      </c>
      <c r="M241" s="872"/>
      <c r="N241" s="872"/>
      <c r="O241" s="48">
        <f>IF(t&lt;Tnet,'2022'!Resal+('2022'!Salim-'2022'!Resal)*(1-EXP(('2022'!Tnet-t)/('2022'!Tau_j))),Resal+(Salim-Resal)*(1-EXP((Tnet-t)/(Tau_j))))*Salcycl</f>
        <v>8.268169464176528E-2</v>
      </c>
      <c r="P241" s="171">
        <f>(INDEX(Models!$BJ241:$BT241,,T241)*(1-R241)+INDEX(Models!$BJ241:$BT241,,T241+1)*R241-ERP_i)*Q241*Ramure*Pc/MaxiM</f>
        <v>5.0213331138285466E-3</v>
      </c>
      <c r="Q241" s="307">
        <f t="shared" si="80"/>
        <v>0.9</v>
      </c>
      <c r="R241" s="179">
        <f t="shared" si="81"/>
        <v>6.3219057777173404E-2</v>
      </c>
      <c r="S241" s="839">
        <f t="shared" si="82"/>
        <v>1</v>
      </c>
      <c r="T241" s="178">
        <f t="shared" si="83"/>
        <v>7</v>
      </c>
      <c r="U241" s="253">
        <f t="shared" si="84"/>
        <v>1.0632190577771734</v>
      </c>
      <c r="V241" s="385">
        <f t="shared" si="85"/>
        <v>49.501183935706322</v>
      </c>
      <c r="W241" s="404">
        <f t="shared" si="86"/>
        <v>37.846047720697975</v>
      </c>
      <c r="X241" s="157">
        <f t="shared" si="87"/>
        <v>45153</v>
      </c>
      <c r="Y241" s="387">
        <f t="shared" si="88"/>
        <v>34.168124050630382</v>
      </c>
      <c r="Z241" s="387">
        <f t="shared" si="89"/>
        <v>35.662979090111058</v>
      </c>
      <c r="AA241" s="388">
        <f t="shared" si="90"/>
        <v>43.062273638572179</v>
      </c>
      <c r="AB241" s="199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0.17182777227613341</v>
      </c>
      <c r="AD241" s="233">
        <f>(INDEX(Models!$BJ241:$BT241,,AH241)*(1-AF241)+INDEX(Models!$BJ241:$BT241,,AH241+1)*AF241-ERP_i)*AE241*Ramure*Pc/MaxiM</f>
        <v>5.0213331138285466E-3</v>
      </c>
      <c r="AE241" s="307">
        <f t="shared" si="92"/>
        <v>0.9</v>
      </c>
      <c r="AF241" s="179">
        <f t="shared" si="93"/>
        <v>6.3219057777173404E-2</v>
      </c>
      <c r="AG241" s="839">
        <f t="shared" si="99"/>
        <v>1</v>
      </c>
      <c r="AH241" s="178">
        <f t="shared" si="94"/>
        <v>7</v>
      </c>
      <c r="AI241" s="227">
        <f t="shared" si="95"/>
        <v>1.0632190577771734</v>
      </c>
      <c r="AJ241" s="267" t="b">
        <f t="shared" si="96"/>
        <v>0</v>
      </c>
      <c r="AK241" s="267" t="b">
        <f t="shared" si="97"/>
        <v>0</v>
      </c>
      <c r="AL241" s="267"/>
      <c r="AM241" s="267"/>
      <c r="AN241" s="75"/>
    </row>
    <row r="242" spans="1:40" s="6" customFormat="1" ht="11.25" x14ac:dyDescent="0.2">
      <c r="A242" s="56">
        <f t="shared" si="98"/>
        <v>45154</v>
      </c>
      <c r="B242" s="413">
        <f>'2022'!Wh/'2022'!Env_an*'2023'!Env_an</f>
        <v>30.19096534188439</v>
      </c>
      <c r="C242" s="868"/>
      <c r="D242" s="395">
        <f t="shared" si="77"/>
        <v>31.512553076136545</v>
      </c>
      <c r="E242" s="387">
        <f t="shared" si="100"/>
        <v>34.358966835595261</v>
      </c>
      <c r="F242" s="387">
        <f t="shared" si="78"/>
        <v>34.440312087307234</v>
      </c>
      <c r="G242" s="110">
        <f t="shared" si="101"/>
        <v>0.6108700767052524</v>
      </c>
      <c r="H242" s="416" t="b">
        <f>Wh_hp&gt;='2022'!Maxi_hp</f>
        <v>0</v>
      </c>
      <c r="I242" s="392">
        <f>IF(H242,Wh_hp,'2022'!Maxi_hp)</f>
        <v>55.398390259601427</v>
      </c>
      <c r="J242" s="85">
        <f>IF(H242,An,'2022'!An_max)</f>
        <v>2019</v>
      </c>
      <c r="K242" s="199">
        <f t="shared" si="79"/>
        <v>45154</v>
      </c>
      <c r="L242" s="147">
        <f>IF(t&lt;Tvie,1-EXP((T0-t)*PertePVj)+'2022'!Pspv,1-EXP((T0-t)*PertePVj)+Pspv)</f>
        <v>4.1938453258899888E-2</v>
      </c>
      <c r="M242" s="872"/>
      <c r="N242" s="872"/>
      <c r="O242" s="48">
        <f>IF(t&lt;Tnet,'2022'!Resal+('2022'!Salim-'2022'!Resal)*(1-EXP(('2022'!Tnet-t)/('2022'!Tau_j))),Resal+(Salim-Resal)*(1-EXP((Tnet-t)/(Tau_j))))*Salcycl</f>
        <v>8.2843403676209543E-2</v>
      </c>
      <c r="P242" s="171">
        <f>(INDEX(Models!$BJ242:$BT242,,T242)*(1-R242)+INDEX(Models!$BJ242:$BT242,,T242+1)*R242-ERP_i)*Q242*Ramure*Pc/MaxiM</f>
        <v>5.2878750240356364E-3</v>
      </c>
      <c r="Q242" s="307">
        <f t="shared" si="80"/>
        <v>0.9</v>
      </c>
      <c r="R242" s="179">
        <f t="shared" si="81"/>
        <v>6.4635769235693363E-2</v>
      </c>
      <c r="S242" s="839">
        <f t="shared" si="82"/>
        <v>1</v>
      </c>
      <c r="T242" s="178">
        <f t="shared" si="83"/>
        <v>7</v>
      </c>
      <c r="U242" s="253">
        <f t="shared" si="84"/>
        <v>1.0646357692356934</v>
      </c>
      <c r="V242" s="385">
        <f t="shared" si="85"/>
        <v>49.27793967043349</v>
      </c>
      <c r="W242" s="404">
        <f t="shared" si="86"/>
        <v>30.19096534188439</v>
      </c>
      <c r="X242" s="157">
        <f t="shared" si="87"/>
        <v>45154</v>
      </c>
      <c r="Y242" s="387">
        <f t="shared" si="88"/>
        <v>27.259859510816948</v>
      </c>
      <c r="Z242" s="387">
        <f t="shared" si="89"/>
        <v>28.453140201214509</v>
      </c>
      <c r="AA242" s="388">
        <f t="shared" si="90"/>
        <v>34.358966835595261</v>
      </c>
      <c r="AB242" s="199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0.17188603669719257</v>
      </c>
      <c r="AD242" s="233">
        <f>(INDEX(Models!$BJ242:$BT242,,AH242)*(1-AF242)+INDEX(Models!$BJ242:$BT242,,AH242+1)*AF242-ERP_i)*AE242*Ramure*Pc/MaxiM</f>
        <v>5.2878750240356364E-3</v>
      </c>
      <c r="AE242" s="307">
        <f t="shared" si="92"/>
        <v>0.9</v>
      </c>
      <c r="AF242" s="179">
        <f t="shared" si="93"/>
        <v>6.4635769235693363E-2</v>
      </c>
      <c r="AG242" s="839">
        <f t="shared" si="99"/>
        <v>1</v>
      </c>
      <c r="AH242" s="178">
        <f t="shared" si="94"/>
        <v>7</v>
      </c>
      <c r="AI242" s="227">
        <f t="shared" si="95"/>
        <v>1.0646357692356934</v>
      </c>
      <c r="AJ242" s="267" t="b">
        <f t="shared" si="96"/>
        <v>0</v>
      </c>
      <c r="AK242" s="267" t="b">
        <f t="shared" si="97"/>
        <v>0</v>
      </c>
      <c r="AL242" s="267"/>
      <c r="AM242" s="267"/>
      <c r="AN242" s="75"/>
    </row>
    <row r="243" spans="1:40" s="6" customFormat="1" ht="11.25" x14ac:dyDescent="0.2">
      <c r="A243" s="56">
        <f t="shared" si="98"/>
        <v>45155</v>
      </c>
      <c r="B243" s="413">
        <f>'2022'!Wh/'2022'!Env_an*'2023'!Env_an</f>
        <v>21.875246509356959</v>
      </c>
      <c r="C243" s="868"/>
      <c r="D243" s="395">
        <f t="shared" si="77"/>
        <v>22.833351014409846</v>
      </c>
      <c r="E243" s="387">
        <f t="shared" si="100"/>
        <v>24.900180760005924</v>
      </c>
      <c r="F243" s="387">
        <f t="shared" si="78"/>
        <v>24.929057858533309</v>
      </c>
      <c r="G243" s="110">
        <f t="shared" si="101"/>
        <v>0.44401902263126253</v>
      </c>
      <c r="H243" s="416" t="b">
        <f>Wh_hp&gt;='2022'!Maxi_hp</f>
        <v>0</v>
      </c>
      <c r="I243" s="392">
        <f>IF(H243,Wh_hp,'2022'!Maxi_hp)</f>
        <v>54.145647175100791</v>
      </c>
      <c r="J243" s="85">
        <f>IF(H243,An,'2022'!An_max)</f>
        <v>2019</v>
      </c>
      <c r="K243" s="199">
        <f t="shared" si="79"/>
        <v>45155</v>
      </c>
      <c r="L243" s="147">
        <f>IF(t&lt;Tvie,1-EXP((T0-t)*PertePVj)+'2022'!Pspv,1-EXP((T0-t)*PertePVj)+Pspv)</f>
        <v>4.1960748750730414E-2</v>
      </c>
      <c r="M243" s="872"/>
      <c r="N243" s="872"/>
      <c r="O243" s="48">
        <f>IF(t&lt;Tnet,'2022'!Resal+('2022'!Salim-'2022'!Resal)*(1-EXP(('2022'!Tnet-t)/('2022'!Tau_j))),Resal+(Salim-Resal)*(1-EXP((Tnet-t)/(Tau_j))))*Salcycl</f>
        <v>8.3004608099703864E-2</v>
      </c>
      <c r="P243" s="171">
        <f>(INDEX(Models!$BJ243:$BT243,,T243)*(1-R243)+INDEX(Models!$BJ243:$BT243,,T243+1)*R243-ERP_i)*Q243*Ramure*Pc/MaxiM</f>
        <v>5.5545223225277234E-3</v>
      </c>
      <c r="Q243" s="307">
        <f t="shared" si="80"/>
        <v>0.9</v>
      </c>
      <c r="R243" s="179">
        <f t="shared" si="81"/>
        <v>6.6002151171435486E-2</v>
      </c>
      <c r="S243" s="839">
        <f t="shared" si="82"/>
        <v>1</v>
      </c>
      <c r="T243" s="178">
        <f t="shared" si="83"/>
        <v>7</v>
      </c>
      <c r="U243" s="253">
        <f t="shared" si="84"/>
        <v>1.0660021511714355</v>
      </c>
      <c r="V243" s="385">
        <f t="shared" si="85"/>
        <v>49.049628461935534</v>
      </c>
      <c r="W243" s="404">
        <f t="shared" si="86"/>
        <v>21.875246509356959</v>
      </c>
      <c r="X243" s="157">
        <f t="shared" si="87"/>
        <v>45155</v>
      </c>
      <c r="Y243" s="387">
        <f t="shared" si="88"/>
        <v>19.753575803071698</v>
      </c>
      <c r="Z243" s="387">
        <f t="shared" si="89"/>
        <v>20.618754166192371</v>
      </c>
      <c r="AA243" s="388">
        <f t="shared" si="90"/>
        <v>24.900180760005924</v>
      </c>
      <c r="AB243" s="199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0.17194359491117736</v>
      </c>
      <c r="AD243" s="233">
        <f>(INDEX(Models!$BJ243:$BT243,,AH243)*(1-AF243)+INDEX(Models!$BJ243:$BT243,,AH243+1)*AF243-ERP_i)*AE243*Ramure*Pc/MaxiM</f>
        <v>5.5545223225277234E-3</v>
      </c>
      <c r="AE243" s="307">
        <f t="shared" si="92"/>
        <v>0.9</v>
      </c>
      <c r="AF243" s="179">
        <f t="shared" si="93"/>
        <v>6.6002151171435486E-2</v>
      </c>
      <c r="AG243" s="839">
        <f t="shared" si="99"/>
        <v>1</v>
      </c>
      <c r="AH243" s="178">
        <f t="shared" si="94"/>
        <v>7</v>
      </c>
      <c r="AI243" s="227">
        <f t="shared" si="95"/>
        <v>1.0660021511714355</v>
      </c>
      <c r="AJ243" s="267" t="b">
        <f t="shared" si="96"/>
        <v>0</v>
      </c>
      <c r="AK243" s="267" t="b">
        <f t="shared" si="97"/>
        <v>0</v>
      </c>
      <c r="AL243" s="267"/>
      <c r="AM243" s="267"/>
      <c r="AN243" s="75"/>
    </row>
    <row r="244" spans="1:40" s="6" customFormat="1" ht="11.25" x14ac:dyDescent="0.2">
      <c r="A244" s="56">
        <f t="shared" si="98"/>
        <v>45156</v>
      </c>
      <c r="B244" s="413">
        <f>'2022'!Wh/'2022'!Env_an*'2023'!Env_an</f>
        <v>36.876129985445488</v>
      </c>
      <c r="C244" s="868"/>
      <c r="D244" s="395">
        <f t="shared" si="77"/>
        <v>38.492147496824245</v>
      </c>
      <c r="E244" s="387">
        <f t="shared" si="100"/>
        <v>41.983737427323845</v>
      </c>
      <c r="F244" s="387">
        <f t="shared" si="78"/>
        <v>42.143348480938911</v>
      </c>
      <c r="G244" s="110">
        <f t="shared" si="101"/>
        <v>0.75387048025061465</v>
      </c>
      <c r="H244" s="416" t="b">
        <f>Wh_hp&gt;='2022'!Maxi_hp</f>
        <v>0</v>
      </c>
      <c r="I244" s="392">
        <f>IF(H244,Wh_hp,'2022'!Maxi_hp)</f>
        <v>53.373753498683605</v>
      </c>
      <c r="J244" s="85">
        <f>IF(H244,An,'2022'!An_max)</f>
        <v>2021</v>
      </c>
      <c r="K244" s="199">
        <f t="shared" si="79"/>
        <v>45156</v>
      </c>
      <c r="L244" s="147">
        <f>IF(t&lt;Tvie,1-EXP((T0-t)*PertePVj)+'2022'!Pspv,1-EXP((T0-t)*PertePVj)+Pspv)</f>
        <v>4.198304372371231E-2</v>
      </c>
      <c r="M244" s="872"/>
      <c r="N244" s="872"/>
      <c r="O244" s="48">
        <f>IF(t&lt;Tnet,'2022'!Resal+('2022'!Salim-'2022'!Resal)*(1-EXP(('2022'!Tnet-t)/('2022'!Tau_j))),Resal+(Salim-Resal)*(1-EXP((Tnet-t)/(Tau_j))))*Salcycl</f>
        <v>8.3165295527672767E-2</v>
      </c>
      <c r="P244" s="171">
        <f>(INDEX(Models!$BJ244:$BT244,,T244)*(1-R244)+INDEX(Models!$BJ244:$BT244,,T244+1)*R244-ERP_i)*Q244*Ramure*Pc/MaxiM</f>
        <v>5.8213895787464246E-3</v>
      </c>
      <c r="Q244" s="307">
        <f t="shared" si="80"/>
        <v>0.9</v>
      </c>
      <c r="R244" s="179">
        <f t="shared" si="81"/>
        <v>6.7319745396414499E-2</v>
      </c>
      <c r="S244" s="839">
        <f t="shared" si="82"/>
        <v>1</v>
      </c>
      <c r="T244" s="178">
        <f t="shared" si="83"/>
        <v>7</v>
      </c>
      <c r="U244" s="253">
        <f t="shared" si="84"/>
        <v>1.0673197453964145</v>
      </c>
      <c r="V244" s="385">
        <f t="shared" si="85"/>
        <v>48.815861336239692</v>
      </c>
      <c r="W244" s="404">
        <f t="shared" si="86"/>
        <v>36.876129985445488</v>
      </c>
      <c r="X244" s="157">
        <f t="shared" si="87"/>
        <v>45156</v>
      </c>
      <c r="Y244" s="387">
        <f t="shared" si="88"/>
        <v>33.303080530468335</v>
      </c>
      <c r="Z244" s="387">
        <f t="shared" si="89"/>
        <v>34.762516792932296</v>
      </c>
      <c r="AA244" s="388">
        <f t="shared" si="90"/>
        <v>41.983737427323845</v>
      </c>
      <c r="AB244" s="199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0.17200042389965584</v>
      </c>
      <c r="AD244" s="233">
        <f>(INDEX(Models!$BJ244:$BT244,,AH244)*(1-AF244)+INDEX(Models!$BJ244:$BT244,,AH244+1)*AF244-ERP_i)*AE244*Ramure*Pc/MaxiM</f>
        <v>5.8213895787464246E-3</v>
      </c>
      <c r="AE244" s="307">
        <f t="shared" si="92"/>
        <v>0.9</v>
      </c>
      <c r="AF244" s="179">
        <f t="shared" si="93"/>
        <v>6.7319745396414499E-2</v>
      </c>
      <c r="AG244" s="839">
        <f t="shared" si="99"/>
        <v>1</v>
      </c>
      <c r="AH244" s="178">
        <f t="shared" si="94"/>
        <v>7</v>
      </c>
      <c r="AI244" s="227">
        <f t="shared" si="95"/>
        <v>1.0673197453964145</v>
      </c>
      <c r="AJ244" s="267" t="b">
        <f t="shared" si="96"/>
        <v>0</v>
      </c>
      <c r="AK244" s="267" t="b">
        <f t="shared" si="97"/>
        <v>0</v>
      </c>
      <c r="AL244" s="267"/>
      <c r="AM244" s="267"/>
      <c r="AN244" s="75"/>
    </row>
    <row r="245" spans="1:40" s="6" customFormat="1" ht="11.25" x14ac:dyDescent="0.2">
      <c r="A245" s="56">
        <f t="shared" si="98"/>
        <v>45157</v>
      </c>
      <c r="B245" s="413">
        <f>'2022'!Wh/'2022'!Env_an*'2023'!Env_an</f>
        <v>38.174352534813508</v>
      </c>
      <c r="C245" s="868"/>
      <c r="D245" s="395">
        <f t="shared" si="77"/>
        <v>39.848189197844206</v>
      </c>
      <c r="E245" s="387">
        <f t="shared" si="100"/>
        <v>43.470378131080096</v>
      </c>
      <c r="F245" s="387">
        <f t="shared" si="78"/>
        <v>43.654865867373992</v>
      </c>
      <c r="G245" s="110">
        <f t="shared" si="101"/>
        <v>0.78439462517040837</v>
      </c>
      <c r="H245" s="416" t="b">
        <f>Wh_hp&gt;='2022'!Maxi_hp</f>
        <v>0</v>
      </c>
      <c r="I245" s="392">
        <f>IF(H245,Wh_hp,'2022'!Maxi_hp)</f>
        <v>48.36638609373653</v>
      </c>
      <c r="J245" s="85">
        <f>IF(H245,An,'2022'!An_max)</f>
        <v>2021</v>
      </c>
      <c r="K245" s="199">
        <f t="shared" si="79"/>
        <v>45157</v>
      </c>
      <c r="L245" s="147">
        <f>IF(t&lt;Tvie,1-EXP((T0-t)*PertePVj)+'2022'!Pspv,1-EXP((T0-t)*PertePVj)+Pspv)</f>
        <v>4.2005338177857565E-2</v>
      </c>
      <c r="M245" s="872"/>
      <c r="N245" s="872"/>
      <c r="O245" s="48">
        <f>IF(t&lt;Tnet,'2022'!Resal+('2022'!Salim-'2022'!Resal)*(1-EXP(('2022'!Tnet-t)/('2022'!Tau_j))),Resal+(Salim-Resal)*(1-EXP((Tnet-t)/(Tau_j))))*Salcycl</f>
        <v>8.332545261772463E-2</v>
      </c>
      <c r="P245" s="171">
        <f>(INDEX(Models!$BJ245:$BT245,,T245)*(1-R245)+INDEX(Models!$BJ245:$BT245,,T245+1)*R245-ERP_i)*Q245*Ramure*Pc/MaxiM</f>
        <v>6.088603190306319E-3</v>
      </c>
      <c r="Q245" s="307">
        <f t="shared" si="80"/>
        <v>0.9</v>
      </c>
      <c r="R245" s="179">
        <f t="shared" si="81"/>
        <v>6.8590065045771587E-2</v>
      </c>
      <c r="S245" s="839">
        <f t="shared" si="82"/>
        <v>1</v>
      </c>
      <c r="T245" s="178">
        <f t="shared" si="83"/>
        <v>7</v>
      </c>
      <c r="U245" s="253">
        <f t="shared" si="84"/>
        <v>1.0685900650457716</v>
      </c>
      <c r="V245" s="385">
        <f t="shared" si="85"/>
        <v>48.576249599919279</v>
      </c>
      <c r="W245" s="404">
        <f t="shared" si="86"/>
        <v>38.174352534813508</v>
      </c>
      <c r="X245" s="157">
        <f t="shared" si="87"/>
        <v>45157</v>
      </c>
      <c r="Y245" s="387">
        <f t="shared" si="88"/>
        <v>34.479202224881043</v>
      </c>
      <c r="Z245" s="387">
        <f t="shared" si="89"/>
        <v>35.991017068195646</v>
      </c>
      <c r="AA245" s="388">
        <f t="shared" si="90"/>
        <v>43.470378131080096</v>
      </c>
      <c r="AB245" s="199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0.17205649880319124</v>
      </c>
      <c r="AD245" s="233">
        <f>(INDEX(Models!$BJ245:$BT245,,AH245)*(1-AF245)+INDEX(Models!$BJ245:$BT245,,AH245+1)*AF245-ERP_i)*AE245*Ramure*Pc/MaxiM</f>
        <v>6.088603190306319E-3</v>
      </c>
      <c r="AE245" s="307">
        <f t="shared" si="92"/>
        <v>0.9</v>
      </c>
      <c r="AF245" s="179">
        <f t="shared" si="93"/>
        <v>6.8590065045771587E-2</v>
      </c>
      <c r="AG245" s="839">
        <f t="shared" si="99"/>
        <v>1</v>
      </c>
      <c r="AH245" s="178">
        <f t="shared" si="94"/>
        <v>7</v>
      </c>
      <c r="AI245" s="227">
        <f t="shared" si="95"/>
        <v>1.0685900650457716</v>
      </c>
      <c r="AJ245" s="267" t="b">
        <f t="shared" si="96"/>
        <v>0</v>
      </c>
      <c r="AK245" s="267" t="b">
        <f t="shared" si="97"/>
        <v>0</v>
      </c>
      <c r="AL245" s="267"/>
      <c r="AM245" s="267"/>
      <c r="AN245" s="75"/>
    </row>
    <row r="246" spans="1:40" s="6" customFormat="1" ht="11.25" x14ac:dyDescent="0.2">
      <c r="A246" s="56">
        <f t="shared" si="98"/>
        <v>45158</v>
      </c>
      <c r="B246" s="413">
        <f>'2022'!Wh/'2022'!Env_an*'2023'!Env_an</f>
        <v>44.987354773445553</v>
      </c>
      <c r="C246" s="868"/>
      <c r="D246" s="395">
        <f t="shared" si="77"/>
        <v>46.961015037085623</v>
      </c>
      <c r="E246" s="387">
        <f t="shared" si="100"/>
        <v>51.23867953601416</v>
      </c>
      <c r="F246" s="387">
        <f t="shared" si="78"/>
        <v>51.533875965705171</v>
      </c>
      <c r="G246" s="110">
        <f t="shared" si="101"/>
        <v>0.93024123378922741</v>
      </c>
      <c r="H246" s="416" t="b">
        <f>Wh_hp&gt;='2022'!Maxi_hp</f>
        <v>0</v>
      </c>
      <c r="I246" s="392">
        <f>IF(H246,Wh_hp,'2022'!Maxi_hp)</f>
        <v>52.08934331759658</v>
      </c>
      <c r="J246" s="85">
        <f>IF(H246,An,'2022'!An_max)</f>
        <v>2021</v>
      </c>
      <c r="K246" s="199">
        <f t="shared" si="79"/>
        <v>45158</v>
      </c>
      <c r="L246" s="147">
        <f>IF(t&lt;Tvie,1-EXP((T0-t)*PertePVj)+'2022'!Pspv,1-EXP((T0-t)*PertePVj)+Pspv)</f>
        <v>4.2027632113178282E-2</v>
      </c>
      <c r="M246" s="872"/>
      <c r="N246" s="872"/>
      <c r="O246" s="48">
        <f>IF(t&lt;Tnet,'2022'!Resal+('2022'!Salim-'2022'!Resal)*(1-EXP(('2022'!Tnet-t)/('2022'!Tau_j))),Resal+(Salim-Resal)*(1-EXP((Tnet-t)/(Tau_j))))*Salcycl</f>
        <v>8.3485065143450735E-2</v>
      </c>
      <c r="P246" s="171">
        <f>(INDEX(Models!$BJ246:$BT246,,T246)*(1-R246)+INDEX(Models!$BJ246:$BT246,,T246+1)*R246-ERP_i)*Q246*Ramure*Pc/MaxiM</f>
        <v>6.35630175137531E-3</v>
      </c>
      <c r="Q246" s="307">
        <f t="shared" si="80"/>
        <v>0.9</v>
      </c>
      <c r="R246" s="179">
        <f t="shared" si="81"/>
        <v>6.9814593604232922E-2</v>
      </c>
      <c r="S246" s="839">
        <f t="shared" si="82"/>
        <v>1</v>
      </c>
      <c r="T246" s="178">
        <f t="shared" si="83"/>
        <v>7</v>
      </c>
      <c r="U246" s="253">
        <f t="shared" si="84"/>
        <v>1.0698145936042329</v>
      </c>
      <c r="V246" s="385">
        <f t="shared" si="85"/>
        <v>48.330404827602976</v>
      </c>
      <c r="W246" s="404">
        <f t="shared" si="86"/>
        <v>44.987354773445553</v>
      </c>
      <c r="X246" s="157">
        <f t="shared" si="87"/>
        <v>45158</v>
      </c>
      <c r="Y246" s="387">
        <f t="shared" si="88"/>
        <v>40.637090636122295</v>
      </c>
      <c r="Z246" s="387">
        <f t="shared" si="89"/>
        <v>42.419898525636086</v>
      </c>
      <c r="AA246" s="388">
        <f t="shared" si="90"/>
        <v>51.23867953601416</v>
      </c>
      <c r="AB246" s="199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0.17211179308747823</v>
      </c>
      <c r="AD246" s="233">
        <f>(INDEX(Models!$BJ246:$BT246,,AH246)*(1-AF246)+INDEX(Models!$BJ246:$BT246,,AH246+1)*AF246-ERP_i)*AE246*Ramure*Pc/MaxiM</f>
        <v>6.35630175137531E-3</v>
      </c>
      <c r="AE246" s="307">
        <f t="shared" si="92"/>
        <v>0.9</v>
      </c>
      <c r="AF246" s="179">
        <f t="shared" si="93"/>
        <v>6.9814593604232922E-2</v>
      </c>
      <c r="AG246" s="839">
        <f t="shared" si="99"/>
        <v>1</v>
      </c>
      <c r="AH246" s="178">
        <f t="shared" si="94"/>
        <v>7</v>
      </c>
      <c r="AI246" s="227">
        <f t="shared" si="95"/>
        <v>1.0698145936042329</v>
      </c>
      <c r="AJ246" s="267" t="b">
        <f t="shared" si="96"/>
        <v>0</v>
      </c>
      <c r="AK246" s="267" t="b">
        <f t="shared" si="97"/>
        <v>0</v>
      </c>
      <c r="AL246" s="267"/>
      <c r="AM246" s="267"/>
      <c r="AN246" s="75"/>
    </row>
    <row r="247" spans="1:40" s="6" customFormat="1" ht="11.25" x14ac:dyDescent="0.2">
      <c r="A247" s="56">
        <f t="shared" si="98"/>
        <v>45159</v>
      </c>
      <c r="B247" s="413">
        <f>'2022'!Wh/'2022'!Env_an*'2023'!Env_an</f>
        <v>29.535254295692223</v>
      </c>
      <c r="C247" s="868"/>
      <c r="D247" s="395">
        <f t="shared" si="77"/>
        <v>30.831726081365328</v>
      </c>
      <c r="E247" s="387">
        <f t="shared" si="100"/>
        <v>33.646017545077626</v>
      </c>
      <c r="F247" s="387">
        <f t="shared" si="78"/>
        <v>33.746392717252384</v>
      </c>
      <c r="G247" s="110">
        <f t="shared" si="101"/>
        <v>0.61205339039513407</v>
      </c>
      <c r="H247" s="416" t="b">
        <f>Wh_hp&gt;='2022'!Maxi_hp</f>
        <v>0</v>
      </c>
      <c r="I247" s="392">
        <f>IF(H247,Wh_hp,'2022'!Maxi_hp)</f>
        <v>51.212941565413232</v>
      </c>
      <c r="J247" s="85">
        <f>IF(H247,An,'2022'!An_max)</f>
        <v>2020</v>
      </c>
      <c r="K247" s="199">
        <f t="shared" si="79"/>
        <v>45159</v>
      </c>
      <c r="L247" s="147">
        <f>IF(t&lt;Tvie,1-EXP((T0-t)*PertePVj)+'2022'!Pspv,1-EXP((T0-t)*PertePVj)+Pspv)</f>
        <v>4.204992552968656E-2</v>
      </c>
      <c r="M247" s="872"/>
      <c r="N247" s="872"/>
      <c r="O247" s="48">
        <f>IF(t&lt;Tnet,'2022'!Resal+('2022'!Salim-'2022'!Resal)*(1-EXP(('2022'!Tnet-t)/('2022'!Tau_j))),Resal+(Salim-Resal)*(1-EXP((Tnet-t)/(Tau_j))))*Salcycl</f>
        <v>8.3644118057711353E-2</v>
      </c>
      <c r="P247" s="171">
        <f>(INDEX(Models!$BJ247:$BT247,,T247)*(1-R247)+INDEX(Models!$BJ247:$BT247,,T247+1)*R247-ERP_i)*Q247*Ramure*Pc/MaxiM</f>
        <v>6.624443675377626E-3</v>
      </c>
      <c r="Q247" s="307">
        <f t="shared" si="80"/>
        <v>0.9</v>
      </c>
      <c r="R247" s="179">
        <f t="shared" si="81"/>
        <v>7.0994784088312723E-2</v>
      </c>
      <c r="S247" s="839">
        <f t="shared" si="82"/>
        <v>1</v>
      </c>
      <c r="T247" s="178">
        <f t="shared" si="83"/>
        <v>7</v>
      </c>
      <c r="U247" s="253">
        <f t="shared" si="84"/>
        <v>1.0709947840883127</v>
      </c>
      <c r="V247" s="385">
        <f t="shared" si="85"/>
        <v>48.079347474667323</v>
      </c>
      <c r="W247" s="404">
        <f t="shared" si="86"/>
        <v>29.535254295692223</v>
      </c>
      <c r="X247" s="157">
        <f t="shared" si="87"/>
        <v>45159</v>
      </c>
      <c r="Y247" s="387">
        <f t="shared" si="88"/>
        <v>26.682078388287952</v>
      </c>
      <c r="Z247" s="387">
        <f t="shared" si="89"/>
        <v>27.853307911731701</v>
      </c>
      <c r="AA247" s="388">
        <f t="shared" si="90"/>
        <v>33.646017545077626</v>
      </c>
      <c r="AB247" s="199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0.17216627868617962</v>
      </c>
      <c r="AD247" s="233">
        <f>(INDEX(Models!$BJ247:$BT247,,AH247)*(1-AF247)+INDEX(Models!$BJ247:$BT247,,AH247+1)*AF247-ERP_i)*AE247*Ramure*Pc/MaxiM</f>
        <v>6.624443675377626E-3</v>
      </c>
      <c r="AE247" s="307">
        <f t="shared" si="92"/>
        <v>0.9</v>
      </c>
      <c r="AF247" s="179">
        <f t="shared" si="93"/>
        <v>7.0994784088312723E-2</v>
      </c>
      <c r="AG247" s="839">
        <f t="shared" si="99"/>
        <v>1</v>
      </c>
      <c r="AH247" s="178">
        <f t="shared" si="94"/>
        <v>7</v>
      </c>
      <c r="AI247" s="227">
        <f t="shared" si="95"/>
        <v>1.0709947840883127</v>
      </c>
      <c r="AJ247" s="267" t="b">
        <f t="shared" si="96"/>
        <v>0</v>
      </c>
      <c r="AK247" s="267" t="b">
        <f t="shared" si="97"/>
        <v>0</v>
      </c>
      <c r="AL247" s="267"/>
      <c r="AM247" s="267"/>
      <c r="AN247" s="75"/>
    </row>
    <row r="248" spans="1:40" s="6" customFormat="1" ht="11.25" x14ac:dyDescent="0.2">
      <c r="A248" s="56">
        <f t="shared" si="98"/>
        <v>45160</v>
      </c>
      <c r="B248" s="413">
        <f>'2022'!Wh/'2022'!Env_an*'2023'!Env_an</f>
        <v>23.685630047518618</v>
      </c>
      <c r="C248" s="868"/>
      <c r="D248" s="395">
        <f t="shared" si="77"/>
        <v>24.725903667429421</v>
      </c>
      <c r="E248" s="387">
        <f t="shared" si="100"/>
        <v>26.987528612494334</v>
      </c>
      <c r="F248" s="387">
        <f t="shared" si="78"/>
        <v>27.039486619576401</v>
      </c>
      <c r="G248" s="110">
        <f t="shared" si="101"/>
        <v>0.49279735066207486</v>
      </c>
      <c r="H248" s="416" t="b">
        <f>Wh_hp&gt;='2022'!Maxi_hp</f>
        <v>0</v>
      </c>
      <c r="I248" s="392">
        <f>IF(H248,Wh_hp,'2022'!Maxi_hp)</f>
        <v>55.17534928654144</v>
      </c>
      <c r="J248" s="85">
        <f>IF(H248,An,'2022'!An_max)</f>
        <v>2019</v>
      </c>
      <c r="K248" s="199">
        <f t="shared" si="79"/>
        <v>45160</v>
      </c>
      <c r="L248" s="147">
        <f>IF(t&lt;Tvie,1-EXP((T0-t)*PertePVj)+'2022'!Pspv,1-EXP((T0-t)*PertePVj)+Pspv)</f>
        <v>4.2072218427394392E-2</v>
      </c>
      <c r="M248" s="872"/>
      <c r="N248" s="872"/>
      <c r="O248" s="48">
        <f>IF(t&lt;Tnet,'2022'!Resal+('2022'!Salim-'2022'!Resal)*(1-EXP(('2022'!Tnet-t)/('2022'!Tau_j))),Resal+(Salim-Resal)*(1-EXP((Tnet-t)/(Tau_j))))*Salcycl</f>
        <v>8.380259554473822E-2</v>
      </c>
      <c r="P248" s="171">
        <f>(INDEX(Models!$BJ248:$BT248,,T248)*(1-R248)+INDEX(Models!$BJ248:$BT248,,T248+1)*R248-ERP_i)*Q248*Ramure*Pc/MaxiM</f>
        <v>6.8886501894439237E-3</v>
      </c>
      <c r="Q248" s="307">
        <f t="shared" si="80"/>
        <v>0.9</v>
      </c>
      <c r="R248" s="179">
        <f t="shared" si="81"/>
        <v>7.2132058373735486E-2</v>
      </c>
      <c r="S248" s="839">
        <f t="shared" si="82"/>
        <v>1</v>
      </c>
      <c r="T248" s="178">
        <f t="shared" si="83"/>
        <v>7</v>
      </c>
      <c r="U248" s="253">
        <f t="shared" si="84"/>
        <v>1.0721320583737355</v>
      </c>
      <c r="V248" s="385">
        <f t="shared" si="85"/>
        <v>47.824435055852433</v>
      </c>
      <c r="W248" s="404">
        <f t="shared" si="86"/>
        <v>23.685630047518618</v>
      </c>
      <c r="X248" s="157">
        <f t="shared" si="87"/>
        <v>45160</v>
      </c>
      <c r="Y248" s="387">
        <f t="shared" si="88"/>
        <v>21.399856073923203</v>
      </c>
      <c r="Z248" s="387">
        <f t="shared" si="89"/>
        <v>22.339738428706603</v>
      </c>
      <c r="AA248" s="388">
        <f t="shared" si="90"/>
        <v>26.987528612494334</v>
      </c>
      <c r="AB248" s="199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0.17221992611935413</v>
      </c>
      <c r="AD248" s="233">
        <f>(INDEX(Models!$BJ248:$BT248,,AH248)*(1-AF248)+INDEX(Models!$BJ248:$BT248,,AH248+1)*AF248-ERP_i)*AE248*Ramure*Pc/MaxiM</f>
        <v>6.8886501894439237E-3</v>
      </c>
      <c r="AE248" s="307">
        <f t="shared" si="92"/>
        <v>0.9</v>
      </c>
      <c r="AF248" s="179">
        <f t="shared" si="93"/>
        <v>7.2132058373735486E-2</v>
      </c>
      <c r="AG248" s="839">
        <f t="shared" si="99"/>
        <v>1</v>
      </c>
      <c r="AH248" s="178">
        <f t="shared" si="94"/>
        <v>7</v>
      </c>
      <c r="AI248" s="227">
        <f t="shared" si="95"/>
        <v>1.0721320583737355</v>
      </c>
      <c r="AJ248" s="267" t="b">
        <f t="shared" si="96"/>
        <v>0</v>
      </c>
      <c r="AK248" s="267" t="b">
        <f t="shared" si="97"/>
        <v>0</v>
      </c>
      <c r="AL248" s="267"/>
      <c r="AM248" s="267"/>
      <c r="AN248" s="75"/>
    </row>
    <row r="249" spans="1:40" s="6" customFormat="1" ht="11.25" x14ac:dyDescent="0.2">
      <c r="A249" s="56">
        <f t="shared" si="98"/>
        <v>45161</v>
      </c>
      <c r="B249" s="413">
        <f>'2022'!Wh/'2022'!Env_an*'2023'!Env_an</f>
        <v>41.980715651564445</v>
      </c>
      <c r="C249" s="868"/>
      <c r="D249" s="395">
        <f t="shared" si="77"/>
        <v>43.825529893248223</v>
      </c>
      <c r="E249" s="387">
        <f t="shared" si="100"/>
        <v>47.842400886796803</v>
      </c>
      <c r="F249" s="387">
        <f t="shared" si="78"/>
        <v>48.128718598988002</v>
      </c>
      <c r="G249" s="110">
        <f t="shared" si="101"/>
        <v>0.88152257100524478</v>
      </c>
      <c r="H249" s="416" t="b">
        <f>Wh_hp&gt;='2022'!Maxi_hp</f>
        <v>0</v>
      </c>
      <c r="I249" s="392">
        <f>IF(H249,Wh_hp,'2022'!Maxi_hp)</f>
        <v>52.366514381661467</v>
      </c>
      <c r="J249" s="85">
        <f>IF(H249,An,'2022'!An_max)</f>
        <v>2019</v>
      </c>
      <c r="K249" s="199">
        <f t="shared" si="79"/>
        <v>45161</v>
      </c>
      <c r="L249" s="147">
        <f>IF(t&lt;Tvie,1-EXP((T0-t)*PertePVj)+'2022'!Pspv,1-EXP((T0-t)*PertePVj)+Pspv)</f>
        <v>4.20945108063141E-2</v>
      </c>
      <c r="M249" s="872"/>
      <c r="N249" s="872"/>
      <c r="O249" s="48">
        <f>IF(t&lt;Tnet,'2022'!Resal+('2022'!Salim-'2022'!Resal)*(1-EXP(('2022'!Tnet-t)/('2022'!Tau_j))),Resal+(Salim-Resal)*(1-EXP((Tnet-t)/(Tau_j))))*Salcycl</f>
        <v>8.3960481060580017E-2</v>
      </c>
      <c r="P249" s="171">
        <f>(INDEX(Models!$BJ249:$BT249,,T249)*(1-R249)+INDEX(Models!$BJ249:$BT249,,T249+1)*R249-ERP_i)*Q249*Ramure*Pc/MaxiM</f>
        <v>7.1479434803409002E-3</v>
      </c>
      <c r="Q249" s="307">
        <f t="shared" si="80"/>
        <v>0.9</v>
      </c>
      <c r="R249" s="179">
        <f t="shared" si="81"/>
        <v>7.322780665787354E-2</v>
      </c>
      <c r="S249" s="839">
        <f t="shared" si="82"/>
        <v>1</v>
      </c>
      <c r="T249" s="178">
        <f t="shared" si="83"/>
        <v>7</v>
      </c>
      <c r="U249" s="253">
        <f t="shared" si="84"/>
        <v>1.0732278066578735</v>
      </c>
      <c r="V249" s="385">
        <f t="shared" si="85"/>
        <v>47.565522738603825</v>
      </c>
      <c r="W249" s="404">
        <f t="shared" si="86"/>
        <v>41.980715651564445</v>
      </c>
      <c r="X249" s="157">
        <f t="shared" si="87"/>
        <v>45161</v>
      </c>
      <c r="Y249" s="387">
        <f t="shared" si="88"/>
        <v>37.93349905472671</v>
      </c>
      <c r="Z249" s="387">
        <f t="shared" si="89"/>
        <v>39.600461092103274</v>
      </c>
      <c r="AA249" s="388">
        <f t="shared" si="90"/>
        <v>47.842400886796803</v>
      </c>
      <c r="AB249" s="199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0.17227270458678179</v>
      </c>
      <c r="AD249" s="233">
        <f>(INDEX(Models!$BJ249:$BT249,,AH249)*(1-AF249)+INDEX(Models!$BJ249:$BT249,,AH249+1)*AF249-ERP_i)*AE249*Ramure*Pc/MaxiM</f>
        <v>7.1479434803409002E-3</v>
      </c>
      <c r="AE249" s="307">
        <f t="shared" si="92"/>
        <v>0.9</v>
      </c>
      <c r="AF249" s="179">
        <f t="shared" si="93"/>
        <v>7.322780665787354E-2</v>
      </c>
      <c r="AG249" s="839">
        <f t="shared" si="99"/>
        <v>1</v>
      </c>
      <c r="AH249" s="178">
        <f t="shared" si="94"/>
        <v>7</v>
      </c>
      <c r="AI249" s="227">
        <f t="shared" si="95"/>
        <v>1.0732278066578735</v>
      </c>
      <c r="AJ249" s="267" t="b">
        <f t="shared" si="96"/>
        <v>0</v>
      </c>
      <c r="AK249" s="267" t="b">
        <f t="shared" si="97"/>
        <v>0</v>
      </c>
      <c r="AL249" s="267"/>
      <c r="AM249" s="267"/>
      <c r="AN249" s="75"/>
    </row>
    <row r="250" spans="1:40" s="6" customFormat="1" ht="11.25" x14ac:dyDescent="0.2">
      <c r="A250" s="56">
        <f t="shared" si="98"/>
        <v>45162</v>
      </c>
      <c r="B250" s="413">
        <f>'2022'!Wh/'2022'!Env_an*'2023'!Env_an</f>
        <v>42.383786469330488</v>
      </c>
      <c r="C250" s="868"/>
      <c r="D250" s="395">
        <f t="shared" si="77"/>
        <v>44.247343086624909</v>
      </c>
      <c r="E250" s="387">
        <f t="shared" si="100"/>
        <v>48.311170395837834</v>
      </c>
      <c r="F250" s="387">
        <f t="shared" si="78"/>
        <v>48.61759501460179</v>
      </c>
      <c r="G250" s="110">
        <f t="shared" si="101"/>
        <v>0.89502584253926587</v>
      </c>
      <c r="H250" s="416" t="b">
        <f>Wh_hp&gt;='2022'!Maxi_hp</f>
        <v>0</v>
      </c>
      <c r="I250" s="392">
        <f>IF(H250,Wh_hp,'2022'!Maxi_hp)</f>
        <v>52.23999379446547</v>
      </c>
      <c r="J250" s="85">
        <f>IF(H250,An,'2022'!An_max)</f>
        <v>2019</v>
      </c>
      <c r="K250" s="199">
        <f t="shared" si="79"/>
        <v>45162</v>
      </c>
      <c r="L250" s="147">
        <f>IF(t&lt;Tvie,1-EXP((T0-t)*PertePVj)+'2022'!Pspv,1-EXP((T0-t)*PertePVj)+Pspv)</f>
        <v>4.2116802666457454E-2</v>
      </c>
      <c r="M250" s="872"/>
      <c r="N250" s="872"/>
      <c r="O250" s="48">
        <f>IF(t&lt;Tnet,'2022'!Resal+('2022'!Salim-'2022'!Resal)*(1-EXP(('2022'!Tnet-t)/('2022'!Tau_j))),Resal+(Salim-Resal)*(1-EXP((Tnet-t)/(Tau_j))))*Salcycl</f>
        <v>8.4117757361619167E-2</v>
      </c>
      <c r="P250" s="171">
        <f>(INDEX(Models!$BJ250:$BT250,,T250)*(1-R250)+INDEX(Models!$BJ250:$BT250,,T250+1)*R250-ERP_i)*Q250*Ramure*Pc/MaxiM</f>
        <v>7.402345013194536E-3</v>
      </c>
      <c r="Q250" s="307">
        <f t="shared" si="80"/>
        <v>0.9</v>
      </c>
      <c r="R250" s="179">
        <f t="shared" si="81"/>
        <v>7.4283387047339611E-2</v>
      </c>
      <c r="S250" s="839">
        <f t="shared" si="82"/>
        <v>1</v>
      </c>
      <c r="T250" s="178">
        <f t="shared" si="83"/>
        <v>7</v>
      </c>
      <c r="U250" s="253">
        <f t="shared" si="84"/>
        <v>1.0742833870473396</v>
      </c>
      <c r="V250" s="385">
        <f t="shared" si="85"/>
        <v>47.302417334797724</v>
      </c>
      <c r="W250" s="404">
        <f t="shared" si="86"/>
        <v>42.383786469330488</v>
      </c>
      <c r="X250" s="157">
        <f t="shared" si="87"/>
        <v>45162</v>
      </c>
      <c r="Y250" s="387">
        <f t="shared" si="88"/>
        <v>38.301887019720652</v>
      </c>
      <c r="Z250" s="387">
        <f t="shared" si="89"/>
        <v>39.985968149709208</v>
      </c>
      <c r="AA250" s="388">
        <f t="shared" si="90"/>
        <v>48.311170395837834</v>
      </c>
      <c r="AB250" s="199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0.17232458203591502</v>
      </c>
      <c r="AD250" s="233">
        <f>(INDEX(Models!$BJ250:$BT250,,AH250)*(1-AF250)+INDEX(Models!$BJ250:$BT250,,AH250+1)*AF250-ERP_i)*AE250*Ramure*Pc/MaxiM</f>
        <v>7.402345013194536E-3</v>
      </c>
      <c r="AE250" s="307">
        <f t="shared" si="92"/>
        <v>0.9</v>
      </c>
      <c r="AF250" s="179">
        <f t="shared" si="93"/>
        <v>7.4283387047339611E-2</v>
      </c>
      <c r="AG250" s="839">
        <f t="shared" si="99"/>
        <v>1</v>
      </c>
      <c r="AH250" s="178">
        <f t="shared" si="94"/>
        <v>7</v>
      </c>
      <c r="AI250" s="227">
        <f t="shared" si="95"/>
        <v>1.0742833870473396</v>
      </c>
      <c r="AJ250" s="267" t="b">
        <f t="shared" si="96"/>
        <v>0</v>
      </c>
      <c r="AK250" s="267" t="b">
        <f t="shared" si="97"/>
        <v>0</v>
      </c>
      <c r="AL250" s="267"/>
      <c r="AM250" s="267"/>
      <c r="AN250" s="75"/>
    </row>
    <row r="251" spans="1:40" s="6" customFormat="1" ht="11.25" x14ac:dyDescent="0.2">
      <c r="A251" s="56">
        <f t="shared" si="98"/>
        <v>45163</v>
      </c>
      <c r="B251" s="413">
        <f>'2022'!Wh/'2022'!Env_an*'2023'!Env_an</f>
        <v>32.289356957281349</v>
      </c>
      <c r="C251" s="868"/>
      <c r="D251" s="395">
        <f t="shared" si="77"/>
        <v>33.709859913152698</v>
      </c>
      <c r="E251" s="387">
        <f t="shared" si="100"/>
        <v>36.812184952794262</v>
      </c>
      <c r="F251" s="387">
        <f t="shared" si="78"/>
        <v>36.968372782812125</v>
      </c>
      <c r="G251" s="110">
        <f t="shared" si="101"/>
        <v>0.68413486638624854</v>
      </c>
      <c r="H251" s="416" t="b">
        <f>Wh_hp&gt;='2022'!Maxi_hp</f>
        <v>0</v>
      </c>
      <c r="I251" s="392">
        <f>IF(H251,Wh_hp,'2022'!Maxi_hp)</f>
        <v>48.806443569925385</v>
      </c>
      <c r="J251" s="85">
        <f>IF(H251,An,'2022'!An_max)</f>
        <v>2021</v>
      </c>
      <c r="K251" s="199">
        <f t="shared" si="79"/>
        <v>45163</v>
      </c>
      <c r="L251" s="147">
        <f>IF(t&lt;Tvie,1-EXP((T0-t)*PertePVj)+'2022'!Pspv,1-EXP((T0-t)*PertePVj)+Pspv)</f>
        <v>4.2139094007836664E-2</v>
      </c>
      <c r="M251" s="872"/>
      <c r="N251" s="872"/>
      <c r="O251" s="48">
        <f>IF(t&lt;Tnet,'2022'!Resal+('2022'!Salim-'2022'!Resal)*(1-EXP(('2022'!Tnet-t)/('2022'!Tau_j))),Resal+(Salim-Resal)*(1-EXP((Tnet-t)/(Tau_j))))*Salcycl</f>
        <v>8.4274406521096204E-2</v>
      </c>
      <c r="P251" s="171">
        <f>(INDEX(Models!$BJ251:$BT251,,T251)*(1-R251)+INDEX(Models!$BJ251:$BT251,,T251+1)*R251-ERP_i)*Q251*Ramure*Pc/MaxiM</f>
        <v>7.6518817959782331E-3</v>
      </c>
      <c r="Q251" s="307">
        <f t="shared" si="80"/>
        <v>0.9</v>
      </c>
      <c r="R251" s="179">
        <f t="shared" si="81"/>
        <v>7.5300125261256401E-2</v>
      </c>
      <c r="S251" s="839">
        <f t="shared" si="82"/>
        <v>1</v>
      </c>
      <c r="T251" s="178">
        <f t="shared" si="83"/>
        <v>7</v>
      </c>
      <c r="U251" s="253">
        <f t="shared" si="84"/>
        <v>1.0753001252612564</v>
      </c>
      <c r="V251" s="385">
        <f t="shared" si="85"/>
        <v>47.03492563019033</v>
      </c>
      <c r="W251" s="404">
        <f t="shared" si="86"/>
        <v>32.289356957281349</v>
      </c>
      <c r="X251" s="157">
        <f t="shared" si="87"/>
        <v>45163</v>
      </c>
      <c r="Y251" s="387">
        <f t="shared" si="88"/>
        <v>29.182827567073531</v>
      </c>
      <c r="Z251" s="387">
        <f t="shared" si="89"/>
        <v>30.466665237627193</v>
      </c>
      <c r="AA251" s="388">
        <f t="shared" si="90"/>
        <v>36.812184952794262</v>
      </c>
      <c r="AB251" s="199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0.17237552520460778</v>
      </c>
      <c r="AD251" s="233">
        <f>(INDEX(Models!$BJ251:$BT251,,AH251)*(1-AF251)+INDEX(Models!$BJ251:$BT251,,AH251+1)*AF251-ERP_i)*AE251*Ramure*Pc/MaxiM</f>
        <v>7.6518817959782331E-3</v>
      </c>
      <c r="AE251" s="307">
        <f t="shared" si="92"/>
        <v>0.9</v>
      </c>
      <c r="AF251" s="179">
        <f t="shared" si="93"/>
        <v>7.5300125261256401E-2</v>
      </c>
      <c r="AG251" s="839">
        <f t="shared" si="99"/>
        <v>1</v>
      </c>
      <c r="AH251" s="178">
        <f t="shared" si="94"/>
        <v>7</v>
      </c>
      <c r="AI251" s="227">
        <f t="shared" si="95"/>
        <v>1.0753001252612564</v>
      </c>
      <c r="AJ251" s="267" t="b">
        <f t="shared" si="96"/>
        <v>0</v>
      </c>
      <c r="AK251" s="267" t="b">
        <f t="shared" si="97"/>
        <v>0</v>
      </c>
      <c r="AL251" s="267"/>
      <c r="AM251" s="267"/>
      <c r="AN251" s="75"/>
    </row>
    <row r="252" spans="1:40" s="6" customFormat="1" ht="11.25" x14ac:dyDescent="0.2">
      <c r="A252" s="56">
        <f t="shared" si="98"/>
        <v>45164</v>
      </c>
      <c r="B252" s="413">
        <f>'2022'!Wh/'2022'!Env_an*'2023'!Env_an</f>
        <v>39.106328476611239</v>
      </c>
      <c r="C252" s="868"/>
      <c r="D252" s="395">
        <f t="shared" si="77"/>
        <v>40.827680005038708</v>
      </c>
      <c r="E252" s="387">
        <f t="shared" si="100"/>
        <v>44.592656252471336</v>
      </c>
      <c r="F252" s="387">
        <f t="shared" si="78"/>
        <v>44.864064031627862</v>
      </c>
      <c r="G252" s="110">
        <f t="shared" si="101"/>
        <v>0.83471505093168563</v>
      </c>
      <c r="H252" s="416" t="b">
        <f>Wh_hp&gt;='2022'!Maxi_hp</f>
        <v>0</v>
      </c>
      <c r="I252" s="392">
        <f>IF(H252,Wh_hp,'2022'!Maxi_hp)</f>
        <v>50.962123018222243</v>
      </c>
      <c r="J252" s="85">
        <f>IF(H252,An,'2022'!An_max)</f>
        <v>2021</v>
      </c>
      <c r="K252" s="199">
        <f t="shared" si="79"/>
        <v>45164</v>
      </c>
      <c r="L252" s="147">
        <f>IF(t&lt;Tvie,1-EXP((T0-t)*PertePVj)+'2022'!Pspv,1-EXP((T0-t)*PertePVj)+Pspv)</f>
        <v>4.2161384830463833E-2</v>
      </c>
      <c r="M252" s="872"/>
      <c r="N252" s="872"/>
      <c r="O252" s="48">
        <f>IF(t&lt;Tnet,'2022'!Resal+('2022'!Salim-'2022'!Resal)*(1-EXP(('2022'!Tnet-t)/('2022'!Tau_j))),Resal+(Salim-Resal)*(1-EXP((Tnet-t)/(Tau_j))))*Salcycl</f>
        <v>8.4430409933787545E-2</v>
      </c>
      <c r="P252" s="171">
        <f>(INDEX(Models!$BJ252:$BT252,,T252)*(1-R252)+INDEX(Models!$BJ252:$BT252,,T252+1)*R252-ERP_i)*Q252*Ramure*Pc/MaxiM</f>
        <v>7.896578918539305E-3</v>
      </c>
      <c r="Q252" s="307">
        <f t="shared" si="80"/>
        <v>0.9</v>
      </c>
      <c r="R252" s="179">
        <f t="shared" si="81"/>
        <v>7.6279314441110468E-2</v>
      </c>
      <c r="S252" s="839">
        <f t="shared" si="82"/>
        <v>1</v>
      </c>
      <c r="T252" s="178">
        <f t="shared" si="83"/>
        <v>7</v>
      </c>
      <c r="U252" s="253">
        <f t="shared" si="84"/>
        <v>1.0762793144411105</v>
      </c>
      <c r="V252" s="385">
        <f t="shared" si="85"/>
        <v>46.762854731017796</v>
      </c>
      <c r="W252" s="404">
        <f t="shared" si="86"/>
        <v>39.106328476611239</v>
      </c>
      <c r="X252" s="157">
        <f t="shared" si="87"/>
        <v>45164</v>
      </c>
      <c r="Y252" s="387">
        <f t="shared" si="88"/>
        <v>35.34783221408258</v>
      </c>
      <c r="Z252" s="387">
        <f t="shared" si="89"/>
        <v>36.903745217899846</v>
      </c>
      <c r="AA252" s="388">
        <f t="shared" si="90"/>
        <v>44.592656252471336</v>
      </c>
      <c r="AB252" s="199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0.17242549963920048</v>
      </c>
      <c r="AD252" s="233">
        <f>(INDEX(Models!$BJ252:$BT252,,AH252)*(1-AF252)+INDEX(Models!$BJ252:$BT252,,AH252+1)*AF252-ERP_i)*AE252*Ramure*Pc/MaxiM</f>
        <v>7.896578918539305E-3</v>
      </c>
      <c r="AE252" s="307">
        <f t="shared" si="92"/>
        <v>0.9</v>
      </c>
      <c r="AF252" s="179">
        <f t="shared" si="93"/>
        <v>7.6279314441110468E-2</v>
      </c>
      <c r="AG252" s="839">
        <f t="shared" si="99"/>
        <v>1</v>
      </c>
      <c r="AH252" s="178">
        <f t="shared" si="94"/>
        <v>7</v>
      </c>
      <c r="AI252" s="227">
        <f t="shared" si="95"/>
        <v>1.0762793144411105</v>
      </c>
      <c r="AJ252" s="267" t="b">
        <f t="shared" si="96"/>
        <v>0</v>
      </c>
      <c r="AK252" s="267" t="b">
        <f t="shared" si="97"/>
        <v>0</v>
      </c>
      <c r="AL252" s="267"/>
      <c r="AM252" s="267"/>
      <c r="AN252" s="75"/>
    </row>
    <row r="253" spans="1:40" s="6" customFormat="1" ht="11.25" x14ac:dyDescent="0.2">
      <c r="A253" s="56">
        <f t="shared" si="98"/>
        <v>45165</v>
      </c>
      <c r="B253" s="413">
        <f>'2022'!Wh/'2022'!Env_an*'2023'!Env_an</f>
        <v>45.494550070049947</v>
      </c>
      <c r="C253" s="868"/>
      <c r="D253" s="395">
        <f t="shared" si="77"/>
        <v>47.49819865142868</v>
      </c>
      <c r="E253" s="387">
        <f t="shared" si="100"/>
        <v>51.887108556260074</v>
      </c>
      <c r="F253" s="387">
        <f t="shared" si="78"/>
        <v>52.299677456638946</v>
      </c>
      <c r="G253" s="110">
        <f t="shared" si="101"/>
        <v>0.9784272752002775</v>
      </c>
      <c r="H253" s="416" t="b">
        <f>Wh_hp&gt;='2022'!Maxi_hp</f>
        <v>0</v>
      </c>
      <c r="I253" s="392">
        <f>IF(H253,Wh_hp,'2022'!Maxi_hp)</f>
        <v>52.302767889448141</v>
      </c>
      <c r="J253" s="85">
        <f>IF(H253,An,'2022'!An_max)</f>
        <v>2022</v>
      </c>
      <c r="K253" s="199">
        <f t="shared" si="79"/>
        <v>45165</v>
      </c>
      <c r="L253" s="147">
        <f>IF(t&lt;Tvie,1-EXP((T0-t)*PertePVj)+'2022'!Pspv,1-EXP((T0-t)*PertePVj)+Pspv)</f>
        <v>4.2183675134350951E-2</v>
      </c>
      <c r="M253" s="872"/>
      <c r="N253" s="872"/>
      <c r="O253" s="48">
        <f>IF(t&lt;Tnet,'2022'!Resal+('2022'!Salim-'2022'!Resal)*(1-EXP(('2022'!Tnet-t)/('2022'!Tau_j))),Resal+(Salim-Resal)*(1-EXP((Tnet-t)/(Tau_j))))*Salcycl</f>
        <v>8.4585748309189135E-2</v>
      </c>
      <c r="P253" s="171">
        <f>(INDEX(Models!$BJ253:$BT253,,T253)*(1-R253)+INDEX(Models!$BJ253:$BT253,,T253+1)*R253-ERP_i)*Q253*Ramure*Pc/MaxiM</f>
        <v>8.1364638080318966E-3</v>
      </c>
      <c r="Q253" s="307">
        <f t="shared" si="80"/>
        <v>0.9</v>
      </c>
      <c r="R253" s="179">
        <f t="shared" si="81"/>
        <v>7.7222215058496024E-2</v>
      </c>
      <c r="S253" s="839">
        <f t="shared" si="82"/>
        <v>1</v>
      </c>
      <c r="T253" s="178">
        <f t="shared" si="83"/>
        <v>7</v>
      </c>
      <c r="U253" s="253">
        <f t="shared" si="84"/>
        <v>1.077222215058496</v>
      </c>
      <c r="V253" s="385">
        <f t="shared" si="85"/>
        <v>46.486011848540322</v>
      </c>
      <c r="W253" s="404">
        <f t="shared" si="86"/>
        <v>45.494550070049947</v>
      </c>
      <c r="X253" s="157">
        <f t="shared" si="87"/>
        <v>45165</v>
      </c>
      <c r="Y253" s="387">
        <f t="shared" si="88"/>
        <v>41.126628303462937</v>
      </c>
      <c r="Z253" s="387">
        <f t="shared" si="89"/>
        <v>42.937907024326073</v>
      </c>
      <c r="AA253" s="388">
        <f t="shared" si="90"/>
        <v>51.887108556260074</v>
      </c>
      <c r="AB253" s="199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0.17247446968895117</v>
      </c>
      <c r="AD253" s="233">
        <f>(INDEX(Models!$BJ253:$BT253,,AH253)*(1-AF253)+INDEX(Models!$BJ253:$BT253,,AH253+1)*AF253-ERP_i)*AE253*Ramure*Pc/MaxiM</f>
        <v>8.1364638080318966E-3</v>
      </c>
      <c r="AE253" s="307">
        <f t="shared" si="92"/>
        <v>0.9</v>
      </c>
      <c r="AF253" s="179">
        <f t="shared" si="93"/>
        <v>7.7222215058496024E-2</v>
      </c>
      <c r="AG253" s="839">
        <f t="shared" si="99"/>
        <v>1</v>
      </c>
      <c r="AH253" s="178">
        <f t="shared" si="94"/>
        <v>7</v>
      </c>
      <c r="AI253" s="227">
        <f t="shared" si="95"/>
        <v>1.077222215058496</v>
      </c>
      <c r="AJ253" s="267" t="b">
        <f t="shared" si="96"/>
        <v>0</v>
      </c>
      <c r="AK253" s="267" t="b">
        <f t="shared" si="97"/>
        <v>0</v>
      </c>
      <c r="AL253" s="267"/>
      <c r="AM253" s="267"/>
      <c r="AN253" s="75"/>
    </row>
    <row r="254" spans="1:40" s="6" customFormat="1" ht="11.25" x14ac:dyDescent="0.2">
      <c r="A254" s="56">
        <f t="shared" si="98"/>
        <v>45166</v>
      </c>
      <c r="B254" s="413">
        <f>'2022'!Wh/'2022'!Env_an*'2023'!Env_an</f>
        <v>43.872348479313963</v>
      </c>
      <c r="C254" s="868"/>
      <c r="D254" s="395">
        <f t="shared" si="77"/>
        <v>45.805618820362646</v>
      </c>
      <c r="E254" s="387">
        <f t="shared" si="100"/>
        <v>50.046586676750508</v>
      </c>
      <c r="F254" s="387">
        <f t="shared" si="78"/>
        <v>50.438227184734764</v>
      </c>
      <c r="G254" s="110">
        <f t="shared" si="101"/>
        <v>0.94895082839113021</v>
      </c>
      <c r="H254" s="416" t="b">
        <f>Wh_hp&gt;='2022'!Maxi_hp</f>
        <v>0</v>
      </c>
      <c r="I254" s="392">
        <f>IF(H254,Wh_hp,'2022'!Maxi_hp)</f>
        <v>52.43587821164941</v>
      </c>
      <c r="J254" s="85">
        <f>IF(H254,An,'2022'!An_max)</f>
        <v>2021</v>
      </c>
      <c r="K254" s="199">
        <f t="shared" si="79"/>
        <v>45166</v>
      </c>
      <c r="L254" s="147">
        <f>IF(t&lt;Tvie,1-EXP((T0-t)*PertePVj)+'2022'!Pspv,1-EXP((T0-t)*PertePVj)+Pspv)</f>
        <v>4.220596491951023E-2</v>
      </c>
      <c r="M254" s="872"/>
      <c r="N254" s="872"/>
      <c r="O254" s="48">
        <f>IF(t&lt;Tnet,'2022'!Resal+('2022'!Salim-'2022'!Resal)*(1-EXP(('2022'!Tnet-t)/('2022'!Tau_j))),Resal+(Salim-Resal)*(1-EXP((Tnet-t)/(Tau_j))))*Salcycl</f>
        <v>8.4740401653766201E-2</v>
      </c>
      <c r="P254" s="171">
        <f>(INDEX(Models!$BJ254:$BT254,,T254)*(1-R254)+INDEX(Models!$BJ254:$BT254,,T254+1)*R254-ERP_i)*Q254*Ramure*Pc/MaxiM</f>
        <v>8.3681182031206322E-3</v>
      </c>
      <c r="Q254" s="307">
        <f t="shared" si="80"/>
        <v>0.9</v>
      </c>
      <c r="R254" s="179">
        <f t="shared" si="81"/>
        <v>7.8130054912474156E-2</v>
      </c>
      <c r="S254" s="839">
        <f t="shared" si="82"/>
        <v>1</v>
      </c>
      <c r="T254" s="178">
        <f t="shared" si="83"/>
        <v>7</v>
      </c>
      <c r="U254" s="253">
        <f t="shared" si="84"/>
        <v>1.0781300549124742</v>
      </c>
      <c r="V254" s="385">
        <f t="shared" si="85"/>
        <v>46.204364952550208</v>
      </c>
      <c r="W254" s="404">
        <f t="shared" si="86"/>
        <v>43.872348479313963</v>
      </c>
      <c r="X254" s="157">
        <f t="shared" si="87"/>
        <v>45166</v>
      </c>
      <c r="Y254" s="387">
        <f t="shared" si="88"/>
        <v>39.664577960599168</v>
      </c>
      <c r="Z254" s="387">
        <f t="shared" si="89"/>
        <v>41.412429507629888</v>
      </c>
      <c r="AA254" s="388">
        <f t="shared" si="90"/>
        <v>50.046586676750508</v>
      </c>
      <c r="AB254" s="199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0.17252239847820977</v>
      </c>
      <c r="AD254" s="233">
        <f>(INDEX(Models!$BJ254:$BT254,,AH254)*(1-AF254)+INDEX(Models!$BJ254:$BT254,,AH254+1)*AF254-ERP_i)*AE254*Ramure*Pc/MaxiM</f>
        <v>8.3681182031206322E-3</v>
      </c>
      <c r="AE254" s="307">
        <f t="shared" si="92"/>
        <v>0.9</v>
      </c>
      <c r="AF254" s="179">
        <f t="shared" si="93"/>
        <v>7.8130054912474156E-2</v>
      </c>
      <c r="AG254" s="839">
        <f t="shared" si="99"/>
        <v>1</v>
      </c>
      <c r="AH254" s="178">
        <f t="shared" si="94"/>
        <v>7</v>
      </c>
      <c r="AI254" s="227">
        <f t="shared" si="95"/>
        <v>1.0781300549124742</v>
      </c>
      <c r="AJ254" s="267" t="b">
        <f t="shared" si="96"/>
        <v>0</v>
      </c>
      <c r="AK254" s="267" t="b">
        <f t="shared" si="97"/>
        <v>0</v>
      </c>
      <c r="AL254" s="267"/>
      <c r="AM254" s="267"/>
      <c r="AN254" s="75"/>
    </row>
    <row r="255" spans="1:40" s="6" customFormat="1" ht="11.25" x14ac:dyDescent="0.2">
      <c r="A255" s="56">
        <f t="shared" si="98"/>
        <v>45167</v>
      </c>
      <c r="B255" s="413">
        <f>'2022'!Wh/'2022'!Env_an*'2023'!Env_an</f>
        <v>30.825553813094</v>
      </c>
      <c r="C255" s="868"/>
      <c r="D255" s="395">
        <f t="shared" si="77"/>
        <v>32.184655632009893</v>
      </c>
      <c r="E255" s="387">
        <f t="shared" si="100"/>
        <v>35.170426065435009</v>
      </c>
      <c r="F255" s="387">
        <f t="shared" si="78"/>
        <v>35.331524460563429</v>
      </c>
      <c r="G255" s="110">
        <f t="shared" si="101"/>
        <v>0.66860241129451747</v>
      </c>
      <c r="H255" s="416" t="b">
        <f>Wh_hp&gt;='2022'!Maxi_hp</f>
        <v>0</v>
      </c>
      <c r="I255" s="392">
        <f>IF(H255,Wh_hp,'2022'!Maxi_hp)</f>
        <v>51.701518118132348</v>
      </c>
      <c r="J255" s="85">
        <f>IF(H255,An,'2022'!An_max)</f>
        <v>2021</v>
      </c>
      <c r="K255" s="199">
        <f t="shared" si="79"/>
        <v>45167</v>
      </c>
      <c r="L255" s="147">
        <f>IF(t&lt;Tvie,1-EXP((T0-t)*PertePVj)+'2022'!Pspv,1-EXP((T0-t)*PertePVj)+Pspv)</f>
        <v>4.2228254185953551E-2</v>
      </c>
      <c r="M255" s="872"/>
      <c r="N255" s="872"/>
      <c r="O255" s="48">
        <f>IF(t&lt;Tnet,'2022'!Resal+('2022'!Salim-'2022'!Resal)*(1-EXP(('2022'!Tnet-t)/('2022'!Tau_j))),Resal+(Salim-Resal)*(1-EXP((Tnet-t)/(Tau_j))))*Salcycl</f>
        <v>8.4894349243027356E-2</v>
      </c>
      <c r="P255" s="171">
        <f>(INDEX(Models!$BJ255:$BT255,,T255)*(1-R255)+INDEX(Models!$BJ255:$BT255,,T255+1)*R255-ERP_i)*Q255*Ramure*Pc/MaxiM</f>
        <v>8.5955482061014776E-3</v>
      </c>
      <c r="Q255" s="307">
        <f t="shared" si="80"/>
        <v>0.9</v>
      </c>
      <c r="R255" s="179">
        <f t="shared" si="81"/>
        <v>7.9004029208666893E-2</v>
      </c>
      <c r="S255" s="839">
        <f t="shared" si="82"/>
        <v>1</v>
      </c>
      <c r="T255" s="178">
        <f t="shared" si="83"/>
        <v>7</v>
      </c>
      <c r="U255" s="253">
        <f t="shared" si="84"/>
        <v>1.0790040292086669</v>
      </c>
      <c r="V255" s="385">
        <f t="shared" si="85"/>
        <v>45.917534507356464</v>
      </c>
      <c r="W255" s="404">
        <f t="shared" si="86"/>
        <v>30.825553813094</v>
      </c>
      <c r="X255" s="157">
        <f t="shared" si="87"/>
        <v>45167</v>
      </c>
      <c r="Y255" s="387">
        <f t="shared" si="88"/>
        <v>27.872203778503525</v>
      </c>
      <c r="Z255" s="387">
        <f t="shared" si="89"/>
        <v>29.101092092473333</v>
      </c>
      <c r="AA255" s="388">
        <f t="shared" si="90"/>
        <v>35.170426065435009</v>
      </c>
      <c r="AB255" s="199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0.17256924785811817</v>
      </c>
      <c r="AD255" s="233">
        <f>(INDEX(Models!$BJ255:$BT255,,AH255)*(1-AF255)+INDEX(Models!$BJ255:$BT255,,AH255+1)*AF255-ERP_i)*AE255*Ramure*Pc/MaxiM</f>
        <v>8.5955482061014776E-3</v>
      </c>
      <c r="AE255" s="307">
        <f t="shared" si="92"/>
        <v>0.9</v>
      </c>
      <c r="AF255" s="179">
        <f t="shared" si="93"/>
        <v>7.9004029208666893E-2</v>
      </c>
      <c r="AG255" s="839">
        <f t="shared" si="99"/>
        <v>1</v>
      </c>
      <c r="AH255" s="178">
        <f t="shared" si="94"/>
        <v>7</v>
      </c>
      <c r="AI255" s="227">
        <f t="shared" si="95"/>
        <v>1.0790040292086669</v>
      </c>
      <c r="AJ255" s="267" t="b">
        <f t="shared" si="96"/>
        <v>0</v>
      </c>
      <c r="AK255" s="267" t="b">
        <f t="shared" si="97"/>
        <v>0</v>
      </c>
      <c r="AL255" s="267"/>
      <c r="AM255" s="267"/>
      <c r="AN255" s="75"/>
    </row>
    <row r="256" spans="1:40" s="6" customFormat="1" ht="11.25" x14ac:dyDescent="0.2">
      <c r="A256" s="56">
        <f t="shared" si="98"/>
        <v>45168</v>
      </c>
      <c r="B256" s="413">
        <f>'2022'!Wh/'2022'!Env_an*'2023'!Env_an</f>
        <v>42.917274953496232</v>
      </c>
      <c r="C256" s="868"/>
      <c r="D256" s="395">
        <f t="shared" si="77"/>
        <v>44.810544800470701</v>
      </c>
      <c r="E256" s="387">
        <f t="shared" si="100"/>
        <v>48.975819191075374</v>
      </c>
      <c r="F256" s="387">
        <f t="shared" si="78"/>
        <v>49.374321212374795</v>
      </c>
      <c r="G256" s="110">
        <f t="shared" si="101"/>
        <v>0.9399367400082187</v>
      </c>
      <c r="H256" s="416" t="b">
        <f>Wh_hp&gt;='2022'!Maxi_hp</f>
        <v>0</v>
      </c>
      <c r="I256" s="392">
        <f>IF(H256,Wh_hp,'2022'!Maxi_hp)</f>
        <v>49.974130891350057</v>
      </c>
      <c r="J256" s="85">
        <f>IF(H256,An,'2022'!An_max)</f>
        <v>2021</v>
      </c>
      <c r="K256" s="199">
        <f t="shared" si="79"/>
        <v>45168</v>
      </c>
      <c r="L256" s="147">
        <f>IF(t&lt;Tvie,1-EXP((T0-t)*PertePVj)+'2022'!Pspv,1-EXP((T0-t)*PertePVj)+Pspv)</f>
        <v>4.2250542933693125E-2</v>
      </c>
      <c r="M256" s="872"/>
      <c r="N256" s="872"/>
      <c r="O256" s="48">
        <f>IF(t&lt;Tnet,'2022'!Resal+('2022'!Salim-'2022'!Resal)*(1-EXP(('2022'!Tnet-t)/('2022'!Tau_j))),Resal+(Salim-Resal)*(1-EXP((Tnet-t)/(Tau_j))))*Salcycl</f>
        <v>8.5047569584373442E-2</v>
      </c>
      <c r="P256" s="171">
        <f>(INDEX(Models!$BJ256:$BT256,,T256)*(1-R256)+INDEX(Models!$BJ256:$BT256,,T256+1)*R256-ERP_i)*Q256*Ramure*Pc/MaxiM</f>
        <v>8.8187984967650103E-3</v>
      </c>
      <c r="Q256" s="307">
        <f t="shared" si="80"/>
        <v>0.9</v>
      </c>
      <c r="R256" s="179">
        <f t="shared" si="81"/>
        <v>7.98453007126394E-2</v>
      </c>
      <c r="S256" s="839">
        <f t="shared" si="82"/>
        <v>1</v>
      </c>
      <c r="T256" s="178">
        <f t="shared" si="83"/>
        <v>7</v>
      </c>
      <c r="U256" s="253">
        <f t="shared" si="84"/>
        <v>1.0798453007126394</v>
      </c>
      <c r="V256" s="385">
        <f t="shared" si="85"/>
        <v>45.625327920495465</v>
      </c>
      <c r="W256" s="404">
        <f t="shared" si="86"/>
        <v>42.917274953496232</v>
      </c>
      <c r="X256" s="157">
        <f t="shared" si="87"/>
        <v>45168</v>
      </c>
      <c r="Y256" s="387">
        <f t="shared" si="88"/>
        <v>38.809788669403297</v>
      </c>
      <c r="Z256" s="387">
        <f t="shared" si="89"/>
        <v>40.521859222224982</v>
      </c>
      <c r="AA256" s="388">
        <f t="shared" si="90"/>
        <v>48.975819191075374</v>
      </c>
      <c r="AB256" s="199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0.17261497833998291</v>
      </c>
      <c r="AD256" s="233">
        <f>(INDEX(Models!$BJ256:$BT256,,AH256)*(1-AF256)+INDEX(Models!$BJ256:$BT256,,AH256+1)*AF256-ERP_i)*AE256*Ramure*Pc/MaxiM</f>
        <v>8.8187984967650103E-3</v>
      </c>
      <c r="AE256" s="307">
        <f t="shared" si="92"/>
        <v>0.9</v>
      </c>
      <c r="AF256" s="179">
        <f t="shared" si="93"/>
        <v>7.98453007126394E-2</v>
      </c>
      <c r="AG256" s="839">
        <f t="shared" si="99"/>
        <v>1</v>
      </c>
      <c r="AH256" s="178">
        <f t="shared" si="94"/>
        <v>7</v>
      </c>
      <c r="AI256" s="227">
        <f t="shared" si="95"/>
        <v>1.0798453007126394</v>
      </c>
      <c r="AJ256" s="267" t="b">
        <f t="shared" si="96"/>
        <v>0</v>
      </c>
      <c r="AK256" s="267" t="b">
        <f t="shared" si="97"/>
        <v>0</v>
      </c>
      <c r="AL256" s="267"/>
      <c r="AM256" s="267"/>
      <c r="AN256" s="75"/>
    </row>
    <row r="257" spans="1:40" s="6" customFormat="1" ht="11.25" x14ac:dyDescent="0.2">
      <c r="A257" s="56">
        <f t="shared" si="98"/>
        <v>45169</v>
      </c>
      <c r="B257" s="413">
        <f>'2022'!Wh/'2022'!Env_an*'2023'!Env_an</f>
        <v>20.152102471556656</v>
      </c>
      <c r="C257" s="868"/>
      <c r="D257" s="395">
        <f t="shared" si="77"/>
        <v>21.041590055362608</v>
      </c>
      <c r="E257" s="387">
        <f t="shared" si="100"/>
        <v>23.001301906392431</v>
      </c>
      <c r="F257" s="387">
        <f t="shared" si="78"/>
        <v>23.044321620553809</v>
      </c>
      <c r="G257" s="110">
        <f t="shared" si="101"/>
        <v>0.44139421671591195</v>
      </c>
      <c r="H257" s="416" t="b">
        <f>Wh_hp&gt;='2022'!Maxi_hp</f>
        <v>0</v>
      </c>
      <c r="I257" s="392">
        <f>IF(H257,Wh_hp,'2022'!Maxi_hp)</f>
        <v>49.874216739239351</v>
      </c>
      <c r="J257" s="85">
        <f>IF(H257,An,'2022'!An_max)</f>
        <v>2021</v>
      </c>
      <c r="K257" s="199">
        <f t="shared" si="79"/>
        <v>45169</v>
      </c>
      <c r="L257" s="147">
        <f>IF(t&lt;Tvie,1-EXP((T0-t)*PertePVj)+'2022'!Pspv,1-EXP((T0-t)*PertePVj)+Pspv)</f>
        <v>4.2272831162740943E-2</v>
      </c>
      <c r="M257" s="872"/>
      <c r="N257" s="872"/>
      <c r="O257" s="48">
        <f>IF(t&lt;Tnet,'2022'!Resal+('2022'!Salim-'2022'!Resal)*(1-EXP(('2022'!Tnet-t)/('2022'!Tau_j))),Resal+(Salim-Resal)*(1-EXP((Tnet-t)/(Tau_j))))*Salcycl</f>
        <v>8.5200040371853317E-2</v>
      </c>
      <c r="P257" s="171">
        <f>(INDEX(Models!$BJ257:$BT257,,T257)*(1-R257)+INDEX(Models!$BJ257:$BT257,,T257+1)*R257-ERP_i)*Q257*Ramure*Pc/MaxiM</f>
        <v>9.0379158061115513E-3</v>
      </c>
      <c r="Q257" s="307">
        <f t="shared" si="80"/>
        <v>0.9</v>
      </c>
      <c r="R257" s="179">
        <f t="shared" si="81"/>
        <v>8.0654999970515284E-2</v>
      </c>
      <c r="S257" s="839">
        <f t="shared" si="82"/>
        <v>1</v>
      </c>
      <c r="T257" s="178">
        <f t="shared" si="83"/>
        <v>7</v>
      </c>
      <c r="U257" s="253">
        <f t="shared" si="84"/>
        <v>1.0806549999705153</v>
      </c>
      <c r="V257" s="385">
        <f t="shared" si="85"/>
        <v>45.327552721658165</v>
      </c>
      <c r="W257" s="404">
        <f t="shared" si="86"/>
        <v>20.152102471556656</v>
      </c>
      <c r="X257" s="157">
        <f t="shared" si="87"/>
        <v>45169</v>
      </c>
      <c r="Y257" s="387">
        <f t="shared" si="88"/>
        <v>18.225459426053046</v>
      </c>
      <c r="Z257" s="387">
        <f t="shared" si="89"/>
        <v>19.029907492527229</v>
      </c>
      <c r="AA257" s="388">
        <f t="shared" si="90"/>
        <v>23.001301906392431</v>
      </c>
      <c r="AB257" s="199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0.17265954901280989</v>
      </c>
      <c r="AD257" s="233">
        <f>(INDEX(Models!$BJ257:$BT257,,AH257)*(1-AF257)+INDEX(Models!$BJ257:$BT257,,AH257+1)*AF257-ERP_i)*AE257*Ramure*Pc/MaxiM</f>
        <v>9.0379158061115513E-3</v>
      </c>
      <c r="AE257" s="307">
        <f t="shared" si="92"/>
        <v>0.9</v>
      </c>
      <c r="AF257" s="179">
        <f t="shared" si="93"/>
        <v>8.0654999970515284E-2</v>
      </c>
      <c r="AG257" s="839">
        <f t="shared" si="99"/>
        <v>1</v>
      </c>
      <c r="AH257" s="178">
        <f t="shared" si="94"/>
        <v>7</v>
      </c>
      <c r="AI257" s="227">
        <f t="shared" si="95"/>
        <v>1.0806549999705153</v>
      </c>
      <c r="AJ257" s="267" t="b">
        <f t="shared" si="96"/>
        <v>0</v>
      </c>
      <c r="AK257" s="267" t="b">
        <f t="shared" si="97"/>
        <v>0</v>
      </c>
      <c r="AL257" s="267"/>
      <c r="AM257" s="267"/>
      <c r="AN257" s="75"/>
    </row>
    <row r="258" spans="1:40" s="6" customFormat="1" ht="11.25" x14ac:dyDescent="0.2">
      <c r="A258" s="56">
        <f t="shared" si="98"/>
        <v>45170</v>
      </c>
      <c r="B258" s="413">
        <f>'2022'!Wh/'2022'!Env_an*'2023'!Env_an</f>
        <v>40.601886600599734</v>
      </c>
      <c r="C258" s="868"/>
      <c r="D258" s="395">
        <f t="shared" si="77"/>
        <v>42.394987642566058</v>
      </c>
      <c r="E258" s="387">
        <f t="shared" si="100"/>
        <v>46.351137835200234</v>
      </c>
      <c r="F258" s="387">
        <f t="shared" si="78"/>
        <v>46.722802109496094</v>
      </c>
      <c r="G258" s="110">
        <f t="shared" si="101"/>
        <v>0.90060270675472531</v>
      </c>
      <c r="H258" s="416" t="b">
        <f>Wh_hp&gt;='2022'!Maxi_hp</f>
        <v>0</v>
      </c>
      <c r="I258" s="392">
        <f>IF(H258,Wh_hp,'2022'!Maxi_hp)</f>
        <v>46.736743029698395</v>
      </c>
      <c r="J258" s="85">
        <f>IF(H258,An,'2022'!An_max)</f>
        <v>2022</v>
      </c>
      <c r="K258" s="199">
        <f t="shared" si="79"/>
        <v>45170</v>
      </c>
      <c r="L258" s="147">
        <f>IF(t&lt;Tvie,1-EXP((T0-t)*PertePVj)+'2022'!Pspv,1-EXP((T0-t)*PertePVj)+Pspv)</f>
        <v>4.2295118873109105E-2</v>
      </c>
      <c r="M258" s="872"/>
      <c r="N258" s="872"/>
      <c r="O258" s="48">
        <f>IF(t&lt;Tnet,'2022'!Resal+('2022'!Salim-'2022'!Resal)*(1-EXP(('2022'!Tnet-t)/('2022'!Tau_j))),Resal+(Salim-Resal)*(1-EXP((Tnet-t)/(Tau_j))))*Salcycl</f>
        <v>8.5351738434126939E-2</v>
      </c>
      <c r="P258" s="171">
        <f>(INDEX(Models!$BJ258:$BT258,,T258)*(1-R258)+INDEX(Models!$BJ258:$BT258,,T258+1)*R258-ERP_i)*Q258*Ramure*Pc/MaxiM</f>
        <v>9.2529488093813003E-3</v>
      </c>
      <c r="Q258" s="307">
        <f t="shared" si="80"/>
        <v>0.9</v>
      </c>
      <c r="R258" s="179">
        <f t="shared" si="81"/>
        <v>8.1434225590180986E-2</v>
      </c>
      <c r="S258" s="839">
        <f t="shared" si="82"/>
        <v>1</v>
      </c>
      <c r="T258" s="178">
        <f t="shared" si="83"/>
        <v>7</v>
      </c>
      <c r="U258" s="253">
        <f t="shared" si="84"/>
        <v>1.081434225590181</v>
      </c>
      <c r="V258" s="385">
        <f t="shared" si="85"/>
        <v>45.024016562445674</v>
      </c>
      <c r="W258" s="404">
        <f t="shared" si="86"/>
        <v>40.601886600599734</v>
      </c>
      <c r="X258" s="157">
        <f t="shared" si="87"/>
        <v>45170</v>
      </c>
      <c r="Y258" s="387">
        <f t="shared" si="88"/>
        <v>36.724305661813588</v>
      </c>
      <c r="Z258" s="387">
        <f t="shared" si="89"/>
        <v>38.346161104036192</v>
      </c>
      <c r="AA258" s="388">
        <f t="shared" si="90"/>
        <v>46.351137835200234</v>
      </c>
      <c r="AB258" s="199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0.17270291744779689</v>
      </c>
      <c r="AD258" s="233">
        <f>(INDEX(Models!$BJ258:$BT258,,AH258)*(1-AF258)+INDEX(Models!$BJ258:$BT258,,AH258+1)*AF258-ERP_i)*AE258*Ramure*Pc/MaxiM</f>
        <v>9.2529488093813003E-3</v>
      </c>
      <c r="AE258" s="307">
        <f t="shared" si="92"/>
        <v>0.9</v>
      </c>
      <c r="AF258" s="179">
        <f t="shared" si="93"/>
        <v>8.1434225590180986E-2</v>
      </c>
      <c r="AG258" s="839">
        <f t="shared" si="99"/>
        <v>1</v>
      </c>
      <c r="AH258" s="178">
        <f t="shared" si="94"/>
        <v>7</v>
      </c>
      <c r="AI258" s="227">
        <f t="shared" si="95"/>
        <v>1.081434225590181</v>
      </c>
      <c r="AJ258" s="267" t="b">
        <f t="shared" si="96"/>
        <v>0</v>
      </c>
      <c r="AK258" s="267" t="b">
        <f t="shared" si="97"/>
        <v>0</v>
      </c>
      <c r="AL258" s="267"/>
      <c r="AM258" s="267"/>
      <c r="AN258" s="75"/>
    </row>
    <row r="259" spans="1:40" s="6" customFormat="1" ht="11.25" x14ac:dyDescent="0.2">
      <c r="A259" s="56">
        <f t="shared" si="98"/>
        <v>45171</v>
      </c>
      <c r="B259" s="413">
        <f>'2022'!Wh/'2022'!Env_an*'2023'!Env_an</f>
        <v>35.289512948175755</v>
      </c>
      <c r="C259" s="868"/>
      <c r="D259" s="395">
        <f t="shared" si="77"/>
        <v>36.84886116930295</v>
      </c>
      <c r="E259" s="387">
        <f t="shared" si="100"/>
        <v>40.294114305908522</v>
      </c>
      <c r="F259" s="387">
        <f t="shared" si="78"/>
        <v>40.56240181973844</v>
      </c>
      <c r="G259" s="110">
        <f t="shared" si="101"/>
        <v>0.78695401789535702</v>
      </c>
      <c r="H259" s="416" t="b">
        <f>Wh_hp&gt;='2022'!Maxi_hp</f>
        <v>0</v>
      </c>
      <c r="I259" s="392">
        <f>IF(H259,Wh_hp,'2022'!Maxi_hp)</f>
        <v>49.068004680732784</v>
      </c>
      <c r="J259" s="85">
        <f>IF(H259,An,'2022'!An_max)</f>
        <v>2019</v>
      </c>
      <c r="K259" s="199">
        <f t="shared" si="79"/>
        <v>45171</v>
      </c>
      <c r="L259" s="147">
        <f>IF(t&lt;Tvie,1-EXP((T0-t)*PertePVj)+'2022'!Pspv,1-EXP((T0-t)*PertePVj)+Pspv)</f>
        <v>4.2317406064809715E-2</v>
      </c>
      <c r="M259" s="872"/>
      <c r="N259" s="872"/>
      <c r="O259" s="48">
        <f>IF(t&lt;Tnet,'2022'!Resal+('2022'!Salim-'2022'!Resal)*(1-EXP(('2022'!Tnet-t)/('2022'!Tau_j))),Resal+(Salim-Resal)*(1-EXP((Tnet-t)/(Tau_j))))*Salcycl</f>
        <v>8.5502639677089917E-2</v>
      </c>
      <c r="P259" s="171">
        <f>(INDEX(Models!$BJ259:$BT259,,T259)*(1-R259)+INDEX(Models!$BJ259:$BT259,,T259+1)*R259-ERP_i)*Q259*Ramure*Pc/MaxiM</f>
        <v>9.4639480248081727E-3</v>
      </c>
      <c r="Q259" s="307">
        <f t="shared" si="80"/>
        <v>0.9</v>
      </c>
      <c r="R259" s="179">
        <f t="shared" si="81"/>
        <v>8.218404457683337E-2</v>
      </c>
      <c r="S259" s="839">
        <f t="shared" si="82"/>
        <v>1</v>
      </c>
      <c r="T259" s="178">
        <f t="shared" si="83"/>
        <v>7</v>
      </c>
      <c r="U259" s="253">
        <f t="shared" si="84"/>
        <v>1.0821840445768334</v>
      </c>
      <c r="V259" s="385">
        <f t="shared" si="85"/>
        <v>44.714527216405358</v>
      </c>
      <c r="W259" s="404">
        <f t="shared" si="86"/>
        <v>35.289512948175755</v>
      </c>
      <c r="X259" s="157">
        <f t="shared" si="87"/>
        <v>45171</v>
      </c>
      <c r="Y259" s="387">
        <f t="shared" si="88"/>
        <v>31.922918428569652</v>
      </c>
      <c r="Z259" s="387">
        <f t="shared" si="89"/>
        <v>33.333505934775282</v>
      </c>
      <c r="AA259" s="388">
        <f t="shared" si="90"/>
        <v>40.294114305908522</v>
      </c>
      <c r="AB259" s="199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0.17274503959285623</v>
      </c>
      <c r="AD259" s="233">
        <f>(INDEX(Models!$BJ259:$BT259,,AH259)*(1-AF259)+INDEX(Models!$BJ259:$BT259,,AH259+1)*AF259-ERP_i)*AE259*Ramure*Pc/MaxiM</f>
        <v>9.4639480248081727E-3</v>
      </c>
      <c r="AE259" s="307">
        <f t="shared" si="92"/>
        <v>0.9</v>
      </c>
      <c r="AF259" s="179">
        <f t="shared" si="93"/>
        <v>8.218404457683337E-2</v>
      </c>
      <c r="AG259" s="839">
        <f t="shared" si="99"/>
        <v>1</v>
      </c>
      <c r="AH259" s="178">
        <f t="shared" si="94"/>
        <v>7</v>
      </c>
      <c r="AI259" s="227">
        <f t="shared" si="95"/>
        <v>1.0821840445768334</v>
      </c>
      <c r="AJ259" s="267" t="b">
        <f t="shared" si="96"/>
        <v>0</v>
      </c>
      <c r="AK259" s="267" t="b">
        <f t="shared" si="97"/>
        <v>0</v>
      </c>
      <c r="AL259" s="267"/>
      <c r="AM259" s="267"/>
      <c r="AN259" s="75"/>
    </row>
    <row r="260" spans="1:40" s="6" customFormat="1" ht="11.25" x14ac:dyDescent="0.2">
      <c r="A260" s="56">
        <f t="shared" si="98"/>
        <v>45172</v>
      </c>
      <c r="B260" s="413">
        <f>'2022'!Wh/'2022'!Env_an*'2023'!Env_an</f>
        <v>29.040648612087519</v>
      </c>
      <c r="C260" s="868"/>
      <c r="D260" s="395">
        <f t="shared" si="77"/>
        <v>30.324582100632139</v>
      </c>
      <c r="E260" s="387">
        <f t="shared" si="100"/>
        <v>33.165278370184915</v>
      </c>
      <c r="F260" s="387">
        <f t="shared" si="78"/>
        <v>33.328317818935311</v>
      </c>
      <c r="G260" s="110">
        <f t="shared" si="101"/>
        <v>0.65094370737266294</v>
      </c>
      <c r="H260" s="416" t="b">
        <f>Wh_hp&gt;='2022'!Maxi_hp</f>
        <v>0</v>
      </c>
      <c r="I260" s="392">
        <f>IF(H260,Wh_hp,'2022'!Maxi_hp)</f>
        <v>51.035952311623831</v>
      </c>
      <c r="J260" s="85">
        <f>IF(H260,An,'2022'!An_max)</f>
        <v>2019</v>
      </c>
      <c r="K260" s="199">
        <f t="shared" si="79"/>
        <v>45172</v>
      </c>
      <c r="L260" s="147">
        <f>IF(t&lt;Tvie,1-EXP((T0-t)*PertePVj)+'2022'!Pspv,1-EXP((T0-t)*PertePVj)+Pspv)</f>
        <v>4.2339692737854873E-2</v>
      </c>
      <c r="M260" s="872"/>
      <c r="N260" s="872"/>
      <c r="O260" s="48">
        <f>IF(t&lt;Tnet,'2022'!Resal+('2022'!Salim-'2022'!Resal)*(1-EXP(('2022'!Tnet-t)/('2022'!Tau_j))),Resal+(Salim-Resal)*(1-EXP((Tnet-t)/(Tau_j))))*Salcycl</f>
        <v>8.565271902275122E-2</v>
      </c>
      <c r="P260" s="171">
        <f>(INDEX(Models!$BJ260:$BT260,,T260)*(1-R260)+INDEX(Models!$BJ260:$BT260,,T260+1)*R260-ERP_i)*Q260*Ramure*Pc/MaxiM</f>
        <v>9.6709657176807032E-3</v>
      </c>
      <c r="Q260" s="307">
        <f t="shared" si="80"/>
        <v>0.9</v>
      </c>
      <c r="R260" s="179">
        <f t="shared" si="81"/>
        <v>8.2905492717004314E-2</v>
      </c>
      <c r="S260" s="839">
        <f t="shared" si="82"/>
        <v>1</v>
      </c>
      <c r="T260" s="178">
        <f t="shared" si="83"/>
        <v>7</v>
      </c>
      <c r="U260" s="253">
        <f t="shared" si="84"/>
        <v>1.0829054927170043</v>
      </c>
      <c r="V260" s="385">
        <f t="shared" si="85"/>
        <v>44.398892581857822</v>
      </c>
      <c r="W260" s="404">
        <f t="shared" si="86"/>
        <v>29.040648612087519</v>
      </c>
      <c r="X260" s="157">
        <f t="shared" si="87"/>
        <v>45172</v>
      </c>
      <c r="Y260" s="387">
        <f t="shared" si="88"/>
        <v>26.273206456597247</v>
      </c>
      <c r="Z260" s="387">
        <f t="shared" si="89"/>
        <v>27.434786904460637</v>
      </c>
      <c r="AA260" s="388">
        <f t="shared" si="90"/>
        <v>33.165278370184915</v>
      </c>
      <c r="AB260" s="199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0.17278586966047918</v>
      </c>
      <c r="AD260" s="233">
        <f>(INDEX(Models!$BJ260:$BT260,,AH260)*(1-AF260)+INDEX(Models!$BJ260:$BT260,,AH260+1)*AF260-ERP_i)*AE260*Ramure*Pc/MaxiM</f>
        <v>9.6709657176807032E-3</v>
      </c>
      <c r="AE260" s="307">
        <f t="shared" si="92"/>
        <v>0.9</v>
      </c>
      <c r="AF260" s="179">
        <f t="shared" si="93"/>
        <v>8.2905492717004314E-2</v>
      </c>
      <c r="AG260" s="839">
        <f t="shared" si="99"/>
        <v>1</v>
      </c>
      <c r="AH260" s="178">
        <f t="shared" si="94"/>
        <v>7</v>
      </c>
      <c r="AI260" s="227">
        <f t="shared" si="95"/>
        <v>1.0829054927170043</v>
      </c>
      <c r="AJ260" s="267" t="b">
        <f t="shared" si="96"/>
        <v>0</v>
      </c>
      <c r="AK260" s="267" t="b">
        <f t="shared" si="97"/>
        <v>0</v>
      </c>
      <c r="AL260" s="267"/>
      <c r="AM260" s="267"/>
      <c r="AN260" s="75"/>
    </row>
    <row r="261" spans="1:40" s="6" customFormat="1" ht="11.25" x14ac:dyDescent="0.2">
      <c r="A261" s="56">
        <f t="shared" si="98"/>
        <v>45173</v>
      </c>
      <c r="B261" s="413">
        <f>'2022'!Wh/'2022'!Env_an*'2023'!Env_an</f>
        <v>42.262257551243046</v>
      </c>
      <c r="C261" s="868"/>
      <c r="D261" s="395">
        <f t="shared" si="77"/>
        <v>44.131766512733449</v>
      </c>
      <c r="E261" s="387">
        <f t="shared" si="100"/>
        <v>48.273748264328169</v>
      </c>
      <c r="F261" s="387">
        <f t="shared" si="78"/>
        <v>48.726594220662946</v>
      </c>
      <c r="G261" s="110">
        <f t="shared" si="101"/>
        <v>0.95828016797512217</v>
      </c>
      <c r="H261" s="416" t="b">
        <f>Wh_hp&gt;='2022'!Maxi_hp</f>
        <v>0</v>
      </c>
      <c r="I261" s="392">
        <f>IF(H261,Wh_hp,'2022'!Maxi_hp)</f>
        <v>50.502994047654042</v>
      </c>
      <c r="J261" s="85">
        <f>IF(H261,An,'2022'!An_max)</f>
        <v>2019</v>
      </c>
      <c r="K261" s="199">
        <f t="shared" si="79"/>
        <v>45173</v>
      </c>
      <c r="L261" s="147">
        <f>IF(t&lt;Tvie,1-EXP((T0-t)*PertePVj)+'2022'!Pspv,1-EXP((T0-t)*PertePVj)+Pspv)</f>
        <v>4.2361978892256458E-2</v>
      </c>
      <c r="M261" s="872"/>
      <c r="N261" s="872"/>
      <c r="O261" s="48">
        <f>IF(t&lt;Tnet,'2022'!Resal+('2022'!Salim-'2022'!Resal)*(1-EXP(('2022'!Tnet-t)/('2022'!Tau_j))),Resal+(Salim-Resal)*(1-EXP((Tnet-t)/(Tau_j))))*Salcycl</f>
        <v>8.5801950346073227E-2</v>
      </c>
      <c r="P261" s="171">
        <f>(INDEX(Models!$BJ261:$BT261,,T261)*(1-R261)+INDEX(Models!$BJ261:$BT261,,T261+1)*R261-ERP_i)*Q261*Ramure*Pc/MaxiM</f>
        <v>9.8741826291332286E-3</v>
      </c>
      <c r="Q261" s="307">
        <f t="shared" si="80"/>
        <v>0.9</v>
      </c>
      <c r="R261" s="179">
        <f t="shared" si="81"/>
        <v>8.359957500558135E-2</v>
      </c>
      <c r="S261" s="839">
        <f t="shared" si="82"/>
        <v>1</v>
      </c>
      <c r="T261" s="178">
        <f t="shared" si="83"/>
        <v>7</v>
      </c>
      <c r="U261" s="253">
        <f t="shared" si="84"/>
        <v>1.0835995750055814</v>
      </c>
      <c r="V261" s="385">
        <f t="shared" si="85"/>
        <v>44.076348939161591</v>
      </c>
      <c r="W261" s="404">
        <f t="shared" si="86"/>
        <v>42.262257551243046</v>
      </c>
      <c r="X261" s="157">
        <f t="shared" si="87"/>
        <v>45173</v>
      </c>
      <c r="Y261" s="387">
        <f t="shared" si="88"/>
        <v>38.239271772942629</v>
      </c>
      <c r="Z261" s="387">
        <f t="shared" si="89"/>
        <v>39.930820341395304</v>
      </c>
      <c r="AA261" s="388">
        <f t="shared" si="90"/>
        <v>48.273748264328169</v>
      </c>
      <c r="AB261" s="199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0.1728253600124493</v>
      </c>
      <c r="AD261" s="233">
        <f>(INDEX(Models!$BJ261:$BT261,,AH261)*(1-AF261)+INDEX(Models!$BJ261:$BT261,,AH261+1)*AF261-ERP_i)*AE261*Ramure*Pc/MaxiM</f>
        <v>9.8741826291332286E-3</v>
      </c>
      <c r="AE261" s="307">
        <f t="shared" si="92"/>
        <v>0.9</v>
      </c>
      <c r="AF261" s="179">
        <f t="shared" si="93"/>
        <v>8.359957500558135E-2</v>
      </c>
      <c r="AG261" s="839">
        <f t="shared" si="99"/>
        <v>1</v>
      </c>
      <c r="AH261" s="178">
        <f t="shared" si="94"/>
        <v>7</v>
      </c>
      <c r="AI261" s="227">
        <f t="shared" si="95"/>
        <v>1.0835995750055814</v>
      </c>
      <c r="AJ261" s="267" t="b">
        <f t="shared" si="96"/>
        <v>0</v>
      </c>
      <c r="AK261" s="267" t="b">
        <f t="shared" si="97"/>
        <v>0</v>
      </c>
      <c r="AL261" s="267"/>
      <c r="AM261" s="267"/>
      <c r="AN261" s="75"/>
    </row>
    <row r="262" spans="1:40" s="6" customFormat="1" ht="11.25" x14ac:dyDescent="0.2">
      <c r="A262" s="56">
        <f t="shared" si="98"/>
        <v>45174</v>
      </c>
      <c r="B262" s="413">
        <f>'2022'!Wh/'2022'!Env_an*'2023'!Env_an</f>
        <v>36.487379621897148</v>
      </c>
      <c r="C262" s="868"/>
      <c r="D262" s="395">
        <f t="shared" si="77"/>
        <v>38.10231836250464</v>
      </c>
      <c r="E262" s="387">
        <f t="shared" si="100"/>
        <v>41.685171637573482</v>
      </c>
      <c r="F262" s="387">
        <f t="shared" si="78"/>
        <v>42.007928767339898</v>
      </c>
      <c r="G262" s="110">
        <f t="shared" si="101"/>
        <v>0.83205303008080822</v>
      </c>
      <c r="H262" s="416" t="b">
        <f>Wh_hp&gt;='2022'!Maxi_hp</f>
        <v>0</v>
      </c>
      <c r="I262" s="392">
        <f>IF(H262,Wh_hp,'2022'!Maxi_hp)</f>
        <v>48.405506175605858</v>
      </c>
      <c r="J262" s="85">
        <f>IF(H262,An,'2022'!An_max)</f>
        <v>2020</v>
      </c>
      <c r="K262" s="199">
        <f t="shared" si="79"/>
        <v>45174</v>
      </c>
      <c r="L262" s="147">
        <f>IF(t&lt;Tvie,1-EXP((T0-t)*PertePVj)+'2022'!Pspv,1-EXP((T0-t)*PertePVj)+Pspv)</f>
        <v>4.2384264528026794E-2</v>
      </c>
      <c r="M262" s="872"/>
      <c r="N262" s="872"/>
      <c r="O262" s="48">
        <f>IF(t&lt;Tnet,'2022'!Resal+('2022'!Salim-'2022'!Resal)*(1-EXP(('2022'!Tnet-t)/('2022'!Tau_j))),Resal+(Salim-Resal)*(1-EXP((Tnet-t)/(Tau_j))))*Salcycl</f>
        <v>8.595030641158237E-2</v>
      </c>
      <c r="P262" s="171">
        <f>(INDEX(Models!$BJ262:$BT262,,T262)*(1-R262)+INDEX(Models!$BJ262:$BT262,,T262+1)*R262-ERP_i)*Q262*Ramure*Pc/MaxiM</f>
        <v>1.0070543083193707E-2</v>
      </c>
      <c r="Q262" s="307">
        <f t="shared" si="80"/>
        <v>0.9</v>
      </c>
      <c r="R262" s="179">
        <f t="shared" si="81"/>
        <v>8.4267266110694905E-2</v>
      </c>
      <c r="S262" s="839">
        <f t="shared" si="82"/>
        <v>1</v>
      </c>
      <c r="T262" s="178">
        <f t="shared" si="83"/>
        <v>7</v>
      </c>
      <c r="U262" s="253">
        <f t="shared" si="84"/>
        <v>1.0842672661106949</v>
      </c>
      <c r="V262" s="385">
        <f t="shared" si="85"/>
        <v>43.746729529336882</v>
      </c>
      <c r="W262" s="404">
        <f t="shared" si="86"/>
        <v>36.487379621897148</v>
      </c>
      <c r="X262" s="157">
        <f t="shared" si="87"/>
        <v>45174</v>
      </c>
      <c r="Y262" s="387">
        <f t="shared" si="88"/>
        <v>33.017947610166082</v>
      </c>
      <c r="Z262" s="387">
        <f t="shared" si="89"/>
        <v>34.479328594044837</v>
      </c>
      <c r="AA262" s="388">
        <f t="shared" si="90"/>
        <v>41.685171637573482</v>
      </c>
      <c r="AB262" s="199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0.17286346104506778</v>
      </c>
      <c r="AD262" s="233">
        <f>(INDEX(Models!$BJ262:$BT262,,AH262)*(1-AF262)+INDEX(Models!$BJ262:$BT262,,AH262+1)*AF262-ERP_i)*AE262*Ramure*Pc/MaxiM</f>
        <v>1.0070543083193707E-2</v>
      </c>
      <c r="AE262" s="307">
        <f t="shared" si="92"/>
        <v>0.9</v>
      </c>
      <c r="AF262" s="179">
        <f t="shared" si="93"/>
        <v>8.4267266110694905E-2</v>
      </c>
      <c r="AG262" s="839">
        <f t="shared" si="99"/>
        <v>1</v>
      </c>
      <c r="AH262" s="178">
        <f t="shared" si="94"/>
        <v>7</v>
      </c>
      <c r="AI262" s="227">
        <f t="shared" si="95"/>
        <v>1.0842672661106949</v>
      </c>
      <c r="AJ262" s="267" t="b">
        <f t="shared" si="96"/>
        <v>0</v>
      </c>
      <c r="AK262" s="267" t="b">
        <f t="shared" si="97"/>
        <v>0</v>
      </c>
      <c r="AL262" s="267"/>
      <c r="AM262" s="267"/>
      <c r="AN262" s="75"/>
    </row>
    <row r="263" spans="1:40" s="6" customFormat="1" ht="11.25" x14ac:dyDescent="0.2">
      <c r="A263" s="56">
        <f t="shared" si="98"/>
        <v>45175</v>
      </c>
      <c r="B263" s="413">
        <f>'2022'!Wh/'2022'!Env_an*'2023'!Env_an</f>
        <v>40.927597288984224</v>
      </c>
      <c r="C263" s="868"/>
      <c r="D263" s="395">
        <f t="shared" si="77"/>
        <v>42.740055577676621</v>
      </c>
      <c r="E263" s="387">
        <f t="shared" si="100"/>
        <v>46.766550787861974</v>
      </c>
      <c r="F263" s="387">
        <f t="shared" si="78"/>
        <v>47.211565884634872</v>
      </c>
      <c r="G263" s="110">
        <f t="shared" si="101"/>
        <v>0.94200977848916667</v>
      </c>
      <c r="H263" s="416" t="b">
        <f>Wh_hp&gt;='2022'!Maxi_hp</f>
        <v>0</v>
      </c>
      <c r="I263" s="392">
        <f>IF(H263,Wh_hp,'2022'!Maxi_hp)</f>
        <v>51.846079488865243</v>
      </c>
      <c r="J263" s="85">
        <f>IF(H263,An,'2022'!An_max)</f>
        <v>2019</v>
      </c>
      <c r="K263" s="199">
        <f t="shared" si="79"/>
        <v>45175</v>
      </c>
      <c r="L263" s="147">
        <f>IF(t&lt;Tvie,1-EXP((T0-t)*PertePVj)+'2022'!Pspv,1-EXP((T0-t)*PertePVj)+Pspv)</f>
        <v>4.240654964517776E-2</v>
      </c>
      <c r="M263" s="872"/>
      <c r="N263" s="872"/>
      <c r="O263" s="48">
        <f>IF(t&lt;Tnet,'2022'!Resal+('2022'!Salim-'2022'!Resal)*(1-EXP(('2022'!Tnet-t)/('2022'!Tau_j))),Resal+(Salim-Resal)*(1-EXP((Tnet-t)/(Tau_j))))*Salcycl</f>
        <v>8.6097758811633493E-2</v>
      </c>
      <c r="P263" s="171">
        <f>(INDEX(Models!$BJ263:$BT263,,T263)*(1-R263)+INDEX(Models!$BJ263:$BT263,,T263+1)*R263-ERP_i)*Q263*Ramure*Pc/MaxiM</f>
        <v>1.0264625628849633E-2</v>
      </c>
      <c r="Q263" s="307">
        <f t="shared" si="80"/>
        <v>0.9</v>
      </c>
      <c r="R263" s="179">
        <f t="shared" si="81"/>
        <v>8.4909510871707727E-2</v>
      </c>
      <c r="S263" s="839">
        <f t="shared" si="82"/>
        <v>1</v>
      </c>
      <c r="T263" s="178">
        <f t="shared" si="83"/>
        <v>7</v>
      </c>
      <c r="U263" s="253">
        <f t="shared" si="84"/>
        <v>1.0849095108717077</v>
      </c>
      <c r="V263" s="385">
        <f t="shared" si="85"/>
        <v>43.41032089266028</v>
      </c>
      <c r="W263" s="404">
        <f t="shared" si="86"/>
        <v>40.927597288984224</v>
      </c>
      <c r="X263" s="157">
        <f t="shared" si="87"/>
        <v>45175</v>
      </c>
      <c r="Y263" s="387">
        <f t="shared" si="88"/>
        <v>37.040297349793896</v>
      </c>
      <c r="Z263" s="387">
        <f t="shared" si="89"/>
        <v>38.680608494209267</v>
      </c>
      <c r="AA263" s="388">
        <f t="shared" si="90"/>
        <v>46.766550787861974</v>
      </c>
      <c r="AB263" s="199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0.17290012107866148</v>
      </c>
      <c r="AD263" s="233">
        <f>(INDEX(Models!$BJ263:$BT263,,AH263)*(1-AF263)+INDEX(Models!$BJ263:$BT263,,AH263+1)*AF263-ERP_i)*AE263*Ramure*Pc/MaxiM</f>
        <v>1.0264625628849633E-2</v>
      </c>
      <c r="AE263" s="307">
        <f t="shared" si="92"/>
        <v>0.9</v>
      </c>
      <c r="AF263" s="179">
        <f t="shared" si="93"/>
        <v>8.4909510871707727E-2</v>
      </c>
      <c r="AG263" s="839">
        <f t="shared" si="99"/>
        <v>1</v>
      </c>
      <c r="AH263" s="178">
        <f t="shared" si="94"/>
        <v>7</v>
      </c>
      <c r="AI263" s="227">
        <f t="shared" si="95"/>
        <v>1.0849095108717077</v>
      </c>
      <c r="AJ263" s="267" t="b">
        <f t="shared" si="96"/>
        <v>0</v>
      </c>
      <c r="AK263" s="267" t="b">
        <f t="shared" si="97"/>
        <v>0</v>
      </c>
      <c r="AL263" s="267"/>
      <c r="AM263" s="267"/>
      <c r="AN263" s="75"/>
    </row>
    <row r="264" spans="1:40" s="6" customFormat="1" ht="11.25" x14ac:dyDescent="0.2">
      <c r="A264" s="56">
        <f t="shared" si="98"/>
        <v>45176</v>
      </c>
      <c r="B264" s="413">
        <f>'2022'!Wh/'2022'!Env_an*'2023'!Env_an</f>
        <v>33.000245629890905</v>
      </c>
      <c r="C264" s="868"/>
      <c r="D264" s="395">
        <f t="shared" si="77"/>
        <v>34.462447084888673</v>
      </c>
      <c r="E264" s="387">
        <f t="shared" si="100"/>
        <v>37.715164186330441</v>
      </c>
      <c r="F264" s="387">
        <f t="shared" si="78"/>
        <v>37.979676451940563</v>
      </c>
      <c r="G264" s="110">
        <f t="shared" si="101"/>
        <v>0.7635483443770551</v>
      </c>
      <c r="H264" s="416" t="b">
        <f>Wh_hp&gt;='2022'!Maxi_hp</f>
        <v>0</v>
      </c>
      <c r="I264" s="392">
        <f>IF(H264,Wh_hp,'2022'!Maxi_hp)</f>
        <v>50.605106354797776</v>
      </c>
      <c r="J264" s="85">
        <f>IF(H264,An,'2022'!An_max)</f>
        <v>2019</v>
      </c>
      <c r="K264" s="199">
        <f t="shared" si="79"/>
        <v>45176</v>
      </c>
      <c r="L264" s="147">
        <f>IF(t&lt;Tvie,1-EXP((T0-t)*PertePVj)+'2022'!Pspv,1-EXP((T0-t)*PertePVj)+Pspv)</f>
        <v>4.2428834243721569E-2</v>
      </c>
      <c r="M264" s="872"/>
      <c r="N264" s="872"/>
      <c r="O264" s="48">
        <f>IF(t&lt;Tnet,'2022'!Resal+('2022'!Salim-'2022'!Resal)*(1-EXP(('2022'!Tnet-t)/('2022'!Tau_j))),Resal+(Salim-Resal)*(1-EXP((Tnet-t)/(Tau_j))))*Salcycl</f>
        <v>8.6244277908266012E-2</v>
      </c>
      <c r="P264" s="171">
        <f>(INDEX(Models!$BJ264:$BT264,,T264)*(1-R264)+INDEX(Models!$BJ264:$BT264,,T264+1)*R264-ERP_i)*Q264*Ramure*Pc/MaxiM</f>
        <v>1.0456361313793759E-2</v>
      </c>
      <c r="Q264" s="307">
        <f t="shared" si="80"/>
        <v>0.9</v>
      </c>
      <c r="R264" s="179">
        <f t="shared" si="81"/>
        <v>8.5527224825863168E-2</v>
      </c>
      <c r="S264" s="839">
        <f t="shared" si="82"/>
        <v>1</v>
      </c>
      <c r="T264" s="178">
        <f t="shared" si="83"/>
        <v>7</v>
      </c>
      <c r="U264" s="253">
        <f t="shared" si="84"/>
        <v>1.0855272248258632</v>
      </c>
      <c r="V264" s="385">
        <f t="shared" si="85"/>
        <v>43.06761697079002</v>
      </c>
      <c r="W264" s="404">
        <f t="shared" si="86"/>
        <v>33.000245629890905</v>
      </c>
      <c r="X264" s="157">
        <f t="shared" si="87"/>
        <v>45176</v>
      </c>
      <c r="Y264" s="387">
        <f t="shared" si="88"/>
        <v>29.869403874062428</v>
      </c>
      <c r="Z264" s="387">
        <f t="shared" si="89"/>
        <v>31.192881471605219</v>
      </c>
      <c r="AA264" s="388">
        <f t="shared" si="90"/>
        <v>37.715164186330441</v>
      </c>
      <c r="AB264" s="199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0.17293528625520793</v>
      </c>
      <c r="AD264" s="233">
        <f>(INDEX(Models!$BJ264:$BT264,,AH264)*(1-AF264)+INDEX(Models!$BJ264:$BT264,,AH264+1)*AF264-ERP_i)*AE264*Ramure*Pc/MaxiM</f>
        <v>1.0456361313793759E-2</v>
      </c>
      <c r="AE264" s="307">
        <f t="shared" si="92"/>
        <v>0.9</v>
      </c>
      <c r="AF264" s="179">
        <f t="shared" si="93"/>
        <v>8.5527224825863168E-2</v>
      </c>
      <c r="AG264" s="839">
        <f t="shared" si="99"/>
        <v>1</v>
      </c>
      <c r="AH264" s="178">
        <f t="shared" si="94"/>
        <v>7</v>
      </c>
      <c r="AI264" s="227">
        <f t="shared" si="95"/>
        <v>1.0855272248258632</v>
      </c>
      <c r="AJ264" s="267" t="b">
        <f t="shared" si="96"/>
        <v>0</v>
      </c>
      <c r="AK264" s="267" t="b">
        <f t="shared" si="97"/>
        <v>0</v>
      </c>
      <c r="AL264" s="267"/>
      <c r="AM264" s="267"/>
      <c r="AN264" s="75"/>
    </row>
    <row r="265" spans="1:40" s="6" customFormat="1" ht="11.25" x14ac:dyDescent="0.2">
      <c r="A265" s="56">
        <f t="shared" si="98"/>
        <v>45177</v>
      </c>
      <c r="B265" s="413">
        <f>'2022'!Wh/'2022'!Env_an*'2023'!Env_an</f>
        <v>35.516179842937916</v>
      </c>
      <c r="C265" s="868"/>
      <c r="D265" s="395">
        <f t="shared" si="77"/>
        <v>37.090722492163145</v>
      </c>
      <c r="E265" s="387">
        <f t="shared" si="100"/>
        <v>40.59797474129541</v>
      </c>
      <c r="F265" s="387">
        <f t="shared" si="78"/>
        <v>40.928736584505138</v>
      </c>
      <c r="G265" s="110">
        <f t="shared" si="101"/>
        <v>0.82923928069242092</v>
      </c>
      <c r="H265" s="416" t="b">
        <f>Wh_hp&gt;='2022'!Maxi_hp</f>
        <v>0</v>
      </c>
      <c r="I265" s="392">
        <f>IF(H265,Wh_hp,'2022'!Maxi_hp)</f>
        <v>44.460234506845794</v>
      </c>
      <c r="J265" s="85">
        <f>IF(H265,An,'2022'!An_max)</f>
        <v>2019</v>
      </c>
      <c r="K265" s="199">
        <f t="shared" si="79"/>
        <v>45177</v>
      </c>
      <c r="L265" s="147">
        <f>IF(t&lt;Tvie,1-EXP((T0-t)*PertePVj)+'2022'!Pspv,1-EXP((T0-t)*PertePVj)+Pspv)</f>
        <v>4.2451118323670101E-2</v>
      </c>
      <c r="M265" s="872"/>
      <c r="N265" s="872"/>
      <c r="O265" s="48">
        <f>IF(t&lt;Tnet,'2022'!Resal+('2022'!Salim-'2022'!Resal)*(1-EXP(('2022'!Tnet-t)/('2022'!Tau_j))),Resal+(Salim-Resal)*(1-EXP((Tnet-t)/(Tau_j))))*Salcycl</f>
        <v>8.6389832780618028E-2</v>
      </c>
      <c r="P265" s="171">
        <f>(INDEX(Models!$BJ265:$BT265,,T265)*(1-R265)+INDEX(Models!$BJ265:$BT265,,T265+1)*R265-ERP_i)*Q265*Ramure*Pc/MaxiM</f>
        <v>1.0645667950324848E-2</v>
      </c>
      <c r="Q265" s="307">
        <f t="shared" si="80"/>
        <v>0.9</v>
      </c>
      <c r="R265" s="179">
        <f t="shared" si="81"/>
        <v>8.61212947594856E-2</v>
      </c>
      <c r="S265" s="839">
        <f t="shared" si="82"/>
        <v>1</v>
      </c>
      <c r="T265" s="178">
        <f t="shared" si="83"/>
        <v>7</v>
      </c>
      <c r="U265" s="253">
        <f t="shared" si="84"/>
        <v>1.0861212947594856</v>
      </c>
      <c r="V265" s="385">
        <f t="shared" si="85"/>
        <v>42.719111333659207</v>
      </c>
      <c r="W265" s="404">
        <f t="shared" si="86"/>
        <v>35.516179842937916</v>
      </c>
      <c r="X265" s="157">
        <f t="shared" si="87"/>
        <v>45177</v>
      </c>
      <c r="Y265" s="387">
        <f t="shared" si="88"/>
        <v>32.150457953847415</v>
      </c>
      <c r="Z265" s="387">
        <f t="shared" si="89"/>
        <v>33.575787689880976</v>
      </c>
      <c r="AA265" s="388">
        <f t="shared" si="90"/>
        <v>40.59797474129541</v>
      </c>
      <c r="AB265" s="199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0.1729689004479234</v>
      </c>
      <c r="AD265" s="233">
        <f>(INDEX(Models!$BJ265:$BT265,,AH265)*(1-AF265)+INDEX(Models!$BJ265:$BT265,,AH265+1)*AF265-ERP_i)*AE265*Ramure*Pc/MaxiM</f>
        <v>1.0645667950324848E-2</v>
      </c>
      <c r="AE265" s="307">
        <f t="shared" si="92"/>
        <v>0.9</v>
      </c>
      <c r="AF265" s="179">
        <f t="shared" si="93"/>
        <v>8.61212947594856E-2</v>
      </c>
      <c r="AG265" s="839">
        <f t="shared" si="99"/>
        <v>1</v>
      </c>
      <c r="AH265" s="178">
        <f t="shared" si="94"/>
        <v>7</v>
      </c>
      <c r="AI265" s="227">
        <f t="shared" si="95"/>
        <v>1.0861212947594856</v>
      </c>
      <c r="AJ265" s="267" t="b">
        <f t="shared" si="96"/>
        <v>0</v>
      </c>
      <c r="AK265" s="267" t="b">
        <f t="shared" si="97"/>
        <v>0</v>
      </c>
      <c r="AL265" s="267"/>
      <c r="AM265" s="267"/>
      <c r="AN265" s="75"/>
    </row>
    <row r="266" spans="1:40" s="6" customFormat="1" ht="11.25" x14ac:dyDescent="0.2">
      <c r="A266" s="56">
        <f t="shared" si="98"/>
        <v>45178</v>
      </c>
      <c r="B266" s="413">
        <f>'2022'!Wh/'2022'!Env_an*'2023'!Env_an</f>
        <v>20.196241861795023</v>
      </c>
      <c r="C266" s="868"/>
      <c r="D266" s="395">
        <f t="shared" si="77"/>
        <v>21.09209488441822</v>
      </c>
      <c r="E266" s="387">
        <f t="shared" si="100"/>
        <v>23.090190457921711</v>
      </c>
      <c r="F266" s="387">
        <f t="shared" si="78"/>
        <v>23.153507828325044</v>
      </c>
      <c r="G266" s="110">
        <f t="shared" si="101"/>
        <v>0.47284570525806841</v>
      </c>
      <c r="H266" s="416" t="b">
        <f>Wh_hp&gt;='2022'!Maxi_hp</f>
        <v>0</v>
      </c>
      <c r="I266" s="392">
        <f>IF(H266,Wh_hp,'2022'!Maxi_hp)</f>
        <v>45.722632872468637</v>
      </c>
      <c r="J266" s="85">
        <f>IF(H266,An,'2022'!An_max)</f>
        <v>2020</v>
      </c>
      <c r="K266" s="199">
        <f t="shared" si="79"/>
        <v>45178</v>
      </c>
      <c r="L266" s="147">
        <f>IF(t&lt;Tvie,1-EXP((T0-t)*PertePVj)+'2022'!Pspv,1-EXP((T0-t)*PertePVj)+Pspv)</f>
        <v>4.2473401885035567E-2</v>
      </c>
      <c r="M266" s="872"/>
      <c r="N266" s="872"/>
      <c r="O266" s="48">
        <f>IF(t&lt;Tnet,'2022'!Resal+('2022'!Salim-'2022'!Resal)*(1-EXP(('2022'!Tnet-t)/('2022'!Tau_j))),Resal+(Salim-Resal)*(1-EXP((Tnet-t)/(Tau_j))))*Salcycl</f>
        <v>8.6534391179869746E-2</v>
      </c>
      <c r="P266" s="171">
        <f>(INDEX(Models!$BJ266:$BT266,,T266)*(1-R266)+INDEX(Models!$BJ266:$BT266,,T266+1)*R266-ERP_i)*Q266*Ramure*Pc/MaxiM</f>
        <v>1.0832449734452184E-2</v>
      </c>
      <c r="Q266" s="307">
        <f t="shared" si="80"/>
        <v>0.9</v>
      </c>
      <c r="R266" s="179">
        <f t="shared" si="81"/>
        <v>8.6692579279926463E-2</v>
      </c>
      <c r="S266" s="839">
        <f t="shared" si="82"/>
        <v>1</v>
      </c>
      <c r="T266" s="178">
        <f t="shared" si="83"/>
        <v>7</v>
      </c>
      <c r="U266" s="253">
        <f t="shared" si="84"/>
        <v>1.0866925792799265</v>
      </c>
      <c r="V266" s="385">
        <f t="shared" si="85"/>
        <v>42.365297175684852</v>
      </c>
      <c r="W266" s="404">
        <f t="shared" si="86"/>
        <v>20.196241861795023</v>
      </c>
      <c r="X266" s="157">
        <f t="shared" si="87"/>
        <v>45178</v>
      </c>
      <c r="Y266" s="387">
        <f t="shared" si="88"/>
        <v>18.284512933015403</v>
      </c>
      <c r="Z266" s="387">
        <f t="shared" si="89"/>
        <v>19.095566607769669</v>
      </c>
      <c r="AA266" s="388">
        <f t="shared" si="90"/>
        <v>23.090190457921711</v>
      </c>
      <c r="AB266" s="199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0.17300090518662567</v>
      </c>
      <c r="AD266" s="233">
        <f>(INDEX(Models!$BJ266:$BT266,,AH266)*(1-AF266)+INDEX(Models!$BJ266:$BT266,,AH266+1)*AF266-ERP_i)*AE266*Ramure*Pc/MaxiM</f>
        <v>1.0832449734452184E-2</v>
      </c>
      <c r="AE266" s="307">
        <f t="shared" si="92"/>
        <v>0.9</v>
      </c>
      <c r="AF266" s="179">
        <f t="shared" si="93"/>
        <v>8.6692579279926463E-2</v>
      </c>
      <c r="AG266" s="839">
        <f t="shared" si="99"/>
        <v>1</v>
      </c>
      <c r="AH266" s="178">
        <f t="shared" si="94"/>
        <v>7</v>
      </c>
      <c r="AI266" s="227">
        <f t="shared" si="95"/>
        <v>1.0866925792799265</v>
      </c>
      <c r="AJ266" s="267" t="b">
        <f t="shared" si="96"/>
        <v>0</v>
      </c>
      <c r="AK266" s="267" t="b">
        <f t="shared" si="97"/>
        <v>0</v>
      </c>
      <c r="AL266" s="267"/>
      <c r="AM266" s="267"/>
      <c r="AN266" s="75"/>
    </row>
    <row r="267" spans="1:40" s="6" customFormat="1" ht="11.25" x14ac:dyDescent="0.2">
      <c r="A267" s="56">
        <f t="shared" si="98"/>
        <v>45179</v>
      </c>
      <c r="B267" s="413">
        <f>'2022'!Wh/'2022'!Env_an*'2023'!Env_an</f>
        <v>39.718110767367619</v>
      </c>
      <c r="C267" s="868"/>
      <c r="D267" s="395">
        <f t="shared" si="77"/>
        <v>41.480868693917003</v>
      </c>
      <c r="E267" s="387">
        <f t="shared" si="100"/>
        <v>45.41756909120231</v>
      </c>
      <c r="F267" s="387">
        <f t="shared" si="78"/>
        <v>45.883709883514463</v>
      </c>
      <c r="G267" s="110">
        <f t="shared" si="101"/>
        <v>0.9447001804275692</v>
      </c>
      <c r="H267" s="416" t="b">
        <f>Wh_hp&gt;='2022'!Maxi_hp</f>
        <v>0</v>
      </c>
      <c r="I267" s="392">
        <f>IF(H267,Wh_hp,'2022'!Maxi_hp)</f>
        <v>45.892389083672228</v>
      </c>
      <c r="J267" s="85">
        <f>IF(H267,An,'2022'!An_max)</f>
        <v>2022</v>
      </c>
      <c r="K267" s="199">
        <f t="shared" si="79"/>
        <v>45179</v>
      </c>
      <c r="L267" s="147">
        <f>IF(t&lt;Tvie,1-EXP((T0-t)*PertePVj)+'2022'!Pspv,1-EXP((T0-t)*PertePVj)+Pspv)</f>
        <v>4.2495684927830069E-2</v>
      </c>
      <c r="M267" s="872"/>
      <c r="N267" s="872"/>
      <c r="O267" s="48">
        <f>IF(t&lt;Tnet,'2022'!Resal+('2022'!Salim-'2022'!Resal)*(1-EXP(('2022'!Tnet-t)/('2022'!Tau_j))),Resal+(Salim-Resal)*(1-EXP((Tnet-t)/(Tau_j))))*Salcycl</f>
        <v>8.6677919493667377E-2</v>
      </c>
      <c r="P267" s="171">
        <f>(INDEX(Models!$BJ267:$BT267,,T267)*(1-R267)+INDEX(Models!$BJ267:$BT267,,T267+1)*R267-ERP_i)*Q267*Ramure*Pc/MaxiM</f>
        <v>1.1016596833876929E-2</v>
      </c>
      <c r="Q267" s="307">
        <f t="shared" si="80"/>
        <v>0.9</v>
      </c>
      <c r="R267" s="179">
        <f t="shared" si="81"/>
        <v>8.72419094047443E-2</v>
      </c>
      <c r="S267" s="839">
        <f t="shared" si="82"/>
        <v>1</v>
      </c>
      <c r="T267" s="178">
        <f t="shared" si="83"/>
        <v>7</v>
      </c>
      <c r="U267" s="253">
        <f t="shared" si="84"/>
        <v>1.0872419094047443</v>
      </c>
      <c r="V267" s="385">
        <f t="shared" si="85"/>
        <v>42.006667327192702</v>
      </c>
      <c r="W267" s="404">
        <f t="shared" si="86"/>
        <v>39.718110767367619</v>
      </c>
      <c r="X267" s="157">
        <f t="shared" si="87"/>
        <v>45179</v>
      </c>
      <c r="Y267" s="387">
        <f t="shared" si="88"/>
        <v>35.962819171532097</v>
      </c>
      <c r="Z267" s="387">
        <f t="shared" si="89"/>
        <v>37.558910811614957</v>
      </c>
      <c r="AA267" s="388">
        <f t="shared" si="90"/>
        <v>45.41756909120231</v>
      </c>
      <c r="AB267" s="199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0.17303123960259748</v>
      </c>
      <c r="AD267" s="233">
        <f>(INDEX(Models!$BJ267:$BT267,,AH267)*(1-AF267)+INDEX(Models!$BJ267:$BT267,,AH267+1)*AF267-ERP_i)*AE267*Ramure*Pc/MaxiM</f>
        <v>1.1016596833876929E-2</v>
      </c>
      <c r="AE267" s="307">
        <f t="shared" si="92"/>
        <v>0.9</v>
      </c>
      <c r="AF267" s="179">
        <f t="shared" si="93"/>
        <v>8.72419094047443E-2</v>
      </c>
      <c r="AG267" s="839">
        <f t="shared" si="99"/>
        <v>1</v>
      </c>
      <c r="AH267" s="178">
        <f t="shared" si="94"/>
        <v>7</v>
      </c>
      <c r="AI267" s="227">
        <f t="shared" si="95"/>
        <v>1.0872419094047443</v>
      </c>
      <c r="AJ267" s="267" t="b">
        <f t="shared" si="96"/>
        <v>0</v>
      </c>
      <c r="AK267" s="267" t="b">
        <f t="shared" si="97"/>
        <v>0</v>
      </c>
      <c r="AL267" s="267"/>
      <c r="AM267" s="267"/>
      <c r="AN267" s="75"/>
    </row>
    <row r="268" spans="1:40" s="6" customFormat="1" ht="11.25" x14ac:dyDescent="0.2">
      <c r="A268" s="56">
        <f t="shared" si="98"/>
        <v>45180</v>
      </c>
      <c r="B268" s="413">
        <f>'2022'!Wh/'2022'!Env_an*'2023'!Env_an</f>
        <v>39.568573218323472</v>
      </c>
      <c r="C268" s="868"/>
      <c r="D268" s="395">
        <f t="shared" si="77"/>
        <v>41.32565612017639</v>
      </c>
      <c r="E268" s="387">
        <f t="shared" si="100"/>
        <v>45.254685210075785</v>
      </c>
      <c r="F268" s="387">
        <f t="shared" si="78"/>
        <v>45.730237108874299</v>
      </c>
      <c r="G268" s="110">
        <f t="shared" si="101"/>
        <v>0.94940208338329546</v>
      </c>
      <c r="H268" s="416" t="b">
        <f>Wh_hp&gt;='2022'!Maxi_hp</f>
        <v>0</v>
      </c>
      <c r="I268" s="392">
        <f>IF(H268,Wh_hp,'2022'!Maxi_hp)</f>
        <v>45.738259725642457</v>
      </c>
      <c r="J268" s="85">
        <f>IF(H268,An,'2022'!An_max)</f>
        <v>2022</v>
      </c>
      <c r="K268" s="199">
        <f t="shared" si="79"/>
        <v>45180</v>
      </c>
      <c r="L268" s="147">
        <f>IF(t&lt;Tvie,1-EXP((T0-t)*PertePVj)+'2022'!Pspv,1-EXP((T0-t)*PertePVj)+Pspv)</f>
        <v>4.2517967452065597E-2</v>
      </c>
      <c r="M268" s="872"/>
      <c r="N268" s="872"/>
      <c r="O268" s="48">
        <f>IF(t&lt;Tnet,'2022'!Resal+('2022'!Salim-'2022'!Resal)*(1-EXP(('2022'!Tnet-t)/('2022'!Tau_j))),Resal+(Salim-Resal)*(1-EXP((Tnet-t)/(Tau_j))))*Salcycl</f>
        <v>8.6820382721933237E-2</v>
      </c>
      <c r="P268" s="171">
        <f>(INDEX(Models!$BJ268:$BT268,,T268)*(1-R268)+INDEX(Models!$BJ268:$BT268,,T268+1)*R268-ERP_i)*Q268*Ramure*Pc/MaxiM</f>
        <v>1.1196114682700552E-2</v>
      </c>
      <c r="Q268" s="307">
        <f t="shared" si="80"/>
        <v>0.9</v>
      </c>
      <c r="R268" s="179">
        <f t="shared" si="81"/>
        <v>8.7770089164885379E-2</v>
      </c>
      <c r="S268" s="839">
        <f t="shared" si="82"/>
        <v>1</v>
      </c>
      <c r="T268" s="178">
        <f t="shared" si="83"/>
        <v>7</v>
      </c>
      <c r="U268" s="253">
        <f t="shared" si="84"/>
        <v>1.0877700891648854</v>
      </c>
      <c r="V268" s="385">
        <f t="shared" si="85"/>
        <v>41.643793019620084</v>
      </c>
      <c r="W268" s="404">
        <f t="shared" si="86"/>
        <v>39.568573218323472</v>
      </c>
      <c r="X268" s="157">
        <f t="shared" si="87"/>
        <v>45180</v>
      </c>
      <c r="Y268" s="387">
        <f t="shared" si="88"/>
        <v>35.831770260020825</v>
      </c>
      <c r="Z268" s="387">
        <f t="shared" si="89"/>
        <v>37.42291661042421</v>
      </c>
      <c r="AA268" s="388">
        <f t="shared" si="90"/>
        <v>45.254685210075785</v>
      </c>
      <c r="AB268" s="199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0.17305984039654448</v>
      </c>
      <c r="AD268" s="233">
        <f>(INDEX(Models!$BJ268:$BT268,,AH268)*(1-AF268)+INDEX(Models!$BJ268:$BT268,,AH268+1)*AF268-ERP_i)*AE268*Ramure*Pc/MaxiM</f>
        <v>1.1196114682700552E-2</v>
      </c>
      <c r="AE268" s="307">
        <f t="shared" si="92"/>
        <v>0.9</v>
      </c>
      <c r="AF268" s="179">
        <f t="shared" si="93"/>
        <v>8.7770089164885379E-2</v>
      </c>
      <c r="AG268" s="839">
        <f t="shared" si="99"/>
        <v>1</v>
      </c>
      <c r="AH268" s="178">
        <f t="shared" si="94"/>
        <v>7</v>
      </c>
      <c r="AI268" s="227">
        <f t="shared" si="95"/>
        <v>1.0877700891648854</v>
      </c>
      <c r="AJ268" s="267" t="b">
        <f t="shared" si="96"/>
        <v>0</v>
      </c>
      <c r="AK268" s="267" t="b">
        <f t="shared" si="97"/>
        <v>0</v>
      </c>
      <c r="AL268" s="267"/>
      <c r="AM268" s="267"/>
      <c r="AN268" s="75"/>
    </row>
    <row r="269" spans="1:40" s="6" customFormat="1" ht="11.25" x14ac:dyDescent="0.2">
      <c r="A269" s="56">
        <f t="shared" si="98"/>
        <v>45181</v>
      </c>
      <c r="B269" s="413">
        <f>'2022'!Wh/'2022'!Env_an*'2023'!Env_an</f>
        <v>27.504354714944384</v>
      </c>
      <c r="C269" s="868"/>
      <c r="D269" s="395">
        <f t="shared" si="77"/>
        <v>28.726382178851509</v>
      </c>
      <c r="E269" s="387">
        <f t="shared" si="100"/>
        <v>31.462408069689616</v>
      </c>
      <c r="F269" s="387">
        <f t="shared" si="78"/>
        <v>31.650819208846563</v>
      </c>
      <c r="G269" s="110">
        <f t="shared" si="101"/>
        <v>0.66270158179967054</v>
      </c>
      <c r="H269" s="416" t="b">
        <f>Wh_hp&gt;='2022'!Maxi_hp</f>
        <v>0</v>
      </c>
      <c r="I269" s="392">
        <f>IF(H269,Wh_hp,'2022'!Maxi_hp)</f>
        <v>47.211932330727613</v>
      </c>
      <c r="J269" s="85">
        <f>IF(H269,An,'2022'!An_max)</f>
        <v>2019</v>
      </c>
      <c r="K269" s="199">
        <f t="shared" si="79"/>
        <v>45181</v>
      </c>
      <c r="L269" s="147">
        <f>IF(t&lt;Tvie,1-EXP((T0-t)*PertePVj)+'2022'!Pspv,1-EXP((T0-t)*PertePVj)+Pspv)</f>
        <v>4.2540249457754142E-2</v>
      </c>
      <c r="M269" s="872"/>
      <c r="N269" s="872"/>
      <c r="O269" s="48">
        <f>IF(t&lt;Tnet,'2022'!Resal+('2022'!Salim-'2022'!Resal)*(1-EXP(('2022'!Tnet-t)/('2022'!Tau_j))),Resal+(Salim-Resal)*(1-EXP((Tnet-t)/(Tau_j))))*Salcycl</f>
        <v>8.6961744465896426E-2</v>
      </c>
      <c r="P269" s="171">
        <f>(INDEX(Models!$BJ269:$BT269,,T269)*(1-R269)+INDEX(Models!$BJ269:$BT269,,T269+1)*R269-ERP_i)*Q269*Ramure*Pc/MaxiM</f>
        <v>1.1374702173882791E-2</v>
      </c>
      <c r="Q269" s="307">
        <f t="shared" si="80"/>
        <v>0.9</v>
      </c>
      <c r="R269" s="179">
        <f t="shared" si="81"/>
        <v>8.8277896218898588E-2</v>
      </c>
      <c r="S269" s="839">
        <f t="shared" si="82"/>
        <v>1</v>
      </c>
      <c r="T269" s="178">
        <f t="shared" si="83"/>
        <v>7</v>
      </c>
      <c r="U269" s="253">
        <f t="shared" si="84"/>
        <v>1.0882778962188986</v>
      </c>
      <c r="V269" s="385">
        <f t="shared" si="85"/>
        <v>41.277004064435864</v>
      </c>
      <c r="W269" s="404">
        <f t="shared" si="86"/>
        <v>27.504354714944384</v>
      </c>
      <c r="X269" s="157">
        <f t="shared" si="87"/>
        <v>45181</v>
      </c>
      <c r="Y269" s="387">
        <f t="shared" si="88"/>
        <v>24.909929221141919</v>
      </c>
      <c r="Z269" s="387">
        <f t="shared" si="89"/>
        <v>26.016685512925719</v>
      </c>
      <c r="AA269" s="388">
        <f t="shared" si="90"/>
        <v>31.462408069689616</v>
      </c>
      <c r="AB269" s="199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0.17308664183305858</v>
      </c>
      <c r="AD269" s="233">
        <f>(INDEX(Models!$BJ269:$BT269,,AH269)*(1-AF269)+INDEX(Models!$BJ269:$BT269,,AH269+1)*AF269-ERP_i)*AE269*Ramure*Pc/MaxiM</f>
        <v>1.1374702173882791E-2</v>
      </c>
      <c r="AE269" s="307">
        <f t="shared" si="92"/>
        <v>0.9</v>
      </c>
      <c r="AF269" s="179">
        <f t="shared" si="93"/>
        <v>8.8277896218898588E-2</v>
      </c>
      <c r="AG269" s="839">
        <f t="shared" si="99"/>
        <v>1</v>
      </c>
      <c r="AH269" s="178">
        <f t="shared" si="94"/>
        <v>7</v>
      </c>
      <c r="AI269" s="227">
        <f t="shared" si="95"/>
        <v>1.0882778962188986</v>
      </c>
      <c r="AJ269" s="267" t="b">
        <f t="shared" si="96"/>
        <v>0</v>
      </c>
      <c r="AK269" s="267" t="b">
        <f t="shared" si="97"/>
        <v>0</v>
      </c>
      <c r="AL269" s="267"/>
      <c r="AM269" s="267"/>
      <c r="AN269" s="75"/>
    </row>
    <row r="270" spans="1:40" s="6" customFormat="1" ht="11.25" x14ac:dyDescent="0.2">
      <c r="A270" s="56">
        <f t="shared" si="98"/>
        <v>45182</v>
      </c>
      <c r="B270" s="413">
        <f>'2022'!Wh/'2022'!Env_an*'2023'!Env_an</f>
        <v>11.419222174838582</v>
      </c>
      <c r="C270" s="868"/>
      <c r="D270" s="395">
        <f t="shared" si="77"/>
        <v>11.92685950144438</v>
      </c>
      <c r="E270" s="387">
        <f t="shared" si="100"/>
        <v>13.064832072605709</v>
      </c>
      <c r="F270" s="387">
        <f t="shared" si="78"/>
        <v>13.064832072605709</v>
      </c>
      <c r="G270" s="110">
        <f t="shared" si="101"/>
        <v>0.27592738961109592</v>
      </c>
      <c r="H270" s="416" t="b">
        <f>Wh_hp&gt;='2022'!Maxi_hp</f>
        <v>0</v>
      </c>
      <c r="I270" s="392">
        <f>IF(H270,Wh_hp,'2022'!Maxi_hp)</f>
        <v>44.152198897789638</v>
      </c>
      <c r="J270" s="85">
        <f>IF(H270,An,'2022'!An_max)</f>
        <v>2020</v>
      </c>
      <c r="K270" s="199">
        <f t="shared" si="79"/>
        <v>45182</v>
      </c>
      <c r="L270" s="147">
        <f>IF(t&lt;Tvie,1-EXP((T0-t)*PertePVj)+'2022'!Pspv,1-EXP((T0-t)*PertePVj)+Pspv)</f>
        <v>4.2562530944908028E-2</v>
      </c>
      <c r="M270" s="872"/>
      <c r="N270" s="872"/>
      <c r="O270" s="48">
        <f>IF(t&lt;Tnet,'2022'!Resal+('2022'!Salim-'2022'!Resal)*(1-EXP(('2022'!Tnet-t)/('2022'!Tau_j))),Resal+(Salim-Resal)*(1-EXP((Tnet-t)/(Tau_j))))*Salcycl</f>
        <v>8.7101966932083705E-2</v>
      </c>
      <c r="P270" s="171">
        <f>(INDEX(Models!$BJ270:$BT270,,T270)*(1-R270)+INDEX(Models!$BJ270:$BT270,,T270+1)*R270-ERP_i)*Q270*Ramure*Pc/MaxiM</f>
        <v>1.155229046277295E-2</v>
      </c>
      <c r="Q270" s="307">
        <f t="shared" si="80"/>
        <v>0.9</v>
      </c>
      <c r="R270" s="179">
        <f t="shared" si="81"/>
        <v>8.8766082475461916E-2</v>
      </c>
      <c r="S270" s="839">
        <f t="shared" si="82"/>
        <v>1</v>
      </c>
      <c r="T270" s="178">
        <f t="shared" si="83"/>
        <v>7</v>
      </c>
      <c r="U270" s="253">
        <f t="shared" si="84"/>
        <v>1.0887660824754619</v>
      </c>
      <c r="V270" s="385">
        <f t="shared" si="85"/>
        <v>40.90679080219158</v>
      </c>
      <c r="W270" s="404">
        <f t="shared" si="86"/>
        <v>11.419222174838582</v>
      </c>
      <c r="X270" s="157">
        <f t="shared" si="87"/>
        <v>45182</v>
      </c>
      <c r="Y270" s="387">
        <f t="shared" si="88"/>
        <v>10.343348641481615</v>
      </c>
      <c r="Z270" s="387">
        <f t="shared" si="89"/>
        <v>10.803158405414827</v>
      </c>
      <c r="AA270" s="388">
        <f t="shared" si="90"/>
        <v>13.064832072605709</v>
      </c>
      <c r="AB270" s="199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0.1731115757647701</v>
      </c>
      <c r="AD270" s="233">
        <f>(INDEX(Models!$BJ270:$BT270,,AH270)*(1-AF270)+INDEX(Models!$BJ270:$BT270,,AH270+1)*AF270-ERP_i)*AE270*Ramure*Pc/MaxiM</f>
        <v>1.155229046277295E-2</v>
      </c>
      <c r="AE270" s="307">
        <f t="shared" si="92"/>
        <v>0.9</v>
      </c>
      <c r="AF270" s="179">
        <f t="shared" si="93"/>
        <v>8.8766082475461916E-2</v>
      </c>
      <c r="AG270" s="839">
        <f t="shared" si="99"/>
        <v>1</v>
      </c>
      <c r="AH270" s="178">
        <f t="shared" si="94"/>
        <v>7</v>
      </c>
      <c r="AI270" s="227">
        <f t="shared" si="95"/>
        <v>1.0887660824754619</v>
      </c>
      <c r="AJ270" s="267" t="b">
        <f t="shared" si="96"/>
        <v>0</v>
      </c>
      <c r="AK270" s="267" t="b">
        <f t="shared" si="97"/>
        <v>0</v>
      </c>
      <c r="AL270" s="267"/>
      <c r="AM270" s="267"/>
      <c r="AN270" s="75"/>
    </row>
    <row r="271" spans="1:40" s="6" customFormat="1" ht="11.25" x14ac:dyDescent="0.2">
      <c r="A271" s="56">
        <f t="shared" si="98"/>
        <v>45183</v>
      </c>
      <c r="B271" s="413">
        <f>'2022'!Wh/'2022'!Env_an*'2023'!Env_an</f>
        <v>33.386907043687188</v>
      </c>
      <c r="C271" s="868"/>
      <c r="D271" s="395">
        <f t="shared" ref="D271:D334" si="102">Wh/(1-Ppv)</f>
        <v>34.871921251234767</v>
      </c>
      <c r="E271" s="387">
        <f t="shared" si="100"/>
        <v>38.204960640968245</v>
      </c>
      <c r="F271" s="387">
        <f t="shared" ref="F271:F334" si="103">Wh_sa/(1-Pvg*MEDIAN((-Sdif+Wh/Env_an)/Csdif,0,1))</f>
        <v>38.543159307845158</v>
      </c>
      <c r="G271" s="110">
        <f t="shared" si="101"/>
        <v>0.82122893145278808</v>
      </c>
      <c r="H271" s="416" t="b">
        <f>Wh_hp&gt;='2022'!Maxi_hp</f>
        <v>0</v>
      </c>
      <c r="I271" s="392">
        <f>IF(H271,Wh_hp,'2022'!Maxi_hp)</f>
        <v>43.575578607161226</v>
      </c>
      <c r="J271" s="85">
        <f>IF(H271,An,'2022'!An_max)</f>
        <v>2020</v>
      </c>
      <c r="K271" s="199">
        <f t="shared" ref="K271:K334" si="104">t</f>
        <v>45183</v>
      </c>
      <c r="L271" s="147">
        <f>IF(t&lt;Tvie,1-EXP((T0-t)*PertePVj)+'2022'!Pspv,1-EXP((T0-t)*PertePVj)+Pspv)</f>
        <v>4.2584811913539022E-2</v>
      </c>
      <c r="M271" s="872"/>
      <c r="N271" s="872"/>
      <c r="O271" s="48">
        <f>IF(t&lt;Tnet,'2022'!Resal+('2022'!Salim-'2022'!Resal)*(1-EXP(('2022'!Tnet-t)/('2022'!Tau_j))),Resal+(Salim-Resal)*(1-EXP((Tnet-t)/(Tau_j))))*Salcycl</f>
        <v>8.7241010952890954E-2</v>
      </c>
      <c r="P271" s="171">
        <f>(INDEX(Models!$BJ271:$BT271,,T271)*(1-R271)+INDEX(Models!$BJ271:$BT271,,T271+1)*R271-ERP_i)*Q271*Ramure*Pc/MaxiM</f>
        <v>1.172879639820194E-2</v>
      </c>
      <c r="Q271" s="307">
        <f t="shared" ref="Q271:Q334" si="105">IF(OR(t&lt;Ttai,Notai),Dd+PousD*Croivg,Dens+PousD*(Croivg-Croi_tai))</f>
        <v>0.9</v>
      </c>
      <c r="R271" s="179">
        <f t="shared" ref="R271:R334" si="106">(Hp_vg-S271)/(INDEX(Echel_vg,T271+1)-S271)</f>
        <v>8.9235374721739591E-2</v>
      </c>
      <c r="S271" s="839">
        <f t="shared" ref="S271:S334" si="107">INDEX(Echel_vg,T271)</f>
        <v>1</v>
      </c>
      <c r="T271" s="178">
        <f t="shared" ref="T271:T334" si="108">MIN(MATCH(Hp_vg,Echel_vg),10)</f>
        <v>7</v>
      </c>
      <c r="U271" s="253">
        <f t="shared" ref="U271:U334" si="109">IF(OR(t&lt;Ttai,Notai),Hdd+PousH*Croivg,Hdtf+PousH*(Croivg-Croi_tai))</f>
        <v>1.0892353747217396</v>
      </c>
      <c r="V271" s="385">
        <f t="shared" ref="V271:V334" si="110">MaxiM*(1-Ppv)*(1-Pvg)*(1-Psa)</f>
        <v>40.533643314010881</v>
      </c>
      <c r="W271" s="404">
        <f t="shared" ref="W271:W334" si="111">Wh*(A271&gt;Tmaj)</f>
        <v>33.386907043687188</v>
      </c>
      <c r="X271" s="157">
        <f t="shared" ref="X271:X334" si="112">t</f>
        <v>45183</v>
      </c>
      <c r="Y271" s="387">
        <f t="shared" ref="Y271:Y334" si="113">Wh_pvt_s*(1-Ppv)</f>
        <v>30.245091556397423</v>
      </c>
      <c r="Z271" s="387">
        <f t="shared" ref="Z271:Z334" si="114">Wh_sa_s*(1-Psa_s)</f>
        <v>31.590361143995231</v>
      </c>
      <c r="AA271" s="388">
        <f t="shared" ref="AA271:AA334" si="115">Wh_hp*(1-Pvg_s*MEDIAN((-Sdif+Wh/Env_an)/Csdif,0,1))</f>
        <v>38.204960640968245</v>
      </c>
      <c r="AB271" s="199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0.17313457168910143</v>
      </c>
      <c r="AD271" s="233">
        <f>(INDEX(Models!$BJ271:$BT271,,AH271)*(1-AF271)+INDEX(Models!$BJ271:$BT271,,AH271+1)*AF271-ERP_i)*AE271*Ramure*Pc/MaxiM</f>
        <v>1.172879639820194E-2</v>
      </c>
      <c r="AE271" s="307">
        <f t="shared" ref="AE271:AE334" si="117">IF(OR(t&lt;Ttai,Notai),Dd_s+PousD*Croivg,Dens_s+PousD*(Croivg-Croi_tai))</f>
        <v>0.9</v>
      </c>
      <c r="AF271" s="179">
        <f t="shared" ref="AF271:AF334" si="118">(Hp_vg_s-AG271)/(INDEX(Echel_vg,AH271+1)-AG271)</f>
        <v>8.9235374721739591E-2</v>
      </c>
      <c r="AG271" s="839">
        <f t="shared" si="99"/>
        <v>1</v>
      </c>
      <c r="AH271" s="178">
        <f t="shared" ref="AH271:AH334" si="119">MIN(MATCH(Hp_vg_s,Echel_vg),10)</f>
        <v>7</v>
      </c>
      <c r="AI271" s="227">
        <f t="shared" ref="AI271:AI334" si="120">IF(OR(t&lt;Ttai,Notai),Hdd_s+PousH*Croivg,Hdtai_s+PousH*(Croivg-Croi_tai))</f>
        <v>1.0892353747217396</v>
      </c>
      <c r="AJ271" s="267" t="b">
        <f t="shared" ref="AJ271:AJ334" si="121">t&lt;Tnet</f>
        <v>0</v>
      </c>
      <c r="AK271" s="267" t="b">
        <f t="shared" ref="AK271:AK334" si="122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23">A271+1</f>
        <v>45184</v>
      </c>
      <c r="B272" s="413">
        <f>'2022'!Wh/'2022'!Env_an*'2023'!Env_an</f>
        <v>36.43345940728355</v>
      </c>
      <c r="C272" s="868"/>
      <c r="D272" s="395">
        <f t="shared" si="102"/>
        <v>38.054866624437707</v>
      </c>
      <c r="E272" s="387">
        <f t="shared" si="100"/>
        <v>41.69842660529072</v>
      </c>
      <c r="F272" s="387">
        <f t="shared" si="103"/>
        <v>42.13353347064696</v>
      </c>
      <c r="G272" s="110">
        <f t="shared" si="101"/>
        <v>0.90580576428224524</v>
      </c>
      <c r="H272" s="416" t="b">
        <f>Wh_hp&gt;='2022'!Maxi_hp</f>
        <v>0</v>
      </c>
      <c r="I272" s="392">
        <f>IF(H272,Wh_hp,'2022'!Maxi_hp)</f>
        <v>44.117844760090314</v>
      </c>
      <c r="J272" s="85">
        <f>IF(H272,An,'2022'!An_max)</f>
        <v>2020</v>
      </c>
      <c r="K272" s="199">
        <f t="shared" si="104"/>
        <v>45184</v>
      </c>
      <c r="L272" s="147">
        <f>IF(t&lt;Tvie,1-EXP((T0-t)*PertePVj)+'2022'!Pspv,1-EXP((T0-t)*PertePVj)+Pspv)</f>
        <v>4.2607092363659338E-2</v>
      </c>
      <c r="M272" s="872"/>
      <c r="N272" s="872"/>
      <c r="O272" s="48">
        <f>IF(t&lt;Tnet,'2022'!Resal+('2022'!Salim-'2022'!Resal)*(1-EXP(('2022'!Tnet-t)/('2022'!Tau_j))),Resal+(Salim-Resal)*(1-EXP((Tnet-t)/(Tau_j))))*Salcycl</f>
        <v>8.7378836025211404E-2</v>
      </c>
      <c r="P272" s="171">
        <f>(INDEX(Models!$BJ272:$BT272,,T272)*(1-R272)+INDEX(Models!$BJ272:$BT272,,T272+1)*R272-ERP_i)*Q272*Ramure*Pc/MaxiM</f>
        <v>1.1904122093129781E-2</v>
      </c>
      <c r="Q272" s="307">
        <f t="shared" si="105"/>
        <v>0.9</v>
      </c>
      <c r="R272" s="179">
        <f t="shared" si="106"/>
        <v>8.9686475255304154E-2</v>
      </c>
      <c r="S272" s="839">
        <f t="shared" si="107"/>
        <v>1</v>
      </c>
      <c r="T272" s="178">
        <f t="shared" si="108"/>
        <v>7</v>
      </c>
      <c r="U272" s="253">
        <f t="shared" si="109"/>
        <v>1.0896864752553042</v>
      </c>
      <c r="V272" s="385">
        <f t="shared" si="110"/>
        <v>40.15805142204124</v>
      </c>
      <c r="W272" s="404">
        <f t="shared" si="111"/>
        <v>36.43345940728355</v>
      </c>
      <c r="X272" s="157">
        <f t="shared" si="112"/>
        <v>45184</v>
      </c>
      <c r="Y272" s="387">
        <f t="shared" si="113"/>
        <v>33.009100210645684</v>
      </c>
      <c r="Z272" s="387">
        <f t="shared" si="114"/>
        <v>34.478112327090656</v>
      </c>
      <c r="AA272" s="388">
        <f t="shared" si="115"/>
        <v>41.69842660529072</v>
      </c>
      <c r="AB272" s="199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0.17315555684021761</v>
      </c>
      <c r="AD272" s="233">
        <f>(INDEX(Models!$BJ272:$BT272,,AH272)*(1-AF272)+INDEX(Models!$BJ272:$BT272,,AH272+1)*AF272-ERP_i)*AE272*Ramure*Pc/MaxiM</f>
        <v>1.1904122093129781E-2</v>
      </c>
      <c r="AE272" s="307">
        <f t="shared" si="117"/>
        <v>0.9</v>
      </c>
      <c r="AF272" s="179">
        <f t="shared" si="118"/>
        <v>8.9686475255304154E-2</v>
      </c>
      <c r="AG272" s="839">
        <f t="shared" ref="AG272:AG335" si="124">INDEX(Echel_vg,AH272)</f>
        <v>1</v>
      </c>
      <c r="AH272" s="178">
        <f t="shared" si="119"/>
        <v>7</v>
      </c>
      <c r="AI272" s="227">
        <f t="shared" si="120"/>
        <v>1.0896864752553042</v>
      </c>
      <c r="AJ272" s="267" t="b">
        <f t="shared" si="121"/>
        <v>0</v>
      </c>
      <c r="AK272" s="267" t="b">
        <f t="shared" si="122"/>
        <v>0</v>
      </c>
      <c r="AL272" s="267"/>
      <c r="AM272" s="267"/>
      <c r="AN272" s="75"/>
    </row>
    <row r="273" spans="1:40" s="6" customFormat="1" ht="11.25" x14ac:dyDescent="0.2">
      <c r="A273" s="56">
        <f t="shared" si="123"/>
        <v>45185</v>
      </c>
      <c r="B273" s="413">
        <f>'2022'!Wh/'2022'!Env_an*'2023'!Env_an</f>
        <v>25.146594123161268</v>
      </c>
      <c r="C273" s="868"/>
      <c r="D273" s="395">
        <f t="shared" si="102"/>
        <v>26.266310450164774</v>
      </c>
      <c r="E273" s="387">
        <f t="shared" si="100"/>
        <v>28.785483569553222</v>
      </c>
      <c r="F273" s="387">
        <f t="shared" si="103"/>
        <v>28.951398287263046</v>
      </c>
      <c r="G273" s="110">
        <f t="shared" si="101"/>
        <v>0.62809811047393038</v>
      </c>
      <c r="H273" s="416" t="b">
        <f>Wh_hp&gt;='2022'!Maxi_hp</f>
        <v>0</v>
      </c>
      <c r="I273" s="392">
        <f>IF(H273,Wh_hp,'2022'!Maxi_hp)</f>
        <v>41.206187812934779</v>
      </c>
      <c r="J273" s="85">
        <f>IF(H273,An,'2022'!An_max)</f>
        <v>2019</v>
      </c>
      <c r="K273" s="199">
        <f t="shared" si="104"/>
        <v>45185</v>
      </c>
      <c r="L273" s="147">
        <f>IF(t&lt;Tvie,1-EXP((T0-t)*PertePVj)+'2022'!Pspv,1-EXP((T0-t)*PertePVj)+Pspv)</f>
        <v>4.2629372295281076E-2</v>
      </c>
      <c r="M273" s="872"/>
      <c r="N273" s="872"/>
      <c r="O273" s="48">
        <f>IF(t&lt;Tnet,'2022'!Resal+('2022'!Salim-'2022'!Resal)*(1-EXP(('2022'!Tnet-t)/('2022'!Tau_j))),Resal+(Salim-Resal)*(1-EXP((Tnet-t)/(Tau_j))))*Salcycl</f>
        <v>8.7515400368434595E-2</v>
      </c>
      <c r="P273" s="171">
        <f>(INDEX(Models!$BJ273:$BT273,,T273)*(1-R273)+INDEX(Models!$BJ273:$BT273,,T273+1)*R273-ERP_i)*Q273*Ramure*Pc/MaxiM</f>
        <v>1.2078154469783992E-2</v>
      </c>
      <c r="Q273" s="307">
        <f t="shared" si="105"/>
        <v>0.9</v>
      </c>
      <c r="R273" s="179">
        <f t="shared" si="106"/>
        <v>9.0120062517569544E-2</v>
      </c>
      <c r="S273" s="839">
        <f t="shared" si="107"/>
        <v>1</v>
      </c>
      <c r="T273" s="178">
        <f t="shared" si="108"/>
        <v>7</v>
      </c>
      <c r="U273" s="253">
        <f t="shared" si="109"/>
        <v>1.0901200625175695</v>
      </c>
      <c r="V273" s="385">
        <f t="shared" si="110"/>
        <v>39.780504682727731</v>
      </c>
      <c r="W273" s="404">
        <f t="shared" si="111"/>
        <v>25.146594123161268</v>
      </c>
      <c r="X273" s="157">
        <f t="shared" si="112"/>
        <v>45185</v>
      </c>
      <c r="Y273" s="387">
        <f t="shared" si="113"/>
        <v>22.785969610904136</v>
      </c>
      <c r="Z273" s="387">
        <f t="shared" si="114"/>
        <v>23.800573102533072</v>
      </c>
      <c r="AA273" s="388">
        <f t="shared" si="115"/>
        <v>28.785483569553222</v>
      </c>
      <c r="AB273" s="199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0.17317445631841855</v>
      </c>
      <c r="AD273" s="233">
        <f>(INDEX(Models!$BJ273:$BT273,,AH273)*(1-AF273)+INDEX(Models!$BJ273:$BT273,,AH273+1)*AF273-ERP_i)*AE273*Ramure*Pc/MaxiM</f>
        <v>1.2078154469783992E-2</v>
      </c>
      <c r="AE273" s="307">
        <f t="shared" si="117"/>
        <v>0.9</v>
      </c>
      <c r="AF273" s="179">
        <f t="shared" si="118"/>
        <v>9.0120062517569544E-2</v>
      </c>
      <c r="AG273" s="839">
        <f t="shared" si="124"/>
        <v>1</v>
      </c>
      <c r="AH273" s="178">
        <f t="shared" si="119"/>
        <v>7</v>
      </c>
      <c r="AI273" s="227">
        <f t="shared" si="120"/>
        <v>1.0901200625175695</v>
      </c>
      <c r="AJ273" s="267" t="b">
        <f t="shared" si="121"/>
        <v>0</v>
      </c>
      <c r="AK273" s="267" t="b">
        <f t="shared" si="122"/>
        <v>0</v>
      </c>
      <c r="AL273" s="267"/>
      <c r="AM273" s="267"/>
      <c r="AN273" s="75"/>
    </row>
    <row r="274" spans="1:40" s="6" customFormat="1" ht="11.25" x14ac:dyDescent="0.2">
      <c r="A274" s="56">
        <f t="shared" si="123"/>
        <v>45186</v>
      </c>
      <c r="B274" s="413">
        <f>'2022'!Wh/'2022'!Env_an*'2023'!Env_an</f>
        <v>39.475576429930307</v>
      </c>
      <c r="C274" s="868"/>
      <c r="D274" s="395">
        <f t="shared" si="102"/>
        <v>41.234286872041544</v>
      </c>
      <c r="E274" s="387">
        <f t="shared" si="100"/>
        <v>45.195721758696372</v>
      </c>
      <c r="F274" s="387">
        <f t="shared" si="103"/>
        <v>45.756271072960025</v>
      </c>
      <c r="G274" s="110">
        <f t="shared" si="101"/>
        <v>1.0018802347220366</v>
      </c>
      <c r="H274" s="416" t="b">
        <f>Wh_hp&gt;='2022'!Maxi_hp</f>
        <v>1</v>
      </c>
      <c r="I274" s="392">
        <f>IF(H274,Wh_hp,'2022'!Maxi_hp)</f>
        <v>45.756271072960025</v>
      </c>
      <c r="J274" s="85">
        <f>IF(H274,An,'2022'!An_max)</f>
        <v>2023</v>
      </c>
      <c r="K274" s="199">
        <f t="shared" si="104"/>
        <v>45186</v>
      </c>
      <c r="L274" s="147">
        <f>IF(t&lt;Tvie,1-EXP((T0-t)*PertePVj)+'2022'!Pspv,1-EXP((T0-t)*PertePVj)+Pspv)</f>
        <v>4.2651651708416227E-2</v>
      </c>
      <c r="M274" s="872"/>
      <c r="N274" s="872"/>
      <c r="O274" s="48">
        <f>IF(t&lt;Tnet,'2022'!Resal+('2022'!Salim-'2022'!Resal)*(1-EXP(('2022'!Tnet-t)/('2022'!Tau_j))),Resal+(Salim-Resal)*(1-EXP((Tnet-t)/(Tau_j))))*Salcycl</f>
        <v>8.7650661002942901E-2</v>
      </c>
      <c r="P274" s="171">
        <f>(INDEX(Models!$BJ274:$BT274,,T274)*(1-R274)+INDEX(Models!$BJ274:$BT274,,T274+1)*R274-ERP_i)*Q274*Ramure*Pc/MaxiM</f>
        <v>1.2250764783035622E-2</v>
      </c>
      <c r="Q274" s="307">
        <f t="shared" si="105"/>
        <v>0.9</v>
      </c>
      <c r="R274" s="179">
        <f t="shared" si="106"/>
        <v>9.0536791726874011E-2</v>
      </c>
      <c r="S274" s="839">
        <f t="shared" si="107"/>
        <v>1</v>
      </c>
      <c r="T274" s="178">
        <f t="shared" si="108"/>
        <v>7</v>
      </c>
      <c r="U274" s="253">
        <f t="shared" si="109"/>
        <v>1.090536791726874</v>
      </c>
      <c r="V274" s="385">
        <f t="shared" si="110"/>
        <v>39.401492375865153</v>
      </c>
      <c r="W274" s="404">
        <f t="shared" si="111"/>
        <v>39.475576429930307</v>
      </c>
      <c r="X274" s="157">
        <f t="shared" si="112"/>
        <v>45186</v>
      </c>
      <c r="Y274" s="387">
        <f t="shared" si="113"/>
        <v>35.774404439565124</v>
      </c>
      <c r="Z274" s="387">
        <f t="shared" si="114"/>
        <v>37.368220777113784</v>
      </c>
      <c r="AA274" s="388">
        <f t="shared" si="115"/>
        <v>45.195721758696372</v>
      </c>
      <c r="AB274" s="199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0.17319119325882765</v>
      </c>
      <c r="AD274" s="233">
        <f>(INDEX(Models!$BJ274:$BT274,,AH274)*(1-AF274)+INDEX(Models!$BJ274:$BT274,,AH274+1)*AF274-ERP_i)*AE274*Ramure*Pc/MaxiM</f>
        <v>1.2250764783035622E-2</v>
      </c>
      <c r="AE274" s="307">
        <f t="shared" si="117"/>
        <v>0.9</v>
      </c>
      <c r="AF274" s="179">
        <f t="shared" si="118"/>
        <v>9.0536791726874011E-2</v>
      </c>
      <c r="AG274" s="839">
        <f t="shared" si="124"/>
        <v>1</v>
      </c>
      <c r="AH274" s="178">
        <f t="shared" si="119"/>
        <v>7</v>
      </c>
      <c r="AI274" s="227">
        <f t="shared" si="120"/>
        <v>1.090536791726874</v>
      </c>
      <c r="AJ274" s="267" t="b">
        <f t="shared" si="121"/>
        <v>0</v>
      </c>
      <c r="AK274" s="267" t="b">
        <f t="shared" si="122"/>
        <v>0</v>
      </c>
      <c r="AL274" s="267"/>
      <c r="AM274" s="267"/>
      <c r="AN274" s="75"/>
    </row>
    <row r="275" spans="1:40" s="6" customFormat="1" ht="11.25" x14ac:dyDescent="0.2">
      <c r="A275" s="56">
        <f t="shared" si="123"/>
        <v>45187</v>
      </c>
      <c r="B275" s="413">
        <f>'2022'!Wh/'2022'!Env_an*'2023'!Env_an</f>
        <v>39.785588320626395</v>
      </c>
      <c r="C275" s="868"/>
      <c r="D275" s="395">
        <f t="shared" si="102"/>
        <v>41.559077510225656</v>
      </c>
      <c r="E275" s="387">
        <f t="shared" si="100"/>
        <v>45.558402455028485</v>
      </c>
      <c r="F275" s="387">
        <f t="shared" si="103"/>
        <v>46.131484277355973</v>
      </c>
      <c r="G275" s="110">
        <f t="shared" si="101"/>
        <v>1.0196628736548778</v>
      </c>
      <c r="H275" s="416" t="b">
        <f>Wh_hp&gt;='2022'!Maxi_hp</f>
        <v>1</v>
      </c>
      <c r="I275" s="392">
        <f>IF(H275,Wh_hp,'2022'!Maxi_hp)</f>
        <v>46.131484277355973</v>
      </c>
      <c r="J275" s="85">
        <f>IF(H275,An,'2022'!An_max)</f>
        <v>2023</v>
      </c>
      <c r="K275" s="199">
        <f t="shared" si="104"/>
        <v>45187</v>
      </c>
      <c r="L275" s="147">
        <f>IF(t&lt;Tvie,1-EXP((T0-t)*PertePVj)+'2022'!Pspv,1-EXP((T0-t)*PertePVj)+Pspv)</f>
        <v>4.2673930603076893E-2</v>
      </c>
      <c r="M275" s="872"/>
      <c r="N275" s="872"/>
      <c r="O275" s="48">
        <f>IF(t&lt;Tnet,'2022'!Resal+('2022'!Salim-'2022'!Resal)*(1-EXP(('2022'!Tnet-t)/('2022'!Tau_j))),Resal+(Salim-Resal)*(1-EXP((Tnet-t)/(Tau_j))))*Salcycl</f>
        <v>8.7784573850029954E-2</v>
      </c>
      <c r="P275" s="171">
        <f>(INDEX(Models!$BJ275:$BT275,,T275)*(1-R275)+INDEX(Models!$BJ275:$BT275,,T275+1)*R275-ERP_i)*Q275*Ramure*Pc/MaxiM</f>
        <v>1.2422791750682761E-2</v>
      </c>
      <c r="Q275" s="307">
        <f t="shared" si="105"/>
        <v>0.9</v>
      </c>
      <c r="R275" s="179">
        <f t="shared" si="106"/>
        <v>9.0937295509533556E-2</v>
      </c>
      <c r="S275" s="839">
        <f t="shared" si="107"/>
        <v>1</v>
      </c>
      <c r="T275" s="178">
        <f t="shared" si="108"/>
        <v>7</v>
      </c>
      <c r="U275" s="253">
        <f t="shared" si="109"/>
        <v>1.0909372955095336</v>
      </c>
      <c r="V275" s="385">
        <f t="shared" si="110"/>
        <v>39.018374943886108</v>
      </c>
      <c r="W275" s="404">
        <f t="shared" si="111"/>
        <v>39.785588320626395</v>
      </c>
      <c r="X275" s="157">
        <f t="shared" si="112"/>
        <v>45187</v>
      </c>
      <c r="Y275" s="387">
        <f t="shared" si="113"/>
        <v>36.060010759180415</v>
      </c>
      <c r="Z275" s="387">
        <f t="shared" si="114"/>
        <v>37.667427966206716</v>
      </c>
      <c r="AA275" s="388">
        <f t="shared" si="115"/>
        <v>45.558402455028485</v>
      </c>
      <c r="AB275" s="199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0.17320568904081071</v>
      </c>
      <c r="AD275" s="233">
        <f>(INDEX(Models!$BJ275:$BT275,,AH275)*(1-AF275)+INDEX(Models!$BJ275:$BT275,,AH275+1)*AF275-ERP_i)*AE275*Ramure*Pc/MaxiM</f>
        <v>1.2422791750682761E-2</v>
      </c>
      <c r="AE275" s="307">
        <f t="shared" si="117"/>
        <v>0.9</v>
      </c>
      <c r="AF275" s="179">
        <f t="shared" si="118"/>
        <v>9.0937295509533556E-2</v>
      </c>
      <c r="AG275" s="839">
        <f t="shared" si="124"/>
        <v>1</v>
      </c>
      <c r="AH275" s="178">
        <f t="shared" si="119"/>
        <v>7</v>
      </c>
      <c r="AI275" s="227">
        <f t="shared" si="120"/>
        <v>1.0909372955095336</v>
      </c>
      <c r="AJ275" s="267" t="b">
        <f t="shared" si="121"/>
        <v>0</v>
      </c>
      <c r="AK275" s="267" t="b">
        <f t="shared" si="122"/>
        <v>0</v>
      </c>
      <c r="AL275" s="267"/>
      <c r="AM275" s="267"/>
      <c r="AN275" s="75"/>
    </row>
    <row r="276" spans="1:40" s="6" customFormat="1" ht="11.25" x14ac:dyDescent="0.2">
      <c r="A276" s="56">
        <f t="shared" si="123"/>
        <v>45188</v>
      </c>
      <c r="B276" s="413">
        <f>'2022'!Wh/'2022'!Env_an*'2023'!Env_an</f>
        <v>38.147324508510202</v>
      </c>
      <c r="C276" s="868"/>
      <c r="D276" s="395">
        <f t="shared" si="102"/>
        <v>39.848713508003172</v>
      </c>
      <c r="E276" s="387">
        <f t="shared" si="100"/>
        <v>43.689793153104034</v>
      </c>
      <c r="F276" s="387">
        <f t="shared" si="103"/>
        <v>44.237686647837158</v>
      </c>
      <c r="G276" s="110">
        <f t="shared" si="101"/>
        <v>0.98732664310398</v>
      </c>
      <c r="H276" s="416" t="b">
        <f>Wh_hp&gt;='2022'!Maxi_hp</f>
        <v>0</v>
      </c>
      <c r="I276" s="392">
        <f>IF(H276,Wh_hp,'2022'!Maxi_hp)</f>
        <v>44.239894934132181</v>
      </c>
      <c r="J276" s="85">
        <f>IF(H276,An,'2022'!An_max)</f>
        <v>2022</v>
      </c>
      <c r="K276" s="199">
        <f t="shared" si="104"/>
        <v>45188</v>
      </c>
      <c r="L276" s="147">
        <f>IF(t&lt;Tvie,1-EXP((T0-t)*PertePVj)+'2022'!Pspv,1-EXP((T0-t)*PertePVj)+Pspv)</f>
        <v>4.2696208979275174E-2</v>
      </c>
      <c r="M276" s="872"/>
      <c r="N276" s="872"/>
      <c r="O276" s="48">
        <f>IF(t&lt;Tnet,'2022'!Resal+('2022'!Salim-'2022'!Resal)*(1-EXP(('2022'!Tnet-t)/('2022'!Tau_j))),Resal+(Salim-Resal)*(1-EXP((Tnet-t)/(Tau_j))))*Salcycl</f>
        <v>8.7917093853944348E-2</v>
      </c>
      <c r="P276" s="171">
        <f>(INDEX(Models!$BJ276:$BT276,,T276)*(1-R276)+INDEX(Models!$BJ276:$BT276,,T276+1)*R276-ERP_i)*Q276*Ramure*Pc/MaxiM</f>
        <v>1.2609472909716046E-2</v>
      </c>
      <c r="Q276" s="307">
        <f t="shared" si="105"/>
        <v>0.9</v>
      </c>
      <c r="R276" s="179">
        <f t="shared" si="106"/>
        <v>9.1322184527360406E-2</v>
      </c>
      <c r="S276" s="839">
        <f t="shared" si="107"/>
        <v>1</v>
      </c>
      <c r="T276" s="178">
        <f t="shared" si="108"/>
        <v>7</v>
      </c>
      <c r="U276" s="253">
        <f t="shared" si="109"/>
        <v>1.0913221845273604</v>
      </c>
      <c r="V276" s="385">
        <f t="shared" si="110"/>
        <v>38.628211704911322</v>
      </c>
      <c r="W276" s="404">
        <f t="shared" si="111"/>
        <v>38.147324508510202</v>
      </c>
      <c r="X276" s="157">
        <f t="shared" si="112"/>
        <v>45188</v>
      </c>
      <c r="Y276" s="387">
        <f t="shared" si="113"/>
        <v>34.579670603279922</v>
      </c>
      <c r="Z276" s="387">
        <f t="shared" si="114"/>
        <v>36.121940524657653</v>
      </c>
      <c r="AA276" s="388">
        <f t="shared" si="115"/>
        <v>43.689793153104034</v>
      </c>
      <c r="AB276" s="199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0.17321786353911153</v>
      </c>
      <c r="AD276" s="233">
        <f>(INDEX(Models!$BJ276:$BT276,,AH276)*(1-AF276)+INDEX(Models!$BJ276:$BT276,,AH276+1)*AF276-ERP_i)*AE276*Ramure*Pc/MaxiM</f>
        <v>1.2609472909716046E-2</v>
      </c>
      <c r="AE276" s="307">
        <f t="shared" si="117"/>
        <v>0.9</v>
      </c>
      <c r="AF276" s="179">
        <f t="shared" si="118"/>
        <v>9.1322184527360406E-2</v>
      </c>
      <c r="AG276" s="839">
        <f t="shared" si="124"/>
        <v>1</v>
      </c>
      <c r="AH276" s="178">
        <f t="shared" si="119"/>
        <v>7</v>
      </c>
      <c r="AI276" s="227">
        <f t="shared" si="120"/>
        <v>1.0913221845273604</v>
      </c>
      <c r="AJ276" s="267" t="b">
        <f t="shared" si="121"/>
        <v>0</v>
      </c>
      <c r="AK276" s="267" t="b">
        <f t="shared" si="122"/>
        <v>0</v>
      </c>
      <c r="AL276" s="267"/>
      <c r="AM276" s="267"/>
      <c r="AN276" s="75"/>
    </row>
    <row r="277" spans="1:40" s="6" customFormat="1" ht="11.25" x14ac:dyDescent="0.2">
      <c r="A277" s="56">
        <f t="shared" si="123"/>
        <v>45189</v>
      </c>
      <c r="B277" s="413">
        <f>'2022'!Wh/'2022'!Env_an*'2023'!Env_an</f>
        <v>39.105757609086211</v>
      </c>
      <c r="C277" s="868"/>
      <c r="D277" s="395">
        <f t="shared" si="102"/>
        <v>40.85084384412265</v>
      </c>
      <c r="E277" s="387">
        <f t="shared" si="100"/>
        <v>44.79495816546055</v>
      </c>
      <c r="F277" s="387">
        <f t="shared" si="103"/>
        <v>45.37644417312903</v>
      </c>
      <c r="G277" s="110">
        <f t="shared" si="101"/>
        <v>1.0228609327305085</v>
      </c>
      <c r="H277" s="416" t="b">
        <f>Wh_hp&gt;='2022'!Maxi_hp</f>
        <v>1</v>
      </c>
      <c r="I277" s="392">
        <f>IF(H277,Wh_hp,'2022'!Maxi_hp)</f>
        <v>45.37644417312903</v>
      </c>
      <c r="J277" s="85">
        <f>IF(H277,An,'2022'!An_max)</f>
        <v>2023</v>
      </c>
      <c r="K277" s="199">
        <f t="shared" si="104"/>
        <v>45189</v>
      </c>
      <c r="L277" s="147">
        <f>IF(t&lt;Tvie,1-EXP((T0-t)*PertePVj)+'2022'!Pspv,1-EXP((T0-t)*PertePVj)+Pspv)</f>
        <v>4.2718486837023062E-2</v>
      </c>
      <c r="M277" s="872"/>
      <c r="N277" s="872"/>
      <c r="O277" s="48">
        <f>IF(t&lt;Tnet,'2022'!Resal+('2022'!Salim-'2022'!Resal)*(1-EXP(('2022'!Tnet-t)/('2022'!Tau_j))),Resal+(Salim-Resal)*(1-EXP((Tnet-t)/(Tau_j))))*Salcycl</f>
        <v>8.8048175126526559E-2</v>
      </c>
      <c r="P277" s="171">
        <f>(INDEX(Models!$BJ277:$BT277,,T277)*(1-R277)+INDEX(Models!$BJ277:$BT277,,T277+1)*R277-ERP_i)*Q277*Ramure*Pc/MaxiM</f>
        <v>1.2814710766006312E-2</v>
      </c>
      <c r="Q277" s="307">
        <f t="shared" si="105"/>
        <v>0.9</v>
      </c>
      <c r="R277" s="179">
        <f t="shared" si="106"/>
        <v>9.1692048100288304E-2</v>
      </c>
      <c r="S277" s="839">
        <f t="shared" si="107"/>
        <v>1</v>
      </c>
      <c r="T277" s="178">
        <f t="shared" si="108"/>
        <v>7</v>
      </c>
      <c r="U277" s="253">
        <f t="shared" si="109"/>
        <v>1.0916920481002883</v>
      </c>
      <c r="V277" s="385">
        <f t="shared" si="110"/>
        <v>38.23174427504442</v>
      </c>
      <c r="W277" s="404">
        <f t="shared" si="111"/>
        <v>39.105757609086211</v>
      </c>
      <c r="X277" s="157">
        <f t="shared" si="112"/>
        <v>45189</v>
      </c>
      <c r="Y277" s="387">
        <f t="shared" si="113"/>
        <v>35.453144349758894</v>
      </c>
      <c r="Z277" s="387">
        <f t="shared" si="114"/>
        <v>37.035233483844586</v>
      </c>
      <c r="AA277" s="388">
        <f t="shared" si="115"/>
        <v>44.79495816546055</v>
      </c>
      <c r="AB277" s="199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0.17322763541721875</v>
      </c>
      <c r="AD277" s="233">
        <f>(INDEX(Models!$BJ277:$BT277,,AH277)*(1-AF277)+INDEX(Models!$BJ277:$BT277,,AH277+1)*AF277-ERP_i)*AE277*Ramure*Pc/MaxiM</f>
        <v>1.2814710766006312E-2</v>
      </c>
      <c r="AE277" s="307">
        <f t="shared" si="117"/>
        <v>0.9</v>
      </c>
      <c r="AF277" s="179">
        <f t="shared" si="118"/>
        <v>9.1692048100288304E-2</v>
      </c>
      <c r="AG277" s="839">
        <f t="shared" si="124"/>
        <v>1</v>
      </c>
      <c r="AH277" s="178">
        <f t="shared" si="119"/>
        <v>7</v>
      </c>
      <c r="AI277" s="227">
        <f t="shared" si="120"/>
        <v>1.0916920481002883</v>
      </c>
      <c r="AJ277" s="267" t="b">
        <f t="shared" si="121"/>
        <v>0</v>
      </c>
      <c r="AK277" s="267" t="b">
        <f t="shared" si="122"/>
        <v>0</v>
      </c>
      <c r="AL277" s="267"/>
      <c r="AM277" s="267"/>
      <c r="AN277" s="75"/>
    </row>
    <row r="278" spans="1:40" s="6" customFormat="1" ht="11.25" x14ac:dyDescent="0.2">
      <c r="A278" s="56">
        <f t="shared" si="123"/>
        <v>45190</v>
      </c>
      <c r="B278" s="413">
        <f>'2022'!Wh/'2022'!Env_an*'2023'!Env_an</f>
        <v>37.977336340607962</v>
      </c>
      <c r="C278" s="868"/>
      <c r="D278" s="395">
        <f t="shared" si="102"/>
        <v>39.672990261546666</v>
      </c>
      <c r="E278" s="387">
        <f t="shared" si="100"/>
        <v>43.509566892271344</v>
      </c>
      <c r="F278" s="387">
        <f t="shared" si="103"/>
        <v>44.08437994879354</v>
      </c>
      <c r="G278" s="110">
        <f t="shared" si="101"/>
        <v>1.0038985965821807</v>
      </c>
      <c r="H278" s="416" t="b">
        <f>Wh_hp&gt;='2022'!Maxi_hp</f>
        <v>1</v>
      </c>
      <c r="I278" s="392">
        <f>IF(H278,Wh_hp,'2022'!Maxi_hp)</f>
        <v>44.08437994879354</v>
      </c>
      <c r="J278" s="85">
        <f>IF(H278,An,'2022'!An_max)</f>
        <v>2023</v>
      </c>
      <c r="K278" s="199">
        <f t="shared" si="104"/>
        <v>45190</v>
      </c>
      <c r="L278" s="147">
        <f>IF(t&lt;Tvie,1-EXP((T0-t)*PertePVj)+'2022'!Pspv,1-EXP((T0-t)*PertePVj)+Pspv)</f>
        <v>4.2740764176332546E-2</v>
      </c>
      <c r="M278" s="872"/>
      <c r="N278" s="872"/>
      <c r="O278" s="48">
        <f>IF(t&lt;Tnet,'2022'!Resal+('2022'!Salim-'2022'!Resal)*(1-EXP(('2022'!Tnet-t)/('2022'!Tau_j))),Resal+(Salim-Resal)*(1-EXP((Tnet-t)/(Tau_j))))*Salcycl</f>
        <v>8.8177771114659728E-2</v>
      </c>
      <c r="P278" s="171">
        <f>(INDEX(Models!$BJ278:$BT278,,T278)*(1-R278)+INDEX(Models!$BJ278:$BT278,,T278+1)*R278-ERP_i)*Q278*Ramure*Pc/MaxiM</f>
        <v>1.3038928010099558E-2</v>
      </c>
      <c r="Q278" s="307">
        <f t="shared" si="105"/>
        <v>0.9</v>
      </c>
      <c r="R278" s="179">
        <f t="shared" si="106"/>
        <v>9.2047454822911323E-2</v>
      </c>
      <c r="S278" s="839">
        <f t="shared" si="107"/>
        <v>1</v>
      </c>
      <c r="T278" s="178">
        <f t="shared" si="108"/>
        <v>7</v>
      </c>
      <c r="U278" s="253">
        <f t="shared" si="109"/>
        <v>1.0920474548229113</v>
      </c>
      <c r="V278" s="385">
        <f t="shared" si="110"/>
        <v>37.829853004978354</v>
      </c>
      <c r="W278" s="404">
        <f t="shared" si="111"/>
        <v>37.977336340607962</v>
      </c>
      <c r="X278" s="157">
        <f t="shared" si="112"/>
        <v>45190</v>
      </c>
      <c r="Y278" s="387">
        <f t="shared" si="113"/>
        <v>34.43471153656219</v>
      </c>
      <c r="Z278" s="387">
        <f t="shared" si="114"/>
        <v>35.972190445290472</v>
      </c>
      <c r="AA278" s="388">
        <f t="shared" si="115"/>
        <v>43.509566892271344</v>
      </c>
      <c r="AB278" s="199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0.17323492246298933</v>
      </c>
      <c r="AD278" s="233">
        <f>(INDEX(Models!$BJ278:$BT278,,AH278)*(1-AF278)+INDEX(Models!$BJ278:$BT278,,AH278+1)*AF278-ERP_i)*AE278*Ramure*Pc/MaxiM</f>
        <v>1.3038928010099558E-2</v>
      </c>
      <c r="AE278" s="307">
        <f t="shared" si="117"/>
        <v>0.9</v>
      </c>
      <c r="AF278" s="179">
        <f t="shared" si="118"/>
        <v>9.2047454822911323E-2</v>
      </c>
      <c r="AG278" s="839">
        <f t="shared" si="124"/>
        <v>1</v>
      </c>
      <c r="AH278" s="178">
        <f t="shared" si="119"/>
        <v>7</v>
      </c>
      <c r="AI278" s="227">
        <f t="shared" si="120"/>
        <v>1.0920474548229113</v>
      </c>
      <c r="AJ278" s="267" t="b">
        <f t="shared" si="121"/>
        <v>0</v>
      </c>
      <c r="AK278" s="267" t="b">
        <f t="shared" si="122"/>
        <v>0</v>
      </c>
      <c r="AL278" s="267"/>
      <c r="AM278" s="267"/>
      <c r="AN278" s="75"/>
    </row>
    <row r="279" spans="1:40" s="6" customFormat="1" ht="11.25" x14ac:dyDescent="0.2">
      <c r="A279" s="56">
        <f t="shared" si="123"/>
        <v>45191</v>
      </c>
      <c r="B279" s="413">
        <f>'2022'!Wh/'2022'!Env_an*'2023'!Env_an</f>
        <v>36.698224892790257</v>
      </c>
      <c r="C279" s="868"/>
      <c r="D279" s="395">
        <f t="shared" si="102"/>
        <v>38.337659811026505</v>
      </c>
      <c r="E279" s="387">
        <f t="shared" si="100"/>
        <v>42.051009290178698</v>
      </c>
      <c r="F279" s="387">
        <f t="shared" si="103"/>
        <v>42.601197700126185</v>
      </c>
      <c r="G279" s="110">
        <f t="shared" si="101"/>
        <v>0.98025666060057837</v>
      </c>
      <c r="H279" s="416" t="b">
        <f>Wh_hp&gt;='2022'!Maxi_hp</f>
        <v>0</v>
      </c>
      <c r="I279" s="392">
        <f>IF(H279,Wh_hp,'2022'!Maxi_hp)</f>
        <v>42.604819732623852</v>
      </c>
      <c r="J279" s="85">
        <f>IF(H279,An,'2022'!An_max)</f>
        <v>2022</v>
      </c>
      <c r="K279" s="199">
        <f t="shared" si="104"/>
        <v>45191</v>
      </c>
      <c r="L279" s="147">
        <f>IF(t&lt;Tvie,1-EXP((T0-t)*PertePVj)+'2022'!Pspv,1-EXP((T0-t)*PertePVj)+Pspv)</f>
        <v>4.2763040997215951E-2</v>
      </c>
      <c r="M279" s="872"/>
      <c r="N279" s="872"/>
      <c r="O279" s="48">
        <f>IF(t&lt;Tnet,'2022'!Resal+('2022'!Salim-'2022'!Resal)*(1-EXP(('2022'!Tnet-t)/('2022'!Tau_j))),Resal+(Salim-Resal)*(1-EXP((Tnet-t)/(Tau_j))))*Salcycl</f>
        <v>8.830583479049732E-2</v>
      </c>
      <c r="P279" s="171">
        <f>(INDEX(Models!$BJ279:$BT279,,T279)*(1-R279)+INDEX(Models!$BJ279:$BT279,,T279+1)*R279-ERP_i)*Q279*Ramure*Pc/MaxiM</f>
        <v>1.3282557831341293E-2</v>
      </c>
      <c r="Q279" s="307">
        <f t="shared" si="105"/>
        <v>0.9</v>
      </c>
      <c r="R279" s="179">
        <f t="shared" si="106"/>
        <v>9.238895317385909E-2</v>
      </c>
      <c r="S279" s="839">
        <f t="shared" si="107"/>
        <v>1</v>
      </c>
      <c r="T279" s="178">
        <f t="shared" si="108"/>
        <v>7</v>
      </c>
      <c r="U279" s="253">
        <f t="shared" si="109"/>
        <v>1.0923889531738591</v>
      </c>
      <c r="V279" s="385">
        <f t="shared" si="110"/>
        <v>37.423417637401947</v>
      </c>
      <c r="W279" s="404">
        <f t="shared" si="111"/>
        <v>36.698224892790257</v>
      </c>
      <c r="X279" s="157">
        <f t="shared" si="112"/>
        <v>45191</v>
      </c>
      <c r="Y279" s="387">
        <f t="shared" si="113"/>
        <v>33.279403016253248</v>
      </c>
      <c r="Z279" s="387">
        <f t="shared" si="114"/>
        <v>34.766107496437002</v>
      </c>
      <c r="AA279" s="388">
        <f t="shared" si="115"/>
        <v>42.051009290178698</v>
      </c>
      <c r="AB279" s="199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0.17323964196605224</v>
      </c>
      <c r="AD279" s="233">
        <f>(INDEX(Models!$BJ279:$BT279,,AH279)*(1-AF279)+INDEX(Models!$BJ279:$BT279,,AH279+1)*AF279-ERP_i)*AE279*Ramure*Pc/MaxiM</f>
        <v>1.3282557831341293E-2</v>
      </c>
      <c r="AE279" s="307">
        <f t="shared" si="117"/>
        <v>0.9</v>
      </c>
      <c r="AF279" s="179">
        <f t="shared" si="118"/>
        <v>9.238895317385909E-2</v>
      </c>
      <c r="AG279" s="839">
        <f t="shared" si="124"/>
        <v>1</v>
      </c>
      <c r="AH279" s="178">
        <f t="shared" si="119"/>
        <v>7</v>
      </c>
      <c r="AI279" s="227">
        <f t="shared" si="120"/>
        <v>1.0923889531738591</v>
      </c>
      <c r="AJ279" s="267" t="b">
        <f t="shared" si="121"/>
        <v>0</v>
      </c>
      <c r="AK279" s="267" t="b">
        <f t="shared" si="122"/>
        <v>0</v>
      </c>
      <c r="AL279" s="267"/>
      <c r="AM279" s="267"/>
      <c r="AN279" s="75"/>
    </row>
    <row r="280" spans="1:40" s="6" customFormat="1" ht="11.25" x14ac:dyDescent="0.2">
      <c r="A280" s="56">
        <f t="shared" si="123"/>
        <v>45192</v>
      </c>
      <c r="B280" s="413">
        <f>'2022'!Wh/'2022'!Env_an*'2023'!Env_an</f>
        <v>23.630895489066596</v>
      </c>
      <c r="C280" s="868"/>
      <c r="D280" s="395">
        <f t="shared" si="102"/>
        <v>24.687142723723728</v>
      </c>
      <c r="E280" s="387">
        <f t="shared" si="100"/>
        <v>27.082073261924972</v>
      </c>
      <c r="F280" s="387">
        <f t="shared" si="103"/>
        <v>27.260614258409831</v>
      </c>
      <c r="G280" s="110">
        <f t="shared" si="101"/>
        <v>0.63394666051732784</v>
      </c>
      <c r="H280" s="416" t="b">
        <f>Wh_hp&gt;='2022'!Maxi_hp</f>
        <v>0</v>
      </c>
      <c r="I280" s="392">
        <f>IF(H280,Wh_hp,'2022'!Maxi_hp)</f>
        <v>39.039212402737128</v>
      </c>
      <c r="J280" s="85">
        <f>IF(H280,An,'2022'!An_max)</f>
        <v>2019</v>
      </c>
      <c r="K280" s="199">
        <f t="shared" si="104"/>
        <v>45192</v>
      </c>
      <c r="L280" s="147">
        <f>IF(t&lt;Tvie,1-EXP((T0-t)*PertePVj)+'2022'!Pspv,1-EXP((T0-t)*PertePVj)+Pspv)</f>
        <v>4.2785317299685155E-2</v>
      </c>
      <c r="M280" s="872"/>
      <c r="N280" s="872"/>
      <c r="O280" s="48">
        <f>IF(t&lt;Tnet,'2022'!Resal+('2022'!Salim-'2022'!Resal)*(1-EXP(('2022'!Tnet-t)/('2022'!Tau_j))),Resal+(Salim-Resal)*(1-EXP((Tnet-t)/(Tau_j))))*Salcycl</f>
        <v>8.8432318864165721E-2</v>
      </c>
      <c r="P280" s="171">
        <f>(INDEX(Models!$BJ280:$BT280,,T280)*(1-R280)+INDEX(Models!$BJ280:$BT280,,T280+1)*R280-ERP_i)*Q280*Ramure*Pc/MaxiM</f>
        <v>1.3546112755033243E-2</v>
      </c>
      <c r="Q280" s="307">
        <f t="shared" si="105"/>
        <v>0.9</v>
      </c>
      <c r="R280" s="179">
        <f t="shared" si="106"/>
        <v>9.2717072117074473E-2</v>
      </c>
      <c r="S280" s="839">
        <f t="shared" si="107"/>
        <v>1</v>
      </c>
      <c r="T280" s="178">
        <f t="shared" si="108"/>
        <v>7</v>
      </c>
      <c r="U280" s="253">
        <f t="shared" si="109"/>
        <v>1.0927170721170745</v>
      </c>
      <c r="V280" s="385">
        <f t="shared" si="110"/>
        <v>37.013314590295046</v>
      </c>
      <c r="W280" s="404">
        <f t="shared" si="111"/>
        <v>23.630895489066596</v>
      </c>
      <c r="X280" s="157">
        <f t="shared" si="112"/>
        <v>45192</v>
      </c>
      <c r="Y280" s="387">
        <f t="shared" si="113"/>
        <v>21.432351237508762</v>
      </c>
      <c r="Z280" s="387">
        <f t="shared" si="114"/>
        <v>22.390328548918436</v>
      </c>
      <c r="AA280" s="388">
        <f t="shared" si="115"/>
        <v>27.082073261924972</v>
      </c>
      <c r="AB280" s="199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0.17324171113600523</v>
      </c>
      <c r="AD280" s="233">
        <f>(INDEX(Models!$BJ280:$BT280,,AH280)*(1-AF280)+INDEX(Models!$BJ280:$BT280,,AH280+1)*AF280-ERP_i)*AE280*Ramure*Pc/MaxiM</f>
        <v>1.3546112755033243E-2</v>
      </c>
      <c r="AE280" s="307">
        <f t="shared" si="117"/>
        <v>0.9</v>
      </c>
      <c r="AF280" s="179">
        <f t="shared" si="118"/>
        <v>9.2717072117074473E-2</v>
      </c>
      <c r="AG280" s="839">
        <f t="shared" si="124"/>
        <v>1</v>
      </c>
      <c r="AH280" s="178">
        <f t="shared" si="119"/>
        <v>7</v>
      </c>
      <c r="AI280" s="227">
        <f t="shared" si="120"/>
        <v>1.0927170721170745</v>
      </c>
      <c r="AJ280" s="267" t="b">
        <f t="shared" si="121"/>
        <v>0</v>
      </c>
      <c r="AK280" s="267" t="b">
        <f t="shared" si="122"/>
        <v>0</v>
      </c>
      <c r="AL280" s="267"/>
      <c r="AM280" s="267"/>
      <c r="AN280" s="75"/>
    </row>
    <row r="281" spans="1:40" s="6" customFormat="1" ht="11.25" x14ac:dyDescent="0.2">
      <c r="A281" s="56">
        <f t="shared" si="123"/>
        <v>45193</v>
      </c>
      <c r="B281" s="413">
        <f>'2022'!Wh/'2022'!Env_an*'2023'!Env_an</f>
        <v>15.854997146324511</v>
      </c>
      <c r="C281" s="868"/>
      <c r="D281" s="395">
        <f t="shared" si="102"/>
        <v>16.564064896214528</v>
      </c>
      <c r="E281" s="387">
        <f t="shared" si="100"/>
        <v>18.173454725173634</v>
      </c>
      <c r="F281" s="387">
        <f t="shared" si="103"/>
        <v>18.221404379220974</v>
      </c>
      <c r="G281" s="110">
        <f t="shared" si="101"/>
        <v>0.42832773194835366</v>
      </c>
      <c r="H281" s="416" t="b">
        <f>Wh_hp&gt;='2022'!Maxi_hp</f>
        <v>0</v>
      </c>
      <c r="I281" s="392">
        <f>IF(H281,Wh_hp,'2022'!Maxi_hp)</f>
        <v>35.529783803479539</v>
      </c>
      <c r="J281" s="85">
        <f>IF(H281,An,'2022'!An_max)</f>
        <v>2021</v>
      </c>
      <c r="K281" s="199">
        <f t="shared" si="104"/>
        <v>45193</v>
      </c>
      <c r="L281" s="147">
        <f>IF(t&lt;Tvie,1-EXP((T0-t)*PertePVj)+'2022'!Pspv,1-EXP((T0-t)*PertePVj)+Pspv)</f>
        <v>4.280759308375226E-2</v>
      </c>
      <c r="M281" s="872"/>
      <c r="N281" s="872"/>
      <c r="O281" s="48">
        <f>IF(t&lt;Tnet,'2022'!Resal+('2022'!Salim-'2022'!Resal)*(1-EXP(('2022'!Tnet-t)/('2022'!Tau_j))),Resal+(Salim-Resal)*(1-EXP((Tnet-t)/(Tau_j))))*Salcycl</f>
        <v>8.8557176018371528E-2</v>
      </c>
      <c r="P281" s="171">
        <f>(INDEX(Models!$BJ281:$BT281,,T281)*(1-R281)+INDEX(Models!$BJ281:$BT281,,T281+1)*R281-ERP_i)*Q281*Ramure*Pc/MaxiM</f>
        <v>1.3830078193433914E-2</v>
      </c>
      <c r="Q281" s="307">
        <f t="shared" si="105"/>
        <v>0.9</v>
      </c>
      <c r="R281" s="179">
        <f t="shared" si="106"/>
        <v>9.3032321694167752E-2</v>
      </c>
      <c r="S281" s="839">
        <f t="shared" si="107"/>
        <v>1</v>
      </c>
      <c r="T281" s="178">
        <f t="shared" si="108"/>
        <v>7</v>
      </c>
      <c r="U281" s="253">
        <f t="shared" si="109"/>
        <v>1.0930323216941678</v>
      </c>
      <c r="V281" s="385">
        <f t="shared" si="110"/>
        <v>36.600420919817132</v>
      </c>
      <c r="W281" s="404">
        <f t="shared" si="111"/>
        <v>15.854997146324511</v>
      </c>
      <c r="X281" s="157">
        <f t="shared" si="112"/>
        <v>45193</v>
      </c>
      <c r="Y281" s="387">
        <f t="shared" si="113"/>
        <v>14.381879462688232</v>
      </c>
      <c r="Z281" s="387">
        <f t="shared" si="114"/>
        <v>15.025066390802049</v>
      </c>
      <c r="AA281" s="388">
        <f t="shared" si="115"/>
        <v>18.173454725173634</v>
      </c>
      <c r="AB281" s="199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0.17324104755990502</v>
      </c>
      <c r="AD281" s="233">
        <f>(INDEX(Models!$BJ281:$BT281,,AH281)*(1-AF281)+INDEX(Models!$BJ281:$BT281,,AH281+1)*AF281-ERP_i)*AE281*Ramure*Pc/MaxiM</f>
        <v>1.3830078193433914E-2</v>
      </c>
      <c r="AE281" s="307">
        <f t="shared" si="117"/>
        <v>0.9</v>
      </c>
      <c r="AF281" s="179">
        <f t="shared" si="118"/>
        <v>9.3032321694167752E-2</v>
      </c>
      <c r="AG281" s="839">
        <f t="shared" si="124"/>
        <v>1</v>
      </c>
      <c r="AH281" s="178">
        <f t="shared" si="119"/>
        <v>7</v>
      </c>
      <c r="AI281" s="227">
        <f t="shared" si="120"/>
        <v>1.0930323216941678</v>
      </c>
      <c r="AJ281" s="267" t="b">
        <f t="shared" si="121"/>
        <v>0</v>
      </c>
      <c r="AK281" s="267" t="b">
        <f t="shared" si="122"/>
        <v>0</v>
      </c>
      <c r="AL281" s="267"/>
      <c r="AM281" s="267"/>
      <c r="AN281" s="75"/>
    </row>
    <row r="282" spans="1:40" s="6" customFormat="1" ht="11.25" x14ac:dyDescent="0.2">
      <c r="A282" s="56">
        <f t="shared" si="123"/>
        <v>45194</v>
      </c>
      <c r="B282" s="413">
        <f>'2022'!Wh/'2022'!Env_an*'2023'!Env_an</f>
        <v>26.475979310254555</v>
      </c>
      <c r="C282" s="868"/>
      <c r="D282" s="395">
        <f t="shared" si="102"/>
        <v>27.66068270914246</v>
      </c>
      <c r="E282" s="387">
        <f t="shared" si="100"/>
        <v>30.352339036356192</v>
      </c>
      <c r="F282" s="387">
        <f t="shared" si="103"/>
        <v>30.61987232756962</v>
      </c>
      <c r="G282" s="110">
        <f t="shared" si="101"/>
        <v>0.7276872803053156</v>
      </c>
      <c r="H282" s="416" t="b">
        <f>Wh_hp&gt;='2022'!Maxi_hp</f>
        <v>0</v>
      </c>
      <c r="I282" s="392">
        <f>IF(H282,Wh_hp,'2022'!Maxi_hp)</f>
        <v>30.660672457342763</v>
      </c>
      <c r="J282" s="85">
        <f>IF(H282,An,'2022'!An_max)</f>
        <v>2022</v>
      </c>
      <c r="K282" s="199">
        <f t="shared" si="104"/>
        <v>45194</v>
      </c>
      <c r="L282" s="147">
        <f>IF(t&lt;Tvie,1-EXP((T0-t)*PertePVj)+'2022'!Pspv,1-EXP((T0-t)*PertePVj)+Pspv)</f>
        <v>4.2829868349429256E-2</v>
      </c>
      <c r="M282" s="872"/>
      <c r="N282" s="872"/>
      <c r="O282" s="48">
        <f>IF(t&lt;Tnet,'2022'!Resal+('2022'!Salim-'2022'!Resal)*(1-EXP(('2022'!Tnet-t)/('2022'!Tau_j))),Resal+(Salim-Resal)*(1-EXP((Tnet-t)/(Tau_j))))*Salcycl</f>
        <v>8.8680359164071396E-2</v>
      </c>
      <c r="P282" s="171">
        <f>(INDEX(Models!$BJ282:$BT282,,T282)*(1-R282)+INDEX(Models!$BJ282:$BT282,,T282+1)*R282-ERP_i)*Q282*Ramure*Pc/MaxiM</f>
        <v>1.4167552764365373E-2</v>
      </c>
      <c r="Q282" s="307">
        <f t="shared" si="105"/>
        <v>0.9</v>
      </c>
      <c r="R282" s="179">
        <f t="shared" si="106"/>
        <v>9.3335193607129163E-2</v>
      </c>
      <c r="S282" s="839">
        <f t="shared" si="107"/>
        <v>1</v>
      </c>
      <c r="T282" s="178">
        <f t="shared" si="108"/>
        <v>7</v>
      </c>
      <c r="U282" s="253">
        <f t="shared" si="109"/>
        <v>1.0933351936071292</v>
      </c>
      <c r="V282" s="385">
        <f t="shared" si="110"/>
        <v>36.184416062561588</v>
      </c>
      <c r="W282" s="404">
        <f t="shared" si="111"/>
        <v>26.475979310254555</v>
      </c>
      <c r="X282" s="157">
        <f t="shared" si="112"/>
        <v>45194</v>
      </c>
      <c r="Y282" s="387">
        <f t="shared" si="113"/>
        <v>24.019393436004915</v>
      </c>
      <c r="Z282" s="387">
        <f t="shared" si="114"/>
        <v>25.094173587077155</v>
      </c>
      <c r="AA282" s="388">
        <f t="shared" si="115"/>
        <v>30.352339036356192</v>
      </c>
      <c r="AB282" s="199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0.17323756969704307</v>
      </c>
      <c r="AD282" s="233">
        <f>(INDEX(Models!$BJ282:$BT282,,AH282)*(1-AF282)+INDEX(Models!$BJ282:$BT282,,AH282+1)*AF282-ERP_i)*AE282*Ramure*Pc/MaxiM</f>
        <v>1.4167552764365373E-2</v>
      </c>
      <c r="AE282" s="307">
        <f t="shared" si="117"/>
        <v>0.9</v>
      </c>
      <c r="AF282" s="179">
        <f t="shared" si="118"/>
        <v>9.3335193607129163E-2</v>
      </c>
      <c r="AG282" s="839">
        <f t="shared" si="124"/>
        <v>1</v>
      </c>
      <c r="AH282" s="178">
        <f t="shared" si="119"/>
        <v>7</v>
      </c>
      <c r="AI282" s="227">
        <f t="shared" si="120"/>
        <v>1.0933351936071292</v>
      </c>
      <c r="AJ282" s="267" t="b">
        <f t="shared" si="121"/>
        <v>0</v>
      </c>
      <c r="AK282" s="267" t="b">
        <f t="shared" si="122"/>
        <v>0</v>
      </c>
      <c r="AL282" s="267"/>
      <c r="AM282" s="267"/>
      <c r="AN282" s="75"/>
    </row>
    <row r="283" spans="1:40" s="6" customFormat="1" ht="11.25" x14ac:dyDescent="0.2">
      <c r="A283" s="56">
        <f t="shared" si="123"/>
        <v>45195</v>
      </c>
      <c r="B283" s="413">
        <f>'2022'!Wh/'2022'!Env_an*'2023'!Env_an</f>
        <v>28.419849243106594</v>
      </c>
      <c r="C283" s="868"/>
      <c r="D283" s="395">
        <f t="shared" si="102"/>
        <v>29.692224705026607</v>
      </c>
      <c r="E283" s="387">
        <f t="shared" si="100"/>
        <v>32.58591315551913</v>
      </c>
      <c r="F283" s="387">
        <f t="shared" si="103"/>
        <v>32.92468227588877</v>
      </c>
      <c r="G283" s="110">
        <f t="shared" si="101"/>
        <v>0.79117233219695238</v>
      </c>
      <c r="H283" s="416" t="b">
        <f>Wh_hp&gt;='2022'!Maxi_hp</f>
        <v>0</v>
      </c>
      <c r="I283" s="392">
        <f>IF(H283,Wh_hp,'2022'!Maxi_hp)</f>
        <v>32.960149765426706</v>
      </c>
      <c r="J283" s="85">
        <f>IF(H283,An,'2022'!An_max)</f>
        <v>2022</v>
      </c>
      <c r="K283" s="199">
        <f t="shared" si="104"/>
        <v>45195</v>
      </c>
      <c r="L283" s="147">
        <f>IF(t&lt;Tvie,1-EXP((T0-t)*PertePVj)+'2022'!Pspv,1-EXP((T0-t)*PertePVj)+Pspv)</f>
        <v>4.2852143096728357E-2</v>
      </c>
      <c r="M283" s="872"/>
      <c r="N283" s="872"/>
      <c r="O283" s="48">
        <f>IF(t&lt;Tnet,'2022'!Resal+('2022'!Salim-'2022'!Resal)*(1-EXP(('2022'!Tnet-t)/('2022'!Tau_j))),Resal+(Salim-Resal)*(1-EXP((Tnet-t)/(Tau_j))))*Salcycl</f>
        <v>8.8801821716093798E-2</v>
      </c>
      <c r="P283" s="171">
        <f>(INDEX(Models!$BJ283:$BT283,,T283)*(1-R283)+INDEX(Models!$BJ283:$BT283,,T283+1)*R283-ERP_i)*Q283*Ramure*Pc/MaxiM</f>
        <v>1.4562087441710397E-2</v>
      </c>
      <c r="Q283" s="307">
        <f t="shared" si="105"/>
        <v>0.9</v>
      </c>
      <c r="R283" s="179">
        <f t="shared" si="106"/>
        <v>9.3626161790787643E-2</v>
      </c>
      <c r="S283" s="839">
        <f t="shared" si="107"/>
        <v>1</v>
      </c>
      <c r="T283" s="178">
        <f t="shared" si="108"/>
        <v>7</v>
      </c>
      <c r="U283" s="253">
        <f t="shared" si="109"/>
        <v>1.0936261617907876</v>
      </c>
      <c r="V283" s="385">
        <f t="shared" si="110"/>
        <v>35.7661045946885</v>
      </c>
      <c r="W283" s="404">
        <f t="shared" si="111"/>
        <v>28.419849243106594</v>
      </c>
      <c r="X283" s="157">
        <f t="shared" si="112"/>
        <v>45195</v>
      </c>
      <c r="Y283" s="387">
        <f t="shared" si="113"/>
        <v>25.786536110954888</v>
      </c>
      <c r="Z283" s="387">
        <f t="shared" si="114"/>
        <v>26.94101640093924</v>
      </c>
      <c r="AA283" s="388">
        <f t="shared" si="115"/>
        <v>32.58591315551913</v>
      </c>
      <c r="AB283" s="199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0.17323119740849741</v>
      </c>
      <c r="AD283" s="233">
        <f>(INDEX(Models!$BJ283:$BT283,,AH283)*(1-AF283)+INDEX(Models!$BJ283:$BT283,,AH283+1)*AF283-ERP_i)*AE283*Ramure*Pc/MaxiM</f>
        <v>1.4562087441710397E-2</v>
      </c>
      <c r="AE283" s="307">
        <f t="shared" si="117"/>
        <v>0.9</v>
      </c>
      <c r="AF283" s="179">
        <f t="shared" si="118"/>
        <v>9.3626161790787643E-2</v>
      </c>
      <c r="AG283" s="839">
        <f t="shared" si="124"/>
        <v>1</v>
      </c>
      <c r="AH283" s="178">
        <f t="shared" si="119"/>
        <v>7</v>
      </c>
      <c r="AI283" s="227">
        <f t="shared" si="120"/>
        <v>1.0936261617907876</v>
      </c>
      <c r="AJ283" s="267" t="b">
        <f t="shared" si="121"/>
        <v>0</v>
      </c>
      <c r="AK283" s="267" t="b">
        <f t="shared" si="122"/>
        <v>0</v>
      </c>
      <c r="AL283" s="267"/>
      <c r="AM283" s="267"/>
      <c r="AN283" s="75"/>
    </row>
    <row r="284" spans="1:40" s="6" customFormat="1" ht="11.25" x14ac:dyDescent="0.2">
      <c r="A284" s="56">
        <f t="shared" si="123"/>
        <v>45196</v>
      </c>
      <c r="B284" s="413">
        <f>'2022'!Wh/'2022'!Env_an*'2023'!Env_an</f>
        <v>13.879806539117622</v>
      </c>
      <c r="C284" s="868"/>
      <c r="D284" s="395">
        <f t="shared" si="102"/>
        <v>14.501552137323049</v>
      </c>
      <c r="E284" s="387">
        <f t="shared" si="100"/>
        <v>15.916907733015464</v>
      </c>
      <c r="F284" s="387">
        <f t="shared" si="103"/>
        <v>15.948613963099589</v>
      </c>
      <c r="G284" s="110">
        <f t="shared" si="101"/>
        <v>0.38755415108841335</v>
      </c>
      <c r="H284" s="416" t="b">
        <f>Wh_hp&gt;='2022'!Maxi_hp</f>
        <v>0</v>
      </c>
      <c r="I284" s="392">
        <f>IF(H284,Wh_hp,'2022'!Maxi_hp)</f>
        <v>32.432173480535852</v>
      </c>
      <c r="J284" s="85">
        <f>IF(H284,An,'2022'!An_max)</f>
        <v>2019</v>
      </c>
      <c r="K284" s="199">
        <f t="shared" si="104"/>
        <v>45196</v>
      </c>
      <c r="L284" s="147">
        <f>IF(t&lt;Tvie,1-EXP((T0-t)*PertePVj)+'2022'!Pspv,1-EXP((T0-t)*PertePVj)+Pspv)</f>
        <v>4.2874417325661551E-2</v>
      </c>
      <c r="M284" s="872"/>
      <c r="N284" s="872"/>
      <c r="O284" s="48">
        <f>IF(t&lt;Tnet,'2022'!Resal+('2022'!Salim-'2022'!Resal)*(1-EXP(('2022'!Tnet-t)/('2022'!Tau_j))),Resal+(Salim-Resal)*(1-EXP((Tnet-t)/(Tau_j))))*Salcycl</f>
        <v>8.8921517887336113E-2</v>
      </c>
      <c r="P284" s="171">
        <f>(INDEX(Models!$BJ284:$BT284,,T284)*(1-R284)+INDEX(Models!$BJ284:$BT284,,T284+1)*R284-ERP_i)*Q284*Ramure*Pc/MaxiM</f>
        <v>1.5015305699675349E-2</v>
      </c>
      <c r="Q284" s="307">
        <f t="shared" si="105"/>
        <v>0.9</v>
      </c>
      <c r="R284" s="179">
        <f t="shared" si="106"/>
        <v>9.390568297448687E-2</v>
      </c>
      <c r="S284" s="839">
        <f t="shared" si="107"/>
        <v>1</v>
      </c>
      <c r="T284" s="178">
        <f t="shared" si="108"/>
        <v>7</v>
      </c>
      <c r="U284" s="253">
        <f t="shared" si="109"/>
        <v>1.0939056829744869</v>
      </c>
      <c r="V284" s="385">
        <f t="shared" si="110"/>
        <v>35.346364296191588</v>
      </c>
      <c r="W284" s="404">
        <f t="shared" si="111"/>
        <v>13.879806539117622</v>
      </c>
      <c r="X284" s="157">
        <f t="shared" si="112"/>
        <v>45196</v>
      </c>
      <c r="Y284" s="387">
        <f t="shared" si="113"/>
        <v>12.595534811889776</v>
      </c>
      <c r="Z284" s="387">
        <f t="shared" si="114"/>
        <v>13.159751489137033</v>
      </c>
      <c r="AA284" s="388">
        <f t="shared" si="115"/>
        <v>15.916907733015464</v>
      </c>
      <c r="AB284" s="199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0.17322185251846564</v>
      </c>
      <c r="AD284" s="233">
        <f>(INDEX(Models!$BJ284:$BT284,,AH284)*(1-AF284)+INDEX(Models!$BJ284:$BT284,,AH284+1)*AF284-ERP_i)*AE284*Ramure*Pc/MaxiM</f>
        <v>1.5015305699675349E-2</v>
      </c>
      <c r="AE284" s="307">
        <f t="shared" si="117"/>
        <v>0.9</v>
      </c>
      <c r="AF284" s="179">
        <f t="shared" si="118"/>
        <v>9.390568297448687E-2</v>
      </c>
      <c r="AG284" s="839">
        <f t="shared" si="124"/>
        <v>1</v>
      </c>
      <c r="AH284" s="178">
        <f t="shared" si="119"/>
        <v>7</v>
      </c>
      <c r="AI284" s="227">
        <f t="shared" si="120"/>
        <v>1.0939056829744869</v>
      </c>
      <c r="AJ284" s="267" t="b">
        <f t="shared" si="121"/>
        <v>0</v>
      </c>
      <c r="AK284" s="267" t="b">
        <f t="shared" si="122"/>
        <v>0</v>
      </c>
      <c r="AL284" s="267"/>
      <c r="AM284" s="267"/>
      <c r="AN284" s="75"/>
    </row>
    <row r="285" spans="1:40" s="6" customFormat="1" ht="11.25" x14ac:dyDescent="0.2">
      <c r="A285" s="56">
        <f t="shared" si="123"/>
        <v>45197</v>
      </c>
      <c r="B285" s="413">
        <f>'2022'!Wh/'2022'!Env_an*'2023'!Env_an</f>
        <v>16.324084705193961</v>
      </c>
      <c r="C285" s="868"/>
      <c r="D285" s="395">
        <f t="shared" si="102"/>
        <v>17.055718596216945</v>
      </c>
      <c r="E285" s="387">
        <f t="shared" si="100"/>
        <v>18.722784116440899</v>
      </c>
      <c r="F285" s="387">
        <f t="shared" si="103"/>
        <v>18.792568209796897</v>
      </c>
      <c r="G285" s="110">
        <f t="shared" si="101"/>
        <v>0.4618466371123261</v>
      </c>
      <c r="H285" s="416" t="b">
        <f>Wh_hp&gt;='2022'!Maxi_hp</f>
        <v>0</v>
      </c>
      <c r="I285" s="392">
        <f>IF(H285,Wh_hp,'2022'!Maxi_hp)</f>
        <v>28.532869501688754</v>
      </c>
      <c r="J285" s="85">
        <f>IF(H285,An,'2022'!An_max)</f>
        <v>2019</v>
      </c>
      <c r="K285" s="199">
        <f t="shared" si="104"/>
        <v>45197</v>
      </c>
      <c r="L285" s="147">
        <f>IF(t&lt;Tvie,1-EXP((T0-t)*PertePVj)+'2022'!Pspv,1-EXP((T0-t)*PertePVj)+Pspv)</f>
        <v>4.289669103624083E-2</v>
      </c>
      <c r="M285" s="872"/>
      <c r="N285" s="872"/>
      <c r="O285" s="48">
        <f>IF(t&lt;Tnet,'2022'!Resal+('2022'!Salim-'2022'!Resal)*(1-EXP(('2022'!Tnet-t)/('2022'!Tau_j))),Resal+(Salim-Resal)*(1-EXP((Tnet-t)/(Tau_j))))*Salcycl</f>
        <v>8.9039402999902387E-2</v>
      </c>
      <c r="P285" s="171">
        <f>(INDEX(Models!$BJ285:$BT285,,T285)*(1-R285)+INDEX(Models!$BJ285:$BT285,,T285+1)*R285-ERP_i)*Q285*Ramure*Pc/MaxiM</f>
        <v>1.5528865809662756E-2</v>
      </c>
      <c r="Q285" s="307">
        <f t="shared" si="105"/>
        <v>0.9</v>
      </c>
      <c r="R285" s="179">
        <f t="shared" si="106"/>
        <v>9.4174197232538726E-2</v>
      </c>
      <c r="S285" s="839">
        <f t="shared" si="107"/>
        <v>1</v>
      </c>
      <c r="T285" s="178">
        <f t="shared" si="108"/>
        <v>7</v>
      </c>
      <c r="U285" s="253">
        <f t="shared" si="109"/>
        <v>1.0941741972325387</v>
      </c>
      <c r="V285" s="385">
        <f t="shared" si="110"/>
        <v>34.926072095948527</v>
      </c>
      <c r="W285" s="404">
        <f t="shared" si="111"/>
        <v>16.324084705193961</v>
      </c>
      <c r="X285" s="157">
        <f t="shared" si="112"/>
        <v>45197</v>
      </c>
      <c r="Y285" s="387">
        <f t="shared" si="113"/>
        <v>14.815787710894934</v>
      </c>
      <c r="Z285" s="387">
        <f t="shared" si="114"/>
        <v>15.47982080109592</v>
      </c>
      <c r="AA285" s="388">
        <f t="shared" si="115"/>
        <v>18.722784116440899</v>
      </c>
      <c r="AB285" s="199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0.17320945940391735</v>
      </c>
      <c r="AD285" s="233">
        <f>(INDEX(Models!$BJ285:$BT285,,AH285)*(1-AF285)+INDEX(Models!$BJ285:$BT285,,AH285+1)*AF285-ERP_i)*AE285*Ramure*Pc/MaxiM</f>
        <v>1.5528865809662756E-2</v>
      </c>
      <c r="AE285" s="307">
        <f t="shared" si="117"/>
        <v>0.9</v>
      </c>
      <c r="AF285" s="179">
        <f t="shared" si="118"/>
        <v>9.4174197232538726E-2</v>
      </c>
      <c r="AG285" s="839">
        <f t="shared" si="124"/>
        <v>1</v>
      </c>
      <c r="AH285" s="178">
        <f t="shared" si="119"/>
        <v>7</v>
      </c>
      <c r="AI285" s="227">
        <f t="shared" si="120"/>
        <v>1.0941741972325387</v>
      </c>
      <c r="AJ285" s="267" t="b">
        <f t="shared" si="121"/>
        <v>0</v>
      </c>
      <c r="AK285" s="267" t="b">
        <f t="shared" si="122"/>
        <v>0</v>
      </c>
      <c r="AL285" s="267"/>
      <c r="AM285" s="267"/>
      <c r="AN285" s="75"/>
    </row>
    <row r="286" spans="1:40" s="6" customFormat="1" ht="11.25" x14ac:dyDescent="0.2">
      <c r="A286" s="56">
        <f t="shared" si="123"/>
        <v>45198</v>
      </c>
      <c r="B286" s="413">
        <f>'2022'!Wh/'2022'!Env_an*'2023'!Env_an</f>
        <v>21.814879633130928</v>
      </c>
      <c r="C286" s="868"/>
      <c r="D286" s="395">
        <f t="shared" si="102"/>
        <v>22.793137485527055</v>
      </c>
      <c r="E286" s="387">
        <f t="shared" si="100"/>
        <v>25.024179022005569</v>
      </c>
      <c r="F286" s="387">
        <f t="shared" si="103"/>
        <v>25.216906565283988</v>
      </c>
      <c r="G286" s="110">
        <f t="shared" si="101"/>
        <v>0.62681280714102372</v>
      </c>
      <c r="H286" s="416" t="b">
        <f>Wh_hp&gt;='2022'!Maxi_hp</f>
        <v>0</v>
      </c>
      <c r="I286" s="392">
        <f>IF(H286,Wh_hp,'2022'!Maxi_hp)</f>
        <v>39.545102096867112</v>
      </c>
      <c r="J286" s="85">
        <f>IF(H286,An,'2022'!An_max)</f>
        <v>2019</v>
      </c>
      <c r="K286" s="199">
        <f t="shared" si="104"/>
        <v>45198</v>
      </c>
      <c r="L286" s="147">
        <f>IF(t&lt;Tvie,1-EXP((T0-t)*PertePVj)+'2022'!Pspv,1-EXP((T0-t)*PertePVj)+Pspv)</f>
        <v>4.2918964228478407E-2</v>
      </c>
      <c r="M286" s="872"/>
      <c r="N286" s="872"/>
      <c r="O286" s="48">
        <f>IF(t&lt;Tnet,'2022'!Resal+('2022'!Salim-'2022'!Resal)*(1-EXP(('2022'!Tnet-t)/('2022'!Tau_j))),Resal+(Salim-Resal)*(1-EXP((Tnet-t)/(Tau_j))))*Salcycl</f>
        <v>8.9155433811298992E-2</v>
      </c>
      <c r="P286" s="171">
        <f>(INDEX(Models!$BJ286:$BT286,,T286)*(1-R286)+INDEX(Models!$BJ286:$BT286,,T286+1)*R286-ERP_i)*Q286*Ramure*Pc/MaxiM</f>
        <v>1.6104447060543845E-2</v>
      </c>
      <c r="Q286" s="307">
        <f t="shared" si="105"/>
        <v>0.9</v>
      </c>
      <c r="R286" s="179">
        <f t="shared" si="106"/>
        <v>9.4432128523087577E-2</v>
      </c>
      <c r="S286" s="839">
        <f t="shared" si="107"/>
        <v>1</v>
      </c>
      <c r="T286" s="178">
        <f t="shared" si="108"/>
        <v>7</v>
      </c>
      <c r="U286" s="253">
        <f t="shared" si="109"/>
        <v>1.0944321285230876</v>
      </c>
      <c r="V286" s="385">
        <f t="shared" si="110"/>
        <v>34.506104098744359</v>
      </c>
      <c r="W286" s="404">
        <f t="shared" si="111"/>
        <v>21.814879633130928</v>
      </c>
      <c r="X286" s="157">
        <f t="shared" si="112"/>
        <v>45198</v>
      </c>
      <c r="Y286" s="387">
        <f t="shared" si="113"/>
        <v>19.802143226217865</v>
      </c>
      <c r="Z286" s="387">
        <f t="shared" si="114"/>
        <v>20.690142721566907</v>
      </c>
      <c r="AA286" s="388">
        <f t="shared" si="115"/>
        <v>25.024179022005569</v>
      </c>
      <c r="AB286" s="199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0.17319394560866233</v>
      </c>
      <c r="AD286" s="233">
        <f>(INDEX(Models!$BJ286:$BT286,,AH286)*(1-AF286)+INDEX(Models!$BJ286:$BT286,,AH286+1)*AF286-ERP_i)*AE286*Ramure*Pc/MaxiM</f>
        <v>1.6104447060543845E-2</v>
      </c>
      <c r="AE286" s="307">
        <f t="shared" si="117"/>
        <v>0.9</v>
      </c>
      <c r="AF286" s="179">
        <f t="shared" si="118"/>
        <v>9.4432128523087577E-2</v>
      </c>
      <c r="AG286" s="839">
        <f t="shared" si="124"/>
        <v>1</v>
      </c>
      <c r="AH286" s="178">
        <f t="shared" si="119"/>
        <v>7</v>
      </c>
      <c r="AI286" s="227">
        <f t="shared" si="120"/>
        <v>1.0944321285230876</v>
      </c>
      <c r="AJ286" s="267" t="b">
        <f t="shared" si="121"/>
        <v>0</v>
      </c>
      <c r="AK286" s="267" t="b">
        <f t="shared" si="122"/>
        <v>0</v>
      </c>
      <c r="AL286" s="267"/>
      <c r="AM286" s="267"/>
      <c r="AN286" s="75"/>
    </row>
    <row r="287" spans="1:40" s="6" customFormat="1" ht="11.25" x14ac:dyDescent="0.2">
      <c r="A287" s="56">
        <f t="shared" si="123"/>
        <v>45199</v>
      </c>
      <c r="B287" s="413">
        <f>'2022'!Wh/'2022'!Env_an*'2023'!Env_an</f>
        <v>25.187538026750349</v>
      </c>
      <c r="C287" s="868"/>
      <c r="D287" s="395">
        <f t="shared" si="102"/>
        <v>26.317650491207491</v>
      </c>
      <c r="E287" s="387">
        <f t="shared" si="100"/>
        <v>28.897300003557323</v>
      </c>
      <c r="F287" s="387">
        <f t="shared" si="103"/>
        <v>29.203900247053987</v>
      </c>
      <c r="G287" s="110">
        <f t="shared" si="101"/>
        <v>0.73424834263381267</v>
      </c>
      <c r="H287" s="416" t="b">
        <f>Wh_hp&gt;='2022'!Maxi_hp</f>
        <v>0</v>
      </c>
      <c r="I287" s="392">
        <f>IF(H287,Wh_hp,'2022'!Maxi_hp)</f>
        <v>31.942652402822652</v>
      </c>
      <c r="J287" s="85">
        <f>IF(H287,An,'2022'!An_max)</f>
        <v>2020</v>
      </c>
      <c r="K287" s="199">
        <f t="shared" si="104"/>
        <v>45199</v>
      </c>
      <c r="L287" s="147">
        <f>IF(t&lt;Tvie,1-EXP((T0-t)*PertePVj)+'2022'!Pspv,1-EXP((T0-t)*PertePVj)+Pspv)</f>
        <v>4.294123690238616E-2</v>
      </c>
      <c r="M287" s="872"/>
      <c r="N287" s="872"/>
      <c r="O287" s="48">
        <f>IF(t&lt;Tnet,'2022'!Resal+('2022'!Salim-'2022'!Resal)*(1-EXP(('2022'!Tnet-t)/('2022'!Tau_j))),Resal+(Salim-Resal)*(1-EXP((Tnet-t)/(Tau_j))))*Salcycl</f>
        <v>8.9269568853570069E-2</v>
      </c>
      <c r="P287" s="171">
        <f>(INDEX(Models!$BJ287:$BT287,,T287)*(1-R287)+INDEX(Models!$BJ287:$BT287,,T287+1)*R287-ERP_i)*Q287*Ramure*Pc/MaxiM</f>
        <v>1.6743734167667005E-2</v>
      </c>
      <c r="Q287" s="307">
        <f t="shared" si="105"/>
        <v>0.9</v>
      </c>
      <c r="R287" s="179">
        <f t="shared" si="106"/>
        <v>9.4679885215094295E-2</v>
      </c>
      <c r="S287" s="839">
        <f t="shared" si="107"/>
        <v>1</v>
      </c>
      <c r="T287" s="178">
        <f t="shared" si="108"/>
        <v>7</v>
      </c>
      <c r="U287" s="253">
        <f t="shared" si="109"/>
        <v>1.0946798852150943</v>
      </c>
      <c r="V287" s="385">
        <f t="shared" si="110"/>
        <v>34.087335612753542</v>
      </c>
      <c r="W287" s="404">
        <f t="shared" si="111"/>
        <v>25.187538026750349</v>
      </c>
      <c r="X287" s="157">
        <f t="shared" si="112"/>
        <v>45199</v>
      </c>
      <c r="Y287" s="387">
        <f t="shared" si="113"/>
        <v>22.867007963421916</v>
      </c>
      <c r="Z287" s="387">
        <f t="shared" si="114"/>
        <v>23.893003068495627</v>
      </c>
      <c r="AA287" s="388">
        <f t="shared" si="115"/>
        <v>28.897300003557323</v>
      </c>
      <c r="AB287" s="199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0.17317524247752053</v>
      </c>
      <c r="AD287" s="233">
        <f>(INDEX(Models!$BJ287:$BT287,,AH287)*(1-AF287)+INDEX(Models!$BJ287:$BT287,,AH287+1)*AF287-ERP_i)*AE287*Ramure*Pc/MaxiM</f>
        <v>1.6743734167667005E-2</v>
      </c>
      <c r="AE287" s="307">
        <f t="shared" si="117"/>
        <v>0.9</v>
      </c>
      <c r="AF287" s="179">
        <f t="shared" si="118"/>
        <v>9.4679885215094295E-2</v>
      </c>
      <c r="AG287" s="839">
        <f t="shared" si="124"/>
        <v>1</v>
      </c>
      <c r="AH287" s="178">
        <f t="shared" si="119"/>
        <v>7</v>
      </c>
      <c r="AI287" s="227">
        <f t="shared" si="120"/>
        <v>1.0946798852150943</v>
      </c>
      <c r="AJ287" s="267" t="b">
        <f t="shared" si="121"/>
        <v>0</v>
      </c>
      <c r="AK287" s="267" t="b">
        <f t="shared" si="122"/>
        <v>0</v>
      </c>
      <c r="AL287" s="267"/>
      <c r="AM287" s="267"/>
      <c r="AN287" s="75"/>
    </row>
    <row r="288" spans="1:40" s="6" customFormat="1" ht="11.25" x14ac:dyDescent="0.2">
      <c r="A288" s="56">
        <f t="shared" si="123"/>
        <v>45200</v>
      </c>
      <c r="B288" s="413">
        <f>'2022'!Wh/'2022'!Env_an*'2023'!Env_an</f>
        <v>30.293190028645267</v>
      </c>
      <c r="C288" s="868"/>
      <c r="D288" s="395">
        <f t="shared" si="102"/>
        <v>31.653119097713066</v>
      </c>
      <c r="E288" s="387">
        <f t="shared" si="100"/>
        <v>34.76003226446641</v>
      </c>
      <c r="F288" s="387">
        <f t="shared" si="103"/>
        <v>35.28751289002934</v>
      </c>
      <c r="G288" s="110">
        <f t="shared" si="101"/>
        <v>0.89740785954439406</v>
      </c>
      <c r="H288" s="416" t="b">
        <f>Wh_hp&gt;='2022'!Maxi_hp</f>
        <v>0</v>
      </c>
      <c r="I288" s="392">
        <f>IF(H288,Wh_hp,'2022'!Maxi_hp)</f>
        <v>37.95557881687494</v>
      </c>
      <c r="J288" s="85">
        <f>IF(H288,An,'2022'!An_max)</f>
        <v>2020</v>
      </c>
      <c r="K288" s="199">
        <f t="shared" si="104"/>
        <v>45200</v>
      </c>
      <c r="L288" s="147">
        <f>IF(t&lt;Tvie,1-EXP((T0-t)*PertePVj)+'2022'!Pspv,1-EXP((T0-t)*PertePVj)+Pspv)</f>
        <v>4.2963509057976301E-2</v>
      </c>
      <c r="M288" s="872"/>
      <c r="N288" s="872"/>
      <c r="O288" s="48">
        <f>IF(t&lt;Tnet,'2022'!Resal+('2022'!Salim-'2022'!Resal)*(1-EXP(('2022'!Tnet-t)/('2022'!Tau_j))),Resal+(Salim-Resal)*(1-EXP((Tnet-t)/(Tau_j))))*Salcycl</f>
        <v>8.9381768783034124E-2</v>
      </c>
      <c r="P288" s="171">
        <f>(INDEX(Models!$BJ288:$BT288,,T288)*(1-R288)+INDEX(Models!$BJ288:$BT288,,T288+1)*R288-ERP_i)*Q288*Ramure*Pc/MaxiM</f>
        <v>1.7448399722305344E-2</v>
      </c>
      <c r="Q288" s="307">
        <f t="shared" si="105"/>
        <v>0.9</v>
      </c>
      <c r="R288" s="179">
        <f t="shared" si="106"/>
        <v>9.4917860603203508E-2</v>
      </c>
      <c r="S288" s="839">
        <f t="shared" si="107"/>
        <v>1</v>
      </c>
      <c r="T288" s="178">
        <f t="shared" si="108"/>
        <v>7</v>
      </c>
      <c r="U288" s="253">
        <f t="shared" si="109"/>
        <v>1.0949178606032035</v>
      </c>
      <c r="V288" s="385">
        <f t="shared" si="110"/>
        <v>33.670641180990209</v>
      </c>
      <c r="W288" s="404">
        <f t="shared" si="111"/>
        <v>30.293190028645267</v>
      </c>
      <c r="X288" s="157">
        <f t="shared" si="112"/>
        <v>45200</v>
      </c>
      <c r="Y288" s="387">
        <f t="shared" si="113"/>
        <v>27.506394863375885</v>
      </c>
      <c r="Z288" s="387">
        <f t="shared" si="114"/>
        <v>28.741218463154915</v>
      </c>
      <c r="AA288" s="388">
        <f t="shared" si="115"/>
        <v>34.76003226446641</v>
      </c>
      <c r="AB288" s="199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0.17315328580590109</v>
      </c>
      <c r="AD288" s="233">
        <f>(INDEX(Models!$BJ288:$BT288,,AH288)*(1-AF288)+INDEX(Models!$BJ288:$BT288,,AH288+1)*AF288-ERP_i)*AE288*Ramure*Pc/MaxiM</f>
        <v>1.7448399722305344E-2</v>
      </c>
      <c r="AE288" s="307">
        <f t="shared" si="117"/>
        <v>0.9</v>
      </c>
      <c r="AF288" s="179">
        <f t="shared" si="118"/>
        <v>9.4917860603203508E-2</v>
      </c>
      <c r="AG288" s="839">
        <f t="shared" si="124"/>
        <v>1</v>
      </c>
      <c r="AH288" s="178">
        <f t="shared" si="119"/>
        <v>7</v>
      </c>
      <c r="AI288" s="227">
        <f t="shared" si="120"/>
        <v>1.0949178606032035</v>
      </c>
      <c r="AJ288" s="267" t="b">
        <f t="shared" si="121"/>
        <v>0</v>
      </c>
      <c r="AK288" s="267" t="b">
        <f t="shared" si="122"/>
        <v>0</v>
      </c>
      <c r="AL288" s="267"/>
      <c r="AM288" s="267"/>
      <c r="AN288" s="75"/>
    </row>
    <row r="289" spans="1:40" s="6" customFormat="1" ht="11.25" x14ac:dyDescent="0.2">
      <c r="A289" s="56">
        <f t="shared" si="123"/>
        <v>45201</v>
      </c>
      <c r="B289" s="413">
        <f>'2022'!Wh/'2022'!Env_an*'2023'!Env_an</f>
        <v>31.98234030706352</v>
      </c>
      <c r="C289" s="868"/>
      <c r="D289" s="395">
        <f t="shared" si="102"/>
        <v>33.418876817001063</v>
      </c>
      <c r="E289" s="387">
        <f t="shared" si="100"/>
        <v>36.703550871905698</v>
      </c>
      <c r="F289" s="387">
        <f t="shared" si="103"/>
        <v>37.346963697600572</v>
      </c>
      <c r="G289" s="110">
        <f t="shared" si="101"/>
        <v>0.96082689233650198</v>
      </c>
      <c r="H289" s="416" t="b">
        <f>Wh_hp&gt;='2022'!Maxi_hp</f>
        <v>0</v>
      </c>
      <c r="I289" s="392">
        <f>IF(H289,Wh_hp,'2022'!Maxi_hp)</f>
        <v>37.358132748041285</v>
      </c>
      <c r="J289" s="85">
        <f>IF(H289,An,'2022'!An_max)</f>
        <v>2022</v>
      </c>
      <c r="K289" s="199">
        <f t="shared" si="104"/>
        <v>45201</v>
      </c>
      <c r="L289" s="147">
        <f>IF(t&lt;Tvie,1-EXP((T0-t)*PertePVj)+'2022'!Pspv,1-EXP((T0-t)*PertePVj)+Pspv)</f>
        <v>4.2985780695260822E-2</v>
      </c>
      <c r="M289" s="872"/>
      <c r="N289" s="872"/>
      <c r="O289" s="48">
        <f>IF(t&lt;Tnet,'2022'!Resal+('2022'!Salim-'2022'!Resal)*(1-EXP(('2022'!Tnet-t)/('2022'!Tau_j))),Resal+(Salim-Resal)*(1-EXP((Tnet-t)/(Tau_j))))*Salcycl</f>
        <v>8.9491996738082585E-2</v>
      </c>
      <c r="P289" s="171">
        <f>(INDEX(Models!$BJ289:$BT289,,T289)*(1-R289)+INDEX(Models!$BJ289:$BT289,,T289+1)*R289-ERP_i)*Q289*Ramure*Pc/MaxiM</f>
        <v>1.8222402329790773E-2</v>
      </c>
      <c r="Q289" s="307">
        <f t="shared" si="105"/>
        <v>0.9</v>
      </c>
      <c r="R289" s="179">
        <f t="shared" si="106"/>
        <v>9.5146433410328246E-2</v>
      </c>
      <c r="S289" s="839">
        <f t="shared" si="107"/>
        <v>1</v>
      </c>
      <c r="T289" s="178">
        <f t="shared" si="108"/>
        <v>7</v>
      </c>
      <c r="U289" s="253">
        <f t="shared" si="109"/>
        <v>1.0951464334103282</v>
      </c>
      <c r="V289" s="385">
        <f t="shared" si="110"/>
        <v>33.252586035106106</v>
      </c>
      <c r="W289" s="404">
        <f t="shared" si="111"/>
        <v>31.98234030706352</v>
      </c>
      <c r="X289" s="157">
        <f t="shared" si="112"/>
        <v>45201</v>
      </c>
      <c r="Y289" s="387">
        <f t="shared" si="113"/>
        <v>29.044556524424028</v>
      </c>
      <c r="Z289" s="387">
        <f t="shared" si="114"/>
        <v>30.349137910954546</v>
      </c>
      <c r="AA289" s="388">
        <f t="shared" si="115"/>
        <v>36.703550871905698</v>
      </c>
      <c r="AB289" s="199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0.1731280164997622</v>
      </c>
      <c r="AD289" s="233">
        <f>(INDEX(Models!$BJ289:$BT289,,AH289)*(1-AF289)+INDEX(Models!$BJ289:$BT289,,AH289+1)*AF289-ERP_i)*AE289*Ramure*Pc/MaxiM</f>
        <v>1.8222402329790773E-2</v>
      </c>
      <c r="AE289" s="307">
        <f t="shared" si="117"/>
        <v>0.9</v>
      </c>
      <c r="AF289" s="179">
        <f t="shared" si="118"/>
        <v>9.5146433410328246E-2</v>
      </c>
      <c r="AG289" s="839">
        <f t="shared" si="124"/>
        <v>1</v>
      </c>
      <c r="AH289" s="178">
        <f t="shared" si="119"/>
        <v>7</v>
      </c>
      <c r="AI289" s="227">
        <f t="shared" si="120"/>
        <v>1.0951464334103282</v>
      </c>
      <c r="AJ289" s="267" t="b">
        <f t="shared" si="121"/>
        <v>0</v>
      </c>
      <c r="AK289" s="267" t="b">
        <f t="shared" si="122"/>
        <v>0</v>
      </c>
      <c r="AL289" s="267"/>
      <c r="AM289" s="267"/>
      <c r="AN289" s="75"/>
    </row>
    <row r="290" spans="1:40" s="6" customFormat="1" ht="11.25" x14ac:dyDescent="0.2">
      <c r="A290" s="56">
        <f t="shared" si="123"/>
        <v>45202</v>
      </c>
      <c r="B290" s="413">
        <f>'2022'!Wh/'2022'!Env_an*'2023'!Env_an</f>
        <v>30.154955447655624</v>
      </c>
      <c r="C290" s="868"/>
      <c r="D290" s="395">
        <f t="shared" si="102"/>
        <v>31.510145414308827</v>
      </c>
      <c r="E290" s="387">
        <f t="shared" si="100"/>
        <v>34.611327969998335</v>
      </c>
      <c r="F290" s="387">
        <f t="shared" si="103"/>
        <v>35.204933579199363</v>
      </c>
      <c r="G290" s="110">
        <f t="shared" si="101"/>
        <v>0.91646026767666033</v>
      </c>
      <c r="H290" s="416" t="b">
        <f>Wh_hp&gt;='2022'!Maxi_hp</f>
        <v>0</v>
      </c>
      <c r="I290" s="392">
        <f>IF(H290,Wh_hp,'2022'!Maxi_hp)</f>
        <v>36.035375229537863</v>
      </c>
      <c r="J290" s="85">
        <f>IF(H290,An,'2022'!An_max)</f>
        <v>2018</v>
      </c>
      <c r="K290" s="199">
        <f t="shared" si="104"/>
        <v>45202</v>
      </c>
      <c r="L290" s="147">
        <f>IF(t&lt;Tvie,1-EXP((T0-t)*PertePVj)+'2022'!Pspv,1-EXP((T0-t)*PertePVj)+Pspv)</f>
        <v>4.3008051814251824E-2</v>
      </c>
      <c r="M290" s="872"/>
      <c r="N290" s="872"/>
      <c r="O290" s="48">
        <f>IF(t&lt;Tnet,'2022'!Resal+('2022'!Salim-'2022'!Resal)*(1-EXP(('2022'!Tnet-t)/('2022'!Tau_j))),Resal+(Salim-Resal)*(1-EXP((Tnet-t)/(Tau_j))))*Salcycl</f>
        <v>8.9600218702318019E-2</v>
      </c>
      <c r="P290" s="171">
        <f>(INDEX(Models!$BJ290:$BT290,,T290)*(1-R290)+INDEX(Models!$BJ290:$BT290,,T290+1)*R290-ERP_i)*Q290*Ramure*Pc/MaxiM</f>
        <v>1.9082187621420069E-2</v>
      </c>
      <c r="Q290" s="307">
        <f t="shared" si="105"/>
        <v>0.9</v>
      </c>
      <c r="R290" s="179">
        <f t="shared" si="106"/>
        <v>9.5365968277823843E-2</v>
      </c>
      <c r="S290" s="839">
        <f t="shared" si="107"/>
        <v>1</v>
      </c>
      <c r="T290" s="178">
        <f t="shared" si="108"/>
        <v>7</v>
      </c>
      <c r="U290" s="253">
        <f t="shared" si="109"/>
        <v>1.0953659682778238</v>
      </c>
      <c r="V290" s="385">
        <f t="shared" si="110"/>
        <v>32.829399390129943</v>
      </c>
      <c r="W290" s="404">
        <f t="shared" si="111"/>
        <v>30.154955447655624</v>
      </c>
      <c r="X290" s="157">
        <f t="shared" si="112"/>
        <v>45202</v>
      </c>
      <c r="Y290" s="387">
        <f t="shared" si="113"/>
        <v>27.38923254439408</v>
      </c>
      <c r="Z290" s="387">
        <f t="shared" si="114"/>
        <v>28.620128514475173</v>
      </c>
      <c r="AA290" s="388">
        <f t="shared" si="115"/>
        <v>34.611327969998335</v>
      </c>
      <c r="AB290" s="199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0.17309938124062824</v>
      </c>
      <c r="AD290" s="233">
        <f>(INDEX(Models!$BJ290:$BT290,,AH290)*(1-AF290)+INDEX(Models!$BJ290:$BT290,,AH290+1)*AF290-ERP_i)*AE290*Ramure*Pc/MaxiM</f>
        <v>1.9082187621420069E-2</v>
      </c>
      <c r="AE290" s="307">
        <f t="shared" si="117"/>
        <v>0.9</v>
      </c>
      <c r="AF290" s="179">
        <f t="shared" si="118"/>
        <v>9.5365968277823843E-2</v>
      </c>
      <c r="AG290" s="839">
        <f t="shared" si="124"/>
        <v>1</v>
      </c>
      <c r="AH290" s="178">
        <f t="shared" si="119"/>
        <v>7</v>
      </c>
      <c r="AI290" s="227">
        <f t="shared" si="120"/>
        <v>1.0953659682778238</v>
      </c>
      <c r="AJ290" s="267" t="b">
        <f t="shared" si="121"/>
        <v>0</v>
      </c>
      <c r="AK290" s="267" t="b">
        <f t="shared" si="122"/>
        <v>0</v>
      </c>
      <c r="AL290" s="267"/>
      <c r="AM290" s="267"/>
      <c r="AN290" s="75"/>
    </row>
    <row r="291" spans="1:40" s="6" customFormat="1" ht="11.25" x14ac:dyDescent="0.2">
      <c r="A291" s="56">
        <f t="shared" si="123"/>
        <v>45203</v>
      </c>
      <c r="B291" s="413">
        <f>'2022'!Wh/'2022'!Env_an*'2023'!Env_an</f>
        <v>32.220357690628234</v>
      </c>
      <c r="C291" s="868"/>
      <c r="D291" s="395">
        <f t="shared" si="102"/>
        <v>33.669152163669317</v>
      </c>
      <c r="E291" s="387">
        <f t="shared" si="100"/>
        <v>36.987135037327754</v>
      </c>
      <c r="F291" s="387">
        <f t="shared" si="103"/>
        <v>37.736294813085678</v>
      </c>
      <c r="G291" s="110">
        <f t="shared" si="101"/>
        <v>0.99421176544339984</v>
      </c>
      <c r="H291" s="416" t="b">
        <f>Wh_hp&gt;='2022'!Maxi_hp</f>
        <v>0</v>
      </c>
      <c r="I291" s="392">
        <f>IF(H291,Wh_hp,'2022'!Maxi_hp)</f>
        <v>37.738212573739389</v>
      </c>
      <c r="J291" s="85">
        <f>IF(H291,An,'2022'!An_max)</f>
        <v>2022</v>
      </c>
      <c r="K291" s="199">
        <f t="shared" si="104"/>
        <v>45203</v>
      </c>
      <c r="L291" s="147">
        <f>IF(t&lt;Tvie,1-EXP((T0-t)*PertePVj)+'2022'!Pspv,1-EXP((T0-t)*PertePVj)+Pspv)</f>
        <v>4.3030322414961408E-2</v>
      </c>
      <c r="M291" s="872"/>
      <c r="N291" s="872"/>
      <c r="O291" s="48">
        <f>IF(t&lt;Tnet,'2022'!Resal+('2022'!Salim-'2022'!Resal)*(1-EXP(('2022'!Tnet-t)/('2022'!Tau_j))),Resal+(Salim-Resal)*(1-EXP((Tnet-t)/(Tau_j))))*Salcycl</f>
        <v>8.9706403870153675E-2</v>
      </c>
      <c r="P291" s="171">
        <f>(INDEX(Models!$BJ291:$BT291,,T291)*(1-R291)+INDEX(Models!$BJ291:$BT291,,T291+1)*R291-ERP_i)*Q291*Ramure*Pc/MaxiM</f>
        <v>2.0013323084449905E-2</v>
      </c>
      <c r="Q291" s="307">
        <f t="shared" si="105"/>
        <v>0.9</v>
      </c>
      <c r="R291" s="179">
        <f t="shared" si="106"/>
        <v>9.557681624318537E-2</v>
      </c>
      <c r="S291" s="839">
        <f t="shared" si="107"/>
        <v>1</v>
      </c>
      <c r="T291" s="178">
        <f t="shared" si="108"/>
        <v>7</v>
      </c>
      <c r="U291" s="253">
        <f t="shared" si="109"/>
        <v>1.0955768162431854</v>
      </c>
      <c r="V291" s="385">
        <f t="shared" si="110"/>
        <v>32.402624937034219</v>
      </c>
      <c r="W291" s="404">
        <f t="shared" si="111"/>
        <v>32.220357690628234</v>
      </c>
      <c r="X291" s="157">
        <f t="shared" si="112"/>
        <v>45203</v>
      </c>
      <c r="Y291" s="387">
        <f t="shared" si="113"/>
        <v>29.26975035883752</v>
      </c>
      <c r="Z291" s="387">
        <f t="shared" si="114"/>
        <v>30.585870215555019</v>
      </c>
      <c r="AA291" s="388">
        <f t="shared" si="115"/>
        <v>36.987135037327754</v>
      </c>
      <c r="AB291" s="199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0.17306733315009448</v>
      </c>
      <c r="AD291" s="233">
        <f>(INDEX(Models!$BJ291:$BT291,,AH291)*(1-AF291)+INDEX(Models!$BJ291:$BT291,,AH291+1)*AF291-ERP_i)*AE291*Ramure*Pc/MaxiM</f>
        <v>2.0013323084449905E-2</v>
      </c>
      <c r="AE291" s="307">
        <f t="shared" si="117"/>
        <v>0.9</v>
      </c>
      <c r="AF291" s="179">
        <f t="shared" si="118"/>
        <v>9.557681624318537E-2</v>
      </c>
      <c r="AG291" s="839">
        <f t="shared" si="124"/>
        <v>1</v>
      </c>
      <c r="AH291" s="178">
        <f t="shared" si="119"/>
        <v>7</v>
      </c>
      <c r="AI291" s="227">
        <f t="shared" si="120"/>
        <v>1.0955768162431854</v>
      </c>
      <c r="AJ291" s="267" t="b">
        <f t="shared" si="121"/>
        <v>0</v>
      </c>
      <c r="AK291" s="267" t="b">
        <f t="shared" si="122"/>
        <v>0</v>
      </c>
      <c r="AL291" s="267"/>
      <c r="AM291" s="267"/>
      <c r="AN291" s="75"/>
    </row>
    <row r="292" spans="1:40" s="6" customFormat="1" ht="11.25" x14ac:dyDescent="0.2">
      <c r="A292" s="56">
        <f t="shared" si="123"/>
        <v>45204</v>
      </c>
      <c r="B292" s="413">
        <f>'2022'!Wh/'2022'!Env_an*'2023'!Env_an</f>
        <v>32.516355707157985</v>
      </c>
      <c r="C292" s="868"/>
      <c r="D292" s="395">
        <f t="shared" si="102"/>
        <v>33.979250533754843</v>
      </c>
      <c r="E292" s="387">
        <f t="shared" si="100"/>
        <v>37.3320626830997</v>
      </c>
      <c r="F292" s="387">
        <f t="shared" si="103"/>
        <v>38.133553863021795</v>
      </c>
      <c r="G292" s="110">
        <f t="shared" si="101"/>
        <v>1.0169866760164805</v>
      </c>
      <c r="H292" s="416" t="b">
        <f>Wh_hp&gt;='2022'!Maxi_hp</f>
        <v>1</v>
      </c>
      <c r="I292" s="392">
        <f>IF(H292,Wh_hp,'2022'!Maxi_hp)</f>
        <v>38.133553863021795</v>
      </c>
      <c r="J292" s="85">
        <f>IF(H292,An,'2022'!An_max)</f>
        <v>2023</v>
      </c>
      <c r="K292" s="199">
        <f t="shared" si="104"/>
        <v>45204</v>
      </c>
      <c r="L292" s="147">
        <f>IF(t&lt;Tvie,1-EXP((T0-t)*PertePVj)+'2022'!Pspv,1-EXP((T0-t)*PertePVj)+Pspv)</f>
        <v>4.3052592497401565E-2</v>
      </c>
      <c r="M292" s="872"/>
      <c r="N292" s="872"/>
      <c r="O292" s="48">
        <f>IF(t&lt;Tnet,'2022'!Resal+('2022'!Salim-'2022'!Resal)*(1-EXP(('2022'!Tnet-t)/('2022'!Tau_j))),Resal+(Salim-Resal)*(1-EXP((Tnet-t)/(Tau_j))))*Salcycl</f>
        <v>8.981052501186014E-2</v>
      </c>
      <c r="P292" s="171">
        <f>(INDEX(Models!$BJ292:$BT292,,T292)*(1-R292)+INDEX(Models!$BJ292:$BT292,,T292+1)*R292-ERP_i)*Q292*Ramure*Pc/MaxiM</f>
        <v>2.1018003797944041E-2</v>
      </c>
      <c r="Q292" s="307">
        <f t="shared" si="105"/>
        <v>0.9</v>
      </c>
      <c r="R292" s="179">
        <f t="shared" si="106"/>
        <v>9.5779315205235305E-2</v>
      </c>
      <c r="S292" s="839">
        <f t="shared" si="107"/>
        <v>1</v>
      </c>
      <c r="T292" s="178">
        <f t="shared" si="108"/>
        <v>7</v>
      </c>
      <c r="U292" s="253">
        <f t="shared" si="109"/>
        <v>1.0957793152052353</v>
      </c>
      <c r="V292" s="385">
        <f t="shared" si="110"/>
        <v>31.973236694234767</v>
      </c>
      <c r="W292" s="404">
        <f t="shared" si="111"/>
        <v>32.516355707157985</v>
      </c>
      <c r="X292" s="157">
        <f t="shared" si="112"/>
        <v>45204</v>
      </c>
      <c r="Y292" s="387">
        <f t="shared" si="113"/>
        <v>29.543289428792946</v>
      </c>
      <c r="Z292" s="387">
        <f t="shared" si="114"/>
        <v>30.872427467977364</v>
      </c>
      <c r="AA292" s="388">
        <f t="shared" si="115"/>
        <v>37.3320626830997</v>
      </c>
      <c r="AB292" s="199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0.1730318324480534</v>
      </c>
      <c r="AD292" s="233">
        <f>(INDEX(Models!$BJ292:$BT292,,AH292)*(1-AF292)+INDEX(Models!$BJ292:$BT292,,AH292+1)*AF292-ERP_i)*AE292*Ramure*Pc/MaxiM</f>
        <v>2.1018003797944041E-2</v>
      </c>
      <c r="AE292" s="307">
        <f t="shared" si="117"/>
        <v>0.9</v>
      </c>
      <c r="AF292" s="179">
        <f t="shared" si="118"/>
        <v>9.5779315205235305E-2</v>
      </c>
      <c r="AG292" s="839">
        <f t="shared" si="124"/>
        <v>1</v>
      </c>
      <c r="AH292" s="178">
        <f t="shared" si="119"/>
        <v>7</v>
      </c>
      <c r="AI292" s="227">
        <f t="shared" si="120"/>
        <v>1.0957793152052353</v>
      </c>
      <c r="AJ292" s="267" t="b">
        <f t="shared" si="121"/>
        <v>0</v>
      </c>
      <c r="AK292" s="267" t="b">
        <f t="shared" si="122"/>
        <v>0</v>
      </c>
      <c r="AL292" s="267"/>
      <c r="AM292" s="267"/>
      <c r="AN292" s="75"/>
    </row>
    <row r="293" spans="1:40" s="6" customFormat="1" ht="11.25" x14ac:dyDescent="0.2">
      <c r="A293" s="56">
        <f t="shared" si="123"/>
        <v>45205</v>
      </c>
      <c r="B293" s="413">
        <f>'2022'!Wh/'2022'!Env_an*'2023'!Env_an</f>
        <v>13.961266127178442</v>
      </c>
      <c r="C293" s="868"/>
      <c r="D293" s="395">
        <f t="shared" si="102"/>
        <v>14.589716137310774</v>
      </c>
      <c r="E293" s="387">
        <f t="shared" si="100"/>
        <v>16.031114679083547</v>
      </c>
      <c r="F293" s="387">
        <f t="shared" si="103"/>
        <v>16.103620463474059</v>
      </c>
      <c r="G293" s="110">
        <f t="shared" si="101"/>
        <v>0.43479812570213844</v>
      </c>
      <c r="H293" s="416" t="b">
        <f>Wh_hp&gt;='2022'!Maxi_hp</f>
        <v>0</v>
      </c>
      <c r="I293" s="392">
        <f>IF(H293,Wh_hp,'2022'!Maxi_hp)</f>
        <v>33.977858149363783</v>
      </c>
      <c r="J293" s="85">
        <f>IF(H293,An,'2022'!An_max)</f>
        <v>2018</v>
      </c>
      <c r="K293" s="199">
        <f t="shared" si="104"/>
        <v>45205</v>
      </c>
      <c r="L293" s="147">
        <f>IF(t&lt;Tvie,1-EXP((T0-t)*PertePVj)+'2022'!Pspv,1-EXP((T0-t)*PertePVj)+Pspv)</f>
        <v>4.3074862061584285E-2</v>
      </c>
      <c r="M293" s="872"/>
      <c r="N293" s="872"/>
      <c r="O293" s="48">
        <f>IF(t&lt;Tnet,'2022'!Resal+('2022'!Salim-'2022'!Resal)*(1-EXP(('2022'!Tnet-t)/('2022'!Tau_j))),Resal+(Salim-Resal)*(1-EXP((Tnet-t)/(Tau_j))))*Salcycl</f>
        <v>8.9912558834940259E-2</v>
      </c>
      <c r="P293" s="171">
        <f>(INDEX(Models!$BJ293:$BT293,,T293)*(1-R293)+INDEX(Models!$BJ293:$BT293,,T293+1)*R293-ERP_i)*Q293*Ramure*Pc/MaxiM</f>
        <v>2.2098434811552492E-2</v>
      </c>
      <c r="Q293" s="307">
        <f t="shared" si="105"/>
        <v>0.9</v>
      </c>
      <c r="R293" s="179">
        <f t="shared" si="106"/>
        <v>9.5973790376811863E-2</v>
      </c>
      <c r="S293" s="839">
        <f t="shared" si="107"/>
        <v>1</v>
      </c>
      <c r="T293" s="178">
        <f t="shared" si="108"/>
        <v>7</v>
      </c>
      <c r="U293" s="253">
        <f t="shared" si="109"/>
        <v>1.0959737903768119</v>
      </c>
      <c r="V293" s="385">
        <f t="shared" si="110"/>
        <v>31.542207838851862</v>
      </c>
      <c r="W293" s="404">
        <f t="shared" si="111"/>
        <v>13.961266127178442</v>
      </c>
      <c r="X293" s="157">
        <f t="shared" si="112"/>
        <v>45205</v>
      </c>
      <c r="Y293" s="387">
        <f t="shared" si="113"/>
        <v>12.686766598991738</v>
      </c>
      <c r="Z293" s="387">
        <f t="shared" si="114"/>
        <v>13.25784650858259</v>
      </c>
      <c r="AA293" s="388">
        <f t="shared" si="115"/>
        <v>16.031114679083547</v>
      </c>
      <c r="AB293" s="199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0.17299284709873325</v>
      </c>
      <c r="AD293" s="233">
        <f>(INDEX(Models!$BJ293:$BT293,,AH293)*(1-AF293)+INDEX(Models!$BJ293:$BT293,,AH293+1)*AF293-ERP_i)*AE293*Ramure*Pc/MaxiM</f>
        <v>2.2098434811552492E-2</v>
      </c>
      <c r="AE293" s="307">
        <f t="shared" si="117"/>
        <v>0.9</v>
      </c>
      <c r="AF293" s="179">
        <f t="shared" si="118"/>
        <v>9.5973790376811863E-2</v>
      </c>
      <c r="AG293" s="839">
        <f t="shared" si="124"/>
        <v>1</v>
      </c>
      <c r="AH293" s="178">
        <f t="shared" si="119"/>
        <v>7</v>
      </c>
      <c r="AI293" s="227">
        <f t="shared" si="120"/>
        <v>1.0959737903768119</v>
      </c>
      <c r="AJ293" s="267" t="b">
        <f t="shared" si="121"/>
        <v>0</v>
      </c>
      <c r="AK293" s="267" t="b">
        <f t="shared" si="122"/>
        <v>0</v>
      </c>
      <c r="AL293" s="267"/>
      <c r="AM293" s="267"/>
      <c r="AN293" s="75"/>
    </row>
    <row r="294" spans="1:40" s="6" customFormat="1" ht="11.25" x14ac:dyDescent="0.2">
      <c r="A294" s="56">
        <f t="shared" si="123"/>
        <v>45206</v>
      </c>
      <c r="B294" s="413">
        <f>'2022'!Wh/'2022'!Env_an*'2023'!Env_an</f>
        <v>23.953624410849255</v>
      </c>
      <c r="C294" s="868"/>
      <c r="D294" s="395">
        <f t="shared" si="102"/>
        <v>25.032451244057025</v>
      </c>
      <c r="E294" s="387">
        <f t="shared" si="100"/>
        <v>27.508565632222876</v>
      </c>
      <c r="F294" s="387">
        <f t="shared" si="103"/>
        <v>27.94488922841262</v>
      </c>
      <c r="G294" s="110">
        <f t="shared" si="101"/>
        <v>0.76397462470430832</v>
      </c>
      <c r="H294" s="416" t="b">
        <f>Wh_hp&gt;='2022'!Maxi_hp</f>
        <v>0</v>
      </c>
      <c r="I294" s="392">
        <f>IF(H294,Wh_hp,'2022'!Maxi_hp)</f>
        <v>36.648914494338172</v>
      </c>
      <c r="J294" s="85">
        <f>IF(H294,An,'2022'!An_max)</f>
        <v>2021</v>
      </c>
      <c r="K294" s="199">
        <f t="shared" si="104"/>
        <v>45206</v>
      </c>
      <c r="L294" s="147">
        <f>IF(t&lt;Tvie,1-EXP((T0-t)*PertePVj)+'2022'!Pspv,1-EXP((T0-t)*PertePVj)+Pspv)</f>
        <v>4.309713110752178E-2</v>
      </c>
      <c r="M294" s="872"/>
      <c r="N294" s="872"/>
      <c r="O294" s="48">
        <f>IF(t&lt;Tnet,'2022'!Resal+('2022'!Salim-'2022'!Resal)*(1-EXP(('2022'!Tnet-t)/('2022'!Tau_j))),Resal+(Salim-Resal)*(1-EXP((Tnet-t)/(Tau_j))))*Salcycl</f>
        <v>9.0012486338633027E-2</v>
      </c>
      <c r="P294" s="171">
        <f>(INDEX(Models!$BJ294:$BT294,,T294)*(1-R294)+INDEX(Models!$BJ294:$BT294,,T294+1)*R294-ERP_i)*Q294*Ramure*Pc/MaxiM</f>
        <v>2.3256808640341627E-2</v>
      </c>
      <c r="Q294" s="307">
        <f t="shared" si="105"/>
        <v>0.9</v>
      </c>
      <c r="R294" s="179">
        <f t="shared" si="106"/>
        <v>9.6160554724999514E-2</v>
      </c>
      <c r="S294" s="839">
        <f t="shared" si="107"/>
        <v>1</v>
      </c>
      <c r="T294" s="178">
        <f t="shared" si="108"/>
        <v>7</v>
      </c>
      <c r="U294" s="253">
        <f t="shared" si="109"/>
        <v>1.0961605547249995</v>
      </c>
      <c r="V294" s="385">
        <f t="shared" si="110"/>
        <v>31.110510746623909</v>
      </c>
      <c r="W294" s="404">
        <f t="shared" si="111"/>
        <v>23.953624410849255</v>
      </c>
      <c r="X294" s="157">
        <f t="shared" si="112"/>
        <v>45206</v>
      </c>
      <c r="Y294" s="387">
        <f t="shared" si="113"/>
        <v>21.77044883082948</v>
      </c>
      <c r="Z294" s="387">
        <f t="shared" si="114"/>
        <v>22.750949483542307</v>
      </c>
      <c r="AA294" s="388">
        <f t="shared" si="115"/>
        <v>27.508565632222876</v>
      </c>
      <c r="AB294" s="199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0.17295035343855264</v>
      </c>
      <c r="AD294" s="233">
        <f>(INDEX(Models!$BJ294:$BT294,,AH294)*(1-AF294)+INDEX(Models!$BJ294:$BT294,,AH294+1)*AF294-ERP_i)*AE294*Ramure*Pc/MaxiM</f>
        <v>2.3256808640341627E-2</v>
      </c>
      <c r="AE294" s="307">
        <f t="shared" si="117"/>
        <v>0.9</v>
      </c>
      <c r="AF294" s="179">
        <f t="shared" si="118"/>
        <v>9.6160554724999514E-2</v>
      </c>
      <c r="AG294" s="839">
        <f t="shared" si="124"/>
        <v>1</v>
      </c>
      <c r="AH294" s="178">
        <f t="shared" si="119"/>
        <v>7</v>
      </c>
      <c r="AI294" s="227">
        <f t="shared" si="120"/>
        <v>1.0961605547249995</v>
      </c>
      <c r="AJ294" s="267" t="b">
        <f t="shared" si="121"/>
        <v>0</v>
      </c>
      <c r="AK294" s="267" t="b">
        <f t="shared" si="122"/>
        <v>0</v>
      </c>
      <c r="AL294" s="267"/>
      <c r="AM294" s="267"/>
      <c r="AN294" s="75"/>
    </row>
    <row r="295" spans="1:40" s="6" customFormat="1" ht="11.25" x14ac:dyDescent="0.2">
      <c r="A295" s="56">
        <f t="shared" si="123"/>
        <v>45207</v>
      </c>
      <c r="B295" s="413">
        <f>'2022'!Wh/'2022'!Env_an*'2023'!Env_an</f>
        <v>14.65708592013508</v>
      </c>
      <c r="C295" s="868"/>
      <c r="D295" s="395">
        <f t="shared" si="102"/>
        <v>15.317570357835271</v>
      </c>
      <c r="E295" s="387">
        <f t="shared" si="100"/>
        <v>16.834535265822261</v>
      </c>
      <c r="F295" s="387">
        <f t="shared" si="103"/>
        <v>16.939905007019256</v>
      </c>
      <c r="G295" s="110">
        <f t="shared" si="101"/>
        <v>0.46896884431174102</v>
      </c>
      <c r="H295" s="416" t="b">
        <f>Wh_hp&gt;='2022'!Maxi_hp</f>
        <v>0</v>
      </c>
      <c r="I295" s="392">
        <f>IF(H295,Wh_hp,'2022'!Maxi_hp)</f>
        <v>35.752420228658309</v>
      </c>
      <c r="J295" s="85">
        <f>IF(H295,An,'2022'!An_max)</f>
        <v>2021</v>
      </c>
      <c r="K295" s="199">
        <f t="shared" si="104"/>
        <v>45207</v>
      </c>
      <c r="L295" s="147">
        <f>IF(t&lt;Tvie,1-EXP((T0-t)*PertePVj)+'2022'!Pspv,1-EXP((T0-t)*PertePVj)+Pspv)</f>
        <v>4.3119399635226041E-2</v>
      </c>
      <c r="M295" s="872"/>
      <c r="N295" s="872"/>
      <c r="O295" s="48">
        <f>IF(t&lt;Tnet,'2022'!Resal+('2022'!Salim-'2022'!Resal)*(1-EXP(('2022'!Tnet-t)/('2022'!Tau_j))),Resal+(Salim-Resal)*(1-EXP((Tnet-t)/(Tau_j))))*Salcycl</f>
        <v>9.0110293158300339E-2</v>
      </c>
      <c r="P295" s="171">
        <f>(INDEX(Models!$BJ295:$BT295,,T295)*(1-R295)+INDEX(Models!$BJ295:$BT295,,T295+1)*R295-ERP_i)*Q295*Ramure*Pc/MaxiM</f>
        <v>2.4495279691977123E-2</v>
      </c>
      <c r="Q295" s="307">
        <f t="shared" si="105"/>
        <v>0.9</v>
      </c>
      <c r="R295" s="179">
        <f t="shared" si="106"/>
        <v>9.6339909398980517E-2</v>
      </c>
      <c r="S295" s="839">
        <f t="shared" si="107"/>
        <v>1</v>
      </c>
      <c r="T295" s="178">
        <f t="shared" si="108"/>
        <v>7</v>
      </c>
      <c r="U295" s="253">
        <f t="shared" si="109"/>
        <v>1.0963399093989805</v>
      </c>
      <c r="V295" s="385">
        <f t="shared" si="110"/>
        <v>30.679117039063886</v>
      </c>
      <c r="W295" s="404">
        <f t="shared" si="111"/>
        <v>14.65708592013508</v>
      </c>
      <c r="X295" s="157">
        <f t="shared" si="112"/>
        <v>45207</v>
      </c>
      <c r="Y295" s="387">
        <f t="shared" si="113"/>
        <v>13.323386459738456</v>
      </c>
      <c r="Z295" s="387">
        <f t="shared" si="114"/>
        <v>13.923771110689701</v>
      </c>
      <c r="AA295" s="388">
        <f t="shared" si="115"/>
        <v>16.834535265822261</v>
      </c>
      <c r="AB295" s="199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0.17290433677976483</v>
      </c>
      <c r="AD295" s="233">
        <f>(INDEX(Models!$BJ295:$BT295,,AH295)*(1-AF295)+INDEX(Models!$BJ295:$BT295,,AH295+1)*AF295-ERP_i)*AE295*Ramure*Pc/MaxiM</f>
        <v>2.4495279691977123E-2</v>
      </c>
      <c r="AE295" s="307">
        <f t="shared" si="117"/>
        <v>0.9</v>
      </c>
      <c r="AF295" s="179">
        <f t="shared" si="118"/>
        <v>9.6339909398980517E-2</v>
      </c>
      <c r="AG295" s="839">
        <f t="shared" si="124"/>
        <v>1</v>
      </c>
      <c r="AH295" s="178">
        <f t="shared" si="119"/>
        <v>7</v>
      </c>
      <c r="AI295" s="227">
        <f t="shared" si="120"/>
        <v>1.0963399093989805</v>
      </c>
      <c r="AJ295" s="267" t="b">
        <f t="shared" si="121"/>
        <v>0</v>
      </c>
      <c r="AK295" s="267" t="b">
        <f t="shared" si="122"/>
        <v>0</v>
      </c>
      <c r="AL295" s="267"/>
      <c r="AM295" s="267"/>
      <c r="AN295" s="75"/>
    </row>
    <row r="296" spans="1:40" s="6" customFormat="1" ht="11.25" x14ac:dyDescent="0.2">
      <c r="A296" s="56">
        <f t="shared" si="123"/>
        <v>45208</v>
      </c>
      <c r="B296" s="413">
        <f>'2022'!Wh/'2022'!Env_an*'2023'!Env_an</f>
        <v>29.579945896334024</v>
      </c>
      <c r="C296" s="868"/>
      <c r="D296" s="395">
        <f t="shared" si="102"/>
        <v>30.913610611012267</v>
      </c>
      <c r="E296" s="387">
        <f t="shared" si="100"/>
        <v>33.978691426995951</v>
      </c>
      <c r="F296" s="387">
        <f t="shared" si="103"/>
        <v>34.849540770050112</v>
      </c>
      <c r="G296" s="110">
        <f t="shared" si="101"/>
        <v>0.97705231661429159</v>
      </c>
      <c r="H296" s="416" t="b">
        <f>Wh_hp&gt;='2022'!Maxi_hp</f>
        <v>0</v>
      </c>
      <c r="I296" s="392">
        <f>IF(H296,Wh_hp,'2022'!Maxi_hp)</f>
        <v>34.859155610094177</v>
      </c>
      <c r="J296" s="85">
        <f>IF(H296,An,'2022'!An_max)</f>
        <v>2022</v>
      </c>
      <c r="K296" s="199">
        <f t="shared" si="104"/>
        <v>45208</v>
      </c>
      <c r="L296" s="147">
        <f>IF(t&lt;Tvie,1-EXP((T0-t)*PertePVj)+'2022'!Pspv,1-EXP((T0-t)*PertePVj)+Pspv)</f>
        <v>4.3141667644709059E-2</v>
      </c>
      <c r="M296" s="872"/>
      <c r="N296" s="872"/>
      <c r="O296" s="48">
        <f>IF(t&lt;Tnet,'2022'!Resal+('2022'!Salim-'2022'!Resal)*(1-EXP(('2022'!Tnet-t)/('2022'!Tau_j))),Resal+(Salim-Resal)*(1-EXP((Tnet-t)/(Tau_j))))*Salcycl</f>
        <v>9.0205969896430108E-2</v>
      </c>
      <c r="P296" s="171">
        <f>(INDEX(Models!$BJ296:$BT296,,T296)*(1-R296)+INDEX(Models!$BJ296:$BT296,,T296+1)*R296-ERP_i)*Q296*Ramure*Pc/MaxiM</f>
        <v>2.5804609065436211E-2</v>
      </c>
      <c r="Q296" s="307">
        <f t="shared" si="105"/>
        <v>0.9</v>
      </c>
      <c r="R296" s="179">
        <f t="shared" si="106"/>
        <v>9.6512144145604939E-2</v>
      </c>
      <c r="S296" s="839">
        <f t="shared" si="107"/>
        <v>1</v>
      </c>
      <c r="T296" s="178">
        <f t="shared" si="108"/>
        <v>7</v>
      </c>
      <c r="U296" s="253">
        <f t="shared" si="109"/>
        <v>1.0965121441456049</v>
      </c>
      <c r="V296" s="385">
        <f t="shared" si="110"/>
        <v>30.249349315088136</v>
      </c>
      <c r="W296" s="404">
        <f t="shared" si="111"/>
        <v>29.579945896334024</v>
      </c>
      <c r="X296" s="157">
        <f t="shared" si="112"/>
        <v>45208</v>
      </c>
      <c r="Y296" s="387">
        <f t="shared" si="113"/>
        <v>26.892801768267372</v>
      </c>
      <c r="Z296" s="387">
        <f t="shared" si="114"/>
        <v>28.105311788497662</v>
      </c>
      <c r="AA296" s="388">
        <f t="shared" si="115"/>
        <v>33.978691426995951</v>
      </c>
      <c r="AB296" s="199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0.17285479198389339</v>
      </c>
      <c r="AD296" s="233">
        <f>(INDEX(Models!$BJ296:$BT296,,AH296)*(1-AF296)+INDEX(Models!$BJ296:$BT296,,AH296+1)*AF296-ERP_i)*AE296*Ramure*Pc/MaxiM</f>
        <v>2.5804609065436211E-2</v>
      </c>
      <c r="AE296" s="307">
        <f t="shared" si="117"/>
        <v>0.9</v>
      </c>
      <c r="AF296" s="179">
        <f t="shared" si="118"/>
        <v>9.6512144145604939E-2</v>
      </c>
      <c r="AG296" s="839">
        <f t="shared" si="124"/>
        <v>1</v>
      </c>
      <c r="AH296" s="178">
        <f t="shared" si="119"/>
        <v>7</v>
      </c>
      <c r="AI296" s="227">
        <f t="shared" si="120"/>
        <v>1.0965121441456049</v>
      </c>
      <c r="AJ296" s="267" t="b">
        <f t="shared" si="121"/>
        <v>0</v>
      </c>
      <c r="AK296" s="267" t="b">
        <f t="shared" si="122"/>
        <v>0</v>
      </c>
      <c r="AL296" s="267"/>
      <c r="AM296" s="267"/>
      <c r="AN296" s="75"/>
    </row>
    <row r="297" spans="1:40" s="6" customFormat="1" ht="11.25" x14ac:dyDescent="0.2">
      <c r="A297" s="56">
        <f t="shared" si="123"/>
        <v>45209</v>
      </c>
      <c r="B297" s="413">
        <f>'2022'!Wh/'2022'!Env_an*'2023'!Env_an</f>
        <v>25.242775175944569</v>
      </c>
      <c r="C297" s="868"/>
      <c r="D297" s="395">
        <f t="shared" si="102"/>
        <v>26.381504735120959</v>
      </c>
      <c r="E297" s="387">
        <f t="shared" ref="E297:E360" si="125">Wh_pvt/(1-Psa)</f>
        <v>29.000209514886159</v>
      </c>
      <c r="F297" s="387">
        <f t="shared" si="103"/>
        <v>29.628046166947399</v>
      </c>
      <c r="G297" s="110">
        <f t="shared" ref="G297:G360" si="126">+Wh_hp/MaxiM</f>
        <v>0.84125813732384491</v>
      </c>
      <c r="H297" s="416" t="b">
        <f>Wh_hp&gt;='2022'!Maxi_hp</f>
        <v>0</v>
      </c>
      <c r="I297" s="392">
        <f>IF(H297,Wh_hp,'2022'!Maxi_hp)</f>
        <v>29.687816972042782</v>
      </c>
      <c r="J297" s="85">
        <f>IF(H297,An,'2022'!An_max)</f>
        <v>2022</v>
      </c>
      <c r="K297" s="199">
        <f t="shared" si="104"/>
        <v>45209</v>
      </c>
      <c r="L297" s="147">
        <f>IF(t&lt;Tvie,1-EXP((T0-t)*PertePVj)+'2022'!Pspv,1-EXP((T0-t)*PertePVj)+Pspv)</f>
        <v>4.3163935135983045E-2</v>
      </c>
      <c r="M297" s="872"/>
      <c r="N297" s="872"/>
      <c r="O297" s="48">
        <f>IF(t&lt;Tnet,'2022'!Resal+('2022'!Salim-'2022'!Resal)*(1-EXP(('2022'!Tnet-t)/('2022'!Tau_j))),Resal+(Salim-Resal)*(1-EXP((Tnet-t)/(Tau_j))))*Salcycl</f>
        <v>9.0299512437004459E-2</v>
      </c>
      <c r="P297" s="171">
        <f>(INDEX(Models!$BJ297:$BT297,,T297)*(1-R297)+INDEX(Models!$BJ297:$BT297,,T297+1)*R297-ERP_i)*Q297*Ramure*Pc/MaxiM</f>
        <v>2.7147128928182947E-2</v>
      </c>
      <c r="Q297" s="307">
        <f t="shared" si="105"/>
        <v>0.9</v>
      </c>
      <c r="R297" s="179">
        <f t="shared" si="106"/>
        <v>9.6677537712809514E-2</v>
      </c>
      <c r="S297" s="839">
        <f t="shared" si="107"/>
        <v>1</v>
      </c>
      <c r="T297" s="178">
        <f t="shared" si="108"/>
        <v>7</v>
      </c>
      <c r="U297" s="253">
        <f t="shared" si="109"/>
        <v>1.0966775377128095</v>
      </c>
      <c r="V297" s="385">
        <f t="shared" si="110"/>
        <v>29.823380075501507</v>
      </c>
      <c r="W297" s="404">
        <f t="shared" si="111"/>
        <v>25.242775175944569</v>
      </c>
      <c r="X297" s="157">
        <f t="shared" si="112"/>
        <v>45209</v>
      </c>
      <c r="Y297" s="387">
        <f t="shared" si="113"/>
        <v>22.953466984456213</v>
      </c>
      <c r="Z297" s="387">
        <f t="shared" si="114"/>
        <v>23.988923314380191</v>
      </c>
      <c r="AA297" s="388">
        <f t="shared" si="115"/>
        <v>29.000209514886159</v>
      </c>
      <c r="AB297" s="199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0.1728017239990495</v>
      </c>
      <c r="AD297" s="233">
        <f>(INDEX(Models!$BJ297:$BT297,,AH297)*(1-AF297)+INDEX(Models!$BJ297:$BT297,,AH297+1)*AF297-ERP_i)*AE297*Ramure*Pc/MaxiM</f>
        <v>2.7147128928182947E-2</v>
      </c>
      <c r="AE297" s="307">
        <f t="shared" si="117"/>
        <v>0.9</v>
      </c>
      <c r="AF297" s="179">
        <f t="shared" si="118"/>
        <v>9.6677537712809514E-2</v>
      </c>
      <c r="AG297" s="839">
        <f t="shared" si="124"/>
        <v>1</v>
      </c>
      <c r="AH297" s="178">
        <f t="shared" si="119"/>
        <v>7</v>
      </c>
      <c r="AI297" s="227">
        <f t="shared" si="120"/>
        <v>1.0966775377128095</v>
      </c>
      <c r="AJ297" s="267" t="b">
        <f t="shared" si="121"/>
        <v>0</v>
      </c>
      <c r="AK297" s="267" t="b">
        <f t="shared" si="122"/>
        <v>0</v>
      </c>
      <c r="AL297" s="267"/>
      <c r="AM297" s="267"/>
      <c r="AN297" s="75"/>
    </row>
    <row r="298" spans="1:40" s="6" customFormat="1" ht="11.25" x14ac:dyDescent="0.2">
      <c r="A298" s="56">
        <f t="shared" si="123"/>
        <v>45210</v>
      </c>
      <c r="B298" s="413">
        <f>'2022'!Wh/'2022'!Env_an*'2023'!Env_an</f>
        <v>21.802109123100887</v>
      </c>
      <c r="C298" s="868"/>
      <c r="D298" s="395">
        <f t="shared" si="102"/>
        <v>22.786156691258277</v>
      </c>
      <c r="E298" s="387">
        <f t="shared" si="125"/>
        <v>25.050493941168671</v>
      </c>
      <c r="F298" s="387">
        <f t="shared" si="103"/>
        <v>25.509413553738668</v>
      </c>
      <c r="G298" s="110">
        <f t="shared" si="126"/>
        <v>0.73356029937351197</v>
      </c>
      <c r="H298" s="416" t="b">
        <f>Wh_hp&gt;='2022'!Maxi_hp</f>
        <v>0</v>
      </c>
      <c r="I298" s="392">
        <f>IF(H298,Wh_hp,'2022'!Maxi_hp)</f>
        <v>35.147507739823403</v>
      </c>
      <c r="J298" s="85">
        <f>IF(H298,An,'2022'!An_max)</f>
        <v>2019</v>
      </c>
      <c r="K298" s="199">
        <f t="shared" si="104"/>
        <v>45210</v>
      </c>
      <c r="L298" s="147">
        <f>IF(t&lt;Tvie,1-EXP((T0-t)*PertePVj)+'2022'!Pspv,1-EXP((T0-t)*PertePVj)+Pspv)</f>
        <v>4.318620210905999E-2</v>
      </c>
      <c r="M298" s="872"/>
      <c r="N298" s="872"/>
      <c r="O298" s="48">
        <f>IF(t&lt;Tnet,'2022'!Resal+('2022'!Salim-'2022'!Resal)*(1-EXP(('2022'!Tnet-t)/('2022'!Tau_j))),Resal+(Salim-Resal)*(1-EXP((Tnet-t)/(Tau_j))))*Salcycl</f>
        <v>9.039092224002504E-2</v>
      </c>
      <c r="P298" s="171">
        <f>(INDEX(Models!$BJ298:$BT298,,T298)*(1-R298)+INDEX(Models!$BJ298:$BT298,,T298+1)*R298-ERP_i)*Q298*Ramure*Pc/MaxiM</f>
        <v>2.8522681136229973E-2</v>
      </c>
      <c r="Q298" s="307">
        <f t="shared" si="105"/>
        <v>0.9</v>
      </c>
      <c r="R298" s="179">
        <f t="shared" si="106"/>
        <v>9.683635824102943E-2</v>
      </c>
      <c r="S298" s="839">
        <f t="shared" si="107"/>
        <v>1</v>
      </c>
      <c r="T298" s="178">
        <f t="shared" si="108"/>
        <v>7</v>
      </c>
      <c r="U298" s="253">
        <f t="shared" si="109"/>
        <v>1.0968363582410294</v>
      </c>
      <c r="V298" s="385">
        <f t="shared" si="110"/>
        <v>29.402180299466377</v>
      </c>
      <c r="W298" s="404">
        <f t="shared" si="111"/>
        <v>21.802109123100887</v>
      </c>
      <c r="X298" s="157">
        <f t="shared" si="112"/>
        <v>45210</v>
      </c>
      <c r="Y298" s="387">
        <f t="shared" si="113"/>
        <v>19.828188822154839</v>
      </c>
      <c r="Z298" s="387">
        <f t="shared" si="114"/>
        <v>20.723142648926249</v>
      </c>
      <c r="AA298" s="388">
        <f t="shared" si="115"/>
        <v>25.050493941168671</v>
      </c>
      <c r="AB298" s="199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0.17274514835536772</v>
      </c>
      <c r="AD298" s="233">
        <f>(INDEX(Models!$BJ298:$BT298,,AH298)*(1-AF298)+INDEX(Models!$BJ298:$BT298,,AH298+1)*AF298-ERP_i)*AE298*Ramure*Pc/MaxiM</f>
        <v>2.8522681136229973E-2</v>
      </c>
      <c r="AE298" s="307">
        <f t="shared" si="117"/>
        <v>0.9</v>
      </c>
      <c r="AF298" s="179">
        <f t="shared" si="118"/>
        <v>9.683635824102943E-2</v>
      </c>
      <c r="AG298" s="839">
        <f t="shared" si="124"/>
        <v>1</v>
      </c>
      <c r="AH298" s="178">
        <f t="shared" si="119"/>
        <v>7</v>
      </c>
      <c r="AI298" s="227">
        <f t="shared" si="120"/>
        <v>1.0968363582410294</v>
      </c>
      <c r="AJ298" s="267" t="b">
        <f t="shared" si="121"/>
        <v>0</v>
      </c>
      <c r="AK298" s="267" t="b">
        <f t="shared" si="122"/>
        <v>0</v>
      </c>
      <c r="AL298" s="267"/>
      <c r="AM298" s="267"/>
      <c r="AN298" s="75"/>
    </row>
    <row r="299" spans="1:40" s="6" customFormat="1" ht="11.25" x14ac:dyDescent="0.2">
      <c r="A299" s="56">
        <f t="shared" si="123"/>
        <v>45211</v>
      </c>
      <c r="B299" s="413">
        <f>'2022'!Wh/'2022'!Env_an*'2023'!Env_an</f>
        <v>23.498310459846373</v>
      </c>
      <c r="C299" s="868"/>
      <c r="D299" s="395">
        <f t="shared" si="102"/>
        <v>24.559488339719902</v>
      </c>
      <c r="E299" s="387">
        <f t="shared" si="125"/>
        <v>27.002698037239554</v>
      </c>
      <c r="F299" s="387">
        <f t="shared" si="103"/>
        <v>27.605460934821007</v>
      </c>
      <c r="G299" s="110">
        <f t="shared" si="126"/>
        <v>0.80394821403559857</v>
      </c>
      <c r="H299" s="416" t="b">
        <f>Wh_hp&gt;='2022'!Maxi_hp</f>
        <v>0</v>
      </c>
      <c r="I299" s="392">
        <f>IF(H299,Wh_hp,'2022'!Maxi_hp)</f>
        <v>33.883133366229487</v>
      </c>
      <c r="J299" s="85">
        <f>IF(H299,An,'2022'!An_max)</f>
        <v>2021</v>
      </c>
      <c r="K299" s="199">
        <f t="shared" si="104"/>
        <v>45211</v>
      </c>
      <c r="L299" s="147">
        <f>IF(t&lt;Tvie,1-EXP((T0-t)*PertePVj)+'2022'!Pspv,1-EXP((T0-t)*PertePVj)+Pspv)</f>
        <v>4.3208468563951885E-2</v>
      </c>
      <c r="M299" s="872"/>
      <c r="N299" s="872"/>
      <c r="O299" s="48">
        <f>IF(t&lt;Tnet,'2022'!Resal+('2022'!Salim-'2022'!Resal)*(1-EXP(('2022'!Tnet-t)/('2022'!Tau_j))),Resal+(Salim-Resal)*(1-EXP((Tnet-t)/(Tau_j))))*Salcycl</f>
        <v>9.0480206613065425E-2</v>
      </c>
      <c r="P299" s="171">
        <f>(INDEX(Models!$BJ299:$BT299,,T299)*(1-R299)+INDEX(Models!$BJ299:$BT299,,T299+1)*R299-ERP_i)*Q299*Ramure*Pc/MaxiM</f>
        <v>2.9930887606334909E-2</v>
      </c>
      <c r="Q299" s="307">
        <f t="shared" si="105"/>
        <v>0.9</v>
      </c>
      <c r="R299" s="179">
        <f t="shared" si="106"/>
        <v>9.6988863642772927E-2</v>
      </c>
      <c r="S299" s="839">
        <f t="shared" si="107"/>
        <v>1</v>
      </c>
      <c r="T299" s="178">
        <f t="shared" si="108"/>
        <v>7</v>
      </c>
      <c r="U299" s="253">
        <f t="shared" si="109"/>
        <v>1.0969888636427729</v>
      </c>
      <c r="V299" s="385">
        <f t="shared" si="110"/>
        <v>28.986720466989947</v>
      </c>
      <c r="W299" s="404">
        <f t="shared" si="111"/>
        <v>23.498310459846373</v>
      </c>
      <c r="X299" s="157">
        <f t="shared" si="112"/>
        <v>45211</v>
      </c>
      <c r="Y299" s="387">
        <f t="shared" si="113"/>
        <v>21.3744689304046</v>
      </c>
      <c r="Z299" s="387">
        <f t="shared" si="114"/>
        <v>22.339734652880619</v>
      </c>
      <c r="AA299" s="388">
        <f t="shared" si="115"/>
        <v>27.002698037239554</v>
      </c>
      <c r="AB299" s="199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0.17268509161300188</v>
      </c>
      <c r="AD299" s="233">
        <f>(INDEX(Models!$BJ299:$BT299,,AH299)*(1-AF299)+INDEX(Models!$BJ299:$BT299,,AH299+1)*AF299-ERP_i)*AE299*Ramure*Pc/MaxiM</f>
        <v>2.9930887606334909E-2</v>
      </c>
      <c r="AE299" s="307">
        <f t="shared" si="117"/>
        <v>0.9</v>
      </c>
      <c r="AF299" s="179">
        <f t="shared" si="118"/>
        <v>9.6988863642772927E-2</v>
      </c>
      <c r="AG299" s="839">
        <f t="shared" si="124"/>
        <v>1</v>
      </c>
      <c r="AH299" s="178">
        <f t="shared" si="119"/>
        <v>7</v>
      </c>
      <c r="AI299" s="227">
        <f t="shared" si="120"/>
        <v>1.0969888636427729</v>
      </c>
      <c r="AJ299" s="267" t="b">
        <f t="shared" si="121"/>
        <v>0</v>
      </c>
      <c r="AK299" s="267" t="b">
        <f t="shared" si="122"/>
        <v>0</v>
      </c>
      <c r="AL299" s="267"/>
      <c r="AM299" s="267"/>
      <c r="AN299" s="75"/>
    </row>
    <row r="300" spans="1:40" s="6" customFormat="1" ht="11.25" x14ac:dyDescent="0.2">
      <c r="A300" s="56">
        <f t="shared" si="123"/>
        <v>45212</v>
      </c>
      <c r="B300" s="413">
        <f>'2022'!Wh/'2022'!Env_an*'2023'!Env_an</f>
        <v>19.364559535833624</v>
      </c>
      <c r="C300" s="868"/>
      <c r="D300" s="395">
        <f t="shared" si="102"/>
        <v>20.239529251315822</v>
      </c>
      <c r="E300" s="387">
        <f t="shared" si="125"/>
        <v>22.255116853076935</v>
      </c>
      <c r="F300" s="387">
        <f t="shared" si="103"/>
        <v>22.638216144368791</v>
      </c>
      <c r="G300" s="110">
        <f t="shared" si="126"/>
        <v>0.66764557110693445</v>
      </c>
      <c r="H300" s="416" t="b">
        <f>Wh_hp&gt;='2022'!Maxi_hp</f>
        <v>0</v>
      </c>
      <c r="I300" s="392">
        <f>IF(H300,Wh_hp,'2022'!Maxi_hp)</f>
        <v>32.567800155049106</v>
      </c>
      <c r="J300" s="85">
        <f>IF(H300,An,'2022'!An_max)</f>
        <v>2021</v>
      </c>
      <c r="K300" s="199">
        <f t="shared" si="104"/>
        <v>45212</v>
      </c>
      <c r="L300" s="147">
        <f>IF(t&lt;Tvie,1-EXP((T0-t)*PertePVj)+'2022'!Pspv,1-EXP((T0-t)*PertePVj)+Pspv)</f>
        <v>4.3230734500670942E-2</v>
      </c>
      <c r="M300" s="872"/>
      <c r="N300" s="872"/>
      <c r="O300" s="48">
        <f>IF(t&lt;Tnet,'2022'!Resal+('2022'!Salim-'2022'!Resal)*(1-EXP(('2022'!Tnet-t)/('2022'!Tau_j))),Resal+(Salim-Resal)*(1-EXP((Tnet-t)/(Tau_j))))*Salcycl</f>
        <v>9.0567378956828218E-2</v>
      </c>
      <c r="P300" s="171">
        <f>(INDEX(Models!$BJ300:$BT300,,T300)*(1-R300)+INDEX(Models!$BJ300:$BT300,,T300+1)*R300-ERP_i)*Q300*Ramure*Pc/MaxiM</f>
        <v>3.1371125697033805E-2</v>
      </c>
      <c r="Q300" s="307">
        <f t="shared" si="105"/>
        <v>0.9</v>
      </c>
      <c r="R300" s="179">
        <f t="shared" si="106"/>
        <v>9.7135301970539878E-2</v>
      </c>
      <c r="S300" s="839">
        <f t="shared" si="107"/>
        <v>1</v>
      </c>
      <c r="T300" s="178">
        <f t="shared" si="108"/>
        <v>7</v>
      </c>
      <c r="U300" s="253">
        <f t="shared" si="109"/>
        <v>1.0971353019705399</v>
      </c>
      <c r="V300" s="385">
        <f t="shared" si="110"/>
        <v>28.577970579827394</v>
      </c>
      <c r="W300" s="404">
        <f t="shared" si="111"/>
        <v>19.364559535833624</v>
      </c>
      <c r="X300" s="157">
        <f t="shared" si="112"/>
        <v>45212</v>
      </c>
      <c r="Y300" s="387">
        <f t="shared" si="113"/>
        <v>17.617378214011492</v>
      </c>
      <c r="Z300" s="387">
        <f t="shared" si="114"/>
        <v>18.413403157152153</v>
      </c>
      <c r="AA300" s="388">
        <f t="shared" si="115"/>
        <v>22.255116853076935</v>
      </c>
      <c r="AB300" s="199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0.17262159175738651</v>
      </c>
      <c r="AD300" s="233">
        <f>(INDEX(Models!$BJ300:$BT300,,AH300)*(1-AF300)+INDEX(Models!$BJ300:$BT300,,AH300+1)*AF300-ERP_i)*AE300*Ramure*Pc/MaxiM</f>
        <v>3.1371125697033805E-2</v>
      </c>
      <c r="AE300" s="307">
        <f t="shared" si="117"/>
        <v>0.9</v>
      </c>
      <c r="AF300" s="179">
        <f t="shared" si="118"/>
        <v>9.7135301970539878E-2</v>
      </c>
      <c r="AG300" s="839">
        <f t="shared" si="124"/>
        <v>1</v>
      </c>
      <c r="AH300" s="178">
        <f t="shared" si="119"/>
        <v>7</v>
      </c>
      <c r="AI300" s="227">
        <f t="shared" si="120"/>
        <v>1.0971353019705399</v>
      </c>
      <c r="AJ300" s="267" t="b">
        <f t="shared" si="121"/>
        <v>0</v>
      </c>
      <c r="AK300" s="267" t="b">
        <f t="shared" si="122"/>
        <v>0</v>
      </c>
      <c r="AL300" s="267"/>
      <c r="AM300" s="267"/>
      <c r="AN300" s="75"/>
    </row>
    <row r="301" spans="1:40" s="6" customFormat="1" ht="11.25" x14ac:dyDescent="0.2">
      <c r="A301" s="56">
        <f t="shared" si="123"/>
        <v>45213</v>
      </c>
      <c r="B301" s="413">
        <f>'2022'!Wh/'2022'!Env_an*'2023'!Env_an</f>
        <v>16.236816286300865</v>
      </c>
      <c r="C301" s="868"/>
      <c r="D301" s="395">
        <f t="shared" si="102"/>
        <v>16.970856752025469</v>
      </c>
      <c r="E301" s="387">
        <f t="shared" si="125"/>
        <v>18.662674045418985</v>
      </c>
      <c r="F301" s="387">
        <f t="shared" si="103"/>
        <v>18.907734453651347</v>
      </c>
      <c r="G301" s="110">
        <f t="shared" si="126"/>
        <v>0.56463850245350411</v>
      </c>
      <c r="H301" s="416" t="b">
        <f>Wh_hp&gt;='2022'!Maxi_hp</f>
        <v>0</v>
      </c>
      <c r="I301" s="392">
        <f>IF(H301,Wh_hp,'2022'!Maxi_hp)</f>
        <v>34.446907354425804</v>
      </c>
      <c r="J301" s="85">
        <f>IF(H301,An,'2022'!An_max)</f>
        <v>2021</v>
      </c>
      <c r="K301" s="199">
        <f t="shared" si="104"/>
        <v>45213</v>
      </c>
      <c r="L301" s="147">
        <f>IF(t&lt;Tvie,1-EXP((T0-t)*PertePVj)+'2022'!Pspv,1-EXP((T0-t)*PertePVj)+Pspv)</f>
        <v>4.325299991922904E-2</v>
      </c>
      <c r="M301" s="872"/>
      <c r="N301" s="872"/>
      <c r="O301" s="48">
        <f>IF(t&lt;Tnet,'2022'!Resal+('2022'!Salim-'2022'!Resal)*(1-EXP(('2022'!Tnet-t)/('2022'!Tau_j))),Resal+(Salim-Resal)*(1-EXP((Tnet-t)/(Tau_j))))*Salcycl</f>
        <v>9.0652458981825099E-2</v>
      </c>
      <c r="P301" s="171">
        <f>(INDEX(Models!$BJ301:$BT301,,T301)*(1-R301)+INDEX(Models!$BJ301:$BT301,,T301+1)*R301-ERP_i)*Q301*Ramure*Pc/MaxiM</f>
        <v>3.2842502682128738E-2</v>
      </c>
      <c r="Q301" s="307">
        <f t="shared" si="105"/>
        <v>0.9</v>
      </c>
      <c r="R301" s="179">
        <f t="shared" si="106"/>
        <v>9.7275911773282875E-2</v>
      </c>
      <c r="S301" s="839">
        <f t="shared" si="107"/>
        <v>1</v>
      </c>
      <c r="T301" s="178">
        <f t="shared" si="108"/>
        <v>7</v>
      </c>
      <c r="U301" s="253">
        <f t="shared" si="109"/>
        <v>1.0972759117732829</v>
      </c>
      <c r="V301" s="385">
        <f t="shared" si="110"/>
        <v>28.176900203680599</v>
      </c>
      <c r="W301" s="404">
        <f t="shared" si="111"/>
        <v>16.236816286300865</v>
      </c>
      <c r="X301" s="157">
        <f t="shared" si="112"/>
        <v>45213</v>
      </c>
      <c r="Y301" s="387">
        <f t="shared" si="113"/>
        <v>14.774414336435186</v>
      </c>
      <c r="Z301" s="387">
        <f t="shared" si="114"/>
        <v>15.442341951621373</v>
      </c>
      <c r="AA301" s="388">
        <f t="shared" si="115"/>
        <v>18.662674045418985</v>
      </c>
      <c r="AB301" s="199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0.17255469853678804</v>
      </c>
      <c r="AD301" s="233">
        <f>(INDEX(Models!$BJ301:$BT301,,AH301)*(1-AF301)+INDEX(Models!$BJ301:$BT301,,AH301+1)*AF301-ERP_i)*AE301*Ramure*Pc/MaxiM</f>
        <v>3.2842502682128738E-2</v>
      </c>
      <c r="AE301" s="307">
        <f t="shared" si="117"/>
        <v>0.9</v>
      </c>
      <c r="AF301" s="179">
        <f t="shared" si="118"/>
        <v>9.7275911773282875E-2</v>
      </c>
      <c r="AG301" s="839">
        <f t="shared" si="124"/>
        <v>1</v>
      </c>
      <c r="AH301" s="178">
        <f t="shared" si="119"/>
        <v>7</v>
      </c>
      <c r="AI301" s="227">
        <f t="shared" si="120"/>
        <v>1.0972759117732829</v>
      </c>
      <c r="AJ301" s="267" t="b">
        <f t="shared" si="121"/>
        <v>0</v>
      </c>
      <c r="AK301" s="267" t="b">
        <f t="shared" si="122"/>
        <v>0</v>
      </c>
      <c r="AL301" s="267"/>
      <c r="AM301" s="267"/>
      <c r="AN301" s="75"/>
    </row>
    <row r="302" spans="1:40" s="6" customFormat="1" ht="11.25" x14ac:dyDescent="0.2">
      <c r="A302" s="56">
        <f t="shared" si="123"/>
        <v>45214</v>
      </c>
      <c r="B302" s="413">
        <f>'2022'!Wh/'2022'!Env_an*'2023'!Env_an</f>
        <v>27.484234380015909</v>
      </c>
      <c r="C302" s="868"/>
      <c r="D302" s="395">
        <f t="shared" si="102"/>
        <v>28.727421137318647</v>
      </c>
      <c r="E302" s="387">
        <f t="shared" si="125"/>
        <v>31.59412940999162</v>
      </c>
      <c r="F302" s="387">
        <f t="shared" si="103"/>
        <v>32.699830023412126</v>
      </c>
      <c r="G302" s="110">
        <f t="shared" si="126"/>
        <v>0.98865101409933154</v>
      </c>
      <c r="H302" s="416" t="b">
        <f>Wh_hp&gt;='2022'!Maxi_hp</f>
        <v>0</v>
      </c>
      <c r="I302" s="392">
        <f>IF(H302,Wh_hp,'2022'!Maxi_hp)</f>
        <v>32.705662850477829</v>
      </c>
      <c r="J302" s="85">
        <f>IF(H302,An,'2022'!An_max)</f>
        <v>2022</v>
      </c>
      <c r="K302" s="199">
        <f t="shared" si="104"/>
        <v>45214</v>
      </c>
      <c r="L302" s="147">
        <f>IF(t&lt;Tvie,1-EXP((T0-t)*PertePVj)+'2022'!Pspv,1-EXP((T0-t)*PertePVj)+Pspv)</f>
        <v>4.3275264819638282E-2</v>
      </c>
      <c r="M302" s="872"/>
      <c r="N302" s="872"/>
      <c r="O302" s="48">
        <f>IF(t&lt;Tnet,'2022'!Resal+('2022'!Salim-'2022'!Resal)*(1-EXP(('2022'!Tnet-t)/('2022'!Tau_j))),Resal+(Salim-Resal)*(1-EXP((Tnet-t)/(Tau_j))))*Salcycl</f>
        <v>9.0735472893466743E-2</v>
      </c>
      <c r="P302" s="171">
        <f>(INDEX(Models!$BJ302:$BT302,,T302)*(1-R302)+INDEX(Models!$BJ302:$BT302,,T302+1)*R302-ERP_i)*Q302*Ramure*Pc/MaxiM</f>
        <v>3.4343829687526528E-2</v>
      </c>
      <c r="Q302" s="307">
        <f t="shared" si="105"/>
        <v>0.9</v>
      </c>
      <c r="R302" s="179">
        <f t="shared" si="106"/>
        <v>9.7410922441616199E-2</v>
      </c>
      <c r="S302" s="839">
        <f t="shared" si="107"/>
        <v>1</v>
      </c>
      <c r="T302" s="178">
        <f t="shared" si="108"/>
        <v>7</v>
      </c>
      <c r="U302" s="253">
        <f t="shared" si="109"/>
        <v>1.0974109224416162</v>
      </c>
      <c r="V302" s="385">
        <f t="shared" si="110"/>
        <v>27.784478495010429</v>
      </c>
      <c r="W302" s="404">
        <f t="shared" si="111"/>
        <v>27.484234380015909</v>
      </c>
      <c r="X302" s="157">
        <f t="shared" si="112"/>
        <v>45214</v>
      </c>
      <c r="Y302" s="387">
        <f t="shared" si="113"/>
        <v>25.013216725032226</v>
      </c>
      <c r="Z302" s="387">
        <f t="shared" si="114"/>
        <v>26.144632625513477</v>
      </c>
      <c r="AA302" s="388">
        <f t="shared" si="115"/>
        <v>31.59412940999162</v>
      </c>
      <c r="AB302" s="199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0.17248447373754003</v>
      </c>
      <c r="AD302" s="233">
        <f>(INDEX(Models!$BJ302:$BT302,,AH302)*(1-AF302)+INDEX(Models!$BJ302:$BT302,,AH302+1)*AF302-ERP_i)*AE302*Ramure*Pc/MaxiM</f>
        <v>3.4343829687526528E-2</v>
      </c>
      <c r="AE302" s="307">
        <f t="shared" si="117"/>
        <v>0.9</v>
      </c>
      <c r="AF302" s="179">
        <f t="shared" si="118"/>
        <v>9.7410922441616199E-2</v>
      </c>
      <c r="AG302" s="839">
        <f t="shared" si="124"/>
        <v>1</v>
      </c>
      <c r="AH302" s="178">
        <f t="shared" si="119"/>
        <v>7</v>
      </c>
      <c r="AI302" s="227">
        <f t="shared" si="120"/>
        <v>1.0974109224416162</v>
      </c>
      <c r="AJ302" s="267" t="b">
        <f t="shared" si="121"/>
        <v>0</v>
      </c>
      <c r="AK302" s="267" t="b">
        <f t="shared" si="122"/>
        <v>0</v>
      </c>
      <c r="AL302" s="267"/>
      <c r="AM302" s="267"/>
      <c r="AN302" s="75"/>
    </row>
    <row r="303" spans="1:40" s="6" customFormat="1" ht="11.25" x14ac:dyDescent="0.2">
      <c r="A303" s="56">
        <f t="shared" si="123"/>
        <v>45215</v>
      </c>
      <c r="B303" s="413">
        <f>'2022'!Wh/'2022'!Env_an*'2023'!Env_an</f>
        <v>25.542703070374987</v>
      </c>
      <c r="C303" s="868"/>
      <c r="D303" s="395">
        <f t="shared" si="102"/>
        <v>26.698690397514131</v>
      </c>
      <c r="E303" s="387">
        <f t="shared" si="125"/>
        <v>29.36556705360298</v>
      </c>
      <c r="F303" s="387">
        <f t="shared" si="103"/>
        <v>30.348934711316609</v>
      </c>
      <c r="G303" s="110">
        <f t="shared" si="126"/>
        <v>0.92887296308786105</v>
      </c>
      <c r="H303" s="416" t="b">
        <f>Wh_hp&gt;='2022'!Maxi_hp</f>
        <v>0</v>
      </c>
      <c r="I303" s="392">
        <f>IF(H303,Wh_hp,'2022'!Maxi_hp)</f>
        <v>31.515402769838211</v>
      </c>
      <c r="J303" s="85">
        <f>IF(H303,An,'2022'!An_max)</f>
        <v>2021</v>
      </c>
      <c r="K303" s="199">
        <f t="shared" si="104"/>
        <v>45215</v>
      </c>
      <c r="L303" s="147">
        <f>IF(t&lt;Tvie,1-EXP((T0-t)*PertePVj)+'2022'!Pspv,1-EXP((T0-t)*PertePVj)+Pspv)</f>
        <v>4.3297529201910767E-2</v>
      </c>
      <c r="M303" s="872"/>
      <c r="N303" s="872"/>
      <c r="O303" s="48">
        <f>IF(t&lt;Tnet,'2022'!Resal+('2022'!Salim-'2022'!Resal)*(1-EXP(('2022'!Tnet-t)/('2022'!Tau_j))),Resal+(Salim-Resal)*(1-EXP((Tnet-t)/(Tau_j))))*Salcycl</f>
        <v>9.0816453543049833E-2</v>
      </c>
      <c r="P303" s="171">
        <f>(INDEX(Models!$BJ303:$BT303,,T303)*(1-R303)+INDEX(Models!$BJ303:$BT303,,T303+1)*R303-ERP_i)*Q303*Ramure*Pc/MaxiM</f>
        <v>3.5875869536624617E-2</v>
      </c>
      <c r="Q303" s="307">
        <f t="shared" si="105"/>
        <v>0.9</v>
      </c>
      <c r="R303" s="179">
        <f t="shared" si="106"/>
        <v>9.7540554541995839E-2</v>
      </c>
      <c r="S303" s="839">
        <f t="shared" si="107"/>
        <v>1</v>
      </c>
      <c r="T303" s="178">
        <f t="shared" si="108"/>
        <v>7</v>
      </c>
      <c r="U303" s="253">
        <f t="shared" si="109"/>
        <v>1.0975405545419958</v>
      </c>
      <c r="V303" s="385">
        <f t="shared" si="110"/>
        <v>27.399872715584848</v>
      </c>
      <c r="W303" s="404">
        <f t="shared" si="111"/>
        <v>25.542703070374987</v>
      </c>
      <c r="X303" s="157">
        <f t="shared" si="112"/>
        <v>45215</v>
      </c>
      <c r="Y303" s="387">
        <f t="shared" si="113"/>
        <v>23.250377103212472</v>
      </c>
      <c r="Z303" s="387">
        <f t="shared" si="114"/>
        <v>24.302620525080084</v>
      </c>
      <c r="AA303" s="388">
        <f t="shared" si="115"/>
        <v>29.36556705360298</v>
      </c>
      <c r="AB303" s="199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0.17241099139278168</v>
      </c>
      <c r="AD303" s="233">
        <f>(INDEX(Models!$BJ303:$BT303,,AH303)*(1-AF303)+INDEX(Models!$BJ303:$BT303,,AH303+1)*AF303-ERP_i)*AE303*Ramure*Pc/MaxiM</f>
        <v>3.5875869536624617E-2</v>
      </c>
      <c r="AE303" s="307">
        <f t="shared" si="117"/>
        <v>0.9</v>
      </c>
      <c r="AF303" s="179">
        <f t="shared" si="118"/>
        <v>9.7540554541995839E-2</v>
      </c>
      <c r="AG303" s="839">
        <f t="shared" si="124"/>
        <v>1</v>
      </c>
      <c r="AH303" s="178">
        <f t="shared" si="119"/>
        <v>7</v>
      </c>
      <c r="AI303" s="227">
        <f t="shared" si="120"/>
        <v>1.0975405545419958</v>
      </c>
      <c r="AJ303" s="267" t="b">
        <f t="shared" si="121"/>
        <v>0</v>
      </c>
      <c r="AK303" s="267" t="b">
        <f t="shared" si="122"/>
        <v>0</v>
      </c>
      <c r="AL303" s="267"/>
      <c r="AM303" s="267"/>
      <c r="AN303" s="75"/>
    </row>
    <row r="304" spans="1:40" s="6" customFormat="1" ht="11.25" x14ac:dyDescent="0.2">
      <c r="A304" s="56">
        <f t="shared" si="123"/>
        <v>45216</v>
      </c>
      <c r="B304" s="413">
        <f>'2022'!Wh/'2022'!Env_an*'2023'!Env_an</f>
        <v>16.264119502994792</v>
      </c>
      <c r="C304" s="868"/>
      <c r="D304" s="395">
        <f t="shared" si="102"/>
        <v>17.000581160887158</v>
      </c>
      <c r="E304" s="387">
        <f t="shared" si="125"/>
        <v>18.700358483549319</v>
      </c>
      <c r="F304" s="387">
        <f t="shared" si="103"/>
        <v>19.007381667956654</v>
      </c>
      <c r="G304" s="110">
        <f t="shared" si="126"/>
        <v>0.58887412552525975</v>
      </c>
      <c r="H304" s="416" t="b">
        <f>Wh_hp&gt;='2022'!Maxi_hp</f>
        <v>0</v>
      </c>
      <c r="I304" s="392">
        <f>IF(H304,Wh_hp,'2022'!Maxi_hp)</f>
        <v>29.529771052990444</v>
      </c>
      <c r="J304" s="85">
        <f>IF(H304,An,'2022'!An_max)</f>
        <v>2021</v>
      </c>
      <c r="K304" s="199">
        <f t="shared" si="104"/>
        <v>45216</v>
      </c>
      <c r="L304" s="147">
        <f>IF(t&lt;Tvie,1-EXP((T0-t)*PertePVj)+'2022'!Pspv,1-EXP((T0-t)*PertePVj)+Pspv)</f>
        <v>4.3319793066058598E-2</v>
      </c>
      <c r="M304" s="872"/>
      <c r="N304" s="872"/>
      <c r="O304" s="48">
        <f>IF(t&lt;Tnet,'2022'!Resal+('2022'!Salim-'2022'!Resal)*(1-EXP(('2022'!Tnet-t)/('2022'!Tau_j))),Resal+(Salim-Resal)*(1-EXP((Tnet-t)/(Tau_j))))*Salcycl</f>
        <v>9.089544054235392E-2</v>
      </c>
      <c r="P304" s="171">
        <f>(INDEX(Models!$BJ304:$BT304,,T304)*(1-R304)+INDEX(Models!$BJ304:$BT304,,T304+1)*R304-ERP_i)*Q304*Ramure*Pc/MaxiM</f>
        <v>3.7452165717191691E-2</v>
      </c>
      <c r="Q304" s="307">
        <f t="shared" si="105"/>
        <v>0.9</v>
      </c>
      <c r="R304" s="179">
        <f t="shared" si="106"/>
        <v>9.7665020140096814E-2</v>
      </c>
      <c r="S304" s="839">
        <f t="shared" si="107"/>
        <v>1</v>
      </c>
      <c r="T304" s="178">
        <f t="shared" si="108"/>
        <v>7</v>
      </c>
      <c r="U304" s="253">
        <f t="shared" si="109"/>
        <v>1.0976650201400968</v>
      </c>
      <c r="V304" s="385">
        <f t="shared" si="110"/>
        <v>27.021084090073519</v>
      </c>
      <c r="W304" s="404">
        <f t="shared" si="111"/>
        <v>16.264119502994792</v>
      </c>
      <c r="X304" s="157">
        <f t="shared" si="112"/>
        <v>45216</v>
      </c>
      <c r="Y304" s="387">
        <f t="shared" si="113"/>
        <v>14.807156224812141</v>
      </c>
      <c r="Z304" s="387">
        <f t="shared" si="114"/>
        <v>15.477644585401748</v>
      </c>
      <c r="AA304" s="388">
        <f t="shared" si="115"/>
        <v>18.700358483549319</v>
      </c>
      <c r="AB304" s="199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0.17233433792098624</v>
      </c>
      <c r="AD304" s="233">
        <f>(INDEX(Models!$BJ304:$BT304,,AH304)*(1-AF304)+INDEX(Models!$BJ304:$BT304,,AH304+1)*AF304-ERP_i)*AE304*Ramure*Pc/MaxiM</f>
        <v>3.7452165717191691E-2</v>
      </c>
      <c r="AE304" s="307">
        <f t="shared" si="117"/>
        <v>0.9</v>
      </c>
      <c r="AF304" s="179">
        <f t="shared" si="118"/>
        <v>9.7665020140096814E-2</v>
      </c>
      <c r="AG304" s="839">
        <f t="shared" si="124"/>
        <v>1</v>
      </c>
      <c r="AH304" s="178">
        <f t="shared" si="119"/>
        <v>7</v>
      </c>
      <c r="AI304" s="227">
        <f t="shared" si="120"/>
        <v>1.0976650201400968</v>
      </c>
      <c r="AJ304" s="267" t="b">
        <f t="shared" si="121"/>
        <v>0</v>
      </c>
      <c r="AK304" s="267" t="b">
        <f t="shared" si="122"/>
        <v>0</v>
      </c>
      <c r="AL304" s="267"/>
      <c r="AM304" s="267"/>
      <c r="AN304" s="75"/>
    </row>
    <row r="305" spans="1:40" s="6" customFormat="1" ht="11.25" x14ac:dyDescent="0.2">
      <c r="A305" s="56">
        <f t="shared" si="123"/>
        <v>45217</v>
      </c>
      <c r="B305" s="413">
        <f>'2022'!Wh/'2022'!Env_an*'2023'!Env_an</f>
        <v>25.402235833849666</v>
      </c>
      <c r="C305" s="868"/>
      <c r="D305" s="395">
        <f t="shared" si="102"/>
        <v>26.553101873151888</v>
      </c>
      <c r="E305" s="387">
        <f t="shared" si="125"/>
        <v>29.210448857563755</v>
      </c>
      <c r="F305" s="387">
        <f t="shared" si="103"/>
        <v>30.315452806932008</v>
      </c>
      <c r="G305" s="110">
        <f t="shared" si="126"/>
        <v>0.9506622135989784</v>
      </c>
      <c r="H305" s="416" t="b">
        <f>Wh_hp&gt;='2022'!Maxi_hp</f>
        <v>0</v>
      </c>
      <c r="I305" s="392">
        <f>IF(H305,Wh_hp,'2022'!Maxi_hp)</f>
        <v>32.248415453098012</v>
      </c>
      <c r="J305" s="85">
        <f>IF(H305,An,'2022'!An_max)</f>
        <v>2020</v>
      </c>
      <c r="K305" s="199">
        <f t="shared" si="104"/>
        <v>45217</v>
      </c>
      <c r="L305" s="147">
        <f>IF(t&lt;Tvie,1-EXP((T0-t)*PertePVj)+'2022'!Pspv,1-EXP((T0-t)*PertePVj)+Pspv)</f>
        <v>4.3342056412093766E-2</v>
      </c>
      <c r="M305" s="872"/>
      <c r="N305" s="872"/>
      <c r="O305" s="48">
        <f>IF(t&lt;Tnet,'2022'!Resal+('2022'!Salim-'2022'!Resal)*(1-EXP(('2022'!Tnet-t)/('2022'!Tau_j))),Resal+(Salim-Resal)*(1-EXP((Tnet-t)/(Tau_j))))*Salcycl</f>
        <v>9.0972480339814171E-2</v>
      </c>
      <c r="P305" s="171">
        <f>(INDEX(Models!$BJ305:$BT305,,T305)*(1-R305)+INDEX(Models!$BJ305:$BT305,,T305+1)*R305-ERP_i)*Q305*Ramure*Pc/MaxiM</f>
        <v>3.9059156724286982E-2</v>
      </c>
      <c r="Q305" s="307">
        <f t="shared" si="105"/>
        <v>0.9</v>
      </c>
      <c r="R305" s="179">
        <f t="shared" si="106"/>
        <v>9.778452311362007E-2</v>
      </c>
      <c r="S305" s="839">
        <f t="shared" si="107"/>
        <v>1</v>
      </c>
      <c r="T305" s="178">
        <f t="shared" si="108"/>
        <v>7</v>
      </c>
      <c r="U305" s="253">
        <f t="shared" si="109"/>
        <v>1.0977845231136201</v>
      </c>
      <c r="V305" s="385">
        <f t="shared" si="110"/>
        <v>26.648219271541581</v>
      </c>
      <c r="W305" s="404">
        <f t="shared" si="111"/>
        <v>25.402235833849666</v>
      </c>
      <c r="X305" s="157">
        <f t="shared" si="112"/>
        <v>45217</v>
      </c>
      <c r="Y305" s="387">
        <f t="shared" si="113"/>
        <v>23.1308547835425</v>
      </c>
      <c r="Z305" s="387">
        <f t="shared" si="114"/>
        <v>24.178814317676789</v>
      </c>
      <c r="AA305" s="388">
        <f t="shared" si="115"/>
        <v>29.210448857563755</v>
      </c>
      <c r="AB305" s="199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0.17225461219107824</v>
      </c>
      <c r="AD305" s="233">
        <f>(INDEX(Models!$BJ305:$BT305,,AH305)*(1-AF305)+INDEX(Models!$BJ305:$BT305,,AH305+1)*AF305-ERP_i)*AE305*Ramure*Pc/MaxiM</f>
        <v>3.9059156724286982E-2</v>
      </c>
      <c r="AE305" s="307">
        <f t="shared" si="117"/>
        <v>0.9</v>
      </c>
      <c r="AF305" s="179">
        <f t="shared" si="118"/>
        <v>9.778452311362007E-2</v>
      </c>
      <c r="AG305" s="839">
        <f t="shared" si="124"/>
        <v>1</v>
      </c>
      <c r="AH305" s="178">
        <f t="shared" si="119"/>
        <v>7</v>
      </c>
      <c r="AI305" s="227">
        <f t="shared" si="120"/>
        <v>1.0977845231136201</v>
      </c>
      <c r="AJ305" s="267" t="b">
        <f t="shared" si="121"/>
        <v>0</v>
      </c>
      <c r="AK305" s="267" t="b">
        <f t="shared" si="122"/>
        <v>0</v>
      </c>
      <c r="AL305" s="267"/>
      <c r="AM305" s="267"/>
      <c r="AN305" s="75"/>
    </row>
    <row r="306" spans="1:40" s="6" customFormat="1" ht="11.25" x14ac:dyDescent="0.2">
      <c r="A306" s="56">
        <f t="shared" si="123"/>
        <v>45218</v>
      </c>
      <c r="B306" s="413">
        <f>'2022'!Wh/'2022'!Env_an*'2023'!Env_an</f>
        <v>13.722852173385784</v>
      </c>
      <c r="C306" s="868"/>
      <c r="D306" s="395">
        <f t="shared" si="102"/>
        <v>14.344909404261463</v>
      </c>
      <c r="E306" s="387">
        <f t="shared" si="125"/>
        <v>15.781805316358286</v>
      </c>
      <c r="F306" s="387">
        <f t="shared" si="103"/>
        <v>15.988312164657906</v>
      </c>
      <c r="G306" s="110">
        <f t="shared" si="126"/>
        <v>0.50746300070275208</v>
      </c>
      <c r="H306" s="416" t="b">
        <f>Wh_hp&gt;='2022'!Maxi_hp</f>
        <v>0</v>
      </c>
      <c r="I306" s="392">
        <f>IF(H306,Wh_hp,'2022'!Maxi_hp)</f>
        <v>30.51278811937587</v>
      </c>
      <c r="J306" s="85">
        <f>IF(H306,An,'2022'!An_max)</f>
        <v>2020</v>
      </c>
      <c r="K306" s="199">
        <f t="shared" si="104"/>
        <v>45218</v>
      </c>
      <c r="L306" s="147">
        <f>IF(t&lt;Tvie,1-EXP((T0-t)*PertePVj)+'2022'!Pspv,1-EXP((T0-t)*PertePVj)+Pspv)</f>
        <v>4.3364319240028371E-2</v>
      </c>
      <c r="M306" s="872"/>
      <c r="N306" s="872"/>
      <c r="O306" s="48">
        <f>IF(t&lt;Tnet,'2022'!Resal+('2022'!Salim-'2022'!Resal)*(1-EXP(('2022'!Tnet-t)/('2022'!Tau_j))),Resal+(Salim-Resal)*(1-EXP((Tnet-t)/(Tau_j))))*Salcycl</f>
        <v>9.1047626256511943E-2</v>
      </c>
      <c r="P306" s="171">
        <f>(INDEX(Models!$BJ306:$BT306,,T306)*(1-R306)+INDEX(Models!$BJ306:$BT306,,T306+1)*R306-ERP_i)*Q306*Ramure*Pc/MaxiM</f>
        <v>4.0697329334555499E-2</v>
      </c>
      <c r="Q306" s="307">
        <f t="shared" si="105"/>
        <v>0.9</v>
      </c>
      <c r="R306" s="179">
        <f t="shared" si="106"/>
        <v>9.7899259454771848E-2</v>
      </c>
      <c r="S306" s="839">
        <f t="shared" si="107"/>
        <v>1</v>
      </c>
      <c r="T306" s="178">
        <f t="shared" si="108"/>
        <v>7</v>
      </c>
      <c r="U306" s="253">
        <f t="shared" si="109"/>
        <v>1.0978992594547718</v>
      </c>
      <c r="V306" s="385">
        <f t="shared" si="110"/>
        <v>26.280982242856798</v>
      </c>
      <c r="W306" s="404">
        <f t="shared" si="111"/>
        <v>13.722852173385784</v>
      </c>
      <c r="X306" s="157">
        <f t="shared" si="112"/>
        <v>45218</v>
      </c>
      <c r="Y306" s="387">
        <f t="shared" si="113"/>
        <v>12.498083089213974</v>
      </c>
      <c r="Z306" s="387">
        <f t="shared" si="114"/>
        <v>13.064621506993376</v>
      </c>
      <c r="AA306" s="388">
        <f t="shared" si="115"/>
        <v>15.781805316358286</v>
      </c>
      <c r="AB306" s="199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0.17217192551149216</v>
      </c>
      <c r="AD306" s="233">
        <f>(INDEX(Models!$BJ306:$BT306,,AH306)*(1-AF306)+INDEX(Models!$BJ306:$BT306,,AH306+1)*AF306-ERP_i)*AE306*Ramure*Pc/MaxiM</f>
        <v>4.0697329334555499E-2</v>
      </c>
      <c r="AE306" s="307">
        <f t="shared" si="117"/>
        <v>0.9</v>
      </c>
      <c r="AF306" s="179">
        <f t="shared" si="118"/>
        <v>9.7899259454771848E-2</v>
      </c>
      <c r="AG306" s="839">
        <f t="shared" si="124"/>
        <v>1</v>
      </c>
      <c r="AH306" s="178">
        <f t="shared" si="119"/>
        <v>7</v>
      </c>
      <c r="AI306" s="227">
        <f t="shared" si="120"/>
        <v>1.0978992594547718</v>
      </c>
      <c r="AJ306" s="267" t="b">
        <f t="shared" si="121"/>
        <v>0</v>
      </c>
      <c r="AK306" s="267" t="b">
        <f t="shared" si="122"/>
        <v>0</v>
      </c>
      <c r="AL306" s="267"/>
      <c r="AM306" s="267"/>
      <c r="AN306" s="75"/>
    </row>
    <row r="307" spans="1:40" s="6" customFormat="1" ht="11.25" x14ac:dyDescent="0.2">
      <c r="A307" s="56">
        <f t="shared" si="123"/>
        <v>45219</v>
      </c>
      <c r="B307" s="413">
        <f>'2022'!Wh/'2022'!Env_an*'2023'!Env_an</f>
        <v>7.5980081843791858</v>
      </c>
      <c r="C307" s="868"/>
      <c r="D307" s="395">
        <f t="shared" si="102"/>
        <v>7.9426109208140065</v>
      </c>
      <c r="E307" s="387">
        <f t="shared" si="125"/>
        <v>8.7389084610832999</v>
      </c>
      <c r="F307" s="387">
        <f t="shared" si="103"/>
        <v>8.7389084610832999</v>
      </c>
      <c r="G307" s="110">
        <f t="shared" si="126"/>
        <v>0.28072379391649466</v>
      </c>
      <c r="H307" s="416" t="b">
        <f>Wh_hp&gt;='2022'!Maxi_hp</f>
        <v>0</v>
      </c>
      <c r="I307" s="392">
        <f>IF(H307,Wh_hp,'2022'!Maxi_hp)</f>
        <v>26.828949468096958</v>
      </c>
      <c r="J307" s="85">
        <f>IF(H307,An,'2022'!An_max)</f>
        <v>2020</v>
      </c>
      <c r="K307" s="199">
        <f t="shared" si="104"/>
        <v>45219</v>
      </c>
      <c r="L307" s="147">
        <f>IF(t&lt;Tvie,1-EXP((T0-t)*PertePVj)+'2022'!Pspv,1-EXP((T0-t)*PertePVj)+Pspv)</f>
        <v>4.3386581549874514E-2</v>
      </c>
      <c r="M307" s="872"/>
      <c r="N307" s="872"/>
      <c r="O307" s="48">
        <f>IF(t&lt;Tnet,'2022'!Resal+('2022'!Salim-'2022'!Resal)*(1-EXP(('2022'!Tnet-t)/('2022'!Tau_j))),Resal+(Salim-Resal)*(1-EXP((Tnet-t)/(Tau_j))))*Salcycl</f>
        <v>9.1120938480522981E-2</v>
      </c>
      <c r="P307" s="171">
        <f>(INDEX(Models!$BJ307:$BT307,,T307)*(1-R307)+INDEX(Models!$BJ307:$BT307,,T307+1)*R307-ERP_i)*Q307*Ramure*Pc/MaxiM</f>
        <v>4.2367221636202886E-2</v>
      </c>
      <c r="Q307" s="307">
        <f t="shared" si="105"/>
        <v>0.9</v>
      </c>
      <c r="R307" s="179">
        <f t="shared" si="106"/>
        <v>9.8009417562655798E-2</v>
      </c>
      <c r="S307" s="839">
        <f t="shared" si="107"/>
        <v>1</v>
      </c>
      <c r="T307" s="178">
        <f t="shared" si="108"/>
        <v>7</v>
      </c>
      <c r="U307" s="253">
        <f t="shared" si="109"/>
        <v>1.0980094175626558</v>
      </c>
      <c r="V307" s="385">
        <f t="shared" si="110"/>
        <v>25.919077204415</v>
      </c>
      <c r="W307" s="404">
        <f t="shared" si="111"/>
        <v>7.5980081843791858</v>
      </c>
      <c r="X307" s="157">
        <f t="shared" si="112"/>
        <v>45219</v>
      </c>
      <c r="Y307" s="387">
        <f t="shared" si="113"/>
        <v>6.9211565799887147</v>
      </c>
      <c r="Z307" s="387">
        <f t="shared" si="114"/>
        <v>7.2350611506183462</v>
      </c>
      <c r="AA307" s="388">
        <f t="shared" si="115"/>
        <v>8.7389084610832999</v>
      </c>
      <c r="AB307" s="199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0.17208640154110641</v>
      </c>
      <c r="AD307" s="233">
        <f>(INDEX(Models!$BJ307:$BT307,,AH307)*(1-AF307)+INDEX(Models!$BJ307:$BT307,,AH307+1)*AF307-ERP_i)*AE307*Ramure*Pc/MaxiM</f>
        <v>4.2367221636202886E-2</v>
      </c>
      <c r="AE307" s="307">
        <f t="shared" si="117"/>
        <v>0.9</v>
      </c>
      <c r="AF307" s="179">
        <f t="shared" si="118"/>
        <v>9.8009417562655798E-2</v>
      </c>
      <c r="AG307" s="839">
        <f t="shared" si="124"/>
        <v>1</v>
      </c>
      <c r="AH307" s="178">
        <f t="shared" si="119"/>
        <v>7</v>
      </c>
      <c r="AI307" s="227">
        <f t="shared" si="120"/>
        <v>1.0980094175626558</v>
      </c>
      <c r="AJ307" s="267" t="b">
        <f t="shared" si="121"/>
        <v>0</v>
      </c>
      <c r="AK307" s="267" t="b">
        <f t="shared" si="122"/>
        <v>0</v>
      </c>
      <c r="AL307" s="267"/>
      <c r="AM307" s="267"/>
      <c r="AN307" s="75"/>
    </row>
    <row r="308" spans="1:40" s="6" customFormat="1" ht="11.25" x14ac:dyDescent="0.2">
      <c r="A308" s="56">
        <f t="shared" si="123"/>
        <v>45220</v>
      </c>
      <c r="B308" s="413">
        <f>'2022'!Wh/'2022'!Env_an*'2023'!Env_an</f>
        <v>13.278575916604108</v>
      </c>
      <c r="C308" s="868"/>
      <c r="D308" s="395">
        <f t="shared" si="102"/>
        <v>13.881140154995723</v>
      </c>
      <c r="E308" s="387">
        <f t="shared" si="125"/>
        <v>15.274015576339041</v>
      </c>
      <c r="F308" s="387">
        <f t="shared" si="103"/>
        <v>15.488005164298521</v>
      </c>
      <c r="G308" s="110">
        <f t="shared" si="126"/>
        <v>0.50352580579926709</v>
      </c>
      <c r="H308" s="416" t="b">
        <f>Wh_hp&gt;='2022'!Maxi_hp</f>
        <v>0</v>
      </c>
      <c r="I308" s="392">
        <f>IF(H308,Wh_hp,'2022'!Maxi_hp)</f>
        <v>22.431533601951021</v>
      </c>
      <c r="J308" s="85">
        <f>IF(H308,An,'2022'!An_max)</f>
        <v>2019</v>
      </c>
      <c r="K308" s="199">
        <f t="shared" si="104"/>
        <v>45220</v>
      </c>
      <c r="L308" s="147">
        <f>IF(t&lt;Tvie,1-EXP((T0-t)*PertePVj)+'2022'!Pspv,1-EXP((T0-t)*PertePVj)+Pspv)</f>
        <v>4.3408843341644077E-2</v>
      </c>
      <c r="M308" s="872"/>
      <c r="N308" s="872"/>
      <c r="O308" s="48">
        <f>IF(t&lt;Tnet,'2022'!Resal+('2022'!Salim-'2022'!Resal)*(1-EXP(('2022'!Tnet-t)/('2022'!Tau_j))),Resal+(Salim-Resal)*(1-EXP((Tnet-t)/(Tau_j))))*Salcycl</f>
        <v>9.119248401848036E-2</v>
      </c>
      <c r="P308" s="171">
        <f>(INDEX(Models!$BJ308:$BT308,,T308)*(1-R308)+INDEX(Models!$BJ308:$BT308,,T308+1)*R308-ERP_i)*Q308*Ramure*Pc/MaxiM</f>
        <v>4.4069428584220895E-2</v>
      </c>
      <c r="Q308" s="307">
        <f t="shared" si="105"/>
        <v>0.9</v>
      </c>
      <c r="R308" s="179">
        <f t="shared" si="106"/>
        <v>9.8115178525829183E-2</v>
      </c>
      <c r="S308" s="839">
        <f t="shared" si="107"/>
        <v>1</v>
      </c>
      <c r="T308" s="178">
        <f t="shared" si="108"/>
        <v>7</v>
      </c>
      <c r="U308" s="253">
        <f t="shared" si="109"/>
        <v>1.0981151785258292</v>
      </c>
      <c r="V308" s="385">
        <f t="shared" si="110"/>
        <v>25.562208581764004</v>
      </c>
      <c r="W308" s="404">
        <f t="shared" si="111"/>
        <v>13.278575916604108</v>
      </c>
      <c r="X308" s="157">
        <f t="shared" si="112"/>
        <v>45220</v>
      </c>
      <c r="Y308" s="387">
        <f t="shared" si="113"/>
        <v>12.097924900626367</v>
      </c>
      <c r="Z308" s="387">
        <f t="shared" si="114"/>
        <v>12.646912755171027</v>
      </c>
      <c r="AA308" s="388">
        <f t="shared" si="115"/>
        <v>15.274015576339041</v>
      </c>
      <c r="AB308" s="199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0.1719981761206042</v>
      </c>
      <c r="AD308" s="233">
        <f>(INDEX(Models!$BJ308:$BT308,,AH308)*(1-AF308)+INDEX(Models!$BJ308:$BT308,,AH308+1)*AF308-ERP_i)*AE308*Ramure*Pc/MaxiM</f>
        <v>4.4069428584220895E-2</v>
      </c>
      <c r="AE308" s="307">
        <f t="shared" si="117"/>
        <v>0.9</v>
      </c>
      <c r="AF308" s="179">
        <f t="shared" si="118"/>
        <v>9.8115178525829183E-2</v>
      </c>
      <c r="AG308" s="839">
        <f t="shared" si="124"/>
        <v>1</v>
      </c>
      <c r="AH308" s="178">
        <f t="shared" si="119"/>
        <v>7</v>
      </c>
      <c r="AI308" s="227">
        <f t="shared" si="120"/>
        <v>1.0981151785258292</v>
      </c>
      <c r="AJ308" s="267" t="b">
        <f t="shared" si="121"/>
        <v>0</v>
      </c>
      <c r="AK308" s="267" t="b">
        <f t="shared" si="122"/>
        <v>0</v>
      </c>
      <c r="AL308" s="267"/>
      <c r="AM308" s="267"/>
      <c r="AN308" s="75"/>
    </row>
    <row r="309" spans="1:40" s="6" customFormat="1" ht="11.25" x14ac:dyDescent="0.2">
      <c r="A309" s="56">
        <f t="shared" si="123"/>
        <v>45221</v>
      </c>
      <c r="B309" s="413">
        <f>'2022'!Wh/'2022'!Env_an*'2023'!Env_an</f>
        <v>23.51947660986545</v>
      </c>
      <c r="C309" s="868"/>
      <c r="D309" s="395">
        <f t="shared" si="102"/>
        <v>24.587331579925475</v>
      </c>
      <c r="E309" s="387">
        <f t="shared" si="125"/>
        <v>27.056578119618059</v>
      </c>
      <c r="F309" s="387">
        <f t="shared" si="103"/>
        <v>28.225582505127484</v>
      </c>
      <c r="G309" s="110">
        <f t="shared" si="126"/>
        <v>0.928668617879156</v>
      </c>
      <c r="H309" s="416" t="b">
        <f>Wh_hp&gt;='2022'!Maxi_hp</f>
        <v>0</v>
      </c>
      <c r="I309" s="392">
        <f>IF(H309,Wh_hp,'2022'!Maxi_hp)</f>
        <v>28.264273143615551</v>
      </c>
      <c r="J309" s="85">
        <f>IF(H309,An,'2022'!An_max)</f>
        <v>2022</v>
      </c>
      <c r="K309" s="199">
        <f t="shared" si="104"/>
        <v>45221</v>
      </c>
      <c r="L309" s="147">
        <f>IF(t&lt;Tvie,1-EXP((T0-t)*PertePVj)+'2022'!Pspv,1-EXP((T0-t)*PertePVj)+Pspv)</f>
        <v>4.343110461534927E-2</v>
      </c>
      <c r="M309" s="872"/>
      <c r="N309" s="872"/>
      <c r="O309" s="48">
        <f>IF(t&lt;Tnet,'2022'!Resal+('2022'!Salim-'2022'!Resal)*(1-EXP(('2022'!Tnet-t)/('2022'!Tau_j))),Resal+(Salim-Resal)*(1-EXP((Tnet-t)/(Tau_j))))*Salcycl</f>
        <v>9.1262336603540911E-2</v>
      </c>
      <c r="P309" s="171">
        <f>(INDEX(Models!$BJ309:$BT309,,T309)*(1-R309)+INDEX(Models!$BJ309:$BT309,,T309+1)*R309-ERP_i)*Q309*Ramure*Pc/MaxiM</f>
        <v>4.5804607941216768E-2</v>
      </c>
      <c r="Q309" s="307">
        <f t="shared" si="105"/>
        <v>0.9</v>
      </c>
      <c r="R309" s="179">
        <f t="shared" si="106"/>
        <v>9.8216716395267412E-2</v>
      </c>
      <c r="S309" s="839">
        <f t="shared" si="107"/>
        <v>1</v>
      </c>
      <c r="T309" s="178">
        <f t="shared" si="108"/>
        <v>7</v>
      </c>
      <c r="U309" s="253">
        <f t="shared" si="109"/>
        <v>1.0982167163952674</v>
      </c>
      <c r="V309" s="385">
        <f t="shared" si="110"/>
        <v>25.210081027242733</v>
      </c>
      <c r="W309" s="404">
        <f t="shared" si="111"/>
        <v>23.51947660986545</v>
      </c>
      <c r="X309" s="157">
        <f t="shared" si="112"/>
        <v>45221</v>
      </c>
      <c r="Y309" s="387">
        <f t="shared" si="113"/>
        <v>21.432263007253209</v>
      </c>
      <c r="Z309" s="387">
        <f t="shared" si="114"/>
        <v>22.405352202712983</v>
      </c>
      <c r="AA309" s="388">
        <f t="shared" si="115"/>
        <v>27.056578119618059</v>
      </c>
      <c r="AB309" s="199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0.17190739702344651</v>
      </c>
      <c r="AD309" s="233">
        <f>(INDEX(Models!$BJ309:$BT309,,AH309)*(1-AF309)+INDEX(Models!$BJ309:$BT309,,AH309+1)*AF309-ERP_i)*AE309*Ramure*Pc/MaxiM</f>
        <v>4.5804607941216768E-2</v>
      </c>
      <c r="AE309" s="307">
        <f t="shared" si="117"/>
        <v>0.9</v>
      </c>
      <c r="AF309" s="179">
        <f t="shared" si="118"/>
        <v>9.8216716395267412E-2</v>
      </c>
      <c r="AG309" s="839">
        <f t="shared" si="124"/>
        <v>1</v>
      </c>
      <c r="AH309" s="178">
        <f t="shared" si="119"/>
        <v>7</v>
      </c>
      <c r="AI309" s="227">
        <f t="shared" si="120"/>
        <v>1.0982167163952674</v>
      </c>
      <c r="AJ309" s="267" t="b">
        <f t="shared" si="121"/>
        <v>0</v>
      </c>
      <c r="AK309" s="267" t="b">
        <f t="shared" si="122"/>
        <v>0</v>
      </c>
      <c r="AL309" s="267"/>
      <c r="AM309" s="267"/>
      <c r="AN309" s="75"/>
    </row>
    <row r="310" spans="1:40" s="6" customFormat="1" ht="11.25" x14ac:dyDescent="0.2">
      <c r="A310" s="56">
        <f t="shared" si="123"/>
        <v>45222</v>
      </c>
      <c r="B310" s="413">
        <f>'2022'!Wh/'2022'!Env_an*'2023'!Env_an</f>
        <v>15.882392781722032</v>
      </c>
      <c r="C310" s="868"/>
      <c r="D310" s="395">
        <f t="shared" si="102"/>
        <v>16.603887575101979</v>
      </c>
      <c r="E310" s="387">
        <f t="shared" si="125"/>
        <v>18.272748203885623</v>
      </c>
      <c r="F310" s="387">
        <f t="shared" si="103"/>
        <v>18.703442661547207</v>
      </c>
      <c r="G310" s="110">
        <f t="shared" si="126"/>
        <v>0.62276192491142168</v>
      </c>
      <c r="H310" s="416" t="b">
        <f>Wh_hp&gt;='2022'!Maxi_hp</f>
        <v>0</v>
      </c>
      <c r="I310" s="392">
        <f>IF(H310,Wh_hp,'2022'!Maxi_hp)</f>
        <v>30.486938678311564</v>
      </c>
      <c r="J310" s="85">
        <f>IF(H310,An,'2022'!An_max)</f>
        <v>2021</v>
      </c>
      <c r="K310" s="199">
        <f t="shared" si="104"/>
        <v>45222</v>
      </c>
      <c r="L310" s="147">
        <f>IF(t&lt;Tvie,1-EXP((T0-t)*PertePVj)+'2022'!Pspv,1-EXP((T0-t)*PertePVj)+Pspv)</f>
        <v>4.3453365371002084E-2</v>
      </c>
      <c r="M310" s="872"/>
      <c r="N310" s="872"/>
      <c r="O310" s="48">
        <f>IF(t&lt;Tnet,'2022'!Resal+('2022'!Salim-'2022'!Resal)*(1-EXP(('2022'!Tnet-t)/('2022'!Tau_j))),Resal+(Salim-Resal)*(1-EXP((Tnet-t)/(Tau_j))))*Salcycl</f>
        <v>9.133057655929222E-2</v>
      </c>
      <c r="P310" s="171">
        <f>(INDEX(Models!$BJ310:$BT310,,T310)*(1-R310)+INDEX(Models!$BJ310:$BT310,,T310+1)*R310-ERP_i)*Q310*Ramure*Pc/MaxiM</f>
        <v>4.7575722318312835E-2</v>
      </c>
      <c r="Q310" s="307">
        <f t="shared" si="105"/>
        <v>0.9</v>
      </c>
      <c r="R310" s="179">
        <f t="shared" si="106"/>
        <v>9.8314198447989387E-2</v>
      </c>
      <c r="S310" s="839">
        <f t="shared" si="107"/>
        <v>1</v>
      </c>
      <c r="T310" s="178">
        <f t="shared" si="108"/>
        <v>7</v>
      </c>
      <c r="U310" s="253">
        <f t="shared" si="109"/>
        <v>1.0983141984479894</v>
      </c>
      <c r="V310" s="385">
        <f t="shared" si="110"/>
        <v>24.862341068134</v>
      </c>
      <c r="W310" s="404">
        <f t="shared" si="111"/>
        <v>15.882392781722032</v>
      </c>
      <c r="X310" s="157">
        <f t="shared" si="112"/>
        <v>45222</v>
      </c>
      <c r="Y310" s="387">
        <f t="shared" si="113"/>
        <v>14.475640378429434</v>
      </c>
      <c r="Z310" s="387">
        <f t="shared" si="114"/>
        <v>15.133230157716142</v>
      </c>
      <c r="AA310" s="388">
        <f t="shared" si="115"/>
        <v>18.272748203885623</v>
      </c>
      <c r="AB310" s="199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0.17181422362630028</v>
      </c>
      <c r="AD310" s="233">
        <f>(INDEX(Models!$BJ310:$BT310,,AH310)*(1-AF310)+INDEX(Models!$BJ310:$BT310,,AH310+1)*AF310-ERP_i)*AE310*Ramure*Pc/MaxiM</f>
        <v>4.7575722318312835E-2</v>
      </c>
      <c r="AE310" s="307">
        <f t="shared" si="117"/>
        <v>0.9</v>
      </c>
      <c r="AF310" s="179">
        <f t="shared" si="118"/>
        <v>9.8314198447989387E-2</v>
      </c>
      <c r="AG310" s="839">
        <f t="shared" si="124"/>
        <v>1</v>
      </c>
      <c r="AH310" s="178">
        <f t="shared" si="119"/>
        <v>7</v>
      </c>
      <c r="AI310" s="227">
        <f t="shared" si="120"/>
        <v>1.0983141984479894</v>
      </c>
      <c r="AJ310" s="267" t="b">
        <f t="shared" si="121"/>
        <v>0</v>
      </c>
      <c r="AK310" s="267" t="b">
        <f t="shared" si="122"/>
        <v>0</v>
      </c>
      <c r="AL310" s="267"/>
      <c r="AM310" s="267"/>
      <c r="AN310" s="75"/>
    </row>
    <row r="311" spans="1:40" s="6" customFormat="1" ht="11.25" x14ac:dyDescent="0.2">
      <c r="A311" s="56">
        <f t="shared" si="123"/>
        <v>45223</v>
      </c>
      <c r="B311" s="413">
        <f>'2022'!Wh/'2022'!Env_an*'2023'!Env_an</f>
        <v>18.761584508486237</v>
      </c>
      <c r="C311" s="868"/>
      <c r="D311" s="395">
        <f t="shared" si="102"/>
        <v>19.614329765954793</v>
      </c>
      <c r="E311" s="387">
        <f t="shared" si="125"/>
        <v>21.587355577365578</v>
      </c>
      <c r="F311" s="387">
        <f t="shared" si="103"/>
        <v>22.320100735005038</v>
      </c>
      <c r="G311" s="110">
        <f t="shared" si="126"/>
        <v>0.75209753530554246</v>
      </c>
      <c r="H311" s="416" t="b">
        <f>Wh_hp&gt;='2022'!Maxi_hp</f>
        <v>0</v>
      </c>
      <c r="I311" s="392">
        <f>IF(H311,Wh_hp,'2022'!Maxi_hp)</f>
        <v>30.713396956245166</v>
      </c>
      <c r="J311" s="85">
        <f>IF(H311,An,'2022'!An_max)</f>
        <v>2021</v>
      </c>
      <c r="K311" s="199">
        <f t="shared" si="104"/>
        <v>45223</v>
      </c>
      <c r="L311" s="147">
        <f>IF(t&lt;Tvie,1-EXP((T0-t)*PertePVj)+'2022'!Pspv,1-EXP((T0-t)*PertePVj)+Pspv)</f>
        <v>4.3475625608614621E-2</v>
      </c>
      <c r="M311" s="872"/>
      <c r="N311" s="872"/>
      <c r="O311" s="48">
        <f>IF(t&lt;Tnet,'2022'!Resal+('2022'!Salim-'2022'!Resal)*(1-EXP(('2022'!Tnet-t)/('2022'!Tau_j))),Resal+(Salim-Resal)*(1-EXP((Tnet-t)/(Tau_j))))*Salcycl</f>
        <v>9.1397290619491645E-2</v>
      </c>
      <c r="P311" s="171">
        <f>(INDEX(Models!$BJ311:$BT311,,T311)*(1-R311)+INDEX(Models!$BJ311:$BT311,,T311+1)*R311-ERP_i)*Q311*Ramure*Pc/MaxiM</f>
        <v>4.9397954438605465E-2</v>
      </c>
      <c r="Q311" s="307">
        <f t="shared" si="105"/>
        <v>0.9</v>
      </c>
      <c r="R311" s="179">
        <f t="shared" si="106"/>
        <v>9.8407785441593232E-2</v>
      </c>
      <c r="S311" s="839">
        <f t="shared" si="107"/>
        <v>1</v>
      </c>
      <c r="T311" s="178">
        <f t="shared" si="108"/>
        <v>7</v>
      </c>
      <c r="U311" s="253">
        <f t="shared" si="109"/>
        <v>1.0984077854415932</v>
      </c>
      <c r="V311" s="385">
        <f t="shared" si="110"/>
        <v>24.518325039318558</v>
      </c>
      <c r="W311" s="404">
        <f t="shared" si="111"/>
        <v>18.761584508486237</v>
      </c>
      <c r="X311" s="157">
        <f t="shared" si="112"/>
        <v>45223</v>
      </c>
      <c r="Y311" s="387">
        <f t="shared" si="113"/>
        <v>17.103038625115175</v>
      </c>
      <c r="Z311" s="387">
        <f t="shared" si="114"/>
        <v>17.88040021039448</v>
      </c>
      <c r="AA311" s="388">
        <f t="shared" si="115"/>
        <v>21.587355577365578</v>
      </c>
      <c r="AB311" s="199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0.17171882649942791</v>
      </c>
      <c r="AD311" s="233">
        <f>(INDEX(Models!$BJ311:$BT311,,AH311)*(1-AF311)+INDEX(Models!$BJ311:$BT311,,AH311+1)*AF311-ERP_i)*AE311*Ramure*Pc/MaxiM</f>
        <v>4.9397954438605465E-2</v>
      </c>
      <c r="AE311" s="307">
        <f t="shared" si="117"/>
        <v>0.9</v>
      </c>
      <c r="AF311" s="179">
        <f t="shared" si="118"/>
        <v>9.8407785441593232E-2</v>
      </c>
      <c r="AG311" s="839">
        <f t="shared" si="124"/>
        <v>1</v>
      </c>
      <c r="AH311" s="178">
        <f t="shared" si="119"/>
        <v>7</v>
      </c>
      <c r="AI311" s="227">
        <f t="shared" si="120"/>
        <v>1.0984077854415932</v>
      </c>
      <c r="AJ311" s="267" t="b">
        <f t="shared" si="121"/>
        <v>0</v>
      </c>
      <c r="AK311" s="267" t="b">
        <f t="shared" si="122"/>
        <v>0</v>
      </c>
      <c r="AL311" s="267"/>
      <c r="AM311" s="267"/>
      <c r="AN311" s="75"/>
    </row>
    <row r="312" spans="1:40" s="6" customFormat="1" ht="11.25" x14ac:dyDescent="0.2">
      <c r="A312" s="56">
        <f t="shared" si="123"/>
        <v>45224</v>
      </c>
      <c r="B312" s="413">
        <f>'2022'!Wh/'2022'!Env_an*'2023'!Env_an</f>
        <v>17.326943281855446</v>
      </c>
      <c r="C312" s="868"/>
      <c r="D312" s="395">
        <f t="shared" si="102"/>
        <v>18.114903266890042</v>
      </c>
      <c r="E312" s="387">
        <f t="shared" si="125"/>
        <v>19.938532748026883</v>
      </c>
      <c r="F312" s="387">
        <f t="shared" si="103"/>
        <v>20.566182109682316</v>
      </c>
      <c r="G312" s="110">
        <f t="shared" si="126"/>
        <v>0.70130690940031359</v>
      </c>
      <c r="H312" s="416" t="b">
        <f>Wh_hp&gt;='2022'!Maxi_hp</f>
        <v>0</v>
      </c>
      <c r="I312" s="392">
        <f>IF(H312,Wh_hp,'2022'!Maxi_hp)</f>
        <v>29.429997890434077</v>
      </c>
      <c r="J312" s="85">
        <f>IF(H312,An,'2022'!An_max)</f>
        <v>2021</v>
      </c>
      <c r="K312" s="199">
        <f t="shared" si="104"/>
        <v>45224</v>
      </c>
      <c r="L312" s="147">
        <f>IF(t&lt;Tvie,1-EXP((T0-t)*PertePVj)+'2022'!Pspv,1-EXP((T0-t)*PertePVj)+Pspv)</f>
        <v>4.3497885328198871E-2</v>
      </c>
      <c r="M312" s="872"/>
      <c r="N312" s="872"/>
      <c r="O312" s="48">
        <f>IF(t&lt;Tnet,'2022'!Resal+('2022'!Salim-'2022'!Resal)*(1-EXP(('2022'!Tnet-t)/('2022'!Tau_j))),Resal+(Salim-Resal)*(1-EXP((Tnet-t)/(Tau_j))))*Salcycl</f>
        <v>9.1462571703893727E-2</v>
      </c>
      <c r="P312" s="171">
        <f>(INDEX(Models!$BJ312:$BT312,,T312)*(1-R312)+INDEX(Models!$BJ312:$BT312,,T312+1)*R312-ERP_i)*Q312*Ramure*Pc/MaxiM</f>
        <v>5.1273280137505602E-2</v>
      </c>
      <c r="Q312" s="307">
        <f t="shared" si="105"/>
        <v>0.9</v>
      </c>
      <c r="R312" s="179">
        <f t="shared" si="106"/>
        <v>9.8497631859951973E-2</v>
      </c>
      <c r="S312" s="839">
        <f t="shared" si="107"/>
        <v>1</v>
      </c>
      <c r="T312" s="178">
        <f t="shared" si="108"/>
        <v>7</v>
      </c>
      <c r="U312" s="253">
        <f t="shared" si="109"/>
        <v>1.098497631859952</v>
      </c>
      <c r="V312" s="385">
        <f t="shared" si="110"/>
        <v>24.177725882827911</v>
      </c>
      <c r="W312" s="404">
        <f t="shared" si="111"/>
        <v>17.326943281855446</v>
      </c>
      <c r="X312" s="157">
        <f t="shared" si="112"/>
        <v>45224</v>
      </c>
      <c r="Y312" s="387">
        <f t="shared" si="113"/>
        <v>15.7982145784446</v>
      </c>
      <c r="Z312" s="387">
        <f t="shared" si="114"/>
        <v>16.516654104696201</v>
      </c>
      <c r="AA312" s="388">
        <f t="shared" si="115"/>
        <v>19.938532748026883</v>
      </c>
      <c r="AB312" s="199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0.17162138691821796</v>
      </c>
      <c r="AD312" s="233">
        <f>(INDEX(Models!$BJ312:$BT312,,AH312)*(1-AF312)+INDEX(Models!$BJ312:$BT312,,AH312+1)*AF312-ERP_i)*AE312*Ramure*Pc/MaxiM</f>
        <v>5.1273280137505602E-2</v>
      </c>
      <c r="AE312" s="307">
        <f t="shared" si="117"/>
        <v>0.9</v>
      </c>
      <c r="AF312" s="179">
        <f t="shared" si="118"/>
        <v>9.8497631859951973E-2</v>
      </c>
      <c r="AG312" s="839">
        <f t="shared" si="124"/>
        <v>1</v>
      </c>
      <c r="AH312" s="178">
        <f t="shared" si="119"/>
        <v>7</v>
      </c>
      <c r="AI312" s="227">
        <f t="shared" si="120"/>
        <v>1.098497631859952</v>
      </c>
      <c r="AJ312" s="267" t="b">
        <f t="shared" si="121"/>
        <v>0</v>
      </c>
      <c r="AK312" s="267" t="b">
        <f t="shared" si="122"/>
        <v>0</v>
      </c>
      <c r="AL312" s="267"/>
      <c r="AM312" s="267"/>
      <c r="AN312" s="75"/>
    </row>
    <row r="313" spans="1:40" s="6" customFormat="1" ht="11.25" x14ac:dyDescent="0.2">
      <c r="A313" s="56">
        <f t="shared" si="123"/>
        <v>45225</v>
      </c>
      <c r="B313" s="413">
        <f>'2022'!Wh/'2022'!Env_an*'2023'!Env_an</f>
        <v>13.714338673523274</v>
      </c>
      <c r="C313" s="868"/>
      <c r="D313" s="395">
        <f t="shared" si="102"/>
        <v>14.338345543912068</v>
      </c>
      <c r="E313" s="387">
        <f t="shared" si="125"/>
        <v>15.78289937821585</v>
      </c>
      <c r="F313" s="387">
        <f t="shared" si="103"/>
        <v>16.120150583203007</v>
      </c>
      <c r="G313" s="110">
        <f t="shared" si="126"/>
        <v>0.55629238586295848</v>
      </c>
      <c r="H313" s="416" t="b">
        <f>Wh_hp&gt;='2022'!Maxi_hp</f>
        <v>0</v>
      </c>
      <c r="I313" s="392">
        <f>IF(H313,Wh_hp,'2022'!Maxi_hp)</f>
        <v>29.199862154592079</v>
      </c>
      <c r="J313" s="85">
        <f>IF(H313,An,'2022'!An_max)</f>
        <v>2019</v>
      </c>
      <c r="K313" s="199">
        <f t="shared" si="104"/>
        <v>45225</v>
      </c>
      <c r="L313" s="147">
        <f>IF(t&lt;Tvie,1-EXP((T0-t)*PertePVj)+'2022'!Pspv,1-EXP((T0-t)*PertePVj)+Pspv)</f>
        <v>4.3520144529766935E-2</v>
      </c>
      <c r="M313" s="872"/>
      <c r="N313" s="872"/>
      <c r="O313" s="48">
        <f>IF(t&lt;Tnet,'2022'!Resal+('2022'!Salim-'2022'!Resal)*(1-EXP(('2022'!Tnet-t)/('2022'!Tau_j))),Resal+(Salim-Resal)*(1-EXP((Tnet-t)/(Tau_j))))*Salcycl</f>
        <v>9.1526518650787994E-2</v>
      </c>
      <c r="P313" s="171">
        <f>(INDEX(Models!$BJ313:$BT313,,T313)*(1-R313)+INDEX(Models!$BJ313:$BT313,,T313+1)*R313-ERP_i)*Q313*Ramure*Pc/MaxiM</f>
        <v>5.3203409148579538E-2</v>
      </c>
      <c r="Q313" s="307">
        <f t="shared" si="105"/>
        <v>0.9</v>
      </c>
      <c r="R313" s="179">
        <f t="shared" si="106"/>
        <v>9.858388615031588E-2</v>
      </c>
      <c r="S313" s="839">
        <f t="shared" si="107"/>
        <v>1</v>
      </c>
      <c r="T313" s="178">
        <f t="shared" si="108"/>
        <v>7</v>
      </c>
      <c r="U313" s="253">
        <f t="shared" si="109"/>
        <v>1.0985838861503159</v>
      </c>
      <c r="V313" s="385">
        <f t="shared" si="110"/>
        <v>23.840246774352554</v>
      </c>
      <c r="W313" s="404">
        <f t="shared" si="111"/>
        <v>13.714338673523274</v>
      </c>
      <c r="X313" s="157">
        <f t="shared" si="112"/>
        <v>45225</v>
      </c>
      <c r="Y313" s="387">
        <f t="shared" si="113"/>
        <v>12.506723408183181</v>
      </c>
      <c r="Z313" s="387">
        <f t="shared" si="114"/>
        <v>13.075783391208502</v>
      </c>
      <c r="AA313" s="388">
        <f t="shared" si="115"/>
        <v>15.78289937821585</v>
      </c>
      <c r="AB313" s="199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0.17152209629770629</v>
      </c>
      <c r="AD313" s="233">
        <f>(INDEX(Models!$BJ313:$BT313,,AH313)*(1-AF313)+INDEX(Models!$BJ313:$BT313,,AH313+1)*AF313-ERP_i)*AE313*Ramure*Pc/MaxiM</f>
        <v>5.3203409148579538E-2</v>
      </c>
      <c r="AE313" s="307">
        <f t="shared" si="117"/>
        <v>0.9</v>
      </c>
      <c r="AF313" s="179">
        <f t="shared" si="118"/>
        <v>9.858388615031588E-2</v>
      </c>
      <c r="AG313" s="839">
        <f t="shared" si="124"/>
        <v>1</v>
      </c>
      <c r="AH313" s="178">
        <f t="shared" si="119"/>
        <v>7</v>
      </c>
      <c r="AI313" s="227">
        <f t="shared" si="120"/>
        <v>1.0985838861503159</v>
      </c>
      <c r="AJ313" s="267" t="b">
        <f t="shared" si="121"/>
        <v>0</v>
      </c>
      <c r="AK313" s="267" t="b">
        <f t="shared" si="122"/>
        <v>0</v>
      </c>
      <c r="AL313" s="267"/>
      <c r="AM313" s="267"/>
      <c r="AN313" s="75"/>
    </row>
    <row r="314" spans="1:40" s="6" customFormat="1" ht="11.25" x14ac:dyDescent="0.2">
      <c r="A314" s="56">
        <f t="shared" si="123"/>
        <v>45226</v>
      </c>
      <c r="B314" s="413">
        <f>'2022'!Wh/'2022'!Env_an*'2023'!Env_an</f>
        <v>10.951370986303782</v>
      </c>
      <c r="C314" s="868"/>
      <c r="D314" s="395">
        <f t="shared" si="102"/>
        <v>11.449928384798438</v>
      </c>
      <c r="E314" s="387">
        <f t="shared" si="125"/>
        <v>12.604351288410349</v>
      </c>
      <c r="F314" s="387">
        <f t="shared" si="103"/>
        <v>12.771407179308</v>
      </c>
      <c r="G314" s="110">
        <f t="shared" si="126"/>
        <v>0.44602578635008577</v>
      </c>
      <c r="H314" s="416" t="b">
        <f>Wh_hp&gt;='2022'!Maxi_hp</f>
        <v>0</v>
      </c>
      <c r="I314" s="392">
        <f>IF(H314,Wh_hp,'2022'!Maxi_hp)</f>
        <v>29.266376232509479</v>
      </c>
      <c r="J314" s="85">
        <f>IF(H314,An,'2022'!An_max)</f>
        <v>2021</v>
      </c>
      <c r="K314" s="199">
        <f t="shared" si="104"/>
        <v>45226</v>
      </c>
      <c r="L314" s="147">
        <f>IF(t&lt;Tvie,1-EXP((T0-t)*PertePVj)+'2022'!Pspv,1-EXP((T0-t)*PertePVj)+Pspv)</f>
        <v>4.3542403213330805E-2</v>
      </c>
      <c r="M314" s="872"/>
      <c r="N314" s="872"/>
      <c r="O314" s="48">
        <f>IF(t&lt;Tnet,'2022'!Resal+('2022'!Salim-'2022'!Resal)*(1-EXP(('2022'!Tnet-t)/('2022'!Tau_j))),Resal+(Salim-Resal)*(1-EXP((Tnet-t)/(Tau_j))))*Salcycl</f>
        <v>9.1589235907237651E-2</v>
      </c>
      <c r="P314" s="171">
        <f>(INDEX(Models!$BJ314:$BT314,,T314)*(1-R314)+INDEX(Models!$BJ314:$BT314,,T314+1)*R314-ERP_i)*Q314*Ramure*Pc/MaxiM</f>
        <v>5.5190174789827261E-2</v>
      </c>
      <c r="Q314" s="307">
        <f t="shared" si="105"/>
        <v>0.9</v>
      </c>
      <c r="R314" s="179">
        <f t="shared" si="106"/>
        <v>9.8666690952068592E-2</v>
      </c>
      <c r="S314" s="839">
        <f t="shared" si="107"/>
        <v>1</v>
      </c>
      <c r="T314" s="178">
        <f t="shared" si="108"/>
        <v>7</v>
      </c>
      <c r="U314" s="253">
        <f t="shared" si="109"/>
        <v>1.0986666909520686</v>
      </c>
      <c r="V314" s="385">
        <f t="shared" si="110"/>
        <v>23.50559112084694</v>
      </c>
      <c r="W314" s="404">
        <f t="shared" si="111"/>
        <v>10.951370986303782</v>
      </c>
      <c r="X314" s="157">
        <f t="shared" si="112"/>
        <v>45226</v>
      </c>
      <c r="Y314" s="387">
        <f t="shared" si="113"/>
        <v>9.9889550802590161</v>
      </c>
      <c r="Z314" s="387">
        <f t="shared" si="114"/>
        <v>10.443698825560146</v>
      </c>
      <c r="AA314" s="388">
        <f t="shared" si="115"/>
        <v>12.604351288410349</v>
      </c>
      <c r="AB314" s="199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0.1714211555525999</v>
      </c>
      <c r="AD314" s="233">
        <f>(INDEX(Models!$BJ314:$BT314,,AH314)*(1-AF314)+INDEX(Models!$BJ314:$BT314,,AH314+1)*AF314-ERP_i)*AE314*Ramure*Pc/MaxiM</f>
        <v>5.5190174789827261E-2</v>
      </c>
      <c r="AE314" s="307">
        <f t="shared" si="117"/>
        <v>0.9</v>
      </c>
      <c r="AF314" s="179">
        <f t="shared" si="118"/>
        <v>9.8666690952068592E-2</v>
      </c>
      <c r="AG314" s="839">
        <f t="shared" si="124"/>
        <v>1</v>
      </c>
      <c r="AH314" s="178">
        <f t="shared" si="119"/>
        <v>7</v>
      </c>
      <c r="AI314" s="227">
        <f t="shared" si="120"/>
        <v>1.0986666909520686</v>
      </c>
      <c r="AJ314" s="267" t="b">
        <f t="shared" si="121"/>
        <v>0</v>
      </c>
      <c r="AK314" s="267" t="b">
        <f t="shared" si="122"/>
        <v>0</v>
      </c>
      <c r="AL314" s="267"/>
      <c r="AM314" s="267"/>
      <c r="AN314" s="75"/>
    </row>
    <row r="315" spans="1:40" s="6" customFormat="1" ht="11.25" x14ac:dyDescent="0.2">
      <c r="A315" s="56">
        <f t="shared" si="123"/>
        <v>45227</v>
      </c>
      <c r="B315" s="413">
        <f>'2022'!Wh/'2022'!Env_an*'2023'!Env_an</f>
        <v>14.888941293402425</v>
      </c>
      <c r="C315" s="868"/>
      <c r="D315" s="395">
        <f t="shared" si="102"/>
        <v>15.567117495750383</v>
      </c>
      <c r="E315" s="387">
        <f t="shared" si="125"/>
        <v>17.137812269064696</v>
      </c>
      <c r="F315" s="387">
        <f t="shared" si="103"/>
        <v>17.631575823855414</v>
      </c>
      <c r="G315" s="110">
        <f t="shared" si="126"/>
        <v>0.62317759985763144</v>
      </c>
      <c r="H315" s="416" t="b">
        <f>Wh_hp&gt;='2022'!Maxi_hp</f>
        <v>0</v>
      </c>
      <c r="I315" s="392">
        <f>IF(H315,Wh_hp,'2022'!Maxi_hp)</f>
        <v>28.371022569697843</v>
      </c>
      <c r="J315" s="85">
        <f>IF(H315,An,'2022'!An_max)</f>
        <v>2021</v>
      </c>
      <c r="K315" s="199">
        <f t="shared" si="104"/>
        <v>45227</v>
      </c>
      <c r="L315" s="147">
        <f>IF(t&lt;Tvie,1-EXP((T0-t)*PertePVj)+'2022'!Pspv,1-EXP((T0-t)*PertePVj)+Pspv)</f>
        <v>4.3564661378902692E-2</v>
      </c>
      <c r="M315" s="872"/>
      <c r="N315" s="872"/>
      <c r="O315" s="48">
        <f>IF(t&lt;Tnet,'2022'!Resal+('2022'!Salim-'2022'!Resal)*(1-EXP(('2022'!Tnet-t)/('2022'!Tau_j))),Resal+(Salim-Resal)*(1-EXP((Tnet-t)/(Tau_j))))*Salcycl</f>
        <v>9.1650833178372526E-2</v>
      </c>
      <c r="P315" s="171">
        <f>(INDEX(Models!$BJ315:$BT315,,T315)*(1-R315)+INDEX(Models!$BJ315:$BT315,,T315+1)*R315-ERP_i)*Q315*Ramure*Pc/MaxiM</f>
        <v>5.7235545534861022E-2</v>
      </c>
      <c r="Q315" s="307">
        <f t="shared" si="105"/>
        <v>0.9</v>
      </c>
      <c r="R315" s="179">
        <f t="shared" si="106"/>
        <v>9.8746183317383274E-2</v>
      </c>
      <c r="S315" s="839">
        <f t="shared" si="107"/>
        <v>1</v>
      </c>
      <c r="T315" s="178">
        <f t="shared" si="108"/>
        <v>7</v>
      </c>
      <c r="U315" s="253">
        <f t="shared" si="109"/>
        <v>1.0987461833173833</v>
      </c>
      <c r="V315" s="385">
        <f t="shared" si="110"/>
        <v>23.173462583180214</v>
      </c>
      <c r="W315" s="404">
        <f t="shared" si="111"/>
        <v>14.888941293402425</v>
      </c>
      <c r="X315" s="157">
        <f t="shared" si="112"/>
        <v>45227</v>
      </c>
      <c r="Y315" s="387">
        <f t="shared" si="113"/>
        <v>13.583087396099252</v>
      </c>
      <c r="Z315" s="387">
        <f t="shared" si="114"/>
        <v>14.201783275471742</v>
      </c>
      <c r="AA315" s="388">
        <f t="shared" si="115"/>
        <v>17.137812269064696</v>
      </c>
      <c r="AB315" s="199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0.17131877438596713</v>
      </c>
      <c r="AD315" s="233">
        <f>(INDEX(Models!$BJ315:$BT315,,AH315)*(1-AF315)+INDEX(Models!$BJ315:$BT315,,AH315+1)*AF315-ERP_i)*AE315*Ramure*Pc/MaxiM</f>
        <v>5.7235545534861022E-2</v>
      </c>
      <c r="AE315" s="307">
        <f t="shared" si="117"/>
        <v>0.9</v>
      </c>
      <c r="AF315" s="179">
        <f t="shared" si="118"/>
        <v>9.8746183317383274E-2</v>
      </c>
      <c r="AG315" s="839">
        <f t="shared" si="124"/>
        <v>1</v>
      </c>
      <c r="AH315" s="178">
        <f t="shared" si="119"/>
        <v>7</v>
      </c>
      <c r="AI315" s="227">
        <f t="shared" si="120"/>
        <v>1.0987461833173833</v>
      </c>
      <c r="AJ315" s="267" t="b">
        <f t="shared" si="121"/>
        <v>0</v>
      </c>
      <c r="AK315" s="267" t="b">
        <f t="shared" si="122"/>
        <v>0</v>
      </c>
      <c r="AL315" s="267"/>
      <c r="AM315" s="267"/>
      <c r="AN315" s="75"/>
    </row>
    <row r="316" spans="1:40" s="6" customFormat="1" ht="11.25" x14ac:dyDescent="0.2">
      <c r="A316" s="56">
        <f t="shared" si="123"/>
        <v>45228</v>
      </c>
      <c r="B316" s="413">
        <f>'2022'!Wh/'2022'!Env_an*'2023'!Env_an</f>
        <v>18.883353657224745</v>
      </c>
      <c r="C316" s="868"/>
      <c r="D316" s="395">
        <f t="shared" si="102"/>
        <v>19.743930768914119</v>
      </c>
      <c r="E316" s="387">
        <f t="shared" si="125"/>
        <v>21.737508665379966</v>
      </c>
      <c r="F316" s="387">
        <f t="shared" si="103"/>
        <v>22.753332753950723</v>
      </c>
      <c r="G316" s="110">
        <f t="shared" si="126"/>
        <v>0.81392130100530125</v>
      </c>
      <c r="H316" s="416" t="b">
        <f>Wh_hp&gt;='2022'!Maxi_hp</f>
        <v>0</v>
      </c>
      <c r="I316" s="392">
        <f>IF(H316,Wh_hp,'2022'!Maxi_hp)</f>
        <v>25.15927908632538</v>
      </c>
      <c r="J316" s="85">
        <f>IF(H316,An,'2022'!An_max)</f>
        <v>2019</v>
      </c>
      <c r="K316" s="199">
        <f t="shared" si="104"/>
        <v>45228</v>
      </c>
      <c r="L316" s="147">
        <f>IF(t&lt;Tvie,1-EXP((T0-t)*PertePVj)+'2022'!Pspv,1-EXP((T0-t)*PertePVj)+Pspv)</f>
        <v>4.3586919026494475E-2</v>
      </c>
      <c r="M316" s="872"/>
      <c r="N316" s="872"/>
      <c r="O316" s="48">
        <f>IF(t&lt;Tnet,'2022'!Resal+('2022'!Salim-'2022'!Resal)*(1-EXP(('2022'!Tnet-t)/('2022'!Tau_j))),Resal+(Salim-Resal)*(1-EXP((Tnet-t)/(Tau_j))))*Salcycl</f>
        <v>9.171142503744692E-2</v>
      </c>
      <c r="P316" s="171">
        <f>(INDEX(Models!$BJ316:$BT316,,T316)*(1-R316)+INDEX(Models!$BJ316:$BT316,,T316+1)*R316-ERP_i)*Q316*Ramure*Pc/MaxiM</f>
        <v>5.9341637670694371E-2</v>
      </c>
      <c r="Q316" s="307">
        <f t="shared" si="105"/>
        <v>0.9</v>
      </c>
      <c r="R316" s="179">
        <f t="shared" si="106"/>
        <v>9.8822494924013737E-2</v>
      </c>
      <c r="S316" s="839">
        <f t="shared" si="107"/>
        <v>1</v>
      </c>
      <c r="T316" s="178">
        <f t="shared" si="108"/>
        <v>7</v>
      </c>
      <c r="U316" s="253">
        <f t="shared" si="109"/>
        <v>1.0988224949240137</v>
      </c>
      <c r="V316" s="385">
        <f t="shared" si="110"/>
        <v>22.843565085620313</v>
      </c>
      <c r="W316" s="404">
        <f t="shared" si="111"/>
        <v>18.883353657224745</v>
      </c>
      <c r="X316" s="157">
        <f t="shared" si="112"/>
        <v>45228</v>
      </c>
      <c r="Y316" s="387">
        <f t="shared" si="113"/>
        <v>17.23046779669151</v>
      </c>
      <c r="Z316" s="387">
        <f t="shared" si="114"/>
        <v>18.015717412765945</v>
      </c>
      <c r="AA316" s="388">
        <f t="shared" si="115"/>
        <v>21.737508665379966</v>
      </c>
      <c r="AB316" s="199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0.17121517051038598</v>
      </c>
      <c r="AD316" s="233">
        <f>(INDEX(Models!$BJ316:$BT316,,AH316)*(1-AF316)+INDEX(Models!$BJ316:$BT316,,AH316+1)*AF316-ERP_i)*AE316*Ramure*Pc/MaxiM</f>
        <v>5.9341637670694371E-2</v>
      </c>
      <c r="AE316" s="307">
        <f t="shared" si="117"/>
        <v>0.9</v>
      </c>
      <c r="AF316" s="179">
        <f t="shared" si="118"/>
        <v>9.8822494924013737E-2</v>
      </c>
      <c r="AG316" s="839">
        <f t="shared" si="124"/>
        <v>1</v>
      </c>
      <c r="AH316" s="178">
        <f t="shared" si="119"/>
        <v>7</v>
      </c>
      <c r="AI316" s="227">
        <f t="shared" si="120"/>
        <v>1.0988224949240137</v>
      </c>
      <c r="AJ316" s="267" t="b">
        <f t="shared" si="121"/>
        <v>0</v>
      </c>
      <c r="AK316" s="267" t="b">
        <f t="shared" si="122"/>
        <v>0</v>
      </c>
      <c r="AL316" s="267"/>
      <c r="AM316" s="267"/>
      <c r="AN316" s="75"/>
    </row>
    <row r="317" spans="1:40" s="6" customFormat="1" ht="11.25" x14ac:dyDescent="0.2">
      <c r="A317" s="56">
        <f t="shared" si="123"/>
        <v>45229</v>
      </c>
      <c r="B317" s="413">
        <f>'2022'!Wh/'2022'!Env_an*'2023'!Env_an</f>
        <v>16.256895608374681</v>
      </c>
      <c r="C317" s="868"/>
      <c r="D317" s="395">
        <f t="shared" si="102"/>
        <v>16.998171880231681</v>
      </c>
      <c r="E317" s="387">
        <f t="shared" si="125"/>
        <v>18.715736144310849</v>
      </c>
      <c r="F317" s="387">
        <f t="shared" si="103"/>
        <v>19.436543016685508</v>
      </c>
      <c r="G317" s="110">
        <f t="shared" si="126"/>
        <v>0.70371614246500624</v>
      </c>
      <c r="H317" s="416" t="b">
        <f>Wh_hp&gt;='2022'!Maxi_hp</f>
        <v>0</v>
      </c>
      <c r="I317" s="392">
        <f>IF(H317,Wh_hp,'2022'!Maxi_hp)</f>
        <v>25.463678721185552</v>
      </c>
      <c r="J317" s="85">
        <f>IF(H317,An,'2022'!An_max)</f>
        <v>2020</v>
      </c>
      <c r="K317" s="199">
        <f t="shared" si="104"/>
        <v>45229</v>
      </c>
      <c r="L317" s="147">
        <f>IF(t&lt;Tvie,1-EXP((T0-t)*PertePVj)+'2022'!Pspv,1-EXP((T0-t)*PertePVj)+Pspv)</f>
        <v>4.3609176156118368E-2</v>
      </c>
      <c r="M317" s="872"/>
      <c r="N317" s="872"/>
      <c r="O317" s="48">
        <f>IF(t&lt;Tnet,'2022'!Resal+('2022'!Salim-'2022'!Resal)*(1-EXP(('2022'!Tnet-t)/('2022'!Tau_j))),Resal+(Salim-Resal)*(1-EXP((Tnet-t)/(Tau_j))))*Salcycl</f>
        <v>9.1771130498720321E-2</v>
      </c>
      <c r="P317" s="171">
        <f>(INDEX(Models!$BJ317:$BT317,,T317)*(1-R317)+INDEX(Models!$BJ317:$BT317,,T317+1)*R317-ERP_i)*Q317*Ramure*Pc/MaxiM</f>
        <v>6.151101998938302E-2</v>
      </c>
      <c r="Q317" s="307">
        <f t="shared" si="105"/>
        <v>0.9</v>
      </c>
      <c r="R317" s="179">
        <f t="shared" si="106"/>
        <v>9.8895752280466986E-2</v>
      </c>
      <c r="S317" s="839">
        <f t="shared" si="107"/>
        <v>1</v>
      </c>
      <c r="T317" s="178">
        <f t="shared" si="108"/>
        <v>7</v>
      </c>
      <c r="U317" s="253">
        <f t="shared" si="109"/>
        <v>1.098895752280467</v>
      </c>
      <c r="V317" s="385">
        <f t="shared" si="110"/>
        <v>22.51548938394787</v>
      </c>
      <c r="W317" s="404">
        <f t="shared" si="111"/>
        <v>16.256895608374681</v>
      </c>
      <c r="X317" s="157">
        <f t="shared" si="112"/>
        <v>45229</v>
      </c>
      <c r="Y317" s="387">
        <f t="shared" si="113"/>
        <v>14.836754706119571</v>
      </c>
      <c r="Z317" s="387">
        <f t="shared" si="114"/>
        <v>15.513275887035777</v>
      </c>
      <c r="AA317" s="388">
        <f t="shared" si="115"/>
        <v>18.715736144310849</v>
      </c>
      <c r="AB317" s="199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0.17111056880594824</v>
      </c>
      <c r="AD317" s="233">
        <f>(INDEX(Models!$BJ317:$BT317,,AH317)*(1-AF317)+INDEX(Models!$BJ317:$BT317,,AH317+1)*AF317-ERP_i)*AE317*Ramure*Pc/MaxiM</f>
        <v>6.151101998938302E-2</v>
      </c>
      <c r="AE317" s="307">
        <f t="shared" si="117"/>
        <v>0.9</v>
      </c>
      <c r="AF317" s="179">
        <f t="shared" si="118"/>
        <v>9.8895752280466986E-2</v>
      </c>
      <c r="AG317" s="839">
        <f t="shared" si="124"/>
        <v>1</v>
      </c>
      <c r="AH317" s="178">
        <f t="shared" si="119"/>
        <v>7</v>
      </c>
      <c r="AI317" s="227">
        <f t="shared" si="120"/>
        <v>1.098895752280467</v>
      </c>
      <c r="AJ317" s="267" t="b">
        <f t="shared" si="121"/>
        <v>0</v>
      </c>
      <c r="AK317" s="267" t="b">
        <f t="shared" si="122"/>
        <v>0</v>
      </c>
      <c r="AL317" s="267"/>
      <c r="AM317" s="267"/>
      <c r="AN317" s="75"/>
    </row>
    <row r="318" spans="1:40" s="6" customFormat="1" ht="11.25" x14ac:dyDescent="0.2">
      <c r="A318" s="56">
        <f t="shared" si="123"/>
        <v>45230</v>
      </c>
      <c r="B318" s="413">
        <f>'2022'!Wh/'2022'!Env_an*'2023'!Env_an</f>
        <v>15.815655990052571</v>
      </c>
      <c r="C318" s="868"/>
      <c r="D318" s="395">
        <f t="shared" si="102"/>
        <v>16.537197616002793</v>
      </c>
      <c r="E318" s="387">
        <f t="shared" si="125"/>
        <v>18.209364917574174</v>
      </c>
      <c r="F318" s="387">
        <f t="shared" si="103"/>
        <v>18.919897515540807</v>
      </c>
      <c r="G318" s="110">
        <f t="shared" si="126"/>
        <v>0.69336512831434705</v>
      </c>
      <c r="H318" s="416" t="b">
        <f>Wh_hp&gt;='2022'!Maxi_hp</f>
        <v>0</v>
      </c>
      <c r="I318" s="392">
        <f>IF(H318,Wh_hp,'2022'!Maxi_hp)</f>
        <v>27.758372597474693</v>
      </c>
      <c r="J318" s="85">
        <f>IF(H318,An,'2022'!An_max)</f>
        <v>2020</v>
      </c>
      <c r="K318" s="199">
        <f t="shared" si="104"/>
        <v>45230</v>
      </c>
      <c r="L318" s="147">
        <f>IF(t&lt;Tvie,1-EXP((T0-t)*PertePVj)+'2022'!Pspv,1-EXP((T0-t)*PertePVj)+Pspv)</f>
        <v>4.3631432767786249E-2</v>
      </c>
      <c r="M318" s="872"/>
      <c r="N318" s="872"/>
      <c r="O318" s="48">
        <f>IF(t&lt;Tnet,'2022'!Resal+('2022'!Salim-'2022'!Resal)*(1-EXP(('2022'!Tnet-t)/('2022'!Tau_j))),Resal+(Salim-Resal)*(1-EXP((Tnet-t)/(Tau_j))))*Salcycl</f>
        <v>9.1830072555553172E-2</v>
      </c>
      <c r="P318" s="171">
        <f>(INDEX(Models!$BJ318:$BT318,,T318)*(1-R318)+INDEX(Models!$BJ318:$BT318,,T318+1)*R318-ERP_i)*Q318*Ramure*Pc/MaxiM</f>
        <v>6.3694925032282426E-2</v>
      </c>
      <c r="Q318" s="307">
        <f t="shared" si="105"/>
        <v>0.9</v>
      </c>
      <c r="R318" s="179">
        <f t="shared" si="106"/>
        <v>9.8966076923781454E-2</v>
      </c>
      <c r="S318" s="839">
        <f t="shared" si="107"/>
        <v>1</v>
      </c>
      <c r="T318" s="178">
        <f t="shared" si="108"/>
        <v>7</v>
      </c>
      <c r="U318" s="253">
        <f t="shared" si="109"/>
        <v>1.0989660769237815</v>
      </c>
      <c r="V318" s="385">
        <f t="shared" si="110"/>
        <v>22.190473632970026</v>
      </c>
      <c r="W318" s="404">
        <f t="shared" si="111"/>
        <v>15.815655990052571</v>
      </c>
      <c r="X318" s="157">
        <f t="shared" si="112"/>
        <v>45230</v>
      </c>
      <c r="Y318" s="387">
        <f t="shared" si="113"/>
        <v>14.43683188738976</v>
      </c>
      <c r="Z318" s="387">
        <f t="shared" si="114"/>
        <v>15.095468820321846</v>
      </c>
      <c r="AA318" s="388">
        <f t="shared" si="115"/>
        <v>18.209364917574174</v>
      </c>
      <c r="AB318" s="199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0.17100520042009001</v>
      </c>
      <c r="AD318" s="233">
        <f>(INDEX(Models!$BJ318:$BT318,,AH318)*(1-AF318)+INDEX(Models!$BJ318:$BT318,,AH318+1)*AF318-ERP_i)*AE318*Ramure*Pc/MaxiM</f>
        <v>6.3694925032282426E-2</v>
      </c>
      <c r="AE318" s="307">
        <f t="shared" si="117"/>
        <v>0.9</v>
      </c>
      <c r="AF318" s="179">
        <f t="shared" si="118"/>
        <v>9.8966076923781454E-2</v>
      </c>
      <c r="AG318" s="839">
        <f t="shared" si="124"/>
        <v>1</v>
      </c>
      <c r="AH318" s="178">
        <f t="shared" si="119"/>
        <v>7</v>
      </c>
      <c r="AI318" s="227">
        <f t="shared" si="120"/>
        <v>1.0989660769237815</v>
      </c>
      <c r="AJ318" s="267" t="b">
        <f t="shared" si="121"/>
        <v>0</v>
      </c>
      <c r="AK318" s="267" t="b">
        <f t="shared" si="122"/>
        <v>0</v>
      </c>
      <c r="AL318" s="267"/>
      <c r="AM318" s="267"/>
      <c r="AN318" s="75"/>
    </row>
    <row r="319" spans="1:40" s="6" customFormat="1" ht="11.25" x14ac:dyDescent="0.2">
      <c r="A319" s="56">
        <f t="shared" si="123"/>
        <v>45231</v>
      </c>
      <c r="B319" s="413">
        <f>'2022'!Wh/'2022'!Env_an*'2023'!Env_an</f>
        <v>14.909031706211127</v>
      </c>
      <c r="C319" s="868"/>
      <c r="D319" s="395">
        <f t="shared" si="102"/>
        <v>15.589574124526667</v>
      </c>
      <c r="E319" s="387">
        <f t="shared" si="125"/>
        <v>17.167024120679649</v>
      </c>
      <c r="F319" s="387">
        <f t="shared" si="103"/>
        <v>17.806745951510599</v>
      </c>
      <c r="G319" s="110">
        <f t="shared" si="126"/>
        <v>0.66055504165452372</v>
      </c>
      <c r="H319" s="416" t="b">
        <f>Wh_hp&gt;='2022'!Maxi_hp</f>
        <v>0</v>
      </c>
      <c r="I319" s="392">
        <f>IF(H319,Wh_hp,'2022'!Maxi_hp)</f>
        <v>26.743008767740822</v>
      </c>
      <c r="J319" s="85">
        <f>IF(H319,An,'2022'!An_max)</f>
        <v>2020</v>
      </c>
      <c r="K319" s="199">
        <f t="shared" si="104"/>
        <v>45231</v>
      </c>
      <c r="L319" s="147">
        <f>IF(t&lt;Tvie,1-EXP((T0-t)*PertePVj)+'2022'!Pspv,1-EXP((T0-t)*PertePVj)+Pspv)</f>
        <v>4.3653688861510331E-2</v>
      </c>
      <c r="M319" s="872"/>
      <c r="N319" s="872"/>
      <c r="O319" s="48">
        <f>IF(t&lt;Tnet,'2022'!Resal+('2022'!Salim-'2022'!Resal)*(1-EXP(('2022'!Tnet-t)/('2022'!Tau_j))),Resal+(Salim-Resal)*(1-EXP((Tnet-t)/(Tau_j))))*Salcycl</f>
        <v>9.1888377686425271E-2</v>
      </c>
      <c r="P319" s="171">
        <f>(INDEX(Models!$BJ319:$BT319,,T319)*(1-R319)+INDEX(Models!$BJ319:$BT319,,T319+1)*R319-ERP_i)*Q319*Ramure*Pc/MaxiM</f>
        <v>6.5878238659967628E-2</v>
      </c>
      <c r="Q319" s="307">
        <f t="shared" si="105"/>
        <v>0.9</v>
      </c>
      <c r="R319" s="179">
        <f t="shared" si="106"/>
        <v>9.9033585610151409E-2</v>
      </c>
      <c r="S319" s="839">
        <f t="shared" si="107"/>
        <v>1</v>
      </c>
      <c r="T319" s="178">
        <f t="shared" si="108"/>
        <v>7</v>
      </c>
      <c r="U319" s="253">
        <f t="shared" si="109"/>
        <v>1.0990335856101514</v>
      </c>
      <c r="V319" s="385">
        <f t="shared" si="110"/>
        <v>21.869228461524497</v>
      </c>
      <c r="W319" s="404">
        <f t="shared" si="111"/>
        <v>14.909031706211127</v>
      </c>
      <c r="X319" s="157">
        <f t="shared" si="112"/>
        <v>45231</v>
      </c>
      <c r="Y319" s="387">
        <f t="shared" si="113"/>
        <v>13.611860362929347</v>
      </c>
      <c r="Z319" s="387">
        <f t="shared" si="114"/>
        <v>14.233191684218456</v>
      </c>
      <c r="AA319" s="388">
        <f t="shared" si="115"/>
        <v>17.167024120679649</v>
      </c>
      <c r="AB319" s="199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0.17089930181475402</v>
      </c>
      <c r="AD319" s="233">
        <f>(INDEX(Models!$BJ319:$BT319,,AH319)*(1-AF319)+INDEX(Models!$BJ319:$BT319,,AH319+1)*AF319-ERP_i)*AE319*Ramure*Pc/MaxiM</f>
        <v>6.5878238659967628E-2</v>
      </c>
      <c r="AE319" s="307">
        <f t="shared" si="117"/>
        <v>0.9</v>
      </c>
      <c r="AF319" s="179">
        <f t="shared" si="118"/>
        <v>9.9033585610151409E-2</v>
      </c>
      <c r="AG319" s="839">
        <f t="shared" si="124"/>
        <v>1</v>
      </c>
      <c r="AH319" s="178">
        <f t="shared" si="119"/>
        <v>7</v>
      </c>
      <c r="AI319" s="227">
        <f t="shared" si="120"/>
        <v>1.0990335856101514</v>
      </c>
      <c r="AJ319" s="267" t="b">
        <f t="shared" si="121"/>
        <v>0</v>
      </c>
      <c r="AK319" s="267" t="b">
        <f t="shared" si="122"/>
        <v>0</v>
      </c>
      <c r="AL319" s="267"/>
      <c r="AM319" s="267"/>
      <c r="AN319" s="75"/>
    </row>
    <row r="320" spans="1:40" s="6" customFormat="1" ht="11.25" x14ac:dyDescent="0.2">
      <c r="A320" s="56">
        <f t="shared" si="123"/>
        <v>45232</v>
      </c>
      <c r="B320" s="413">
        <f>'2022'!Wh/'2022'!Env_an*'2023'!Env_an</f>
        <v>20.163169598624059</v>
      </c>
      <c r="C320" s="868"/>
      <c r="D320" s="395">
        <f t="shared" si="102"/>
        <v>21.084034727914613</v>
      </c>
      <c r="E320" s="387">
        <f t="shared" si="125"/>
        <v>23.218926186033723</v>
      </c>
      <c r="F320" s="387">
        <f t="shared" si="103"/>
        <v>24.7481896541609</v>
      </c>
      <c r="G320" s="110">
        <f t="shared" si="126"/>
        <v>0.92930471039989071</v>
      </c>
      <c r="H320" s="416" t="b">
        <f>Wh_hp&gt;='2022'!Maxi_hp</f>
        <v>0</v>
      </c>
      <c r="I320" s="392">
        <f>IF(H320,Wh_hp,'2022'!Maxi_hp)</f>
        <v>25.963625869506139</v>
      </c>
      <c r="J320" s="85">
        <f>IF(H320,An,'2022'!An_max)</f>
        <v>2021</v>
      </c>
      <c r="K320" s="199">
        <f t="shared" si="104"/>
        <v>45232</v>
      </c>
      <c r="L320" s="147">
        <f>IF(t&lt;Tvie,1-EXP((T0-t)*PertePVj)+'2022'!Pspv,1-EXP((T0-t)*PertePVj)+Pspv)</f>
        <v>4.3675944437302494E-2</v>
      </c>
      <c r="M320" s="872"/>
      <c r="N320" s="872"/>
      <c r="O320" s="48">
        <f>IF(t&lt;Tnet,'2022'!Resal+('2022'!Salim-'2022'!Resal)*(1-EXP(('2022'!Tnet-t)/('2022'!Tau_j))),Resal+(Salim-Resal)*(1-EXP((Tnet-t)/(Tau_j))))*Salcycl</f>
        <v>9.1946175331883248E-2</v>
      </c>
      <c r="P320" s="171">
        <f>(INDEX(Models!$BJ320:$BT320,,T320)*(1-R320)+INDEX(Models!$BJ320:$BT320,,T320+1)*R320-ERP_i)*Q320*Ramure*Pc/MaxiM</f>
        <v>6.8058936753656082E-2</v>
      </c>
      <c r="Q320" s="307">
        <f t="shared" si="105"/>
        <v>0.9</v>
      </c>
      <c r="R320" s="179">
        <f t="shared" si="106"/>
        <v>9.9098390498614908E-2</v>
      </c>
      <c r="S320" s="839">
        <f t="shared" si="107"/>
        <v>1</v>
      </c>
      <c r="T320" s="178">
        <f t="shared" si="108"/>
        <v>7</v>
      </c>
      <c r="U320" s="253">
        <f t="shared" si="109"/>
        <v>1.0990983904986149</v>
      </c>
      <c r="V320" s="385">
        <f t="shared" si="110"/>
        <v>21.552140884073637</v>
      </c>
      <c r="W320" s="404">
        <f t="shared" si="111"/>
        <v>20.163169598624059</v>
      </c>
      <c r="X320" s="157">
        <f t="shared" si="112"/>
        <v>45232</v>
      </c>
      <c r="Y320" s="387">
        <f t="shared" si="113"/>
        <v>18.412387707937945</v>
      </c>
      <c r="Z320" s="387">
        <f t="shared" si="114"/>
        <v>19.25329348439757</v>
      </c>
      <c r="AA320" s="388">
        <f t="shared" si="115"/>
        <v>23.218926186033723</v>
      </c>
      <c r="AB320" s="199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0.1707931137668845</v>
      </c>
      <c r="AD320" s="233">
        <f>(INDEX(Models!$BJ320:$BT320,,AH320)*(1-AF320)+INDEX(Models!$BJ320:$BT320,,AH320+1)*AF320-ERP_i)*AE320*Ramure*Pc/MaxiM</f>
        <v>6.8058936753656082E-2</v>
      </c>
      <c r="AE320" s="307">
        <f t="shared" si="117"/>
        <v>0.9</v>
      </c>
      <c r="AF320" s="179">
        <f t="shared" si="118"/>
        <v>9.9098390498614908E-2</v>
      </c>
      <c r="AG320" s="839">
        <f t="shared" si="124"/>
        <v>1</v>
      </c>
      <c r="AH320" s="178">
        <f t="shared" si="119"/>
        <v>7</v>
      </c>
      <c r="AI320" s="227">
        <f t="shared" si="120"/>
        <v>1.0990983904986149</v>
      </c>
      <c r="AJ320" s="267" t="b">
        <f t="shared" si="121"/>
        <v>0</v>
      </c>
      <c r="AK320" s="267" t="b">
        <f t="shared" si="122"/>
        <v>0</v>
      </c>
      <c r="AL320" s="267"/>
      <c r="AM320" s="267"/>
      <c r="AN320" s="75"/>
    </row>
    <row r="321" spans="1:40" s="6" customFormat="1" ht="11.25" x14ac:dyDescent="0.2">
      <c r="A321" s="56">
        <f t="shared" si="123"/>
        <v>45233</v>
      </c>
      <c r="B321" s="413">
        <f>'2022'!Wh/'2022'!Env_an*'2023'!Env_an</f>
        <v>5.3003039922640864</v>
      </c>
      <c r="C321" s="868"/>
      <c r="D321" s="395">
        <f t="shared" si="102"/>
        <v>5.5425013206773146</v>
      </c>
      <c r="E321" s="387">
        <f t="shared" si="125"/>
        <v>6.1041005277941442</v>
      </c>
      <c r="F321" s="387">
        <f t="shared" si="103"/>
        <v>6.1041005277941442</v>
      </c>
      <c r="G321" s="110">
        <f t="shared" si="126"/>
        <v>0.23202126980570043</v>
      </c>
      <c r="H321" s="416" t="b">
        <f>Wh_hp&gt;='2022'!Maxi_hp</f>
        <v>0</v>
      </c>
      <c r="I321" s="392">
        <f>IF(H321,Wh_hp,'2022'!Maxi_hp)</f>
        <v>25.318145187066094</v>
      </c>
      <c r="J321" s="85">
        <f>IF(H321,An,'2022'!An_max)</f>
        <v>2020</v>
      </c>
      <c r="K321" s="199">
        <f t="shared" si="104"/>
        <v>45233</v>
      </c>
      <c r="L321" s="147">
        <f>IF(t&lt;Tvie,1-EXP((T0-t)*PertePVj)+'2022'!Pspv,1-EXP((T0-t)*PertePVj)+Pspv)</f>
        <v>4.3698199495175061E-2</v>
      </c>
      <c r="M321" s="872"/>
      <c r="N321" s="872"/>
      <c r="O321" s="48">
        <f>IF(t&lt;Tnet,'2022'!Resal+('2022'!Salim-'2022'!Resal)*(1-EXP(('2022'!Tnet-t)/('2022'!Tau_j))),Resal+(Salim-Resal)*(1-EXP((Tnet-t)/(Tau_j))))*Salcycl</f>
        <v>9.2003597345697047E-2</v>
      </c>
      <c r="P321" s="171">
        <f>(INDEX(Models!$BJ321:$BT321,,T321)*(1-R321)+INDEX(Models!$BJ321:$BT321,,T321+1)*R321-ERP_i)*Q321*Ramure*Pc/MaxiM</f>
        <v>7.0234742370488795E-2</v>
      </c>
      <c r="Q321" s="307">
        <f t="shared" si="105"/>
        <v>0.9</v>
      </c>
      <c r="R321" s="179">
        <f t="shared" si="106"/>
        <v>9.916059932803134E-2</v>
      </c>
      <c r="S321" s="839">
        <f t="shared" si="107"/>
        <v>1</v>
      </c>
      <c r="T321" s="178">
        <f t="shared" si="108"/>
        <v>7</v>
      </c>
      <c r="U321" s="253">
        <f t="shared" si="109"/>
        <v>1.0991605993280313</v>
      </c>
      <c r="V321" s="385">
        <f t="shared" si="110"/>
        <v>21.239598037753133</v>
      </c>
      <c r="W321" s="404">
        <f t="shared" si="111"/>
        <v>5.3003039922640864</v>
      </c>
      <c r="X321" s="157">
        <f t="shared" si="112"/>
        <v>45233</v>
      </c>
      <c r="Y321" s="387">
        <f t="shared" si="113"/>
        <v>4.8410011605566865</v>
      </c>
      <c r="Z321" s="387">
        <f t="shared" si="114"/>
        <v>5.0622106514921921</v>
      </c>
      <c r="AA321" s="388">
        <f t="shared" si="115"/>
        <v>6.1041005277941442</v>
      </c>
      <c r="AB321" s="199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0.17068688032869969</v>
      </c>
      <c r="AD321" s="233">
        <f>(INDEX(Models!$BJ321:$BT321,,AH321)*(1-AF321)+INDEX(Models!$BJ321:$BT321,,AH321+1)*AF321-ERP_i)*AE321*Ramure*Pc/MaxiM</f>
        <v>7.0234742370488795E-2</v>
      </c>
      <c r="AE321" s="307">
        <f t="shared" si="117"/>
        <v>0.9</v>
      </c>
      <c r="AF321" s="179">
        <f t="shared" si="118"/>
        <v>9.916059932803134E-2</v>
      </c>
      <c r="AG321" s="839">
        <f t="shared" si="124"/>
        <v>1</v>
      </c>
      <c r="AH321" s="178">
        <f t="shared" si="119"/>
        <v>7</v>
      </c>
      <c r="AI321" s="227">
        <f t="shared" si="120"/>
        <v>1.0991605993280313</v>
      </c>
      <c r="AJ321" s="267" t="b">
        <f t="shared" si="121"/>
        <v>0</v>
      </c>
      <c r="AK321" s="267" t="b">
        <f t="shared" si="122"/>
        <v>0</v>
      </c>
      <c r="AL321" s="267"/>
      <c r="AM321" s="267"/>
      <c r="AN321" s="75"/>
    </row>
    <row r="322" spans="1:40" s="6" customFormat="1" ht="11.25" x14ac:dyDescent="0.2">
      <c r="A322" s="56">
        <f t="shared" si="123"/>
        <v>45234</v>
      </c>
      <c r="B322" s="413">
        <f>'2022'!Wh/'2022'!Env_an*'2023'!Env_an</f>
        <v>10.945265166222731</v>
      </c>
      <c r="C322" s="868"/>
      <c r="D322" s="395">
        <f t="shared" si="102"/>
        <v>11.445675286486708</v>
      </c>
      <c r="E322" s="387">
        <f t="shared" si="125"/>
        <v>12.606213061277396</v>
      </c>
      <c r="F322" s="387">
        <f t="shared" si="103"/>
        <v>12.903706329621301</v>
      </c>
      <c r="G322" s="110">
        <f t="shared" si="126"/>
        <v>0.49648363365415443</v>
      </c>
      <c r="H322" s="416" t="b">
        <f>Wh_hp&gt;='2022'!Maxi_hp</f>
        <v>0</v>
      </c>
      <c r="I322" s="392">
        <f>IF(H322,Wh_hp,'2022'!Maxi_hp)</f>
        <v>18.873766608269342</v>
      </c>
      <c r="J322" s="85">
        <f>IF(H322,An,'2022'!An_max)</f>
        <v>2018</v>
      </c>
      <c r="K322" s="199">
        <f t="shared" si="104"/>
        <v>45234</v>
      </c>
      <c r="L322" s="147">
        <f>IF(t&lt;Tvie,1-EXP((T0-t)*PertePVj)+'2022'!Pspv,1-EXP((T0-t)*PertePVj)+Pspv)</f>
        <v>4.37204540351398E-2</v>
      </c>
      <c r="M322" s="872"/>
      <c r="N322" s="872"/>
      <c r="O322" s="48">
        <f>IF(t&lt;Tnet,'2022'!Resal+('2022'!Salim-'2022'!Resal)*(1-EXP(('2022'!Tnet-t)/('2022'!Tau_j))),Resal+(Salim-Resal)*(1-EXP((Tnet-t)/(Tau_j))))*Salcycl</f>
        <v>9.2060777423754778E-2</v>
      </c>
      <c r="P322" s="171">
        <f>(INDEX(Models!$BJ322:$BT322,,T322)*(1-R322)+INDEX(Models!$BJ322:$BT322,,T322+1)*R322-ERP_i)*Q322*Ramure*Pc/MaxiM</f>
        <v>7.2403114229011634E-2</v>
      </c>
      <c r="Q322" s="307">
        <f t="shared" si="105"/>
        <v>0.9</v>
      </c>
      <c r="R322" s="179">
        <f t="shared" si="106"/>
        <v>9.9220315587569274E-2</v>
      </c>
      <c r="S322" s="839">
        <f t="shared" si="107"/>
        <v>1</v>
      </c>
      <c r="T322" s="178">
        <f t="shared" si="108"/>
        <v>7</v>
      </c>
      <c r="U322" s="253">
        <f t="shared" si="109"/>
        <v>1.0992203155875693</v>
      </c>
      <c r="V322" s="385">
        <f t="shared" si="110"/>
        <v>20.93198718647611</v>
      </c>
      <c r="W322" s="404">
        <f t="shared" si="111"/>
        <v>10.945265166222731</v>
      </c>
      <c r="X322" s="157">
        <f t="shared" si="112"/>
        <v>45234</v>
      </c>
      <c r="Y322" s="387">
        <f t="shared" si="113"/>
        <v>9.9987007164539445</v>
      </c>
      <c r="Z322" s="387">
        <f t="shared" si="114"/>
        <v>10.45583455030979</v>
      </c>
      <c r="AA322" s="388">
        <f t="shared" si="115"/>
        <v>12.606213061277396</v>
      </c>
      <c r="AB322" s="199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0.17058084775458382</v>
      </c>
      <c r="AD322" s="233">
        <f>(INDEX(Models!$BJ322:$BT322,,AH322)*(1-AF322)+INDEX(Models!$BJ322:$BT322,,AH322+1)*AF322-ERP_i)*AE322*Ramure*Pc/MaxiM</f>
        <v>7.2403114229011634E-2</v>
      </c>
      <c r="AE322" s="307">
        <f t="shared" si="117"/>
        <v>0.9</v>
      </c>
      <c r="AF322" s="179">
        <f t="shared" si="118"/>
        <v>9.9220315587569274E-2</v>
      </c>
      <c r="AG322" s="839">
        <f t="shared" si="124"/>
        <v>1</v>
      </c>
      <c r="AH322" s="178">
        <f t="shared" si="119"/>
        <v>7</v>
      </c>
      <c r="AI322" s="227">
        <f t="shared" si="120"/>
        <v>1.0992203155875693</v>
      </c>
      <c r="AJ322" s="267" t="b">
        <f t="shared" si="121"/>
        <v>0</v>
      </c>
      <c r="AK322" s="267" t="b">
        <f t="shared" si="122"/>
        <v>0</v>
      </c>
      <c r="AL322" s="267"/>
      <c r="AM322" s="267"/>
      <c r="AN322" s="75"/>
    </row>
    <row r="323" spans="1:40" s="6" customFormat="1" ht="11.25" x14ac:dyDescent="0.2">
      <c r="A323" s="56">
        <f t="shared" si="123"/>
        <v>45235</v>
      </c>
      <c r="B323" s="413">
        <f>'2022'!Wh/'2022'!Env_an*'2023'!Env_an</f>
        <v>19.138275027156233</v>
      </c>
      <c r="C323" s="868"/>
      <c r="D323" s="395">
        <f t="shared" si="102"/>
        <v>20.013729765420912</v>
      </c>
      <c r="E323" s="387">
        <f t="shared" si="125"/>
        <v>22.04441377855218</v>
      </c>
      <c r="F323" s="387">
        <f t="shared" si="103"/>
        <v>23.623925353268753</v>
      </c>
      <c r="G323" s="110">
        <f t="shared" si="126"/>
        <v>0.92004943582077159</v>
      </c>
      <c r="H323" s="416" t="b">
        <f>Wh_hp&gt;='2022'!Maxi_hp</f>
        <v>0</v>
      </c>
      <c r="I323" s="392">
        <f>IF(H323,Wh_hp,'2022'!Maxi_hp)</f>
        <v>23.673738340609276</v>
      </c>
      <c r="J323" s="85">
        <f>IF(H323,An,'2022'!An_max)</f>
        <v>2022</v>
      </c>
      <c r="K323" s="199">
        <f t="shared" si="104"/>
        <v>45235</v>
      </c>
      <c r="L323" s="147">
        <f>IF(t&lt;Tvie,1-EXP((T0-t)*PertePVj)+'2022'!Pspv,1-EXP((T0-t)*PertePVj)+Pspv)</f>
        <v>4.3742708057208923E-2</v>
      </c>
      <c r="M323" s="872"/>
      <c r="N323" s="872"/>
      <c r="O323" s="48">
        <f>IF(t&lt;Tnet,'2022'!Resal+('2022'!Salim-'2022'!Resal)*(1-EXP(('2022'!Tnet-t)/('2022'!Tau_j))),Resal+(Salim-Resal)*(1-EXP((Tnet-t)/(Tau_j))))*Salcycl</f>
        <v>9.2117850514446195E-2</v>
      </c>
      <c r="P323" s="171">
        <f>(INDEX(Models!$BJ323:$BT323,,T323)*(1-R323)+INDEX(Models!$BJ323:$BT323,,T323+1)*R323-ERP_i)*Q323*Ramure*Pc/MaxiM</f>
        <v>7.4561235753516378E-2</v>
      </c>
      <c r="Q323" s="307">
        <f t="shared" si="105"/>
        <v>0.9</v>
      </c>
      <c r="R323" s="179">
        <f t="shared" si="106"/>
        <v>9.9277638680906222E-2</v>
      </c>
      <c r="S323" s="839">
        <f t="shared" si="107"/>
        <v>1</v>
      </c>
      <c r="T323" s="178">
        <f t="shared" si="108"/>
        <v>7</v>
      </c>
      <c r="U323" s="253">
        <f t="shared" si="109"/>
        <v>1.0992776386809062</v>
      </c>
      <c r="V323" s="385">
        <f t="shared" si="110"/>
        <v>20.629695724762726</v>
      </c>
      <c r="W323" s="404">
        <f t="shared" si="111"/>
        <v>19.138275027156233</v>
      </c>
      <c r="X323" s="157">
        <f t="shared" si="112"/>
        <v>45235</v>
      </c>
      <c r="Y323" s="387">
        <f t="shared" si="113"/>
        <v>17.486490465576356</v>
      </c>
      <c r="Z323" s="387">
        <f t="shared" si="114"/>
        <v>18.286386533115714</v>
      </c>
      <c r="AA323" s="388">
        <f t="shared" si="115"/>
        <v>22.04441377855218</v>
      </c>
      <c r="AB323" s="199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0.17047526340177788</v>
      </c>
      <c r="AD323" s="233">
        <f>(INDEX(Models!$BJ323:$BT323,,AH323)*(1-AF323)+INDEX(Models!$BJ323:$BT323,,AH323+1)*AF323-ERP_i)*AE323*Ramure*Pc/MaxiM</f>
        <v>7.4561235753516378E-2</v>
      </c>
      <c r="AE323" s="307">
        <f t="shared" si="117"/>
        <v>0.9</v>
      </c>
      <c r="AF323" s="179">
        <f t="shared" si="118"/>
        <v>9.9277638680906222E-2</v>
      </c>
      <c r="AG323" s="839">
        <f t="shared" si="124"/>
        <v>1</v>
      </c>
      <c r="AH323" s="178">
        <f t="shared" si="119"/>
        <v>7</v>
      </c>
      <c r="AI323" s="227">
        <f t="shared" si="120"/>
        <v>1.0992776386809062</v>
      </c>
      <c r="AJ323" s="267" t="b">
        <f t="shared" si="121"/>
        <v>0</v>
      </c>
      <c r="AK323" s="267" t="b">
        <f t="shared" si="122"/>
        <v>0</v>
      </c>
      <c r="AL323" s="267"/>
      <c r="AM323" s="267"/>
      <c r="AN323" s="75"/>
    </row>
    <row r="324" spans="1:40" s="6" customFormat="1" ht="11.25" x14ac:dyDescent="0.2">
      <c r="A324" s="56">
        <f t="shared" si="123"/>
        <v>45236</v>
      </c>
      <c r="B324" s="413">
        <f>'2022'!Wh/'2022'!Env_an*'2023'!Env_an</f>
        <v>19.156359788177202</v>
      </c>
      <c r="C324" s="868"/>
      <c r="D324" s="395">
        <f t="shared" si="102"/>
        <v>20.033107989283454</v>
      </c>
      <c r="E324" s="387">
        <f t="shared" si="125"/>
        <v>22.067146129257644</v>
      </c>
      <c r="F324" s="387">
        <f t="shared" si="103"/>
        <v>23.736357347869689</v>
      </c>
      <c r="G324" s="110">
        <f t="shared" si="126"/>
        <v>0.93565784171101885</v>
      </c>
      <c r="H324" s="416" t="b">
        <f>Wh_hp&gt;='2022'!Maxi_hp</f>
        <v>0</v>
      </c>
      <c r="I324" s="392">
        <f>IF(H324,Wh_hp,'2022'!Maxi_hp)</f>
        <v>23.777364402083492</v>
      </c>
      <c r="J324" s="85">
        <f>IF(H324,An,'2022'!An_max)</f>
        <v>2022</v>
      </c>
      <c r="K324" s="199">
        <f t="shared" si="104"/>
        <v>45236</v>
      </c>
      <c r="L324" s="147">
        <f>IF(t&lt;Tvie,1-EXP((T0-t)*PertePVj)+'2022'!Pspv,1-EXP((T0-t)*PertePVj)+Pspv)</f>
        <v>4.3764961561394422E-2</v>
      </c>
      <c r="M324" s="872"/>
      <c r="N324" s="872"/>
      <c r="O324" s="48">
        <f>IF(t&lt;Tnet,'2022'!Resal+('2022'!Salim-'2022'!Resal)*(1-EXP(('2022'!Tnet-t)/('2022'!Tau_j))),Resal+(Salim-Resal)*(1-EXP((Tnet-t)/(Tau_j))))*Salcycl</f>
        <v>9.2174952214476275E-2</v>
      </c>
      <c r="P324" s="171">
        <f>(INDEX(Models!$BJ324:$BT324,,T324)*(1-R324)+INDEX(Models!$BJ324:$BT324,,T324+1)*R324-ERP_i)*Q324*Ramure*Pc/MaxiM</f>
        <v>7.6665933263018349E-2</v>
      </c>
      <c r="Q324" s="307">
        <f t="shared" si="105"/>
        <v>0.9</v>
      </c>
      <c r="R324" s="179">
        <f t="shared" si="106"/>
        <v>9.9332664084363032E-2</v>
      </c>
      <c r="S324" s="839">
        <f t="shared" si="107"/>
        <v>1</v>
      </c>
      <c r="T324" s="178">
        <f t="shared" si="108"/>
        <v>7</v>
      </c>
      <c r="U324" s="253">
        <f t="shared" si="109"/>
        <v>1.099332664084363</v>
      </c>
      <c r="V324" s="385">
        <f t="shared" si="110"/>
        <v>20.333993643180076</v>
      </c>
      <c r="W324" s="404">
        <f t="shared" si="111"/>
        <v>19.156359788177202</v>
      </c>
      <c r="X324" s="157">
        <f t="shared" si="112"/>
        <v>45236</v>
      </c>
      <c r="Y324" s="387">
        <f t="shared" si="113"/>
        <v>17.506328596709501</v>
      </c>
      <c r="Z324" s="387">
        <f t="shared" si="114"/>
        <v>18.307558176590998</v>
      </c>
      <c r="AA324" s="388">
        <f t="shared" si="115"/>
        <v>22.067146129257644</v>
      </c>
      <c r="AB324" s="199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0.17037037461232971</v>
      </c>
      <c r="AD324" s="233">
        <f>(INDEX(Models!$BJ324:$BT324,,AH324)*(1-AF324)+INDEX(Models!$BJ324:$BT324,,AH324+1)*AF324-ERP_i)*AE324*Ramure*Pc/MaxiM</f>
        <v>7.6665933263018349E-2</v>
      </c>
      <c r="AE324" s="307">
        <f t="shared" si="117"/>
        <v>0.9</v>
      </c>
      <c r="AF324" s="179">
        <f t="shared" si="118"/>
        <v>9.9332664084363032E-2</v>
      </c>
      <c r="AG324" s="839">
        <f t="shared" si="124"/>
        <v>1</v>
      </c>
      <c r="AH324" s="178">
        <f t="shared" si="119"/>
        <v>7</v>
      </c>
      <c r="AI324" s="227">
        <f t="shared" si="120"/>
        <v>1.099332664084363</v>
      </c>
      <c r="AJ324" s="267" t="b">
        <f t="shared" si="121"/>
        <v>0</v>
      </c>
      <c r="AK324" s="267" t="b">
        <f t="shared" si="122"/>
        <v>0</v>
      </c>
      <c r="AL324" s="267"/>
      <c r="AM324" s="267"/>
      <c r="AN324" s="75"/>
    </row>
    <row r="325" spans="1:40" s="6" customFormat="1" ht="11.25" x14ac:dyDescent="0.2">
      <c r="A325" s="56">
        <f t="shared" si="123"/>
        <v>45237</v>
      </c>
      <c r="B325" s="413">
        <f>'2022'!Wh/'2022'!Env_an*'2023'!Env_an</f>
        <v>18.998876008074244</v>
      </c>
      <c r="C325" s="868"/>
      <c r="D325" s="395">
        <f t="shared" si="102"/>
        <v>19.868878869976324</v>
      </c>
      <c r="E325" s="387">
        <f t="shared" si="125"/>
        <v>21.887622878150978</v>
      </c>
      <c r="F325" s="387">
        <f t="shared" si="103"/>
        <v>23.607160613610784</v>
      </c>
      <c r="G325" s="110">
        <f t="shared" si="126"/>
        <v>0.94179512111329533</v>
      </c>
      <c r="H325" s="416" t="b">
        <f>Wh_hp&gt;='2022'!Maxi_hp</f>
        <v>0</v>
      </c>
      <c r="I325" s="392">
        <f>IF(H325,Wh_hp,'2022'!Maxi_hp)</f>
        <v>23.644688895751436</v>
      </c>
      <c r="J325" s="85">
        <f>IF(H325,An,'2022'!An_max)</f>
        <v>2022</v>
      </c>
      <c r="K325" s="199">
        <f t="shared" si="104"/>
        <v>45237</v>
      </c>
      <c r="L325" s="147">
        <f>IF(t&lt;Tvie,1-EXP((T0-t)*PertePVj)+'2022'!Pspv,1-EXP((T0-t)*PertePVj)+Pspv)</f>
        <v>4.3787214547708286E-2</v>
      </c>
      <c r="M325" s="872"/>
      <c r="N325" s="872"/>
      <c r="O325" s="48">
        <f>IF(t&lt;Tnet,'2022'!Resal+('2022'!Salim-'2022'!Resal)*(1-EXP(('2022'!Tnet-t)/('2022'!Tau_j))),Resal+(Salim-Resal)*(1-EXP((Tnet-t)/(Tau_j))))*Salcycl</f>
        <v>9.223221815420804E-2</v>
      </c>
      <c r="P325" s="171">
        <f>(INDEX(Models!$BJ325:$BT325,,T325)*(1-R325)+INDEX(Models!$BJ325:$BT325,,T325+1)*R325-ERP_i)*Q325*Ramure*Pc/MaxiM</f>
        <v>7.8709637290741041E-2</v>
      </c>
      <c r="Q325" s="307">
        <f t="shared" si="105"/>
        <v>0.9</v>
      </c>
      <c r="R325" s="179">
        <f t="shared" si="106"/>
        <v>9.9385483499159877E-2</v>
      </c>
      <c r="S325" s="839">
        <f t="shared" si="107"/>
        <v>1</v>
      </c>
      <c r="T325" s="178">
        <f t="shared" si="108"/>
        <v>7</v>
      </c>
      <c r="U325" s="253">
        <f t="shared" si="109"/>
        <v>1.0993854834991599</v>
      </c>
      <c r="V325" s="385">
        <f t="shared" si="110"/>
        <v>20.045327580731332</v>
      </c>
      <c r="W325" s="404">
        <f t="shared" si="111"/>
        <v>18.998876008074244</v>
      </c>
      <c r="X325" s="157">
        <f t="shared" si="112"/>
        <v>45237</v>
      </c>
      <c r="Y325" s="387">
        <f t="shared" si="113"/>
        <v>17.365680493765705</v>
      </c>
      <c r="Z325" s="387">
        <f t="shared" si="114"/>
        <v>18.160895522382795</v>
      </c>
      <c r="AA325" s="388">
        <f t="shared" si="115"/>
        <v>21.887622878150978</v>
      </c>
      <c r="AB325" s="199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0.17026642758398125</v>
      </c>
      <c r="AD325" s="233">
        <f>(INDEX(Models!$BJ325:$BT325,,AH325)*(1-AF325)+INDEX(Models!$BJ325:$BT325,,AH325+1)*AF325-ERP_i)*AE325*Ramure*Pc/MaxiM</f>
        <v>7.8709637290741041E-2</v>
      </c>
      <c r="AE325" s="307">
        <f t="shared" si="117"/>
        <v>0.9</v>
      </c>
      <c r="AF325" s="179">
        <f t="shared" si="118"/>
        <v>9.9385483499159877E-2</v>
      </c>
      <c r="AG325" s="839">
        <f t="shared" si="124"/>
        <v>1</v>
      </c>
      <c r="AH325" s="178">
        <f t="shared" si="119"/>
        <v>7</v>
      </c>
      <c r="AI325" s="227">
        <f t="shared" si="120"/>
        <v>1.0993854834991599</v>
      </c>
      <c r="AJ325" s="267" t="b">
        <f t="shared" si="121"/>
        <v>0</v>
      </c>
      <c r="AK325" s="267" t="b">
        <f t="shared" si="122"/>
        <v>0</v>
      </c>
      <c r="AL325" s="267"/>
      <c r="AM325" s="267"/>
      <c r="AN325" s="75"/>
    </row>
    <row r="326" spans="1:40" s="6" customFormat="1" ht="11.25" x14ac:dyDescent="0.2">
      <c r="A326" s="56">
        <f t="shared" si="123"/>
        <v>45238</v>
      </c>
      <c r="B326" s="413">
        <f>'2022'!Wh/'2022'!Env_an*'2023'!Env_an</f>
        <v>12.546374462855439</v>
      </c>
      <c r="C326" s="868"/>
      <c r="D326" s="395">
        <f t="shared" si="102"/>
        <v>13.121207573247867</v>
      </c>
      <c r="E326" s="387">
        <f t="shared" si="125"/>
        <v>14.455282460144474</v>
      </c>
      <c r="F326" s="387">
        <f t="shared" si="103"/>
        <v>15.035537416048937</v>
      </c>
      <c r="G326" s="110">
        <f t="shared" si="126"/>
        <v>0.60701198143757695</v>
      </c>
      <c r="H326" s="416" t="b">
        <f>Wh_hp&gt;='2022'!Maxi_hp</f>
        <v>0</v>
      </c>
      <c r="I326" s="392">
        <f>IF(H326,Wh_hp,'2022'!Maxi_hp)</f>
        <v>20.22602199592037</v>
      </c>
      <c r="J326" s="85">
        <f>IF(H326,An,'2022'!An_max)</f>
        <v>2021</v>
      </c>
      <c r="K326" s="199">
        <f t="shared" si="104"/>
        <v>45238</v>
      </c>
      <c r="L326" s="147">
        <f>IF(t&lt;Tvie,1-EXP((T0-t)*PertePVj)+'2022'!Pspv,1-EXP((T0-t)*PertePVj)+Pspv)</f>
        <v>4.3809467016162729E-2</v>
      </c>
      <c r="M326" s="872"/>
      <c r="N326" s="872"/>
      <c r="O326" s="48">
        <f>IF(t&lt;Tnet,'2022'!Resal+('2022'!Salim-'2022'!Resal)*(1-EXP(('2022'!Tnet-t)/('2022'!Tau_j))),Resal+(Salim-Resal)*(1-EXP((Tnet-t)/(Tau_j))))*Salcycl</f>
        <v>9.2289783376759665E-2</v>
      </c>
      <c r="P326" s="171">
        <f>(INDEX(Models!$BJ326:$BT326,,T326)*(1-R326)+INDEX(Models!$BJ326:$BT326,,T326+1)*R326-ERP_i)*Q326*Ramure*Pc/MaxiM</f>
        <v>8.0687041291539072E-2</v>
      </c>
      <c r="Q326" s="307">
        <f t="shared" si="105"/>
        <v>0.9</v>
      </c>
      <c r="R326" s="179">
        <f t="shared" si="106"/>
        <v>9.9436184998006105E-2</v>
      </c>
      <c r="S326" s="839">
        <f t="shared" si="107"/>
        <v>1</v>
      </c>
      <c r="T326" s="178">
        <f t="shared" si="108"/>
        <v>7</v>
      </c>
      <c r="U326" s="253">
        <f t="shared" si="109"/>
        <v>1.0994361849980061</v>
      </c>
      <c r="V326" s="385">
        <f t="shared" si="110"/>
        <v>19.764086112871258</v>
      </c>
      <c r="W326" s="404">
        <f t="shared" si="111"/>
        <v>12.546374462855439</v>
      </c>
      <c r="X326" s="157">
        <f t="shared" si="112"/>
        <v>45238</v>
      </c>
      <c r="Y326" s="387">
        <f t="shared" si="113"/>
        <v>11.470001323764734</v>
      </c>
      <c r="Z326" s="387">
        <f t="shared" si="114"/>
        <v>11.995518600222969</v>
      </c>
      <c r="AA326" s="388">
        <f t="shared" si="115"/>
        <v>14.455282460144474</v>
      </c>
      <c r="AB326" s="199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0.17016366623782467</v>
      </c>
      <c r="AD326" s="233">
        <f>(INDEX(Models!$BJ326:$BT326,,AH326)*(1-AF326)+INDEX(Models!$BJ326:$BT326,,AH326+1)*AF326-ERP_i)*AE326*Ramure*Pc/MaxiM</f>
        <v>8.0687041291539072E-2</v>
      </c>
      <c r="AE326" s="307">
        <f t="shared" si="117"/>
        <v>0.9</v>
      </c>
      <c r="AF326" s="179">
        <f t="shared" si="118"/>
        <v>9.9436184998006105E-2</v>
      </c>
      <c r="AG326" s="839">
        <f t="shared" si="124"/>
        <v>1</v>
      </c>
      <c r="AH326" s="178">
        <f t="shared" si="119"/>
        <v>7</v>
      </c>
      <c r="AI326" s="227">
        <f t="shared" si="120"/>
        <v>1.0994361849980061</v>
      </c>
      <c r="AJ326" s="267" t="b">
        <f t="shared" si="121"/>
        <v>0</v>
      </c>
      <c r="AK326" s="267" t="b">
        <f t="shared" si="122"/>
        <v>0</v>
      </c>
      <c r="AL326" s="267"/>
      <c r="AM326" s="267"/>
      <c r="AN326" s="75"/>
    </row>
    <row r="327" spans="1:40" s="6" customFormat="1" ht="11.25" x14ac:dyDescent="0.2">
      <c r="A327" s="56">
        <f t="shared" si="123"/>
        <v>45239</v>
      </c>
      <c r="B327" s="413">
        <f>'2022'!Wh/'2022'!Env_an*'2023'!Env_an</f>
        <v>7.4113194676232581</v>
      </c>
      <c r="C327" s="868"/>
      <c r="D327" s="395">
        <f t="shared" si="102"/>
        <v>7.7510618315163375</v>
      </c>
      <c r="E327" s="387">
        <f t="shared" si="125"/>
        <v>8.539682573754229</v>
      </c>
      <c r="F327" s="387">
        <f t="shared" si="103"/>
        <v>8.6213145624343461</v>
      </c>
      <c r="G327" s="110">
        <f t="shared" si="126"/>
        <v>0.35217868775350014</v>
      </c>
      <c r="H327" s="416" t="b">
        <f>Wh_hp&gt;='2022'!Maxi_hp</f>
        <v>0</v>
      </c>
      <c r="I327" s="392">
        <f>IF(H327,Wh_hp,'2022'!Maxi_hp)</f>
        <v>19.543383638603277</v>
      </c>
      <c r="J327" s="85">
        <f>IF(H327,An,'2022'!An_max)</f>
        <v>2020</v>
      </c>
      <c r="K327" s="199">
        <f t="shared" si="104"/>
        <v>45239</v>
      </c>
      <c r="L327" s="147">
        <f>IF(t&lt;Tvie,1-EXP((T0-t)*PertePVj)+'2022'!Pspv,1-EXP((T0-t)*PertePVj)+Pspv)</f>
        <v>4.3831718966769739E-2</v>
      </c>
      <c r="M327" s="872"/>
      <c r="N327" s="872"/>
      <c r="O327" s="48">
        <f>IF(t&lt;Tnet,'2022'!Resal+('2022'!Salim-'2022'!Resal)*(1-EXP(('2022'!Tnet-t)/('2022'!Tau_j))),Resal+(Salim-Resal)*(1-EXP((Tnet-t)/(Tau_j))))*Salcycl</f>
        <v>9.2347781715169372E-2</v>
      </c>
      <c r="P327" s="171">
        <f>(INDEX(Models!$BJ327:$BT327,,T327)*(1-R327)+INDEX(Models!$BJ327:$BT327,,T327+1)*R327-ERP_i)*Q327*Ramure*Pc/MaxiM</f>
        <v>8.2592530237088943E-2</v>
      </c>
      <c r="Q327" s="307">
        <f t="shared" si="105"/>
        <v>0.9</v>
      </c>
      <c r="R327" s="179">
        <f t="shared" si="106"/>
        <v>9.9484853166206033E-2</v>
      </c>
      <c r="S327" s="839">
        <f t="shared" si="107"/>
        <v>1</v>
      </c>
      <c r="T327" s="178">
        <f t="shared" si="108"/>
        <v>7</v>
      </c>
      <c r="U327" s="253">
        <f t="shared" si="109"/>
        <v>1.099484853166206</v>
      </c>
      <c r="V327" s="385">
        <f t="shared" si="110"/>
        <v>19.490657885605795</v>
      </c>
      <c r="W327" s="404">
        <f t="shared" si="111"/>
        <v>7.4113194676232581</v>
      </c>
      <c r="X327" s="157">
        <f t="shared" si="112"/>
        <v>45239</v>
      </c>
      <c r="Y327" s="387">
        <f t="shared" si="113"/>
        <v>6.7767511372638207</v>
      </c>
      <c r="Z327" s="387">
        <f t="shared" si="114"/>
        <v>7.0874042484874105</v>
      </c>
      <c r="AA327" s="388">
        <f t="shared" si="115"/>
        <v>8.539682573754229</v>
      </c>
      <c r="AB327" s="199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0.17006233109064683</v>
      </c>
      <c r="AD327" s="233">
        <f>(INDEX(Models!$BJ327:$BT327,,AH327)*(1-AF327)+INDEX(Models!$BJ327:$BT327,,AH327+1)*AF327-ERP_i)*AE327*Ramure*Pc/MaxiM</f>
        <v>8.2592530237088943E-2</v>
      </c>
      <c r="AE327" s="307">
        <f t="shared" si="117"/>
        <v>0.9</v>
      </c>
      <c r="AF327" s="179">
        <f t="shared" si="118"/>
        <v>9.9484853166206033E-2</v>
      </c>
      <c r="AG327" s="839">
        <f t="shared" si="124"/>
        <v>1</v>
      </c>
      <c r="AH327" s="178">
        <f t="shared" si="119"/>
        <v>7</v>
      </c>
      <c r="AI327" s="227">
        <f t="shared" si="120"/>
        <v>1.099484853166206</v>
      </c>
      <c r="AJ327" s="267" t="b">
        <f t="shared" si="121"/>
        <v>0</v>
      </c>
      <c r="AK327" s="267" t="b">
        <f t="shared" si="122"/>
        <v>0</v>
      </c>
      <c r="AL327" s="267"/>
      <c r="AM327" s="267"/>
      <c r="AN327" s="75"/>
    </row>
    <row r="328" spans="1:40" s="6" customFormat="1" ht="11.25" x14ac:dyDescent="0.2">
      <c r="A328" s="56">
        <f t="shared" si="123"/>
        <v>45240</v>
      </c>
      <c r="B328" s="413">
        <f>'2022'!Wh/'2022'!Env_an*'2023'!Env_an</f>
        <v>16.654478157594291</v>
      </c>
      <c r="C328" s="868"/>
      <c r="D328" s="395">
        <f t="shared" si="102"/>
        <v>17.4183415942789</v>
      </c>
      <c r="E328" s="387">
        <f t="shared" si="125"/>
        <v>19.19178423253717</v>
      </c>
      <c r="F328" s="387">
        <f t="shared" si="103"/>
        <v>20.59851256855719</v>
      </c>
      <c r="G328" s="110">
        <f t="shared" si="126"/>
        <v>0.8512784643151724</v>
      </c>
      <c r="H328" s="416" t="b">
        <f>Wh_hp&gt;='2022'!Maxi_hp</f>
        <v>0</v>
      </c>
      <c r="I328" s="392">
        <f>IF(H328,Wh_hp,'2022'!Maxi_hp)</f>
        <v>20.686248828344251</v>
      </c>
      <c r="J328" s="85">
        <f>IF(H328,An,'2022'!An_max)</f>
        <v>2022</v>
      </c>
      <c r="K328" s="199">
        <f t="shared" si="104"/>
        <v>45240</v>
      </c>
      <c r="L328" s="147">
        <f>IF(t&lt;Tvie,1-EXP((T0-t)*PertePVj)+'2022'!Pspv,1-EXP((T0-t)*PertePVj)+Pspv)</f>
        <v>4.385397039954142E-2</v>
      </c>
      <c r="M328" s="872"/>
      <c r="N328" s="872"/>
      <c r="O328" s="48">
        <f>IF(t&lt;Tnet,'2022'!Resal+('2022'!Salim-'2022'!Resal)*(1-EXP(('2022'!Tnet-t)/('2022'!Tau_j))),Resal+(Salim-Resal)*(1-EXP((Tnet-t)/(Tau_j))))*Salcycl</f>
        <v>9.2406345171994558E-2</v>
      </c>
      <c r="P328" s="171">
        <f>(INDEX(Models!$BJ328:$BT328,,T328)*(1-R328)+INDEX(Models!$BJ328:$BT328,,T328+1)*R328-ERP_i)*Q328*Ramure*Pc/MaxiM</f>
        <v>8.4420190233436054E-2</v>
      </c>
      <c r="Q328" s="307">
        <f t="shared" si="105"/>
        <v>0.9</v>
      </c>
      <c r="R328" s="179">
        <f t="shared" si="106"/>
        <v>9.9531569237476525E-2</v>
      </c>
      <c r="S328" s="839">
        <f t="shared" si="107"/>
        <v>1</v>
      </c>
      <c r="T328" s="178">
        <f t="shared" si="108"/>
        <v>7</v>
      </c>
      <c r="U328" s="253">
        <f t="shared" si="109"/>
        <v>1.0995315692374765</v>
      </c>
      <c r="V328" s="385">
        <f t="shared" si="110"/>
        <v>19.225431595896698</v>
      </c>
      <c r="W328" s="404">
        <f t="shared" si="111"/>
        <v>16.654478157594291</v>
      </c>
      <c r="X328" s="157">
        <f t="shared" si="112"/>
        <v>45240</v>
      </c>
      <c r="Y328" s="387">
        <f t="shared" si="113"/>
        <v>15.231308313428375</v>
      </c>
      <c r="Z328" s="387">
        <f t="shared" si="114"/>
        <v>15.929897569927713</v>
      </c>
      <c r="AA328" s="388">
        <f t="shared" si="115"/>
        <v>19.19178423253717</v>
      </c>
      <c r="AB328" s="199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0.169962658139901</v>
      </c>
      <c r="AD328" s="233">
        <f>(INDEX(Models!$BJ328:$BT328,,AH328)*(1-AF328)+INDEX(Models!$BJ328:$BT328,,AH328+1)*AF328-ERP_i)*AE328*Ramure*Pc/MaxiM</f>
        <v>8.4420190233436054E-2</v>
      </c>
      <c r="AE328" s="307">
        <f t="shared" si="117"/>
        <v>0.9</v>
      </c>
      <c r="AF328" s="179">
        <f t="shared" si="118"/>
        <v>9.9531569237476525E-2</v>
      </c>
      <c r="AG328" s="839">
        <f t="shared" si="124"/>
        <v>1</v>
      </c>
      <c r="AH328" s="178">
        <f t="shared" si="119"/>
        <v>7</v>
      </c>
      <c r="AI328" s="227">
        <f t="shared" si="120"/>
        <v>1.0995315692374765</v>
      </c>
      <c r="AJ328" s="267" t="b">
        <f t="shared" si="121"/>
        <v>0</v>
      </c>
      <c r="AK328" s="267" t="b">
        <f t="shared" si="122"/>
        <v>0</v>
      </c>
      <c r="AL328" s="267"/>
      <c r="AM328" s="267"/>
      <c r="AN328" s="75"/>
    </row>
    <row r="329" spans="1:40" s="6" customFormat="1" ht="11.25" x14ac:dyDescent="0.2">
      <c r="A329" s="56">
        <f t="shared" si="123"/>
        <v>45241</v>
      </c>
      <c r="B329" s="413">
        <f>'2022'!Wh/'2022'!Env_an*'2023'!Env_an</f>
        <v>17.145575728108003</v>
      </c>
      <c r="C329" s="868"/>
      <c r="D329" s="395">
        <f t="shared" si="102"/>
        <v>17.932380838472536</v>
      </c>
      <c r="E329" s="387">
        <f t="shared" si="125"/>
        <v>19.75945033465608</v>
      </c>
      <c r="F329" s="387">
        <f t="shared" si="103"/>
        <v>21.346168471977439</v>
      </c>
      <c r="G329" s="110">
        <f t="shared" si="126"/>
        <v>0.892330481049881</v>
      </c>
      <c r="H329" s="416" t="b">
        <f>Wh_hp&gt;='2022'!Maxi_hp</f>
        <v>0</v>
      </c>
      <c r="I329" s="392">
        <f>IF(H329,Wh_hp,'2022'!Maxi_hp)</f>
        <v>21.412751227633198</v>
      </c>
      <c r="J329" s="85">
        <f>IF(H329,An,'2022'!An_max)</f>
        <v>2022</v>
      </c>
      <c r="K329" s="199">
        <f t="shared" si="104"/>
        <v>45241</v>
      </c>
      <c r="L329" s="147">
        <f>IF(t&lt;Tvie,1-EXP((T0-t)*PertePVj)+'2022'!Pspv,1-EXP((T0-t)*PertePVj)+Pspv)</f>
        <v>4.387622131448965E-2</v>
      </c>
      <c r="M329" s="872"/>
      <c r="N329" s="872"/>
      <c r="O329" s="48">
        <f>IF(t&lt;Tnet,'2022'!Resal+('2022'!Salim-'2022'!Resal)*(1-EXP(('2022'!Tnet-t)/('2022'!Tau_j))),Resal+(Salim-Resal)*(1-EXP((Tnet-t)/(Tau_j))))*Salcycl</f>
        <v>9.246560330572802E-2</v>
      </c>
      <c r="P329" s="171">
        <f>(INDEX(Models!$BJ329:$BT329,,T329)*(1-R329)+INDEX(Models!$BJ329:$BT329,,T329+1)*R329-ERP_i)*Q329*Ramure*Pc/MaxiM</f>
        <v>8.6163822225184872E-2</v>
      </c>
      <c r="Q329" s="307">
        <f t="shared" si="105"/>
        <v>0.9</v>
      </c>
      <c r="R329" s="179">
        <f t="shared" si="106"/>
        <v>9.9576411224650219E-2</v>
      </c>
      <c r="S329" s="839">
        <f t="shared" si="107"/>
        <v>1</v>
      </c>
      <c r="T329" s="178">
        <f t="shared" si="108"/>
        <v>7</v>
      </c>
      <c r="U329" s="253">
        <f t="shared" si="109"/>
        <v>1.0995764112246502</v>
      </c>
      <c r="V329" s="385">
        <f t="shared" si="110"/>
        <v>18.968795970363054</v>
      </c>
      <c r="W329" s="404">
        <f t="shared" si="111"/>
        <v>17.145575728108003</v>
      </c>
      <c r="X329" s="157">
        <f t="shared" si="112"/>
        <v>45241</v>
      </c>
      <c r="Y329" s="387">
        <f t="shared" si="113"/>
        <v>15.683311458623683</v>
      </c>
      <c r="Z329" s="387">
        <f t="shared" si="114"/>
        <v>16.403013718773185</v>
      </c>
      <c r="AA329" s="388">
        <f t="shared" si="115"/>
        <v>19.75945033465608</v>
      </c>
      <c r="AB329" s="199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0.16986487776919812</v>
      </c>
      <c r="AD329" s="233">
        <f>(INDEX(Models!$BJ329:$BT329,,AH329)*(1-AF329)+INDEX(Models!$BJ329:$BT329,,AH329+1)*AF329-ERP_i)*AE329*Ramure*Pc/MaxiM</f>
        <v>8.6163822225184872E-2</v>
      </c>
      <c r="AE329" s="307">
        <f t="shared" si="117"/>
        <v>0.9</v>
      </c>
      <c r="AF329" s="179">
        <f t="shared" si="118"/>
        <v>9.9576411224650219E-2</v>
      </c>
      <c r="AG329" s="839">
        <f t="shared" si="124"/>
        <v>1</v>
      </c>
      <c r="AH329" s="178">
        <f t="shared" si="119"/>
        <v>7</v>
      </c>
      <c r="AI329" s="227">
        <f t="shared" si="120"/>
        <v>1.0995764112246502</v>
      </c>
      <c r="AJ329" s="267" t="b">
        <f t="shared" si="121"/>
        <v>0</v>
      </c>
      <c r="AK329" s="267" t="b">
        <f t="shared" si="122"/>
        <v>0</v>
      </c>
      <c r="AL329" s="267"/>
      <c r="AM329" s="267"/>
      <c r="AN329" s="75"/>
    </row>
    <row r="330" spans="1:40" s="6" customFormat="1" ht="11.25" x14ac:dyDescent="0.2">
      <c r="A330" s="56">
        <f t="shared" si="123"/>
        <v>45242</v>
      </c>
      <c r="B330" s="413">
        <f>'2022'!Wh/'2022'!Env_an*'2023'!Env_an</f>
        <v>17.00026430809999</v>
      </c>
      <c r="C330" s="868"/>
      <c r="D330" s="395">
        <f t="shared" si="102"/>
        <v>17.780814908364494</v>
      </c>
      <c r="E330" s="387">
        <f t="shared" si="125"/>
        <v>19.593738983010027</v>
      </c>
      <c r="F330" s="387">
        <f t="shared" si="103"/>
        <v>21.211891280090143</v>
      </c>
      <c r="G330" s="110">
        <f t="shared" si="126"/>
        <v>0.89674188650363251</v>
      </c>
      <c r="H330" s="416" t="b">
        <f>Wh_hp&gt;='2022'!Maxi_hp</f>
        <v>0</v>
      </c>
      <c r="I330" s="392">
        <f>IF(H330,Wh_hp,'2022'!Maxi_hp)</f>
        <v>21.417505226128377</v>
      </c>
      <c r="J330" s="85">
        <f>IF(H330,An,'2022'!An_max)</f>
        <v>2018</v>
      </c>
      <c r="K330" s="199">
        <f t="shared" si="104"/>
        <v>45242</v>
      </c>
      <c r="L330" s="147">
        <f>IF(t&lt;Tvie,1-EXP((T0-t)*PertePVj)+'2022'!Pspv,1-EXP((T0-t)*PertePVj)+Pspv)</f>
        <v>4.389847171162653E-2</v>
      </c>
      <c r="M330" s="872"/>
      <c r="N330" s="872"/>
      <c r="O330" s="48">
        <f>IF(t&lt;Tnet,'2022'!Resal+('2022'!Salim-'2022'!Resal)*(1-EXP(('2022'!Tnet-t)/('2022'!Tau_j))),Resal+(Salim-Resal)*(1-EXP((Tnet-t)/(Tau_j))))*Salcycl</f>
        <v>9.2525682628391684E-2</v>
      </c>
      <c r="P330" s="171">
        <f>(INDEX(Models!$BJ330:$BT330,,T330)*(1-R330)+INDEX(Models!$BJ330:$BT330,,T330+1)*R330-ERP_i)*Q330*Ramure*Pc/MaxiM</f>
        <v>8.781696028186918E-2</v>
      </c>
      <c r="Q330" s="307">
        <f t="shared" si="105"/>
        <v>0.9</v>
      </c>
      <c r="R330" s="179">
        <f t="shared" si="106"/>
        <v>9.9619454045453359E-2</v>
      </c>
      <c r="S330" s="839">
        <f t="shared" si="107"/>
        <v>1</v>
      </c>
      <c r="T330" s="178">
        <f t="shared" si="108"/>
        <v>7</v>
      </c>
      <c r="U330" s="253">
        <f t="shared" si="109"/>
        <v>1.0996194540454534</v>
      </c>
      <c r="V330" s="385">
        <f t="shared" si="110"/>
        <v>18.721139734549048</v>
      </c>
      <c r="W330" s="404">
        <f t="shared" si="111"/>
        <v>17.00026430809999</v>
      </c>
      <c r="X330" s="157">
        <f t="shared" si="112"/>
        <v>45242</v>
      </c>
      <c r="Y330" s="387">
        <f t="shared" si="113"/>
        <v>15.553214602266674</v>
      </c>
      <c r="Z330" s="387">
        <f t="shared" si="114"/>
        <v>16.267325322772216</v>
      </c>
      <c r="AA330" s="388">
        <f t="shared" si="115"/>
        <v>19.593738983010027</v>
      </c>
      <c r="AB330" s="199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0.16976921368209424</v>
      </c>
      <c r="AD330" s="233">
        <f>(INDEX(Models!$BJ330:$BT330,,AH330)*(1-AF330)+INDEX(Models!$BJ330:$BT330,,AH330+1)*AF330-ERP_i)*AE330*Ramure*Pc/MaxiM</f>
        <v>8.781696028186918E-2</v>
      </c>
      <c r="AE330" s="307">
        <f t="shared" si="117"/>
        <v>0.9</v>
      </c>
      <c r="AF330" s="179">
        <f t="shared" si="118"/>
        <v>9.9619454045453359E-2</v>
      </c>
      <c r="AG330" s="839">
        <f t="shared" si="124"/>
        <v>1</v>
      </c>
      <c r="AH330" s="178">
        <f t="shared" si="119"/>
        <v>7</v>
      </c>
      <c r="AI330" s="227">
        <f t="shared" si="120"/>
        <v>1.0996194540454534</v>
      </c>
      <c r="AJ330" s="267" t="b">
        <f t="shared" si="121"/>
        <v>0</v>
      </c>
      <c r="AK330" s="267" t="b">
        <f t="shared" si="122"/>
        <v>0</v>
      </c>
      <c r="AL330" s="267"/>
      <c r="AM330" s="267"/>
      <c r="AN330" s="75"/>
    </row>
    <row r="331" spans="1:40" s="6" customFormat="1" ht="11.25" x14ac:dyDescent="0.2">
      <c r="A331" s="56">
        <f t="shared" si="123"/>
        <v>45243</v>
      </c>
      <c r="B331" s="413">
        <f>'2022'!Wh/'2022'!Env_an*'2023'!Env_an</f>
        <v>15.068790031967794</v>
      </c>
      <c r="C331" s="868"/>
      <c r="D331" s="395">
        <f t="shared" si="102"/>
        <v>15.761025651599752</v>
      </c>
      <c r="E331" s="387">
        <f t="shared" si="125"/>
        <v>17.36918089710397</v>
      </c>
      <c r="F331" s="387">
        <f t="shared" si="103"/>
        <v>18.592419063152391</v>
      </c>
      <c r="G331" s="110">
        <f t="shared" si="126"/>
        <v>0.79471939752819976</v>
      </c>
      <c r="H331" s="416" t="b">
        <f>Wh_hp&gt;='2022'!Maxi_hp</f>
        <v>0</v>
      </c>
      <c r="I331" s="392">
        <f>IF(H331,Wh_hp,'2022'!Maxi_hp)</f>
        <v>23.366158746660897</v>
      </c>
      <c r="J331" s="85">
        <f>IF(H331,An,'2022'!An_max)</f>
        <v>2020</v>
      </c>
      <c r="K331" s="199">
        <f t="shared" si="104"/>
        <v>45243</v>
      </c>
      <c r="L331" s="147">
        <f>IF(t&lt;Tvie,1-EXP((T0-t)*PertePVj)+'2022'!Pspv,1-EXP((T0-t)*PertePVj)+Pspv)</f>
        <v>4.3920721590964273E-2</v>
      </c>
      <c r="M331" s="872"/>
      <c r="N331" s="872"/>
      <c r="O331" s="48">
        <f>IF(t&lt;Tnet,'2022'!Resal+('2022'!Salim-'2022'!Resal)*(1-EXP(('2022'!Tnet-t)/('2022'!Tau_j))),Resal+(Salim-Resal)*(1-EXP((Tnet-t)/(Tau_j))))*Salcycl</f>
        <v>9.258670601860973E-2</v>
      </c>
      <c r="P331" s="171">
        <f>(INDEX(Models!$BJ331:$BT331,,T331)*(1-R331)+INDEX(Models!$BJ331:$BT331,,T331+1)*R331-ERP_i)*Q331*Ramure*Pc/MaxiM</f>
        <v>8.9374391736689179E-2</v>
      </c>
      <c r="Q331" s="307">
        <f t="shared" si="105"/>
        <v>0.9</v>
      </c>
      <c r="R331" s="179">
        <f t="shared" si="106"/>
        <v>9.9660769643521219E-2</v>
      </c>
      <c r="S331" s="839">
        <f t="shared" si="107"/>
        <v>1</v>
      </c>
      <c r="T331" s="178">
        <f t="shared" si="108"/>
        <v>7</v>
      </c>
      <c r="U331" s="253">
        <f t="shared" si="109"/>
        <v>1.0996607696435212</v>
      </c>
      <c r="V331" s="385">
        <f t="shared" si="110"/>
        <v>18.482511647514414</v>
      </c>
      <c r="W331" s="404">
        <f t="shared" si="111"/>
        <v>15.068790031967794</v>
      </c>
      <c r="X331" s="157">
        <f t="shared" si="112"/>
        <v>45243</v>
      </c>
      <c r="Y331" s="387">
        <f t="shared" si="113"/>
        <v>13.788622976477738</v>
      </c>
      <c r="Z331" s="387">
        <f t="shared" si="114"/>
        <v>14.422049810997581</v>
      </c>
      <c r="AA331" s="388">
        <f t="shared" si="115"/>
        <v>17.36918089710397</v>
      </c>
      <c r="AB331" s="199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0.16967588187176835</v>
      </c>
      <c r="AD331" s="233">
        <f>(INDEX(Models!$BJ331:$BT331,,AH331)*(1-AF331)+INDEX(Models!$BJ331:$BT331,,AH331+1)*AF331-ERP_i)*AE331*Ramure*Pc/MaxiM</f>
        <v>8.9374391736689179E-2</v>
      </c>
      <c r="AE331" s="307">
        <f t="shared" si="117"/>
        <v>0.9</v>
      </c>
      <c r="AF331" s="179">
        <f t="shared" si="118"/>
        <v>9.9660769643521219E-2</v>
      </c>
      <c r="AG331" s="839">
        <f t="shared" si="124"/>
        <v>1</v>
      </c>
      <c r="AH331" s="178">
        <f t="shared" si="119"/>
        <v>7</v>
      </c>
      <c r="AI331" s="227">
        <f t="shared" si="120"/>
        <v>1.0996607696435212</v>
      </c>
      <c r="AJ331" s="267" t="b">
        <f t="shared" si="121"/>
        <v>0</v>
      </c>
      <c r="AK331" s="267" t="b">
        <f t="shared" si="122"/>
        <v>0</v>
      </c>
      <c r="AL331" s="267"/>
      <c r="AM331" s="267"/>
      <c r="AN331" s="75"/>
    </row>
    <row r="332" spans="1:40" s="6" customFormat="1" ht="11.25" x14ac:dyDescent="0.2">
      <c r="A332" s="56">
        <f t="shared" si="123"/>
        <v>45244</v>
      </c>
      <c r="B332" s="413">
        <f>'2022'!Wh/'2022'!Env_an*'2023'!Env_an</f>
        <v>8.690284285992405</v>
      </c>
      <c r="C332" s="868"/>
      <c r="D332" s="395">
        <f t="shared" si="102"/>
        <v>9.0897132932022799</v>
      </c>
      <c r="E332" s="387">
        <f t="shared" si="125"/>
        <v>10.017855505790758</v>
      </c>
      <c r="F332" s="387">
        <f t="shared" si="103"/>
        <v>10.252238636778044</v>
      </c>
      <c r="G332" s="110">
        <f t="shared" si="126"/>
        <v>0.44299528705462143</v>
      </c>
      <c r="H332" s="416" t="b">
        <f>Wh_hp&gt;='2022'!Maxi_hp</f>
        <v>0</v>
      </c>
      <c r="I332" s="392">
        <f>IF(H332,Wh_hp,'2022'!Maxi_hp)</f>
        <v>17.041501964262778</v>
      </c>
      <c r="J332" s="85">
        <f>IF(H332,An,'2022'!An_max)</f>
        <v>2020</v>
      </c>
      <c r="K332" s="199">
        <f t="shared" si="104"/>
        <v>45244</v>
      </c>
      <c r="L332" s="147">
        <f>IF(t&lt;Tvie,1-EXP((T0-t)*PertePVj)+'2022'!Pspv,1-EXP((T0-t)*PertePVj)+Pspv)</f>
        <v>4.3942970952514759E-2</v>
      </c>
      <c r="M332" s="872"/>
      <c r="N332" s="872"/>
      <c r="O332" s="48">
        <f>IF(t&lt;Tnet,'2022'!Resal+('2022'!Salim-'2022'!Resal)*(1-EXP(('2022'!Tnet-t)/('2022'!Tau_j))),Resal+(Salim-Resal)*(1-EXP((Tnet-t)/(Tau_j))))*Salcycl</f>
        <v>9.2648792154365986E-2</v>
      </c>
      <c r="P332" s="171">
        <f>(INDEX(Models!$BJ332:$BT332,,T332)*(1-R332)+INDEX(Models!$BJ332:$BT332,,T332+1)*R332-ERP_i)*Q332*Ramure*Pc/MaxiM</f>
        <v>9.0860448960954951E-2</v>
      </c>
      <c r="Q332" s="307">
        <f t="shared" si="105"/>
        <v>0.9</v>
      </c>
      <c r="R332" s="179">
        <f t="shared" si="106"/>
        <v>9.9700427104822964E-2</v>
      </c>
      <c r="S332" s="839">
        <f t="shared" si="107"/>
        <v>1</v>
      </c>
      <c r="T332" s="178">
        <f t="shared" si="108"/>
        <v>7</v>
      </c>
      <c r="U332" s="253">
        <f t="shared" si="109"/>
        <v>1.099700427104823</v>
      </c>
      <c r="V332" s="385">
        <f t="shared" si="110"/>
        <v>18.251954304118122</v>
      </c>
      <c r="W332" s="404">
        <f t="shared" si="111"/>
        <v>8.690284285992405</v>
      </c>
      <c r="X332" s="157">
        <f t="shared" si="112"/>
        <v>45244</v>
      </c>
      <c r="Y332" s="387">
        <f t="shared" si="113"/>
        <v>7.9534160356082539</v>
      </c>
      <c r="Z332" s="387">
        <f t="shared" si="114"/>
        <v>8.3189765819013974</v>
      </c>
      <c r="AA332" s="388">
        <f t="shared" si="115"/>
        <v>10.017855505790758</v>
      </c>
      <c r="AB332" s="199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0.16958508963393762</v>
      </c>
      <c r="AD332" s="233">
        <f>(INDEX(Models!$BJ332:$BT332,,AH332)*(1-AF332)+INDEX(Models!$BJ332:$BT332,,AH332+1)*AF332-ERP_i)*AE332*Ramure*Pc/MaxiM</f>
        <v>9.0860448960954951E-2</v>
      </c>
      <c r="AE332" s="307">
        <f t="shared" si="117"/>
        <v>0.9</v>
      </c>
      <c r="AF332" s="179">
        <f t="shared" si="118"/>
        <v>9.9700427104822964E-2</v>
      </c>
      <c r="AG332" s="839">
        <f t="shared" si="124"/>
        <v>1</v>
      </c>
      <c r="AH332" s="178">
        <f t="shared" si="119"/>
        <v>7</v>
      </c>
      <c r="AI332" s="227">
        <f t="shared" si="120"/>
        <v>1.099700427104823</v>
      </c>
      <c r="AJ332" s="267" t="b">
        <f t="shared" si="121"/>
        <v>0</v>
      </c>
      <c r="AK332" s="267" t="b">
        <f t="shared" si="122"/>
        <v>0</v>
      </c>
      <c r="AL332" s="267"/>
      <c r="AM332" s="267"/>
      <c r="AN332" s="75"/>
    </row>
    <row r="333" spans="1:40" s="6" customFormat="1" ht="11.25" x14ac:dyDescent="0.2">
      <c r="A333" s="56">
        <f t="shared" si="123"/>
        <v>45245</v>
      </c>
      <c r="B333" s="413">
        <f>'2022'!Wh/'2022'!Env_an*'2023'!Env_an</f>
        <v>10.579528640760943</v>
      </c>
      <c r="C333" s="868"/>
      <c r="D333" s="395">
        <f t="shared" si="102"/>
        <v>11.066049959507415</v>
      </c>
      <c r="E333" s="387">
        <f t="shared" si="125"/>
        <v>12.196844474920951</v>
      </c>
      <c r="F333" s="387">
        <f t="shared" si="103"/>
        <v>12.676462110647371</v>
      </c>
      <c r="G333" s="110">
        <f t="shared" si="126"/>
        <v>0.55360054404320858</v>
      </c>
      <c r="H333" s="416" t="b">
        <f>Wh_hp&gt;='2022'!Maxi_hp</f>
        <v>0</v>
      </c>
      <c r="I333" s="392">
        <f>IF(H333,Wh_hp,'2022'!Maxi_hp)</f>
        <v>21.801305387637619</v>
      </c>
      <c r="J333" s="85">
        <f>IF(H333,An,'2022'!An_max)</f>
        <v>2020</v>
      </c>
      <c r="K333" s="199">
        <f t="shared" si="104"/>
        <v>45245</v>
      </c>
      <c r="L333" s="147">
        <f>IF(t&lt;Tvie,1-EXP((T0-t)*PertePVj)+'2022'!Pspv,1-EXP((T0-t)*PertePVj)+Pspv)</f>
        <v>4.39652197962902E-2</v>
      </c>
      <c r="M333" s="872"/>
      <c r="N333" s="872"/>
      <c r="O333" s="48">
        <f>IF(t&lt;Tnet,'2022'!Resal+('2022'!Salim-'2022'!Resal)*(1-EXP(('2022'!Tnet-t)/('2022'!Tau_j))),Resal+(Salim-Resal)*(1-EXP((Tnet-t)/(Tau_j))))*Salcycl</f>
        <v>9.2712054969518148E-2</v>
      </c>
      <c r="P333" s="171">
        <f>(INDEX(Models!$BJ333:$BT333,,T333)*(1-R333)+INDEX(Models!$BJ333:$BT333,,T333+1)*R333-ERP_i)*Q333*Ramure*Pc/MaxiM</f>
        <v>9.2332845410741632E-2</v>
      </c>
      <c r="Q333" s="307">
        <f t="shared" si="105"/>
        <v>0.9</v>
      </c>
      <c r="R333" s="179">
        <f t="shared" si="106"/>
        <v>9.9738492769660958E-2</v>
      </c>
      <c r="S333" s="839">
        <f t="shared" si="107"/>
        <v>1</v>
      </c>
      <c r="T333" s="178">
        <f t="shared" si="108"/>
        <v>7</v>
      </c>
      <c r="U333" s="253">
        <f t="shared" si="109"/>
        <v>1.099738492769661</v>
      </c>
      <c r="V333" s="385">
        <f t="shared" si="110"/>
        <v>18.027977487614105</v>
      </c>
      <c r="W333" s="404">
        <f t="shared" si="111"/>
        <v>10.579528640760943</v>
      </c>
      <c r="X333" s="157">
        <f t="shared" si="112"/>
        <v>45245</v>
      </c>
      <c r="Y333" s="387">
        <f t="shared" si="113"/>
        <v>9.6841691289892857</v>
      </c>
      <c r="Z333" s="387">
        <f t="shared" si="114"/>
        <v>10.129515504577986</v>
      </c>
      <c r="AA333" s="388">
        <f t="shared" si="115"/>
        <v>12.196844474920951</v>
      </c>
      <c r="AB333" s="199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0.16949703463004631</v>
      </c>
      <c r="AD333" s="233">
        <f>(INDEX(Models!$BJ333:$BT333,,AH333)*(1-AF333)+INDEX(Models!$BJ333:$BT333,,AH333+1)*AF333-ERP_i)*AE333*Ramure*Pc/MaxiM</f>
        <v>9.2332845410741632E-2</v>
      </c>
      <c r="AE333" s="307">
        <f t="shared" si="117"/>
        <v>0.9</v>
      </c>
      <c r="AF333" s="179">
        <f t="shared" si="118"/>
        <v>9.9738492769660958E-2</v>
      </c>
      <c r="AG333" s="839">
        <f t="shared" si="124"/>
        <v>1</v>
      </c>
      <c r="AH333" s="178">
        <f t="shared" si="119"/>
        <v>7</v>
      </c>
      <c r="AI333" s="227">
        <f t="shared" si="120"/>
        <v>1.099738492769661</v>
      </c>
      <c r="AJ333" s="267" t="b">
        <f t="shared" si="121"/>
        <v>0</v>
      </c>
      <c r="AK333" s="267" t="b">
        <f t="shared" si="122"/>
        <v>0</v>
      </c>
      <c r="AL333" s="267"/>
      <c r="AM333" s="267"/>
      <c r="AN333" s="75"/>
    </row>
    <row r="334" spans="1:40" s="6" customFormat="1" ht="11.25" x14ac:dyDescent="0.2">
      <c r="A334" s="56">
        <f t="shared" si="123"/>
        <v>45246</v>
      </c>
      <c r="B334" s="413">
        <f>'2022'!Wh/'2022'!Env_an*'2023'!Env_an</f>
        <v>16.564091010661201</v>
      </c>
      <c r="C334" s="868"/>
      <c r="D334" s="395">
        <f t="shared" si="102"/>
        <v>17.326227908464531</v>
      </c>
      <c r="E334" s="387">
        <f t="shared" si="125"/>
        <v>19.098083193614482</v>
      </c>
      <c r="F334" s="387">
        <f t="shared" si="103"/>
        <v>20.858905073795782</v>
      </c>
      <c r="G334" s="110">
        <f t="shared" si="126"/>
        <v>0.92050622487745759</v>
      </c>
      <c r="H334" s="416" t="b">
        <f>Wh_hp&gt;='2022'!Maxi_hp</f>
        <v>0</v>
      </c>
      <c r="I334" s="392">
        <f>IF(H334,Wh_hp,'2022'!Maxi_hp)</f>
        <v>20.909527532207395</v>
      </c>
      <c r="J334" s="85">
        <f>IF(H334,An,'2022'!An_max)</f>
        <v>2022</v>
      </c>
      <c r="K334" s="199">
        <f t="shared" si="104"/>
        <v>45246</v>
      </c>
      <c r="L334" s="147">
        <f>IF(t&lt;Tvie,1-EXP((T0-t)*PertePVj)+'2022'!Pspv,1-EXP((T0-t)*PertePVj)+Pspv)</f>
        <v>4.3987468122302364E-2</v>
      </c>
      <c r="M334" s="872"/>
      <c r="N334" s="872"/>
      <c r="O334" s="48">
        <f>IF(t&lt;Tnet,'2022'!Resal+('2022'!Salim-'2022'!Resal)*(1-EXP(('2022'!Tnet-t)/('2022'!Tau_j))),Resal+(Salim-Resal)*(1-EXP((Tnet-t)/(Tau_j))))*Salcycl</f>
        <v>9.2776603137972424E-2</v>
      </c>
      <c r="P334" s="171">
        <f>(INDEX(Models!$BJ334:$BT334,,T334)*(1-R334)+INDEX(Models!$BJ334:$BT334,,T334+1)*R334-ERP_i)*Q334*Ramure*Pc/MaxiM</f>
        <v>9.3791008188645927E-2</v>
      </c>
      <c r="Q334" s="307">
        <f t="shared" si="105"/>
        <v>0.9</v>
      </c>
      <c r="R334" s="179">
        <f t="shared" si="106"/>
        <v>9.9775030340397475E-2</v>
      </c>
      <c r="S334" s="839">
        <f t="shared" si="107"/>
        <v>1</v>
      </c>
      <c r="T334" s="178">
        <f t="shared" si="108"/>
        <v>7</v>
      </c>
      <c r="U334" s="253">
        <f t="shared" si="109"/>
        <v>1.0997750303403975</v>
      </c>
      <c r="V334" s="385">
        <f t="shared" si="110"/>
        <v>17.810289231377098</v>
      </c>
      <c r="W334" s="404">
        <f t="shared" si="111"/>
        <v>16.564091010661201</v>
      </c>
      <c r="X334" s="157">
        <f t="shared" si="112"/>
        <v>45246</v>
      </c>
      <c r="Y334" s="387">
        <f t="shared" si="113"/>
        <v>15.164883161060834</v>
      </c>
      <c r="Z334" s="387">
        <f t="shared" si="114"/>
        <v>15.862640556892691</v>
      </c>
      <c r="AA334" s="388">
        <f t="shared" si="115"/>
        <v>19.098083193614482</v>
      </c>
      <c r="AB334" s="199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0.1694119040073914</v>
      </c>
      <c r="AD334" s="233">
        <f>(INDEX(Models!$BJ334:$BT334,,AH334)*(1-AF334)+INDEX(Models!$BJ334:$BT334,,AH334+1)*AF334-ERP_i)*AE334*Ramure*Pc/MaxiM</f>
        <v>9.3791008188645927E-2</v>
      </c>
      <c r="AE334" s="307">
        <f t="shared" si="117"/>
        <v>0.9</v>
      </c>
      <c r="AF334" s="179">
        <f t="shared" si="118"/>
        <v>9.9775030340397475E-2</v>
      </c>
      <c r="AG334" s="839">
        <f t="shared" si="124"/>
        <v>1</v>
      </c>
      <c r="AH334" s="178">
        <f t="shared" si="119"/>
        <v>7</v>
      </c>
      <c r="AI334" s="227">
        <f t="shared" si="120"/>
        <v>1.0997750303403975</v>
      </c>
      <c r="AJ334" s="267" t="b">
        <f t="shared" si="121"/>
        <v>0</v>
      </c>
      <c r="AK334" s="267" t="b">
        <f t="shared" si="122"/>
        <v>0</v>
      </c>
      <c r="AL334" s="267"/>
      <c r="AM334" s="267"/>
      <c r="AN334" s="75"/>
    </row>
    <row r="335" spans="1:40" s="6" customFormat="1" ht="11.25" x14ac:dyDescent="0.2">
      <c r="A335" s="56">
        <f t="shared" si="123"/>
        <v>45247</v>
      </c>
      <c r="B335" s="413">
        <f>'2022'!Wh/'2022'!Env_an*'2023'!Env_an</f>
        <v>10.865120235739713</v>
      </c>
      <c r="C335" s="868"/>
      <c r="D335" s="395">
        <f t="shared" ref="D335:D379" si="127">Wh/(1-Ppv)</f>
        <v>11.36530403791274</v>
      </c>
      <c r="E335" s="387">
        <f t="shared" si="125"/>
        <v>12.528479931991406</v>
      </c>
      <c r="F335" s="387">
        <f t="shared" ref="F335:F379" si="128">Wh_sa/(1-Pvg*MEDIAN((-Sdif+Wh/Env_an)/Csdif,0,1))</f>
        <v>13.093874177379645</v>
      </c>
      <c r="G335" s="110">
        <f t="shared" si="126"/>
        <v>0.58379760058343755</v>
      </c>
      <c r="H335" s="416" t="b">
        <f>Wh_hp&gt;='2022'!Maxi_hp</f>
        <v>0</v>
      </c>
      <c r="I335" s="392">
        <f>IF(H335,Wh_hp,'2022'!Maxi_hp)</f>
        <v>21.918634591687038</v>
      </c>
      <c r="J335" s="85">
        <f>IF(H335,An,'2022'!An_max)</f>
        <v>2018</v>
      </c>
      <c r="K335" s="199">
        <f t="shared" ref="K335:K379" si="129">t</f>
        <v>45247</v>
      </c>
      <c r="L335" s="147">
        <f>IF(t&lt;Tvie,1-EXP((T0-t)*PertePVj)+'2022'!Pspv,1-EXP((T0-t)*PertePVj)+Pspv)</f>
        <v>4.4009715930563575E-2</v>
      </c>
      <c r="M335" s="872"/>
      <c r="N335" s="872"/>
      <c r="O335" s="48">
        <f>IF(t&lt;Tnet,'2022'!Resal+('2022'!Salim-'2022'!Resal)*(1-EXP(('2022'!Tnet-t)/('2022'!Tau_j))),Resal+(Salim-Resal)*(1-EXP((Tnet-t)/(Tau_j))))*Salcycl</f>
        <v>9.2842539589220521E-2</v>
      </c>
      <c r="P335" s="171">
        <f>(INDEX(Models!$BJ335:$BT335,,T335)*(1-R335)+INDEX(Models!$BJ335:$BT335,,T335+1)*R335-ERP_i)*Q335*Ramure*Pc/MaxiM</f>
        <v>9.5234453229206165E-2</v>
      </c>
      <c r="Q335" s="307">
        <f t="shared" ref="Q335:Q379" si="130">IF(OR(t&lt;Ttai,Notai),Dd+PousD*Croivg,Dens+PousD*(Croivg-Croi_tai))</f>
        <v>0.9</v>
      </c>
      <c r="R335" s="179">
        <f t="shared" ref="R335:R379" si="131">(Hp_vg-S335)/(INDEX(Echel_vg,T335+1)-S335)</f>
        <v>9.9810100985066486E-2</v>
      </c>
      <c r="S335" s="839">
        <f t="shared" ref="S335:S379" si="132">INDEX(Echel_vg,T335)</f>
        <v>1</v>
      </c>
      <c r="T335" s="178">
        <f t="shared" ref="T335:T379" si="133">MIN(MATCH(Hp_vg,Echel_vg),10)</f>
        <v>7</v>
      </c>
      <c r="U335" s="253">
        <f t="shared" ref="U335:U379" si="134">IF(OR(t&lt;Ttai,Notai),Hdd+PousH*Croivg,Hdtf+PousH*(Croivg-Croi_tai))</f>
        <v>1.0998101009850665</v>
      </c>
      <c r="V335" s="385">
        <f t="shared" ref="V335:V379" si="135">MaxiM*(1-Ppv)*(1-Pvg)*(1-Psa)</f>
        <v>17.598597843602963</v>
      </c>
      <c r="W335" s="404">
        <f t="shared" ref="W335:W379" si="136">Wh*(A335&gt;Tmaj)</f>
        <v>10.865120235739713</v>
      </c>
      <c r="X335" s="157">
        <f t="shared" ref="X335:X379" si="137">t</f>
        <v>45247</v>
      </c>
      <c r="Y335" s="387">
        <f t="shared" ref="Y335:Y379" si="138">Wh_pvt_s*(1-Ppv)</f>
        <v>9.9490233985148091</v>
      </c>
      <c r="Z335" s="387">
        <f t="shared" ref="Z335:Z379" si="139">Wh_sa_s*(1-Psa_s)</f>
        <v>10.407034008927418</v>
      </c>
      <c r="AA335" s="388">
        <f t="shared" ref="AA335:AA379" si="140">Wh_hp*(1-Pvg_s*MEDIAN((-Sdif+Wh/Env_an)/Csdif,0,1))</f>
        <v>12.528479931991406</v>
      </c>
      <c r="AB335" s="199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0.16932987358241985</v>
      </c>
      <c r="AD335" s="233">
        <f>(INDEX(Models!$BJ335:$BT335,,AH335)*(1-AF335)+INDEX(Models!$BJ335:$BT335,,AH335+1)*AF335-ERP_i)*AE335*Ramure*Pc/MaxiM</f>
        <v>9.5234453229206165E-2</v>
      </c>
      <c r="AE335" s="307">
        <f t="shared" ref="AE335:AE379" si="142">IF(OR(t&lt;Ttai,Notai),Dd_s+PousD*Croivg,Dens_s+PousD*(Croivg-Croi_tai))</f>
        <v>0.9</v>
      </c>
      <c r="AF335" s="179">
        <f t="shared" ref="AF335:AF379" si="143">(Hp_vg_s-AG335)/(INDEX(Echel_vg,AH335+1)-AG335)</f>
        <v>9.9810100985066486E-2</v>
      </c>
      <c r="AG335" s="839">
        <f t="shared" si="124"/>
        <v>1</v>
      </c>
      <c r="AH335" s="178">
        <f t="shared" ref="AH335:AH379" si="144">MIN(MATCH(Hp_vg_s,Echel_vg),10)</f>
        <v>7</v>
      </c>
      <c r="AI335" s="227">
        <f t="shared" ref="AI335:AI379" si="145">IF(OR(t&lt;Ttai,Notai),Hdd_s+PousH*Croivg,Hdtai_s+PousH*(Croivg-Croi_tai))</f>
        <v>1.0998101009850665</v>
      </c>
      <c r="AJ335" s="267" t="b">
        <f t="shared" ref="AJ335:AJ380" si="146">t&lt;Tnet</f>
        <v>0</v>
      </c>
      <c r="AK335" s="267" t="b">
        <f t="shared" ref="AK335:AK380" si="147">t&lt;Ttai</f>
        <v>0</v>
      </c>
      <c r="AL335" s="267"/>
      <c r="AM335" s="267"/>
      <c r="AN335" s="75"/>
    </row>
    <row r="336" spans="1:40" s="6" customFormat="1" ht="11.25" x14ac:dyDescent="0.2">
      <c r="A336" s="56">
        <f t="shared" ref="A336:A379" si="148">A335+1</f>
        <v>45248</v>
      </c>
      <c r="B336" s="413">
        <f>'2022'!Wh/'2022'!Env_an*'2023'!Env_an</f>
        <v>10.268708262007936</v>
      </c>
      <c r="C336" s="868"/>
      <c r="D336" s="395">
        <f t="shared" si="127"/>
        <v>10.741685774984514</v>
      </c>
      <c r="E336" s="387">
        <f t="shared" si="125"/>
        <v>11.84191790654168</v>
      </c>
      <c r="F336" s="387">
        <f t="shared" si="128"/>
        <v>12.336643508414488</v>
      </c>
      <c r="G336" s="110">
        <f t="shared" si="126"/>
        <v>0.55561745190921441</v>
      </c>
      <c r="H336" s="416" t="b">
        <f>Wh_hp&gt;='2022'!Maxi_hp</f>
        <v>0</v>
      </c>
      <c r="I336" s="392">
        <f>IF(H336,Wh_hp,'2022'!Maxi_hp)</f>
        <v>20.767759562159952</v>
      </c>
      <c r="J336" s="85">
        <f>IF(H336,An,'2022'!An_max)</f>
        <v>2020</v>
      </c>
      <c r="K336" s="199">
        <f t="shared" si="129"/>
        <v>45248</v>
      </c>
      <c r="L336" s="147">
        <f>IF(t&lt;Tvie,1-EXP((T0-t)*PertePVj)+'2022'!Pspv,1-EXP((T0-t)*PertePVj)+Pspv)</f>
        <v>4.4031963221085824E-2</v>
      </c>
      <c r="M336" s="872"/>
      <c r="N336" s="872"/>
      <c r="O336" s="48">
        <f>IF(t&lt;Tnet,'2022'!Resal+('2022'!Salim-'2022'!Resal)*(1-EXP(('2022'!Tnet-t)/('2022'!Tau_j))),Resal+(Salim-Resal)*(1-EXP((Tnet-t)/(Tau_j))))*Salcycl</f>
        <v>9.2909961058704721E-2</v>
      </c>
      <c r="P336" s="171">
        <f>(INDEX(Models!$BJ336:$BT336,,T336)*(1-R336)+INDEX(Models!$BJ336:$BT336,,T336+1)*R336-ERP_i)*Q336*Ramure*Pc/MaxiM</f>
        <v>9.6662789458571069E-2</v>
      </c>
      <c r="Q336" s="307">
        <f t="shared" si="130"/>
        <v>0.9</v>
      </c>
      <c r="R336" s="179">
        <f t="shared" si="131"/>
        <v>9.9843763437017508E-2</v>
      </c>
      <c r="S336" s="839">
        <f t="shared" si="132"/>
        <v>1</v>
      </c>
      <c r="T336" s="178">
        <f t="shared" si="133"/>
        <v>7</v>
      </c>
      <c r="U336" s="253">
        <f t="shared" si="134"/>
        <v>1.0998437634370175</v>
      </c>
      <c r="V336" s="385">
        <f t="shared" si="135"/>
        <v>17.392611908323769</v>
      </c>
      <c r="W336" s="404">
        <f t="shared" si="136"/>
        <v>10.268708262007936</v>
      </c>
      <c r="X336" s="157">
        <f t="shared" si="137"/>
        <v>45248</v>
      </c>
      <c r="Y336" s="387">
        <f t="shared" si="138"/>
        <v>9.4044886990548022</v>
      </c>
      <c r="Z336" s="387">
        <f t="shared" si="139"/>
        <v>9.8376601907556971</v>
      </c>
      <c r="AA336" s="388">
        <f t="shared" si="140"/>
        <v>11.84191790654168</v>
      </c>
      <c r="AB336" s="199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0.16925110709294783</v>
      </c>
      <c r="AD336" s="233">
        <f>(INDEX(Models!$BJ336:$BT336,,AH336)*(1-AF336)+INDEX(Models!$BJ336:$BT336,,AH336+1)*AF336-ERP_i)*AE336*Ramure*Pc/MaxiM</f>
        <v>9.6662789458571069E-2</v>
      </c>
      <c r="AE336" s="307">
        <f t="shared" si="142"/>
        <v>0.9</v>
      </c>
      <c r="AF336" s="179">
        <f t="shared" si="143"/>
        <v>9.9843763437017508E-2</v>
      </c>
      <c r="AG336" s="839">
        <f t="shared" ref="AG336:AG379" si="149">INDEX(Echel_vg,AH336)</f>
        <v>1</v>
      </c>
      <c r="AH336" s="178">
        <f t="shared" si="144"/>
        <v>7</v>
      </c>
      <c r="AI336" s="227">
        <f t="shared" si="145"/>
        <v>1.0998437634370175</v>
      </c>
      <c r="AJ336" s="267" t="b">
        <f t="shared" si="146"/>
        <v>0</v>
      </c>
      <c r="AK336" s="267" t="b">
        <f t="shared" si="147"/>
        <v>0</v>
      </c>
      <c r="AL336" s="267"/>
      <c r="AM336" s="267"/>
      <c r="AN336" s="75"/>
    </row>
    <row r="337" spans="1:40" s="6" customFormat="1" ht="11.25" x14ac:dyDescent="0.2">
      <c r="A337" s="56">
        <f t="shared" si="148"/>
        <v>45249</v>
      </c>
      <c r="B337" s="413">
        <f>'2022'!Wh/'2022'!Env_an*'2023'!Env_an</f>
        <v>7.5462363650176458</v>
      </c>
      <c r="C337" s="868"/>
      <c r="D337" s="395">
        <f t="shared" si="127"/>
        <v>7.8940003124751907</v>
      </c>
      <c r="E337" s="387">
        <f t="shared" si="125"/>
        <v>8.7032162917089249</v>
      </c>
      <c r="F337" s="387">
        <f t="shared" si="128"/>
        <v>8.8759993521121423</v>
      </c>
      <c r="G337" s="110">
        <f t="shared" si="126"/>
        <v>0.40374815103113926</v>
      </c>
      <c r="H337" s="416" t="b">
        <f>Wh_hp&gt;='2022'!Maxi_hp</f>
        <v>0</v>
      </c>
      <c r="I337" s="392">
        <f>IF(H337,Wh_hp,'2022'!Maxi_hp)</f>
        <v>21.77433778544162</v>
      </c>
      <c r="J337" s="85">
        <f>IF(H337,An,'2022'!An_max)</f>
        <v>2021</v>
      </c>
      <c r="K337" s="199">
        <f t="shared" si="129"/>
        <v>45249</v>
      </c>
      <c r="L337" s="147">
        <f>IF(t&lt;Tvie,1-EXP((T0-t)*PertePVj)+'2022'!Pspv,1-EXP((T0-t)*PertePVj)+Pspv)</f>
        <v>4.4054209993881099E-2</v>
      </c>
      <c r="M337" s="872"/>
      <c r="N337" s="872"/>
      <c r="O337" s="48">
        <f>IF(t&lt;Tnet,'2022'!Resal+('2022'!Salim-'2022'!Resal)*(1-EXP(('2022'!Tnet-t)/('2022'!Tau_j))),Resal+(Salim-Resal)*(1-EXP((Tnet-t)/(Tau_j))))*Salcycl</f>
        <v>9.2978957676213309E-2</v>
      </c>
      <c r="P337" s="171">
        <f>(INDEX(Models!$BJ337:$BT337,,T337)*(1-R337)+INDEX(Models!$BJ337:$BT337,,T337+1)*R337-ERP_i)*Q337*Ramure*Pc/MaxiM</f>
        <v>9.8075722732452936E-2</v>
      </c>
      <c r="Q337" s="307">
        <f t="shared" si="130"/>
        <v>0.9</v>
      </c>
      <c r="R337" s="179">
        <f t="shared" si="131"/>
        <v>9.9876074090734068E-2</v>
      </c>
      <c r="S337" s="839">
        <f t="shared" si="132"/>
        <v>1</v>
      </c>
      <c r="T337" s="178">
        <f t="shared" si="133"/>
        <v>7</v>
      </c>
      <c r="U337" s="253">
        <f t="shared" si="134"/>
        <v>1.0998760740907341</v>
      </c>
      <c r="V337" s="385">
        <f t="shared" si="135"/>
        <v>17.192040274906134</v>
      </c>
      <c r="W337" s="404">
        <f t="shared" si="136"/>
        <v>7.5462363650176458</v>
      </c>
      <c r="X337" s="157">
        <f t="shared" si="137"/>
        <v>45249</v>
      </c>
      <c r="Y337" s="387">
        <f t="shared" si="138"/>
        <v>6.9122940197026583</v>
      </c>
      <c r="Z337" s="387">
        <f t="shared" si="139"/>
        <v>7.2308431000657611</v>
      </c>
      <c r="AA337" s="388">
        <f t="shared" si="140"/>
        <v>8.7032162917089249</v>
      </c>
      <c r="AB337" s="199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0.16917575552451944</v>
      </c>
      <c r="AD337" s="233">
        <f>(INDEX(Models!$BJ337:$BT337,,AH337)*(1-AF337)+INDEX(Models!$BJ337:$BT337,,AH337+1)*AF337-ERP_i)*AE337*Ramure*Pc/MaxiM</f>
        <v>9.8075722732452936E-2</v>
      </c>
      <c r="AE337" s="307">
        <f t="shared" si="142"/>
        <v>0.9</v>
      </c>
      <c r="AF337" s="179">
        <f t="shared" si="143"/>
        <v>9.9876074090734068E-2</v>
      </c>
      <c r="AG337" s="839">
        <f t="shared" si="149"/>
        <v>1</v>
      </c>
      <c r="AH337" s="178">
        <f t="shared" si="144"/>
        <v>7</v>
      </c>
      <c r="AI337" s="227">
        <f t="shared" si="145"/>
        <v>1.0998760740907341</v>
      </c>
      <c r="AJ337" s="267" t="b">
        <f t="shared" si="146"/>
        <v>0</v>
      </c>
      <c r="AK337" s="267" t="b">
        <f t="shared" si="147"/>
        <v>0</v>
      </c>
      <c r="AL337" s="267"/>
      <c r="AM337" s="267"/>
      <c r="AN337" s="75"/>
    </row>
    <row r="338" spans="1:40" s="6" customFormat="1" ht="11.25" x14ac:dyDescent="0.2">
      <c r="A338" s="56">
        <f t="shared" si="148"/>
        <v>45250</v>
      </c>
      <c r="B338" s="413">
        <f>'2022'!Wh/'2022'!Env_an*'2023'!Env_an</f>
        <v>12.327440860840351</v>
      </c>
      <c r="C338" s="868"/>
      <c r="D338" s="395">
        <f t="shared" si="127"/>
        <v>12.895843963072135</v>
      </c>
      <c r="E338" s="387">
        <f t="shared" si="125"/>
        <v>14.218907827994025</v>
      </c>
      <c r="F338" s="387">
        <f t="shared" si="128"/>
        <v>15.134102890296717</v>
      </c>
      <c r="G338" s="110">
        <f t="shared" si="126"/>
        <v>0.69518153786287817</v>
      </c>
      <c r="H338" s="416" t="b">
        <f>Wh_hp&gt;='2022'!Maxi_hp</f>
        <v>0</v>
      </c>
      <c r="I338" s="392">
        <f>IF(H338,Wh_hp,'2022'!Maxi_hp)</f>
        <v>22.468091458324675</v>
      </c>
      <c r="J338" s="85">
        <f>IF(H338,An,'2022'!An_max)</f>
        <v>2019</v>
      </c>
      <c r="K338" s="199">
        <f t="shared" si="129"/>
        <v>45250</v>
      </c>
      <c r="L338" s="147">
        <f>IF(t&lt;Tvie,1-EXP((T0-t)*PertePVj)+'2022'!Pspv,1-EXP((T0-t)*PertePVj)+Pspv)</f>
        <v>4.4076456248961504E-2</v>
      </c>
      <c r="M338" s="872"/>
      <c r="N338" s="872"/>
      <c r="O338" s="48">
        <f>IF(t&lt;Tnet,'2022'!Resal+('2022'!Salim-'2022'!Resal)*(1-EXP(('2022'!Tnet-t)/('2022'!Tau_j))),Resal+(Salim-Resal)*(1-EXP((Tnet-t)/(Tau_j))))*Salcycl</f>
        <v>9.3049612595213285E-2</v>
      </c>
      <c r="P338" s="171">
        <f>(INDEX(Models!$BJ338:$BT338,,T338)*(1-R338)+INDEX(Models!$BJ338:$BT338,,T338+1)*R338-ERP_i)*Q338*Ramure*Pc/MaxiM</f>
        <v>9.9524227668478404E-2</v>
      </c>
      <c r="Q338" s="307">
        <f t="shared" si="130"/>
        <v>0.9</v>
      </c>
      <c r="R338" s="179">
        <f t="shared" si="131"/>
        <v>9.9907087093967561E-2</v>
      </c>
      <c r="S338" s="839">
        <f t="shared" si="132"/>
        <v>1</v>
      </c>
      <c r="T338" s="178">
        <f t="shared" si="133"/>
        <v>7</v>
      </c>
      <c r="U338" s="253">
        <f t="shared" si="134"/>
        <v>1.0999070870939676</v>
      </c>
      <c r="V338" s="385">
        <f t="shared" si="135"/>
        <v>16.995626310650934</v>
      </c>
      <c r="W338" s="404">
        <f t="shared" si="136"/>
        <v>12.327440860840351</v>
      </c>
      <c r="X338" s="157">
        <f t="shared" si="137"/>
        <v>45250</v>
      </c>
      <c r="Y338" s="387">
        <f t="shared" si="138"/>
        <v>11.293695862317691</v>
      </c>
      <c r="Z338" s="387">
        <f t="shared" si="139"/>
        <v>11.814434256950397</v>
      </c>
      <c r="AA338" s="388">
        <f t="shared" si="140"/>
        <v>14.218907827994025</v>
      </c>
      <c r="AB338" s="199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0.16910395651554389</v>
      </c>
      <c r="AD338" s="233">
        <f>(INDEX(Models!$BJ338:$BT338,,AH338)*(1-AF338)+INDEX(Models!$BJ338:$BT338,,AH338+1)*AF338-ERP_i)*AE338*Ramure*Pc/MaxiM</f>
        <v>9.9524227668478404E-2</v>
      </c>
      <c r="AE338" s="307">
        <f t="shared" si="142"/>
        <v>0.9</v>
      </c>
      <c r="AF338" s="179">
        <f t="shared" si="143"/>
        <v>9.9907087093967561E-2</v>
      </c>
      <c r="AG338" s="839">
        <f t="shared" si="149"/>
        <v>1</v>
      </c>
      <c r="AH338" s="178">
        <f t="shared" si="144"/>
        <v>7</v>
      </c>
      <c r="AI338" s="227">
        <f t="shared" si="145"/>
        <v>1.0999070870939676</v>
      </c>
      <c r="AJ338" s="267" t="b">
        <f t="shared" si="146"/>
        <v>0</v>
      </c>
      <c r="AK338" s="267" t="b">
        <f t="shared" si="147"/>
        <v>0</v>
      </c>
      <c r="AL338" s="267"/>
      <c r="AM338" s="267"/>
      <c r="AN338" s="75"/>
    </row>
    <row r="339" spans="1:40" s="6" customFormat="1" ht="11.25" x14ac:dyDescent="0.2">
      <c r="A339" s="56">
        <f t="shared" si="148"/>
        <v>45251</v>
      </c>
      <c r="B339" s="413">
        <f>'2022'!Wh/'2022'!Env_an*'2023'!Env_an</f>
        <v>2.9396769422871838</v>
      </c>
      <c r="C339" s="868"/>
      <c r="D339" s="395">
        <f t="shared" si="127"/>
        <v>3.0752933889678347</v>
      </c>
      <c r="E339" s="387">
        <f t="shared" si="125"/>
        <v>3.391077294428122</v>
      </c>
      <c r="F339" s="387">
        <f t="shared" si="128"/>
        <v>3.391077294428122</v>
      </c>
      <c r="G339" s="110">
        <f t="shared" si="126"/>
        <v>0.15727718375091532</v>
      </c>
      <c r="H339" s="416" t="b">
        <f>Wh_hp&gt;='2022'!Maxi_hp</f>
        <v>0</v>
      </c>
      <c r="I339" s="392">
        <f>IF(H339,Wh_hp,'2022'!Maxi_hp)</f>
        <v>21.653761632843604</v>
      </c>
      <c r="J339" s="85">
        <f>IF(H339,An,'2022'!An_max)</f>
        <v>2019</v>
      </c>
      <c r="K339" s="199">
        <f t="shared" si="129"/>
        <v>45251</v>
      </c>
      <c r="L339" s="147">
        <f>IF(t&lt;Tvie,1-EXP((T0-t)*PertePVj)+'2022'!Pspv,1-EXP((T0-t)*PertePVj)+Pspv)</f>
        <v>4.4098701986338917E-2</v>
      </c>
      <c r="M339" s="872"/>
      <c r="N339" s="872"/>
      <c r="O339" s="48">
        <f>IF(t&lt;Tnet,'2022'!Resal+('2022'!Salim-'2022'!Resal)*(1-EXP(('2022'!Tnet-t)/('2022'!Tau_j))),Resal+(Salim-Resal)*(1-EXP((Tnet-t)/(Tau_j))))*Salcycl</f>
        <v>9.3122001665710136E-2</v>
      </c>
      <c r="P339" s="171">
        <f>(INDEX(Models!$BJ339:$BT339,,T339)*(1-R339)+INDEX(Models!$BJ339:$BT339,,T339+1)*R339-ERP_i)*Q339*Ramure*Pc/MaxiM</f>
        <v>0.10105713315008803</v>
      </c>
      <c r="Q339" s="307">
        <f t="shared" si="130"/>
        <v>0.9</v>
      </c>
      <c r="R339" s="179">
        <f t="shared" si="131"/>
        <v>9.9936854436322831E-2</v>
      </c>
      <c r="S339" s="839">
        <f t="shared" si="132"/>
        <v>1</v>
      </c>
      <c r="T339" s="178">
        <f t="shared" si="133"/>
        <v>7</v>
      </c>
      <c r="U339" s="253">
        <f t="shared" si="134"/>
        <v>1.0999368544363228</v>
      </c>
      <c r="V339" s="385">
        <f t="shared" si="135"/>
        <v>16.802193141361137</v>
      </c>
      <c r="W339" s="404">
        <f t="shared" si="136"/>
        <v>2.9396769422871838</v>
      </c>
      <c r="X339" s="157">
        <f t="shared" si="137"/>
        <v>45251</v>
      </c>
      <c r="Y339" s="387">
        <f t="shared" si="138"/>
        <v>2.6935995840662397</v>
      </c>
      <c r="Z339" s="387">
        <f t="shared" si="139"/>
        <v>2.8178637163308302</v>
      </c>
      <c r="AA339" s="388">
        <f t="shared" si="140"/>
        <v>3.391077294428122</v>
      </c>
      <c r="AB339" s="199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0.16903583384523221</v>
      </c>
      <c r="AD339" s="233">
        <f>(INDEX(Models!$BJ339:$BT339,,AH339)*(1-AF339)+INDEX(Models!$BJ339:$BT339,,AH339+1)*AF339-ERP_i)*AE339*Ramure*Pc/MaxiM</f>
        <v>0.10105713315008803</v>
      </c>
      <c r="AE339" s="307">
        <f t="shared" si="142"/>
        <v>0.9</v>
      </c>
      <c r="AF339" s="179">
        <f t="shared" si="143"/>
        <v>9.9936854436322831E-2</v>
      </c>
      <c r="AG339" s="839">
        <f t="shared" si="149"/>
        <v>1</v>
      </c>
      <c r="AH339" s="178">
        <f t="shared" si="144"/>
        <v>7</v>
      </c>
      <c r="AI339" s="227">
        <f t="shared" si="145"/>
        <v>1.0999368544363228</v>
      </c>
      <c r="AJ339" s="267" t="b">
        <f t="shared" si="146"/>
        <v>0</v>
      </c>
      <c r="AK339" s="267" t="b">
        <f t="shared" si="147"/>
        <v>0</v>
      </c>
      <c r="AL339" s="267"/>
      <c r="AM339" s="267"/>
      <c r="AN339" s="75"/>
    </row>
    <row r="340" spans="1:40" s="6" customFormat="1" ht="11.25" x14ac:dyDescent="0.2">
      <c r="A340" s="56">
        <f t="shared" si="148"/>
        <v>45252</v>
      </c>
      <c r="B340" s="413">
        <f>'2022'!Wh/'2022'!Env_an*'2023'!Env_an</f>
        <v>7.77918109388074</v>
      </c>
      <c r="C340" s="868"/>
      <c r="D340" s="395">
        <f t="shared" si="127"/>
        <v>8.1382483182811498</v>
      </c>
      <c r="E340" s="387">
        <f t="shared" si="125"/>
        <v>8.9746516907302816</v>
      </c>
      <c r="F340" s="387">
        <f t="shared" si="128"/>
        <v>9.2018161436078465</v>
      </c>
      <c r="G340" s="110">
        <f t="shared" si="126"/>
        <v>0.43085478517855236</v>
      </c>
      <c r="H340" s="416" t="b">
        <f>Wh_hp&gt;='2022'!Maxi_hp</f>
        <v>0</v>
      </c>
      <c r="I340" s="392">
        <f>IF(H340,Wh_hp,'2022'!Maxi_hp)</f>
        <v>21.944926765970493</v>
      </c>
      <c r="J340" s="85">
        <f>IF(H340,An,'2022'!An_max)</f>
        <v>2020</v>
      </c>
      <c r="K340" s="199">
        <f t="shared" si="129"/>
        <v>45252</v>
      </c>
      <c r="L340" s="147">
        <f>IF(t&lt;Tvie,1-EXP((T0-t)*PertePVj)+'2022'!Pspv,1-EXP((T0-t)*PertePVj)+Pspv)</f>
        <v>4.4120947206025662E-2</v>
      </c>
      <c r="M340" s="872"/>
      <c r="N340" s="872"/>
      <c r="O340" s="48">
        <f>IF(t&lt;Tnet,'2022'!Resal+('2022'!Salim-'2022'!Resal)*(1-EXP(('2022'!Tnet-t)/('2022'!Tau_j))),Resal+(Salim-Resal)*(1-EXP((Tnet-t)/(Tau_j))))*Salcycl</f>
        <v>9.3196193152881357E-2</v>
      </c>
      <c r="P340" s="171">
        <f>(INDEX(Models!$BJ340:$BT340,,T340)*(1-R340)+INDEX(Models!$BJ340:$BT340,,T340+1)*R340-ERP_i)*Q340*Ramure*Pc/MaxiM</f>
        <v>0.1026773533128538</v>
      </c>
      <c r="Q340" s="307">
        <f t="shared" si="130"/>
        <v>0.9</v>
      </c>
      <c r="R340" s="179">
        <f t="shared" si="131"/>
        <v>9.9965426034421156E-2</v>
      </c>
      <c r="S340" s="839">
        <f t="shared" si="132"/>
        <v>1</v>
      </c>
      <c r="T340" s="178">
        <f t="shared" si="133"/>
        <v>7</v>
      </c>
      <c r="U340" s="253">
        <f t="shared" si="134"/>
        <v>1.0999654260344212</v>
      </c>
      <c r="V340" s="385">
        <f t="shared" si="135"/>
        <v>16.611449826632196</v>
      </c>
      <c r="W340" s="404">
        <f t="shared" si="136"/>
        <v>7.77918109388074</v>
      </c>
      <c r="X340" s="157">
        <f t="shared" si="137"/>
        <v>45252</v>
      </c>
      <c r="Y340" s="387">
        <f t="shared" si="138"/>
        <v>7.1291288922032532</v>
      </c>
      <c r="Z340" s="387">
        <f t="shared" si="139"/>
        <v>7.458191359424875</v>
      </c>
      <c r="AA340" s="388">
        <f t="shared" si="140"/>
        <v>8.9746516907302816</v>
      </c>
      <c r="AB340" s="199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0.16897149700770278</v>
      </c>
      <c r="AD340" s="233">
        <f>(INDEX(Models!$BJ340:$BT340,,AH340)*(1-AF340)+INDEX(Models!$BJ340:$BT340,,AH340+1)*AF340-ERP_i)*AE340*Ramure*Pc/MaxiM</f>
        <v>0.1026773533128538</v>
      </c>
      <c r="AE340" s="307">
        <f t="shared" si="142"/>
        <v>0.9</v>
      </c>
      <c r="AF340" s="179">
        <f t="shared" si="143"/>
        <v>9.9965426034421156E-2</v>
      </c>
      <c r="AG340" s="839">
        <f t="shared" si="149"/>
        <v>1</v>
      </c>
      <c r="AH340" s="178">
        <f t="shared" si="144"/>
        <v>7</v>
      </c>
      <c r="AI340" s="227">
        <f t="shared" si="145"/>
        <v>1.0999654260344212</v>
      </c>
      <c r="AJ340" s="267" t="b">
        <f t="shared" si="146"/>
        <v>0</v>
      </c>
      <c r="AK340" s="267" t="b">
        <f t="shared" si="147"/>
        <v>0</v>
      </c>
      <c r="AL340" s="267"/>
      <c r="AM340" s="267"/>
      <c r="AN340" s="75"/>
    </row>
    <row r="341" spans="1:40" s="6" customFormat="1" ht="11.25" x14ac:dyDescent="0.2">
      <c r="A341" s="56">
        <f t="shared" si="148"/>
        <v>45253</v>
      </c>
      <c r="B341" s="413">
        <f>'2022'!Wh/'2022'!Env_an*'2023'!Env_an</f>
        <v>11.550230363932009</v>
      </c>
      <c r="C341" s="868"/>
      <c r="D341" s="395">
        <f t="shared" si="127"/>
        <v>12.083640840502044</v>
      </c>
      <c r="E341" s="387">
        <f t="shared" si="125"/>
        <v>13.326647174116314</v>
      </c>
      <c r="F341" s="387">
        <f t="shared" si="128"/>
        <v>14.179405306231841</v>
      </c>
      <c r="G341" s="110">
        <f t="shared" si="126"/>
        <v>0.67018148934149679</v>
      </c>
      <c r="H341" s="416" t="b">
        <f>Wh_hp&gt;='2022'!Maxi_hp</f>
        <v>0</v>
      </c>
      <c r="I341" s="392">
        <f>IF(H341,Wh_hp,'2022'!Maxi_hp)</f>
        <v>21.331642050489656</v>
      </c>
      <c r="J341" s="85">
        <f>IF(H341,An,'2022'!An_max)</f>
        <v>2020</v>
      </c>
      <c r="K341" s="199">
        <f t="shared" si="129"/>
        <v>45253</v>
      </c>
      <c r="L341" s="147">
        <f>IF(t&lt;Tvie,1-EXP((T0-t)*PertePVj)+'2022'!Pspv,1-EXP((T0-t)*PertePVj)+Pspv)</f>
        <v>4.4143191908033619E-2</v>
      </c>
      <c r="M341" s="872"/>
      <c r="N341" s="872"/>
      <c r="O341" s="48">
        <f>IF(t&lt;Tnet,'2022'!Resal+('2022'!Salim-'2022'!Resal)*(1-EXP(('2022'!Tnet-t)/('2022'!Tau_j))),Resal+(Salim-Resal)*(1-EXP((Tnet-t)/(Tau_j))))*Salcycl</f>
        <v>9.3272247503370459E-2</v>
      </c>
      <c r="P341" s="171">
        <f>(INDEX(Models!$BJ341:$BT341,,T341)*(1-R341)+INDEX(Models!$BJ341:$BT341,,T341+1)*R341-ERP_i)*Q341*Ramure*Pc/MaxiM</f>
        <v>0.10438723679969672</v>
      </c>
      <c r="Q341" s="307">
        <f t="shared" si="130"/>
        <v>0.9</v>
      </c>
      <c r="R341" s="179">
        <f t="shared" si="131"/>
        <v>9.9992849813772544E-2</v>
      </c>
      <c r="S341" s="839">
        <f t="shared" si="132"/>
        <v>1</v>
      </c>
      <c r="T341" s="178">
        <f t="shared" si="133"/>
        <v>7</v>
      </c>
      <c r="U341" s="253">
        <f t="shared" si="134"/>
        <v>1.0999928498137725</v>
      </c>
      <c r="V341" s="385">
        <f t="shared" si="135"/>
        <v>16.423117822890287</v>
      </c>
      <c r="W341" s="404">
        <f t="shared" si="136"/>
        <v>11.550230363932009</v>
      </c>
      <c r="X341" s="157">
        <f t="shared" si="137"/>
        <v>45253</v>
      </c>
      <c r="Y341" s="387">
        <f t="shared" si="138"/>
        <v>10.586715697610206</v>
      </c>
      <c r="Z341" s="387">
        <f t="shared" si="139"/>
        <v>11.075629328563217</v>
      </c>
      <c r="AA341" s="388">
        <f t="shared" si="140"/>
        <v>13.326647174116314</v>
      </c>
      <c r="AB341" s="199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0.16891104087494246</v>
      </c>
      <c r="AD341" s="233">
        <f>(INDEX(Models!$BJ341:$BT341,,AH341)*(1-AF341)+INDEX(Models!$BJ341:$BT341,,AH341+1)*AF341-ERP_i)*AE341*Ramure*Pc/MaxiM</f>
        <v>0.10438723679969672</v>
      </c>
      <c r="AE341" s="307">
        <f t="shared" si="142"/>
        <v>0.9</v>
      </c>
      <c r="AF341" s="179">
        <f t="shared" si="143"/>
        <v>9.9992849813772544E-2</v>
      </c>
      <c r="AG341" s="839">
        <f t="shared" si="149"/>
        <v>1</v>
      </c>
      <c r="AH341" s="178">
        <f t="shared" si="144"/>
        <v>7</v>
      </c>
      <c r="AI341" s="227">
        <f t="shared" si="145"/>
        <v>1.0999928498137725</v>
      </c>
      <c r="AJ341" s="267" t="b">
        <f t="shared" si="146"/>
        <v>0</v>
      </c>
      <c r="AK341" s="267" t="b">
        <f t="shared" si="147"/>
        <v>0</v>
      </c>
      <c r="AL341" s="267"/>
      <c r="AM341" s="267"/>
      <c r="AN341" s="75"/>
    </row>
    <row r="342" spans="1:40" s="6" customFormat="1" ht="11.25" x14ac:dyDescent="0.2">
      <c r="A342" s="56">
        <f t="shared" si="148"/>
        <v>45254</v>
      </c>
      <c r="B342" s="413">
        <f>'2022'!Wh/'2022'!Env_an*'2023'!Env_an</f>
        <v>10.425911866699618</v>
      </c>
      <c r="C342" s="868"/>
      <c r="D342" s="395">
        <f t="shared" si="127"/>
        <v>10.907653123649974</v>
      </c>
      <c r="E342" s="387">
        <f t="shared" si="125"/>
        <v>12.030723803287891</v>
      </c>
      <c r="F342" s="387">
        <f t="shared" si="128"/>
        <v>12.689273900051822</v>
      </c>
      <c r="G342" s="110">
        <f t="shared" si="126"/>
        <v>0.60534231738238164</v>
      </c>
      <c r="H342" s="416" t="b">
        <f>Wh_hp&gt;='2022'!Maxi_hp</f>
        <v>0</v>
      </c>
      <c r="I342" s="392">
        <f>IF(H342,Wh_hp,'2022'!Maxi_hp)</f>
        <v>20.115501391985529</v>
      </c>
      <c r="J342" s="85">
        <f>IF(H342,An,'2022'!An_max)</f>
        <v>2020</v>
      </c>
      <c r="K342" s="199">
        <f t="shared" si="129"/>
        <v>45254</v>
      </c>
      <c r="L342" s="147">
        <f>IF(t&lt;Tvie,1-EXP((T0-t)*PertePVj)+'2022'!Pspv,1-EXP((T0-t)*PertePVj)+Pspv)</f>
        <v>4.4165436092374777E-2</v>
      </c>
      <c r="M342" s="872"/>
      <c r="N342" s="872"/>
      <c r="O342" s="48">
        <f>IF(t&lt;Tnet,'2022'!Resal+('2022'!Salim-'2022'!Resal)*(1-EXP(('2022'!Tnet-t)/('2022'!Tau_j))),Resal+(Salim-Resal)*(1-EXP((Tnet-t)/(Tau_j))))*Salcycl</f>
        <v>9.335021716074908E-2</v>
      </c>
      <c r="P342" s="171">
        <f>(INDEX(Models!$BJ342:$BT342,,T342)*(1-R342)+INDEX(Models!$BJ342:$BT342,,T342+1)*R342-ERP_i)*Q342*Ramure*Pc/MaxiM</f>
        <v>0.10618962252259689</v>
      </c>
      <c r="Q342" s="307">
        <f t="shared" si="130"/>
        <v>0.9</v>
      </c>
      <c r="R342" s="179">
        <f t="shared" si="131"/>
        <v>0.10001917178747477</v>
      </c>
      <c r="S342" s="839">
        <f t="shared" si="132"/>
        <v>1</v>
      </c>
      <c r="T342" s="178">
        <f t="shared" si="133"/>
        <v>7</v>
      </c>
      <c r="U342" s="253">
        <f t="shared" si="134"/>
        <v>1.1000191717874748</v>
      </c>
      <c r="V342" s="385">
        <f t="shared" si="135"/>
        <v>16.236911454439774</v>
      </c>
      <c r="W342" s="404">
        <f t="shared" si="136"/>
        <v>10.425911866699618</v>
      </c>
      <c r="X342" s="157">
        <f t="shared" si="137"/>
        <v>45254</v>
      </c>
      <c r="Y342" s="387">
        <f t="shared" si="138"/>
        <v>9.5576587802220079</v>
      </c>
      <c r="Z342" s="387">
        <f t="shared" si="139"/>
        <v>9.9992814040418914</v>
      </c>
      <c r="AA342" s="388">
        <f t="shared" si="140"/>
        <v>12.030723803287891</v>
      </c>
      <c r="AB342" s="199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0.16885454545060904</v>
      </c>
      <c r="AD342" s="233">
        <f>(INDEX(Models!$BJ342:$BT342,,AH342)*(1-AF342)+INDEX(Models!$BJ342:$BT342,,AH342+1)*AF342-ERP_i)*AE342*Ramure*Pc/MaxiM</f>
        <v>0.10618962252259689</v>
      </c>
      <c r="AE342" s="307">
        <f t="shared" si="142"/>
        <v>0.9</v>
      </c>
      <c r="AF342" s="179">
        <f t="shared" si="143"/>
        <v>0.10001917178747477</v>
      </c>
      <c r="AG342" s="839">
        <f t="shared" si="149"/>
        <v>1</v>
      </c>
      <c r="AH342" s="178">
        <f t="shared" si="144"/>
        <v>7</v>
      </c>
      <c r="AI342" s="227">
        <f t="shared" si="145"/>
        <v>1.1000191717874748</v>
      </c>
      <c r="AJ342" s="267" t="b">
        <f t="shared" si="146"/>
        <v>0</v>
      </c>
      <c r="AK342" s="267" t="b">
        <f t="shared" si="147"/>
        <v>0</v>
      </c>
      <c r="AL342" s="267"/>
      <c r="AM342" s="267"/>
      <c r="AN342" s="75"/>
    </row>
    <row r="343" spans="1:40" s="6" customFormat="1" ht="11.25" x14ac:dyDescent="0.2">
      <c r="A343" s="56">
        <f t="shared" si="148"/>
        <v>45255</v>
      </c>
      <c r="B343" s="413">
        <f>'2022'!Wh/'2022'!Env_an*'2023'!Env_an</f>
        <v>4.270553475899729</v>
      </c>
      <c r="C343" s="868"/>
      <c r="D343" s="395">
        <f t="shared" si="127"/>
        <v>4.467983290718851</v>
      </c>
      <c r="E343" s="387">
        <f t="shared" si="125"/>
        <v>4.9284490027222132</v>
      </c>
      <c r="F343" s="387">
        <f t="shared" si="128"/>
        <v>4.9284490027222132</v>
      </c>
      <c r="G343" s="110">
        <f t="shared" si="126"/>
        <v>0.23728076255801472</v>
      </c>
      <c r="H343" s="416" t="b">
        <f>Wh_hp&gt;='2022'!Maxi_hp</f>
        <v>0</v>
      </c>
      <c r="I343" s="392">
        <f>IF(H343,Wh_hp,'2022'!Maxi_hp)</f>
        <v>18.431846699348394</v>
      </c>
      <c r="J343" s="85">
        <f>IF(H343,An,'2022'!An_max)</f>
        <v>2020</v>
      </c>
      <c r="K343" s="199">
        <f t="shared" si="129"/>
        <v>45255</v>
      </c>
      <c r="L343" s="147">
        <f>IF(t&lt;Tvie,1-EXP((T0-t)*PertePVj)+'2022'!Pspv,1-EXP((T0-t)*PertePVj)+Pspv)</f>
        <v>4.4187679759061349E-2</v>
      </c>
      <c r="M343" s="872"/>
      <c r="N343" s="872"/>
      <c r="O343" s="48">
        <f>IF(t&lt;Tnet,'2022'!Resal+('2022'!Salim-'2022'!Resal)*(1-EXP(('2022'!Tnet-t)/('2022'!Tau_j))),Resal+(Salim-Resal)*(1-EXP((Tnet-t)/(Tau_j))))*Salcycl</f>
        <v>9.3430146431265779E-2</v>
      </c>
      <c r="P343" s="171">
        <f>(INDEX(Models!$BJ343:$BT343,,T343)*(1-R343)+INDEX(Models!$BJ343:$BT343,,T343+1)*R343-ERP_i)*Q343*Ramure*Pc/MaxiM</f>
        <v>0.10808799092671886</v>
      </c>
      <c r="Q343" s="307">
        <f t="shared" si="130"/>
        <v>0.9</v>
      </c>
      <c r="R343" s="179">
        <f t="shared" si="131"/>
        <v>0.10004443613186065</v>
      </c>
      <c r="S343" s="839">
        <f t="shared" si="132"/>
        <v>1</v>
      </c>
      <c r="T343" s="178">
        <f t="shared" si="133"/>
        <v>7</v>
      </c>
      <c r="U343" s="253">
        <f t="shared" si="134"/>
        <v>1.1000444361318606</v>
      </c>
      <c r="V343" s="385">
        <f t="shared" si="135"/>
        <v>16.052535778636198</v>
      </c>
      <c r="W343" s="404">
        <f t="shared" si="136"/>
        <v>4.270553475899729</v>
      </c>
      <c r="X343" s="157">
        <f t="shared" si="137"/>
        <v>45255</v>
      </c>
      <c r="Y343" s="387">
        <f t="shared" si="138"/>
        <v>3.9155010181935239</v>
      </c>
      <c r="Z343" s="387">
        <f t="shared" si="139"/>
        <v>4.0965165810025495</v>
      </c>
      <c r="AA343" s="388">
        <f t="shared" si="140"/>
        <v>4.9284490027222132</v>
      </c>
      <c r="AB343" s="199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0.16880207571593997</v>
      </c>
      <c r="AD343" s="233">
        <f>(INDEX(Models!$BJ343:$BT343,,AH343)*(1-AF343)+INDEX(Models!$BJ343:$BT343,,AH343+1)*AF343-ERP_i)*AE343*Ramure*Pc/MaxiM</f>
        <v>0.10808799092671886</v>
      </c>
      <c r="AE343" s="307">
        <f t="shared" si="142"/>
        <v>0.9</v>
      </c>
      <c r="AF343" s="179">
        <f t="shared" si="143"/>
        <v>0.10004443613186065</v>
      </c>
      <c r="AG343" s="839">
        <f t="shared" si="149"/>
        <v>1</v>
      </c>
      <c r="AH343" s="178">
        <f t="shared" si="144"/>
        <v>7</v>
      </c>
      <c r="AI343" s="227">
        <f t="shared" si="145"/>
        <v>1.1000444361318606</v>
      </c>
      <c r="AJ343" s="267" t="b">
        <f t="shared" si="146"/>
        <v>0</v>
      </c>
      <c r="AK343" s="267" t="b">
        <f t="shared" si="147"/>
        <v>0</v>
      </c>
      <c r="AL343" s="267"/>
      <c r="AM343" s="267"/>
      <c r="AN343" s="75"/>
    </row>
    <row r="344" spans="1:40" s="6" customFormat="1" ht="11.25" x14ac:dyDescent="0.2">
      <c r="A344" s="56">
        <f t="shared" si="148"/>
        <v>45256</v>
      </c>
      <c r="B344" s="413">
        <f>'2022'!Wh/'2022'!Env_an*'2023'!Env_an</f>
        <v>9.1504774862236093</v>
      </c>
      <c r="C344" s="868"/>
      <c r="D344" s="395">
        <f t="shared" si="127"/>
        <v>9.5737314139785052</v>
      </c>
      <c r="E344" s="387">
        <f t="shared" si="125"/>
        <v>10.561344626806774</v>
      </c>
      <c r="F344" s="387">
        <f t="shared" si="128"/>
        <v>11.04165423118828</v>
      </c>
      <c r="G344" s="110">
        <f t="shared" si="126"/>
        <v>0.53646096814450328</v>
      </c>
      <c r="H344" s="416" t="b">
        <f>Wh_hp&gt;='2022'!Maxi_hp</f>
        <v>0</v>
      </c>
      <c r="I344" s="392">
        <f>IF(H344,Wh_hp,'2022'!Maxi_hp)</f>
        <v>20.271977727485368</v>
      </c>
      <c r="J344" s="85">
        <f>IF(H344,An,'2022'!An_max)</f>
        <v>2020</v>
      </c>
      <c r="K344" s="199">
        <f t="shared" si="129"/>
        <v>45256</v>
      </c>
      <c r="L344" s="147">
        <f>IF(t&lt;Tvie,1-EXP((T0-t)*PertePVj)+'2022'!Pspv,1-EXP((T0-t)*PertePVj)+Pspv)</f>
        <v>4.4209922908105326E-2</v>
      </c>
      <c r="M344" s="872"/>
      <c r="N344" s="872"/>
      <c r="O344" s="48">
        <f>IF(t&lt;Tnet,'2022'!Resal+('2022'!Salim-'2022'!Resal)*(1-EXP(('2022'!Tnet-t)/('2022'!Tau_j))),Resal+(Salim-Resal)*(1-EXP((Tnet-t)/(Tau_j))))*Salcycl</f>
        <v>9.3512071400597266E-2</v>
      </c>
      <c r="P344" s="171">
        <f>(INDEX(Models!$BJ344:$BT344,,T344)*(1-R344)+INDEX(Models!$BJ344:$BT344,,T344+1)*R344-ERP_i)*Q344*Ramure*Pc/MaxiM</f>
        <v>0.11008596168510233</v>
      </c>
      <c r="Q344" s="307">
        <f t="shared" si="130"/>
        <v>0.9</v>
      </c>
      <c r="R344" s="179">
        <f t="shared" si="131"/>
        <v>0.10006868525920387</v>
      </c>
      <c r="S344" s="839">
        <f t="shared" si="132"/>
        <v>1</v>
      </c>
      <c r="T344" s="178">
        <f t="shared" si="133"/>
        <v>7</v>
      </c>
      <c r="U344" s="253">
        <f t="shared" si="134"/>
        <v>1.1000686852592039</v>
      </c>
      <c r="V344" s="385">
        <f t="shared" si="135"/>
        <v>15.869696252022425</v>
      </c>
      <c r="W344" s="404">
        <f t="shared" si="136"/>
        <v>9.1504774862236093</v>
      </c>
      <c r="X344" s="157">
        <f t="shared" si="137"/>
        <v>45256</v>
      </c>
      <c r="Y344" s="387">
        <f t="shared" si="138"/>
        <v>8.390956440057451</v>
      </c>
      <c r="Z344" s="387">
        <f t="shared" si="139"/>
        <v>8.7790788387215084</v>
      </c>
      <c r="AA344" s="388">
        <f t="shared" si="140"/>
        <v>10.561344626806774</v>
      </c>
      <c r="AB344" s="199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0.16875368156830359</v>
      </c>
      <c r="AD344" s="233">
        <f>(INDEX(Models!$BJ344:$BT344,,AH344)*(1-AF344)+INDEX(Models!$BJ344:$BT344,,AH344+1)*AF344-ERP_i)*AE344*Ramure*Pc/MaxiM</f>
        <v>0.11008596168510233</v>
      </c>
      <c r="AE344" s="307">
        <f t="shared" si="142"/>
        <v>0.9</v>
      </c>
      <c r="AF344" s="179">
        <f t="shared" si="143"/>
        <v>0.10006868525920387</v>
      </c>
      <c r="AG344" s="839">
        <f t="shared" si="149"/>
        <v>1</v>
      </c>
      <c r="AH344" s="178">
        <f t="shared" si="144"/>
        <v>7</v>
      </c>
      <c r="AI344" s="227">
        <f t="shared" si="145"/>
        <v>1.1000686852592039</v>
      </c>
      <c r="AJ344" s="267" t="b">
        <f t="shared" si="146"/>
        <v>0</v>
      </c>
      <c r="AK344" s="267" t="b">
        <f t="shared" si="147"/>
        <v>0</v>
      </c>
      <c r="AL344" s="267"/>
      <c r="AM344" s="267"/>
      <c r="AN344" s="75"/>
    </row>
    <row r="345" spans="1:40" s="6" customFormat="1" ht="11.25" x14ac:dyDescent="0.2">
      <c r="A345" s="56">
        <f t="shared" si="148"/>
        <v>45257</v>
      </c>
      <c r="B345" s="413">
        <f>'2022'!Wh/'2022'!Env_an*'2023'!Env_an</f>
        <v>10.836739670177598</v>
      </c>
      <c r="C345" s="868"/>
      <c r="D345" s="395">
        <f t="shared" si="127"/>
        <v>11.33825525347879</v>
      </c>
      <c r="E345" s="387">
        <f t="shared" si="125"/>
        <v>12.509052809158934</v>
      </c>
      <c r="F345" s="387">
        <f t="shared" si="128"/>
        <v>13.344965347789744</v>
      </c>
      <c r="G345" s="110">
        <f t="shared" si="126"/>
        <v>0.65429153991305566</v>
      </c>
      <c r="H345" s="416" t="b">
        <f>Wh_hp&gt;='2022'!Maxi_hp</f>
        <v>0</v>
      </c>
      <c r="I345" s="392">
        <f>IF(H345,Wh_hp,'2022'!Maxi_hp)</f>
        <v>18.707105113619761</v>
      </c>
      <c r="J345" s="85">
        <f>IF(H345,An,'2022'!An_max)</f>
        <v>2018</v>
      </c>
      <c r="K345" s="199">
        <f t="shared" si="129"/>
        <v>45257</v>
      </c>
      <c r="L345" s="147">
        <f>IF(t&lt;Tvie,1-EXP((T0-t)*PertePVj)+'2022'!Pspv,1-EXP((T0-t)*PertePVj)+Pspv)</f>
        <v>4.4232165539518697E-2</v>
      </c>
      <c r="M345" s="872"/>
      <c r="N345" s="872"/>
      <c r="O345" s="48">
        <f>IF(t&lt;Tnet,'2022'!Resal+('2022'!Salim-'2022'!Resal)*(1-EXP(('2022'!Tnet-t)/('2022'!Tau_j))),Resal+(Salim-Resal)*(1-EXP((Tnet-t)/(Tau_j))))*Salcycl</f>
        <v>9.3596019901914948E-2</v>
      </c>
      <c r="P345" s="171">
        <f>(INDEX(Models!$BJ345:$BT345,,T345)*(1-R345)+INDEX(Models!$BJ345:$BT345,,T345+1)*R345-ERP_i)*Q345*Ramure*Pc/MaxiM</f>
        <v>0.1121947012241042</v>
      </c>
      <c r="Q345" s="307">
        <f t="shared" si="130"/>
        <v>0.9</v>
      </c>
      <c r="R345" s="179">
        <f t="shared" si="131"/>
        <v>0.10009195988759645</v>
      </c>
      <c r="S345" s="839">
        <f t="shared" si="132"/>
        <v>1</v>
      </c>
      <c r="T345" s="178">
        <f t="shared" si="133"/>
        <v>7</v>
      </c>
      <c r="U345" s="253">
        <f t="shared" si="134"/>
        <v>1.1000919598875964</v>
      </c>
      <c r="V345" s="385">
        <f t="shared" si="135"/>
        <v>15.686934848292887</v>
      </c>
      <c r="W345" s="404">
        <f t="shared" si="136"/>
        <v>10.836739670177598</v>
      </c>
      <c r="X345" s="157">
        <f t="shared" si="137"/>
        <v>45257</v>
      </c>
      <c r="Y345" s="387">
        <f t="shared" si="138"/>
        <v>9.9387028781207061</v>
      </c>
      <c r="Z345" s="387">
        <f t="shared" si="139"/>
        <v>10.398658042024376</v>
      </c>
      <c r="AA345" s="388">
        <f t="shared" si="140"/>
        <v>12.509052809158934</v>
      </c>
      <c r="AB345" s="199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0.16870939785219863</v>
      </c>
      <c r="AD345" s="233">
        <f>(INDEX(Models!$BJ345:$BT345,,AH345)*(1-AF345)+INDEX(Models!$BJ345:$BT345,,AH345+1)*AF345-ERP_i)*AE345*Ramure*Pc/MaxiM</f>
        <v>0.1121947012241042</v>
      </c>
      <c r="AE345" s="307">
        <f t="shared" si="142"/>
        <v>0.9</v>
      </c>
      <c r="AF345" s="179">
        <f t="shared" si="143"/>
        <v>0.10009195988759645</v>
      </c>
      <c r="AG345" s="839">
        <f t="shared" si="149"/>
        <v>1</v>
      </c>
      <c r="AH345" s="178">
        <f t="shared" si="144"/>
        <v>7</v>
      </c>
      <c r="AI345" s="227">
        <f t="shared" si="145"/>
        <v>1.1000919598875964</v>
      </c>
      <c r="AJ345" s="267" t="b">
        <f t="shared" si="146"/>
        <v>0</v>
      </c>
      <c r="AK345" s="267" t="b">
        <f t="shared" si="147"/>
        <v>0</v>
      </c>
      <c r="AL345" s="267"/>
      <c r="AM345" s="267"/>
      <c r="AN345" s="75"/>
    </row>
    <row r="346" spans="1:40" s="6" customFormat="1" ht="11.25" x14ac:dyDescent="0.2">
      <c r="A346" s="56">
        <f t="shared" si="148"/>
        <v>45258</v>
      </c>
      <c r="B346" s="413">
        <f>'2022'!Wh/'2022'!Env_an*'2023'!Env_an</f>
        <v>8.5254581388381379</v>
      </c>
      <c r="C346" s="868"/>
      <c r="D346" s="395">
        <f t="shared" si="127"/>
        <v>8.9202170610122149</v>
      </c>
      <c r="E346" s="387">
        <f t="shared" si="125"/>
        <v>9.842259752696437</v>
      </c>
      <c r="F346" s="387">
        <f t="shared" si="128"/>
        <v>10.261274278715364</v>
      </c>
      <c r="G346" s="110">
        <f t="shared" si="126"/>
        <v>0.50771456355938238</v>
      </c>
      <c r="H346" s="416" t="b">
        <f>Wh_hp&gt;='2022'!Maxi_hp</f>
        <v>0</v>
      </c>
      <c r="I346" s="392">
        <f>IF(H346,Wh_hp,'2022'!Maxi_hp)</f>
        <v>15.033904025861062</v>
      </c>
      <c r="J346" s="85">
        <f>IF(H346,An,'2022'!An_max)</f>
        <v>2018</v>
      </c>
      <c r="K346" s="199">
        <f t="shared" si="129"/>
        <v>45258</v>
      </c>
      <c r="L346" s="147">
        <f>IF(t&lt;Tvie,1-EXP((T0-t)*PertePVj)+'2022'!Pspv,1-EXP((T0-t)*PertePVj)+Pspv)</f>
        <v>4.4254407653313566E-2</v>
      </c>
      <c r="M346" s="872"/>
      <c r="N346" s="872"/>
      <c r="O346" s="48">
        <f>IF(t&lt;Tnet,'2022'!Resal+('2022'!Salim-'2022'!Resal)*(1-EXP(('2022'!Tnet-t)/('2022'!Tau_j))),Resal+(Salim-Resal)*(1-EXP((Tnet-t)/(Tau_j))))*Salcycl</f>
        <v>9.3682011535167392E-2</v>
      </c>
      <c r="P346" s="171">
        <f>(INDEX(Models!$BJ346:$BT346,,T346)*(1-R346)+INDEX(Models!$BJ346:$BT346,,T346+1)*R346-ERP_i)*Q346*Ramure*Pc/MaxiM</f>
        <v>0.11439006118011356</v>
      </c>
      <c r="Q346" s="307">
        <f t="shared" si="130"/>
        <v>0.9</v>
      </c>
      <c r="R346" s="179">
        <f t="shared" si="131"/>
        <v>0.10011429910810365</v>
      </c>
      <c r="S346" s="839">
        <f t="shared" si="132"/>
        <v>1</v>
      </c>
      <c r="T346" s="178">
        <f t="shared" si="133"/>
        <v>7</v>
      </c>
      <c r="U346" s="253">
        <f t="shared" si="134"/>
        <v>1.1001142991081037</v>
      </c>
      <c r="V346" s="385">
        <f t="shared" si="135"/>
        <v>15.504117841668082</v>
      </c>
      <c r="W346" s="404">
        <f t="shared" si="136"/>
        <v>8.5254581388381379</v>
      </c>
      <c r="X346" s="157">
        <f t="shared" si="137"/>
        <v>45258</v>
      </c>
      <c r="Y346" s="387">
        <f t="shared" si="138"/>
        <v>7.8200760063302024</v>
      </c>
      <c r="Z346" s="387">
        <f t="shared" si="139"/>
        <v>8.1821732362157249</v>
      </c>
      <c r="AA346" s="388">
        <f t="shared" si="140"/>
        <v>9.842259752696437</v>
      </c>
      <c r="AB346" s="199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0.16866924448177728</v>
      </c>
      <c r="AD346" s="233">
        <f>(INDEX(Models!$BJ346:$BT346,,AH346)*(1-AF346)+INDEX(Models!$BJ346:$BT346,,AH346+1)*AF346-ERP_i)*AE346*Ramure*Pc/MaxiM</f>
        <v>0.11439006118011356</v>
      </c>
      <c r="AE346" s="307">
        <f t="shared" si="142"/>
        <v>0.9</v>
      </c>
      <c r="AF346" s="179">
        <f t="shared" si="143"/>
        <v>0.10011429910810365</v>
      </c>
      <c r="AG346" s="839">
        <f t="shared" si="149"/>
        <v>1</v>
      </c>
      <c r="AH346" s="178">
        <f t="shared" si="144"/>
        <v>7</v>
      </c>
      <c r="AI346" s="227">
        <f t="shared" si="145"/>
        <v>1.1001142991081037</v>
      </c>
      <c r="AJ346" s="267" t="b">
        <f t="shared" si="146"/>
        <v>0</v>
      </c>
      <c r="AK346" s="267" t="b">
        <f t="shared" si="147"/>
        <v>0</v>
      </c>
      <c r="AL346" s="267"/>
      <c r="AM346" s="267"/>
      <c r="AN346" s="75"/>
    </row>
    <row r="347" spans="1:40" s="6" customFormat="1" ht="11.25" x14ac:dyDescent="0.2">
      <c r="A347" s="56">
        <f t="shared" si="148"/>
        <v>45259</v>
      </c>
      <c r="B347" s="413">
        <f>'2022'!Wh/'2022'!Env_an*'2023'!Env_an</f>
        <v>9.6284027404642245</v>
      </c>
      <c r="C347" s="868"/>
      <c r="D347" s="395">
        <f t="shared" si="127"/>
        <v>10.074466353577483</v>
      </c>
      <c r="E347" s="387">
        <f t="shared" si="125"/>
        <v>11.116898574793039</v>
      </c>
      <c r="F347" s="387">
        <f t="shared" si="128"/>
        <v>11.76036997312614</v>
      </c>
      <c r="G347" s="110">
        <f t="shared" si="126"/>
        <v>0.58721427188177544</v>
      </c>
      <c r="H347" s="416" t="b">
        <f>Wh_hp&gt;='2022'!Maxi_hp</f>
        <v>0</v>
      </c>
      <c r="I347" s="392">
        <f>IF(H347,Wh_hp,'2022'!Maxi_hp)</f>
        <v>19.928845702990856</v>
      </c>
      <c r="J347" s="85">
        <f>IF(H347,An,'2022'!An_max)</f>
        <v>2018</v>
      </c>
      <c r="K347" s="199">
        <f t="shared" si="129"/>
        <v>45259</v>
      </c>
      <c r="L347" s="147">
        <f>IF(t&lt;Tvie,1-EXP((T0-t)*PertePVj)+'2022'!Pspv,1-EXP((T0-t)*PertePVj)+Pspv)</f>
        <v>4.4276649249501809E-2</v>
      </c>
      <c r="M347" s="872"/>
      <c r="N347" s="872"/>
      <c r="O347" s="48">
        <f>IF(t&lt;Tnet,'2022'!Resal+('2022'!Salim-'2022'!Resal)*(1-EXP(('2022'!Tnet-t)/('2022'!Tau_j))),Resal+(Salim-Resal)*(1-EXP((Tnet-t)/(Tau_j))))*Salcycl</f>
        <v>9.377005773707546E-2</v>
      </c>
      <c r="P347" s="171">
        <f>(INDEX(Models!$BJ347:$BT347,,T347)*(1-R347)+INDEX(Models!$BJ347:$BT347,,T347+1)*R347-ERP_i)*Q347*Ramure*Pc/MaxiM</f>
        <v>0.11663649839845029</v>
      </c>
      <c r="Q347" s="307">
        <f t="shared" si="130"/>
        <v>0.9</v>
      </c>
      <c r="R347" s="179">
        <f t="shared" si="131"/>
        <v>0.10013574044929596</v>
      </c>
      <c r="S347" s="839">
        <f t="shared" si="132"/>
        <v>1</v>
      </c>
      <c r="T347" s="178">
        <f t="shared" si="133"/>
        <v>7</v>
      </c>
      <c r="U347" s="253">
        <f t="shared" si="134"/>
        <v>1.100135740449296</v>
      </c>
      <c r="V347" s="385">
        <f t="shared" si="135"/>
        <v>15.322669633255067</v>
      </c>
      <c r="W347" s="404">
        <f t="shared" si="136"/>
        <v>9.6284027404642245</v>
      </c>
      <c r="X347" s="157">
        <f t="shared" si="137"/>
        <v>45259</v>
      </c>
      <c r="Y347" s="387">
        <f t="shared" si="138"/>
        <v>8.8330055601940458</v>
      </c>
      <c r="Z347" s="387">
        <f t="shared" si="139"/>
        <v>9.2422200977487634</v>
      </c>
      <c r="AA347" s="388">
        <f t="shared" si="140"/>
        <v>11.116898574793039</v>
      </c>
      <c r="AB347" s="199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0.16863322665325092</v>
      </c>
      <c r="AD347" s="233">
        <f>(INDEX(Models!$BJ347:$BT347,,AH347)*(1-AF347)+INDEX(Models!$BJ347:$BT347,,AH347+1)*AF347-ERP_i)*AE347*Ramure*Pc/MaxiM</f>
        <v>0.11663649839845029</v>
      </c>
      <c r="AE347" s="307">
        <f t="shared" si="142"/>
        <v>0.9</v>
      </c>
      <c r="AF347" s="179">
        <f t="shared" si="143"/>
        <v>0.10013574044929596</v>
      </c>
      <c r="AG347" s="839">
        <f t="shared" si="149"/>
        <v>1</v>
      </c>
      <c r="AH347" s="178">
        <f t="shared" si="144"/>
        <v>7</v>
      </c>
      <c r="AI347" s="227">
        <f t="shared" si="145"/>
        <v>1.100135740449296</v>
      </c>
      <c r="AJ347" s="267" t="b">
        <f t="shared" si="146"/>
        <v>0</v>
      </c>
      <c r="AK347" s="267" t="b">
        <f t="shared" si="147"/>
        <v>0</v>
      </c>
      <c r="AL347" s="267"/>
      <c r="AM347" s="267"/>
      <c r="AN347" s="75"/>
    </row>
    <row r="348" spans="1:40" s="6" customFormat="1" ht="11.25" x14ac:dyDescent="0.2">
      <c r="A348" s="56">
        <f t="shared" si="148"/>
        <v>45260</v>
      </c>
      <c r="B348" s="413">
        <f>'2022'!Wh/'2022'!Env_an*'2023'!Env_an</f>
        <v>3.9015558140396389</v>
      </c>
      <c r="C348" s="868"/>
      <c r="D348" s="395">
        <f t="shared" si="127"/>
        <v>4.0824016782601182</v>
      </c>
      <c r="E348" s="387">
        <f t="shared" si="125"/>
        <v>4.5052667442856578</v>
      </c>
      <c r="F348" s="387">
        <f t="shared" si="128"/>
        <v>4.5052667442856578</v>
      </c>
      <c r="G348" s="110">
        <f t="shared" si="126"/>
        <v>0.22699885262055627</v>
      </c>
      <c r="H348" s="416" t="b">
        <f>Wh_hp&gt;='2022'!Maxi_hp</f>
        <v>0</v>
      </c>
      <c r="I348" s="392">
        <f>IF(H348,Wh_hp,'2022'!Maxi_hp)</f>
        <v>19.468754862857971</v>
      </c>
      <c r="J348" s="85">
        <f>IF(H348,An,'2022'!An_max)</f>
        <v>2021</v>
      </c>
      <c r="K348" s="199">
        <f t="shared" si="129"/>
        <v>45260</v>
      </c>
      <c r="L348" s="147">
        <f>IF(t&lt;Tvie,1-EXP((T0-t)*PertePVj)+'2022'!Pspv,1-EXP((T0-t)*PertePVj)+Pspv)</f>
        <v>4.4298890328095752E-2</v>
      </c>
      <c r="M348" s="872"/>
      <c r="N348" s="872"/>
      <c r="O348" s="48">
        <f>IF(t&lt;Tnet,'2022'!Resal+('2022'!Salim-'2022'!Resal)*(1-EXP(('2022'!Tnet-t)/('2022'!Tau_j))),Resal+(Salim-Resal)*(1-EXP((Tnet-t)/(Tau_j))))*Salcycl</f>
        <v>9.3860161900932673E-2</v>
      </c>
      <c r="P348" s="171">
        <f>(INDEX(Models!$BJ348:$BT348,,T348)*(1-R348)+INDEX(Models!$BJ348:$BT348,,T348+1)*R348-ERP_i)*Q348*Ramure*Pc/MaxiM</f>
        <v>0.11892889122595811</v>
      </c>
      <c r="Q348" s="307">
        <f t="shared" si="130"/>
        <v>0.9</v>
      </c>
      <c r="R348" s="179">
        <f t="shared" si="131"/>
        <v>0.10015631993926188</v>
      </c>
      <c r="S348" s="839">
        <f t="shared" si="132"/>
        <v>1</v>
      </c>
      <c r="T348" s="178">
        <f t="shared" si="133"/>
        <v>7</v>
      </c>
      <c r="U348" s="253">
        <f t="shared" si="134"/>
        <v>1.1001563199392619</v>
      </c>
      <c r="V348" s="385">
        <f t="shared" si="135"/>
        <v>15.143460274514272</v>
      </c>
      <c r="W348" s="404">
        <f t="shared" si="136"/>
        <v>3.9015558140396389</v>
      </c>
      <c r="X348" s="157">
        <f t="shared" si="137"/>
        <v>45260</v>
      </c>
      <c r="Y348" s="387">
        <f t="shared" si="138"/>
        <v>3.5797436093918096</v>
      </c>
      <c r="Z348" s="387">
        <f t="shared" si="139"/>
        <v>3.7456727560154754</v>
      </c>
      <c r="AA348" s="388">
        <f t="shared" si="140"/>
        <v>4.5052667442856578</v>
      </c>
      <c r="AB348" s="199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0.16860133514483425</v>
      </c>
      <c r="AD348" s="233">
        <f>(INDEX(Models!$BJ348:$BT348,,AH348)*(1-AF348)+INDEX(Models!$BJ348:$BT348,,AH348+1)*AF348-ERP_i)*AE348*Ramure*Pc/MaxiM</f>
        <v>0.11892889122595811</v>
      </c>
      <c r="AE348" s="307">
        <f t="shared" si="142"/>
        <v>0.9</v>
      </c>
      <c r="AF348" s="179">
        <f t="shared" si="143"/>
        <v>0.10015631993926188</v>
      </c>
      <c r="AG348" s="839">
        <f t="shared" si="149"/>
        <v>1</v>
      </c>
      <c r="AH348" s="178">
        <f t="shared" si="144"/>
        <v>7</v>
      </c>
      <c r="AI348" s="227">
        <f t="shared" si="145"/>
        <v>1.1001563199392619</v>
      </c>
      <c r="AJ348" s="267" t="b">
        <f t="shared" si="146"/>
        <v>0</v>
      </c>
      <c r="AK348" s="267" t="b">
        <f t="shared" si="147"/>
        <v>0</v>
      </c>
      <c r="AL348" s="267"/>
      <c r="AM348" s="267"/>
      <c r="AN348" s="75"/>
    </row>
    <row r="349" spans="1:40" s="6" customFormat="1" ht="11.25" x14ac:dyDescent="0.2">
      <c r="A349" s="56">
        <f t="shared" si="148"/>
        <v>45261</v>
      </c>
      <c r="B349" s="413">
        <f>'2022'!Wh/'2022'!Env_an*'2023'!Env_an</f>
        <v>3.3691001714298401</v>
      </c>
      <c r="C349" s="868"/>
      <c r="D349" s="395">
        <f t="shared" si="127"/>
        <v>3.5253475621620183</v>
      </c>
      <c r="E349" s="387">
        <f t="shared" si="125"/>
        <v>3.8909073310483078</v>
      </c>
      <c r="F349" s="387">
        <f t="shared" si="128"/>
        <v>3.8909073310483078</v>
      </c>
      <c r="G349" s="110">
        <f t="shared" si="126"/>
        <v>0.1978009745186928</v>
      </c>
      <c r="H349" s="416" t="b">
        <f>Wh_hp&gt;='2022'!Maxi_hp</f>
        <v>0</v>
      </c>
      <c r="I349" s="392">
        <f>IF(H349,Wh_hp,'2022'!Maxi_hp)</f>
        <v>18.687325201357915</v>
      </c>
      <c r="J349" s="85">
        <f>IF(H349,An,'2022'!An_max)</f>
        <v>2020</v>
      </c>
      <c r="K349" s="199">
        <f t="shared" si="129"/>
        <v>45261</v>
      </c>
      <c r="L349" s="147">
        <f>IF(t&lt;Tvie,1-EXP((T0-t)*PertePVj)+'2022'!Pspv,1-EXP((T0-t)*PertePVj)+Pspv)</f>
        <v>4.4321130889107274E-2</v>
      </c>
      <c r="M349" s="872"/>
      <c r="N349" s="872"/>
      <c r="O349" s="48">
        <f>IF(t&lt;Tnet,'2022'!Resal+('2022'!Salim-'2022'!Resal)*(1-EXP(('2022'!Tnet-t)/('2022'!Tau_j))),Resal+(Salim-Resal)*(1-EXP((Tnet-t)/(Tau_j))))*Salcycl</f>
        <v>9.3952319544911525E-2</v>
      </c>
      <c r="P349" s="171">
        <f>(INDEX(Models!$BJ349:$BT349,,T349)*(1-R349)+INDEX(Models!$BJ349:$BT349,,T349+1)*R349-ERP_i)*Q349*Ramure*Pc/MaxiM</f>
        <v>0.12126142978005858</v>
      </c>
      <c r="Q349" s="307">
        <f t="shared" si="130"/>
        <v>0.9</v>
      </c>
      <c r="R349" s="179">
        <f t="shared" si="131"/>
        <v>0.10017607216519231</v>
      </c>
      <c r="S349" s="839">
        <f t="shared" si="132"/>
        <v>1</v>
      </c>
      <c r="T349" s="178">
        <f t="shared" si="133"/>
        <v>7</v>
      </c>
      <c r="U349" s="253">
        <f t="shared" si="134"/>
        <v>1.1001760721651923</v>
      </c>
      <c r="V349" s="385">
        <f t="shared" si="135"/>
        <v>14.967359360963288</v>
      </c>
      <c r="W349" s="404">
        <f t="shared" si="136"/>
        <v>3.3691001714298401</v>
      </c>
      <c r="X349" s="157">
        <f t="shared" si="137"/>
        <v>45261</v>
      </c>
      <c r="Y349" s="387">
        <f t="shared" si="138"/>
        <v>3.0916242784632582</v>
      </c>
      <c r="Z349" s="387">
        <f t="shared" si="139"/>
        <v>3.2350032823677717</v>
      </c>
      <c r="AA349" s="388">
        <f t="shared" si="140"/>
        <v>3.8909073310483078</v>
      </c>
      <c r="AB349" s="199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0.16857354670120586</v>
      </c>
      <c r="AD349" s="233">
        <f>(INDEX(Models!$BJ349:$BT349,,AH349)*(1-AF349)+INDEX(Models!$BJ349:$BT349,,AH349+1)*AF349-ERP_i)*AE349*Ramure*Pc/MaxiM</f>
        <v>0.12126142978005858</v>
      </c>
      <c r="AE349" s="307">
        <f t="shared" si="142"/>
        <v>0.9</v>
      </c>
      <c r="AF349" s="179">
        <f t="shared" si="143"/>
        <v>0.10017607216519231</v>
      </c>
      <c r="AG349" s="839">
        <f t="shared" si="149"/>
        <v>1</v>
      </c>
      <c r="AH349" s="178">
        <f t="shared" si="144"/>
        <v>7</v>
      </c>
      <c r="AI349" s="227">
        <f t="shared" si="145"/>
        <v>1.1001760721651923</v>
      </c>
      <c r="AJ349" s="267" t="b">
        <f t="shared" si="146"/>
        <v>0</v>
      </c>
      <c r="AK349" s="267" t="b">
        <f t="shared" si="147"/>
        <v>0</v>
      </c>
      <c r="AL349" s="267"/>
      <c r="AM349" s="267"/>
      <c r="AN349" s="75"/>
    </row>
    <row r="350" spans="1:40" s="6" customFormat="1" ht="11.25" x14ac:dyDescent="0.2">
      <c r="A350" s="56">
        <f t="shared" si="148"/>
        <v>45262</v>
      </c>
      <c r="B350" s="413">
        <f>'2022'!Wh/'2022'!Env_an*'2023'!Env_an</f>
        <v>4.6400902837402276</v>
      </c>
      <c r="C350" s="868"/>
      <c r="D350" s="395">
        <f t="shared" si="127"/>
        <v>4.8553948589967071</v>
      </c>
      <c r="E350" s="387">
        <f t="shared" si="125"/>
        <v>5.3594306532199729</v>
      </c>
      <c r="F350" s="387">
        <f t="shared" si="128"/>
        <v>5.3723540618327226</v>
      </c>
      <c r="G350" s="110">
        <f t="shared" si="126"/>
        <v>0.27551116925254948</v>
      </c>
      <c r="H350" s="416" t="b">
        <f>Wh_hp&gt;='2022'!Maxi_hp</f>
        <v>0</v>
      </c>
      <c r="I350" s="392">
        <f>IF(H350,Wh_hp,'2022'!Maxi_hp)</f>
        <v>8.2113391342416708</v>
      </c>
      <c r="J350" s="85">
        <f>IF(H350,An,'2022'!An_max)</f>
        <v>2021</v>
      </c>
      <c r="K350" s="199">
        <f t="shared" si="129"/>
        <v>45262</v>
      </c>
      <c r="L350" s="147">
        <f>IF(t&lt;Tvie,1-EXP((T0-t)*PertePVj)+'2022'!Pspv,1-EXP((T0-t)*PertePVj)+Pspv)</f>
        <v>4.4343370932548476E-2</v>
      </c>
      <c r="M350" s="872"/>
      <c r="N350" s="872"/>
      <c r="O350" s="48">
        <f>IF(t&lt;Tnet,'2022'!Resal+('2022'!Salim-'2022'!Resal)*(1-EXP(('2022'!Tnet-t)/('2022'!Tau_j))),Resal+(Salim-Resal)*(1-EXP((Tnet-t)/(Tau_j))))*Salcycl</f>
        <v>9.404651852719445E-2</v>
      </c>
      <c r="P350" s="171">
        <f>(INDEX(Models!$BJ350:$BT350,,T350)*(1-R350)+INDEX(Models!$BJ350:$BT350,,T350+1)*R350-ERP_i)*Q350*Ramure*Pc/MaxiM</f>
        <v>0.123627573027322</v>
      </c>
      <c r="Q350" s="307">
        <f t="shared" si="130"/>
        <v>0.9</v>
      </c>
      <c r="R350" s="179">
        <f t="shared" si="131"/>
        <v>0.10019503033063337</v>
      </c>
      <c r="S350" s="839">
        <f t="shared" si="132"/>
        <v>1</v>
      </c>
      <c r="T350" s="178">
        <f t="shared" si="133"/>
        <v>7</v>
      </c>
      <c r="U350" s="253">
        <f t="shared" si="134"/>
        <v>1.1001950303306334</v>
      </c>
      <c r="V350" s="385">
        <f t="shared" si="135"/>
        <v>14.795235998822598</v>
      </c>
      <c r="W350" s="404">
        <f t="shared" si="136"/>
        <v>4.6400902837402276</v>
      </c>
      <c r="X350" s="157">
        <f t="shared" si="137"/>
        <v>45262</v>
      </c>
      <c r="Y350" s="387">
        <f t="shared" si="138"/>
        <v>4.2585010816286335</v>
      </c>
      <c r="Z350" s="387">
        <f t="shared" si="139"/>
        <v>4.4560995572061923</v>
      </c>
      <c r="AA350" s="388">
        <f t="shared" si="140"/>
        <v>5.3594306532199729</v>
      </c>
      <c r="AB350" s="199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0.16854982449881215</v>
      </c>
      <c r="AD350" s="233">
        <f>(INDEX(Models!$BJ350:$BT350,,AH350)*(1-AF350)+INDEX(Models!$BJ350:$BT350,,AH350+1)*AF350-ERP_i)*AE350*Ramure*Pc/MaxiM</f>
        <v>0.123627573027322</v>
      </c>
      <c r="AE350" s="307">
        <f t="shared" si="142"/>
        <v>0.9</v>
      </c>
      <c r="AF350" s="179">
        <f t="shared" si="143"/>
        <v>0.10019503033063337</v>
      </c>
      <c r="AG350" s="839">
        <f t="shared" si="149"/>
        <v>1</v>
      </c>
      <c r="AH350" s="178">
        <f t="shared" si="144"/>
        <v>7</v>
      </c>
      <c r="AI350" s="227">
        <f t="shared" si="145"/>
        <v>1.1001950303306334</v>
      </c>
      <c r="AJ350" s="267" t="b">
        <f t="shared" si="146"/>
        <v>0</v>
      </c>
      <c r="AK350" s="267" t="b">
        <f t="shared" si="147"/>
        <v>0</v>
      </c>
      <c r="AL350" s="267"/>
      <c r="AM350" s="267"/>
      <c r="AN350" s="75"/>
    </row>
    <row r="351" spans="1:40" s="6" customFormat="1" ht="11.25" x14ac:dyDescent="0.2">
      <c r="A351" s="56">
        <f t="shared" si="148"/>
        <v>45263</v>
      </c>
      <c r="B351" s="413">
        <f>'2022'!Wh/'2022'!Env_an*'2023'!Env_an</f>
        <v>7.2713422931879625</v>
      </c>
      <c r="C351" s="868"/>
      <c r="D351" s="395">
        <f t="shared" si="127"/>
        <v>7.6089165195029542</v>
      </c>
      <c r="E351" s="387">
        <f t="shared" si="125"/>
        <v>8.3996859656151521</v>
      </c>
      <c r="F351" s="387">
        <f t="shared" si="128"/>
        <v>8.7086783786359359</v>
      </c>
      <c r="G351" s="110">
        <f t="shared" si="126"/>
        <v>0.45042403068875719</v>
      </c>
      <c r="H351" s="416" t="b">
        <f>Wh_hp&gt;='2022'!Maxi_hp</f>
        <v>0</v>
      </c>
      <c r="I351" s="392">
        <f>IF(H351,Wh_hp,'2022'!Maxi_hp)</f>
        <v>13.277660836257485</v>
      </c>
      <c r="J351" s="85">
        <f>IF(H351,An,'2022'!An_max)</f>
        <v>2021</v>
      </c>
      <c r="K351" s="199">
        <f t="shared" si="129"/>
        <v>45263</v>
      </c>
      <c r="L351" s="147">
        <f>IF(t&lt;Tvie,1-EXP((T0-t)*PertePVj)+'2022'!Pspv,1-EXP((T0-t)*PertePVj)+Pspv)</f>
        <v>4.4365610458431348E-2</v>
      </c>
      <c r="M351" s="872"/>
      <c r="N351" s="872"/>
      <c r="O351" s="48">
        <f>IF(t&lt;Tnet,'2022'!Resal+('2022'!Salim-'2022'!Resal)*(1-EXP(('2022'!Tnet-t)/('2022'!Tau_j))),Resal+(Salim-Resal)*(1-EXP((Tnet-t)/(Tau_j))))*Salcycl</f>
        <v>9.4142739305883794E-2</v>
      </c>
      <c r="P351" s="171">
        <f>(INDEX(Models!$BJ351:$BT351,,T351)*(1-R351)+INDEX(Models!$BJ351:$BT351,,T351+1)*R351-ERP_i)*Q351*Ramure*Pc/MaxiM</f>
        <v>0.12602001235102997</v>
      </c>
      <c r="Q351" s="307">
        <f t="shared" si="130"/>
        <v>0.9</v>
      </c>
      <c r="R351" s="179">
        <f t="shared" si="131"/>
        <v>0.10021322631049134</v>
      </c>
      <c r="S351" s="839">
        <f t="shared" si="132"/>
        <v>1</v>
      </c>
      <c r="T351" s="178">
        <f t="shared" si="133"/>
        <v>7</v>
      </c>
      <c r="U351" s="253">
        <f t="shared" si="134"/>
        <v>1.1002132263104913</v>
      </c>
      <c r="V351" s="385">
        <f t="shared" si="135"/>
        <v>14.627958754668583</v>
      </c>
      <c r="W351" s="404">
        <f t="shared" si="136"/>
        <v>7.2713422931879625</v>
      </c>
      <c r="X351" s="157">
        <f t="shared" si="137"/>
        <v>45263</v>
      </c>
      <c r="Y351" s="387">
        <f t="shared" si="138"/>
        <v>6.6742326587582017</v>
      </c>
      <c r="Z351" s="387">
        <f t="shared" si="139"/>
        <v>6.9840858928904028</v>
      </c>
      <c r="AA351" s="388">
        <f t="shared" si="140"/>
        <v>8.3996859656151521</v>
      </c>
      <c r="AB351" s="199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0.16853011868772616</v>
      </c>
      <c r="AD351" s="233">
        <f>(INDEX(Models!$BJ351:$BT351,,AH351)*(1-AF351)+INDEX(Models!$BJ351:$BT351,,AH351+1)*AF351-ERP_i)*AE351*Ramure*Pc/MaxiM</f>
        <v>0.12602001235102997</v>
      </c>
      <c r="AE351" s="307">
        <f t="shared" si="142"/>
        <v>0.9</v>
      </c>
      <c r="AF351" s="179">
        <f t="shared" si="143"/>
        <v>0.10021322631049134</v>
      </c>
      <c r="AG351" s="839">
        <f t="shared" si="149"/>
        <v>1</v>
      </c>
      <c r="AH351" s="178">
        <f t="shared" si="144"/>
        <v>7</v>
      </c>
      <c r="AI351" s="227">
        <f t="shared" si="145"/>
        <v>1.1002132263104913</v>
      </c>
      <c r="AJ351" s="267" t="b">
        <f t="shared" si="146"/>
        <v>0</v>
      </c>
      <c r="AK351" s="267" t="b">
        <f t="shared" si="147"/>
        <v>0</v>
      </c>
      <c r="AL351" s="267"/>
      <c r="AM351" s="267"/>
      <c r="AN351" s="75"/>
    </row>
    <row r="352" spans="1:40" s="6" customFormat="1" ht="11.25" x14ac:dyDescent="0.2">
      <c r="A352" s="56">
        <f t="shared" si="148"/>
        <v>45264</v>
      </c>
      <c r="B352" s="413">
        <f>'2022'!Wh/'2022'!Env_an*'2023'!Env_an</f>
        <v>12.317938400609147</v>
      </c>
      <c r="C352" s="868"/>
      <c r="D352" s="395">
        <f t="shared" si="127"/>
        <v>12.890102322093469</v>
      </c>
      <c r="E352" s="387">
        <f t="shared" si="125"/>
        <v>14.23127088455125</v>
      </c>
      <c r="F352" s="387">
        <f t="shared" si="128"/>
        <v>15.832293352447371</v>
      </c>
      <c r="G352" s="110">
        <f t="shared" si="126"/>
        <v>0.82561920253991772</v>
      </c>
      <c r="H352" s="416" t="b">
        <f>Wh_hp&gt;='2022'!Maxi_hp</f>
        <v>0</v>
      </c>
      <c r="I352" s="392">
        <f>IF(H352,Wh_hp,'2022'!Maxi_hp)</f>
        <v>15.957241279151608</v>
      </c>
      <c r="J352" s="85">
        <f>IF(H352,An,'2022'!An_max)</f>
        <v>2022</v>
      </c>
      <c r="K352" s="199">
        <f t="shared" si="129"/>
        <v>45264</v>
      </c>
      <c r="L352" s="147">
        <f>IF(t&lt;Tvie,1-EXP((T0-t)*PertePVj)+'2022'!Pspv,1-EXP((T0-t)*PertePVj)+Pspv)</f>
        <v>4.4387849466767992E-2</v>
      </c>
      <c r="M352" s="872"/>
      <c r="N352" s="872"/>
      <c r="O352" s="48">
        <f>IF(t&lt;Tnet,'2022'!Resal+('2022'!Salim-'2022'!Resal)*(1-EXP(('2022'!Tnet-t)/('2022'!Tau_j))),Resal+(Salim-Resal)*(1-EXP((Tnet-t)/(Tau_j))))*Salcycl</f>
        <v>9.42409552412979E-2</v>
      </c>
      <c r="P352" s="171">
        <f>(INDEX(Models!$BJ352:$BT352,,T352)*(1-R352)+INDEX(Models!$BJ352:$BT352,,T352+1)*R352-ERP_i)*Q352*Ramure*Pc/MaxiM</f>
        <v>0.12836999653236192</v>
      </c>
      <c r="Q352" s="307">
        <f t="shared" si="130"/>
        <v>0.9</v>
      </c>
      <c r="R352" s="179">
        <f t="shared" si="131"/>
        <v>0.10023069070388102</v>
      </c>
      <c r="S352" s="839">
        <f t="shared" si="132"/>
        <v>1</v>
      </c>
      <c r="T352" s="178">
        <f t="shared" si="133"/>
        <v>7</v>
      </c>
      <c r="U352" s="253">
        <f t="shared" si="134"/>
        <v>1.100230690703881</v>
      </c>
      <c r="V352" s="385">
        <f t="shared" si="135"/>
        <v>14.467402250108861</v>
      </c>
      <c r="W352" s="404">
        <f t="shared" si="136"/>
        <v>12.317938400609147</v>
      </c>
      <c r="X352" s="157">
        <f t="shared" si="137"/>
        <v>45264</v>
      </c>
      <c r="Y352" s="387">
        <f t="shared" si="138"/>
        <v>11.307851538981925</v>
      </c>
      <c r="Z352" s="387">
        <f t="shared" si="139"/>
        <v>11.833097279761605</v>
      </c>
      <c r="AA352" s="388">
        <f t="shared" si="140"/>
        <v>14.23127088455125</v>
      </c>
      <c r="AB352" s="199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0.16851436700519715</v>
      </c>
      <c r="AD352" s="233">
        <f>(INDEX(Models!$BJ352:$BT352,,AH352)*(1-AF352)+INDEX(Models!$BJ352:$BT352,,AH352+1)*AF352-ERP_i)*AE352*Ramure*Pc/MaxiM</f>
        <v>0.12836999653236192</v>
      </c>
      <c r="AE352" s="307">
        <f t="shared" si="142"/>
        <v>0.9</v>
      </c>
      <c r="AF352" s="179">
        <f t="shared" si="143"/>
        <v>0.10023069070388102</v>
      </c>
      <c r="AG352" s="839">
        <f t="shared" si="149"/>
        <v>1</v>
      </c>
      <c r="AH352" s="178">
        <f t="shared" si="144"/>
        <v>7</v>
      </c>
      <c r="AI352" s="227">
        <f t="shared" si="145"/>
        <v>1.100230690703881</v>
      </c>
      <c r="AJ352" s="267" t="b">
        <f t="shared" si="146"/>
        <v>0</v>
      </c>
      <c r="AK352" s="267" t="b">
        <f t="shared" si="147"/>
        <v>0</v>
      </c>
      <c r="AL352" s="267"/>
      <c r="AM352" s="267"/>
      <c r="AN352" s="75"/>
    </row>
    <row r="353" spans="1:40" s="6" customFormat="1" ht="11.25" x14ac:dyDescent="0.2">
      <c r="A353" s="56">
        <f t="shared" si="148"/>
        <v>45265</v>
      </c>
      <c r="B353" s="413">
        <f>'2022'!Wh/'2022'!Env_an*'2023'!Env_an</f>
        <v>14.419011092430926</v>
      </c>
      <c r="C353" s="868"/>
      <c r="D353" s="395">
        <f t="shared" si="127"/>
        <v>15.089120249932799</v>
      </c>
      <c r="E353" s="387">
        <f t="shared" si="125"/>
        <v>16.660931393386093</v>
      </c>
      <c r="F353" s="387">
        <f t="shared" si="128"/>
        <v>19.163900067358476</v>
      </c>
      <c r="G353" s="110">
        <f t="shared" si="126"/>
        <v>1.0072377932128673</v>
      </c>
      <c r="H353" s="416" t="b">
        <f>Wh_hp&gt;='2022'!Maxi_hp</f>
        <v>1</v>
      </c>
      <c r="I353" s="392">
        <f>IF(H353,Wh_hp,'2022'!Maxi_hp)</f>
        <v>19.163900067358476</v>
      </c>
      <c r="J353" s="85">
        <f>IF(H353,An,'2022'!An_max)</f>
        <v>2023</v>
      </c>
      <c r="K353" s="199">
        <f t="shared" si="129"/>
        <v>45265</v>
      </c>
      <c r="L353" s="147">
        <f>IF(t&lt;Tvie,1-EXP((T0-t)*PertePVj)+'2022'!Pspv,1-EXP((T0-t)*PertePVj)+Pspv)</f>
        <v>4.4410087957570399E-2</v>
      </c>
      <c r="M353" s="872"/>
      <c r="N353" s="872"/>
      <c r="O353" s="48">
        <f>IF(t&lt;Tnet,'2022'!Resal+('2022'!Salim-'2022'!Resal)*(1-EXP(('2022'!Tnet-t)/('2022'!Tau_j))),Resal+(Salim-Resal)*(1-EXP((Tnet-t)/(Tau_j))))*Salcycl</f>
        <v>9.4341132937937403E-2</v>
      </c>
      <c r="P353" s="171">
        <f>(INDEX(Models!$BJ353:$BT353,,T353)*(1-R353)+INDEX(Models!$BJ353:$BT353,,T353+1)*R353-ERP_i)*Q353*Ramure*Pc/MaxiM</f>
        <v>0.13060852254367805</v>
      </c>
      <c r="Q353" s="307">
        <f t="shared" si="130"/>
        <v>0.9</v>
      </c>
      <c r="R353" s="179">
        <f t="shared" si="131"/>
        <v>0.10024745288489534</v>
      </c>
      <c r="S353" s="839">
        <f t="shared" si="132"/>
        <v>1</v>
      </c>
      <c r="T353" s="178">
        <f t="shared" si="133"/>
        <v>7</v>
      </c>
      <c r="U353" s="253">
        <f t="shared" si="134"/>
        <v>1.1002474528848953</v>
      </c>
      <c r="V353" s="385">
        <f t="shared" si="135"/>
        <v>14.315399193310103</v>
      </c>
      <c r="W353" s="404">
        <f t="shared" si="136"/>
        <v>14.419011092430926</v>
      </c>
      <c r="X353" s="157">
        <f t="shared" si="137"/>
        <v>45265</v>
      </c>
      <c r="Y353" s="387">
        <f t="shared" si="138"/>
        <v>13.238286707498482</v>
      </c>
      <c r="Z353" s="387">
        <f t="shared" si="139"/>
        <v>13.85352287698772</v>
      </c>
      <c r="AA353" s="388">
        <f t="shared" si="140"/>
        <v>16.660931393386093</v>
      </c>
      <c r="AB353" s="199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0.16850249545549606</v>
      </c>
      <c r="AD353" s="233">
        <f>(INDEX(Models!$BJ353:$BT353,,AH353)*(1-AF353)+INDEX(Models!$BJ353:$BT353,,AH353+1)*AF353-ERP_i)*AE353*Ramure*Pc/MaxiM</f>
        <v>0.13060852254367805</v>
      </c>
      <c r="AE353" s="307">
        <f t="shared" si="142"/>
        <v>0.9</v>
      </c>
      <c r="AF353" s="179">
        <f t="shared" si="143"/>
        <v>0.10024745288489534</v>
      </c>
      <c r="AG353" s="839">
        <f t="shared" si="149"/>
        <v>1</v>
      </c>
      <c r="AH353" s="178">
        <f t="shared" si="144"/>
        <v>7</v>
      </c>
      <c r="AI353" s="227">
        <f t="shared" si="145"/>
        <v>1.1002474528848953</v>
      </c>
      <c r="AJ353" s="267" t="b">
        <f t="shared" si="146"/>
        <v>0</v>
      </c>
      <c r="AK353" s="267" t="b">
        <f t="shared" si="147"/>
        <v>0</v>
      </c>
      <c r="AL353" s="267"/>
      <c r="AM353" s="267"/>
      <c r="AN353" s="75"/>
    </row>
    <row r="354" spans="1:40" s="6" customFormat="1" ht="11.25" x14ac:dyDescent="0.2">
      <c r="A354" s="56">
        <f t="shared" si="148"/>
        <v>45266</v>
      </c>
      <c r="B354" s="413">
        <f>'2022'!Wh/'2022'!Env_an*'2023'!Env_an</f>
        <v>10.327397073076416</v>
      </c>
      <c r="C354" s="868"/>
      <c r="D354" s="395">
        <f t="shared" si="127"/>
        <v>10.807604059164811</v>
      </c>
      <c r="E354" s="387">
        <f t="shared" si="125"/>
        <v>11.934761517459533</v>
      </c>
      <c r="F354" s="387">
        <f t="shared" si="128"/>
        <v>12.990627168955204</v>
      </c>
      <c r="G354" s="110">
        <f t="shared" si="126"/>
        <v>0.68787389028597801</v>
      </c>
      <c r="H354" s="416" t="b">
        <f>Wh_hp&gt;='2022'!Maxi_hp</f>
        <v>0</v>
      </c>
      <c r="I354" s="392">
        <f>IF(H354,Wh_hp,'2022'!Maxi_hp)</f>
        <v>16.199835950430391</v>
      </c>
      <c r="J354" s="85">
        <f>IF(H354,An,'2022'!An_max)</f>
        <v>2020</v>
      </c>
      <c r="K354" s="199">
        <f t="shared" si="129"/>
        <v>45266</v>
      </c>
      <c r="L354" s="147">
        <f>IF(t&lt;Tvie,1-EXP((T0-t)*PertePVj)+'2022'!Pspv,1-EXP((T0-t)*PertePVj)+Pspv)</f>
        <v>4.4432325930850669E-2</v>
      </c>
      <c r="M354" s="872"/>
      <c r="N354" s="872"/>
      <c r="O354" s="48">
        <f>IF(t&lt;Tnet,'2022'!Resal+('2022'!Salim-'2022'!Resal)*(1-EXP(('2022'!Tnet-t)/('2022'!Tau_j))),Resal+(Salim-Resal)*(1-EXP((Tnet-t)/(Tau_j))))*Salcycl</f>
        <v>9.4443232623105708E-2</v>
      </c>
      <c r="P354" s="171">
        <f>(INDEX(Models!$BJ354:$BT354,,T354)*(1-R354)+INDEX(Models!$BJ354:$BT354,,T354+1)*R354-ERP_i)*Q354*Ramure*Pc/MaxiM</f>
        <v>0.13272323213047518</v>
      </c>
      <c r="Q354" s="307">
        <f t="shared" si="130"/>
        <v>0.9</v>
      </c>
      <c r="R354" s="179">
        <f t="shared" si="131"/>
        <v>0.10026354105137725</v>
      </c>
      <c r="S354" s="839">
        <f t="shared" si="132"/>
        <v>1</v>
      </c>
      <c r="T354" s="178">
        <f t="shared" si="133"/>
        <v>7</v>
      </c>
      <c r="U354" s="253">
        <f t="shared" si="134"/>
        <v>1.1002635410513772</v>
      </c>
      <c r="V354" s="385">
        <f t="shared" si="135"/>
        <v>14.172815594053843</v>
      </c>
      <c r="W354" s="404">
        <f t="shared" si="136"/>
        <v>10.327397073076416</v>
      </c>
      <c r="X354" s="157">
        <f t="shared" si="137"/>
        <v>45266</v>
      </c>
      <c r="Y354" s="387">
        <f t="shared" si="138"/>
        <v>9.4828823684046597</v>
      </c>
      <c r="Z354" s="387">
        <f t="shared" si="139"/>
        <v>9.9238208090727387</v>
      </c>
      <c r="AA354" s="388">
        <f t="shared" si="140"/>
        <v>11.934761517459533</v>
      </c>
      <c r="AB354" s="199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0.16849441905018053</v>
      </c>
      <c r="AD354" s="233">
        <f>(INDEX(Models!$BJ354:$BT354,,AH354)*(1-AF354)+INDEX(Models!$BJ354:$BT354,,AH354+1)*AF354-ERP_i)*AE354*Ramure*Pc/MaxiM</f>
        <v>0.13272323213047518</v>
      </c>
      <c r="AE354" s="307">
        <f t="shared" si="142"/>
        <v>0.9</v>
      </c>
      <c r="AF354" s="179">
        <f t="shared" si="143"/>
        <v>0.10026354105137725</v>
      </c>
      <c r="AG354" s="839">
        <f t="shared" si="149"/>
        <v>1</v>
      </c>
      <c r="AH354" s="178">
        <f t="shared" si="144"/>
        <v>7</v>
      </c>
      <c r="AI354" s="227">
        <f t="shared" si="145"/>
        <v>1.1002635410513772</v>
      </c>
      <c r="AJ354" s="267" t="b">
        <f t="shared" si="146"/>
        <v>0</v>
      </c>
      <c r="AK354" s="267" t="b">
        <f t="shared" si="147"/>
        <v>0</v>
      </c>
      <c r="AL354" s="267"/>
      <c r="AM354" s="267"/>
      <c r="AN354" s="75"/>
    </row>
    <row r="355" spans="1:40" s="6" customFormat="1" ht="11.25" x14ac:dyDescent="0.2">
      <c r="A355" s="56">
        <f t="shared" si="148"/>
        <v>45267</v>
      </c>
      <c r="B355" s="413">
        <f>'2022'!Wh/'2022'!Env_an*'2023'!Env_an</f>
        <v>12.684134337407768</v>
      </c>
      <c r="C355" s="868"/>
      <c r="D355" s="395">
        <f t="shared" si="127"/>
        <v>13.274234642742439</v>
      </c>
      <c r="E355" s="387">
        <f t="shared" si="125"/>
        <v>14.660327703684453</v>
      </c>
      <c r="F355" s="387">
        <f t="shared" si="128"/>
        <v>16.586174497082897</v>
      </c>
      <c r="G355" s="110">
        <f t="shared" si="126"/>
        <v>0.88439514585861112</v>
      </c>
      <c r="H355" s="416" t="b">
        <f>Wh_hp&gt;='2022'!Maxi_hp</f>
        <v>0</v>
      </c>
      <c r="I355" s="392">
        <f>IF(H355,Wh_hp,'2022'!Maxi_hp)</f>
        <v>16.678463487438538</v>
      </c>
      <c r="J355" s="85">
        <f>IF(H355,An,'2022'!An_max)</f>
        <v>2022</v>
      </c>
      <c r="K355" s="199">
        <f t="shared" si="129"/>
        <v>45267</v>
      </c>
      <c r="L355" s="147">
        <f>IF(t&lt;Tvie,1-EXP((T0-t)*PertePVj)+'2022'!Pspv,1-EXP((T0-t)*PertePVj)+Pspv)</f>
        <v>4.4454563386620793E-2</v>
      </c>
      <c r="M355" s="872"/>
      <c r="N355" s="872"/>
      <c r="O355" s="48">
        <f>IF(t&lt;Tnet,'2022'!Resal+('2022'!Salim-'2022'!Resal)*(1-EXP(('2022'!Tnet-t)/('2022'!Tau_j))),Resal+(Salim-Resal)*(1-EXP((Tnet-t)/(Tau_j))))*Salcycl</f>
        <v>9.4547208558895979E-2</v>
      </c>
      <c r="P355" s="171">
        <f>(INDEX(Models!$BJ355:$BT355,,T355)*(1-R355)+INDEX(Models!$BJ355:$BT355,,T355+1)*R355-ERP_i)*Q355*Ramure*Pc/MaxiM</f>
        <v>0.13470128839264048</v>
      </c>
      <c r="Q355" s="307">
        <f t="shared" si="130"/>
        <v>0.9</v>
      </c>
      <c r="R355" s="179">
        <f t="shared" si="131"/>
        <v>0.10027898227177334</v>
      </c>
      <c r="S355" s="839">
        <f t="shared" si="132"/>
        <v>1</v>
      </c>
      <c r="T355" s="178">
        <f t="shared" si="133"/>
        <v>7</v>
      </c>
      <c r="U355" s="253">
        <f t="shared" si="134"/>
        <v>1.1002789822717733</v>
      </c>
      <c r="V355" s="385">
        <f t="shared" si="135"/>
        <v>14.04051674252489</v>
      </c>
      <c r="W355" s="404">
        <f t="shared" si="136"/>
        <v>12.684134337407768</v>
      </c>
      <c r="X355" s="157">
        <f t="shared" si="137"/>
        <v>45267</v>
      </c>
      <c r="Y355" s="387">
        <f t="shared" si="138"/>
        <v>11.648298069450972</v>
      </c>
      <c r="Z355" s="387">
        <f t="shared" si="139"/>
        <v>12.190208464324401</v>
      </c>
      <c r="AA355" s="388">
        <f t="shared" si="140"/>
        <v>14.660327703684453</v>
      </c>
      <c r="AB355" s="199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0.16849004260247599</v>
      </c>
      <c r="AD355" s="233">
        <f>(INDEX(Models!$BJ355:$BT355,,AH355)*(1-AF355)+INDEX(Models!$BJ355:$BT355,,AH355+1)*AF355-ERP_i)*AE355*Ramure*Pc/MaxiM</f>
        <v>0.13470128839264048</v>
      </c>
      <c r="AE355" s="307">
        <f t="shared" si="142"/>
        <v>0.9</v>
      </c>
      <c r="AF355" s="179">
        <f t="shared" si="143"/>
        <v>0.10027898227177334</v>
      </c>
      <c r="AG355" s="839">
        <f t="shared" si="149"/>
        <v>1</v>
      </c>
      <c r="AH355" s="178">
        <f t="shared" si="144"/>
        <v>7</v>
      </c>
      <c r="AI355" s="227">
        <f t="shared" si="145"/>
        <v>1.1002789822717733</v>
      </c>
      <c r="AJ355" s="267" t="b">
        <f t="shared" si="146"/>
        <v>0</v>
      </c>
      <c r="AK355" s="267" t="b">
        <f t="shared" si="147"/>
        <v>0</v>
      </c>
      <c r="AL355" s="267"/>
      <c r="AM355" s="267"/>
      <c r="AN355" s="75"/>
    </row>
    <row r="356" spans="1:40" s="6" customFormat="1" ht="11.25" x14ac:dyDescent="0.2">
      <c r="A356" s="56">
        <f t="shared" si="148"/>
        <v>45268</v>
      </c>
      <c r="B356" s="413">
        <f>'2022'!Wh/'2022'!Env_an*'2023'!Env_an</f>
        <v>3.7804756504239796</v>
      </c>
      <c r="C356" s="868"/>
      <c r="D356" s="395">
        <f t="shared" si="127"/>
        <v>3.9564456956245544</v>
      </c>
      <c r="E356" s="387">
        <f t="shared" si="125"/>
        <v>4.37008764271659</v>
      </c>
      <c r="F356" s="387">
        <f t="shared" si="128"/>
        <v>4.37008764271659</v>
      </c>
      <c r="G356" s="110">
        <f t="shared" si="126"/>
        <v>0.23451707100370303</v>
      </c>
      <c r="H356" s="416" t="b">
        <f>Wh_hp&gt;='2022'!Maxi_hp</f>
        <v>0</v>
      </c>
      <c r="I356" s="392">
        <f>IF(H356,Wh_hp,'2022'!Maxi_hp)</f>
        <v>15.165312115790208</v>
      </c>
      <c r="J356" s="85">
        <f>IF(H356,An,'2022'!An_max)</f>
        <v>2019</v>
      </c>
      <c r="K356" s="199">
        <f t="shared" si="129"/>
        <v>45268</v>
      </c>
      <c r="L356" s="147">
        <f>IF(t&lt;Tvie,1-EXP((T0-t)*PertePVj)+'2022'!Pspv,1-EXP((T0-t)*PertePVj)+Pspv)</f>
        <v>4.4476800324892762E-2</v>
      </c>
      <c r="M356" s="872"/>
      <c r="N356" s="872"/>
      <c r="O356" s="48">
        <f>IF(t&lt;Tnet,'2022'!Resal+('2022'!Salim-'2022'!Resal)*(1-EXP(('2022'!Tnet-t)/('2022'!Tau_j))),Resal+(Salim-Resal)*(1-EXP((Tnet-t)/(Tau_j))))*Salcycl</f>
        <v>9.4653009484016379E-2</v>
      </c>
      <c r="P356" s="171">
        <f>(INDEX(Models!$BJ356:$BT356,,T356)*(1-R356)+INDEX(Models!$BJ356:$BT356,,T356+1)*R356-ERP_i)*Q356*Ramure*Pc/MaxiM</f>
        <v>0.1365294921770393</v>
      </c>
      <c r="Q356" s="307">
        <f t="shared" si="130"/>
        <v>0.9</v>
      </c>
      <c r="R356" s="179">
        <f t="shared" si="131"/>
        <v>0.10029380253013986</v>
      </c>
      <c r="S356" s="839">
        <f t="shared" si="132"/>
        <v>1</v>
      </c>
      <c r="T356" s="178">
        <f t="shared" si="133"/>
        <v>7</v>
      </c>
      <c r="U356" s="253">
        <f t="shared" si="134"/>
        <v>1.1002938025301399</v>
      </c>
      <c r="V356" s="385">
        <f t="shared" si="135"/>
        <v>13.919367215840708</v>
      </c>
      <c r="W356" s="404">
        <f t="shared" si="136"/>
        <v>3.7804756504239796</v>
      </c>
      <c r="X356" s="157">
        <f t="shared" si="137"/>
        <v>45268</v>
      </c>
      <c r="Y356" s="387">
        <f t="shared" si="138"/>
        <v>3.4721561264731324</v>
      </c>
      <c r="Z356" s="387">
        <f t="shared" si="139"/>
        <v>3.6337748028030292</v>
      </c>
      <c r="AA356" s="388">
        <f t="shared" si="140"/>
        <v>4.37008764271659</v>
      </c>
      <c r="AB356" s="199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0.16848926156909846</v>
      </c>
      <c r="AD356" s="233">
        <f>(INDEX(Models!$BJ356:$BT356,,AH356)*(1-AF356)+INDEX(Models!$BJ356:$BT356,,AH356+1)*AF356-ERP_i)*AE356*Ramure*Pc/MaxiM</f>
        <v>0.1365294921770393</v>
      </c>
      <c r="AE356" s="307">
        <f t="shared" si="142"/>
        <v>0.9</v>
      </c>
      <c r="AF356" s="179">
        <f t="shared" si="143"/>
        <v>0.10029380253013986</v>
      </c>
      <c r="AG356" s="839">
        <f t="shared" si="149"/>
        <v>1</v>
      </c>
      <c r="AH356" s="178">
        <f t="shared" si="144"/>
        <v>7</v>
      </c>
      <c r="AI356" s="227">
        <f t="shared" si="145"/>
        <v>1.1002938025301399</v>
      </c>
      <c r="AJ356" s="267" t="b">
        <f t="shared" si="146"/>
        <v>0</v>
      </c>
      <c r="AK356" s="267" t="b">
        <f t="shared" si="147"/>
        <v>0</v>
      </c>
      <c r="AL356" s="267"/>
      <c r="AM356" s="267"/>
      <c r="AN356" s="75"/>
    </row>
    <row r="357" spans="1:40" s="6" customFormat="1" ht="11.25" x14ac:dyDescent="0.2">
      <c r="A357" s="56">
        <f t="shared" si="148"/>
        <v>45269</v>
      </c>
      <c r="B357" s="413">
        <f>'2022'!Wh/'2022'!Env_an*'2023'!Env_an</f>
        <v>7.1958841881983213</v>
      </c>
      <c r="C357" s="868"/>
      <c r="D357" s="395">
        <f t="shared" si="127"/>
        <v>7.5310067335672866</v>
      </c>
      <c r="E357" s="387">
        <f t="shared" si="125"/>
        <v>8.3193534876416937</v>
      </c>
      <c r="F357" s="387">
        <f t="shared" si="128"/>
        <v>8.6989834757235158</v>
      </c>
      <c r="G357" s="110">
        <f t="shared" si="126"/>
        <v>0.46953876686786922</v>
      </c>
      <c r="H357" s="416" t="b">
        <f>Wh_hp&gt;='2022'!Maxi_hp</f>
        <v>0</v>
      </c>
      <c r="I357" s="392">
        <f>IF(H357,Wh_hp,'2022'!Maxi_hp)</f>
        <v>9.1704580125425537</v>
      </c>
      <c r="J357" s="85">
        <f>IF(H357,An,'2022'!An_max)</f>
        <v>2020</v>
      </c>
      <c r="K357" s="199">
        <f t="shared" si="129"/>
        <v>45269</v>
      </c>
      <c r="L357" s="147">
        <f>IF(t&lt;Tvie,1-EXP((T0-t)*PertePVj)+'2022'!Pspv,1-EXP((T0-t)*PertePVj)+Pspv)</f>
        <v>4.4499036745678788E-2</v>
      </c>
      <c r="M357" s="872"/>
      <c r="N357" s="872"/>
      <c r="O357" s="48">
        <f>IF(t&lt;Tnet,'2022'!Resal+('2022'!Salim-'2022'!Resal)*(1-EXP(('2022'!Tnet-t)/('2022'!Tau_j))),Resal+(Salim-Resal)*(1-EXP((Tnet-t)/(Tau_j))))*Salcycl</f>
        <v>9.4760579081714411E-2</v>
      </c>
      <c r="P357" s="171">
        <f>(INDEX(Models!$BJ357:$BT357,,T357)*(1-R357)+INDEX(Models!$BJ357:$BT357,,T357+1)*R357-ERP_i)*Q357*Ramure*Pc/MaxiM</f>
        <v>0.13819442060810566</v>
      </c>
      <c r="Q357" s="307">
        <f t="shared" si="130"/>
        <v>0.9</v>
      </c>
      <c r="R357" s="179">
        <f t="shared" si="131"/>
        <v>0.10030802676937167</v>
      </c>
      <c r="S357" s="839">
        <f t="shared" si="132"/>
        <v>1</v>
      </c>
      <c r="T357" s="178">
        <f t="shared" si="133"/>
        <v>7</v>
      </c>
      <c r="U357" s="253">
        <f t="shared" si="134"/>
        <v>1.1003080267693717</v>
      </c>
      <c r="V357" s="385">
        <f t="shared" si="135"/>
        <v>13.810230892463297</v>
      </c>
      <c r="W357" s="404">
        <f t="shared" si="136"/>
        <v>7.1958841881983213</v>
      </c>
      <c r="X357" s="157">
        <f t="shared" si="137"/>
        <v>45269</v>
      </c>
      <c r="Y357" s="387">
        <f t="shared" si="138"/>
        <v>6.6097823382723702</v>
      </c>
      <c r="Z357" s="387">
        <f t="shared" si="139"/>
        <v>6.9176092881793103</v>
      </c>
      <c r="AA357" s="388">
        <f t="shared" si="140"/>
        <v>8.3193534876416937</v>
      </c>
      <c r="AB357" s="199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0.16849196293253538</v>
      </c>
      <c r="AD357" s="233">
        <f>(INDEX(Models!$BJ357:$BT357,,AH357)*(1-AF357)+INDEX(Models!$BJ357:$BT357,,AH357+1)*AF357-ERP_i)*AE357*Ramure*Pc/MaxiM</f>
        <v>0.13819442060810566</v>
      </c>
      <c r="AE357" s="307">
        <f t="shared" si="142"/>
        <v>0.9</v>
      </c>
      <c r="AF357" s="179">
        <f t="shared" si="143"/>
        <v>0.10030802676937167</v>
      </c>
      <c r="AG357" s="839">
        <f t="shared" si="149"/>
        <v>1</v>
      </c>
      <c r="AH357" s="178">
        <f t="shared" si="144"/>
        <v>7</v>
      </c>
      <c r="AI357" s="227">
        <f t="shared" si="145"/>
        <v>1.1003080267693717</v>
      </c>
      <c r="AJ357" s="267" t="b">
        <f t="shared" si="146"/>
        <v>0</v>
      </c>
      <c r="AK357" s="267" t="b">
        <f t="shared" si="147"/>
        <v>0</v>
      </c>
      <c r="AL357" s="267"/>
      <c r="AM357" s="267"/>
      <c r="AN357" s="75"/>
    </row>
    <row r="358" spans="1:40" s="6" customFormat="1" ht="11.25" x14ac:dyDescent="0.2">
      <c r="A358" s="56">
        <f t="shared" si="148"/>
        <v>45270</v>
      </c>
      <c r="B358" s="413">
        <f>'2022'!Wh/'2022'!Env_an*'2023'!Env_an</f>
        <v>10.527178928394729</v>
      </c>
      <c r="C358" s="868"/>
      <c r="D358" s="395">
        <f t="shared" si="127"/>
        <v>11.017700998514657</v>
      </c>
      <c r="E358" s="387">
        <f t="shared" si="125"/>
        <v>12.172504779858876</v>
      </c>
      <c r="F358" s="387">
        <f t="shared" si="128"/>
        <v>13.425253300796719</v>
      </c>
      <c r="G358" s="110">
        <f t="shared" si="126"/>
        <v>0.7283666070004523</v>
      </c>
      <c r="H358" s="416" t="b">
        <f>Wh_hp&gt;='2022'!Maxi_hp</f>
        <v>0</v>
      </c>
      <c r="I358" s="392">
        <f>IF(H358,Wh_hp,'2022'!Maxi_hp)</f>
        <v>16.668106879337483</v>
      </c>
      <c r="J358" s="85">
        <f>IF(H358,An,'2022'!An_max)</f>
        <v>2019</v>
      </c>
      <c r="K358" s="199">
        <f t="shared" si="129"/>
        <v>45270</v>
      </c>
      <c r="L358" s="147">
        <f>IF(t&lt;Tvie,1-EXP((T0-t)*PertePVj)+'2022'!Pspv,1-EXP((T0-t)*PertePVj)+Pspv)</f>
        <v>4.4521272648990751E-2</v>
      </c>
      <c r="M358" s="872"/>
      <c r="N358" s="872"/>
      <c r="O358" s="48">
        <f>IF(t&lt;Tnet,'2022'!Resal+('2022'!Salim-'2022'!Resal)*(1-EXP(('2022'!Tnet-t)/('2022'!Tau_j))),Resal+(Salim-Resal)*(1-EXP((Tnet-t)/(Tau_j))))*Salcycl</f>
        <v>9.4869856469886493E-2</v>
      </c>
      <c r="P358" s="171">
        <f>(INDEX(Models!$BJ358:$BT358,,T358)*(1-R358)+INDEX(Models!$BJ358:$BT358,,T358+1)*R358-ERP_i)*Q358*Ramure*Pc/MaxiM</f>
        <v>0.13968258788613661</v>
      </c>
      <c r="Q358" s="307">
        <f t="shared" si="130"/>
        <v>0.9</v>
      </c>
      <c r="R358" s="179">
        <f t="shared" si="131"/>
        <v>0.10032167893272792</v>
      </c>
      <c r="S358" s="839">
        <f t="shared" si="132"/>
        <v>1</v>
      </c>
      <c r="T358" s="178">
        <f t="shared" si="133"/>
        <v>7</v>
      </c>
      <c r="U358" s="253">
        <f t="shared" si="134"/>
        <v>1.1003216789327279</v>
      </c>
      <c r="V358" s="385">
        <f t="shared" si="135"/>
        <v>13.71397095629313</v>
      </c>
      <c r="W358" s="404">
        <f t="shared" si="136"/>
        <v>10.527178928394729</v>
      </c>
      <c r="X358" s="157">
        <f t="shared" si="137"/>
        <v>45270</v>
      </c>
      <c r="Y358" s="387">
        <f t="shared" si="138"/>
        <v>9.670841393310889</v>
      </c>
      <c r="Z358" s="387">
        <f t="shared" si="139"/>
        <v>10.12146175155835</v>
      </c>
      <c r="AA358" s="388">
        <f t="shared" si="140"/>
        <v>12.172504779858876</v>
      </c>
      <c r="AB358" s="199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0.16849802611655296</v>
      </c>
      <c r="AD358" s="233">
        <f>(INDEX(Models!$BJ358:$BT358,,AH358)*(1-AF358)+INDEX(Models!$BJ358:$BT358,,AH358+1)*AF358-ERP_i)*AE358*Ramure*Pc/MaxiM</f>
        <v>0.13968258788613661</v>
      </c>
      <c r="AE358" s="307">
        <f t="shared" si="142"/>
        <v>0.9</v>
      </c>
      <c r="AF358" s="179">
        <f t="shared" si="143"/>
        <v>0.10032167893272792</v>
      </c>
      <c r="AG358" s="839">
        <f t="shared" si="149"/>
        <v>1</v>
      </c>
      <c r="AH358" s="178">
        <f t="shared" si="144"/>
        <v>7</v>
      </c>
      <c r="AI358" s="227">
        <f t="shared" si="145"/>
        <v>1.1003216789327279</v>
      </c>
      <c r="AJ358" s="267" t="b">
        <f t="shared" si="146"/>
        <v>0</v>
      </c>
      <c r="AK358" s="267" t="b">
        <f t="shared" si="147"/>
        <v>0</v>
      </c>
      <c r="AL358" s="267"/>
      <c r="AM358" s="267"/>
      <c r="AN358" s="75"/>
    </row>
    <row r="359" spans="1:40" s="6" customFormat="1" ht="11.25" x14ac:dyDescent="0.2">
      <c r="A359" s="56">
        <f t="shared" si="148"/>
        <v>45271</v>
      </c>
      <c r="B359" s="413">
        <f>'2022'!Wh/'2022'!Env_an*'2023'!Env_an</f>
        <v>11.014409095075351</v>
      </c>
      <c r="C359" s="868"/>
      <c r="D359" s="395">
        <f t="shared" si="127"/>
        <v>11.527902303977429</v>
      </c>
      <c r="E359" s="387">
        <f t="shared" si="125"/>
        <v>12.737743030542013</v>
      </c>
      <c r="F359" s="387">
        <f t="shared" si="128"/>
        <v>14.190241088507127</v>
      </c>
      <c r="G359" s="110">
        <f t="shared" si="126"/>
        <v>0.77336663231438119</v>
      </c>
      <c r="H359" s="416" t="b">
        <f>Wh_hp&gt;='2022'!Maxi_hp</f>
        <v>0</v>
      </c>
      <c r="I359" s="392">
        <f>IF(H359,Wh_hp,'2022'!Maxi_hp)</f>
        <v>15.154011286324524</v>
      </c>
      <c r="J359" s="85">
        <f>IF(H359,An,'2022'!An_max)</f>
        <v>2018</v>
      </c>
      <c r="K359" s="199">
        <f t="shared" si="129"/>
        <v>45271</v>
      </c>
      <c r="L359" s="147">
        <f>IF(t&lt;Tvie,1-EXP((T0-t)*PertePVj)+'2022'!Pspv,1-EXP((T0-t)*PertePVj)+Pspv)</f>
        <v>4.4543508034840862E-2</v>
      </c>
      <c r="M359" s="872"/>
      <c r="N359" s="872"/>
      <c r="O359" s="48">
        <f>IF(t&lt;Tnet,'2022'!Resal+('2022'!Salim-'2022'!Resal)*(1-EXP(('2022'!Tnet-t)/('2022'!Tau_j))),Resal+(Salim-Resal)*(1-EXP((Tnet-t)/(Tau_j))))*Salcycl</f>
        <v>9.498077670931819E-2</v>
      </c>
      <c r="P359" s="171">
        <f>(INDEX(Models!$BJ359:$BT359,,T359)*(1-R359)+INDEX(Models!$BJ359:$BT359,,T359+1)*R359-ERP_i)*Q359*Ramure*Pc/MaxiM</f>
        <v>0.14100206367573831</v>
      </c>
      <c r="Q359" s="307">
        <f t="shared" si="130"/>
        <v>0.9</v>
      </c>
      <c r="R359" s="179">
        <f t="shared" si="131"/>
        <v>0.10033478200371326</v>
      </c>
      <c r="S359" s="839">
        <f t="shared" si="132"/>
        <v>1</v>
      </c>
      <c r="T359" s="178">
        <f t="shared" si="133"/>
        <v>7</v>
      </c>
      <c r="U359" s="253">
        <f t="shared" si="134"/>
        <v>1.1003347820037133</v>
      </c>
      <c r="V359" s="385">
        <f t="shared" si="135"/>
        <v>13.629037427064382</v>
      </c>
      <c r="W359" s="404">
        <f t="shared" si="136"/>
        <v>11.014409095075351</v>
      </c>
      <c r="X359" s="157">
        <f t="shared" si="137"/>
        <v>45271</v>
      </c>
      <c r="Y359" s="387">
        <f t="shared" si="138"/>
        <v>10.119564599435845</v>
      </c>
      <c r="Z359" s="387">
        <f t="shared" si="139"/>
        <v>10.59134003958901</v>
      </c>
      <c r="AA359" s="388">
        <f t="shared" si="140"/>
        <v>12.737743030542013</v>
      </c>
      <c r="AB359" s="199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0.16850732392751616</v>
      </c>
      <c r="AD359" s="233">
        <f>(INDEX(Models!$BJ359:$BT359,,AH359)*(1-AF359)+INDEX(Models!$BJ359:$BT359,,AH359+1)*AF359-ERP_i)*AE359*Ramure*Pc/MaxiM</f>
        <v>0.14100206367573831</v>
      </c>
      <c r="AE359" s="307">
        <f t="shared" si="142"/>
        <v>0.9</v>
      </c>
      <c r="AF359" s="179">
        <f t="shared" si="143"/>
        <v>0.10033478200371326</v>
      </c>
      <c r="AG359" s="839">
        <f t="shared" si="149"/>
        <v>1</v>
      </c>
      <c r="AH359" s="178">
        <f t="shared" si="144"/>
        <v>7</v>
      </c>
      <c r="AI359" s="227">
        <f t="shared" si="145"/>
        <v>1.1003347820037133</v>
      </c>
      <c r="AJ359" s="267" t="b">
        <f t="shared" si="146"/>
        <v>0</v>
      </c>
      <c r="AK359" s="267" t="b">
        <f t="shared" si="147"/>
        <v>0</v>
      </c>
      <c r="AL359" s="267"/>
      <c r="AM359" s="267"/>
      <c r="AN359" s="75"/>
    </row>
    <row r="360" spans="1:40" s="6" customFormat="1" ht="11.25" x14ac:dyDescent="0.2">
      <c r="A360" s="56">
        <f t="shared" si="148"/>
        <v>45272</v>
      </c>
      <c r="B360" s="413">
        <f>'2022'!Wh/'2022'!Env_an*'2023'!Env_an</f>
        <v>3.8215070341852244</v>
      </c>
      <c r="C360" s="868"/>
      <c r="D360" s="395">
        <f t="shared" si="127"/>
        <v>3.9997592778361213</v>
      </c>
      <c r="E360" s="387">
        <f t="shared" si="125"/>
        <v>4.4200790546631126</v>
      </c>
      <c r="F360" s="387">
        <f t="shared" si="128"/>
        <v>4.4200790546631126</v>
      </c>
      <c r="G360" s="110">
        <f t="shared" si="126"/>
        <v>0.24187452319100833</v>
      </c>
      <c r="H360" s="416" t="b">
        <f>Wh_hp&gt;='2022'!Maxi_hp</f>
        <v>0</v>
      </c>
      <c r="I360" s="392">
        <f>IF(H360,Wh_hp,'2022'!Maxi_hp)</f>
        <v>17.813849297428309</v>
      </c>
      <c r="J360" s="85">
        <f>IF(H360,An,'2022'!An_max)</f>
        <v>2021</v>
      </c>
      <c r="K360" s="199">
        <f t="shared" si="129"/>
        <v>45272</v>
      </c>
      <c r="L360" s="147">
        <f>IF(t&lt;Tvie,1-EXP((T0-t)*PertePVj)+'2022'!Pspv,1-EXP((T0-t)*PertePVj)+Pspv)</f>
        <v>4.456574290324089E-2</v>
      </c>
      <c r="M360" s="872"/>
      <c r="N360" s="872"/>
      <c r="O360" s="48">
        <f>IF(t&lt;Tnet,'2022'!Resal+('2022'!Salim-'2022'!Resal)*(1-EXP(('2022'!Tnet-t)/('2022'!Tau_j))),Resal+(Salim-Resal)*(1-EXP((Tnet-t)/(Tau_j))))*Salcycl</f>
        <v>9.509327132589647E-2</v>
      </c>
      <c r="P360" s="171">
        <f>(INDEX(Models!$BJ360:$BT360,,T360)*(1-R360)+INDEX(Models!$BJ360:$BT360,,T360+1)*R360-ERP_i)*Q360*Ramure*Pc/MaxiM</f>
        <v>0.14216683001292746</v>
      </c>
      <c r="Q360" s="307">
        <f t="shared" si="130"/>
        <v>0.9</v>
      </c>
      <c r="R360" s="179">
        <f t="shared" si="131"/>
        <v>0.10034735804438588</v>
      </c>
      <c r="S360" s="839">
        <f t="shared" si="132"/>
        <v>1</v>
      </c>
      <c r="T360" s="178">
        <f t="shared" si="133"/>
        <v>7</v>
      </c>
      <c r="U360" s="253">
        <f t="shared" si="134"/>
        <v>1.1003473580443859</v>
      </c>
      <c r="V360" s="385">
        <f t="shared" si="135"/>
        <v>13.55337242638903</v>
      </c>
      <c r="W360" s="404">
        <f t="shared" si="136"/>
        <v>3.8215070341852244</v>
      </c>
      <c r="X360" s="157">
        <f t="shared" si="137"/>
        <v>45272</v>
      </c>
      <c r="Y360" s="387">
        <f t="shared" si="138"/>
        <v>3.5114201549073907</v>
      </c>
      <c r="Z360" s="387">
        <f t="shared" si="139"/>
        <v>3.6752085544613049</v>
      </c>
      <c r="AA360" s="388">
        <f t="shared" si="140"/>
        <v>4.4200790546631126</v>
      </c>
      <c r="AB360" s="199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0.1685197235139903</v>
      </c>
      <c r="AD360" s="233">
        <f>(INDEX(Models!$BJ360:$BT360,,AH360)*(1-AF360)+INDEX(Models!$BJ360:$BT360,,AH360+1)*AF360-ERP_i)*AE360*Ramure*Pc/MaxiM</f>
        <v>0.14216683001292746</v>
      </c>
      <c r="AE360" s="307">
        <f t="shared" si="142"/>
        <v>0.9</v>
      </c>
      <c r="AF360" s="179">
        <f t="shared" si="143"/>
        <v>0.10034735804438588</v>
      </c>
      <c r="AG360" s="839">
        <f t="shared" si="149"/>
        <v>1</v>
      </c>
      <c r="AH360" s="178">
        <f t="shared" si="144"/>
        <v>7</v>
      </c>
      <c r="AI360" s="227">
        <f t="shared" si="145"/>
        <v>1.1003473580443859</v>
      </c>
      <c r="AJ360" s="267" t="b">
        <f t="shared" si="146"/>
        <v>0</v>
      </c>
      <c r="AK360" s="267" t="b">
        <f t="shared" si="147"/>
        <v>0</v>
      </c>
      <c r="AL360" s="267"/>
      <c r="AM360" s="267"/>
      <c r="AN360" s="75"/>
    </row>
    <row r="361" spans="1:40" s="6" customFormat="1" ht="11.25" x14ac:dyDescent="0.2">
      <c r="A361" s="56">
        <f t="shared" si="148"/>
        <v>45273</v>
      </c>
      <c r="B361" s="413">
        <f>'2022'!Wh/'2022'!Env_an*'2023'!Env_an</f>
        <v>4.5961873386277903</v>
      </c>
      <c r="C361" s="868"/>
      <c r="D361" s="395">
        <f t="shared" si="127"/>
        <v>4.8106861010798498</v>
      </c>
      <c r="E361" s="387">
        <f t="shared" ref="E361:E379" si="150">Wh_pvt/(1-Psa)</f>
        <v>5.3168929583750204</v>
      </c>
      <c r="F361" s="387">
        <f t="shared" si="128"/>
        <v>5.3616343011533729</v>
      </c>
      <c r="G361" s="110">
        <f t="shared" ref="G361:G379" si="151">+Wh_hp/MaxiM</f>
        <v>0.29445065000092524</v>
      </c>
      <c r="H361" s="416" t="b">
        <f>Wh_hp&gt;='2022'!Maxi_hp</f>
        <v>0</v>
      </c>
      <c r="I361" s="392">
        <f>IF(H361,Wh_hp,'2022'!Maxi_hp)</f>
        <v>18.138305430753984</v>
      </c>
      <c r="J361" s="85">
        <f>IF(H361,An,'2022'!An_max)</f>
        <v>2021</v>
      </c>
      <c r="K361" s="199">
        <f t="shared" si="129"/>
        <v>45273</v>
      </c>
      <c r="L361" s="147">
        <f>IF(t&lt;Tvie,1-EXP((T0-t)*PertePVj)+'2022'!Pspv,1-EXP((T0-t)*PertePVj)+Pspv)</f>
        <v>4.4587977254203159E-2</v>
      </c>
      <c r="M361" s="872"/>
      <c r="N361" s="872"/>
      <c r="O361" s="48">
        <f>IF(t&lt;Tnet,'2022'!Resal+('2022'!Salim-'2022'!Resal)*(1-EXP(('2022'!Tnet-t)/('2022'!Tau_j))),Resal+(Salim-Resal)*(1-EXP((Tnet-t)/(Tau_j))))*Salcycl</f>
        <v>9.5207268842568693E-2</v>
      </c>
      <c r="P361" s="171">
        <f>(INDEX(Models!$BJ361:$BT361,,T361)*(1-R361)+INDEX(Models!$BJ361:$BT361,,T361+1)*R361-ERP_i)*Q361*Ramure*Pc/MaxiM</f>
        <v>0.14319382444615453</v>
      </c>
      <c r="Q361" s="307">
        <f t="shared" si="130"/>
        <v>0.9</v>
      </c>
      <c r="R361" s="179">
        <f t="shared" si="131"/>
        <v>0.10035942823214627</v>
      </c>
      <c r="S361" s="839">
        <f t="shared" si="132"/>
        <v>1</v>
      </c>
      <c r="T361" s="178">
        <f t="shared" si="133"/>
        <v>7</v>
      </c>
      <c r="U361" s="253">
        <f t="shared" si="134"/>
        <v>1.1003594282321463</v>
      </c>
      <c r="V361" s="385">
        <f t="shared" si="135"/>
        <v>13.486742467382228</v>
      </c>
      <c r="W361" s="404">
        <f t="shared" si="136"/>
        <v>4.5961873386277903</v>
      </c>
      <c r="X361" s="157">
        <f t="shared" si="137"/>
        <v>45273</v>
      </c>
      <c r="Y361" s="387">
        <f t="shared" si="138"/>
        <v>4.2236949662560885</v>
      </c>
      <c r="Z361" s="387">
        <f t="shared" si="139"/>
        <v>4.4208099392735738</v>
      </c>
      <c r="AA361" s="388">
        <f t="shared" si="140"/>
        <v>5.3168929583750204</v>
      </c>
      <c r="AB361" s="199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0.16853508733704375</v>
      </c>
      <c r="AD361" s="233">
        <f>(INDEX(Models!$BJ361:$BT361,,AH361)*(1-AF361)+INDEX(Models!$BJ361:$BT361,,AH361+1)*AF361-ERP_i)*AE361*Ramure*Pc/MaxiM</f>
        <v>0.14319382444615453</v>
      </c>
      <c r="AE361" s="307">
        <f t="shared" si="142"/>
        <v>0.9</v>
      </c>
      <c r="AF361" s="179">
        <f t="shared" si="143"/>
        <v>0.10035942823214627</v>
      </c>
      <c r="AG361" s="839">
        <f t="shared" si="149"/>
        <v>1</v>
      </c>
      <c r="AH361" s="178">
        <f t="shared" si="144"/>
        <v>7</v>
      </c>
      <c r="AI361" s="227">
        <f t="shared" si="145"/>
        <v>1.1003594282321463</v>
      </c>
      <c r="AJ361" s="267" t="b">
        <f t="shared" si="146"/>
        <v>0</v>
      </c>
      <c r="AK361" s="267" t="b">
        <f t="shared" si="147"/>
        <v>0</v>
      </c>
      <c r="AL361" s="267"/>
      <c r="AM361" s="267"/>
      <c r="AN361" s="75"/>
    </row>
    <row r="362" spans="1:40" s="6" customFormat="1" ht="11.25" x14ac:dyDescent="0.2">
      <c r="A362" s="56">
        <f t="shared" si="148"/>
        <v>45274</v>
      </c>
      <c r="B362" s="413">
        <f>'2022'!Wh/'2022'!Env_an*'2023'!Env_an</f>
        <v>10.81372470589505</v>
      </c>
      <c r="C362" s="868"/>
      <c r="D362" s="395">
        <f t="shared" si="127"/>
        <v>11.318652168354024</v>
      </c>
      <c r="E362" s="387">
        <f t="shared" si="150"/>
        <v>12.511259108370712</v>
      </c>
      <c r="F362" s="387">
        <f t="shared" si="128"/>
        <v>13.963329230131185</v>
      </c>
      <c r="G362" s="110">
        <f t="shared" si="151"/>
        <v>0.76921028063134456</v>
      </c>
      <c r="H362" s="416" t="b">
        <f>Wh_hp&gt;='2022'!Maxi_hp</f>
        <v>0</v>
      </c>
      <c r="I362" s="392">
        <f>IF(H362,Wh_hp,'2022'!Maxi_hp)</f>
        <v>18.109392366943464</v>
      </c>
      <c r="J362" s="85">
        <f>IF(H362,An,'2022'!An_max)</f>
        <v>2021</v>
      </c>
      <c r="K362" s="199">
        <f t="shared" si="129"/>
        <v>45274</v>
      </c>
      <c r="L362" s="147">
        <f>IF(t&lt;Tvie,1-EXP((T0-t)*PertePVj)+'2022'!Pspv,1-EXP((T0-t)*PertePVj)+Pspv)</f>
        <v>4.461021108773966E-2</v>
      </c>
      <c r="M362" s="872"/>
      <c r="N362" s="872"/>
      <c r="O362" s="48">
        <f>IF(t&lt;Tnet,'2022'!Resal+('2022'!Salim-'2022'!Resal)*(1-EXP(('2022'!Tnet-t)/('2022'!Tau_j))),Resal+(Salim-Resal)*(1-EXP((Tnet-t)/(Tau_j))))*Salcycl</f>
        <v>9.5322695316794326E-2</v>
      </c>
      <c r="P362" s="171">
        <f>(INDEX(Models!$BJ362:$BT362,,T362)*(1-R362)+INDEX(Models!$BJ362:$BT362,,T362+1)*R362-ERP_i)*Q362*Ramure*Pc/MaxiM</f>
        <v>0.1440793322360284</v>
      </c>
      <c r="Q362" s="307">
        <f t="shared" si="130"/>
        <v>0.9</v>
      </c>
      <c r="R362" s="179">
        <f t="shared" si="131"/>
        <v>0.10037101289507078</v>
      </c>
      <c r="S362" s="839">
        <f t="shared" si="132"/>
        <v>1</v>
      </c>
      <c r="T362" s="178">
        <f t="shared" si="133"/>
        <v>7</v>
      </c>
      <c r="U362" s="253">
        <f t="shared" si="134"/>
        <v>1.1003710128950708</v>
      </c>
      <c r="V362" s="385">
        <f t="shared" si="135"/>
        <v>13.429248247193788</v>
      </c>
      <c r="W362" s="404">
        <f t="shared" si="136"/>
        <v>10.81372470589505</v>
      </c>
      <c r="X362" s="157">
        <f t="shared" si="137"/>
        <v>45274</v>
      </c>
      <c r="Y362" s="387">
        <f t="shared" si="138"/>
        <v>9.938390135890927</v>
      </c>
      <c r="Z362" s="387">
        <f t="shared" si="139"/>
        <v>10.402445421994807</v>
      </c>
      <c r="AA362" s="388">
        <f t="shared" si="140"/>
        <v>12.511259108370712</v>
      </c>
      <c r="AB362" s="199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0.16855327414368665</v>
      </c>
      <c r="AD362" s="233">
        <f>(INDEX(Models!$BJ362:$BT362,,AH362)*(1-AF362)+INDEX(Models!$BJ362:$BT362,,AH362+1)*AF362-ERP_i)*AE362*Ramure*Pc/MaxiM</f>
        <v>0.1440793322360284</v>
      </c>
      <c r="AE362" s="307">
        <f t="shared" si="142"/>
        <v>0.9</v>
      </c>
      <c r="AF362" s="179">
        <f t="shared" si="143"/>
        <v>0.10037101289507078</v>
      </c>
      <c r="AG362" s="839">
        <f t="shared" si="149"/>
        <v>1</v>
      </c>
      <c r="AH362" s="178">
        <f t="shared" si="144"/>
        <v>7</v>
      </c>
      <c r="AI362" s="227">
        <f t="shared" si="145"/>
        <v>1.1003710128950708</v>
      </c>
      <c r="AJ362" s="267" t="b">
        <f t="shared" si="146"/>
        <v>0</v>
      </c>
      <c r="AK362" s="267" t="b">
        <f t="shared" si="147"/>
        <v>0</v>
      </c>
      <c r="AL362" s="267"/>
      <c r="AM362" s="267"/>
      <c r="AN362" s="75"/>
    </row>
    <row r="363" spans="1:40" s="6" customFormat="1" ht="11.25" x14ac:dyDescent="0.2">
      <c r="A363" s="56">
        <f t="shared" si="148"/>
        <v>45275</v>
      </c>
      <c r="B363" s="413">
        <f>'2022'!Wh/'2022'!Env_an*'2023'!Env_an</f>
        <v>5.2984377695207172</v>
      </c>
      <c r="C363" s="868"/>
      <c r="D363" s="395">
        <f t="shared" si="127"/>
        <v>5.5459678722442654</v>
      </c>
      <c r="E363" s="387">
        <f t="shared" si="150"/>
        <v>6.1311186131009743</v>
      </c>
      <c r="F363" s="387">
        <f t="shared" si="128"/>
        <v>6.2553135533030488</v>
      </c>
      <c r="G363" s="110">
        <f t="shared" si="151"/>
        <v>0.34548284391250628</v>
      </c>
      <c r="H363" s="416" t="b">
        <f>Wh_hp&gt;='2022'!Maxi_hp</f>
        <v>0</v>
      </c>
      <c r="I363" s="392">
        <f>IF(H363,Wh_hp,'2022'!Maxi_hp)</f>
        <v>17.774835996132822</v>
      </c>
      <c r="J363" s="85">
        <f>IF(H363,An,'2022'!An_max)</f>
        <v>2019</v>
      </c>
      <c r="K363" s="199">
        <f t="shared" si="129"/>
        <v>45275</v>
      </c>
      <c r="L363" s="147">
        <f>IF(t&lt;Tvie,1-EXP((T0-t)*PertePVj)+'2022'!Pspv,1-EXP((T0-t)*PertePVj)+Pspv)</f>
        <v>4.463244440386227E-2</v>
      </c>
      <c r="M363" s="872"/>
      <c r="N363" s="872"/>
      <c r="O363" s="48">
        <f>IF(t&lt;Tnet,'2022'!Resal+('2022'!Salim-'2022'!Resal)*(1-EXP(('2022'!Tnet-t)/('2022'!Tau_j))),Resal+(Salim-Resal)*(1-EXP((Tnet-t)/(Tau_j))))*Salcycl</f>
        <v>9.5439474879242842E-2</v>
      </c>
      <c r="P363" s="171">
        <f>(INDEX(Models!$BJ363:$BT363,,T363)*(1-R363)+INDEX(Models!$BJ363:$BT363,,T363+1)*R363-ERP_i)*Q363*Ramure*Pc/MaxiM</f>
        <v>0.14481999158978395</v>
      </c>
      <c r="Q363" s="307">
        <f t="shared" si="130"/>
        <v>0.9</v>
      </c>
      <c r="R363" s="179">
        <f t="shared" si="131"/>
        <v>0.10038213154584485</v>
      </c>
      <c r="S363" s="839">
        <f t="shared" si="132"/>
        <v>1</v>
      </c>
      <c r="T363" s="178">
        <f t="shared" si="133"/>
        <v>7</v>
      </c>
      <c r="U363" s="253">
        <f t="shared" si="134"/>
        <v>1.1003821315458449</v>
      </c>
      <c r="V363" s="385">
        <f t="shared" si="135"/>
        <v>13.380990354158609</v>
      </c>
      <c r="W363" s="404">
        <f t="shared" si="136"/>
        <v>5.2984377695207172</v>
      </c>
      <c r="X363" s="157">
        <f t="shared" si="137"/>
        <v>45275</v>
      </c>
      <c r="Y363" s="387">
        <f t="shared" si="138"/>
        <v>4.8700535311680273</v>
      </c>
      <c r="Z363" s="387">
        <f t="shared" si="139"/>
        <v>5.0975705660521129</v>
      </c>
      <c r="AA363" s="388">
        <f t="shared" si="140"/>
        <v>6.1311186131009743</v>
      </c>
      <c r="AB363" s="199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0.16857413993596143</v>
      </c>
      <c r="AD363" s="233">
        <f>(INDEX(Models!$BJ363:$BT363,,AH363)*(1-AF363)+INDEX(Models!$BJ363:$BT363,,AH363+1)*AF363-ERP_i)*AE363*Ramure*Pc/MaxiM</f>
        <v>0.14481999158978395</v>
      </c>
      <c r="AE363" s="307">
        <f t="shared" si="142"/>
        <v>0.9</v>
      </c>
      <c r="AF363" s="179">
        <f t="shared" si="143"/>
        <v>0.10038213154584485</v>
      </c>
      <c r="AG363" s="839">
        <f t="shared" si="149"/>
        <v>1</v>
      </c>
      <c r="AH363" s="178">
        <f t="shared" si="144"/>
        <v>7</v>
      </c>
      <c r="AI363" s="227">
        <f t="shared" si="145"/>
        <v>1.1003821315458449</v>
      </c>
      <c r="AJ363" s="267" t="b">
        <f t="shared" si="146"/>
        <v>0</v>
      </c>
      <c r="AK363" s="267" t="b">
        <f t="shared" si="147"/>
        <v>0</v>
      </c>
      <c r="AL363" s="267"/>
      <c r="AM363" s="267"/>
      <c r="AN363" s="75"/>
    </row>
    <row r="364" spans="1:40" s="6" customFormat="1" ht="11.25" x14ac:dyDescent="0.2">
      <c r="A364" s="56">
        <f t="shared" si="148"/>
        <v>45276</v>
      </c>
      <c r="B364" s="413">
        <f>'2022'!Wh/'2022'!Env_an*'2023'!Env_an</f>
        <v>4.6759717674044827</v>
      </c>
      <c r="C364" s="868"/>
      <c r="D364" s="395">
        <f t="shared" si="127"/>
        <v>4.8945356781696763</v>
      </c>
      <c r="E364" s="387">
        <f t="shared" si="150"/>
        <v>5.4116605997375684</v>
      </c>
      <c r="F364" s="387">
        <f t="shared" si="128"/>
        <v>5.4689970315704679</v>
      </c>
      <c r="G364" s="110">
        <f t="shared" si="151"/>
        <v>0.30267893407284369</v>
      </c>
      <c r="H364" s="416" t="b">
        <f>Wh_hp&gt;='2022'!Maxi_hp</f>
        <v>0</v>
      </c>
      <c r="I364" s="392">
        <f>IF(H364,Wh_hp,'2022'!Maxi_hp)</f>
        <v>17.653857308333976</v>
      </c>
      <c r="J364" s="85">
        <f>IF(H364,An,'2022'!An_max)</f>
        <v>2021</v>
      </c>
      <c r="K364" s="199">
        <f t="shared" si="129"/>
        <v>45276</v>
      </c>
      <c r="L364" s="147">
        <f>IF(t&lt;Tvie,1-EXP((T0-t)*PertePVj)+'2022'!Pspv,1-EXP((T0-t)*PertePVj)+Pspv)</f>
        <v>4.4654677202583204E-2</v>
      </c>
      <c r="M364" s="872"/>
      <c r="N364" s="872"/>
      <c r="O364" s="48">
        <f>IF(t&lt;Tnet,'2022'!Resal+('2022'!Salim-'2022'!Resal)*(1-EXP(('2022'!Tnet-t)/('2022'!Tau_j))),Resal+(Salim-Resal)*(1-EXP((Tnet-t)/(Tau_j))))*Salcycl</f>
        <v>9.5557530269538574E-2</v>
      </c>
      <c r="P364" s="171">
        <f>(INDEX(Models!$BJ364:$BT364,,T364)*(1-R364)+INDEX(Models!$BJ364:$BT364,,T364+1)*R364-ERP_i)*Q364*Ramure*Pc/MaxiM</f>
        <v>0.14541282461933372</v>
      </c>
      <c r="Q364" s="307">
        <f t="shared" si="130"/>
        <v>0.9</v>
      </c>
      <c r="R364" s="179">
        <f t="shared" si="131"/>
        <v>0.10039280291435082</v>
      </c>
      <c r="S364" s="839">
        <f t="shared" si="132"/>
        <v>1</v>
      </c>
      <c r="T364" s="178">
        <f t="shared" si="133"/>
        <v>7</v>
      </c>
      <c r="U364" s="253">
        <f t="shared" si="134"/>
        <v>1.1003928029143508</v>
      </c>
      <c r="V364" s="385">
        <f t="shared" si="135"/>
        <v>13.342069293969228</v>
      </c>
      <c r="W364" s="404">
        <f t="shared" si="136"/>
        <v>4.6759717674044827</v>
      </c>
      <c r="X364" s="157">
        <f t="shared" si="137"/>
        <v>45276</v>
      </c>
      <c r="Y364" s="387">
        <f t="shared" si="138"/>
        <v>4.2983545835482557</v>
      </c>
      <c r="Z364" s="387">
        <f t="shared" si="139"/>
        <v>4.4992679411062886</v>
      </c>
      <c r="AA364" s="388">
        <f t="shared" si="140"/>
        <v>5.4116605997375684</v>
      </c>
      <c r="AB364" s="199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0.16859753892835139</v>
      </c>
      <c r="AD364" s="233">
        <f>(INDEX(Models!$BJ364:$BT364,,AH364)*(1-AF364)+INDEX(Models!$BJ364:$BT364,,AH364+1)*AF364-ERP_i)*AE364*Ramure*Pc/MaxiM</f>
        <v>0.14541282461933372</v>
      </c>
      <c r="AE364" s="307">
        <f t="shared" si="142"/>
        <v>0.9</v>
      </c>
      <c r="AF364" s="179">
        <f t="shared" si="143"/>
        <v>0.10039280291435082</v>
      </c>
      <c r="AG364" s="839">
        <f t="shared" si="149"/>
        <v>1</v>
      </c>
      <c r="AH364" s="178">
        <f t="shared" si="144"/>
        <v>7</v>
      </c>
      <c r="AI364" s="227">
        <f t="shared" si="145"/>
        <v>1.1003928029143508</v>
      </c>
      <c r="AJ364" s="267" t="b">
        <f t="shared" si="146"/>
        <v>0</v>
      </c>
      <c r="AK364" s="267" t="b">
        <f t="shared" si="147"/>
        <v>0</v>
      </c>
      <c r="AL364" s="267"/>
      <c r="AM364" s="267"/>
      <c r="AN364" s="75"/>
    </row>
    <row r="365" spans="1:40" s="6" customFormat="1" ht="11.25" x14ac:dyDescent="0.2">
      <c r="A365" s="56">
        <f t="shared" si="148"/>
        <v>45277</v>
      </c>
      <c r="B365" s="413">
        <f>'2022'!Wh/'2022'!Env_an*'2023'!Env_an</f>
        <v>2.8967645370667361</v>
      </c>
      <c r="C365" s="868"/>
      <c r="D365" s="395">
        <f t="shared" si="127"/>
        <v>3.0322354456038982</v>
      </c>
      <c r="E365" s="387">
        <f t="shared" si="150"/>
        <v>3.3530439004835815</v>
      </c>
      <c r="F365" s="387">
        <f t="shared" si="128"/>
        <v>3.3530439004835815</v>
      </c>
      <c r="G365" s="110">
        <f t="shared" si="151"/>
        <v>0.18585842486940438</v>
      </c>
      <c r="H365" s="416" t="b">
        <f>Wh_hp&gt;='2022'!Maxi_hp</f>
        <v>0</v>
      </c>
      <c r="I365" s="392">
        <f>IF(H365,Wh_hp,'2022'!Maxi_hp)</f>
        <v>17.652836359239622</v>
      </c>
      <c r="J365" s="85">
        <f>IF(H365,An,'2022'!An_max)</f>
        <v>2021</v>
      </c>
      <c r="K365" s="199">
        <f t="shared" si="129"/>
        <v>45277</v>
      </c>
      <c r="L365" s="147">
        <f>IF(t&lt;Tvie,1-EXP((T0-t)*PertePVj)+'2022'!Pspv,1-EXP((T0-t)*PertePVj)+Pspv)</f>
        <v>4.467690948391434E-2</v>
      </c>
      <c r="M365" s="872"/>
      <c r="N365" s="872"/>
      <c r="O365" s="48">
        <f>IF(t&lt;Tnet,'2022'!Resal+('2022'!Salim-'2022'!Resal)*(1-EXP(('2022'!Tnet-t)/('2022'!Tau_j))),Resal+(Salim-Resal)*(1-EXP((Tnet-t)/(Tau_j))))*Salcycl</f>
        <v>9.5676783364934695E-2</v>
      </c>
      <c r="P365" s="171">
        <f>(INDEX(Models!$BJ365:$BT365,,T365)*(1-R365)+INDEX(Models!$BJ365:$BT365,,T365+1)*R365-ERP_i)*Q365*Ramure*Pc/MaxiM</f>
        <v>0.1458552663477756</v>
      </c>
      <c r="Q365" s="307">
        <f t="shared" si="130"/>
        <v>0.9</v>
      </c>
      <c r="R365" s="179">
        <f t="shared" si="131"/>
        <v>0.10040304497896235</v>
      </c>
      <c r="S365" s="839">
        <f t="shared" si="132"/>
        <v>1</v>
      </c>
      <c r="T365" s="178">
        <f t="shared" si="133"/>
        <v>7</v>
      </c>
      <c r="U365" s="253">
        <f t="shared" si="134"/>
        <v>1.1004030449789624</v>
      </c>
      <c r="V365" s="385">
        <f t="shared" si="135"/>
        <v>13.312585510743686</v>
      </c>
      <c r="W365" s="404">
        <f t="shared" si="136"/>
        <v>2.8967645370667361</v>
      </c>
      <c r="X365" s="157">
        <f t="shared" si="137"/>
        <v>45277</v>
      </c>
      <c r="Y365" s="387">
        <f t="shared" si="138"/>
        <v>2.6630992395987092</v>
      </c>
      <c r="Z365" s="387">
        <f t="shared" si="139"/>
        <v>2.7876424908352702</v>
      </c>
      <c r="AA365" s="388">
        <f t="shared" si="140"/>
        <v>3.3530439004835815</v>
      </c>
      <c r="AB365" s="199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0.16862332448637737</v>
      </c>
      <c r="AD365" s="233">
        <f>(INDEX(Models!$BJ365:$BT365,,AH365)*(1-AF365)+INDEX(Models!$BJ365:$BT365,,AH365+1)*AF365-ERP_i)*AE365*Ramure*Pc/MaxiM</f>
        <v>0.1458552663477756</v>
      </c>
      <c r="AE365" s="307">
        <f t="shared" si="142"/>
        <v>0.9</v>
      </c>
      <c r="AF365" s="179">
        <f t="shared" si="143"/>
        <v>0.10040304497896235</v>
      </c>
      <c r="AG365" s="839">
        <f t="shared" si="149"/>
        <v>1</v>
      </c>
      <c r="AH365" s="178">
        <f t="shared" si="144"/>
        <v>7</v>
      </c>
      <c r="AI365" s="227">
        <f t="shared" si="145"/>
        <v>1.1004030449789624</v>
      </c>
      <c r="AJ365" s="267" t="b">
        <f t="shared" si="146"/>
        <v>0</v>
      </c>
      <c r="AK365" s="267" t="b">
        <f t="shared" si="147"/>
        <v>0</v>
      </c>
      <c r="AL365" s="267"/>
      <c r="AM365" s="267"/>
      <c r="AN365" s="75"/>
    </row>
    <row r="366" spans="1:40" s="6" customFormat="1" ht="11.25" x14ac:dyDescent="0.2">
      <c r="A366" s="56">
        <f t="shared" si="148"/>
        <v>45278</v>
      </c>
      <c r="B366" s="413">
        <f>'2022'!Wh/'2022'!Env_an*'2023'!Env_an</f>
        <v>11.274758795229308</v>
      </c>
      <c r="C366" s="868"/>
      <c r="D366" s="395">
        <f t="shared" si="127"/>
        <v>11.80231200666671</v>
      </c>
      <c r="E366" s="387">
        <f t="shared" si="150"/>
        <v>13.0527260349158</v>
      </c>
      <c r="F366" s="387">
        <f t="shared" si="128"/>
        <v>14.739485083101727</v>
      </c>
      <c r="G366" s="110">
        <f t="shared" si="151"/>
        <v>0.81782645274124377</v>
      </c>
      <c r="H366" s="416" t="b">
        <f>Wh_hp&gt;='2022'!Maxi_hp</f>
        <v>0</v>
      </c>
      <c r="I366" s="392">
        <f>IF(H366,Wh_hp,'2022'!Maxi_hp)</f>
        <v>18.053067103991125</v>
      </c>
      <c r="J366" s="85">
        <f>IF(H366,An,'2022'!An_max)</f>
        <v>2021</v>
      </c>
      <c r="K366" s="199">
        <f t="shared" si="129"/>
        <v>45278</v>
      </c>
      <c r="L366" s="147">
        <f>IF(t&lt;Tvie,1-EXP((T0-t)*PertePVj)+'2022'!Pspv,1-EXP((T0-t)*PertePVj)+Pspv)</f>
        <v>4.4699141247867891E-2</v>
      </c>
      <c r="M366" s="872"/>
      <c r="N366" s="872"/>
      <c r="O366" s="48">
        <f>IF(t&lt;Tnet,'2022'!Resal+('2022'!Salim-'2022'!Resal)*(1-EXP(('2022'!Tnet-t)/('2022'!Tau_j))),Resal+(Salim-Resal)*(1-EXP((Tnet-t)/(Tau_j))))*Salcycl</f>
        <v>9.5797155697917455E-2</v>
      </c>
      <c r="P366" s="171">
        <f>(INDEX(Models!$BJ366:$BT366,,T366)*(1-R366)+INDEX(Models!$BJ366:$BT366,,T366+1)*R366-ERP_i)*Q366*Ramure*Pc/MaxiM</f>
        <v>0.14613153501350842</v>
      </c>
      <c r="Q366" s="307">
        <f t="shared" si="130"/>
        <v>0.9</v>
      </c>
      <c r="R366" s="179">
        <f t="shared" si="131"/>
        <v>0.1004128749965969</v>
      </c>
      <c r="S366" s="839">
        <f t="shared" si="132"/>
        <v>1</v>
      </c>
      <c r="T366" s="178">
        <f t="shared" si="133"/>
        <v>7</v>
      </c>
      <c r="U366" s="253">
        <f t="shared" si="134"/>
        <v>1.1004128749965969</v>
      </c>
      <c r="V366" s="385">
        <f t="shared" si="135"/>
        <v>13.292852006536238</v>
      </c>
      <c r="W366" s="404">
        <f t="shared" si="136"/>
        <v>11.274758795229308</v>
      </c>
      <c r="X366" s="157">
        <f t="shared" si="137"/>
        <v>45278</v>
      </c>
      <c r="Y366" s="387">
        <f t="shared" si="138"/>
        <v>10.366319418380826</v>
      </c>
      <c r="Z366" s="387">
        <f t="shared" si="139"/>
        <v>10.851366167431166</v>
      </c>
      <c r="AA366" s="388">
        <f t="shared" si="140"/>
        <v>13.0527260349158</v>
      </c>
      <c r="AB366" s="199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0.16865135003952711</v>
      </c>
      <c r="AD366" s="233">
        <f>(INDEX(Models!$BJ366:$BT366,,AH366)*(1-AF366)+INDEX(Models!$BJ366:$BT366,,AH366+1)*AF366-ERP_i)*AE366*Ramure*Pc/MaxiM</f>
        <v>0.14613153501350842</v>
      </c>
      <c r="AE366" s="307">
        <f t="shared" si="142"/>
        <v>0.9</v>
      </c>
      <c r="AF366" s="179">
        <f t="shared" si="143"/>
        <v>0.1004128749965969</v>
      </c>
      <c r="AG366" s="839">
        <f t="shared" si="149"/>
        <v>1</v>
      </c>
      <c r="AH366" s="178">
        <f t="shared" si="144"/>
        <v>7</v>
      </c>
      <c r="AI366" s="227">
        <f t="shared" si="145"/>
        <v>1.1004128749965969</v>
      </c>
      <c r="AJ366" s="267" t="b">
        <f t="shared" si="146"/>
        <v>0</v>
      </c>
      <c r="AK366" s="267" t="b">
        <f t="shared" si="147"/>
        <v>0</v>
      </c>
      <c r="AL366" s="267"/>
      <c r="AM366" s="267"/>
      <c r="AN366" s="75"/>
    </row>
    <row r="367" spans="1:40" s="6" customFormat="1" ht="11.25" x14ac:dyDescent="0.2">
      <c r="A367" s="56">
        <f t="shared" si="148"/>
        <v>45279</v>
      </c>
      <c r="B367" s="413">
        <f>'2022'!Wh/'2022'!Env_an*'2023'!Env_an</f>
        <v>11.055563754845492</v>
      </c>
      <c r="C367" s="868"/>
      <c r="D367" s="395">
        <f t="shared" si="127"/>
        <v>11.573130013087546</v>
      </c>
      <c r="E367" s="387">
        <f t="shared" si="150"/>
        <v>12.800981875891836</v>
      </c>
      <c r="F367" s="387">
        <f t="shared" si="128"/>
        <v>14.403673941276487</v>
      </c>
      <c r="G367" s="110">
        <f t="shared" si="151"/>
        <v>0.79956092218273844</v>
      </c>
      <c r="H367" s="416" t="b">
        <f>Wh_hp&gt;='2022'!Maxi_hp</f>
        <v>0</v>
      </c>
      <c r="I367" s="392">
        <f>IF(H367,Wh_hp,'2022'!Maxi_hp)</f>
        <v>17.589332525794376</v>
      </c>
      <c r="J367" s="85">
        <f>IF(H367,An,'2022'!An_max)</f>
        <v>2021</v>
      </c>
      <c r="K367" s="199">
        <f t="shared" si="129"/>
        <v>45279</v>
      </c>
      <c r="L367" s="147">
        <f>IF(t&lt;Tvie,1-EXP((T0-t)*PertePVj)+'2022'!Pspv,1-EXP((T0-t)*PertePVj)+Pspv)</f>
        <v>4.4721372494455736E-2</v>
      </c>
      <c r="M367" s="872"/>
      <c r="N367" s="872"/>
      <c r="O367" s="48">
        <f>IF(t&lt;Tnet,'2022'!Resal+('2022'!Salim-'2022'!Resal)*(1-EXP(('2022'!Tnet-t)/('2022'!Tau_j))),Resal+(Salim-Resal)*(1-EXP((Tnet-t)/(Tau_j))))*Salcycl</f>
        <v>9.5918568958894543E-2</v>
      </c>
      <c r="P367" s="171">
        <f>(INDEX(Models!$BJ367:$BT367,,T367)*(1-R367)+INDEX(Models!$BJ367:$BT367,,T367+1)*R367-ERP_i)*Q367*Ramure*Pc/MaxiM</f>
        <v>0.14630455983165297</v>
      </c>
      <c r="Q367" s="307">
        <f t="shared" si="130"/>
        <v>0.9</v>
      </c>
      <c r="R367" s="179">
        <f t="shared" si="131"/>
        <v>0.10042230953157372</v>
      </c>
      <c r="S367" s="839">
        <f t="shared" si="132"/>
        <v>1</v>
      </c>
      <c r="T367" s="178">
        <f t="shared" si="133"/>
        <v>7</v>
      </c>
      <c r="U367" s="253">
        <f t="shared" si="134"/>
        <v>1.1004223095315737</v>
      </c>
      <c r="V367" s="385">
        <f t="shared" si="135"/>
        <v>13.281963848935328</v>
      </c>
      <c r="W367" s="404">
        <f t="shared" si="136"/>
        <v>11.055563754845492</v>
      </c>
      <c r="X367" s="157">
        <f t="shared" si="137"/>
        <v>45279</v>
      </c>
      <c r="Y367" s="387">
        <f t="shared" si="138"/>
        <v>10.165782299981599</v>
      </c>
      <c r="Z367" s="387">
        <f t="shared" si="139"/>
        <v>10.641693436109664</v>
      </c>
      <c r="AA367" s="388">
        <f t="shared" si="140"/>
        <v>12.800981875891836</v>
      </c>
      <c r="AB367" s="199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0.16868146996198558</v>
      </c>
      <c r="AD367" s="233">
        <f>(INDEX(Models!$BJ367:$BT367,,AH367)*(1-AF367)+INDEX(Models!$BJ367:$BT367,,AH367+1)*AF367-ERP_i)*AE367*Ramure*Pc/MaxiM</f>
        <v>0.14630455983165297</v>
      </c>
      <c r="AE367" s="307">
        <f t="shared" si="142"/>
        <v>0.9</v>
      </c>
      <c r="AF367" s="179">
        <f t="shared" si="143"/>
        <v>0.10042230953157372</v>
      </c>
      <c r="AG367" s="839">
        <f t="shared" si="149"/>
        <v>1</v>
      </c>
      <c r="AH367" s="178">
        <f t="shared" si="144"/>
        <v>7</v>
      </c>
      <c r="AI367" s="227">
        <f t="shared" si="145"/>
        <v>1.1004223095315737</v>
      </c>
      <c r="AJ367" s="267" t="b">
        <f t="shared" si="146"/>
        <v>0</v>
      </c>
      <c r="AK367" s="267" t="b">
        <f t="shared" si="147"/>
        <v>0</v>
      </c>
      <c r="AL367" s="267"/>
      <c r="AM367" s="267"/>
      <c r="AN367" s="75"/>
    </row>
    <row r="368" spans="1:40" s="6" customFormat="1" ht="11.25" x14ac:dyDescent="0.2">
      <c r="A368" s="56">
        <f t="shared" si="148"/>
        <v>45280</v>
      </c>
      <c r="B368" s="413">
        <f>'2022'!Wh/'2022'!Env_an*'2023'!Env_an</f>
        <v>3.5134885923576857</v>
      </c>
      <c r="C368" s="868"/>
      <c r="D368" s="395">
        <f t="shared" si="127"/>
        <v>3.6780581676444202</v>
      </c>
      <c r="E368" s="387">
        <f t="shared" si="150"/>
        <v>4.068832707913641</v>
      </c>
      <c r="F368" s="387">
        <f t="shared" si="128"/>
        <v>4.068832707913641</v>
      </c>
      <c r="G368" s="110">
        <f t="shared" si="151"/>
        <v>0.22584361455780341</v>
      </c>
      <c r="H368" s="416" t="b">
        <f>Wh_hp&gt;='2022'!Maxi_hp</f>
        <v>0</v>
      </c>
      <c r="I368" s="392">
        <f>IF(H368,Wh_hp,'2022'!Maxi_hp)</f>
        <v>18.435000096108368</v>
      </c>
      <c r="J368" s="85">
        <f>IF(H368,An,'2022'!An_max)</f>
        <v>2021</v>
      </c>
      <c r="K368" s="199">
        <f t="shared" si="129"/>
        <v>45280</v>
      </c>
      <c r="L368" s="147">
        <f>IF(t&lt;Tvie,1-EXP((T0-t)*PertePVj)+'2022'!Pspv,1-EXP((T0-t)*PertePVj)+Pspv)</f>
        <v>4.4743603223690087E-2</v>
      </c>
      <c r="M368" s="872"/>
      <c r="N368" s="872"/>
      <c r="O368" s="48">
        <f>IF(t&lt;Tnet,'2022'!Resal+('2022'!Salim-'2022'!Resal)*(1-EXP(('2022'!Tnet-t)/('2022'!Tau_j))),Resal+(Salim-Resal)*(1-EXP((Tnet-t)/(Tau_j))))*Salcycl</f>
        <v>9.604094548030627E-2</v>
      </c>
      <c r="P368" s="171">
        <f>(INDEX(Models!$BJ368:$BT368,,T368)*(1-R368)+INDEX(Models!$BJ368:$BT368,,T368+1)*R368-ERP_i)*Q368*Ramure*Pc/MaxiM</f>
        <v>0.14637319729784096</v>
      </c>
      <c r="Q368" s="307">
        <f t="shared" si="130"/>
        <v>0.9</v>
      </c>
      <c r="R368" s="179">
        <f t="shared" si="131"/>
        <v>0.10043136448332546</v>
      </c>
      <c r="S368" s="839">
        <f t="shared" si="132"/>
        <v>1</v>
      </c>
      <c r="T368" s="178">
        <f t="shared" si="133"/>
        <v>7</v>
      </c>
      <c r="U368" s="253">
        <f t="shared" si="134"/>
        <v>1.1004313644833255</v>
      </c>
      <c r="V368" s="385">
        <f t="shared" si="135"/>
        <v>13.280021395766186</v>
      </c>
      <c r="W368" s="404">
        <f t="shared" si="136"/>
        <v>3.5134885923576857</v>
      </c>
      <c r="X368" s="157">
        <f t="shared" si="137"/>
        <v>45280</v>
      </c>
      <c r="Y368" s="387">
        <f t="shared" si="138"/>
        <v>3.2310263148867149</v>
      </c>
      <c r="Z368" s="387">
        <f t="shared" si="139"/>
        <v>3.3823655364051088</v>
      </c>
      <c r="AA368" s="388">
        <f t="shared" si="140"/>
        <v>4.068832707913641</v>
      </c>
      <c r="AB368" s="199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0.16871354041501727</v>
      </c>
      <c r="AD368" s="233">
        <f>(INDEX(Models!$BJ368:$BT368,,AH368)*(1-AF368)+INDEX(Models!$BJ368:$BT368,,AH368+1)*AF368-ERP_i)*AE368*Ramure*Pc/MaxiM</f>
        <v>0.14637319729784096</v>
      </c>
      <c r="AE368" s="307">
        <f t="shared" si="142"/>
        <v>0.9</v>
      </c>
      <c r="AF368" s="179">
        <f t="shared" si="143"/>
        <v>0.10043136448332546</v>
      </c>
      <c r="AG368" s="839">
        <f t="shared" si="149"/>
        <v>1</v>
      </c>
      <c r="AH368" s="178">
        <f t="shared" si="144"/>
        <v>7</v>
      </c>
      <c r="AI368" s="227">
        <f t="shared" si="145"/>
        <v>1.1004313644833255</v>
      </c>
      <c r="AJ368" s="267" t="b">
        <f t="shared" si="146"/>
        <v>0</v>
      </c>
      <c r="AK368" s="267" t="b">
        <f t="shared" si="147"/>
        <v>0</v>
      </c>
      <c r="AL368" s="267"/>
      <c r="AM368" s="267"/>
      <c r="AN368" s="75"/>
    </row>
    <row r="369" spans="1:40" s="18" customFormat="1" ht="11.25" x14ac:dyDescent="0.2">
      <c r="A369" s="56">
        <f t="shared" si="148"/>
        <v>45281</v>
      </c>
      <c r="B369" s="413">
        <f>'2022'!Wh/'2022'!Env_an*'2023'!Env_an</f>
        <v>12.80951062148949</v>
      </c>
      <c r="C369" s="868"/>
      <c r="D369" s="395">
        <f t="shared" si="127"/>
        <v>13.409812033378172</v>
      </c>
      <c r="E369" s="387">
        <f t="shared" si="150"/>
        <v>14.836557881904175</v>
      </c>
      <c r="F369" s="387">
        <f t="shared" si="128"/>
        <v>17.228215242080459</v>
      </c>
      <c r="G369" s="110">
        <f t="shared" si="151"/>
        <v>0.95564214474404408</v>
      </c>
      <c r="H369" s="416" t="b">
        <f>Wh_hp&gt;='2022'!Maxi_hp</f>
        <v>0</v>
      </c>
      <c r="I369" s="392">
        <f>IF(H369,Wh_hp,'2022'!Maxi_hp)</f>
        <v>17.268665801811821</v>
      </c>
      <c r="J369" s="85">
        <f>IF(H369,An,'2022'!An_max)</f>
        <v>2022</v>
      </c>
      <c r="K369" s="199">
        <f t="shared" si="129"/>
        <v>45281</v>
      </c>
      <c r="L369" s="147">
        <f>IF(t&lt;Tvie,1-EXP((T0-t)*PertePVj)+'2022'!Pspv,1-EXP((T0-t)*PertePVj)+Pspv)</f>
        <v>4.4765833435582825E-2</v>
      </c>
      <c r="M369" s="872"/>
      <c r="N369" s="872"/>
      <c r="O369" s="48">
        <f>IF(t&lt;Tnet,'2022'!Resal+('2022'!Salim-'2022'!Resal)*(1-EXP(('2022'!Tnet-t)/('2022'!Tau_j))),Resal+(Salim-Resal)*(1-EXP((Tnet-t)/(Tau_j))))*Salcycl</f>
        <v>9.6164208698715295E-2</v>
      </c>
      <c r="P369" s="171">
        <f>(INDEX(Models!$BJ369:$BT369,,T369)*(1-R369)+INDEX(Models!$BJ369:$BT369,,T369+1)*R369-ERP_i)*Q369*Ramure*Pc/MaxiM</f>
        <v>0.14633664164232776</v>
      </c>
      <c r="Q369" s="307">
        <f t="shared" si="130"/>
        <v>0.9</v>
      </c>
      <c r="R369" s="179">
        <f t="shared" si="131"/>
        <v>0.1004400551130078</v>
      </c>
      <c r="S369" s="839">
        <f t="shared" si="132"/>
        <v>1</v>
      </c>
      <c r="T369" s="178">
        <f t="shared" si="133"/>
        <v>7</v>
      </c>
      <c r="U369" s="253">
        <f t="shared" si="134"/>
        <v>1.1004400551130078</v>
      </c>
      <c r="V369" s="385">
        <f t="shared" si="135"/>
        <v>13.28712492646993</v>
      </c>
      <c r="W369" s="404">
        <f t="shared" si="136"/>
        <v>12.80951062148949</v>
      </c>
      <c r="X369" s="157">
        <f t="shared" si="137"/>
        <v>45281</v>
      </c>
      <c r="Y369" s="387">
        <f t="shared" si="138"/>
        <v>11.780833258947792</v>
      </c>
      <c r="Z369" s="387">
        <f t="shared" si="139"/>
        <v>12.332927015496718</v>
      </c>
      <c r="AA369" s="388">
        <f t="shared" si="140"/>
        <v>14.836557881904175</v>
      </c>
      <c r="AB369" s="199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0.16874742014528049</v>
      </c>
      <c r="AD369" s="233">
        <f>(INDEX(Models!$BJ369:$BT369,,AH369)*(1-AF369)+INDEX(Models!$BJ369:$BT369,,AH369+1)*AF369-ERP_i)*AE369*Ramure*Pc/MaxiM</f>
        <v>0.14633664164232776</v>
      </c>
      <c r="AE369" s="307">
        <f t="shared" si="142"/>
        <v>0.9</v>
      </c>
      <c r="AF369" s="179">
        <f t="shared" si="143"/>
        <v>0.1004400551130078</v>
      </c>
      <c r="AG369" s="839">
        <f t="shared" si="149"/>
        <v>1</v>
      </c>
      <c r="AH369" s="178">
        <f t="shared" si="144"/>
        <v>7</v>
      </c>
      <c r="AI369" s="227">
        <f t="shared" si="145"/>
        <v>1.1004400551130078</v>
      </c>
      <c r="AJ369" s="267" t="b">
        <f t="shared" si="146"/>
        <v>0</v>
      </c>
      <c r="AK369" s="267" t="b">
        <f t="shared" si="147"/>
        <v>0</v>
      </c>
      <c r="AL369" s="267"/>
      <c r="AM369" s="267"/>
      <c r="AN369" s="267"/>
    </row>
    <row r="370" spans="1:40" s="18" customFormat="1" ht="11.25" x14ac:dyDescent="0.2">
      <c r="A370" s="56">
        <f t="shared" si="148"/>
        <v>45282</v>
      </c>
      <c r="B370" s="413">
        <f>'2022'!Wh/'2022'!Env_an*'2023'!Env_an</f>
        <v>11.363527727132944</v>
      </c>
      <c r="C370" s="868"/>
      <c r="D370" s="395">
        <f t="shared" si="127"/>
        <v>11.896341836315646</v>
      </c>
      <c r="E370" s="387">
        <f t="shared" si="150"/>
        <v>13.163868101208177</v>
      </c>
      <c r="F370" s="387">
        <f t="shared" si="128"/>
        <v>14.886889325679814</v>
      </c>
      <c r="G370" s="110">
        <f t="shared" si="151"/>
        <v>0.82476604463957259</v>
      </c>
      <c r="H370" s="416" t="b">
        <f>Wh_hp&gt;='2022'!Maxi_hp</f>
        <v>0</v>
      </c>
      <c r="I370" s="392">
        <f>IF(H370,Wh_hp,'2022'!Maxi_hp)</f>
        <v>17.399805301490186</v>
      </c>
      <c r="J370" s="85">
        <f>IF(H370,An,'2022'!An_max)</f>
        <v>2021</v>
      </c>
      <c r="K370" s="199">
        <f t="shared" si="129"/>
        <v>45282</v>
      </c>
      <c r="L370" s="147">
        <f>IF(t&lt;Tvie,1-EXP((T0-t)*PertePVj)+'2022'!Pspv,1-EXP((T0-t)*PertePVj)+Pspv)</f>
        <v>4.478806313014605E-2</v>
      </c>
      <c r="M370" s="872"/>
      <c r="N370" s="872"/>
      <c r="O370" s="48">
        <f>IF(t&lt;Tnet,'2022'!Resal+('2022'!Salim-'2022'!Resal)*(1-EXP(('2022'!Tnet-t)/('2022'!Tau_j))),Resal+(Salim-Resal)*(1-EXP((Tnet-t)/(Tau_j))))*Salcycl</f>
        <v>9.6288283591674489E-2</v>
      </c>
      <c r="P370" s="171">
        <f>(INDEX(Models!$BJ370:$BT370,,T370)*(1-R370)+INDEX(Models!$BJ370:$BT370,,T370+1)*R370-ERP_i)*Q370*Ramure*Pc/MaxiM</f>
        <v>0.14619443599108553</v>
      </c>
      <c r="Q370" s="307">
        <f t="shared" si="130"/>
        <v>0.9</v>
      </c>
      <c r="R370" s="179">
        <f t="shared" si="131"/>
        <v>0.10044839606904965</v>
      </c>
      <c r="S370" s="839">
        <f t="shared" si="132"/>
        <v>1</v>
      </c>
      <c r="T370" s="178">
        <f t="shared" si="133"/>
        <v>7</v>
      </c>
      <c r="U370" s="253">
        <f t="shared" si="134"/>
        <v>1.1004483960690497</v>
      </c>
      <c r="V370" s="385">
        <f t="shared" si="135"/>
        <v>13.303374632996873</v>
      </c>
      <c r="W370" s="404">
        <f t="shared" si="136"/>
        <v>11.363527727132944</v>
      </c>
      <c r="X370" s="157">
        <f t="shared" si="137"/>
        <v>45282</v>
      </c>
      <c r="Y370" s="387">
        <f t="shared" si="138"/>
        <v>10.451958940168945</v>
      </c>
      <c r="Z370" s="387">
        <f t="shared" si="139"/>
        <v>10.942031330156007</v>
      </c>
      <c r="AA370" s="388">
        <f t="shared" si="140"/>
        <v>13.163868101208177</v>
      </c>
      <c r="AB370" s="199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0.16878297123383132</v>
      </c>
      <c r="AD370" s="233">
        <f>(INDEX(Models!$BJ370:$BT370,,AH370)*(1-AF370)+INDEX(Models!$BJ370:$BT370,,AH370+1)*AF370-ERP_i)*AE370*Ramure*Pc/MaxiM</f>
        <v>0.14619443599108553</v>
      </c>
      <c r="AE370" s="307">
        <f t="shared" si="142"/>
        <v>0.9</v>
      </c>
      <c r="AF370" s="179">
        <f t="shared" si="143"/>
        <v>0.10044839606904965</v>
      </c>
      <c r="AG370" s="839">
        <f t="shared" si="149"/>
        <v>1</v>
      </c>
      <c r="AH370" s="178">
        <f t="shared" si="144"/>
        <v>7</v>
      </c>
      <c r="AI370" s="227">
        <f t="shared" si="145"/>
        <v>1.1004483960690497</v>
      </c>
      <c r="AJ370" s="267" t="b">
        <f t="shared" si="146"/>
        <v>0</v>
      </c>
      <c r="AK370" s="267" t="b">
        <f t="shared" si="147"/>
        <v>0</v>
      </c>
      <c r="AL370" s="267"/>
      <c r="AM370" s="267"/>
      <c r="AN370" s="267"/>
    </row>
    <row r="371" spans="1:40" s="6" customFormat="1" ht="11.25" x14ac:dyDescent="0.2">
      <c r="A371" s="56">
        <f t="shared" si="148"/>
        <v>45283</v>
      </c>
      <c r="B371" s="413">
        <f>'2022'!Wh/'2022'!Env_an*'2023'!Env_an</f>
        <v>11.908692281747486</v>
      </c>
      <c r="C371" s="868"/>
      <c r="D371" s="395">
        <f t="shared" si="127"/>
        <v>12.467358249194882</v>
      </c>
      <c r="E371" s="387">
        <f t="shared" si="150"/>
        <v>13.797630542225333</v>
      </c>
      <c r="F371" s="387">
        <f t="shared" si="128"/>
        <v>15.745887341418447</v>
      </c>
      <c r="G371" s="110">
        <f t="shared" si="151"/>
        <v>0.87080002879038487</v>
      </c>
      <c r="H371" s="416" t="b">
        <f>Wh_hp&gt;='2022'!Maxi_hp</f>
        <v>0</v>
      </c>
      <c r="I371" s="392">
        <f>IF(H371,Wh_hp,'2022'!Maxi_hp)</f>
        <v>16.064164889067985</v>
      </c>
      <c r="J371" s="85">
        <f>IF(H371,An,'2022'!An_max)</f>
        <v>2020</v>
      </c>
      <c r="K371" s="199">
        <f t="shared" si="129"/>
        <v>45283</v>
      </c>
      <c r="L371" s="147">
        <f>IF(t&lt;Tvie,1-EXP((T0-t)*PertePVj)+'2022'!Pspv,1-EXP((T0-t)*PertePVj)+Pspv)</f>
        <v>4.4810292307391864E-2</v>
      </c>
      <c r="M371" s="872"/>
      <c r="N371" s="872"/>
      <c r="O371" s="48">
        <f>IF(t&lt;Tnet,'2022'!Resal+('2022'!Salim-'2022'!Resal)*(1-EXP(('2022'!Tnet-t)/('2022'!Tau_j))),Resal+(Salim-Resal)*(1-EXP((Tnet-t)/(Tau_j))))*Salcycl</f>
        <v>9.6413097086443619E-2</v>
      </c>
      <c r="P371" s="171">
        <f>(INDEX(Models!$BJ371:$BT371,,T371)*(1-R371)+INDEX(Models!$BJ371:$BT371,,T371+1)*R371-ERP_i)*Q371*Ramure*Pc/MaxiM</f>
        <v>0.14594611631543122</v>
      </c>
      <c r="Q371" s="307">
        <f t="shared" si="130"/>
        <v>0.9</v>
      </c>
      <c r="R371" s="179">
        <f t="shared" si="131"/>
        <v>0.10044839606904965</v>
      </c>
      <c r="S371" s="839">
        <f t="shared" si="132"/>
        <v>1</v>
      </c>
      <c r="T371" s="178">
        <f t="shared" si="133"/>
        <v>7</v>
      </c>
      <c r="U371" s="253">
        <f t="shared" si="134"/>
        <v>1.1004483960690497</v>
      </c>
      <c r="V371" s="385">
        <f t="shared" si="135"/>
        <v>13.328876335874515</v>
      </c>
      <c r="W371" s="404">
        <f t="shared" si="136"/>
        <v>11.908692281747486</v>
      </c>
      <c r="X371" s="157">
        <f t="shared" si="137"/>
        <v>45283</v>
      </c>
      <c r="Y371" s="387">
        <f t="shared" si="138"/>
        <v>10.954415238637134</v>
      </c>
      <c r="Z371" s="387">
        <f t="shared" si="139"/>
        <v>11.468313729111495</v>
      </c>
      <c r="AA371" s="388">
        <f t="shared" si="140"/>
        <v>13.797630542225333</v>
      </c>
      <c r="AB371" s="199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0.16882005979108905</v>
      </c>
      <c r="AD371" s="233">
        <f>(INDEX(Models!$BJ371:$BT371,,AH371)*(1-AF371)+INDEX(Models!$BJ371:$BT371,,AH371+1)*AF371-ERP_i)*AE371*Ramure*Pc/MaxiM</f>
        <v>0.14594611631543122</v>
      </c>
      <c r="AE371" s="307">
        <f t="shared" si="142"/>
        <v>0.9</v>
      </c>
      <c r="AF371" s="179">
        <f t="shared" si="143"/>
        <v>0.10044839606904965</v>
      </c>
      <c r="AG371" s="839">
        <f t="shared" si="149"/>
        <v>1</v>
      </c>
      <c r="AH371" s="178">
        <f t="shared" si="144"/>
        <v>7</v>
      </c>
      <c r="AI371" s="227">
        <f t="shared" si="145"/>
        <v>1.1004483960690497</v>
      </c>
      <c r="AJ371" s="267" t="b">
        <f t="shared" si="146"/>
        <v>0</v>
      </c>
      <c r="AK371" s="267" t="b">
        <f t="shared" si="147"/>
        <v>0</v>
      </c>
      <c r="AL371" s="267"/>
      <c r="AM371" s="267"/>
      <c r="AN371" s="75"/>
    </row>
    <row r="372" spans="1:40" s="6" customFormat="1" ht="11.25" x14ac:dyDescent="0.2">
      <c r="A372" s="56">
        <f t="shared" si="148"/>
        <v>45284</v>
      </c>
      <c r="B372" s="413">
        <f>'2022'!Wh/'2022'!Env_an*'2023'!Env_an</f>
        <v>13.56306958930386</v>
      </c>
      <c r="C372" s="868"/>
      <c r="D372" s="395">
        <f t="shared" si="127"/>
        <v>14.199676901730014</v>
      </c>
      <c r="E372" s="387">
        <f t="shared" si="150"/>
        <v>15.716970932946806</v>
      </c>
      <c r="F372" s="387">
        <f t="shared" si="128"/>
        <v>18.395161157636579</v>
      </c>
      <c r="G372" s="110">
        <f t="shared" si="151"/>
        <v>1.0149166420325137</v>
      </c>
      <c r="H372" s="416" t="b">
        <f>Wh_hp&gt;='2022'!Maxi_hp</f>
        <v>1</v>
      </c>
      <c r="I372" s="392">
        <f>IF(H372,Wh_hp,'2022'!Maxi_hp)</f>
        <v>18.395161157636579</v>
      </c>
      <c r="J372" s="85">
        <f>IF(H372,An,'2022'!An_max)</f>
        <v>2023</v>
      </c>
      <c r="K372" s="199">
        <f t="shared" si="129"/>
        <v>45284</v>
      </c>
      <c r="L372" s="147">
        <f>IF(t&lt;Tvie,1-EXP((T0-t)*PertePVj)+'2022'!Pspv,1-EXP((T0-t)*PertePVj)+Pspv)</f>
        <v>4.4832520967332257E-2</v>
      </c>
      <c r="M372" s="872"/>
      <c r="N372" s="872"/>
      <c r="O372" s="48">
        <f>IF(t&lt;Tnet,'2022'!Resal+('2022'!Salim-'2022'!Resal)*(1-EXP(('2022'!Tnet-t)/('2022'!Tau_j))),Resal+(Salim-Resal)*(1-EXP((Tnet-t)/(Tau_j))))*Salcycl</f>
        <v>9.6538578437919867E-2</v>
      </c>
      <c r="P372" s="171">
        <f>(INDEX(Models!$BJ372:$BT372,,T372)*(1-R372)+INDEX(Models!$BJ372:$BT372,,T372+1)*R372-ERP_i)*Q372*Ramure*Pc/MaxiM</f>
        <v>0.14559210445285761</v>
      </c>
      <c r="Q372" s="307">
        <f t="shared" si="130"/>
        <v>0.9</v>
      </c>
      <c r="R372" s="179">
        <f t="shared" si="131"/>
        <v>0.10044839606904965</v>
      </c>
      <c r="S372" s="839">
        <f t="shared" si="132"/>
        <v>1</v>
      </c>
      <c r="T372" s="178">
        <f t="shared" si="133"/>
        <v>7</v>
      </c>
      <c r="U372" s="253">
        <f t="shared" si="134"/>
        <v>1.1004483960690497</v>
      </c>
      <c r="V372" s="385">
        <f t="shared" si="135"/>
        <v>13.363727647762181</v>
      </c>
      <c r="W372" s="404">
        <f t="shared" si="136"/>
        <v>13.56306958930386</v>
      </c>
      <c r="X372" s="157">
        <f t="shared" si="137"/>
        <v>45284</v>
      </c>
      <c r="Y372" s="387">
        <f t="shared" si="138"/>
        <v>12.47737752430527</v>
      </c>
      <c r="Z372" s="387">
        <f t="shared" si="139"/>
        <v>13.06302590718599</v>
      </c>
      <c r="AA372" s="388">
        <f t="shared" si="140"/>
        <v>15.716970932946804</v>
      </c>
      <c r="AB372" s="199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0.16885855659359045</v>
      </c>
      <c r="AD372" s="233">
        <f>(INDEX(Models!$BJ372:$BT372,,AH372)*(1-AF372)+INDEX(Models!$BJ372:$BT372,,AH372+1)*AF372-ERP_i)*AE372*Ramure*Pc/MaxiM</f>
        <v>0.14559210445285761</v>
      </c>
      <c r="AE372" s="307">
        <f t="shared" si="142"/>
        <v>0.9</v>
      </c>
      <c r="AF372" s="179">
        <f t="shared" si="143"/>
        <v>0.10044839606904965</v>
      </c>
      <c r="AG372" s="839">
        <f t="shared" si="149"/>
        <v>1</v>
      </c>
      <c r="AH372" s="178">
        <f t="shared" si="144"/>
        <v>7</v>
      </c>
      <c r="AI372" s="227">
        <f t="shared" si="145"/>
        <v>1.1004483960690497</v>
      </c>
      <c r="AJ372" s="267" t="b">
        <f t="shared" si="146"/>
        <v>0</v>
      </c>
      <c r="AK372" s="267" t="b">
        <f t="shared" si="147"/>
        <v>0</v>
      </c>
      <c r="AL372" s="267"/>
      <c r="AM372" s="267"/>
      <c r="AN372" s="75"/>
    </row>
    <row r="373" spans="1:40" s="6" customFormat="1" ht="11.25" x14ac:dyDescent="0.2">
      <c r="A373" s="56">
        <f t="shared" si="148"/>
        <v>45285</v>
      </c>
      <c r="B373" s="413">
        <f>'2022'!Wh/'2022'!Env_an*'2023'!Env_an</f>
        <v>7.6695109545182865</v>
      </c>
      <c r="C373" s="868"/>
      <c r="D373" s="395">
        <f t="shared" si="127"/>
        <v>8.0296802474510596</v>
      </c>
      <c r="E373" s="387">
        <f t="shared" si="150"/>
        <v>8.8889251733022849</v>
      </c>
      <c r="F373" s="387">
        <f t="shared" si="128"/>
        <v>9.4201541765682091</v>
      </c>
      <c r="G373" s="110">
        <f t="shared" si="151"/>
        <v>0.51820654198482474</v>
      </c>
      <c r="H373" s="416" t="b">
        <f>Wh_hp&gt;='2022'!Maxi_hp</f>
        <v>0</v>
      </c>
      <c r="I373" s="392">
        <f>IF(H373,Wh_hp,'2022'!Maxi_hp)</f>
        <v>13.899256266993024</v>
      </c>
      <c r="J373" s="85">
        <f>IF(H373,An,'2022'!An_max)</f>
        <v>2018</v>
      </c>
      <c r="K373" s="199">
        <f t="shared" si="129"/>
        <v>45285</v>
      </c>
      <c r="L373" s="147">
        <f>IF(t&lt;Tvie,1-EXP((T0-t)*PertePVj)+'2022'!Pspv,1-EXP((T0-t)*PertePVj)+Pspv)</f>
        <v>4.4854749109979219E-2</v>
      </c>
      <c r="M373" s="872"/>
      <c r="N373" s="872"/>
      <c r="O373" s="48">
        <f>IF(t&lt;Tnet,'2022'!Resal+('2022'!Salim-'2022'!Resal)*(1-EXP(('2022'!Tnet-t)/('2022'!Tau_j))),Resal+(Salim-Resal)*(1-EXP((Tnet-t)/(Tau_j))))*Salcycl</f>
        <v>9.6664659573460182E-2</v>
      </c>
      <c r="P373" s="171">
        <f>(INDEX(Models!$BJ373:$BT373,,T373)*(1-R373)+INDEX(Models!$BJ373:$BT373,,T373+1)*R373-ERP_i)*Q373*Ramure*Pc/MaxiM</f>
        <v>0.14512996559035488</v>
      </c>
      <c r="Q373" s="307">
        <f t="shared" si="130"/>
        <v>0.9</v>
      </c>
      <c r="R373" s="179">
        <f t="shared" si="131"/>
        <v>0.10044839606904965</v>
      </c>
      <c r="S373" s="839">
        <f t="shared" si="132"/>
        <v>1</v>
      </c>
      <c r="T373" s="178">
        <f t="shared" si="133"/>
        <v>7</v>
      </c>
      <c r="U373" s="253">
        <f t="shared" si="134"/>
        <v>1.1004483960690497</v>
      </c>
      <c r="V373" s="385">
        <f t="shared" si="135"/>
        <v>13.408297435795388</v>
      </c>
      <c r="W373" s="404">
        <f t="shared" si="136"/>
        <v>7.6695109545182865</v>
      </c>
      <c r="X373" s="157">
        <f t="shared" si="137"/>
        <v>45285</v>
      </c>
      <c r="Y373" s="387">
        <f t="shared" si="138"/>
        <v>7.0562315215447837</v>
      </c>
      <c r="Z373" s="387">
        <f t="shared" si="139"/>
        <v>7.3876004879568482</v>
      </c>
      <c r="AA373" s="388">
        <f t="shared" si="140"/>
        <v>8.8889251733022849</v>
      </c>
      <c r="AB373" s="199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0.16889833765893719</v>
      </c>
      <c r="AD373" s="233">
        <f>(INDEX(Models!$BJ373:$BT373,,AH373)*(1-AF373)+INDEX(Models!$BJ373:$BT373,,AH373+1)*AF373-ERP_i)*AE373*Ramure*Pc/MaxiM</f>
        <v>0.14512996559035488</v>
      </c>
      <c r="AE373" s="307">
        <f t="shared" si="142"/>
        <v>0.9</v>
      </c>
      <c r="AF373" s="179">
        <f t="shared" si="143"/>
        <v>0.10044839606904965</v>
      </c>
      <c r="AG373" s="839">
        <f t="shared" si="149"/>
        <v>1</v>
      </c>
      <c r="AH373" s="178">
        <f t="shared" si="144"/>
        <v>7</v>
      </c>
      <c r="AI373" s="227">
        <f t="shared" si="145"/>
        <v>1.1004483960690497</v>
      </c>
      <c r="AJ373" s="267" t="b">
        <f t="shared" si="146"/>
        <v>0</v>
      </c>
      <c r="AK373" s="267" t="b">
        <f t="shared" si="147"/>
        <v>0</v>
      </c>
      <c r="AL373" s="267"/>
      <c r="AM373" s="267"/>
      <c r="AN373" s="75"/>
    </row>
    <row r="374" spans="1:40" s="6" customFormat="1" ht="11.25" x14ac:dyDescent="0.2">
      <c r="A374" s="56">
        <f t="shared" si="148"/>
        <v>45286</v>
      </c>
      <c r="B374" s="413">
        <f>'2022'!Wh/'2022'!Env_an*'2023'!Env_an</f>
        <v>11.932060897921252</v>
      </c>
      <c r="C374" s="868"/>
      <c r="D374" s="395">
        <f t="shared" si="127"/>
        <v>12.492695293991458</v>
      </c>
      <c r="E374" s="387">
        <f t="shared" si="150"/>
        <v>13.831459942506754</v>
      </c>
      <c r="F374" s="387">
        <f t="shared" si="128"/>
        <v>15.736877370126349</v>
      </c>
      <c r="G374" s="110">
        <f t="shared" si="151"/>
        <v>0.86262589242231691</v>
      </c>
      <c r="H374" s="416" t="b">
        <f>Wh_hp&gt;='2022'!Maxi_hp</f>
        <v>0</v>
      </c>
      <c r="I374" s="392">
        <f>IF(H374,Wh_hp,'2022'!Maxi_hp)</f>
        <v>17.569018811526597</v>
      </c>
      <c r="J374" s="85">
        <f>IF(H374,An,'2022'!An_max)</f>
        <v>2018</v>
      </c>
      <c r="K374" s="199">
        <f t="shared" si="129"/>
        <v>45286</v>
      </c>
      <c r="L374" s="147">
        <f>IF(t&lt;Tvie,1-EXP((T0-t)*PertePVj)+'2022'!Pspv,1-EXP((T0-t)*PertePVj)+Pspv)</f>
        <v>4.4876976735344853E-2</v>
      </c>
      <c r="M374" s="872"/>
      <c r="N374" s="872"/>
      <c r="O374" s="48">
        <f>IF(t&lt;Tnet,'2022'!Resal+('2022'!Salim-'2022'!Resal)*(1-EXP(('2022'!Tnet-t)/('2022'!Tau_j))),Resal+(Salim-Resal)*(1-EXP((Tnet-t)/(Tau_j))))*Salcycl</f>
        <v>9.679127540260693E-2</v>
      </c>
      <c r="P374" s="171">
        <f>(INDEX(Models!$BJ374:$BT374,,T374)*(1-R374)+INDEX(Models!$BJ374:$BT374,,T374+1)*R374-ERP_i)*Q374*Ramure*Pc/MaxiM</f>
        <v>0.14455975755229988</v>
      </c>
      <c r="Q374" s="307">
        <f t="shared" si="130"/>
        <v>0.9</v>
      </c>
      <c r="R374" s="179">
        <f t="shared" si="131"/>
        <v>0.10044839606904965</v>
      </c>
      <c r="S374" s="839">
        <f t="shared" si="132"/>
        <v>1</v>
      </c>
      <c r="T374" s="178">
        <f t="shared" si="133"/>
        <v>7</v>
      </c>
      <c r="U374" s="253">
        <f t="shared" si="134"/>
        <v>1.1004483960690497</v>
      </c>
      <c r="V374" s="385">
        <f t="shared" si="135"/>
        <v>13.462731541741283</v>
      </c>
      <c r="W374" s="404">
        <f t="shared" si="136"/>
        <v>11.932060897921252</v>
      </c>
      <c r="X374" s="157">
        <f t="shared" si="137"/>
        <v>45286</v>
      </c>
      <c r="Y374" s="387">
        <f t="shared" si="138"/>
        <v>10.978931883748317</v>
      </c>
      <c r="Z374" s="387">
        <f t="shared" si="139"/>
        <v>11.494782992689061</v>
      </c>
      <c r="AA374" s="388">
        <f t="shared" si="140"/>
        <v>13.831459942506754</v>
      </c>
      <c r="AB374" s="199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0.1689392847559521</v>
      </c>
      <c r="AD374" s="233">
        <f>(INDEX(Models!$BJ374:$BT374,,AH374)*(1-AF374)+INDEX(Models!$BJ374:$BT374,,AH374+1)*AF374-ERP_i)*AE374*Ramure*Pc/MaxiM</f>
        <v>0.14455975755229988</v>
      </c>
      <c r="AE374" s="307">
        <f t="shared" si="142"/>
        <v>0.9</v>
      </c>
      <c r="AF374" s="179">
        <f t="shared" si="143"/>
        <v>0.10044839606904965</v>
      </c>
      <c r="AG374" s="839">
        <f t="shared" si="149"/>
        <v>1</v>
      </c>
      <c r="AH374" s="178">
        <f t="shared" si="144"/>
        <v>7</v>
      </c>
      <c r="AI374" s="227">
        <f t="shared" si="145"/>
        <v>1.1004483960690497</v>
      </c>
      <c r="AJ374" s="267" t="b">
        <f t="shared" si="146"/>
        <v>0</v>
      </c>
      <c r="AK374" s="267" t="b">
        <f t="shared" si="147"/>
        <v>0</v>
      </c>
      <c r="AL374" s="267"/>
      <c r="AM374" s="267"/>
      <c r="AN374" s="75"/>
    </row>
    <row r="375" spans="1:40" s="6" customFormat="1" ht="11.25" x14ac:dyDescent="0.2">
      <c r="A375" s="56">
        <f t="shared" si="148"/>
        <v>45287</v>
      </c>
      <c r="B375" s="413">
        <f>'2022'!Wh/'2022'!Env_an*'2023'!Env_an</f>
        <v>5.6877232966060802</v>
      </c>
      <c r="C375" s="868"/>
      <c r="D375" s="395">
        <f t="shared" si="127"/>
        <v>5.9551026650738503</v>
      </c>
      <c r="E375" s="387">
        <f t="shared" si="150"/>
        <v>6.594201928459765</v>
      </c>
      <c r="F375" s="387">
        <f t="shared" si="128"/>
        <v>6.7615288150179111</v>
      </c>
      <c r="G375" s="110">
        <f t="shared" si="151"/>
        <v>0.36911169535742466</v>
      </c>
      <c r="H375" s="416" t="b">
        <f>Wh_hp&gt;='2022'!Maxi_hp</f>
        <v>0</v>
      </c>
      <c r="I375" s="392">
        <f>IF(H375,Wh_hp,'2022'!Maxi_hp)</f>
        <v>17.805021501401317</v>
      </c>
      <c r="J375" s="85">
        <f>IF(H375,An,'2022'!An_max)</f>
        <v>2018</v>
      </c>
      <c r="K375" s="199">
        <f t="shared" si="129"/>
        <v>45287</v>
      </c>
      <c r="L375" s="147">
        <f>IF(t&lt;Tvie,1-EXP((T0-t)*PertePVj)+'2022'!Pspv,1-EXP((T0-t)*PertePVj)+Pspv)</f>
        <v>4.4899203843441149E-2</v>
      </c>
      <c r="M375" s="872"/>
      <c r="N375" s="872"/>
      <c r="O375" s="48">
        <f>IF(t&lt;Tnet,'2022'!Resal+('2022'!Salim-'2022'!Resal)*(1-EXP(('2022'!Tnet-t)/('2022'!Tau_j))),Resal+(Salim-Resal)*(1-EXP((Tnet-t)/(Tau_j))))*Salcycl</f>
        <v>9.6918364090071527E-2</v>
      </c>
      <c r="P375" s="171">
        <f>(INDEX(Models!$BJ375:$BT375,,T375)*(1-R375)+INDEX(Models!$BJ375:$BT375,,T375+1)*R375-ERP_i)*Q375*Ramure*Pc/MaxiM</f>
        <v>0.14382161894681189</v>
      </c>
      <c r="Q375" s="307">
        <f t="shared" si="130"/>
        <v>0.9</v>
      </c>
      <c r="R375" s="179">
        <f t="shared" si="131"/>
        <v>0.10044839606904965</v>
      </c>
      <c r="S375" s="839">
        <f t="shared" si="132"/>
        <v>1</v>
      </c>
      <c r="T375" s="178">
        <f t="shared" si="133"/>
        <v>7</v>
      </c>
      <c r="U375" s="253">
        <f t="shared" si="134"/>
        <v>1.1004483960690497</v>
      </c>
      <c r="V375" s="385">
        <f t="shared" si="135"/>
        <v>13.527812421972829</v>
      </c>
      <c r="W375" s="404">
        <f t="shared" si="136"/>
        <v>5.6877232966060802</v>
      </c>
      <c r="X375" s="157">
        <f t="shared" si="137"/>
        <v>45287</v>
      </c>
      <c r="Y375" s="387">
        <f t="shared" si="138"/>
        <v>5.2338618264973853</v>
      </c>
      <c r="Z375" s="387">
        <f t="shared" si="139"/>
        <v>5.4799052074493897</v>
      </c>
      <c r="AA375" s="388">
        <f t="shared" si="140"/>
        <v>6.594201928459765</v>
      </c>
      <c r="AB375" s="199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0.16898128584767888</v>
      </c>
      <c r="AD375" s="233">
        <f>(INDEX(Models!$BJ375:$BT375,,AH375)*(1-AF375)+INDEX(Models!$BJ375:$BT375,,AH375+1)*AF375-ERP_i)*AE375*Ramure*Pc/MaxiM</f>
        <v>0.14382161894681189</v>
      </c>
      <c r="AE375" s="307">
        <f t="shared" si="142"/>
        <v>0.9</v>
      </c>
      <c r="AF375" s="179">
        <f t="shared" si="143"/>
        <v>0.10044839606904965</v>
      </c>
      <c r="AG375" s="839">
        <f t="shared" si="149"/>
        <v>1</v>
      </c>
      <c r="AH375" s="178">
        <f t="shared" si="144"/>
        <v>7</v>
      </c>
      <c r="AI375" s="227">
        <f t="shared" si="145"/>
        <v>1.1004483960690497</v>
      </c>
      <c r="AJ375" s="267" t="b">
        <f t="shared" si="146"/>
        <v>0</v>
      </c>
      <c r="AK375" s="267" t="b">
        <f t="shared" si="147"/>
        <v>0</v>
      </c>
      <c r="AL375" s="267"/>
      <c r="AM375" s="267"/>
      <c r="AN375" s="75"/>
    </row>
    <row r="376" spans="1:40" s="6" customFormat="1" ht="11.25" x14ac:dyDescent="0.2">
      <c r="A376" s="56">
        <f t="shared" si="148"/>
        <v>45288</v>
      </c>
      <c r="B376" s="413">
        <f>'2022'!Wh/'2022'!Env_an*'2023'!Env_an</f>
        <v>12.663515373262623</v>
      </c>
      <c r="C376" s="868"/>
      <c r="D376" s="395">
        <f t="shared" si="127"/>
        <v>13.259134668910853</v>
      </c>
      <c r="E376" s="387">
        <f t="shared" si="150"/>
        <v>14.684172970255823</v>
      </c>
      <c r="F376" s="387">
        <f t="shared" si="128"/>
        <v>16.855692668284057</v>
      </c>
      <c r="G376" s="110">
        <f t="shared" si="151"/>
        <v>0.91585706498219699</v>
      </c>
      <c r="H376" s="416" t="b">
        <f>Wh_hp&gt;='2022'!Maxi_hp</f>
        <v>0</v>
      </c>
      <c r="I376" s="392">
        <f>IF(H376,Wh_hp,'2022'!Maxi_hp)</f>
        <v>16.929099541079747</v>
      </c>
      <c r="J376" s="85">
        <f>IF(H376,An,'2022'!An_max)</f>
        <v>2022</v>
      </c>
      <c r="K376" s="199">
        <f t="shared" si="129"/>
        <v>45288</v>
      </c>
      <c r="L376" s="147">
        <f>IF(t&lt;Tvie,1-EXP((T0-t)*PertePVj)+'2022'!Pspv,1-EXP((T0-t)*PertePVj)+Pspv)</f>
        <v>4.4921430434280096E-2</v>
      </c>
      <c r="M376" s="872"/>
      <c r="N376" s="872"/>
      <c r="O376" s="48">
        <f>IF(t&lt;Tnet,'2022'!Resal+('2022'!Salim-'2022'!Resal)*(1-EXP(('2022'!Tnet-t)/('2022'!Tau_j))),Resal+(Salim-Resal)*(1-EXP((Tnet-t)/(Tau_j))))*Salcycl</f>
        <v>9.7045867290688995E-2</v>
      </c>
      <c r="P376" s="171">
        <f>(INDEX(Models!$BJ376:$BT376,,T376)*(1-R376)+INDEX(Models!$BJ376:$BT376,,T376+1)*R376-ERP_i)*Q376*Ramure*Pc/MaxiM</f>
        <v>0.1429338743912231</v>
      </c>
      <c r="Q376" s="307">
        <f t="shared" si="130"/>
        <v>0.9</v>
      </c>
      <c r="R376" s="179">
        <f t="shared" si="131"/>
        <v>0.10044839606904965</v>
      </c>
      <c r="S376" s="839">
        <f t="shared" si="132"/>
        <v>1</v>
      </c>
      <c r="T376" s="178">
        <f t="shared" si="133"/>
        <v>7</v>
      </c>
      <c r="U376" s="253">
        <f t="shared" si="134"/>
        <v>1.1004483960690497</v>
      </c>
      <c r="V376" s="385">
        <f t="shared" si="135"/>
        <v>13.603104209472377</v>
      </c>
      <c r="W376" s="404">
        <f t="shared" si="136"/>
        <v>12.663515373262623</v>
      </c>
      <c r="X376" s="157">
        <f t="shared" si="137"/>
        <v>45288</v>
      </c>
      <c r="Y376" s="387">
        <f t="shared" si="138"/>
        <v>11.654051947707279</v>
      </c>
      <c r="Z376" s="387">
        <f t="shared" si="139"/>
        <v>12.20219186051515</v>
      </c>
      <c r="AA376" s="388">
        <f t="shared" si="140"/>
        <v>14.684172970255824</v>
      </c>
      <c r="AB376" s="199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0.16902423546550158</v>
      </c>
      <c r="AD376" s="233">
        <f>(INDEX(Models!$BJ376:$BT376,,AH376)*(1-AF376)+INDEX(Models!$BJ376:$BT376,,AH376+1)*AF376-ERP_i)*AE376*Ramure*Pc/MaxiM</f>
        <v>0.1429338743912231</v>
      </c>
      <c r="AE376" s="307">
        <f t="shared" si="142"/>
        <v>0.9</v>
      </c>
      <c r="AF376" s="179">
        <f t="shared" si="143"/>
        <v>0.10044839606904965</v>
      </c>
      <c r="AG376" s="839">
        <f t="shared" si="149"/>
        <v>1</v>
      </c>
      <c r="AH376" s="178">
        <f t="shared" si="144"/>
        <v>7</v>
      </c>
      <c r="AI376" s="227">
        <f t="shared" si="145"/>
        <v>1.1004483960690497</v>
      </c>
      <c r="AJ376" s="267" t="b">
        <f t="shared" si="146"/>
        <v>0</v>
      </c>
      <c r="AK376" s="267" t="b">
        <f t="shared" si="147"/>
        <v>0</v>
      </c>
      <c r="AL376" s="267"/>
      <c r="AM376" s="267"/>
      <c r="AN376" s="75"/>
    </row>
    <row r="377" spans="1:40" s="6" customFormat="1" ht="11.25" x14ac:dyDescent="0.2">
      <c r="A377" s="56">
        <f t="shared" si="148"/>
        <v>45289</v>
      </c>
      <c r="B377" s="413">
        <f>'2022'!Wh/'2022'!Env_an*'2023'!Env_an</f>
        <v>8.515127731492516</v>
      </c>
      <c r="C377" s="868"/>
      <c r="D377" s="395">
        <f t="shared" si="127"/>
        <v>8.9158380963758486</v>
      </c>
      <c r="E377" s="387">
        <f t="shared" si="150"/>
        <v>9.875474823951464</v>
      </c>
      <c r="F377" s="387">
        <f t="shared" si="128"/>
        <v>10.565269383325102</v>
      </c>
      <c r="G377" s="110">
        <f t="shared" si="151"/>
        <v>0.57108221998327602</v>
      </c>
      <c r="H377" s="416" t="b">
        <f>Wh_hp&gt;='2022'!Maxi_hp</f>
        <v>0</v>
      </c>
      <c r="I377" s="392">
        <f>IF(H377,Wh_hp,'2022'!Maxi_hp)</f>
        <v>18.983624487934243</v>
      </c>
      <c r="J377" s="85">
        <f>IF(H377,An,'2022'!An_max)</f>
        <v>2019</v>
      </c>
      <c r="K377" s="199">
        <f t="shared" si="129"/>
        <v>45289</v>
      </c>
      <c r="L377" s="147">
        <f>IF(t&lt;Tvie,1-EXP((T0-t)*PertePVj)+'2022'!Pspv,1-EXP((T0-t)*PertePVj)+Pspv)</f>
        <v>4.4943656507873908E-2</v>
      </c>
      <c r="M377" s="872"/>
      <c r="N377" s="872"/>
      <c r="O377" s="48">
        <f>IF(t&lt;Tnet,'2022'!Resal+('2022'!Salim-'2022'!Resal)*(1-EXP(('2022'!Tnet-t)/('2022'!Tau_j))),Resal+(Salim-Resal)*(1-EXP((Tnet-t)/(Tau_j))))*Salcycl</f>
        <v>9.717373034541707E-2</v>
      </c>
      <c r="P377" s="171">
        <f>(INDEX(Models!$BJ377:$BT377,,T377)*(1-R377)+INDEX(Models!$BJ377:$BT377,,T377+1)*R377-ERP_i)*Q377*Ramure*Pc/MaxiM</f>
        <v>0.14190165997778123</v>
      </c>
      <c r="Q377" s="307">
        <f t="shared" si="130"/>
        <v>0.9</v>
      </c>
      <c r="R377" s="179">
        <f t="shared" si="131"/>
        <v>0.10044839606904965</v>
      </c>
      <c r="S377" s="839">
        <f t="shared" si="132"/>
        <v>1</v>
      </c>
      <c r="T377" s="178">
        <f t="shared" si="133"/>
        <v>7</v>
      </c>
      <c r="U377" s="253">
        <f t="shared" si="134"/>
        <v>1.1004483960690497</v>
      </c>
      <c r="V377" s="385">
        <f t="shared" si="135"/>
        <v>13.688383948792751</v>
      </c>
      <c r="W377" s="404">
        <f t="shared" si="136"/>
        <v>8.515127731492516</v>
      </c>
      <c r="X377" s="157">
        <f t="shared" si="137"/>
        <v>45289</v>
      </c>
      <c r="Y377" s="387">
        <f t="shared" si="138"/>
        <v>7.8370469002290788</v>
      </c>
      <c r="Z377" s="387">
        <f t="shared" si="139"/>
        <v>8.2058477006426909</v>
      </c>
      <c r="AA377" s="388">
        <f t="shared" si="140"/>
        <v>9.875474823951464</v>
      </c>
      <c r="AB377" s="199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0.16906803501329834</v>
      </c>
      <c r="AD377" s="233">
        <f>(INDEX(Models!$BJ377:$BT377,,AH377)*(1-AF377)+INDEX(Models!$BJ377:$BT377,,AH377+1)*AF377-ERP_i)*AE377*Ramure*Pc/MaxiM</f>
        <v>0.14190165997778123</v>
      </c>
      <c r="AE377" s="307">
        <f t="shared" si="142"/>
        <v>0.9</v>
      </c>
      <c r="AF377" s="179">
        <f t="shared" si="143"/>
        <v>0.10044839606904965</v>
      </c>
      <c r="AG377" s="839">
        <f t="shared" si="149"/>
        <v>1</v>
      </c>
      <c r="AH377" s="178">
        <f t="shared" si="144"/>
        <v>7</v>
      </c>
      <c r="AI377" s="227">
        <f t="shared" si="145"/>
        <v>1.1004483960690497</v>
      </c>
      <c r="AJ377" s="267" t="b">
        <f t="shared" si="146"/>
        <v>0</v>
      </c>
      <c r="AK377" s="267" t="b">
        <f t="shared" si="147"/>
        <v>0</v>
      </c>
      <c r="AL377" s="267"/>
      <c r="AM377" s="267"/>
      <c r="AN377" s="75"/>
    </row>
    <row r="378" spans="1:40" s="6" customFormat="1" ht="11.25" x14ac:dyDescent="0.2">
      <c r="A378" s="56">
        <f t="shared" si="148"/>
        <v>45290</v>
      </c>
      <c r="B378" s="413">
        <f>'2022'!Wh/'2022'!Env_an*'2023'!Env_an</f>
        <v>10.830887581180823</v>
      </c>
      <c r="C378" s="868"/>
      <c r="D378" s="395">
        <f t="shared" si="127"/>
        <v>11.340838382393052</v>
      </c>
      <c r="E378" s="387">
        <f t="shared" si="150"/>
        <v>12.563268287614736</v>
      </c>
      <c r="F378" s="387">
        <f t="shared" si="128"/>
        <v>13.923064523675164</v>
      </c>
      <c r="G378" s="110">
        <f t="shared" si="151"/>
        <v>0.74828736685615016</v>
      </c>
      <c r="H378" s="416" t="b">
        <f>Wh_hp&gt;='2022'!Maxi_hp</f>
        <v>0</v>
      </c>
      <c r="I378" s="392">
        <f>IF(H378,Wh_hp,'2022'!Maxi_hp)</f>
        <v>18.10568803478461</v>
      </c>
      <c r="J378" s="85">
        <f>IF(H378,An,'2022'!An_max)</f>
        <v>2019</v>
      </c>
      <c r="K378" s="199">
        <f t="shared" si="129"/>
        <v>45290</v>
      </c>
      <c r="L378" s="147">
        <f>IF(t&lt;Tvie,1-EXP((T0-t)*PertePVj)+'2022'!Pspv,1-EXP((T0-t)*PertePVj)+Pspv)</f>
        <v>4.4965882064234464E-2</v>
      </c>
      <c r="M378" s="872"/>
      <c r="N378" s="872"/>
      <c r="O378" s="48">
        <f>IF(t&lt;Tnet,'2022'!Resal+('2022'!Salim-'2022'!Resal)*(1-EXP(('2022'!Tnet-t)/('2022'!Tau_j))),Resal+(Salim-Resal)*(1-EXP((Tnet-t)/(Tau_j))))*Salcycl</f>
        <v>9.7301902437823037E-2</v>
      </c>
      <c r="P378" s="171">
        <f>(INDEX(Models!$BJ378:$BT378,,T378)*(1-R378)+INDEX(Models!$BJ378:$BT378,,T378+1)*R378-ERP_i)*Q378*Ramure*Pc/MaxiM</f>
        <v>0.14073042940883224</v>
      </c>
      <c r="Q378" s="307">
        <f t="shared" si="130"/>
        <v>0.9</v>
      </c>
      <c r="R378" s="179">
        <f t="shared" si="131"/>
        <v>0.10044839606904965</v>
      </c>
      <c r="S378" s="839">
        <f t="shared" si="132"/>
        <v>1</v>
      </c>
      <c r="T378" s="178">
        <f t="shared" si="133"/>
        <v>7</v>
      </c>
      <c r="U378" s="253">
        <f t="shared" si="134"/>
        <v>1.1004483960690497</v>
      </c>
      <c r="V378" s="385">
        <f t="shared" si="135"/>
        <v>13.783428852957529</v>
      </c>
      <c r="W378" s="404">
        <f t="shared" si="136"/>
        <v>10.830887581180823</v>
      </c>
      <c r="X378" s="157">
        <f t="shared" si="137"/>
        <v>45290</v>
      </c>
      <c r="Y378" s="387">
        <f t="shared" si="138"/>
        <v>9.969277793014383</v>
      </c>
      <c r="Z378" s="387">
        <f t="shared" si="139"/>
        <v>10.438661410926583</v>
      </c>
      <c r="AA378" s="388">
        <f t="shared" si="140"/>
        <v>12.563268287614736</v>
      </c>
      <c r="AB378" s="199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0.16911259300119039</v>
      </c>
      <c r="AD378" s="233">
        <f>(INDEX(Models!$BJ378:$BT378,,AH378)*(1-AF378)+INDEX(Models!$BJ378:$BT378,,AH378+1)*AF378-ERP_i)*AE378*Ramure*Pc/MaxiM</f>
        <v>0.14073042940883224</v>
      </c>
      <c r="AE378" s="307">
        <f t="shared" si="142"/>
        <v>0.9</v>
      </c>
      <c r="AF378" s="179">
        <f t="shared" si="143"/>
        <v>0.10044839606904965</v>
      </c>
      <c r="AG378" s="839">
        <f t="shared" si="149"/>
        <v>1</v>
      </c>
      <c r="AH378" s="178">
        <f t="shared" si="144"/>
        <v>7</v>
      </c>
      <c r="AI378" s="227">
        <f t="shared" si="145"/>
        <v>1.1004483960690497</v>
      </c>
      <c r="AJ378" s="267" t="b">
        <f t="shared" si="146"/>
        <v>0</v>
      </c>
      <c r="AK378" s="267" t="b">
        <f t="shared" si="147"/>
        <v>0</v>
      </c>
      <c r="AL378" s="267"/>
      <c r="AM378" s="267"/>
      <c r="AN378" s="75"/>
    </row>
    <row r="379" spans="1:40" s="18" customFormat="1" ht="12.75" x14ac:dyDescent="0.2">
      <c r="A379" s="56">
        <f t="shared" si="148"/>
        <v>45291</v>
      </c>
      <c r="B379" s="413">
        <f>'2022'!Wh/'2022'!Env_an*'2023'!Env_an</f>
        <v>8.462279850028164</v>
      </c>
      <c r="C379" s="868"/>
      <c r="D379" s="395">
        <f t="shared" si="127"/>
        <v>8.8609156733759669</v>
      </c>
      <c r="E379" s="387">
        <f t="shared" si="150"/>
        <v>9.8174313117118448</v>
      </c>
      <c r="F379" s="387">
        <f t="shared" si="128"/>
        <v>10.462003699020823</v>
      </c>
      <c r="G379" s="110">
        <f t="shared" si="151"/>
        <v>0.55879490379351504</v>
      </c>
      <c r="H379" s="416" t="b">
        <f>Wh_hp&gt;='2022'!Maxi_hp</f>
        <v>0</v>
      </c>
      <c r="I379" s="392">
        <f>IF(H379,Wh_hp,'2022'!Maxi_hp)</f>
        <v>17.949916308915405</v>
      </c>
      <c r="J379" s="85">
        <f>IF(H379,An,'2022'!An_max)</f>
        <v>2021</v>
      </c>
      <c r="K379" s="199">
        <f t="shared" si="129"/>
        <v>45291</v>
      </c>
      <c r="L379" s="147">
        <f>IF(t&lt;Tvie,1-EXP((T0-t)*PertePVj)+'2022'!Pspv,1-EXP((T0-t)*PertePVj)+Pspv)</f>
        <v>4.4988107103373975E-2</v>
      </c>
      <c r="M379" s="872"/>
      <c r="N379" s="872"/>
      <c r="O379" s="48">
        <f>IF(t&lt;Tnet,'2022'!Resal+('2022'!Salim-'2022'!Resal)*(1-EXP(('2022'!Tnet-t)/('2022'!Tau_j))),Resal+(Salim-Resal)*(1-EXP((Tnet-t)/(Tau_j))))*Salcycl</f>
        <v>9.7430336710865373E-2</v>
      </c>
      <c r="P379" s="171">
        <f>(INDEX(Models!$BJ379:$BT379,,T379)*(1-R379)+INDEX(Models!$BJ379:$BT379,,T379+1)*R379-ERP_i)*Q379*Ramure*Pc/MaxiM</f>
        <v>0.13942589846944184</v>
      </c>
      <c r="Q379" s="308">
        <f t="shared" si="130"/>
        <v>0.9</v>
      </c>
      <c r="R379" s="179">
        <f t="shared" si="131"/>
        <v>0.10044839606904965</v>
      </c>
      <c r="S379" s="839">
        <f t="shared" si="132"/>
        <v>1</v>
      </c>
      <c r="T379" s="178">
        <f t="shared" si="133"/>
        <v>7</v>
      </c>
      <c r="U379" s="309">
        <f t="shared" si="134"/>
        <v>1.1004483960690497</v>
      </c>
      <c r="V379" s="385">
        <f t="shared" si="135"/>
        <v>13.88801627421172</v>
      </c>
      <c r="W379" s="404">
        <f t="shared" si="136"/>
        <v>8.462279850028164</v>
      </c>
      <c r="X379" s="157">
        <f t="shared" si="137"/>
        <v>45291</v>
      </c>
      <c r="Y379" s="387">
        <f t="shared" si="138"/>
        <v>7.7897798699162282</v>
      </c>
      <c r="Z379" s="387">
        <f t="shared" si="139"/>
        <v>8.1567359818831306</v>
      </c>
      <c r="AA379" s="388">
        <f t="shared" si="140"/>
        <v>9.8174313117118448</v>
      </c>
      <c r="AB379" s="199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0.16915782520908132</v>
      </c>
      <c r="AD379" s="233">
        <f>(INDEX(Models!$BJ379:$BT379,,AH379)*(1-AF379)+INDEX(Models!$BJ379:$BT379,,AH379+1)*AF379-ERP_i)*AE379*Ramure*Pc/MaxiM</f>
        <v>0.13942589846944184</v>
      </c>
      <c r="AE379" s="308">
        <f t="shared" si="142"/>
        <v>0.9</v>
      </c>
      <c r="AF379" s="179">
        <f t="shared" si="143"/>
        <v>0.10044839606904965</v>
      </c>
      <c r="AG379" s="839">
        <f t="shared" si="149"/>
        <v>1</v>
      </c>
      <c r="AH379" s="178">
        <f t="shared" si="144"/>
        <v>7</v>
      </c>
      <c r="AI379" s="224">
        <f t="shared" si="145"/>
        <v>1.1004483960690497</v>
      </c>
      <c r="AJ379" s="267" t="b">
        <f t="shared" si="146"/>
        <v>0</v>
      </c>
      <c r="AK379" s="267" t="b">
        <f t="shared" si="147"/>
        <v>0</v>
      </c>
      <c r="AL379" s="267"/>
      <c r="AM379" s="267"/>
      <c r="AN379" s="267"/>
    </row>
    <row r="380" spans="1:40" s="18" customFormat="1" ht="12" thickBot="1" x14ac:dyDescent="0.25">
      <c r="A380" s="121"/>
      <c r="B380" s="414"/>
      <c r="C380" s="876"/>
      <c r="D380" s="403"/>
      <c r="E380" s="389"/>
      <c r="F380" s="389"/>
      <c r="G380" s="122"/>
      <c r="H380" s="416" t="b">
        <f>Wh_hp&gt;='2022'!Maxi_hp</f>
        <v>0</v>
      </c>
      <c r="I380" s="392">
        <f>IF(H380,Wh_hp,'2022'!Maxi_hp)</f>
        <v>13.024115631411625</v>
      </c>
      <c r="J380" s="85">
        <f>IF(H380,An,'2022'!An_max)</f>
        <v>2020</v>
      </c>
      <c r="K380" s="236"/>
      <c r="L380" s="216"/>
      <c r="M380" s="877"/>
      <c r="N380" s="877"/>
      <c r="O380" s="153"/>
      <c r="P380" s="324"/>
      <c r="Q380" s="231"/>
      <c r="R380" s="231"/>
      <c r="S380" s="231"/>
      <c r="T380" s="231"/>
      <c r="U380" s="325"/>
      <c r="V380" s="385">
        <f>(V379+V15)/2</f>
        <v>14.763710474076714</v>
      </c>
      <c r="W380" s="404"/>
      <c r="X380" s="121"/>
      <c r="Y380" s="389"/>
      <c r="Z380" s="389"/>
      <c r="AA380" s="390"/>
      <c r="AB380" s="201"/>
      <c r="AC380" s="152"/>
      <c r="AD380" s="152"/>
      <c r="AE380" s="231"/>
      <c r="AF380" s="231"/>
      <c r="AG380" s="231"/>
      <c r="AH380" s="231"/>
      <c r="AI380" s="311"/>
      <c r="AJ380" s="267" t="b">
        <f t="shared" si="146"/>
        <v>1</v>
      </c>
      <c r="AK380" s="267" t="b">
        <f t="shared" si="147"/>
        <v>1</v>
      </c>
      <c r="AL380" s="267"/>
      <c r="AM380" s="267"/>
      <c r="AN380" s="267"/>
    </row>
    <row r="381" spans="1:40" s="104" customFormat="1" ht="11.25" customHeight="1" x14ac:dyDescent="0.2">
      <c r="A381" s="112" t="s">
        <v>7</v>
      </c>
      <c r="B381" s="377">
        <f>MIN(B15:B380)</f>
        <v>0.82071683989689515</v>
      </c>
      <c r="C381" s="377"/>
      <c r="D381" s="375">
        <f>MIN(D15:D380)</f>
        <v>0.85457233542656885</v>
      </c>
      <c r="E381" s="375">
        <f>MIN(E15:E380)</f>
        <v>0.91046350150130684</v>
      </c>
      <c r="F381" s="376">
        <f>MIN(F15:F380)</f>
        <v>0.91046350150130684</v>
      </c>
      <c r="G381" s="125">
        <f>+MIN(G15:G380)</f>
        <v>1.4725437848548864E-2</v>
      </c>
      <c r="H381" s="94"/>
      <c r="I381" s="376">
        <f>MIN(I15:I380)</f>
        <v>8.2113391342416708</v>
      </c>
      <c r="J381" s="57">
        <f>MIN(J15:J380)</f>
        <v>2018</v>
      </c>
      <c r="K381" s="202" t="s">
        <v>7</v>
      </c>
      <c r="L381" s="146">
        <f t="shared" ref="L381:T381" si="152">MIN(L15:L380)</f>
        <v>3.6863925964485622E-2</v>
      </c>
      <c r="M381" s="874"/>
      <c r="N381" s="874"/>
      <c r="O381" s="47">
        <f t="shared" si="152"/>
        <v>3.7252786543069967E-2</v>
      </c>
      <c r="P381" s="170">
        <f t="shared" si="152"/>
        <v>1.9539200410555486E-4</v>
      </c>
      <c r="Q381" s="312">
        <f t="shared" si="152"/>
        <v>0.9</v>
      </c>
      <c r="R381" s="313">
        <f t="shared" si="152"/>
        <v>3.2771223798766513E-3</v>
      </c>
      <c r="S381" s="839">
        <f t="shared" si="152"/>
        <v>0</v>
      </c>
      <c r="T381" s="178">
        <f t="shared" si="152"/>
        <v>6</v>
      </c>
      <c r="U381" s="254">
        <f>+MIN(U15:U380)</f>
        <v>0.50022558662863092</v>
      </c>
      <c r="V381" s="57">
        <f>MIN(V15:V380)</f>
        <v>13.280021395766186</v>
      </c>
      <c r="W381" s="58"/>
      <c r="X381" s="112" t="s">
        <v>7</v>
      </c>
      <c r="Y381" s="375">
        <f>MIN(Y15:Y380)</f>
        <v>0.73760066344870168</v>
      </c>
      <c r="Z381" s="375">
        <f>MIN(Z15:Z380)</f>
        <v>0.76802752293316046</v>
      </c>
      <c r="AA381" s="375">
        <f>MIN(AA15:AA380)</f>
        <v>0.91046350150130684</v>
      </c>
      <c r="AB381" s="202" t="s">
        <v>7</v>
      </c>
      <c r="AC381" s="47">
        <f t="shared" ref="AC381:AH381" si="153">MIN(AC15:AC380)</f>
        <v>0.14413406640390983</v>
      </c>
      <c r="AD381" s="170">
        <f t="shared" si="153"/>
        <v>1.9539200410555486E-4</v>
      </c>
      <c r="AE381" s="312">
        <f t="shared" si="153"/>
        <v>0.9</v>
      </c>
      <c r="AF381" s="313">
        <f t="shared" si="153"/>
        <v>3.2771223798766513E-3</v>
      </c>
      <c r="AG381" s="839">
        <f t="shared" si="153"/>
        <v>0</v>
      </c>
      <c r="AH381" s="178">
        <f t="shared" si="153"/>
        <v>6</v>
      </c>
      <c r="AI381" s="228">
        <f>MIN(AI15:AI380)</f>
        <v>0.50022558662863092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27.828816224651707</v>
      </c>
      <c r="C382" s="377"/>
      <c r="D382" s="377">
        <f>AVERAGE(D15:D380)</f>
        <v>29.01139177241879</v>
      </c>
      <c r="E382" s="377">
        <f>AVERAGE(E15:E380)</f>
        <v>31.248997601700029</v>
      </c>
      <c r="F382" s="378">
        <f>AVERAGE(F15:F380)</f>
        <v>31.646340965675989</v>
      </c>
      <c r="G382" s="126">
        <f>AVERAGE(G15:G380)</f>
        <v>0.70734260902576707</v>
      </c>
      <c r="H382" s="94"/>
      <c r="I382" s="378">
        <f>AVERAGE(I15:I380)</f>
        <v>40.680751519242577</v>
      </c>
      <c r="J382" s="59">
        <f>AVERAGE(J15:J380)</f>
        <v>2020.4426229508197</v>
      </c>
      <c r="K382" s="202" t="s">
        <v>8</v>
      </c>
      <c r="L382" s="147">
        <f t="shared" ref="L382:V382" si="154">AVERAGE(L15:L380)</f>
        <v>4.0931735705941018E-2</v>
      </c>
      <c r="M382" s="872"/>
      <c r="N382" s="872"/>
      <c r="O382" s="48">
        <f t="shared" si="154"/>
        <v>7.1611533205459862E-2</v>
      </c>
      <c r="P382" s="171">
        <f t="shared" si="154"/>
        <v>3.5998803062990394E-2</v>
      </c>
      <c r="Q382" s="314">
        <f t="shared" si="154"/>
        <v>0.89999999999999813</v>
      </c>
      <c r="R382" s="179">
        <f t="shared" si="154"/>
        <v>0.38415668536670566</v>
      </c>
      <c r="S382" s="839">
        <f t="shared" si="154"/>
        <v>0.45205479452054792</v>
      </c>
      <c r="T382" s="178">
        <f t="shared" si="154"/>
        <v>6.4520547945205475</v>
      </c>
      <c r="U382" s="253">
        <f t="shared" si="154"/>
        <v>0.83621147988725353</v>
      </c>
      <c r="V382" s="59">
        <f t="shared" si="154"/>
        <v>37.838070753364633</v>
      </c>
      <c r="X382" s="112" t="s">
        <v>8</v>
      </c>
      <c r="Y382" s="377">
        <f>AVERAGE(Y15:Y380)</f>
        <v>25.074938030401015</v>
      </c>
      <c r="Z382" s="377">
        <f>AVERAGE(Z15:Z380)</f>
        <v>26.140795975147711</v>
      </c>
      <c r="AA382" s="377">
        <f>AVERAGE(AA15:AA380)</f>
        <v>31.248997601700029</v>
      </c>
      <c r="AB382" s="202" t="s">
        <v>8</v>
      </c>
      <c r="AC382" s="48">
        <f t="shared" ref="AC382:AH382" si="155">AVERAGE(AC15:AC380)</f>
        <v>0.16226565208939567</v>
      </c>
      <c r="AD382" s="171">
        <f t="shared" si="155"/>
        <v>3.5998803062990394E-2</v>
      </c>
      <c r="AE382" s="314">
        <f t="shared" si="155"/>
        <v>0.89999999999999813</v>
      </c>
      <c r="AF382" s="179">
        <f t="shared" si="155"/>
        <v>0.38415668536670566</v>
      </c>
      <c r="AG382" s="839">
        <f t="shared" si="155"/>
        <v>0.45205479452054792</v>
      </c>
      <c r="AH382" s="178">
        <f t="shared" si="155"/>
        <v>6.4520547945205475</v>
      </c>
      <c r="AI382" s="227">
        <f>AVERAGE(AI15:AI380)</f>
        <v>0.83621147988725353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58.602816350191276</v>
      </c>
      <c r="C383" s="379"/>
      <c r="D383" s="379">
        <f>MAX(D15:D380)</f>
        <v>61.098401218660271</v>
      </c>
      <c r="E383" s="379">
        <f>MAX(E15:E380)</f>
        <v>65.990765224569714</v>
      </c>
      <c r="F383" s="380">
        <f>MAX(F15:F380)</f>
        <v>66.004608536540786</v>
      </c>
      <c r="G383" s="127">
        <f>+MAX(G15:G380)</f>
        <v>1.0377981106491905</v>
      </c>
      <c r="H383" s="94"/>
      <c r="I383" s="380">
        <f>MAX(I15:I380)</f>
        <v>66.004608536540786</v>
      </c>
      <c r="J383" s="60">
        <f>MAX(J15:J380)</f>
        <v>2023</v>
      </c>
      <c r="K383" s="202" t="s">
        <v>9</v>
      </c>
      <c r="L383" s="148">
        <f t="shared" ref="L383:T383" si="156">MAX(L15:L380)</f>
        <v>4.4988107103373975E-2</v>
      </c>
      <c r="M383" s="875"/>
      <c r="N383" s="875"/>
      <c r="O383" s="49">
        <f t="shared" si="156"/>
        <v>9.7430336710865373E-2</v>
      </c>
      <c r="P383" s="172">
        <f t="shared" si="156"/>
        <v>0.14637319729784096</v>
      </c>
      <c r="Q383" s="315">
        <f t="shared" si="156"/>
        <v>0.9</v>
      </c>
      <c r="R383" s="316">
        <f t="shared" si="156"/>
        <v>0.99987686899107364</v>
      </c>
      <c r="S383" s="840">
        <f t="shared" si="156"/>
        <v>1</v>
      </c>
      <c r="T383" s="235">
        <f t="shared" si="156"/>
        <v>7</v>
      </c>
      <c r="U383" s="255">
        <f>+MAX(U15:U380)</f>
        <v>1.1004483960690497</v>
      </c>
      <c r="V383" s="60">
        <f>MAX(V15:V380)</f>
        <v>57.601846681503005</v>
      </c>
      <c r="X383" s="112" t="s">
        <v>9</v>
      </c>
      <c r="Y383" s="379">
        <f>MAX(Y15:Y380)</f>
        <v>52.679824880599412</v>
      </c>
      <c r="Z383" s="379">
        <f>MAX(Z15:Z380)</f>
        <v>54.923180781107959</v>
      </c>
      <c r="AA383" s="379">
        <f>MAX(AA15:AA380)</f>
        <v>65.990765224569714</v>
      </c>
      <c r="AB383" s="202" t="s">
        <v>9</v>
      </c>
      <c r="AC383" s="49">
        <f t="shared" ref="AC383:AH383" si="157">MAX(AC15:AC380)</f>
        <v>0.17324171113600523</v>
      </c>
      <c r="AD383" s="172">
        <f t="shared" si="157"/>
        <v>0.14637319729784096</v>
      </c>
      <c r="AE383" s="315">
        <f t="shared" si="157"/>
        <v>0.9</v>
      </c>
      <c r="AF383" s="316">
        <f t="shared" si="157"/>
        <v>0.99987686899107364</v>
      </c>
      <c r="AG383" s="840">
        <f t="shared" si="157"/>
        <v>1</v>
      </c>
      <c r="AH383" s="235">
        <f t="shared" si="157"/>
        <v>7</v>
      </c>
      <c r="AI383" s="229">
        <f>MAX(AI15:AI380)</f>
        <v>1.1004483960690497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7"/>
      <c r="AK384" s="857"/>
      <c r="AL384" s="857"/>
      <c r="AM384" s="857"/>
      <c r="AN384" s="406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9" priority="3" stopIfTrue="1" operator="lessThan">
      <formula>0.01</formula>
    </cfRule>
    <cfRule type="cellIs" dxfId="8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1"/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6">
        <f>'2023'!An+1</f>
        <v>2024</v>
      </c>
      <c r="K1" s="1267"/>
      <c r="L1" s="113" t="str">
        <f>"Calcul pertes et enveloppes en "&amp;TEXT(An,0)</f>
        <v>Calcul pertes et enveloppes en 2024</v>
      </c>
      <c r="M1" s="245"/>
      <c r="N1" s="245"/>
      <c r="V1" s="460"/>
      <c r="W1" s="458"/>
      <c r="X1" s="489" t="str">
        <f>"Prévision sans nettoyage ni taille végétation en "&amp;TEXT(An,0)</f>
        <v>Prévision sans nettoyage ni taille végétation en 2024</v>
      </c>
      <c r="Y1" s="490"/>
      <c r="Z1" s="491"/>
      <c r="AA1" s="492"/>
      <c r="AB1" s="493"/>
      <c r="AC1" s="494"/>
      <c r="AD1" s="494"/>
      <c r="AE1" s="494"/>
      <c r="AF1" s="494"/>
      <c r="AG1" s="494"/>
      <c r="AH1" s="494"/>
      <c r="AI1" s="494"/>
      <c r="AL1" s="856" t="s">
        <v>270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92"/>
      <c r="L2" s="17"/>
      <c r="M2" s="17"/>
      <c r="N2" s="17"/>
      <c r="O2" s="496" t="s">
        <v>24</v>
      </c>
      <c r="P2" s="18"/>
      <c r="Q2" s="812"/>
      <c r="R2" s="18"/>
      <c r="S2" s="497"/>
      <c r="T2" s="497"/>
      <c r="U2" s="296" t="s">
        <v>79</v>
      </c>
      <c r="V2" s="498">
        <f>PertePVan</f>
        <v>8.5000000000000006E-3</v>
      </c>
      <c r="W2" s="452" t="s">
        <v>14</v>
      </c>
      <c r="X2" s="499"/>
      <c r="Y2" s="500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862" t="s">
        <v>262</v>
      </c>
      <c r="AK2" s="862" t="s">
        <v>264</v>
      </c>
      <c r="AL2" s="862" t="s">
        <v>263</v>
      </c>
      <c r="AM2" s="862" t="s">
        <v>265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6">
        <f>Tmaj</f>
        <v>44926</v>
      </c>
      <c r="F3" s="1276"/>
      <c r="G3" s="8"/>
      <c r="H3" s="26"/>
      <c r="I3" s="6"/>
      <c r="J3" s="34"/>
      <c r="K3" s="193"/>
      <c r="L3" s="54"/>
      <c r="M3" s="34"/>
      <c r="N3" s="34"/>
      <c r="O3" s="503"/>
      <c r="P3" s="34"/>
      <c r="Q3" s="503"/>
      <c r="R3" s="34"/>
      <c r="S3" s="515"/>
      <c r="T3" s="452"/>
      <c r="U3" s="211" t="s">
        <v>165</v>
      </c>
      <c r="V3" s="637">
        <f>Salim_i</f>
        <v>0.21</v>
      </c>
      <c r="W3" s="452"/>
      <c r="X3" s="504" t="s">
        <v>96</v>
      </c>
      <c r="Y3" s="505"/>
      <c r="Z3" s="506"/>
      <c r="AA3" s="500"/>
      <c r="AB3" s="500"/>
      <c r="AC3" s="430"/>
      <c r="AD3" s="430"/>
      <c r="AE3" s="430"/>
      <c r="AF3" s="430"/>
      <c r="AG3" s="430"/>
      <c r="AH3" s="430"/>
      <c r="AI3" s="430"/>
      <c r="AJ3" s="860">
        <f>AL11-AJ11</f>
        <v>186.72837557063269</v>
      </c>
      <c r="AK3" s="861">
        <f>AM11-AK11</f>
        <v>0</v>
      </c>
      <c r="AL3" s="860"/>
      <c r="AM3" s="861"/>
      <c r="AN3" s="859" t="s">
        <v>271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6" t="str">
        <f>Station</f>
        <v>Crèche Ayguesvives</v>
      </c>
      <c r="F4" s="1217"/>
      <c r="G4" s="1217"/>
      <c r="H4" s="1217"/>
      <c r="I4" s="1218"/>
      <c r="J4" s="158"/>
      <c r="K4" s="193"/>
      <c r="L4" s="508"/>
      <c r="M4" s="507"/>
      <c r="N4" s="507"/>
      <c r="O4" s="430"/>
      <c r="P4" s="34"/>
      <c r="Q4" s="507"/>
      <c r="R4" s="34"/>
      <c r="S4" s="497"/>
      <c r="T4" s="411"/>
      <c r="U4" s="297" t="s">
        <v>82</v>
      </c>
      <c r="V4" s="636">
        <f>Persistant</f>
        <v>1</v>
      </c>
      <c r="W4" s="510" t="s">
        <v>54</v>
      </c>
      <c r="X4" s="511"/>
      <c r="Y4" s="512"/>
      <c r="Z4" s="513" t="s">
        <v>27</v>
      </c>
      <c r="AA4" s="514" t="s">
        <v>28</v>
      </c>
      <c r="AB4" s="507"/>
      <c r="AC4" s="430"/>
      <c r="AD4" s="430"/>
      <c r="AE4" s="430"/>
      <c r="AF4" s="430"/>
      <c r="AG4" s="430"/>
      <c r="AH4" s="430"/>
      <c r="AI4" s="430"/>
      <c r="AJ4" s="860">
        <f>AL12-AJ12</f>
        <v>689.48106533364478</v>
      </c>
      <c r="AK4" s="861">
        <f>AM12-AK12</f>
        <v>-14.951481506683763</v>
      </c>
      <c r="AL4" s="860"/>
      <c r="AM4" s="861"/>
      <c r="AN4" s="859" t="s">
        <v>272</v>
      </c>
    </row>
    <row r="5" spans="1:40" s="35" customFormat="1" ht="16.5" customHeight="1" x14ac:dyDescent="0.25">
      <c r="D5" s="161" t="s">
        <v>20</v>
      </c>
      <c r="E5" s="1277">
        <f>T0</f>
        <v>43313</v>
      </c>
      <c r="F5" s="1277"/>
      <c r="G5" s="34"/>
      <c r="H5" s="158"/>
      <c r="I5" s="158"/>
      <c r="K5" s="194"/>
      <c r="L5" s="508"/>
      <c r="M5" s="507"/>
      <c r="N5" s="507"/>
      <c r="O5" s="19"/>
      <c r="R5" s="39"/>
      <c r="S5" s="180"/>
      <c r="T5" s="180"/>
      <c r="U5" s="41"/>
      <c r="V5" s="509"/>
      <c r="W5" s="510"/>
      <c r="X5" s="511"/>
      <c r="Y5" s="512"/>
      <c r="Z5" s="238">
        <f>Wh_Psa_s-Wh_Psa</f>
        <v>876.32221398759475</v>
      </c>
      <c r="AA5" s="239">
        <f>Wh_Pvg_s-Wh_Pvg</f>
        <v>-14.951481506683763</v>
      </c>
      <c r="AB5" s="516" t="s">
        <v>6</v>
      </c>
      <c r="AC5" s="510"/>
      <c r="AD5" s="510"/>
      <c r="AE5" s="510"/>
      <c r="AF5" s="510"/>
      <c r="AG5" s="510"/>
      <c r="AH5" s="510"/>
      <c r="AI5" s="510"/>
      <c r="AJ5" s="518">
        <f>SUMIF(AJ15:AJ380,"VRAI",Wh)</f>
        <v>2510.7182004294323</v>
      </c>
      <c r="AK5" s="518">
        <f>SUMIF(AK15:AK380,"VRAI",Wh)</f>
        <v>0</v>
      </c>
      <c r="AL5" s="518">
        <f>SUMIF(AJ15:AJ380,"VRAI",Wh_s)</f>
        <v>2323.9850724540688</v>
      </c>
      <c r="AM5" s="518">
        <f>SUMIF(AK15:AK380,"VRAI",Wh_s)</f>
        <v>0</v>
      </c>
      <c r="AN5" s="859" t="s">
        <v>268</v>
      </c>
    </row>
    <row r="6" spans="1:40" s="6" customFormat="1" ht="16.5" customHeight="1" x14ac:dyDescent="0.2">
      <c r="B6" s="8"/>
      <c r="C6" s="8"/>
      <c r="D6" s="161" t="s">
        <v>11</v>
      </c>
      <c r="E6" s="1278">
        <f>Tservice</f>
        <v>43354</v>
      </c>
      <c r="F6" s="1278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2"/>
      <c r="W6" s="464"/>
      <c r="X6" s="499"/>
      <c r="Y6" s="500"/>
      <c r="Z6" s="464"/>
      <c r="AA6" s="464"/>
      <c r="AB6" s="518"/>
      <c r="AC6" s="464"/>
      <c r="AD6" s="464"/>
      <c r="AE6" s="464"/>
      <c r="AF6" s="464"/>
      <c r="AG6" s="464"/>
      <c r="AH6" s="464"/>
      <c r="AI6" s="464"/>
      <c r="AJ6" s="518">
        <f>SUMIF(AJ15:AJ380,"FAUX",Wh)</f>
        <v>7636.5110418841141</v>
      </c>
      <c r="AK6" s="518">
        <f>SUMIF(AK15:AK380,"FAUX",Wh)</f>
        <v>10147.229242313544</v>
      </c>
      <c r="AL6" s="518">
        <f>SUMIF(AJ15:AJ380,"FAUX",Wh_s)</f>
        <v>6946.9738489409756</v>
      </c>
      <c r="AM6" s="518">
        <f>SUMIF(AK15:AK380,"FAUX",Wh_s)</f>
        <v>9270.9589213950294</v>
      </c>
      <c r="AN6" s="859" t="s">
        <v>269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AND(YEAR(Tnet)=An,Resal_2024="I")</f>
        <v>0</v>
      </c>
      <c r="F7" s="322" t="b">
        <f>YEAR(Tnet)=An</f>
        <v>1</v>
      </c>
      <c r="J7" s="180"/>
      <c r="K7" s="193"/>
      <c r="L7" s="191" t="s">
        <v>81</v>
      </c>
      <c r="M7" s="870"/>
      <c r="N7" s="870"/>
      <c r="O7" s="18"/>
      <c r="P7" s="118"/>
      <c r="Q7" s="118"/>
      <c r="R7" s="141"/>
      <c r="S7" s="141"/>
      <c r="T7" s="141"/>
      <c r="U7" s="141"/>
      <c r="V7" s="430"/>
      <c r="W7" s="520"/>
      <c r="X7" s="521"/>
      <c r="Y7" s="250"/>
      <c r="Z7" s="520"/>
      <c r="AA7" s="520"/>
      <c r="AB7" s="520"/>
      <c r="AC7" s="520"/>
      <c r="AD7" s="250"/>
      <c r="AE7" s="250"/>
      <c r="AF7" s="495"/>
      <c r="AG7" s="495"/>
      <c r="AH7" s="495"/>
      <c r="AI7" s="520"/>
      <c r="AJ7" s="518">
        <f>SUMIF(AJ15:AJ380,"VRAI",Wh_pvt)</f>
        <v>2633.4584267907003</v>
      </c>
      <c r="AK7" s="518">
        <f>SUMIF(AK15:AK380,"VRAI",Wh_sa)</f>
        <v>0</v>
      </c>
      <c r="AL7" s="518">
        <f>SUMIF(AJ15:AJ380,"VRAI",Wh_pvt_s)</f>
        <v>2437.6006895321684</v>
      </c>
      <c r="AM7" s="518">
        <f>SUMIF(AK15:AK380,"VRAI",Wh_sa_s)</f>
        <v>0</v>
      </c>
      <c r="AN7" s="859" t="s">
        <v>260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AND(YEAR(Tnet)=An,Resal_2024&lt;&gt;"I")</f>
        <v>1</v>
      </c>
      <c r="F8" s="323" t="b">
        <f>YEAR(Ttai)=An</f>
        <v>0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20"/>
      <c r="W8" s="406"/>
      <c r="X8" s="1264" t="s">
        <v>102</v>
      </c>
      <c r="Y8" s="1265"/>
      <c r="Z8" s="500"/>
      <c r="AA8" s="500"/>
      <c r="AB8" s="464"/>
      <c r="AC8" s="522" t="s">
        <v>61</v>
      </c>
      <c r="AD8" s="464"/>
      <c r="AE8" s="464"/>
      <c r="AF8" s="464"/>
      <c r="AG8" s="464"/>
      <c r="AH8" s="464"/>
      <c r="AI8" s="464"/>
      <c r="AJ8" s="518">
        <f>SUMIF(AJ15:AJ380,"FAUX",Wh_pvt)</f>
        <v>8035.8381673966533</v>
      </c>
      <c r="AK8" s="518">
        <f>SUMIF(AK15:AK380,"FAUX",Wh_sa)</f>
        <v>11344.153119594124</v>
      </c>
      <c r="AL8" s="518">
        <f>SUMIF(AJ15:AJ380,"FAUX",Wh_pvt_s)</f>
        <v>7310.2952461168206</v>
      </c>
      <c r="AM8" s="518">
        <f>SUMIF(AK15:AK380,"FAUX",Wh_sa_s)</f>
        <v>11344.153119594124</v>
      </c>
      <c r="AN8" s="859" t="s">
        <v>261</v>
      </c>
    </row>
    <row r="9" spans="1:40" s="19" customFormat="1" ht="15" customHeight="1" x14ac:dyDescent="0.25">
      <c r="A9" s="34"/>
      <c r="B9" s="212"/>
      <c r="C9" s="212"/>
      <c r="D9" s="186">
        <f>SUM(D$15:D$380)</f>
        <v>10669.29659418735</v>
      </c>
      <c r="E9" s="186">
        <f>SUM(E$15:E$380)</f>
        <v>11344.153119594124</v>
      </c>
      <c r="F9" s="186">
        <f>SUM(F$15:F$380)</f>
        <v>11537.714274785152</v>
      </c>
      <c r="H9" s="1268">
        <f>+SUM(Wh)</f>
        <v>10147.229242313544</v>
      </c>
      <c r="I9" s="1269"/>
      <c r="J9" s="1270"/>
      <c r="K9" s="193"/>
      <c r="L9" s="234"/>
      <c r="M9" s="234"/>
      <c r="N9" s="234"/>
      <c r="O9" s="225">
        <f>Tnet_2024</f>
        <v>45412</v>
      </c>
      <c r="P9" s="246" t="s">
        <v>91</v>
      </c>
      <c r="Q9" s="247"/>
      <c r="R9" s="247"/>
      <c r="S9" s="247"/>
      <c r="T9" s="247"/>
      <c r="U9" s="248"/>
      <c r="V9" s="464"/>
      <c r="W9" s="523"/>
      <c r="X9" s="1262">
        <f>+SUM(Wh_s)</f>
        <v>9270.9589213950294</v>
      </c>
      <c r="Y9" s="1263"/>
      <c r="Z9" s="518">
        <f>SUM(Z$15:Z$380)</f>
        <v>9747.895935648985</v>
      </c>
      <c r="AA9" s="518">
        <f>SUM(AA$15:AA$380)</f>
        <v>11344.153119594124</v>
      </c>
      <c r="AB9" s="518">
        <f>F9</f>
        <v>11537.714274785152</v>
      </c>
      <c r="AC9" s="327">
        <f>IF(An_Tnet,Tnet,'2023'!Tnet_s)</f>
        <v>45412</v>
      </c>
      <c r="AD9" s="318" t="s">
        <v>91</v>
      </c>
      <c r="AE9" s="318"/>
      <c r="AF9" s="318"/>
      <c r="AG9" s="318"/>
      <c r="AH9" s="318"/>
      <c r="AI9" s="319"/>
      <c r="AJ9" s="518">
        <f>SUMIF(AJ15:AJ380,"VRAI",Wh_sa)</f>
        <v>2949.3236174404014</v>
      </c>
      <c r="AK9" s="518">
        <f>SUMIF(AK15:AK380,"VRAI",Wh_hp)</f>
        <v>0</v>
      </c>
      <c r="AL9" s="518">
        <f>SUMIF(AJ15:AJ380,"VRAI",Wh_sa_s)</f>
        <v>2949.3236174404014</v>
      </c>
      <c r="AM9" s="518">
        <f>SUMIF(AK15:AK380,"VRAI",Wh_hp)</f>
        <v>0</v>
      </c>
      <c r="AN9" s="859" t="s">
        <v>266</v>
      </c>
    </row>
    <row r="10" spans="1:40" s="19" customFormat="1" ht="15" customHeight="1" x14ac:dyDescent="0.25">
      <c r="A10" s="208"/>
      <c r="B10" s="209"/>
      <c r="C10" s="866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IF(Inflex,'2023'!Resal+('2023'!Salim-'2023'!Resal)*(1-EXP(-(Tnet-'2023'!Tnet)/('2023'!Tau_j))),IF(An_Tnet,Resal_2024,'2023'!Resal))</f>
        <v>2.1999999999999999E-2</v>
      </c>
      <c r="P10" s="423" t="b">
        <f>NOT(Acti_tai)</f>
        <v>1</v>
      </c>
      <c r="Q10" s="259">
        <f>IF(Acti_tai,'2023'!PousD,Dens-Dd)</f>
        <v>0</v>
      </c>
      <c r="R10" s="276"/>
      <c r="S10" s="277"/>
      <c r="T10" s="278"/>
      <c r="U10" s="268">
        <f>IF(Acti_tai,'2023'!PousH,Hdtf-Hdd)</f>
        <v>0.7</v>
      </c>
      <c r="V10" s="430"/>
      <c r="W10" s="507"/>
      <c r="X10" s="508"/>
      <c r="Y10" s="524" t="s">
        <v>26</v>
      </c>
      <c r="Z10" s="514" t="s">
        <v>27</v>
      </c>
      <c r="AA10" s="514" t="s">
        <v>28</v>
      </c>
      <c r="AB10" s="430"/>
      <c r="AC10" s="320">
        <f>IF(OR(Inflex,GainD),'2023'!Resal_s+('2023'!Salim-'2023'!Resal_s)*(1-EXP(('2023'!Tnet_s-Tnet)/('2023'!Tau_j))),IF(Acti_net,'2023'!Resal+('2023'!Salim-'2023'!Resal)*(1-EXP(('2023'!Tnet-Tnet)/'2023'!Tau_j)),'2023'!Resal_s))</f>
        <v>0.11257851792654669</v>
      </c>
      <c r="AD10" s="430"/>
      <c r="AE10" s="430"/>
      <c r="AF10" s="262"/>
      <c r="AG10" s="263"/>
      <c r="AH10" s="264"/>
      <c r="AI10" s="475"/>
      <c r="AJ10" s="518">
        <f>SUMIF(AJ15:AJ380,"FAUX",Wh_sa)</f>
        <v>8394.8295021537215</v>
      </c>
      <c r="AK10" s="518">
        <f>SUMIF(AK15:AK380,"FAUX",Wh_hp)</f>
        <v>11537.714274785152</v>
      </c>
      <c r="AL10" s="518">
        <f>SUMIF(AJ15:AJ380,"FAUX",Wh_sa_s)</f>
        <v>8394.8295021537215</v>
      </c>
      <c r="AM10" s="518">
        <f>SUMIF(AK15:AK380,"FAUX",Wh_hp)</f>
        <v>11537.714274785152</v>
      </c>
      <c r="AN10" s="859" t="s">
        <v>267</v>
      </c>
    </row>
    <row r="11" spans="1:40" s="40" customFormat="1" ht="15" customHeight="1" x14ac:dyDescent="0.25">
      <c r="A11" s="218"/>
      <c r="B11" s="219" t="s">
        <v>43</v>
      </c>
      <c r="C11" s="867"/>
      <c r="D11" s="50">
        <f>D$9-Prod_an</f>
        <v>522.06735187380582</v>
      </c>
      <c r="E11" s="51">
        <f>(E$9-D$9)*Prod_an/D$9</f>
        <v>641.83461473031821</v>
      </c>
      <c r="F11" s="188">
        <f>(F$9-E$9)*Prod_an/E$9</f>
        <v>173.13847877616277</v>
      </c>
      <c r="G11" s="187" t="s">
        <v>6</v>
      </c>
      <c r="K11" s="196"/>
      <c r="L11" s="213">
        <f>Tvie_2024</f>
        <v>43313</v>
      </c>
      <c r="M11" s="871"/>
      <c r="N11" s="871"/>
      <c r="O11" s="204">
        <f>IF(An_Tnet,Salim_2024,'2023'!Salim)</f>
        <v>0.22</v>
      </c>
      <c r="P11" s="258">
        <f>Ttai_2024</f>
        <v>43101</v>
      </c>
      <c r="Q11" s="274">
        <f>Dens_2024</f>
        <v>0.9</v>
      </c>
      <c r="R11" s="279"/>
      <c r="S11" s="232"/>
      <c r="T11" s="232"/>
      <c r="U11" s="268">
        <f>Htf_2024</f>
        <v>1.8004483960690496</v>
      </c>
      <c r="V11" s="430"/>
      <c r="W11" s="521"/>
      <c r="X11" s="528" t="s">
        <v>43</v>
      </c>
      <c r="Y11" s="50">
        <f>Z$9-Prod_an_s</f>
        <v>476.93701425395557</v>
      </c>
      <c r="Z11" s="51">
        <f>(AA$9-Z$9)*Prod_an_s/Z$9</f>
        <v>1518.156828717913</v>
      </c>
      <c r="AA11" s="188">
        <f>(AB$9-AA$9)*Prod_an_s/AA$9</f>
        <v>158.18699726947901</v>
      </c>
      <c r="AB11" s="529" t="s">
        <v>6</v>
      </c>
      <c r="AC11" s="327"/>
      <c r="AD11" s="430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60">
        <f>IF($AJ7=0,0,($AJ9-$AJ7)*$AJ5/$AJ7)</f>
        <v>301.14334632302376</v>
      </c>
      <c r="AK11" s="861">
        <f>IF($AK7=0,0,($AK9-$AK7)*$AK5/$AK7)</f>
        <v>0</v>
      </c>
      <c r="AL11" s="860">
        <f>IF($AL7=0,0,($AL9-$AL7)*$AL5/$AL7)</f>
        <v>487.87172189365646</v>
      </c>
      <c r="AM11" s="861">
        <f>IF($AM7=0,0,($AM9-$AM7)*$AM5/$AM7)</f>
        <v>0</v>
      </c>
      <c r="AN11" s="859" t="s">
        <v>273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3.7798110649190253E-2</v>
      </c>
      <c r="K12" s="193"/>
      <c r="L12" s="214">
        <f>Pspv_2024</f>
        <v>0</v>
      </c>
      <c r="M12" s="214"/>
      <c r="N12" s="214"/>
      <c r="O12" s="207">
        <f>IF(An_Tnet,Tau_2024*365,'2023'!Tau_j)</f>
        <v>912.5</v>
      </c>
      <c r="P12" s="283">
        <f>INDEX(Croivg,MIN(MAX(Ttai-$A$15,0)+1,366))</f>
        <v>2.3909964587625958E-6</v>
      </c>
      <c r="Q12" s="282">
        <f>'2023'!Df</f>
        <v>0.9</v>
      </c>
      <c r="R12" s="280"/>
      <c r="S12" s="281"/>
      <c r="T12" s="281"/>
      <c r="U12" s="269">
        <f>'2023'!Hdf</f>
        <v>1.1004483960690497</v>
      </c>
      <c r="V12" s="40"/>
      <c r="W12" s="34"/>
      <c r="X12" s="54"/>
      <c r="Y12" s="34"/>
      <c r="AB12" s="321" t="s">
        <v>106</v>
      </c>
      <c r="AC12" s="320" t="b">
        <f>NOT(An_Tnet)</f>
        <v>0</v>
      </c>
      <c r="AE12" s="298">
        <f>'2023'!Df_s</f>
        <v>0.9</v>
      </c>
      <c r="AF12" s="205"/>
      <c r="AG12" s="205"/>
      <c r="AH12" s="205"/>
      <c r="AI12" s="299">
        <f>'2023'!Hdf_s</f>
        <v>1.1004483960690497</v>
      </c>
      <c r="AJ12" s="860">
        <f>IF($AJ8=0,0,($AJ10-$AJ8)*$AJ6/$AJ8)</f>
        <v>341.1518792072942</v>
      </c>
      <c r="AK12" s="861">
        <f>IF($AK8=0,0,($AK10-$AK8)*$AK6/$AK8)</f>
        <v>173.13847877616277</v>
      </c>
      <c r="AL12" s="860">
        <f>IF($AL8=0,0,($AL10-$AL8)*$AL6/$AL8)</f>
        <v>1030.632944540939</v>
      </c>
      <c r="AM12" s="861">
        <f>IF($AM8=0,0,($AM10-$AM8)*$AM6/$AM8)</f>
        <v>158.18699726947901</v>
      </c>
      <c r="AN12" s="859" t="s">
        <v>274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205</v>
      </c>
      <c r="V13" s="124" t="s">
        <v>41</v>
      </c>
      <c r="W13" s="864" t="s">
        <v>46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209</v>
      </c>
      <c r="AJ13" s="73">
        <f>+AJ11+AJ12</f>
        <v>642.29522553031802</v>
      </c>
      <c r="AK13" s="73">
        <f>+AK11+AK12</f>
        <v>173.13847877616277</v>
      </c>
      <c r="AL13" s="73">
        <f>+AL11+AL12</f>
        <v>1518.5046664345955</v>
      </c>
      <c r="AM13" s="73">
        <f>+AM11+AM12</f>
        <v>158.18699726947901</v>
      </c>
      <c r="AN13" s="858" t="s">
        <v>275</v>
      </c>
    </row>
    <row r="14" spans="1:40" s="46" customFormat="1" ht="40.5" customHeight="1" thickBot="1" x14ac:dyDescent="0.25">
      <c r="A14" s="45" t="s">
        <v>2</v>
      </c>
      <c r="B14" s="418" t="s">
        <v>190</v>
      </c>
      <c r="C14" s="418"/>
      <c r="D14" s="53" t="s">
        <v>30</v>
      </c>
      <c r="E14" s="162" t="s">
        <v>29</v>
      </c>
      <c r="F14" s="162" t="str">
        <f>"Hors pertes "&amp; TEXT(An,0)</f>
        <v>Hors pertes 2024</v>
      </c>
      <c r="G14" s="107" t="s">
        <v>42</v>
      </c>
      <c r="H14" s="415" t="s">
        <v>117</v>
      </c>
      <c r="I14" s="417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206</v>
      </c>
      <c r="S14" s="174" t="s">
        <v>207</v>
      </c>
      <c r="T14" s="174" t="s">
        <v>208</v>
      </c>
      <c r="U14" s="108" t="s">
        <v>204</v>
      </c>
      <c r="V14" s="45" t="str">
        <f>"Enveloppe "&amp; TEXT(An,0)</f>
        <v>Enveloppe 2024</v>
      </c>
      <c r="W14" s="865" t="s">
        <v>116</v>
      </c>
      <c r="X14" s="260" t="s">
        <v>2</v>
      </c>
      <c r="Y14" s="107" t="str">
        <f>"Wh / Jour "&amp; TEXT(An,0)</f>
        <v>Wh / Jour 2024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206</v>
      </c>
      <c r="AG14" s="174" t="s">
        <v>207</v>
      </c>
      <c r="AH14" s="174" t="s">
        <v>208</v>
      </c>
      <c r="AI14" s="108" t="s">
        <v>211</v>
      </c>
      <c r="AJ14" s="705" t="s">
        <v>258</v>
      </c>
      <c r="AK14" s="705" t="s">
        <v>259</v>
      </c>
      <c r="AL14" s="267"/>
      <c r="AM14" s="267"/>
      <c r="AN14" s="75"/>
    </row>
    <row r="15" spans="1:40" s="6" customFormat="1" ht="11.25" x14ac:dyDescent="0.2">
      <c r="A15" s="129">
        <f>DATE(An,1,1)</f>
        <v>45292</v>
      </c>
      <c r="B15" s="412">
        <f>'2023'!Wh/'2023'!Env_an*'2024'!Env_an</f>
        <v>14.186877598507079</v>
      </c>
      <c r="C15" s="868"/>
      <c r="D15" s="395">
        <f t="shared" ref="D15:D78" si="0">Wh/(1-Ppv)</f>
        <v>14.855529926990556</v>
      </c>
      <c r="E15" s="402">
        <f t="shared" ref="E15:E79" si="1">Wh_pvt/(1-Psa)</f>
        <v>16.461496948876096</v>
      </c>
      <c r="F15" s="402">
        <f t="shared" ref="F15:F78" si="2">Wh_sa/(1-Pvg*MEDIAN((-Sdif+Wh/Env_an)/Csdif,0,1))</f>
        <v>19.096733183956804</v>
      </c>
      <c r="G15" s="123">
        <f>+Wh_hp/MaxiM</f>
        <v>1.0132092907872867</v>
      </c>
      <c r="H15" s="416" t="b">
        <f>Wh_hp&gt;='2023'!Maxi_hp</f>
        <v>1</v>
      </c>
      <c r="I15" s="398">
        <f>IF(H15,Wh_hp,'2023'!Maxi_hp)</f>
        <v>19.096733183956804</v>
      </c>
      <c r="J15" s="84">
        <f>IF(H15,An,'2023'!An_max)</f>
        <v>2024</v>
      </c>
      <c r="K15" s="199">
        <f t="shared" ref="K15:K78" si="3">t</f>
        <v>45292</v>
      </c>
      <c r="L15" s="146">
        <f>IF(t&lt;Tvie,1-EXP((T0-t)*PertePVj)+'2023'!Pspv,1-EXP((T0-t)*PertePVj)+Pspv)</f>
        <v>4.5010331625304212E-2</v>
      </c>
      <c r="M15" s="872"/>
      <c r="N15" s="872"/>
      <c r="O15" s="48">
        <f>IF(t&lt;Tnet,'2023'!Resal+('2023'!Salim-'2023'!Resal)*(1-EXP(('2023'!Tnet-t)/('2023'!Tau_j))),Resal+(Salim-Resal)*(1-EXP((Tnet-t)/(Tau_j))))*Salcycl</f>
        <v>9.755899034414299E-2</v>
      </c>
      <c r="P15" s="304">
        <f>(INDEX(Models!$BJ15:$BT15,,T15)*(1-R15)+INDEX(Models!$BJ15:$BT15,,T15+1)*R15-ERP_i)*Q15*Ramure*Pc/MaxiM</f>
        <v>0.13799408567401328</v>
      </c>
      <c r="Q15" s="305">
        <f t="shared" ref="Q15:Q78" si="4">IF(OR(t&lt;Ttai,Notai),Dd+PousD*Croivg,Dens+PousD*(Croivg-Croi_tai))</f>
        <v>0.9</v>
      </c>
      <c r="R15" s="306">
        <f t="shared" ref="R15:R78" si="5">(Hp_vg-S15)/(INDEX(Echel_vg,T15+1)-S15)</f>
        <v>0.10045006976657089</v>
      </c>
      <c r="S15" s="838">
        <f t="shared" ref="S15:S78" si="6">INDEX(Echel_vg,T15)</f>
        <v>1</v>
      </c>
      <c r="T15" s="251">
        <f t="shared" ref="T15:T78" si="7">MIN(MATCH(Hp_vg,Echel_vg),10)</f>
        <v>7</v>
      </c>
      <c r="U15" s="253">
        <f t="shared" ref="U15:U78" si="8">IF(OR(t&lt;Ttai,Notai),Hdd+PousH*Croivg,Hdtf+PousH*(Croivg-Croi_tai))</f>
        <v>1.1004500697665709</v>
      </c>
      <c r="V15" s="384">
        <f t="shared" ref="V15:V78" si="9">MaxiM*(1-Ppv)*(1-Pvg)*(1-Psa)</f>
        <v>14.001922137413043</v>
      </c>
      <c r="W15" s="404">
        <f t="shared" ref="W15:W78" si="10">Wh*(A15&gt;Tmaj)</f>
        <v>14.186877598507079</v>
      </c>
      <c r="X15" s="156">
        <f t="shared" ref="X15:X78" si="11">t</f>
        <v>45292</v>
      </c>
      <c r="Y15" s="387">
        <f t="shared" ref="Y15:Y78" si="12">Wh_pvt_s*(1-Ppv)</f>
        <v>13.060583387501859</v>
      </c>
      <c r="Z15" s="387">
        <f>Wh_sa_s*(1-Psa_s)</f>
        <v>13.676151501963121</v>
      </c>
      <c r="AA15" s="388">
        <f t="shared" ref="AA15:AA78" si="13">Wh_hp*(1-Pvg_s*MEDIAN((-Sdif+Wh/Env_an)/Csdif,0,1))</f>
        <v>16.461496948876096</v>
      </c>
      <c r="AB15" s="199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0.16920365478080923</v>
      </c>
      <c r="AD15" s="233">
        <f>(INDEX(Models!$BJ15:$BT15,,AH15)*(1-AF15)+INDEX(Models!$BJ15:$BT15,,AH15+1)*AF15-ERP_i)*AE15*Ramure*Pc/MaxiM</f>
        <v>0.13799408567401328</v>
      </c>
      <c r="AE15" s="305">
        <f t="shared" ref="AE15:AE78" si="15">IF(OR(t&lt;Ttai,Notai),Dd_s+PousD*Croivg,Dens_s+PousD*(Croivg-Croi_tai))</f>
        <v>0.9</v>
      </c>
      <c r="AF15" s="306">
        <f>(Hp_vg_s-AG15)/(INDEX(Echel_vg,AH15+1)-AG15)</f>
        <v>0.10045006976657089</v>
      </c>
      <c r="AG15" s="838">
        <f>INDEX(Echel_vg,AH15)</f>
        <v>1</v>
      </c>
      <c r="AH15" s="251">
        <f t="shared" ref="AH15:AH78" si="16">MIN(MATCH(Hp_vg_s,Echel_vg),10)</f>
        <v>7</v>
      </c>
      <c r="AI15" s="226">
        <f t="shared" ref="AI15:AI78" si="17">IF(OR(t&lt;Ttai,Notai),Hdd_s+PousH*Croivg,Hdtai_s+PousH*(Croivg-Croi_tai))</f>
        <v>1.1004500697665709</v>
      </c>
      <c r="AJ15" s="267" t="b">
        <f t="shared" ref="AJ15:AJ78" si="18">t&lt;Tnet</f>
        <v>1</v>
      </c>
      <c r="AK15" s="267" t="b">
        <f t="shared" ref="AK15:AK78" si="19">t&lt;Ttai</f>
        <v>0</v>
      </c>
      <c r="AL15" s="267"/>
      <c r="AM15" s="267"/>
      <c r="AN15" s="75"/>
    </row>
    <row r="16" spans="1:40" s="6" customFormat="1" ht="11.25" x14ac:dyDescent="0.2">
      <c r="A16" s="56">
        <f t="shared" ref="A16:A79" si="20">A15+1</f>
        <v>45293</v>
      </c>
      <c r="B16" s="413">
        <f>'2023'!Wh/'2023'!Env_an*'2024'!Env_an</f>
        <v>12.162044934938445</v>
      </c>
      <c r="C16" s="868"/>
      <c r="D16" s="395">
        <f t="shared" si="0"/>
        <v>12.73555973728751</v>
      </c>
      <c r="E16" s="387">
        <f t="shared" si="1"/>
        <v>14.114360954434463</v>
      </c>
      <c r="F16" s="387">
        <f t="shared" si="2"/>
        <v>15.847012920277397</v>
      </c>
      <c r="G16" s="110">
        <f t="shared" ref="G16:G79" si="21">+Wh_hp/MaxiM</f>
        <v>0.83483117258576711</v>
      </c>
      <c r="H16" s="416" t="b">
        <f>Wh_hp&gt;='2023'!Maxi_hp</f>
        <v>0</v>
      </c>
      <c r="I16" s="392">
        <f>IF(H16,Wh_hp,'2023'!Maxi_hp)</f>
        <v>17.78447596879985</v>
      </c>
      <c r="J16" s="85">
        <f>IF(H16,An,'2023'!An_max)</f>
        <v>2020</v>
      </c>
      <c r="K16" s="199">
        <f t="shared" si="3"/>
        <v>45293</v>
      </c>
      <c r="L16" s="147">
        <f>IF(t&lt;Tvie,1-EXP((T0-t)*PertePVj)+'2023'!Pspv,1-EXP((T0-t)*PertePVj)+Pspv)</f>
        <v>4.5032555630037385E-2</v>
      </c>
      <c r="M16" s="872"/>
      <c r="N16" s="872"/>
      <c r="O16" s="48">
        <f>IF(t&lt;Tnet,'2023'!Resal+('2023'!Salim-'2023'!Resal)*(1-EXP(('2023'!Tnet-t)/('2023'!Tau_j))),Resal+(Salim-Resal)*(1-EXP((Tnet-t)/(Tau_j))))*Salcycl</f>
        <v>9.7687824592140732E-2</v>
      </c>
      <c r="P16" s="171">
        <f>(INDEX(Models!$BJ16:$BT16,,T16)*(1-R16)+INDEX(Models!$BJ16:$BT16,,T16+1)*R16-ERP_i)*Q16*Ramure*Pc/MaxiM</f>
        <v>0.13642270940008469</v>
      </c>
      <c r="Q16" s="307">
        <f t="shared" si="4"/>
        <v>0.9</v>
      </c>
      <c r="R16" s="179">
        <f t="shared" si="5"/>
        <v>0.10049097022616271</v>
      </c>
      <c r="S16" s="839">
        <f t="shared" si="6"/>
        <v>1</v>
      </c>
      <c r="T16" s="178">
        <f t="shared" si="7"/>
        <v>7</v>
      </c>
      <c r="U16" s="253">
        <f t="shared" si="8"/>
        <v>1.1004909702261627</v>
      </c>
      <c r="V16" s="385">
        <f t="shared" si="9"/>
        <v>14.125224269678053</v>
      </c>
      <c r="W16" s="404">
        <f t="shared" si="10"/>
        <v>12.162044934938445</v>
      </c>
      <c r="X16" s="157">
        <f t="shared" si="11"/>
        <v>45293</v>
      </c>
      <c r="Y16" s="387">
        <f t="shared" si="12"/>
        <v>11.197475725232165</v>
      </c>
      <c r="Z16" s="387">
        <f t="shared" ref="Z16:Z78" si="22">Wh_sa_s*(1-Psa_s)</f>
        <v>11.725505189990713</v>
      </c>
      <c r="AA16" s="388">
        <f t="shared" si="13"/>
        <v>14.114360954434463</v>
      </c>
      <c r="AB16" s="199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0.16925001225033981</v>
      </c>
      <c r="AD16" s="233">
        <f>(INDEX(Models!$BJ16:$BT16,,AH16)*(1-AF16)+INDEX(Models!$BJ16:$BT16,,AH16+1)*AF16-ERP_i)*AE16*Ramure*Pc/MaxiM</f>
        <v>0.13642270940008469</v>
      </c>
      <c r="AE16" s="307">
        <f t="shared" si="15"/>
        <v>0.9</v>
      </c>
      <c r="AF16" s="179">
        <f t="shared" ref="AF16:AF78" si="23">(Hp_vg_s-AG16)/(INDEX(Echel_vg,AH16+1)-AG16)</f>
        <v>0.10049097022616271</v>
      </c>
      <c r="AG16" s="839">
        <f t="shared" ref="AG16:AG79" si="24">INDEX(Echel_vg,AH16)</f>
        <v>1</v>
      </c>
      <c r="AH16" s="178">
        <f t="shared" si="16"/>
        <v>7</v>
      </c>
      <c r="AI16" s="227">
        <f t="shared" si="17"/>
        <v>1.1004909702261627</v>
      </c>
      <c r="AJ16" s="267" t="b">
        <f t="shared" si="18"/>
        <v>1</v>
      </c>
      <c r="AK16" s="267" t="b">
        <f t="shared" si="19"/>
        <v>0</v>
      </c>
      <c r="AL16" s="267"/>
      <c r="AM16" s="267"/>
      <c r="AN16" s="75"/>
    </row>
    <row r="17" spans="1:40" s="6" customFormat="1" ht="11.25" x14ac:dyDescent="0.2">
      <c r="A17" s="56">
        <f t="shared" si="20"/>
        <v>45294</v>
      </c>
      <c r="B17" s="413">
        <f>'2023'!Wh/'2023'!Env_an*'2024'!Env_an</f>
        <v>11.824242502789813</v>
      </c>
      <c r="C17" s="868"/>
      <c r="D17" s="395">
        <f t="shared" si="0"/>
        <v>12.382116004375261</v>
      </c>
      <c r="E17" s="387">
        <f t="shared" si="1"/>
        <v>13.724613881125881</v>
      </c>
      <c r="F17" s="387">
        <f t="shared" si="2"/>
        <v>15.281302024133035</v>
      </c>
      <c r="G17" s="110">
        <f t="shared" si="21"/>
        <v>0.79899040165367152</v>
      </c>
      <c r="H17" s="416" t="b">
        <f>Wh_hp&gt;='2023'!Maxi_hp</f>
        <v>0</v>
      </c>
      <c r="I17" s="392">
        <f>IF(H17,Wh_hp,'2023'!Maxi_hp)</f>
        <v>19.408966249247889</v>
      </c>
      <c r="J17" s="85">
        <f>IF(H17,An,'2023'!An_max)</f>
        <v>2019</v>
      </c>
      <c r="K17" s="199">
        <f t="shared" si="3"/>
        <v>45294</v>
      </c>
      <c r="L17" s="147">
        <f>IF(t&lt;Tvie,1-EXP((T0-t)*PertePVj)+'2023'!Pspv,1-EXP((T0-t)*PertePVj)+Pspv)</f>
        <v>4.5054779117585486E-2</v>
      </c>
      <c r="M17" s="872"/>
      <c r="N17" s="872"/>
      <c r="O17" s="48">
        <f>IF(t&lt;Tnet,'2023'!Resal+('2023'!Salim-'2023'!Resal)*(1-EXP(('2023'!Tnet-t)/('2023'!Tau_j))),Resal+(Salim-Resal)*(1-EXP((Tnet-t)/(Tau_j))))*Salcycl</f>
        <v>9.7816804784346401E-2</v>
      </c>
      <c r="P17" s="171">
        <f>(INDEX(Models!$BJ17:$BT17,,T17)*(1-R17)+INDEX(Models!$BJ17:$BT17,,T17+1)*R17-ERP_i)*Q17*Ramure*Pc/MaxiM</f>
        <v>0.13471624724070952</v>
      </c>
      <c r="Q17" s="307">
        <f t="shared" si="4"/>
        <v>0.9</v>
      </c>
      <c r="R17" s="179">
        <f t="shared" si="5"/>
        <v>0.10053358145984803</v>
      </c>
      <c r="S17" s="839">
        <f t="shared" si="6"/>
        <v>1</v>
      </c>
      <c r="T17" s="178">
        <f t="shared" si="7"/>
        <v>7</v>
      </c>
      <c r="U17" s="253">
        <f t="shared" si="8"/>
        <v>1.100533581459848</v>
      </c>
      <c r="V17" s="385">
        <f t="shared" si="9"/>
        <v>14.257735025668483</v>
      </c>
      <c r="W17" s="404">
        <f t="shared" si="10"/>
        <v>11.824242502789813</v>
      </c>
      <c r="X17" s="157">
        <f t="shared" si="11"/>
        <v>45294</v>
      </c>
      <c r="Y17" s="387">
        <f t="shared" si="12"/>
        <v>10.887407033236938</v>
      </c>
      <c r="Z17" s="387">
        <f t="shared" si="22"/>
        <v>11.401080182564252</v>
      </c>
      <c r="AA17" s="388">
        <f t="shared" si="13"/>
        <v>13.724613881125881</v>
      </c>
      <c r="AB17" s="199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0.16929683550201427</v>
      </c>
      <c r="AD17" s="233">
        <f>(INDEX(Models!$BJ17:$BT17,,AH17)*(1-AF17)+INDEX(Models!$BJ17:$BT17,,AH17+1)*AF17-ERP_i)*AE17*Ramure*Pc/MaxiM</f>
        <v>0.13471624724070952</v>
      </c>
      <c r="AE17" s="307">
        <f t="shared" si="15"/>
        <v>0.9</v>
      </c>
      <c r="AF17" s="179">
        <f>(Hp_vg_s-AG17)/(INDEX(Echel_vg,AH17+1)-AG17)</f>
        <v>0.10053358145984803</v>
      </c>
      <c r="AG17" s="839">
        <f>INDEX(Echel_vg,AH17)</f>
        <v>1</v>
      </c>
      <c r="AH17" s="178">
        <f t="shared" si="16"/>
        <v>7</v>
      </c>
      <c r="AI17" s="227">
        <f t="shared" si="17"/>
        <v>1.100533581459848</v>
      </c>
      <c r="AJ17" s="267" t="b">
        <f t="shared" si="18"/>
        <v>1</v>
      </c>
      <c r="AK17" s="267" t="b">
        <f t="shared" si="19"/>
        <v>0</v>
      </c>
      <c r="AL17" s="267"/>
      <c r="AM17" s="267"/>
      <c r="AN17" s="75"/>
    </row>
    <row r="18" spans="1:40" s="6" customFormat="1" ht="11.25" x14ac:dyDescent="0.2">
      <c r="A18" s="56">
        <f t="shared" si="20"/>
        <v>45295</v>
      </c>
      <c r="B18" s="413">
        <f>'2023'!Wh/'2023'!Env_an*'2024'!Env_an</f>
        <v>12.431050966707478</v>
      </c>
      <c r="C18" s="868"/>
      <c r="D18" s="395">
        <f t="shared" si="0"/>
        <v>13.017856930755935</v>
      </c>
      <c r="E18" s="387">
        <f t="shared" si="1"/>
        <v>14.431348335890961</v>
      </c>
      <c r="F18" s="387">
        <f t="shared" si="2"/>
        <v>16.159332478089048</v>
      </c>
      <c r="G18" s="110">
        <f t="shared" si="21"/>
        <v>0.8382306013706875</v>
      </c>
      <c r="H18" s="416" t="b">
        <f>Wh_hp&gt;='2023'!Maxi_hp</f>
        <v>0</v>
      </c>
      <c r="I18" s="392">
        <f>IF(H18,Wh_hp,'2023'!Maxi_hp)</f>
        <v>19.187961348193991</v>
      </c>
      <c r="J18" s="85">
        <f>IF(H18,An,'2023'!An_max)</f>
        <v>2019</v>
      </c>
      <c r="K18" s="199">
        <f t="shared" si="3"/>
        <v>45295</v>
      </c>
      <c r="L18" s="147">
        <f>IF(t&lt;Tvie,1-EXP((T0-t)*PertePVj)+'2023'!Pspv,1-EXP((T0-t)*PertePVj)+Pspv)</f>
        <v>4.5077002087960616E-2</v>
      </c>
      <c r="M18" s="872"/>
      <c r="N18" s="872"/>
      <c r="O18" s="48">
        <f>IF(t&lt;Tnet,'2023'!Resal+('2023'!Salim-'2023'!Resal)*(1-EXP(('2023'!Tnet-t)/('2023'!Tau_j))),Resal+(Salim-Resal)*(1-EXP((Tnet-t)/(Tau_j))))*Salcycl</f>
        <v>9.7945900288447255E-2</v>
      </c>
      <c r="P18" s="171">
        <f>(INDEX(Models!$BJ18:$BT18,,T18)*(1-R18)+INDEX(Models!$BJ18:$BT18,,T18+1)*R18-ERP_i)*Q18*Ramure*Pc/MaxiM</f>
        <v>0.13288141663683117</v>
      </c>
      <c r="Q18" s="307">
        <f t="shared" si="4"/>
        <v>0.9</v>
      </c>
      <c r="R18" s="179">
        <f t="shared" si="5"/>
        <v>0.10057797480366126</v>
      </c>
      <c r="S18" s="839">
        <f t="shared" si="6"/>
        <v>1</v>
      </c>
      <c r="T18" s="178">
        <f t="shared" si="7"/>
        <v>7</v>
      </c>
      <c r="U18" s="253">
        <f t="shared" si="8"/>
        <v>1.1005779748036613</v>
      </c>
      <c r="V18" s="385">
        <f t="shared" si="9"/>
        <v>14.399232237047411</v>
      </c>
      <c r="W18" s="404">
        <f t="shared" si="10"/>
        <v>12.431050966707478</v>
      </c>
      <c r="X18" s="157">
        <f t="shared" si="11"/>
        <v>45295</v>
      </c>
      <c r="Y18" s="387">
        <f t="shared" si="12"/>
        <v>11.447125188016997</v>
      </c>
      <c r="Z18" s="387">
        <f>Wh_sa_s*(1-Psa_s)</f>
        <v>11.987485077903029</v>
      </c>
      <c r="AA18" s="388">
        <f t="shared" si="13"/>
        <v>14.431348335890961</v>
      </c>
      <c r="AB18" s="199">
        <f>t</f>
        <v>45295</v>
      </c>
      <c r="AC18" s="119">
        <f>IF(OR(t&lt;Tnet,NoTnet),'2023'!Resal_s+('2023'!Salim-'2023'!Resal_s)*(1-EXP(('2023'!Tnet_s-t)/'2023'!Tau_j)),Resal_s+(Salim-Resal_s)*(1-EXP((Tnet_s-t)/Tau_j)))*Salcycl</f>
        <v>0.16934406966742049</v>
      </c>
      <c r="AD18" s="233">
        <f>(INDEX(Models!$BJ18:$BT18,,AH18)*(1-AF18)+INDEX(Models!$BJ18:$BT18,,AH18+1)*AF18-ERP_i)*AE18*Ramure*Pc/MaxiM</f>
        <v>0.13288141663683117</v>
      </c>
      <c r="AE18" s="307">
        <f t="shared" si="15"/>
        <v>0.9</v>
      </c>
      <c r="AF18" s="179">
        <f t="shared" si="23"/>
        <v>0.10057797480366126</v>
      </c>
      <c r="AG18" s="839">
        <f t="shared" si="24"/>
        <v>1</v>
      </c>
      <c r="AH18" s="178">
        <f t="shared" si="16"/>
        <v>7</v>
      </c>
      <c r="AI18" s="227">
        <f t="shared" si="17"/>
        <v>1.1005779748036613</v>
      </c>
      <c r="AJ18" s="267" t="b">
        <f t="shared" si="18"/>
        <v>1</v>
      </c>
      <c r="AK18" s="267" t="b">
        <f t="shared" si="19"/>
        <v>0</v>
      </c>
      <c r="AL18" s="267"/>
      <c r="AM18" s="267"/>
      <c r="AN18" s="75"/>
    </row>
    <row r="19" spans="1:40" s="6" customFormat="1" ht="11.25" x14ac:dyDescent="0.2">
      <c r="A19" s="56">
        <f t="shared" si="20"/>
        <v>45296</v>
      </c>
      <c r="B19" s="413">
        <f>'2023'!Wh/'2023'!Env_an*'2024'!Env_an</f>
        <v>9.8358224120394873</v>
      </c>
      <c r="C19" s="868"/>
      <c r="D19" s="395">
        <f t="shared" si="0"/>
        <v>10.300360691730951</v>
      </c>
      <c r="E19" s="387">
        <f t="shared" si="1"/>
        <v>11.420419276602637</v>
      </c>
      <c r="F19" s="387">
        <f t="shared" si="2"/>
        <v>12.284381133018345</v>
      </c>
      <c r="G19" s="110">
        <f t="shared" si="21"/>
        <v>0.63196248107225295</v>
      </c>
      <c r="H19" s="416" t="b">
        <f>Wh_hp&gt;='2023'!Maxi_hp</f>
        <v>0</v>
      </c>
      <c r="I19" s="392">
        <f>IF(H19,Wh_hp,'2023'!Maxi_hp)</f>
        <v>19.412334573306765</v>
      </c>
      <c r="J19" s="85">
        <f>IF(H19,An,'2023'!An_max)</f>
        <v>2019</v>
      </c>
      <c r="K19" s="199">
        <f t="shared" si="3"/>
        <v>45296</v>
      </c>
      <c r="L19" s="147">
        <f>IF(t&lt;Tvie,1-EXP((T0-t)*PertePVj)+'2023'!Pspv,1-EXP((T0-t)*PertePVj)+Pspv)</f>
        <v>4.5099224541174765E-2</v>
      </c>
      <c r="M19" s="872"/>
      <c r="N19" s="872"/>
      <c r="O19" s="48">
        <f>IF(t&lt;Tnet,'2023'!Resal+('2023'!Salim-'2023'!Resal)*(1-EXP(('2023'!Tnet-t)/('2023'!Tau_j))),Resal+(Salim-Resal)*(1-EXP((Tnet-t)/(Tau_j))))*Salcycl</f>
        <v>9.8075084438132926E-2</v>
      </c>
      <c r="P19" s="171">
        <f>(INDEX(Models!$BJ19:$BT19,,T19)*(1-R19)+INDEX(Models!$BJ19:$BT19,,T19+1)*R19-ERP_i)*Q19*Ramure*Pc/MaxiM</f>
        <v>0.13092498542322173</v>
      </c>
      <c r="Q19" s="307">
        <f t="shared" si="4"/>
        <v>0.9</v>
      </c>
      <c r="R19" s="179">
        <f t="shared" si="5"/>
        <v>0.10062422454924769</v>
      </c>
      <c r="S19" s="839">
        <f t="shared" si="6"/>
        <v>1</v>
      </c>
      <c r="T19" s="178">
        <f t="shared" si="7"/>
        <v>7</v>
      </c>
      <c r="U19" s="253">
        <f t="shared" si="8"/>
        <v>1.1006242245492477</v>
      </c>
      <c r="V19" s="385">
        <f t="shared" si="9"/>
        <v>14.549493729723508</v>
      </c>
      <c r="W19" s="404">
        <f t="shared" si="10"/>
        <v>9.8358224120394873</v>
      </c>
      <c r="X19" s="157">
        <f t="shared" si="11"/>
        <v>45296</v>
      </c>
      <c r="Y19" s="387">
        <f t="shared" si="12"/>
        <v>9.0580888905066601</v>
      </c>
      <c r="Z19" s="387">
        <f t="shared" si="22"/>
        <v>9.4858954179341737</v>
      </c>
      <c r="AA19" s="388">
        <f t="shared" si="13"/>
        <v>11.420419276602637</v>
      </c>
      <c r="AB19" s="199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0.16939166696198105</v>
      </c>
      <c r="AD19" s="233">
        <f>(INDEX(Models!$BJ19:$BT19,,AH19)*(1-AF19)+INDEX(Models!$BJ19:$BT19,,AH19+1)*AF19-ERP_i)*AE19*Ramure*Pc/MaxiM</f>
        <v>0.13092498542322173</v>
      </c>
      <c r="AE19" s="307">
        <f t="shared" si="15"/>
        <v>0.9</v>
      </c>
      <c r="AF19" s="179">
        <f t="shared" si="23"/>
        <v>0.10062422454924769</v>
      </c>
      <c r="AG19" s="839">
        <f t="shared" si="24"/>
        <v>1</v>
      </c>
      <c r="AH19" s="178">
        <f t="shared" si="16"/>
        <v>7</v>
      </c>
      <c r="AI19" s="227">
        <f t="shared" si="17"/>
        <v>1.1006242245492477</v>
      </c>
      <c r="AJ19" s="267" t="b">
        <f t="shared" si="18"/>
        <v>1</v>
      </c>
      <c r="AK19" s="267" t="b">
        <f t="shared" si="19"/>
        <v>0</v>
      </c>
      <c r="AL19" s="267"/>
      <c r="AM19" s="267"/>
      <c r="AN19" s="75"/>
    </row>
    <row r="20" spans="1:40" s="6" customFormat="1" ht="11.25" x14ac:dyDescent="0.2">
      <c r="A20" s="56">
        <f t="shared" si="20"/>
        <v>45297</v>
      </c>
      <c r="B20" s="413">
        <f>'2023'!Wh/'2023'!Env_an*'2024'!Env_an</f>
        <v>15.066178195394485</v>
      </c>
      <c r="C20" s="868"/>
      <c r="D20" s="395">
        <f t="shared" si="0"/>
        <v>15.778109310144197</v>
      </c>
      <c r="E20" s="387">
        <f t="shared" si="1"/>
        <v>17.496324181292799</v>
      </c>
      <c r="F20" s="387">
        <f t="shared" si="2"/>
        <v>20.084255313401076</v>
      </c>
      <c r="G20" s="110">
        <f t="shared" si="21"/>
        <v>1.0243319064045417</v>
      </c>
      <c r="H20" s="416" t="b">
        <f>Wh_hp&gt;='2023'!Maxi_hp</f>
        <v>1</v>
      </c>
      <c r="I20" s="392">
        <f>IF(H20,Wh_hp,'2023'!Maxi_hp)</f>
        <v>20.084255313401076</v>
      </c>
      <c r="J20" s="85">
        <f>IF(H20,An,'2023'!An_max)</f>
        <v>2024</v>
      </c>
      <c r="K20" s="199">
        <f t="shared" si="3"/>
        <v>45297</v>
      </c>
      <c r="L20" s="147">
        <f>IF(t&lt;Tvie,1-EXP((T0-t)*PertePVj)+'2023'!Pspv,1-EXP((T0-t)*PertePVj)+Pspv)</f>
        <v>4.5121446477239924E-2</v>
      </c>
      <c r="M20" s="872"/>
      <c r="N20" s="872"/>
      <c r="O20" s="48">
        <f>IF(t&lt;Tnet,'2023'!Resal+('2023'!Salim-'2023'!Resal)*(1-EXP(('2023'!Tnet-t)/('2023'!Tau_j))),Resal+(Salim-Resal)*(1-EXP((Tnet-t)/(Tau_j))))*Salcycl</f>
        <v>9.8204334427326803E-2</v>
      </c>
      <c r="P20" s="171">
        <f>(INDEX(Models!$BJ20:$BT20,,T20)*(1-R20)+INDEX(Models!$BJ20:$BT20,,T20+1)*R20-ERP_i)*Q20*Ramure*Pc/MaxiM</f>
        <v>0.12885372605184406</v>
      </c>
      <c r="Q20" s="307">
        <f t="shared" si="4"/>
        <v>0.9</v>
      </c>
      <c r="R20" s="179">
        <f t="shared" si="5"/>
        <v>0.10067240806469857</v>
      </c>
      <c r="S20" s="839">
        <f t="shared" si="6"/>
        <v>1</v>
      </c>
      <c r="T20" s="178">
        <f t="shared" si="7"/>
        <v>7</v>
      </c>
      <c r="U20" s="253">
        <f t="shared" si="8"/>
        <v>1.1006724080646986</v>
      </c>
      <c r="V20" s="385">
        <f t="shared" si="9"/>
        <v>14.708297282545415</v>
      </c>
      <c r="W20" s="404">
        <f t="shared" si="10"/>
        <v>15.066178195394485</v>
      </c>
      <c r="X20" s="157">
        <f t="shared" si="11"/>
        <v>45297</v>
      </c>
      <c r="Y20" s="387">
        <f t="shared" si="12"/>
        <v>13.876060475867229</v>
      </c>
      <c r="Z20" s="387">
        <f t="shared" si="22"/>
        <v>14.531754247359881</v>
      </c>
      <c r="AA20" s="388">
        <f t="shared" si="13"/>
        <v>17.496324181292799</v>
      </c>
      <c r="AB20" s="199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0.16943958646483345</v>
      </c>
      <c r="AD20" s="233">
        <f>(INDEX(Models!$BJ20:$BT20,,AH20)*(1-AF20)+INDEX(Models!$BJ20:$BT20,,AH20+1)*AF20-ERP_i)*AE20*Ramure*Pc/MaxiM</f>
        <v>0.12885372605184406</v>
      </c>
      <c r="AE20" s="307">
        <f t="shared" si="15"/>
        <v>0.9</v>
      </c>
      <c r="AF20" s="179">
        <f t="shared" si="23"/>
        <v>0.10067240806469857</v>
      </c>
      <c r="AG20" s="839">
        <f t="shared" si="24"/>
        <v>1</v>
      </c>
      <c r="AH20" s="178">
        <f t="shared" si="16"/>
        <v>7</v>
      </c>
      <c r="AI20" s="227">
        <f t="shared" si="17"/>
        <v>1.1006724080646986</v>
      </c>
      <c r="AJ20" s="267" t="b">
        <f t="shared" si="18"/>
        <v>1</v>
      </c>
      <c r="AK20" s="267" t="b">
        <f t="shared" si="19"/>
        <v>0</v>
      </c>
      <c r="AL20" s="267"/>
      <c r="AM20" s="267"/>
      <c r="AN20" s="75"/>
    </row>
    <row r="21" spans="1:40" s="6" customFormat="1" ht="11.25" x14ac:dyDescent="0.2">
      <c r="A21" s="56">
        <f t="shared" si="20"/>
        <v>45298</v>
      </c>
      <c r="B21" s="413">
        <f>'2023'!Wh/'2023'!Env_an*'2024'!Env_an</f>
        <v>7.5595460941500656</v>
      </c>
      <c r="C21" s="868"/>
      <c r="D21" s="395">
        <f t="shared" si="0"/>
        <v>7.9169460786777659</v>
      </c>
      <c r="E21" s="387">
        <f t="shared" si="1"/>
        <v>8.7803497528433248</v>
      </c>
      <c r="F21" s="387">
        <f t="shared" si="2"/>
        <v>9.1240987382857845</v>
      </c>
      <c r="G21" s="110">
        <f t="shared" si="21"/>
        <v>0.46119100753363734</v>
      </c>
      <c r="H21" s="416" t="b">
        <f>Wh_hp&gt;='2023'!Maxi_hp</f>
        <v>0</v>
      </c>
      <c r="I21" s="392">
        <f>IF(H21,Wh_hp,'2023'!Maxi_hp)</f>
        <v>11.638105968264961</v>
      </c>
      <c r="J21" s="85">
        <f>IF(H21,An,'2023'!An_max)</f>
        <v>2021</v>
      </c>
      <c r="K21" s="199">
        <f t="shared" si="3"/>
        <v>45298</v>
      </c>
      <c r="L21" s="147">
        <f>IF(t&lt;Tvie,1-EXP((T0-t)*PertePVj)+'2023'!Pspv,1-EXP((T0-t)*PertePVj)+Pspv)</f>
        <v>4.5143667896168194E-2</v>
      </c>
      <c r="M21" s="872"/>
      <c r="N21" s="872"/>
      <c r="O21" s="48">
        <f>IF(t&lt;Tnet,'2023'!Resal+('2023'!Salim-'2023'!Resal)*(1-EXP(('2023'!Tnet-t)/('2023'!Tau_j))),Resal+(Salim-Resal)*(1-EXP((Tnet-t)/(Tau_j))))*Salcycl</f>
        <v>9.8333631172945551E-2</v>
      </c>
      <c r="P21" s="171">
        <f>(INDEX(Models!$BJ21:$BT21,,T21)*(1-R21)+INDEX(Models!$BJ21:$BT21,,T21+1)*R21-ERP_i)*Q21*Ramure*Pc/MaxiM</f>
        <v>0.1266743738378355</v>
      </c>
      <c r="Q21" s="307">
        <f t="shared" si="4"/>
        <v>0.9</v>
      </c>
      <c r="R21" s="179">
        <f t="shared" si="5"/>
        <v>0.10072260592018711</v>
      </c>
      <c r="S21" s="839">
        <f t="shared" si="6"/>
        <v>1</v>
      </c>
      <c r="T21" s="178">
        <f t="shared" si="7"/>
        <v>7</v>
      </c>
      <c r="U21" s="253">
        <f t="shared" si="8"/>
        <v>1.1007226059201871</v>
      </c>
      <c r="V21" s="385">
        <f t="shared" si="9"/>
        <v>14.875420573794768</v>
      </c>
      <c r="W21" s="404">
        <f t="shared" si="10"/>
        <v>7.5595460941500656</v>
      </c>
      <c r="X21" s="157">
        <f t="shared" si="11"/>
        <v>45298</v>
      </c>
      <c r="Y21" s="387">
        <f t="shared" si="12"/>
        <v>6.9629915467984613</v>
      </c>
      <c r="Z21" s="387">
        <f t="shared" si="22"/>
        <v>7.292187644037428</v>
      </c>
      <c r="AA21" s="388">
        <f t="shared" si="13"/>
        <v>8.7803497528433248</v>
      </c>
      <c r="AB21" s="199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0.169487793846024</v>
      </c>
      <c r="AD21" s="233">
        <f>(INDEX(Models!$BJ21:$BT21,,AH21)*(1-AF21)+INDEX(Models!$BJ21:$BT21,,AH21+1)*AF21-ERP_i)*AE21*Ramure*Pc/MaxiM</f>
        <v>0.1266743738378355</v>
      </c>
      <c r="AE21" s="307">
        <f t="shared" si="15"/>
        <v>0.9</v>
      </c>
      <c r="AF21" s="179">
        <f t="shared" si="23"/>
        <v>0.10072260592018711</v>
      </c>
      <c r="AG21" s="839">
        <f t="shared" si="24"/>
        <v>1</v>
      </c>
      <c r="AH21" s="178">
        <f t="shared" si="16"/>
        <v>7</v>
      </c>
      <c r="AI21" s="227">
        <f t="shared" si="17"/>
        <v>1.1007226059201871</v>
      </c>
      <c r="AJ21" s="267" t="b">
        <f t="shared" si="18"/>
        <v>1</v>
      </c>
      <c r="AK21" s="267" t="b">
        <f t="shared" si="19"/>
        <v>0</v>
      </c>
      <c r="AL21" s="267"/>
      <c r="AM21" s="267"/>
      <c r="AN21" s="75"/>
    </row>
    <row r="22" spans="1:40" s="6" customFormat="1" ht="11.25" x14ac:dyDescent="0.2">
      <c r="A22" s="56">
        <f t="shared" si="20"/>
        <v>45299</v>
      </c>
      <c r="B22" s="413">
        <f>'2023'!Wh/'2023'!Env_an*'2024'!Env_an</f>
        <v>6.1448606465367304</v>
      </c>
      <c r="C22" s="868"/>
      <c r="D22" s="395">
        <f t="shared" si="0"/>
        <v>6.4355269406965823</v>
      </c>
      <c r="E22" s="387">
        <f t="shared" si="1"/>
        <v>7.138394374365931</v>
      </c>
      <c r="F22" s="387">
        <f t="shared" si="2"/>
        <v>7.2784442521370467</v>
      </c>
      <c r="G22" s="110">
        <f t="shared" si="21"/>
        <v>0.36450542126784513</v>
      </c>
      <c r="H22" s="416" t="b">
        <f>Wh_hp&gt;='2023'!Maxi_hp</f>
        <v>0</v>
      </c>
      <c r="I22" s="392">
        <f>IF(H22,Wh_hp,'2023'!Maxi_hp)</f>
        <v>14.643565191481343</v>
      </c>
      <c r="J22" s="85">
        <f>IF(H22,An,'2023'!An_max)</f>
        <v>2021</v>
      </c>
      <c r="K22" s="199">
        <f t="shared" si="3"/>
        <v>45299</v>
      </c>
      <c r="L22" s="147">
        <f>IF(t&lt;Tvie,1-EXP((T0-t)*PertePVj)+'2023'!Pspv,1-EXP((T0-t)*PertePVj)+Pspv)</f>
        <v>4.5165888797971565E-2</v>
      </c>
      <c r="M22" s="872"/>
      <c r="N22" s="872"/>
      <c r="O22" s="48">
        <f>IF(t&lt;Tnet,'2023'!Resal+('2023'!Salim-'2023'!Resal)*(1-EXP(('2023'!Tnet-t)/('2023'!Tau_j))),Resal+(Salim-Resal)*(1-EXP((Tnet-t)/(Tau_j))))*Salcycl</f>
        <v>9.8462959148538462E-2</v>
      </c>
      <c r="P22" s="171">
        <f>(INDEX(Models!$BJ22:$BT22,,T22)*(1-R22)+INDEX(Models!$BJ22:$BT22,,T22+1)*R22-ERP_i)*Q22*Ramure*Pc/MaxiM</f>
        <v>0.1243935890095117</v>
      </c>
      <c r="Q22" s="307">
        <f t="shared" si="4"/>
        <v>0.9</v>
      </c>
      <c r="R22" s="179">
        <f t="shared" si="5"/>
        <v>0.10077490201858308</v>
      </c>
      <c r="S22" s="839">
        <f t="shared" si="6"/>
        <v>1</v>
      </c>
      <c r="T22" s="178">
        <f t="shared" si="7"/>
        <v>7</v>
      </c>
      <c r="U22" s="253">
        <f t="shared" si="8"/>
        <v>1.1007749020185831</v>
      </c>
      <c r="V22" s="385">
        <f t="shared" si="9"/>
        <v>15.050641161633761</v>
      </c>
      <c r="W22" s="404">
        <f t="shared" si="10"/>
        <v>6.1448606465367304</v>
      </c>
      <c r="X22" s="157">
        <f t="shared" si="11"/>
        <v>45299</v>
      </c>
      <c r="Y22" s="387">
        <f t="shared" si="12"/>
        <v>5.6604262682962361</v>
      </c>
      <c r="Z22" s="387">
        <f t="shared" si="22"/>
        <v>5.9281776822681778</v>
      </c>
      <c r="AA22" s="388">
        <f t="shared" si="13"/>
        <v>7.138394374365931</v>
      </c>
      <c r="AB22" s="199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0.16953626104543304</v>
      </c>
      <c r="AD22" s="233">
        <f>(INDEX(Models!$BJ22:$BT22,,AH22)*(1-AF22)+INDEX(Models!$BJ22:$BT22,,AH22+1)*AF22-ERP_i)*AE22*Ramure*Pc/MaxiM</f>
        <v>0.1243935890095117</v>
      </c>
      <c r="AE22" s="307">
        <f t="shared" si="15"/>
        <v>0.9</v>
      </c>
      <c r="AF22" s="179">
        <f t="shared" si="23"/>
        <v>0.10077490201858308</v>
      </c>
      <c r="AG22" s="839">
        <f t="shared" si="24"/>
        <v>1</v>
      </c>
      <c r="AH22" s="178">
        <f t="shared" si="16"/>
        <v>7</v>
      </c>
      <c r="AI22" s="227">
        <f t="shared" si="17"/>
        <v>1.1007749020185831</v>
      </c>
      <c r="AJ22" s="267" t="b">
        <f t="shared" si="18"/>
        <v>1</v>
      </c>
      <c r="AK22" s="267" t="b">
        <f t="shared" si="19"/>
        <v>0</v>
      </c>
      <c r="AL22" s="267"/>
      <c r="AM22" s="267"/>
      <c r="AN22" s="75"/>
    </row>
    <row r="23" spans="1:40" s="6" customFormat="1" ht="11.25" x14ac:dyDescent="0.2">
      <c r="A23" s="56">
        <f t="shared" si="20"/>
        <v>45300</v>
      </c>
      <c r="B23" s="413">
        <f>'2023'!Wh/'2023'!Env_an*'2024'!Env_an</f>
        <v>1.8554571175272709</v>
      </c>
      <c r="C23" s="868"/>
      <c r="D23" s="395">
        <f t="shared" si="0"/>
        <v>1.943269805677601</v>
      </c>
      <c r="E23" s="387">
        <f t="shared" si="1"/>
        <v>2.1558167508720927</v>
      </c>
      <c r="F23" s="387">
        <f t="shared" si="2"/>
        <v>2.1558167508720927</v>
      </c>
      <c r="G23" s="110">
        <f t="shared" si="21"/>
        <v>0.1069253163772074</v>
      </c>
      <c r="H23" s="416" t="b">
        <f>Wh_hp&gt;='2023'!Maxi_hp</f>
        <v>0</v>
      </c>
      <c r="I23" s="392">
        <f>IF(H23,Wh_hp,'2023'!Maxi_hp)</f>
        <v>18.867508996859197</v>
      </c>
      <c r="J23" s="85">
        <f>IF(H23,An,'2023'!An_max)</f>
        <v>2020</v>
      </c>
      <c r="K23" s="199">
        <f t="shared" si="3"/>
        <v>45300</v>
      </c>
      <c r="L23" s="147">
        <f>IF(t&lt;Tvie,1-EXP((T0-t)*PertePVj)+'2023'!Pspv,1-EXP((T0-t)*PertePVj)+Pspv)</f>
        <v>4.5188109182662139E-2</v>
      </c>
      <c r="M23" s="872"/>
      <c r="N23" s="872"/>
      <c r="O23" s="48">
        <f>IF(t&lt;Tnet,'2023'!Resal+('2023'!Salim-'2023'!Resal)*(1-EXP(('2023'!Tnet-t)/('2023'!Tau_j))),Resal+(Salim-Resal)*(1-EXP((Tnet-t)/(Tau_j))))*Salcycl</f>
        <v>9.8592306191381887E-2</v>
      </c>
      <c r="P23" s="171">
        <f>(INDEX(Models!$BJ23:$BT23,,T23)*(1-R23)+INDEX(Models!$BJ23:$BT23,,T23+1)*R23-ERP_i)*Q23*Ramure*Pc/MaxiM</f>
        <v>0.12200399111809623</v>
      </c>
      <c r="Q23" s="307">
        <f t="shared" si="4"/>
        <v>0.9</v>
      </c>
      <c r="R23" s="179">
        <f t="shared" si="5"/>
        <v>0.10082938373123218</v>
      </c>
      <c r="S23" s="839">
        <f t="shared" si="6"/>
        <v>1</v>
      </c>
      <c r="T23" s="178">
        <f t="shared" si="7"/>
        <v>7</v>
      </c>
      <c r="U23" s="253">
        <f t="shared" si="8"/>
        <v>1.1008293837312322</v>
      </c>
      <c r="V23" s="385">
        <f t="shared" si="9"/>
        <v>15.235717779814088</v>
      </c>
      <c r="W23" s="404">
        <f t="shared" si="10"/>
        <v>1.8554571175272709</v>
      </c>
      <c r="X23" s="157">
        <f t="shared" si="11"/>
        <v>45300</v>
      </c>
      <c r="Y23" s="387">
        <f t="shared" si="12"/>
        <v>1.7093258645232081</v>
      </c>
      <c r="Z23" s="387">
        <f t="shared" si="22"/>
        <v>1.7902226406711288</v>
      </c>
      <c r="AA23" s="388">
        <f t="shared" si="13"/>
        <v>2.1558167508720927</v>
      </c>
      <c r="AB23" s="199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0.16958496590819702</v>
      </c>
      <c r="AD23" s="233">
        <f>(INDEX(Models!$BJ23:$BT23,,AH23)*(1-AF23)+INDEX(Models!$BJ23:$BT23,,AH23+1)*AF23-ERP_i)*AE23*Ramure*Pc/MaxiM</f>
        <v>0.12200399111809623</v>
      </c>
      <c r="AE23" s="307">
        <f t="shared" si="15"/>
        <v>0.9</v>
      </c>
      <c r="AF23" s="179">
        <f t="shared" si="23"/>
        <v>0.10082938373123218</v>
      </c>
      <c r="AG23" s="839">
        <f t="shared" si="24"/>
        <v>1</v>
      </c>
      <c r="AH23" s="178">
        <f t="shared" si="16"/>
        <v>7</v>
      </c>
      <c r="AI23" s="227">
        <f t="shared" si="17"/>
        <v>1.1008293837312322</v>
      </c>
      <c r="AJ23" s="267" t="b">
        <f t="shared" si="18"/>
        <v>1</v>
      </c>
      <c r="AK23" s="267" t="b">
        <f t="shared" si="19"/>
        <v>0</v>
      </c>
      <c r="AL23" s="267"/>
      <c r="AM23" s="267"/>
      <c r="AN23" s="75"/>
    </row>
    <row r="24" spans="1:40" s="6" customFormat="1" ht="11.25" x14ac:dyDescent="0.2">
      <c r="A24" s="56">
        <f t="shared" si="20"/>
        <v>45301</v>
      </c>
      <c r="B24" s="413">
        <f>'2023'!Wh/'2023'!Env_an*'2024'!Env_an</f>
        <v>1.5728473824210216</v>
      </c>
      <c r="C24" s="868"/>
      <c r="D24" s="395">
        <f t="shared" si="0"/>
        <v>1.6473234161158019</v>
      </c>
      <c r="E24" s="387">
        <f t="shared" si="1"/>
        <v>1.8277632436184723</v>
      </c>
      <c r="F24" s="387">
        <f t="shared" si="2"/>
        <v>1.8277632436184723</v>
      </c>
      <c r="G24" s="110">
        <f t="shared" si="21"/>
        <v>8.9740642140893653E-2</v>
      </c>
      <c r="H24" s="416" t="b">
        <f>Wh_hp&gt;='2023'!Maxi_hp</f>
        <v>0</v>
      </c>
      <c r="I24" s="392">
        <f>IF(H24,Wh_hp,'2023'!Maxi_hp)</f>
        <v>10.733503548463755</v>
      </c>
      <c r="J24" s="85">
        <f>IF(H24,An,'2023'!An_max)</f>
        <v>2019</v>
      </c>
      <c r="K24" s="199">
        <f t="shared" si="3"/>
        <v>45301</v>
      </c>
      <c r="L24" s="147">
        <f>IF(t&lt;Tvie,1-EXP((T0-t)*PertePVj)+'2023'!Pspv,1-EXP((T0-t)*PertePVj)+Pspv)</f>
        <v>4.5210329050251796E-2</v>
      </c>
      <c r="M24" s="872"/>
      <c r="N24" s="872"/>
      <c r="O24" s="48">
        <f>IF(t&lt;Tnet,'2023'!Resal+('2023'!Salim-'2023'!Resal)*(1-EXP(('2023'!Tnet-t)/('2023'!Tau_j))),Resal+(Salim-Resal)*(1-EXP((Tnet-t)/(Tau_j))))*Salcycl</f>
        <v>9.8721663285803174E-2</v>
      </c>
      <c r="P24" s="171">
        <f>(INDEX(Models!$BJ24:$BT24,,T24)*(1-R24)+INDEX(Models!$BJ24:$BT24,,T24+1)*R24-ERP_i)*Q24*Ramure*Pc/MaxiM</f>
        <v>0.11955688325616401</v>
      </c>
      <c r="Q24" s="307">
        <f t="shared" si="4"/>
        <v>0.9</v>
      </c>
      <c r="R24" s="179">
        <f t="shared" si="5"/>
        <v>0.10088614203908963</v>
      </c>
      <c r="S24" s="839">
        <f t="shared" si="6"/>
        <v>1</v>
      </c>
      <c r="T24" s="178">
        <f t="shared" si="7"/>
        <v>7</v>
      </c>
      <c r="U24" s="253">
        <f t="shared" si="8"/>
        <v>1.1008861420390896</v>
      </c>
      <c r="V24" s="385">
        <f t="shared" si="9"/>
        <v>15.431164949399351</v>
      </c>
      <c r="W24" s="404">
        <f t="shared" si="10"/>
        <v>1.5728473824210216</v>
      </c>
      <c r="X24" s="157">
        <f t="shared" si="11"/>
        <v>45301</v>
      </c>
      <c r="Y24" s="387">
        <f t="shared" si="12"/>
        <v>1.4490963629767695</v>
      </c>
      <c r="Z24" s="387">
        <f t="shared" si="22"/>
        <v>1.51771265134794</v>
      </c>
      <c r="AA24" s="388">
        <f t="shared" si="13"/>
        <v>1.8277632436184723</v>
      </c>
      <c r="AB24" s="199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0.16963389178169305</v>
      </c>
      <c r="AD24" s="233">
        <f>(INDEX(Models!$BJ24:$BT24,,AH24)*(1-AF24)+INDEX(Models!$BJ24:$BT24,,AH24+1)*AF24-ERP_i)*AE24*Ramure*Pc/MaxiM</f>
        <v>0.11955688325616401</v>
      </c>
      <c r="AE24" s="307">
        <f t="shared" si="15"/>
        <v>0.9</v>
      </c>
      <c r="AF24" s="179">
        <f t="shared" si="23"/>
        <v>0.10088614203908963</v>
      </c>
      <c r="AG24" s="839">
        <f t="shared" si="24"/>
        <v>1</v>
      </c>
      <c r="AH24" s="178">
        <f t="shared" si="16"/>
        <v>7</v>
      </c>
      <c r="AI24" s="227">
        <f t="shared" si="17"/>
        <v>1.1008861420390896</v>
      </c>
      <c r="AJ24" s="267" t="b">
        <f t="shared" si="18"/>
        <v>1</v>
      </c>
      <c r="AK24" s="267" t="b">
        <f t="shared" si="19"/>
        <v>0</v>
      </c>
      <c r="AL24" s="267"/>
      <c r="AM24" s="267"/>
      <c r="AN24" s="75"/>
    </row>
    <row r="25" spans="1:40" s="6" customFormat="1" ht="11.25" x14ac:dyDescent="0.2">
      <c r="A25" s="56">
        <f t="shared" si="20"/>
        <v>45302</v>
      </c>
      <c r="B25" s="413">
        <f>'2023'!Wh/'2023'!Env_an*'2024'!Env_an</f>
        <v>15.967711567474161</v>
      </c>
      <c r="C25" s="868"/>
      <c r="D25" s="395">
        <f t="shared" si="0"/>
        <v>16.72418926800243</v>
      </c>
      <c r="E25" s="387">
        <f t="shared" si="1"/>
        <v>18.558739697271257</v>
      </c>
      <c r="F25" s="387">
        <f t="shared" si="2"/>
        <v>21.020658697052703</v>
      </c>
      <c r="G25" s="110">
        <f t="shared" si="21"/>
        <v>1.0212579859233322</v>
      </c>
      <c r="H25" s="416" t="b">
        <f>Wh_hp&gt;='2023'!Maxi_hp</f>
        <v>1</v>
      </c>
      <c r="I25" s="392">
        <f>IF(H25,Wh_hp,'2023'!Maxi_hp)</f>
        <v>21.020658697052703</v>
      </c>
      <c r="J25" s="85">
        <f>IF(H25,An,'2023'!An_max)</f>
        <v>2024</v>
      </c>
      <c r="K25" s="199">
        <f t="shared" si="3"/>
        <v>45302</v>
      </c>
      <c r="L25" s="147">
        <f>IF(t&lt;Tvie,1-EXP((T0-t)*PertePVj)+'2023'!Pspv,1-EXP((T0-t)*PertePVj)+Pspv)</f>
        <v>4.5232548400752748E-2</v>
      </c>
      <c r="M25" s="872"/>
      <c r="N25" s="872"/>
      <c r="O25" s="48">
        <f>IF(t&lt;Tnet,'2023'!Resal+('2023'!Salim-'2023'!Resal)*(1-EXP(('2023'!Tnet-t)/('2023'!Tau_j))),Resal+(Salim-Resal)*(1-EXP((Tnet-t)/(Tau_j))))*Salcycl</f>
        <v>9.8851024325674816E-2</v>
      </c>
      <c r="P25" s="171">
        <f>(INDEX(Models!$BJ25:$BT25,,T25)*(1-R25)+INDEX(Models!$BJ25:$BT25,,T25+1)*R25-ERP_i)*Q25*Ramure*Pc/MaxiM</f>
        <v>0.11711902254169752</v>
      </c>
      <c r="Q25" s="307">
        <f t="shared" si="4"/>
        <v>0.9</v>
      </c>
      <c r="R25" s="179">
        <f t="shared" si="5"/>
        <v>0.10094527167940215</v>
      </c>
      <c r="S25" s="839">
        <f t="shared" si="6"/>
        <v>1</v>
      </c>
      <c r="T25" s="178">
        <f t="shared" si="7"/>
        <v>7</v>
      </c>
      <c r="U25" s="253">
        <f t="shared" si="8"/>
        <v>1.1009452716794021</v>
      </c>
      <c r="V25" s="385">
        <f t="shared" si="9"/>
        <v>15.635335818732965</v>
      </c>
      <c r="W25" s="404">
        <f t="shared" si="10"/>
        <v>15.967711567474161</v>
      </c>
      <c r="X25" s="157">
        <f t="shared" si="11"/>
        <v>45302</v>
      </c>
      <c r="Y25" s="387">
        <f t="shared" si="12"/>
        <v>14.712619434820329</v>
      </c>
      <c r="Z25" s="387">
        <f t="shared" si="22"/>
        <v>15.409636566659778</v>
      </c>
      <c r="AA25" s="388">
        <f t="shared" si="13"/>
        <v>18.558739697271257</v>
      </c>
      <c r="AB25" s="199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0.16968302707939278</v>
      </c>
      <c r="AD25" s="233">
        <f>(INDEX(Models!$BJ25:$BT25,,AH25)*(1-AF25)+INDEX(Models!$BJ25:$BT25,,AH25+1)*AF25-ERP_i)*AE25*Ramure*Pc/MaxiM</f>
        <v>0.11711902254169752</v>
      </c>
      <c r="AE25" s="307">
        <f t="shared" si="15"/>
        <v>0.9</v>
      </c>
      <c r="AF25" s="179">
        <f t="shared" si="23"/>
        <v>0.10094527167940215</v>
      </c>
      <c r="AG25" s="839">
        <f t="shared" si="24"/>
        <v>1</v>
      </c>
      <c r="AH25" s="178">
        <f t="shared" si="16"/>
        <v>7</v>
      </c>
      <c r="AI25" s="227">
        <f t="shared" si="17"/>
        <v>1.1009452716794021</v>
      </c>
      <c r="AJ25" s="267" t="b">
        <f t="shared" si="18"/>
        <v>1</v>
      </c>
      <c r="AK25" s="267" t="b">
        <f t="shared" si="19"/>
        <v>0</v>
      </c>
      <c r="AL25" s="267"/>
      <c r="AM25" s="267"/>
      <c r="AN25" s="75"/>
    </row>
    <row r="26" spans="1:40" s="6" customFormat="1" ht="11.25" x14ac:dyDescent="0.2">
      <c r="A26" s="56">
        <f t="shared" si="20"/>
        <v>45303</v>
      </c>
      <c r="B26" s="413">
        <f>'2023'!Wh/'2023'!Env_an*'2024'!Env_an</f>
        <v>14.573871405676421</v>
      </c>
      <c r="C26" s="868"/>
      <c r="D26" s="395">
        <f t="shared" si="0"/>
        <v>15.264670516821585</v>
      </c>
      <c r="E26" s="387">
        <f t="shared" si="1"/>
        <v>16.941551856645223</v>
      </c>
      <c r="F26" s="387">
        <f t="shared" si="2"/>
        <v>18.855965246833659</v>
      </c>
      <c r="G26" s="110">
        <f t="shared" si="21"/>
        <v>0.90614722955704086</v>
      </c>
      <c r="H26" s="416" t="b">
        <f>Wh_hp&gt;='2023'!Maxi_hp</f>
        <v>0</v>
      </c>
      <c r="I26" s="392">
        <f>IF(H26,Wh_hp,'2023'!Maxi_hp)</f>
        <v>20.696537437632458</v>
      </c>
      <c r="J26" s="85">
        <f>IF(H26,An,'2023'!An_max)</f>
        <v>2020</v>
      </c>
      <c r="K26" s="199">
        <f t="shared" si="3"/>
        <v>45303</v>
      </c>
      <c r="L26" s="147">
        <f>IF(t&lt;Tvie,1-EXP((T0-t)*PertePVj)+'2023'!Pspv,1-EXP((T0-t)*PertePVj)+Pspv)</f>
        <v>4.5254767234176985E-2</v>
      </c>
      <c r="M26" s="872"/>
      <c r="N26" s="872"/>
      <c r="O26" s="48">
        <f>IF(t&lt;Tnet,'2023'!Resal+('2023'!Salim-'2023'!Resal)*(1-EXP(('2023'!Tnet-t)/('2023'!Tau_j))),Resal+(Salim-Resal)*(1-EXP((Tnet-t)/(Tau_j))))*Salcycl</f>
        <v>9.8980385859155431E-2</v>
      </c>
      <c r="P26" s="171">
        <f>(INDEX(Models!$BJ26:$BT26,,T26)*(1-R26)+INDEX(Models!$BJ26:$BT26,,T26+1)*R26-ERP_i)*Q26*Ramure*Pc/MaxiM</f>
        <v>0.11469772822889035</v>
      </c>
      <c r="Q26" s="307">
        <f t="shared" si="4"/>
        <v>0.9</v>
      </c>
      <c r="R26" s="179">
        <f t="shared" si="5"/>
        <v>0.10100687129814157</v>
      </c>
      <c r="S26" s="839">
        <f t="shared" si="6"/>
        <v>1</v>
      </c>
      <c r="T26" s="178">
        <f t="shared" si="7"/>
        <v>7</v>
      </c>
      <c r="U26" s="253">
        <f t="shared" si="8"/>
        <v>1.1010068712981416</v>
      </c>
      <c r="V26" s="385">
        <f t="shared" si="9"/>
        <v>15.847593561483082</v>
      </c>
      <c r="W26" s="404">
        <f t="shared" si="10"/>
        <v>14.573871405676421</v>
      </c>
      <c r="X26" s="157">
        <f t="shared" si="11"/>
        <v>45303</v>
      </c>
      <c r="Y26" s="387">
        <f t="shared" si="12"/>
        <v>13.42946763593921</v>
      </c>
      <c r="Z26" s="387">
        <f t="shared" si="22"/>
        <v>14.066022196345596</v>
      </c>
      <c r="AA26" s="388">
        <f t="shared" si="13"/>
        <v>16.941551856645223</v>
      </c>
      <c r="AB26" s="199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0.16973236481708243</v>
      </c>
      <c r="AD26" s="233">
        <f>(INDEX(Models!$BJ26:$BT26,,AH26)*(1-AF26)+INDEX(Models!$BJ26:$BT26,,AH26+1)*AF26-ERP_i)*AE26*Ramure*Pc/MaxiM</f>
        <v>0.11469772822889035</v>
      </c>
      <c r="AE26" s="307">
        <f t="shared" si="15"/>
        <v>0.9</v>
      </c>
      <c r="AF26" s="179">
        <f t="shared" si="23"/>
        <v>0.10100687129814157</v>
      </c>
      <c r="AG26" s="839">
        <f t="shared" si="24"/>
        <v>1</v>
      </c>
      <c r="AH26" s="178">
        <f t="shared" si="16"/>
        <v>7</v>
      </c>
      <c r="AI26" s="227">
        <f t="shared" si="17"/>
        <v>1.1010068712981416</v>
      </c>
      <c r="AJ26" s="267" t="b">
        <f t="shared" si="18"/>
        <v>1</v>
      </c>
      <c r="AK26" s="267" t="b">
        <f t="shared" si="19"/>
        <v>0</v>
      </c>
      <c r="AL26" s="267"/>
      <c r="AM26" s="267"/>
      <c r="AN26" s="75"/>
    </row>
    <row r="27" spans="1:40" s="6" customFormat="1" ht="11.25" x14ac:dyDescent="0.2">
      <c r="A27" s="56">
        <f t="shared" si="20"/>
        <v>45304</v>
      </c>
      <c r="B27" s="413">
        <f>'2023'!Wh/'2023'!Env_an*'2024'!Env_an</f>
        <v>5.3669305729941774</v>
      </c>
      <c r="C27" s="868"/>
      <c r="D27" s="395">
        <f t="shared" si="0"/>
        <v>5.6214530201610273</v>
      </c>
      <c r="E27" s="387">
        <f t="shared" si="1"/>
        <v>6.239886601404641</v>
      </c>
      <c r="F27" s="387">
        <f t="shared" si="2"/>
        <v>6.274137527658687</v>
      </c>
      <c r="G27" s="110">
        <f t="shared" si="21"/>
        <v>0.29814447683431006</v>
      </c>
      <c r="H27" s="416" t="b">
        <f>Wh_hp&gt;='2023'!Maxi_hp</f>
        <v>0</v>
      </c>
      <c r="I27" s="392">
        <f>IF(H27,Wh_hp,'2023'!Maxi_hp)</f>
        <v>14.73462756836317</v>
      </c>
      <c r="J27" s="85">
        <f>IF(H27,An,'2023'!An_max)</f>
        <v>2020</v>
      </c>
      <c r="K27" s="199">
        <f t="shared" si="3"/>
        <v>45304</v>
      </c>
      <c r="L27" s="147">
        <f>IF(t&lt;Tvie,1-EXP((T0-t)*PertePVj)+'2023'!Pspv,1-EXP((T0-t)*PertePVj)+Pspv)</f>
        <v>4.5276985550536386E-2</v>
      </c>
      <c r="M27" s="872"/>
      <c r="N27" s="872"/>
      <c r="O27" s="48">
        <f>IF(t&lt;Tnet,'2023'!Resal+('2023'!Salim-'2023'!Resal)*(1-EXP(('2023'!Tnet-t)/('2023'!Tau_j))),Resal+(Salim-Resal)*(1-EXP((Tnet-t)/(Tau_j))))*Salcycl</f>
        <v>9.910974681886052E-2</v>
      </c>
      <c r="P27" s="171">
        <f>(INDEX(Models!$BJ27:$BT27,,T27)*(1-R27)+INDEX(Models!$BJ27:$BT27,,T27+1)*R27-ERP_i)*Q27*Ramure*Pc/MaxiM</f>
        <v>0.1122996336599846</v>
      </c>
      <c r="Q27" s="307">
        <f t="shared" si="4"/>
        <v>0.9</v>
      </c>
      <c r="R27" s="179">
        <f t="shared" si="5"/>
        <v>0.10107104360839836</v>
      </c>
      <c r="S27" s="839">
        <f t="shared" si="6"/>
        <v>1</v>
      </c>
      <c r="T27" s="178">
        <f t="shared" si="7"/>
        <v>7</v>
      </c>
      <c r="U27" s="253">
        <f t="shared" si="8"/>
        <v>1.1010710436083984</v>
      </c>
      <c r="V27" s="385">
        <f t="shared" si="9"/>
        <v>16.067301559681489</v>
      </c>
      <c r="W27" s="404">
        <f t="shared" si="10"/>
        <v>5.3669305729941774</v>
      </c>
      <c r="X27" s="157">
        <f t="shared" si="11"/>
        <v>45304</v>
      </c>
      <c r="Y27" s="387">
        <f t="shared" si="12"/>
        <v>4.9459108653841222</v>
      </c>
      <c r="Z27" s="387">
        <f t="shared" si="22"/>
        <v>5.1804667851608857</v>
      </c>
      <c r="AA27" s="388">
        <f t="shared" si="13"/>
        <v>6.239886601404641</v>
      </c>
      <c r="AB27" s="199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0.16978190212707908</v>
      </c>
      <c r="AD27" s="233">
        <f>(INDEX(Models!$BJ27:$BT27,,AH27)*(1-AF27)+INDEX(Models!$BJ27:$BT27,,AH27+1)*AF27-ERP_i)*AE27*Ramure*Pc/MaxiM</f>
        <v>0.1122996336599846</v>
      </c>
      <c r="AE27" s="307">
        <f t="shared" si="15"/>
        <v>0.9</v>
      </c>
      <c r="AF27" s="179">
        <f t="shared" si="23"/>
        <v>0.10107104360839836</v>
      </c>
      <c r="AG27" s="839">
        <f t="shared" si="24"/>
        <v>1</v>
      </c>
      <c r="AH27" s="178">
        <f t="shared" si="16"/>
        <v>7</v>
      </c>
      <c r="AI27" s="227">
        <f t="shared" si="17"/>
        <v>1.1010710436083984</v>
      </c>
      <c r="AJ27" s="267" t="b">
        <f t="shared" si="18"/>
        <v>1</v>
      </c>
      <c r="AK27" s="267" t="b">
        <f t="shared" si="19"/>
        <v>0</v>
      </c>
      <c r="AL27" s="267"/>
      <c r="AM27" s="267"/>
      <c r="AN27" s="75"/>
    </row>
    <row r="28" spans="1:40" s="6" customFormat="1" ht="11.25" x14ac:dyDescent="0.2">
      <c r="A28" s="56">
        <f t="shared" si="20"/>
        <v>45305</v>
      </c>
      <c r="B28" s="413">
        <f>'2023'!Wh/'2023'!Env_an*'2024'!Env_an</f>
        <v>16.603844805576689</v>
      </c>
      <c r="C28" s="868"/>
      <c r="D28" s="395">
        <f t="shared" si="0"/>
        <v>17.391673772386145</v>
      </c>
      <c r="E28" s="387">
        <f t="shared" si="1"/>
        <v>19.307758508940477</v>
      </c>
      <c r="F28" s="387">
        <f t="shared" si="2"/>
        <v>21.692421575213356</v>
      </c>
      <c r="G28" s="110">
        <f t="shared" si="21"/>
        <v>1.0190269259145368</v>
      </c>
      <c r="H28" s="416" t="b">
        <f>Wh_hp&gt;='2023'!Maxi_hp</f>
        <v>1</v>
      </c>
      <c r="I28" s="392">
        <f>IF(H28,Wh_hp,'2023'!Maxi_hp)</f>
        <v>21.692421575213356</v>
      </c>
      <c r="J28" s="85">
        <f>IF(H28,An,'2023'!An_max)</f>
        <v>2024</v>
      </c>
      <c r="K28" s="199">
        <f t="shared" si="3"/>
        <v>45305</v>
      </c>
      <c r="L28" s="147">
        <f>IF(t&lt;Tvie,1-EXP((T0-t)*PertePVj)+'2023'!Pspv,1-EXP((T0-t)*PertePVj)+Pspv)</f>
        <v>4.5299203349843276E-2</v>
      </c>
      <c r="M28" s="872"/>
      <c r="N28" s="872"/>
      <c r="O28" s="48">
        <f>IF(t&lt;Tnet,'2023'!Resal+('2023'!Salim-'2023'!Resal)*(1-EXP(('2023'!Tnet-t)/('2023'!Tau_j))),Resal+(Salim-Resal)*(1-EXP((Tnet-t)/(Tau_j))))*Salcycl</f>
        <v>9.9239108240715107E-2</v>
      </c>
      <c r="P28" s="171">
        <f>(INDEX(Models!$BJ28:$BT28,,T28)*(1-R28)+INDEX(Models!$BJ28:$BT28,,T28+1)*R28-ERP_i)*Q28*Ramure*Pc/MaxiM</f>
        <v>0.10993069897727288</v>
      </c>
      <c r="Q28" s="307">
        <f t="shared" si="4"/>
        <v>0.9</v>
      </c>
      <c r="R28" s="179">
        <f t="shared" si="5"/>
        <v>0.10113789555494357</v>
      </c>
      <c r="S28" s="839">
        <f t="shared" si="6"/>
        <v>1</v>
      </c>
      <c r="T28" s="178">
        <f t="shared" si="7"/>
        <v>7</v>
      </c>
      <c r="U28" s="253">
        <f t="shared" si="8"/>
        <v>1.1011378955549436</v>
      </c>
      <c r="V28" s="385">
        <f t="shared" si="9"/>
        <v>16.293823434229065</v>
      </c>
      <c r="W28" s="404">
        <f t="shared" si="10"/>
        <v>16.603844805576689</v>
      </c>
      <c r="X28" s="157">
        <f t="shared" si="11"/>
        <v>45305</v>
      </c>
      <c r="Y28" s="387">
        <f t="shared" si="12"/>
        <v>15.302603323582753</v>
      </c>
      <c r="Z28" s="387">
        <f t="shared" si="22"/>
        <v>16.028690221351393</v>
      </c>
      <c r="AA28" s="388">
        <f t="shared" si="13"/>
        <v>19.307758508940477</v>
      </c>
      <c r="AB28" s="199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0.16983163975614821</v>
      </c>
      <c r="AD28" s="233">
        <f>(INDEX(Models!$BJ28:$BT28,,AH28)*(1-AF28)+INDEX(Models!$BJ28:$BT28,,AH28+1)*AF28-ERP_i)*AE28*Ramure*Pc/MaxiM</f>
        <v>0.10993069897727288</v>
      </c>
      <c r="AE28" s="307">
        <f t="shared" si="15"/>
        <v>0.9</v>
      </c>
      <c r="AF28" s="179">
        <f t="shared" si="23"/>
        <v>0.10113789555494357</v>
      </c>
      <c r="AG28" s="839">
        <f t="shared" si="24"/>
        <v>1</v>
      </c>
      <c r="AH28" s="178">
        <f t="shared" si="16"/>
        <v>7</v>
      </c>
      <c r="AI28" s="227">
        <f t="shared" si="17"/>
        <v>1.1011378955549436</v>
      </c>
      <c r="AJ28" s="267" t="b">
        <f t="shared" si="18"/>
        <v>1</v>
      </c>
      <c r="AK28" s="267" t="b">
        <f t="shared" si="19"/>
        <v>0</v>
      </c>
      <c r="AL28" s="267"/>
      <c r="AM28" s="267"/>
      <c r="AN28" s="75"/>
    </row>
    <row r="29" spans="1:40" s="6" customFormat="1" ht="11.25" x14ac:dyDescent="0.2">
      <c r="A29" s="56">
        <f t="shared" si="20"/>
        <v>45306</v>
      </c>
      <c r="B29" s="413">
        <f>'2023'!Wh/'2023'!Env_an*'2024'!Env_an</f>
        <v>16.767005615587593</v>
      </c>
      <c r="C29" s="868"/>
      <c r="D29" s="395">
        <f t="shared" si="0"/>
        <v>17.562985048527349</v>
      </c>
      <c r="E29" s="387">
        <f t="shared" si="1"/>
        <v>19.500744223931186</v>
      </c>
      <c r="F29" s="387">
        <f t="shared" si="2"/>
        <v>21.851929496030458</v>
      </c>
      <c r="G29" s="110">
        <f t="shared" si="21"/>
        <v>1.0145513106600164</v>
      </c>
      <c r="H29" s="416" t="b">
        <f>Wh_hp&gt;='2023'!Maxi_hp</f>
        <v>1</v>
      </c>
      <c r="I29" s="392">
        <f>IF(H29,Wh_hp,'2023'!Maxi_hp)</f>
        <v>21.851929496030458</v>
      </c>
      <c r="J29" s="85">
        <f>IF(H29,An,'2023'!An_max)</f>
        <v>2024</v>
      </c>
      <c r="K29" s="199">
        <f t="shared" si="3"/>
        <v>45306</v>
      </c>
      <c r="L29" s="147">
        <f>IF(t&lt;Tvie,1-EXP((T0-t)*PertePVj)+'2023'!Pspv,1-EXP((T0-t)*PertePVj)+Pspv)</f>
        <v>4.5321420632109422E-2</v>
      </c>
      <c r="M29" s="872"/>
      <c r="N29" s="872"/>
      <c r="O29" s="48">
        <f>IF(t&lt;Tnet,'2023'!Resal+('2023'!Salim-'2023'!Resal)*(1-EXP(('2023'!Tnet-t)/('2023'!Tau_j))),Resal+(Salim-Resal)*(1-EXP((Tnet-t)/(Tau_j))))*Salcycl</f>
        <v>9.9368472974781727E-2</v>
      </c>
      <c r="P29" s="171">
        <f>(INDEX(Models!$BJ29:$BT29,,T29)*(1-R29)+INDEX(Models!$BJ29:$BT29,,T29+1)*R29-ERP_i)*Q29*Ramure*Pc/MaxiM</f>
        <v>0.10759623183510549</v>
      </c>
      <c r="Q29" s="307">
        <f t="shared" si="4"/>
        <v>0.9</v>
      </c>
      <c r="R29" s="179">
        <f t="shared" si="5"/>
        <v>0.10120753848518493</v>
      </c>
      <c r="S29" s="839">
        <f t="shared" si="6"/>
        <v>1</v>
      </c>
      <c r="T29" s="178">
        <f t="shared" si="7"/>
        <v>7</v>
      </c>
      <c r="U29" s="253">
        <f t="shared" si="8"/>
        <v>1.1012075384851849</v>
      </c>
      <c r="V29" s="385">
        <f t="shared" si="9"/>
        <v>16.526523044635184</v>
      </c>
      <c r="W29" s="404">
        <f t="shared" si="10"/>
        <v>16.767005615587593</v>
      </c>
      <c r="X29" s="157">
        <f t="shared" si="11"/>
        <v>45306</v>
      </c>
      <c r="Y29" s="387">
        <f t="shared" si="12"/>
        <v>15.454267107081131</v>
      </c>
      <c r="Z29" s="387">
        <f t="shared" si="22"/>
        <v>16.187926953712182</v>
      </c>
      <c r="AA29" s="388">
        <f t="shared" si="13"/>
        <v>19.500744223931186</v>
      </c>
      <c r="AB29" s="199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0.16988158155284835</v>
      </c>
      <c r="AD29" s="233">
        <f>(INDEX(Models!$BJ29:$BT29,,AH29)*(1-AF29)+INDEX(Models!$BJ29:$BT29,,AH29+1)*AF29-ERP_i)*AE29*Ramure*Pc/MaxiM</f>
        <v>0.10759623183510549</v>
      </c>
      <c r="AE29" s="307">
        <f t="shared" si="15"/>
        <v>0.9</v>
      </c>
      <c r="AF29" s="179">
        <f t="shared" si="23"/>
        <v>0.10120753848518493</v>
      </c>
      <c r="AG29" s="839">
        <f t="shared" si="24"/>
        <v>1</v>
      </c>
      <c r="AH29" s="178">
        <f t="shared" si="16"/>
        <v>7</v>
      </c>
      <c r="AI29" s="227">
        <f t="shared" si="17"/>
        <v>1.1012075384851849</v>
      </c>
      <c r="AJ29" s="267" t="b">
        <f t="shared" si="18"/>
        <v>1</v>
      </c>
      <c r="AK29" s="267" t="b">
        <f t="shared" si="19"/>
        <v>0</v>
      </c>
      <c r="AL29" s="267"/>
      <c r="AM29" s="267"/>
      <c r="AN29" s="75"/>
    </row>
    <row r="30" spans="1:40" s="6" customFormat="1" ht="11.25" x14ac:dyDescent="0.2">
      <c r="A30" s="56">
        <f t="shared" si="20"/>
        <v>45307</v>
      </c>
      <c r="B30" s="413">
        <f>'2023'!Wh/'2023'!Env_an*'2024'!Env_an</f>
        <v>16.777147497053186</v>
      </c>
      <c r="C30" s="868"/>
      <c r="D30" s="395">
        <f t="shared" si="0"/>
        <v>17.574017368212072</v>
      </c>
      <c r="E30" s="387">
        <f t="shared" si="1"/>
        <v>19.515797134155466</v>
      </c>
      <c r="F30" s="387">
        <f t="shared" si="2"/>
        <v>21.813416600563912</v>
      </c>
      <c r="G30" s="110">
        <f t="shared" si="21"/>
        <v>1.0007717959974691</v>
      </c>
      <c r="H30" s="416" t="b">
        <f>Wh_hp&gt;='2023'!Maxi_hp</f>
        <v>1</v>
      </c>
      <c r="I30" s="392">
        <f>IF(H30,Wh_hp,'2023'!Maxi_hp)</f>
        <v>21.813416600563912</v>
      </c>
      <c r="J30" s="85">
        <f>IF(H30,An,'2023'!An_max)</f>
        <v>2024</v>
      </c>
      <c r="K30" s="199">
        <f t="shared" si="3"/>
        <v>45307</v>
      </c>
      <c r="L30" s="147">
        <f>IF(t&lt;Tvie,1-EXP((T0-t)*PertePVj)+'2023'!Pspv,1-EXP((T0-t)*PertePVj)+Pspv)</f>
        <v>4.5343637397346925E-2</v>
      </c>
      <c r="M30" s="872"/>
      <c r="N30" s="872"/>
      <c r="O30" s="48">
        <f>IF(t&lt;Tnet,'2023'!Resal+('2023'!Salim-'2023'!Resal)*(1-EXP(('2023'!Tnet-t)/('2023'!Tau_j))),Resal+(Salim-Resal)*(1-EXP((Tnet-t)/(Tau_j))))*Salcycl</f>
        <v>9.9497845391362361E-2</v>
      </c>
      <c r="P30" s="171">
        <f>(INDEX(Models!$BJ30:$BT30,,T30)*(1-R30)+INDEX(Models!$BJ30:$BT30,,T30+1)*R30-ERP_i)*Q30*Ramure*Pc/MaxiM</f>
        <v>0.10533056368386816</v>
      </c>
      <c r="Q30" s="307">
        <f t="shared" si="4"/>
        <v>0.9</v>
      </c>
      <c r="R30" s="179">
        <f t="shared" si="5"/>
        <v>0.10128008832673552</v>
      </c>
      <c r="S30" s="839">
        <f t="shared" si="6"/>
        <v>1</v>
      </c>
      <c r="T30" s="178">
        <f t="shared" si="7"/>
        <v>7</v>
      </c>
      <c r="U30" s="253">
        <f t="shared" si="8"/>
        <v>1.1012800883267355</v>
      </c>
      <c r="V30" s="385">
        <f t="shared" si="9"/>
        <v>16.764208947686626</v>
      </c>
      <c r="W30" s="404">
        <f t="shared" si="10"/>
        <v>16.777147497053186</v>
      </c>
      <c r="X30" s="157">
        <f t="shared" si="11"/>
        <v>45307</v>
      </c>
      <c r="Y30" s="387">
        <f t="shared" si="12"/>
        <v>15.464902178048153</v>
      </c>
      <c r="Z30" s="387">
        <f t="shared" si="22"/>
        <v>16.199443887732148</v>
      </c>
      <c r="AA30" s="388">
        <f t="shared" si="13"/>
        <v>19.515797134155466</v>
      </c>
      <c r="AB30" s="199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0.16993173394999184</v>
      </c>
      <c r="AD30" s="233">
        <f>(INDEX(Models!$BJ30:$BT30,,AH30)*(1-AF30)+INDEX(Models!$BJ30:$BT30,,AH30+1)*AF30-ERP_i)*AE30*Ramure*Pc/MaxiM</f>
        <v>0.10533056368386816</v>
      </c>
      <c r="AE30" s="307">
        <f t="shared" si="15"/>
        <v>0.9</v>
      </c>
      <c r="AF30" s="179">
        <f t="shared" si="23"/>
        <v>0.10128008832673552</v>
      </c>
      <c r="AG30" s="839">
        <f t="shared" si="24"/>
        <v>1</v>
      </c>
      <c r="AH30" s="178">
        <f t="shared" si="16"/>
        <v>7</v>
      </c>
      <c r="AI30" s="227">
        <f t="shared" si="17"/>
        <v>1.1012800883267355</v>
      </c>
      <c r="AJ30" s="267" t="b">
        <f t="shared" si="18"/>
        <v>1</v>
      </c>
      <c r="AK30" s="267" t="b">
        <f t="shared" si="19"/>
        <v>0</v>
      </c>
      <c r="AL30" s="267"/>
      <c r="AM30" s="267"/>
      <c r="AN30" s="75"/>
    </row>
    <row r="31" spans="1:40" s="6" customFormat="1" ht="11.25" x14ac:dyDescent="0.2">
      <c r="A31" s="56">
        <f t="shared" si="20"/>
        <v>45308</v>
      </c>
      <c r="B31" s="413">
        <f>'2023'!Wh/'2023'!Env_an*'2024'!Env_an</f>
        <v>13.454421459333107</v>
      </c>
      <c r="C31" s="868"/>
      <c r="D31" s="395">
        <f t="shared" si="0"/>
        <v>14.093798666968919</v>
      </c>
      <c r="E31" s="387">
        <f t="shared" si="1"/>
        <v>15.653292895522448</v>
      </c>
      <c r="F31" s="387">
        <f t="shared" si="2"/>
        <v>16.874840399266461</v>
      </c>
      <c r="G31" s="110">
        <f t="shared" si="21"/>
        <v>0.76492134968586978</v>
      </c>
      <c r="H31" s="416" t="b">
        <f>Wh_hp&gt;='2023'!Maxi_hp</f>
        <v>0</v>
      </c>
      <c r="I31" s="392">
        <f>IF(H31,Wh_hp,'2023'!Maxi_hp)</f>
        <v>17.129787184609615</v>
      </c>
      <c r="J31" s="85">
        <f>IF(H31,An,'2023'!An_max)</f>
        <v>2022</v>
      </c>
      <c r="K31" s="199">
        <f t="shared" si="3"/>
        <v>45308</v>
      </c>
      <c r="L31" s="147">
        <f>IF(t&lt;Tvie,1-EXP((T0-t)*PertePVj)+'2023'!Pspv,1-EXP((T0-t)*PertePVj)+Pspv)</f>
        <v>4.5365853645567888E-2</v>
      </c>
      <c r="M31" s="872"/>
      <c r="N31" s="872"/>
      <c r="O31" s="48">
        <f>IF(t&lt;Tnet,'2023'!Resal+('2023'!Salim-'2023'!Resal)*(1-EXP(('2023'!Tnet-t)/('2023'!Tau_j))),Resal+(Salim-Resal)*(1-EXP((Tnet-t)/(Tau_j))))*Salcycl</f>
        <v>9.9627231085646875E-2</v>
      </c>
      <c r="P31" s="171">
        <f>(INDEX(Models!$BJ31:$BT31,,T31)*(1-R31)+INDEX(Models!$BJ31:$BT31,,T31+1)*R31-ERP_i)*Q31*Ramure*Pc/MaxiM</f>
        <v>0.10316575547593636</v>
      </c>
      <c r="Q31" s="307">
        <f t="shared" si="4"/>
        <v>0.9</v>
      </c>
      <c r="R31" s="179">
        <f t="shared" si="5"/>
        <v>0.1013556657718313</v>
      </c>
      <c r="S31" s="839">
        <f t="shared" si="6"/>
        <v>1</v>
      </c>
      <c r="T31" s="178">
        <f t="shared" si="7"/>
        <v>7</v>
      </c>
      <c r="U31" s="253">
        <f t="shared" si="8"/>
        <v>1.1013556657718313</v>
      </c>
      <c r="V31" s="385">
        <f t="shared" si="9"/>
        <v>17.005695188477166</v>
      </c>
      <c r="W31" s="404">
        <f t="shared" si="10"/>
        <v>13.454421459333107</v>
      </c>
      <c r="X31" s="157">
        <f t="shared" si="11"/>
        <v>45308</v>
      </c>
      <c r="Y31" s="387">
        <f t="shared" si="12"/>
        <v>12.40309675908869</v>
      </c>
      <c r="Z31" s="387">
        <f t="shared" si="22"/>
        <v>12.992513211950127</v>
      </c>
      <c r="AA31" s="388">
        <f t="shared" si="13"/>
        <v>15.653292895522448</v>
      </c>
      <c r="AB31" s="199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0.1699821054478208</v>
      </c>
      <c r="AD31" s="233">
        <f>(INDEX(Models!$BJ31:$BT31,,AH31)*(1-AF31)+INDEX(Models!$BJ31:$BT31,,AH31+1)*AF31-ERP_i)*AE31*Ramure*Pc/MaxiM</f>
        <v>0.10316575547593636</v>
      </c>
      <c r="AE31" s="307">
        <f t="shared" si="15"/>
        <v>0.9</v>
      </c>
      <c r="AF31" s="179">
        <f t="shared" si="23"/>
        <v>0.1013556657718313</v>
      </c>
      <c r="AG31" s="839">
        <f t="shared" si="24"/>
        <v>1</v>
      </c>
      <c r="AH31" s="178">
        <f t="shared" si="16"/>
        <v>7</v>
      </c>
      <c r="AI31" s="227">
        <f t="shared" si="17"/>
        <v>1.1013556657718313</v>
      </c>
      <c r="AJ31" s="267" t="b">
        <f t="shared" si="18"/>
        <v>1</v>
      </c>
      <c r="AK31" s="267" t="b">
        <f t="shared" si="19"/>
        <v>0</v>
      </c>
      <c r="AL31" s="267"/>
      <c r="AM31" s="267"/>
      <c r="AN31" s="75"/>
    </row>
    <row r="32" spans="1:40" s="6" customFormat="1" ht="11.25" x14ac:dyDescent="0.2">
      <c r="A32" s="56">
        <f t="shared" si="20"/>
        <v>45309</v>
      </c>
      <c r="B32" s="413">
        <f>'2023'!Wh/'2023'!Env_an*'2024'!Env_an</f>
        <v>3.7310319167782824</v>
      </c>
      <c r="C32" s="868"/>
      <c r="D32" s="395">
        <f t="shared" si="0"/>
        <v>3.9084279140975</v>
      </c>
      <c r="E32" s="387">
        <f t="shared" si="1"/>
        <v>4.3415237178393502</v>
      </c>
      <c r="F32" s="387">
        <f t="shared" si="2"/>
        <v>4.3415237178393502</v>
      </c>
      <c r="G32" s="110">
        <f t="shared" si="21"/>
        <v>0.1944200050239881</v>
      </c>
      <c r="H32" s="416" t="b">
        <f>Wh_hp&gt;='2023'!Maxi_hp</f>
        <v>0</v>
      </c>
      <c r="I32" s="392">
        <f>IF(H32,Wh_hp,'2023'!Maxi_hp)</f>
        <v>21.664293726015998</v>
      </c>
      <c r="J32" s="85">
        <f>IF(H32,An,'2023'!An_max)</f>
        <v>2021</v>
      </c>
      <c r="K32" s="199">
        <f t="shared" si="3"/>
        <v>45309</v>
      </c>
      <c r="L32" s="147">
        <f>IF(t&lt;Tvie,1-EXP((T0-t)*PertePVj)+'2023'!Pspv,1-EXP((T0-t)*PertePVj)+Pspv)</f>
        <v>4.5388069376784301E-2</v>
      </c>
      <c r="M32" s="872"/>
      <c r="N32" s="872"/>
      <c r="O32" s="48">
        <f>IF(t&lt;Tnet,'2023'!Resal+('2023'!Salim-'2023'!Resal)*(1-EXP(('2023'!Tnet-t)/('2023'!Tau_j))),Resal+(Salim-Resal)*(1-EXP((Tnet-t)/(Tau_j))))*Salcycl</f>
        <v>9.9756636584122885E-2</v>
      </c>
      <c r="P32" s="171">
        <f>(INDEX(Models!$BJ32:$BT32,,T32)*(1-R32)+INDEX(Models!$BJ32:$BT32,,T32+1)*R32-ERP_i)*Q32*Ramure*Pc/MaxiM</f>
        <v>0.10110325824728406</v>
      </c>
      <c r="Q32" s="307">
        <f t="shared" si="4"/>
        <v>0.9</v>
      </c>
      <c r="R32" s="179">
        <f t="shared" si="5"/>
        <v>0.10143439646882957</v>
      </c>
      <c r="S32" s="839">
        <f t="shared" si="6"/>
        <v>1</v>
      </c>
      <c r="T32" s="178">
        <f t="shared" si="7"/>
        <v>7</v>
      </c>
      <c r="U32" s="253">
        <f t="shared" si="8"/>
        <v>1.1014343964688296</v>
      </c>
      <c r="V32" s="385">
        <f t="shared" si="9"/>
        <v>17.250346398013853</v>
      </c>
      <c r="W32" s="404">
        <f t="shared" si="10"/>
        <v>3.7310319167782824</v>
      </c>
      <c r="X32" s="157">
        <f t="shared" si="11"/>
        <v>45309</v>
      </c>
      <c r="Y32" s="387">
        <f t="shared" si="12"/>
        <v>3.4397748311752507</v>
      </c>
      <c r="Z32" s="387">
        <f t="shared" si="22"/>
        <v>3.6033226914832328</v>
      </c>
      <c r="AA32" s="388">
        <f t="shared" si="13"/>
        <v>4.3415237178393502</v>
      </c>
      <c r="AB32" s="199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0.17003270610335361</v>
      </c>
      <c r="AD32" s="233">
        <f>(INDEX(Models!$BJ32:$BT32,,AH32)*(1-AF32)+INDEX(Models!$BJ32:$BT32,,AH32+1)*AF32-ERP_i)*AE32*Ramure*Pc/MaxiM</f>
        <v>0.10110325824728406</v>
      </c>
      <c r="AE32" s="307">
        <f t="shared" si="15"/>
        <v>0.9</v>
      </c>
      <c r="AF32" s="179">
        <f t="shared" si="23"/>
        <v>0.10143439646882957</v>
      </c>
      <c r="AG32" s="839">
        <f t="shared" si="24"/>
        <v>1</v>
      </c>
      <c r="AH32" s="178">
        <f t="shared" si="16"/>
        <v>7</v>
      </c>
      <c r="AI32" s="227">
        <f t="shared" si="17"/>
        <v>1.1014343964688296</v>
      </c>
      <c r="AJ32" s="267" t="b">
        <f t="shared" si="18"/>
        <v>1</v>
      </c>
      <c r="AK32" s="267" t="b">
        <f t="shared" si="19"/>
        <v>0</v>
      </c>
      <c r="AL32" s="267"/>
      <c r="AM32" s="267"/>
      <c r="AN32" s="75"/>
    </row>
    <row r="33" spans="1:40" s="6" customFormat="1" ht="11.25" x14ac:dyDescent="0.2">
      <c r="A33" s="56">
        <f t="shared" si="20"/>
        <v>45310</v>
      </c>
      <c r="B33" s="413">
        <f>'2023'!Wh/'2023'!Env_an*'2024'!Env_an</f>
        <v>9.1498103338201364</v>
      </c>
      <c r="C33" s="868"/>
      <c r="D33" s="395">
        <f t="shared" si="0"/>
        <v>9.5850711422130921</v>
      </c>
      <c r="E33" s="387">
        <f t="shared" si="1"/>
        <v>10.648731024704114</v>
      </c>
      <c r="F33" s="387">
        <f t="shared" si="2"/>
        <v>10.995906393517519</v>
      </c>
      <c r="G33" s="110">
        <f t="shared" si="21"/>
        <v>0.48643402158616839</v>
      </c>
      <c r="H33" s="416" t="b">
        <f>Wh_hp&gt;='2023'!Maxi_hp</f>
        <v>0</v>
      </c>
      <c r="I33" s="392">
        <f>IF(H33,Wh_hp,'2023'!Maxi_hp)</f>
        <v>22.003301908530709</v>
      </c>
      <c r="J33" s="85">
        <f>IF(H33,An,'2023'!An_max)</f>
        <v>2021</v>
      </c>
      <c r="K33" s="199">
        <f t="shared" si="3"/>
        <v>45310</v>
      </c>
      <c r="L33" s="147">
        <f>IF(t&lt;Tvie,1-EXP((T0-t)*PertePVj)+'2023'!Pspv,1-EXP((T0-t)*PertePVj)+Pspv)</f>
        <v>4.5410284591008154E-2</v>
      </c>
      <c r="M33" s="872"/>
      <c r="N33" s="872"/>
      <c r="O33" s="48">
        <f>IF(t&lt;Tnet,'2023'!Resal+('2023'!Salim-'2023'!Resal)*(1-EXP(('2023'!Tnet-t)/('2023'!Tau_j))),Resal+(Salim-Resal)*(1-EXP((Tnet-t)/(Tau_j))))*Salcycl</f>
        <v>9.9886069055873966E-2</v>
      </c>
      <c r="P33" s="171">
        <f>(INDEX(Models!$BJ33:$BT33,,T33)*(1-R33)+INDEX(Models!$BJ33:$BT33,,T33+1)*R33-ERP_i)*Q33*Ramure*Pc/MaxiM</f>
        <v>9.9144021356968662E-2</v>
      </c>
      <c r="Q33" s="307">
        <f t="shared" si="4"/>
        <v>0.9</v>
      </c>
      <c r="R33" s="179">
        <f t="shared" si="5"/>
        <v>0.10151641122103494</v>
      </c>
      <c r="S33" s="839">
        <f t="shared" si="6"/>
        <v>1</v>
      </c>
      <c r="T33" s="178">
        <f t="shared" si="7"/>
        <v>7</v>
      </c>
      <c r="U33" s="253">
        <f t="shared" si="8"/>
        <v>1.1015164112210349</v>
      </c>
      <c r="V33" s="385">
        <f t="shared" si="9"/>
        <v>17.49752776503437</v>
      </c>
      <c r="W33" s="404">
        <f t="shared" si="10"/>
        <v>9.1498103338201364</v>
      </c>
      <c r="X33" s="157">
        <f t="shared" si="11"/>
        <v>45310</v>
      </c>
      <c r="Y33" s="387">
        <f t="shared" si="12"/>
        <v>8.4362410985204281</v>
      </c>
      <c r="Z33" s="387">
        <f t="shared" si="22"/>
        <v>8.8375570806416448</v>
      </c>
      <c r="AA33" s="388">
        <f t="shared" si="13"/>
        <v>10.648731024704114</v>
      </c>
      <c r="AB33" s="199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0.17008354703116327</v>
      </c>
      <c r="AD33" s="233">
        <f>(INDEX(Models!$BJ33:$BT33,,AH33)*(1-AF33)+INDEX(Models!$BJ33:$BT33,,AH33+1)*AF33-ERP_i)*AE33*Ramure*Pc/MaxiM</f>
        <v>9.9144021356968662E-2</v>
      </c>
      <c r="AE33" s="307">
        <f t="shared" si="15"/>
        <v>0.9</v>
      </c>
      <c r="AF33" s="179">
        <f t="shared" si="23"/>
        <v>0.10151641122103494</v>
      </c>
      <c r="AG33" s="839">
        <f t="shared" si="24"/>
        <v>1</v>
      </c>
      <c r="AH33" s="178">
        <f t="shared" si="16"/>
        <v>7</v>
      </c>
      <c r="AI33" s="227">
        <f t="shared" si="17"/>
        <v>1.1015164112210349</v>
      </c>
      <c r="AJ33" s="267" t="b">
        <f t="shared" si="18"/>
        <v>1</v>
      </c>
      <c r="AK33" s="267" t="b">
        <f t="shared" si="19"/>
        <v>0</v>
      </c>
      <c r="AL33" s="267"/>
      <c r="AM33" s="267"/>
      <c r="AN33" s="75"/>
    </row>
    <row r="34" spans="1:40" s="6" customFormat="1" ht="11.25" x14ac:dyDescent="0.2">
      <c r="A34" s="56">
        <f t="shared" si="20"/>
        <v>45311</v>
      </c>
      <c r="B34" s="413">
        <f>'2023'!Wh/'2023'!Env_an*'2024'!Env_an</f>
        <v>5.4059821145741838</v>
      </c>
      <c r="C34" s="868"/>
      <c r="D34" s="395">
        <f t="shared" si="0"/>
        <v>5.6632790353153171</v>
      </c>
      <c r="E34" s="387">
        <f t="shared" si="1"/>
        <v>6.2926408866489769</v>
      </c>
      <c r="F34" s="387">
        <f t="shared" si="2"/>
        <v>6.2966847546788287</v>
      </c>
      <c r="G34" s="110">
        <f t="shared" si="21"/>
        <v>0.27516124965721406</v>
      </c>
      <c r="H34" s="416" t="b">
        <f>Wh_hp&gt;='2023'!Maxi_hp</f>
        <v>0</v>
      </c>
      <c r="I34" s="392">
        <f>IF(H34,Wh_hp,'2023'!Maxi_hp)</f>
        <v>9.8558030999389263</v>
      </c>
      <c r="J34" s="85">
        <f>IF(H34,An,'2023'!An_max)</f>
        <v>2020</v>
      </c>
      <c r="K34" s="199">
        <f t="shared" si="3"/>
        <v>45311</v>
      </c>
      <c r="L34" s="147">
        <f>IF(t&lt;Tvie,1-EXP((T0-t)*PertePVj)+'2023'!Pspv,1-EXP((T0-t)*PertePVj)+Pspv)</f>
        <v>4.5432499288251549E-2</v>
      </c>
      <c r="M34" s="872"/>
      <c r="N34" s="872"/>
      <c r="O34" s="48">
        <f>IF(t&lt;Tnet,'2023'!Resal+('2023'!Salim-'2023'!Resal)*(1-EXP(('2023'!Tnet-t)/('2023'!Tau_j))),Resal+(Salim-Resal)*(1-EXP((Tnet-t)/(Tau_j))))*Salcycl</f>
        <v>0.10001553603177468</v>
      </c>
      <c r="P34" s="171">
        <f>(INDEX(Models!$BJ34:$BT34,,T34)*(1-R34)+INDEX(Models!$BJ34:$BT34,,T34+1)*R34-ERP_i)*Q34*Ramure*Pc/MaxiM</f>
        <v>9.7289093667465618E-2</v>
      </c>
      <c r="Q34" s="307">
        <f t="shared" si="4"/>
        <v>0.9</v>
      </c>
      <c r="R34" s="179">
        <f t="shared" si="5"/>
        <v>0.10160184619309454</v>
      </c>
      <c r="S34" s="839">
        <f t="shared" si="6"/>
        <v>1</v>
      </c>
      <c r="T34" s="178">
        <f t="shared" si="7"/>
        <v>7</v>
      </c>
      <c r="U34" s="253">
        <f t="shared" si="8"/>
        <v>1.1016018461930945</v>
      </c>
      <c r="V34" s="385">
        <f t="shared" si="9"/>
        <v>17.746594412194163</v>
      </c>
      <c r="W34" s="404">
        <f t="shared" si="10"/>
        <v>5.4059821145741838</v>
      </c>
      <c r="X34" s="157">
        <f t="shared" si="11"/>
        <v>45311</v>
      </c>
      <c r="Y34" s="387">
        <f t="shared" si="12"/>
        <v>4.9847941533491307</v>
      </c>
      <c r="Z34" s="387">
        <f t="shared" si="22"/>
        <v>5.2220446952492603</v>
      </c>
      <c r="AA34" s="388">
        <f t="shared" si="13"/>
        <v>6.2926408866489769</v>
      </c>
      <c r="AB34" s="199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0.17013463992060768</v>
      </c>
      <c r="AD34" s="233">
        <f>(INDEX(Models!$BJ34:$BT34,,AH34)*(1-AF34)+INDEX(Models!$BJ34:$BT34,,AH34+1)*AF34-ERP_i)*AE34*Ramure*Pc/MaxiM</f>
        <v>9.7289093667465618E-2</v>
      </c>
      <c r="AE34" s="307">
        <f t="shared" si="15"/>
        <v>0.9</v>
      </c>
      <c r="AF34" s="179">
        <f t="shared" si="23"/>
        <v>0.10160184619309454</v>
      </c>
      <c r="AG34" s="839">
        <f t="shared" si="24"/>
        <v>1</v>
      </c>
      <c r="AH34" s="178">
        <f t="shared" si="16"/>
        <v>7</v>
      </c>
      <c r="AI34" s="227">
        <f t="shared" si="17"/>
        <v>1.1016018461930945</v>
      </c>
      <c r="AJ34" s="267" t="b">
        <f t="shared" si="18"/>
        <v>1</v>
      </c>
      <c r="AK34" s="267" t="b">
        <f t="shared" si="19"/>
        <v>0</v>
      </c>
      <c r="AL34" s="267"/>
      <c r="AM34" s="267"/>
      <c r="AN34" s="75"/>
    </row>
    <row r="35" spans="1:40" s="6" customFormat="1" ht="11.25" x14ac:dyDescent="0.2">
      <c r="A35" s="56">
        <f t="shared" si="20"/>
        <v>45312</v>
      </c>
      <c r="B35" s="413">
        <f>'2023'!Wh/'2023'!Env_an*'2024'!Env_an</f>
        <v>13.247983760782311</v>
      </c>
      <c r="C35" s="868"/>
      <c r="D35" s="395">
        <f t="shared" si="0"/>
        <v>13.878842573222947</v>
      </c>
      <c r="E35" s="387">
        <f t="shared" si="1"/>
        <v>15.423421850576533</v>
      </c>
      <c r="F35" s="387">
        <f t="shared" si="2"/>
        <v>16.399600756445395</v>
      </c>
      <c r="G35" s="110">
        <f t="shared" si="21"/>
        <v>0.70793659455439528</v>
      </c>
      <c r="H35" s="416" t="b">
        <f>Wh_hp&gt;='2023'!Maxi_hp</f>
        <v>0</v>
      </c>
      <c r="I35" s="392">
        <f>IF(H35,Wh_hp,'2023'!Maxi_hp)</f>
        <v>16.681922261721198</v>
      </c>
      <c r="J35" s="85">
        <f>IF(H35,An,'2023'!An_max)</f>
        <v>2022</v>
      </c>
      <c r="K35" s="199">
        <f t="shared" si="3"/>
        <v>45312</v>
      </c>
      <c r="L35" s="147">
        <f>IF(t&lt;Tvie,1-EXP((T0-t)*PertePVj)+'2023'!Pspv,1-EXP((T0-t)*PertePVj)+Pspv)</f>
        <v>4.5454713468526475E-2</v>
      </c>
      <c r="M35" s="872"/>
      <c r="N35" s="872"/>
      <c r="O35" s="48">
        <f>IF(t&lt;Tnet,'2023'!Resal+('2023'!Salim-'2023'!Resal)*(1-EXP(('2023'!Tnet-t)/('2023'!Tau_j))),Resal+(Salim-Resal)*(1-EXP((Tnet-t)/(Tau_j))))*Salcycl</f>
        <v>0.10014504513444585</v>
      </c>
      <c r="P35" s="171">
        <f>(INDEX(Models!$BJ35:$BT35,,T35)*(1-R35)+INDEX(Models!$BJ35:$BT35,,T35+1)*R35-ERP_i)*Q35*Ramure*Pc/MaxiM</f>
        <v>9.5539338752042111E-2</v>
      </c>
      <c r="Q35" s="307">
        <f t="shared" si="4"/>
        <v>0.9</v>
      </c>
      <c r="R35" s="179">
        <f t="shared" si="5"/>
        <v>0.10169084312522525</v>
      </c>
      <c r="S35" s="839">
        <f t="shared" si="6"/>
        <v>1</v>
      </c>
      <c r="T35" s="178">
        <f t="shared" si="7"/>
        <v>7</v>
      </c>
      <c r="U35" s="253">
        <f t="shared" si="8"/>
        <v>1.1016908431252252</v>
      </c>
      <c r="V35" s="385">
        <f t="shared" si="9"/>
        <v>17.996897582549071</v>
      </c>
      <c r="W35" s="404">
        <f t="shared" si="10"/>
        <v>13.247983760782311</v>
      </c>
      <c r="X35" s="157">
        <f t="shared" si="11"/>
        <v>45312</v>
      </c>
      <c r="Y35" s="387">
        <f t="shared" si="12"/>
        <v>12.216816035087181</v>
      </c>
      <c r="Z35" s="387">
        <f t="shared" si="22"/>
        <v>12.798571432351173</v>
      </c>
      <c r="AA35" s="388">
        <f t="shared" si="13"/>
        <v>15.423421850576535</v>
      </c>
      <c r="AB35" s="199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0.1701859965742456</v>
      </c>
      <c r="AD35" s="233">
        <f>(INDEX(Models!$BJ35:$BT35,,AH35)*(1-AF35)+INDEX(Models!$BJ35:$BT35,,AH35+1)*AF35-ERP_i)*AE35*Ramure*Pc/MaxiM</f>
        <v>9.5539338752042111E-2</v>
      </c>
      <c r="AE35" s="307">
        <f t="shared" si="15"/>
        <v>0.9</v>
      </c>
      <c r="AF35" s="179">
        <f t="shared" si="23"/>
        <v>0.10169084312522525</v>
      </c>
      <c r="AG35" s="839">
        <f t="shared" si="24"/>
        <v>1</v>
      </c>
      <c r="AH35" s="178">
        <f t="shared" si="16"/>
        <v>7</v>
      </c>
      <c r="AI35" s="227">
        <f t="shared" si="17"/>
        <v>1.1016908431252252</v>
      </c>
      <c r="AJ35" s="267" t="b">
        <f t="shared" si="18"/>
        <v>1</v>
      </c>
      <c r="AK35" s="267" t="b">
        <f t="shared" si="19"/>
        <v>0</v>
      </c>
      <c r="AL35" s="267"/>
      <c r="AM35" s="267"/>
      <c r="AN35" s="75"/>
    </row>
    <row r="36" spans="1:40" s="6" customFormat="1" ht="11.25" x14ac:dyDescent="0.2">
      <c r="A36" s="56">
        <f t="shared" si="20"/>
        <v>45313</v>
      </c>
      <c r="B36" s="413">
        <f>'2023'!Wh/'2023'!Env_an*'2024'!Env_an</f>
        <v>18.130678098639361</v>
      </c>
      <c r="C36" s="868"/>
      <c r="D36" s="395">
        <f t="shared" si="0"/>
        <v>18.994489095124983</v>
      </c>
      <c r="E36" s="387">
        <f t="shared" si="1"/>
        <v>21.11142930476981</v>
      </c>
      <c r="F36" s="387">
        <f t="shared" si="2"/>
        <v>23.276977583210915</v>
      </c>
      <c r="G36" s="110">
        <f t="shared" si="21"/>
        <v>0.9926385773435793</v>
      </c>
      <c r="H36" s="416" t="b">
        <f>Wh_hp&gt;='2023'!Maxi_hp</f>
        <v>0</v>
      </c>
      <c r="I36" s="392">
        <f>IF(H36,Wh_hp,'2023'!Maxi_hp)</f>
        <v>23.286743891331543</v>
      </c>
      <c r="J36" s="85">
        <f>IF(H36,An,'2023'!An_max)</f>
        <v>2022</v>
      </c>
      <c r="K36" s="199">
        <f t="shared" si="3"/>
        <v>45313</v>
      </c>
      <c r="L36" s="147">
        <f>IF(t&lt;Tvie,1-EXP((T0-t)*PertePVj)+'2023'!Pspv,1-EXP((T0-t)*PertePVj)+Pspv)</f>
        <v>4.5476927131844924E-2</v>
      </c>
      <c r="M36" s="872"/>
      <c r="N36" s="872"/>
      <c r="O36" s="48">
        <f>IF(t&lt;Tnet,'2023'!Resal+('2023'!Salim-'2023'!Resal)*(1-EXP(('2023'!Tnet-t)/('2023'!Tau_j))),Resal+(Salim-Resal)*(1-EXP((Tnet-t)/(Tau_j))))*Salcycl</f>
        <v>0.10027460382166238</v>
      </c>
      <c r="P36" s="171">
        <f>(INDEX(Models!$BJ36:$BT36,,T36)*(1-R36)+INDEX(Models!$BJ36:$BT36,,T36+1)*R36-ERP_i)*Q36*Ramure*Pc/MaxiM</f>
        <v>9.389483142851178E-2</v>
      </c>
      <c r="Q36" s="307">
        <f t="shared" si="4"/>
        <v>0.9</v>
      </c>
      <c r="R36" s="179">
        <f t="shared" si="5"/>
        <v>0.10178354955552016</v>
      </c>
      <c r="S36" s="839">
        <f t="shared" si="6"/>
        <v>1</v>
      </c>
      <c r="T36" s="178">
        <f t="shared" si="7"/>
        <v>7</v>
      </c>
      <c r="U36" s="253">
        <f t="shared" si="8"/>
        <v>1.1017835495555202</v>
      </c>
      <c r="V36" s="385">
        <f t="shared" si="9"/>
        <v>18.247797661167212</v>
      </c>
      <c r="W36" s="404">
        <f t="shared" si="10"/>
        <v>18.130678098639361</v>
      </c>
      <c r="X36" s="157">
        <f t="shared" si="11"/>
        <v>45313</v>
      </c>
      <c r="Y36" s="387">
        <f t="shared" si="12"/>
        <v>16.720828955636868</v>
      </c>
      <c r="Z36" s="387">
        <f t="shared" si="22"/>
        <v>17.517469646274812</v>
      </c>
      <c r="AA36" s="388">
        <f t="shared" si="13"/>
        <v>21.11142930476981</v>
      </c>
      <c r="AB36" s="199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0.17023762847184379</v>
      </c>
      <c r="AD36" s="233">
        <f>(INDEX(Models!$BJ36:$BT36,,AH36)*(1-AF36)+INDEX(Models!$BJ36:$BT36,,AH36+1)*AF36-ERP_i)*AE36*Ramure*Pc/MaxiM</f>
        <v>9.389483142851178E-2</v>
      </c>
      <c r="AE36" s="307">
        <f t="shared" si="15"/>
        <v>0.9</v>
      </c>
      <c r="AF36" s="179">
        <f t="shared" si="23"/>
        <v>0.10178354955552016</v>
      </c>
      <c r="AG36" s="839">
        <f t="shared" si="24"/>
        <v>1</v>
      </c>
      <c r="AH36" s="178">
        <f t="shared" si="16"/>
        <v>7</v>
      </c>
      <c r="AI36" s="227">
        <f t="shared" si="17"/>
        <v>1.1017835495555202</v>
      </c>
      <c r="AJ36" s="267" t="b">
        <f t="shared" si="18"/>
        <v>1</v>
      </c>
      <c r="AK36" s="267" t="b">
        <f t="shared" si="19"/>
        <v>0</v>
      </c>
      <c r="AL36" s="267"/>
      <c r="AM36" s="267"/>
      <c r="AN36" s="75"/>
    </row>
    <row r="37" spans="1:40" s="6" customFormat="1" ht="11.25" x14ac:dyDescent="0.2">
      <c r="A37" s="56">
        <f t="shared" si="20"/>
        <v>45314</v>
      </c>
      <c r="B37" s="413">
        <f>'2023'!Wh/'2023'!Env_an*'2024'!Env_an</f>
        <v>18.183520671991396</v>
      </c>
      <c r="C37" s="868"/>
      <c r="D37" s="395">
        <f t="shared" si="0"/>
        <v>19.050292607689791</v>
      </c>
      <c r="E37" s="387">
        <f t="shared" si="1"/>
        <v>21.176502839529682</v>
      </c>
      <c r="F37" s="387">
        <f t="shared" si="2"/>
        <v>23.272990880914413</v>
      </c>
      <c r="G37" s="110">
        <f t="shared" si="21"/>
        <v>0.98040263119952631</v>
      </c>
      <c r="H37" s="416" t="b">
        <f>Wh_hp&gt;='2023'!Maxi_hp</f>
        <v>0</v>
      </c>
      <c r="I37" s="392">
        <f>IF(H37,Wh_hp,'2023'!Maxi_hp)</f>
        <v>23.298620808792489</v>
      </c>
      <c r="J37" s="85">
        <f>IF(H37,An,'2023'!An_max)</f>
        <v>2022</v>
      </c>
      <c r="K37" s="199">
        <f t="shared" si="3"/>
        <v>45314</v>
      </c>
      <c r="L37" s="147">
        <f>IF(t&lt;Tvie,1-EXP((T0-t)*PertePVj)+'2023'!Pspv,1-EXP((T0-t)*PertePVj)+Pspv)</f>
        <v>4.5499140278218997E-2</v>
      </c>
      <c r="M37" s="872"/>
      <c r="N37" s="872"/>
      <c r="O37" s="48">
        <f>IF(t&lt;Tnet,'2023'!Resal+('2023'!Salim-'2023'!Resal)*(1-EXP(('2023'!Tnet-t)/('2023'!Tau_j))),Resal+(Salim-Resal)*(1-EXP((Tnet-t)/(Tau_j))))*Salcycl</f>
        <v>0.10040421914571017</v>
      </c>
      <c r="P37" s="171">
        <f>(INDEX(Models!$BJ37:$BT37,,T37)*(1-R37)+INDEX(Models!$BJ37:$BT37,,T37+1)*R37-ERP_i)*Q37*Ramure*Pc/MaxiM</f>
        <v>9.2345323227679577E-2</v>
      </c>
      <c r="Q37" s="307">
        <f t="shared" si="4"/>
        <v>0.9</v>
      </c>
      <c r="R37" s="179">
        <f t="shared" si="5"/>
        <v>0.10188011905060845</v>
      </c>
      <c r="S37" s="839">
        <f t="shared" si="6"/>
        <v>1</v>
      </c>
      <c r="T37" s="178">
        <f t="shared" si="7"/>
        <v>7</v>
      </c>
      <c r="U37" s="253">
        <f t="shared" si="8"/>
        <v>1.1018801190506085</v>
      </c>
      <c r="V37" s="385">
        <f t="shared" si="9"/>
        <v>18.500868434233183</v>
      </c>
      <c r="W37" s="404">
        <f t="shared" si="10"/>
        <v>18.183520671991396</v>
      </c>
      <c r="X37" s="157">
        <f t="shared" si="11"/>
        <v>45314</v>
      </c>
      <c r="Y37" s="387">
        <f t="shared" si="12"/>
        <v>16.770929240163866</v>
      </c>
      <c r="Z37" s="387">
        <f t="shared" si="22"/>
        <v>17.570365777409855</v>
      </c>
      <c r="AA37" s="388">
        <f t="shared" si="13"/>
        <v>21.176502839529682</v>
      </c>
      <c r="AB37" s="199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0.17028954636401702</v>
      </c>
      <c r="AD37" s="233">
        <f>(INDEX(Models!$BJ37:$BT37,,AH37)*(1-AF37)+INDEX(Models!$BJ37:$BT37,,AH37+1)*AF37-ERP_i)*AE37*Ramure*Pc/MaxiM</f>
        <v>9.2345323227679577E-2</v>
      </c>
      <c r="AE37" s="307">
        <f t="shared" si="15"/>
        <v>0.9</v>
      </c>
      <c r="AF37" s="179">
        <f t="shared" si="23"/>
        <v>0.10188011905060845</v>
      </c>
      <c r="AG37" s="839">
        <f t="shared" si="24"/>
        <v>1</v>
      </c>
      <c r="AH37" s="178">
        <f t="shared" si="16"/>
        <v>7</v>
      </c>
      <c r="AI37" s="227">
        <f t="shared" si="17"/>
        <v>1.1018801190506085</v>
      </c>
      <c r="AJ37" s="267" t="b">
        <f t="shared" si="18"/>
        <v>1</v>
      </c>
      <c r="AK37" s="267" t="b">
        <f t="shared" si="19"/>
        <v>0</v>
      </c>
      <c r="AL37" s="267"/>
      <c r="AM37" s="267"/>
      <c r="AN37" s="75"/>
    </row>
    <row r="38" spans="1:40" s="6" customFormat="1" ht="11.25" x14ac:dyDescent="0.2">
      <c r="A38" s="56">
        <f t="shared" si="20"/>
        <v>45315</v>
      </c>
      <c r="B38" s="413">
        <f>'2023'!Wh/'2023'!Env_an*'2024'!Env_an</f>
        <v>18.594274465772955</v>
      </c>
      <c r="C38" s="868"/>
      <c r="D38" s="395">
        <f t="shared" si="0"/>
        <v>19.481079563610276</v>
      </c>
      <c r="E38" s="387">
        <f t="shared" si="1"/>
        <v>21.658492199022145</v>
      </c>
      <c r="F38" s="387">
        <f t="shared" si="2"/>
        <v>23.792675641627191</v>
      </c>
      <c r="G38" s="110">
        <f t="shared" si="21"/>
        <v>0.9899899305687111</v>
      </c>
      <c r="H38" s="416" t="b">
        <f>Wh_hp&gt;='2023'!Maxi_hp</f>
        <v>0</v>
      </c>
      <c r="I38" s="392">
        <f>IF(H38,Wh_hp,'2023'!Maxi_hp)</f>
        <v>23.805877087103614</v>
      </c>
      <c r="J38" s="85">
        <f>IF(H38,An,'2023'!An_max)</f>
        <v>2022</v>
      </c>
      <c r="K38" s="199">
        <f t="shared" si="3"/>
        <v>45315</v>
      </c>
      <c r="L38" s="147">
        <f>IF(t&lt;Tvie,1-EXP((T0-t)*PertePVj)+'2023'!Pspv,1-EXP((T0-t)*PertePVj)+Pspv)</f>
        <v>4.5521352907660795E-2</v>
      </c>
      <c r="M38" s="872"/>
      <c r="N38" s="872"/>
      <c r="O38" s="48">
        <f>IF(t&lt;Tnet,'2023'!Resal+('2023'!Salim-'2023'!Resal)*(1-EXP(('2023'!Tnet-t)/('2023'!Tau_j))),Resal+(Salim-Resal)*(1-EXP((Tnet-t)/(Tau_j))))*Salcycl</f>
        <v>0.10053389753097294</v>
      </c>
      <c r="P38" s="171">
        <f>(INDEX(Models!$BJ38:$BT38,,T38)*(1-R38)+INDEX(Models!$BJ38:$BT38,,T38+1)*R38-ERP_i)*Q38*Ramure*Pc/MaxiM</f>
        <v>9.0837334231928024E-2</v>
      </c>
      <c r="Q38" s="307">
        <f t="shared" si="4"/>
        <v>0.9</v>
      </c>
      <c r="R38" s="179">
        <f t="shared" si="5"/>
        <v>0.10198071144492959</v>
      </c>
      <c r="S38" s="839">
        <f t="shared" si="6"/>
        <v>1</v>
      </c>
      <c r="T38" s="178">
        <f t="shared" si="7"/>
        <v>7</v>
      </c>
      <c r="U38" s="253">
        <f t="shared" si="8"/>
        <v>1.1019807114449296</v>
      </c>
      <c r="V38" s="385">
        <f t="shared" si="9"/>
        <v>18.758802813526341</v>
      </c>
      <c r="W38" s="404">
        <f t="shared" si="10"/>
        <v>18.594274465772955</v>
      </c>
      <c r="X38" s="157">
        <f t="shared" si="11"/>
        <v>45315</v>
      </c>
      <c r="Y38" s="387">
        <f t="shared" si="12"/>
        <v>17.151166660843302</v>
      </c>
      <c r="Z38" s="387">
        <f t="shared" si="22"/>
        <v>17.969146521078795</v>
      </c>
      <c r="AA38" s="388">
        <f t="shared" si="13"/>
        <v>21.658492199022145</v>
      </c>
      <c r="AB38" s="199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0.17034175989914568</v>
      </c>
      <c r="AD38" s="233">
        <f>(INDEX(Models!$BJ38:$BT38,,AH38)*(1-AF38)+INDEX(Models!$BJ38:$BT38,,AH38+1)*AF38-ERP_i)*AE38*Ramure*Pc/MaxiM</f>
        <v>9.0837334231928024E-2</v>
      </c>
      <c r="AE38" s="307">
        <f t="shared" si="15"/>
        <v>0.9</v>
      </c>
      <c r="AF38" s="179">
        <f t="shared" si="23"/>
        <v>0.10198071144492959</v>
      </c>
      <c r="AG38" s="839">
        <f t="shared" si="24"/>
        <v>1</v>
      </c>
      <c r="AH38" s="178">
        <f t="shared" si="16"/>
        <v>7</v>
      </c>
      <c r="AI38" s="227">
        <f t="shared" si="17"/>
        <v>1.1019807114449296</v>
      </c>
      <c r="AJ38" s="267" t="b">
        <f t="shared" si="18"/>
        <v>1</v>
      </c>
      <c r="AK38" s="267" t="b">
        <f t="shared" si="19"/>
        <v>0</v>
      </c>
      <c r="AL38" s="267"/>
      <c r="AM38" s="267"/>
      <c r="AN38" s="75"/>
    </row>
    <row r="39" spans="1:40" s="6" customFormat="1" ht="11.25" x14ac:dyDescent="0.2">
      <c r="A39" s="56">
        <f t="shared" si="20"/>
        <v>45316</v>
      </c>
      <c r="B39" s="413">
        <f>'2023'!Wh/'2023'!Env_an*'2024'!Env_an</f>
        <v>18.822309598498208</v>
      </c>
      <c r="C39" s="868"/>
      <c r="D39" s="395">
        <f t="shared" si="0"/>
        <v>19.720449156902809</v>
      </c>
      <c r="E39" s="387">
        <f t="shared" si="1"/>
        <v>21.92777934292803</v>
      </c>
      <c r="F39" s="387">
        <f t="shared" si="2"/>
        <v>24.043198149840229</v>
      </c>
      <c r="G39" s="110">
        <f t="shared" si="21"/>
        <v>0.98803237828085866</v>
      </c>
      <c r="H39" s="416" t="b">
        <f>Wh_hp&gt;='2023'!Maxi_hp</f>
        <v>0</v>
      </c>
      <c r="I39" s="392">
        <f>IF(H39,Wh_hp,'2023'!Maxi_hp)</f>
        <v>24.058949643818465</v>
      </c>
      <c r="J39" s="85">
        <f>IF(H39,An,'2023'!An_max)</f>
        <v>2022</v>
      </c>
      <c r="K39" s="199">
        <f t="shared" si="3"/>
        <v>45316</v>
      </c>
      <c r="L39" s="147">
        <f>IF(t&lt;Tvie,1-EXP((T0-t)*PertePVj)+'2023'!Pspv,1-EXP((T0-t)*PertePVj)+Pspv)</f>
        <v>4.5543565020182197E-2</v>
      </c>
      <c r="M39" s="872"/>
      <c r="N39" s="872"/>
      <c r="O39" s="48">
        <f>IF(t&lt;Tnet,'2023'!Resal+('2023'!Salim-'2023'!Resal)*(1-EXP(('2023'!Tnet-t)/('2023'!Tau_j))),Resal+(Salim-Resal)*(1-EXP((Tnet-t)/(Tau_j))))*Salcycl</f>
        <v>0.1006636445717935</v>
      </c>
      <c r="P39" s="171">
        <f>(INDEX(Models!$BJ39:$BT39,,T39)*(1-R39)+INDEX(Models!$BJ39:$BT39,,T39+1)*R39-ERP_i)*Q39*Ramure*Pc/MaxiM</f>
        <v>8.9325529099590045E-2</v>
      </c>
      <c r="Q39" s="307">
        <f t="shared" si="4"/>
        <v>0.9</v>
      </c>
      <c r="R39" s="179">
        <f t="shared" si="5"/>
        <v>0.10208549308890125</v>
      </c>
      <c r="S39" s="839">
        <f t="shared" si="6"/>
        <v>1</v>
      </c>
      <c r="T39" s="178">
        <f t="shared" si="7"/>
        <v>7</v>
      </c>
      <c r="U39" s="253">
        <f t="shared" si="8"/>
        <v>1.1020854930889012</v>
      </c>
      <c r="V39" s="385">
        <f t="shared" si="9"/>
        <v>19.022276110593275</v>
      </c>
      <c r="W39" s="404">
        <f t="shared" si="10"/>
        <v>18.822309598498208</v>
      </c>
      <c r="X39" s="157">
        <f t="shared" si="11"/>
        <v>45316</v>
      </c>
      <c r="Y39" s="387">
        <f t="shared" si="12"/>
        <v>17.362909509155799</v>
      </c>
      <c r="Z39" s="387">
        <f t="shared" si="22"/>
        <v>18.191411229285642</v>
      </c>
      <c r="AA39" s="388">
        <f t="shared" si="13"/>
        <v>21.92777934292803</v>
      </c>
      <c r="AB39" s="199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0.17039427728678838</v>
      </c>
      <c r="AD39" s="233">
        <f>(INDEX(Models!$BJ39:$BT39,,AH39)*(1-AF39)+INDEX(Models!$BJ39:$BT39,,AH39+1)*AF39-ERP_i)*AE39*Ramure*Pc/MaxiM</f>
        <v>8.9325529099590045E-2</v>
      </c>
      <c r="AE39" s="307">
        <f t="shared" si="15"/>
        <v>0.9</v>
      </c>
      <c r="AF39" s="179">
        <f t="shared" si="23"/>
        <v>0.10208549308890125</v>
      </c>
      <c r="AG39" s="839">
        <f t="shared" si="24"/>
        <v>1</v>
      </c>
      <c r="AH39" s="178">
        <f t="shared" si="16"/>
        <v>7</v>
      </c>
      <c r="AI39" s="227">
        <f t="shared" si="17"/>
        <v>1.1020854930889012</v>
      </c>
      <c r="AJ39" s="267" t="b">
        <f t="shared" si="18"/>
        <v>1</v>
      </c>
      <c r="AK39" s="267" t="b">
        <f t="shared" si="19"/>
        <v>0</v>
      </c>
      <c r="AL39" s="267"/>
      <c r="AM39" s="267"/>
      <c r="AN39" s="75"/>
    </row>
    <row r="40" spans="1:40" s="6" customFormat="1" ht="11.25" x14ac:dyDescent="0.2">
      <c r="A40" s="56">
        <f t="shared" si="20"/>
        <v>45317</v>
      </c>
      <c r="B40" s="413">
        <f>'2023'!Wh/'2023'!Env_an*'2024'!Env_an</f>
        <v>18.919342542893471</v>
      </c>
      <c r="C40" s="868"/>
      <c r="D40" s="395">
        <f t="shared" si="0"/>
        <v>19.822573498894272</v>
      </c>
      <c r="E40" s="387">
        <f t="shared" si="1"/>
        <v>22.04451672011098</v>
      </c>
      <c r="F40" s="387">
        <f t="shared" si="2"/>
        <v>24.10279156864453</v>
      </c>
      <c r="G40" s="110">
        <f t="shared" si="21"/>
        <v>0.97814289735797955</v>
      </c>
      <c r="H40" s="416" t="b">
        <f>Wh_hp&gt;='2023'!Maxi_hp</f>
        <v>0</v>
      </c>
      <c r="I40" s="392">
        <f>IF(H40,Wh_hp,'2023'!Maxi_hp)</f>
        <v>24.131302627113506</v>
      </c>
      <c r="J40" s="85">
        <f>IF(H40,An,'2023'!An_max)</f>
        <v>2022</v>
      </c>
      <c r="K40" s="199">
        <f t="shared" si="3"/>
        <v>45317</v>
      </c>
      <c r="L40" s="147">
        <f>IF(t&lt;Tvie,1-EXP((T0-t)*PertePVj)+'2023'!Pspv,1-EXP((T0-t)*PertePVj)+Pspv)</f>
        <v>4.5565776615795306E-2</v>
      </c>
      <c r="M40" s="872"/>
      <c r="N40" s="872"/>
      <c r="O40" s="48">
        <f>IF(t&lt;Tnet,'2023'!Resal+('2023'!Salim-'2023'!Resal)*(1-EXP(('2023'!Tnet-t)/('2023'!Tau_j))),Resal+(Salim-Resal)*(1-EXP((Tnet-t)/(Tau_j))))*Salcycl</f>
        <v>0.10079346485240272</v>
      </c>
      <c r="P40" s="171">
        <f>(INDEX(Models!$BJ40:$BT40,,T40)*(1-R40)+INDEX(Models!$BJ40:$BT40,,T40+1)*R40-ERP_i)*Q40*Ramure*Pc/MaxiM</f>
        <v>8.7812499597255553E-2</v>
      </c>
      <c r="Q40" s="307">
        <f t="shared" si="4"/>
        <v>0.9</v>
      </c>
      <c r="R40" s="179">
        <f t="shared" si="5"/>
        <v>0.10219463710625099</v>
      </c>
      <c r="S40" s="839">
        <f t="shared" si="6"/>
        <v>1</v>
      </c>
      <c r="T40" s="178">
        <f t="shared" si="7"/>
        <v>7</v>
      </c>
      <c r="U40" s="253">
        <f t="shared" si="8"/>
        <v>1.102194637106251</v>
      </c>
      <c r="V40" s="385">
        <f t="shared" si="9"/>
        <v>19.290994376196707</v>
      </c>
      <c r="W40" s="404">
        <f t="shared" si="10"/>
        <v>18.919342542893471</v>
      </c>
      <c r="X40" s="157">
        <f t="shared" si="11"/>
        <v>45317</v>
      </c>
      <c r="Y40" s="387">
        <f t="shared" si="12"/>
        <v>17.453827084754227</v>
      </c>
      <c r="Z40" s="387">
        <f t="shared" si="22"/>
        <v>18.287092664036042</v>
      </c>
      <c r="AA40" s="388">
        <f t="shared" si="13"/>
        <v>22.04451672011098</v>
      </c>
      <c r="AB40" s="199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0.17044710500035953</v>
      </c>
      <c r="AD40" s="233">
        <f>(INDEX(Models!$BJ40:$BT40,,AH40)*(1-AF40)+INDEX(Models!$BJ40:$BT40,,AH40+1)*AF40-ERP_i)*AE40*Ramure*Pc/MaxiM</f>
        <v>8.7812499597255553E-2</v>
      </c>
      <c r="AE40" s="307">
        <f t="shared" si="15"/>
        <v>0.9</v>
      </c>
      <c r="AF40" s="179">
        <f t="shared" si="23"/>
        <v>0.10219463710625099</v>
      </c>
      <c r="AG40" s="839">
        <f t="shared" si="24"/>
        <v>1</v>
      </c>
      <c r="AH40" s="178">
        <f t="shared" si="16"/>
        <v>7</v>
      </c>
      <c r="AI40" s="227">
        <f t="shared" si="17"/>
        <v>1.102194637106251</v>
      </c>
      <c r="AJ40" s="267" t="b">
        <f t="shared" si="18"/>
        <v>1</v>
      </c>
      <c r="AK40" s="267" t="b">
        <f t="shared" si="19"/>
        <v>0</v>
      </c>
      <c r="AL40" s="267"/>
      <c r="AM40" s="267"/>
      <c r="AN40" s="75"/>
    </row>
    <row r="41" spans="1:40" s="6" customFormat="1" ht="11.25" x14ac:dyDescent="0.2">
      <c r="A41" s="56">
        <f t="shared" si="20"/>
        <v>45318</v>
      </c>
      <c r="B41" s="413">
        <f>'2023'!Wh/'2023'!Env_an*'2024'!Env_an</f>
        <v>18.470250828193315</v>
      </c>
      <c r="C41" s="868"/>
      <c r="D41" s="395">
        <f t="shared" si="0"/>
        <v>19.352491995125227</v>
      </c>
      <c r="E41" s="387">
        <f t="shared" si="1"/>
        <v>21.524852468265969</v>
      </c>
      <c r="F41" s="387">
        <f t="shared" si="2"/>
        <v>23.381436587635644</v>
      </c>
      <c r="G41" s="110">
        <f t="shared" si="21"/>
        <v>0.93698952281044878</v>
      </c>
      <c r="H41" s="416" t="b">
        <f>Wh_hp&gt;='2023'!Maxi_hp</f>
        <v>0</v>
      </c>
      <c r="I41" s="392">
        <f>IF(H41,Wh_hp,'2023'!Maxi_hp)</f>
        <v>23.460443635711847</v>
      </c>
      <c r="J41" s="85">
        <f>IF(H41,An,'2023'!An_max)</f>
        <v>2022</v>
      </c>
      <c r="K41" s="199">
        <f t="shared" si="3"/>
        <v>45318</v>
      </c>
      <c r="L41" s="147">
        <f>IF(t&lt;Tvie,1-EXP((T0-t)*PertePVj)+'2023'!Pspv,1-EXP((T0-t)*PertePVj)+Pspv)</f>
        <v>4.5587987694512111E-2</v>
      </c>
      <c r="M41" s="872"/>
      <c r="N41" s="872"/>
      <c r="O41" s="48">
        <f>IF(t&lt;Tnet,'2023'!Resal+('2023'!Salim-'2023'!Resal)*(1-EXP(('2023'!Tnet-t)/('2023'!Tau_j))),Resal+(Salim-Resal)*(1-EXP((Tnet-t)/(Tau_j))))*Salcycl</f>
        <v>0.10092336179044414</v>
      </c>
      <c r="P41" s="171">
        <f>(INDEX(Models!$BJ41:$BT41,,T41)*(1-R41)+INDEX(Models!$BJ41:$BT41,,T41+1)*R41-ERP_i)*Q41*Ramure*Pc/MaxiM</f>
        <v>8.6300631205018449E-2</v>
      </c>
      <c r="Q41" s="307">
        <f t="shared" si="4"/>
        <v>0.9</v>
      </c>
      <c r="R41" s="179">
        <f t="shared" si="5"/>
        <v>0.10230832366080134</v>
      </c>
      <c r="S41" s="839">
        <f t="shared" si="6"/>
        <v>1</v>
      </c>
      <c r="T41" s="178">
        <f t="shared" si="7"/>
        <v>7</v>
      </c>
      <c r="U41" s="253">
        <f t="shared" si="8"/>
        <v>1.1023083236608013</v>
      </c>
      <c r="V41" s="385">
        <f t="shared" si="9"/>
        <v>19.564663883733726</v>
      </c>
      <c r="W41" s="404">
        <f t="shared" si="10"/>
        <v>18.470250828193315</v>
      </c>
      <c r="X41" s="157">
        <f t="shared" si="11"/>
        <v>45318</v>
      </c>
      <c r="Y41" s="387">
        <f t="shared" si="12"/>
        <v>17.040892665963703</v>
      </c>
      <c r="Z41" s="387">
        <f t="shared" si="22"/>
        <v>17.854859794565598</v>
      </c>
      <c r="AA41" s="388">
        <f t="shared" si="13"/>
        <v>21.524852468265969</v>
      </c>
      <c r="AB41" s="199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0.17050024752137241</v>
      </c>
      <c r="AD41" s="233">
        <f>(INDEX(Models!$BJ41:$BT41,,AH41)*(1-AF41)+INDEX(Models!$BJ41:$BT41,,AH41+1)*AF41-ERP_i)*AE41*Ramure*Pc/MaxiM</f>
        <v>8.6300631205018449E-2</v>
      </c>
      <c r="AE41" s="307">
        <f t="shared" si="15"/>
        <v>0.9</v>
      </c>
      <c r="AF41" s="179">
        <f t="shared" si="23"/>
        <v>0.10230832366080134</v>
      </c>
      <c r="AG41" s="839">
        <f t="shared" si="24"/>
        <v>1</v>
      </c>
      <c r="AH41" s="178">
        <f t="shared" si="16"/>
        <v>7</v>
      </c>
      <c r="AI41" s="227">
        <f t="shared" si="17"/>
        <v>1.1023083236608013</v>
      </c>
      <c r="AJ41" s="267" t="b">
        <f t="shared" si="18"/>
        <v>1</v>
      </c>
      <c r="AK41" s="267" t="b">
        <f t="shared" si="19"/>
        <v>0</v>
      </c>
      <c r="AL41" s="267"/>
      <c r="AM41" s="267"/>
      <c r="AN41" s="75"/>
    </row>
    <row r="42" spans="1:40" s="6" customFormat="1" ht="11.25" x14ac:dyDescent="0.2">
      <c r="A42" s="56">
        <f t="shared" si="20"/>
        <v>45319</v>
      </c>
      <c r="B42" s="413">
        <f>'2023'!Wh/'2023'!Env_an*'2024'!Env_an</f>
        <v>3.864830921390797</v>
      </c>
      <c r="C42" s="868"/>
      <c r="D42" s="395">
        <f t="shared" si="0"/>
        <v>4.0495308251720736</v>
      </c>
      <c r="E42" s="387">
        <f t="shared" si="1"/>
        <v>4.504750942546778</v>
      </c>
      <c r="F42" s="387">
        <f t="shared" si="2"/>
        <v>4.504750942546778</v>
      </c>
      <c r="G42" s="110">
        <f t="shared" si="21"/>
        <v>0.17825557289146177</v>
      </c>
      <c r="H42" s="416" t="b">
        <f>Wh_hp&gt;='2023'!Maxi_hp</f>
        <v>0</v>
      </c>
      <c r="I42" s="392">
        <f>IF(H42,Wh_hp,'2023'!Maxi_hp)</f>
        <v>17.183861490086507</v>
      </c>
      <c r="J42" s="85">
        <f>IF(H42,An,'2023'!An_max)</f>
        <v>2020</v>
      </c>
      <c r="K42" s="199">
        <f t="shared" si="3"/>
        <v>45319</v>
      </c>
      <c r="L42" s="147">
        <f>IF(t&lt;Tvie,1-EXP((T0-t)*PertePVj)+'2023'!Pspv,1-EXP((T0-t)*PertePVj)+Pspv)</f>
        <v>4.5610198256344603E-2</v>
      </c>
      <c r="M42" s="872"/>
      <c r="N42" s="872"/>
      <c r="O42" s="48">
        <f>IF(t&lt;Tnet,'2023'!Resal+('2023'!Salim-'2023'!Resal)*(1-EXP(('2023'!Tnet-t)/('2023'!Tau_j))),Resal+(Salim-Resal)*(1-EXP((Tnet-t)/(Tau_j))))*Salcycl</f>
        <v>0.10105333750534588</v>
      </c>
      <c r="P42" s="171">
        <f>(INDEX(Models!$BJ42:$BT42,,T42)*(1-R42)+INDEX(Models!$BJ42:$BT42,,T42+1)*R42-ERP_i)*Q42*Ramure*Pc/MaxiM</f>
        <v>8.479211014668403E-2</v>
      </c>
      <c r="Q42" s="307">
        <f t="shared" si="4"/>
        <v>0.9</v>
      </c>
      <c r="R42" s="179">
        <f t="shared" si="5"/>
        <v>0.1024267402329857</v>
      </c>
      <c r="S42" s="839">
        <f t="shared" si="6"/>
        <v>1</v>
      </c>
      <c r="T42" s="178">
        <f t="shared" si="7"/>
        <v>7</v>
      </c>
      <c r="U42" s="253">
        <f t="shared" si="8"/>
        <v>1.1024267402329857</v>
      </c>
      <c r="V42" s="385">
        <f t="shared" si="9"/>
        <v>19.842991132510853</v>
      </c>
      <c r="W42" s="404">
        <f t="shared" si="10"/>
        <v>3.864830921390797</v>
      </c>
      <c r="X42" s="157">
        <f t="shared" si="11"/>
        <v>45319</v>
      </c>
      <c r="Y42" s="387">
        <f t="shared" si="12"/>
        <v>3.5660287913325881</v>
      </c>
      <c r="Z42" s="387">
        <f t="shared" si="22"/>
        <v>3.7364489696112728</v>
      </c>
      <c r="AA42" s="388">
        <f t="shared" si="13"/>
        <v>4.504750942546778</v>
      </c>
      <c r="AB42" s="199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0.17055370712706763</v>
      </c>
      <c r="AD42" s="233">
        <f>(INDEX(Models!$BJ42:$BT42,,AH42)*(1-AF42)+INDEX(Models!$BJ42:$BT42,,AH42+1)*AF42-ERP_i)*AE42*Ramure*Pc/MaxiM</f>
        <v>8.479211014668403E-2</v>
      </c>
      <c r="AE42" s="307">
        <f t="shared" si="15"/>
        <v>0.9</v>
      </c>
      <c r="AF42" s="179">
        <f t="shared" si="23"/>
        <v>0.1024267402329857</v>
      </c>
      <c r="AG42" s="839">
        <f t="shared" si="24"/>
        <v>1</v>
      </c>
      <c r="AH42" s="178">
        <f t="shared" si="16"/>
        <v>7</v>
      </c>
      <c r="AI42" s="227">
        <f t="shared" si="17"/>
        <v>1.1024267402329857</v>
      </c>
      <c r="AJ42" s="267" t="b">
        <f t="shared" si="18"/>
        <v>1</v>
      </c>
      <c r="AK42" s="267" t="b">
        <f t="shared" si="19"/>
        <v>0</v>
      </c>
      <c r="AL42" s="267"/>
      <c r="AM42" s="267"/>
      <c r="AN42" s="75"/>
    </row>
    <row r="43" spans="1:40" s="6" customFormat="1" ht="11.25" x14ac:dyDescent="0.2">
      <c r="A43" s="56">
        <f t="shared" si="20"/>
        <v>45320</v>
      </c>
      <c r="B43" s="413">
        <f>'2023'!Wh/'2023'!Env_an*'2024'!Env_an</f>
        <v>6.0456161281468122</v>
      </c>
      <c r="C43" s="868"/>
      <c r="D43" s="395">
        <f t="shared" si="0"/>
        <v>6.334682967792439</v>
      </c>
      <c r="E43" s="387">
        <f t="shared" si="1"/>
        <v>7.0478036525267003</v>
      </c>
      <c r="F43" s="387">
        <f t="shared" si="2"/>
        <v>7.0481333069842309</v>
      </c>
      <c r="G43" s="110">
        <f t="shared" si="21"/>
        <v>0.27538655395384481</v>
      </c>
      <c r="H43" s="416" t="b">
        <f>Wh_hp&gt;='2023'!Maxi_hp</f>
        <v>0</v>
      </c>
      <c r="I43" s="392">
        <f>IF(H43,Wh_hp,'2023'!Maxi_hp)</f>
        <v>19.986344451656461</v>
      </c>
      <c r="J43" s="85">
        <f>IF(H43,An,'2023'!An_max)</f>
        <v>2020</v>
      </c>
      <c r="K43" s="199">
        <f t="shared" si="3"/>
        <v>45320</v>
      </c>
      <c r="L43" s="147">
        <f>IF(t&lt;Tvie,1-EXP((T0-t)*PertePVj)+'2023'!Pspv,1-EXP((T0-t)*PertePVj)+Pspv)</f>
        <v>4.5632408301304994E-2</v>
      </c>
      <c r="M43" s="872"/>
      <c r="N43" s="872"/>
      <c r="O43" s="48">
        <f>IF(t&lt;Tnet,'2023'!Resal+('2023'!Salim-'2023'!Resal)*(1-EXP(('2023'!Tnet-t)/('2023'!Tau_j))),Resal+(Salim-Resal)*(1-EXP((Tnet-t)/(Tau_j))))*Salcycl</f>
        <v>0.10118339271250852</v>
      </c>
      <c r="P43" s="171">
        <f>(INDEX(Models!$BJ43:$BT43,,T43)*(1-R43)+INDEX(Models!$BJ43:$BT43,,T43+1)*R43-ERP_i)*Q43*Ramure*Pc/MaxiM</f>
        <v>8.32889311115486E-2</v>
      </c>
      <c r="Q43" s="307">
        <f t="shared" si="4"/>
        <v>0.9</v>
      </c>
      <c r="R43" s="179">
        <f t="shared" si="5"/>
        <v>0.10255008190638515</v>
      </c>
      <c r="S43" s="839">
        <f t="shared" si="6"/>
        <v>1</v>
      </c>
      <c r="T43" s="178">
        <f t="shared" si="7"/>
        <v>7</v>
      </c>
      <c r="U43" s="253">
        <f t="shared" si="8"/>
        <v>1.1025500819063851</v>
      </c>
      <c r="V43" s="385">
        <f t="shared" si="9"/>
        <v>20.125682859727458</v>
      </c>
      <c r="W43" s="404">
        <f t="shared" si="10"/>
        <v>6.0456161281468122</v>
      </c>
      <c r="X43" s="157">
        <f t="shared" si="11"/>
        <v>45320</v>
      </c>
      <c r="Y43" s="387">
        <f t="shared" si="12"/>
        <v>5.5786561266398103</v>
      </c>
      <c r="Z43" s="387">
        <f t="shared" si="22"/>
        <v>5.8453956055970702</v>
      </c>
      <c r="AA43" s="388">
        <f t="shared" si="13"/>
        <v>7.0478036525267003</v>
      </c>
      <c r="AB43" s="199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0.17060748372275614</v>
      </c>
      <c r="AD43" s="233">
        <f>(INDEX(Models!$BJ43:$BT43,,AH43)*(1-AF43)+INDEX(Models!$BJ43:$BT43,,AH43+1)*AF43-ERP_i)*AE43*Ramure*Pc/MaxiM</f>
        <v>8.32889311115486E-2</v>
      </c>
      <c r="AE43" s="307">
        <f t="shared" si="15"/>
        <v>0.9</v>
      </c>
      <c r="AF43" s="179">
        <f t="shared" si="23"/>
        <v>0.10255008190638515</v>
      </c>
      <c r="AG43" s="839">
        <f t="shared" si="24"/>
        <v>1</v>
      </c>
      <c r="AH43" s="178">
        <f t="shared" si="16"/>
        <v>7</v>
      </c>
      <c r="AI43" s="227">
        <f t="shared" si="17"/>
        <v>1.1025500819063851</v>
      </c>
      <c r="AJ43" s="267" t="b">
        <f t="shared" si="18"/>
        <v>1</v>
      </c>
      <c r="AK43" s="267" t="b">
        <f t="shared" si="19"/>
        <v>0</v>
      </c>
      <c r="AL43" s="267"/>
      <c r="AM43" s="267"/>
      <c r="AN43" s="75"/>
    </row>
    <row r="44" spans="1:40" s="6" customFormat="1" ht="11.25" x14ac:dyDescent="0.2">
      <c r="A44" s="56">
        <f t="shared" si="20"/>
        <v>45321</v>
      </c>
      <c r="B44" s="413">
        <f>'2023'!Wh/'2023'!Env_an*'2024'!Env_an</f>
        <v>4.4016928462154423</v>
      </c>
      <c r="C44" s="868"/>
      <c r="D44" s="395">
        <f t="shared" si="0"/>
        <v>4.6122639962945975</v>
      </c>
      <c r="E44" s="387">
        <f t="shared" si="1"/>
        <v>5.1322281274255568</v>
      </c>
      <c r="F44" s="387">
        <f t="shared" si="2"/>
        <v>5.1322281274255568</v>
      </c>
      <c r="G44" s="110">
        <f t="shared" si="21"/>
        <v>0.19800006277879001</v>
      </c>
      <c r="H44" s="416" t="b">
        <f>Wh_hp&gt;='2023'!Maxi_hp</f>
        <v>0</v>
      </c>
      <c r="I44" s="392">
        <f>IF(H44,Wh_hp,'2023'!Maxi_hp)</f>
        <v>10.95637555418933</v>
      </c>
      <c r="J44" s="85">
        <f>IF(H44,An,'2023'!An_max)</f>
        <v>2020</v>
      </c>
      <c r="K44" s="199">
        <f t="shared" si="3"/>
        <v>45321</v>
      </c>
      <c r="L44" s="147">
        <f>IF(t&lt;Tvie,1-EXP((T0-t)*PertePVj)+'2023'!Pspv,1-EXP((T0-t)*PertePVj)+Pspv)</f>
        <v>4.5654617829405164E-2</v>
      </c>
      <c r="M44" s="872"/>
      <c r="N44" s="872"/>
      <c r="O44" s="48">
        <f>IF(t&lt;Tnet,'2023'!Resal+('2023'!Salim-'2023'!Resal)*(1-EXP(('2023'!Tnet-t)/('2023'!Tau_j))),Resal+(Salim-Resal)*(1-EXP((Tnet-t)/(Tau_j))))*Salcycl</f>
        <v>0.10131352664398911</v>
      </c>
      <c r="P44" s="171">
        <f>(INDEX(Models!$BJ44:$BT44,,T44)*(1-R44)+INDEX(Models!$BJ44:$BT44,,T44+1)*R44-ERP_i)*Q44*Ramure*Pc/MaxiM</f>
        <v>8.1738770651895179E-2</v>
      </c>
      <c r="Q44" s="307">
        <f t="shared" si="4"/>
        <v>0.9</v>
      </c>
      <c r="R44" s="179">
        <f t="shared" si="5"/>
        <v>0.10267855166457585</v>
      </c>
      <c r="S44" s="839">
        <f t="shared" si="6"/>
        <v>1</v>
      </c>
      <c r="T44" s="178">
        <f t="shared" si="7"/>
        <v>7</v>
      </c>
      <c r="U44" s="253">
        <f t="shared" si="8"/>
        <v>1.1026785516645758</v>
      </c>
      <c r="V44" s="385">
        <f t="shared" si="9"/>
        <v>20.413649508254217</v>
      </c>
      <c r="W44" s="404">
        <f t="shared" si="10"/>
        <v>4.4016928462154423</v>
      </c>
      <c r="X44" s="157">
        <f t="shared" si="11"/>
        <v>45321</v>
      </c>
      <c r="Y44" s="387">
        <f t="shared" si="12"/>
        <v>4.0620317784639592</v>
      </c>
      <c r="Z44" s="387">
        <f t="shared" si="22"/>
        <v>4.2563539933783083</v>
      </c>
      <c r="AA44" s="388">
        <f t="shared" si="13"/>
        <v>5.1322281274255568</v>
      </c>
      <c r="AB44" s="199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0.17066157471971277</v>
      </c>
      <c r="AD44" s="233">
        <f>(INDEX(Models!$BJ44:$BT44,,AH44)*(1-AF44)+INDEX(Models!$BJ44:$BT44,,AH44+1)*AF44-ERP_i)*AE44*Ramure*Pc/MaxiM</f>
        <v>8.1738770651895179E-2</v>
      </c>
      <c r="AE44" s="307">
        <f t="shared" si="15"/>
        <v>0.9</v>
      </c>
      <c r="AF44" s="179">
        <f t="shared" si="23"/>
        <v>0.10267855166457585</v>
      </c>
      <c r="AG44" s="839">
        <f t="shared" si="24"/>
        <v>1</v>
      </c>
      <c r="AH44" s="178">
        <f t="shared" si="16"/>
        <v>7</v>
      </c>
      <c r="AI44" s="227">
        <f t="shared" si="17"/>
        <v>1.1026785516645758</v>
      </c>
      <c r="AJ44" s="267" t="b">
        <f t="shared" si="18"/>
        <v>1</v>
      </c>
      <c r="AK44" s="267" t="b">
        <f t="shared" si="19"/>
        <v>0</v>
      </c>
      <c r="AL44" s="267"/>
      <c r="AM44" s="267"/>
      <c r="AN44" s="75"/>
    </row>
    <row r="45" spans="1:40" s="6" customFormat="1" ht="11.25" x14ac:dyDescent="0.2">
      <c r="A45" s="56">
        <f t="shared" si="20"/>
        <v>45322</v>
      </c>
      <c r="B45" s="413">
        <f>'2023'!Wh/'2023'!Env_an*'2024'!Env_an</f>
        <v>9.8729388895467789</v>
      </c>
      <c r="C45" s="868"/>
      <c r="D45" s="395">
        <f t="shared" si="0"/>
        <v>10.345487951279475</v>
      </c>
      <c r="E45" s="387">
        <f t="shared" si="1"/>
        <v>11.513455948427637</v>
      </c>
      <c r="F45" s="387">
        <f t="shared" si="2"/>
        <v>11.751241518411538</v>
      </c>
      <c r="G45" s="110">
        <f t="shared" si="21"/>
        <v>0.44764627747925539</v>
      </c>
      <c r="H45" s="416" t="b">
        <f>Wh_hp&gt;='2023'!Maxi_hp</f>
        <v>0</v>
      </c>
      <c r="I45" s="392">
        <f>IF(H45,Wh_hp,'2023'!Maxi_hp)</f>
        <v>19.362829984004698</v>
      </c>
      <c r="J45" s="85">
        <f>IF(H45,An,'2023'!An_max)</f>
        <v>2020</v>
      </c>
      <c r="K45" s="199">
        <f t="shared" si="3"/>
        <v>45322</v>
      </c>
      <c r="L45" s="147">
        <f>IF(t&lt;Tvie,1-EXP((T0-t)*PertePVj)+'2023'!Pspv,1-EXP((T0-t)*PertePVj)+Pspv)</f>
        <v>4.5676826840657103E-2</v>
      </c>
      <c r="M45" s="872"/>
      <c r="N45" s="872"/>
      <c r="O45" s="48">
        <f>IF(t&lt;Tnet,'2023'!Resal+('2023'!Salim-'2023'!Resal)*(1-EXP(('2023'!Tnet-t)/('2023'!Tau_j))),Resal+(Salim-Resal)*(1-EXP((Tnet-t)/(Tau_j))))*Salcycl</f>
        <v>0.10144373699607273</v>
      </c>
      <c r="P45" s="171">
        <f>(INDEX(Models!$BJ45:$BT45,,T45)*(1-R45)+INDEX(Models!$BJ45:$BT45,,T45+1)*R45-ERP_i)*Q45*Ramure*Pc/MaxiM</f>
        <v>8.0120729765615406E-2</v>
      </c>
      <c r="Q45" s="307">
        <f t="shared" si="4"/>
        <v>0.9</v>
      </c>
      <c r="R45" s="179">
        <f t="shared" si="5"/>
        <v>0.10281236069857802</v>
      </c>
      <c r="S45" s="839">
        <f t="shared" si="6"/>
        <v>1</v>
      </c>
      <c r="T45" s="178">
        <f t="shared" si="7"/>
        <v>7</v>
      </c>
      <c r="U45" s="253">
        <f t="shared" si="8"/>
        <v>1.102812360698578</v>
      </c>
      <c r="V45" s="385">
        <f t="shared" si="9"/>
        <v>20.707151078718578</v>
      </c>
      <c r="W45" s="404">
        <f t="shared" si="10"/>
        <v>9.8729388895467789</v>
      </c>
      <c r="X45" s="157">
        <f t="shared" si="11"/>
        <v>45322</v>
      </c>
      <c r="Y45" s="387">
        <f t="shared" si="12"/>
        <v>9.1118061699735051</v>
      </c>
      <c r="Z45" s="387">
        <f t="shared" si="22"/>
        <v>9.5479250910447195</v>
      </c>
      <c r="AA45" s="388">
        <f t="shared" si="13"/>
        <v>11.513455948427637</v>
      </c>
      <c r="AB45" s="199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0.17071597495896498</v>
      </c>
      <c r="AD45" s="233">
        <f>(INDEX(Models!$BJ45:$BT45,,AH45)*(1-AF45)+INDEX(Models!$BJ45:$BT45,,AH45+1)*AF45-ERP_i)*AE45*Ramure*Pc/MaxiM</f>
        <v>8.0120729765615406E-2</v>
      </c>
      <c r="AE45" s="307">
        <f t="shared" si="15"/>
        <v>0.9</v>
      </c>
      <c r="AF45" s="179">
        <f t="shared" si="23"/>
        <v>0.10281236069857802</v>
      </c>
      <c r="AG45" s="839">
        <f t="shared" si="24"/>
        <v>1</v>
      </c>
      <c r="AH45" s="178">
        <f t="shared" si="16"/>
        <v>7</v>
      </c>
      <c r="AI45" s="227">
        <f t="shared" si="17"/>
        <v>1.102812360698578</v>
      </c>
      <c r="AJ45" s="267" t="b">
        <f t="shared" si="18"/>
        <v>1</v>
      </c>
      <c r="AK45" s="267" t="b">
        <f t="shared" si="19"/>
        <v>0</v>
      </c>
      <c r="AL45" s="267"/>
      <c r="AM45" s="267"/>
      <c r="AN45" s="75"/>
    </row>
    <row r="46" spans="1:40" s="6" customFormat="1" ht="11.25" x14ac:dyDescent="0.2">
      <c r="A46" s="56">
        <f t="shared" si="20"/>
        <v>45323</v>
      </c>
      <c r="B46" s="413">
        <f>'2023'!Wh/'2023'!Env_an*'2024'!Env_an</f>
        <v>9.7113680860657254</v>
      </c>
      <c r="C46" s="868"/>
      <c r="D46" s="395">
        <f t="shared" si="0"/>
        <v>10.176420694990671</v>
      </c>
      <c r="E46" s="387">
        <f t="shared" si="1"/>
        <v>11.326943922415728</v>
      </c>
      <c r="F46" s="387">
        <f t="shared" si="2"/>
        <v>11.53678102672877</v>
      </c>
      <c r="G46" s="110">
        <f t="shared" si="21"/>
        <v>0.43394544630968729</v>
      </c>
      <c r="H46" s="416" t="b">
        <f>Wh_hp&gt;='2023'!Maxi_hp</f>
        <v>0</v>
      </c>
      <c r="I46" s="392">
        <f>IF(H46,Wh_hp,'2023'!Maxi_hp)</f>
        <v>21.665220022404377</v>
      </c>
      <c r="J46" s="85">
        <f>IF(H46,An,'2023'!An_max)</f>
        <v>2019</v>
      </c>
      <c r="K46" s="199">
        <f t="shared" si="3"/>
        <v>45323</v>
      </c>
      <c r="L46" s="147">
        <f>IF(t&lt;Tvie,1-EXP((T0-t)*PertePVj)+'2023'!Pspv,1-EXP((T0-t)*PertePVj)+Pspv)</f>
        <v>4.5699035335072913E-2</v>
      </c>
      <c r="M46" s="872"/>
      <c r="N46" s="872"/>
      <c r="O46" s="48">
        <f>IF(t&lt;Tnet,'2023'!Resal+('2023'!Salim-'2023'!Resal)*(1-EXP(('2023'!Tnet-t)/('2023'!Tau_j))),Resal+(Salim-Resal)*(1-EXP((Tnet-t)/(Tau_j))))*Salcycl</f>
        <v>0.10157401990383311</v>
      </c>
      <c r="P46" s="171">
        <f>(INDEX(Models!$BJ46:$BT46,,T46)*(1-R46)+INDEX(Models!$BJ46:$BT46,,T46+1)*R46-ERP_i)*Q46*Ramure*Pc/MaxiM</f>
        <v>7.8439240482211417E-2</v>
      </c>
      <c r="Q46" s="307">
        <f t="shared" si="4"/>
        <v>0.9</v>
      </c>
      <c r="R46" s="179">
        <f t="shared" si="5"/>
        <v>0.10295172872519465</v>
      </c>
      <c r="S46" s="839">
        <f t="shared" si="6"/>
        <v>1</v>
      </c>
      <c r="T46" s="178">
        <f t="shared" si="7"/>
        <v>7</v>
      </c>
      <c r="U46" s="253">
        <f t="shared" si="8"/>
        <v>1.1029517287251946</v>
      </c>
      <c r="V46" s="385">
        <f t="shared" si="9"/>
        <v>21.005893204105298</v>
      </c>
      <c r="W46" s="404">
        <f t="shared" si="10"/>
        <v>9.7113680860657254</v>
      </c>
      <c r="X46" s="157">
        <f t="shared" si="11"/>
        <v>45323</v>
      </c>
      <c r="Y46" s="387">
        <f t="shared" si="12"/>
        <v>8.963399728990062</v>
      </c>
      <c r="Z46" s="387">
        <f t="shared" si="22"/>
        <v>9.3926340440589193</v>
      </c>
      <c r="AA46" s="388">
        <f t="shared" si="13"/>
        <v>11.326943922415728</v>
      </c>
      <c r="AB46" s="199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0.17077067668083537</v>
      </c>
      <c r="AD46" s="233">
        <f>(INDEX(Models!$BJ46:$BT46,,AH46)*(1-AF46)+INDEX(Models!$BJ46:$BT46,,AH46+1)*AF46-ERP_i)*AE46*Ramure*Pc/MaxiM</f>
        <v>7.8439240482211417E-2</v>
      </c>
      <c r="AE46" s="307">
        <f t="shared" si="15"/>
        <v>0.9</v>
      </c>
      <c r="AF46" s="179">
        <f t="shared" si="23"/>
        <v>0.10295172872519465</v>
      </c>
      <c r="AG46" s="839">
        <f t="shared" si="24"/>
        <v>1</v>
      </c>
      <c r="AH46" s="178">
        <f t="shared" si="16"/>
        <v>7</v>
      </c>
      <c r="AI46" s="227">
        <f t="shared" si="17"/>
        <v>1.1029517287251946</v>
      </c>
      <c r="AJ46" s="267" t="b">
        <f t="shared" si="18"/>
        <v>1</v>
      </c>
      <c r="AK46" s="267" t="b">
        <f t="shared" si="19"/>
        <v>0</v>
      </c>
      <c r="AL46" s="267"/>
      <c r="AM46" s="267"/>
      <c r="AN46" s="75"/>
    </row>
    <row r="47" spans="1:40" s="6" customFormat="1" ht="11.25" x14ac:dyDescent="0.2">
      <c r="A47" s="56">
        <f t="shared" si="20"/>
        <v>45324</v>
      </c>
      <c r="B47" s="413">
        <f>'2023'!Wh/'2023'!Env_an*'2024'!Env_an</f>
        <v>5.0762102149777473</v>
      </c>
      <c r="C47" s="868"/>
      <c r="D47" s="395">
        <f t="shared" si="0"/>
        <v>5.3194207451491478</v>
      </c>
      <c r="E47" s="387">
        <f t="shared" si="1"/>
        <v>5.921681645950633</v>
      </c>
      <c r="F47" s="387">
        <f t="shared" si="2"/>
        <v>5.921681645950633</v>
      </c>
      <c r="G47" s="110">
        <f t="shared" si="21"/>
        <v>0.2199420254800423</v>
      </c>
      <c r="H47" s="416" t="b">
        <f>Wh_hp&gt;='2023'!Maxi_hp</f>
        <v>0</v>
      </c>
      <c r="I47" s="392">
        <f>IF(H47,Wh_hp,'2023'!Maxi_hp)</f>
        <v>24.095566163036541</v>
      </c>
      <c r="J47" s="85">
        <f>IF(H47,An,'2023'!An_max)</f>
        <v>2021</v>
      </c>
      <c r="K47" s="199">
        <f t="shared" si="3"/>
        <v>45324</v>
      </c>
      <c r="L47" s="147">
        <f>IF(t&lt;Tvie,1-EXP((T0-t)*PertePVj)+'2023'!Pspv,1-EXP((T0-t)*PertePVj)+Pspv)</f>
        <v>4.5721243312664694E-2</v>
      </c>
      <c r="M47" s="872"/>
      <c r="N47" s="872"/>
      <c r="O47" s="48">
        <f>IF(t&lt;Tnet,'2023'!Resal+('2023'!Salim-'2023'!Resal)*(1-EXP(('2023'!Tnet-t)/('2023'!Tau_j))),Resal+(Salim-Resal)*(1-EXP((Tnet-t)/(Tau_j))))*Salcycl</f>
        <v>0.10170436994250165</v>
      </c>
      <c r="P47" s="171">
        <f>(INDEX(Models!$BJ47:$BT47,,T47)*(1-R47)+INDEX(Models!$BJ47:$BT47,,T47+1)*R47-ERP_i)*Q47*Ramure*Pc/MaxiM</f>
        <v>7.6698492821991288E-2</v>
      </c>
      <c r="Q47" s="307">
        <f t="shared" si="4"/>
        <v>0.9</v>
      </c>
      <c r="R47" s="179">
        <f t="shared" si="5"/>
        <v>0.10309688431653741</v>
      </c>
      <c r="S47" s="839">
        <f t="shared" si="6"/>
        <v>1</v>
      </c>
      <c r="T47" s="178">
        <f t="shared" si="7"/>
        <v>7</v>
      </c>
      <c r="U47" s="253">
        <f t="shared" si="8"/>
        <v>1.1030968843165374</v>
      </c>
      <c r="V47" s="385">
        <f t="shared" si="9"/>
        <v>21.309581613663223</v>
      </c>
      <c r="W47" s="404">
        <f t="shared" si="10"/>
        <v>5.0762102149777473</v>
      </c>
      <c r="X47" s="157">
        <f t="shared" si="11"/>
        <v>45324</v>
      </c>
      <c r="Y47" s="387">
        <f t="shared" si="12"/>
        <v>4.6856102439359315</v>
      </c>
      <c r="Z47" s="387">
        <f t="shared" si="22"/>
        <v>4.910106413980615</v>
      </c>
      <c r="AA47" s="388">
        <f t="shared" si="13"/>
        <v>5.921681645950633</v>
      </c>
      <c r="AB47" s="199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0.17082566953962369</v>
      </c>
      <c r="AD47" s="233">
        <f>(INDEX(Models!$BJ47:$BT47,,AH47)*(1-AF47)+INDEX(Models!$BJ47:$BT47,,AH47+1)*AF47-ERP_i)*AE47*Ramure*Pc/MaxiM</f>
        <v>7.6698492821991288E-2</v>
      </c>
      <c r="AE47" s="307">
        <f t="shared" si="15"/>
        <v>0.9</v>
      </c>
      <c r="AF47" s="179">
        <f t="shared" si="23"/>
        <v>0.10309688431653741</v>
      </c>
      <c r="AG47" s="839">
        <f t="shared" si="24"/>
        <v>1</v>
      </c>
      <c r="AH47" s="178">
        <f t="shared" si="16"/>
        <v>7</v>
      </c>
      <c r="AI47" s="227">
        <f t="shared" si="17"/>
        <v>1.1030968843165374</v>
      </c>
      <c r="AJ47" s="267" t="b">
        <f t="shared" si="18"/>
        <v>1</v>
      </c>
      <c r="AK47" s="267" t="b">
        <f t="shared" si="19"/>
        <v>0</v>
      </c>
      <c r="AL47" s="267"/>
      <c r="AM47" s="267"/>
      <c r="AN47" s="75"/>
    </row>
    <row r="48" spans="1:40" s="6" customFormat="1" ht="11.25" x14ac:dyDescent="0.2">
      <c r="A48" s="56">
        <f t="shared" si="20"/>
        <v>45325</v>
      </c>
      <c r="B48" s="413">
        <f>'2023'!Wh/'2023'!Env_an*'2024'!Env_an</f>
        <v>12.145200999420393</v>
      </c>
      <c r="C48" s="868"/>
      <c r="D48" s="395">
        <f t="shared" si="0"/>
        <v>12.727396012387157</v>
      </c>
      <c r="E48" s="387">
        <f t="shared" si="1"/>
        <v>14.170439615315123</v>
      </c>
      <c r="F48" s="387">
        <f t="shared" si="2"/>
        <v>14.578862960314524</v>
      </c>
      <c r="G48" s="110">
        <f t="shared" si="21"/>
        <v>0.53471039287317934</v>
      </c>
      <c r="H48" s="416" t="b">
        <f>Wh_hp&gt;='2023'!Maxi_hp</f>
        <v>0</v>
      </c>
      <c r="I48" s="392">
        <f>IF(H48,Wh_hp,'2023'!Maxi_hp)</f>
        <v>22.364236578915285</v>
      </c>
      <c r="J48" s="85">
        <f>IF(H48,An,'2023'!An_max)</f>
        <v>2020</v>
      </c>
      <c r="K48" s="199">
        <f t="shared" si="3"/>
        <v>45325</v>
      </c>
      <c r="L48" s="147">
        <f>IF(t&lt;Tvie,1-EXP((T0-t)*PertePVj)+'2023'!Pspv,1-EXP((T0-t)*PertePVj)+Pspv)</f>
        <v>4.5743450773444327E-2</v>
      </c>
      <c r="M48" s="872"/>
      <c r="N48" s="872"/>
      <c r="O48" s="48">
        <f>IF(t&lt;Tnet,'2023'!Resal+('2023'!Salim-'2023'!Resal)*(1-EXP(('2023'!Tnet-t)/('2023'!Tau_j))),Resal+(Salim-Resal)*(1-EXP((Tnet-t)/(Tau_j))))*Salcycl</f>
        <v>0.10183478015518686</v>
      </c>
      <c r="P48" s="171">
        <f>(INDEX(Models!$BJ48:$BT48,,T48)*(1-R48)+INDEX(Models!$BJ48:$BT48,,T48+1)*R48-ERP_i)*Q48*Ramure*Pc/MaxiM</f>
        <v>7.490243557092148E-2</v>
      </c>
      <c r="Q48" s="307">
        <f t="shared" si="4"/>
        <v>0.9</v>
      </c>
      <c r="R48" s="179">
        <f t="shared" si="5"/>
        <v>0.1032480652410237</v>
      </c>
      <c r="S48" s="839">
        <f t="shared" si="6"/>
        <v>1</v>
      </c>
      <c r="T48" s="178">
        <f t="shared" si="7"/>
        <v>7</v>
      </c>
      <c r="U48" s="253">
        <f t="shared" si="8"/>
        <v>1.1032480652410237</v>
      </c>
      <c r="V48" s="385">
        <f t="shared" si="9"/>
        <v>21.617922162289766</v>
      </c>
      <c r="W48" s="404">
        <f t="shared" si="10"/>
        <v>12.145200999420393</v>
      </c>
      <c r="X48" s="157">
        <f t="shared" si="11"/>
        <v>45325</v>
      </c>
      <c r="Y48" s="387">
        <f t="shared" si="12"/>
        <v>11.211542604428528</v>
      </c>
      <c r="Z48" s="387">
        <f t="shared" si="22"/>
        <v>11.748981564250947</v>
      </c>
      <c r="AA48" s="388">
        <f t="shared" si="13"/>
        <v>14.170439615315123</v>
      </c>
      <c r="AB48" s="199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0.17088094066235709</v>
      </c>
      <c r="AD48" s="233">
        <f>(INDEX(Models!$BJ48:$BT48,,AH48)*(1-AF48)+INDEX(Models!$BJ48:$BT48,,AH48+1)*AF48-ERP_i)*AE48*Ramure*Pc/MaxiM</f>
        <v>7.490243557092148E-2</v>
      </c>
      <c r="AE48" s="307">
        <f t="shared" si="15"/>
        <v>0.9</v>
      </c>
      <c r="AF48" s="179">
        <f t="shared" si="23"/>
        <v>0.1032480652410237</v>
      </c>
      <c r="AG48" s="839">
        <f t="shared" si="24"/>
        <v>1</v>
      </c>
      <c r="AH48" s="178">
        <f t="shared" si="16"/>
        <v>7</v>
      </c>
      <c r="AI48" s="227">
        <f t="shared" si="17"/>
        <v>1.1032480652410237</v>
      </c>
      <c r="AJ48" s="267" t="b">
        <f t="shared" si="18"/>
        <v>1</v>
      </c>
      <c r="AK48" s="267" t="b">
        <f t="shared" si="19"/>
        <v>0</v>
      </c>
      <c r="AL48" s="267"/>
      <c r="AM48" s="267"/>
      <c r="AN48" s="75"/>
    </row>
    <row r="49" spans="1:40" s="6" customFormat="1" ht="11.25" x14ac:dyDescent="0.2">
      <c r="A49" s="56">
        <f t="shared" si="20"/>
        <v>45326</v>
      </c>
      <c r="B49" s="413">
        <f>'2023'!Wh/'2023'!Env_an*'2024'!Env_an</f>
        <v>10.132361484252892</v>
      </c>
      <c r="C49" s="868"/>
      <c r="D49" s="395">
        <f t="shared" si="0"/>
        <v>10.618315685448689</v>
      </c>
      <c r="E49" s="387">
        <f t="shared" si="1"/>
        <v>11.823947338466624</v>
      </c>
      <c r="F49" s="387">
        <f t="shared" si="2"/>
        <v>12.027316466163644</v>
      </c>
      <c r="G49" s="110">
        <f t="shared" si="21"/>
        <v>0.43563229725853631</v>
      </c>
      <c r="H49" s="416" t="b">
        <f>Wh_hp&gt;='2023'!Maxi_hp</f>
        <v>0</v>
      </c>
      <c r="I49" s="392">
        <f>IF(H49,Wh_hp,'2023'!Maxi_hp)</f>
        <v>23.372565339149336</v>
      </c>
      <c r="J49" s="85">
        <f>IF(H49,An,'2023'!An_max)</f>
        <v>2019</v>
      </c>
      <c r="K49" s="199">
        <f t="shared" si="3"/>
        <v>45326</v>
      </c>
      <c r="L49" s="147">
        <f>IF(t&lt;Tvie,1-EXP((T0-t)*PertePVj)+'2023'!Pspv,1-EXP((T0-t)*PertePVj)+Pspv)</f>
        <v>4.5765657717423913E-2</v>
      </c>
      <c r="M49" s="872"/>
      <c r="N49" s="872"/>
      <c r="O49" s="48">
        <f>IF(t&lt;Tnet,'2023'!Resal+('2023'!Salim-'2023'!Resal)*(1-EXP(('2023'!Tnet-t)/('2023'!Tau_j))),Resal+(Salim-Resal)*(1-EXP((Tnet-t)/(Tau_j))))*Salcycl</f>
        <v>0.10196524210621913</v>
      </c>
      <c r="P49" s="171">
        <f>(INDEX(Models!$BJ49:$BT49,,T49)*(1-R49)+INDEX(Models!$BJ49:$BT49,,T49+1)*R49-ERP_i)*Q49*Ramure*Pc/MaxiM</f>
        <v>7.3054778482419244E-2</v>
      </c>
      <c r="Q49" s="307">
        <f t="shared" si="4"/>
        <v>0.9</v>
      </c>
      <c r="R49" s="179">
        <f t="shared" si="5"/>
        <v>0.10340551881613602</v>
      </c>
      <c r="S49" s="839">
        <f t="shared" si="6"/>
        <v>1</v>
      </c>
      <c r="T49" s="178">
        <f t="shared" si="7"/>
        <v>7</v>
      </c>
      <c r="U49" s="253">
        <f t="shared" si="8"/>
        <v>1.103405518816136</v>
      </c>
      <c r="V49" s="385">
        <f t="shared" si="9"/>
        <v>21.9306208491424</v>
      </c>
      <c r="W49" s="404">
        <f t="shared" si="10"/>
        <v>10.132361484252892</v>
      </c>
      <c r="X49" s="157">
        <f t="shared" si="11"/>
        <v>45326</v>
      </c>
      <c r="Y49" s="387">
        <f t="shared" si="12"/>
        <v>9.354171714848718</v>
      </c>
      <c r="Z49" s="387">
        <f t="shared" si="22"/>
        <v>9.8028034627983232</v>
      </c>
      <c r="AA49" s="388">
        <f t="shared" si="13"/>
        <v>11.823947338466624</v>
      </c>
      <c r="AB49" s="199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0.1709364747500991</v>
      </c>
      <c r="AD49" s="233">
        <f>(INDEX(Models!$BJ49:$BT49,,AH49)*(1-AF49)+INDEX(Models!$BJ49:$BT49,,AH49+1)*AF49-ERP_i)*AE49*Ramure*Pc/MaxiM</f>
        <v>7.3054778482419244E-2</v>
      </c>
      <c r="AE49" s="307">
        <f t="shared" si="15"/>
        <v>0.9</v>
      </c>
      <c r="AF49" s="179">
        <f t="shared" si="23"/>
        <v>0.10340551881613602</v>
      </c>
      <c r="AG49" s="839">
        <f t="shared" si="24"/>
        <v>1</v>
      </c>
      <c r="AH49" s="178">
        <f t="shared" si="16"/>
        <v>7</v>
      </c>
      <c r="AI49" s="227">
        <f t="shared" si="17"/>
        <v>1.103405518816136</v>
      </c>
      <c r="AJ49" s="267" t="b">
        <f t="shared" si="18"/>
        <v>1</v>
      </c>
      <c r="AK49" s="267" t="b">
        <f t="shared" si="19"/>
        <v>0</v>
      </c>
      <c r="AL49" s="267"/>
      <c r="AM49" s="267"/>
      <c r="AN49" s="75"/>
    </row>
    <row r="50" spans="1:40" s="6" customFormat="1" ht="11.25" x14ac:dyDescent="0.2">
      <c r="A50" s="56">
        <f t="shared" si="20"/>
        <v>45327</v>
      </c>
      <c r="B50" s="413">
        <f>'2023'!Wh/'2023'!Env_an*'2024'!Env_an</f>
        <v>8.7826223097764213</v>
      </c>
      <c r="C50" s="868"/>
      <c r="D50" s="395">
        <f t="shared" si="0"/>
        <v>9.2040563935014461</v>
      </c>
      <c r="E50" s="387">
        <f t="shared" si="1"/>
        <v>10.250598938673287</v>
      </c>
      <c r="F50" s="387">
        <f t="shared" si="2"/>
        <v>10.350314015773005</v>
      </c>
      <c r="G50" s="110">
        <f t="shared" si="21"/>
        <v>0.37024646634648073</v>
      </c>
      <c r="H50" s="416" t="b">
        <f>Wh_hp&gt;='2023'!Maxi_hp</f>
        <v>0</v>
      </c>
      <c r="I50" s="392">
        <f>IF(H50,Wh_hp,'2023'!Maxi_hp)</f>
        <v>27.755080564710749</v>
      </c>
      <c r="J50" s="85">
        <f>IF(H50,An,'2023'!An_max)</f>
        <v>2020</v>
      </c>
      <c r="K50" s="199">
        <f t="shared" si="3"/>
        <v>45327</v>
      </c>
      <c r="L50" s="147">
        <f>IF(t&lt;Tvie,1-EXP((T0-t)*PertePVj)+'2023'!Pspv,1-EXP((T0-t)*PertePVj)+Pspv)</f>
        <v>4.5787864144615553E-2</v>
      </c>
      <c r="M50" s="872"/>
      <c r="N50" s="872"/>
      <c r="O50" s="48">
        <f>IF(t&lt;Tnet,'2023'!Resal+('2023'!Salim-'2023'!Resal)*(1-EXP(('2023'!Tnet-t)/('2023'!Tau_j))),Resal+(Salim-Resal)*(1-EXP((Tnet-t)/(Tau_j))))*Salcycl</f>
        <v>0.10209574595914225</v>
      </c>
      <c r="P50" s="171">
        <f>(INDEX(Models!$BJ50:$BT50,,T50)*(1-R50)+INDEX(Models!$BJ50:$BT50,,T50+1)*R50-ERP_i)*Q50*Ramure*Pc/MaxiM</f>
        <v>7.1158995623830351E-2</v>
      </c>
      <c r="Q50" s="307">
        <f t="shared" si="4"/>
        <v>0.9</v>
      </c>
      <c r="R50" s="179">
        <f t="shared" si="5"/>
        <v>0.10356950227322925</v>
      </c>
      <c r="S50" s="839">
        <f t="shared" si="6"/>
        <v>1</v>
      </c>
      <c r="T50" s="178">
        <f t="shared" si="7"/>
        <v>7</v>
      </c>
      <c r="U50" s="253">
        <f t="shared" si="8"/>
        <v>1.1035695022732293</v>
      </c>
      <c r="V50" s="385">
        <f t="shared" si="9"/>
        <v>22.247383842340778</v>
      </c>
      <c r="W50" s="404">
        <f t="shared" si="10"/>
        <v>8.7826223097764213</v>
      </c>
      <c r="X50" s="157">
        <f t="shared" si="11"/>
        <v>45327</v>
      </c>
      <c r="Y50" s="387">
        <f t="shared" si="12"/>
        <v>8.1087286203396101</v>
      </c>
      <c r="Z50" s="387">
        <f t="shared" si="22"/>
        <v>8.4978259190454555</v>
      </c>
      <c r="AA50" s="388">
        <f t="shared" si="13"/>
        <v>10.250598938673287</v>
      </c>
      <c r="AB50" s="199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0.17099225421989725</v>
      </c>
      <c r="AD50" s="233">
        <f>(INDEX(Models!$BJ50:$BT50,,AH50)*(1-AF50)+INDEX(Models!$BJ50:$BT50,,AH50+1)*AF50-ERP_i)*AE50*Ramure*Pc/MaxiM</f>
        <v>7.1158995623830351E-2</v>
      </c>
      <c r="AE50" s="307">
        <f t="shared" si="15"/>
        <v>0.9</v>
      </c>
      <c r="AF50" s="179">
        <f t="shared" si="23"/>
        <v>0.10356950227322925</v>
      </c>
      <c r="AG50" s="839">
        <f t="shared" si="24"/>
        <v>1</v>
      </c>
      <c r="AH50" s="178">
        <f t="shared" si="16"/>
        <v>7</v>
      </c>
      <c r="AI50" s="227">
        <f t="shared" si="17"/>
        <v>1.1035695022732293</v>
      </c>
      <c r="AJ50" s="267" t="b">
        <f t="shared" si="18"/>
        <v>1</v>
      </c>
      <c r="AK50" s="267" t="b">
        <f t="shared" si="19"/>
        <v>0</v>
      </c>
      <c r="AL50" s="267"/>
      <c r="AM50" s="267"/>
      <c r="AN50" s="75"/>
    </row>
    <row r="51" spans="1:40" s="6" customFormat="1" ht="11.25" x14ac:dyDescent="0.2">
      <c r="A51" s="56">
        <f t="shared" si="20"/>
        <v>45328</v>
      </c>
      <c r="B51" s="413">
        <f>'2023'!Wh/'2023'!Env_an*'2024'!Env_an</f>
        <v>16.313589631459152</v>
      </c>
      <c r="C51" s="868"/>
      <c r="D51" s="395">
        <f t="shared" si="0"/>
        <v>17.096795008515766</v>
      </c>
      <c r="E51" s="387">
        <f t="shared" si="1"/>
        <v>19.043545872032741</v>
      </c>
      <c r="F51" s="387">
        <f t="shared" si="2"/>
        <v>19.874538826370941</v>
      </c>
      <c r="G51" s="110">
        <f t="shared" si="21"/>
        <v>0.70217595235070551</v>
      </c>
      <c r="H51" s="416" t="b">
        <f>Wh_hp&gt;='2023'!Maxi_hp</f>
        <v>0</v>
      </c>
      <c r="I51" s="392">
        <f>IF(H51,Wh_hp,'2023'!Maxi_hp)</f>
        <v>28.804501994668065</v>
      </c>
      <c r="J51" s="85">
        <f>IF(H51,An,'2023'!An_max)</f>
        <v>2020</v>
      </c>
      <c r="K51" s="199">
        <f t="shared" si="3"/>
        <v>45328</v>
      </c>
      <c r="L51" s="147">
        <f>IF(t&lt;Tvie,1-EXP((T0-t)*PertePVj)+'2023'!Pspv,1-EXP((T0-t)*PertePVj)+Pspv)</f>
        <v>4.5810070055031127E-2</v>
      </c>
      <c r="M51" s="872"/>
      <c r="N51" s="872"/>
      <c r="O51" s="48">
        <f>IF(t&lt;Tnet,'2023'!Resal+('2023'!Salim-'2023'!Resal)*(1-EXP(('2023'!Tnet-t)/('2023'!Tau_j))),Resal+(Salim-Resal)*(1-EXP((Tnet-t)/(Tau_j))))*Salcycl</f>
        <v>0.1022262805781336</v>
      </c>
      <c r="P51" s="171">
        <f>(INDEX(Models!$BJ51:$BT51,,T51)*(1-R51)+INDEX(Models!$BJ51:$BT51,,T51+1)*R51-ERP_i)*Q51*Ramure*Pc/MaxiM</f>
        <v>6.921686950325727E-2</v>
      </c>
      <c r="Q51" s="307">
        <f t="shared" si="4"/>
        <v>0.9</v>
      </c>
      <c r="R51" s="179">
        <f t="shared" si="5"/>
        <v>0.10374028313466099</v>
      </c>
      <c r="S51" s="839">
        <f t="shared" si="6"/>
        <v>1</v>
      </c>
      <c r="T51" s="178">
        <f t="shared" si="7"/>
        <v>7</v>
      </c>
      <c r="U51" s="253">
        <f t="shared" si="8"/>
        <v>1.103740283134661</v>
      </c>
      <c r="V51" s="385">
        <f t="shared" si="9"/>
        <v>22.568428996035593</v>
      </c>
      <c r="W51" s="404">
        <f t="shared" si="10"/>
        <v>16.313589631459152</v>
      </c>
      <c r="X51" s="157">
        <f t="shared" si="11"/>
        <v>45328</v>
      </c>
      <c r="Y51" s="387">
        <f t="shared" si="12"/>
        <v>15.063014463582491</v>
      </c>
      <c r="Z51" s="387">
        <f t="shared" si="22"/>
        <v>15.786180498101904</v>
      </c>
      <c r="AA51" s="388">
        <f t="shared" si="13"/>
        <v>19.043545872032741</v>
      </c>
      <c r="AB51" s="199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0.17104825938506482</v>
      </c>
      <c r="AD51" s="233">
        <f>(INDEX(Models!$BJ51:$BT51,,AH51)*(1-AF51)+INDEX(Models!$BJ51:$BT51,,AH51+1)*AF51-ERP_i)*AE51*Ramure*Pc/MaxiM</f>
        <v>6.921686950325727E-2</v>
      </c>
      <c r="AE51" s="307">
        <f t="shared" si="15"/>
        <v>0.9</v>
      </c>
      <c r="AF51" s="179">
        <f t="shared" si="23"/>
        <v>0.10374028313466099</v>
      </c>
      <c r="AG51" s="839">
        <f t="shared" si="24"/>
        <v>1</v>
      </c>
      <c r="AH51" s="178">
        <f t="shared" si="16"/>
        <v>7</v>
      </c>
      <c r="AI51" s="227">
        <f t="shared" si="17"/>
        <v>1.103740283134661</v>
      </c>
      <c r="AJ51" s="267" t="b">
        <f t="shared" si="18"/>
        <v>1</v>
      </c>
      <c r="AK51" s="267" t="b">
        <f t="shared" si="19"/>
        <v>0</v>
      </c>
      <c r="AL51" s="267"/>
      <c r="AM51" s="267"/>
      <c r="AN51" s="75"/>
    </row>
    <row r="52" spans="1:40" s="6" customFormat="1" ht="11.25" x14ac:dyDescent="0.2">
      <c r="A52" s="56">
        <f t="shared" si="20"/>
        <v>45329</v>
      </c>
      <c r="B52" s="413">
        <f>'2023'!Wh/'2023'!Env_an*'2024'!Env_an</f>
        <v>11.314917549962413</v>
      </c>
      <c r="C52" s="868"/>
      <c r="D52" s="395">
        <f t="shared" si="0"/>
        <v>11.8584157258967</v>
      </c>
      <c r="E52" s="387">
        <f t="shared" si="1"/>
        <v>13.210612156870864</v>
      </c>
      <c r="F52" s="387">
        <f t="shared" si="2"/>
        <v>13.461735648136452</v>
      </c>
      <c r="G52" s="110">
        <f t="shared" si="21"/>
        <v>0.46976242791714434</v>
      </c>
      <c r="H52" s="416" t="b">
        <f>Wh_hp&gt;='2023'!Maxi_hp</f>
        <v>0</v>
      </c>
      <c r="I52" s="392">
        <f>IF(H52,Wh_hp,'2023'!Maxi_hp)</f>
        <v>20.435045615049184</v>
      </c>
      <c r="J52" s="85">
        <f>IF(H52,An,'2023'!An_max)</f>
        <v>2021</v>
      </c>
      <c r="K52" s="199">
        <f t="shared" si="3"/>
        <v>45329</v>
      </c>
      <c r="L52" s="147">
        <f>IF(t&lt;Tvie,1-EXP((T0-t)*PertePVj)+'2023'!Pspv,1-EXP((T0-t)*PertePVj)+Pspv)</f>
        <v>4.5832275448682624E-2</v>
      </c>
      <c r="M52" s="872"/>
      <c r="N52" s="872"/>
      <c r="O52" s="48">
        <f>IF(t&lt;Tnet,'2023'!Resal+('2023'!Salim-'2023'!Resal)*(1-EXP(('2023'!Tnet-t)/('2023'!Tau_j))),Resal+(Salim-Resal)*(1-EXP((Tnet-t)/(Tau_j))))*Salcycl</f>
        <v>0.10235683365141289</v>
      </c>
      <c r="P52" s="171">
        <f>(INDEX(Models!$BJ52:$BT52,,T52)*(1-R52)+INDEX(Models!$BJ52:$BT52,,T52+1)*R52-ERP_i)*Q52*Ramure*Pc/MaxiM</f>
        <v>6.7231809623425925E-2</v>
      </c>
      <c r="Q52" s="307">
        <f t="shared" si="4"/>
        <v>0.9</v>
      </c>
      <c r="R52" s="179">
        <f t="shared" si="5"/>
        <v>0.10391813960352314</v>
      </c>
      <c r="S52" s="839">
        <f t="shared" si="6"/>
        <v>1</v>
      </c>
      <c r="T52" s="178">
        <f t="shared" si="7"/>
        <v>7</v>
      </c>
      <c r="U52" s="253">
        <f t="shared" si="8"/>
        <v>1.1039181396035231</v>
      </c>
      <c r="V52" s="385">
        <f t="shared" si="9"/>
        <v>22.89417286855452</v>
      </c>
      <c r="W52" s="404">
        <f t="shared" si="10"/>
        <v>11.314917549962413</v>
      </c>
      <c r="X52" s="157">
        <f t="shared" si="11"/>
        <v>45329</v>
      </c>
      <c r="Y52" s="387">
        <f t="shared" si="12"/>
        <v>10.448344003630703</v>
      </c>
      <c r="Z52" s="387">
        <f t="shared" si="22"/>
        <v>10.950217382948974</v>
      </c>
      <c r="AA52" s="388">
        <f t="shared" si="13"/>
        <v>13.210612156870864</v>
      </c>
      <c r="AB52" s="199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0.17110446867113985</v>
      </c>
      <c r="AD52" s="233">
        <f>(INDEX(Models!$BJ52:$BT52,,AH52)*(1-AF52)+INDEX(Models!$BJ52:$BT52,,AH52+1)*AF52-ERP_i)*AE52*Ramure*Pc/MaxiM</f>
        <v>6.7231809623425925E-2</v>
      </c>
      <c r="AE52" s="307">
        <f t="shared" si="15"/>
        <v>0.9</v>
      </c>
      <c r="AF52" s="179">
        <f t="shared" si="23"/>
        <v>0.10391813960352314</v>
      </c>
      <c r="AG52" s="839">
        <f t="shared" si="24"/>
        <v>1</v>
      </c>
      <c r="AH52" s="178">
        <f t="shared" si="16"/>
        <v>7</v>
      </c>
      <c r="AI52" s="227">
        <f t="shared" si="17"/>
        <v>1.1039181396035231</v>
      </c>
      <c r="AJ52" s="267" t="b">
        <f t="shared" si="18"/>
        <v>1</v>
      </c>
      <c r="AK52" s="267" t="b">
        <f t="shared" si="19"/>
        <v>0</v>
      </c>
      <c r="AL52" s="267"/>
      <c r="AM52" s="267"/>
      <c r="AN52" s="75"/>
    </row>
    <row r="53" spans="1:40" s="6" customFormat="1" ht="11.25" x14ac:dyDescent="0.2">
      <c r="A53" s="56">
        <f t="shared" si="20"/>
        <v>45330</v>
      </c>
      <c r="B53" s="413">
        <f>'2023'!Wh/'2023'!Env_an*'2024'!Env_an</f>
        <v>23.543179639948498</v>
      </c>
      <c r="C53" s="868"/>
      <c r="D53" s="395">
        <f t="shared" si="0"/>
        <v>24.674621590197393</v>
      </c>
      <c r="E53" s="387">
        <f t="shared" si="1"/>
        <v>27.49222837175018</v>
      </c>
      <c r="F53" s="387">
        <f t="shared" si="2"/>
        <v>29.411050619732666</v>
      </c>
      <c r="G53" s="110">
        <f t="shared" si="21"/>
        <v>1.0137513331920485</v>
      </c>
      <c r="H53" s="416" t="b">
        <f>Wh_hp&gt;='2023'!Maxi_hp</f>
        <v>1</v>
      </c>
      <c r="I53" s="392">
        <f>IF(H53,Wh_hp,'2023'!Maxi_hp)</f>
        <v>29.411050619732666</v>
      </c>
      <c r="J53" s="85">
        <f>IF(H53,An,'2023'!An_max)</f>
        <v>2024</v>
      </c>
      <c r="K53" s="199">
        <f t="shared" si="3"/>
        <v>45330</v>
      </c>
      <c r="L53" s="147">
        <f>IF(t&lt;Tvie,1-EXP((T0-t)*PertePVj)+'2023'!Pspv,1-EXP((T0-t)*PertePVj)+Pspv)</f>
        <v>4.5854480325582259E-2</v>
      </c>
      <c r="M53" s="872"/>
      <c r="N53" s="872"/>
      <c r="O53" s="48">
        <f>IF(t&lt;Tnet,'2023'!Resal+('2023'!Salim-'2023'!Resal)*(1-EXP(('2023'!Tnet-t)/('2023'!Tau_j))),Resal+(Salim-Resal)*(1-EXP((Tnet-t)/(Tau_j))))*Salcycl</f>
        <v>0.1024873918349971</v>
      </c>
      <c r="P53" s="171">
        <f>(INDEX(Models!$BJ53:$BT53,,T53)*(1-R53)+INDEX(Models!$BJ53:$BT53,,T53+1)*R53-ERP_i)*Q53*Ramure*Pc/MaxiM</f>
        <v>6.5241540426138278E-2</v>
      </c>
      <c r="Q53" s="307">
        <f t="shared" si="4"/>
        <v>0.9</v>
      </c>
      <c r="R53" s="179">
        <f t="shared" si="5"/>
        <v>0.10410336096623585</v>
      </c>
      <c r="S53" s="839">
        <f t="shared" si="6"/>
        <v>1</v>
      </c>
      <c r="T53" s="178">
        <f t="shared" si="7"/>
        <v>7</v>
      </c>
      <c r="U53" s="253">
        <f t="shared" si="8"/>
        <v>1.1041033609662358</v>
      </c>
      <c r="V53" s="385">
        <f t="shared" si="9"/>
        <v>23.22382113749428</v>
      </c>
      <c r="W53" s="404">
        <f t="shared" si="10"/>
        <v>23.543179639948498</v>
      </c>
      <c r="X53" s="157">
        <f t="shared" si="11"/>
        <v>45330</v>
      </c>
      <c r="Y53" s="387">
        <f t="shared" si="12"/>
        <v>21.741765647469407</v>
      </c>
      <c r="Z53" s="387">
        <f t="shared" si="22"/>
        <v>22.786634951541071</v>
      </c>
      <c r="AA53" s="388">
        <f t="shared" si="13"/>
        <v>27.49222837175018</v>
      </c>
      <c r="AB53" s="199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0.17116085886454999</v>
      </c>
      <c r="AD53" s="233">
        <f>(INDEX(Models!$BJ53:$BT53,,AH53)*(1-AF53)+INDEX(Models!$BJ53:$BT53,,AH53+1)*AF53-ERP_i)*AE53*Ramure*Pc/MaxiM</f>
        <v>6.5241540426138278E-2</v>
      </c>
      <c r="AE53" s="307">
        <f t="shared" si="15"/>
        <v>0.9</v>
      </c>
      <c r="AF53" s="179">
        <f t="shared" si="23"/>
        <v>0.10410336096623585</v>
      </c>
      <c r="AG53" s="839">
        <f t="shared" si="24"/>
        <v>1</v>
      </c>
      <c r="AH53" s="178">
        <f t="shared" si="16"/>
        <v>7</v>
      </c>
      <c r="AI53" s="227">
        <f t="shared" si="17"/>
        <v>1.1041033609662358</v>
      </c>
      <c r="AJ53" s="267" t="b">
        <f t="shared" si="18"/>
        <v>1</v>
      </c>
      <c r="AK53" s="267" t="b">
        <f t="shared" si="19"/>
        <v>0</v>
      </c>
      <c r="AL53" s="267"/>
      <c r="AM53" s="267"/>
      <c r="AN53" s="75"/>
    </row>
    <row r="54" spans="1:40" s="6" customFormat="1" ht="11.25" x14ac:dyDescent="0.2">
      <c r="A54" s="56">
        <f t="shared" si="20"/>
        <v>45331</v>
      </c>
      <c r="B54" s="413">
        <f>'2023'!Wh/'2023'!Env_an*'2024'!Env_an</f>
        <v>23.595764078141421</v>
      </c>
      <c r="C54" s="868"/>
      <c r="D54" s="395">
        <f t="shared" si="0"/>
        <v>24.730308650270981</v>
      </c>
      <c r="E54" s="387">
        <f t="shared" si="1"/>
        <v>27.558282896235038</v>
      </c>
      <c r="F54" s="387">
        <f t="shared" si="2"/>
        <v>29.418936956466233</v>
      </c>
      <c r="G54" s="110">
        <f t="shared" si="21"/>
        <v>1.0016257753781832</v>
      </c>
      <c r="H54" s="416" t="b">
        <f>Wh_hp&gt;='2023'!Maxi_hp</f>
        <v>1</v>
      </c>
      <c r="I54" s="392">
        <f>IF(H54,Wh_hp,'2023'!Maxi_hp)</f>
        <v>29.418936956466233</v>
      </c>
      <c r="J54" s="85">
        <f>IF(H54,An,'2023'!An_max)</f>
        <v>2024</v>
      </c>
      <c r="K54" s="199">
        <f t="shared" si="3"/>
        <v>45331</v>
      </c>
      <c r="L54" s="147">
        <f>IF(t&lt;Tvie,1-EXP((T0-t)*PertePVj)+'2023'!Pspv,1-EXP((T0-t)*PertePVj)+Pspv)</f>
        <v>4.587668468574202E-2</v>
      </c>
      <c r="M54" s="872"/>
      <c r="N54" s="872"/>
      <c r="O54" s="48">
        <f>IF(t&lt;Tnet,'2023'!Resal+('2023'!Salim-'2023'!Resal)*(1-EXP(('2023'!Tnet-t)/('2023'!Tau_j))),Resal+(Salim-Resal)*(1-EXP((Tnet-t)/(Tau_j))))*Salcycl</f>
        <v>0.10261794091497654</v>
      </c>
      <c r="P54" s="171">
        <f>(INDEX(Models!$BJ54:$BT54,,T54)*(1-R54)+INDEX(Models!$BJ54:$BT54,,T54+1)*R54-ERP_i)*Q54*Ramure*Pc/MaxiM</f>
        <v>6.3246814899687448E-2</v>
      </c>
      <c r="Q54" s="307">
        <f t="shared" si="4"/>
        <v>0.9</v>
      </c>
      <c r="R54" s="179">
        <f t="shared" si="5"/>
        <v>0.10429624800826343</v>
      </c>
      <c r="S54" s="839">
        <f t="shared" si="6"/>
        <v>1</v>
      </c>
      <c r="T54" s="178">
        <f t="shared" si="7"/>
        <v>7</v>
      </c>
      <c r="U54" s="253">
        <f t="shared" si="8"/>
        <v>1.1042962480082634</v>
      </c>
      <c r="V54" s="385">
        <f t="shared" si="9"/>
        <v>23.557464931683082</v>
      </c>
      <c r="W54" s="404">
        <f t="shared" si="10"/>
        <v>23.595764078141421</v>
      </c>
      <c r="X54" s="157">
        <f t="shared" si="11"/>
        <v>45331</v>
      </c>
      <c r="Y54" s="387">
        <f t="shared" si="12"/>
        <v>21.792009742661293</v>
      </c>
      <c r="Z54" s="387">
        <f t="shared" si="22"/>
        <v>22.839825201717971</v>
      </c>
      <c r="AA54" s="388">
        <f t="shared" si="13"/>
        <v>27.558282896235038</v>
      </c>
      <c r="AB54" s="199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0.17121740539072897</v>
      </c>
      <c r="AD54" s="233">
        <f>(INDEX(Models!$BJ54:$BT54,,AH54)*(1-AF54)+INDEX(Models!$BJ54:$BT54,,AH54+1)*AF54-ERP_i)*AE54*Ramure*Pc/MaxiM</f>
        <v>6.3246814899687448E-2</v>
      </c>
      <c r="AE54" s="307">
        <f t="shared" si="15"/>
        <v>0.9</v>
      </c>
      <c r="AF54" s="179">
        <f t="shared" si="23"/>
        <v>0.10429624800826343</v>
      </c>
      <c r="AG54" s="839">
        <f t="shared" si="24"/>
        <v>1</v>
      </c>
      <c r="AH54" s="178">
        <f t="shared" si="16"/>
        <v>7</v>
      </c>
      <c r="AI54" s="227">
        <f t="shared" si="17"/>
        <v>1.1042962480082634</v>
      </c>
      <c r="AJ54" s="267" t="b">
        <f t="shared" si="18"/>
        <v>1</v>
      </c>
      <c r="AK54" s="267" t="b">
        <f t="shared" si="19"/>
        <v>0</v>
      </c>
      <c r="AL54" s="267"/>
      <c r="AM54" s="267"/>
      <c r="AN54" s="75"/>
    </row>
    <row r="55" spans="1:40" s="6" customFormat="1" ht="11.25" x14ac:dyDescent="0.2">
      <c r="A55" s="56">
        <f t="shared" si="20"/>
        <v>45332</v>
      </c>
      <c r="B55" s="413">
        <f>'2023'!Wh/'2023'!Env_an*'2024'!Env_an</f>
        <v>22.913648315039531</v>
      </c>
      <c r="C55" s="868"/>
      <c r="D55" s="395">
        <f t="shared" si="0"/>
        <v>24.015953906306887</v>
      </c>
      <c r="E55" s="387">
        <f t="shared" si="1"/>
        <v>26.766133013867851</v>
      </c>
      <c r="F55" s="387">
        <f t="shared" si="2"/>
        <v>28.403727823558754</v>
      </c>
      <c r="G55" s="110">
        <f t="shared" si="21"/>
        <v>0.95526544092192522</v>
      </c>
      <c r="H55" s="416" t="b">
        <f>Wh_hp&gt;='2023'!Maxi_hp</f>
        <v>0</v>
      </c>
      <c r="I55" s="392">
        <f>IF(H55,Wh_hp,'2023'!Maxi_hp)</f>
        <v>28.45850777930519</v>
      </c>
      <c r="J55" s="85">
        <f>IF(H55,An,'2023'!An_max)</f>
        <v>2022</v>
      </c>
      <c r="K55" s="199">
        <f t="shared" si="3"/>
        <v>45332</v>
      </c>
      <c r="L55" s="147">
        <f>IF(t&lt;Tvie,1-EXP((T0-t)*PertePVj)+'2023'!Pspv,1-EXP((T0-t)*PertePVj)+Pspv)</f>
        <v>4.5898888529173787E-2</v>
      </c>
      <c r="M55" s="872"/>
      <c r="N55" s="872"/>
      <c r="O55" s="48">
        <f>IF(t&lt;Tnet,'2023'!Resal+('2023'!Salim-'2023'!Resal)*(1-EXP(('2023'!Tnet-t)/('2023'!Tau_j))),Resal+(Salim-Resal)*(1-EXP((Tnet-t)/(Tau_j))))*Salcycl</f>
        <v>0.10274846598632927</v>
      </c>
      <c r="P55" s="171">
        <f>(INDEX(Models!$BJ55:$BT55,,T55)*(1-R55)+INDEX(Models!$BJ55:$BT55,,T55+1)*R55-ERP_i)*Q55*Ramure*Pc/MaxiM</f>
        <v>6.1248379043576703E-2</v>
      </c>
      <c r="Q55" s="307">
        <f t="shared" si="4"/>
        <v>0.9</v>
      </c>
      <c r="R55" s="179">
        <f t="shared" si="5"/>
        <v>0.1044971134431909</v>
      </c>
      <c r="S55" s="839">
        <f t="shared" si="6"/>
        <v>1</v>
      </c>
      <c r="T55" s="178">
        <f t="shared" si="7"/>
        <v>7</v>
      </c>
      <c r="U55" s="253">
        <f t="shared" si="8"/>
        <v>1.1044971134431909</v>
      </c>
      <c r="V55" s="385">
        <f t="shared" si="9"/>
        <v>23.895195454386275</v>
      </c>
      <c r="W55" s="404">
        <f t="shared" si="10"/>
        <v>22.913648315039531</v>
      </c>
      <c r="X55" s="157">
        <f t="shared" si="11"/>
        <v>45332</v>
      </c>
      <c r="Y55" s="387">
        <f t="shared" si="12"/>
        <v>21.163668715617778</v>
      </c>
      <c r="Z55" s="387">
        <f t="shared" si="22"/>
        <v>22.18178813668105</v>
      </c>
      <c r="AA55" s="388">
        <f t="shared" si="13"/>
        <v>26.766133013867851</v>
      </c>
      <c r="AB55" s="199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0.1712740826181951</v>
      </c>
      <c r="AD55" s="233">
        <f>(INDEX(Models!$BJ55:$BT55,,AH55)*(1-AF55)+INDEX(Models!$BJ55:$BT55,,AH55+1)*AF55-ERP_i)*AE55*Ramure*Pc/MaxiM</f>
        <v>6.1248379043576703E-2</v>
      </c>
      <c r="AE55" s="307">
        <f t="shared" si="15"/>
        <v>0.9</v>
      </c>
      <c r="AF55" s="179">
        <f t="shared" si="23"/>
        <v>0.1044971134431909</v>
      </c>
      <c r="AG55" s="839">
        <f t="shared" si="24"/>
        <v>1</v>
      </c>
      <c r="AH55" s="178">
        <f t="shared" si="16"/>
        <v>7</v>
      </c>
      <c r="AI55" s="227">
        <f t="shared" si="17"/>
        <v>1.1044971134431909</v>
      </c>
      <c r="AJ55" s="267" t="b">
        <f t="shared" si="18"/>
        <v>1</v>
      </c>
      <c r="AK55" s="267" t="b">
        <f t="shared" si="19"/>
        <v>0</v>
      </c>
      <c r="AL55" s="267"/>
      <c r="AM55" s="267"/>
      <c r="AN55" s="75"/>
    </row>
    <row r="56" spans="1:40" s="6" customFormat="1" ht="11.25" x14ac:dyDescent="0.2">
      <c r="A56" s="56">
        <f t="shared" si="20"/>
        <v>45333</v>
      </c>
      <c r="B56" s="413">
        <f>'2023'!Wh/'2023'!Env_an*'2024'!Env_an</f>
        <v>12.092413390794746</v>
      </c>
      <c r="C56" s="868"/>
      <c r="D56" s="395">
        <f t="shared" si="0"/>
        <v>12.674437394614566</v>
      </c>
      <c r="E56" s="387">
        <f t="shared" si="1"/>
        <v>14.127901042865137</v>
      </c>
      <c r="F56" s="387">
        <f t="shared" si="2"/>
        <v>14.369837770857414</v>
      </c>
      <c r="G56" s="110">
        <f t="shared" si="21"/>
        <v>0.47739965995802441</v>
      </c>
      <c r="H56" s="416" t="b">
        <f>Wh_hp&gt;='2023'!Maxi_hp</f>
        <v>0</v>
      </c>
      <c r="I56" s="392">
        <f>IF(H56,Wh_hp,'2023'!Maxi_hp)</f>
        <v>26.844997488492737</v>
      </c>
      <c r="J56" s="85">
        <f>IF(H56,An,'2023'!An_max)</f>
        <v>2021</v>
      </c>
      <c r="K56" s="199">
        <f t="shared" si="3"/>
        <v>45333</v>
      </c>
      <c r="L56" s="147">
        <f>IF(t&lt;Tvie,1-EXP((T0-t)*PertePVj)+'2023'!Pspv,1-EXP((T0-t)*PertePVj)+Pspv)</f>
        <v>4.5921091855889773E-2</v>
      </c>
      <c r="M56" s="872"/>
      <c r="N56" s="872"/>
      <c r="O56" s="48">
        <f>IF(t&lt;Tnet,'2023'!Resal+('2023'!Salim-'2023'!Resal)*(1-EXP(('2023'!Tnet-t)/('2023'!Tau_j))),Resal+(Salim-Resal)*(1-EXP((Tnet-t)/(Tau_j))))*Salcycl</f>
        <v>0.10287895164615404</v>
      </c>
      <c r="P56" s="171">
        <f>(INDEX(Models!$BJ56:$BT56,,T56)*(1-R56)+INDEX(Models!$BJ56:$BT56,,T56+1)*R56-ERP_i)*Q56*Ramure*Pc/MaxiM</f>
        <v>5.9246971070360248E-2</v>
      </c>
      <c r="Q56" s="307">
        <f t="shared" si="4"/>
        <v>0.9</v>
      </c>
      <c r="R56" s="179">
        <f t="shared" si="5"/>
        <v>0.10470628235539658</v>
      </c>
      <c r="S56" s="839">
        <f t="shared" si="6"/>
        <v>1</v>
      </c>
      <c r="T56" s="178">
        <f t="shared" si="7"/>
        <v>7</v>
      </c>
      <c r="U56" s="253">
        <f t="shared" si="8"/>
        <v>1.1047062823553966</v>
      </c>
      <c r="V56" s="385">
        <f t="shared" si="9"/>
        <v>24.2371039993299</v>
      </c>
      <c r="W56" s="404">
        <f t="shared" si="10"/>
        <v>12.092413390794746</v>
      </c>
      <c r="X56" s="157">
        <f t="shared" si="11"/>
        <v>45333</v>
      </c>
      <c r="Y56" s="387">
        <f t="shared" si="12"/>
        <v>11.1697409985597</v>
      </c>
      <c r="Z56" s="387">
        <f t="shared" si="22"/>
        <v>11.707355548072288</v>
      </c>
      <c r="AA56" s="388">
        <f t="shared" si="13"/>
        <v>14.127901042865137</v>
      </c>
      <c r="AB56" s="199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0.17133086418490104</v>
      </c>
      <c r="AD56" s="233">
        <f>(INDEX(Models!$BJ56:$BT56,,AH56)*(1-AF56)+INDEX(Models!$BJ56:$BT56,,AH56+1)*AF56-ERP_i)*AE56*Ramure*Pc/MaxiM</f>
        <v>5.9246971070360248E-2</v>
      </c>
      <c r="AE56" s="307">
        <f t="shared" si="15"/>
        <v>0.9</v>
      </c>
      <c r="AF56" s="179">
        <f t="shared" si="23"/>
        <v>0.10470628235539658</v>
      </c>
      <c r="AG56" s="839">
        <f t="shared" si="24"/>
        <v>1</v>
      </c>
      <c r="AH56" s="178">
        <f t="shared" si="16"/>
        <v>7</v>
      </c>
      <c r="AI56" s="227">
        <f t="shared" si="17"/>
        <v>1.1047062823553966</v>
      </c>
      <c r="AJ56" s="267" t="b">
        <f t="shared" si="18"/>
        <v>1</v>
      </c>
      <c r="AK56" s="267" t="b">
        <f t="shared" si="19"/>
        <v>0</v>
      </c>
      <c r="AL56" s="267"/>
      <c r="AM56" s="267"/>
      <c r="AN56" s="75"/>
    </row>
    <row r="57" spans="1:40" s="6" customFormat="1" ht="11.25" x14ac:dyDescent="0.2">
      <c r="A57" s="56">
        <f t="shared" si="20"/>
        <v>45334</v>
      </c>
      <c r="B57" s="413">
        <f>'2023'!Wh/'2023'!Env_an*'2024'!Env_an</f>
        <v>20.688979491839969</v>
      </c>
      <c r="C57" s="868"/>
      <c r="D57" s="395">
        <f t="shared" si="0"/>
        <v>21.685272349293914</v>
      </c>
      <c r="E57" s="387">
        <f t="shared" si="1"/>
        <v>24.17558435834956</v>
      </c>
      <c r="F57" s="387">
        <f t="shared" si="2"/>
        <v>25.295913602687339</v>
      </c>
      <c r="G57" s="110">
        <f t="shared" si="21"/>
        <v>0.83017989928958247</v>
      </c>
      <c r="H57" s="416" t="b">
        <f>Wh_hp&gt;='2023'!Maxi_hp</f>
        <v>0</v>
      </c>
      <c r="I57" s="392">
        <f>IF(H57,Wh_hp,'2023'!Maxi_hp)</f>
        <v>30.627768501609644</v>
      </c>
      <c r="J57" s="85">
        <f>IF(H57,An,'2023'!An_max)</f>
        <v>2019</v>
      </c>
      <c r="K57" s="199">
        <f t="shared" si="3"/>
        <v>45334</v>
      </c>
      <c r="L57" s="147">
        <f>IF(t&lt;Tvie,1-EXP((T0-t)*PertePVj)+'2023'!Pspv,1-EXP((T0-t)*PertePVj)+Pspv)</f>
        <v>4.5943294665901857E-2</v>
      </c>
      <c r="M57" s="872"/>
      <c r="N57" s="872"/>
      <c r="O57" s="48">
        <f>IF(t&lt;Tnet,'2023'!Resal+('2023'!Salim-'2023'!Resal)*(1-EXP(('2023'!Tnet-t)/('2023'!Tau_j))),Resal+(Salim-Resal)*(1-EXP((Tnet-t)/(Tau_j))))*Salcycl</f>
        <v>0.10300938219909307</v>
      </c>
      <c r="P57" s="171">
        <f>(INDEX(Models!$BJ57:$BT57,,T57)*(1-R57)+INDEX(Models!$BJ57:$BT57,,T57+1)*R57-ERP_i)*Q57*Ramure*Pc/MaxiM</f>
        <v>5.7243320666001699E-2</v>
      </c>
      <c r="Q57" s="307">
        <f t="shared" si="4"/>
        <v>0.9</v>
      </c>
      <c r="R57" s="179">
        <f t="shared" si="5"/>
        <v>0.10492409265652869</v>
      </c>
      <c r="S57" s="839">
        <f t="shared" si="6"/>
        <v>1</v>
      </c>
      <c r="T57" s="178">
        <f t="shared" si="7"/>
        <v>7</v>
      </c>
      <c r="U57" s="253">
        <f t="shared" si="8"/>
        <v>1.1049240926565287</v>
      </c>
      <c r="V57" s="385">
        <f t="shared" si="9"/>
        <v>24.583281949902279</v>
      </c>
      <c r="W57" s="404">
        <f t="shared" si="10"/>
        <v>20.688979491839969</v>
      </c>
      <c r="X57" s="157">
        <f t="shared" si="11"/>
        <v>45334</v>
      </c>
      <c r="Y57" s="387">
        <f t="shared" si="12"/>
        <v>19.111841370729163</v>
      </c>
      <c r="Z57" s="387">
        <f t="shared" si="22"/>
        <v>20.032185994685136</v>
      </c>
      <c r="AA57" s="388">
        <f t="shared" si="13"/>
        <v>24.17558435834956</v>
      </c>
      <c r="AB57" s="199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0.17138772334301042</v>
      </c>
      <c r="AD57" s="233">
        <f>(INDEX(Models!$BJ57:$BT57,,AH57)*(1-AF57)+INDEX(Models!$BJ57:$BT57,,AH57+1)*AF57-ERP_i)*AE57*Ramure*Pc/MaxiM</f>
        <v>5.7243320666001699E-2</v>
      </c>
      <c r="AE57" s="307">
        <f t="shared" si="15"/>
        <v>0.9</v>
      </c>
      <c r="AF57" s="179">
        <f t="shared" si="23"/>
        <v>0.10492409265652869</v>
      </c>
      <c r="AG57" s="839">
        <f t="shared" si="24"/>
        <v>1</v>
      </c>
      <c r="AH57" s="178">
        <f t="shared" si="16"/>
        <v>7</v>
      </c>
      <c r="AI57" s="227">
        <f t="shared" si="17"/>
        <v>1.1049240926565287</v>
      </c>
      <c r="AJ57" s="267" t="b">
        <f t="shared" si="18"/>
        <v>1</v>
      </c>
      <c r="AK57" s="267" t="b">
        <f t="shared" si="19"/>
        <v>0</v>
      </c>
      <c r="AL57" s="267"/>
      <c r="AM57" s="267"/>
      <c r="AN57" s="75"/>
    </row>
    <row r="58" spans="1:40" s="6" customFormat="1" ht="11.25" x14ac:dyDescent="0.2">
      <c r="A58" s="56">
        <f t="shared" si="20"/>
        <v>45335</v>
      </c>
      <c r="B58" s="413">
        <f>'2023'!Wh/'2023'!Env_an*'2024'!Env_an</f>
        <v>24.132610570562409</v>
      </c>
      <c r="C58" s="868"/>
      <c r="D58" s="395">
        <f t="shared" si="0"/>
        <v>25.29532264676482</v>
      </c>
      <c r="E58" s="387">
        <f t="shared" si="1"/>
        <v>28.204307658342501</v>
      </c>
      <c r="F58" s="387">
        <f t="shared" si="2"/>
        <v>29.773840984359943</v>
      </c>
      <c r="G58" s="110">
        <f t="shared" si="21"/>
        <v>0.96528874137553755</v>
      </c>
      <c r="H58" s="416" t="b">
        <f>Wh_hp&gt;='2023'!Maxi_hp</f>
        <v>0</v>
      </c>
      <c r="I58" s="392">
        <f>IF(H58,Wh_hp,'2023'!Maxi_hp)</f>
        <v>31.571868913069107</v>
      </c>
      <c r="J58" s="85">
        <f>IF(H58,An,'2023'!An_max)</f>
        <v>2019</v>
      </c>
      <c r="K58" s="199">
        <f t="shared" si="3"/>
        <v>45335</v>
      </c>
      <c r="L58" s="147">
        <f>IF(t&lt;Tvie,1-EXP((T0-t)*PertePVj)+'2023'!Pspv,1-EXP((T0-t)*PertePVj)+Pspv)</f>
        <v>4.5965496959222141E-2</v>
      </c>
      <c r="M58" s="872"/>
      <c r="N58" s="872"/>
      <c r="O58" s="48">
        <f>IF(t&lt;Tnet,'2023'!Resal+('2023'!Salim-'2023'!Resal)*(1-EXP(('2023'!Tnet-t)/('2023'!Tau_j))),Resal+(Salim-Resal)*(1-EXP((Tnet-t)/(Tau_j))))*Salcycl</f>
        <v>0.10313974187262978</v>
      </c>
      <c r="P58" s="171">
        <f>(INDEX(Models!$BJ58:$BT58,,T58)*(1-R58)+INDEX(Models!$BJ58:$BT58,,T58+1)*R58-ERP_i)*Q58*Ramure*Pc/MaxiM</f>
        <v>5.5250452802972423E-2</v>
      </c>
      <c r="Q58" s="307">
        <f t="shared" si="4"/>
        <v>0.9</v>
      </c>
      <c r="R58" s="179">
        <f t="shared" si="5"/>
        <v>0.10515089555598345</v>
      </c>
      <c r="S58" s="839">
        <f t="shared" si="6"/>
        <v>1</v>
      </c>
      <c r="T58" s="178">
        <f t="shared" si="7"/>
        <v>7</v>
      </c>
      <c r="U58" s="253">
        <f t="shared" si="8"/>
        <v>1.1051508955559834</v>
      </c>
      <c r="V58" s="385">
        <f t="shared" si="9"/>
        <v>24.93349605618846</v>
      </c>
      <c r="W58" s="404">
        <f t="shared" si="10"/>
        <v>24.132610570562409</v>
      </c>
      <c r="X58" s="157">
        <f t="shared" si="11"/>
        <v>45335</v>
      </c>
      <c r="Y58" s="387">
        <f t="shared" si="12"/>
        <v>22.294670567778748</v>
      </c>
      <c r="Z58" s="387">
        <f t="shared" si="22"/>
        <v>23.368830473865806</v>
      </c>
      <c r="AA58" s="388">
        <f t="shared" si="13"/>
        <v>28.204307658342501</v>
      </c>
      <c r="AB58" s="199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0.1714446333181455</v>
      </c>
      <c r="AD58" s="233">
        <f>(INDEX(Models!$BJ58:$BT58,,AH58)*(1-AF58)+INDEX(Models!$BJ58:$BT58,,AH58+1)*AF58-ERP_i)*AE58*Ramure*Pc/MaxiM</f>
        <v>5.5250452802972423E-2</v>
      </c>
      <c r="AE58" s="307">
        <f t="shared" si="15"/>
        <v>0.9</v>
      </c>
      <c r="AF58" s="179">
        <f t="shared" si="23"/>
        <v>0.10515089555598345</v>
      </c>
      <c r="AG58" s="839">
        <f t="shared" si="24"/>
        <v>1</v>
      </c>
      <c r="AH58" s="178">
        <f t="shared" si="16"/>
        <v>7</v>
      </c>
      <c r="AI58" s="227">
        <f t="shared" si="17"/>
        <v>1.1051508955559834</v>
      </c>
      <c r="AJ58" s="267" t="b">
        <f t="shared" si="18"/>
        <v>1</v>
      </c>
      <c r="AK58" s="267" t="b">
        <f t="shared" si="19"/>
        <v>0</v>
      </c>
      <c r="AL58" s="267"/>
      <c r="AM58" s="267"/>
      <c r="AN58" s="75"/>
    </row>
    <row r="59" spans="1:40" s="6" customFormat="1" ht="11.25" x14ac:dyDescent="0.2">
      <c r="A59" s="56">
        <f t="shared" si="20"/>
        <v>45336</v>
      </c>
      <c r="B59" s="413">
        <f>'2023'!Wh/'2023'!Env_an*'2024'!Env_an</f>
        <v>14.190418767021423</v>
      </c>
      <c r="C59" s="868"/>
      <c r="D59" s="395">
        <f t="shared" si="0"/>
        <v>14.874460998268116</v>
      </c>
      <c r="E59" s="387">
        <f t="shared" si="1"/>
        <v>16.587446887849701</v>
      </c>
      <c r="F59" s="387">
        <f t="shared" si="2"/>
        <v>16.924104270551734</v>
      </c>
      <c r="G59" s="110">
        <f t="shared" si="21"/>
        <v>0.54204635006451163</v>
      </c>
      <c r="H59" s="416" t="b">
        <f>Wh_hp&gt;='2023'!Maxi_hp</f>
        <v>0</v>
      </c>
      <c r="I59" s="392">
        <f>IF(H59,Wh_hp,'2023'!Maxi_hp)</f>
        <v>31.764389384281085</v>
      </c>
      <c r="J59" s="85">
        <f>IF(H59,An,'2023'!An_max)</f>
        <v>2019</v>
      </c>
      <c r="K59" s="199">
        <f t="shared" si="3"/>
        <v>45336</v>
      </c>
      <c r="L59" s="147">
        <f>IF(t&lt;Tvie,1-EXP((T0-t)*PertePVj)+'2023'!Pspv,1-EXP((T0-t)*PertePVj)+Pspv)</f>
        <v>4.5987698735862614E-2</v>
      </c>
      <c r="M59" s="872"/>
      <c r="N59" s="872"/>
      <c r="O59" s="48">
        <f>IF(t&lt;Tnet,'2023'!Resal+('2023'!Salim-'2023'!Resal)*(1-EXP(('2023'!Tnet-t)/('2023'!Tau_j))),Resal+(Salim-Resal)*(1-EXP((Tnet-t)/(Tau_j))))*Salcycl</f>
        <v>0.10327001503988804</v>
      </c>
      <c r="P59" s="171">
        <f>(INDEX(Models!$BJ59:$BT59,,T59)*(1-R59)+INDEX(Models!$BJ59:$BT59,,T59+1)*R59-ERP_i)*Q59*Ramure*Pc/MaxiM</f>
        <v>5.3313420870243801E-2</v>
      </c>
      <c r="Q59" s="307">
        <f t="shared" si="4"/>
        <v>0.9</v>
      </c>
      <c r="R59" s="179">
        <f t="shared" si="5"/>
        <v>0.10538705604555787</v>
      </c>
      <c r="S59" s="839">
        <f t="shared" si="6"/>
        <v>1</v>
      </c>
      <c r="T59" s="178">
        <f t="shared" si="7"/>
        <v>7</v>
      </c>
      <c r="U59" s="253">
        <f t="shared" si="8"/>
        <v>1.1053870560455579</v>
      </c>
      <c r="V59" s="385">
        <f t="shared" si="9"/>
        <v>25.286641704738233</v>
      </c>
      <c r="W59" s="404">
        <f t="shared" si="10"/>
        <v>14.190418767021423</v>
      </c>
      <c r="X59" s="157">
        <f t="shared" si="11"/>
        <v>45336</v>
      </c>
      <c r="Y59" s="387">
        <f t="shared" si="12"/>
        <v>13.110679802881313</v>
      </c>
      <c r="Z59" s="387">
        <f t="shared" si="22"/>
        <v>13.742673742789988</v>
      </c>
      <c r="AA59" s="388">
        <f t="shared" si="13"/>
        <v>16.587446887849701</v>
      </c>
      <c r="AB59" s="199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0.17150156767908081</v>
      </c>
      <c r="AD59" s="233">
        <f>(INDEX(Models!$BJ59:$BT59,,AH59)*(1-AF59)+INDEX(Models!$BJ59:$BT59,,AH59+1)*AF59-ERP_i)*AE59*Ramure*Pc/MaxiM</f>
        <v>5.3313420870243801E-2</v>
      </c>
      <c r="AE59" s="307">
        <f t="shared" si="15"/>
        <v>0.9</v>
      </c>
      <c r="AF59" s="179">
        <f t="shared" si="23"/>
        <v>0.10538705604555787</v>
      </c>
      <c r="AG59" s="839">
        <f t="shared" si="24"/>
        <v>1</v>
      </c>
      <c r="AH59" s="178">
        <f t="shared" si="16"/>
        <v>7</v>
      </c>
      <c r="AI59" s="227">
        <f t="shared" si="17"/>
        <v>1.1053870560455579</v>
      </c>
      <c r="AJ59" s="267" t="b">
        <f t="shared" si="18"/>
        <v>1</v>
      </c>
      <c r="AK59" s="267" t="b">
        <f t="shared" si="19"/>
        <v>0</v>
      </c>
      <c r="AL59" s="267"/>
      <c r="AM59" s="267"/>
      <c r="AN59" s="75"/>
    </row>
    <row r="60" spans="1:40" s="6" customFormat="1" ht="11.25" x14ac:dyDescent="0.2">
      <c r="A60" s="56">
        <f t="shared" si="20"/>
        <v>45337</v>
      </c>
      <c r="B60" s="413">
        <f>'2023'!Wh/'2023'!Env_an*'2024'!Env_an</f>
        <v>17.290017322123443</v>
      </c>
      <c r="C60" s="868"/>
      <c r="D60" s="395">
        <f t="shared" si="0"/>
        <v>18.123895962911945</v>
      </c>
      <c r="E60" s="387">
        <f t="shared" si="1"/>
        <v>20.21403048379203</v>
      </c>
      <c r="F60" s="387">
        <f t="shared" si="2"/>
        <v>20.785595387313915</v>
      </c>
      <c r="G60" s="110">
        <f t="shared" si="21"/>
        <v>0.65767045620291442</v>
      </c>
      <c r="H60" s="416" t="b">
        <f>Wh_hp&gt;='2023'!Maxi_hp</f>
        <v>0</v>
      </c>
      <c r="I60" s="392">
        <f>IF(H60,Wh_hp,'2023'!Maxi_hp)</f>
        <v>31.923977618483878</v>
      </c>
      <c r="J60" s="85">
        <f>IF(H60,An,'2023'!An_max)</f>
        <v>2019</v>
      </c>
      <c r="K60" s="199">
        <f t="shared" si="3"/>
        <v>45337</v>
      </c>
      <c r="L60" s="147">
        <f>IF(t&lt;Tvie,1-EXP((T0-t)*PertePVj)+'2023'!Pspv,1-EXP((T0-t)*PertePVj)+Pspv)</f>
        <v>4.6009899995835268E-2</v>
      </c>
      <c r="M60" s="872"/>
      <c r="N60" s="872"/>
      <c r="O60" s="48">
        <f>IF(t&lt;Tnet,'2023'!Resal+('2023'!Salim-'2023'!Resal)*(1-EXP(('2023'!Tnet-t)/('2023'!Tau_j))),Resal+(Salim-Resal)*(1-EXP((Tnet-t)/(Tau_j))))*Salcycl</f>
        <v>0.10340018644752672</v>
      </c>
      <c r="P60" s="171">
        <f>(INDEX(Models!$BJ60:$BT60,,T60)*(1-R60)+INDEX(Models!$BJ60:$BT60,,T60+1)*R60-ERP_i)*Q60*Ramure*Pc/MaxiM</f>
        <v>5.1430818414690806E-2</v>
      </c>
      <c r="Q60" s="307">
        <f t="shared" si="4"/>
        <v>0.9</v>
      </c>
      <c r="R60" s="179">
        <f t="shared" si="5"/>
        <v>0.10563295339842038</v>
      </c>
      <c r="S60" s="839">
        <f t="shared" si="6"/>
        <v>1</v>
      </c>
      <c r="T60" s="178">
        <f t="shared" si="7"/>
        <v>7</v>
      </c>
      <c r="U60" s="253">
        <f t="shared" si="8"/>
        <v>1.1056329533984204</v>
      </c>
      <c r="V60" s="385">
        <f t="shared" si="9"/>
        <v>25.642812613764541</v>
      </c>
      <c r="W60" s="404">
        <f t="shared" si="10"/>
        <v>17.290017322123443</v>
      </c>
      <c r="X60" s="157">
        <f t="shared" si="11"/>
        <v>45337</v>
      </c>
      <c r="Y60" s="387">
        <f t="shared" si="12"/>
        <v>15.975653414727606</v>
      </c>
      <c r="Z60" s="387">
        <f t="shared" si="22"/>
        <v>16.746141720608907</v>
      </c>
      <c r="AA60" s="388">
        <f t="shared" si="13"/>
        <v>20.21403048379203</v>
      </c>
      <c r="AB60" s="199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0.1715585007138351</v>
      </c>
      <c r="AD60" s="233">
        <f>(INDEX(Models!$BJ60:$BT60,,AH60)*(1-AF60)+INDEX(Models!$BJ60:$BT60,,AH60+1)*AF60-ERP_i)*AE60*Ramure*Pc/MaxiM</f>
        <v>5.1430818414690806E-2</v>
      </c>
      <c r="AE60" s="307">
        <f t="shared" si="15"/>
        <v>0.9</v>
      </c>
      <c r="AF60" s="179">
        <f t="shared" si="23"/>
        <v>0.10563295339842038</v>
      </c>
      <c r="AG60" s="839">
        <f t="shared" si="24"/>
        <v>1</v>
      </c>
      <c r="AH60" s="178">
        <f t="shared" si="16"/>
        <v>7</v>
      </c>
      <c r="AI60" s="227">
        <f t="shared" si="17"/>
        <v>1.1056329533984204</v>
      </c>
      <c r="AJ60" s="267" t="b">
        <f t="shared" si="18"/>
        <v>1</v>
      </c>
      <c r="AK60" s="267" t="b">
        <f t="shared" si="19"/>
        <v>0</v>
      </c>
      <c r="AL60" s="267"/>
      <c r="AM60" s="267"/>
      <c r="AN60" s="75"/>
    </row>
    <row r="61" spans="1:40" s="6" customFormat="1" ht="11.25" x14ac:dyDescent="0.2">
      <c r="A61" s="56">
        <f t="shared" si="20"/>
        <v>45338</v>
      </c>
      <c r="B61" s="413">
        <f>'2023'!Wh/'2023'!Env_an*'2024'!Env_an</f>
        <v>8.825720089053128</v>
      </c>
      <c r="C61" s="868"/>
      <c r="D61" s="395">
        <f t="shared" si="0"/>
        <v>9.2515902221568052</v>
      </c>
      <c r="E61" s="387">
        <f t="shared" si="1"/>
        <v>10.320024890837169</v>
      </c>
      <c r="F61" s="387">
        <f t="shared" si="2"/>
        <v>10.348934601858124</v>
      </c>
      <c r="G61" s="110">
        <f t="shared" si="21"/>
        <v>0.32349116225322661</v>
      </c>
      <c r="H61" s="416" t="b">
        <f>Wh_hp&gt;='2023'!Maxi_hp</f>
        <v>0</v>
      </c>
      <c r="I61" s="392">
        <f>IF(H61,Wh_hp,'2023'!Maxi_hp)</f>
        <v>32.585872870752389</v>
      </c>
      <c r="J61" s="85">
        <f>IF(H61,An,'2023'!An_max)</f>
        <v>2019</v>
      </c>
      <c r="K61" s="199">
        <f t="shared" si="3"/>
        <v>45338</v>
      </c>
      <c r="L61" s="147">
        <f>IF(t&lt;Tvie,1-EXP((T0-t)*PertePVj)+'2023'!Pspv,1-EXP((T0-t)*PertePVj)+Pspv)</f>
        <v>4.6032100739152204E-2</v>
      </c>
      <c r="M61" s="872"/>
      <c r="N61" s="872"/>
      <c r="O61" s="48">
        <f>IF(t&lt;Tnet,'2023'!Resal+('2023'!Salim-'2023'!Resal)*(1-EXP(('2023'!Tnet-t)/('2023'!Tau_j))),Resal+(Salim-Resal)*(1-EXP((Tnet-t)/(Tau_j))))*Salcycl</f>
        <v>0.10353024144631619</v>
      </c>
      <c r="P61" s="171">
        <f>(INDEX(Models!$BJ61:$BT61,,T61)*(1-R61)+INDEX(Models!$BJ61:$BT61,,T61+1)*R61-ERP_i)*Q61*Ramure*Pc/MaxiM</f>
        <v>4.9601283594199325E-2</v>
      </c>
      <c r="Q61" s="307">
        <f t="shared" si="4"/>
        <v>0.9</v>
      </c>
      <c r="R61" s="179">
        <f t="shared" si="5"/>
        <v>0.1058889816825237</v>
      </c>
      <c r="S61" s="839">
        <f t="shared" si="6"/>
        <v>1</v>
      </c>
      <c r="T61" s="178">
        <f t="shared" si="7"/>
        <v>7</v>
      </c>
      <c r="U61" s="253">
        <f t="shared" si="8"/>
        <v>1.1058889816825237</v>
      </c>
      <c r="V61" s="385">
        <f t="shared" si="9"/>
        <v>26.002102627416757</v>
      </c>
      <c r="W61" s="404">
        <f t="shared" si="10"/>
        <v>8.825720089053128</v>
      </c>
      <c r="X61" s="157">
        <f t="shared" si="11"/>
        <v>45338</v>
      </c>
      <c r="Y61" s="387">
        <f t="shared" si="12"/>
        <v>8.1554235009167222</v>
      </c>
      <c r="Z61" s="387">
        <f t="shared" si="22"/>
        <v>8.5489496106060763</v>
      </c>
      <c r="AA61" s="388">
        <f t="shared" si="13"/>
        <v>10.320024890837169</v>
      </c>
      <c r="AB61" s="199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0.171615407808132</v>
      </c>
      <c r="AD61" s="233">
        <f>(INDEX(Models!$BJ61:$BT61,,AH61)*(1-AF61)+INDEX(Models!$BJ61:$BT61,,AH61+1)*AF61-ERP_i)*AE61*Ramure*Pc/MaxiM</f>
        <v>4.9601283594199325E-2</v>
      </c>
      <c r="AE61" s="307">
        <f t="shared" si="15"/>
        <v>0.9</v>
      </c>
      <c r="AF61" s="179">
        <f t="shared" si="23"/>
        <v>0.1058889816825237</v>
      </c>
      <c r="AG61" s="839">
        <f t="shared" si="24"/>
        <v>1</v>
      </c>
      <c r="AH61" s="178">
        <f t="shared" si="16"/>
        <v>7</v>
      </c>
      <c r="AI61" s="227">
        <f t="shared" si="17"/>
        <v>1.1058889816825237</v>
      </c>
      <c r="AJ61" s="267" t="b">
        <f t="shared" si="18"/>
        <v>1</v>
      </c>
      <c r="AK61" s="267" t="b">
        <f t="shared" si="19"/>
        <v>0</v>
      </c>
      <c r="AL61" s="267"/>
      <c r="AM61" s="267"/>
      <c r="AN61" s="75"/>
    </row>
    <row r="62" spans="1:40" s="6" customFormat="1" ht="11.25" x14ac:dyDescent="0.2">
      <c r="A62" s="56">
        <f t="shared" si="20"/>
        <v>45339</v>
      </c>
      <c r="B62" s="413">
        <f>'2023'!Wh/'2023'!Env_an*'2024'!Env_an</f>
        <v>10.261044885565662</v>
      </c>
      <c r="C62" s="868"/>
      <c r="D62" s="395">
        <f t="shared" si="0"/>
        <v>10.756424496650585</v>
      </c>
      <c r="E62" s="387">
        <f t="shared" si="1"/>
        <v>12.000386562441548</v>
      </c>
      <c r="F62" s="387">
        <f t="shared" si="2"/>
        <v>12.073964398978019</v>
      </c>
      <c r="G62" s="110">
        <f t="shared" si="21"/>
        <v>0.37285710389167137</v>
      </c>
      <c r="H62" s="416" t="b">
        <f>Wh_hp&gt;='2023'!Maxi_hp</f>
        <v>0</v>
      </c>
      <c r="I62" s="392">
        <f>IF(H62,Wh_hp,'2023'!Maxi_hp)</f>
        <v>33.205489118694373</v>
      </c>
      <c r="J62" s="85">
        <f>IF(H62,An,'2023'!An_max)</f>
        <v>2019</v>
      </c>
      <c r="K62" s="199">
        <f t="shared" si="3"/>
        <v>45339</v>
      </c>
      <c r="L62" s="147">
        <f>IF(t&lt;Tvie,1-EXP((T0-t)*PertePVj)+'2023'!Pspv,1-EXP((T0-t)*PertePVj)+Pspv)</f>
        <v>4.6054300965825412E-2</v>
      </c>
      <c r="M62" s="872"/>
      <c r="N62" s="872"/>
      <c r="O62" s="48">
        <f>IF(t&lt;Tnet,'2023'!Resal+('2023'!Salim-'2023'!Resal)*(1-EXP(('2023'!Tnet-t)/('2023'!Tau_j))),Resal+(Salim-Resal)*(1-EXP((Tnet-t)/(Tau_j))))*Salcycl</f>
        <v>0.10366016622200146</v>
      </c>
      <c r="P62" s="171">
        <f>(INDEX(Models!$BJ62:$BT62,,T62)*(1-R62)+INDEX(Models!$BJ62:$BT62,,T62+1)*R62-ERP_i)*Q62*Ramure*Pc/MaxiM</f>
        <v>4.782349653270046E-2</v>
      </c>
      <c r="Q62" s="307">
        <f t="shared" si="4"/>
        <v>0.9</v>
      </c>
      <c r="R62" s="179">
        <f t="shared" si="5"/>
        <v>0.10615555028854273</v>
      </c>
      <c r="S62" s="839">
        <f t="shared" si="6"/>
        <v>1</v>
      </c>
      <c r="T62" s="178">
        <f t="shared" si="7"/>
        <v>7</v>
      </c>
      <c r="U62" s="253">
        <f t="shared" si="8"/>
        <v>1.1061555502885427</v>
      </c>
      <c r="V62" s="385">
        <f t="shared" si="9"/>
        <v>26.364605712263671</v>
      </c>
      <c r="W62" s="404">
        <f t="shared" si="10"/>
        <v>10.261044885565662</v>
      </c>
      <c r="X62" s="157">
        <f t="shared" si="11"/>
        <v>45339</v>
      </c>
      <c r="Y62" s="387">
        <f t="shared" si="12"/>
        <v>9.4824616067010759</v>
      </c>
      <c r="Z62" s="387">
        <f t="shared" si="22"/>
        <v>9.9402530105242093</v>
      </c>
      <c r="AA62" s="388">
        <f t="shared" si="13"/>
        <v>12.000386562441548</v>
      </c>
      <c r="AB62" s="199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0.17167226582225967</v>
      </c>
      <c r="AD62" s="233">
        <f>(INDEX(Models!$BJ62:$BT62,,AH62)*(1-AF62)+INDEX(Models!$BJ62:$BT62,,AH62+1)*AF62-ERP_i)*AE62*Ramure*Pc/MaxiM</f>
        <v>4.782349653270046E-2</v>
      </c>
      <c r="AE62" s="307">
        <f t="shared" si="15"/>
        <v>0.9</v>
      </c>
      <c r="AF62" s="179">
        <f t="shared" si="23"/>
        <v>0.10615555028854273</v>
      </c>
      <c r="AG62" s="839">
        <f t="shared" si="24"/>
        <v>1</v>
      </c>
      <c r="AH62" s="178">
        <f t="shared" si="16"/>
        <v>7</v>
      </c>
      <c r="AI62" s="227">
        <f t="shared" si="17"/>
        <v>1.1061555502885427</v>
      </c>
      <c r="AJ62" s="267" t="b">
        <f t="shared" si="18"/>
        <v>1</v>
      </c>
      <c r="AK62" s="267" t="b">
        <f t="shared" si="19"/>
        <v>0</v>
      </c>
      <c r="AL62" s="267"/>
      <c r="AM62" s="267"/>
      <c r="AN62" s="75"/>
    </row>
    <row r="63" spans="1:40" s="6" customFormat="1" ht="11.25" x14ac:dyDescent="0.2">
      <c r="A63" s="56">
        <f t="shared" si="20"/>
        <v>45340</v>
      </c>
      <c r="B63" s="413">
        <f>'2023'!Wh/'2023'!Env_an*'2024'!Env_an</f>
        <v>24.237875438934637</v>
      </c>
      <c r="C63" s="868"/>
      <c r="D63" s="395">
        <f t="shared" si="0"/>
        <v>25.408615529555021</v>
      </c>
      <c r="E63" s="387">
        <f t="shared" si="1"/>
        <v>28.351183378869678</v>
      </c>
      <c r="F63" s="387">
        <f t="shared" si="2"/>
        <v>29.531119394440285</v>
      </c>
      <c r="G63" s="110">
        <f t="shared" si="21"/>
        <v>0.90095300963539471</v>
      </c>
      <c r="H63" s="416" t="b">
        <f>Wh_hp&gt;='2023'!Maxi_hp</f>
        <v>0</v>
      </c>
      <c r="I63" s="392">
        <f>IF(H63,Wh_hp,'2023'!Maxi_hp)</f>
        <v>33.121421529464264</v>
      </c>
      <c r="J63" s="85">
        <f>IF(H63,An,'2023'!An_max)</f>
        <v>2019</v>
      </c>
      <c r="K63" s="199">
        <f t="shared" si="3"/>
        <v>45340</v>
      </c>
      <c r="L63" s="147">
        <f>IF(t&lt;Tvie,1-EXP((T0-t)*PertePVj)+'2023'!Pspv,1-EXP((T0-t)*PertePVj)+Pspv)</f>
        <v>4.6076500675866883E-2</v>
      </c>
      <c r="M63" s="872"/>
      <c r="N63" s="872"/>
      <c r="O63" s="48">
        <f>IF(t&lt;Tnet,'2023'!Resal+('2023'!Salim-'2023'!Resal)*(1-EXP(('2023'!Tnet-t)/('2023'!Tau_j))),Resal+(Salim-Resal)*(1-EXP((Tnet-t)/(Tau_j))))*Salcycl</f>
        <v>0.10378994802410163</v>
      </c>
      <c r="P63" s="171">
        <f>(INDEX(Models!$BJ63:$BT63,,T63)*(1-R63)+INDEX(Models!$BJ63:$BT63,,T63+1)*R63-ERP_i)*Q63*Ramure*Pc/MaxiM</f>
        <v>4.6096176891454954E-2</v>
      </c>
      <c r="Q63" s="307">
        <f t="shared" si="4"/>
        <v>0.9</v>
      </c>
      <c r="R63" s="179">
        <f t="shared" si="5"/>
        <v>0.10643308447239019</v>
      </c>
      <c r="S63" s="839">
        <f t="shared" si="6"/>
        <v>1</v>
      </c>
      <c r="T63" s="178">
        <f t="shared" si="7"/>
        <v>7</v>
      </c>
      <c r="U63" s="253">
        <f t="shared" si="8"/>
        <v>1.1064330844723902</v>
      </c>
      <c r="V63" s="385">
        <f t="shared" si="9"/>
        <v>26.730415939008278</v>
      </c>
      <c r="W63" s="404">
        <f t="shared" si="10"/>
        <v>24.237875438934637</v>
      </c>
      <c r="X63" s="157">
        <f t="shared" si="11"/>
        <v>45340</v>
      </c>
      <c r="Y63" s="387">
        <f t="shared" si="12"/>
        <v>22.400471839837383</v>
      </c>
      <c r="Z63" s="387">
        <f t="shared" si="22"/>
        <v>23.482461492675672</v>
      </c>
      <c r="AA63" s="388">
        <f t="shared" si="13"/>
        <v>28.351183378869678</v>
      </c>
      <c r="AB63" s="199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0.17172905346246312</v>
      </c>
      <c r="AD63" s="233">
        <f>(INDEX(Models!$BJ63:$BT63,,AH63)*(1-AF63)+INDEX(Models!$BJ63:$BT63,,AH63+1)*AF63-ERP_i)*AE63*Ramure*Pc/MaxiM</f>
        <v>4.6096176891454954E-2</v>
      </c>
      <c r="AE63" s="307">
        <f t="shared" si="15"/>
        <v>0.9</v>
      </c>
      <c r="AF63" s="179">
        <f t="shared" si="23"/>
        <v>0.10643308447239019</v>
      </c>
      <c r="AG63" s="839">
        <f t="shared" si="24"/>
        <v>1</v>
      </c>
      <c r="AH63" s="178">
        <f t="shared" si="16"/>
        <v>7</v>
      </c>
      <c r="AI63" s="227">
        <f t="shared" si="17"/>
        <v>1.1064330844723902</v>
      </c>
      <c r="AJ63" s="267" t="b">
        <f t="shared" si="18"/>
        <v>1</v>
      </c>
      <c r="AK63" s="267" t="b">
        <f t="shared" si="19"/>
        <v>0</v>
      </c>
      <c r="AL63" s="267"/>
      <c r="AM63" s="267"/>
      <c r="AN63" s="75"/>
    </row>
    <row r="64" spans="1:40" s="6" customFormat="1" ht="11.25" x14ac:dyDescent="0.2">
      <c r="A64" s="56">
        <f t="shared" si="20"/>
        <v>45341</v>
      </c>
      <c r="B64" s="413">
        <f>'2023'!Wh/'2023'!Env_an*'2024'!Env_an</f>
        <v>14.638361280559913</v>
      </c>
      <c r="C64" s="868"/>
      <c r="D64" s="395">
        <f t="shared" si="0"/>
        <v>15.345781873401416</v>
      </c>
      <c r="E64" s="387">
        <f t="shared" si="1"/>
        <v>17.125451524160354</v>
      </c>
      <c r="F64" s="387">
        <f t="shared" si="2"/>
        <v>17.390477878620647</v>
      </c>
      <c r="G64" s="110">
        <f t="shared" si="21"/>
        <v>0.52416322695410544</v>
      </c>
      <c r="H64" s="416" t="b">
        <f>Wh_hp&gt;='2023'!Maxi_hp</f>
        <v>0</v>
      </c>
      <c r="I64" s="392">
        <f>IF(H64,Wh_hp,'2023'!Maxi_hp)</f>
        <v>32.195162026357977</v>
      </c>
      <c r="J64" s="85">
        <f>IF(H64,An,'2023'!An_max)</f>
        <v>2021</v>
      </c>
      <c r="K64" s="199">
        <f t="shared" si="3"/>
        <v>45341</v>
      </c>
      <c r="L64" s="147">
        <f>IF(t&lt;Tvie,1-EXP((T0-t)*PertePVj)+'2023'!Pspv,1-EXP((T0-t)*PertePVj)+Pspv)</f>
        <v>4.6098699869288717E-2</v>
      </c>
      <c r="M64" s="872"/>
      <c r="N64" s="872"/>
      <c r="O64" s="48">
        <f>IF(t&lt;Tnet,'2023'!Resal+('2023'!Salim-'2023'!Resal)*(1-EXP(('2023'!Tnet-t)/('2023'!Tau_j))),Resal+(Salim-Resal)*(1-EXP((Tnet-t)/(Tau_j))))*Salcycl</f>
        <v>0.10391957539036013</v>
      </c>
      <c r="P64" s="171">
        <f>(INDEX(Models!$BJ64:$BT64,,T64)*(1-R64)+INDEX(Models!$BJ64:$BT64,,T64+1)*R64-ERP_i)*Q64*Ramure*Pc/MaxiM</f>
        <v>4.4418081585921317E-2</v>
      </c>
      <c r="Q64" s="307">
        <f t="shared" si="4"/>
        <v>0.9</v>
      </c>
      <c r="R64" s="179">
        <f t="shared" si="5"/>
        <v>0.10672202591232272</v>
      </c>
      <c r="S64" s="839">
        <f t="shared" si="6"/>
        <v>1</v>
      </c>
      <c r="T64" s="178">
        <f t="shared" si="7"/>
        <v>7</v>
      </c>
      <c r="U64" s="253">
        <f t="shared" si="8"/>
        <v>1.1067220259123227</v>
      </c>
      <c r="V64" s="385">
        <f t="shared" si="9"/>
        <v>27.099627481007932</v>
      </c>
      <c r="W64" s="404">
        <f t="shared" si="10"/>
        <v>14.638361280559913</v>
      </c>
      <c r="X64" s="157">
        <f t="shared" si="11"/>
        <v>45341</v>
      </c>
      <c r="Y64" s="387">
        <f t="shared" si="12"/>
        <v>13.529700071772641</v>
      </c>
      <c r="Z64" s="387">
        <f t="shared" si="22"/>
        <v>14.183542961854327</v>
      </c>
      <c r="AA64" s="388">
        <f t="shared" si="13"/>
        <v>17.125451524160354</v>
      </c>
      <c r="AB64" s="199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0.17178575164313903</v>
      </c>
      <c r="AD64" s="233">
        <f>(INDEX(Models!$BJ64:$BT64,,AH64)*(1-AF64)+INDEX(Models!$BJ64:$BT64,,AH64+1)*AF64-ERP_i)*AE64*Ramure*Pc/MaxiM</f>
        <v>4.4418081585921317E-2</v>
      </c>
      <c r="AE64" s="307">
        <f t="shared" si="15"/>
        <v>0.9</v>
      </c>
      <c r="AF64" s="179">
        <f t="shared" si="23"/>
        <v>0.10672202591232272</v>
      </c>
      <c r="AG64" s="839">
        <f t="shared" si="24"/>
        <v>1</v>
      </c>
      <c r="AH64" s="178">
        <f t="shared" si="16"/>
        <v>7</v>
      </c>
      <c r="AI64" s="227">
        <f t="shared" si="17"/>
        <v>1.1067220259123227</v>
      </c>
      <c r="AJ64" s="267" t="b">
        <f t="shared" si="18"/>
        <v>1</v>
      </c>
      <c r="AK64" s="267" t="b">
        <f t="shared" si="19"/>
        <v>0</v>
      </c>
      <c r="AL64" s="267"/>
      <c r="AM64" s="267"/>
      <c r="AN64" s="75"/>
    </row>
    <row r="65" spans="1:40" s="6" customFormat="1" ht="11.25" x14ac:dyDescent="0.2">
      <c r="A65" s="56">
        <f t="shared" si="20"/>
        <v>45342</v>
      </c>
      <c r="B65" s="413">
        <f>'2023'!Wh/'2023'!Env_an*'2024'!Env_an</f>
        <v>17.526381435682602</v>
      </c>
      <c r="C65" s="868"/>
      <c r="D65" s="395">
        <f t="shared" si="0"/>
        <v>18.373797485414023</v>
      </c>
      <c r="E65" s="387">
        <f t="shared" si="1"/>
        <v>20.507592794896937</v>
      </c>
      <c r="F65" s="387">
        <f t="shared" si="2"/>
        <v>20.940155186870122</v>
      </c>
      <c r="G65" s="110">
        <f t="shared" si="21"/>
        <v>0.62353538993389146</v>
      </c>
      <c r="H65" s="416" t="b">
        <f>Wh_hp&gt;='2023'!Maxi_hp</f>
        <v>0</v>
      </c>
      <c r="I65" s="392">
        <f>IF(H65,Wh_hp,'2023'!Maxi_hp)</f>
        <v>33.58083461156118</v>
      </c>
      <c r="J65" s="85">
        <f>IF(H65,An,'2023'!An_max)</f>
        <v>2020</v>
      </c>
      <c r="K65" s="199">
        <f t="shared" si="3"/>
        <v>45342</v>
      </c>
      <c r="L65" s="147">
        <f>IF(t&lt;Tvie,1-EXP((T0-t)*PertePVj)+'2023'!Pspv,1-EXP((T0-t)*PertePVj)+Pspv)</f>
        <v>4.6120898546102906E-2</v>
      </c>
      <c r="M65" s="872"/>
      <c r="N65" s="872"/>
      <c r="O65" s="48">
        <f>IF(t&lt;Tnet,'2023'!Resal+('2023'!Salim-'2023'!Resal)*(1-EXP(('2023'!Tnet-t)/('2023'!Tau_j))),Resal+(Salim-Resal)*(1-EXP((Tnet-t)/(Tau_j))))*Salcycl</f>
        <v>0.10404903836465296</v>
      </c>
      <c r="P65" s="171">
        <f>(INDEX(Models!$BJ65:$BT65,,T65)*(1-R65)+INDEX(Models!$BJ65:$BT65,,T65+1)*R65-ERP_i)*Q65*Ramure*Pc/MaxiM</f>
        <v>4.2787123089653392E-2</v>
      </c>
      <c r="Q65" s="307">
        <f t="shared" si="4"/>
        <v>0.9</v>
      </c>
      <c r="R65" s="179">
        <f t="shared" si="5"/>
        <v>0.10702283328059714</v>
      </c>
      <c r="S65" s="839">
        <f t="shared" si="6"/>
        <v>1</v>
      </c>
      <c r="T65" s="178">
        <f t="shared" si="7"/>
        <v>7</v>
      </c>
      <c r="U65" s="253">
        <f t="shared" si="8"/>
        <v>1.1070228332805971</v>
      </c>
      <c r="V65" s="385">
        <f t="shared" si="9"/>
        <v>27.472924609438355</v>
      </c>
      <c r="W65" s="404">
        <f t="shared" si="10"/>
        <v>17.526381435682602</v>
      </c>
      <c r="X65" s="157">
        <f t="shared" si="11"/>
        <v>45342</v>
      </c>
      <c r="Y65" s="387">
        <f t="shared" si="12"/>
        <v>16.200224780509437</v>
      </c>
      <c r="Z65" s="387">
        <f t="shared" si="22"/>
        <v>16.983519982581804</v>
      </c>
      <c r="AA65" s="388">
        <f t="shared" si="13"/>
        <v>20.507592794896937</v>
      </c>
      <c r="AB65" s="199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0.17184234383628172</v>
      </c>
      <c r="AD65" s="233">
        <f>(INDEX(Models!$BJ65:$BT65,,AH65)*(1-AF65)+INDEX(Models!$BJ65:$BT65,,AH65+1)*AF65-ERP_i)*AE65*Ramure*Pc/MaxiM</f>
        <v>4.2787123089653392E-2</v>
      </c>
      <c r="AE65" s="307">
        <f t="shared" si="15"/>
        <v>0.9</v>
      </c>
      <c r="AF65" s="179">
        <f t="shared" si="23"/>
        <v>0.10702283328059714</v>
      </c>
      <c r="AG65" s="839">
        <f t="shared" si="24"/>
        <v>1</v>
      </c>
      <c r="AH65" s="178">
        <f t="shared" si="16"/>
        <v>7</v>
      </c>
      <c r="AI65" s="227">
        <f t="shared" si="17"/>
        <v>1.1070228332805971</v>
      </c>
      <c r="AJ65" s="267" t="b">
        <f t="shared" si="18"/>
        <v>1</v>
      </c>
      <c r="AK65" s="267" t="b">
        <f t="shared" si="19"/>
        <v>0</v>
      </c>
      <c r="AL65" s="267"/>
      <c r="AM65" s="267"/>
      <c r="AN65" s="75"/>
    </row>
    <row r="66" spans="1:40" s="6" customFormat="1" ht="11.25" x14ac:dyDescent="0.2">
      <c r="A66" s="56">
        <f t="shared" si="20"/>
        <v>45343</v>
      </c>
      <c r="B66" s="413">
        <f>'2023'!Wh/'2023'!Env_an*'2024'!Env_an</f>
        <v>18.002830673627138</v>
      </c>
      <c r="C66" s="868"/>
      <c r="D66" s="395">
        <f t="shared" si="0"/>
        <v>18.873722684674359</v>
      </c>
      <c r="E66" s="387">
        <f t="shared" si="1"/>
        <v>21.068615874649765</v>
      </c>
      <c r="F66" s="387">
        <f t="shared" si="2"/>
        <v>21.506989319828882</v>
      </c>
      <c r="G66" s="110">
        <f t="shared" si="21"/>
        <v>0.63266805180477936</v>
      </c>
      <c r="H66" s="416" t="b">
        <f>Wh_hp&gt;='2023'!Maxi_hp</f>
        <v>0</v>
      </c>
      <c r="I66" s="392">
        <f>IF(H66,Wh_hp,'2023'!Maxi_hp)</f>
        <v>33.349979242504801</v>
      </c>
      <c r="J66" s="85">
        <f>IF(H66,An,'2023'!An_max)</f>
        <v>2019</v>
      </c>
      <c r="K66" s="199">
        <f t="shared" si="3"/>
        <v>45343</v>
      </c>
      <c r="L66" s="147">
        <f>IF(t&lt;Tvie,1-EXP((T0-t)*PertePVj)+'2023'!Pspv,1-EXP((T0-t)*PertePVj)+Pspv)</f>
        <v>4.614309670632144E-2</v>
      </c>
      <c r="M66" s="872"/>
      <c r="N66" s="872"/>
      <c r="O66" s="48">
        <f>IF(t&lt;Tnet,'2023'!Resal+('2023'!Salim-'2023'!Resal)*(1-EXP(('2023'!Tnet-t)/('2023'!Tau_j))),Resal+(Salim-Resal)*(1-EXP((Tnet-t)/(Tau_j))))*Salcycl</f>
        <v>0.10417832870627022</v>
      </c>
      <c r="P66" s="171">
        <f>(INDEX(Models!$BJ66:$BT66,,T66)*(1-R66)+INDEX(Models!$BJ66:$BT66,,T66+1)*R66-ERP_i)*Q66*Ramure*Pc/MaxiM</f>
        <v>4.1189648202578963E-2</v>
      </c>
      <c r="Q66" s="307">
        <f t="shared" si="4"/>
        <v>0.9</v>
      </c>
      <c r="R66" s="179">
        <f t="shared" si="5"/>
        <v>0.10733598282959855</v>
      </c>
      <c r="S66" s="839">
        <f t="shared" si="6"/>
        <v>1</v>
      </c>
      <c r="T66" s="178">
        <f t="shared" si="7"/>
        <v>7</v>
      </c>
      <c r="U66" s="253">
        <f t="shared" si="8"/>
        <v>1.1073359828295986</v>
      </c>
      <c r="V66" s="385">
        <f t="shared" si="9"/>
        <v>27.851027436340171</v>
      </c>
      <c r="W66" s="404">
        <f t="shared" si="10"/>
        <v>18.002830673627138</v>
      </c>
      <c r="X66" s="157">
        <f t="shared" si="11"/>
        <v>45343</v>
      </c>
      <c r="Y66" s="387">
        <f t="shared" si="12"/>
        <v>16.641889637882802</v>
      </c>
      <c r="Z66" s="387">
        <f t="shared" si="22"/>
        <v>17.446945742509353</v>
      </c>
      <c r="AA66" s="388">
        <f t="shared" si="13"/>
        <v>21.068615874649765</v>
      </c>
      <c r="AB66" s="199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0.17189881640483504</v>
      </c>
      <c r="AD66" s="233">
        <f>(INDEX(Models!$BJ66:$BT66,,AH66)*(1-AF66)+INDEX(Models!$BJ66:$BT66,,AH66+1)*AF66-ERP_i)*AE66*Ramure*Pc/MaxiM</f>
        <v>4.1189648202578963E-2</v>
      </c>
      <c r="AE66" s="307">
        <f t="shared" si="15"/>
        <v>0.9</v>
      </c>
      <c r="AF66" s="179">
        <f t="shared" si="23"/>
        <v>0.10733598282959855</v>
      </c>
      <c r="AG66" s="839">
        <f t="shared" si="24"/>
        <v>1</v>
      </c>
      <c r="AH66" s="178">
        <f t="shared" si="16"/>
        <v>7</v>
      </c>
      <c r="AI66" s="227">
        <f t="shared" si="17"/>
        <v>1.1073359828295986</v>
      </c>
      <c r="AJ66" s="267" t="b">
        <f t="shared" si="18"/>
        <v>1</v>
      </c>
      <c r="AK66" s="267" t="b">
        <f t="shared" si="19"/>
        <v>0</v>
      </c>
      <c r="AL66" s="267"/>
      <c r="AM66" s="267"/>
      <c r="AN66" s="75"/>
    </row>
    <row r="67" spans="1:40" s="6" customFormat="1" ht="11.25" x14ac:dyDescent="0.2">
      <c r="A67" s="56">
        <f t="shared" si="20"/>
        <v>45344</v>
      </c>
      <c r="B67" s="413">
        <f>'2023'!Wh/'2023'!Env_an*'2024'!Env_an</f>
        <v>26.626338848379479</v>
      </c>
      <c r="C67" s="868"/>
      <c r="D67" s="395">
        <f t="shared" si="0"/>
        <v>27.915045123288401</v>
      </c>
      <c r="E67" s="387">
        <f t="shared" si="1"/>
        <v>31.165878084384595</v>
      </c>
      <c r="F67" s="387">
        <f t="shared" si="2"/>
        <v>32.343212362910364</v>
      </c>
      <c r="G67" s="110">
        <f t="shared" si="21"/>
        <v>0.93991855400917035</v>
      </c>
      <c r="H67" s="416" t="b">
        <f>Wh_hp&gt;='2023'!Maxi_hp</f>
        <v>0</v>
      </c>
      <c r="I67" s="392">
        <f>IF(H67,Wh_hp,'2023'!Maxi_hp)</f>
        <v>33.437622553718462</v>
      </c>
      <c r="J67" s="85">
        <f>IF(H67,An,'2023'!An_max)</f>
        <v>2020</v>
      </c>
      <c r="K67" s="199">
        <f t="shared" si="3"/>
        <v>45344</v>
      </c>
      <c r="L67" s="147">
        <f>IF(t&lt;Tvie,1-EXP((T0-t)*PertePVj)+'2023'!Pspv,1-EXP((T0-t)*PertePVj)+Pspv)</f>
        <v>4.616529434995631E-2</v>
      </c>
      <c r="M67" s="872"/>
      <c r="N67" s="872"/>
      <c r="O67" s="48">
        <f>IF(t&lt;Tnet,'2023'!Resal+('2023'!Salim-'2023'!Resal)*(1-EXP(('2023'!Tnet-t)/('2023'!Tau_j))),Resal+(Salim-Resal)*(1-EXP((Tnet-t)/(Tau_j))))*Salcycl</f>
        <v>0.10430744008862036</v>
      </c>
      <c r="P67" s="171">
        <f>(INDEX(Models!$BJ67:$BT67,,T67)*(1-R67)+INDEX(Models!$BJ67:$BT67,,T67+1)*R67-ERP_i)*Q67*Ramure*Pc/MaxiM</f>
        <v>3.9623684943185716E-2</v>
      </c>
      <c r="Q67" s="307">
        <f t="shared" si="4"/>
        <v>0.9</v>
      </c>
      <c r="R67" s="179">
        <f t="shared" si="5"/>
        <v>0.10766196899229552</v>
      </c>
      <c r="S67" s="839">
        <f t="shared" si="6"/>
        <v>1</v>
      </c>
      <c r="T67" s="178">
        <f t="shared" si="7"/>
        <v>7</v>
      </c>
      <c r="U67" s="253">
        <f t="shared" si="8"/>
        <v>1.1076619689922955</v>
      </c>
      <c r="V67" s="385">
        <f t="shared" si="9"/>
        <v>28.233613008154446</v>
      </c>
      <c r="W67" s="404">
        <f t="shared" si="10"/>
        <v>26.626338848379479</v>
      </c>
      <c r="X67" s="157">
        <f t="shared" si="11"/>
        <v>45344</v>
      </c>
      <c r="Y67" s="387">
        <f t="shared" si="12"/>
        <v>24.615368606516085</v>
      </c>
      <c r="Z67" s="387">
        <f t="shared" si="22"/>
        <v>25.8067445656012</v>
      </c>
      <c r="AA67" s="388">
        <f t="shared" si="13"/>
        <v>31.165878084384595</v>
      </c>
      <c r="AB67" s="199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0.17195515891684576</v>
      </c>
      <c r="AD67" s="233">
        <f>(INDEX(Models!$BJ67:$BT67,,AH67)*(1-AF67)+INDEX(Models!$BJ67:$BT67,,AH67+1)*AF67-ERP_i)*AE67*Ramure*Pc/MaxiM</f>
        <v>3.9623684943185716E-2</v>
      </c>
      <c r="AE67" s="307">
        <f t="shared" si="15"/>
        <v>0.9</v>
      </c>
      <c r="AF67" s="179">
        <f t="shared" si="23"/>
        <v>0.10766196899229552</v>
      </c>
      <c r="AG67" s="839">
        <f t="shared" si="24"/>
        <v>1</v>
      </c>
      <c r="AH67" s="178">
        <f t="shared" si="16"/>
        <v>7</v>
      </c>
      <c r="AI67" s="227">
        <f t="shared" si="17"/>
        <v>1.1076619689922955</v>
      </c>
      <c r="AJ67" s="267" t="b">
        <f t="shared" si="18"/>
        <v>1</v>
      </c>
      <c r="AK67" s="267" t="b">
        <f t="shared" si="19"/>
        <v>0</v>
      </c>
      <c r="AL67" s="267"/>
      <c r="AM67" s="267"/>
      <c r="AN67" s="75"/>
    </row>
    <row r="68" spans="1:40" s="6" customFormat="1" ht="11.25" x14ac:dyDescent="0.2">
      <c r="A68" s="56">
        <f t="shared" si="20"/>
        <v>45345</v>
      </c>
      <c r="B68" s="413">
        <f>'2023'!Wh/'2023'!Env_an*'2024'!Env_an</f>
        <v>28.207597699556651</v>
      </c>
      <c r="C68" s="868"/>
      <c r="D68" s="395">
        <f t="shared" si="0"/>
        <v>29.573524615689227</v>
      </c>
      <c r="E68" s="387">
        <f t="shared" si="1"/>
        <v>33.022248300854145</v>
      </c>
      <c r="F68" s="387">
        <f t="shared" si="2"/>
        <v>34.301860423365376</v>
      </c>
      <c r="G68" s="110">
        <f t="shared" si="21"/>
        <v>0.98477667051265994</v>
      </c>
      <c r="H68" s="416" t="b">
        <f>Wh_hp&gt;='2023'!Maxi_hp</f>
        <v>0</v>
      </c>
      <c r="I68" s="392">
        <f>IF(H68,Wh_hp,'2023'!Maxi_hp)</f>
        <v>34.318205709303783</v>
      </c>
      <c r="J68" s="85">
        <f>IF(H68,An,'2023'!An_max)</f>
        <v>2022</v>
      </c>
      <c r="K68" s="199">
        <f t="shared" si="3"/>
        <v>45345</v>
      </c>
      <c r="L68" s="147">
        <f>IF(t&lt;Tvie,1-EXP((T0-t)*PertePVj)+'2023'!Pspv,1-EXP((T0-t)*PertePVj)+Pspv)</f>
        <v>4.6187491477019615E-2</v>
      </c>
      <c r="M68" s="872"/>
      <c r="N68" s="872"/>
      <c r="O68" s="48">
        <f>IF(t&lt;Tnet,'2023'!Resal+('2023'!Salim-'2023'!Resal)*(1-EXP(('2023'!Tnet-t)/('2023'!Tau_j))),Resal+(Salim-Resal)*(1-EXP((Tnet-t)/(Tau_j))))*Salcycl</f>
        <v>0.10443636828555102</v>
      </c>
      <c r="P68" s="171">
        <f>(INDEX(Models!$BJ68:$BT68,,T68)*(1-R68)+INDEX(Models!$BJ68:$BT68,,T68+1)*R68-ERP_i)*Q68*Ramure*Pc/MaxiM</f>
        <v>3.8089089935403692E-2</v>
      </c>
      <c r="Q68" s="307">
        <f t="shared" si="4"/>
        <v>0.9</v>
      </c>
      <c r="R68" s="179">
        <f t="shared" si="5"/>
        <v>0.10800130499682448</v>
      </c>
      <c r="S68" s="839">
        <f t="shared" si="6"/>
        <v>1</v>
      </c>
      <c r="T68" s="178">
        <f t="shared" si="7"/>
        <v>7</v>
      </c>
      <c r="U68" s="253">
        <f t="shared" si="8"/>
        <v>1.1080013049968245</v>
      </c>
      <c r="V68" s="385">
        <f t="shared" si="9"/>
        <v>28.620303630806291</v>
      </c>
      <c r="W68" s="404">
        <f t="shared" si="10"/>
        <v>28.207597699556651</v>
      </c>
      <c r="X68" s="157">
        <f t="shared" si="11"/>
        <v>45345</v>
      </c>
      <c r="Y68" s="387">
        <f t="shared" si="12"/>
        <v>26.07918578274349</v>
      </c>
      <c r="Z68" s="387">
        <f t="shared" si="22"/>
        <v>27.34204631382768</v>
      </c>
      <c r="AA68" s="388">
        <f t="shared" si="13"/>
        <v>33.022248300854145</v>
      </c>
      <c r="AB68" s="199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0.17201136443757958</v>
      </c>
      <c r="AD68" s="233">
        <f>(INDEX(Models!$BJ68:$BT68,,AH68)*(1-AF68)+INDEX(Models!$BJ68:$BT68,,AH68+1)*AF68-ERP_i)*AE68*Ramure*Pc/MaxiM</f>
        <v>3.8089089935403692E-2</v>
      </c>
      <c r="AE68" s="307">
        <f t="shared" si="15"/>
        <v>0.9</v>
      </c>
      <c r="AF68" s="179">
        <f t="shared" si="23"/>
        <v>0.10800130499682448</v>
      </c>
      <c r="AG68" s="839">
        <f t="shared" si="24"/>
        <v>1</v>
      </c>
      <c r="AH68" s="178">
        <f t="shared" si="16"/>
        <v>7</v>
      </c>
      <c r="AI68" s="227">
        <f t="shared" si="17"/>
        <v>1.1080013049968245</v>
      </c>
      <c r="AJ68" s="267" t="b">
        <f t="shared" si="18"/>
        <v>1</v>
      </c>
      <c r="AK68" s="267" t="b">
        <f t="shared" si="19"/>
        <v>0</v>
      </c>
      <c r="AL68" s="267"/>
      <c r="AM68" s="267"/>
      <c r="AN68" s="75"/>
    </row>
    <row r="69" spans="1:40" s="6" customFormat="1" ht="11.25" x14ac:dyDescent="0.2">
      <c r="A69" s="56">
        <f t="shared" si="20"/>
        <v>45346</v>
      </c>
      <c r="B69" s="413">
        <f>'2023'!Wh/'2023'!Env_an*'2024'!Env_an</f>
        <v>16.988800691992211</v>
      </c>
      <c r="C69" s="868"/>
      <c r="D69" s="395">
        <f t="shared" si="0"/>
        <v>17.811882213321503</v>
      </c>
      <c r="E69" s="387">
        <f t="shared" si="1"/>
        <v>19.891878727273173</v>
      </c>
      <c r="F69" s="387">
        <f t="shared" si="2"/>
        <v>20.193309156761615</v>
      </c>
      <c r="G69" s="110">
        <f t="shared" si="21"/>
        <v>0.57272877323555493</v>
      </c>
      <c r="H69" s="416" t="b">
        <f>Wh_hp&gt;='2023'!Maxi_hp</f>
        <v>0</v>
      </c>
      <c r="I69" s="392">
        <f>IF(H69,Wh_hp,'2023'!Maxi_hp)</f>
        <v>35.33766783326174</v>
      </c>
      <c r="J69" s="85">
        <f>IF(H69,An,'2023'!An_max)</f>
        <v>2020</v>
      </c>
      <c r="K69" s="199">
        <f t="shared" si="3"/>
        <v>45346</v>
      </c>
      <c r="L69" s="147">
        <f>IF(t&lt;Tvie,1-EXP((T0-t)*PertePVj)+'2023'!Pspv,1-EXP((T0-t)*PertePVj)+Pspv)</f>
        <v>4.6209688087523348E-2</v>
      </c>
      <c r="M69" s="872"/>
      <c r="N69" s="872"/>
      <c r="O69" s="48">
        <f>IF(t&lt;Tnet,'2023'!Resal+('2023'!Salim-'2023'!Resal)*(1-EXP(('2023'!Tnet-t)/('2023'!Tau_j))),Resal+(Salim-Resal)*(1-EXP((Tnet-t)/(Tau_j))))*Salcycl</f>
        <v>0.10456511134364845</v>
      </c>
      <c r="P69" s="171">
        <f>(INDEX(Models!$BJ69:$BT69,,T69)*(1-R69)+INDEX(Models!$BJ69:$BT69,,T69+1)*R69-ERP_i)*Q69*Ramure*Pc/MaxiM</f>
        <v>3.6585824924933417E-2</v>
      </c>
      <c r="Q69" s="307">
        <f t="shared" si="4"/>
        <v>0.9</v>
      </c>
      <c r="R69" s="179">
        <f t="shared" si="5"/>
        <v>0.10835452349493013</v>
      </c>
      <c r="S69" s="839">
        <f t="shared" si="6"/>
        <v>1</v>
      </c>
      <c r="T69" s="178">
        <f t="shared" si="7"/>
        <v>7</v>
      </c>
      <c r="U69" s="253">
        <f t="shared" si="8"/>
        <v>1.1083545234949301</v>
      </c>
      <c r="V69" s="385">
        <f t="shared" si="9"/>
        <v>29.010715673130647</v>
      </c>
      <c r="W69" s="404">
        <f t="shared" si="10"/>
        <v>16.988800691992211</v>
      </c>
      <c r="X69" s="157">
        <f t="shared" si="11"/>
        <v>45346</v>
      </c>
      <c r="Y69" s="387">
        <f t="shared" si="12"/>
        <v>15.708100722647652</v>
      </c>
      <c r="Z69" s="387">
        <f t="shared" si="22"/>
        <v>16.469134280836652</v>
      </c>
      <c r="AA69" s="388">
        <f t="shared" si="13"/>
        <v>19.891878727273173</v>
      </c>
      <c r="AB69" s="199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0.17206742979705061</v>
      </c>
      <c r="AD69" s="233">
        <f>(INDEX(Models!$BJ69:$BT69,,AH69)*(1-AF69)+INDEX(Models!$BJ69:$BT69,,AH69+1)*AF69-ERP_i)*AE69*Ramure*Pc/MaxiM</f>
        <v>3.6585824924933417E-2</v>
      </c>
      <c r="AE69" s="307">
        <f t="shared" si="15"/>
        <v>0.9</v>
      </c>
      <c r="AF69" s="179">
        <f t="shared" si="23"/>
        <v>0.10835452349493013</v>
      </c>
      <c r="AG69" s="839">
        <f t="shared" si="24"/>
        <v>1</v>
      </c>
      <c r="AH69" s="178">
        <f t="shared" si="16"/>
        <v>7</v>
      </c>
      <c r="AI69" s="227">
        <f t="shared" si="17"/>
        <v>1.1083545234949301</v>
      </c>
      <c r="AJ69" s="267" t="b">
        <f t="shared" si="18"/>
        <v>1</v>
      </c>
      <c r="AK69" s="267" t="b">
        <f t="shared" si="19"/>
        <v>0</v>
      </c>
      <c r="AL69" s="267"/>
      <c r="AM69" s="267"/>
      <c r="AN69" s="75"/>
    </row>
    <row r="70" spans="1:40" s="6" customFormat="1" ht="11.25" x14ac:dyDescent="0.2">
      <c r="A70" s="56">
        <f t="shared" si="20"/>
        <v>45347</v>
      </c>
      <c r="B70" s="413">
        <f>'2023'!Wh/'2023'!Env_an*'2024'!Env_an</f>
        <v>25.159426065107443</v>
      </c>
      <c r="C70" s="868"/>
      <c r="D70" s="395">
        <f t="shared" si="0"/>
        <v>26.378975820045852</v>
      </c>
      <c r="E70" s="387">
        <f t="shared" si="1"/>
        <v>29.463631528615881</v>
      </c>
      <c r="F70" s="387">
        <f t="shared" si="2"/>
        <v>30.308384880854618</v>
      </c>
      <c r="G70" s="110">
        <f t="shared" si="21"/>
        <v>0.8492588328569225</v>
      </c>
      <c r="H70" s="416" t="b">
        <f>Wh_hp&gt;='2023'!Maxi_hp</f>
        <v>0</v>
      </c>
      <c r="I70" s="392">
        <f>IF(H70,Wh_hp,'2023'!Maxi_hp)</f>
        <v>35.142931851813223</v>
      </c>
      <c r="J70" s="85">
        <f>IF(H70,An,'2023'!An_max)</f>
        <v>2019</v>
      </c>
      <c r="K70" s="199">
        <f t="shared" si="3"/>
        <v>45347</v>
      </c>
      <c r="L70" s="147">
        <f>IF(t&lt;Tvie,1-EXP((T0-t)*PertePVj)+'2023'!Pspv,1-EXP((T0-t)*PertePVj)+Pspv)</f>
        <v>4.6231884181479499E-2</v>
      </c>
      <c r="M70" s="872"/>
      <c r="N70" s="872"/>
      <c r="O70" s="48">
        <f>IF(t&lt;Tnet,'2023'!Resal+('2023'!Salim-'2023'!Resal)*(1-EXP(('2023'!Tnet-t)/('2023'!Tau_j))),Resal+(Salim-Resal)*(1-EXP((Tnet-t)/(Tau_j))))*Salcycl</f>
        <v>0.10469366973905191</v>
      </c>
      <c r="P70" s="171">
        <f>(INDEX(Models!$BJ70:$BT70,,T70)*(1-R70)+INDEX(Models!$BJ70:$BT70,,T70+1)*R70-ERP_i)*Q70*Ramure*Pc/MaxiM</f>
        <v>3.5113754976639662E-2</v>
      </c>
      <c r="Q70" s="307">
        <f t="shared" si="4"/>
        <v>0.9</v>
      </c>
      <c r="R70" s="179">
        <f t="shared" si="5"/>
        <v>0.10872217720392063</v>
      </c>
      <c r="S70" s="839">
        <f t="shared" si="6"/>
        <v>1</v>
      </c>
      <c r="T70" s="178">
        <f t="shared" si="7"/>
        <v>7</v>
      </c>
      <c r="U70" s="253">
        <f t="shared" si="8"/>
        <v>1.1087221772039206</v>
      </c>
      <c r="V70" s="385">
        <f t="shared" si="9"/>
        <v>29.404465651584427</v>
      </c>
      <c r="W70" s="404">
        <f t="shared" si="10"/>
        <v>25.159426065107443</v>
      </c>
      <c r="X70" s="157">
        <f t="shared" si="11"/>
        <v>45347</v>
      </c>
      <c r="Y70" s="387">
        <f t="shared" si="12"/>
        <v>23.264552607301784</v>
      </c>
      <c r="Z70" s="387">
        <f t="shared" si="22"/>
        <v>24.392252394950553</v>
      </c>
      <c r="AA70" s="388">
        <f t="shared" si="13"/>
        <v>29.463631528615881</v>
      </c>
      <c r="AB70" s="199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0.17212335583072524</v>
      </c>
      <c r="AD70" s="233">
        <f>(INDEX(Models!$BJ70:$BT70,,AH70)*(1-AF70)+INDEX(Models!$BJ70:$BT70,,AH70+1)*AF70-ERP_i)*AE70*Ramure*Pc/MaxiM</f>
        <v>3.5113754976639662E-2</v>
      </c>
      <c r="AE70" s="307">
        <f t="shared" si="15"/>
        <v>0.9</v>
      </c>
      <c r="AF70" s="179">
        <f t="shared" si="23"/>
        <v>0.10872217720392063</v>
      </c>
      <c r="AG70" s="839">
        <f t="shared" si="24"/>
        <v>1</v>
      </c>
      <c r="AH70" s="178">
        <f t="shared" si="16"/>
        <v>7</v>
      </c>
      <c r="AI70" s="227">
        <f t="shared" si="17"/>
        <v>1.1087221772039206</v>
      </c>
      <c r="AJ70" s="267" t="b">
        <f t="shared" si="18"/>
        <v>1</v>
      </c>
      <c r="AK70" s="267" t="b">
        <f t="shared" si="19"/>
        <v>0</v>
      </c>
      <c r="AL70" s="267"/>
      <c r="AM70" s="267"/>
      <c r="AN70" s="75"/>
    </row>
    <row r="71" spans="1:40" s="6" customFormat="1" ht="11.25" x14ac:dyDescent="0.2">
      <c r="A71" s="56">
        <f t="shared" si="20"/>
        <v>45348</v>
      </c>
      <c r="B71" s="413">
        <f>'2023'!Wh/'2023'!Env_an*'2024'!Env_an</f>
        <v>30.722603082284351</v>
      </c>
      <c r="C71" s="868"/>
      <c r="D71" s="395">
        <f t="shared" si="0"/>
        <v>32.212565663733486</v>
      </c>
      <c r="E71" s="387">
        <f t="shared" si="1"/>
        <v>35.984538647782472</v>
      </c>
      <c r="F71" s="387">
        <f t="shared" si="2"/>
        <v>37.238456464048674</v>
      </c>
      <c r="G71" s="110">
        <f t="shared" si="21"/>
        <v>1.0309193519733113</v>
      </c>
      <c r="H71" s="416" t="b">
        <f>Wh_hp&gt;='2023'!Maxi_hp</f>
        <v>1</v>
      </c>
      <c r="I71" s="392">
        <f>IF(H71,Wh_hp,'2023'!Maxi_hp)</f>
        <v>37.238456464048674</v>
      </c>
      <c r="J71" s="85">
        <f>IF(H71,An,'2023'!An_max)</f>
        <v>2024</v>
      </c>
      <c r="K71" s="199">
        <f t="shared" si="3"/>
        <v>45348</v>
      </c>
      <c r="L71" s="147">
        <f>IF(t&lt;Tvie,1-EXP((T0-t)*PertePVj)+'2023'!Pspv,1-EXP((T0-t)*PertePVj)+Pspv)</f>
        <v>4.6254079758900168E-2</v>
      </c>
      <c r="M71" s="872"/>
      <c r="N71" s="872"/>
      <c r="O71" s="48">
        <f>IF(t&lt;Tnet,'2023'!Resal+('2023'!Salim-'2023'!Resal)*(1-EXP(('2023'!Tnet-t)/('2023'!Tau_j))),Resal+(Salim-Resal)*(1-EXP((Tnet-t)/(Tau_j))))*Salcycl</f>
        <v>0.10482204651750987</v>
      </c>
      <c r="P71" s="171">
        <f>(INDEX(Models!$BJ71:$BT71,,T71)*(1-R71)+INDEX(Models!$BJ71:$BT71,,T71+1)*R71-ERP_i)*Q71*Ramure*Pc/MaxiM</f>
        <v>3.3672658196152172E-2</v>
      </c>
      <c r="Q71" s="307">
        <f t="shared" si="4"/>
        <v>0.9</v>
      </c>
      <c r="R71" s="179">
        <f t="shared" si="5"/>
        <v>0.10910483956171202</v>
      </c>
      <c r="S71" s="839">
        <f t="shared" si="6"/>
        <v>1</v>
      </c>
      <c r="T71" s="178">
        <f t="shared" si="7"/>
        <v>7</v>
      </c>
      <c r="U71" s="253">
        <f t="shared" si="8"/>
        <v>1.109104839561712</v>
      </c>
      <c r="V71" s="385">
        <f t="shared" si="9"/>
        <v>29.801170211304463</v>
      </c>
      <c r="W71" s="404">
        <f t="shared" si="10"/>
        <v>30.722603082284351</v>
      </c>
      <c r="X71" s="157">
        <f t="shared" si="11"/>
        <v>45348</v>
      </c>
      <c r="Y71" s="387">
        <f t="shared" si="12"/>
        <v>28.410900171127352</v>
      </c>
      <c r="Z71" s="387">
        <f t="shared" si="22"/>
        <v>29.788751456934452</v>
      </c>
      <c r="AA71" s="388">
        <f t="shared" si="13"/>
        <v>35.984538647782472</v>
      </c>
      <c r="AB71" s="199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0.17217914759148459</v>
      </c>
      <c r="AD71" s="233">
        <f>(INDEX(Models!$BJ71:$BT71,,AH71)*(1-AF71)+INDEX(Models!$BJ71:$BT71,,AH71+1)*AF71-ERP_i)*AE71*Ramure*Pc/MaxiM</f>
        <v>3.3672658196152172E-2</v>
      </c>
      <c r="AE71" s="307">
        <f t="shared" si="15"/>
        <v>0.9</v>
      </c>
      <c r="AF71" s="179">
        <f t="shared" si="23"/>
        <v>0.10910483956171202</v>
      </c>
      <c r="AG71" s="839">
        <f t="shared" si="24"/>
        <v>1</v>
      </c>
      <c r="AH71" s="178">
        <f t="shared" si="16"/>
        <v>7</v>
      </c>
      <c r="AI71" s="227">
        <f t="shared" si="17"/>
        <v>1.109104839561712</v>
      </c>
      <c r="AJ71" s="267" t="b">
        <f t="shared" si="18"/>
        <v>1</v>
      </c>
      <c r="AK71" s="267" t="b">
        <f t="shared" si="19"/>
        <v>0</v>
      </c>
      <c r="AL71" s="267"/>
      <c r="AM71" s="267"/>
      <c r="AN71" s="75"/>
    </row>
    <row r="72" spans="1:40" s="6" customFormat="1" ht="11.25" x14ac:dyDescent="0.2">
      <c r="A72" s="56">
        <f t="shared" si="20"/>
        <v>45349</v>
      </c>
      <c r="B72" s="413">
        <f>'2023'!Wh/'2023'!Env_an*'2024'!Env_an</f>
        <v>23.472014432397831</v>
      </c>
      <c r="C72" s="868"/>
      <c r="D72" s="395">
        <f t="shared" si="0"/>
        <v>24.610915942101446</v>
      </c>
      <c r="E72" s="387">
        <f t="shared" si="1"/>
        <v>27.496701575601286</v>
      </c>
      <c r="F72" s="387">
        <f t="shared" si="2"/>
        <v>28.115326246196545</v>
      </c>
      <c r="G72" s="110">
        <f t="shared" si="21"/>
        <v>0.7690546839433039</v>
      </c>
      <c r="H72" s="416" t="b">
        <f>Wh_hp&gt;='2023'!Maxi_hp</f>
        <v>0</v>
      </c>
      <c r="I72" s="392">
        <f>IF(H72,Wh_hp,'2023'!Maxi_hp)</f>
        <v>35.739850450809598</v>
      </c>
      <c r="J72" s="85">
        <f>IF(H72,An,'2023'!An_max)</f>
        <v>2019</v>
      </c>
      <c r="K72" s="199">
        <f t="shared" si="3"/>
        <v>45349</v>
      </c>
      <c r="L72" s="147">
        <f>IF(t&lt;Tvie,1-EXP((T0-t)*PertePVj)+'2023'!Pspv,1-EXP((T0-t)*PertePVj)+Pspv)</f>
        <v>4.6276274819797236E-2</v>
      </c>
      <c r="M72" s="872"/>
      <c r="N72" s="872"/>
      <c r="O72" s="48">
        <f>IF(t&lt;Tnet,'2023'!Resal+('2023'!Salim-'2023'!Resal)*(1-EXP(('2023'!Tnet-t)/('2023'!Tau_j))),Resal+(Salim-Resal)*(1-EXP((Tnet-t)/(Tau_j))))*Salcycl</f>
        <v>0.1049502474166025</v>
      </c>
      <c r="P72" s="171">
        <f>(INDEX(Models!$BJ72:$BT72,,T72)*(1-R72)+INDEX(Models!$BJ72:$BT72,,T72+1)*R72-ERP_i)*Q72*Ramure*Pc/MaxiM</f>
        <v>3.227494857167134E-2</v>
      </c>
      <c r="Q72" s="307">
        <f t="shared" si="4"/>
        <v>0.9</v>
      </c>
      <c r="R72" s="179">
        <f t="shared" si="5"/>
        <v>0.10950310539444619</v>
      </c>
      <c r="S72" s="839">
        <f t="shared" si="6"/>
        <v>1</v>
      </c>
      <c r="T72" s="178">
        <f t="shared" si="7"/>
        <v>7</v>
      </c>
      <c r="U72" s="253">
        <f t="shared" si="8"/>
        <v>1.1095031053944462</v>
      </c>
      <c r="V72" s="385">
        <f t="shared" si="9"/>
        <v>30.200049362048453</v>
      </c>
      <c r="W72" s="404">
        <f t="shared" si="10"/>
        <v>23.472014432397831</v>
      </c>
      <c r="X72" s="157">
        <f t="shared" si="11"/>
        <v>45349</v>
      </c>
      <c r="Y72" s="387">
        <f t="shared" si="12"/>
        <v>21.707526675337682</v>
      </c>
      <c r="Z72" s="387">
        <f t="shared" si="22"/>
        <v>22.760812279505913</v>
      </c>
      <c r="AA72" s="388">
        <f t="shared" si="13"/>
        <v>27.496701575601286</v>
      </c>
      <c r="AB72" s="199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0.17223481453127026</v>
      </c>
      <c r="AD72" s="233">
        <f>(INDEX(Models!$BJ72:$BT72,,AH72)*(1-AF72)+INDEX(Models!$BJ72:$BT72,,AH72+1)*AF72-ERP_i)*AE72*Ramure*Pc/MaxiM</f>
        <v>3.227494857167134E-2</v>
      </c>
      <c r="AE72" s="307">
        <f t="shared" si="15"/>
        <v>0.9</v>
      </c>
      <c r="AF72" s="179">
        <f t="shared" si="23"/>
        <v>0.10950310539444619</v>
      </c>
      <c r="AG72" s="839">
        <f t="shared" si="24"/>
        <v>1</v>
      </c>
      <c r="AH72" s="178">
        <f t="shared" si="16"/>
        <v>7</v>
      </c>
      <c r="AI72" s="227">
        <f t="shared" si="17"/>
        <v>1.1095031053944462</v>
      </c>
      <c r="AJ72" s="267" t="b">
        <f t="shared" si="18"/>
        <v>1</v>
      </c>
      <c r="AK72" s="267" t="b">
        <f t="shared" si="19"/>
        <v>0</v>
      </c>
      <c r="AL72" s="267"/>
      <c r="AM72" s="267"/>
      <c r="AN72" s="75"/>
    </row>
    <row r="73" spans="1:40" s="6" customFormat="1" ht="11.25" x14ac:dyDescent="0.2">
      <c r="A73" s="56">
        <f t="shared" si="20"/>
        <v>45350</v>
      </c>
      <c r="B73" s="413">
        <f>'2023'!Wh/'2023'!Env_an*'2024'!Env_an</f>
        <v>27.969474820132994</v>
      </c>
      <c r="C73" s="868"/>
      <c r="D73" s="395">
        <f t="shared" si="0"/>
        <v>29.327283140131073</v>
      </c>
      <c r="E73" s="387">
        <f t="shared" si="1"/>
        <v>32.770780411826905</v>
      </c>
      <c r="F73" s="387">
        <f t="shared" si="2"/>
        <v>33.684031094626889</v>
      </c>
      <c r="G73" s="110">
        <f t="shared" si="21"/>
        <v>0.91043649499418289</v>
      </c>
      <c r="H73" s="416" t="b">
        <f>Wh_hp&gt;='2023'!Maxi_hp</f>
        <v>0</v>
      </c>
      <c r="I73" s="392">
        <f>IF(H73,Wh_hp,'2023'!Maxi_hp)</f>
        <v>33.764181045667172</v>
      </c>
      <c r="J73" s="85">
        <f>IF(H73,An,'2023'!An_max)</f>
        <v>2022</v>
      </c>
      <c r="K73" s="199">
        <f t="shared" si="3"/>
        <v>45350</v>
      </c>
      <c r="L73" s="147">
        <f>IF(t&lt;Tvie,1-EXP((T0-t)*PertePVj)+'2023'!Pspv,1-EXP((T0-t)*PertePVj)+Pspv)</f>
        <v>4.6298469364182915E-2</v>
      </c>
      <c r="M73" s="872"/>
      <c r="N73" s="872"/>
      <c r="O73" s="48">
        <f>IF(t&lt;Tnet,'2023'!Resal+('2023'!Salim-'2023'!Resal)*(1-EXP(('2023'!Tnet-t)/('2023'!Tau_j))),Resal+(Salim-Resal)*(1-EXP((Tnet-t)/(Tau_j))))*Salcycl</f>
        <v>0.10507828096925882</v>
      </c>
      <c r="P73" s="171">
        <f>(INDEX(Models!$BJ73:$BT73,,T73)*(1-R73)+INDEX(Models!$BJ73:$BT73,,T73+1)*R73-ERP_i)*Q73*Ramure*Pc/MaxiM</f>
        <v>3.090955981199605E-2</v>
      </c>
      <c r="Q73" s="307">
        <f t="shared" si="4"/>
        <v>0.9</v>
      </c>
      <c r="R73" s="179">
        <f t="shared" si="5"/>
        <v>0.10991759159606884</v>
      </c>
      <c r="S73" s="839">
        <f t="shared" si="6"/>
        <v>1</v>
      </c>
      <c r="T73" s="178">
        <f t="shared" si="7"/>
        <v>7</v>
      </c>
      <c r="U73" s="253">
        <f t="shared" si="8"/>
        <v>1.1099175915960688</v>
      </c>
      <c r="V73" s="385">
        <f t="shared" si="9"/>
        <v>30.601043670748197</v>
      </c>
      <c r="W73" s="404">
        <f t="shared" si="10"/>
        <v>27.969474820132994</v>
      </c>
      <c r="X73" s="157">
        <f t="shared" si="11"/>
        <v>45350</v>
      </c>
      <c r="Y73" s="387">
        <f t="shared" si="12"/>
        <v>25.868858855640557</v>
      </c>
      <c r="Z73" s="387">
        <f t="shared" si="22"/>
        <v>27.124690508144845</v>
      </c>
      <c r="AA73" s="388">
        <f t="shared" si="13"/>
        <v>32.770780411826905</v>
      </c>
      <c r="AB73" s="199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0.17229037065117925</v>
      </c>
      <c r="AD73" s="233">
        <f>(INDEX(Models!$BJ73:$BT73,,AH73)*(1-AF73)+INDEX(Models!$BJ73:$BT73,,AH73+1)*AF73-ERP_i)*AE73*Ramure*Pc/MaxiM</f>
        <v>3.090955981199605E-2</v>
      </c>
      <c r="AE73" s="307">
        <f t="shared" si="15"/>
        <v>0.9</v>
      </c>
      <c r="AF73" s="179">
        <f t="shared" si="23"/>
        <v>0.10991759159606884</v>
      </c>
      <c r="AG73" s="839">
        <f t="shared" si="24"/>
        <v>1</v>
      </c>
      <c r="AH73" s="178">
        <f t="shared" si="16"/>
        <v>7</v>
      </c>
      <c r="AI73" s="227">
        <f t="shared" si="17"/>
        <v>1.1099175915960688</v>
      </c>
      <c r="AJ73" s="267" t="b">
        <f t="shared" si="18"/>
        <v>1</v>
      </c>
      <c r="AK73" s="267" t="b">
        <f t="shared" si="19"/>
        <v>0</v>
      </c>
      <c r="AL73" s="267"/>
      <c r="AM73" s="267"/>
      <c r="AN73" s="75"/>
    </row>
    <row r="74" spans="1:40" s="6" customFormat="1" ht="11.25" x14ac:dyDescent="0.2">
      <c r="A74" s="56">
        <f t="shared" si="20"/>
        <v>45351</v>
      </c>
      <c r="B74" s="413">
        <f>'2023'!Wh/'2023'!Env_an*'2024'!Env_an</f>
        <v>30.771525188356595</v>
      </c>
      <c r="C74" s="868"/>
      <c r="D74" s="395">
        <f t="shared" si="0"/>
        <v>32.266112945054971</v>
      </c>
      <c r="E74" s="387">
        <f t="shared" si="1"/>
        <v>36.059829037418353</v>
      </c>
      <c r="F74" s="387">
        <f t="shared" si="2"/>
        <v>37.146722155109565</v>
      </c>
      <c r="G74" s="110">
        <f t="shared" si="21"/>
        <v>0.99218551423275847</v>
      </c>
      <c r="H74" s="416" t="b">
        <f>Wh_hp&gt;='2023'!Maxi_hp</f>
        <v>0</v>
      </c>
      <c r="I74" s="392">
        <f>IF(H74,Wh_hp,'2023'!Maxi_hp)</f>
        <v>37.154113437752279</v>
      </c>
      <c r="J74" s="85">
        <f>IF(H74,An,'2023'!An_max)</f>
        <v>2022</v>
      </c>
      <c r="K74" s="199">
        <f t="shared" si="3"/>
        <v>45351</v>
      </c>
      <c r="L74" s="147">
        <f>IF(t&lt;Tvie,1-EXP((T0-t)*PertePVj)+'2023'!Pspv,1-EXP((T0-t)*PertePVj)+Pspv)</f>
        <v>4.6320663392069084E-2</v>
      </c>
      <c r="M74" s="872"/>
      <c r="N74" s="872"/>
      <c r="O74" s="48">
        <f>IF(t&lt;Tnet,'2023'!Resal+('2023'!Salim-'2023'!Resal)*(1-EXP(('2023'!Tnet-t)/('2023'!Tau_j))),Resal+(Salim-Resal)*(1-EXP((Tnet-t)/(Tau_j))))*Salcycl</f>
        <v>0.10520615858790516</v>
      </c>
      <c r="P74" s="171">
        <f>(INDEX(Models!$BJ74:$BT74,,T74)*(1-R74)+INDEX(Models!$BJ74:$BT74,,T74+1)*R74-ERP_i)*Q74*Ramure*Pc/MaxiM</f>
        <v>2.9575962653404984E-2</v>
      </c>
      <c r="Q74" s="307">
        <f t="shared" si="4"/>
        <v>0.9</v>
      </c>
      <c r="R74" s="179">
        <f t="shared" si="5"/>
        <v>0.11034893781915112</v>
      </c>
      <c r="S74" s="839">
        <f t="shared" si="6"/>
        <v>1</v>
      </c>
      <c r="T74" s="178">
        <f t="shared" si="7"/>
        <v>7</v>
      </c>
      <c r="U74" s="253">
        <f t="shared" si="8"/>
        <v>1.1103489378191511</v>
      </c>
      <c r="V74" s="385">
        <f t="shared" si="9"/>
        <v>31.003770964825684</v>
      </c>
      <c r="W74" s="404">
        <f t="shared" si="10"/>
        <v>30.771525188356595</v>
      </c>
      <c r="X74" s="157">
        <f t="shared" si="11"/>
        <v>45351</v>
      </c>
      <c r="Y74" s="387">
        <f t="shared" si="12"/>
        <v>28.462624370630355</v>
      </c>
      <c r="Z74" s="387">
        <f t="shared" si="22"/>
        <v>29.845067705741521</v>
      </c>
      <c r="AA74" s="388">
        <f t="shared" si="13"/>
        <v>36.059829037418353</v>
      </c>
      <c r="AB74" s="199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0.1723458346191252</v>
      </c>
      <c r="AD74" s="233">
        <f>(INDEX(Models!$BJ74:$BT74,,AH74)*(1-AF74)+INDEX(Models!$BJ74:$BT74,,AH74+1)*AF74-ERP_i)*AE74*Ramure*Pc/MaxiM</f>
        <v>2.9575962653404984E-2</v>
      </c>
      <c r="AE74" s="307">
        <f t="shared" si="15"/>
        <v>0.9</v>
      </c>
      <c r="AF74" s="179">
        <f t="shared" si="23"/>
        <v>0.11034893781915112</v>
      </c>
      <c r="AG74" s="839">
        <f t="shared" si="24"/>
        <v>1</v>
      </c>
      <c r="AH74" s="178">
        <f t="shared" si="16"/>
        <v>7</v>
      </c>
      <c r="AI74" s="227">
        <f t="shared" si="17"/>
        <v>1.1103489378191511</v>
      </c>
      <c r="AJ74" s="267" t="b">
        <f t="shared" si="18"/>
        <v>1</v>
      </c>
      <c r="AK74" s="267" t="b">
        <f t="shared" si="19"/>
        <v>0</v>
      </c>
      <c r="AL74" s="267"/>
      <c r="AM74" s="267"/>
      <c r="AN74" s="75"/>
    </row>
    <row r="75" spans="1:40" s="6" customFormat="1" ht="11.25" x14ac:dyDescent="0.2">
      <c r="A75" s="56">
        <f t="shared" si="20"/>
        <v>45352</v>
      </c>
      <c r="B75" s="413">
        <f>'2023'!Wh/'2023'!Env_an*'2024'!Env_an</f>
        <v>14.295005545934764</v>
      </c>
      <c r="C75" s="868"/>
      <c r="D75" s="395">
        <f t="shared" si="0"/>
        <v>14.98966966211648</v>
      </c>
      <c r="E75" s="387">
        <f t="shared" si="1"/>
        <v>16.754484798434465</v>
      </c>
      <c r="F75" s="387">
        <f t="shared" si="2"/>
        <v>16.86013512614787</v>
      </c>
      <c r="G75" s="110">
        <f t="shared" si="21"/>
        <v>0.44506159109479076</v>
      </c>
      <c r="H75" s="416" t="b">
        <f>Wh_hp&gt;='2023'!Maxi_hp</f>
        <v>0</v>
      </c>
      <c r="I75" s="392">
        <f>IF(H75,Wh_hp,'2023'!Maxi_hp)</f>
        <v>26.224711056387971</v>
      </c>
      <c r="J75" s="85">
        <f>IF(H75,An,'2023'!An_max)</f>
        <v>2020</v>
      </c>
      <c r="K75" s="199">
        <f t="shared" si="3"/>
        <v>45352</v>
      </c>
      <c r="L75" s="147">
        <f>IF(t&lt;Tvie,1-EXP((T0-t)*PertePVj)+'2023'!Pspv,1-EXP((T0-t)*PertePVj)+Pspv)</f>
        <v>4.6342856903467733E-2</v>
      </c>
      <c r="M75" s="872"/>
      <c r="N75" s="872"/>
      <c r="O75" s="48">
        <f>IF(t&lt;Tnet,'2023'!Resal+('2023'!Salim-'2023'!Resal)*(1-EXP(('2023'!Tnet-t)/('2023'!Tau_j))),Resal+(Salim-Resal)*(1-EXP((Tnet-t)/(Tau_j))))*Salcycl</f>
        <v>0.10533389462879147</v>
      </c>
      <c r="P75" s="171">
        <f>(INDEX(Models!$BJ75:$BT75,,T75)*(1-R75)+INDEX(Models!$BJ75:$BT75,,T75+1)*R75-ERP_i)*Q75*Ramure*Pc/MaxiM</f>
        <v>2.8273576502239269E-2</v>
      </c>
      <c r="Q75" s="307">
        <f t="shared" si="4"/>
        <v>0.9</v>
      </c>
      <c r="R75" s="179">
        <f t="shared" si="5"/>
        <v>0.11079780717611731</v>
      </c>
      <c r="S75" s="839">
        <f t="shared" si="6"/>
        <v>1</v>
      </c>
      <c r="T75" s="178">
        <f t="shared" si="7"/>
        <v>7</v>
      </c>
      <c r="U75" s="253">
        <f t="shared" si="8"/>
        <v>1.1107978071761173</v>
      </c>
      <c r="V75" s="385">
        <f t="shared" si="9"/>
        <v>31.407849233956888</v>
      </c>
      <c r="W75" s="404">
        <f t="shared" si="10"/>
        <v>14.295005545934764</v>
      </c>
      <c r="X75" s="157">
        <f t="shared" si="11"/>
        <v>45352</v>
      </c>
      <c r="Y75" s="387">
        <f t="shared" si="12"/>
        <v>13.223401376237058</v>
      </c>
      <c r="Z75" s="387">
        <f t="shared" si="22"/>
        <v>13.86599101360534</v>
      </c>
      <c r="AA75" s="388">
        <f t="shared" si="13"/>
        <v>16.754484798434465</v>
      </c>
      <c r="AB75" s="199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0.1724012298545298</v>
      </c>
      <c r="AD75" s="233">
        <f>(INDEX(Models!$BJ75:$BT75,,AH75)*(1-AF75)+INDEX(Models!$BJ75:$BT75,,AH75+1)*AF75-ERP_i)*AE75*Ramure*Pc/MaxiM</f>
        <v>2.8273576502239269E-2</v>
      </c>
      <c r="AE75" s="307">
        <f t="shared" si="15"/>
        <v>0.9</v>
      </c>
      <c r="AF75" s="179">
        <f t="shared" si="23"/>
        <v>0.11079780717611731</v>
      </c>
      <c r="AG75" s="839">
        <f t="shared" si="24"/>
        <v>1</v>
      </c>
      <c r="AH75" s="178">
        <f t="shared" si="16"/>
        <v>7</v>
      </c>
      <c r="AI75" s="227">
        <f t="shared" si="17"/>
        <v>1.1107978071761173</v>
      </c>
      <c r="AJ75" s="267" t="b">
        <f t="shared" si="18"/>
        <v>1</v>
      </c>
      <c r="AK75" s="267" t="b">
        <f t="shared" si="19"/>
        <v>0</v>
      </c>
      <c r="AL75" s="267"/>
      <c r="AM75" s="267"/>
      <c r="AN75" s="75"/>
    </row>
    <row r="76" spans="1:40" s="6" customFormat="1" ht="11.25" x14ac:dyDescent="0.2">
      <c r="A76" s="56">
        <f t="shared" si="20"/>
        <v>45353</v>
      </c>
      <c r="B76" s="413">
        <f>'2023'!Wh/'2023'!Env_an*'2024'!Env_an</f>
        <v>29.568001855848433</v>
      </c>
      <c r="C76" s="868"/>
      <c r="D76" s="395">
        <f t="shared" si="0"/>
        <v>31.005576979637738</v>
      </c>
      <c r="E76" s="387">
        <f t="shared" si="1"/>
        <v>34.660975690509083</v>
      </c>
      <c r="F76" s="387">
        <f t="shared" si="2"/>
        <v>35.52347802222571</v>
      </c>
      <c r="G76" s="110">
        <f t="shared" si="21"/>
        <v>0.92684157448709159</v>
      </c>
      <c r="H76" s="416" t="b">
        <f>Wh_hp&gt;='2023'!Maxi_hp</f>
        <v>0</v>
      </c>
      <c r="I76" s="392">
        <f>IF(H76,Wh_hp,'2023'!Maxi_hp)</f>
        <v>35.584060448329645</v>
      </c>
      <c r="J76" s="85">
        <f>IF(H76,An,'2023'!An_max)</f>
        <v>2022</v>
      </c>
      <c r="K76" s="199">
        <f t="shared" si="3"/>
        <v>45353</v>
      </c>
      <c r="L76" s="147">
        <f>IF(t&lt;Tvie,1-EXP((T0-t)*PertePVj)+'2023'!Pspv,1-EXP((T0-t)*PertePVj)+Pspv)</f>
        <v>4.6365049898390964E-2</v>
      </c>
      <c r="M76" s="872"/>
      <c r="N76" s="872"/>
      <c r="O76" s="48">
        <f>IF(t&lt;Tnet,'2023'!Resal+('2023'!Salim-'2023'!Resal)*(1-EXP(('2023'!Tnet-t)/('2023'!Tau_j))),Resal+(Salim-Resal)*(1-EXP((Tnet-t)/(Tau_j))))*Salcycl</f>
        <v>0.10546150643625041</v>
      </c>
      <c r="P76" s="171">
        <f>(INDEX(Models!$BJ76:$BT76,,T76)*(1-R76)+INDEX(Models!$BJ76:$BT76,,T76+1)*R76-ERP_i)*Q76*Ramure*Pc/MaxiM</f>
        <v>2.7001776220474318E-2</v>
      </c>
      <c r="Q76" s="307">
        <f t="shared" si="4"/>
        <v>0.9</v>
      </c>
      <c r="R76" s="179">
        <f t="shared" si="5"/>
        <v>0.11126488694991843</v>
      </c>
      <c r="S76" s="839">
        <f t="shared" si="6"/>
        <v>1</v>
      </c>
      <c r="T76" s="178">
        <f t="shared" si="7"/>
        <v>7</v>
      </c>
      <c r="U76" s="253">
        <f t="shared" si="8"/>
        <v>1.1112648869499184</v>
      </c>
      <c r="V76" s="385">
        <f t="shared" si="9"/>
        <v>31.812896619612076</v>
      </c>
      <c r="W76" s="404">
        <f t="shared" si="10"/>
        <v>29.568001855848433</v>
      </c>
      <c r="X76" s="157">
        <f t="shared" si="11"/>
        <v>45353</v>
      </c>
      <c r="Y76" s="387">
        <f t="shared" si="12"/>
        <v>27.353552048338187</v>
      </c>
      <c r="Z76" s="387">
        <f t="shared" si="22"/>
        <v>28.683462204718577</v>
      </c>
      <c r="AA76" s="388">
        <f t="shared" si="13"/>
        <v>34.660975690509083</v>
      </c>
      <c r="AB76" s="199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0.17245658457985291</v>
      </c>
      <c r="AD76" s="233">
        <f>(INDEX(Models!$BJ76:$BT76,,AH76)*(1-AF76)+INDEX(Models!$BJ76:$BT76,,AH76+1)*AF76-ERP_i)*AE76*Ramure*Pc/MaxiM</f>
        <v>2.7001776220474318E-2</v>
      </c>
      <c r="AE76" s="307">
        <f t="shared" si="15"/>
        <v>0.9</v>
      </c>
      <c r="AF76" s="179">
        <f t="shared" si="23"/>
        <v>0.11126488694991843</v>
      </c>
      <c r="AG76" s="839">
        <f t="shared" si="24"/>
        <v>1</v>
      </c>
      <c r="AH76" s="178">
        <f t="shared" si="16"/>
        <v>7</v>
      </c>
      <c r="AI76" s="227">
        <f t="shared" si="17"/>
        <v>1.1112648869499184</v>
      </c>
      <c r="AJ76" s="267" t="b">
        <f t="shared" si="18"/>
        <v>1</v>
      </c>
      <c r="AK76" s="267" t="b">
        <f t="shared" si="19"/>
        <v>0</v>
      </c>
      <c r="AL76" s="267"/>
      <c r="AM76" s="267"/>
      <c r="AN76" s="75"/>
    </row>
    <row r="77" spans="1:40" s="6" customFormat="1" ht="11.25" x14ac:dyDescent="0.2">
      <c r="A77" s="56">
        <f t="shared" si="20"/>
        <v>45354</v>
      </c>
      <c r="B77" s="413">
        <f>'2023'!Wh/'2023'!Env_an*'2024'!Env_an</f>
        <v>5.624283438514043</v>
      </c>
      <c r="C77" s="868"/>
      <c r="D77" s="395">
        <f t="shared" si="0"/>
        <v>5.8978693327597664</v>
      </c>
      <c r="E77" s="387">
        <f t="shared" si="1"/>
        <v>6.5941378488153193</v>
      </c>
      <c r="F77" s="387">
        <f t="shared" si="2"/>
        <v>6.5941378488153193</v>
      </c>
      <c r="G77" s="110">
        <f t="shared" si="21"/>
        <v>0.17006990164386243</v>
      </c>
      <c r="H77" s="416" t="b">
        <f>Wh_hp&gt;='2023'!Maxi_hp</f>
        <v>0</v>
      </c>
      <c r="I77" s="392">
        <f>IF(H77,Wh_hp,'2023'!Maxi_hp)</f>
        <v>29.708311263077956</v>
      </c>
      <c r="J77" s="85">
        <f>IF(H77,An,'2023'!An_max)</f>
        <v>2021</v>
      </c>
      <c r="K77" s="199">
        <f t="shared" si="3"/>
        <v>45354</v>
      </c>
      <c r="L77" s="147">
        <f>IF(t&lt;Tvie,1-EXP((T0-t)*PertePVj)+'2023'!Pspv,1-EXP((T0-t)*PertePVj)+Pspv)</f>
        <v>4.6387242376850879E-2</v>
      </c>
      <c r="M77" s="872"/>
      <c r="N77" s="872"/>
      <c r="O77" s="48">
        <f>IF(t&lt;Tnet,'2023'!Resal+('2023'!Salim-'2023'!Resal)*(1-EXP(('2023'!Tnet-t)/('2023'!Tau_j))),Resal+(Salim-Resal)*(1-EXP((Tnet-t)/(Tau_j))))*Salcycl</f>
        <v>0.10558901436685046</v>
      </c>
      <c r="P77" s="171">
        <f>(INDEX(Models!$BJ77:$BT77,,T77)*(1-R77)+INDEX(Models!$BJ77:$BT77,,T77+1)*R77-ERP_i)*Q77*Ramure*Pc/MaxiM</f>
        <v>2.5759898320868127E-2</v>
      </c>
      <c r="Q77" s="307">
        <f t="shared" si="4"/>
        <v>0.9</v>
      </c>
      <c r="R77" s="179">
        <f t="shared" si="5"/>
        <v>0.11175088931305588</v>
      </c>
      <c r="S77" s="839">
        <f t="shared" si="6"/>
        <v>1</v>
      </c>
      <c r="T77" s="178">
        <f t="shared" si="7"/>
        <v>7</v>
      </c>
      <c r="U77" s="253">
        <f t="shared" si="8"/>
        <v>1.1117508893130559</v>
      </c>
      <c r="V77" s="385">
        <f t="shared" si="9"/>
        <v>32.218531415890446</v>
      </c>
      <c r="W77" s="404">
        <f t="shared" si="10"/>
        <v>5.624283438514043</v>
      </c>
      <c r="X77" s="157">
        <f t="shared" si="11"/>
        <v>45354</v>
      </c>
      <c r="Y77" s="387">
        <f t="shared" si="12"/>
        <v>5.2034551364893353</v>
      </c>
      <c r="Z77" s="387">
        <f t="shared" si="22"/>
        <v>5.4565703897028284</v>
      </c>
      <c r="AA77" s="388">
        <f t="shared" si="13"/>
        <v>6.5941378488153193</v>
      </c>
      <c r="AB77" s="199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0.17251193183910496</v>
      </c>
      <c r="AD77" s="233">
        <f>(INDEX(Models!$BJ77:$BT77,,AH77)*(1-AF77)+INDEX(Models!$BJ77:$BT77,,AH77+1)*AF77-ERP_i)*AE77*Ramure*Pc/MaxiM</f>
        <v>2.5759898320868127E-2</v>
      </c>
      <c r="AE77" s="307">
        <f t="shared" si="15"/>
        <v>0.9</v>
      </c>
      <c r="AF77" s="179">
        <f t="shared" si="23"/>
        <v>0.11175088931305588</v>
      </c>
      <c r="AG77" s="839">
        <f t="shared" si="24"/>
        <v>1</v>
      </c>
      <c r="AH77" s="178">
        <f t="shared" si="16"/>
        <v>7</v>
      </c>
      <c r="AI77" s="227">
        <f t="shared" si="17"/>
        <v>1.1117508893130559</v>
      </c>
      <c r="AJ77" s="267" t="b">
        <f t="shared" si="18"/>
        <v>1</v>
      </c>
      <c r="AK77" s="267" t="b">
        <f t="shared" si="19"/>
        <v>0</v>
      </c>
      <c r="AL77" s="267"/>
      <c r="AM77" s="267"/>
      <c r="AN77" s="75"/>
    </row>
    <row r="78" spans="1:40" s="6" customFormat="1" ht="11.25" x14ac:dyDescent="0.2">
      <c r="A78" s="56">
        <f t="shared" si="20"/>
        <v>45355</v>
      </c>
      <c r="B78" s="413">
        <f>'2023'!Wh/'2023'!Env_an*'2024'!Env_an</f>
        <v>12.614598252216405</v>
      </c>
      <c r="C78" s="868"/>
      <c r="D78" s="395">
        <f t="shared" si="0"/>
        <v>13.228526693183555</v>
      </c>
      <c r="E78" s="387">
        <f t="shared" si="1"/>
        <v>14.792317908332228</v>
      </c>
      <c r="F78" s="387">
        <f t="shared" si="2"/>
        <v>14.837408973191067</v>
      </c>
      <c r="G78" s="110">
        <f t="shared" si="21"/>
        <v>0.37832003133995412</v>
      </c>
      <c r="H78" s="416" t="b">
        <f>Wh_hp&gt;='2023'!Maxi_hp</f>
        <v>0</v>
      </c>
      <c r="I78" s="392">
        <f>IF(H78,Wh_hp,'2023'!Maxi_hp)</f>
        <v>38.591105820273576</v>
      </c>
      <c r="J78" s="85">
        <f>IF(H78,An,'2023'!An_max)</f>
        <v>2019</v>
      </c>
      <c r="K78" s="199">
        <f t="shared" si="3"/>
        <v>45355</v>
      </c>
      <c r="L78" s="147">
        <f>IF(t&lt;Tvie,1-EXP((T0-t)*PertePVj)+'2023'!Pspv,1-EXP((T0-t)*PertePVj)+Pspv)</f>
        <v>4.6409434338859357E-2</v>
      </c>
      <c r="M78" s="872"/>
      <c r="N78" s="872"/>
      <c r="O78" s="48">
        <f>IF(t&lt;Tnet,'2023'!Resal+('2023'!Salim-'2023'!Resal)*(1-EXP(('2023'!Tnet-t)/('2023'!Tau_j))),Resal+(Salim-Resal)*(1-EXP((Tnet-t)/(Tau_j))))*Salcycl</f>
        <v>0.10571644179360287</v>
      </c>
      <c r="P78" s="171">
        <f>(INDEX(Models!$BJ78:$BT78,,T78)*(1-R78)+INDEX(Models!$BJ78:$BT78,,T78+1)*R78-ERP_i)*Q78*Ramure*Pc/MaxiM</f>
        <v>2.4547246609589263E-2</v>
      </c>
      <c r="Q78" s="307">
        <f t="shared" si="4"/>
        <v>0.9</v>
      </c>
      <c r="R78" s="179">
        <f t="shared" si="5"/>
        <v>0.11225655205370977</v>
      </c>
      <c r="S78" s="839">
        <f t="shared" si="6"/>
        <v>1</v>
      </c>
      <c r="T78" s="178">
        <f t="shared" si="7"/>
        <v>7</v>
      </c>
      <c r="U78" s="253">
        <f t="shared" si="8"/>
        <v>1.1122565520537098</v>
      </c>
      <c r="V78" s="385">
        <f t="shared" si="9"/>
        <v>32.624372067450345</v>
      </c>
      <c r="W78" s="404">
        <f t="shared" si="10"/>
        <v>12.614598252216405</v>
      </c>
      <c r="X78" s="157">
        <f t="shared" si="11"/>
        <v>45355</v>
      </c>
      <c r="Y78" s="387">
        <f t="shared" si="12"/>
        <v>11.671612293249019</v>
      </c>
      <c r="Z78" s="387">
        <f t="shared" si="22"/>
        <v>12.23964740586217</v>
      </c>
      <c r="AA78" s="388">
        <f t="shared" si="13"/>
        <v>14.792317908332228</v>
      </c>
      <c r="AB78" s="199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0.17256730948380899</v>
      </c>
      <c r="AD78" s="233">
        <f>(INDEX(Models!$BJ78:$BT78,,AH78)*(1-AF78)+INDEX(Models!$BJ78:$BT78,,AH78+1)*AF78-ERP_i)*AE78*Ramure*Pc/MaxiM</f>
        <v>2.4547246609589263E-2</v>
      </c>
      <c r="AE78" s="307">
        <f t="shared" si="15"/>
        <v>0.9</v>
      </c>
      <c r="AF78" s="179">
        <f t="shared" si="23"/>
        <v>0.11225655205370977</v>
      </c>
      <c r="AG78" s="839">
        <f t="shared" si="24"/>
        <v>1</v>
      </c>
      <c r="AH78" s="178">
        <f t="shared" si="16"/>
        <v>7</v>
      </c>
      <c r="AI78" s="227">
        <f t="shared" si="17"/>
        <v>1.1122565520537098</v>
      </c>
      <c r="AJ78" s="267" t="b">
        <f t="shared" si="18"/>
        <v>1</v>
      </c>
      <c r="AK78" s="267" t="b">
        <f t="shared" si="19"/>
        <v>0</v>
      </c>
      <c r="AL78" s="267"/>
      <c r="AM78" s="267"/>
      <c r="AN78" s="75"/>
    </row>
    <row r="79" spans="1:40" s="6" customFormat="1" ht="11.25" x14ac:dyDescent="0.2">
      <c r="A79" s="56">
        <f t="shared" si="20"/>
        <v>45356</v>
      </c>
      <c r="B79" s="413">
        <f>'2023'!Wh/'2023'!Env_an*'2024'!Env_an</f>
        <v>18.517508894974295</v>
      </c>
      <c r="C79" s="868"/>
      <c r="D79" s="395">
        <f t="shared" ref="D79:D142" si="25">Wh/(1-Ppv)</f>
        <v>19.419172652624145</v>
      </c>
      <c r="E79" s="387">
        <f t="shared" si="1"/>
        <v>21.71787544543043</v>
      </c>
      <c r="F79" s="387">
        <f t="shared" ref="F79:F142" si="26">Wh_sa/(1-Pvg*MEDIAN((-Sdif+Wh/Env_an)/Csdif,0,1))</f>
        <v>21.908408897279312</v>
      </c>
      <c r="G79" s="110">
        <f t="shared" si="21"/>
        <v>0.55229605087061218</v>
      </c>
      <c r="H79" s="416" t="b">
        <f>Wh_hp&gt;='2023'!Maxi_hp</f>
        <v>0</v>
      </c>
      <c r="I79" s="392">
        <f>IF(H79,Wh_hp,'2023'!Maxi_hp)</f>
        <v>24.167812123505598</v>
      </c>
      <c r="J79" s="85">
        <f>IF(H79,An,'2023'!An_max)</f>
        <v>2019</v>
      </c>
      <c r="K79" s="199">
        <f t="shared" ref="K79:K142" si="27">t</f>
        <v>45356</v>
      </c>
      <c r="L79" s="147">
        <f>IF(t&lt;Tvie,1-EXP((T0-t)*PertePVj)+'2023'!Pspv,1-EXP((T0-t)*PertePVj)+Pspv)</f>
        <v>4.6431625784428388E-2</v>
      </c>
      <c r="M79" s="872"/>
      <c r="N79" s="872"/>
      <c r="O79" s="48">
        <f>IF(t&lt;Tnet,'2023'!Resal+('2023'!Salim-'2023'!Resal)*(1-EXP(('2023'!Tnet-t)/('2023'!Tau_j))),Resal+(Salim-Resal)*(1-EXP((Tnet-t)/(Tau_j))))*Salcycl</f>
        <v>0.10584381509057539</v>
      </c>
      <c r="P79" s="171">
        <f>(INDEX(Models!$BJ79:$BT79,,T79)*(1-R79)+INDEX(Models!$BJ79:$BT79,,T79+1)*R79-ERP_i)*Q79*Ramure*Pc/MaxiM</f>
        <v>2.3361580750724715E-2</v>
      </c>
      <c r="Q79" s="307">
        <f t="shared" ref="Q79:Q142" si="28">IF(OR(t&lt;Ttai,Notai),Dd+PousD*Croivg,Dens+PousD*(Croivg-Croi_tai))</f>
        <v>0.9</v>
      </c>
      <c r="R79" s="179">
        <f t="shared" ref="R79:R142" si="29">(Hp_vg-S79)/(INDEX(Echel_vg,T79+1)-S79)</f>
        <v>0.11278263930756727</v>
      </c>
      <c r="S79" s="839">
        <f t="shared" ref="S79:S142" si="30">INDEX(Echel_vg,T79)</f>
        <v>1</v>
      </c>
      <c r="T79" s="178">
        <f t="shared" ref="T79:T142" si="31">MIN(MATCH(Hp_vg,Echel_vg),10)</f>
        <v>7</v>
      </c>
      <c r="U79" s="253">
        <f t="shared" ref="U79:U142" si="32">IF(OR(t&lt;Ttai,Notai),Hdd+PousH*Croivg,Hdtf+PousH*(Croivg-Croi_tai))</f>
        <v>1.1127826393075673</v>
      </c>
      <c r="V79" s="385">
        <f t="shared" ref="V79:V142" si="33">MaxiM*(1-Ppv)*(1-Pvg)*(1-Psa)</f>
        <v>33.032232649405806</v>
      </c>
      <c r="W79" s="404">
        <f t="shared" ref="W79:W142" si="34">Wh*(A79&gt;Tmaj)</f>
        <v>18.517508894974295</v>
      </c>
      <c r="X79" s="157">
        <f t="shared" ref="X79:X142" si="35">t</f>
        <v>45356</v>
      </c>
      <c r="Y79" s="387">
        <f t="shared" ref="Y79:Y142" si="36">Wh_pvt_s*(1-Ppv)</f>
        <v>17.134551723081831</v>
      </c>
      <c r="Z79" s="387">
        <f t="shared" ref="Z79:Z142" si="37">Wh_sa_s*(1-Psa_s)</f>
        <v>17.968875841941724</v>
      </c>
      <c r="AA79" s="388">
        <f t="shared" ref="AA79:AA142" si="38">Wh_hp*(1-Pvg_s*MEDIAN((-Sdif+Wh/Env_an)/Csdif,0,1))</f>
        <v>21.71787544543043</v>
      </c>
      <c r="AB79" s="199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0.17262276012718897</v>
      </c>
      <c r="AD79" s="233">
        <f>(INDEX(Models!$BJ79:$BT79,,AH79)*(1-AF79)+INDEX(Models!$BJ79:$BT79,,AH79+1)*AF79-ERP_i)*AE79*Ramure*Pc/MaxiM</f>
        <v>2.3361580750724715E-2</v>
      </c>
      <c r="AE79" s="307">
        <f t="shared" ref="AE79:AE142" si="40">IF(OR(t&lt;Ttai,Notai),Dd_s+PousD*Croivg,Dens_s+PousD*(Croivg-Croi_tai))</f>
        <v>0.9</v>
      </c>
      <c r="AF79" s="179">
        <f t="shared" ref="AF79:AF142" si="41">(Hp_vg_s-AG79)/(INDEX(Echel_vg,AH79+1)-AG79)</f>
        <v>0.11278263930756727</v>
      </c>
      <c r="AG79" s="839">
        <f t="shared" si="24"/>
        <v>1</v>
      </c>
      <c r="AH79" s="178">
        <f t="shared" ref="AH79:AH142" si="42">MIN(MATCH(Hp_vg_s,Echel_vg),10)</f>
        <v>7</v>
      </c>
      <c r="AI79" s="227">
        <f t="shared" ref="AI79:AI142" si="43">IF(OR(t&lt;Ttai,Notai),Hdd_s+PousH*Croivg,Hdtai_s+PousH*(Croivg-Croi_tai))</f>
        <v>1.1127826393075673</v>
      </c>
      <c r="AJ79" s="267" t="b">
        <f t="shared" ref="AJ79:AJ142" si="44">t&lt;Tnet</f>
        <v>1</v>
      </c>
      <c r="AK79" s="267" t="b">
        <f t="shared" ref="AK79:AK142" si="45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6">A79+1</f>
        <v>45357</v>
      </c>
      <c r="B80" s="413">
        <f>'2023'!Wh/'2023'!Env_an*'2024'!Env_an</f>
        <v>31.596433040385858</v>
      </c>
      <c r="C80" s="868"/>
      <c r="D80" s="395">
        <f t="shared" si="25"/>
        <v>33.135713397213401</v>
      </c>
      <c r="E80" s="387">
        <f t="shared" ref="E80:E143" si="47">Wh_pvt/(1-Psa)</f>
        <v>37.063360876125586</v>
      </c>
      <c r="F80" s="387">
        <f t="shared" si="26"/>
        <v>37.838388854802872</v>
      </c>
      <c r="G80" s="110">
        <f t="shared" ref="G80:G143" si="48">+Wh_hp/MaxiM</f>
        <v>0.94310456167513856</v>
      </c>
      <c r="H80" s="416" t="b">
        <f>Wh_hp&gt;='2023'!Maxi_hp</f>
        <v>0</v>
      </c>
      <c r="I80" s="392">
        <f>IF(H80,Wh_hp,'2023'!Maxi_hp)</f>
        <v>37.878473795726443</v>
      </c>
      <c r="J80" s="85">
        <f>IF(H80,An,'2023'!An_max)</f>
        <v>2022</v>
      </c>
      <c r="K80" s="199">
        <f t="shared" si="27"/>
        <v>45357</v>
      </c>
      <c r="L80" s="147">
        <f>IF(t&lt;Tvie,1-EXP((T0-t)*PertePVj)+'2023'!Pspv,1-EXP((T0-t)*PertePVj)+Pspv)</f>
        <v>4.6453816713570184E-2</v>
      </c>
      <c r="M80" s="872"/>
      <c r="N80" s="872"/>
      <c r="O80" s="48">
        <f>IF(t&lt;Tnet,'2023'!Resal+('2023'!Salim-'2023'!Resal)*(1-EXP(('2023'!Tnet-t)/('2023'!Tau_j))),Resal+(Salim-Resal)*(1-EXP((Tnet-t)/(Tau_j))))*Salcycl</f>
        <v>0.10597116359844692</v>
      </c>
      <c r="P80" s="171">
        <f>(INDEX(Models!$BJ80:$BT80,,T80)*(1-R80)+INDEX(Models!$BJ80:$BT80,,T80+1)*R80-ERP_i)*Q80*Ramure*Pc/MaxiM</f>
        <v>2.2236193439988804E-2</v>
      </c>
      <c r="Q80" s="307">
        <f t="shared" si="28"/>
        <v>0.9</v>
      </c>
      <c r="R80" s="179">
        <f t="shared" si="29"/>
        <v>0.11332994229377702</v>
      </c>
      <c r="S80" s="839">
        <f t="shared" si="30"/>
        <v>1</v>
      </c>
      <c r="T80" s="178">
        <f t="shared" si="31"/>
        <v>7</v>
      </c>
      <c r="U80" s="253">
        <f t="shared" si="32"/>
        <v>1.113329942293777</v>
      </c>
      <c r="V80" s="385">
        <f t="shared" si="33"/>
        <v>33.442597875804744</v>
      </c>
      <c r="W80" s="404">
        <f t="shared" si="34"/>
        <v>31.596433040385858</v>
      </c>
      <c r="X80" s="157">
        <f t="shared" si="35"/>
        <v>45357</v>
      </c>
      <c r="Y80" s="387">
        <f t="shared" si="36"/>
        <v>29.238893255944536</v>
      </c>
      <c r="Z80" s="387">
        <f t="shared" si="37"/>
        <v>30.663321576278225</v>
      </c>
      <c r="AA80" s="388">
        <f t="shared" si="38"/>
        <v>37.063360876125586</v>
      </c>
      <c r="AB80" s="199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0.17267833106764893</v>
      </c>
      <c r="AD80" s="233">
        <f>(INDEX(Models!$BJ80:$BT80,,AH80)*(1-AF80)+INDEX(Models!$BJ80:$BT80,,AH80+1)*AF80-ERP_i)*AE80*Ramure*Pc/MaxiM</f>
        <v>2.2236193439988804E-2</v>
      </c>
      <c r="AE80" s="307">
        <f t="shared" si="40"/>
        <v>0.9</v>
      </c>
      <c r="AF80" s="179">
        <f t="shared" si="41"/>
        <v>0.11332994229377702</v>
      </c>
      <c r="AG80" s="839">
        <f t="shared" ref="AG80:AG143" si="49">INDEX(Echel_vg,AH80)</f>
        <v>1</v>
      </c>
      <c r="AH80" s="178">
        <f t="shared" si="42"/>
        <v>7</v>
      </c>
      <c r="AI80" s="227">
        <f t="shared" si="43"/>
        <v>1.113329942293777</v>
      </c>
      <c r="AJ80" s="267" t="b">
        <f t="shared" si="44"/>
        <v>1</v>
      </c>
      <c r="AK80" s="267" t="b">
        <f t="shared" si="45"/>
        <v>0</v>
      </c>
      <c r="AL80" s="267"/>
      <c r="AM80" s="267"/>
      <c r="AN80" s="75"/>
    </row>
    <row r="81" spans="1:40" s="6" customFormat="1" ht="11.25" x14ac:dyDescent="0.2">
      <c r="A81" s="56">
        <f t="shared" si="46"/>
        <v>45358</v>
      </c>
      <c r="B81" s="413">
        <f>'2023'!Wh/'2023'!Env_an*'2024'!Env_an</f>
        <v>25.509233817073618</v>
      </c>
      <c r="C81" s="868"/>
      <c r="D81" s="395">
        <f t="shared" si="25"/>
        <v>26.752587252885597</v>
      </c>
      <c r="E81" s="387">
        <f t="shared" si="47"/>
        <v>29.927892322169232</v>
      </c>
      <c r="F81" s="387">
        <f t="shared" si="26"/>
        <v>30.344258318121287</v>
      </c>
      <c r="G81" s="110">
        <f t="shared" si="48"/>
        <v>0.74779701933338005</v>
      </c>
      <c r="H81" s="416" t="b">
        <f>Wh_hp&gt;='2023'!Maxi_hp</f>
        <v>0</v>
      </c>
      <c r="I81" s="392">
        <f>IF(H81,Wh_hp,'2023'!Maxi_hp)</f>
        <v>30.478520113862707</v>
      </c>
      <c r="J81" s="85">
        <f>IF(H81,An,'2023'!An_max)</f>
        <v>2022</v>
      </c>
      <c r="K81" s="199">
        <f t="shared" si="27"/>
        <v>45358</v>
      </c>
      <c r="L81" s="147">
        <f>IF(t&lt;Tvie,1-EXP((T0-t)*PertePVj)+'2023'!Pspv,1-EXP((T0-t)*PertePVj)+Pspv)</f>
        <v>4.6476007126296515E-2</v>
      </c>
      <c r="M81" s="872"/>
      <c r="N81" s="872"/>
      <c r="O81" s="48">
        <f>IF(t&lt;Tnet,'2023'!Resal+('2023'!Salim-'2023'!Resal)*(1-EXP(('2023'!Tnet-t)/('2023'!Tau_j))),Resal+(Salim-Resal)*(1-EXP((Tnet-t)/(Tau_j))))*Salcycl</f>
        <v>0.10609851957170777</v>
      </c>
      <c r="P81" s="171">
        <f>(INDEX(Models!$BJ81:$BT81,,T81)*(1-R81)+INDEX(Models!$BJ81:$BT81,,T81+1)*R81-ERP_i)*Q81*Ramure*Pc/MaxiM</f>
        <v>2.1179910494556895E-2</v>
      </c>
      <c r="Q81" s="307">
        <f t="shared" si="28"/>
        <v>0.9</v>
      </c>
      <c r="R81" s="179">
        <f t="shared" si="29"/>
        <v>0.11389928005327121</v>
      </c>
      <c r="S81" s="839">
        <f t="shared" si="30"/>
        <v>1</v>
      </c>
      <c r="T81" s="178">
        <f t="shared" si="31"/>
        <v>7</v>
      </c>
      <c r="U81" s="253">
        <f t="shared" si="32"/>
        <v>1.1138992800532712</v>
      </c>
      <c r="V81" s="385">
        <f t="shared" si="33"/>
        <v>33.854542815485196</v>
      </c>
      <c r="W81" s="404">
        <f t="shared" si="34"/>
        <v>25.509233817073618</v>
      </c>
      <c r="X81" s="157">
        <f t="shared" si="35"/>
        <v>45358</v>
      </c>
      <c r="Y81" s="387">
        <f t="shared" si="36"/>
        <v>23.607657434973557</v>
      </c>
      <c r="Z81" s="387">
        <f t="shared" si="37"/>
        <v>24.758325549654469</v>
      </c>
      <c r="AA81" s="388">
        <f t="shared" si="38"/>
        <v>29.927892322169232</v>
      </c>
      <c r="AB81" s="199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0.17273407418287789</v>
      </c>
      <c r="AD81" s="233">
        <f>(INDEX(Models!$BJ81:$BT81,,AH81)*(1-AF81)+INDEX(Models!$BJ81:$BT81,,AH81+1)*AF81-ERP_i)*AE81*Ramure*Pc/MaxiM</f>
        <v>2.1179910494556895E-2</v>
      </c>
      <c r="AE81" s="307">
        <f t="shared" si="40"/>
        <v>0.9</v>
      </c>
      <c r="AF81" s="179">
        <f t="shared" si="41"/>
        <v>0.11389928005327121</v>
      </c>
      <c r="AG81" s="839">
        <f t="shared" si="49"/>
        <v>1</v>
      </c>
      <c r="AH81" s="178">
        <f t="shared" si="42"/>
        <v>7</v>
      </c>
      <c r="AI81" s="227">
        <f t="shared" si="43"/>
        <v>1.1138992800532712</v>
      </c>
      <c r="AJ81" s="267" t="b">
        <f t="shared" si="44"/>
        <v>1</v>
      </c>
      <c r="AK81" s="267" t="b">
        <f t="shared" si="45"/>
        <v>0</v>
      </c>
      <c r="AL81" s="267"/>
      <c r="AM81" s="267"/>
      <c r="AN81" s="75"/>
    </row>
    <row r="82" spans="1:40" s="6" customFormat="1" ht="11.25" x14ac:dyDescent="0.2">
      <c r="A82" s="56">
        <f t="shared" si="46"/>
        <v>45359</v>
      </c>
      <c r="B82" s="413">
        <f>'2023'!Wh/'2023'!Env_an*'2024'!Env_an</f>
        <v>26.580692525139305</v>
      </c>
      <c r="C82" s="868"/>
      <c r="D82" s="395">
        <f t="shared" si="25"/>
        <v>27.876918997047632</v>
      </c>
      <c r="E82" s="387">
        <f t="shared" si="47"/>
        <v>31.190117907701424</v>
      </c>
      <c r="F82" s="387">
        <f t="shared" si="26"/>
        <v>31.624021069114178</v>
      </c>
      <c r="G82" s="110">
        <f t="shared" si="48"/>
        <v>0.77059366846728528</v>
      </c>
      <c r="H82" s="416" t="b">
        <f>Wh_hp&gt;='2023'!Maxi_hp</f>
        <v>0</v>
      </c>
      <c r="I82" s="392">
        <f>IF(H82,Wh_hp,'2023'!Maxi_hp)</f>
        <v>39.141345127163731</v>
      </c>
      <c r="J82" s="85">
        <f>IF(H82,An,'2023'!An_max)</f>
        <v>2021</v>
      </c>
      <c r="K82" s="199">
        <f t="shared" si="27"/>
        <v>45359</v>
      </c>
      <c r="L82" s="147">
        <f>IF(t&lt;Tvie,1-EXP((T0-t)*PertePVj)+'2023'!Pspv,1-EXP((T0-t)*PertePVj)+Pspv)</f>
        <v>4.6498197022619592E-2</v>
      </c>
      <c r="M82" s="872"/>
      <c r="N82" s="872"/>
      <c r="O82" s="48">
        <f>IF(t&lt;Tnet,'2023'!Resal+('2023'!Salim-'2023'!Resal)*(1-EXP(('2023'!Tnet-t)/('2023'!Tau_j))),Resal+(Salim-Resal)*(1-EXP((Tnet-t)/(Tau_j))))*Salcycl</f>
        <v>0.10622591810836668</v>
      </c>
      <c r="P82" s="171">
        <f>(INDEX(Models!$BJ82:$BT82,,T82)*(1-R82)+INDEX(Models!$BJ82:$BT82,,T82+1)*R82-ERP_i)*Q82*Ramure*Pc/MaxiM</f>
        <v>2.019094833671287E-2</v>
      </c>
      <c r="Q82" s="307">
        <f t="shared" si="28"/>
        <v>0.9</v>
      </c>
      <c r="R82" s="179">
        <f t="shared" si="29"/>
        <v>0.11449150018749288</v>
      </c>
      <c r="S82" s="839">
        <f t="shared" si="30"/>
        <v>1</v>
      </c>
      <c r="T82" s="178">
        <f t="shared" si="31"/>
        <v>7</v>
      </c>
      <c r="U82" s="253">
        <f t="shared" si="32"/>
        <v>1.1144915001874929</v>
      </c>
      <c r="V82" s="385">
        <f t="shared" si="33"/>
        <v>34.267496475730461</v>
      </c>
      <c r="W82" s="404">
        <f t="shared" si="34"/>
        <v>26.580692525139305</v>
      </c>
      <c r="X82" s="157">
        <f t="shared" si="35"/>
        <v>45359</v>
      </c>
      <c r="Y82" s="387">
        <f t="shared" si="36"/>
        <v>24.601086439976719</v>
      </c>
      <c r="Z82" s="387">
        <f t="shared" si="37"/>
        <v>25.800776006042142</v>
      </c>
      <c r="AA82" s="388">
        <f t="shared" si="38"/>
        <v>31.190117907701424</v>
      </c>
      <c r="AB82" s="199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0.17279004579615753</v>
      </c>
      <c r="AD82" s="233">
        <f>(INDEX(Models!$BJ82:$BT82,,AH82)*(1-AF82)+INDEX(Models!$BJ82:$BT82,,AH82+1)*AF82-ERP_i)*AE82*Ramure*Pc/MaxiM</f>
        <v>2.019094833671287E-2</v>
      </c>
      <c r="AE82" s="307">
        <f t="shared" si="40"/>
        <v>0.9</v>
      </c>
      <c r="AF82" s="179">
        <f t="shared" si="41"/>
        <v>0.11449150018749288</v>
      </c>
      <c r="AG82" s="839">
        <f t="shared" si="49"/>
        <v>1</v>
      </c>
      <c r="AH82" s="178">
        <f t="shared" si="42"/>
        <v>7</v>
      </c>
      <c r="AI82" s="227">
        <f t="shared" si="43"/>
        <v>1.1144915001874929</v>
      </c>
      <c r="AJ82" s="267" t="b">
        <f t="shared" si="44"/>
        <v>1</v>
      </c>
      <c r="AK82" s="267" t="b">
        <f t="shared" si="45"/>
        <v>0</v>
      </c>
      <c r="AL82" s="267"/>
      <c r="AM82" s="267"/>
      <c r="AN82" s="75"/>
    </row>
    <row r="83" spans="1:40" s="6" customFormat="1" ht="11.25" x14ac:dyDescent="0.2">
      <c r="A83" s="56">
        <f t="shared" si="46"/>
        <v>45360</v>
      </c>
      <c r="B83" s="413">
        <f>'2023'!Wh/'2023'!Env_an*'2024'!Env_an</f>
        <v>18.658384125468032</v>
      </c>
      <c r="C83" s="868"/>
      <c r="D83" s="395">
        <f t="shared" si="25"/>
        <v>19.568728958001039</v>
      </c>
      <c r="E83" s="387">
        <f t="shared" si="47"/>
        <v>21.897614665228286</v>
      </c>
      <c r="F83" s="387">
        <f t="shared" si="26"/>
        <v>22.042011921431396</v>
      </c>
      <c r="G83" s="110">
        <f t="shared" si="48"/>
        <v>0.53111529574568039</v>
      </c>
      <c r="H83" s="416" t="b">
        <f>Wh_hp&gt;='2023'!Maxi_hp</f>
        <v>0</v>
      </c>
      <c r="I83" s="392">
        <f>IF(H83,Wh_hp,'2023'!Maxi_hp)</f>
        <v>39.134897044525324</v>
      </c>
      <c r="J83" s="85">
        <f>IF(H83,An,'2023'!An_max)</f>
        <v>2021</v>
      </c>
      <c r="K83" s="199">
        <f t="shared" si="27"/>
        <v>45360</v>
      </c>
      <c r="L83" s="147">
        <f>IF(t&lt;Tvie,1-EXP((T0-t)*PertePVj)+'2023'!Pspv,1-EXP((T0-t)*PertePVj)+Pspv)</f>
        <v>4.6520386402551406E-2</v>
      </c>
      <c r="M83" s="872"/>
      <c r="N83" s="872"/>
      <c r="O83" s="48">
        <f>IF(t&lt;Tnet,'2023'!Resal+('2023'!Salim-'2023'!Resal)*(1-EXP(('2023'!Tnet-t)/('2023'!Tau_j))),Resal+(Salim-Resal)*(1-EXP((Tnet-t)/(Tau_j))))*Salcycl</f>
        <v>0.10635339706316671</v>
      </c>
      <c r="P83" s="171">
        <f>(INDEX(Models!$BJ83:$BT83,,T83)*(1-R83)+INDEX(Models!$BJ83:$BT83,,T83+1)*R83-ERP_i)*Q83*Ramure*Pc/MaxiM</f>
        <v>1.9267497338212477E-2</v>
      </c>
      <c r="Q83" s="307">
        <f t="shared" si="28"/>
        <v>0.9</v>
      </c>
      <c r="R83" s="179">
        <f t="shared" si="29"/>
        <v>0.11510747959536438</v>
      </c>
      <c r="S83" s="839">
        <f t="shared" si="30"/>
        <v>1</v>
      </c>
      <c r="T83" s="178">
        <f t="shared" si="31"/>
        <v>7</v>
      </c>
      <c r="U83" s="253">
        <f t="shared" si="32"/>
        <v>1.1151074795953644</v>
      </c>
      <c r="V83" s="385">
        <f t="shared" si="33"/>
        <v>34.680888331560759</v>
      </c>
      <c r="W83" s="404">
        <f t="shared" si="34"/>
        <v>18.658384125468032</v>
      </c>
      <c r="X83" s="157">
        <f t="shared" si="35"/>
        <v>45360</v>
      </c>
      <c r="Y83" s="387">
        <f t="shared" si="36"/>
        <v>17.270083378700598</v>
      </c>
      <c r="Z83" s="387">
        <f t="shared" si="37"/>
        <v>18.112692848818359</v>
      </c>
      <c r="AA83" s="388">
        <f t="shared" si="38"/>
        <v>21.897614665228286</v>
      </c>
      <c r="AB83" s="199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0.17284630651666774</v>
      </c>
      <c r="AD83" s="233">
        <f>(INDEX(Models!$BJ83:$BT83,,AH83)*(1-AF83)+INDEX(Models!$BJ83:$BT83,,AH83+1)*AF83-ERP_i)*AE83*Ramure*Pc/MaxiM</f>
        <v>1.9267497338212477E-2</v>
      </c>
      <c r="AE83" s="307">
        <f t="shared" si="40"/>
        <v>0.9</v>
      </c>
      <c r="AF83" s="179">
        <f t="shared" si="41"/>
        <v>0.11510747959536438</v>
      </c>
      <c r="AG83" s="839">
        <f t="shared" si="49"/>
        <v>1</v>
      </c>
      <c r="AH83" s="178">
        <f t="shared" si="42"/>
        <v>7</v>
      </c>
      <c r="AI83" s="227">
        <f t="shared" si="43"/>
        <v>1.1151074795953644</v>
      </c>
      <c r="AJ83" s="267" t="b">
        <f t="shared" si="44"/>
        <v>1</v>
      </c>
      <c r="AK83" s="267" t="b">
        <f t="shared" si="45"/>
        <v>0</v>
      </c>
      <c r="AL83" s="267"/>
      <c r="AM83" s="267"/>
      <c r="AN83" s="75"/>
    </row>
    <row r="84" spans="1:40" s="6" customFormat="1" ht="11.25" x14ac:dyDescent="0.2">
      <c r="A84" s="56">
        <f t="shared" si="46"/>
        <v>45361</v>
      </c>
      <c r="B84" s="413">
        <f>'2023'!Wh/'2023'!Env_an*'2024'!Env_an</f>
        <v>13.279744795840804</v>
      </c>
      <c r="C84" s="868"/>
      <c r="D84" s="395">
        <f t="shared" si="25"/>
        <v>13.927989285465049</v>
      </c>
      <c r="E84" s="387">
        <f t="shared" si="47"/>
        <v>15.587793027178103</v>
      </c>
      <c r="F84" s="387">
        <f t="shared" si="26"/>
        <v>15.619997642842755</v>
      </c>
      <c r="G84" s="110">
        <f t="shared" si="48"/>
        <v>0.37220523968307212</v>
      </c>
      <c r="H84" s="416" t="b">
        <f>Wh_hp&gt;='2023'!Maxi_hp</f>
        <v>0</v>
      </c>
      <c r="I84" s="392">
        <f>IF(H84,Wh_hp,'2023'!Maxi_hp)</f>
        <v>33.079373904008349</v>
      </c>
      <c r="J84" s="85">
        <f>IF(H84,An,'2023'!An_max)</f>
        <v>2019</v>
      </c>
      <c r="K84" s="199">
        <f t="shared" si="27"/>
        <v>45361</v>
      </c>
      <c r="L84" s="147">
        <f>IF(t&lt;Tvie,1-EXP((T0-t)*PertePVj)+'2023'!Pspv,1-EXP((T0-t)*PertePVj)+Pspv)</f>
        <v>4.6542575266103836E-2</v>
      </c>
      <c r="M84" s="872"/>
      <c r="N84" s="872"/>
      <c r="O84" s="48">
        <f>IF(t&lt;Tnet,'2023'!Resal+('2023'!Salim-'2023'!Resal)*(1-EXP(('2023'!Tnet-t)/('2023'!Tau_j))),Resal+(Salim-Resal)*(1-EXP((Tnet-t)/(Tau_j))))*Salcycl</f>
        <v>0.10648099694543693</v>
      </c>
      <c r="P84" s="171">
        <f>(INDEX(Models!$BJ84:$BT84,,T84)*(1-R84)+INDEX(Models!$BJ84:$BT84,,T84+1)*R84-ERP_i)*Q84*Ramure*Pc/MaxiM</f>
        <v>1.8407734457892771E-2</v>
      </c>
      <c r="Q84" s="307">
        <f t="shared" si="28"/>
        <v>0.9</v>
      </c>
      <c r="R84" s="179">
        <f t="shared" si="29"/>
        <v>0.11574812520609501</v>
      </c>
      <c r="S84" s="839">
        <f t="shared" si="30"/>
        <v>1</v>
      </c>
      <c r="T84" s="178">
        <f t="shared" si="31"/>
        <v>7</v>
      </c>
      <c r="U84" s="253">
        <f t="shared" si="32"/>
        <v>1.115748125206095</v>
      </c>
      <c r="V84" s="385">
        <f t="shared" si="33"/>
        <v>35.094148343674895</v>
      </c>
      <c r="W84" s="404">
        <f t="shared" si="34"/>
        <v>13.279744795840804</v>
      </c>
      <c r="X84" s="157">
        <f t="shared" si="35"/>
        <v>45361</v>
      </c>
      <c r="Y84" s="387">
        <f t="shared" si="36"/>
        <v>12.292562432602216</v>
      </c>
      <c r="Z84" s="387">
        <f t="shared" si="37"/>
        <v>12.892618079966173</v>
      </c>
      <c r="AA84" s="388">
        <f t="shared" si="38"/>
        <v>15.587793027178103</v>
      </c>
      <c r="AB84" s="199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0.17290292105577459</v>
      </c>
      <c r="AD84" s="233">
        <f>(INDEX(Models!$BJ84:$BT84,,AH84)*(1-AF84)+INDEX(Models!$BJ84:$BT84,,AH84+1)*AF84-ERP_i)*AE84*Ramure*Pc/MaxiM</f>
        <v>1.8407734457892771E-2</v>
      </c>
      <c r="AE84" s="307">
        <f t="shared" si="40"/>
        <v>0.9</v>
      </c>
      <c r="AF84" s="179">
        <f t="shared" si="41"/>
        <v>0.11574812520609501</v>
      </c>
      <c r="AG84" s="839">
        <f t="shared" si="49"/>
        <v>1</v>
      </c>
      <c r="AH84" s="178">
        <f t="shared" si="42"/>
        <v>7</v>
      </c>
      <c r="AI84" s="227">
        <f t="shared" si="43"/>
        <v>1.115748125206095</v>
      </c>
      <c r="AJ84" s="267" t="b">
        <f t="shared" si="44"/>
        <v>1</v>
      </c>
      <c r="AK84" s="267" t="b">
        <f t="shared" si="45"/>
        <v>0</v>
      </c>
      <c r="AL84" s="267"/>
      <c r="AM84" s="267"/>
      <c r="AN84" s="75"/>
    </row>
    <row r="85" spans="1:40" s="6" customFormat="1" ht="11.25" x14ac:dyDescent="0.2">
      <c r="A85" s="56">
        <f t="shared" si="46"/>
        <v>45362</v>
      </c>
      <c r="B85" s="413">
        <f>'2023'!Wh/'2023'!Env_an*'2024'!Env_an</f>
        <v>12.595764228870518</v>
      </c>
      <c r="C85" s="868"/>
      <c r="D85" s="395">
        <f t="shared" si="25"/>
        <v>13.210927966754637</v>
      </c>
      <c r="E85" s="387">
        <f t="shared" si="47"/>
        <v>14.787393682779078</v>
      </c>
      <c r="F85" s="387">
        <f t="shared" si="26"/>
        <v>14.807786529989773</v>
      </c>
      <c r="G85" s="110">
        <f t="shared" si="48"/>
        <v>0.34897686957907648</v>
      </c>
      <c r="H85" s="416" t="b">
        <f>Wh_hp&gt;='2023'!Maxi_hp</f>
        <v>0</v>
      </c>
      <c r="I85" s="392">
        <f>IF(H85,Wh_hp,'2023'!Maxi_hp)</f>
        <v>39.985849154638863</v>
      </c>
      <c r="J85" s="85">
        <f>IF(H85,An,'2023'!An_max)</f>
        <v>2020</v>
      </c>
      <c r="K85" s="199">
        <f t="shared" si="27"/>
        <v>45362</v>
      </c>
      <c r="L85" s="147">
        <f>IF(t&lt;Tvie,1-EXP((T0-t)*PertePVj)+'2023'!Pspv,1-EXP((T0-t)*PertePVj)+Pspv)</f>
        <v>4.6564763613289095E-2</v>
      </c>
      <c r="M85" s="872"/>
      <c r="N85" s="872"/>
      <c r="O85" s="48">
        <f>IF(t&lt;Tnet,'2023'!Resal+('2023'!Salim-'2023'!Resal)*(1-EXP(('2023'!Tnet-t)/('2023'!Tau_j))),Resal+(Salim-Resal)*(1-EXP((Tnet-t)/(Tau_j))))*Salcycl</f>
        <v>0.10660876080281421</v>
      </c>
      <c r="P85" s="171">
        <f>(INDEX(Models!$BJ85:$BT85,,T85)*(1-R85)+INDEX(Models!$BJ85:$BT85,,T85+1)*R85-ERP_i)*Q85*Ramure*Pc/MaxiM</f>
        <v>1.7609834465944187E-2</v>
      </c>
      <c r="Q85" s="307">
        <f t="shared" si="28"/>
        <v>0.9</v>
      </c>
      <c r="R85" s="179">
        <f t="shared" si="29"/>
        <v>0.11641437470519245</v>
      </c>
      <c r="S85" s="839">
        <f t="shared" si="30"/>
        <v>1</v>
      </c>
      <c r="T85" s="178">
        <f t="shared" si="31"/>
        <v>7</v>
      </c>
      <c r="U85" s="253">
        <f t="shared" si="32"/>
        <v>1.1164143747051924</v>
      </c>
      <c r="V85" s="385">
        <f t="shared" si="33"/>
        <v>35.506706984877439</v>
      </c>
      <c r="W85" s="404">
        <f t="shared" si="34"/>
        <v>12.595764228870518</v>
      </c>
      <c r="X85" s="157">
        <f t="shared" si="35"/>
        <v>45362</v>
      </c>
      <c r="Y85" s="387">
        <f t="shared" si="36"/>
        <v>11.660290497093005</v>
      </c>
      <c r="Z85" s="387">
        <f t="shared" si="37"/>
        <v>12.229766692159068</v>
      </c>
      <c r="AA85" s="388">
        <f t="shared" si="38"/>
        <v>14.787393682779078</v>
      </c>
      <c r="AB85" s="199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0.17295995802144226</v>
      </c>
      <c r="AD85" s="233">
        <f>(INDEX(Models!$BJ85:$BT85,,AH85)*(1-AF85)+INDEX(Models!$BJ85:$BT85,,AH85+1)*AF85-ERP_i)*AE85*Ramure*Pc/MaxiM</f>
        <v>1.7609834465944187E-2</v>
      </c>
      <c r="AE85" s="307">
        <f t="shared" si="40"/>
        <v>0.9</v>
      </c>
      <c r="AF85" s="179">
        <f t="shared" si="41"/>
        <v>0.11641437470519245</v>
      </c>
      <c r="AG85" s="839">
        <f t="shared" si="49"/>
        <v>1</v>
      </c>
      <c r="AH85" s="178">
        <f t="shared" si="42"/>
        <v>7</v>
      </c>
      <c r="AI85" s="227">
        <f t="shared" si="43"/>
        <v>1.1164143747051924</v>
      </c>
      <c r="AJ85" s="267" t="b">
        <f t="shared" si="44"/>
        <v>1</v>
      </c>
      <c r="AK85" s="267" t="b">
        <f t="shared" si="45"/>
        <v>0</v>
      </c>
      <c r="AL85" s="267"/>
      <c r="AM85" s="267"/>
      <c r="AN85" s="75"/>
    </row>
    <row r="86" spans="1:40" s="6" customFormat="1" ht="11.25" x14ac:dyDescent="0.2">
      <c r="A86" s="56">
        <f t="shared" si="46"/>
        <v>45363</v>
      </c>
      <c r="B86" s="413">
        <f>'2023'!Wh/'2023'!Env_an*'2024'!Env_an</f>
        <v>8.3219400664321252</v>
      </c>
      <c r="C86" s="868"/>
      <c r="D86" s="395">
        <f t="shared" si="25"/>
        <v>8.7285779012960134</v>
      </c>
      <c r="E86" s="387">
        <f t="shared" si="47"/>
        <v>9.7715625778308155</v>
      </c>
      <c r="F86" s="387">
        <f t="shared" si="26"/>
        <v>9.7715625778308155</v>
      </c>
      <c r="G86" s="110">
        <f t="shared" si="48"/>
        <v>0.22778366113154183</v>
      </c>
      <c r="H86" s="416" t="b">
        <f>Wh_hp&gt;='2023'!Maxi_hp</f>
        <v>0</v>
      </c>
      <c r="I86" s="392">
        <f>IF(H86,Wh_hp,'2023'!Maxi_hp)</f>
        <v>40.053703033892276</v>
      </c>
      <c r="J86" s="85">
        <f>IF(H86,An,'2023'!An_max)</f>
        <v>2021</v>
      </c>
      <c r="K86" s="199">
        <f t="shared" si="27"/>
        <v>45363</v>
      </c>
      <c r="L86" s="147">
        <f>IF(t&lt;Tvie,1-EXP((T0-t)*PertePVj)+'2023'!Pspv,1-EXP((T0-t)*PertePVj)+Pspv)</f>
        <v>4.6586951444119062E-2</v>
      </c>
      <c r="M86" s="872"/>
      <c r="N86" s="872"/>
      <c r="O86" s="48">
        <f>IF(t&lt;Tnet,'2023'!Resal+('2023'!Salim-'2023'!Resal)*(1-EXP(('2023'!Tnet-t)/('2023'!Tau_j))),Resal+(Salim-Resal)*(1-EXP((Tnet-t)/(Tau_j))))*Salcycl</f>
        <v>0.1067367340921572</v>
      </c>
      <c r="P86" s="171">
        <f>(INDEX(Models!$BJ86:$BT86,,T86)*(1-R86)+INDEX(Models!$BJ86:$BT86,,T86+1)*R86-ERP_i)*Q86*Ramure*Pc/MaxiM</f>
        <v>1.688839999377225E-2</v>
      </c>
      <c r="Q86" s="307">
        <f t="shared" si="28"/>
        <v>0.9</v>
      </c>
      <c r="R86" s="179">
        <f t="shared" si="29"/>
        <v>0.11710719725077645</v>
      </c>
      <c r="S86" s="839">
        <f t="shared" si="30"/>
        <v>1</v>
      </c>
      <c r="T86" s="178">
        <f t="shared" si="31"/>
        <v>7</v>
      </c>
      <c r="U86" s="253">
        <f t="shared" si="32"/>
        <v>1.1171071972507765</v>
      </c>
      <c r="V86" s="385">
        <f t="shared" si="33"/>
        <v>35.917395362002637</v>
      </c>
      <c r="W86" s="404">
        <f t="shared" si="34"/>
        <v>8.3219400664321252</v>
      </c>
      <c r="X86" s="157">
        <f t="shared" si="35"/>
        <v>45363</v>
      </c>
      <c r="Y86" s="387">
        <f t="shared" si="36"/>
        <v>7.7044463255383953</v>
      </c>
      <c r="Z86" s="387">
        <f t="shared" si="37"/>
        <v>8.0809113502360734</v>
      </c>
      <c r="AA86" s="388">
        <f t="shared" si="38"/>
        <v>9.7715625778308155</v>
      </c>
      <c r="AB86" s="199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0.17301748969304034</v>
      </c>
      <c r="AD86" s="233">
        <f>(INDEX(Models!$BJ86:$BT86,,AH86)*(1-AF86)+INDEX(Models!$BJ86:$BT86,,AH86+1)*AF86-ERP_i)*AE86*Ramure*Pc/MaxiM</f>
        <v>1.688839999377225E-2</v>
      </c>
      <c r="AE86" s="307">
        <f t="shared" si="40"/>
        <v>0.9</v>
      </c>
      <c r="AF86" s="179">
        <f t="shared" si="41"/>
        <v>0.11710719725077645</v>
      </c>
      <c r="AG86" s="839">
        <f t="shared" si="49"/>
        <v>1</v>
      </c>
      <c r="AH86" s="178">
        <f t="shared" si="42"/>
        <v>7</v>
      </c>
      <c r="AI86" s="227">
        <f t="shared" si="43"/>
        <v>1.1171071972507765</v>
      </c>
      <c r="AJ86" s="267" t="b">
        <f t="shared" si="44"/>
        <v>1</v>
      </c>
      <c r="AK86" s="267" t="b">
        <f t="shared" si="45"/>
        <v>0</v>
      </c>
      <c r="AL86" s="267"/>
      <c r="AM86" s="267"/>
      <c r="AN86" s="75"/>
    </row>
    <row r="87" spans="1:40" s="6" customFormat="1" ht="11.25" x14ac:dyDescent="0.2">
      <c r="A87" s="56">
        <f t="shared" si="46"/>
        <v>45364</v>
      </c>
      <c r="B87" s="413">
        <f>'2023'!Wh/'2023'!Env_an*'2024'!Env_an</f>
        <v>11.468842384469113</v>
      </c>
      <c r="C87" s="868"/>
      <c r="D87" s="395">
        <f t="shared" si="25"/>
        <v>12.029528340072114</v>
      </c>
      <c r="E87" s="387">
        <f t="shared" si="47"/>
        <v>13.468879690587384</v>
      </c>
      <c r="F87" s="387">
        <f t="shared" si="26"/>
        <v>13.473790697961004</v>
      </c>
      <c r="G87" s="110">
        <f t="shared" si="48"/>
        <v>0.31070857786171918</v>
      </c>
      <c r="H87" s="416" t="b">
        <f>Wh_hp&gt;='2023'!Maxi_hp</f>
        <v>0</v>
      </c>
      <c r="I87" s="392">
        <f>IF(H87,Wh_hp,'2023'!Maxi_hp)</f>
        <v>37.84988818165337</v>
      </c>
      <c r="J87" s="85">
        <f>IF(H87,An,'2023'!An_max)</f>
        <v>2020</v>
      </c>
      <c r="K87" s="199">
        <f t="shared" si="27"/>
        <v>45364</v>
      </c>
      <c r="L87" s="147">
        <f>IF(t&lt;Tvie,1-EXP((T0-t)*PertePVj)+'2023'!Pspv,1-EXP((T0-t)*PertePVj)+Pspv)</f>
        <v>4.6609138758605728E-2</v>
      </c>
      <c r="M87" s="872"/>
      <c r="N87" s="872"/>
      <c r="O87" s="48">
        <f>IF(t&lt;Tnet,'2023'!Resal+('2023'!Salim-'2023'!Resal)*(1-EXP(('2023'!Tnet-t)/('2023'!Tau_j))),Resal+(Salim-Resal)*(1-EXP((Tnet-t)/(Tau_j))))*Salcycl</f>
        <v>0.1068649645390439</v>
      </c>
      <c r="P87" s="171">
        <f>(INDEX(Models!$BJ87:$BT87,,T87)*(1-R87)+INDEX(Models!$BJ87:$BT87,,T87+1)*R87-ERP_i)*Q87*Ramure*Pc/MaxiM</f>
        <v>1.6230640146543941E-2</v>
      </c>
      <c r="Q87" s="307">
        <f t="shared" si="28"/>
        <v>0.9</v>
      </c>
      <c r="R87" s="179">
        <f t="shared" si="29"/>
        <v>0.11782759417702926</v>
      </c>
      <c r="S87" s="839">
        <f t="shared" si="30"/>
        <v>1</v>
      </c>
      <c r="T87" s="178">
        <f t="shared" si="31"/>
        <v>7</v>
      </c>
      <c r="U87" s="253">
        <f t="shared" si="32"/>
        <v>1.1178275941770293</v>
      </c>
      <c r="V87" s="385">
        <f t="shared" si="33"/>
        <v>36.326031588844614</v>
      </c>
      <c r="W87" s="404">
        <f t="shared" si="34"/>
        <v>11.468842384469113</v>
      </c>
      <c r="X87" s="157">
        <f t="shared" si="35"/>
        <v>45364</v>
      </c>
      <c r="Y87" s="387">
        <f t="shared" si="36"/>
        <v>10.618624648246332</v>
      </c>
      <c r="Z87" s="387">
        <f t="shared" si="37"/>
        <v>11.137745367540022</v>
      </c>
      <c r="AA87" s="388">
        <f t="shared" si="38"/>
        <v>13.468879690587384</v>
      </c>
      <c r="AB87" s="199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0.17307559177891058</v>
      </c>
      <c r="AD87" s="233">
        <f>(INDEX(Models!$BJ87:$BT87,,AH87)*(1-AF87)+INDEX(Models!$BJ87:$BT87,,AH87+1)*AF87-ERP_i)*AE87*Ramure*Pc/MaxiM</f>
        <v>1.6230640146543941E-2</v>
      </c>
      <c r="AE87" s="307">
        <f t="shared" si="40"/>
        <v>0.9</v>
      </c>
      <c r="AF87" s="179">
        <f t="shared" si="41"/>
        <v>0.11782759417702926</v>
      </c>
      <c r="AG87" s="839">
        <f t="shared" si="49"/>
        <v>1</v>
      </c>
      <c r="AH87" s="178">
        <f t="shared" si="42"/>
        <v>7</v>
      </c>
      <c r="AI87" s="227">
        <f t="shared" si="43"/>
        <v>1.1178275941770293</v>
      </c>
      <c r="AJ87" s="267" t="b">
        <f t="shared" si="44"/>
        <v>1</v>
      </c>
      <c r="AK87" s="267" t="b">
        <f t="shared" si="45"/>
        <v>0</v>
      </c>
      <c r="AL87" s="267"/>
      <c r="AM87" s="267"/>
      <c r="AN87" s="75"/>
    </row>
    <row r="88" spans="1:40" s="6" customFormat="1" ht="11.25" x14ac:dyDescent="0.2">
      <c r="A88" s="56">
        <f t="shared" si="46"/>
        <v>45365</v>
      </c>
      <c r="B88" s="413">
        <f>'2023'!Wh/'2023'!Env_an*'2024'!Env_an</f>
        <v>13.260209722988346</v>
      </c>
      <c r="C88" s="868"/>
      <c r="D88" s="395">
        <f t="shared" si="25"/>
        <v>13.908795283977863</v>
      </c>
      <c r="E88" s="387">
        <f t="shared" si="47"/>
        <v>15.575245325684023</v>
      </c>
      <c r="F88" s="387">
        <f t="shared" si="26"/>
        <v>15.596494288059912</v>
      </c>
      <c r="G88" s="110">
        <f t="shared" si="48"/>
        <v>0.35583911264889928</v>
      </c>
      <c r="H88" s="416" t="b">
        <f>Wh_hp&gt;='2023'!Maxi_hp</f>
        <v>0</v>
      </c>
      <c r="I88" s="392">
        <f>IF(H88,Wh_hp,'2023'!Maxi_hp)</f>
        <v>32.044042478479284</v>
      </c>
      <c r="J88" s="85">
        <f>IF(H88,An,'2023'!An_max)</f>
        <v>2020</v>
      </c>
      <c r="K88" s="199">
        <f t="shared" si="27"/>
        <v>45365</v>
      </c>
      <c r="L88" s="147">
        <f>IF(t&lt;Tvie,1-EXP((T0-t)*PertePVj)+'2023'!Pspv,1-EXP((T0-t)*PertePVj)+Pspv)</f>
        <v>4.6631325556761194E-2</v>
      </c>
      <c r="M88" s="872"/>
      <c r="N88" s="872"/>
      <c r="O88" s="48">
        <f>IF(t&lt;Tnet,'2023'!Resal+('2023'!Salim-'2023'!Resal)*(1-EXP(('2023'!Tnet-t)/('2023'!Tau_j))),Resal+(Salim-Resal)*(1-EXP((Tnet-t)/(Tau_j))))*Salcycl</f>
        <v>0.10699350198729367</v>
      </c>
      <c r="P88" s="171">
        <f>(INDEX(Models!$BJ88:$BT88,,T88)*(1-R88)+INDEX(Models!$BJ88:$BT88,,T88+1)*R88-ERP_i)*Q88*Ramure*Pc/MaxiM</f>
        <v>1.5634722774084047E-2</v>
      </c>
      <c r="Q88" s="307">
        <f t="shared" si="28"/>
        <v>0.9</v>
      </c>
      <c r="R88" s="179">
        <f t="shared" si="29"/>
        <v>0.11857659968131351</v>
      </c>
      <c r="S88" s="839">
        <f t="shared" si="30"/>
        <v>1</v>
      </c>
      <c r="T88" s="178">
        <f t="shared" si="31"/>
        <v>7</v>
      </c>
      <c r="U88" s="253">
        <f t="shared" si="32"/>
        <v>1.1185765996813135</v>
      </c>
      <c r="V88" s="385">
        <f t="shared" si="33"/>
        <v>36.732043567720282</v>
      </c>
      <c r="W88" s="404">
        <f t="shared" si="34"/>
        <v>13.260209722988346</v>
      </c>
      <c r="X88" s="157">
        <f t="shared" si="35"/>
        <v>45365</v>
      </c>
      <c r="Y88" s="387">
        <f t="shared" si="36"/>
        <v>12.278087613972261</v>
      </c>
      <c r="Z88" s="387">
        <f t="shared" si="37"/>
        <v>12.878635456679532</v>
      </c>
      <c r="AA88" s="388">
        <f t="shared" si="38"/>
        <v>15.575245325684023</v>
      </c>
      <c r="AB88" s="199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0.17313434315912213</v>
      </c>
      <c r="AD88" s="233">
        <f>(INDEX(Models!$BJ88:$BT88,,AH88)*(1-AF88)+INDEX(Models!$BJ88:$BT88,,AH88+1)*AF88-ERP_i)*AE88*Ramure*Pc/MaxiM</f>
        <v>1.5634722774084047E-2</v>
      </c>
      <c r="AE88" s="307">
        <f t="shared" si="40"/>
        <v>0.9</v>
      </c>
      <c r="AF88" s="179">
        <f t="shared" si="41"/>
        <v>0.11857659968131351</v>
      </c>
      <c r="AG88" s="839">
        <f t="shared" si="49"/>
        <v>1</v>
      </c>
      <c r="AH88" s="178">
        <f t="shared" si="42"/>
        <v>7</v>
      </c>
      <c r="AI88" s="227">
        <f t="shared" si="43"/>
        <v>1.1185765996813135</v>
      </c>
      <c r="AJ88" s="267" t="b">
        <f t="shared" si="44"/>
        <v>1</v>
      </c>
      <c r="AK88" s="267" t="b">
        <f t="shared" si="45"/>
        <v>0</v>
      </c>
      <c r="AL88" s="267"/>
      <c r="AM88" s="267"/>
      <c r="AN88" s="75"/>
    </row>
    <row r="89" spans="1:40" s="6" customFormat="1" ht="11.25" x14ac:dyDescent="0.2">
      <c r="A89" s="56">
        <f t="shared" si="46"/>
        <v>45366</v>
      </c>
      <c r="B89" s="413">
        <f>'2023'!Wh/'2023'!Env_an*'2024'!Env_an</f>
        <v>11.642838458964732</v>
      </c>
      <c r="C89" s="868"/>
      <c r="D89" s="395">
        <f t="shared" si="25"/>
        <v>12.212599095444078</v>
      </c>
      <c r="E89" s="387">
        <f t="shared" si="47"/>
        <v>13.677797574237433</v>
      </c>
      <c r="F89" s="387">
        <f t="shared" si="26"/>
        <v>13.681790029984564</v>
      </c>
      <c r="G89" s="110">
        <f t="shared" si="48"/>
        <v>0.30888475641985147</v>
      </c>
      <c r="H89" s="416" t="b">
        <f>Wh_hp&gt;='2023'!Maxi_hp</f>
        <v>0</v>
      </c>
      <c r="I89" s="392">
        <f>IF(H89,Wh_hp,'2023'!Maxi_hp)</f>
        <v>45.869563285625219</v>
      </c>
      <c r="J89" s="85">
        <f>IF(H89,An,'2023'!An_max)</f>
        <v>2020</v>
      </c>
      <c r="K89" s="199">
        <f t="shared" si="27"/>
        <v>45366</v>
      </c>
      <c r="L89" s="147">
        <f>IF(t&lt;Tvie,1-EXP((T0-t)*PertePVj)+'2023'!Pspv,1-EXP((T0-t)*PertePVj)+Pspv)</f>
        <v>4.6653511838597561E-2</v>
      </c>
      <c r="M89" s="872"/>
      <c r="N89" s="872"/>
      <c r="O89" s="48">
        <f>IF(t&lt;Tnet,'2023'!Resal+('2023'!Salim-'2023'!Resal)*(1-EXP(('2023'!Tnet-t)/('2023'!Tau_j))),Resal+(Salim-Resal)*(1-EXP((Tnet-t)/(Tau_j))))*Salcycl</f>
        <v>0.10712239823998436</v>
      </c>
      <c r="P89" s="171">
        <f>(INDEX(Models!$BJ89:$BT89,,T89)*(1-R89)+INDEX(Models!$BJ89:$BT89,,T89+1)*R89-ERP_i)*Q89*Ramure*Pc/MaxiM</f>
        <v>1.5098859527426059E-2</v>
      </c>
      <c r="Q89" s="307">
        <f t="shared" si="28"/>
        <v>0.9</v>
      </c>
      <c r="R89" s="179">
        <f t="shared" si="29"/>
        <v>0.11935528149119423</v>
      </c>
      <c r="S89" s="839">
        <f t="shared" si="30"/>
        <v>1</v>
      </c>
      <c r="T89" s="178">
        <f t="shared" si="31"/>
        <v>7</v>
      </c>
      <c r="U89" s="253">
        <f t="shared" si="32"/>
        <v>1.1193552814911942</v>
      </c>
      <c r="V89" s="385">
        <f t="shared" si="33"/>
        <v>37.134859491435989</v>
      </c>
      <c r="W89" s="404">
        <f t="shared" si="34"/>
        <v>11.642838458964732</v>
      </c>
      <c r="X89" s="157">
        <f t="shared" si="35"/>
        <v>45366</v>
      </c>
      <c r="Y89" s="387">
        <f t="shared" si="36"/>
        <v>10.781288170129665</v>
      </c>
      <c r="Z89" s="387">
        <f t="shared" si="37"/>
        <v>11.308887486355729</v>
      </c>
      <c r="AA89" s="388">
        <f t="shared" si="38"/>
        <v>13.677797574237433</v>
      </c>
      <c r="AB89" s="199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0.17319382561587399</v>
      </c>
      <c r="AD89" s="233">
        <f>(INDEX(Models!$BJ89:$BT89,,AH89)*(1-AF89)+INDEX(Models!$BJ89:$BT89,,AH89+1)*AF89-ERP_i)*AE89*Ramure*Pc/MaxiM</f>
        <v>1.5098859527426059E-2</v>
      </c>
      <c r="AE89" s="307">
        <f t="shared" si="40"/>
        <v>0.9</v>
      </c>
      <c r="AF89" s="179">
        <f t="shared" si="41"/>
        <v>0.11935528149119423</v>
      </c>
      <c r="AG89" s="839">
        <f t="shared" si="49"/>
        <v>1</v>
      </c>
      <c r="AH89" s="178">
        <f t="shared" si="42"/>
        <v>7</v>
      </c>
      <c r="AI89" s="227">
        <f t="shared" si="43"/>
        <v>1.1193552814911942</v>
      </c>
      <c r="AJ89" s="267" t="b">
        <f t="shared" si="44"/>
        <v>1</v>
      </c>
      <c r="AK89" s="267" t="b">
        <f t="shared" si="45"/>
        <v>0</v>
      </c>
      <c r="AL89" s="267"/>
      <c r="AM89" s="267"/>
      <c r="AN89" s="75"/>
    </row>
    <row r="90" spans="1:40" s="6" customFormat="1" ht="11.25" x14ac:dyDescent="0.2">
      <c r="A90" s="56">
        <f t="shared" si="46"/>
        <v>45367</v>
      </c>
      <c r="B90" s="413">
        <f>'2023'!Wh/'2023'!Env_an*'2024'!Env_an</f>
        <v>10.214609495054958</v>
      </c>
      <c r="C90" s="868"/>
      <c r="D90" s="395">
        <f t="shared" si="25"/>
        <v>10.714726845191954</v>
      </c>
      <c r="E90" s="387">
        <f t="shared" si="47"/>
        <v>12.001957245874088</v>
      </c>
      <c r="F90" s="387">
        <f t="shared" si="26"/>
        <v>12.001957245874088</v>
      </c>
      <c r="G90" s="110">
        <f t="shared" si="48"/>
        <v>0.26816441656312245</v>
      </c>
      <c r="H90" s="416" t="b">
        <f>Wh_hp&gt;='2023'!Maxi_hp</f>
        <v>0</v>
      </c>
      <c r="I90" s="392">
        <f>IF(H90,Wh_hp,'2023'!Maxi_hp)</f>
        <v>24.974741617292128</v>
      </c>
      <c r="J90" s="85">
        <f>IF(H90,An,'2023'!An_max)</f>
        <v>2021</v>
      </c>
      <c r="K90" s="199">
        <f t="shared" si="27"/>
        <v>45367</v>
      </c>
      <c r="L90" s="147">
        <f>IF(t&lt;Tvie,1-EXP((T0-t)*PertePVj)+'2023'!Pspv,1-EXP((T0-t)*PertePVj)+Pspv)</f>
        <v>4.6675697604126598E-2</v>
      </c>
      <c r="M90" s="872"/>
      <c r="N90" s="872"/>
      <c r="O90" s="48">
        <f>IF(t&lt;Tnet,'2023'!Resal+('2023'!Salim-'2023'!Resal)*(1-EXP(('2023'!Tnet-t)/('2023'!Tau_j))),Resal+(Salim-Resal)*(1-EXP((Tnet-t)/(Tau_j))))*Salcycl</f>
        <v>0.10725170689344399</v>
      </c>
      <c r="P90" s="171">
        <f>(INDEX(Models!$BJ90:$BT90,,T90)*(1-R90)+INDEX(Models!$BJ90:$BT90,,T90+1)*R90-ERP_i)*Q90*Ramure*Pc/MaxiM</f>
        <v>1.4621312037767432E-2</v>
      </c>
      <c r="Q90" s="307">
        <f t="shared" si="28"/>
        <v>0.9</v>
      </c>
      <c r="R90" s="179">
        <f t="shared" si="29"/>
        <v>0.12016474150726419</v>
      </c>
      <c r="S90" s="839">
        <f t="shared" si="30"/>
        <v>1</v>
      </c>
      <c r="T90" s="178">
        <f t="shared" si="31"/>
        <v>7</v>
      </c>
      <c r="U90" s="253">
        <f t="shared" si="32"/>
        <v>1.1201647415072642</v>
      </c>
      <c r="V90" s="385">
        <f t="shared" si="33"/>
        <v>37.533907858780303</v>
      </c>
      <c r="W90" s="404">
        <f t="shared" si="34"/>
        <v>10.214609495054958</v>
      </c>
      <c r="X90" s="157">
        <f t="shared" si="35"/>
        <v>45367</v>
      </c>
      <c r="Y90" s="387">
        <f t="shared" si="36"/>
        <v>9.4594258479695323</v>
      </c>
      <c r="Z90" s="387">
        <f t="shared" si="37"/>
        <v>9.9225686623075848</v>
      </c>
      <c r="AA90" s="388">
        <f t="shared" si="38"/>
        <v>12.001957245874088</v>
      </c>
      <c r="AB90" s="199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0.17325412355400072</v>
      </c>
      <c r="AD90" s="233">
        <f>(INDEX(Models!$BJ90:$BT90,,AH90)*(1-AF90)+INDEX(Models!$BJ90:$BT90,,AH90+1)*AF90-ERP_i)*AE90*Ramure*Pc/MaxiM</f>
        <v>1.4621312037767432E-2</v>
      </c>
      <c r="AE90" s="307">
        <f t="shared" si="40"/>
        <v>0.9</v>
      </c>
      <c r="AF90" s="179">
        <f t="shared" si="41"/>
        <v>0.12016474150726419</v>
      </c>
      <c r="AG90" s="839">
        <f t="shared" si="49"/>
        <v>1</v>
      </c>
      <c r="AH90" s="178">
        <f t="shared" si="42"/>
        <v>7</v>
      </c>
      <c r="AI90" s="227">
        <f t="shared" si="43"/>
        <v>1.1201647415072642</v>
      </c>
      <c r="AJ90" s="267" t="b">
        <f t="shared" si="44"/>
        <v>1</v>
      </c>
      <c r="AK90" s="267" t="b">
        <f t="shared" si="45"/>
        <v>0</v>
      </c>
      <c r="AL90" s="267"/>
      <c r="AM90" s="267"/>
      <c r="AN90" s="75"/>
    </row>
    <row r="91" spans="1:40" s="6" customFormat="1" ht="11.25" x14ac:dyDescent="0.2">
      <c r="A91" s="56">
        <f t="shared" si="46"/>
        <v>45368</v>
      </c>
      <c r="B91" s="413">
        <f>'2023'!Wh/'2023'!Env_an*'2024'!Env_an</f>
        <v>12.823600924725767</v>
      </c>
      <c r="C91" s="868"/>
      <c r="D91" s="395">
        <f t="shared" si="25"/>
        <v>13.451770109468042</v>
      </c>
      <c r="E91" s="387">
        <f t="shared" si="47"/>
        <v>15.070010150780869</v>
      </c>
      <c r="F91" s="387">
        <f t="shared" si="26"/>
        <v>15.081666359829629</v>
      </c>
      <c r="G91" s="110">
        <f t="shared" si="48"/>
        <v>0.33355496095313553</v>
      </c>
      <c r="H91" s="416" t="b">
        <f>Wh_hp&gt;='2023'!Maxi_hp</f>
        <v>0</v>
      </c>
      <c r="I91" s="392">
        <f>IF(H91,Wh_hp,'2023'!Maxi_hp)</f>
        <v>30.155899568656967</v>
      </c>
      <c r="J91" s="85">
        <f>IF(H91,An,'2023'!An_max)</f>
        <v>2019</v>
      </c>
      <c r="K91" s="199">
        <f t="shared" si="27"/>
        <v>45368</v>
      </c>
      <c r="L91" s="147">
        <f>IF(t&lt;Tvie,1-EXP((T0-t)*PertePVj)+'2023'!Pspv,1-EXP((T0-t)*PertePVj)+Pspv)</f>
        <v>4.6697882853360517E-2</v>
      </c>
      <c r="M91" s="872"/>
      <c r="N91" s="872"/>
      <c r="O91" s="48">
        <f>IF(t&lt;Tnet,'2023'!Resal+('2023'!Salim-'2023'!Resal)*(1-EXP(('2023'!Tnet-t)/('2023'!Tau_j))),Resal+(Salim-Resal)*(1-EXP((Tnet-t)/(Tau_j))))*Salcycl</f>
        <v>0.10738148316568832</v>
      </c>
      <c r="P91" s="171">
        <f>(INDEX(Models!$BJ91:$BT91,,T91)*(1-R91)+INDEX(Models!$BJ91:$BT91,,T91+1)*R91-ERP_i)*Q91*Ramure*Pc/MaxiM</f>
        <v>1.4200397215190756E-2</v>
      </c>
      <c r="Q91" s="307">
        <f t="shared" si="28"/>
        <v>0.9</v>
      </c>
      <c r="R91" s="179">
        <f t="shared" si="29"/>
        <v>0.12100611641733972</v>
      </c>
      <c r="S91" s="839">
        <f t="shared" si="30"/>
        <v>1</v>
      </c>
      <c r="T91" s="178">
        <f t="shared" si="31"/>
        <v>7</v>
      </c>
      <c r="U91" s="253">
        <f t="shared" si="32"/>
        <v>1.1210061164173397</v>
      </c>
      <c r="V91" s="385">
        <f t="shared" si="33"/>
        <v>37.92861749146094</v>
      </c>
      <c r="W91" s="404">
        <f t="shared" si="34"/>
        <v>12.823600924725767</v>
      </c>
      <c r="X91" s="157">
        <f t="shared" si="35"/>
        <v>45368</v>
      </c>
      <c r="Y91" s="387">
        <f t="shared" si="36"/>
        <v>11.876377399019896</v>
      </c>
      <c r="Z91" s="387">
        <f t="shared" si="37"/>
        <v>12.45814646312491</v>
      </c>
      <c r="AA91" s="388">
        <f t="shared" si="38"/>
        <v>15.070010150780869</v>
      </c>
      <c r="AB91" s="199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0.17331532371400701</v>
      </c>
      <c r="AD91" s="233">
        <f>(INDEX(Models!$BJ91:$BT91,,AH91)*(1-AF91)+INDEX(Models!$BJ91:$BT91,,AH91+1)*AF91-ERP_i)*AE91*Ramure*Pc/MaxiM</f>
        <v>1.4200397215190756E-2</v>
      </c>
      <c r="AE91" s="307">
        <f t="shared" si="40"/>
        <v>0.9</v>
      </c>
      <c r="AF91" s="179">
        <f t="shared" si="41"/>
        <v>0.12100611641733972</v>
      </c>
      <c r="AG91" s="839">
        <f t="shared" si="49"/>
        <v>1</v>
      </c>
      <c r="AH91" s="178">
        <f t="shared" si="42"/>
        <v>7</v>
      </c>
      <c r="AI91" s="227">
        <f t="shared" si="43"/>
        <v>1.1210061164173397</v>
      </c>
      <c r="AJ91" s="267" t="b">
        <f t="shared" si="44"/>
        <v>1</v>
      </c>
      <c r="AK91" s="267" t="b">
        <f t="shared" si="45"/>
        <v>0</v>
      </c>
      <c r="AL91" s="267"/>
      <c r="AM91" s="267"/>
      <c r="AN91" s="75"/>
    </row>
    <row r="92" spans="1:40" s="6" customFormat="1" ht="11.25" x14ac:dyDescent="0.2">
      <c r="A92" s="56">
        <f t="shared" si="46"/>
        <v>45369</v>
      </c>
      <c r="B92" s="413">
        <f>'2023'!Wh/'2023'!Env_an*'2024'!Env_an</f>
        <v>25.832732283413932</v>
      </c>
      <c r="C92" s="868"/>
      <c r="D92" s="395">
        <f t="shared" si="25"/>
        <v>27.098789563319443</v>
      </c>
      <c r="E92" s="387">
        <f t="shared" si="47"/>
        <v>30.3631903133614</v>
      </c>
      <c r="F92" s="387">
        <f t="shared" si="26"/>
        <v>30.589390512798289</v>
      </c>
      <c r="G92" s="110">
        <f t="shared" si="48"/>
        <v>0.66978591194305881</v>
      </c>
      <c r="H92" s="416" t="b">
        <f>Wh_hp&gt;='2023'!Maxi_hp</f>
        <v>0</v>
      </c>
      <c r="I92" s="392">
        <f>IF(H92,Wh_hp,'2023'!Maxi_hp)</f>
        <v>42.600345506877346</v>
      </c>
      <c r="J92" s="85">
        <f>IF(H92,An,'2023'!An_max)</f>
        <v>2020</v>
      </c>
      <c r="K92" s="199">
        <f t="shared" si="27"/>
        <v>45369</v>
      </c>
      <c r="L92" s="147">
        <f>IF(t&lt;Tvie,1-EXP((T0-t)*PertePVj)+'2023'!Pspv,1-EXP((T0-t)*PertePVj)+Pspv)</f>
        <v>4.6720067586311309E-2</v>
      </c>
      <c r="M92" s="872"/>
      <c r="N92" s="872"/>
      <c r="O92" s="48">
        <f>IF(t&lt;Tnet,'2023'!Resal+('2023'!Salim-'2023'!Resal)*(1-EXP(('2023'!Tnet-t)/('2023'!Tau_j))),Resal+(Salim-Resal)*(1-EXP((Tnet-t)/(Tau_j))))*Salcycl</f>
        <v>0.10751178372074591</v>
      </c>
      <c r="P92" s="171">
        <f>(INDEX(Models!$BJ92:$BT92,,T92)*(1-R92)+INDEX(Models!$BJ92:$BT92,,T92+1)*R92-ERP_i)*Q92*Ramure*Pc/MaxiM</f>
        <v>1.3834491761796129E-2</v>
      </c>
      <c r="Q92" s="307">
        <f t="shared" si="28"/>
        <v>0.9</v>
      </c>
      <c r="R92" s="179">
        <f t="shared" si="29"/>
        <v>0.12188057827722898</v>
      </c>
      <c r="S92" s="839">
        <f t="shared" si="30"/>
        <v>1</v>
      </c>
      <c r="T92" s="178">
        <f t="shared" si="31"/>
        <v>7</v>
      </c>
      <c r="U92" s="253">
        <f t="shared" si="32"/>
        <v>1.121880578277229</v>
      </c>
      <c r="V92" s="385">
        <f t="shared" si="33"/>
        <v>38.318417551110556</v>
      </c>
      <c r="W92" s="404">
        <f t="shared" si="34"/>
        <v>25.832732283413932</v>
      </c>
      <c r="X92" s="157">
        <f t="shared" si="35"/>
        <v>45369</v>
      </c>
      <c r="Y92" s="387">
        <f t="shared" si="36"/>
        <v>23.926273723342906</v>
      </c>
      <c r="Z92" s="387">
        <f t="shared" si="37"/>
        <v>25.098895833002572</v>
      </c>
      <c r="AA92" s="388">
        <f t="shared" si="38"/>
        <v>30.3631903133614</v>
      </c>
      <c r="AB92" s="199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0.17337751487999137</v>
      </c>
      <c r="AD92" s="233">
        <f>(INDEX(Models!$BJ92:$BT92,,AH92)*(1-AF92)+INDEX(Models!$BJ92:$BT92,,AH92+1)*AF92-ERP_i)*AE92*Ramure*Pc/MaxiM</f>
        <v>1.3834491761796129E-2</v>
      </c>
      <c r="AE92" s="307">
        <f t="shared" si="40"/>
        <v>0.9</v>
      </c>
      <c r="AF92" s="179">
        <f t="shared" si="41"/>
        <v>0.12188057827722898</v>
      </c>
      <c r="AG92" s="839">
        <f t="shared" si="49"/>
        <v>1</v>
      </c>
      <c r="AH92" s="178">
        <f t="shared" si="42"/>
        <v>7</v>
      </c>
      <c r="AI92" s="227">
        <f t="shared" si="43"/>
        <v>1.121880578277229</v>
      </c>
      <c r="AJ92" s="267" t="b">
        <f t="shared" si="44"/>
        <v>1</v>
      </c>
      <c r="AK92" s="267" t="b">
        <f t="shared" si="45"/>
        <v>0</v>
      </c>
      <c r="AL92" s="267"/>
      <c r="AM92" s="267"/>
      <c r="AN92" s="75"/>
    </row>
    <row r="93" spans="1:40" s="6" customFormat="1" ht="11.25" x14ac:dyDescent="0.2">
      <c r="A93" s="56">
        <f t="shared" si="46"/>
        <v>45370</v>
      </c>
      <c r="B93" s="413">
        <f>'2023'!Wh/'2023'!Env_an*'2024'!Env_an</f>
        <v>29.143280248001663</v>
      </c>
      <c r="C93" s="868"/>
      <c r="D93" s="395">
        <f t="shared" si="25"/>
        <v>30.572298313990355</v>
      </c>
      <c r="E93" s="387">
        <f t="shared" si="47"/>
        <v>34.260152481457553</v>
      </c>
      <c r="F93" s="387">
        <f t="shared" si="26"/>
        <v>34.56253682565783</v>
      </c>
      <c r="G93" s="110">
        <f t="shared" si="48"/>
        <v>0.74931835642028188</v>
      </c>
      <c r="H93" s="416" t="b">
        <f>Wh_hp&gt;='2023'!Maxi_hp</f>
        <v>0</v>
      </c>
      <c r="I93" s="392">
        <f>IF(H93,Wh_hp,'2023'!Maxi_hp)</f>
        <v>46.71339553405334</v>
      </c>
      <c r="J93" s="85">
        <f>IF(H93,An,'2023'!An_max)</f>
        <v>2019</v>
      </c>
      <c r="K93" s="199">
        <f t="shared" si="27"/>
        <v>45370</v>
      </c>
      <c r="L93" s="147">
        <f>IF(t&lt;Tvie,1-EXP((T0-t)*PertePVj)+'2023'!Pspv,1-EXP((T0-t)*PertePVj)+Pspv)</f>
        <v>4.6742251802990964E-2</v>
      </c>
      <c r="M93" s="872"/>
      <c r="N93" s="872"/>
      <c r="O93" s="48">
        <f>IF(t&lt;Tnet,'2023'!Resal+('2023'!Salim-'2023'!Resal)*(1-EXP(('2023'!Tnet-t)/('2023'!Tau_j))),Resal+(Salim-Resal)*(1-EXP((Tnet-t)/(Tau_j))))*Salcycl</f>
        <v>0.10764266649026612</v>
      </c>
      <c r="P93" s="171">
        <f>(INDEX(Models!$BJ93:$BT93,,T93)*(1-R93)+INDEX(Models!$BJ93:$BT93,,T93+1)*R93-ERP_i)*Q93*Ramure*Pc/MaxiM</f>
        <v>1.3520975252949508E-2</v>
      </c>
      <c r="Q93" s="307">
        <f t="shared" si="28"/>
        <v>0.9</v>
      </c>
      <c r="R93" s="179">
        <f t="shared" si="29"/>
        <v>0.12278933505289902</v>
      </c>
      <c r="S93" s="839">
        <f t="shared" si="30"/>
        <v>1</v>
      </c>
      <c r="T93" s="178">
        <f t="shared" si="31"/>
        <v>7</v>
      </c>
      <c r="U93" s="253">
        <f t="shared" si="32"/>
        <v>1.122789335052899</v>
      </c>
      <c r="V93" s="385">
        <f t="shared" si="33"/>
        <v>38.705816733790876</v>
      </c>
      <c r="W93" s="404">
        <f t="shared" si="34"/>
        <v>29.143280248001663</v>
      </c>
      <c r="X93" s="157">
        <f t="shared" si="35"/>
        <v>45370</v>
      </c>
      <c r="Y93" s="387">
        <f t="shared" si="36"/>
        <v>26.994395478594456</v>
      </c>
      <c r="Z93" s="387">
        <f t="shared" si="37"/>
        <v>28.318044652300632</v>
      </c>
      <c r="AA93" s="388">
        <f t="shared" si="38"/>
        <v>34.260152481457553</v>
      </c>
      <c r="AB93" s="199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0.17344078758472942</v>
      </c>
      <c r="AD93" s="233">
        <f>(INDEX(Models!$BJ93:$BT93,,AH93)*(1-AF93)+INDEX(Models!$BJ93:$BT93,,AH93+1)*AF93-ERP_i)*AE93*Ramure*Pc/MaxiM</f>
        <v>1.3520975252949508E-2</v>
      </c>
      <c r="AE93" s="307">
        <f t="shared" si="40"/>
        <v>0.9</v>
      </c>
      <c r="AF93" s="179">
        <f t="shared" si="41"/>
        <v>0.12278933505289902</v>
      </c>
      <c r="AG93" s="839">
        <f t="shared" si="49"/>
        <v>1</v>
      </c>
      <c r="AH93" s="178">
        <f t="shared" si="42"/>
        <v>7</v>
      </c>
      <c r="AI93" s="227">
        <f t="shared" si="43"/>
        <v>1.122789335052899</v>
      </c>
      <c r="AJ93" s="267" t="b">
        <f t="shared" si="44"/>
        <v>1</v>
      </c>
      <c r="AK93" s="267" t="b">
        <f t="shared" si="45"/>
        <v>0</v>
      </c>
      <c r="AL93" s="267"/>
      <c r="AM93" s="267"/>
      <c r="AN93" s="75"/>
    </row>
    <row r="94" spans="1:40" s="6" customFormat="1" ht="11.25" x14ac:dyDescent="0.2">
      <c r="A94" s="56">
        <f t="shared" si="46"/>
        <v>45371</v>
      </c>
      <c r="B94" s="413">
        <f>'2023'!Wh/'2023'!Env_an*'2024'!Env_an</f>
        <v>39.074504405131528</v>
      </c>
      <c r="C94" s="868"/>
      <c r="D94" s="395">
        <f t="shared" si="25"/>
        <v>40.991446249455755</v>
      </c>
      <c r="E94" s="387">
        <f t="shared" si="47"/>
        <v>45.942905722644028</v>
      </c>
      <c r="F94" s="387">
        <f t="shared" si="26"/>
        <v>46.559696232897295</v>
      </c>
      <c r="G94" s="110">
        <f t="shared" si="48"/>
        <v>0.99951160970848296</v>
      </c>
      <c r="H94" s="416" t="b">
        <f>Wh_hp&gt;='2023'!Maxi_hp</f>
        <v>0</v>
      </c>
      <c r="I94" s="392">
        <f>IF(H94,Wh_hp,'2023'!Maxi_hp)</f>
        <v>47.074007170656884</v>
      </c>
      <c r="J94" s="85">
        <f>IF(H94,An,'2023'!An_max)</f>
        <v>2020</v>
      </c>
      <c r="K94" s="199">
        <f t="shared" si="27"/>
        <v>45371</v>
      </c>
      <c r="L94" s="147">
        <f>IF(t&lt;Tvie,1-EXP((T0-t)*PertePVj)+'2023'!Pspv,1-EXP((T0-t)*PertePVj)+Pspv)</f>
        <v>4.6764435503411361E-2</v>
      </c>
      <c r="M94" s="872"/>
      <c r="N94" s="872"/>
      <c r="O94" s="48">
        <f>IF(t&lt;Tnet,'2023'!Resal+('2023'!Salim-'2023'!Resal)*(1-EXP(('2023'!Tnet-t)/('2023'!Tau_j))),Resal+(Salim-Resal)*(1-EXP((Tnet-t)/(Tau_j))))*Salcycl</f>
        <v>0.10777419049374212</v>
      </c>
      <c r="P94" s="171">
        <f>(INDEX(Models!$BJ94:$BT94,,T94)*(1-R94)+INDEX(Models!$BJ94:$BT94,,T94+1)*R94-ERP_i)*Q94*Ramure*Pc/MaxiM</f>
        <v>1.3256380191603941E-2</v>
      </c>
      <c r="Q94" s="307">
        <f t="shared" si="28"/>
        <v>0.9</v>
      </c>
      <c r="R94" s="179">
        <f t="shared" si="29"/>
        <v>0.12373363111847935</v>
      </c>
      <c r="S94" s="839">
        <f t="shared" si="30"/>
        <v>1</v>
      </c>
      <c r="T94" s="178">
        <f t="shared" si="31"/>
        <v>7</v>
      </c>
      <c r="U94" s="253">
        <f t="shared" si="32"/>
        <v>1.1237336311184793</v>
      </c>
      <c r="V94" s="385">
        <f t="shared" si="33"/>
        <v>39.093237805173764</v>
      </c>
      <c r="W94" s="404">
        <f t="shared" si="34"/>
        <v>39.074504405131528</v>
      </c>
      <c r="X94" s="157">
        <f t="shared" si="35"/>
        <v>45371</v>
      </c>
      <c r="Y94" s="387">
        <f t="shared" si="36"/>
        <v>36.195852034387713</v>
      </c>
      <c r="Z94" s="387">
        <f t="shared" si="37"/>
        <v>37.971571123138943</v>
      </c>
      <c r="AA94" s="388">
        <f t="shared" si="38"/>
        <v>45.942905722644028</v>
      </c>
      <c r="AB94" s="199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0.17350523381406907</v>
      </c>
      <c r="AD94" s="233">
        <f>(INDEX(Models!$BJ94:$BT94,,AH94)*(1-AF94)+INDEX(Models!$BJ94:$BT94,,AH94+1)*AF94-ERP_i)*AE94*Ramure*Pc/MaxiM</f>
        <v>1.3256380191603941E-2</v>
      </c>
      <c r="AE94" s="307">
        <f t="shared" si="40"/>
        <v>0.9</v>
      </c>
      <c r="AF94" s="179">
        <f t="shared" si="41"/>
        <v>0.12373363111847935</v>
      </c>
      <c r="AG94" s="839">
        <f t="shared" si="49"/>
        <v>1</v>
      </c>
      <c r="AH94" s="178">
        <f t="shared" si="42"/>
        <v>7</v>
      </c>
      <c r="AI94" s="227">
        <f t="shared" si="43"/>
        <v>1.1237336311184793</v>
      </c>
      <c r="AJ94" s="267" t="b">
        <f t="shared" si="44"/>
        <v>1</v>
      </c>
      <c r="AK94" s="267" t="b">
        <f t="shared" si="45"/>
        <v>0</v>
      </c>
      <c r="AL94" s="267"/>
      <c r="AM94" s="267"/>
      <c r="AN94" s="75"/>
    </row>
    <row r="95" spans="1:40" s="6" customFormat="1" ht="11.25" x14ac:dyDescent="0.2">
      <c r="A95" s="56">
        <f t="shared" si="46"/>
        <v>45372</v>
      </c>
      <c r="B95" s="413">
        <f>'2023'!Wh/'2023'!Env_an*'2024'!Env_an</f>
        <v>36.147104963180375</v>
      </c>
      <c r="C95" s="868"/>
      <c r="D95" s="395">
        <f t="shared" si="25"/>
        <v>37.921315071565473</v>
      </c>
      <c r="E95" s="387">
        <f t="shared" si="47"/>
        <v>42.508225299660097</v>
      </c>
      <c r="F95" s="387">
        <f t="shared" si="26"/>
        <v>43.000168032560119</v>
      </c>
      <c r="G95" s="110">
        <f t="shared" si="48"/>
        <v>0.91410108900504172</v>
      </c>
      <c r="H95" s="416" t="b">
        <f>Wh_hp&gt;='2023'!Maxi_hp</f>
        <v>0</v>
      </c>
      <c r="I95" s="392">
        <f>IF(H95,Wh_hp,'2023'!Maxi_hp)</f>
        <v>46.536327342743263</v>
      </c>
      <c r="J95" s="85">
        <f>IF(H95,An,'2023'!An_max)</f>
        <v>2020</v>
      </c>
      <c r="K95" s="199">
        <f t="shared" si="27"/>
        <v>45372</v>
      </c>
      <c r="L95" s="147">
        <f>IF(t&lt;Tvie,1-EXP((T0-t)*PertePVj)+'2023'!Pspv,1-EXP((T0-t)*PertePVj)+Pspv)</f>
        <v>4.6786618687584824E-2</v>
      </c>
      <c r="M95" s="872"/>
      <c r="N95" s="872"/>
      <c r="O95" s="48">
        <f>IF(t&lt;Tnet,'2023'!Resal+('2023'!Salim-'2023'!Resal)*(1-EXP(('2023'!Tnet-t)/('2023'!Tau_j))),Resal+(Salim-Resal)*(1-EXP((Tnet-t)/(Tau_j))))*Salcycl</f>
        <v>0.1079064156586021</v>
      </c>
      <c r="P95" s="171">
        <f>(INDEX(Models!$BJ95:$BT95,,T95)*(1-R95)+INDEX(Models!$BJ95:$BT95,,T95+1)*R95-ERP_i)*Q95*Ramure*Pc/MaxiM</f>
        <v>1.3009955659985787E-2</v>
      </c>
      <c r="Q95" s="307">
        <f t="shared" si="28"/>
        <v>0.9</v>
      </c>
      <c r="R95" s="179">
        <f t="shared" si="29"/>
        <v>0.12471474770412394</v>
      </c>
      <c r="S95" s="839">
        <f t="shared" si="30"/>
        <v>1</v>
      </c>
      <c r="T95" s="178">
        <f t="shared" si="31"/>
        <v>7</v>
      </c>
      <c r="U95" s="253">
        <f t="shared" si="32"/>
        <v>1.1247147477041239</v>
      </c>
      <c r="V95" s="385">
        <f t="shared" si="33"/>
        <v>39.481100053406003</v>
      </c>
      <c r="W95" s="404">
        <f t="shared" si="34"/>
        <v>36.147104963180375</v>
      </c>
      <c r="X95" s="157">
        <f t="shared" si="35"/>
        <v>45372</v>
      </c>
      <c r="Y95" s="387">
        <f t="shared" si="36"/>
        <v>33.486416961348212</v>
      </c>
      <c r="Z95" s="387">
        <f t="shared" si="37"/>
        <v>35.130032391323574</v>
      </c>
      <c r="AA95" s="388">
        <f t="shared" si="38"/>
        <v>42.508225299660097</v>
      </c>
      <c r="AB95" s="199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0.17357094671264756</v>
      </c>
      <c r="AD95" s="233">
        <f>(INDEX(Models!$BJ95:$BT95,,AH95)*(1-AF95)+INDEX(Models!$BJ95:$BT95,,AH95+1)*AF95-ERP_i)*AE95*Ramure*Pc/MaxiM</f>
        <v>1.3009955659985787E-2</v>
      </c>
      <c r="AE95" s="307">
        <f t="shared" si="40"/>
        <v>0.9</v>
      </c>
      <c r="AF95" s="179">
        <f t="shared" si="41"/>
        <v>0.12471474770412394</v>
      </c>
      <c r="AG95" s="839">
        <f t="shared" si="49"/>
        <v>1</v>
      </c>
      <c r="AH95" s="178">
        <f t="shared" si="42"/>
        <v>7</v>
      </c>
      <c r="AI95" s="227">
        <f t="shared" si="43"/>
        <v>1.1247147477041239</v>
      </c>
      <c r="AJ95" s="267" t="b">
        <f t="shared" si="44"/>
        <v>1</v>
      </c>
      <c r="AK95" s="267" t="b">
        <f t="shared" si="45"/>
        <v>0</v>
      </c>
      <c r="AL95" s="267"/>
      <c r="AM95" s="267"/>
      <c r="AN95" s="75"/>
    </row>
    <row r="96" spans="1:40" s="6" customFormat="1" ht="11.25" x14ac:dyDescent="0.2">
      <c r="A96" s="56">
        <f t="shared" si="46"/>
        <v>45373</v>
      </c>
      <c r="B96" s="413">
        <f>'2023'!Wh/'2023'!Env_an*'2024'!Env_an</f>
        <v>40.849062747715678</v>
      </c>
      <c r="C96" s="868"/>
      <c r="D96" s="395">
        <f t="shared" si="25"/>
        <v>42.855056578162589</v>
      </c>
      <c r="E96" s="387">
        <f t="shared" si="47"/>
        <v>48.045907750933765</v>
      </c>
      <c r="F96" s="387">
        <f t="shared" si="26"/>
        <v>48.667959104368599</v>
      </c>
      <c r="G96" s="110">
        <f t="shared" si="48"/>
        <v>1.0245914803834315</v>
      </c>
      <c r="H96" s="416" t="b">
        <f>Wh_hp&gt;='2023'!Maxi_hp</f>
        <v>1</v>
      </c>
      <c r="I96" s="392">
        <f>IF(H96,Wh_hp,'2023'!Maxi_hp)</f>
        <v>48.667959104368599</v>
      </c>
      <c r="J96" s="85">
        <f>IF(H96,An,'2023'!An_max)</f>
        <v>2024</v>
      </c>
      <c r="K96" s="199">
        <f t="shared" si="27"/>
        <v>45373</v>
      </c>
      <c r="L96" s="147">
        <f>IF(t&lt;Tvie,1-EXP((T0-t)*PertePVj)+'2023'!Pspv,1-EXP((T0-t)*PertePVj)+Pspv)</f>
        <v>4.6808801355523011E-2</v>
      </c>
      <c r="M96" s="872"/>
      <c r="N96" s="872"/>
      <c r="O96" s="48">
        <f>IF(t&lt;Tnet,'2023'!Resal+('2023'!Salim-'2023'!Resal)*(1-EXP(('2023'!Tnet-t)/('2023'!Tau_j))),Resal+(Salim-Resal)*(1-EXP((Tnet-t)/(Tau_j))))*Salcycl</f>
        <v>0.10803940264132667</v>
      </c>
      <c r="P96" s="171">
        <f>(INDEX(Models!$BJ96:$BT96,,T96)*(1-R96)+INDEX(Models!$BJ96:$BT96,,T96+1)*R96-ERP_i)*Q96*Ramure*Pc/MaxiM</f>
        <v>1.2781537686855539E-2</v>
      </c>
      <c r="Q96" s="307">
        <f t="shared" si="28"/>
        <v>0.9</v>
      </c>
      <c r="R96" s="179">
        <f t="shared" si="29"/>
        <v>0.12573400328733642</v>
      </c>
      <c r="S96" s="839">
        <f t="shared" si="30"/>
        <v>1</v>
      </c>
      <c r="T96" s="178">
        <f t="shared" si="31"/>
        <v>7</v>
      </c>
      <c r="U96" s="253">
        <f t="shared" si="32"/>
        <v>1.1257340032873364</v>
      </c>
      <c r="V96" s="385">
        <f t="shared" si="33"/>
        <v>39.868634016387475</v>
      </c>
      <c r="W96" s="404">
        <f t="shared" si="34"/>
        <v>40.849062747715678</v>
      </c>
      <c r="X96" s="157">
        <f t="shared" si="35"/>
        <v>45373</v>
      </c>
      <c r="Y96" s="387">
        <f t="shared" si="36"/>
        <v>37.844847027265047</v>
      </c>
      <c r="Z96" s="387">
        <f t="shared" si="37"/>
        <v>39.703311445892282</v>
      </c>
      <c r="AA96" s="388">
        <f t="shared" si="38"/>
        <v>48.045907750933765</v>
      </c>
      <c r="AB96" s="199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0.17363802029277603</v>
      </c>
      <c r="AD96" s="233">
        <f>(INDEX(Models!$BJ96:$BT96,,AH96)*(1-AF96)+INDEX(Models!$BJ96:$BT96,,AH96+1)*AF96-ERP_i)*AE96*Ramure*Pc/MaxiM</f>
        <v>1.2781537686855539E-2</v>
      </c>
      <c r="AE96" s="307">
        <f t="shared" si="40"/>
        <v>0.9</v>
      </c>
      <c r="AF96" s="179">
        <f t="shared" si="41"/>
        <v>0.12573400328733642</v>
      </c>
      <c r="AG96" s="839">
        <f t="shared" si="49"/>
        <v>1</v>
      </c>
      <c r="AH96" s="178">
        <f t="shared" si="42"/>
        <v>7</v>
      </c>
      <c r="AI96" s="227">
        <f t="shared" si="43"/>
        <v>1.1257340032873364</v>
      </c>
      <c r="AJ96" s="267" t="b">
        <f t="shared" si="44"/>
        <v>1</v>
      </c>
      <c r="AK96" s="267" t="b">
        <f t="shared" si="45"/>
        <v>0</v>
      </c>
      <c r="AL96" s="267"/>
      <c r="AM96" s="267"/>
      <c r="AN96" s="75"/>
    </row>
    <row r="97" spans="1:40" s="6" customFormat="1" ht="11.25" x14ac:dyDescent="0.2">
      <c r="A97" s="56">
        <f t="shared" si="46"/>
        <v>45374</v>
      </c>
      <c r="B97" s="413">
        <f>'2023'!Wh/'2023'!Env_an*'2024'!Env_an</f>
        <v>40.273270207819742</v>
      </c>
      <c r="C97" s="868"/>
      <c r="D97" s="395">
        <f t="shared" si="25"/>
        <v>42.251971592622127</v>
      </c>
      <c r="E97" s="387">
        <f t="shared" si="47"/>
        <v>47.376881017671018</v>
      </c>
      <c r="F97" s="387">
        <f t="shared" si="26"/>
        <v>47.980036095825021</v>
      </c>
      <c r="G97" s="110">
        <f t="shared" si="48"/>
        <v>1.0004521160685849</v>
      </c>
      <c r="H97" s="416" t="b">
        <f>Wh_hp&gt;='2023'!Maxi_hp</f>
        <v>1</v>
      </c>
      <c r="I97" s="392">
        <f>IF(H97,Wh_hp,'2023'!Maxi_hp)</f>
        <v>47.980036095825021</v>
      </c>
      <c r="J97" s="85">
        <f>IF(H97,An,'2023'!An_max)</f>
        <v>2024</v>
      </c>
      <c r="K97" s="199">
        <f t="shared" si="27"/>
        <v>45374</v>
      </c>
      <c r="L97" s="147">
        <f>IF(t&lt;Tvie,1-EXP((T0-t)*PertePVj)+'2023'!Pspv,1-EXP((T0-t)*PertePVj)+Pspv)</f>
        <v>4.6830983507238244E-2</v>
      </c>
      <c r="M97" s="872"/>
      <c r="N97" s="872"/>
      <c r="O97" s="48">
        <f>IF(t&lt;Tnet,'2023'!Resal+('2023'!Salim-'2023'!Resal)*(1-EXP(('2023'!Tnet-t)/('2023'!Tau_j))),Resal+(Salim-Resal)*(1-EXP((Tnet-t)/(Tau_j))))*Salcycl</f>
        <v>0.10817321265064618</v>
      </c>
      <c r="P97" s="171">
        <f>(INDEX(Models!$BJ97:$BT97,,T97)*(1-R97)+INDEX(Models!$BJ97:$BT97,,T97+1)*R97-ERP_i)*Q97*Ramure*Pc/MaxiM</f>
        <v>1.2570959241243388E-2</v>
      </c>
      <c r="Q97" s="307">
        <f t="shared" si="28"/>
        <v>0.9</v>
      </c>
      <c r="R97" s="179">
        <f t="shared" si="29"/>
        <v>0.12679275392092015</v>
      </c>
      <c r="S97" s="839">
        <f t="shared" si="30"/>
        <v>1</v>
      </c>
      <c r="T97" s="178">
        <f t="shared" si="31"/>
        <v>7</v>
      </c>
      <c r="U97" s="253">
        <f t="shared" si="32"/>
        <v>1.1267927539209202</v>
      </c>
      <c r="V97" s="385">
        <f t="shared" si="33"/>
        <v>40.255070243720546</v>
      </c>
      <c r="W97" s="404">
        <f t="shared" si="34"/>
        <v>40.273270207819742</v>
      </c>
      <c r="X97" s="157">
        <f t="shared" si="35"/>
        <v>45374</v>
      </c>
      <c r="Y97" s="387">
        <f t="shared" si="36"/>
        <v>37.313904324419468</v>
      </c>
      <c r="Z97" s="387">
        <f t="shared" si="37"/>
        <v>39.147206506688654</v>
      </c>
      <c r="AA97" s="388">
        <f t="shared" si="38"/>
        <v>47.376881017671018</v>
      </c>
      <c r="AB97" s="199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0.17370654914815511</v>
      </c>
      <c r="AD97" s="233">
        <f>(INDEX(Models!$BJ97:$BT97,,AH97)*(1-AF97)+INDEX(Models!$BJ97:$BT97,,AH97+1)*AF97-ERP_i)*AE97*Ramure*Pc/MaxiM</f>
        <v>1.2570959241243388E-2</v>
      </c>
      <c r="AE97" s="307">
        <f t="shared" si="40"/>
        <v>0.9</v>
      </c>
      <c r="AF97" s="179">
        <f t="shared" si="41"/>
        <v>0.12679275392092015</v>
      </c>
      <c r="AG97" s="839">
        <f t="shared" si="49"/>
        <v>1</v>
      </c>
      <c r="AH97" s="178">
        <f t="shared" si="42"/>
        <v>7</v>
      </c>
      <c r="AI97" s="227">
        <f t="shared" si="43"/>
        <v>1.1267927539209202</v>
      </c>
      <c r="AJ97" s="267" t="b">
        <f t="shared" si="44"/>
        <v>1</v>
      </c>
      <c r="AK97" s="267" t="b">
        <f t="shared" si="45"/>
        <v>0</v>
      </c>
      <c r="AL97" s="267"/>
      <c r="AM97" s="267"/>
      <c r="AN97" s="75"/>
    </row>
    <row r="98" spans="1:40" s="6" customFormat="1" ht="11.25" x14ac:dyDescent="0.2">
      <c r="A98" s="56">
        <f t="shared" si="46"/>
        <v>45375</v>
      </c>
      <c r="B98" s="413">
        <f>'2023'!Wh/'2023'!Env_an*'2024'!Env_an</f>
        <v>36.867943025539077</v>
      </c>
      <c r="C98" s="868"/>
      <c r="D98" s="395">
        <f t="shared" si="25"/>
        <v>38.680234437394297</v>
      </c>
      <c r="E98" s="387">
        <f t="shared" si="47"/>
        <v>43.378465226863099</v>
      </c>
      <c r="F98" s="387">
        <f t="shared" si="26"/>
        <v>43.849271830827092</v>
      </c>
      <c r="G98" s="110">
        <f t="shared" si="48"/>
        <v>0.90568671732998196</v>
      </c>
      <c r="H98" s="416" t="b">
        <f>Wh_hp&gt;='2023'!Maxi_hp</f>
        <v>0</v>
      </c>
      <c r="I98" s="392">
        <f>IF(H98,Wh_hp,'2023'!Maxi_hp)</f>
        <v>46.654104834621393</v>
      </c>
      <c r="J98" s="85">
        <f>IF(H98,An,'2023'!An_max)</f>
        <v>2020</v>
      </c>
      <c r="K98" s="199">
        <f t="shared" si="27"/>
        <v>45375</v>
      </c>
      <c r="L98" s="147">
        <f>IF(t&lt;Tvie,1-EXP((T0-t)*PertePVj)+'2023'!Pspv,1-EXP((T0-t)*PertePVj)+Pspv)</f>
        <v>4.6853165142742292E-2</v>
      </c>
      <c r="M98" s="872"/>
      <c r="N98" s="872"/>
      <c r="O98" s="48">
        <f>IF(t&lt;Tnet,'2023'!Resal+('2023'!Salim-'2023'!Resal)*(1-EXP(('2023'!Tnet-t)/('2023'!Tau_j))),Resal+(Salim-Resal)*(1-EXP((Tnet-t)/(Tau_j))))*Salcycl</f>
        <v>0.10830790727375282</v>
      </c>
      <c r="P98" s="171">
        <f>(INDEX(Models!$BJ98:$BT98,,T98)*(1-R98)+INDEX(Models!$BJ98:$BT98,,T98+1)*R98-ERP_i)*Q98*Ramure*Pc/MaxiM</f>
        <v>1.2378054239633583E-2</v>
      </c>
      <c r="Q98" s="307">
        <f t="shared" si="28"/>
        <v>0.9</v>
      </c>
      <c r="R98" s="179">
        <f t="shared" si="29"/>
        <v>0.12789239349026627</v>
      </c>
      <c r="S98" s="839">
        <f t="shared" si="30"/>
        <v>1</v>
      </c>
      <c r="T98" s="178">
        <f t="shared" si="31"/>
        <v>7</v>
      </c>
      <c r="U98" s="253">
        <f t="shared" si="32"/>
        <v>1.1278923934902663</v>
      </c>
      <c r="V98" s="385">
        <f t="shared" si="33"/>
        <v>40.639639286206133</v>
      </c>
      <c r="W98" s="404">
        <f t="shared" si="34"/>
        <v>36.867943025539077</v>
      </c>
      <c r="X98" s="157">
        <f t="shared" si="35"/>
        <v>45375</v>
      </c>
      <c r="Y98" s="387">
        <f t="shared" si="36"/>
        <v>34.161070225174363</v>
      </c>
      <c r="Z98" s="387">
        <f t="shared" si="37"/>
        <v>35.840301804380736</v>
      </c>
      <c r="AA98" s="388">
        <f t="shared" si="38"/>
        <v>43.378465226863099</v>
      </c>
      <c r="AB98" s="199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0.17377662817388445</v>
      </c>
      <c r="AD98" s="233">
        <f>(INDEX(Models!$BJ98:$BT98,,AH98)*(1-AF98)+INDEX(Models!$BJ98:$BT98,,AH98+1)*AF98-ERP_i)*AE98*Ramure*Pc/MaxiM</f>
        <v>1.2378054239633583E-2</v>
      </c>
      <c r="AE98" s="307">
        <f t="shared" si="40"/>
        <v>0.9</v>
      </c>
      <c r="AF98" s="179">
        <f t="shared" si="41"/>
        <v>0.12789239349026627</v>
      </c>
      <c r="AG98" s="839">
        <f t="shared" si="49"/>
        <v>1</v>
      </c>
      <c r="AH98" s="178">
        <f t="shared" si="42"/>
        <v>7</v>
      </c>
      <c r="AI98" s="227">
        <f t="shared" si="43"/>
        <v>1.1278923934902663</v>
      </c>
      <c r="AJ98" s="267" t="b">
        <f t="shared" si="44"/>
        <v>1</v>
      </c>
      <c r="AK98" s="267" t="b">
        <f t="shared" si="45"/>
        <v>0</v>
      </c>
      <c r="AL98" s="267"/>
      <c r="AM98" s="267"/>
      <c r="AN98" s="75"/>
    </row>
    <row r="99" spans="1:40" s="6" customFormat="1" ht="11.25" x14ac:dyDescent="0.2">
      <c r="A99" s="56">
        <f t="shared" si="46"/>
        <v>45376</v>
      </c>
      <c r="B99" s="413">
        <f>'2023'!Wh/'2023'!Env_an*'2024'!Env_an</f>
        <v>39.81752449270175</v>
      </c>
      <c r="C99" s="868"/>
      <c r="D99" s="395">
        <f t="shared" si="25"/>
        <v>41.775778578956981</v>
      </c>
      <c r="E99" s="387">
        <f t="shared" si="47"/>
        <v>46.857132265261228</v>
      </c>
      <c r="F99" s="387">
        <f t="shared" si="26"/>
        <v>47.411418874486515</v>
      </c>
      <c r="G99" s="110">
        <f t="shared" si="48"/>
        <v>0.97014591397295968</v>
      </c>
      <c r="H99" s="416" t="b">
        <f>Wh_hp&gt;='2023'!Maxi_hp</f>
        <v>0</v>
      </c>
      <c r="I99" s="392">
        <f>IF(H99,Wh_hp,'2023'!Maxi_hp)</f>
        <v>49.888240917785708</v>
      </c>
      <c r="J99" s="85">
        <f>IF(H99,An,'2023'!An_max)</f>
        <v>2019</v>
      </c>
      <c r="K99" s="199">
        <f t="shared" si="27"/>
        <v>45376</v>
      </c>
      <c r="L99" s="147">
        <f>IF(t&lt;Tvie,1-EXP((T0-t)*PertePVj)+'2023'!Pspv,1-EXP((T0-t)*PertePVj)+Pspv)</f>
        <v>4.6875346262047368E-2</v>
      </c>
      <c r="M99" s="872"/>
      <c r="N99" s="872"/>
      <c r="O99" s="48">
        <f>IF(t&lt;Tnet,'2023'!Resal+('2023'!Salim-'2023'!Resal)*(1-EXP(('2023'!Tnet-t)/('2023'!Tau_j))),Resal+(Salim-Resal)*(1-EXP((Tnet-t)/(Tau_j))))*Salcycl</f>
        <v>0.1084435483063363</v>
      </c>
      <c r="P99" s="171">
        <f>(INDEX(Models!$BJ99:$BT99,,T99)*(1-R99)+INDEX(Models!$BJ99:$BT99,,T99+1)*R99-ERP_i)*Q99*Ramure*Pc/MaxiM</f>
        <v>1.220266129059203E-2</v>
      </c>
      <c r="Q99" s="307">
        <f t="shared" si="28"/>
        <v>0.9</v>
      </c>
      <c r="R99" s="179">
        <f t="shared" si="29"/>
        <v>0.12903435389223139</v>
      </c>
      <c r="S99" s="839">
        <f t="shared" si="30"/>
        <v>1</v>
      </c>
      <c r="T99" s="178">
        <f t="shared" si="31"/>
        <v>7</v>
      </c>
      <c r="U99" s="253">
        <f t="shared" si="32"/>
        <v>1.1290343538922314</v>
      </c>
      <c r="V99" s="385">
        <f t="shared" si="33"/>
        <v>41.021571692415073</v>
      </c>
      <c r="W99" s="404">
        <f t="shared" si="34"/>
        <v>39.81752449270175</v>
      </c>
      <c r="X99" s="157">
        <f t="shared" si="35"/>
        <v>45376</v>
      </c>
      <c r="Y99" s="387">
        <f t="shared" si="36"/>
        <v>36.896500950364505</v>
      </c>
      <c r="Z99" s="387">
        <f t="shared" si="37"/>
        <v>38.711097027722722</v>
      </c>
      <c r="AA99" s="388">
        <f t="shared" si="38"/>
        <v>46.857132265261228</v>
      </c>
      <c r="AB99" s="199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0.17384835229401746</v>
      </c>
      <c r="AD99" s="233">
        <f>(INDEX(Models!$BJ99:$BT99,,AH99)*(1-AF99)+INDEX(Models!$BJ99:$BT99,,AH99+1)*AF99-ERP_i)*AE99*Ramure*Pc/MaxiM</f>
        <v>1.220266129059203E-2</v>
      </c>
      <c r="AE99" s="307">
        <f t="shared" si="40"/>
        <v>0.9</v>
      </c>
      <c r="AF99" s="179">
        <f t="shared" si="41"/>
        <v>0.12903435389223139</v>
      </c>
      <c r="AG99" s="839">
        <f t="shared" si="49"/>
        <v>1</v>
      </c>
      <c r="AH99" s="178">
        <f t="shared" si="42"/>
        <v>7</v>
      </c>
      <c r="AI99" s="227">
        <f t="shared" si="43"/>
        <v>1.1290343538922314</v>
      </c>
      <c r="AJ99" s="267" t="b">
        <f t="shared" si="44"/>
        <v>1</v>
      </c>
      <c r="AK99" s="267" t="b">
        <f t="shared" si="45"/>
        <v>0</v>
      </c>
      <c r="AL99" s="267"/>
      <c r="AM99" s="267"/>
      <c r="AN99" s="75"/>
    </row>
    <row r="100" spans="1:40" s="6" customFormat="1" ht="11.25" x14ac:dyDescent="0.2">
      <c r="A100" s="56">
        <f t="shared" si="46"/>
        <v>45377</v>
      </c>
      <c r="B100" s="413">
        <f>'2023'!Wh/'2023'!Env_an*'2024'!Env_an</f>
        <v>39.310501515294135</v>
      </c>
      <c r="C100" s="868"/>
      <c r="D100" s="395">
        <f t="shared" si="25"/>
        <v>41.244779678305285</v>
      </c>
      <c r="E100" s="387">
        <f t="shared" si="47"/>
        <v>46.268637477723225</v>
      </c>
      <c r="F100" s="387">
        <f t="shared" si="26"/>
        <v>46.791435620747599</v>
      </c>
      <c r="G100" s="110">
        <f t="shared" si="48"/>
        <v>0.94868973684782654</v>
      </c>
      <c r="H100" s="416" t="b">
        <f>Wh_hp&gt;='2023'!Maxi_hp</f>
        <v>0</v>
      </c>
      <c r="I100" s="392">
        <f>IF(H100,Wh_hp,'2023'!Maxi_hp)</f>
        <v>49.214148253624103</v>
      </c>
      <c r="J100" s="85">
        <f>IF(H100,An,'2023'!An_max)</f>
        <v>2019</v>
      </c>
      <c r="K100" s="199">
        <f t="shared" si="27"/>
        <v>45377</v>
      </c>
      <c r="L100" s="147">
        <f>IF(t&lt;Tvie,1-EXP((T0-t)*PertePVj)+'2023'!Pspv,1-EXP((T0-t)*PertePVj)+Pspv)</f>
        <v>4.6897526865165351E-2</v>
      </c>
      <c r="M100" s="872"/>
      <c r="N100" s="872"/>
      <c r="O100" s="48">
        <f>IF(t&lt;Tnet,'2023'!Resal+('2023'!Salim-'2023'!Resal)*(1-EXP(('2023'!Tnet-t)/('2023'!Tau_j))),Resal+(Salim-Resal)*(1-EXP((Tnet-t)/(Tau_j))))*Salcycl</f>
        <v>0.1085801975871185</v>
      </c>
      <c r="P100" s="171">
        <f>(INDEX(Models!$BJ100:$BT100,,T100)*(1-R100)+INDEX(Models!$BJ100:$BT100,,T100+1)*R100-ERP_i)*Q100*Ramure*Pc/MaxiM</f>
        <v>1.2041229436812389E-2</v>
      </c>
      <c r="Q100" s="307">
        <f t="shared" si="28"/>
        <v>0.9</v>
      </c>
      <c r="R100" s="179">
        <f t="shared" si="29"/>
        <v>0.13022010512738169</v>
      </c>
      <c r="S100" s="839">
        <f t="shared" si="30"/>
        <v>1</v>
      </c>
      <c r="T100" s="178">
        <f t="shared" si="31"/>
        <v>7</v>
      </c>
      <c r="U100" s="253">
        <f t="shared" si="32"/>
        <v>1.1302201051273817</v>
      </c>
      <c r="V100" s="385">
        <f t="shared" si="33"/>
        <v>41.400240380689901</v>
      </c>
      <c r="W100" s="404">
        <f t="shared" si="34"/>
        <v>39.310501515294135</v>
      </c>
      <c r="X100" s="157">
        <f t="shared" si="35"/>
        <v>45377</v>
      </c>
      <c r="Y100" s="387">
        <f t="shared" si="36"/>
        <v>36.42901762807287</v>
      </c>
      <c r="Z100" s="387">
        <f t="shared" si="37"/>
        <v>38.221512014605054</v>
      </c>
      <c r="AA100" s="388">
        <f t="shared" si="38"/>
        <v>46.268637477723225</v>
      </c>
      <c r="AB100" s="199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0.17392181619769084</v>
      </c>
      <c r="AD100" s="233">
        <f>(INDEX(Models!$BJ100:$BT100,,AH100)*(1-AF100)+INDEX(Models!$BJ100:$BT100,,AH100+1)*AF100-ERP_i)*AE100*Ramure*Pc/MaxiM</f>
        <v>1.2041229436812389E-2</v>
      </c>
      <c r="AE100" s="307">
        <f t="shared" si="40"/>
        <v>0.9</v>
      </c>
      <c r="AF100" s="179">
        <f t="shared" si="41"/>
        <v>0.13022010512738169</v>
      </c>
      <c r="AG100" s="839">
        <f t="shared" si="49"/>
        <v>1</v>
      </c>
      <c r="AH100" s="178">
        <f t="shared" si="42"/>
        <v>7</v>
      </c>
      <c r="AI100" s="227">
        <f t="shared" si="43"/>
        <v>1.1302201051273817</v>
      </c>
      <c r="AJ100" s="267" t="b">
        <f t="shared" si="44"/>
        <v>1</v>
      </c>
      <c r="AK100" s="267" t="b">
        <f t="shared" si="45"/>
        <v>0</v>
      </c>
      <c r="AL100" s="267"/>
      <c r="AM100" s="267"/>
      <c r="AN100" s="75"/>
    </row>
    <row r="101" spans="1:40" s="6" customFormat="1" ht="11.25" x14ac:dyDescent="0.2">
      <c r="A101" s="56">
        <f t="shared" si="46"/>
        <v>45378</v>
      </c>
      <c r="B101" s="413">
        <f>'2023'!Wh/'2023'!Env_an*'2024'!Env_an</f>
        <v>30.576678497200234</v>
      </c>
      <c r="C101" s="868"/>
      <c r="D101" s="395">
        <f t="shared" si="25"/>
        <v>32.081954395907097</v>
      </c>
      <c r="E101" s="387">
        <f t="shared" si="47"/>
        <v>35.995287016282489</v>
      </c>
      <c r="F101" s="387">
        <f t="shared" si="26"/>
        <v>36.261079308762106</v>
      </c>
      <c r="G101" s="110">
        <f t="shared" si="48"/>
        <v>0.7285743707121437</v>
      </c>
      <c r="H101" s="416" t="b">
        <f>Wh_hp&gt;='2023'!Maxi_hp</f>
        <v>0</v>
      </c>
      <c r="I101" s="392">
        <f>IF(H101,Wh_hp,'2023'!Maxi_hp)</f>
        <v>48.325580600194776</v>
      </c>
      <c r="J101" s="85">
        <f>IF(H101,An,'2023'!An_max)</f>
        <v>2021</v>
      </c>
      <c r="K101" s="199">
        <f t="shared" si="27"/>
        <v>45378</v>
      </c>
      <c r="L101" s="147">
        <f>IF(t&lt;Tvie,1-EXP((T0-t)*PertePVj)+'2023'!Pspv,1-EXP((T0-t)*PertePVj)+Pspv)</f>
        <v>4.6919706952108231E-2</v>
      </c>
      <c r="M101" s="872"/>
      <c r="N101" s="872"/>
      <c r="O101" s="48">
        <f>IF(t&lt;Tnet,'2023'!Resal+('2023'!Salim-'2023'!Resal)*(1-EXP(('2023'!Tnet-t)/('2023'!Tau_j))),Resal+(Salim-Resal)*(1-EXP((Tnet-t)/(Tau_j))))*Salcycl</f>
        <v>0.10871791683742357</v>
      </c>
      <c r="P101" s="171">
        <f>(INDEX(Models!$BJ101:$BT101,,T101)*(1-R101)+INDEX(Models!$BJ101:$BT101,,T101+1)*R101-ERP_i)*Q101*Ramure*Pc/MaxiM</f>
        <v>1.1879212432483386E-2</v>
      </c>
      <c r="Q101" s="307">
        <f t="shared" si="28"/>
        <v>0.9</v>
      </c>
      <c r="R101" s="179">
        <f t="shared" si="29"/>
        <v>0.13145115529691176</v>
      </c>
      <c r="S101" s="839">
        <f t="shared" si="30"/>
        <v>1</v>
      </c>
      <c r="T101" s="178">
        <f t="shared" si="31"/>
        <v>7</v>
      </c>
      <c r="U101" s="253">
        <f t="shared" si="32"/>
        <v>1.1314511552969118</v>
      </c>
      <c r="V101" s="385">
        <f t="shared" si="33"/>
        <v>41.775488659176972</v>
      </c>
      <c r="W101" s="404">
        <f t="shared" si="34"/>
        <v>30.576678497200234</v>
      </c>
      <c r="X101" s="157">
        <f t="shared" si="35"/>
        <v>45378</v>
      </c>
      <c r="Y101" s="387">
        <f t="shared" si="36"/>
        <v>28.33718432976389</v>
      </c>
      <c r="Z101" s="387">
        <f t="shared" si="37"/>
        <v>29.732210954801435</v>
      </c>
      <c r="AA101" s="388">
        <f t="shared" si="38"/>
        <v>35.995287016282489</v>
      </c>
      <c r="AB101" s="199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0.17399711408462853</v>
      </c>
      <c r="AD101" s="233">
        <f>(INDEX(Models!$BJ101:$BT101,,AH101)*(1-AF101)+INDEX(Models!$BJ101:$BT101,,AH101+1)*AF101-ERP_i)*AE101*Ramure*Pc/MaxiM</f>
        <v>1.1879212432483386E-2</v>
      </c>
      <c r="AE101" s="307">
        <f t="shared" si="40"/>
        <v>0.9</v>
      </c>
      <c r="AF101" s="179">
        <f t="shared" si="41"/>
        <v>0.13145115529691176</v>
      </c>
      <c r="AG101" s="839">
        <f t="shared" si="49"/>
        <v>1</v>
      </c>
      <c r="AH101" s="178">
        <f t="shared" si="42"/>
        <v>7</v>
      </c>
      <c r="AI101" s="227">
        <f t="shared" si="43"/>
        <v>1.1314511552969118</v>
      </c>
      <c r="AJ101" s="267" t="b">
        <f t="shared" si="44"/>
        <v>1</v>
      </c>
      <c r="AK101" s="267" t="b">
        <f t="shared" si="45"/>
        <v>0</v>
      </c>
      <c r="AL101" s="267"/>
      <c r="AM101" s="267"/>
      <c r="AN101" s="75"/>
    </row>
    <row r="102" spans="1:40" s="6" customFormat="1" ht="11.25" x14ac:dyDescent="0.2">
      <c r="A102" s="56">
        <f t="shared" si="46"/>
        <v>45379</v>
      </c>
      <c r="B102" s="413">
        <f>'2023'!Wh/'2023'!Env_an*'2024'!Env_an</f>
        <v>25.24898804982487</v>
      </c>
      <c r="C102" s="868"/>
      <c r="D102" s="395">
        <f t="shared" si="25"/>
        <v>26.49260070585532</v>
      </c>
      <c r="E102" s="387">
        <f t="shared" si="47"/>
        <v>29.728779549519828</v>
      </c>
      <c r="F102" s="387">
        <f t="shared" si="26"/>
        <v>29.87835195525507</v>
      </c>
      <c r="G102" s="110">
        <f t="shared" si="48"/>
        <v>0.59503551168883639</v>
      </c>
      <c r="H102" s="416" t="b">
        <f>Wh_hp&gt;='2023'!Maxi_hp</f>
        <v>0</v>
      </c>
      <c r="I102" s="392">
        <f>IF(H102,Wh_hp,'2023'!Maxi_hp)</f>
        <v>50.344049299154825</v>
      </c>
      <c r="J102" s="85">
        <f>IF(H102,An,'2023'!An_max)</f>
        <v>2021</v>
      </c>
      <c r="K102" s="199">
        <f t="shared" si="27"/>
        <v>45379</v>
      </c>
      <c r="L102" s="147">
        <f>IF(t&lt;Tvie,1-EXP((T0-t)*PertePVj)+'2023'!Pspv,1-EXP((T0-t)*PertePVj)+Pspv)</f>
        <v>4.6941886522888221E-2</v>
      </c>
      <c r="M102" s="872"/>
      <c r="N102" s="872"/>
      <c r="O102" s="48">
        <f>IF(t&lt;Tnet,'2023'!Resal+('2023'!Salim-'2023'!Resal)*(1-EXP(('2023'!Tnet-t)/('2023'!Tau_j))),Resal+(Salim-Resal)*(1-EXP((Tnet-t)/(Tau_j))))*Salcycl</f>
        <v>0.1088567675061783</v>
      </c>
      <c r="P102" s="171">
        <f>(INDEX(Models!$BJ102:$BT102,,T102)*(1-R102)+INDEX(Models!$BJ102:$BT102,,T102+1)*R102-ERP_i)*Q102*Ramure*Pc/MaxiM</f>
        <v>1.1716860988175943E-2</v>
      </c>
      <c r="Q102" s="307">
        <f t="shared" si="28"/>
        <v>0.9</v>
      </c>
      <c r="R102" s="179">
        <f t="shared" si="29"/>
        <v>0.13272905049505268</v>
      </c>
      <c r="S102" s="839">
        <f t="shared" si="30"/>
        <v>1</v>
      </c>
      <c r="T102" s="178">
        <f t="shared" si="31"/>
        <v>7</v>
      </c>
      <c r="U102" s="253">
        <f t="shared" si="32"/>
        <v>1.1327290504950527</v>
      </c>
      <c r="V102" s="385">
        <f t="shared" si="33"/>
        <v>42.146550537624996</v>
      </c>
      <c r="W102" s="404">
        <f t="shared" si="34"/>
        <v>25.24898804982487</v>
      </c>
      <c r="X102" s="157">
        <f t="shared" si="35"/>
        <v>45379</v>
      </c>
      <c r="Y102" s="387">
        <f t="shared" si="36"/>
        <v>23.401161983416412</v>
      </c>
      <c r="Z102" s="387">
        <f t="shared" si="37"/>
        <v>24.553761887656815</v>
      </c>
      <c r="AA102" s="388">
        <f t="shared" si="38"/>
        <v>29.728779549519828</v>
      </c>
      <c r="AB102" s="199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0.17407433942059011</v>
      </c>
      <c r="AD102" s="233">
        <f>(INDEX(Models!$BJ102:$BT102,,AH102)*(1-AF102)+INDEX(Models!$BJ102:$BT102,,AH102+1)*AF102-ERP_i)*AE102*Ramure*Pc/MaxiM</f>
        <v>1.1716860988175943E-2</v>
      </c>
      <c r="AE102" s="307">
        <f t="shared" si="40"/>
        <v>0.9</v>
      </c>
      <c r="AF102" s="179">
        <f t="shared" si="41"/>
        <v>0.13272905049505268</v>
      </c>
      <c r="AG102" s="839">
        <f t="shared" si="49"/>
        <v>1</v>
      </c>
      <c r="AH102" s="178">
        <f t="shared" si="42"/>
        <v>7</v>
      </c>
      <c r="AI102" s="227">
        <f t="shared" si="43"/>
        <v>1.1327290504950527</v>
      </c>
      <c r="AJ102" s="267" t="b">
        <f t="shared" si="44"/>
        <v>1</v>
      </c>
      <c r="AK102" s="267" t="b">
        <f t="shared" si="45"/>
        <v>0</v>
      </c>
      <c r="AL102" s="267"/>
      <c r="AM102" s="267"/>
      <c r="AN102" s="75"/>
    </row>
    <row r="103" spans="1:40" s="6" customFormat="1" ht="11.25" x14ac:dyDescent="0.2">
      <c r="A103" s="56">
        <f t="shared" si="46"/>
        <v>45380</v>
      </c>
      <c r="B103" s="413">
        <f>'2023'!Wh/'2023'!Env_an*'2024'!Env_an</f>
        <v>7.1167951337658097</v>
      </c>
      <c r="C103" s="868"/>
      <c r="D103" s="395">
        <f t="shared" si="25"/>
        <v>7.4674992586490649</v>
      </c>
      <c r="E103" s="387">
        <f t="shared" si="47"/>
        <v>8.3810017154374883</v>
      </c>
      <c r="F103" s="387">
        <f t="shared" si="26"/>
        <v>8.3810017154374883</v>
      </c>
      <c r="G103" s="110">
        <f t="shared" si="48"/>
        <v>0.16546987913865605</v>
      </c>
      <c r="H103" s="416" t="b">
        <f>Wh_hp&gt;='2023'!Maxi_hp</f>
        <v>0</v>
      </c>
      <c r="I103" s="392">
        <f>IF(H103,Wh_hp,'2023'!Maxi_hp)</f>
        <v>50.446118707020261</v>
      </c>
      <c r="J103" s="85">
        <f>IF(H103,An,'2023'!An_max)</f>
        <v>2019</v>
      </c>
      <c r="K103" s="199">
        <f t="shared" si="27"/>
        <v>45380</v>
      </c>
      <c r="L103" s="147">
        <f>IF(t&lt;Tvie,1-EXP((T0-t)*PertePVj)+'2023'!Pspv,1-EXP((T0-t)*PertePVj)+Pspv)</f>
        <v>4.6964065577517089E-2</v>
      </c>
      <c r="M103" s="872"/>
      <c r="N103" s="872"/>
      <c r="O103" s="48">
        <f>IF(t&lt;Tnet,'2023'!Resal+('2023'!Salim-'2023'!Resal)*(1-EXP(('2023'!Tnet-t)/('2023'!Tau_j))),Resal+(Salim-Resal)*(1-EXP((Tnet-t)/(Tau_j))))*Salcycl</f>
        <v>0.10899681062059513</v>
      </c>
      <c r="P103" s="171">
        <f>(INDEX(Models!$BJ103:$BT103,,T103)*(1-R103)+INDEX(Models!$BJ103:$BT103,,T103+1)*R103-ERP_i)*Q103*Ramure*Pc/MaxiM</f>
        <v>1.1554410914587931E-2</v>
      </c>
      <c r="Q103" s="307">
        <f t="shared" si="28"/>
        <v>0.9</v>
      </c>
      <c r="R103" s="179">
        <f t="shared" si="29"/>
        <v>0.13405537458731831</v>
      </c>
      <c r="S103" s="839">
        <f t="shared" si="30"/>
        <v>1</v>
      </c>
      <c r="T103" s="178">
        <f t="shared" si="31"/>
        <v>7</v>
      </c>
      <c r="U103" s="253">
        <f t="shared" si="32"/>
        <v>1.1340553745873183</v>
      </c>
      <c r="V103" s="385">
        <f t="shared" si="33"/>
        <v>42.512660280006017</v>
      </c>
      <c r="W103" s="404">
        <f t="shared" si="34"/>
        <v>7.1167951337658097</v>
      </c>
      <c r="X103" s="157">
        <f t="shared" si="35"/>
        <v>45380</v>
      </c>
      <c r="Y103" s="387">
        <f t="shared" si="36"/>
        <v>6.5963621900350082</v>
      </c>
      <c r="Z103" s="387">
        <f t="shared" si="37"/>
        <v>6.9214202232912099</v>
      </c>
      <c r="AA103" s="388">
        <f t="shared" si="38"/>
        <v>8.3810017154374883</v>
      </c>
      <c r="AB103" s="199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0.17415358470310119</v>
      </c>
      <c r="AD103" s="233">
        <f>(INDEX(Models!$BJ103:$BT103,,AH103)*(1-AF103)+INDEX(Models!$BJ103:$BT103,,AH103+1)*AF103-ERP_i)*AE103*Ramure*Pc/MaxiM</f>
        <v>1.1554410914587931E-2</v>
      </c>
      <c r="AE103" s="307">
        <f t="shared" si="40"/>
        <v>0.9</v>
      </c>
      <c r="AF103" s="179">
        <f t="shared" si="41"/>
        <v>0.13405537458731831</v>
      </c>
      <c r="AG103" s="839">
        <f t="shared" si="49"/>
        <v>1</v>
      </c>
      <c r="AH103" s="178">
        <f t="shared" si="42"/>
        <v>7</v>
      </c>
      <c r="AI103" s="227">
        <f t="shared" si="43"/>
        <v>1.1340553745873183</v>
      </c>
      <c r="AJ103" s="267" t="b">
        <f t="shared" si="44"/>
        <v>1</v>
      </c>
      <c r="AK103" s="267" t="b">
        <f t="shared" si="45"/>
        <v>0</v>
      </c>
      <c r="AL103" s="267"/>
      <c r="AM103" s="267"/>
      <c r="AN103" s="75"/>
    </row>
    <row r="104" spans="1:40" s="6" customFormat="1" ht="11.25" x14ac:dyDescent="0.2">
      <c r="A104" s="56">
        <f t="shared" si="46"/>
        <v>45381</v>
      </c>
      <c r="B104" s="413">
        <f>'2023'!Wh/'2023'!Env_an*'2024'!Env_an</f>
        <v>24.853748768650096</v>
      </c>
      <c r="C104" s="868"/>
      <c r="D104" s="395">
        <f t="shared" si="25"/>
        <v>26.079108108566963</v>
      </c>
      <c r="E104" s="387">
        <f t="shared" si="47"/>
        <v>29.274019130264755</v>
      </c>
      <c r="F104" s="387">
        <f t="shared" si="26"/>
        <v>29.407885076304588</v>
      </c>
      <c r="G104" s="110">
        <f t="shared" si="48"/>
        <v>0.57572226178782859</v>
      </c>
      <c r="H104" s="416" t="b">
        <f>Wh_hp&gt;='2023'!Maxi_hp</f>
        <v>0</v>
      </c>
      <c r="I104" s="392">
        <f>IF(H104,Wh_hp,'2023'!Maxi_hp)</f>
        <v>45.61734121324757</v>
      </c>
      <c r="J104" s="85">
        <f>IF(H104,An,'2023'!An_max)</f>
        <v>2021</v>
      </c>
      <c r="K104" s="199">
        <f t="shared" si="27"/>
        <v>45381</v>
      </c>
      <c r="L104" s="147">
        <f>IF(t&lt;Tvie,1-EXP((T0-t)*PertePVj)+'2023'!Pspv,1-EXP((T0-t)*PertePVj)+Pspv)</f>
        <v>4.6986244116007048E-2</v>
      </c>
      <c r="M104" s="872"/>
      <c r="N104" s="872"/>
      <c r="O104" s="48">
        <f>IF(t&lt;Tnet,'2023'!Resal+('2023'!Salim-'2023'!Resal)*(1-EXP(('2023'!Tnet-t)/('2023'!Tau_j))),Resal+(Salim-Resal)*(1-EXP((Tnet-t)/(Tau_j))))*Salcycl</f>
        <v>0.10913810664264928</v>
      </c>
      <c r="P104" s="171">
        <f>(INDEX(Models!$BJ104:$BT104,,T104)*(1-R104)+INDEX(Models!$BJ104:$BT104,,T104+1)*R104-ERP_i)*Q104*Ramure*Pc/MaxiM</f>
        <v>1.1392084307843244E-2</v>
      </c>
      <c r="Q104" s="307">
        <f t="shared" si="28"/>
        <v>0.9</v>
      </c>
      <c r="R104" s="179">
        <f t="shared" si="29"/>
        <v>0.13543174886444831</v>
      </c>
      <c r="S104" s="839">
        <f t="shared" si="30"/>
        <v>1</v>
      </c>
      <c r="T104" s="178">
        <f t="shared" si="31"/>
        <v>7</v>
      </c>
      <c r="U104" s="253">
        <f t="shared" si="32"/>
        <v>1.1354317488644483</v>
      </c>
      <c r="V104" s="385">
        <f t="shared" si="33"/>
        <v>42.873052407464506</v>
      </c>
      <c r="W104" s="404">
        <f t="shared" si="34"/>
        <v>24.853748768650096</v>
      </c>
      <c r="X104" s="157">
        <f t="shared" si="35"/>
        <v>45381</v>
      </c>
      <c r="Y104" s="387">
        <f t="shared" si="36"/>
        <v>23.037641934672283</v>
      </c>
      <c r="Z104" s="387">
        <f t="shared" si="37"/>
        <v>24.173462127315375</v>
      </c>
      <c r="AA104" s="388">
        <f t="shared" si="38"/>
        <v>29.274019130264755</v>
      </c>
      <c r="AB104" s="199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0.17423494123757685</v>
      </c>
      <c r="AD104" s="233">
        <f>(INDEX(Models!$BJ104:$BT104,,AH104)*(1-AF104)+INDEX(Models!$BJ104:$BT104,,AH104+1)*AF104-ERP_i)*AE104*Ramure*Pc/MaxiM</f>
        <v>1.1392084307843244E-2</v>
      </c>
      <c r="AE104" s="307">
        <f t="shared" si="40"/>
        <v>0.9</v>
      </c>
      <c r="AF104" s="179">
        <f t="shared" si="41"/>
        <v>0.13543174886444831</v>
      </c>
      <c r="AG104" s="839">
        <f t="shared" si="49"/>
        <v>1</v>
      </c>
      <c r="AH104" s="178">
        <f t="shared" si="42"/>
        <v>7</v>
      </c>
      <c r="AI104" s="227">
        <f t="shared" si="43"/>
        <v>1.1354317488644483</v>
      </c>
      <c r="AJ104" s="267" t="b">
        <f t="shared" si="44"/>
        <v>1</v>
      </c>
      <c r="AK104" s="267" t="b">
        <f t="shared" si="45"/>
        <v>0</v>
      </c>
      <c r="AL104" s="267"/>
      <c r="AM104" s="267"/>
      <c r="AN104" s="75"/>
    </row>
    <row r="105" spans="1:40" s="6" customFormat="1" ht="11.25" x14ac:dyDescent="0.2">
      <c r="A105" s="56">
        <f t="shared" si="46"/>
        <v>45382</v>
      </c>
      <c r="B105" s="413">
        <f>'2023'!Wh/'2023'!Env_an*'2024'!Env_an</f>
        <v>27.093501276756943</v>
      </c>
      <c r="C105" s="868"/>
      <c r="D105" s="395">
        <f t="shared" si="25"/>
        <v>28.429948287214341</v>
      </c>
      <c r="E105" s="387">
        <f t="shared" si="47"/>
        <v>31.917966498041519</v>
      </c>
      <c r="F105" s="387">
        <f t="shared" si="26"/>
        <v>32.086175648788064</v>
      </c>
      <c r="G105" s="110">
        <f t="shared" si="48"/>
        <v>0.62300051305551818</v>
      </c>
      <c r="H105" s="416" t="b">
        <f>Wh_hp&gt;='2023'!Maxi_hp</f>
        <v>0</v>
      </c>
      <c r="I105" s="392">
        <f>IF(H105,Wh_hp,'2023'!Maxi_hp)</f>
        <v>47.773310266895436</v>
      </c>
      <c r="J105" s="85">
        <f>IF(H105,An,'2023'!An_max)</f>
        <v>2020</v>
      </c>
      <c r="K105" s="199">
        <f t="shared" si="27"/>
        <v>45382</v>
      </c>
      <c r="L105" s="147">
        <f>IF(t&lt;Tvie,1-EXP((T0-t)*PertePVj)+'2023'!Pspv,1-EXP((T0-t)*PertePVj)+Pspv)</f>
        <v>4.7008422138369865E-2</v>
      </c>
      <c r="M105" s="872"/>
      <c r="N105" s="872"/>
      <c r="O105" s="48">
        <f>IF(t&lt;Tnet,'2023'!Resal+('2023'!Salim-'2023'!Resal)*(1-EXP(('2023'!Tnet-t)/('2023'!Tau_j))),Resal+(Salim-Resal)*(1-EXP((Tnet-t)/(Tau_j))))*Salcycl</f>
        <v>0.10928071533132301</v>
      </c>
      <c r="P105" s="171">
        <f>(INDEX(Models!$BJ105:$BT105,,T105)*(1-R105)+INDEX(Models!$BJ105:$BT105,,T105+1)*R105-ERP_i)*Q105*Ramure*Pc/MaxiM</f>
        <v>1.1230090741187547E-2</v>
      </c>
      <c r="Q105" s="307">
        <f t="shared" si="28"/>
        <v>0.9</v>
      </c>
      <c r="R105" s="179">
        <f t="shared" si="29"/>
        <v>0.13685983156144754</v>
      </c>
      <c r="S105" s="839">
        <f t="shared" si="30"/>
        <v>1</v>
      </c>
      <c r="T105" s="178">
        <f t="shared" si="31"/>
        <v>7</v>
      </c>
      <c r="U105" s="253">
        <f t="shared" si="32"/>
        <v>1.1368598315614475</v>
      </c>
      <c r="V105" s="385">
        <f t="shared" si="33"/>
        <v>43.226961703195066</v>
      </c>
      <c r="W105" s="404">
        <f t="shared" si="34"/>
        <v>27.093501276756943</v>
      </c>
      <c r="X105" s="157">
        <f t="shared" si="35"/>
        <v>45382</v>
      </c>
      <c r="Y105" s="387">
        <f t="shared" si="36"/>
        <v>25.115211030741065</v>
      </c>
      <c r="Z105" s="387">
        <f t="shared" si="37"/>
        <v>26.354074489405061</v>
      </c>
      <c r="AA105" s="388">
        <f t="shared" si="38"/>
        <v>31.917966498041523</v>
      </c>
      <c r="AB105" s="199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0.17431849892372872</v>
      </c>
      <c r="AD105" s="233">
        <f>(INDEX(Models!$BJ105:$BT105,,AH105)*(1-AF105)+INDEX(Models!$BJ105:$BT105,,AH105+1)*AF105-ERP_i)*AE105*Ramure*Pc/MaxiM</f>
        <v>1.1230090741187547E-2</v>
      </c>
      <c r="AE105" s="307">
        <f t="shared" si="40"/>
        <v>0.9</v>
      </c>
      <c r="AF105" s="179">
        <f t="shared" si="41"/>
        <v>0.13685983156144754</v>
      </c>
      <c r="AG105" s="839">
        <f t="shared" si="49"/>
        <v>1</v>
      </c>
      <c r="AH105" s="178">
        <f t="shared" si="42"/>
        <v>7</v>
      </c>
      <c r="AI105" s="227">
        <f t="shared" si="43"/>
        <v>1.1368598315614475</v>
      </c>
      <c r="AJ105" s="267" t="b">
        <f t="shared" si="44"/>
        <v>1</v>
      </c>
      <c r="AK105" s="267" t="b">
        <f t="shared" si="45"/>
        <v>0</v>
      </c>
      <c r="AL105" s="267"/>
      <c r="AM105" s="267"/>
      <c r="AN105" s="75"/>
    </row>
    <row r="106" spans="1:40" s="6" customFormat="1" ht="11.25" x14ac:dyDescent="0.2">
      <c r="A106" s="56">
        <f t="shared" si="46"/>
        <v>45383</v>
      </c>
      <c r="B106" s="413">
        <f>'2023'!Wh/'2023'!Env_an*'2024'!Env_an</f>
        <v>18.357626730538531</v>
      </c>
      <c r="C106" s="868"/>
      <c r="D106" s="395">
        <f t="shared" si="25"/>
        <v>19.26360565585064</v>
      </c>
      <c r="E106" s="387">
        <f t="shared" si="47"/>
        <v>21.630518565810863</v>
      </c>
      <c r="F106" s="387">
        <f t="shared" si="26"/>
        <v>21.6720868570935</v>
      </c>
      <c r="G106" s="110">
        <f t="shared" si="48"/>
        <v>0.41743880317887527</v>
      </c>
      <c r="H106" s="416" t="b">
        <f>Wh_hp&gt;='2023'!Maxi_hp</f>
        <v>0</v>
      </c>
      <c r="I106" s="392">
        <f>IF(H106,Wh_hp,'2023'!Maxi_hp)</f>
        <v>42.352590855929826</v>
      </c>
      <c r="J106" s="85">
        <f>IF(H106,An,'2023'!An_max)</f>
        <v>2020</v>
      </c>
      <c r="K106" s="199">
        <f t="shared" si="27"/>
        <v>45383</v>
      </c>
      <c r="L106" s="147">
        <f>IF(t&lt;Tvie,1-EXP((T0-t)*PertePVj)+'2023'!Pspv,1-EXP((T0-t)*PertePVj)+Pspv)</f>
        <v>4.7030599644617865E-2</v>
      </c>
      <c r="M106" s="872"/>
      <c r="N106" s="872"/>
      <c r="O106" s="48">
        <f>IF(t&lt;Tnet,'2023'!Resal+('2023'!Salim-'2023'!Resal)*(1-EXP(('2023'!Tnet-t)/('2023'!Tau_j))),Resal+(Salim-Resal)*(1-EXP((Tnet-t)/(Tau_j))))*Salcycl</f>
        <v>0.10942469561045842</v>
      </c>
      <c r="P106" s="171">
        <f>(INDEX(Models!$BJ106:$BT106,,T106)*(1-R106)+INDEX(Models!$BJ106:$BT106,,T106+1)*R106-ERP_i)*Q106*Ramure*Pc/MaxiM</f>
        <v>1.1068628455673074E-2</v>
      </c>
      <c r="Q106" s="307">
        <f t="shared" si="28"/>
        <v>0.9</v>
      </c>
      <c r="R106" s="179">
        <f t="shared" si="29"/>
        <v>0.13834131723066267</v>
      </c>
      <c r="S106" s="839">
        <f t="shared" si="30"/>
        <v>1</v>
      </c>
      <c r="T106" s="178">
        <f t="shared" si="31"/>
        <v>7</v>
      </c>
      <c r="U106" s="253">
        <f t="shared" si="32"/>
        <v>1.1383413172306627</v>
      </c>
      <c r="V106" s="385">
        <f t="shared" si="33"/>
        <v>43.573623227115753</v>
      </c>
      <c r="W106" s="404">
        <f t="shared" si="34"/>
        <v>18.357626730538531</v>
      </c>
      <c r="X106" s="157">
        <f t="shared" si="35"/>
        <v>45383</v>
      </c>
      <c r="Y106" s="387">
        <f t="shared" si="36"/>
        <v>17.018186750554797</v>
      </c>
      <c r="Z106" s="387">
        <f t="shared" si="37"/>
        <v>17.858062120576339</v>
      </c>
      <c r="AA106" s="388">
        <f t="shared" si="38"/>
        <v>21.630518565810863</v>
      </c>
      <c r="AB106" s="199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0.174404346051937</v>
      </c>
      <c r="AD106" s="233">
        <f>(INDEX(Models!$BJ106:$BT106,,AH106)*(1-AF106)+INDEX(Models!$BJ106:$BT106,,AH106+1)*AF106-ERP_i)*AE106*Ramure*Pc/MaxiM</f>
        <v>1.1068628455673074E-2</v>
      </c>
      <c r="AE106" s="307">
        <f t="shared" si="40"/>
        <v>0.9</v>
      </c>
      <c r="AF106" s="179">
        <f t="shared" si="41"/>
        <v>0.13834131723066267</v>
      </c>
      <c r="AG106" s="839">
        <f t="shared" si="49"/>
        <v>1</v>
      </c>
      <c r="AH106" s="178">
        <f t="shared" si="42"/>
        <v>7</v>
      </c>
      <c r="AI106" s="227">
        <f t="shared" si="43"/>
        <v>1.1383413172306627</v>
      </c>
      <c r="AJ106" s="267" t="b">
        <f t="shared" si="44"/>
        <v>1</v>
      </c>
      <c r="AK106" s="267" t="b">
        <f t="shared" si="45"/>
        <v>0</v>
      </c>
      <c r="AL106" s="267"/>
      <c r="AM106" s="267"/>
      <c r="AN106" s="75"/>
    </row>
    <row r="107" spans="1:40" s="6" customFormat="1" ht="11.25" x14ac:dyDescent="0.2">
      <c r="A107" s="56">
        <f t="shared" si="46"/>
        <v>45384</v>
      </c>
      <c r="B107" s="413">
        <f>'2023'!Wh/'2023'!Env_an*'2024'!Env_an</f>
        <v>22.73050073617603</v>
      </c>
      <c r="C107" s="868"/>
      <c r="D107" s="395">
        <f t="shared" si="25"/>
        <v>23.852843241313568</v>
      </c>
      <c r="E107" s="387">
        <f t="shared" si="47"/>
        <v>26.788008115060112</v>
      </c>
      <c r="F107" s="387">
        <f t="shared" si="26"/>
        <v>26.879146560623219</v>
      </c>
      <c r="G107" s="110">
        <f t="shared" si="48"/>
        <v>0.51370082127539229</v>
      </c>
      <c r="H107" s="416" t="b">
        <f>Wh_hp&gt;='2023'!Maxi_hp</f>
        <v>0</v>
      </c>
      <c r="I107" s="392">
        <f>IF(H107,Wh_hp,'2023'!Maxi_hp)</f>
        <v>48.910344837500652</v>
      </c>
      <c r="J107" s="85">
        <f>IF(H107,An,'2023'!An_max)</f>
        <v>2021</v>
      </c>
      <c r="K107" s="199">
        <f t="shared" si="27"/>
        <v>45384</v>
      </c>
      <c r="L107" s="147">
        <f>IF(t&lt;Tvie,1-EXP((T0-t)*PertePVj)+'2023'!Pspv,1-EXP((T0-t)*PertePVj)+Pspv)</f>
        <v>4.7052776634762816E-2</v>
      </c>
      <c r="M107" s="872"/>
      <c r="N107" s="872"/>
      <c r="O107" s="48">
        <f>IF(t&lt;Tnet,'2023'!Resal+('2023'!Salim-'2023'!Resal)*(1-EXP(('2023'!Tnet-t)/('2023'!Tau_j))),Resal+(Salim-Resal)*(1-EXP((Tnet-t)/(Tau_j))))*Salcycl</f>
        <v>0.10957010544193485</v>
      </c>
      <c r="P107" s="171">
        <f>(INDEX(Models!$BJ107:$BT107,,T107)*(1-R107)+INDEX(Models!$BJ107:$BT107,,T107+1)*R107-ERP_i)*Q107*Ramure*Pc/MaxiM</f>
        <v>1.090726708176782E-2</v>
      </c>
      <c r="Q107" s="307">
        <f t="shared" si="28"/>
        <v>0.9</v>
      </c>
      <c r="R107" s="179">
        <f t="shared" si="29"/>
        <v>0.13987793595740161</v>
      </c>
      <c r="S107" s="839">
        <f t="shared" si="30"/>
        <v>1</v>
      </c>
      <c r="T107" s="178">
        <f t="shared" si="31"/>
        <v>7</v>
      </c>
      <c r="U107" s="253">
        <f t="shared" si="32"/>
        <v>1.1398779359574016</v>
      </c>
      <c r="V107" s="385">
        <f t="shared" si="33"/>
        <v>43.914789714696482</v>
      </c>
      <c r="W107" s="404">
        <f t="shared" si="34"/>
        <v>22.73050073617603</v>
      </c>
      <c r="X107" s="157">
        <f t="shared" si="35"/>
        <v>45384</v>
      </c>
      <c r="Y107" s="387">
        <f t="shared" si="36"/>
        <v>21.073188782479043</v>
      </c>
      <c r="Z107" s="387">
        <f t="shared" si="37"/>
        <v>22.113699757748599</v>
      </c>
      <c r="AA107" s="388">
        <f t="shared" si="38"/>
        <v>26.788008115060112</v>
      </c>
      <c r="AB107" s="199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0.17449256910907218</v>
      </c>
      <c r="AD107" s="233">
        <f>(INDEX(Models!$BJ107:$BT107,,AH107)*(1-AF107)+INDEX(Models!$BJ107:$BT107,,AH107+1)*AF107-ERP_i)*AE107*Ramure*Pc/MaxiM</f>
        <v>1.090726708176782E-2</v>
      </c>
      <c r="AE107" s="307">
        <f t="shared" si="40"/>
        <v>0.9</v>
      </c>
      <c r="AF107" s="179">
        <f t="shared" si="41"/>
        <v>0.13987793595740161</v>
      </c>
      <c r="AG107" s="839">
        <f t="shared" si="49"/>
        <v>1</v>
      </c>
      <c r="AH107" s="178">
        <f t="shared" si="42"/>
        <v>7</v>
      </c>
      <c r="AI107" s="227">
        <f t="shared" si="43"/>
        <v>1.1398779359574016</v>
      </c>
      <c r="AJ107" s="267" t="b">
        <f t="shared" si="44"/>
        <v>1</v>
      </c>
      <c r="AK107" s="267" t="b">
        <f t="shared" si="45"/>
        <v>0</v>
      </c>
      <c r="AL107" s="267"/>
      <c r="AM107" s="267"/>
      <c r="AN107" s="75"/>
    </row>
    <row r="108" spans="1:40" s="6" customFormat="1" ht="11.25" x14ac:dyDescent="0.2">
      <c r="A108" s="56">
        <f t="shared" si="46"/>
        <v>45385</v>
      </c>
      <c r="B108" s="413">
        <f>'2023'!Wh/'2023'!Env_an*'2024'!Env_an</f>
        <v>39.3704824558544</v>
      </c>
      <c r="C108" s="868"/>
      <c r="D108" s="395">
        <f t="shared" si="25"/>
        <v>41.315403120420036</v>
      </c>
      <c r="E108" s="387">
        <f t="shared" si="47"/>
        <v>46.407044950299017</v>
      </c>
      <c r="F108" s="387">
        <f t="shared" si="26"/>
        <v>46.830810703410528</v>
      </c>
      <c r="G108" s="110">
        <f t="shared" si="48"/>
        <v>0.88815429012442815</v>
      </c>
      <c r="H108" s="416" t="b">
        <f>Wh_hp&gt;='2023'!Maxi_hp</f>
        <v>0</v>
      </c>
      <c r="I108" s="392">
        <f>IF(H108,Wh_hp,'2023'!Maxi_hp)</f>
        <v>53.219609194847415</v>
      </c>
      <c r="J108" s="85">
        <f>IF(H108,An,'2023'!An_max)</f>
        <v>2020</v>
      </c>
      <c r="K108" s="199">
        <f t="shared" si="27"/>
        <v>45385</v>
      </c>
      <c r="L108" s="147">
        <f>IF(t&lt;Tvie,1-EXP((T0-t)*PertePVj)+'2023'!Pspv,1-EXP((T0-t)*PertePVj)+Pspv)</f>
        <v>4.7074953108816819E-2</v>
      </c>
      <c r="M108" s="872"/>
      <c r="N108" s="872"/>
      <c r="O108" s="48">
        <f>IF(t&lt;Tnet,'2023'!Resal+('2023'!Salim-'2023'!Resal)*(1-EXP(('2023'!Tnet-t)/('2023'!Tau_j))),Resal+(Salim-Resal)*(1-EXP((Tnet-t)/(Tau_j))))*Salcycl</f>
        <v>0.10971700170377198</v>
      </c>
      <c r="P108" s="171">
        <f>(INDEX(Models!$BJ108:$BT108,,T108)*(1-R108)+INDEX(Models!$BJ108:$BT108,,T108+1)*R108-ERP_i)*Q108*Ramure*Pc/MaxiM</f>
        <v>1.0741873718323292E-2</v>
      </c>
      <c r="Q108" s="307">
        <f t="shared" si="28"/>
        <v>0.9</v>
      </c>
      <c r="R108" s="179">
        <f t="shared" si="29"/>
        <v>0.14147145240619552</v>
      </c>
      <c r="S108" s="839">
        <f t="shared" si="30"/>
        <v>1</v>
      </c>
      <c r="T108" s="178">
        <f t="shared" si="31"/>
        <v>7</v>
      </c>
      <c r="U108" s="253">
        <f t="shared" si="32"/>
        <v>1.1414714524061955</v>
      </c>
      <c r="V108" s="385">
        <f t="shared" si="33"/>
        <v>44.252693170097373</v>
      </c>
      <c r="W108" s="404">
        <f t="shared" si="34"/>
        <v>39.3704824558544</v>
      </c>
      <c r="X108" s="157">
        <f t="shared" si="35"/>
        <v>45385</v>
      </c>
      <c r="Y108" s="387">
        <f t="shared" si="36"/>
        <v>36.50193886072617</v>
      </c>
      <c r="Z108" s="387">
        <f t="shared" si="37"/>
        <v>38.30515209964296</v>
      </c>
      <c r="AA108" s="388">
        <f t="shared" si="38"/>
        <v>46.407044950299017</v>
      </c>
      <c r="AB108" s="199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0.174583252593071</v>
      </c>
      <c r="AD108" s="233">
        <f>(INDEX(Models!$BJ108:$BT108,,AH108)*(1-AF108)+INDEX(Models!$BJ108:$BT108,,AH108+1)*AF108-ERP_i)*AE108*Ramure*Pc/MaxiM</f>
        <v>1.0741873718323292E-2</v>
      </c>
      <c r="AE108" s="307">
        <f t="shared" si="40"/>
        <v>0.9</v>
      </c>
      <c r="AF108" s="179">
        <f t="shared" si="41"/>
        <v>0.14147145240619552</v>
      </c>
      <c r="AG108" s="839">
        <f t="shared" si="49"/>
        <v>1</v>
      </c>
      <c r="AH108" s="178">
        <f t="shared" si="42"/>
        <v>7</v>
      </c>
      <c r="AI108" s="227">
        <f t="shared" si="43"/>
        <v>1.1414714524061955</v>
      </c>
      <c r="AJ108" s="267" t="b">
        <f t="shared" si="44"/>
        <v>1</v>
      </c>
      <c r="AK108" s="267" t="b">
        <f t="shared" si="45"/>
        <v>0</v>
      </c>
      <c r="AL108" s="267"/>
      <c r="AM108" s="267"/>
      <c r="AN108" s="75"/>
    </row>
    <row r="109" spans="1:40" s="6" customFormat="1" ht="11.25" x14ac:dyDescent="0.2">
      <c r="A109" s="56">
        <f t="shared" si="46"/>
        <v>45386</v>
      </c>
      <c r="B109" s="413">
        <f>'2023'!Wh/'2023'!Env_an*'2024'!Env_an</f>
        <v>45.56401339382181</v>
      </c>
      <c r="C109" s="868"/>
      <c r="D109" s="395">
        <f t="shared" si="25"/>
        <v>47.816010197555102</v>
      </c>
      <c r="E109" s="387">
        <f t="shared" si="47"/>
        <v>53.717732520640375</v>
      </c>
      <c r="F109" s="387">
        <f t="shared" si="26"/>
        <v>54.291772673602431</v>
      </c>
      <c r="G109" s="110">
        <f t="shared" si="48"/>
        <v>1.0219121604568475</v>
      </c>
      <c r="H109" s="416" t="b">
        <f>Wh_hp&gt;='2023'!Maxi_hp</f>
        <v>0</v>
      </c>
      <c r="I109" s="392">
        <f>IF(H109,Wh_hp,'2023'!Maxi_hp)</f>
        <v>55.117663879347624</v>
      </c>
      <c r="J109" s="85">
        <f>IF(H109,An,'2023'!An_max)</f>
        <v>2020</v>
      </c>
      <c r="K109" s="199">
        <f t="shared" si="27"/>
        <v>45386</v>
      </c>
      <c r="L109" s="147">
        <f>IF(t&lt;Tvie,1-EXP((T0-t)*PertePVj)+'2023'!Pspv,1-EXP((T0-t)*PertePVj)+Pspv)</f>
        <v>4.7097129066791865E-2</v>
      </c>
      <c r="M109" s="872"/>
      <c r="N109" s="872"/>
      <c r="O109" s="48">
        <f>IF(t&lt;Tnet,'2023'!Resal+('2023'!Salim-'2023'!Resal)*(1-EXP(('2023'!Tnet-t)/('2023'!Tau_j))),Resal+(Salim-Resal)*(1-EXP((Tnet-t)/(Tau_j))))*Salcycl</f>
        <v>0.10986544007265406</v>
      </c>
      <c r="P109" s="171">
        <f>(INDEX(Models!$BJ109:$BT109,,T109)*(1-R109)+INDEX(Models!$BJ109:$BT109,,T109+1)*R109-ERP_i)*Q109*Ramure*Pc/MaxiM</f>
        <v>1.0573243876436609E-2</v>
      </c>
      <c r="Q109" s="307">
        <f t="shared" si="28"/>
        <v>0.9</v>
      </c>
      <c r="R109" s="179">
        <f t="shared" si="29"/>
        <v>0.1431236646854217</v>
      </c>
      <c r="S109" s="839">
        <f t="shared" si="30"/>
        <v>1</v>
      </c>
      <c r="T109" s="178">
        <f t="shared" si="31"/>
        <v>7</v>
      </c>
      <c r="U109" s="253">
        <f t="shared" si="32"/>
        <v>1.1431236646854217</v>
      </c>
      <c r="V109" s="385">
        <f t="shared" si="33"/>
        <v>44.58701555469537</v>
      </c>
      <c r="W109" s="404">
        <f t="shared" si="34"/>
        <v>45.56401339382181</v>
      </c>
      <c r="X109" s="157">
        <f t="shared" si="35"/>
        <v>45386</v>
      </c>
      <c r="Y109" s="387">
        <f t="shared" si="36"/>
        <v>42.246480100322053</v>
      </c>
      <c r="Z109" s="387">
        <f t="shared" si="37"/>
        <v>44.334508152912512</v>
      </c>
      <c r="AA109" s="388">
        <f t="shared" si="38"/>
        <v>53.717732520640375</v>
      </c>
      <c r="AB109" s="199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0.17467647883541013</v>
      </c>
      <c r="AD109" s="233">
        <f>(INDEX(Models!$BJ109:$BT109,,AH109)*(1-AF109)+INDEX(Models!$BJ109:$BT109,,AH109+1)*AF109-ERP_i)*AE109*Ramure*Pc/MaxiM</f>
        <v>1.0573243876436609E-2</v>
      </c>
      <c r="AE109" s="307">
        <f t="shared" si="40"/>
        <v>0.9</v>
      </c>
      <c r="AF109" s="179">
        <f t="shared" si="41"/>
        <v>0.1431236646854217</v>
      </c>
      <c r="AG109" s="839">
        <f t="shared" si="49"/>
        <v>1</v>
      </c>
      <c r="AH109" s="178">
        <f t="shared" si="42"/>
        <v>7</v>
      </c>
      <c r="AI109" s="227">
        <f t="shared" si="43"/>
        <v>1.1431236646854217</v>
      </c>
      <c r="AJ109" s="267" t="b">
        <f t="shared" si="44"/>
        <v>1</v>
      </c>
      <c r="AK109" s="267" t="b">
        <f t="shared" si="45"/>
        <v>0</v>
      </c>
      <c r="AL109" s="267"/>
      <c r="AM109" s="267"/>
      <c r="AN109" s="75"/>
    </row>
    <row r="110" spans="1:40" s="6" customFormat="1" ht="11.25" x14ac:dyDescent="0.2">
      <c r="A110" s="56">
        <f t="shared" si="46"/>
        <v>45387</v>
      </c>
      <c r="B110" s="413">
        <f>'2023'!Wh/'2023'!Env_an*'2024'!Env_an</f>
        <v>11.576638290612889</v>
      </c>
      <c r="C110" s="868"/>
      <c r="D110" s="395">
        <f t="shared" si="25"/>
        <v>12.149095207185447</v>
      </c>
      <c r="E110" s="387">
        <f t="shared" si="47"/>
        <v>13.650906127789911</v>
      </c>
      <c r="F110" s="387">
        <f t="shared" si="26"/>
        <v>13.650906127789911</v>
      </c>
      <c r="G110" s="110">
        <f t="shared" si="48"/>
        <v>0.2550505253997814</v>
      </c>
      <c r="H110" s="416" t="b">
        <f>Wh_hp&gt;='2023'!Maxi_hp</f>
        <v>0</v>
      </c>
      <c r="I110" s="392">
        <f>IF(H110,Wh_hp,'2023'!Maxi_hp)</f>
        <v>55.281205017406521</v>
      </c>
      <c r="J110" s="85">
        <f>IF(H110,An,'2023'!An_max)</f>
        <v>2020</v>
      </c>
      <c r="K110" s="199">
        <f t="shared" si="27"/>
        <v>45387</v>
      </c>
      <c r="L110" s="147">
        <f>IF(t&lt;Tvie,1-EXP((T0-t)*PertePVj)+'2023'!Pspv,1-EXP((T0-t)*PertePVj)+Pspv)</f>
        <v>4.7119304508699944E-2</v>
      </c>
      <c r="M110" s="872"/>
      <c r="N110" s="872"/>
      <c r="O110" s="48">
        <f>IF(t&lt;Tnet,'2023'!Resal+('2023'!Salim-'2023'!Resal)*(1-EXP(('2023'!Tnet-t)/('2023'!Tau_j))),Resal+(Salim-Resal)*(1-EXP((Tnet-t)/(Tau_j))))*Salcycl</f>
        <v>0.11001547491028041</v>
      </c>
      <c r="P110" s="171">
        <f>(INDEX(Models!$BJ110:$BT110,,T110)*(1-R110)+INDEX(Models!$BJ110:$BT110,,T110+1)*R110-ERP_i)*Q110*Ramure*Pc/MaxiM</f>
        <v>1.0401474237649694E-2</v>
      </c>
      <c r="Q110" s="307">
        <f t="shared" si="28"/>
        <v>0.9</v>
      </c>
      <c r="R110" s="179">
        <f t="shared" si="29"/>
        <v>0.14483640301767786</v>
      </c>
      <c r="S110" s="839">
        <f t="shared" si="30"/>
        <v>1</v>
      </c>
      <c r="T110" s="178">
        <f t="shared" si="31"/>
        <v>7</v>
      </c>
      <c r="U110" s="253">
        <f t="shared" si="32"/>
        <v>1.1448364030176779</v>
      </c>
      <c r="V110" s="385">
        <f t="shared" si="33"/>
        <v>44.917469461069814</v>
      </c>
      <c r="W110" s="404">
        <f t="shared" si="34"/>
        <v>11.576638290612889</v>
      </c>
      <c r="X110" s="157">
        <f t="shared" si="35"/>
        <v>45387</v>
      </c>
      <c r="Y110" s="387">
        <f t="shared" si="36"/>
        <v>10.73430155108362</v>
      </c>
      <c r="Z110" s="387">
        <f t="shared" si="37"/>
        <v>11.265105486840692</v>
      </c>
      <c r="AA110" s="388">
        <f t="shared" si="38"/>
        <v>13.650906127789911</v>
      </c>
      <c r="AB110" s="199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0.17477232783048094</v>
      </c>
      <c r="AD110" s="233">
        <f>(INDEX(Models!$BJ110:$BT110,,AH110)*(1-AF110)+INDEX(Models!$BJ110:$BT110,,AH110+1)*AF110-ERP_i)*AE110*Ramure*Pc/MaxiM</f>
        <v>1.0401474237649694E-2</v>
      </c>
      <c r="AE110" s="307">
        <f t="shared" si="40"/>
        <v>0.9</v>
      </c>
      <c r="AF110" s="179">
        <f t="shared" si="41"/>
        <v>0.14483640301767786</v>
      </c>
      <c r="AG110" s="839">
        <f t="shared" si="49"/>
        <v>1</v>
      </c>
      <c r="AH110" s="178">
        <f t="shared" si="42"/>
        <v>7</v>
      </c>
      <c r="AI110" s="227">
        <f t="shared" si="43"/>
        <v>1.1448364030176779</v>
      </c>
      <c r="AJ110" s="267" t="b">
        <f t="shared" si="44"/>
        <v>1</v>
      </c>
      <c r="AK110" s="267" t="b">
        <f t="shared" si="45"/>
        <v>0</v>
      </c>
      <c r="AL110" s="267"/>
      <c r="AM110" s="267"/>
      <c r="AN110" s="75"/>
    </row>
    <row r="111" spans="1:40" s="6" customFormat="1" ht="11.25" x14ac:dyDescent="0.2">
      <c r="A111" s="56">
        <f t="shared" si="46"/>
        <v>45388</v>
      </c>
      <c r="B111" s="413">
        <f>'2023'!Wh/'2023'!Env_an*'2024'!Env_an</f>
        <v>35.025572592071391</v>
      </c>
      <c r="C111" s="868"/>
      <c r="D111" s="395">
        <f t="shared" si="25"/>
        <v>36.758418837758263</v>
      </c>
      <c r="E111" s="387">
        <f t="shared" si="47"/>
        <v>41.309352892351988</v>
      </c>
      <c r="F111" s="387">
        <f t="shared" si="26"/>
        <v>41.597504283404454</v>
      </c>
      <c r="G111" s="110">
        <f t="shared" si="48"/>
        <v>0.77158027707767085</v>
      </c>
      <c r="H111" s="416" t="b">
        <f>Wh_hp&gt;='2023'!Maxi_hp</f>
        <v>0</v>
      </c>
      <c r="I111" s="392">
        <f>IF(H111,Wh_hp,'2023'!Maxi_hp)</f>
        <v>54.094709331029712</v>
      </c>
      <c r="J111" s="85">
        <f>IF(H111,An,'2023'!An_max)</f>
        <v>2021</v>
      </c>
      <c r="K111" s="199">
        <f t="shared" si="27"/>
        <v>45388</v>
      </c>
      <c r="L111" s="147">
        <f>IF(t&lt;Tvie,1-EXP((T0-t)*PertePVj)+'2023'!Pspv,1-EXP((T0-t)*PertePVj)+Pspv)</f>
        <v>4.7141479434553157E-2</v>
      </c>
      <c r="M111" s="872"/>
      <c r="N111" s="872"/>
      <c r="O111" s="48">
        <f>IF(t&lt;Tnet,'2023'!Resal+('2023'!Salim-'2023'!Resal)*(1-EXP(('2023'!Tnet-t)/('2023'!Tau_j))),Resal+(Salim-Resal)*(1-EXP((Tnet-t)/(Tau_j))))*Salcycl</f>
        <v>0.11016715915286784</v>
      </c>
      <c r="P111" s="171">
        <f>(INDEX(Models!$BJ111:$BT111,,T111)*(1-R111)+INDEX(Models!$BJ111:$BT111,,T111+1)*R111-ERP_i)*Q111*Ramure*Pc/MaxiM</f>
        <v>1.0226652703516099E-2</v>
      </c>
      <c r="Q111" s="307">
        <f t="shared" si="28"/>
        <v>0.9</v>
      </c>
      <c r="R111" s="179">
        <f t="shared" si="29"/>
        <v>0.14661152820300649</v>
      </c>
      <c r="S111" s="839">
        <f t="shared" si="30"/>
        <v>1</v>
      </c>
      <c r="T111" s="178">
        <f t="shared" si="31"/>
        <v>7</v>
      </c>
      <c r="U111" s="253">
        <f t="shared" si="32"/>
        <v>1.1466115282030065</v>
      </c>
      <c r="V111" s="385">
        <f t="shared" si="33"/>
        <v>45.243767733399302</v>
      </c>
      <c r="W111" s="404">
        <f t="shared" si="34"/>
        <v>35.025572592071391</v>
      </c>
      <c r="X111" s="157">
        <f t="shared" si="35"/>
        <v>45388</v>
      </c>
      <c r="Y111" s="387">
        <f t="shared" si="36"/>
        <v>32.478706860804117</v>
      </c>
      <c r="Z111" s="387">
        <f t="shared" si="37"/>
        <v>34.085550120841184</v>
      </c>
      <c r="AA111" s="388">
        <f t="shared" si="38"/>
        <v>41.309352892351988</v>
      </c>
      <c r="AB111" s="199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0.17487087707075205</v>
      </c>
      <c r="AD111" s="233">
        <f>(INDEX(Models!$BJ111:$BT111,,AH111)*(1-AF111)+INDEX(Models!$BJ111:$BT111,,AH111+1)*AF111-ERP_i)*AE111*Ramure*Pc/MaxiM</f>
        <v>1.0226652703516099E-2</v>
      </c>
      <c r="AE111" s="307">
        <f t="shared" si="40"/>
        <v>0.9</v>
      </c>
      <c r="AF111" s="179">
        <f t="shared" si="41"/>
        <v>0.14661152820300649</v>
      </c>
      <c r="AG111" s="839">
        <f t="shared" si="49"/>
        <v>1</v>
      </c>
      <c r="AH111" s="178">
        <f t="shared" si="42"/>
        <v>7</v>
      </c>
      <c r="AI111" s="227">
        <f t="shared" si="43"/>
        <v>1.1466115282030065</v>
      </c>
      <c r="AJ111" s="267" t="b">
        <f t="shared" si="44"/>
        <v>1</v>
      </c>
      <c r="AK111" s="267" t="b">
        <f t="shared" si="45"/>
        <v>0</v>
      </c>
      <c r="AL111" s="267"/>
      <c r="AM111" s="267"/>
      <c r="AN111" s="75"/>
    </row>
    <row r="112" spans="1:40" s="6" customFormat="1" ht="11.25" x14ac:dyDescent="0.2">
      <c r="A112" s="56">
        <f t="shared" si="46"/>
        <v>45389</v>
      </c>
      <c r="B112" s="413">
        <f>'2023'!Wh/'2023'!Env_an*'2024'!Env_an</f>
        <v>27.362510170554685</v>
      </c>
      <c r="C112" s="868"/>
      <c r="D112" s="395">
        <f t="shared" si="25"/>
        <v>28.716904304661448</v>
      </c>
      <c r="E112" s="387">
        <f t="shared" si="47"/>
        <v>32.277809853368211</v>
      </c>
      <c r="F112" s="387">
        <f t="shared" si="26"/>
        <v>32.417657772713547</v>
      </c>
      <c r="G112" s="110">
        <f t="shared" si="48"/>
        <v>0.59704897065348694</v>
      </c>
      <c r="H112" s="416" t="b">
        <f>Wh_hp&gt;='2023'!Maxi_hp</f>
        <v>0</v>
      </c>
      <c r="I112" s="392">
        <f>IF(H112,Wh_hp,'2023'!Maxi_hp)</f>
        <v>51.981553630280644</v>
      </c>
      <c r="J112" s="85">
        <f>IF(H112,An,'2023'!An_max)</f>
        <v>2021</v>
      </c>
      <c r="K112" s="199">
        <f t="shared" si="27"/>
        <v>45389</v>
      </c>
      <c r="L112" s="147">
        <f>IF(t&lt;Tvie,1-EXP((T0-t)*PertePVj)+'2023'!Pspv,1-EXP((T0-t)*PertePVj)+Pspv)</f>
        <v>4.7163653844363385E-2</v>
      </c>
      <c r="M112" s="872"/>
      <c r="N112" s="872"/>
      <c r="O112" s="48">
        <f>IF(t&lt;Tnet,'2023'!Resal+('2023'!Salim-'2023'!Resal)*(1-EXP(('2023'!Tnet-t)/('2023'!Tau_j))),Resal+(Salim-Resal)*(1-EXP((Tnet-t)/(Tau_j))))*Salcycl</f>
        <v>0.110320544203069</v>
      </c>
      <c r="P112" s="171">
        <f>(INDEX(Models!$BJ112:$BT112,,T112)*(1-R112)+INDEX(Models!$BJ112:$BT112,,T112+1)*R112-ERP_i)*Q112*Ramure*Pc/MaxiM</f>
        <v>1.0048858593421551E-2</v>
      </c>
      <c r="Q112" s="307">
        <f t="shared" si="28"/>
        <v>0.9</v>
      </c>
      <c r="R112" s="179">
        <f t="shared" si="29"/>
        <v>0.14845092986184749</v>
      </c>
      <c r="S112" s="839">
        <f t="shared" si="30"/>
        <v>1</v>
      </c>
      <c r="T112" s="178">
        <f t="shared" si="31"/>
        <v>7</v>
      </c>
      <c r="U112" s="253">
        <f t="shared" si="32"/>
        <v>1.1484509298618475</v>
      </c>
      <c r="V112" s="385">
        <f t="shared" si="33"/>
        <v>45.565623475051481</v>
      </c>
      <c r="W112" s="404">
        <f t="shared" si="34"/>
        <v>27.362510170554685</v>
      </c>
      <c r="X112" s="157">
        <f t="shared" si="35"/>
        <v>45389</v>
      </c>
      <c r="Y112" s="387">
        <f t="shared" si="36"/>
        <v>25.374118041570856</v>
      </c>
      <c r="Z112" s="387">
        <f t="shared" si="37"/>
        <v>26.630090407389055</v>
      </c>
      <c r="AA112" s="388">
        <f t="shared" si="38"/>
        <v>32.277809853368211</v>
      </c>
      <c r="AB112" s="199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0.17497220138651431</v>
      </c>
      <c r="AD112" s="233">
        <f>(INDEX(Models!$BJ112:$BT112,,AH112)*(1-AF112)+INDEX(Models!$BJ112:$BT112,,AH112+1)*AF112-ERP_i)*AE112*Ramure*Pc/MaxiM</f>
        <v>1.0048858593421551E-2</v>
      </c>
      <c r="AE112" s="307">
        <f t="shared" si="40"/>
        <v>0.9</v>
      </c>
      <c r="AF112" s="179">
        <f t="shared" si="41"/>
        <v>0.14845092986184749</v>
      </c>
      <c r="AG112" s="839">
        <f t="shared" si="49"/>
        <v>1</v>
      </c>
      <c r="AH112" s="178">
        <f t="shared" si="42"/>
        <v>7</v>
      </c>
      <c r="AI112" s="227">
        <f t="shared" si="43"/>
        <v>1.1484509298618475</v>
      </c>
      <c r="AJ112" s="267" t="b">
        <f t="shared" si="44"/>
        <v>1</v>
      </c>
      <c r="AK112" s="267" t="b">
        <f t="shared" si="45"/>
        <v>0</v>
      </c>
      <c r="AL112" s="267"/>
      <c r="AM112" s="267"/>
      <c r="AN112" s="75"/>
    </row>
    <row r="113" spans="1:40" s="6" customFormat="1" ht="11.25" x14ac:dyDescent="0.2">
      <c r="A113" s="56">
        <f t="shared" si="46"/>
        <v>45390</v>
      </c>
      <c r="B113" s="413">
        <f>'2023'!Wh/'2023'!Env_an*'2024'!Env_an</f>
        <v>33.207756846144001</v>
      </c>
      <c r="C113" s="868"/>
      <c r="D113" s="395">
        <f t="shared" si="25"/>
        <v>34.852291047805359</v>
      </c>
      <c r="E113" s="387">
        <f t="shared" si="47"/>
        <v>39.180818621002864</v>
      </c>
      <c r="F113" s="387">
        <f t="shared" si="26"/>
        <v>39.416283562202203</v>
      </c>
      <c r="G113" s="110">
        <f t="shared" si="48"/>
        <v>0.72091704396469647</v>
      </c>
      <c r="H113" s="416" t="b">
        <f>Wh_hp&gt;='2023'!Maxi_hp</f>
        <v>0</v>
      </c>
      <c r="I113" s="392">
        <f>IF(H113,Wh_hp,'2023'!Maxi_hp)</f>
        <v>51.372515344218137</v>
      </c>
      <c r="J113" s="85">
        <f>IF(H113,An,'2023'!An_max)</f>
        <v>2020</v>
      </c>
      <c r="K113" s="199">
        <f t="shared" si="27"/>
        <v>45390</v>
      </c>
      <c r="L113" s="147">
        <f>IF(t&lt;Tvie,1-EXP((T0-t)*PertePVj)+'2023'!Pspv,1-EXP((T0-t)*PertePVj)+Pspv)</f>
        <v>4.7185827738142727E-2</v>
      </c>
      <c r="M113" s="872"/>
      <c r="N113" s="872"/>
      <c r="O113" s="48">
        <f>IF(t&lt;Tnet,'2023'!Resal+('2023'!Salim-'2023'!Resal)*(1-EXP(('2023'!Tnet-t)/('2023'!Tau_j))),Resal+(Salim-Resal)*(1-EXP((Tnet-t)/(Tau_j))))*Salcycl</f>
        <v>0.1104756798235246</v>
      </c>
      <c r="P113" s="171">
        <f>(INDEX(Models!$BJ113:$BT113,,T113)*(1-R113)+INDEX(Models!$BJ113:$BT113,,T113+1)*R113-ERP_i)*Q113*Ramure*Pc/MaxiM</f>
        <v>9.8681628265205948E-3</v>
      </c>
      <c r="Q113" s="307">
        <f t="shared" si="28"/>
        <v>0.9</v>
      </c>
      <c r="R113" s="179">
        <f t="shared" si="29"/>
        <v>0.15035652444444003</v>
      </c>
      <c r="S113" s="839">
        <f t="shared" si="30"/>
        <v>1</v>
      </c>
      <c r="T113" s="178">
        <f t="shared" si="31"/>
        <v>7</v>
      </c>
      <c r="U113" s="253">
        <f t="shared" si="32"/>
        <v>1.15035652444444</v>
      </c>
      <c r="V113" s="385">
        <f t="shared" si="33"/>
        <v>45.882750076710032</v>
      </c>
      <c r="W113" s="404">
        <f t="shared" si="34"/>
        <v>33.207756846144001</v>
      </c>
      <c r="X113" s="157">
        <f t="shared" si="35"/>
        <v>45390</v>
      </c>
      <c r="Y113" s="387">
        <f t="shared" si="36"/>
        <v>30.796081239947817</v>
      </c>
      <c r="Z113" s="387">
        <f t="shared" si="37"/>
        <v>32.321183013936405</v>
      </c>
      <c r="AA113" s="388">
        <f t="shared" si="38"/>
        <v>39.180818621002864</v>
      </c>
      <c r="AB113" s="199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0.17507637278893795</v>
      </c>
      <c r="AD113" s="233">
        <f>(INDEX(Models!$BJ113:$BT113,,AH113)*(1-AF113)+INDEX(Models!$BJ113:$BT113,,AH113+1)*AF113-ERP_i)*AE113*Ramure*Pc/MaxiM</f>
        <v>9.8681628265205948E-3</v>
      </c>
      <c r="AE113" s="307">
        <f t="shared" si="40"/>
        <v>0.9</v>
      </c>
      <c r="AF113" s="179">
        <f t="shared" si="41"/>
        <v>0.15035652444444003</v>
      </c>
      <c r="AG113" s="839">
        <f t="shared" si="49"/>
        <v>1</v>
      </c>
      <c r="AH113" s="178">
        <f t="shared" si="42"/>
        <v>7</v>
      </c>
      <c r="AI113" s="227">
        <f t="shared" si="43"/>
        <v>1.15035652444444</v>
      </c>
      <c r="AJ113" s="267" t="b">
        <f t="shared" si="44"/>
        <v>1</v>
      </c>
      <c r="AK113" s="267" t="b">
        <f t="shared" si="45"/>
        <v>0</v>
      </c>
      <c r="AL113" s="267"/>
      <c r="AM113" s="267"/>
      <c r="AN113" s="75"/>
    </row>
    <row r="114" spans="1:40" s="6" customFormat="1" ht="11.25" x14ac:dyDescent="0.2">
      <c r="A114" s="56">
        <f t="shared" si="46"/>
        <v>45391</v>
      </c>
      <c r="B114" s="413">
        <f>'2023'!Wh/'2023'!Env_an*'2024'!Env_an</f>
        <v>47.029296700860684</v>
      </c>
      <c r="C114" s="868"/>
      <c r="D114" s="395">
        <f t="shared" si="25"/>
        <v>49.359458051643031</v>
      </c>
      <c r="E114" s="387">
        <f t="shared" si="47"/>
        <v>55.499514408072365</v>
      </c>
      <c r="F114" s="387">
        <f t="shared" si="26"/>
        <v>56.041999013019066</v>
      </c>
      <c r="G114" s="110">
        <f t="shared" si="48"/>
        <v>1.0180585896509362</v>
      </c>
      <c r="H114" s="416" t="b">
        <f>Wh_hp&gt;='2023'!Maxi_hp</f>
        <v>1</v>
      </c>
      <c r="I114" s="392">
        <f>IF(H114,Wh_hp,'2023'!Maxi_hp)</f>
        <v>56.041999013019066</v>
      </c>
      <c r="J114" s="85">
        <f>IF(H114,An,'2023'!An_max)</f>
        <v>2024</v>
      </c>
      <c r="K114" s="199">
        <f t="shared" si="27"/>
        <v>45391</v>
      </c>
      <c r="L114" s="147">
        <f>IF(t&lt;Tvie,1-EXP((T0-t)*PertePVj)+'2023'!Pspv,1-EXP((T0-t)*PertePVj)+Pspv)</f>
        <v>4.7208001115903286E-2</v>
      </c>
      <c r="M114" s="872"/>
      <c r="N114" s="872"/>
      <c r="O114" s="48">
        <f>IF(t&lt;Tnet,'2023'!Resal+('2023'!Salim-'2023'!Resal)*(1-EXP(('2023'!Tnet-t)/('2023'!Tau_j))),Resal+(Salim-Resal)*(1-EXP((Tnet-t)/(Tau_j))))*Salcycl</f>
        <v>0.11063261403123677</v>
      </c>
      <c r="P114" s="171">
        <f>(INDEX(Models!$BJ114:$BT114,,T114)*(1-R114)+INDEX(Models!$BJ114:$BT114,,T114+1)*R114-ERP_i)*Q114*Ramure*Pc/MaxiM</f>
        <v>9.6799652849763086E-3</v>
      </c>
      <c r="Q114" s="307">
        <f t="shared" si="28"/>
        <v>0.9</v>
      </c>
      <c r="R114" s="179">
        <f t="shared" si="29"/>
        <v>0.15233025299331948</v>
      </c>
      <c r="S114" s="839">
        <f t="shared" si="30"/>
        <v>1</v>
      </c>
      <c r="T114" s="178">
        <f t="shared" si="31"/>
        <v>7</v>
      </c>
      <c r="U114" s="253">
        <f t="shared" si="32"/>
        <v>1.1523302529933195</v>
      </c>
      <c r="V114" s="385">
        <f t="shared" si="33"/>
        <v>46.195078730179681</v>
      </c>
      <c r="W114" s="404">
        <f t="shared" si="34"/>
        <v>47.029296700860684</v>
      </c>
      <c r="X114" s="157">
        <f t="shared" si="35"/>
        <v>45391</v>
      </c>
      <c r="Y114" s="387">
        <f t="shared" si="36"/>
        <v>43.615880659220927</v>
      </c>
      <c r="Z114" s="387">
        <f t="shared" si="37"/>
        <v>45.776917428256681</v>
      </c>
      <c r="AA114" s="388">
        <f t="shared" si="38"/>
        <v>55.499514408072365</v>
      </c>
      <c r="AB114" s="199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0.17518346031513282</v>
      </c>
      <c r="AD114" s="233">
        <f>(INDEX(Models!$BJ114:$BT114,,AH114)*(1-AF114)+INDEX(Models!$BJ114:$BT114,,AH114+1)*AF114-ERP_i)*AE114*Ramure*Pc/MaxiM</f>
        <v>9.6799652849763086E-3</v>
      </c>
      <c r="AE114" s="307">
        <f t="shared" si="40"/>
        <v>0.9</v>
      </c>
      <c r="AF114" s="179">
        <f t="shared" si="41"/>
        <v>0.15233025299331948</v>
      </c>
      <c r="AG114" s="839">
        <f t="shared" si="49"/>
        <v>1</v>
      </c>
      <c r="AH114" s="178">
        <f t="shared" si="42"/>
        <v>7</v>
      </c>
      <c r="AI114" s="227">
        <f t="shared" si="43"/>
        <v>1.1523302529933195</v>
      </c>
      <c r="AJ114" s="267" t="b">
        <f t="shared" si="44"/>
        <v>1</v>
      </c>
      <c r="AK114" s="267" t="b">
        <f t="shared" si="45"/>
        <v>0</v>
      </c>
      <c r="AL114" s="267"/>
      <c r="AM114" s="267"/>
      <c r="AN114" s="75"/>
    </row>
    <row r="115" spans="1:40" s="6" customFormat="1" ht="11.25" x14ac:dyDescent="0.2">
      <c r="A115" s="56">
        <f t="shared" si="46"/>
        <v>45392</v>
      </c>
      <c r="B115" s="413">
        <f>'2023'!Wh/'2023'!Env_an*'2024'!Env_an</f>
        <v>35.989432278398169</v>
      </c>
      <c r="C115" s="868"/>
      <c r="D115" s="395">
        <f t="shared" si="25"/>
        <v>37.773480325933612</v>
      </c>
      <c r="E115" s="387">
        <f t="shared" si="47"/>
        <v>42.479886078735703</v>
      </c>
      <c r="F115" s="387">
        <f t="shared" si="26"/>
        <v>42.754515427505467</v>
      </c>
      <c r="G115" s="110">
        <f t="shared" si="48"/>
        <v>0.77154329925965259</v>
      </c>
      <c r="H115" s="416" t="b">
        <f>Wh_hp&gt;='2023'!Maxi_hp</f>
        <v>0</v>
      </c>
      <c r="I115" s="392">
        <f>IF(H115,Wh_hp,'2023'!Maxi_hp)</f>
        <v>55.083209342837009</v>
      </c>
      <c r="J115" s="85">
        <f>IF(H115,An,'2023'!An_max)</f>
        <v>2020</v>
      </c>
      <c r="K115" s="199">
        <f t="shared" si="27"/>
        <v>45392</v>
      </c>
      <c r="L115" s="147">
        <f>IF(t&lt;Tvie,1-EXP((T0-t)*PertePVj)+'2023'!Pspv,1-EXP((T0-t)*PertePVj)+Pspv)</f>
        <v>4.7230173977656831E-2</v>
      </c>
      <c r="M115" s="872"/>
      <c r="N115" s="872"/>
      <c r="O115" s="48">
        <f>IF(t&lt;Tnet,'2023'!Resal+('2023'!Salim-'2023'!Resal)*(1-EXP(('2023'!Tnet-t)/('2023'!Tau_j))),Resal+(Salim-Resal)*(1-EXP((Tnet-t)/(Tau_j))))*Salcycl</f>
        <v>0.11079139299194103</v>
      </c>
      <c r="P115" s="171">
        <f>(INDEX(Models!$BJ115:$BT115,,T115)*(1-R115)+INDEX(Models!$BJ115:$BT115,,T115+1)*R115-ERP_i)*Q115*Ramure*Pc/MaxiM</f>
        <v>9.4874350879066496E-3</v>
      </c>
      <c r="Q115" s="307">
        <f t="shared" si="28"/>
        <v>0.9</v>
      </c>
      <c r="R115" s="179">
        <f t="shared" si="29"/>
        <v>0.1543740786455754</v>
      </c>
      <c r="S115" s="839">
        <f t="shared" si="30"/>
        <v>1</v>
      </c>
      <c r="T115" s="178">
        <f t="shared" si="31"/>
        <v>7</v>
      </c>
      <c r="U115" s="253">
        <f t="shared" si="32"/>
        <v>1.1543740786455754</v>
      </c>
      <c r="V115" s="385">
        <f t="shared" si="33"/>
        <v>46.502181431241219</v>
      </c>
      <c r="W115" s="404">
        <f t="shared" si="34"/>
        <v>35.989432278398169</v>
      </c>
      <c r="X115" s="157">
        <f t="shared" si="35"/>
        <v>45392</v>
      </c>
      <c r="Y115" s="387">
        <f t="shared" si="36"/>
        <v>33.37880157956149</v>
      </c>
      <c r="Z115" s="387">
        <f t="shared" si="37"/>
        <v>35.033436899353205</v>
      </c>
      <c r="AA115" s="388">
        <f t="shared" si="38"/>
        <v>42.479886078735703</v>
      </c>
      <c r="AB115" s="199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0.17529352987389468</v>
      </c>
      <c r="AD115" s="233">
        <f>(INDEX(Models!$BJ115:$BT115,,AH115)*(1-AF115)+INDEX(Models!$BJ115:$BT115,,AH115+1)*AF115-ERP_i)*AE115*Ramure*Pc/MaxiM</f>
        <v>9.4874350879066496E-3</v>
      </c>
      <c r="AE115" s="307">
        <f t="shared" si="40"/>
        <v>0.9</v>
      </c>
      <c r="AF115" s="179">
        <f t="shared" si="41"/>
        <v>0.1543740786455754</v>
      </c>
      <c r="AG115" s="839">
        <f t="shared" si="49"/>
        <v>1</v>
      </c>
      <c r="AH115" s="178">
        <f t="shared" si="42"/>
        <v>7</v>
      </c>
      <c r="AI115" s="227">
        <f t="shared" si="43"/>
        <v>1.1543740786455754</v>
      </c>
      <c r="AJ115" s="267" t="b">
        <f t="shared" si="44"/>
        <v>1</v>
      </c>
      <c r="AK115" s="267" t="b">
        <f t="shared" si="45"/>
        <v>0</v>
      </c>
      <c r="AL115" s="267"/>
      <c r="AM115" s="267"/>
      <c r="AN115" s="75"/>
    </row>
    <row r="116" spans="1:40" s="6" customFormat="1" ht="11.25" x14ac:dyDescent="0.2">
      <c r="A116" s="56">
        <f t="shared" si="46"/>
        <v>45393</v>
      </c>
      <c r="B116" s="413">
        <f>'2023'!Wh/'2023'!Env_an*'2024'!Env_an</f>
        <v>33.068870447639597</v>
      </c>
      <c r="C116" s="868"/>
      <c r="D116" s="395">
        <f t="shared" si="25"/>
        <v>34.708949762331308</v>
      </c>
      <c r="E116" s="387">
        <f t="shared" si="47"/>
        <v>39.040582893652633</v>
      </c>
      <c r="F116" s="387">
        <f t="shared" si="26"/>
        <v>39.252379860247402</v>
      </c>
      <c r="G116" s="110">
        <f t="shared" si="48"/>
        <v>0.70377601859786798</v>
      </c>
      <c r="H116" s="416" t="b">
        <f>Wh_hp&gt;='2023'!Maxi_hp</f>
        <v>0</v>
      </c>
      <c r="I116" s="392">
        <f>IF(H116,Wh_hp,'2023'!Maxi_hp)</f>
        <v>55.421173257782392</v>
      </c>
      <c r="J116" s="85">
        <f>IF(H116,An,'2023'!An_max)</f>
        <v>2019</v>
      </c>
      <c r="K116" s="199">
        <f t="shared" si="27"/>
        <v>45393</v>
      </c>
      <c r="L116" s="147">
        <f>IF(t&lt;Tvie,1-EXP((T0-t)*PertePVj)+'2023'!Pspv,1-EXP((T0-t)*PertePVj)+Pspv)</f>
        <v>4.7252346323415462E-2</v>
      </c>
      <c r="M116" s="872"/>
      <c r="N116" s="872"/>
      <c r="O116" s="48">
        <f>IF(t&lt;Tnet,'2023'!Resal+('2023'!Salim-'2023'!Resal)*(1-EXP(('2023'!Tnet-t)/('2023'!Tau_j))),Resal+(Salim-Resal)*(1-EXP((Tnet-t)/(Tau_j))))*Salcycl</f>
        <v>0.11095206091365965</v>
      </c>
      <c r="P116" s="171">
        <f>(INDEX(Models!$BJ116:$BT116,,T116)*(1-R116)+INDEX(Models!$BJ116:$BT116,,T116+1)*R116-ERP_i)*Q116*Ramure*Pc/MaxiM</f>
        <v>9.2906365617832047E-3</v>
      </c>
      <c r="Q116" s="307">
        <f t="shared" si="28"/>
        <v>0.9</v>
      </c>
      <c r="R116" s="179">
        <f t="shared" si="29"/>
        <v>0.15648998386165514</v>
      </c>
      <c r="S116" s="839">
        <f t="shared" si="30"/>
        <v>1</v>
      </c>
      <c r="T116" s="178">
        <f t="shared" si="31"/>
        <v>7</v>
      </c>
      <c r="U116" s="253">
        <f t="shared" si="32"/>
        <v>1.1564899838616551</v>
      </c>
      <c r="V116" s="385">
        <f t="shared" si="33"/>
        <v>46.803772975101509</v>
      </c>
      <c r="W116" s="404">
        <f t="shared" si="34"/>
        <v>33.068870447639597</v>
      </c>
      <c r="X116" s="157">
        <f t="shared" si="35"/>
        <v>45393</v>
      </c>
      <c r="Y116" s="387">
        <f t="shared" si="36"/>
        <v>30.671429131895572</v>
      </c>
      <c r="Z116" s="387">
        <f t="shared" si="37"/>
        <v>32.192605264926904</v>
      </c>
      <c r="AA116" s="388">
        <f t="shared" si="38"/>
        <v>39.040582893652633</v>
      </c>
      <c r="AB116" s="199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0.17540664409083664</v>
      </c>
      <c r="AD116" s="233">
        <f>(INDEX(Models!$BJ116:$BT116,,AH116)*(1-AF116)+INDEX(Models!$BJ116:$BT116,,AH116+1)*AF116-ERP_i)*AE116*Ramure*Pc/MaxiM</f>
        <v>9.2906365617832047E-3</v>
      </c>
      <c r="AE116" s="307">
        <f t="shared" si="40"/>
        <v>0.9</v>
      </c>
      <c r="AF116" s="179">
        <f t="shared" si="41"/>
        <v>0.15648998386165514</v>
      </c>
      <c r="AG116" s="839">
        <f t="shared" si="49"/>
        <v>1</v>
      </c>
      <c r="AH116" s="178">
        <f t="shared" si="42"/>
        <v>7</v>
      </c>
      <c r="AI116" s="227">
        <f t="shared" si="43"/>
        <v>1.1564899838616551</v>
      </c>
      <c r="AJ116" s="267" t="b">
        <f t="shared" si="44"/>
        <v>1</v>
      </c>
      <c r="AK116" s="267" t="b">
        <f t="shared" si="45"/>
        <v>0</v>
      </c>
      <c r="AL116" s="267"/>
      <c r="AM116" s="267"/>
      <c r="AN116" s="75"/>
    </row>
    <row r="117" spans="1:40" s="6" customFormat="1" ht="11.25" x14ac:dyDescent="0.2">
      <c r="A117" s="56">
        <f t="shared" si="46"/>
        <v>45394</v>
      </c>
      <c r="B117" s="413">
        <f>'2023'!Wh/'2023'!Env_an*'2024'!Env_an</f>
        <v>7.2889672296002157</v>
      </c>
      <c r="C117" s="868"/>
      <c r="D117" s="395">
        <f t="shared" si="25"/>
        <v>7.6506479237554688</v>
      </c>
      <c r="E117" s="387">
        <f t="shared" si="47"/>
        <v>8.6070132771312995</v>
      </c>
      <c r="F117" s="387">
        <f t="shared" si="26"/>
        <v>8.6070132771312995</v>
      </c>
      <c r="G117" s="110">
        <f t="shared" si="48"/>
        <v>0.15334988160726776</v>
      </c>
      <c r="H117" s="416" t="b">
        <f>Wh_hp&gt;='2023'!Maxi_hp</f>
        <v>0</v>
      </c>
      <c r="I117" s="392">
        <f>IF(H117,Wh_hp,'2023'!Maxi_hp)</f>
        <v>56.406019342238785</v>
      </c>
      <c r="J117" s="85">
        <f>IF(H117,An,'2023'!An_max)</f>
        <v>2019</v>
      </c>
      <c r="K117" s="199">
        <f t="shared" si="27"/>
        <v>45394</v>
      </c>
      <c r="L117" s="147">
        <f>IF(t&lt;Tvie,1-EXP((T0-t)*PertePVj)+'2023'!Pspv,1-EXP((T0-t)*PertePVj)+Pspv)</f>
        <v>4.7274518153191281E-2</v>
      </c>
      <c r="M117" s="872"/>
      <c r="N117" s="872"/>
      <c r="O117" s="48">
        <f>IF(t&lt;Tnet,'2023'!Resal+('2023'!Salim-'2023'!Resal)*(1-EXP(('2023'!Tnet-t)/('2023'!Tau_j))),Resal+(Salim-Resal)*(1-EXP((Tnet-t)/(Tau_j))))*Salcycl</f>
        <v>0.11111465993864311</v>
      </c>
      <c r="P117" s="171">
        <f>(INDEX(Models!$BJ117:$BT117,,T117)*(1-R117)+INDEX(Models!$BJ117:$BT117,,T117+1)*R117-ERP_i)*Q117*Ramure*Pc/MaxiM</f>
        <v>9.0896238352904078E-3</v>
      </c>
      <c r="Q117" s="307">
        <f t="shared" si="28"/>
        <v>0.9</v>
      </c>
      <c r="R117" s="179">
        <f t="shared" si="29"/>
        <v>0.15867996736774526</v>
      </c>
      <c r="S117" s="839">
        <f t="shared" si="30"/>
        <v>1</v>
      </c>
      <c r="T117" s="178">
        <f t="shared" si="31"/>
        <v>7</v>
      </c>
      <c r="U117" s="253">
        <f t="shared" si="32"/>
        <v>1.1586799673677453</v>
      </c>
      <c r="V117" s="385">
        <f t="shared" si="33"/>
        <v>47.099568539823913</v>
      </c>
      <c r="W117" s="404">
        <f t="shared" si="34"/>
        <v>7.2889672296002157</v>
      </c>
      <c r="X117" s="157">
        <f t="shared" si="35"/>
        <v>45394</v>
      </c>
      <c r="Y117" s="387">
        <f t="shared" si="36"/>
        <v>6.7608121863235473</v>
      </c>
      <c r="Z117" s="387">
        <f t="shared" si="37"/>
        <v>7.0962856721519243</v>
      </c>
      <c r="AA117" s="388">
        <f t="shared" si="38"/>
        <v>8.6070132771312995</v>
      </c>
      <c r="AB117" s="199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0.17552286215165422</v>
      </c>
      <c r="AD117" s="233">
        <f>(INDEX(Models!$BJ117:$BT117,,AH117)*(1-AF117)+INDEX(Models!$BJ117:$BT117,,AH117+1)*AF117-ERP_i)*AE117*Ramure*Pc/MaxiM</f>
        <v>9.0896238352904078E-3</v>
      </c>
      <c r="AE117" s="307">
        <f t="shared" si="40"/>
        <v>0.9</v>
      </c>
      <c r="AF117" s="179">
        <f t="shared" si="41"/>
        <v>0.15867996736774526</v>
      </c>
      <c r="AG117" s="839">
        <f t="shared" si="49"/>
        <v>1</v>
      </c>
      <c r="AH117" s="178">
        <f t="shared" si="42"/>
        <v>7</v>
      </c>
      <c r="AI117" s="227">
        <f t="shared" si="43"/>
        <v>1.1586799673677453</v>
      </c>
      <c r="AJ117" s="267" t="b">
        <f t="shared" si="44"/>
        <v>1</v>
      </c>
      <c r="AK117" s="267" t="b">
        <f t="shared" si="45"/>
        <v>0</v>
      </c>
      <c r="AL117" s="267"/>
      <c r="AM117" s="267"/>
      <c r="AN117" s="75"/>
    </row>
    <row r="118" spans="1:40" s="6" customFormat="1" ht="11.25" x14ac:dyDescent="0.2">
      <c r="A118" s="56">
        <f t="shared" si="46"/>
        <v>45395</v>
      </c>
      <c r="B118" s="413">
        <f>'2023'!Wh/'2023'!Env_an*'2024'!Env_an</f>
        <v>35.640780088677552</v>
      </c>
      <c r="C118" s="868"/>
      <c r="D118" s="395">
        <f t="shared" si="25"/>
        <v>37.41015665069726</v>
      </c>
      <c r="E118" s="387">
        <f t="shared" si="47"/>
        <v>42.094387702995064</v>
      </c>
      <c r="F118" s="387">
        <f t="shared" si="26"/>
        <v>42.337314646586499</v>
      </c>
      <c r="G118" s="110">
        <f t="shared" si="48"/>
        <v>0.7497050949396703</v>
      </c>
      <c r="H118" s="416" t="b">
        <f>Wh_hp&gt;='2023'!Maxi_hp</f>
        <v>0</v>
      </c>
      <c r="I118" s="392">
        <f>IF(H118,Wh_hp,'2023'!Maxi_hp)</f>
        <v>56.154090506679154</v>
      </c>
      <c r="J118" s="85">
        <f>IF(H118,An,'2023'!An_max)</f>
        <v>2021</v>
      </c>
      <c r="K118" s="199">
        <f t="shared" si="27"/>
        <v>45395</v>
      </c>
      <c r="L118" s="147">
        <f>IF(t&lt;Tvie,1-EXP((T0-t)*PertePVj)+'2023'!Pspv,1-EXP((T0-t)*PertePVj)+Pspv)</f>
        <v>4.7296689466996167E-2</v>
      </c>
      <c r="M118" s="872"/>
      <c r="N118" s="872"/>
      <c r="O118" s="48">
        <f>IF(t&lt;Tnet,'2023'!Resal+('2023'!Salim-'2023'!Resal)*(1-EXP(('2023'!Tnet-t)/('2023'!Tau_j))),Resal+(Salim-Resal)*(1-EXP((Tnet-t)/(Tau_j))))*Salcycl</f>
        <v>0.11127923003295084</v>
      </c>
      <c r="P118" s="171">
        <f>(INDEX(Models!$BJ118:$BT118,,T118)*(1-R118)+INDEX(Models!$BJ118:$BT118,,T118+1)*R118-ERP_i)*Q118*Ramure*Pc/MaxiM</f>
        <v>8.8844409324760291E-3</v>
      </c>
      <c r="Q118" s="307">
        <f t="shared" si="28"/>
        <v>0.9</v>
      </c>
      <c r="R118" s="179">
        <f t="shared" si="29"/>
        <v>0.16094604079913433</v>
      </c>
      <c r="S118" s="839">
        <f t="shared" si="30"/>
        <v>1</v>
      </c>
      <c r="T118" s="178">
        <f t="shared" si="31"/>
        <v>7</v>
      </c>
      <c r="U118" s="253">
        <f t="shared" si="32"/>
        <v>1.1609460407991343</v>
      </c>
      <c r="V118" s="385">
        <f t="shared" si="33"/>
        <v>47.389283708700681</v>
      </c>
      <c r="W118" s="404">
        <f t="shared" si="34"/>
        <v>35.640780088677552</v>
      </c>
      <c r="X118" s="157">
        <f t="shared" si="35"/>
        <v>45395</v>
      </c>
      <c r="Y118" s="387">
        <f t="shared" si="36"/>
        <v>33.059600545164749</v>
      </c>
      <c r="Z118" s="387">
        <f t="shared" si="37"/>
        <v>34.700835170467784</v>
      </c>
      <c r="AA118" s="388">
        <f t="shared" si="38"/>
        <v>42.094387702995064</v>
      </c>
      <c r="AB118" s="199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0.17564223964234593</v>
      </c>
      <c r="AD118" s="233">
        <f>(INDEX(Models!$BJ118:$BT118,,AH118)*(1-AF118)+INDEX(Models!$BJ118:$BT118,,AH118+1)*AF118-ERP_i)*AE118*Ramure*Pc/MaxiM</f>
        <v>8.8844409324760291E-3</v>
      </c>
      <c r="AE118" s="307">
        <f t="shared" si="40"/>
        <v>0.9</v>
      </c>
      <c r="AF118" s="179">
        <f t="shared" si="41"/>
        <v>0.16094604079913433</v>
      </c>
      <c r="AG118" s="839">
        <f t="shared" si="49"/>
        <v>1</v>
      </c>
      <c r="AH118" s="178">
        <f t="shared" si="42"/>
        <v>7</v>
      </c>
      <c r="AI118" s="227">
        <f t="shared" si="43"/>
        <v>1.1609460407991343</v>
      </c>
      <c r="AJ118" s="267" t="b">
        <f t="shared" si="44"/>
        <v>1</v>
      </c>
      <c r="AK118" s="267" t="b">
        <f t="shared" si="45"/>
        <v>0</v>
      </c>
      <c r="AL118" s="267"/>
      <c r="AM118" s="267"/>
      <c r="AN118" s="75"/>
    </row>
    <row r="119" spans="1:40" s="6" customFormat="1" ht="11.25" x14ac:dyDescent="0.2">
      <c r="A119" s="56">
        <f t="shared" si="46"/>
        <v>45396</v>
      </c>
      <c r="B119" s="413">
        <f>'2023'!Wh/'2023'!Env_an*'2024'!Env_an</f>
        <v>39.577369933235772</v>
      </c>
      <c r="C119" s="868"/>
      <c r="D119" s="395">
        <f t="shared" si="25"/>
        <v>41.543144167038044</v>
      </c>
      <c r="E119" s="387">
        <f t="shared" si="47"/>
        <v>46.753641569509384</v>
      </c>
      <c r="F119" s="387">
        <f t="shared" si="26"/>
        <v>47.062876096345491</v>
      </c>
      <c r="G119" s="110">
        <f t="shared" si="48"/>
        <v>0.82843188166456583</v>
      </c>
      <c r="H119" s="416" t="b">
        <f>Wh_hp&gt;='2023'!Maxi_hp</f>
        <v>0</v>
      </c>
      <c r="I119" s="392">
        <f>IF(H119,Wh_hp,'2023'!Maxi_hp)</f>
        <v>56.104027308625504</v>
      </c>
      <c r="J119" s="85">
        <f>IF(H119,An,'2023'!An_max)</f>
        <v>2021</v>
      </c>
      <c r="K119" s="199">
        <f t="shared" si="27"/>
        <v>45396</v>
      </c>
      <c r="L119" s="147">
        <f>IF(t&lt;Tvie,1-EXP((T0-t)*PertePVj)+'2023'!Pspv,1-EXP((T0-t)*PertePVj)+Pspv)</f>
        <v>4.7318860264842222E-2</v>
      </c>
      <c r="M119" s="872"/>
      <c r="N119" s="872"/>
      <c r="O119" s="48">
        <f>IF(t&lt;Tnet,'2023'!Resal+('2023'!Salim-'2023'!Resal)*(1-EXP(('2023'!Tnet-t)/('2023'!Tau_j))),Resal+(Salim-Resal)*(1-EXP((Tnet-t)/(Tau_j))))*Salcycl</f>
        <v>0.11144580887297977</v>
      </c>
      <c r="P119" s="171">
        <f>(INDEX(Models!$BJ119:$BT119,,T119)*(1-R119)+INDEX(Models!$BJ119:$BT119,,T119+1)*R119-ERP_i)*Q119*Ramure*Pc/MaxiM</f>
        <v>8.6751218489200047E-3</v>
      </c>
      <c r="Q119" s="307">
        <f t="shared" si="28"/>
        <v>0.9</v>
      </c>
      <c r="R119" s="179">
        <f t="shared" si="29"/>
        <v>0.16329022503247836</v>
      </c>
      <c r="S119" s="839">
        <f t="shared" si="30"/>
        <v>1</v>
      </c>
      <c r="T119" s="178">
        <f t="shared" si="31"/>
        <v>7</v>
      </c>
      <c r="U119" s="253">
        <f t="shared" si="32"/>
        <v>1.1632902250324784</v>
      </c>
      <c r="V119" s="385">
        <f t="shared" si="33"/>
        <v>47.672634492292786</v>
      </c>
      <c r="W119" s="404">
        <f t="shared" si="34"/>
        <v>39.577369933235772</v>
      </c>
      <c r="X119" s="157">
        <f t="shared" si="35"/>
        <v>45396</v>
      </c>
      <c r="Y119" s="387">
        <f t="shared" si="36"/>
        <v>36.712516383050051</v>
      </c>
      <c r="Z119" s="387">
        <f t="shared" si="37"/>
        <v>38.535995782656101</v>
      </c>
      <c r="AA119" s="388">
        <f t="shared" si="38"/>
        <v>46.753641569509384</v>
      </c>
      <c r="AB119" s="199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0.1757648283853136</v>
      </c>
      <c r="AD119" s="233">
        <f>(INDEX(Models!$BJ119:$BT119,,AH119)*(1-AF119)+INDEX(Models!$BJ119:$BT119,,AH119+1)*AF119-ERP_i)*AE119*Ramure*Pc/MaxiM</f>
        <v>8.6751218489200047E-3</v>
      </c>
      <c r="AE119" s="307">
        <f t="shared" si="40"/>
        <v>0.9</v>
      </c>
      <c r="AF119" s="179">
        <f t="shared" si="41"/>
        <v>0.16329022503247836</v>
      </c>
      <c r="AG119" s="839">
        <f t="shared" si="49"/>
        <v>1</v>
      </c>
      <c r="AH119" s="178">
        <f t="shared" si="42"/>
        <v>7</v>
      </c>
      <c r="AI119" s="227">
        <f t="shared" si="43"/>
        <v>1.1632902250324784</v>
      </c>
      <c r="AJ119" s="267" t="b">
        <f t="shared" si="44"/>
        <v>1</v>
      </c>
      <c r="AK119" s="267" t="b">
        <f t="shared" si="45"/>
        <v>0</v>
      </c>
      <c r="AL119" s="267"/>
      <c r="AM119" s="267"/>
      <c r="AN119" s="75"/>
    </row>
    <row r="120" spans="1:40" s="6" customFormat="1" ht="11.25" x14ac:dyDescent="0.2">
      <c r="A120" s="56">
        <f t="shared" si="46"/>
        <v>45397</v>
      </c>
      <c r="B120" s="413">
        <f>'2023'!Wh/'2023'!Env_an*'2024'!Env_an</f>
        <v>42.443797369505781</v>
      </c>
      <c r="C120" s="868"/>
      <c r="D120" s="395">
        <f t="shared" si="25"/>
        <v>44.552981424050145</v>
      </c>
      <c r="E120" s="387">
        <f t="shared" si="47"/>
        <v>50.150501105873012</v>
      </c>
      <c r="F120" s="387">
        <f t="shared" si="26"/>
        <v>50.507779619457537</v>
      </c>
      <c r="G120" s="110">
        <f t="shared" si="48"/>
        <v>0.88394271567864391</v>
      </c>
      <c r="H120" s="416" t="b">
        <f>Wh_hp&gt;='2023'!Maxi_hp</f>
        <v>0</v>
      </c>
      <c r="I120" s="392">
        <f>IF(H120,Wh_hp,'2023'!Maxi_hp)</f>
        <v>50.539575554586463</v>
      </c>
      <c r="J120" s="85">
        <f>IF(H120,An,'2023'!An_max)</f>
        <v>2022</v>
      </c>
      <c r="K120" s="199">
        <f t="shared" si="27"/>
        <v>45397</v>
      </c>
      <c r="L120" s="147">
        <f>IF(t&lt;Tvie,1-EXP((T0-t)*PertePVj)+'2023'!Pspv,1-EXP((T0-t)*PertePVj)+Pspv)</f>
        <v>4.7341030546741436E-2</v>
      </c>
      <c r="M120" s="872"/>
      <c r="N120" s="872"/>
      <c r="O120" s="48">
        <f>IF(t&lt;Tnet,'2023'!Resal+('2023'!Salim-'2023'!Resal)*(1-EXP(('2023'!Tnet-t)/('2023'!Tau_j))),Resal+(Salim-Resal)*(1-EXP((Tnet-t)/(Tau_j))))*Salcycl</f>
        <v>0.1116144317283273</v>
      </c>
      <c r="P120" s="171">
        <f>(INDEX(Models!$BJ120:$BT120,,T120)*(1-R120)+INDEX(Models!$BJ120:$BT120,,T120+1)*R120-ERP_i)*Q120*Ramure*Pc/MaxiM</f>
        <v>8.4616906109322137E-3</v>
      </c>
      <c r="Q120" s="307">
        <f t="shared" si="28"/>
        <v>0.9</v>
      </c>
      <c r="R120" s="179">
        <f t="shared" si="29"/>
        <v>0.16571454619557779</v>
      </c>
      <c r="S120" s="839">
        <f t="shared" si="30"/>
        <v>1</v>
      </c>
      <c r="T120" s="178">
        <f t="shared" si="31"/>
        <v>7</v>
      </c>
      <c r="U120" s="253">
        <f t="shared" si="32"/>
        <v>1.1657145461955778</v>
      </c>
      <c r="V120" s="385">
        <f t="shared" si="33"/>
        <v>47.949337342579547</v>
      </c>
      <c r="W120" s="404">
        <f t="shared" si="34"/>
        <v>42.443797369505781</v>
      </c>
      <c r="X120" s="157">
        <f t="shared" si="35"/>
        <v>45397</v>
      </c>
      <c r="Y120" s="387">
        <f t="shared" si="36"/>
        <v>39.372914639697605</v>
      </c>
      <c r="Z120" s="387">
        <f t="shared" si="37"/>
        <v>41.329495551061839</v>
      </c>
      <c r="AA120" s="388">
        <f t="shared" si="38"/>
        <v>50.150501105873012</v>
      </c>
      <c r="AB120" s="199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0.17589067627039454</v>
      </c>
      <c r="AD120" s="233">
        <f>(INDEX(Models!$BJ120:$BT120,,AH120)*(1-AF120)+INDEX(Models!$BJ120:$BT120,,AH120+1)*AF120-ERP_i)*AE120*Ramure*Pc/MaxiM</f>
        <v>8.4616906109322137E-3</v>
      </c>
      <c r="AE120" s="307">
        <f t="shared" si="40"/>
        <v>0.9</v>
      </c>
      <c r="AF120" s="179">
        <f t="shared" si="41"/>
        <v>0.16571454619557779</v>
      </c>
      <c r="AG120" s="839">
        <f t="shared" si="49"/>
        <v>1</v>
      </c>
      <c r="AH120" s="178">
        <f t="shared" si="42"/>
        <v>7</v>
      </c>
      <c r="AI120" s="227">
        <f t="shared" si="43"/>
        <v>1.1657145461955778</v>
      </c>
      <c r="AJ120" s="267" t="b">
        <f t="shared" si="44"/>
        <v>1</v>
      </c>
      <c r="AK120" s="267" t="b">
        <f t="shared" si="45"/>
        <v>0</v>
      </c>
      <c r="AL120" s="267"/>
      <c r="AM120" s="267"/>
      <c r="AN120" s="75"/>
    </row>
    <row r="121" spans="1:40" s="6" customFormat="1" ht="11.25" x14ac:dyDescent="0.2">
      <c r="A121" s="56">
        <f t="shared" si="46"/>
        <v>45398</v>
      </c>
      <c r="B121" s="413">
        <f>'2023'!Wh/'2023'!Env_an*'2024'!Env_an</f>
        <v>48.182344250268727</v>
      </c>
      <c r="C121" s="868"/>
      <c r="D121" s="395">
        <f t="shared" si="25"/>
        <v>50.577874239253326</v>
      </c>
      <c r="E121" s="387">
        <f t="shared" si="47"/>
        <v>56.943287062491983</v>
      </c>
      <c r="F121" s="387">
        <f t="shared" si="26"/>
        <v>57.416087488802624</v>
      </c>
      <c r="G121" s="110">
        <f t="shared" si="48"/>
        <v>0.99920068933427719</v>
      </c>
      <c r="H121" s="416" t="b">
        <f>Wh_hp&gt;='2023'!Maxi_hp</f>
        <v>0</v>
      </c>
      <c r="I121" s="392">
        <f>IF(H121,Wh_hp,'2023'!Maxi_hp)</f>
        <v>57.416331755569935</v>
      </c>
      <c r="J121" s="85">
        <f>IF(H121,An,'2023'!An_max)</f>
        <v>2022</v>
      </c>
      <c r="K121" s="199">
        <f t="shared" si="27"/>
        <v>45398</v>
      </c>
      <c r="L121" s="147">
        <f>IF(t&lt;Tvie,1-EXP((T0-t)*PertePVj)+'2023'!Pspv,1-EXP((T0-t)*PertePVj)+Pspv)</f>
        <v>4.73632003127058E-2</v>
      </c>
      <c r="M121" s="872"/>
      <c r="N121" s="872"/>
      <c r="O121" s="48">
        <f>IF(t&lt;Tnet,'2023'!Resal+('2023'!Salim-'2023'!Resal)*(1-EXP(('2023'!Tnet-t)/('2023'!Tau_j))),Resal+(Salim-Resal)*(1-EXP((Tnet-t)/(Tau_j))))*Salcycl</f>
        <v>0.11178513134046826</v>
      </c>
      <c r="P121" s="171">
        <f>(INDEX(Models!$BJ121:$BT121,,T121)*(1-R121)+INDEX(Models!$BJ121:$BT121,,T121+1)*R121-ERP_i)*Q121*Ramure*Pc/MaxiM</f>
        <v>8.2439364429177722E-3</v>
      </c>
      <c r="Q121" s="307">
        <f t="shared" si="28"/>
        <v>0.9</v>
      </c>
      <c r="R121" s="179">
        <f t="shared" si="29"/>
        <v>0.16822103134412525</v>
      </c>
      <c r="S121" s="839">
        <f t="shared" si="30"/>
        <v>1</v>
      </c>
      <c r="T121" s="178">
        <f t="shared" si="31"/>
        <v>7</v>
      </c>
      <c r="U121" s="253">
        <f t="shared" si="32"/>
        <v>1.1682210313441252</v>
      </c>
      <c r="V121" s="385">
        <f t="shared" si="33"/>
        <v>48.220435389818128</v>
      </c>
      <c r="W121" s="404">
        <f t="shared" si="34"/>
        <v>48.182344250268727</v>
      </c>
      <c r="X121" s="157">
        <f t="shared" si="35"/>
        <v>45398</v>
      </c>
      <c r="Y121" s="387">
        <f t="shared" si="36"/>
        <v>44.697851553579675</v>
      </c>
      <c r="Z121" s="387">
        <f t="shared" si="37"/>
        <v>46.920139520383714</v>
      </c>
      <c r="AA121" s="388">
        <f t="shared" si="38"/>
        <v>56.943287062491983</v>
      </c>
      <c r="AB121" s="199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0.17601982708002856</v>
      </c>
      <c r="AD121" s="233">
        <f>(INDEX(Models!$BJ121:$BT121,,AH121)*(1-AF121)+INDEX(Models!$BJ121:$BT121,,AH121+1)*AF121-ERP_i)*AE121*Ramure*Pc/MaxiM</f>
        <v>8.2439364429177722E-3</v>
      </c>
      <c r="AE121" s="307">
        <f t="shared" si="40"/>
        <v>0.9</v>
      </c>
      <c r="AF121" s="179">
        <f t="shared" si="41"/>
        <v>0.16822103134412525</v>
      </c>
      <c r="AG121" s="839">
        <f t="shared" si="49"/>
        <v>1</v>
      </c>
      <c r="AH121" s="178">
        <f t="shared" si="42"/>
        <v>7</v>
      </c>
      <c r="AI121" s="227">
        <f t="shared" si="43"/>
        <v>1.1682210313441252</v>
      </c>
      <c r="AJ121" s="267" t="b">
        <f t="shared" si="44"/>
        <v>1</v>
      </c>
      <c r="AK121" s="267" t="b">
        <f t="shared" si="45"/>
        <v>0</v>
      </c>
      <c r="AL121" s="267"/>
      <c r="AM121" s="267"/>
      <c r="AN121" s="75"/>
    </row>
    <row r="122" spans="1:40" s="18" customFormat="1" ht="11.25" x14ac:dyDescent="0.2">
      <c r="A122" s="56">
        <f t="shared" si="46"/>
        <v>45399</v>
      </c>
      <c r="B122" s="413">
        <f>'2023'!Wh/'2023'!Env_an*'2024'!Env_an</f>
        <v>38.719802682953286</v>
      </c>
      <c r="C122" s="868"/>
      <c r="D122" s="395">
        <f t="shared" si="25"/>
        <v>40.645819879105566</v>
      </c>
      <c r="E122" s="387">
        <f t="shared" si="47"/>
        <v>45.770151673070778</v>
      </c>
      <c r="F122" s="387">
        <f t="shared" si="26"/>
        <v>46.033017659988971</v>
      </c>
      <c r="G122" s="110">
        <f t="shared" si="48"/>
        <v>0.79670466530781314</v>
      </c>
      <c r="H122" s="416" t="b">
        <f>Wh_hp&gt;='2023'!Maxi_hp</f>
        <v>0</v>
      </c>
      <c r="I122" s="392">
        <f>IF(H122,Wh_hp,'2023'!Maxi_hp)</f>
        <v>46.081902572381331</v>
      </c>
      <c r="J122" s="85">
        <f>IF(H122,An,'2023'!An_max)</f>
        <v>2022</v>
      </c>
      <c r="K122" s="199">
        <f t="shared" si="27"/>
        <v>45399</v>
      </c>
      <c r="L122" s="147">
        <f>IF(t&lt;Tvie,1-EXP((T0-t)*PertePVj)+'2023'!Pspv,1-EXP((T0-t)*PertePVj)+Pspv)</f>
        <v>4.7385369562747304E-2</v>
      </c>
      <c r="M122" s="872"/>
      <c r="N122" s="872"/>
      <c r="O122" s="48">
        <f>IF(t&lt;Tnet,'2023'!Resal+('2023'!Salim-'2023'!Resal)*(1-EXP(('2023'!Tnet-t)/('2023'!Tau_j))),Resal+(Salim-Resal)*(1-EXP((Tnet-t)/(Tau_j))))*Salcycl</f>
        <v>0.11195793779683169</v>
      </c>
      <c r="P122" s="171">
        <f>(INDEX(Models!$BJ122:$BT122,,T122)*(1-R122)+INDEX(Models!$BJ122:$BT122,,T122+1)*R122-ERP_i)*Q122*Ramure*Pc/MaxiM</f>
        <v>8.0176579474361218E-3</v>
      </c>
      <c r="Q122" s="307">
        <f t="shared" si="28"/>
        <v>0.9</v>
      </c>
      <c r="R122" s="179">
        <f t="shared" si="29"/>
        <v>0.17081170379593735</v>
      </c>
      <c r="S122" s="839">
        <f t="shared" si="30"/>
        <v>1</v>
      </c>
      <c r="T122" s="178">
        <f t="shared" si="31"/>
        <v>7</v>
      </c>
      <c r="U122" s="253">
        <f t="shared" si="32"/>
        <v>1.1708117037959374</v>
      </c>
      <c r="V122" s="385">
        <f t="shared" si="33"/>
        <v>48.487167086325151</v>
      </c>
      <c r="W122" s="404">
        <f t="shared" si="34"/>
        <v>38.719802682953286</v>
      </c>
      <c r="X122" s="157">
        <f t="shared" si="35"/>
        <v>45399</v>
      </c>
      <c r="Y122" s="387">
        <f t="shared" si="36"/>
        <v>35.920843117887728</v>
      </c>
      <c r="Z122" s="387">
        <f t="shared" si="37"/>
        <v>37.707633255013064</v>
      </c>
      <c r="AA122" s="388">
        <f t="shared" si="38"/>
        <v>45.770151673070778</v>
      </c>
      <c r="AB122" s="199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0.17615232030793901</v>
      </c>
      <c r="AD122" s="233">
        <f>(INDEX(Models!$BJ122:$BT122,,AH122)*(1-AF122)+INDEX(Models!$BJ122:$BT122,,AH122+1)*AF122-ERP_i)*AE122*Ramure*Pc/MaxiM</f>
        <v>8.0176579474361218E-3</v>
      </c>
      <c r="AE122" s="307">
        <f t="shared" si="40"/>
        <v>0.9</v>
      </c>
      <c r="AF122" s="179">
        <f t="shared" si="41"/>
        <v>0.17081170379593735</v>
      </c>
      <c r="AG122" s="839">
        <f t="shared" si="49"/>
        <v>1</v>
      </c>
      <c r="AH122" s="178">
        <f t="shared" si="42"/>
        <v>7</v>
      </c>
      <c r="AI122" s="227">
        <f t="shared" si="43"/>
        <v>1.1708117037959374</v>
      </c>
      <c r="AJ122" s="267" t="b">
        <f t="shared" si="44"/>
        <v>1</v>
      </c>
      <c r="AK122" s="267" t="b">
        <f t="shared" si="45"/>
        <v>0</v>
      </c>
      <c r="AL122" s="267"/>
      <c r="AM122" s="267"/>
      <c r="AN122" s="267"/>
    </row>
    <row r="123" spans="1:40" s="18" customFormat="1" ht="11.25" x14ac:dyDescent="0.2">
      <c r="A123" s="56">
        <f t="shared" si="46"/>
        <v>45400</v>
      </c>
      <c r="B123" s="413">
        <f>'2023'!Wh/'2023'!Env_an*'2024'!Env_an</f>
        <v>10.580670730158621</v>
      </c>
      <c r="C123" s="868"/>
      <c r="D123" s="395">
        <f t="shared" si="25"/>
        <v>11.107237518173974</v>
      </c>
      <c r="E123" s="387">
        <f t="shared" si="47"/>
        <v>12.51002233099674</v>
      </c>
      <c r="F123" s="387">
        <f t="shared" si="26"/>
        <v>12.51002233099674</v>
      </c>
      <c r="G123" s="110">
        <f t="shared" si="48"/>
        <v>0.21535351108958961</v>
      </c>
      <c r="H123" s="416" t="b">
        <f>Wh_hp&gt;='2023'!Maxi_hp</f>
        <v>0</v>
      </c>
      <c r="I123" s="392">
        <f>IF(H123,Wh_hp,'2023'!Maxi_hp)</f>
        <v>56.480000775881308</v>
      </c>
      <c r="J123" s="85">
        <f>IF(H123,An,'2023'!An_max)</f>
        <v>2021</v>
      </c>
      <c r="K123" s="199">
        <f t="shared" si="27"/>
        <v>45400</v>
      </c>
      <c r="L123" s="147">
        <f>IF(t&lt;Tvie,1-EXP((T0-t)*PertePVj)+'2023'!Pspv,1-EXP((T0-t)*PertePVj)+Pspv)</f>
        <v>4.7407538296878049E-2</v>
      </c>
      <c r="M123" s="872"/>
      <c r="N123" s="872"/>
      <c r="O123" s="48">
        <f>IF(t&lt;Tnet,'2023'!Resal+('2023'!Salim-'2023'!Resal)*(1-EXP(('2023'!Tnet-t)/('2023'!Tau_j))),Resal+(Salim-Resal)*(1-EXP((Tnet-t)/(Tau_j))))*Salcycl</f>
        <v>0.11213287839998597</v>
      </c>
      <c r="P123" s="171">
        <f>(INDEX(Models!$BJ123:$BT123,,T123)*(1-R123)+INDEX(Models!$BJ123:$BT123,,T123+1)*R123-ERP_i)*Q123*Ramure*Pc/MaxiM</f>
        <v>7.7862905564717866E-3</v>
      </c>
      <c r="Q123" s="307">
        <f t="shared" si="28"/>
        <v>0.9</v>
      </c>
      <c r="R123" s="179">
        <f t="shared" si="29"/>
        <v>0.17348857811442886</v>
      </c>
      <c r="S123" s="839">
        <f t="shared" si="30"/>
        <v>1</v>
      </c>
      <c r="T123" s="178">
        <f t="shared" si="31"/>
        <v>7</v>
      </c>
      <c r="U123" s="253">
        <f t="shared" si="32"/>
        <v>1.1734885781144289</v>
      </c>
      <c r="V123" s="385">
        <f t="shared" si="33"/>
        <v>48.749084704747794</v>
      </c>
      <c r="W123" s="404">
        <f t="shared" si="34"/>
        <v>10.580670730158621</v>
      </c>
      <c r="X123" s="157">
        <f t="shared" si="35"/>
        <v>45400</v>
      </c>
      <c r="Y123" s="387">
        <f t="shared" si="36"/>
        <v>9.8161348875879906</v>
      </c>
      <c r="Z123" s="387">
        <f t="shared" si="37"/>
        <v>10.304653125259788</v>
      </c>
      <c r="AA123" s="388">
        <f t="shared" si="38"/>
        <v>12.51002233099674</v>
      </c>
      <c r="AB123" s="199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0.17628819097089804</v>
      </c>
      <c r="AD123" s="233">
        <f>(INDEX(Models!$BJ123:$BT123,,AH123)*(1-AF123)+INDEX(Models!$BJ123:$BT123,,AH123+1)*AF123-ERP_i)*AE123*Ramure*Pc/MaxiM</f>
        <v>7.7862905564717866E-3</v>
      </c>
      <c r="AE123" s="307">
        <f t="shared" si="40"/>
        <v>0.9</v>
      </c>
      <c r="AF123" s="179">
        <f t="shared" si="41"/>
        <v>0.17348857811442886</v>
      </c>
      <c r="AG123" s="839">
        <f t="shared" si="49"/>
        <v>1</v>
      </c>
      <c r="AH123" s="178">
        <f t="shared" si="42"/>
        <v>7</v>
      </c>
      <c r="AI123" s="227">
        <f t="shared" si="43"/>
        <v>1.1734885781144289</v>
      </c>
      <c r="AJ123" s="267" t="b">
        <f t="shared" si="44"/>
        <v>1</v>
      </c>
      <c r="AK123" s="267" t="b">
        <f t="shared" si="45"/>
        <v>0</v>
      </c>
      <c r="AL123" s="267"/>
      <c r="AM123" s="267"/>
      <c r="AN123" s="267"/>
    </row>
    <row r="124" spans="1:40" s="6" customFormat="1" ht="11.25" x14ac:dyDescent="0.2">
      <c r="A124" s="56">
        <f t="shared" si="46"/>
        <v>45401</v>
      </c>
      <c r="B124" s="413">
        <f>'2023'!Wh/'2023'!Env_an*'2024'!Env_an</f>
        <v>9.9894699740179469</v>
      </c>
      <c r="C124" s="868"/>
      <c r="D124" s="395">
        <f t="shared" si="25"/>
        <v>10.48685859966554</v>
      </c>
      <c r="E124" s="387">
        <f t="shared" si="47"/>
        <v>11.813649285486804</v>
      </c>
      <c r="F124" s="387">
        <f t="shared" si="26"/>
        <v>11.813649285486804</v>
      </c>
      <c r="G124" s="110">
        <f t="shared" si="48"/>
        <v>0.20230318758263502</v>
      </c>
      <c r="H124" s="416" t="b">
        <f>Wh_hp&gt;='2023'!Maxi_hp</f>
        <v>0</v>
      </c>
      <c r="I124" s="392">
        <f>IF(H124,Wh_hp,'2023'!Maxi_hp)</f>
        <v>48.589941916916572</v>
      </c>
      <c r="J124" s="85">
        <f>IF(H124,An,'2023'!An_max)</f>
        <v>2019</v>
      </c>
      <c r="K124" s="199">
        <f t="shared" si="27"/>
        <v>45401</v>
      </c>
      <c r="L124" s="147">
        <f>IF(t&lt;Tvie,1-EXP((T0-t)*PertePVj)+'2023'!Pspv,1-EXP((T0-t)*PertePVj)+Pspv)</f>
        <v>4.7429706515109915E-2</v>
      </c>
      <c r="M124" s="872"/>
      <c r="N124" s="872"/>
      <c r="O124" s="48">
        <f>IF(t&lt;Tnet,'2023'!Resal+('2023'!Salim-'2023'!Resal)*(1-EXP(('2023'!Tnet-t)/('2023'!Tau_j))),Resal+(Salim-Resal)*(1-EXP((Tnet-t)/(Tau_j))))*Salcycl</f>
        <v>0.11230997753177255</v>
      </c>
      <c r="P124" s="171">
        <f>(INDEX(Models!$BJ124:$BT124,,T124)*(1-R124)+INDEX(Models!$BJ124:$BT124,,T124+1)*R124-ERP_i)*Q124*Ramure*Pc/MaxiM</f>
        <v>7.5498612511607725E-3</v>
      </c>
      <c r="Q124" s="307">
        <f t="shared" si="28"/>
        <v>0.9</v>
      </c>
      <c r="R124" s="179">
        <f t="shared" si="29"/>
        <v>0.17625365473456589</v>
      </c>
      <c r="S124" s="839">
        <f t="shared" si="30"/>
        <v>1</v>
      </c>
      <c r="T124" s="178">
        <f t="shared" si="31"/>
        <v>7</v>
      </c>
      <c r="U124" s="253">
        <f t="shared" si="32"/>
        <v>1.1762536547345659</v>
      </c>
      <c r="V124" s="385">
        <f t="shared" si="33"/>
        <v>49.005905345371147</v>
      </c>
      <c r="W124" s="404">
        <f t="shared" si="34"/>
        <v>9.9894699740179469</v>
      </c>
      <c r="X124" s="157">
        <f t="shared" si="35"/>
        <v>45401</v>
      </c>
      <c r="Y124" s="387">
        <f t="shared" si="36"/>
        <v>9.2679345914532565</v>
      </c>
      <c r="Z124" s="387">
        <f t="shared" si="37"/>
        <v>9.7293970375114025</v>
      </c>
      <c r="AA124" s="388">
        <f t="shared" si="38"/>
        <v>11.813649285486804</v>
      </c>
      <c r="AB124" s="199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0.17642746941336132</v>
      </c>
      <c r="AD124" s="233">
        <f>(INDEX(Models!$BJ124:$BT124,,AH124)*(1-AF124)+INDEX(Models!$BJ124:$BT124,,AH124+1)*AF124-ERP_i)*AE124*Ramure*Pc/MaxiM</f>
        <v>7.5498612511607725E-3</v>
      </c>
      <c r="AE124" s="307">
        <f t="shared" si="40"/>
        <v>0.9</v>
      </c>
      <c r="AF124" s="179">
        <f t="shared" si="41"/>
        <v>0.17625365473456589</v>
      </c>
      <c r="AG124" s="839">
        <f t="shared" si="49"/>
        <v>1</v>
      </c>
      <c r="AH124" s="178">
        <f t="shared" si="42"/>
        <v>7</v>
      </c>
      <c r="AI124" s="227">
        <f t="shared" si="43"/>
        <v>1.1762536547345659</v>
      </c>
      <c r="AJ124" s="267" t="b">
        <f t="shared" si="44"/>
        <v>1</v>
      </c>
      <c r="AK124" s="267" t="b">
        <f t="shared" si="45"/>
        <v>0</v>
      </c>
      <c r="AL124" s="267"/>
      <c r="AM124" s="267"/>
      <c r="AN124" s="75"/>
    </row>
    <row r="125" spans="1:40" s="6" customFormat="1" ht="11.25" x14ac:dyDescent="0.2">
      <c r="A125" s="56">
        <f t="shared" si="46"/>
        <v>45402</v>
      </c>
      <c r="B125" s="413">
        <f>'2023'!Wh/'2023'!Env_an*'2024'!Env_an</f>
        <v>9.5332240474171641</v>
      </c>
      <c r="C125" s="868"/>
      <c r="D125" s="395">
        <f t="shared" si="25"/>
        <v>10.008128502258458</v>
      </c>
      <c r="E125" s="387">
        <f t="shared" si="47"/>
        <v>11.276628002191599</v>
      </c>
      <c r="F125" s="387">
        <f t="shared" si="26"/>
        <v>11.276628002191599</v>
      </c>
      <c r="G125" s="110">
        <f t="shared" si="48"/>
        <v>0.19212467188478033</v>
      </c>
      <c r="H125" s="416" t="b">
        <f>Wh_hp&gt;='2023'!Maxi_hp</f>
        <v>0</v>
      </c>
      <c r="I125" s="392">
        <f>IF(H125,Wh_hp,'2023'!Maxi_hp)</f>
        <v>55.308374448877338</v>
      </c>
      <c r="J125" s="85">
        <f>IF(H125,An,'2023'!An_max)</f>
        <v>2021</v>
      </c>
      <c r="K125" s="199">
        <f t="shared" si="27"/>
        <v>45402</v>
      </c>
      <c r="L125" s="147">
        <f>IF(t&lt;Tvie,1-EXP((T0-t)*PertePVj)+'2023'!Pspv,1-EXP((T0-t)*PertePVj)+Pspv)</f>
        <v>4.7451874217454892E-2</v>
      </c>
      <c r="M125" s="872"/>
      <c r="N125" s="872"/>
      <c r="O125" s="48">
        <f>IF(t&lt;Tnet,'2023'!Resal+('2023'!Salim-'2023'!Resal)*(1-EXP(('2023'!Tnet-t)/('2023'!Tau_j))),Resal+(Salim-Resal)*(1-EXP((Tnet-t)/(Tau_j))))*Salcycl</f>
        <v>0.1124892565123731</v>
      </c>
      <c r="P125" s="171">
        <f>(INDEX(Models!$BJ125:$BT125,,T125)*(1-R125)+INDEX(Models!$BJ125:$BT125,,T125+1)*R125-ERP_i)*Q125*Ramure*Pc/MaxiM</f>
        <v>7.3084069668836122E-3</v>
      </c>
      <c r="Q125" s="307">
        <f t="shared" si="28"/>
        <v>0.9</v>
      </c>
      <c r="R125" s="179">
        <f t="shared" si="29"/>
        <v>0.1791089142262281</v>
      </c>
      <c r="S125" s="839">
        <f t="shared" si="30"/>
        <v>1</v>
      </c>
      <c r="T125" s="178">
        <f t="shared" si="31"/>
        <v>7</v>
      </c>
      <c r="U125" s="253">
        <f t="shared" si="32"/>
        <v>1.1791089142262281</v>
      </c>
      <c r="V125" s="385">
        <f t="shared" si="33"/>
        <v>49.257345626321097</v>
      </c>
      <c r="W125" s="404">
        <f t="shared" si="34"/>
        <v>9.5332240474171641</v>
      </c>
      <c r="X125" s="157">
        <f t="shared" si="35"/>
        <v>45402</v>
      </c>
      <c r="Y125" s="387">
        <f t="shared" si="36"/>
        <v>8.8448968178150214</v>
      </c>
      <c r="Z125" s="387">
        <f t="shared" si="37"/>
        <v>9.2855117535911269</v>
      </c>
      <c r="AA125" s="388">
        <f t="shared" si="38"/>
        <v>11.276628002191599</v>
      </c>
      <c r="AB125" s="199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0.17657018110498116</v>
      </c>
      <c r="AD125" s="233">
        <f>(INDEX(Models!$BJ125:$BT125,,AH125)*(1-AF125)+INDEX(Models!$BJ125:$BT125,,AH125+1)*AF125-ERP_i)*AE125*Ramure*Pc/MaxiM</f>
        <v>7.3084069668836122E-3</v>
      </c>
      <c r="AE125" s="307">
        <f t="shared" si="40"/>
        <v>0.9</v>
      </c>
      <c r="AF125" s="179">
        <f t="shared" si="41"/>
        <v>0.1791089142262281</v>
      </c>
      <c r="AG125" s="839">
        <f t="shared" si="49"/>
        <v>1</v>
      </c>
      <c r="AH125" s="178">
        <f t="shared" si="42"/>
        <v>7</v>
      </c>
      <c r="AI125" s="227">
        <f t="shared" si="43"/>
        <v>1.1791089142262281</v>
      </c>
      <c r="AJ125" s="267" t="b">
        <f t="shared" si="44"/>
        <v>1</v>
      </c>
      <c r="AK125" s="267" t="b">
        <f t="shared" si="45"/>
        <v>0</v>
      </c>
      <c r="AL125" s="267"/>
      <c r="AM125" s="267"/>
      <c r="AN125" s="75"/>
    </row>
    <row r="126" spans="1:40" s="6" customFormat="1" ht="11.25" x14ac:dyDescent="0.2">
      <c r="A126" s="56">
        <f t="shared" si="46"/>
        <v>45403</v>
      </c>
      <c r="B126" s="413">
        <f>'2023'!Wh/'2023'!Env_an*'2024'!Env_an</f>
        <v>28.83487666234539</v>
      </c>
      <c r="C126" s="868"/>
      <c r="D126" s="395">
        <f t="shared" si="25"/>
        <v>30.272011384177947</v>
      </c>
      <c r="E126" s="387">
        <f t="shared" si="47"/>
        <v>34.115871667379331</v>
      </c>
      <c r="F126" s="387">
        <f t="shared" si="26"/>
        <v>34.213375020965422</v>
      </c>
      <c r="G126" s="110">
        <f t="shared" si="48"/>
        <v>0.58002551736560726</v>
      </c>
      <c r="H126" s="416" t="b">
        <f>Wh_hp&gt;='2023'!Maxi_hp</f>
        <v>0</v>
      </c>
      <c r="I126" s="392">
        <f>IF(H126,Wh_hp,'2023'!Maxi_hp)</f>
        <v>59.256250971912621</v>
      </c>
      <c r="J126" s="85">
        <f>IF(H126,An,'2023'!An_max)</f>
        <v>2021</v>
      </c>
      <c r="K126" s="199">
        <f t="shared" si="27"/>
        <v>45403</v>
      </c>
      <c r="L126" s="147">
        <f>IF(t&lt;Tvie,1-EXP((T0-t)*PertePVj)+'2023'!Pspv,1-EXP((T0-t)*PertePVj)+Pspv)</f>
        <v>4.7474041403925082E-2</v>
      </c>
      <c r="M126" s="872"/>
      <c r="N126" s="872"/>
      <c r="O126" s="48">
        <f>IF(t&lt;Tnet,'2023'!Resal+('2023'!Salim-'2023'!Resal)*(1-EXP(('2023'!Tnet-t)/('2023'!Tau_j))),Resal+(Salim-Resal)*(1-EXP((Tnet-t)/(Tau_j))))*Salcycl</f>
        <v>0.11267073345444603</v>
      </c>
      <c r="P126" s="171">
        <f>(INDEX(Models!$BJ126:$BT126,,T126)*(1-R126)+INDEX(Models!$BJ126:$BT126,,T126+1)*R126-ERP_i)*Q126*Ramure*Pc/MaxiM</f>
        <v>7.0619514240538991E-3</v>
      </c>
      <c r="Q126" s="307">
        <f t="shared" si="28"/>
        <v>0.9</v>
      </c>
      <c r="R126" s="179">
        <f t="shared" si="29"/>
        <v>0.18205631119186361</v>
      </c>
      <c r="S126" s="839">
        <f t="shared" si="30"/>
        <v>1</v>
      </c>
      <c r="T126" s="178">
        <f t="shared" si="31"/>
        <v>7</v>
      </c>
      <c r="U126" s="253">
        <f t="shared" si="32"/>
        <v>1.1820563111918636</v>
      </c>
      <c r="V126" s="385">
        <f t="shared" si="33"/>
        <v>49.50312282366599</v>
      </c>
      <c r="W126" s="404">
        <f t="shared" si="34"/>
        <v>28.83487666234539</v>
      </c>
      <c r="X126" s="157">
        <f t="shared" si="35"/>
        <v>45403</v>
      </c>
      <c r="Y126" s="387">
        <f t="shared" si="36"/>
        <v>26.753634196242725</v>
      </c>
      <c r="Z126" s="387">
        <f t="shared" si="37"/>
        <v>28.08703947100279</v>
      </c>
      <c r="AA126" s="388">
        <f t="shared" si="38"/>
        <v>34.115871667379331</v>
      </c>
      <c r="AB126" s="199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0.17671634643124612</v>
      </c>
      <c r="AD126" s="233">
        <f>(INDEX(Models!$BJ126:$BT126,,AH126)*(1-AF126)+INDEX(Models!$BJ126:$BT126,,AH126+1)*AF126-ERP_i)*AE126*Ramure*Pc/MaxiM</f>
        <v>7.0619514240538991E-3</v>
      </c>
      <c r="AE126" s="307">
        <f t="shared" si="40"/>
        <v>0.9</v>
      </c>
      <c r="AF126" s="179">
        <f t="shared" si="41"/>
        <v>0.18205631119186361</v>
      </c>
      <c r="AG126" s="839">
        <f t="shared" si="49"/>
        <v>1</v>
      </c>
      <c r="AH126" s="178">
        <f t="shared" si="42"/>
        <v>7</v>
      </c>
      <c r="AI126" s="227">
        <f t="shared" si="43"/>
        <v>1.1820563111918636</v>
      </c>
      <c r="AJ126" s="267" t="b">
        <f t="shared" si="44"/>
        <v>1</v>
      </c>
      <c r="AK126" s="267" t="b">
        <f t="shared" si="45"/>
        <v>0</v>
      </c>
      <c r="AL126" s="267"/>
      <c r="AM126" s="267"/>
      <c r="AN126" s="75"/>
    </row>
    <row r="127" spans="1:40" s="6" customFormat="1" ht="11.25" x14ac:dyDescent="0.2">
      <c r="A127" s="56">
        <f t="shared" si="46"/>
        <v>45404</v>
      </c>
      <c r="B127" s="413">
        <f>'2023'!Wh/'2023'!Env_an*'2024'!Env_an</f>
        <v>8.3414202106702486</v>
      </c>
      <c r="C127" s="868"/>
      <c r="D127" s="395">
        <f t="shared" si="25"/>
        <v>8.7573616833674048</v>
      </c>
      <c r="E127" s="387">
        <f t="shared" si="47"/>
        <v>9.8713919243033033</v>
      </c>
      <c r="F127" s="387">
        <f t="shared" si="26"/>
        <v>9.8713919243033033</v>
      </c>
      <c r="G127" s="110">
        <f t="shared" si="48"/>
        <v>0.16654842762034472</v>
      </c>
      <c r="H127" s="416" t="b">
        <f>Wh_hp&gt;='2023'!Maxi_hp</f>
        <v>0</v>
      </c>
      <c r="I127" s="392">
        <f>IF(H127,Wh_hp,'2023'!Maxi_hp)</f>
        <v>58.448809737185101</v>
      </c>
      <c r="J127" s="85">
        <f>IF(H127,An,'2023'!An_max)</f>
        <v>2021</v>
      </c>
      <c r="K127" s="199">
        <f t="shared" si="27"/>
        <v>45404</v>
      </c>
      <c r="L127" s="147">
        <f>IF(t&lt;Tvie,1-EXP((T0-t)*PertePVj)+'2023'!Pspv,1-EXP((T0-t)*PertePVj)+Pspv)</f>
        <v>4.7496208074532476E-2</v>
      </c>
      <c r="M127" s="872"/>
      <c r="N127" s="872"/>
      <c r="O127" s="48">
        <f>IF(t&lt;Tnet,'2023'!Resal+('2023'!Salim-'2023'!Resal)*(1-EXP(('2023'!Tnet-t)/('2023'!Tau_j))),Resal+(Salim-Resal)*(1-EXP((Tnet-t)/(Tau_j))))*Salcycl</f>
        <v>0.11285442311262739</v>
      </c>
      <c r="P127" s="171">
        <f>(INDEX(Models!$BJ127:$BT127,,T127)*(1-R127)+INDEX(Models!$BJ127:$BT127,,T127+1)*R127-ERP_i)*Q127*Ramure*Pc/MaxiM</f>
        <v>6.8104851959710369E-3</v>
      </c>
      <c r="Q127" s="307">
        <f t="shared" si="28"/>
        <v>0.9</v>
      </c>
      <c r="R127" s="179">
        <f t="shared" si="29"/>
        <v>0.1850977677975103</v>
      </c>
      <c r="S127" s="839">
        <f t="shared" si="30"/>
        <v>1</v>
      </c>
      <c r="T127" s="178">
        <f t="shared" si="31"/>
        <v>7</v>
      </c>
      <c r="U127" s="253">
        <f t="shared" si="32"/>
        <v>1.1850977677975103</v>
      </c>
      <c r="V127" s="385">
        <f t="shared" si="33"/>
        <v>49.742955908880035</v>
      </c>
      <c r="W127" s="404">
        <f t="shared" si="34"/>
        <v>8.3414202106702486</v>
      </c>
      <c r="X127" s="157">
        <f t="shared" si="35"/>
        <v>45404</v>
      </c>
      <c r="Y127" s="387">
        <f t="shared" si="36"/>
        <v>7.7395490947760033</v>
      </c>
      <c r="Z127" s="387">
        <f t="shared" si="37"/>
        <v>8.1254785129313323</v>
      </c>
      <c r="AA127" s="388">
        <f t="shared" si="38"/>
        <v>9.8713919243033033</v>
      </c>
      <c r="AB127" s="199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0.1768659804777423</v>
      </c>
      <c r="AD127" s="233">
        <f>(INDEX(Models!$BJ127:$BT127,,AH127)*(1-AF127)+INDEX(Models!$BJ127:$BT127,,AH127+1)*AF127-ERP_i)*AE127*Ramure*Pc/MaxiM</f>
        <v>6.8104851959710369E-3</v>
      </c>
      <c r="AE127" s="307">
        <f t="shared" si="40"/>
        <v>0.9</v>
      </c>
      <c r="AF127" s="179">
        <f t="shared" si="41"/>
        <v>0.1850977677975103</v>
      </c>
      <c r="AG127" s="839">
        <f t="shared" si="49"/>
        <v>1</v>
      </c>
      <c r="AH127" s="178">
        <f t="shared" si="42"/>
        <v>7</v>
      </c>
      <c r="AI127" s="227">
        <f t="shared" si="43"/>
        <v>1.1850977677975103</v>
      </c>
      <c r="AJ127" s="267" t="b">
        <f t="shared" si="44"/>
        <v>1</v>
      </c>
      <c r="AK127" s="267" t="b">
        <f t="shared" si="45"/>
        <v>0</v>
      </c>
      <c r="AL127" s="267"/>
      <c r="AM127" s="267"/>
      <c r="AN127" s="75"/>
    </row>
    <row r="128" spans="1:40" s="6" customFormat="1" ht="11.25" x14ac:dyDescent="0.2">
      <c r="A128" s="56">
        <f t="shared" si="46"/>
        <v>45405</v>
      </c>
      <c r="B128" s="413">
        <f>'2023'!Wh/'2023'!Env_an*'2024'!Env_an</f>
        <v>35.662005505790724</v>
      </c>
      <c r="C128" s="868"/>
      <c r="D128" s="395">
        <f t="shared" si="25"/>
        <v>37.441147987431698</v>
      </c>
      <c r="E128" s="387">
        <f t="shared" si="47"/>
        <v>42.21290949054783</v>
      </c>
      <c r="F128" s="387">
        <f t="shared" si="26"/>
        <v>42.377020879113182</v>
      </c>
      <c r="G128" s="110">
        <f t="shared" si="48"/>
        <v>0.71165379736557799</v>
      </c>
      <c r="H128" s="416" t="b">
        <f>Wh_hp&gt;='2023'!Maxi_hp</f>
        <v>0</v>
      </c>
      <c r="I128" s="392">
        <f>IF(H128,Wh_hp,'2023'!Maxi_hp)</f>
        <v>54.689071133466982</v>
      </c>
      <c r="J128" s="85">
        <f>IF(H128,An,'2023'!An_max)</f>
        <v>2021</v>
      </c>
      <c r="K128" s="199">
        <f t="shared" si="27"/>
        <v>45405</v>
      </c>
      <c r="L128" s="147">
        <f>IF(t&lt;Tvie,1-EXP((T0-t)*PertePVj)+'2023'!Pspv,1-EXP((T0-t)*PertePVj)+Pspv)</f>
        <v>4.7518374229289062E-2</v>
      </c>
      <c r="M128" s="872"/>
      <c r="N128" s="872"/>
      <c r="O128" s="48">
        <f>IF(t&lt;Tnet,'2023'!Resal+('2023'!Salim-'2023'!Resal)*(1-EXP(('2023'!Tnet-t)/('2023'!Tau_j))),Resal+(Salim-Resal)*(1-EXP((Tnet-t)/(Tau_j))))*Salcycl</f>
        <v>0.11304033672885333</v>
      </c>
      <c r="P128" s="171">
        <f>(INDEX(Models!$BJ128:$BT128,,T128)*(1-R128)+INDEX(Models!$BJ128:$BT128,,T128+1)*R128-ERP_i)*Q128*Ramure*Pc/MaxiM</f>
        <v>6.5546873795789291E-3</v>
      </c>
      <c r="Q128" s="307">
        <f t="shared" si="28"/>
        <v>0.9</v>
      </c>
      <c r="R128" s="179">
        <f t="shared" si="29"/>
        <v>0.18823516693872433</v>
      </c>
      <c r="S128" s="839">
        <f t="shared" si="30"/>
        <v>1</v>
      </c>
      <c r="T128" s="178">
        <f t="shared" si="31"/>
        <v>7</v>
      </c>
      <c r="U128" s="253">
        <f t="shared" si="32"/>
        <v>1.1882351669387243</v>
      </c>
      <c r="V128" s="385">
        <f t="shared" si="33"/>
        <v>49.97652928240845</v>
      </c>
      <c r="W128" s="404">
        <f t="shared" si="34"/>
        <v>35.662005505790724</v>
      </c>
      <c r="X128" s="157">
        <f t="shared" si="35"/>
        <v>45405</v>
      </c>
      <c r="Y128" s="387">
        <f t="shared" si="36"/>
        <v>33.089610338279556</v>
      </c>
      <c r="Z128" s="387">
        <f t="shared" si="37"/>
        <v>34.740418547711862</v>
      </c>
      <c r="AA128" s="388">
        <f t="shared" si="38"/>
        <v>42.21290949054783</v>
      </c>
      <c r="AB128" s="199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0.17701909280878117</v>
      </c>
      <c r="AD128" s="233">
        <f>(INDEX(Models!$BJ128:$BT128,,AH128)*(1-AF128)+INDEX(Models!$BJ128:$BT128,,AH128+1)*AF128-ERP_i)*AE128*Ramure*Pc/MaxiM</f>
        <v>6.5546873795789291E-3</v>
      </c>
      <c r="AE128" s="307">
        <f t="shared" si="40"/>
        <v>0.9</v>
      </c>
      <c r="AF128" s="179">
        <f t="shared" si="41"/>
        <v>0.18823516693872433</v>
      </c>
      <c r="AG128" s="839">
        <f t="shared" si="49"/>
        <v>1</v>
      </c>
      <c r="AH128" s="178">
        <f t="shared" si="42"/>
        <v>7</v>
      </c>
      <c r="AI128" s="227">
        <f t="shared" si="43"/>
        <v>1.1882351669387243</v>
      </c>
      <c r="AJ128" s="267" t="b">
        <f t="shared" si="44"/>
        <v>1</v>
      </c>
      <c r="AK128" s="267" t="b">
        <f t="shared" si="45"/>
        <v>0</v>
      </c>
      <c r="AL128" s="267"/>
      <c r="AM128" s="267"/>
      <c r="AN128" s="75"/>
    </row>
    <row r="129" spans="1:40" s="6" customFormat="1" ht="11.25" x14ac:dyDescent="0.2">
      <c r="A129" s="56">
        <f t="shared" si="46"/>
        <v>45406</v>
      </c>
      <c r="B129" s="413">
        <f>'2023'!Wh/'2023'!Env_an*'2024'!Env_an</f>
        <v>44.500542056562956</v>
      </c>
      <c r="C129" s="868"/>
      <c r="D129" s="395">
        <f t="shared" si="25"/>
        <v>46.721717741567033</v>
      </c>
      <c r="E129" s="387">
        <f t="shared" si="47"/>
        <v>52.687436150757257</v>
      </c>
      <c r="F129" s="387">
        <f t="shared" si="26"/>
        <v>52.966926553052552</v>
      </c>
      <c r="G129" s="110">
        <f t="shared" si="48"/>
        <v>0.88549508025222234</v>
      </c>
      <c r="H129" s="416" t="b">
        <f>Wh_hp&gt;='2023'!Maxi_hp</f>
        <v>0</v>
      </c>
      <c r="I129" s="392">
        <f>IF(H129,Wh_hp,'2023'!Maxi_hp)</f>
        <v>56.298016159754951</v>
      </c>
      <c r="J129" s="85">
        <f>IF(H129,An,'2023'!An_max)</f>
        <v>2020</v>
      </c>
      <c r="K129" s="199">
        <f t="shared" si="27"/>
        <v>45406</v>
      </c>
      <c r="L129" s="147">
        <f>IF(t&lt;Tvie,1-EXP((T0-t)*PertePVj)+'2023'!Pspv,1-EXP((T0-t)*PertePVj)+Pspv)</f>
        <v>4.7540539868206833E-2</v>
      </c>
      <c r="M129" s="872"/>
      <c r="N129" s="872"/>
      <c r="O129" s="48">
        <f>IF(t&lt;Tnet,'2023'!Resal+('2023'!Salim-'2023'!Resal)*(1-EXP(('2023'!Tnet-t)/('2023'!Tau_j))),Resal+(Salim-Resal)*(1-EXP((Tnet-t)/(Tau_j))))*Salcycl</f>
        <v>0.11322848187412669</v>
      </c>
      <c r="P129" s="171">
        <f>(INDEX(Models!$BJ129:$BT129,,T129)*(1-R129)+INDEX(Models!$BJ129:$BT129,,T129+1)*R129-ERP_i)*Q129*Ramure*Pc/MaxiM</f>
        <v>6.2988578471447438E-3</v>
      </c>
      <c r="Q129" s="307">
        <f t="shared" si="28"/>
        <v>0.9</v>
      </c>
      <c r="R129" s="179">
        <f t="shared" si="29"/>
        <v>0.1914703450456765</v>
      </c>
      <c r="S129" s="839">
        <f t="shared" si="30"/>
        <v>1</v>
      </c>
      <c r="T129" s="178">
        <f t="shared" si="31"/>
        <v>7</v>
      </c>
      <c r="U129" s="253">
        <f t="shared" si="32"/>
        <v>1.1914703450456765</v>
      </c>
      <c r="V129" s="385">
        <f t="shared" si="33"/>
        <v>50.203343899223597</v>
      </c>
      <c r="W129" s="404">
        <f t="shared" si="34"/>
        <v>44.500542056562956</v>
      </c>
      <c r="X129" s="157">
        <f t="shared" si="35"/>
        <v>45406</v>
      </c>
      <c r="Y129" s="387">
        <f t="shared" si="36"/>
        <v>41.291502023500222</v>
      </c>
      <c r="Z129" s="387">
        <f t="shared" si="37"/>
        <v>43.352503441759779</v>
      </c>
      <c r="AA129" s="388">
        <f t="shared" si="38"/>
        <v>52.687436150757257</v>
      </c>
      <c r="AB129" s="199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0.1771756872413939</v>
      </c>
      <c r="AD129" s="233">
        <f>(INDEX(Models!$BJ129:$BT129,,AH129)*(1-AF129)+INDEX(Models!$BJ129:$BT129,,AH129+1)*AF129-ERP_i)*AE129*Ramure*Pc/MaxiM</f>
        <v>6.2988578471447438E-3</v>
      </c>
      <c r="AE129" s="307">
        <f t="shared" si="40"/>
        <v>0.9</v>
      </c>
      <c r="AF129" s="179">
        <f t="shared" si="41"/>
        <v>0.1914703450456765</v>
      </c>
      <c r="AG129" s="839">
        <f t="shared" si="49"/>
        <v>1</v>
      </c>
      <c r="AH129" s="178">
        <f t="shared" si="42"/>
        <v>7</v>
      </c>
      <c r="AI129" s="227">
        <f t="shared" si="43"/>
        <v>1.1914703450456765</v>
      </c>
      <c r="AJ129" s="267" t="b">
        <f t="shared" si="44"/>
        <v>1</v>
      </c>
      <c r="AK129" s="267" t="b">
        <f t="shared" si="45"/>
        <v>0</v>
      </c>
      <c r="AL129" s="267"/>
      <c r="AM129" s="267"/>
      <c r="AN129" s="75"/>
    </row>
    <row r="130" spans="1:40" s="6" customFormat="1" ht="11.25" x14ac:dyDescent="0.2">
      <c r="A130" s="56">
        <f t="shared" si="46"/>
        <v>45407</v>
      </c>
      <c r="B130" s="413">
        <f>'2023'!Wh/'2023'!Env_an*'2024'!Env_an</f>
        <v>49.358087824342398</v>
      </c>
      <c r="C130" s="868"/>
      <c r="D130" s="395">
        <f t="shared" si="25"/>
        <v>51.822926383716869</v>
      </c>
      <c r="E130" s="387">
        <f t="shared" si="47"/>
        <v>58.452547859779564</v>
      </c>
      <c r="F130" s="387">
        <f t="shared" si="26"/>
        <v>58.797131026522415</v>
      </c>
      <c r="G130" s="110">
        <f t="shared" si="48"/>
        <v>0.9786985365806592</v>
      </c>
      <c r="H130" s="416" t="b">
        <f>Wh_hp&gt;='2023'!Maxi_hp</f>
        <v>0</v>
      </c>
      <c r="I130" s="392">
        <f>IF(H130,Wh_hp,'2023'!Maxi_hp)</f>
        <v>58.802406404772384</v>
      </c>
      <c r="J130" s="85">
        <f>IF(H130,An,'2023'!An_max)</f>
        <v>2022</v>
      </c>
      <c r="K130" s="199">
        <f t="shared" si="27"/>
        <v>45407</v>
      </c>
      <c r="L130" s="147">
        <f>IF(t&lt;Tvie,1-EXP((T0-t)*PertePVj)+'2023'!Pspv,1-EXP((T0-t)*PertePVj)+Pspv)</f>
        <v>4.7562704991297888E-2</v>
      </c>
      <c r="M130" s="872"/>
      <c r="N130" s="872"/>
      <c r="O130" s="48">
        <f>IF(t&lt;Tnet,'2023'!Resal+('2023'!Salim-'2023'!Resal)*(1-EXP(('2023'!Tnet-t)/('2023'!Tau_j))),Resal+(Salim-Resal)*(1-EXP((Tnet-t)/(Tau_j))))*Salcycl</f>
        <v>0.11341886228751466</v>
      </c>
      <c r="P130" s="171">
        <f>(INDEX(Models!$BJ130:$BT130,,T130)*(1-R130)+INDEX(Models!$BJ130:$BT130,,T130+1)*R130-ERP_i)*Q130*Ramure*Pc/MaxiM</f>
        <v>6.0428829011048967E-3</v>
      </c>
      <c r="Q130" s="307">
        <f t="shared" si="28"/>
        <v>0.9</v>
      </c>
      <c r="R130" s="179">
        <f t="shared" si="29"/>
        <v>0.19480508453467915</v>
      </c>
      <c r="S130" s="839">
        <f t="shared" si="30"/>
        <v>1</v>
      </c>
      <c r="T130" s="178">
        <f t="shared" si="31"/>
        <v>7</v>
      </c>
      <c r="U130" s="253">
        <f t="shared" si="32"/>
        <v>1.1948050845346792</v>
      </c>
      <c r="V130" s="385">
        <f t="shared" si="33"/>
        <v>50.423121134272478</v>
      </c>
      <c r="W130" s="404">
        <f t="shared" si="34"/>
        <v>49.358087824342398</v>
      </c>
      <c r="X130" s="157">
        <f t="shared" si="35"/>
        <v>45407</v>
      </c>
      <c r="Y130" s="387">
        <f t="shared" si="36"/>
        <v>45.799681496578536</v>
      </c>
      <c r="Z130" s="387">
        <f t="shared" si="37"/>
        <v>48.086820766673235</v>
      </c>
      <c r="AA130" s="388">
        <f t="shared" si="38"/>
        <v>58.452547859779564</v>
      </c>
      <c r="AB130" s="199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0.17733576161594239</v>
      </c>
      <c r="AD130" s="233">
        <f>(INDEX(Models!$BJ130:$BT130,,AH130)*(1-AF130)+INDEX(Models!$BJ130:$BT130,,AH130+1)*AF130-ERP_i)*AE130*Ramure*Pc/MaxiM</f>
        <v>6.0428829011048967E-3</v>
      </c>
      <c r="AE130" s="307">
        <f t="shared" si="40"/>
        <v>0.9</v>
      </c>
      <c r="AF130" s="179">
        <f t="shared" si="41"/>
        <v>0.19480508453467915</v>
      </c>
      <c r="AG130" s="839">
        <f t="shared" si="49"/>
        <v>1</v>
      </c>
      <c r="AH130" s="178">
        <f t="shared" si="42"/>
        <v>7</v>
      </c>
      <c r="AI130" s="227">
        <f t="shared" si="43"/>
        <v>1.1948050845346792</v>
      </c>
      <c r="AJ130" s="267" t="b">
        <f t="shared" si="44"/>
        <v>1</v>
      </c>
      <c r="AK130" s="267" t="b">
        <f t="shared" si="45"/>
        <v>0</v>
      </c>
      <c r="AL130" s="267"/>
      <c r="AM130" s="267"/>
      <c r="AN130" s="75"/>
    </row>
    <row r="131" spans="1:40" s="6" customFormat="1" ht="11.25" x14ac:dyDescent="0.2">
      <c r="A131" s="56">
        <f t="shared" si="46"/>
        <v>45408</v>
      </c>
      <c r="B131" s="413">
        <f>'2023'!Wh/'2023'!Env_an*'2024'!Env_an</f>
        <v>35.214652368863646</v>
      </c>
      <c r="C131" s="868"/>
      <c r="D131" s="395">
        <f t="shared" si="25"/>
        <v>36.974058102186277</v>
      </c>
      <c r="E131" s="387">
        <f t="shared" si="47"/>
        <v>41.713150805249541</v>
      </c>
      <c r="F131" s="387">
        <f t="shared" si="26"/>
        <v>41.84996091627729</v>
      </c>
      <c r="G131" s="110">
        <f t="shared" si="48"/>
        <v>0.69369608734399291</v>
      </c>
      <c r="H131" s="416" t="b">
        <f>Wh_hp&gt;='2023'!Maxi_hp</f>
        <v>0</v>
      </c>
      <c r="I131" s="392">
        <f>IF(H131,Wh_hp,'2023'!Maxi_hp)</f>
        <v>41.902156737922802</v>
      </c>
      <c r="J131" s="85">
        <f>IF(H131,An,'2023'!An_max)</f>
        <v>2022</v>
      </c>
      <c r="K131" s="199">
        <f t="shared" si="27"/>
        <v>45408</v>
      </c>
      <c r="L131" s="147">
        <f>IF(t&lt;Tvie,1-EXP((T0-t)*PertePVj)+'2023'!Pspv,1-EXP((T0-t)*PertePVj)+Pspv)</f>
        <v>4.7584869598573998E-2</v>
      </c>
      <c r="M131" s="872"/>
      <c r="N131" s="872"/>
      <c r="O131" s="48">
        <f>IF(t&lt;Tnet,'2023'!Resal+('2023'!Salim-'2023'!Resal)*(1-EXP(('2023'!Tnet-t)/('2023'!Tau_j))),Resal+(Salim-Resal)*(1-EXP((Tnet-t)/(Tau_j))))*Salcycl</f>
        <v>0.11361147771332719</v>
      </c>
      <c r="P131" s="171">
        <f>(INDEX(Models!$BJ131:$BT131,,T131)*(1-R131)+INDEX(Models!$BJ131:$BT131,,T131+1)*R131-ERP_i)*Q131*Ramure*Pc/MaxiM</f>
        <v>5.7866424251140714E-3</v>
      </c>
      <c r="Q131" s="307">
        <f t="shared" si="28"/>
        <v>0.9</v>
      </c>
      <c r="R131" s="179">
        <f t="shared" si="29"/>
        <v>0.19824110591666799</v>
      </c>
      <c r="S131" s="839">
        <f t="shared" si="30"/>
        <v>1</v>
      </c>
      <c r="T131" s="178">
        <f t="shared" si="31"/>
        <v>7</v>
      </c>
      <c r="U131" s="253">
        <f t="shared" si="32"/>
        <v>1.198241105916668</v>
      </c>
      <c r="V131" s="385">
        <f t="shared" si="33"/>
        <v>50.635583094182458</v>
      </c>
      <c r="W131" s="404">
        <f t="shared" si="34"/>
        <v>35.214652368863646</v>
      </c>
      <c r="X131" s="157">
        <f t="shared" si="35"/>
        <v>45408</v>
      </c>
      <c r="Y131" s="387">
        <f t="shared" si="36"/>
        <v>32.676501589317994</v>
      </c>
      <c r="Z131" s="387">
        <f t="shared" si="37"/>
        <v>34.309095420969875</v>
      </c>
      <c r="AA131" s="388">
        <f t="shared" si="38"/>
        <v>41.713150805249541</v>
      </c>
      <c r="AB131" s="199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0.17749930756484292</v>
      </c>
      <c r="AD131" s="233">
        <f>(INDEX(Models!$BJ131:$BT131,,AH131)*(1-AF131)+INDEX(Models!$BJ131:$BT131,,AH131+1)*AF131-ERP_i)*AE131*Ramure*Pc/MaxiM</f>
        <v>5.7866424251140714E-3</v>
      </c>
      <c r="AE131" s="307">
        <f t="shared" si="40"/>
        <v>0.9</v>
      </c>
      <c r="AF131" s="179">
        <f t="shared" si="41"/>
        <v>0.19824110591666799</v>
      </c>
      <c r="AG131" s="839">
        <f t="shared" si="49"/>
        <v>1</v>
      </c>
      <c r="AH131" s="178">
        <f t="shared" si="42"/>
        <v>7</v>
      </c>
      <c r="AI131" s="227">
        <f t="shared" si="43"/>
        <v>1.198241105916668</v>
      </c>
      <c r="AJ131" s="267" t="b">
        <f t="shared" si="44"/>
        <v>1</v>
      </c>
      <c r="AK131" s="267" t="b">
        <f t="shared" si="45"/>
        <v>0</v>
      </c>
      <c r="AL131" s="267"/>
      <c r="AM131" s="267"/>
      <c r="AN131" s="75"/>
    </row>
    <row r="132" spans="1:40" s="6" customFormat="1" ht="11.25" x14ac:dyDescent="0.2">
      <c r="A132" s="56">
        <f t="shared" si="46"/>
        <v>45409</v>
      </c>
      <c r="B132" s="413">
        <f>'2023'!Wh/'2023'!Env_an*'2024'!Env_an</f>
        <v>21.575579407983433</v>
      </c>
      <c r="C132" s="868"/>
      <c r="D132" s="395">
        <f t="shared" si="25"/>
        <v>22.654072605741764</v>
      </c>
      <c r="E132" s="387">
        <f t="shared" si="47"/>
        <v>25.563342655847936</v>
      </c>
      <c r="F132" s="387">
        <f t="shared" si="26"/>
        <v>25.588485632190029</v>
      </c>
      <c r="G132" s="110">
        <f t="shared" si="48"/>
        <v>0.4224464686515535</v>
      </c>
      <c r="H132" s="416" t="b">
        <f>Wh_hp&gt;='2023'!Maxi_hp</f>
        <v>0</v>
      </c>
      <c r="I132" s="392">
        <f>IF(H132,Wh_hp,'2023'!Maxi_hp)</f>
        <v>48.054004151723234</v>
      </c>
      <c r="J132" s="85">
        <f>IF(H132,An,'2023'!An_max)</f>
        <v>2019</v>
      </c>
      <c r="K132" s="199">
        <f t="shared" si="27"/>
        <v>45409</v>
      </c>
      <c r="L132" s="147">
        <f>IF(t&lt;Tvie,1-EXP((T0-t)*PertePVj)+'2023'!Pspv,1-EXP((T0-t)*PertePVj)+Pspv)</f>
        <v>4.7607033690047484E-2</v>
      </c>
      <c r="M132" s="872"/>
      <c r="N132" s="872"/>
      <c r="O132" s="48">
        <f>IF(t&lt;Tnet,'2023'!Resal+('2023'!Salim-'2023'!Resal)*(1-EXP(('2023'!Tnet-t)/('2023'!Tau_j))),Resal+(Salim-Resal)*(1-EXP((Tnet-t)/(Tau_j))))*Salcycl</f>
        <v>0.1138063237375822</v>
      </c>
      <c r="P132" s="171">
        <f>(INDEX(Models!$BJ132:$BT132,,T132)*(1-R132)+INDEX(Models!$BJ132:$BT132,,T132+1)*R132-ERP_i)*Q132*Ramure*Pc/MaxiM</f>
        <v>5.5300097905159147E-3</v>
      </c>
      <c r="Q132" s="307">
        <f t="shared" si="28"/>
        <v>0.9</v>
      </c>
      <c r="R132" s="179">
        <f t="shared" si="29"/>
        <v>0.20178005957669631</v>
      </c>
      <c r="S132" s="839">
        <f t="shared" si="30"/>
        <v>1</v>
      </c>
      <c r="T132" s="178">
        <f t="shared" si="31"/>
        <v>7</v>
      </c>
      <c r="U132" s="253">
        <f t="shared" si="32"/>
        <v>1.2017800595766963</v>
      </c>
      <c r="V132" s="385">
        <f t="shared" si="33"/>
        <v>50.840452633691562</v>
      </c>
      <c r="W132" s="404">
        <f t="shared" si="34"/>
        <v>21.575579407983433</v>
      </c>
      <c r="X132" s="157">
        <f t="shared" si="35"/>
        <v>45409</v>
      </c>
      <c r="Y132" s="387">
        <f t="shared" si="36"/>
        <v>20.020821968871246</v>
      </c>
      <c r="Z132" s="387">
        <f t="shared" si="37"/>
        <v>21.02159788773109</v>
      </c>
      <c r="AA132" s="388">
        <f t="shared" si="38"/>
        <v>25.563342655847936</v>
      </c>
      <c r="AB132" s="199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0.17766631028113467</v>
      </c>
      <c r="AD132" s="233">
        <f>(INDEX(Models!$BJ132:$BT132,,AH132)*(1-AF132)+INDEX(Models!$BJ132:$BT132,,AH132+1)*AF132-ERP_i)*AE132*Ramure*Pc/MaxiM</f>
        <v>5.5300097905159147E-3</v>
      </c>
      <c r="AE132" s="307">
        <f t="shared" si="40"/>
        <v>0.9</v>
      </c>
      <c r="AF132" s="179">
        <f t="shared" si="41"/>
        <v>0.20178005957669631</v>
      </c>
      <c r="AG132" s="839">
        <f t="shared" si="49"/>
        <v>1</v>
      </c>
      <c r="AH132" s="178">
        <f t="shared" si="42"/>
        <v>7</v>
      </c>
      <c r="AI132" s="227">
        <f t="shared" si="43"/>
        <v>1.2017800595766963</v>
      </c>
      <c r="AJ132" s="267" t="b">
        <f t="shared" si="44"/>
        <v>1</v>
      </c>
      <c r="AK132" s="267" t="b">
        <f t="shared" si="45"/>
        <v>0</v>
      </c>
      <c r="AL132" s="267"/>
      <c r="AM132" s="267"/>
      <c r="AN132" s="75"/>
    </row>
    <row r="133" spans="1:40" s="6" customFormat="1" ht="11.25" x14ac:dyDescent="0.2">
      <c r="A133" s="56">
        <f t="shared" si="46"/>
        <v>45410</v>
      </c>
      <c r="B133" s="413">
        <f>'2023'!Wh/'2023'!Env_an*'2024'!Env_an</f>
        <v>40.543953246947787</v>
      </c>
      <c r="C133" s="868"/>
      <c r="D133" s="395">
        <f t="shared" si="25"/>
        <v>42.571604600377839</v>
      </c>
      <c r="E133" s="387">
        <f t="shared" si="47"/>
        <v>48.049399058602368</v>
      </c>
      <c r="F133" s="387">
        <f t="shared" si="26"/>
        <v>48.229009212647398</v>
      </c>
      <c r="G133" s="110">
        <f t="shared" si="48"/>
        <v>0.79316117387801643</v>
      </c>
      <c r="H133" s="416" t="b">
        <f>Wh_hp&gt;='2023'!Maxi_hp</f>
        <v>0</v>
      </c>
      <c r="I133" s="392">
        <f>IF(H133,Wh_hp,'2023'!Maxi_hp)</f>
        <v>54.78185076677125</v>
      </c>
      <c r="J133" s="85">
        <f>IF(H133,An,'2023'!An_max)</f>
        <v>2019</v>
      </c>
      <c r="K133" s="199">
        <f t="shared" si="27"/>
        <v>45410</v>
      </c>
      <c r="L133" s="147">
        <f>IF(t&lt;Tvie,1-EXP((T0-t)*PertePVj)+'2023'!Pspv,1-EXP((T0-t)*PertePVj)+Pspv)</f>
        <v>4.7629197265730006E-2</v>
      </c>
      <c r="M133" s="872"/>
      <c r="N133" s="872"/>
      <c r="O133" s="48">
        <f>IF(t&lt;Tnet,'2023'!Resal+('2023'!Salim-'2023'!Resal)*(1-EXP(('2023'!Tnet-t)/('2023'!Tau_j))),Resal+(Salim-Resal)*(1-EXP((Tnet-t)/(Tau_j))))*Salcycl</f>
        <v>0.11400339162501616</v>
      </c>
      <c r="P133" s="171">
        <f>(INDEX(Models!$BJ133:$BT133,,T133)*(1-R133)+INDEX(Models!$BJ133:$BT133,,T133+1)*R133-ERP_i)*Q133*Ramure*Pc/MaxiM</f>
        <v>5.2728517442220792E-3</v>
      </c>
      <c r="Q133" s="307">
        <f t="shared" si="28"/>
        <v>0.9</v>
      </c>
      <c r="R133" s="179">
        <f t="shared" si="29"/>
        <v>0.20542351724228114</v>
      </c>
      <c r="S133" s="839">
        <f t="shared" si="30"/>
        <v>1</v>
      </c>
      <c r="T133" s="178">
        <f t="shared" si="31"/>
        <v>7</v>
      </c>
      <c r="U133" s="253">
        <f t="shared" si="32"/>
        <v>1.2054235172422811</v>
      </c>
      <c r="V133" s="385">
        <f t="shared" si="33"/>
        <v>51.037453375238869</v>
      </c>
      <c r="W133" s="404">
        <f t="shared" si="34"/>
        <v>40.543953246947787</v>
      </c>
      <c r="X133" s="157">
        <f t="shared" si="35"/>
        <v>45410</v>
      </c>
      <c r="Y133" s="387">
        <f t="shared" si="36"/>
        <v>37.622884922633283</v>
      </c>
      <c r="Z133" s="387">
        <f t="shared" si="37"/>
        <v>39.504450172787166</v>
      </c>
      <c r="AA133" s="388">
        <f t="shared" si="38"/>
        <v>48.049399058602368</v>
      </c>
      <c r="AB133" s="199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0.17783674828885049</v>
      </c>
      <c r="AD133" s="233">
        <f>(INDEX(Models!$BJ133:$BT133,,AH133)*(1-AF133)+INDEX(Models!$BJ133:$BT133,,AH133+1)*AF133-ERP_i)*AE133*Ramure*Pc/MaxiM</f>
        <v>5.2728517442220792E-3</v>
      </c>
      <c r="AE133" s="307">
        <f t="shared" si="40"/>
        <v>0.9</v>
      </c>
      <c r="AF133" s="179">
        <f t="shared" si="41"/>
        <v>0.20542351724228114</v>
      </c>
      <c r="AG133" s="839">
        <f t="shared" si="49"/>
        <v>1</v>
      </c>
      <c r="AH133" s="178">
        <f t="shared" si="42"/>
        <v>7</v>
      </c>
      <c r="AI133" s="227">
        <f t="shared" si="43"/>
        <v>1.2054235172422811</v>
      </c>
      <c r="AJ133" s="267" t="b">
        <f t="shared" si="44"/>
        <v>1</v>
      </c>
      <c r="AK133" s="267" t="b">
        <f t="shared" si="45"/>
        <v>0</v>
      </c>
      <c r="AL133" s="267"/>
      <c r="AM133" s="267"/>
      <c r="AN133" s="75"/>
    </row>
    <row r="134" spans="1:40" s="6" customFormat="1" ht="11.25" x14ac:dyDescent="0.2">
      <c r="A134" s="56">
        <f t="shared" si="46"/>
        <v>45411</v>
      </c>
      <c r="B134" s="413">
        <f>'2023'!Wh/'2023'!Env_an*'2024'!Env_an</f>
        <v>42.34720863455469</v>
      </c>
      <c r="C134" s="868"/>
      <c r="D134" s="395">
        <f t="shared" si="25"/>
        <v>44.466077726571179</v>
      </c>
      <c r="E134" s="387">
        <f t="shared" si="47"/>
        <v>50.198929403079831</v>
      </c>
      <c r="F134" s="387">
        <f t="shared" si="26"/>
        <v>50.389058879530431</v>
      </c>
      <c r="G134" s="110">
        <f t="shared" si="48"/>
        <v>0.82563867974546301</v>
      </c>
      <c r="H134" s="416" t="b">
        <f>Wh_hp&gt;='2023'!Maxi_hp</f>
        <v>0</v>
      </c>
      <c r="I134" s="392">
        <f>IF(H134,Wh_hp,'2023'!Maxi_hp)</f>
        <v>60.84592314154898</v>
      </c>
      <c r="J134" s="85">
        <f>IF(H134,An,'2023'!An_max)</f>
        <v>2019</v>
      </c>
      <c r="K134" s="199">
        <f t="shared" si="27"/>
        <v>45411</v>
      </c>
      <c r="L134" s="147">
        <f>IF(t&lt;Tvie,1-EXP((T0-t)*PertePVj)+'2023'!Pspv,1-EXP((T0-t)*PertePVj)+Pspv)</f>
        <v>4.7651360325633885E-2</v>
      </c>
      <c r="M134" s="872"/>
      <c r="N134" s="872"/>
      <c r="O134" s="48">
        <f>IF(t&lt;Tnet,'2023'!Resal+('2023'!Salim-'2023'!Resal)*(1-EXP(('2023'!Tnet-t)/('2023'!Tau_j))),Resal+(Salim-Resal)*(1-EXP((Tnet-t)/(Tau_j))))*Salcycl</f>
        <v>0.11420266815803698</v>
      </c>
      <c r="P134" s="171">
        <f>(INDEX(Models!$BJ134:$BT134,,T134)*(1-R134)+INDEX(Models!$BJ134:$BT134,,T134+1)*R134-ERP_i)*Q134*Ramure*Pc/MaxiM</f>
        <v>5.0150282770458745E-3</v>
      </c>
      <c r="Q134" s="307">
        <f t="shared" si="28"/>
        <v>0.9</v>
      </c>
      <c r="R134" s="179">
        <f t="shared" si="29"/>
        <v>0.20917296316247191</v>
      </c>
      <c r="S134" s="839">
        <f t="shared" si="30"/>
        <v>1</v>
      </c>
      <c r="T134" s="178">
        <f t="shared" si="31"/>
        <v>7</v>
      </c>
      <c r="U134" s="253">
        <f t="shared" si="32"/>
        <v>1.2091729631624719</v>
      </c>
      <c r="V134" s="385">
        <f t="shared" si="33"/>
        <v>51.226309741872647</v>
      </c>
      <c r="W134" s="404">
        <f t="shared" si="34"/>
        <v>42.34720863455469</v>
      </c>
      <c r="X134" s="157">
        <f t="shared" si="35"/>
        <v>45411</v>
      </c>
      <c r="Y134" s="387">
        <f t="shared" si="36"/>
        <v>39.296750682275643</v>
      </c>
      <c r="Z134" s="387">
        <f t="shared" si="37"/>
        <v>41.262988201161576</v>
      </c>
      <c r="AA134" s="388">
        <f t="shared" si="38"/>
        <v>50.198929403079831</v>
      </c>
      <c r="AB134" s="199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0.17801059321735282</v>
      </c>
      <c r="AD134" s="233">
        <f>(INDEX(Models!$BJ134:$BT134,,AH134)*(1-AF134)+INDEX(Models!$BJ134:$BT134,,AH134+1)*AF134-ERP_i)*AE134*Ramure*Pc/MaxiM</f>
        <v>5.0150282770458745E-3</v>
      </c>
      <c r="AE134" s="307">
        <f t="shared" si="40"/>
        <v>0.9</v>
      </c>
      <c r="AF134" s="179">
        <f t="shared" si="41"/>
        <v>0.20917296316247191</v>
      </c>
      <c r="AG134" s="839">
        <f t="shared" si="49"/>
        <v>1</v>
      </c>
      <c r="AH134" s="178">
        <f t="shared" si="42"/>
        <v>7</v>
      </c>
      <c r="AI134" s="227">
        <f t="shared" si="43"/>
        <v>1.2091729631624719</v>
      </c>
      <c r="AJ134" s="267" t="b">
        <f t="shared" si="44"/>
        <v>1</v>
      </c>
      <c r="AK134" s="267" t="b">
        <f t="shared" si="45"/>
        <v>0</v>
      </c>
      <c r="AL134" s="267"/>
      <c r="AM134" s="267"/>
      <c r="AN134" s="75"/>
    </row>
    <row r="135" spans="1:40" s="6" customFormat="1" ht="11.25" x14ac:dyDescent="0.2">
      <c r="A135" s="56">
        <f t="shared" si="46"/>
        <v>45412</v>
      </c>
      <c r="B135" s="413">
        <f>'2023'!Wh/'2023'!Env_an*'2024'!Env_an</f>
        <v>46.115856195649478</v>
      </c>
      <c r="C135" s="868"/>
      <c r="D135" s="395">
        <f t="shared" si="25"/>
        <v>48.424418834406943</v>
      </c>
      <c r="E135" s="387">
        <f t="shared" si="47"/>
        <v>49.531789190308217</v>
      </c>
      <c r="F135" s="387">
        <f t="shared" si="26"/>
        <v>49.704919665045324</v>
      </c>
      <c r="G135" s="110">
        <f t="shared" si="48"/>
        <v>0.81157940094873393</v>
      </c>
      <c r="H135" s="416" t="b">
        <f>Wh_hp&gt;='2023'!Maxi_hp</f>
        <v>0</v>
      </c>
      <c r="I135" s="392">
        <f>IF(H135,Wh_hp,'2023'!Maxi_hp)</f>
        <v>56.845620095734738</v>
      </c>
      <c r="J135" s="85">
        <f>IF(H135,An,'2023'!An_max)</f>
        <v>2019</v>
      </c>
      <c r="K135" s="199">
        <f t="shared" si="27"/>
        <v>45412</v>
      </c>
      <c r="L135" s="147">
        <f>IF(t&lt;Tvie,1-EXP((T0-t)*PertePVj)+'2023'!Pspv,1-EXP((T0-t)*PertePVj)+Pspv)</f>
        <v>4.767352286977089E-2</v>
      </c>
      <c r="M135" s="872"/>
      <c r="N135" s="872"/>
      <c r="O135" s="48">
        <f>IF(t&lt;Tnet,'2023'!Resal+('2023'!Salim-'2023'!Resal)*(1-EXP(('2023'!Tnet-t)/('2023'!Tau_j))),Resal+(Salim-Resal)*(1-EXP((Tnet-t)/(Tau_j))))*Salcycl</f>
        <v>2.2356760658222851E-2</v>
      </c>
      <c r="P135" s="171">
        <f>(INDEX(Models!$BJ135:$BT135,,T135)*(1-R135)+INDEX(Models!$BJ135:$BT135,,T135+1)*R135-ERP_i)*Q135*Ramure*Pc/MaxiM</f>
        <v>4.7564026188087055E-3</v>
      </c>
      <c r="Q135" s="307">
        <f t="shared" si="28"/>
        <v>0.9</v>
      </c>
      <c r="R135" s="179">
        <f t="shared" si="29"/>
        <v>0.21302978502375591</v>
      </c>
      <c r="S135" s="839">
        <f t="shared" si="30"/>
        <v>1</v>
      </c>
      <c r="T135" s="178">
        <f t="shared" si="31"/>
        <v>7</v>
      </c>
      <c r="U135" s="253">
        <f t="shared" si="32"/>
        <v>1.2130297850237559</v>
      </c>
      <c r="V135" s="385">
        <f t="shared" si="33"/>
        <v>56.749757941742367</v>
      </c>
      <c r="W135" s="404">
        <f t="shared" si="34"/>
        <v>46.115856195649478</v>
      </c>
      <c r="X135" s="157">
        <f t="shared" si="35"/>
        <v>45412</v>
      </c>
      <c r="Y135" s="387">
        <f t="shared" si="36"/>
        <v>41.773941548659465</v>
      </c>
      <c r="Z135" s="387">
        <f t="shared" si="37"/>
        <v>43.865147669255599</v>
      </c>
      <c r="AA135" s="388">
        <f t="shared" si="38"/>
        <v>49.531789190308217</v>
      </c>
      <c r="AB135" s="199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0.11440413547914795</v>
      </c>
      <c r="AD135" s="233">
        <f>(INDEX(Models!$BJ135:$BT135,,AH135)*(1-AF135)+INDEX(Models!$BJ135:$BT135,,AH135+1)*AF135-ERP_i)*AE135*Ramure*Pc/MaxiM</f>
        <v>4.7564026188087055E-3</v>
      </c>
      <c r="AE135" s="307">
        <f t="shared" si="40"/>
        <v>0.9</v>
      </c>
      <c r="AF135" s="179">
        <f t="shared" si="41"/>
        <v>0.21302978502375591</v>
      </c>
      <c r="AG135" s="839">
        <f t="shared" si="49"/>
        <v>1</v>
      </c>
      <c r="AH135" s="178">
        <f t="shared" si="42"/>
        <v>7</v>
      </c>
      <c r="AI135" s="227">
        <f t="shared" si="43"/>
        <v>1.2130297850237559</v>
      </c>
      <c r="AJ135" s="267" t="b">
        <f t="shared" si="44"/>
        <v>0</v>
      </c>
      <c r="AK135" s="267" t="b">
        <f t="shared" si="45"/>
        <v>0</v>
      </c>
      <c r="AL135" s="267"/>
      <c r="AM135" s="267"/>
      <c r="AN135" s="75"/>
    </row>
    <row r="136" spans="1:40" s="6" customFormat="1" ht="11.25" x14ac:dyDescent="0.2">
      <c r="A136" s="56">
        <f t="shared" si="46"/>
        <v>45413</v>
      </c>
      <c r="B136" s="413">
        <f>'2023'!Wh/'2023'!Env_an*'2024'!Env_an</f>
        <v>28.193615464858617</v>
      </c>
      <c r="C136" s="868"/>
      <c r="D136" s="395">
        <f t="shared" si="25"/>
        <v>29.60567858168675</v>
      </c>
      <c r="E136" s="387">
        <f t="shared" si="47"/>
        <v>30.290043289784528</v>
      </c>
      <c r="F136" s="387">
        <f t="shared" si="26"/>
        <v>30.328101481663115</v>
      </c>
      <c r="G136" s="110">
        <f t="shared" si="48"/>
        <v>0.49354949738911053</v>
      </c>
      <c r="H136" s="416" t="b">
        <f>Wh_hp&gt;='2023'!Maxi_hp</f>
        <v>0</v>
      </c>
      <c r="I136" s="392">
        <f>IF(H136,Wh_hp,'2023'!Maxi_hp)</f>
        <v>39.747246661532351</v>
      </c>
      <c r="J136" s="85">
        <f>IF(H136,An,'2023'!An_max)</f>
        <v>2021</v>
      </c>
      <c r="K136" s="199">
        <f t="shared" si="27"/>
        <v>45413</v>
      </c>
      <c r="L136" s="147">
        <f>IF(t&lt;Tvie,1-EXP((T0-t)*PertePVj)+'2023'!Pspv,1-EXP((T0-t)*PertePVj)+Pspv)</f>
        <v>4.7695684898153123E-2</v>
      </c>
      <c r="M136" s="872"/>
      <c r="N136" s="872"/>
      <c r="O136" s="48">
        <f>IF(t&lt;Tnet,'2023'!Resal+('2023'!Salim-'2023'!Resal)*(1-EXP(('2023'!Tnet-t)/('2023'!Tau_j))),Resal+(Salim-Resal)*(1-EXP((Tnet-t)/(Tau_j))))*Salcycl</f>
        <v>2.2593718389586622E-2</v>
      </c>
      <c r="P136" s="171">
        <f>(INDEX(Models!$BJ136:$BT136,,T136)*(1-R136)+INDEX(Models!$BJ136:$BT136,,T136+1)*R136-ERP_i)*Q136*Ramure*Pc/MaxiM</f>
        <v>4.5010376972804524E-3</v>
      </c>
      <c r="Q136" s="307">
        <f t="shared" si="28"/>
        <v>0.9</v>
      </c>
      <c r="R136" s="179">
        <f t="shared" si="29"/>
        <v>0.21699526463336505</v>
      </c>
      <c r="S136" s="839">
        <f t="shared" si="30"/>
        <v>1</v>
      </c>
      <c r="T136" s="178">
        <f t="shared" si="31"/>
        <v>7</v>
      </c>
      <c r="U136" s="253">
        <f t="shared" si="32"/>
        <v>1.216995264633365</v>
      </c>
      <c r="V136" s="385">
        <f t="shared" si="33"/>
        <v>56.938523408216753</v>
      </c>
      <c r="W136" s="404">
        <f t="shared" si="34"/>
        <v>28.193615464858617</v>
      </c>
      <c r="X136" s="157">
        <f t="shared" si="35"/>
        <v>45413</v>
      </c>
      <c r="Y136" s="387">
        <f t="shared" si="36"/>
        <v>25.539438932810306</v>
      </c>
      <c r="Z136" s="387">
        <f t="shared" si="37"/>
        <v>26.81856894671208</v>
      </c>
      <c r="AA136" s="388">
        <f t="shared" si="38"/>
        <v>30.290043289784528</v>
      </c>
      <c r="AB136" s="199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0.11460777093848599</v>
      </c>
      <c r="AD136" s="233">
        <f>(INDEX(Models!$BJ136:$BT136,,AH136)*(1-AF136)+INDEX(Models!$BJ136:$BT136,,AH136+1)*AF136-ERP_i)*AE136*Ramure*Pc/MaxiM</f>
        <v>4.5010376972804524E-3</v>
      </c>
      <c r="AE136" s="307">
        <f t="shared" si="40"/>
        <v>0.9</v>
      </c>
      <c r="AF136" s="179">
        <f t="shared" si="41"/>
        <v>0.21699526463336505</v>
      </c>
      <c r="AG136" s="839">
        <f t="shared" si="49"/>
        <v>1</v>
      </c>
      <c r="AH136" s="178">
        <f t="shared" si="42"/>
        <v>7</v>
      </c>
      <c r="AI136" s="227">
        <f t="shared" si="43"/>
        <v>1.216995264633365</v>
      </c>
      <c r="AJ136" s="267" t="b">
        <f t="shared" si="44"/>
        <v>0</v>
      </c>
      <c r="AK136" s="267" t="b">
        <f t="shared" si="45"/>
        <v>0</v>
      </c>
      <c r="AL136" s="267"/>
      <c r="AM136" s="267"/>
      <c r="AN136" s="75"/>
    </row>
    <row r="137" spans="1:40" s="6" customFormat="1" ht="11.25" x14ac:dyDescent="0.2">
      <c r="A137" s="56">
        <f t="shared" si="46"/>
        <v>45414</v>
      </c>
      <c r="B137" s="413">
        <f>'2023'!Wh/'2023'!Env_an*'2024'!Env_an</f>
        <v>33.322077140902614</v>
      </c>
      <c r="C137" s="868"/>
      <c r="D137" s="395">
        <f t="shared" si="25"/>
        <v>34.991811004028321</v>
      </c>
      <c r="E137" s="387">
        <f t="shared" si="47"/>
        <v>35.809381245748341</v>
      </c>
      <c r="F137" s="387">
        <f t="shared" si="26"/>
        <v>35.871136487118505</v>
      </c>
      <c r="G137" s="110">
        <f t="shared" si="48"/>
        <v>0.58191101206858531</v>
      </c>
      <c r="H137" s="416" t="b">
        <f>Wh_hp&gt;='2023'!Maxi_hp</f>
        <v>0</v>
      </c>
      <c r="I137" s="392">
        <f>IF(H137,Wh_hp,'2023'!Maxi_hp)</f>
        <v>59.744764721426584</v>
      </c>
      <c r="J137" s="85">
        <f>IF(H137,An,'2023'!An_max)</f>
        <v>2021</v>
      </c>
      <c r="K137" s="199">
        <f t="shared" si="27"/>
        <v>45414</v>
      </c>
      <c r="L137" s="147">
        <f>IF(t&lt;Tvie,1-EXP((T0-t)*PertePVj)+'2023'!Pspv,1-EXP((T0-t)*PertePVj)+Pspv)</f>
        <v>4.7717846410792686E-2</v>
      </c>
      <c r="M137" s="872"/>
      <c r="N137" s="872"/>
      <c r="O137" s="48">
        <f>IF(t&lt;Tnet,'2023'!Resal+('2023'!Salim-'2023'!Resal)*(1-EXP(('2023'!Tnet-t)/('2023'!Tau_j))),Resal+(Salim-Resal)*(1-EXP((Tnet-t)/(Tau_j))))*Salcycl</f>
        <v>2.2831174772590994E-2</v>
      </c>
      <c r="P137" s="171">
        <f>(INDEX(Models!$BJ137:$BT137,,T137)*(1-R137)+INDEX(Models!$BJ137:$BT137,,T137+1)*R137-ERP_i)*Q137*Ramure*Pc/MaxiM</f>
        <v>4.2524784374258148E-3</v>
      </c>
      <c r="Q137" s="307">
        <f t="shared" si="28"/>
        <v>0.9</v>
      </c>
      <c r="R137" s="179">
        <f t="shared" si="29"/>
        <v>0.22107056840515438</v>
      </c>
      <c r="S137" s="839">
        <f t="shared" si="30"/>
        <v>1</v>
      </c>
      <c r="T137" s="178">
        <f t="shared" si="31"/>
        <v>7</v>
      </c>
      <c r="U137" s="253">
        <f t="shared" si="32"/>
        <v>1.2210705684051544</v>
      </c>
      <c r="V137" s="385">
        <f t="shared" si="33"/>
        <v>57.118006729967256</v>
      </c>
      <c r="W137" s="404">
        <f t="shared" si="34"/>
        <v>33.322077140902614</v>
      </c>
      <c r="X137" s="157">
        <f t="shared" si="35"/>
        <v>45414</v>
      </c>
      <c r="Y137" s="387">
        <f t="shared" si="36"/>
        <v>30.185419869293323</v>
      </c>
      <c r="Z137" s="387">
        <f t="shared" si="37"/>
        <v>31.697979170902975</v>
      </c>
      <c r="AA137" s="388">
        <f t="shared" si="38"/>
        <v>35.809381245748341</v>
      </c>
      <c r="AB137" s="199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0.11481354694821803</v>
      </c>
      <c r="AD137" s="233">
        <f>(INDEX(Models!$BJ137:$BT137,,AH137)*(1-AF137)+INDEX(Models!$BJ137:$BT137,,AH137+1)*AF137-ERP_i)*AE137*Ramure*Pc/MaxiM</f>
        <v>4.2524784374258148E-3</v>
      </c>
      <c r="AE137" s="307">
        <f t="shared" si="40"/>
        <v>0.9</v>
      </c>
      <c r="AF137" s="179">
        <f t="shared" si="41"/>
        <v>0.22107056840515438</v>
      </c>
      <c r="AG137" s="839">
        <f t="shared" si="49"/>
        <v>1</v>
      </c>
      <c r="AH137" s="178">
        <f t="shared" si="42"/>
        <v>7</v>
      </c>
      <c r="AI137" s="227">
        <f t="shared" si="43"/>
        <v>1.2210705684051544</v>
      </c>
      <c r="AJ137" s="267" t="b">
        <f t="shared" si="44"/>
        <v>0</v>
      </c>
      <c r="AK137" s="267" t="b">
        <f t="shared" si="45"/>
        <v>0</v>
      </c>
      <c r="AL137" s="267"/>
      <c r="AM137" s="267"/>
      <c r="AN137" s="75"/>
    </row>
    <row r="138" spans="1:40" s="6" customFormat="1" ht="11.25" x14ac:dyDescent="0.2">
      <c r="A138" s="56">
        <f t="shared" si="46"/>
        <v>45415</v>
      </c>
      <c r="B138" s="413">
        <f>'2023'!Wh/'2023'!Env_an*'2024'!Env_an</f>
        <v>0.84603346650835798</v>
      </c>
      <c r="C138" s="868"/>
      <c r="D138" s="395">
        <f t="shared" si="25"/>
        <v>0.88844797963761502</v>
      </c>
      <c r="E138" s="387">
        <f t="shared" si="47"/>
        <v>0.90942768863947576</v>
      </c>
      <c r="F138" s="387">
        <f t="shared" si="26"/>
        <v>0.90942768863947576</v>
      </c>
      <c r="G138" s="110">
        <f t="shared" si="48"/>
        <v>1.4708685065055105E-2</v>
      </c>
      <c r="H138" s="416" t="b">
        <f>Wh_hp&gt;='2023'!Maxi_hp</f>
        <v>0</v>
      </c>
      <c r="I138" s="392">
        <f>IF(H138,Wh_hp,'2023'!Maxi_hp)</f>
        <v>56.648586728820725</v>
      </c>
      <c r="J138" s="85">
        <f>IF(H138,An,'2023'!An_max)</f>
        <v>2020</v>
      </c>
      <c r="K138" s="199">
        <f t="shared" si="27"/>
        <v>45415</v>
      </c>
      <c r="L138" s="147">
        <f>IF(t&lt;Tvie,1-EXP((T0-t)*PertePVj)+'2023'!Pspv,1-EXP((T0-t)*PertePVj)+Pspv)</f>
        <v>4.7740007407701346E-2</v>
      </c>
      <c r="M138" s="872"/>
      <c r="N138" s="872"/>
      <c r="O138" s="48">
        <f>IF(t&lt;Tnet,'2023'!Resal+('2023'!Salim-'2023'!Resal)*(1-EXP(('2023'!Tnet-t)/('2023'!Tau_j))),Resal+(Salim-Resal)*(1-EXP((Tnet-t)/(Tau_j))))*Salcycl</f>
        <v>2.3069133768344869E-2</v>
      </c>
      <c r="P138" s="171">
        <f>(INDEX(Models!$BJ138:$BT138,,T138)*(1-R138)+INDEX(Models!$BJ138:$BT138,,T138+1)*R138-ERP_i)*Q138*Ramure*Pc/MaxiM</f>
        <v>4.01043618081285E-3</v>
      </c>
      <c r="Q138" s="307">
        <f t="shared" si="28"/>
        <v>0.9</v>
      </c>
      <c r="R138" s="179">
        <f t="shared" si="29"/>
        <v>0.22525673768796084</v>
      </c>
      <c r="S138" s="839">
        <f t="shared" si="30"/>
        <v>1</v>
      </c>
      <c r="T138" s="178">
        <f t="shared" si="31"/>
        <v>7</v>
      </c>
      <c r="U138" s="253">
        <f t="shared" si="32"/>
        <v>1.2252567376879608</v>
      </c>
      <c r="V138" s="385">
        <f t="shared" si="33"/>
        <v>57.288635901657841</v>
      </c>
      <c r="W138" s="404">
        <f t="shared" si="34"/>
        <v>0.84603346650835798</v>
      </c>
      <c r="X138" s="157">
        <f t="shared" si="35"/>
        <v>45415</v>
      </c>
      <c r="Y138" s="387">
        <f t="shared" si="36"/>
        <v>0.76640171022065284</v>
      </c>
      <c r="Z138" s="387">
        <f t="shared" si="37"/>
        <v>0.80482401464153575</v>
      </c>
      <c r="AA138" s="388">
        <f t="shared" si="38"/>
        <v>0.90942768863947576</v>
      </c>
      <c r="AB138" s="199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0.11502143084562283</v>
      </c>
      <c r="AD138" s="233">
        <f>(INDEX(Models!$BJ138:$BT138,,AH138)*(1-AF138)+INDEX(Models!$BJ138:$BT138,,AH138+1)*AF138-ERP_i)*AE138*Ramure*Pc/MaxiM</f>
        <v>4.01043618081285E-3</v>
      </c>
      <c r="AE138" s="307">
        <f t="shared" si="40"/>
        <v>0.9</v>
      </c>
      <c r="AF138" s="179">
        <f t="shared" si="41"/>
        <v>0.22525673768796084</v>
      </c>
      <c r="AG138" s="839">
        <f t="shared" si="49"/>
        <v>1</v>
      </c>
      <c r="AH138" s="178">
        <f t="shared" si="42"/>
        <v>7</v>
      </c>
      <c r="AI138" s="227">
        <f t="shared" si="43"/>
        <v>1.2252567376879608</v>
      </c>
      <c r="AJ138" s="267" t="b">
        <f t="shared" si="44"/>
        <v>0</v>
      </c>
      <c r="AK138" s="267" t="b">
        <f t="shared" si="45"/>
        <v>0</v>
      </c>
      <c r="AL138" s="267"/>
      <c r="AM138" s="267"/>
      <c r="AN138" s="75"/>
    </row>
    <row r="139" spans="1:40" s="6" customFormat="1" ht="11.25" x14ac:dyDescent="0.2">
      <c r="A139" s="56">
        <f t="shared" si="46"/>
        <v>45416</v>
      </c>
      <c r="B139" s="413">
        <f>'2023'!Wh/'2023'!Env_an*'2024'!Env_an</f>
        <v>38.883774304583689</v>
      </c>
      <c r="C139" s="868"/>
      <c r="D139" s="395">
        <f t="shared" si="25"/>
        <v>40.834099416506554</v>
      </c>
      <c r="E139" s="387">
        <f t="shared" si="47"/>
        <v>41.808556442894684</v>
      </c>
      <c r="F139" s="387">
        <f t="shared" si="26"/>
        <v>41.893681491339962</v>
      </c>
      <c r="G139" s="110">
        <f t="shared" si="48"/>
        <v>0.67563632206699498</v>
      </c>
      <c r="H139" s="416" t="b">
        <f>Wh_hp&gt;='2023'!Maxi_hp</f>
        <v>0</v>
      </c>
      <c r="I139" s="392">
        <f>IF(H139,Wh_hp,'2023'!Maxi_hp)</f>
        <v>58.989313810464012</v>
      </c>
      <c r="J139" s="85">
        <f>IF(H139,An,'2023'!An_max)</f>
        <v>2020</v>
      </c>
      <c r="K139" s="199">
        <f t="shared" si="27"/>
        <v>45416</v>
      </c>
      <c r="L139" s="147">
        <f>IF(t&lt;Tvie,1-EXP((T0-t)*PertePVj)+'2023'!Pspv,1-EXP((T0-t)*PertePVj)+Pspv)</f>
        <v>4.7762167888891316E-2</v>
      </c>
      <c r="M139" s="872"/>
      <c r="N139" s="872"/>
      <c r="O139" s="48">
        <f>IF(t&lt;Tnet,'2023'!Resal+('2023'!Salim-'2023'!Resal)*(1-EXP(('2023'!Tnet-t)/('2023'!Tau_j))),Resal+(Salim-Resal)*(1-EXP((Tnet-t)/(Tau_j))))*Salcycl</f>
        <v>2.3307597996575505E-2</v>
      </c>
      <c r="P139" s="171">
        <f>(INDEX(Models!$BJ139:$BT139,,T139)*(1-R139)+INDEX(Models!$BJ139:$BT139,,T139+1)*R139-ERP_i)*Q139*Ramure*Pc/MaxiM</f>
        <v>3.7746352749922544E-3</v>
      </c>
      <c r="Q139" s="307">
        <f t="shared" si="28"/>
        <v>0.9</v>
      </c>
      <c r="R139" s="179">
        <f t="shared" si="29"/>
        <v>0.22955467898116799</v>
      </c>
      <c r="S139" s="839">
        <f t="shared" si="30"/>
        <v>1</v>
      </c>
      <c r="T139" s="178">
        <f t="shared" si="31"/>
        <v>7</v>
      </c>
      <c r="U139" s="253">
        <f t="shared" si="32"/>
        <v>1.229554678981168</v>
      </c>
      <c r="V139" s="385">
        <f t="shared" si="33"/>
        <v>57.450838753122305</v>
      </c>
      <c r="W139" s="404">
        <f t="shared" si="34"/>
        <v>38.883774304583689</v>
      </c>
      <c r="X139" s="157">
        <f t="shared" si="35"/>
        <v>45416</v>
      </c>
      <c r="Y139" s="387">
        <f t="shared" si="36"/>
        <v>35.224133080118087</v>
      </c>
      <c r="Z139" s="387">
        <f t="shared" si="37"/>
        <v>36.99089858888118</v>
      </c>
      <c r="AA139" s="388">
        <f t="shared" si="38"/>
        <v>41.808556442894684</v>
      </c>
      <c r="AB139" s="199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0.11523138476674806</v>
      </c>
      <c r="AD139" s="233">
        <f>(INDEX(Models!$BJ139:$BT139,,AH139)*(1-AF139)+INDEX(Models!$BJ139:$BT139,,AH139+1)*AF139-ERP_i)*AE139*Ramure*Pc/MaxiM</f>
        <v>3.7746352749922544E-3</v>
      </c>
      <c r="AE139" s="307">
        <f t="shared" si="40"/>
        <v>0.9</v>
      </c>
      <c r="AF139" s="179">
        <f t="shared" si="41"/>
        <v>0.22955467898116799</v>
      </c>
      <c r="AG139" s="839">
        <f t="shared" si="49"/>
        <v>1</v>
      </c>
      <c r="AH139" s="178">
        <f t="shared" si="42"/>
        <v>7</v>
      </c>
      <c r="AI139" s="227">
        <f t="shared" si="43"/>
        <v>1.229554678981168</v>
      </c>
      <c r="AJ139" s="267" t="b">
        <f t="shared" si="44"/>
        <v>0</v>
      </c>
      <c r="AK139" s="267" t="b">
        <f t="shared" si="45"/>
        <v>0</v>
      </c>
      <c r="AL139" s="267"/>
      <c r="AM139" s="267"/>
      <c r="AN139" s="75"/>
    </row>
    <row r="140" spans="1:40" s="6" customFormat="1" ht="11.25" x14ac:dyDescent="0.2">
      <c r="A140" s="56">
        <f t="shared" si="46"/>
        <v>45417</v>
      </c>
      <c r="B140" s="413">
        <f>'2023'!Wh/'2023'!Env_an*'2024'!Env_an</f>
        <v>36.04730994923289</v>
      </c>
      <c r="C140" s="868"/>
      <c r="D140" s="395">
        <f t="shared" si="25"/>
        <v>37.856245180262121</v>
      </c>
      <c r="E140" s="387">
        <f t="shared" si="47"/>
        <v>38.769125045439935</v>
      </c>
      <c r="F140" s="387">
        <f t="shared" si="26"/>
        <v>38.833187669451995</v>
      </c>
      <c r="G140" s="110">
        <f t="shared" si="48"/>
        <v>0.62457870123582393</v>
      </c>
      <c r="H140" s="416" t="b">
        <f>Wh_hp&gt;='2023'!Maxi_hp</f>
        <v>0</v>
      </c>
      <c r="I140" s="392">
        <f>IF(H140,Wh_hp,'2023'!Maxi_hp)</f>
        <v>64.322746160656237</v>
      </c>
      <c r="J140" s="85">
        <f>IF(H140,An,'2023'!An_max)</f>
        <v>2019</v>
      </c>
      <c r="K140" s="199">
        <f t="shared" si="27"/>
        <v>45417</v>
      </c>
      <c r="L140" s="147">
        <f>IF(t&lt;Tvie,1-EXP((T0-t)*PertePVj)+'2023'!Pspv,1-EXP((T0-t)*PertePVj)+Pspv)</f>
        <v>4.7784327854374475E-2</v>
      </c>
      <c r="M140" s="872"/>
      <c r="N140" s="872"/>
      <c r="O140" s="48">
        <f>IF(t&lt;Tnet,'2023'!Resal+('2023'!Salim-'2023'!Resal)*(1-EXP(('2023'!Tnet-t)/('2023'!Tau_j))),Resal+(Salim-Resal)*(1-EXP((Tnet-t)/(Tau_j))))*Salcycl</f>
        <v>2.3546568670504069E-2</v>
      </c>
      <c r="P140" s="171">
        <f>(INDEX(Models!$BJ140:$BT140,,T140)*(1-R140)+INDEX(Models!$BJ140:$BT140,,T140+1)*R140-ERP_i)*Q140*Ramure*Pc/MaxiM</f>
        <v>3.5448120345813331E-3</v>
      </c>
      <c r="Q140" s="307">
        <f t="shared" si="28"/>
        <v>0.9</v>
      </c>
      <c r="R140" s="179">
        <f t="shared" si="29"/>
        <v>0.23396515408704577</v>
      </c>
      <c r="S140" s="839">
        <f t="shared" si="30"/>
        <v>1</v>
      </c>
      <c r="T140" s="178">
        <f t="shared" si="31"/>
        <v>7</v>
      </c>
      <c r="U140" s="253">
        <f t="shared" si="32"/>
        <v>1.2339651540870458</v>
      </c>
      <c r="V140" s="385">
        <f t="shared" si="33"/>
        <v>57.605042972316525</v>
      </c>
      <c r="W140" s="404">
        <f t="shared" si="34"/>
        <v>36.04730994923289</v>
      </c>
      <c r="X140" s="157">
        <f t="shared" si="35"/>
        <v>45417</v>
      </c>
      <c r="Y140" s="387">
        <f t="shared" si="36"/>
        <v>32.654795556284817</v>
      </c>
      <c r="Z140" s="387">
        <f t="shared" si="37"/>
        <v>34.29348677144101</v>
      </c>
      <c r="AA140" s="388">
        <f t="shared" si="38"/>
        <v>38.769125045439935</v>
      </c>
      <c r="AB140" s="199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0.11544336553257749</v>
      </c>
      <c r="AD140" s="233">
        <f>(INDEX(Models!$BJ140:$BT140,,AH140)*(1-AF140)+INDEX(Models!$BJ140:$BT140,,AH140+1)*AF140-ERP_i)*AE140*Ramure*Pc/MaxiM</f>
        <v>3.5448120345813331E-3</v>
      </c>
      <c r="AE140" s="307">
        <f t="shared" si="40"/>
        <v>0.9</v>
      </c>
      <c r="AF140" s="179">
        <f t="shared" si="41"/>
        <v>0.23396515408704577</v>
      </c>
      <c r="AG140" s="839">
        <f t="shared" si="49"/>
        <v>1</v>
      </c>
      <c r="AH140" s="178">
        <f t="shared" si="42"/>
        <v>7</v>
      </c>
      <c r="AI140" s="227">
        <f t="shared" si="43"/>
        <v>1.2339651540870458</v>
      </c>
      <c r="AJ140" s="267" t="b">
        <f t="shared" si="44"/>
        <v>0</v>
      </c>
      <c r="AK140" s="267" t="b">
        <f t="shared" si="45"/>
        <v>0</v>
      </c>
      <c r="AL140" s="267"/>
      <c r="AM140" s="267"/>
      <c r="AN140" s="75"/>
    </row>
    <row r="141" spans="1:40" s="6" customFormat="1" ht="11.25" x14ac:dyDescent="0.2">
      <c r="A141" s="56">
        <f t="shared" si="46"/>
        <v>45418</v>
      </c>
      <c r="B141" s="413">
        <f>'2023'!Wh/'2023'!Env_an*'2024'!Env_an</f>
        <v>49.522807836710875</v>
      </c>
      <c r="C141" s="868"/>
      <c r="D141" s="395">
        <f t="shared" si="25"/>
        <v>52.009184242919886</v>
      </c>
      <c r="E141" s="387">
        <f t="shared" si="47"/>
        <v>53.276419585055187</v>
      </c>
      <c r="F141" s="387">
        <f t="shared" si="26"/>
        <v>53.417697246767702</v>
      </c>
      <c r="G141" s="110">
        <f t="shared" si="48"/>
        <v>0.85693174483221701</v>
      </c>
      <c r="H141" s="416" t="b">
        <f>Wh_hp&gt;='2023'!Maxi_hp</f>
        <v>0</v>
      </c>
      <c r="I141" s="392">
        <f>IF(H141,Wh_hp,'2023'!Maxi_hp)</f>
        <v>59.596399989587596</v>
      </c>
      <c r="J141" s="85">
        <f>IF(H141,An,'2023'!An_max)</f>
        <v>2020</v>
      </c>
      <c r="K141" s="199">
        <f t="shared" si="27"/>
        <v>45418</v>
      </c>
      <c r="L141" s="147">
        <f>IF(t&lt;Tvie,1-EXP((T0-t)*PertePVj)+'2023'!Pspv,1-EXP((T0-t)*PertePVj)+Pspv)</f>
        <v>4.7806487304162815E-2</v>
      </c>
      <c r="M141" s="872"/>
      <c r="N141" s="872"/>
      <c r="O141" s="48">
        <f>IF(t&lt;Tnet,'2023'!Resal+('2023'!Salim-'2023'!Resal)*(1-EXP(('2023'!Tnet-t)/('2023'!Tau_j))),Resal+(Salim-Resal)*(1-EXP((Tnet-t)/(Tau_j))))*Salcycl</f>
        <v>2.3786045533937868E-2</v>
      </c>
      <c r="P141" s="171">
        <f>(INDEX(Models!$BJ141:$BT141,,T141)*(1-R141)+INDEX(Models!$BJ141:$BT141,,T141+1)*R141-ERP_i)*Q141*Ramure*Pc/MaxiM</f>
        <v>3.3207138022115037E-3</v>
      </c>
      <c r="Q141" s="307">
        <f t="shared" si="28"/>
        <v>0.9</v>
      </c>
      <c r="R141" s="179">
        <f t="shared" si="29"/>
        <v>0.23848877025425907</v>
      </c>
      <c r="S141" s="839">
        <f t="shared" si="30"/>
        <v>1</v>
      </c>
      <c r="T141" s="178">
        <f t="shared" si="31"/>
        <v>7</v>
      </c>
      <c r="U141" s="253">
        <f t="shared" si="32"/>
        <v>1.2384887702542591</v>
      </c>
      <c r="V141" s="385">
        <f t="shared" si="33"/>
        <v>57.751676094821832</v>
      </c>
      <c r="W141" s="404">
        <f t="shared" si="34"/>
        <v>49.522807836710875</v>
      </c>
      <c r="X141" s="157">
        <f t="shared" si="35"/>
        <v>45418</v>
      </c>
      <c r="Y141" s="387">
        <f t="shared" si="36"/>
        <v>44.862227360889783</v>
      </c>
      <c r="Z141" s="387">
        <f t="shared" si="37"/>
        <v>47.114611434262414</v>
      </c>
      <c r="AA141" s="388">
        <f t="shared" si="38"/>
        <v>53.276419585055187</v>
      </c>
      <c r="AB141" s="199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0.11565732454966345</v>
      </c>
      <c r="AD141" s="233">
        <f>(INDEX(Models!$BJ141:$BT141,,AH141)*(1-AF141)+INDEX(Models!$BJ141:$BT141,,AH141+1)*AF141-ERP_i)*AE141*Ramure*Pc/MaxiM</f>
        <v>3.3207138022115037E-3</v>
      </c>
      <c r="AE141" s="307">
        <f t="shared" si="40"/>
        <v>0.9</v>
      </c>
      <c r="AF141" s="179">
        <f t="shared" si="41"/>
        <v>0.23848877025425907</v>
      </c>
      <c r="AG141" s="839">
        <f t="shared" si="49"/>
        <v>1</v>
      </c>
      <c r="AH141" s="178">
        <f t="shared" si="42"/>
        <v>7</v>
      </c>
      <c r="AI141" s="227">
        <f t="shared" si="43"/>
        <v>1.2384887702542591</v>
      </c>
      <c r="AJ141" s="267" t="b">
        <f t="shared" si="44"/>
        <v>0</v>
      </c>
      <c r="AK141" s="267" t="b">
        <f t="shared" si="45"/>
        <v>0</v>
      </c>
      <c r="AL141" s="267"/>
      <c r="AM141" s="267"/>
      <c r="AN141" s="75"/>
    </row>
    <row r="142" spans="1:40" s="6" customFormat="1" ht="11.25" x14ac:dyDescent="0.2">
      <c r="A142" s="56">
        <f t="shared" si="46"/>
        <v>45419</v>
      </c>
      <c r="B142" s="413">
        <f>'2023'!Wh/'2023'!Env_an*'2024'!Env_an</f>
        <v>50.380682854318962</v>
      </c>
      <c r="C142" s="868"/>
      <c r="D142" s="395">
        <f t="shared" si="25"/>
        <v>52.911361652795605</v>
      </c>
      <c r="E142" s="387">
        <f t="shared" si="47"/>
        <v>54.213906421473723</v>
      </c>
      <c r="F142" s="387">
        <f t="shared" si="26"/>
        <v>54.351521621355076</v>
      </c>
      <c r="G142" s="110">
        <f t="shared" si="48"/>
        <v>0.86976803668275304</v>
      </c>
      <c r="H142" s="416" t="b">
        <f>Wh_hp&gt;='2023'!Maxi_hp</f>
        <v>0</v>
      </c>
      <c r="I142" s="392">
        <f>IF(H142,Wh_hp,'2023'!Maxi_hp)</f>
        <v>57.502129764921655</v>
      </c>
      <c r="J142" s="85">
        <f>IF(H142,An,'2023'!An_max)</f>
        <v>2021</v>
      </c>
      <c r="K142" s="199">
        <f t="shared" si="27"/>
        <v>45419</v>
      </c>
      <c r="L142" s="147">
        <f>IF(t&lt;Tvie,1-EXP((T0-t)*PertePVj)+'2023'!Pspv,1-EXP((T0-t)*PertePVj)+Pspv)</f>
        <v>4.7828646238268435E-2</v>
      </c>
      <c r="M142" s="872"/>
      <c r="N142" s="872"/>
      <c r="O142" s="48">
        <f>IF(t&lt;Tnet,'2023'!Resal+('2023'!Salim-'2023'!Resal)*(1-EXP(('2023'!Tnet-t)/('2023'!Tau_j))),Resal+(Salim-Resal)*(1-EXP((Tnet-t)/(Tau_j))))*Salcycl</f>
        <v>2.4026026801163825E-2</v>
      </c>
      <c r="P142" s="171">
        <f>(INDEX(Models!$BJ142:$BT142,,T142)*(1-R142)+INDEX(Models!$BJ142:$BT142,,T142+1)*R142-ERP_i)*Q142*Ramure*Pc/MaxiM</f>
        <v>3.1079339198129535E-3</v>
      </c>
      <c r="Q142" s="307">
        <f t="shared" si="28"/>
        <v>0.9</v>
      </c>
      <c r="R142" s="179">
        <f t="shared" si="29"/>
        <v>0.24312597037164529</v>
      </c>
      <c r="S142" s="839">
        <f t="shared" si="30"/>
        <v>1</v>
      </c>
      <c r="T142" s="178">
        <f t="shared" si="31"/>
        <v>7</v>
      </c>
      <c r="U142" s="253">
        <f t="shared" si="32"/>
        <v>1.2431259703716453</v>
      </c>
      <c r="V142" s="385">
        <f t="shared" si="33"/>
        <v>57.890826613626082</v>
      </c>
      <c r="W142" s="404">
        <f t="shared" si="34"/>
        <v>50.380682854318962</v>
      </c>
      <c r="X142" s="157">
        <f t="shared" si="35"/>
        <v>45419</v>
      </c>
      <c r="Y142" s="387">
        <f t="shared" si="36"/>
        <v>45.639446079192261</v>
      </c>
      <c r="Z142" s="387">
        <f t="shared" si="37"/>
        <v>47.93196718099643</v>
      </c>
      <c r="AA142" s="388">
        <f t="shared" si="38"/>
        <v>54.213906421473723</v>
      </c>
      <c r="AB142" s="199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0.11587320772717949</v>
      </c>
      <c r="AD142" s="233">
        <f>(INDEX(Models!$BJ142:$BT142,,AH142)*(1-AF142)+INDEX(Models!$BJ142:$BT142,,AH142+1)*AF142-ERP_i)*AE142*Ramure*Pc/MaxiM</f>
        <v>3.1079339198129535E-3</v>
      </c>
      <c r="AE142" s="307">
        <f t="shared" si="40"/>
        <v>0.9</v>
      </c>
      <c r="AF142" s="179">
        <f t="shared" si="41"/>
        <v>0.24312597037164529</v>
      </c>
      <c r="AG142" s="839">
        <f t="shared" si="49"/>
        <v>1</v>
      </c>
      <c r="AH142" s="178">
        <f t="shared" si="42"/>
        <v>7</v>
      </c>
      <c r="AI142" s="227">
        <f t="shared" si="43"/>
        <v>1.2431259703716453</v>
      </c>
      <c r="AJ142" s="267" t="b">
        <f t="shared" si="44"/>
        <v>0</v>
      </c>
      <c r="AK142" s="267" t="b">
        <f t="shared" si="45"/>
        <v>0</v>
      </c>
      <c r="AL142" s="267"/>
      <c r="AM142" s="267"/>
      <c r="AN142" s="75"/>
    </row>
    <row r="143" spans="1:40" s="6" customFormat="1" ht="11.25" x14ac:dyDescent="0.2">
      <c r="A143" s="56">
        <f t="shared" si="46"/>
        <v>45420</v>
      </c>
      <c r="B143" s="413">
        <f>'2023'!Wh/'2023'!Env_an*'2024'!Env_an</f>
        <v>55.945284150239956</v>
      </c>
      <c r="C143" s="868"/>
      <c r="D143" s="395">
        <f t="shared" ref="D143:D206" si="50">Wh/(1-Ppv)</f>
        <v>58.756846536081909</v>
      </c>
      <c r="E143" s="387">
        <f t="shared" si="47"/>
        <v>60.218130344076314</v>
      </c>
      <c r="F143" s="387">
        <f t="shared" ref="F143:F206" si="51">Wh_sa/(1-Pvg*MEDIAN((-Sdif+Wh/Env_an)/Csdif,0,1))</f>
        <v>60.384615299424702</v>
      </c>
      <c r="G143" s="110">
        <f t="shared" si="48"/>
        <v>0.96404862791068768</v>
      </c>
      <c r="H143" s="416" t="b">
        <f>Wh_hp&gt;='2023'!Maxi_hp</f>
        <v>0</v>
      </c>
      <c r="I143" s="392">
        <f>IF(H143,Wh_hp,'2023'!Maxi_hp)</f>
        <v>60.389328198087391</v>
      </c>
      <c r="J143" s="85">
        <f>IF(H143,An,'2023'!An_max)</f>
        <v>2022</v>
      </c>
      <c r="K143" s="199">
        <f t="shared" ref="K143:K206" si="52">t</f>
        <v>45420</v>
      </c>
      <c r="L143" s="147">
        <f>IF(t&lt;Tvie,1-EXP((T0-t)*PertePVj)+'2023'!Pspv,1-EXP((T0-t)*PertePVj)+Pspv)</f>
        <v>4.7850804656703327E-2</v>
      </c>
      <c r="M143" s="872"/>
      <c r="N143" s="872"/>
      <c r="O143" s="48">
        <f>IF(t&lt;Tnet,'2023'!Resal+('2023'!Salim-'2023'!Resal)*(1-EXP(('2023'!Tnet-t)/('2023'!Tau_j))),Resal+(Salim-Resal)*(1-EXP((Tnet-t)/(Tau_j))))*Salcycl</f>
        <v>2.4266509100247288E-2</v>
      </c>
      <c r="P143" s="171">
        <f>(INDEX(Models!$BJ143:$BT143,,T143)*(1-R143)+INDEX(Models!$BJ143:$BT143,,T143+1)*R143-ERP_i)*Q143*Ramure*Pc/MaxiM</f>
        <v>2.9057140106718664E-3</v>
      </c>
      <c r="Q143" s="307">
        <f t="shared" ref="Q143:Q206" si="53">IF(OR(t&lt;Ttai,Notai),Dd+PousD*Croivg,Dens+PousD*(Croivg-Croi_tai))</f>
        <v>0.9</v>
      </c>
      <c r="R143" s="179">
        <f t="shared" ref="R143:R206" si="54">(Hp_vg-S143)/(INDEX(Echel_vg,T143+1)-S143)</f>
        <v>0.24787702327592864</v>
      </c>
      <c r="S143" s="839">
        <f t="shared" ref="S143:S206" si="55">INDEX(Echel_vg,T143)</f>
        <v>1</v>
      </c>
      <c r="T143" s="178">
        <f t="shared" ref="T143:T206" si="56">MIN(MATCH(Hp_vg,Echel_vg),10)</f>
        <v>7</v>
      </c>
      <c r="U143" s="253">
        <f t="shared" ref="U143:U206" si="57">IF(OR(t&lt;Ttai,Notai),Hdd+PousH*Croivg,Hdtf+PousH*(Croivg-Croi_tai))</f>
        <v>1.2478770232759286</v>
      </c>
      <c r="V143" s="385">
        <f t="shared" ref="V143:V206" si="58">MaxiM*(1-Ppv)*(1-Pvg)*(1-Psa)</f>
        <v>58.022950220515348</v>
      </c>
      <c r="W143" s="404">
        <f t="shared" ref="W143:W206" si="59">Wh*(A143&gt;Tmaj)</f>
        <v>55.945284150239956</v>
      </c>
      <c r="X143" s="157">
        <f t="shared" ref="X143:X206" si="60">t</f>
        <v>45420</v>
      </c>
      <c r="Y143" s="387">
        <f t="shared" ref="Y143:Y206" si="61">Wh_pvt_s*(1-Ppv)</f>
        <v>50.680378529207644</v>
      </c>
      <c r="Z143" s="387">
        <f t="shared" ref="Z143:Z206" si="62">Wh_sa_s*(1-Psa_s)</f>
        <v>53.227350059288632</v>
      </c>
      <c r="AA143" s="388">
        <f t="shared" ref="AA143:AA206" si="63">Wh_hp*(1-Pvg_s*MEDIAN((-Sdif+Wh/Env_an)/Csdif,0,1))</f>
        <v>60.218130344076314</v>
      </c>
      <c r="AB143" s="199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0.11609095541232402</v>
      </c>
      <c r="AD143" s="233">
        <f>(INDEX(Models!$BJ143:$BT143,,AH143)*(1-AF143)+INDEX(Models!$BJ143:$BT143,,AH143+1)*AF143-ERP_i)*AE143*Ramure*Pc/MaxiM</f>
        <v>2.9057140106718664E-3</v>
      </c>
      <c r="AE143" s="307">
        <f t="shared" ref="AE143:AE206" si="65">IF(OR(t&lt;Ttai,Notai),Dd_s+PousD*Croivg,Dens_s+PousD*(Croivg-Croi_tai))</f>
        <v>0.9</v>
      </c>
      <c r="AF143" s="179">
        <f t="shared" ref="AF143:AF206" si="66">(Hp_vg_s-AG143)/(INDEX(Echel_vg,AH143+1)-AG143)</f>
        <v>0.24787702327592864</v>
      </c>
      <c r="AG143" s="839">
        <f t="shared" si="49"/>
        <v>1</v>
      </c>
      <c r="AH143" s="178">
        <f t="shared" ref="AH143:AH206" si="67">MIN(MATCH(Hp_vg_s,Echel_vg),10)</f>
        <v>7</v>
      </c>
      <c r="AI143" s="227">
        <f t="shared" ref="AI143:AI206" si="68">IF(OR(t&lt;Ttai,Notai),Hdd_s+PousH*Croivg,Hdtai_s+PousH*(Croivg-Croi_tai))</f>
        <v>1.2478770232759286</v>
      </c>
      <c r="AJ143" s="267" t="b">
        <f t="shared" ref="AJ143:AJ206" si="69">t&lt;Tnet</f>
        <v>0</v>
      </c>
      <c r="AK143" s="267" t="b">
        <f t="shared" ref="AK143:AK206" si="70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71">A143+1</f>
        <v>45421</v>
      </c>
      <c r="B144" s="413">
        <f>'2023'!Wh/'2023'!Env_an*'2024'!Env_an</f>
        <v>51.360097495721391</v>
      </c>
      <c r="C144" s="868"/>
      <c r="D144" s="395">
        <f t="shared" si="50"/>
        <v>53.942484013253171</v>
      </c>
      <c r="E144" s="387">
        <f t="shared" ref="E144:E169" si="72">Wh_pvt/(1-Psa)</f>
        <v>55.297691491864597</v>
      </c>
      <c r="F144" s="387">
        <f t="shared" si="51"/>
        <v>55.423018274859331</v>
      </c>
      <c r="G144" s="110">
        <f t="shared" ref="G144:G169" si="73">+Wh_hp/MaxiM</f>
        <v>0.88285727277166948</v>
      </c>
      <c r="H144" s="416" t="b">
        <f>Wh_hp&gt;='2023'!Maxi_hp</f>
        <v>0</v>
      </c>
      <c r="I144" s="392">
        <f>IF(H144,Wh_hp,'2023'!Maxi_hp)</f>
        <v>55.43619024431473</v>
      </c>
      <c r="J144" s="85">
        <f>IF(H144,An,'2023'!An_max)</f>
        <v>2022</v>
      </c>
      <c r="K144" s="199">
        <f t="shared" si="52"/>
        <v>45421</v>
      </c>
      <c r="L144" s="147">
        <f>IF(t&lt;Tvie,1-EXP((T0-t)*PertePVj)+'2023'!Pspv,1-EXP((T0-t)*PertePVj)+Pspv)</f>
        <v>4.7872962559479371E-2</v>
      </c>
      <c r="M144" s="872"/>
      <c r="N144" s="872"/>
      <c r="O144" s="48">
        <f>IF(t&lt;Tnet,'2023'!Resal+('2023'!Salim-'2023'!Resal)*(1-EXP(('2023'!Tnet-t)/('2023'!Tau_j))),Resal+(Salim-Resal)*(1-EXP((Tnet-t)/(Tau_j))))*Salcycl</f>
        <v>2.4507487420352931E-2</v>
      </c>
      <c r="P144" s="171">
        <f>(INDEX(Models!$BJ144:$BT144,,T144)*(1-R144)+INDEX(Models!$BJ144:$BT144,,T144+1)*R144-ERP_i)*Q144*Ramure*Pc/MaxiM</f>
        <v>2.713882834141289E-3</v>
      </c>
      <c r="Q144" s="307">
        <f t="shared" si="53"/>
        <v>0.9</v>
      </c>
      <c r="R144" s="179">
        <f t="shared" si="54"/>
        <v>0.25274201424133436</v>
      </c>
      <c r="S144" s="839">
        <f t="shared" si="55"/>
        <v>1</v>
      </c>
      <c r="T144" s="178">
        <f t="shared" si="56"/>
        <v>7</v>
      </c>
      <c r="U144" s="253">
        <f t="shared" si="57"/>
        <v>1.2527420142413344</v>
      </c>
      <c r="V144" s="385">
        <f t="shared" si="58"/>
        <v>58.148469183181945</v>
      </c>
      <c r="W144" s="404">
        <f t="shared" si="59"/>
        <v>51.360097495721391</v>
      </c>
      <c r="X144" s="157">
        <f t="shared" si="60"/>
        <v>45421</v>
      </c>
      <c r="Y144" s="387">
        <f t="shared" si="61"/>
        <v>46.526629543710634</v>
      </c>
      <c r="Z144" s="387">
        <f t="shared" si="62"/>
        <v>48.865989215874094</v>
      </c>
      <c r="AA144" s="388">
        <f t="shared" si="63"/>
        <v>55.297691491864597</v>
      </c>
      <c r="AB144" s="199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0.11631050234595665</v>
      </c>
      <c r="AD144" s="233">
        <f>(INDEX(Models!$BJ144:$BT144,,AH144)*(1-AF144)+INDEX(Models!$BJ144:$BT144,,AH144+1)*AF144-ERP_i)*AE144*Ramure*Pc/MaxiM</f>
        <v>2.713882834141289E-3</v>
      </c>
      <c r="AE144" s="307">
        <f t="shared" si="65"/>
        <v>0.9</v>
      </c>
      <c r="AF144" s="179">
        <f t="shared" si="66"/>
        <v>0.25274201424133436</v>
      </c>
      <c r="AG144" s="839">
        <f t="shared" ref="AG144:AG207" si="74">INDEX(Echel_vg,AH144)</f>
        <v>1</v>
      </c>
      <c r="AH144" s="178">
        <f t="shared" si="67"/>
        <v>7</v>
      </c>
      <c r="AI144" s="227">
        <f t="shared" si="68"/>
        <v>1.2527420142413344</v>
      </c>
      <c r="AJ144" s="267" t="b">
        <f t="shared" si="69"/>
        <v>0</v>
      </c>
      <c r="AK144" s="267" t="b">
        <f t="shared" si="70"/>
        <v>0</v>
      </c>
      <c r="AL144" s="267"/>
      <c r="AM144" s="267"/>
      <c r="AN144" s="75"/>
    </row>
    <row r="145" spans="1:40" s="6" customFormat="1" ht="11.25" x14ac:dyDescent="0.2">
      <c r="A145" s="56">
        <f t="shared" si="71"/>
        <v>45422</v>
      </c>
      <c r="B145" s="413">
        <f>'2023'!Wh/'2023'!Env_an*'2024'!Env_an</f>
        <v>56.288648787131201</v>
      </c>
      <c r="C145" s="868"/>
      <c r="D145" s="395">
        <f t="shared" si="50"/>
        <v>59.120218755705466</v>
      </c>
      <c r="E145" s="387">
        <f t="shared" si="72"/>
        <v>60.620513110619349</v>
      </c>
      <c r="F145" s="387">
        <f t="shared" si="51"/>
        <v>60.766925419479087</v>
      </c>
      <c r="G145" s="110">
        <f t="shared" si="73"/>
        <v>0.96591445652551389</v>
      </c>
      <c r="H145" s="416" t="b">
        <f>Wh_hp&gt;='2023'!Maxi_hp</f>
        <v>0</v>
      </c>
      <c r="I145" s="392">
        <f>IF(H145,Wh_hp,'2023'!Maxi_hp)</f>
        <v>60.770845469970119</v>
      </c>
      <c r="J145" s="85">
        <f>IF(H145,An,'2023'!An_max)</f>
        <v>2022</v>
      </c>
      <c r="K145" s="199">
        <f t="shared" si="52"/>
        <v>45422</v>
      </c>
      <c r="L145" s="147">
        <f>IF(t&lt;Tvie,1-EXP((T0-t)*PertePVj)+'2023'!Pspv,1-EXP((T0-t)*PertePVj)+Pspv)</f>
        <v>4.7895119946608777E-2</v>
      </c>
      <c r="M145" s="872"/>
      <c r="N145" s="872"/>
      <c r="O145" s="48">
        <f>IF(t&lt;Tnet,'2023'!Resal+('2023'!Salim-'2023'!Resal)*(1-EXP(('2023'!Tnet-t)/('2023'!Tau_j))),Resal+(Salim-Resal)*(1-EXP((Tnet-t)/(Tau_j))))*Salcycl</f>
        <v>2.4748955063711945E-2</v>
      </c>
      <c r="P145" s="171">
        <f>(INDEX(Models!$BJ145:$BT145,,T145)*(1-R145)+INDEX(Models!$BJ145:$BT145,,T145+1)*R145-ERP_i)*Q145*Ramure*Pc/MaxiM</f>
        <v>2.5322835169030106E-3</v>
      </c>
      <c r="Q145" s="307">
        <f t="shared" si="53"/>
        <v>0.9</v>
      </c>
      <c r="R145" s="179">
        <f t="shared" si="54"/>
        <v>0.25772083572304427</v>
      </c>
      <c r="S145" s="839">
        <f t="shared" si="55"/>
        <v>1</v>
      </c>
      <c r="T145" s="178">
        <f t="shared" si="56"/>
        <v>7</v>
      </c>
      <c r="U145" s="253">
        <f t="shared" si="57"/>
        <v>1.2577208357230443</v>
      </c>
      <c r="V145" s="385">
        <f t="shared" si="58"/>
        <v>58.267805392417081</v>
      </c>
      <c r="W145" s="404">
        <f t="shared" si="59"/>
        <v>56.288648787131201</v>
      </c>
      <c r="X145" s="157">
        <f t="shared" si="60"/>
        <v>45422</v>
      </c>
      <c r="Y145" s="387">
        <f t="shared" si="61"/>
        <v>50.991211689751395</v>
      </c>
      <c r="Z145" s="387">
        <f t="shared" si="62"/>
        <v>53.556296956373082</v>
      </c>
      <c r="AA145" s="388">
        <f t="shared" si="63"/>
        <v>60.620513110619349</v>
      </c>
      <c r="AB145" s="199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0.11653177764027818</v>
      </c>
      <c r="AD145" s="233">
        <f>(INDEX(Models!$BJ145:$BT145,,AH145)*(1-AF145)+INDEX(Models!$BJ145:$BT145,,AH145+1)*AF145-ERP_i)*AE145*Ramure*Pc/MaxiM</f>
        <v>2.5322835169030106E-3</v>
      </c>
      <c r="AE145" s="307">
        <f t="shared" si="65"/>
        <v>0.9</v>
      </c>
      <c r="AF145" s="179">
        <f t="shared" si="66"/>
        <v>0.25772083572304427</v>
      </c>
      <c r="AG145" s="839">
        <f t="shared" si="74"/>
        <v>1</v>
      </c>
      <c r="AH145" s="178">
        <f t="shared" si="67"/>
        <v>7</v>
      </c>
      <c r="AI145" s="227">
        <f t="shared" si="68"/>
        <v>1.2577208357230443</v>
      </c>
      <c r="AJ145" s="267" t="b">
        <f t="shared" si="69"/>
        <v>0</v>
      </c>
      <c r="AK145" s="267" t="b">
        <f t="shared" si="70"/>
        <v>0</v>
      </c>
      <c r="AL145" s="267"/>
      <c r="AM145" s="267"/>
      <c r="AN145" s="75"/>
    </row>
    <row r="146" spans="1:40" s="6" customFormat="1" ht="11.25" x14ac:dyDescent="0.2">
      <c r="A146" s="56">
        <f t="shared" si="71"/>
        <v>45423</v>
      </c>
      <c r="B146" s="413">
        <f>'2023'!Wh/'2023'!Env_an*'2024'!Env_an</f>
        <v>43.906818701481754</v>
      </c>
      <c r="C146" s="868"/>
      <c r="D146" s="395">
        <f t="shared" si="50"/>
        <v>46.116600619264986</v>
      </c>
      <c r="E146" s="387">
        <f t="shared" si="72"/>
        <v>47.29863627906176</v>
      </c>
      <c r="F146" s="387">
        <f t="shared" si="51"/>
        <v>47.370858687870822</v>
      </c>
      <c r="G146" s="110">
        <f t="shared" si="73"/>
        <v>0.75143906214354239</v>
      </c>
      <c r="H146" s="416" t="b">
        <f>Wh_hp&gt;='2023'!Maxi_hp</f>
        <v>0</v>
      </c>
      <c r="I146" s="392">
        <f>IF(H146,Wh_hp,'2023'!Maxi_hp)</f>
        <v>58.685038325386628</v>
      </c>
      <c r="J146" s="85">
        <f>IF(H146,An,'2023'!An_max)</f>
        <v>2019</v>
      </c>
      <c r="K146" s="199">
        <f t="shared" si="52"/>
        <v>45423</v>
      </c>
      <c r="L146" s="147">
        <f>IF(t&lt;Tvie,1-EXP((T0-t)*PertePVj)+'2023'!Pspv,1-EXP((T0-t)*PertePVj)+Pspv)</f>
        <v>4.7917276818103316E-2</v>
      </c>
      <c r="M146" s="872"/>
      <c r="N146" s="872"/>
      <c r="O146" s="48">
        <f>IF(t&lt;Tnet,'2023'!Resal+('2023'!Salim-'2023'!Resal)*(1-EXP(('2023'!Tnet-t)/('2023'!Tau_j))),Resal+(Salim-Resal)*(1-EXP((Tnet-t)/(Tau_j))))*Salcycl</f>
        <v>2.4990903602860028E-2</v>
      </c>
      <c r="P146" s="171">
        <f>(INDEX(Models!$BJ146:$BT146,,T146)*(1-R146)+INDEX(Models!$BJ146:$BT146,,T146+1)*R146-ERP_i)*Q146*Ramure*Pc/MaxiM</f>
        <v>2.3607725724866689E-3</v>
      </c>
      <c r="Q146" s="307">
        <f t="shared" si="53"/>
        <v>0.9</v>
      </c>
      <c r="R146" s="179">
        <f t="shared" si="54"/>
        <v>0.26281317843000451</v>
      </c>
      <c r="S146" s="839">
        <f t="shared" si="55"/>
        <v>1</v>
      </c>
      <c r="T146" s="178">
        <f t="shared" si="56"/>
        <v>7</v>
      </c>
      <c r="U146" s="253">
        <f t="shared" si="57"/>
        <v>1.2628131784300045</v>
      </c>
      <c r="V146" s="385">
        <f t="shared" si="58"/>
        <v>58.381380360355607</v>
      </c>
      <c r="W146" s="404">
        <f t="shared" si="59"/>
        <v>43.906818701481754</v>
      </c>
      <c r="X146" s="157">
        <f t="shared" si="60"/>
        <v>45423</v>
      </c>
      <c r="Y146" s="387">
        <f t="shared" si="61"/>
        <v>39.774491529824125</v>
      </c>
      <c r="Z146" s="387">
        <f t="shared" si="62"/>
        <v>41.776297963790647</v>
      </c>
      <c r="AA146" s="388">
        <f t="shared" si="63"/>
        <v>47.29863627906176</v>
      </c>
      <c r="AB146" s="199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0.11675470478026764</v>
      </c>
      <c r="AD146" s="233">
        <f>(INDEX(Models!$BJ146:$BT146,,AH146)*(1-AF146)+INDEX(Models!$BJ146:$BT146,,AH146+1)*AF146-ERP_i)*AE146*Ramure*Pc/MaxiM</f>
        <v>2.3607725724866689E-3</v>
      </c>
      <c r="AE146" s="307">
        <f t="shared" si="65"/>
        <v>0.9</v>
      </c>
      <c r="AF146" s="179">
        <f t="shared" si="66"/>
        <v>0.26281317843000451</v>
      </c>
      <c r="AG146" s="839">
        <f t="shared" si="74"/>
        <v>1</v>
      </c>
      <c r="AH146" s="178">
        <f t="shared" si="67"/>
        <v>7</v>
      </c>
      <c r="AI146" s="227">
        <f t="shared" si="68"/>
        <v>1.2628131784300045</v>
      </c>
      <c r="AJ146" s="267" t="b">
        <f t="shared" si="69"/>
        <v>0</v>
      </c>
      <c r="AK146" s="267" t="b">
        <f t="shared" si="70"/>
        <v>0</v>
      </c>
      <c r="AL146" s="267"/>
      <c r="AM146" s="267"/>
      <c r="AN146" s="75"/>
    </row>
    <row r="147" spans="1:40" s="6" customFormat="1" ht="11.25" x14ac:dyDescent="0.2">
      <c r="A147" s="56">
        <f t="shared" si="71"/>
        <v>45424</v>
      </c>
      <c r="B147" s="413">
        <f>'2023'!Wh/'2023'!Env_an*'2024'!Env_an</f>
        <v>46.857397857571733</v>
      </c>
      <c r="C147" s="868"/>
      <c r="D147" s="395">
        <f t="shared" si="50"/>
        <v>49.216824528070426</v>
      </c>
      <c r="E147" s="387">
        <f t="shared" si="72"/>
        <v>50.490877131391699</v>
      </c>
      <c r="F147" s="387">
        <f t="shared" si="51"/>
        <v>50.570495321460982</v>
      </c>
      <c r="G147" s="110">
        <f t="shared" si="73"/>
        <v>0.80062202708809338</v>
      </c>
      <c r="H147" s="416" t="b">
        <f>Wh_hp&gt;='2023'!Maxi_hp</f>
        <v>0</v>
      </c>
      <c r="I147" s="392">
        <f>IF(H147,Wh_hp,'2023'!Maxi_hp)</f>
        <v>65.198747930481261</v>
      </c>
      <c r="J147" s="85">
        <f>IF(H147,An,'2023'!An_max)</f>
        <v>2019</v>
      </c>
      <c r="K147" s="199">
        <f t="shared" si="52"/>
        <v>45424</v>
      </c>
      <c r="L147" s="147">
        <f>IF(t&lt;Tvie,1-EXP((T0-t)*PertePVj)+'2023'!Pspv,1-EXP((T0-t)*PertePVj)+Pspv)</f>
        <v>4.7939433173975088E-2</v>
      </c>
      <c r="M147" s="872"/>
      <c r="N147" s="872"/>
      <c r="O147" s="48">
        <f>IF(t&lt;Tnet,'2023'!Resal+('2023'!Salim-'2023'!Resal)*(1-EXP(('2023'!Tnet-t)/('2023'!Tau_j))),Resal+(Salim-Resal)*(1-EXP((Tnet-t)/(Tau_j))))*Salcycl</f>
        <v>2.5233322843764922E-2</v>
      </c>
      <c r="P147" s="171">
        <f>(INDEX(Models!$BJ147:$BT147,,T147)*(1-R147)+INDEX(Models!$BJ147:$BT147,,T147+1)*R147-ERP_i)*Q147*Ramure*Pc/MaxiM</f>
        <v>2.1992189734405068E-3</v>
      </c>
      <c r="Q147" s="307">
        <f t="shared" si="53"/>
        <v>0.9</v>
      </c>
      <c r="R147" s="179">
        <f t="shared" si="54"/>
        <v>0.26801852280563754</v>
      </c>
      <c r="S147" s="839">
        <f t="shared" si="55"/>
        <v>1</v>
      </c>
      <c r="T147" s="178">
        <f t="shared" si="56"/>
        <v>7</v>
      </c>
      <c r="U147" s="253">
        <f t="shared" si="57"/>
        <v>1.2680185228056375</v>
      </c>
      <c r="V147" s="385">
        <f t="shared" si="58"/>
        <v>58.489615220459903</v>
      </c>
      <c r="W147" s="404">
        <f t="shared" si="59"/>
        <v>46.857397857571733</v>
      </c>
      <c r="X147" s="157">
        <f t="shared" si="60"/>
        <v>45424</v>
      </c>
      <c r="Y147" s="387">
        <f t="shared" si="61"/>
        <v>42.447139232830757</v>
      </c>
      <c r="Z147" s="387">
        <f t="shared" si="62"/>
        <v>44.584494633929467</v>
      </c>
      <c r="AA147" s="388">
        <f t="shared" si="63"/>
        <v>50.490877131391699</v>
      </c>
      <c r="AB147" s="199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0.11697920165047111</v>
      </c>
      <c r="AD147" s="233">
        <f>(INDEX(Models!$BJ147:$BT147,,AH147)*(1-AF147)+INDEX(Models!$BJ147:$BT147,,AH147+1)*AF147-ERP_i)*AE147*Ramure*Pc/MaxiM</f>
        <v>2.1992189734405068E-3</v>
      </c>
      <c r="AE147" s="307">
        <f t="shared" si="65"/>
        <v>0.9</v>
      </c>
      <c r="AF147" s="179">
        <f t="shared" si="66"/>
        <v>0.26801852280563754</v>
      </c>
      <c r="AG147" s="839">
        <f t="shared" si="74"/>
        <v>1</v>
      </c>
      <c r="AH147" s="178">
        <f t="shared" si="67"/>
        <v>7</v>
      </c>
      <c r="AI147" s="227">
        <f t="shared" si="68"/>
        <v>1.2680185228056375</v>
      </c>
      <c r="AJ147" s="267" t="b">
        <f t="shared" si="69"/>
        <v>0</v>
      </c>
      <c r="AK147" s="267" t="b">
        <f t="shared" si="70"/>
        <v>0</v>
      </c>
      <c r="AL147" s="267"/>
      <c r="AM147" s="267"/>
      <c r="AN147" s="75"/>
    </row>
    <row r="148" spans="1:40" s="6" customFormat="1" ht="11.25" x14ac:dyDescent="0.2">
      <c r="A148" s="56">
        <f t="shared" si="71"/>
        <v>45425</v>
      </c>
      <c r="B148" s="413">
        <f>'2023'!Wh/'2023'!Env_an*'2024'!Env_an</f>
        <v>48.300888938464709</v>
      </c>
      <c r="C148" s="868"/>
      <c r="D148" s="395">
        <f t="shared" si="50"/>
        <v>50.734180870341966</v>
      </c>
      <c r="E148" s="387">
        <f t="shared" si="72"/>
        <v>52.06048421983472</v>
      </c>
      <c r="F148" s="387">
        <f t="shared" si="51"/>
        <v>52.140452894843342</v>
      </c>
      <c r="G148" s="110">
        <f t="shared" si="73"/>
        <v>0.82392250859445271</v>
      </c>
      <c r="H148" s="416" t="b">
        <f>Wh_hp&gt;='2023'!Maxi_hp</f>
        <v>0</v>
      </c>
      <c r="I148" s="392">
        <f>IF(H148,Wh_hp,'2023'!Maxi_hp)</f>
        <v>63.557422198043149</v>
      </c>
      <c r="J148" s="85">
        <f>IF(H148,An,'2023'!An_max)</f>
        <v>2019</v>
      </c>
      <c r="K148" s="199">
        <f t="shared" si="52"/>
        <v>45425</v>
      </c>
      <c r="L148" s="147">
        <f>IF(t&lt;Tvie,1-EXP((T0-t)*PertePVj)+'2023'!Pspv,1-EXP((T0-t)*PertePVj)+Pspv)</f>
        <v>4.7961589014236083E-2</v>
      </c>
      <c r="M148" s="872"/>
      <c r="N148" s="872"/>
      <c r="O148" s="48">
        <f>IF(t&lt;Tnet,'2023'!Resal+('2023'!Salim-'2023'!Resal)*(1-EXP(('2023'!Tnet-t)/('2023'!Tau_j))),Resal+(Salim-Resal)*(1-EXP((Tnet-t)/(Tau_j))))*Salcycl</f>
        <v>2.5476200795447903E-2</v>
      </c>
      <c r="P148" s="171">
        <f>(INDEX(Models!$BJ148:$BT148,,T148)*(1-R148)+INDEX(Models!$BJ148:$BT148,,T148+1)*R148-ERP_i)*Q148*Ramure*Pc/MaxiM</f>
        <v>2.0475032702141497E-3</v>
      </c>
      <c r="Q148" s="307">
        <f t="shared" si="53"/>
        <v>0.9</v>
      </c>
      <c r="R148" s="179">
        <f t="shared" si="54"/>
        <v>0.27333613099748066</v>
      </c>
      <c r="S148" s="839">
        <f t="shared" si="55"/>
        <v>1</v>
      </c>
      <c r="T148" s="178">
        <f t="shared" si="56"/>
        <v>7</v>
      </c>
      <c r="U148" s="253">
        <f t="shared" si="57"/>
        <v>1.2733361309974807</v>
      </c>
      <c r="V148" s="385">
        <f t="shared" si="58"/>
        <v>58.592930717848915</v>
      </c>
      <c r="W148" s="404">
        <f t="shared" si="59"/>
        <v>48.300888938464709</v>
      </c>
      <c r="X148" s="157">
        <f t="shared" si="60"/>
        <v>45425</v>
      </c>
      <c r="Y148" s="387">
        <f t="shared" si="61"/>
        <v>43.75447224854512</v>
      </c>
      <c r="Z148" s="387">
        <f t="shared" si="62"/>
        <v>45.95872576531935</v>
      </c>
      <c r="AA148" s="388">
        <f t="shared" si="63"/>
        <v>52.06048421983472</v>
      </c>
      <c r="AB148" s="199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0.11720518058859383</v>
      </c>
      <c r="AD148" s="233">
        <f>(INDEX(Models!$BJ148:$BT148,,AH148)*(1-AF148)+INDEX(Models!$BJ148:$BT148,,AH148+1)*AF148-ERP_i)*AE148*Ramure*Pc/MaxiM</f>
        <v>2.0475032702141497E-3</v>
      </c>
      <c r="AE148" s="307">
        <f t="shared" si="65"/>
        <v>0.9</v>
      </c>
      <c r="AF148" s="179">
        <f t="shared" si="66"/>
        <v>0.27333613099748066</v>
      </c>
      <c r="AG148" s="839">
        <f t="shared" si="74"/>
        <v>1</v>
      </c>
      <c r="AH148" s="178">
        <f t="shared" si="67"/>
        <v>7</v>
      </c>
      <c r="AI148" s="227">
        <f t="shared" si="68"/>
        <v>1.2733361309974807</v>
      </c>
      <c r="AJ148" s="267" t="b">
        <f t="shared" si="69"/>
        <v>0</v>
      </c>
      <c r="AK148" s="267" t="b">
        <f t="shared" si="70"/>
        <v>0</v>
      </c>
      <c r="AL148" s="267"/>
      <c r="AM148" s="267"/>
      <c r="AN148" s="75"/>
    </row>
    <row r="149" spans="1:40" s="6" customFormat="1" ht="11.25" x14ac:dyDescent="0.2">
      <c r="A149" s="56">
        <f t="shared" si="71"/>
        <v>45426</v>
      </c>
      <c r="B149" s="413">
        <f>'2023'!Wh/'2023'!Env_an*'2024'!Env_an</f>
        <v>52.256908511808518</v>
      </c>
      <c r="C149" s="868"/>
      <c r="D149" s="395">
        <f t="shared" si="50"/>
        <v>54.890773346638007</v>
      </c>
      <c r="E149" s="387">
        <f t="shared" si="72"/>
        <v>56.33980632773379</v>
      </c>
      <c r="F149" s="387">
        <f t="shared" si="51"/>
        <v>56.430500397603595</v>
      </c>
      <c r="G149" s="110">
        <f t="shared" si="73"/>
        <v>0.89012200221310478</v>
      </c>
      <c r="H149" s="416" t="b">
        <f>Wh_hp&gt;='2023'!Maxi_hp</f>
        <v>0</v>
      </c>
      <c r="I149" s="392">
        <f>IF(H149,Wh_hp,'2023'!Maxi_hp)</f>
        <v>64.50696341655771</v>
      </c>
      <c r="J149" s="85">
        <f>IF(H149,An,'2023'!An_max)</f>
        <v>2019</v>
      </c>
      <c r="K149" s="199">
        <f t="shared" si="52"/>
        <v>45426</v>
      </c>
      <c r="L149" s="147">
        <f>IF(t&lt;Tvie,1-EXP((T0-t)*PertePVj)+'2023'!Pspv,1-EXP((T0-t)*PertePVj)+Pspv)</f>
        <v>4.7983744338898293E-2</v>
      </c>
      <c r="M149" s="872"/>
      <c r="N149" s="872"/>
      <c r="O149" s="48">
        <f>IF(t&lt;Tnet,'2023'!Resal+('2023'!Salim-'2023'!Resal)*(1-EXP(('2023'!Tnet-t)/('2023'!Tau_j))),Resal+(Salim-Resal)*(1-EXP((Tnet-t)/(Tau_j))))*Salcycl</f>
        <v>2.5719523646684655E-2</v>
      </c>
      <c r="P149" s="171">
        <f>(INDEX(Models!$BJ149:$BT149,,T149)*(1-R149)+INDEX(Models!$BJ149:$BT149,,T149+1)*R149-ERP_i)*Q149*Ramure*Pc/MaxiM</f>
        <v>1.9055722724208811E-3</v>
      </c>
      <c r="Q149" s="307">
        <f t="shared" si="53"/>
        <v>0.9</v>
      </c>
      <c r="R149" s="179">
        <f t="shared" si="54"/>
        <v>0.27876503939853614</v>
      </c>
      <c r="S149" s="839">
        <f t="shared" si="55"/>
        <v>1</v>
      </c>
      <c r="T149" s="178">
        <f t="shared" si="56"/>
        <v>7</v>
      </c>
      <c r="U149" s="253">
        <f t="shared" si="57"/>
        <v>1.2787650393985361</v>
      </c>
      <c r="V149" s="385">
        <f t="shared" si="58"/>
        <v>58.690033853946254</v>
      </c>
      <c r="W149" s="404">
        <f t="shared" si="59"/>
        <v>52.256908511808518</v>
      </c>
      <c r="X149" s="157">
        <f t="shared" si="60"/>
        <v>45426</v>
      </c>
      <c r="Y149" s="387">
        <f t="shared" si="61"/>
        <v>47.337750975854775</v>
      </c>
      <c r="Z149" s="387">
        <f t="shared" si="62"/>
        <v>49.723679290520479</v>
      </c>
      <c r="AA149" s="388">
        <f t="shared" si="63"/>
        <v>56.33980632773379</v>
      </c>
      <c r="AB149" s="199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0.11743254846718311</v>
      </c>
      <c r="AD149" s="233">
        <f>(INDEX(Models!$BJ149:$BT149,,AH149)*(1-AF149)+INDEX(Models!$BJ149:$BT149,,AH149+1)*AF149-ERP_i)*AE149*Ramure*Pc/MaxiM</f>
        <v>1.9055722724208811E-3</v>
      </c>
      <c r="AE149" s="307">
        <f t="shared" si="65"/>
        <v>0.9</v>
      </c>
      <c r="AF149" s="179">
        <f t="shared" si="66"/>
        <v>0.27876503939853614</v>
      </c>
      <c r="AG149" s="839">
        <f t="shared" si="74"/>
        <v>1</v>
      </c>
      <c r="AH149" s="178">
        <f t="shared" si="67"/>
        <v>7</v>
      </c>
      <c r="AI149" s="227">
        <f t="shared" si="68"/>
        <v>1.2787650393985361</v>
      </c>
      <c r="AJ149" s="267" t="b">
        <f t="shared" si="69"/>
        <v>0</v>
      </c>
      <c r="AK149" s="267" t="b">
        <f t="shared" si="70"/>
        <v>0</v>
      </c>
      <c r="AL149" s="267"/>
      <c r="AM149" s="267"/>
      <c r="AN149" s="75"/>
    </row>
    <row r="150" spans="1:40" s="6" customFormat="1" ht="11.25" x14ac:dyDescent="0.2">
      <c r="A150" s="56">
        <f t="shared" si="71"/>
        <v>45427</v>
      </c>
      <c r="B150" s="413">
        <f>'2023'!Wh/'2023'!Env_an*'2024'!Env_an</f>
        <v>50.942624754255654</v>
      </c>
      <c r="C150" s="868"/>
      <c r="D150" s="395">
        <f t="shared" si="50"/>
        <v>53.511492044606641</v>
      </c>
      <c r="E150" s="387">
        <f t="shared" si="72"/>
        <v>54.937858822344495</v>
      </c>
      <c r="F150" s="387">
        <f t="shared" si="51"/>
        <v>55.01696298483639</v>
      </c>
      <c r="G150" s="110">
        <f t="shared" si="73"/>
        <v>0.86638114870235483</v>
      </c>
      <c r="H150" s="416" t="b">
        <f>Wh_hp&gt;='2023'!Maxi_hp</f>
        <v>0</v>
      </c>
      <c r="I150" s="392">
        <f>IF(H150,Wh_hp,'2023'!Maxi_hp)</f>
        <v>55.026588126199115</v>
      </c>
      <c r="J150" s="85">
        <f>IF(H150,An,'2023'!An_max)</f>
        <v>2022</v>
      </c>
      <c r="K150" s="199">
        <f t="shared" si="52"/>
        <v>45427</v>
      </c>
      <c r="L150" s="147">
        <f>IF(t&lt;Tvie,1-EXP((T0-t)*PertePVj)+'2023'!Pspv,1-EXP((T0-t)*PertePVj)+Pspv)</f>
        <v>4.8005899147973818E-2</v>
      </c>
      <c r="M150" s="872"/>
      <c r="N150" s="872"/>
      <c r="O150" s="48">
        <f>IF(t&lt;Tnet,'2023'!Resal+('2023'!Salim-'2023'!Resal)*(1-EXP(('2023'!Tnet-t)/('2023'!Tau_j))),Resal+(Salim-Resal)*(1-EXP((Tnet-t)/(Tau_j))))*Salcycl</f>
        <v>2.5963275750341377E-2</v>
      </c>
      <c r="P150" s="171">
        <f>(INDEX(Models!$BJ150:$BT150,,T150)*(1-R150)+INDEX(Models!$BJ150:$BT150,,T150+1)*R150-ERP_i)*Q150*Ramure*Pc/MaxiM</f>
        <v>1.7760978963599855E-3</v>
      </c>
      <c r="Q150" s="307">
        <f t="shared" si="53"/>
        <v>0.9</v>
      </c>
      <c r="R150" s="179">
        <f t="shared" si="54"/>
        <v>0.28430405184411289</v>
      </c>
      <c r="S150" s="839">
        <f t="shared" si="55"/>
        <v>1</v>
      </c>
      <c r="T150" s="178">
        <f t="shared" si="56"/>
        <v>7</v>
      </c>
      <c r="U150" s="253">
        <f t="shared" si="57"/>
        <v>1.2843040518441129</v>
      </c>
      <c r="V150" s="385">
        <f t="shared" si="58"/>
        <v>58.77940321067296</v>
      </c>
      <c r="W150" s="404">
        <f t="shared" si="59"/>
        <v>50.942624754255654</v>
      </c>
      <c r="X150" s="157">
        <f t="shared" si="60"/>
        <v>45427</v>
      </c>
      <c r="Y150" s="387">
        <f t="shared" si="61"/>
        <v>46.146775505314558</v>
      </c>
      <c r="Z150" s="387">
        <f t="shared" si="62"/>
        <v>48.473804054052025</v>
      </c>
      <c r="AA150" s="388">
        <f t="shared" si="63"/>
        <v>54.937858822344495</v>
      </c>
      <c r="AB150" s="199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0.11766120680450305</v>
      </c>
      <c r="AD150" s="233">
        <f>(INDEX(Models!$BJ150:$BT150,,AH150)*(1-AF150)+INDEX(Models!$BJ150:$BT150,,AH150+1)*AF150-ERP_i)*AE150*Ramure*Pc/MaxiM</f>
        <v>1.7760978963599855E-3</v>
      </c>
      <c r="AE150" s="307">
        <f t="shared" si="65"/>
        <v>0.9</v>
      </c>
      <c r="AF150" s="179">
        <f t="shared" si="66"/>
        <v>0.28430405184411289</v>
      </c>
      <c r="AG150" s="839">
        <f t="shared" si="74"/>
        <v>1</v>
      </c>
      <c r="AH150" s="178">
        <f t="shared" si="67"/>
        <v>7</v>
      </c>
      <c r="AI150" s="227">
        <f t="shared" si="68"/>
        <v>1.2843040518441129</v>
      </c>
      <c r="AJ150" s="267" t="b">
        <f t="shared" si="69"/>
        <v>0</v>
      </c>
      <c r="AK150" s="267" t="b">
        <f t="shared" si="70"/>
        <v>0</v>
      </c>
      <c r="AL150" s="267"/>
      <c r="AM150" s="267"/>
      <c r="AN150" s="75"/>
    </row>
    <row r="151" spans="1:40" s="6" customFormat="1" ht="11.25" x14ac:dyDescent="0.2">
      <c r="A151" s="56">
        <f t="shared" si="71"/>
        <v>45428</v>
      </c>
      <c r="B151" s="413">
        <f>'2023'!Wh/'2023'!Env_an*'2024'!Env_an</f>
        <v>54.929907342998817</v>
      </c>
      <c r="C151" s="868"/>
      <c r="D151" s="395">
        <f t="shared" si="50"/>
        <v>57.701182835876594</v>
      </c>
      <c r="E151" s="387">
        <f t="shared" si="72"/>
        <v>59.254080574527343</v>
      </c>
      <c r="F151" s="387">
        <f t="shared" si="51"/>
        <v>59.342925638245468</v>
      </c>
      <c r="G151" s="110">
        <f t="shared" si="73"/>
        <v>0.93305706695790436</v>
      </c>
      <c r="H151" s="416" t="b">
        <f>Wh_hp&gt;='2023'!Maxi_hp</f>
        <v>0</v>
      </c>
      <c r="I151" s="392">
        <f>IF(H151,Wh_hp,'2023'!Maxi_hp)</f>
        <v>59.347750252011501</v>
      </c>
      <c r="J151" s="85">
        <f>IF(H151,An,'2023'!An_max)</f>
        <v>2022</v>
      </c>
      <c r="K151" s="199">
        <f t="shared" si="52"/>
        <v>45428</v>
      </c>
      <c r="L151" s="147">
        <f>IF(t&lt;Tvie,1-EXP((T0-t)*PertePVj)+'2023'!Pspv,1-EXP((T0-t)*PertePVj)+Pspv)</f>
        <v>4.8028053441474539E-2</v>
      </c>
      <c r="M151" s="872"/>
      <c r="N151" s="872"/>
      <c r="O151" s="48">
        <f>IF(t&lt;Tnet,'2023'!Resal+('2023'!Salim-'2023'!Resal)*(1-EXP(('2023'!Tnet-t)/('2023'!Tau_j))),Resal+(Salim-Resal)*(1-EXP((Tnet-t)/(Tau_j))))*Salcycl</f>
        <v>2.6207439615868834E-2</v>
      </c>
      <c r="P151" s="171">
        <f>(INDEX(Models!$BJ151:$BT151,,T151)*(1-R151)+INDEX(Models!$BJ151:$BT151,,T151+1)*R151-ERP_i)*Q151*Ramure*Pc/MaxiM</f>
        <v>1.6550772947676357E-3</v>
      </c>
      <c r="Q151" s="307">
        <f t="shared" si="53"/>
        <v>0.9</v>
      </c>
      <c r="R151" s="179">
        <f t="shared" si="54"/>
        <v>0.28995173354807613</v>
      </c>
      <c r="S151" s="839">
        <f t="shared" si="55"/>
        <v>1</v>
      </c>
      <c r="T151" s="178">
        <f t="shared" si="56"/>
        <v>7</v>
      </c>
      <c r="U151" s="253">
        <f t="shared" si="57"/>
        <v>1.2899517335480761</v>
      </c>
      <c r="V151" s="385">
        <f t="shared" si="58"/>
        <v>58.861586462528763</v>
      </c>
      <c r="W151" s="404">
        <f t="shared" si="59"/>
        <v>54.929907342998817</v>
      </c>
      <c r="X151" s="157">
        <f t="shared" si="60"/>
        <v>45428</v>
      </c>
      <c r="Y151" s="387">
        <f t="shared" si="61"/>
        <v>49.758197748139956</v>
      </c>
      <c r="Z151" s="387">
        <f t="shared" si="62"/>
        <v>52.268554685903148</v>
      </c>
      <c r="AA151" s="388">
        <f t="shared" si="63"/>
        <v>59.254080574527343</v>
      </c>
      <c r="AB151" s="199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0.11789105190549858</v>
      </c>
      <c r="AD151" s="233">
        <f>(INDEX(Models!$BJ151:$BT151,,AH151)*(1-AF151)+INDEX(Models!$BJ151:$BT151,,AH151+1)*AF151-ERP_i)*AE151*Ramure*Pc/MaxiM</f>
        <v>1.6550772947676357E-3</v>
      </c>
      <c r="AE151" s="307">
        <f t="shared" si="65"/>
        <v>0.9</v>
      </c>
      <c r="AF151" s="179">
        <f t="shared" si="66"/>
        <v>0.28995173354807613</v>
      </c>
      <c r="AG151" s="839">
        <f t="shared" si="74"/>
        <v>1</v>
      </c>
      <c r="AH151" s="178">
        <f t="shared" si="67"/>
        <v>7</v>
      </c>
      <c r="AI151" s="227">
        <f t="shared" si="68"/>
        <v>1.2899517335480761</v>
      </c>
      <c r="AJ151" s="267" t="b">
        <f t="shared" si="69"/>
        <v>0</v>
      </c>
      <c r="AK151" s="267" t="b">
        <f t="shared" si="70"/>
        <v>0</v>
      </c>
      <c r="AL151" s="267"/>
      <c r="AM151" s="267"/>
      <c r="AN151" s="75"/>
    </row>
    <row r="152" spans="1:40" s="6" customFormat="1" ht="11.25" x14ac:dyDescent="0.2">
      <c r="A152" s="56">
        <f t="shared" si="71"/>
        <v>45429</v>
      </c>
      <c r="B152" s="413">
        <f>'2023'!Wh/'2023'!Env_an*'2024'!Env_an</f>
        <v>53.456762402224257</v>
      </c>
      <c r="C152" s="868"/>
      <c r="D152" s="395">
        <f t="shared" si="50"/>
        <v>56.155022888423872</v>
      </c>
      <c r="E152" s="387">
        <f t="shared" si="72"/>
        <v>57.680795043012182</v>
      </c>
      <c r="F152" s="387">
        <f t="shared" si="51"/>
        <v>57.75805336495177</v>
      </c>
      <c r="G152" s="110">
        <f t="shared" si="73"/>
        <v>0.90683083205340753</v>
      </c>
      <c r="H152" s="416" t="b">
        <f>Wh_hp&gt;='2023'!Maxi_hp</f>
        <v>0</v>
      </c>
      <c r="I152" s="392">
        <f>IF(H152,Wh_hp,'2023'!Maxi_hp)</f>
        <v>64.728321842872035</v>
      </c>
      <c r="J152" s="85">
        <f>IF(H152,An,'2023'!An_max)</f>
        <v>2020</v>
      </c>
      <c r="K152" s="199">
        <f t="shared" si="52"/>
        <v>45429</v>
      </c>
      <c r="L152" s="147">
        <f>IF(t&lt;Tvie,1-EXP((T0-t)*PertePVj)+'2023'!Pspv,1-EXP((T0-t)*PertePVj)+Pspv)</f>
        <v>4.8050207219412444E-2</v>
      </c>
      <c r="M152" s="872"/>
      <c r="N152" s="872"/>
      <c r="O152" s="48">
        <f>IF(t&lt;Tnet,'2023'!Resal+('2023'!Salim-'2023'!Resal)*(1-EXP(('2023'!Tnet-t)/('2023'!Tau_j))),Resal+(Salim-Resal)*(1-EXP((Tnet-t)/(Tau_j))))*Salcycl</f>
        <v>2.645199591043345E-2</v>
      </c>
      <c r="P152" s="171">
        <f>(INDEX(Models!$BJ152:$BT152,,T152)*(1-R152)+INDEX(Models!$BJ152:$BT152,,T152+1)*R152-ERP_i)*Q152*Ramure*Pc/MaxiM</f>
        <v>1.5425170110367128E-3</v>
      </c>
      <c r="Q152" s="307">
        <f t="shared" si="53"/>
        <v>0.9</v>
      </c>
      <c r="R152" s="179">
        <f t="shared" si="54"/>
        <v>0.29570640586161612</v>
      </c>
      <c r="S152" s="839">
        <f t="shared" si="55"/>
        <v>1</v>
      </c>
      <c r="T152" s="178">
        <f t="shared" si="56"/>
        <v>7</v>
      </c>
      <c r="U152" s="253">
        <f t="shared" si="57"/>
        <v>1.2957064058616161</v>
      </c>
      <c r="V152" s="385">
        <f t="shared" si="58"/>
        <v>58.936896173468575</v>
      </c>
      <c r="W152" s="404">
        <f t="shared" si="59"/>
        <v>53.456762402224257</v>
      </c>
      <c r="X152" s="157">
        <f t="shared" si="60"/>
        <v>45429</v>
      </c>
      <c r="Y152" s="387">
        <f t="shared" si="61"/>
        <v>48.42323526969983</v>
      </c>
      <c r="Z152" s="387">
        <f t="shared" si="62"/>
        <v>50.867425611027762</v>
      </c>
      <c r="AA152" s="388">
        <f t="shared" si="63"/>
        <v>57.680795043012182</v>
      </c>
      <c r="AB152" s="199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0.11812197503352261</v>
      </c>
      <c r="AD152" s="233">
        <f>(INDEX(Models!$BJ152:$BT152,,AH152)*(1-AF152)+INDEX(Models!$BJ152:$BT152,,AH152+1)*AF152-ERP_i)*AE152*Ramure*Pc/MaxiM</f>
        <v>1.5425170110367128E-3</v>
      </c>
      <c r="AE152" s="307">
        <f t="shared" si="65"/>
        <v>0.9</v>
      </c>
      <c r="AF152" s="179">
        <f t="shared" si="66"/>
        <v>0.29570640586161612</v>
      </c>
      <c r="AG152" s="839">
        <f t="shared" si="74"/>
        <v>1</v>
      </c>
      <c r="AH152" s="178">
        <f t="shared" si="67"/>
        <v>7</v>
      </c>
      <c r="AI152" s="227">
        <f t="shared" si="68"/>
        <v>1.2957064058616161</v>
      </c>
      <c r="AJ152" s="267" t="b">
        <f t="shared" si="69"/>
        <v>0</v>
      </c>
      <c r="AK152" s="267" t="b">
        <f t="shared" si="70"/>
        <v>0</v>
      </c>
      <c r="AL152" s="267"/>
      <c r="AM152" s="267"/>
      <c r="AN152" s="75"/>
    </row>
    <row r="153" spans="1:40" s="6" customFormat="1" ht="11.25" x14ac:dyDescent="0.2">
      <c r="A153" s="56">
        <f t="shared" si="71"/>
        <v>45430</v>
      </c>
      <c r="B153" s="413">
        <f>'2023'!Wh/'2023'!Env_an*'2024'!Env_an</f>
        <v>55.408544377884148</v>
      </c>
      <c r="C153" s="868"/>
      <c r="D153" s="395">
        <f t="shared" si="50"/>
        <v>58.20667672379814</v>
      </c>
      <c r="E153" s="387">
        <f t="shared" si="72"/>
        <v>59.803239224582072</v>
      </c>
      <c r="F153" s="387">
        <f t="shared" si="51"/>
        <v>59.881873995484192</v>
      </c>
      <c r="G153" s="110">
        <f t="shared" si="73"/>
        <v>0.93892024545756037</v>
      </c>
      <c r="H153" s="416" t="b">
        <f>Wh_hp&gt;='2023'!Maxi_hp</f>
        <v>0</v>
      </c>
      <c r="I153" s="392">
        <f>IF(H153,Wh_hp,'2023'!Maxi_hp)</f>
        <v>63.647951946144374</v>
      </c>
      <c r="J153" s="85">
        <f>IF(H153,An,'2023'!An_max)</f>
        <v>2020</v>
      </c>
      <c r="K153" s="199">
        <f t="shared" si="52"/>
        <v>45430</v>
      </c>
      <c r="L153" s="147">
        <f>IF(t&lt;Tvie,1-EXP((T0-t)*PertePVj)+'2023'!Pspv,1-EXP((T0-t)*PertePVj)+Pspv)</f>
        <v>4.8072360481799525E-2</v>
      </c>
      <c r="M153" s="872"/>
      <c r="N153" s="872"/>
      <c r="O153" s="48">
        <f>IF(t&lt;Tnet,'2023'!Resal+('2023'!Salim-'2023'!Resal)*(1-EXP(('2023'!Tnet-t)/('2023'!Tau_j))),Resal+(Salim-Resal)*(1-EXP((Tnet-t)/(Tau_j))))*Salcycl</f>
        <v>2.6696923469116403E-2</v>
      </c>
      <c r="P153" s="171">
        <f>(INDEX(Models!$BJ153:$BT153,,T153)*(1-R153)+INDEX(Models!$BJ153:$BT153,,T153+1)*R153-ERP_i)*Q153*Ramure*Pc/MaxiM</f>
        <v>1.4384361045658054E-3</v>
      </c>
      <c r="Q153" s="307">
        <f t="shared" si="53"/>
        <v>0.9</v>
      </c>
      <c r="R153" s="179">
        <f t="shared" si="54"/>
        <v>0.30156614193583109</v>
      </c>
      <c r="S153" s="839">
        <f t="shared" si="55"/>
        <v>1</v>
      </c>
      <c r="T153" s="178">
        <f t="shared" si="56"/>
        <v>7</v>
      </c>
      <c r="U153" s="253">
        <f t="shared" si="57"/>
        <v>1.3015661419358311</v>
      </c>
      <c r="V153" s="385">
        <f t="shared" si="58"/>
        <v>59.00564443056922</v>
      </c>
      <c r="W153" s="404">
        <f t="shared" si="59"/>
        <v>55.408544377884148</v>
      </c>
      <c r="X153" s="157">
        <f t="shared" si="60"/>
        <v>45430</v>
      </c>
      <c r="Y153" s="387">
        <f t="shared" si="61"/>
        <v>50.190665484281027</v>
      </c>
      <c r="Z153" s="387">
        <f t="shared" si="62"/>
        <v>52.725294865567776</v>
      </c>
      <c r="AA153" s="388">
        <f t="shared" si="63"/>
        <v>59.803239224582072</v>
      </c>
      <c r="AB153" s="199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0.11835386261326319</v>
      </c>
      <c r="AD153" s="233">
        <f>(INDEX(Models!$BJ153:$BT153,,AH153)*(1-AF153)+INDEX(Models!$BJ153:$BT153,,AH153+1)*AF153-ERP_i)*AE153*Ramure*Pc/MaxiM</f>
        <v>1.4384361045658054E-3</v>
      </c>
      <c r="AE153" s="307">
        <f t="shared" si="65"/>
        <v>0.9</v>
      </c>
      <c r="AF153" s="179">
        <f t="shared" si="66"/>
        <v>0.30156614193583109</v>
      </c>
      <c r="AG153" s="839">
        <f t="shared" si="74"/>
        <v>1</v>
      </c>
      <c r="AH153" s="178">
        <f t="shared" si="67"/>
        <v>7</v>
      </c>
      <c r="AI153" s="227">
        <f t="shared" si="68"/>
        <v>1.3015661419358311</v>
      </c>
      <c r="AJ153" s="267" t="b">
        <f t="shared" si="69"/>
        <v>0</v>
      </c>
      <c r="AK153" s="267" t="b">
        <f t="shared" si="70"/>
        <v>0</v>
      </c>
      <c r="AL153" s="267"/>
      <c r="AM153" s="267"/>
      <c r="AN153" s="75"/>
    </row>
    <row r="154" spans="1:40" s="6" customFormat="1" ht="11.25" x14ac:dyDescent="0.2">
      <c r="A154" s="56">
        <f t="shared" si="71"/>
        <v>45431</v>
      </c>
      <c r="B154" s="413">
        <f>'2023'!Wh/'2023'!Env_an*'2024'!Env_an</f>
        <v>48.260624118529094</v>
      </c>
      <c r="C154" s="868"/>
      <c r="D154" s="395">
        <f t="shared" si="50"/>
        <v>50.698966220079477</v>
      </c>
      <c r="E154" s="387">
        <f t="shared" si="72"/>
        <v>52.102728311068439</v>
      </c>
      <c r="F154" s="387">
        <f t="shared" si="51"/>
        <v>52.154458518998823</v>
      </c>
      <c r="G154" s="110">
        <f t="shared" si="73"/>
        <v>0.81674597324858567</v>
      </c>
      <c r="H154" s="416" t="b">
        <f>Wh_hp&gt;='2023'!Maxi_hp</f>
        <v>0</v>
      </c>
      <c r="I154" s="392">
        <f>IF(H154,Wh_hp,'2023'!Maxi_hp)</f>
        <v>63.420462429144116</v>
      </c>
      <c r="J154" s="85">
        <f>IF(H154,An,'2023'!An_max)</f>
        <v>2021</v>
      </c>
      <c r="K154" s="199">
        <f t="shared" si="52"/>
        <v>45431</v>
      </c>
      <c r="L154" s="147">
        <f>IF(t&lt;Tvie,1-EXP((T0-t)*PertePVj)+'2023'!Pspv,1-EXP((T0-t)*PertePVj)+Pspv)</f>
        <v>4.8094513228647884E-2</v>
      </c>
      <c r="M154" s="872"/>
      <c r="N154" s="872"/>
      <c r="O154" s="48">
        <f>IF(t&lt;Tnet,'2023'!Resal+('2023'!Salim-'2023'!Resal)*(1-EXP(('2023'!Tnet-t)/('2023'!Tau_j))),Resal+(Salim-Resal)*(1-EXP((Tnet-t)/(Tau_j))))*Salcycl</f>
        <v>2.6942199314555861E-2</v>
      </c>
      <c r="P154" s="171">
        <f>(INDEX(Models!$BJ154:$BT154,,T154)*(1-R154)+INDEX(Models!$BJ154:$BT154,,T154+1)*R154-ERP_i)*Q154*Ramure*Pc/MaxiM</f>
        <v>1.3428655402726258E-3</v>
      </c>
      <c r="Q154" s="307">
        <f t="shared" si="53"/>
        <v>0.9</v>
      </c>
      <c r="R154" s="179">
        <f t="shared" si="54"/>
        <v>0.30752876336655599</v>
      </c>
      <c r="S154" s="839">
        <f t="shared" si="55"/>
        <v>1</v>
      </c>
      <c r="T154" s="178">
        <f t="shared" si="56"/>
        <v>7</v>
      </c>
      <c r="U154" s="253">
        <f t="shared" si="57"/>
        <v>1.307528763366556</v>
      </c>
      <c r="V154" s="385">
        <f t="shared" si="58"/>
        <v>59.068142848783971</v>
      </c>
      <c r="W154" s="404">
        <f t="shared" si="59"/>
        <v>48.260624118529094</v>
      </c>
      <c r="X154" s="157">
        <f t="shared" si="60"/>
        <v>45431</v>
      </c>
      <c r="Y154" s="387">
        <f t="shared" si="61"/>
        <v>43.715348596012475</v>
      </c>
      <c r="Z154" s="387">
        <f t="shared" si="62"/>
        <v>45.924043094115405</v>
      </c>
      <c r="AA154" s="388">
        <f t="shared" si="63"/>
        <v>52.102728311068439</v>
      </c>
      <c r="AB154" s="199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0.1185865964650543</v>
      </c>
      <c r="AD154" s="233">
        <f>(INDEX(Models!$BJ154:$BT154,,AH154)*(1-AF154)+INDEX(Models!$BJ154:$BT154,,AH154+1)*AF154-ERP_i)*AE154*Ramure*Pc/MaxiM</f>
        <v>1.3428655402726258E-3</v>
      </c>
      <c r="AE154" s="307">
        <f t="shared" si="65"/>
        <v>0.9</v>
      </c>
      <c r="AF154" s="179">
        <f t="shared" si="66"/>
        <v>0.30752876336655599</v>
      </c>
      <c r="AG154" s="839">
        <f t="shared" si="74"/>
        <v>1</v>
      </c>
      <c r="AH154" s="178">
        <f t="shared" si="67"/>
        <v>7</v>
      </c>
      <c r="AI154" s="227">
        <f t="shared" si="68"/>
        <v>1.307528763366556</v>
      </c>
      <c r="AJ154" s="267" t="b">
        <f t="shared" si="69"/>
        <v>0</v>
      </c>
      <c r="AK154" s="267" t="b">
        <f t="shared" si="70"/>
        <v>0</v>
      </c>
      <c r="AL154" s="267"/>
      <c r="AM154" s="267"/>
      <c r="AN154" s="75"/>
    </row>
    <row r="155" spans="1:40" s="6" customFormat="1" ht="11.25" x14ac:dyDescent="0.2">
      <c r="A155" s="56">
        <f t="shared" si="71"/>
        <v>45432</v>
      </c>
      <c r="B155" s="413">
        <f>'2023'!Wh/'2023'!Env_an*'2024'!Env_an</f>
        <v>48.96629655976465</v>
      </c>
      <c r="C155" s="868"/>
      <c r="D155" s="395">
        <f t="shared" si="50"/>
        <v>51.441489500839054</v>
      </c>
      <c r="E155" s="387">
        <f t="shared" si="72"/>
        <v>52.879157386568643</v>
      </c>
      <c r="F155" s="387">
        <f t="shared" si="51"/>
        <v>52.929313360780064</v>
      </c>
      <c r="G155" s="110">
        <f t="shared" si="73"/>
        <v>0.8279312456274438</v>
      </c>
      <c r="H155" s="416" t="b">
        <f>Wh_hp&gt;='2023'!Maxi_hp</f>
        <v>0</v>
      </c>
      <c r="I155" s="392">
        <f>IF(H155,Wh_hp,'2023'!Maxi_hp)</f>
        <v>62.068839464913452</v>
      </c>
      <c r="J155" s="85">
        <f>IF(H155,An,'2023'!An_max)</f>
        <v>2020</v>
      </c>
      <c r="K155" s="199">
        <f t="shared" si="52"/>
        <v>45432</v>
      </c>
      <c r="L155" s="147">
        <f>IF(t&lt;Tvie,1-EXP((T0-t)*PertePVj)+'2023'!Pspv,1-EXP((T0-t)*PertePVj)+Pspv)</f>
        <v>4.811666545996951E-2</v>
      </c>
      <c r="M155" s="872"/>
      <c r="N155" s="872"/>
      <c r="O155" s="48">
        <f>IF(t&lt;Tnet,'2023'!Resal+('2023'!Salim-'2023'!Resal)*(1-EXP(('2023'!Tnet-t)/('2023'!Tau_j))),Resal+(Salim-Resal)*(1-EXP((Tnet-t)/(Tau_j))))*Salcycl</f>
        <v>2.7187798686345081E-2</v>
      </c>
      <c r="P155" s="171">
        <f>(INDEX(Models!$BJ155:$BT155,,T155)*(1-R155)+INDEX(Models!$BJ155:$BT155,,T155+1)*R155-ERP_i)*Q155*Ramure*Pc/MaxiM</f>
        <v>1.2558475712950861E-3</v>
      </c>
      <c r="Q155" s="307">
        <f t="shared" si="53"/>
        <v>0.9</v>
      </c>
      <c r="R155" s="179">
        <f t="shared" si="54"/>
        <v>0.31359183789587597</v>
      </c>
      <c r="S155" s="839">
        <f t="shared" si="55"/>
        <v>1</v>
      </c>
      <c r="T155" s="178">
        <f t="shared" si="56"/>
        <v>7</v>
      </c>
      <c r="U155" s="253">
        <f t="shared" si="57"/>
        <v>1.313591837895876</v>
      </c>
      <c r="V155" s="385">
        <f t="shared" si="58"/>
        <v>59.124702570561041</v>
      </c>
      <c r="W155" s="404">
        <f t="shared" si="59"/>
        <v>48.96629655976465</v>
      </c>
      <c r="X155" s="157">
        <f t="shared" si="60"/>
        <v>45432</v>
      </c>
      <c r="Y155" s="387">
        <f t="shared" si="61"/>
        <v>44.354006350491687</v>
      </c>
      <c r="Z155" s="387">
        <f t="shared" si="62"/>
        <v>46.596053046694479</v>
      </c>
      <c r="AA155" s="388">
        <f t="shared" si="63"/>
        <v>52.879157386568643</v>
      </c>
      <c r="AB155" s="199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0.1188200540704925</v>
      </c>
      <c r="AD155" s="233">
        <f>(INDEX(Models!$BJ155:$BT155,,AH155)*(1-AF155)+INDEX(Models!$BJ155:$BT155,,AH155+1)*AF155-ERP_i)*AE155*Ramure*Pc/MaxiM</f>
        <v>1.2558475712950861E-3</v>
      </c>
      <c r="AE155" s="307">
        <f t="shared" si="65"/>
        <v>0.9</v>
      </c>
      <c r="AF155" s="179">
        <f t="shared" si="66"/>
        <v>0.31359183789587597</v>
      </c>
      <c r="AG155" s="839">
        <f t="shared" si="74"/>
        <v>1</v>
      </c>
      <c r="AH155" s="178">
        <f t="shared" si="67"/>
        <v>7</v>
      </c>
      <c r="AI155" s="227">
        <f t="shared" si="68"/>
        <v>1.313591837895876</v>
      </c>
      <c r="AJ155" s="267" t="b">
        <f t="shared" si="69"/>
        <v>0</v>
      </c>
      <c r="AK155" s="267" t="b">
        <f t="shared" si="70"/>
        <v>0</v>
      </c>
      <c r="AL155" s="267"/>
      <c r="AM155" s="267"/>
      <c r="AN155" s="75"/>
    </row>
    <row r="156" spans="1:40" s="18" customFormat="1" ht="11.25" x14ac:dyDescent="0.2">
      <c r="A156" s="56">
        <f t="shared" si="71"/>
        <v>45433</v>
      </c>
      <c r="B156" s="413">
        <f>'2023'!Wh/'2023'!Env_an*'2024'!Env_an</f>
        <v>34.797155614441913</v>
      </c>
      <c r="C156" s="868"/>
      <c r="D156" s="395">
        <f t="shared" si="50"/>
        <v>36.556964652342337</v>
      </c>
      <c r="E156" s="387">
        <f t="shared" si="72"/>
        <v>37.588146399299369</v>
      </c>
      <c r="F156" s="387">
        <f t="shared" si="51"/>
        <v>37.606381305706108</v>
      </c>
      <c r="G156" s="110">
        <f t="shared" si="73"/>
        <v>0.58762437784598009</v>
      </c>
      <c r="H156" s="416" t="b">
        <f>Wh_hp&gt;='2023'!Maxi_hp</f>
        <v>0</v>
      </c>
      <c r="I156" s="392">
        <f>IF(H156,Wh_hp,'2023'!Maxi_hp)</f>
        <v>63.02960296513583</v>
      </c>
      <c r="J156" s="85">
        <f>IF(H156,An,'2023'!An_max)</f>
        <v>2019</v>
      </c>
      <c r="K156" s="199">
        <f t="shared" si="52"/>
        <v>45433</v>
      </c>
      <c r="L156" s="147">
        <f>IF(t&lt;Tvie,1-EXP((T0-t)*PertePVj)+'2023'!Pspv,1-EXP((T0-t)*PertePVj)+Pspv)</f>
        <v>4.8138817175776283E-2</v>
      </c>
      <c r="M156" s="872"/>
      <c r="N156" s="872"/>
      <c r="O156" s="48">
        <f>IF(t&lt;Tnet,'2023'!Resal+('2023'!Salim-'2023'!Resal)*(1-EXP(('2023'!Tnet-t)/('2023'!Tau_j))),Resal+(Salim-Resal)*(1-EXP((Tnet-t)/(Tau_j))))*Salcycl</f>
        <v>2.7433695080432308E-2</v>
      </c>
      <c r="P156" s="171">
        <f>(INDEX(Models!$BJ156:$BT156,,T156)*(1-R156)+INDEX(Models!$BJ156:$BT156,,T156+1)*R156-ERP_i)*Q156*Ramure*Pc/MaxiM</f>
        <v>1.1784161932549548E-3</v>
      </c>
      <c r="Q156" s="307">
        <f t="shared" si="53"/>
        <v>0.9</v>
      </c>
      <c r="R156" s="179">
        <f t="shared" si="54"/>
        <v>0.31975267823965381</v>
      </c>
      <c r="S156" s="839">
        <f t="shared" si="55"/>
        <v>1</v>
      </c>
      <c r="T156" s="178">
        <f t="shared" si="56"/>
        <v>7</v>
      </c>
      <c r="U156" s="253">
        <f t="shared" si="57"/>
        <v>1.3197526782396538</v>
      </c>
      <c r="V156" s="385">
        <f t="shared" si="58"/>
        <v>59.175576152395394</v>
      </c>
      <c r="W156" s="404">
        <f t="shared" si="59"/>
        <v>34.797155614441913</v>
      </c>
      <c r="X156" s="157">
        <f t="shared" si="60"/>
        <v>45433</v>
      </c>
      <c r="Y156" s="387">
        <f t="shared" si="61"/>
        <v>31.51909654542624</v>
      </c>
      <c r="Z156" s="387">
        <f t="shared" si="62"/>
        <v>33.113123125692944</v>
      </c>
      <c r="AA156" s="388">
        <f t="shared" si="63"/>
        <v>37.588146399299369</v>
      </c>
      <c r="AB156" s="199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0.11905410886900865</v>
      </c>
      <c r="AD156" s="233">
        <f>(INDEX(Models!$BJ156:$BT156,,AH156)*(1-AF156)+INDEX(Models!$BJ156:$BT156,,AH156+1)*AF156-ERP_i)*AE156*Ramure*Pc/MaxiM</f>
        <v>1.1784161932549548E-3</v>
      </c>
      <c r="AE156" s="307">
        <f t="shared" si="65"/>
        <v>0.9</v>
      </c>
      <c r="AF156" s="179">
        <f t="shared" si="66"/>
        <v>0.31975267823965381</v>
      </c>
      <c r="AG156" s="839">
        <f t="shared" si="74"/>
        <v>1</v>
      </c>
      <c r="AH156" s="178">
        <f t="shared" si="67"/>
        <v>7</v>
      </c>
      <c r="AI156" s="227">
        <f t="shared" si="68"/>
        <v>1.3197526782396538</v>
      </c>
      <c r="AJ156" s="267" t="b">
        <f t="shared" si="69"/>
        <v>0</v>
      </c>
      <c r="AK156" s="267" t="b">
        <f t="shared" si="70"/>
        <v>0</v>
      </c>
      <c r="AL156" s="267"/>
      <c r="AM156" s="267"/>
      <c r="AN156" s="267"/>
    </row>
    <row r="157" spans="1:40" s="18" customFormat="1" ht="11.25" x14ac:dyDescent="0.2">
      <c r="A157" s="56">
        <f t="shared" si="71"/>
        <v>45434</v>
      </c>
      <c r="B157" s="413">
        <f>'2023'!Wh/'2023'!Env_an*'2024'!Env_an</f>
        <v>17.958356556909763</v>
      </c>
      <c r="C157" s="868"/>
      <c r="D157" s="395">
        <f t="shared" si="50"/>
        <v>18.867010030331762</v>
      </c>
      <c r="E157" s="387">
        <f t="shared" si="72"/>
        <v>19.404113172157125</v>
      </c>
      <c r="F157" s="387">
        <f t="shared" si="51"/>
        <v>19.40421240841356</v>
      </c>
      <c r="G157" s="110">
        <f t="shared" si="73"/>
        <v>0.30290742822916134</v>
      </c>
      <c r="H157" s="416" t="b">
        <f>Wh_hp&gt;='2023'!Maxi_hp</f>
        <v>0</v>
      </c>
      <c r="I157" s="392">
        <f>IF(H157,Wh_hp,'2023'!Maxi_hp)</f>
        <v>57.069920377095102</v>
      </c>
      <c r="J157" s="85">
        <f>IF(H157,An,'2023'!An_max)</f>
        <v>2020</v>
      </c>
      <c r="K157" s="199">
        <f t="shared" si="52"/>
        <v>45434</v>
      </c>
      <c r="L157" s="147">
        <f>IF(t&lt;Tvie,1-EXP((T0-t)*PertePVj)+'2023'!Pspv,1-EXP((T0-t)*PertePVj)+Pspv)</f>
        <v>4.8160968376080304E-2</v>
      </c>
      <c r="M157" s="872"/>
      <c r="N157" s="872"/>
      <c r="O157" s="48">
        <f>IF(t&lt;Tnet,'2023'!Resal+('2023'!Salim-'2023'!Resal)*(1-EXP(('2023'!Tnet-t)/('2023'!Tau_j))),Resal+(Salim-Resal)*(1-EXP((Tnet-t)/(Tau_j))))*Salcycl</f>
        <v>2.7679860298694261E-2</v>
      </c>
      <c r="P157" s="171">
        <f>(INDEX(Models!$BJ157:$BT157,,T157)*(1-R157)+INDEX(Models!$BJ157:$BT157,,T157+1)*R157-ERP_i)*Q157*Ramure*Pc/MaxiM</f>
        <v>1.1046228307792347E-3</v>
      </c>
      <c r="Q157" s="307">
        <f t="shared" si="53"/>
        <v>0.9</v>
      </c>
      <c r="R157" s="179">
        <f t="shared" si="54"/>
        <v>0.3260083421041351</v>
      </c>
      <c r="S157" s="839">
        <f t="shared" si="55"/>
        <v>1</v>
      </c>
      <c r="T157" s="178">
        <f t="shared" si="56"/>
        <v>7</v>
      </c>
      <c r="U157" s="253">
        <f t="shared" si="57"/>
        <v>1.3260083421041351</v>
      </c>
      <c r="V157" s="385">
        <f t="shared" si="58"/>
        <v>59.221430098500363</v>
      </c>
      <c r="W157" s="404">
        <f t="shared" si="59"/>
        <v>17.958356556909763</v>
      </c>
      <c r="X157" s="157">
        <f t="shared" si="60"/>
        <v>45434</v>
      </c>
      <c r="Y157" s="387">
        <f t="shared" si="61"/>
        <v>16.266379919418</v>
      </c>
      <c r="Z157" s="387">
        <f t="shared" si="62"/>
        <v>17.089423084138659</v>
      </c>
      <c r="AA157" s="388">
        <f t="shared" si="63"/>
        <v>19.404113172157125</v>
      </c>
      <c r="AB157" s="199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0.11928863058476709</v>
      </c>
      <c r="AD157" s="233">
        <f>(INDEX(Models!$BJ157:$BT157,,AH157)*(1-AF157)+INDEX(Models!$BJ157:$BT157,,AH157+1)*AF157-ERP_i)*AE157*Ramure*Pc/MaxiM</f>
        <v>1.1046228307792347E-3</v>
      </c>
      <c r="AE157" s="307">
        <f t="shared" si="65"/>
        <v>0.9</v>
      </c>
      <c r="AF157" s="179">
        <f t="shared" si="66"/>
        <v>0.3260083421041351</v>
      </c>
      <c r="AG157" s="839">
        <f t="shared" si="74"/>
        <v>1</v>
      </c>
      <c r="AH157" s="178">
        <f t="shared" si="67"/>
        <v>7</v>
      </c>
      <c r="AI157" s="227">
        <f t="shared" si="68"/>
        <v>1.3260083421041351</v>
      </c>
      <c r="AJ157" s="267" t="b">
        <f t="shared" si="69"/>
        <v>0</v>
      </c>
      <c r="AK157" s="267" t="b">
        <f t="shared" si="70"/>
        <v>0</v>
      </c>
      <c r="AL157" s="267"/>
      <c r="AM157" s="267"/>
      <c r="AN157" s="267"/>
    </row>
    <row r="158" spans="1:40" s="6" customFormat="1" ht="11.25" x14ac:dyDescent="0.2">
      <c r="A158" s="56">
        <f t="shared" si="71"/>
        <v>45435</v>
      </c>
      <c r="B158" s="413">
        <f>'2023'!Wh/'2023'!Env_an*'2024'!Env_an</f>
        <v>14.963385180220049</v>
      </c>
      <c r="C158" s="868"/>
      <c r="D158" s="395">
        <f t="shared" si="50"/>
        <v>15.720865515073113</v>
      </c>
      <c r="E158" s="387">
        <f t="shared" si="72"/>
        <v>16.172503114826807</v>
      </c>
      <c r="F158" s="387">
        <f t="shared" si="51"/>
        <v>16.172503114826807</v>
      </c>
      <c r="G158" s="110">
        <f t="shared" si="73"/>
        <v>0.25223178415245534</v>
      </c>
      <c r="H158" s="416" t="b">
        <f>Wh_hp&gt;='2023'!Maxi_hp</f>
        <v>0</v>
      </c>
      <c r="I158" s="392">
        <f>IF(H158,Wh_hp,'2023'!Maxi_hp)</f>
        <v>28.542221114543629</v>
      </c>
      <c r="J158" s="85">
        <f>IF(H158,An,'2023'!An_max)</f>
        <v>2021</v>
      </c>
      <c r="K158" s="199">
        <f t="shared" si="52"/>
        <v>45435</v>
      </c>
      <c r="L158" s="147">
        <f>IF(t&lt;Tvie,1-EXP((T0-t)*PertePVj)+'2023'!Pspv,1-EXP((T0-t)*PertePVj)+Pspv)</f>
        <v>4.8183119060893564E-2</v>
      </c>
      <c r="M158" s="872"/>
      <c r="N158" s="872"/>
      <c r="O158" s="48">
        <f>IF(t&lt;Tnet,'2023'!Resal+('2023'!Salim-'2023'!Resal)*(1-EXP(('2023'!Tnet-t)/('2023'!Tau_j))),Resal+(Salim-Resal)*(1-EXP((Tnet-t)/(Tau_j))))*Salcycl</f>
        <v>2.7926264508778362E-2</v>
      </c>
      <c r="P158" s="171">
        <f>(INDEX(Models!$BJ158:$BT158,,T158)*(1-R158)+INDEX(Models!$BJ158:$BT158,,T158+1)*R158-ERP_i)*Q158*Ramure*Pc/MaxiM</f>
        <v>1.0344735220818425E-3</v>
      </c>
      <c r="Q158" s="307">
        <f t="shared" si="53"/>
        <v>0.9</v>
      </c>
      <c r="R158" s="179">
        <f t="shared" si="54"/>
        <v>0.33235563344729657</v>
      </c>
      <c r="S158" s="839">
        <f t="shared" si="55"/>
        <v>1</v>
      </c>
      <c r="T158" s="178">
        <f t="shared" si="56"/>
        <v>7</v>
      </c>
      <c r="U158" s="253">
        <f t="shared" si="57"/>
        <v>1.3323556334472966</v>
      </c>
      <c r="V158" s="385">
        <f t="shared" si="58"/>
        <v>59.262578682056585</v>
      </c>
      <c r="W158" s="404">
        <f t="shared" si="59"/>
        <v>14.963385180220049</v>
      </c>
      <c r="X158" s="157">
        <f t="shared" si="60"/>
        <v>45435</v>
      </c>
      <c r="Y158" s="387">
        <f t="shared" si="61"/>
        <v>13.553405206140734</v>
      </c>
      <c r="Z158" s="387">
        <f t="shared" si="62"/>
        <v>14.239509171941057</v>
      </c>
      <c r="AA158" s="388">
        <f t="shared" si="63"/>
        <v>16.172503114826807</v>
      </c>
      <c r="AB158" s="199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0.11952348558298302</v>
      </c>
      <c r="AD158" s="233">
        <f>(INDEX(Models!$BJ158:$BT158,,AH158)*(1-AF158)+INDEX(Models!$BJ158:$BT158,,AH158+1)*AF158-ERP_i)*AE158*Ramure*Pc/MaxiM</f>
        <v>1.0344735220818425E-3</v>
      </c>
      <c r="AE158" s="307">
        <f t="shared" si="65"/>
        <v>0.9</v>
      </c>
      <c r="AF158" s="179">
        <f t="shared" si="66"/>
        <v>0.33235563344729657</v>
      </c>
      <c r="AG158" s="839">
        <f t="shared" si="74"/>
        <v>1</v>
      </c>
      <c r="AH158" s="178">
        <f t="shared" si="67"/>
        <v>7</v>
      </c>
      <c r="AI158" s="227">
        <f t="shared" si="68"/>
        <v>1.3323556334472966</v>
      </c>
      <c r="AJ158" s="267" t="b">
        <f t="shared" si="69"/>
        <v>0</v>
      </c>
      <c r="AK158" s="267" t="b">
        <f t="shared" si="70"/>
        <v>0</v>
      </c>
      <c r="AL158" s="267"/>
      <c r="AM158" s="267"/>
      <c r="AN158" s="75"/>
    </row>
    <row r="159" spans="1:40" s="6" customFormat="1" ht="11.25" x14ac:dyDescent="0.2">
      <c r="A159" s="56">
        <f t="shared" si="71"/>
        <v>45436</v>
      </c>
      <c r="B159" s="413">
        <f>'2023'!Wh/'2023'!Env_an*'2024'!Env_an</f>
        <v>41.631416685899367</v>
      </c>
      <c r="C159" s="868"/>
      <c r="D159" s="395">
        <f t="shared" si="50"/>
        <v>43.739910865265671</v>
      </c>
      <c r="E159" s="387">
        <f t="shared" si="72"/>
        <v>45.007913238083631</v>
      </c>
      <c r="F159" s="387">
        <f t="shared" si="51"/>
        <v>45.032950531189073</v>
      </c>
      <c r="G159" s="110">
        <f t="shared" si="73"/>
        <v>0.70176595281960819</v>
      </c>
      <c r="H159" s="416" t="b">
        <f>Wh_hp&gt;='2023'!Maxi_hp</f>
        <v>0</v>
      </c>
      <c r="I159" s="392">
        <f>IF(H159,Wh_hp,'2023'!Maxi_hp)</f>
        <v>59.272001912813224</v>
      </c>
      <c r="J159" s="85">
        <f>IF(H159,An,'2023'!An_max)</f>
        <v>2020</v>
      </c>
      <c r="K159" s="199">
        <f t="shared" si="52"/>
        <v>45436</v>
      </c>
      <c r="L159" s="147">
        <f>IF(t&lt;Tvie,1-EXP((T0-t)*PertePVj)+'2023'!Pspv,1-EXP((T0-t)*PertePVj)+Pspv)</f>
        <v>4.8205269230227943E-2</v>
      </c>
      <c r="M159" s="872"/>
      <c r="N159" s="872"/>
      <c r="O159" s="48">
        <f>IF(t&lt;Tnet,'2023'!Resal+('2023'!Salim-'2023'!Resal)*(1-EXP(('2023'!Tnet-t)/('2023'!Tau_j))),Resal+(Salim-Resal)*(1-EXP((Tnet-t)/(Tau_j))))*Salcycl</f>
        <v>2.8172876314226422E-2</v>
      </c>
      <c r="P159" s="171">
        <f>(INDEX(Models!$BJ159:$BT159,,T159)*(1-R159)+INDEX(Models!$BJ159:$BT159,,T159+1)*R159-ERP_i)*Q159*Ramure*Pc/MaxiM</f>
        <v>9.6798615855856786E-4</v>
      </c>
      <c r="Q159" s="307">
        <f t="shared" si="53"/>
        <v>0.9</v>
      </c>
      <c r="R159" s="179">
        <f t="shared" si="54"/>
        <v>0.33879110503210041</v>
      </c>
      <c r="S159" s="839">
        <f t="shared" si="55"/>
        <v>1</v>
      </c>
      <c r="T159" s="178">
        <f t="shared" si="56"/>
        <v>7</v>
      </c>
      <c r="U159" s="253">
        <f t="shared" si="57"/>
        <v>1.3387911050321004</v>
      </c>
      <c r="V159" s="385">
        <f t="shared" si="58"/>
        <v>59.299335426238308</v>
      </c>
      <c r="W159" s="404">
        <f t="shared" si="59"/>
        <v>41.631416685899367</v>
      </c>
      <c r="X159" s="157">
        <f t="shared" si="60"/>
        <v>45436</v>
      </c>
      <c r="Y159" s="387">
        <f t="shared" si="61"/>
        <v>37.708043155640183</v>
      </c>
      <c r="Z159" s="387">
        <f t="shared" si="62"/>
        <v>39.617831383814746</v>
      </c>
      <c r="AA159" s="388">
        <f t="shared" si="63"/>
        <v>45.007913238083631</v>
      </c>
      <c r="AB159" s="199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0.1197585372544676</v>
      </c>
      <c r="AD159" s="233">
        <f>(INDEX(Models!$BJ159:$BT159,,AH159)*(1-AF159)+INDEX(Models!$BJ159:$BT159,,AH159+1)*AF159-ERP_i)*AE159*Ramure*Pc/MaxiM</f>
        <v>9.6798615855856786E-4</v>
      </c>
      <c r="AE159" s="307">
        <f t="shared" si="65"/>
        <v>0.9</v>
      </c>
      <c r="AF159" s="179">
        <f t="shared" si="66"/>
        <v>0.33879110503210041</v>
      </c>
      <c r="AG159" s="839">
        <f t="shared" si="74"/>
        <v>1</v>
      </c>
      <c r="AH159" s="178">
        <f t="shared" si="67"/>
        <v>7</v>
      </c>
      <c r="AI159" s="227">
        <f t="shared" si="68"/>
        <v>1.3387911050321004</v>
      </c>
      <c r="AJ159" s="267" t="b">
        <f t="shared" si="69"/>
        <v>0</v>
      </c>
      <c r="AK159" s="267" t="b">
        <f t="shared" si="70"/>
        <v>0</v>
      </c>
      <c r="AL159" s="267"/>
      <c r="AM159" s="267"/>
      <c r="AN159" s="75"/>
    </row>
    <row r="160" spans="1:40" s="6" customFormat="1" ht="11.25" x14ac:dyDescent="0.2">
      <c r="A160" s="56">
        <f t="shared" si="71"/>
        <v>45437</v>
      </c>
      <c r="B160" s="413">
        <f>'2023'!Wh/'2023'!Env_an*'2024'!Env_an</f>
        <v>21.865387291018873</v>
      </c>
      <c r="C160" s="868"/>
      <c r="D160" s="395">
        <f t="shared" si="50"/>
        <v>22.973331786237033</v>
      </c>
      <c r="E160" s="387">
        <f t="shared" si="72"/>
        <v>23.645323919653407</v>
      </c>
      <c r="F160" s="387">
        <f t="shared" si="51"/>
        <v>23.647419368626608</v>
      </c>
      <c r="G160" s="110">
        <f t="shared" si="73"/>
        <v>0.36822500656528018</v>
      </c>
      <c r="H160" s="416" t="b">
        <f>Wh_hp&gt;='2023'!Maxi_hp</f>
        <v>0</v>
      </c>
      <c r="I160" s="392">
        <f>IF(H160,Wh_hp,'2023'!Maxi_hp)</f>
        <v>63.227502087912768</v>
      </c>
      <c r="J160" s="85">
        <f>IF(H160,An,'2023'!An_max)</f>
        <v>2020</v>
      </c>
      <c r="K160" s="199">
        <f t="shared" si="52"/>
        <v>45437</v>
      </c>
      <c r="L160" s="147">
        <f>IF(t&lt;Tvie,1-EXP((T0-t)*PertePVj)+'2023'!Pspv,1-EXP((T0-t)*PertePVj)+Pspv)</f>
        <v>4.8227418884095541E-2</v>
      </c>
      <c r="M160" s="872"/>
      <c r="N160" s="872"/>
      <c r="O160" s="48">
        <f>IF(t&lt;Tnet,'2023'!Resal+('2023'!Salim-'2023'!Resal)*(1-EXP(('2023'!Tnet-t)/('2023'!Tau_j))),Resal+(Salim-Resal)*(1-EXP((Tnet-t)/(Tau_j))))*Salcycl</f>
        <v>2.8419662834808141E-2</v>
      </c>
      <c r="P160" s="171">
        <f>(INDEX(Models!$BJ160:$BT160,,T160)*(1-R160)+INDEX(Models!$BJ160:$BT160,,T160+1)*R160-ERP_i)*Q160*Ramure*Pc/MaxiM</f>
        <v>9.0518269717980242E-4</v>
      </c>
      <c r="Q160" s="307">
        <f t="shared" si="53"/>
        <v>0.9</v>
      </c>
      <c r="R160" s="179">
        <f t="shared" si="54"/>
        <v>0.34531106230926567</v>
      </c>
      <c r="S160" s="839">
        <f t="shared" si="55"/>
        <v>1</v>
      </c>
      <c r="T160" s="178">
        <f t="shared" si="56"/>
        <v>7</v>
      </c>
      <c r="U160" s="253">
        <f t="shared" si="57"/>
        <v>1.3453110623092657</v>
      </c>
      <c r="V160" s="385">
        <f t="shared" si="58"/>
        <v>59.332013546673075</v>
      </c>
      <c r="W160" s="404">
        <f t="shared" si="59"/>
        <v>21.865387291018873</v>
      </c>
      <c r="X160" s="157">
        <f t="shared" si="60"/>
        <v>45437</v>
      </c>
      <c r="Y160" s="387">
        <f t="shared" si="61"/>
        <v>19.804517447908061</v>
      </c>
      <c r="Z160" s="387">
        <f t="shared" si="62"/>
        <v>20.808035281588257</v>
      </c>
      <c r="AA160" s="388">
        <f t="shared" si="63"/>
        <v>23.645323919653407</v>
      </c>
      <c r="AB160" s="199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0.11999364642693121</v>
      </c>
      <c r="AD160" s="233">
        <f>(INDEX(Models!$BJ160:$BT160,,AH160)*(1-AF160)+INDEX(Models!$BJ160:$BT160,,AH160+1)*AF160-ERP_i)*AE160*Ramure*Pc/MaxiM</f>
        <v>9.0518269717980242E-4</v>
      </c>
      <c r="AE160" s="307">
        <f t="shared" si="65"/>
        <v>0.9</v>
      </c>
      <c r="AF160" s="179">
        <f t="shared" si="66"/>
        <v>0.34531106230926567</v>
      </c>
      <c r="AG160" s="839">
        <f t="shared" si="74"/>
        <v>1</v>
      </c>
      <c r="AH160" s="178">
        <f t="shared" si="67"/>
        <v>7</v>
      </c>
      <c r="AI160" s="227">
        <f t="shared" si="68"/>
        <v>1.3453110623092657</v>
      </c>
      <c r="AJ160" s="267" t="b">
        <f t="shared" si="69"/>
        <v>0</v>
      </c>
      <c r="AK160" s="267" t="b">
        <f t="shared" si="70"/>
        <v>0</v>
      </c>
      <c r="AL160" s="267"/>
      <c r="AM160" s="267"/>
      <c r="AN160" s="75"/>
    </row>
    <row r="161" spans="1:40" s="6" customFormat="1" ht="11.25" x14ac:dyDescent="0.2">
      <c r="A161" s="56">
        <f t="shared" si="71"/>
        <v>45438</v>
      </c>
      <c r="B161" s="413">
        <f>'2023'!Wh/'2023'!Env_an*'2024'!Env_an</f>
        <v>41.44840778594012</v>
      </c>
      <c r="C161" s="868"/>
      <c r="D161" s="395">
        <f t="shared" si="50"/>
        <v>43.54966007193822</v>
      </c>
      <c r="E161" s="387">
        <f t="shared" si="72"/>
        <v>44.834924460008502</v>
      </c>
      <c r="F161" s="387">
        <f t="shared" si="51"/>
        <v>44.85651645189845</v>
      </c>
      <c r="G161" s="110">
        <f t="shared" si="73"/>
        <v>0.69798916172433645</v>
      </c>
      <c r="H161" s="416" t="b">
        <f>Wh_hp&gt;='2023'!Maxi_hp</f>
        <v>0</v>
      </c>
      <c r="I161" s="392">
        <f>IF(H161,Wh_hp,'2023'!Maxi_hp)</f>
        <v>62.760133675554769</v>
      </c>
      <c r="J161" s="85">
        <f>IF(H161,An,'2023'!An_max)</f>
        <v>2020</v>
      </c>
      <c r="K161" s="199">
        <f t="shared" si="52"/>
        <v>45438</v>
      </c>
      <c r="L161" s="147">
        <f>IF(t&lt;Tvie,1-EXP((T0-t)*PertePVj)+'2023'!Pspv,1-EXP((T0-t)*PertePVj)+Pspv)</f>
        <v>4.8249568022508349E-2</v>
      </c>
      <c r="M161" s="872"/>
      <c r="N161" s="872"/>
      <c r="O161" s="48">
        <f>IF(t&lt;Tnet,'2023'!Resal+('2023'!Salim-'2023'!Resal)*(1-EXP(('2023'!Tnet-t)/('2023'!Tau_j))),Resal+(Salim-Resal)*(1-EXP((Tnet-t)/(Tau_j))))*Salcycl</f>
        <v>2.8666589796904972E-2</v>
      </c>
      <c r="P161" s="171">
        <f>(INDEX(Models!$BJ161:$BT161,,T161)*(1-R161)+INDEX(Models!$BJ161:$BT161,,T161+1)*R161-ERP_i)*Q161*Ramure*Pc/MaxiM</f>
        <v>8.4608892697909E-4</v>
      </c>
      <c r="Q161" s="307">
        <f t="shared" si="53"/>
        <v>0.9</v>
      </c>
      <c r="R161" s="179">
        <f t="shared" si="54"/>
        <v>0.35191156865663187</v>
      </c>
      <c r="S161" s="839">
        <f t="shared" si="55"/>
        <v>1</v>
      </c>
      <c r="T161" s="178">
        <f t="shared" si="56"/>
        <v>7</v>
      </c>
      <c r="U161" s="253">
        <f t="shared" si="57"/>
        <v>1.3519115686566319</v>
      </c>
      <c r="V161" s="385">
        <f t="shared" si="58"/>
        <v>59.360925948579812</v>
      </c>
      <c r="W161" s="404">
        <f t="shared" si="59"/>
        <v>41.44840778594012</v>
      </c>
      <c r="X161" s="157">
        <f t="shared" si="60"/>
        <v>45438</v>
      </c>
      <c r="Y161" s="387">
        <f t="shared" si="61"/>
        <v>37.541301870727729</v>
      </c>
      <c r="Z161" s="387">
        <f t="shared" si="62"/>
        <v>39.444481041869977</v>
      </c>
      <c r="AA161" s="388">
        <f t="shared" si="63"/>
        <v>44.834924460008502</v>
      </c>
      <c r="AB161" s="199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0.12022867180130178</v>
      </c>
      <c r="AD161" s="233">
        <f>(INDEX(Models!$BJ161:$BT161,,AH161)*(1-AF161)+INDEX(Models!$BJ161:$BT161,,AH161+1)*AF161-ERP_i)*AE161*Ramure*Pc/MaxiM</f>
        <v>8.4608892697909E-4</v>
      </c>
      <c r="AE161" s="307">
        <f t="shared" si="65"/>
        <v>0.9</v>
      </c>
      <c r="AF161" s="179">
        <f t="shared" si="66"/>
        <v>0.35191156865663187</v>
      </c>
      <c r="AG161" s="839">
        <f t="shared" si="74"/>
        <v>1</v>
      </c>
      <c r="AH161" s="178">
        <f t="shared" si="67"/>
        <v>7</v>
      </c>
      <c r="AI161" s="227">
        <f t="shared" si="68"/>
        <v>1.3519115686566319</v>
      </c>
      <c r="AJ161" s="267" t="b">
        <f t="shared" si="69"/>
        <v>0</v>
      </c>
      <c r="AK161" s="267" t="b">
        <f t="shared" si="70"/>
        <v>0</v>
      </c>
      <c r="AL161" s="267"/>
      <c r="AM161" s="267"/>
      <c r="AN161" s="75"/>
    </row>
    <row r="162" spans="1:40" s="6" customFormat="1" ht="11.25" x14ac:dyDescent="0.2">
      <c r="A162" s="56">
        <f t="shared" si="71"/>
        <v>45439</v>
      </c>
      <c r="B162" s="413">
        <f>'2023'!Wh/'2023'!Env_an*'2024'!Env_an</f>
        <v>55.343414809147106</v>
      </c>
      <c r="C162" s="868"/>
      <c r="D162" s="395">
        <f t="shared" si="50"/>
        <v>58.150436187606203</v>
      </c>
      <c r="E162" s="387">
        <f t="shared" si="72"/>
        <v>59.881836964323334</v>
      </c>
      <c r="F162" s="387">
        <f t="shared" si="51"/>
        <v>59.924612993721738</v>
      </c>
      <c r="G162" s="110">
        <f t="shared" si="73"/>
        <v>0.93184920185167874</v>
      </c>
      <c r="H162" s="416" t="b">
        <f>Wh_hp&gt;='2023'!Maxi_hp</f>
        <v>0</v>
      </c>
      <c r="I162" s="392">
        <f>IF(H162,Wh_hp,'2023'!Maxi_hp)</f>
        <v>61.94834261618918</v>
      </c>
      <c r="J162" s="85">
        <f>IF(H162,An,'2023'!An_max)</f>
        <v>2020</v>
      </c>
      <c r="K162" s="199">
        <f t="shared" si="52"/>
        <v>45439</v>
      </c>
      <c r="L162" s="147">
        <f>IF(t&lt;Tvie,1-EXP((T0-t)*PertePVj)+'2023'!Pspv,1-EXP((T0-t)*PertePVj)+Pspv)</f>
        <v>4.8271716645478357E-2</v>
      </c>
      <c r="M162" s="872"/>
      <c r="N162" s="872"/>
      <c r="O162" s="48">
        <f>IF(t&lt;Tnet,'2023'!Resal+('2023'!Salim-'2023'!Resal)*(1-EXP(('2023'!Tnet-t)/('2023'!Tau_j))),Resal+(Salim-Resal)*(1-EXP((Tnet-t)/(Tau_j))))*Salcycl</f>
        <v>2.8913621633696294E-2</v>
      </c>
      <c r="P162" s="171">
        <f>(INDEX(Models!$BJ162:$BT162,,T162)*(1-R162)+INDEX(Models!$BJ162:$BT162,,T162+1)*R162-ERP_i)*Q162*Ramure*Pc/MaxiM</f>
        <v>7.9073422726422607E-4</v>
      </c>
      <c r="Q162" s="307">
        <f t="shared" si="53"/>
        <v>0.9</v>
      </c>
      <c r="R162" s="179">
        <f t="shared" si="54"/>
        <v>0.35858845199079115</v>
      </c>
      <c r="S162" s="839">
        <f t="shared" si="55"/>
        <v>1</v>
      </c>
      <c r="T162" s="178">
        <f t="shared" si="56"/>
        <v>7</v>
      </c>
      <c r="U162" s="253">
        <f t="shared" si="57"/>
        <v>1.3585884519907911</v>
      </c>
      <c r="V162" s="385">
        <f t="shared" si="58"/>
        <v>59.386385217640687</v>
      </c>
      <c r="W162" s="404">
        <f t="shared" si="59"/>
        <v>55.343414809147106</v>
      </c>
      <c r="X162" s="157">
        <f t="shared" si="60"/>
        <v>45439</v>
      </c>
      <c r="Y162" s="387">
        <f t="shared" si="61"/>
        <v>50.125875597935362</v>
      </c>
      <c r="Z162" s="387">
        <f t="shared" si="62"/>
        <v>52.668263069012234</v>
      </c>
      <c r="AA162" s="388">
        <f t="shared" si="63"/>
        <v>59.881836964323334</v>
      </c>
      <c r="AB162" s="199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0.12046347041105022</v>
      </c>
      <c r="AD162" s="233">
        <f>(INDEX(Models!$BJ162:$BT162,,AH162)*(1-AF162)+INDEX(Models!$BJ162:$BT162,,AH162+1)*AF162-ERP_i)*AE162*Ramure*Pc/MaxiM</f>
        <v>7.9073422726422607E-4</v>
      </c>
      <c r="AE162" s="307">
        <f t="shared" si="65"/>
        <v>0.9</v>
      </c>
      <c r="AF162" s="179">
        <f t="shared" si="66"/>
        <v>0.35858845199079115</v>
      </c>
      <c r="AG162" s="839">
        <f t="shared" si="74"/>
        <v>1</v>
      </c>
      <c r="AH162" s="178">
        <f t="shared" si="67"/>
        <v>7</v>
      </c>
      <c r="AI162" s="227">
        <f t="shared" si="68"/>
        <v>1.3585884519907911</v>
      </c>
      <c r="AJ162" s="267" t="b">
        <f t="shared" si="69"/>
        <v>0</v>
      </c>
      <c r="AK162" s="267" t="b">
        <f t="shared" si="70"/>
        <v>0</v>
      </c>
      <c r="AL162" s="267"/>
      <c r="AM162" s="267"/>
      <c r="AN162" s="75"/>
    </row>
    <row r="163" spans="1:40" s="6" customFormat="1" ht="11.25" x14ac:dyDescent="0.2">
      <c r="A163" s="56">
        <f t="shared" si="71"/>
        <v>45440</v>
      </c>
      <c r="B163" s="413">
        <f>'2023'!Wh/'2023'!Env_an*'2024'!Env_an</f>
        <v>60.406247951612166</v>
      </c>
      <c r="C163" s="868"/>
      <c r="D163" s="395">
        <f t="shared" si="50"/>
        <v>63.471533611513195</v>
      </c>
      <c r="E163" s="387">
        <f t="shared" si="72"/>
        <v>65.378003366096493</v>
      </c>
      <c r="F163" s="387">
        <f t="shared" si="51"/>
        <v>65.426364345119993</v>
      </c>
      <c r="G163" s="110">
        <f t="shared" si="73"/>
        <v>1.0168121653183677</v>
      </c>
      <c r="H163" s="416" t="b">
        <f>Wh_hp&gt;='2023'!Maxi_hp</f>
        <v>1</v>
      </c>
      <c r="I163" s="392">
        <f>IF(H163,Wh_hp,'2023'!Maxi_hp)</f>
        <v>65.426364345119993</v>
      </c>
      <c r="J163" s="85">
        <f>IF(H163,An,'2023'!An_max)</f>
        <v>2024</v>
      </c>
      <c r="K163" s="199">
        <f t="shared" si="52"/>
        <v>45440</v>
      </c>
      <c r="L163" s="147">
        <f>IF(t&lt;Tvie,1-EXP((T0-t)*PertePVj)+'2023'!Pspv,1-EXP((T0-t)*PertePVj)+Pspv)</f>
        <v>4.8293864753017557E-2</v>
      </c>
      <c r="M163" s="872"/>
      <c r="N163" s="872"/>
      <c r="O163" s="48">
        <f>IF(t&lt;Tnet,'2023'!Resal+('2023'!Salim-'2023'!Resal)*(1-EXP(('2023'!Tnet-t)/('2023'!Tau_j))),Resal+(Salim-Resal)*(1-EXP((Tnet-t)/(Tau_j))))*Salcycl</f>
        <v>2.9160721594810167E-2</v>
      </c>
      <c r="P163" s="171">
        <f>(INDEX(Models!$BJ163:$BT163,,T163)*(1-R163)+INDEX(Models!$BJ163:$BT163,,T163+1)*R163-ERP_i)*Q163*Ramure*Pc/MaxiM</f>
        <v>7.3916653489099172E-4</v>
      </c>
      <c r="Q163" s="307">
        <f t="shared" si="53"/>
        <v>0.9</v>
      </c>
      <c r="R163" s="179">
        <f t="shared" si="54"/>
        <v>0.3653373127545021</v>
      </c>
      <c r="S163" s="839">
        <f t="shared" si="55"/>
        <v>1</v>
      </c>
      <c r="T163" s="178">
        <f t="shared" si="56"/>
        <v>7</v>
      </c>
      <c r="U163" s="253">
        <f t="shared" si="57"/>
        <v>1.3653373127545021</v>
      </c>
      <c r="V163" s="385">
        <f t="shared" si="58"/>
        <v>59.407479583703392</v>
      </c>
      <c r="W163" s="404">
        <f t="shared" si="59"/>
        <v>60.406247951612166</v>
      </c>
      <c r="X163" s="157">
        <f t="shared" si="60"/>
        <v>45440</v>
      </c>
      <c r="Y163" s="387">
        <f t="shared" si="61"/>
        <v>54.710745612664013</v>
      </c>
      <c r="Z163" s="387">
        <f t="shared" si="62"/>
        <v>57.487015777686175</v>
      </c>
      <c r="AA163" s="388">
        <f t="shared" si="63"/>
        <v>65.378003366096493</v>
      </c>
      <c r="AB163" s="199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0.12069789810225981</v>
      </c>
      <c r="AD163" s="233">
        <f>(INDEX(Models!$BJ163:$BT163,,AH163)*(1-AF163)+INDEX(Models!$BJ163:$BT163,,AH163+1)*AF163-ERP_i)*AE163*Ramure*Pc/MaxiM</f>
        <v>7.3916653489099172E-4</v>
      </c>
      <c r="AE163" s="307">
        <f t="shared" si="65"/>
        <v>0.9</v>
      </c>
      <c r="AF163" s="179">
        <f t="shared" si="66"/>
        <v>0.3653373127545021</v>
      </c>
      <c r="AG163" s="839">
        <f t="shared" si="74"/>
        <v>1</v>
      </c>
      <c r="AH163" s="178">
        <f t="shared" si="67"/>
        <v>7</v>
      </c>
      <c r="AI163" s="227">
        <f t="shared" si="68"/>
        <v>1.3653373127545021</v>
      </c>
      <c r="AJ163" s="267" t="b">
        <f t="shared" si="69"/>
        <v>0</v>
      </c>
      <c r="AK163" s="267" t="b">
        <f t="shared" si="70"/>
        <v>0</v>
      </c>
      <c r="AL163" s="267"/>
      <c r="AM163" s="267"/>
      <c r="AN163" s="75"/>
    </row>
    <row r="164" spans="1:40" s="6" customFormat="1" ht="11.25" x14ac:dyDescent="0.2">
      <c r="A164" s="56">
        <f t="shared" si="71"/>
        <v>45441</v>
      </c>
      <c r="B164" s="413">
        <f>'2023'!Wh/'2023'!Env_an*'2024'!Env_an</f>
        <v>51.648818961182073</v>
      </c>
      <c r="C164" s="868"/>
      <c r="D164" s="395">
        <f t="shared" si="50"/>
        <v>54.270976113042522</v>
      </c>
      <c r="E164" s="387">
        <f t="shared" si="72"/>
        <v>55.915325729066765</v>
      </c>
      <c r="F164" s="387">
        <f t="shared" si="51"/>
        <v>55.946856603342951</v>
      </c>
      <c r="G164" s="110">
        <f t="shared" si="73"/>
        <v>0.86905764983517986</v>
      </c>
      <c r="H164" s="416" t="b">
        <f>Wh_hp&gt;='2023'!Maxi_hp</f>
        <v>0</v>
      </c>
      <c r="I164" s="392">
        <f>IF(H164,Wh_hp,'2023'!Maxi_hp)</f>
        <v>63.612298063151371</v>
      </c>
      <c r="J164" s="85">
        <f>IF(H164,An,'2023'!An_max)</f>
        <v>2019</v>
      </c>
      <c r="K164" s="199">
        <f t="shared" si="52"/>
        <v>45441</v>
      </c>
      <c r="L164" s="147">
        <f>IF(t&lt;Tvie,1-EXP((T0-t)*PertePVj)+'2023'!Pspv,1-EXP((T0-t)*PertePVj)+Pspv)</f>
        <v>4.8316012345137938E-2</v>
      </c>
      <c r="M164" s="872"/>
      <c r="N164" s="872"/>
      <c r="O164" s="48">
        <f>IF(t&lt;Tnet,'2023'!Resal+('2023'!Salim-'2023'!Resal)*(1-EXP(('2023'!Tnet-t)/('2023'!Tau_j))),Resal+(Salim-Resal)*(1-EXP((Tnet-t)/(Tau_j))))*Salcycl</f>
        <v>2.9407851865011152E-2</v>
      </c>
      <c r="P164" s="171">
        <f>(INDEX(Models!$BJ164:$BT164,,T164)*(1-R164)+INDEX(Models!$BJ164:$BT164,,T164+1)*R164-ERP_i)*Q164*Ramure*Pc/MaxiM</f>
        <v>6.931322784921825E-4</v>
      </c>
      <c r="Q164" s="307">
        <f t="shared" si="53"/>
        <v>0.9</v>
      </c>
      <c r="R164" s="179">
        <f t="shared" si="54"/>
        <v>0.3721535332706245</v>
      </c>
      <c r="S164" s="839">
        <f t="shared" si="55"/>
        <v>1</v>
      </c>
      <c r="T164" s="178">
        <f t="shared" si="56"/>
        <v>7</v>
      </c>
      <c r="U164" s="253">
        <f t="shared" si="57"/>
        <v>1.3721535332706245</v>
      </c>
      <c r="V164" s="385">
        <f t="shared" si="58"/>
        <v>59.423128366813835</v>
      </c>
      <c r="W164" s="404">
        <f t="shared" si="59"/>
        <v>51.648818961182073</v>
      </c>
      <c r="X164" s="157">
        <f t="shared" si="60"/>
        <v>45441</v>
      </c>
      <c r="Y164" s="387">
        <f t="shared" si="61"/>
        <v>46.778488663273066</v>
      </c>
      <c r="Z164" s="387">
        <f t="shared" si="62"/>
        <v>49.153384180125308</v>
      </c>
      <c r="AA164" s="388">
        <f t="shared" si="63"/>
        <v>55.915325729066765</v>
      </c>
      <c r="AB164" s="199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0.12093181003193845</v>
      </c>
      <c r="AD164" s="233">
        <f>(INDEX(Models!$BJ164:$BT164,,AH164)*(1-AF164)+INDEX(Models!$BJ164:$BT164,,AH164+1)*AF164-ERP_i)*AE164*Ramure*Pc/MaxiM</f>
        <v>6.931322784921825E-4</v>
      </c>
      <c r="AE164" s="307">
        <f t="shared" si="65"/>
        <v>0.9</v>
      </c>
      <c r="AF164" s="179">
        <f t="shared" si="66"/>
        <v>0.3721535332706245</v>
      </c>
      <c r="AG164" s="839">
        <f t="shared" si="74"/>
        <v>1</v>
      </c>
      <c r="AH164" s="178">
        <f t="shared" si="67"/>
        <v>7</v>
      </c>
      <c r="AI164" s="227">
        <f t="shared" si="68"/>
        <v>1.3721535332706245</v>
      </c>
      <c r="AJ164" s="267" t="b">
        <f t="shared" si="69"/>
        <v>0</v>
      </c>
      <c r="AK164" s="267" t="b">
        <f t="shared" si="70"/>
        <v>0</v>
      </c>
      <c r="AL164" s="267"/>
      <c r="AM164" s="267"/>
      <c r="AN164" s="75"/>
    </row>
    <row r="165" spans="1:40" s="6" customFormat="1" ht="11.25" x14ac:dyDescent="0.2">
      <c r="A165" s="56">
        <f t="shared" si="71"/>
        <v>45442</v>
      </c>
      <c r="B165" s="413">
        <f>'2023'!Wh/'2023'!Env_an*'2024'!Env_an</f>
        <v>55.365888382071773</v>
      </c>
      <c r="C165" s="868"/>
      <c r="D165" s="395">
        <f t="shared" si="50"/>
        <v>58.178111195922476</v>
      </c>
      <c r="E165" s="387">
        <f t="shared" si="72"/>
        <v>59.956108001341597</v>
      </c>
      <c r="F165" s="387">
        <f t="shared" si="51"/>
        <v>59.991271554084356</v>
      </c>
      <c r="G165" s="110">
        <f t="shared" si="73"/>
        <v>0.93149762714825179</v>
      </c>
      <c r="H165" s="416" t="b">
        <f>Wh_hp&gt;='2023'!Maxi_hp</f>
        <v>0</v>
      </c>
      <c r="I165" s="392">
        <f>IF(H165,Wh_hp,'2023'!Maxi_hp)</f>
        <v>64.631023417183059</v>
      </c>
      <c r="J165" s="85">
        <f>IF(H165,An,'2023'!An_max)</f>
        <v>2019</v>
      </c>
      <c r="K165" s="199">
        <f t="shared" si="52"/>
        <v>45442</v>
      </c>
      <c r="L165" s="147">
        <f>IF(t&lt;Tvie,1-EXP((T0-t)*PertePVj)+'2023'!Pspv,1-EXP((T0-t)*PertePVj)+Pspv)</f>
        <v>4.833815942185149E-2</v>
      </c>
      <c r="M165" s="872"/>
      <c r="N165" s="872"/>
      <c r="O165" s="48">
        <f>IF(t&lt;Tnet,'2023'!Resal+('2023'!Salim-'2023'!Resal)*(1-EXP(('2023'!Tnet-t)/('2023'!Tau_j))),Resal+(Salim-Resal)*(1-EXP((Tnet-t)/(Tau_j))))*Salcycl</f>
        <v>2.9654973691409972E-2</v>
      </c>
      <c r="P165" s="171">
        <f>(INDEX(Models!$BJ165:$BT165,,T165)*(1-R165)+INDEX(Models!$BJ165:$BT165,,T165+1)*R165-ERP_i)*Q165*Ramure*Pc/MaxiM</f>
        <v>6.4966621132856871E-4</v>
      </c>
      <c r="Q165" s="307">
        <f t="shared" si="53"/>
        <v>0.9</v>
      </c>
      <c r="R165" s="179">
        <f t="shared" si="54"/>
        <v>0.37903228844010184</v>
      </c>
      <c r="S165" s="839">
        <f t="shared" si="55"/>
        <v>1</v>
      </c>
      <c r="T165" s="178">
        <f t="shared" si="56"/>
        <v>7</v>
      </c>
      <c r="U165" s="253">
        <f t="shared" si="57"/>
        <v>1.3790322884401018</v>
      </c>
      <c r="V165" s="385">
        <f t="shared" si="58"/>
        <v>59.43372024671762</v>
      </c>
      <c r="W165" s="404">
        <f t="shared" si="59"/>
        <v>55.365888382071773</v>
      </c>
      <c r="X165" s="157">
        <f t="shared" si="60"/>
        <v>45442</v>
      </c>
      <c r="Y165" s="387">
        <f t="shared" si="61"/>
        <v>50.144511292003656</v>
      </c>
      <c r="Z165" s="387">
        <f t="shared" si="62"/>
        <v>52.691522507133556</v>
      </c>
      <c r="AA165" s="388">
        <f t="shared" si="63"/>
        <v>59.956108001341597</v>
      </c>
      <c r="AB165" s="199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0.12116506118184805</v>
      </c>
      <c r="AD165" s="233">
        <f>(INDEX(Models!$BJ165:$BT165,,AH165)*(1-AF165)+INDEX(Models!$BJ165:$BT165,,AH165+1)*AF165-ERP_i)*AE165*Ramure*Pc/MaxiM</f>
        <v>6.4966621132856871E-4</v>
      </c>
      <c r="AE165" s="307">
        <f t="shared" si="65"/>
        <v>0.9</v>
      </c>
      <c r="AF165" s="179">
        <f t="shared" si="66"/>
        <v>0.37903228844010184</v>
      </c>
      <c r="AG165" s="839">
        <f t="shared" si="74"/>
        <v>1</v>
      </c>
      <c r="AH165" s="178">
        <f t="shared" si="67"/>
        <v>7</v>
      </c>
      <c r="AI165" s="227">
        <f t="shared" si="68"/>
        <v>1.3790322884401018</v>
      </c>
      <c r="AJ165" s="267" t="b">
        <f t="shared" si="69"/>
        <v>0</v>
      </c>
      <c r="AK165" s="267" t="b">
        <f t="shared" si="70"/>
        <v>0</v>
      </c>
      <c r="AL165" s="267"/>
      <c r="AM165" s="267"/>
      <c r="AN165" s="75"/>
    </row>
    <row r="166" spans="1:40" s="6" customFormat="1" ht="11.25" x14ac:dyDescent="0.2">
      <c r="A166" s="56">
        <f t="shared" si="71"/>
        <v>45443</v>
      </c>
      <c r="B166" s="413">
        <f>'2023'!Wh/'2023'!Env_an*'2024'!Env_an</f>
        <v>56.94467275348898</v>
      </c>
      <c r="C166" s="868"/>
      <c r="D166" s="395">
        <f t="shared" si="50"/>
        <v>59.838479953613529</v>
      </c>
      <c r="E166" s="387">
        <f t="shared" si="72"/>
        <v>61.682925729874064</v>
      </c>
      <c r="F166" s="387">
        <f t="shared" si="51"/>
        <v>61.718243570247566</v>
      </c>
      <c r="G166" s="110">
        <f t="shared" si="73"/>
        <v>0.9579929622386627</v>
      </c>
      <c r="H166" s="416" t="b">
        <f>Wh_hp&gt;='2023'!Maxi_hp</f>
        <v>0</v>
      </c>
      <c r="I166" s="392">
        <f>IF(H166,Wh_hp,'2023'!Maxi_hp)</f>
        <v>65.060642777484958</v>
      </c>
      <c r="J166" s="85">
        <f>IF(H166,An,'2023'!An_max)</f>
        <v>2019</v>
      </c>
      <c r="K166" s="199">
        <f t="shared" si="52"/>
        <v>45443</v>
      </c>
      <c r="L166" s="147">
        <f>IF(t&lt;Tvie,1-EXP((T0-t)*PertePVj)+'2023'!Pspv,1-EXP((T0-t)*PertePVj)+Pspv)</f>
        <v>4.8360305983170204E-2</v>
      </c>
      <c r="M166" s="872"/>
      <c r="N166" s="872"/>
      <c r="O166" s="48">
        <f>IF(t&lt;Tnet,'2023'!Resal+('2023'!Salim-'2023'!Resal)*(1-EXP(('2023'!Tnet-t)/('2023'!Tau_j))),Resal+(Salim-Resal)*(1-EXP((Tnet-t)/(Tau_j))))*Salcycl</f>
        <v>2.9902047518592989E-2</v>
      </c>
      <c r="P166" s="171">
        <f>(INDEX(Models!$BJ166:$BT166,,T166)*(1-R166)+INDEX(Models!$BJ166:$BT166,,T166+1)*R166-ERP_i)*Q166*Ramure*Pc/MaxiM</f>
        <v>6.0874342028284056E-4</v>
      </c>
      <c r="Q166" s="307">
        <f t="shared" si="53"/>
        <v>0.9</v>
      </c>
      <c r="R166" s="179">
        <f t="shared" si="54"/>
        <v>0.38596855774801719</v>
      </c>
      <c r="S166" s="839">
        <f t="shared" si="55"/>
        <v>1</v>
      </c>
      <c r="T166" s="178">
        <f t="shared" si="56"/>
        <v>7</v>
      </c>
      <c r="U166" s="253">
        <f t="shared" si="57"/>
        <v>1.3859685577480172</v>
      </c>
      <c r="V166" s="385">
        <f t="shared" si="58"/>
        <v>59.439469088358848</v>
      </c>
      <c r="W166" s="404">
        <f t="shared" si="59"/>
        <v>56.94467275348898</v>
      </c>
      <c r="X166" s="157">
        <f t="shared" si="60"/>
        <v>45443</v>
      </c>
      <c r="Y166" s="387">
        <f t="shared" si="61"/>
        <v>51.573896556385712</v>
      </c>
      <c r="Z166" s="387">
        <f t="shared" si="62"/>
        <v>54.194772328899539</v>
      </c>
      <c r="AA166" s="388">
        <f t="shared" si="63"/>
        <v>61.682925729874064</v>
      </c>
      <c r="AB166" s="199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0.12139750688492217</v>
      </c>
      <c r="AD166" s="233">
        <f>(INDEX(Models!$BJ166:$BT166,,AH166)*(1-AF166)+INDEX(Models!$BJ166:$BT166,,AH166+1)*AF166-ERP_i)*AE166*Ramure*Pc/MaxiM</f>
        <v>6.0874342028284056E-4</v>
      </c>
      <c r="AE166" s="307">
        <f t="shared" si="65"/>
        <v>0.9</v>
      </c>
      <c r="AF166" s="179">
        <f t="shared" si="66"/>
        <v>0.38596855774801719</v>
      </c>
      <c r="AG166" s="839">
        <f t="shared" si="74"/>
        <v>1</v>
      </c>
      <c r="AH166" s="178">
        <f t="shared" si="67"/>
        <v>7</v>
      </c>
      <c r="AI166" s="227">
        <f t="shared" si="68"/>
        <v>1.3859685577480172</v>
      </c>
      <c r="AJ166" s="267" t="b">
        <f t="shared" si="69"/>
        <v>0</v>
      </c>
      <c r="AK166" s="267" t="b">
        <f t="shared" si="70"/>
        <v>0</v>
      </c>
      <c r="AL166" s="267"/>
      <c r="AM166" s="267"/>
      <c r="AN166" s="75"/>
    </row>
    <row r="167" spans="1:40" s="6" customFormat="1" ht="11.25" x14ac:dyDescent="0.2">
      <c r="A167" s="56">
        <f t="shared" si="71"/>
        <v>45444</v>
      </c>
      <c r="B167" s="413">
        <f>'2023'!Wh/'2023'!Env_an*'2024'!Env_an</f>
        <v>44.724469215921431</v>
      </c>
      <c r="C167" s="868"/>
      <c r="D167" s="395">
        <f t="shared" si="50"/>
        <v>46.998365374079221</v>
      </c>
      <c r="E167" s="387">
        <f t="shared" si="72"/>
        <v>48.459368479886002</v>
      </c>
      <c r="F167" s="387">
        <f t="shared" si="51"/>
        <v>48.47723824911435</v>
      </c>
      <c r="G167" s="110">
        <f t="shared" si="73"/>
        <v>0.75227122059559914</v>
      </c>
      <c r="H167" s="416" t="b">
        <f>Wh_hp&gt;='2023'!Maxi_hp</f>
        <v>0</v>
      </c>
      <c r="I167" s="392">
        <f>IF(H167,Wh_hp,'2023'!Maxi_hp)</f>
        <v>63.821113384817394</v>
      </c>
      <c r="J167" s="85">
        <f>IF(H167,An,'2023'!An_max)</f>
        <v>2019</v>
      </c>
      <c r="K167" s="199">
        <f t="shared" si="52"/>
        <v>45444</v>
      </c>
      <c r="L167" s="147">
        <f>IF(t&lt;Tvie,1-EXP((T0-t)*PertePVj)+'2023'!Pspv,1-EXP((T0-t)*PertePVj)+Pspv)</f>
        <v>4.8382452029106182E-2</v>
      </c>
      <c r="M167" s="872"/>
      <c r="N167" s="872"/>
      <c r="O167" s="48">
        <f>IF(t&lt;Tnet,'2023'!Resal+('2023'!Salim-'2023'!Resal)*(1-EXP(('2023'!Tnet-t)/('2023'!Tau_j))),Resal+(Salim-Resal)*(1-EXP((Tnet-t)/(Tau_j))))*Salcycl</f>
        <v>3.0149033130986783E-2</v>
      </c>
      <c r="P167" s="171">
        <f>(INDEX(Models!$BJ167:$BT167,,T167)*(1-R167)+INDEX(Models!$BJ167:$BT167,,T167+1)*R167-ERP_i)*Q167*Ramure*Pc/MaxiM</f>
        <v>5.7034072904622109E-4</v>
      </c>
      <c r="Q167" s="307">
        <f t="shared" si="53"/>
        <v>0.9</v>
      </c>
      <c r="R167" s="179">
        <f t="shared" si="54"/>
        <v>0.39295713852819469</v>
      </c>
      <c r="S167" s="839">
        <f t="shared" si="55"/>
        <v>1</v>
      </c>
      <c r="T167" s="178">
        <f t="shared" si="56"/>
        <v>7</v>
      </c>
      <c r="U167" s="253">
        <f t="shared" si="57"/>
        <v>1.3929571385281947</v>
      </c>
      <c r="V167" s="385">
        <f t="shared" si="58"/>
        <v>59.440588573703671</v>
      </c>
      <c r="W167" s="404">
        <f t="shared" si="59"/>
        <v>44.724469215921431</v>
      </c>
      <c r="X167" s="157">
        <f t="shared" si="60"/>
        <v>45444</v>
      </c>
      <c r="Y167" s="387">
        <f t="shared" si="61"/>
        <v>40.505890019530902</v>
      </c>
      <c r="Z167" s="387">
        <f t="shared" si="62"/>
        <v>42.565303788166183</v>
      </c>
      <c r="AA167" s="388">
        <f t="shared" si="63"/>
        <v>48.459368479886002</v>
      </c>
      <c r="AB167" s="199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0.12162900336116154</v>
      </c>
      <c r="AD167" s="233">
        <f>(INDEX(Models!$BJ167:$BT167,,AH167)*(1-AF167)+INDEX(Models!$BJ167:$BT167,,AH167+1)*AF167-ERP_i)*AE167*Ramure*Pc/MaxiM</f>
        <v>5.7034072904622109E-4</v>
      </c>
      <c r="AE167" s="307">
        <f t="shared" si="65"/>
        <v>0.9</v>
      </c>
      <c r="AF167" s="179">
        <f t="shared" si="66"/>
        <v>0.39295713852819469</v>
      </c>
      <c r="AG167" s="839">
        <f t="shared" si="74"/>
        <v>1</v>
      </c>
      <c r="AH167" s="178">
        <f t="shared" si="67"/>
        <v>7</v>
      </c>
      <c r="AI167" s="227">
        <f t="shared" si="68"/>
        <v>1.3929571385281947</v>
      </c>
      <c r="AJ167" s="267" t="b">
        <f t="shared" si="69"/>
        <v>0</v>
      </c>
      <c r="AK167" s="267" t="b">
        <f t="shared" si="70"/>
        <v>0</v>
      </c>
      <c r="AL167" s="267"/>
      <c r="AM167" s="267"/>
      <c r="AN167" s="75"/>
    </row>
    <row r="168" spans="1:40" s="6" customFormat="1" ht="11.25" x14ac:dyDescent="0.2">
      <c r="A168" s="56">
        <f t="shared" si="71"/>
        <v>45445</v>
      </c>
      <c r="B168" s="413">
        <f>'2023'!Wh/'2023'!Env_an*'2024'!Env_an</f>
        <v>54.204161002979383</v>
      </c>
      <c r="C168" s="868"/>
      <c r="D168" s="395">
        <f t="shared" si="50"/>
        <v>56.961352339423826</v>
      </c>
      <c r="E168" s="387">
        <f t="shared" si="72"/>
        <v>58.747020294472485</v>
      </c>
      <c r="F168" s="387">
        <f t="shared" si="51"/>
        <v>58.774480689481621</v>
      </c>
      <c r="G168" s="110">
        <f t="shared" si="73"/>
        <v>0.91189409349517403</v>
      </c>
      <c r="H168" s="416" t="b">
        <f>Wh_hp&gt;='2023'!Maxi_hp</f>
        <v>0</v>
      </c>
      <c r="I168" s="392">
        <f>IF(H168,Wh_hp,'2023'!Maxi_hp)</f>
        <v>59.795155783954719</v>
      </c>
      <c r="J168" s="85">
        <f>IF(H168,An,'2023'!An_max)</f>
        <v>2020</v>
      </c>
      <c r="K168" s="199">
        <f t="shared" si="52"/>
        <v>45445</v>
      </c>
      <c r="L168" s="147">
        <f>IF(t&lt;Tvie,1-EXP((T0-t)*PertePVj)+'2023'!Pspv,1-EXP((T0-t)*PertePVj)+Pspv)</f>
        <v>4.8404597559671192E-2</v>
      </c>
      <c r="M168" s="872"/>
      <c r="N168" s="872"/>
      <c r="O168" s="48">
        <f>IF(t&lt;Tnet,'2023'!Resal+('2023'!Salim-'2023'!Resal)*(1-EXP(('2023'!Tnet-t)/('2023'!Tau_j))),Resal+(Salim-Resal)*(1-EXP((Tnet-t)/(Tau_j))))*Salcycl</f>
        <v>3.03958898016938E-2</v>
      </c>
      <c r="P168" s="171">
        <f>(INDEX(Models!$BJ168:$BT168,,T168)*(1-R168)+INDEX(Models!$BJ168:$BT168,,T168+1)*R168-ERP_i)*Q168*Ramure*Pc/MaxiM</f>
        <v>5.3443664755698189E-4</v>
      </c>
      <c r="Q168" s="307">
        <f t="shared" si="53"/>
        <v>0.9</v>
      </c>
      <c r="R168" s="179">
        <f t="shared" si="54"/>
        <v>0.39999266042337545</v>
      </c>
      <c r="S168" s="839">
        <f t="shared" si="55"/>
        <v>1</v>
      </c>
      <c r="T168" s="178">
        <f t="shared" si="56"/>
        <v>7</v>
      </c>
      <c r="U168" s="253">
        <f t="shared" si="57"/>
        <v>1.3999926604233754</v>
      </c>
      <c r="V168" s="385">
        <f t="shared" si="58"/>
        <v>59.437292185078036</v>
      </c>
      <c r="W168" s="404">
        <f t="shared" si="59"/>
        <v>54.204161002979383</v>
      </c>
      <c r="X168" s="157">
        <f t="shared" si="60"/>
        <v>45445</v>
      </c>
      <c r="Y168" s="387">
        <f t="shared" si="61"/>
        <v>49.091039855643388</v>
      </c>
      <c r="Z168" s="387">
        <f t="shared" si="62"/>
        <v>51.588143164365185</v>
      </c>
      <c r="AA168" s="388">
        <f t="shared" si="63"/>
        <v>58.747020294472485</v>
      </c>
      <c r="AB168" s="199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0.12185940825973912</v>
      </c>
      <c r="AD168" s="233">
        <f>(INDEX(Models!$BJ168:$BT168,,AH168)*(1-AF168)+INDEX(Models!$BJ168:$BT168,,AH168+1)*AF168-ERP_i)*AE168*Ramure*Pc/MaxiM</f>
        <v>5.3443664755698189E-4</v>
      </c>
      <c r="AE168" s="307">
        <f t="shared" si="65"/>
        <v>0.9</v>
      </c>
      <c r="AF168" s="179">
        <f t="shared" si="66"/>
        <v>0.39999266042337545</v>
      </c>
      <c r="AG168" s="839">
        <f t="shared" si="74"/>
        <v>1</v>
      </c>
      <c r="AH168" s="178">
        <f t="shared" si="67"/>
        <v>7</v>
      </c>
      <c r="AI168" s="227">
        <f t="shared" si="68"/>
        <v>1.3999926604233754</v>
      </c>
      <c r="AJ168" s="267" t="b">
        <f t="shared" si="69"/>
        <v>0</v>
      </c>
      <c r="AK168" s="267" t="b">
        <f t="shared" si="70"/>
        <v>0</v>
      </c>
      <c r="AL168" s="267"/>
      <c r="AM168" s="267"/>
      <c r="AN168" s="75"/>
    </row>
    <row r="169" spans="1:40" s="18" customFormat="1" ht="11.25" x14ac:dyDescent="0.2">
      <c r="A169" s="56">
        <f t="shared" si="71"/>
        <v>45446</v>
      </c>
      <c r="B169" s="413">
        <f>'2023'!Wh/'2023'!Env_an*'2024'!Env_an</f>
        <v>30.781088235656242</v>
      </c>
      <c r="C169" s="868"/>
      <c r="D169" s="395">
        <f t="shared" si="50"/>
        <v>32.347575970080626</v>
      </c>
      <c r="E169" s="387">
        <f t="shared" si="72"/>
        <v>33.370122499825989</v>
      </c>
      <c r="F169" s="387">
        <f t="shared" si="51"/>
        <v>33.375328602243982</v>
      </c>
      <c r="G169" s="110">
        <f t="shared" si="73"/>
        <v>0.51776162570273609</v>
      </c>
      <c r="H169" s="416" t="b">
        <f>Wh_hp&gt;='2023'!Maxi_hp</f>
        <v>0</v>
      </c>
      <c r="I169" s="392">
        <f>IF(H169,Wh_hp,'2023'!Maxi_hp)</f>
        <v>57.885419490334492</v>
      </c>
      <c r="J169" s="85">
        <f>IF(H169,An,'2023'!An_max)</f>
        <v>2019</v>
      </c>
      <c r="K169" s="199">
        <f t="shared" si="52"/>
        <v>45446</v>
      </c>
      <c r="L169" s="147">
        <f>IF(t&lt;Tvie,1-EXP((T0-t)*PertePVj)+'2023'!Pspv,1-EXP((T0-t)*PertePVj)+Pspv)</f>
        <v>4.8426742574877335E-2</v>
      </c>
      <c r="M169" s="872"/>
      <c r="N169" s="872"/>
      <c r="O169" s="48">
        <f>IF(t&lt;Tnet,'2023'!Resal+('2023'!Salim-'2023'!Resal)*(1-EXP(('2023'!Tnet-t)/('2023'!Tau_j))),Resal+(Salim-Resal)*(1-EXP((Tnet-t)/(Tau_j))))*Salcycl</f>
        <v>3.0642576446960619E-2</v>
      </c>
      <c r="P169" s="171">
        <f>(INDEX(Models!$BJ169:$BT169,,T169)*(1-R169)+INDEX(Models!$BJ169:$BT169,,T169+1)*R169-ERP_i)*Q169*Ramure*Pc/MaxiM</f>
        <v>5.0101132357291964E-4</v>
      </c>
      <c r="Q169" s="307">
        <f t="shared" si="53"/>
        <v>0.9</v>
      </c>
      <c r="R169" s="179">
        <f t="shared" si="54"/>
        <v>0.40706960096489908</v>
      </c>
      <c r="S169" s="839">
        <f t="shared" si="55"/>
        <v>1</v>
      </c>
      <c r="T169" s="178">
        <f t="shared" si="56"/>
        <v>7</v>
      </c>
      <c r="U169" s="253">
        <f t="shared" si="57"/>
        <v>1.4070696009648991</v>
      </c>
      <c r="V169" s="385">
        <f t="shared" si="58"/>
        <v>59.429793196958542</v>
      </c>
      <c r="W169" s="404">
        <f t="shared" si="59"/>
        <v>30.781088235656242</v>
      </c>
      <c r="X169" s="157">
        <f t="shared" si="60"/>
        <v>45446</v>
      </c>
      <c r="Y169" s="387">
        <f t="shared" si="61"/>
        <v>27.877301177519566</v>
      </c>
      <c r="Z169" s="387">
        <f t="shared" si="62"/>
        <v>29.296011589221415</v>
      </c>
      <c r="AA169" s="388">
        <f t="shared" si="63"/>
        <v>33.370122499825989</v>
      </c>
      <c r="AB169" s="199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0.12208858120391432</v>
      </c>
      <c r="AD169" s="233">
        <f>(INDEX(Models!$BJ169:$BT169,,AH169)*(1-AF169)+INDEX(Models!$BJ169:$BT169,,AH169+1)*AF169-ERP_i)*AE169*Ramure*Pc/MaxiM</f>
        <v>5.0101132357291964E-4</v>
      </c>
      <c r="AE169" s="307">
        <f t="shared" si="65"/>
        <v>0.9</v>
      </c>
      <c r="AF169" s="179">
        <f t="shared" si="66"/>
        <v>0.40706960096489908</v>
      </c>
      <c r="AG169" s="839">
        <f t="shared" si="74"/>
        <v>1</v>
      </c>
      <c r="AH169" s="178">
        <f t="shared" si="67"/>
        <v>7</v>
      </c>
      <c r="AI169" s="227">
        <f t="shared" si="68"/>
        <v>1.4070696009648991</v>
      </c>
      <c r="AJ169" s="267" t="b">
        <f t="shared" si="69"/>
        <v>0</v>
      </c>
      <c r="AK169" s="267" t="b">
        <f t="shared" si="70"/>
        <v>0</v>
      </c>
      <c r="AL169" s="267"/>
      <c r="AM169" s="267"/>
      <c r="AN169" s="267"/>
    </row>
    <row r="170" spans="1:40" s="18" customFormat="1" ht="11.25" x14ac:dyDescent="0.2">
      <c r="A170" s="56">
        <f t="shared" si="71"/>
        <v>45447</v>
      </c>
      <c r="B170" s="413">
        <f>'2023'!Wh/'2023'!Env_an*'2024'!Env_an</f>
        <v>32.155077650637452</v>
      </c>
      <c r="C170" s="868"/>
      <c r="D170" s="395">
        <f t="shared" si="50"/>
        <v>33.792275805117967</v>
      </c>
      <c r="E170" s="387">
        <f t="shared" ref="E170:E232" si="75">Wh_pvt/(1-Psa)</f>
        <v>34.869357184925775</v>
      </c>
      <c r="F170" s="387">
        <f t="shared" si="51"/>
        <v>34.875014627483246</v>
      </c>
      <c r="G170" s="110">
        <f t="shared" ref="G170:G232" si="76">+Wh_hp/MaxiM</f>
        <v>0.54099789723038172</v>
      </c>
      <c r="H170" s="416" t="b">
        <f>Wh_hp&gt;='2023'!Maxi_hp</f>
        <v>0</v>
      </c>
      <c r="I170" s="392">
        <f>IF(H170,Wh_hp,'2023'!Maxi_hp)</f>
        <v>47.550981784469194</v>
      </c>
      <c r="J170" s="85">
        <f>IF(H170,An,'2023'!An_max)</f>
        <v>2021</v>
      </c>
      <c r="K170" s="199">
        <f t="shared" si="52"/>
        <v>45447</v>
      </c>
      <c r="L170" s="147">
        <f>IF(t&lt;Tvie,1-EXP((T0-t)*PertePVj)+'2023'!Pspv,1-EXP((T0-t)*PertePVj)+Pspv)</f>
        <v>4.8448887074736713E-2</v>
      </c>
      <c r="M170" s="872"/>
      <c r="N170" s="872"/>
      <c r="O170" s="48">
        <f>IF(t&lt;Tnet,'2023'!Resal+('2023'!Salim-'2023'!Resal)*(1-EXP(('2023'!Tnet-t)/('2023'!Tau_j))),Resal+(Salim-Resal)*(1-EXP((Tnet-t)/(Tau_j))))*Salcycl</f>
        <v>3.088905178537206E-2</v>
      </c>
      <c r="P170" s="171">
        <f>(INDEX(Models!$BJ170:$BT170,,T170)*(1-R170)+INDEX(Models!$BJ170:$BT170,,T170+1)*R170-ERP_i)*Q170*Ramure*Pc/MaxiM</f>
        <v>4.7085762644547956E-4</v>
      </c>
      <c r="Q170" s="307">
        <f t="shared" si="53"/>
        <v>0.9</v>
      </c>
      <c r="R170" s="179">
        <f t="shared" si="54"/>
        <v>0.41418230218327978</v>
      </c>
      <c r="S170" s="839">
        <f t="shared" si="55"/>
        <v>1</v>
      </c>
      <c r="T170" s="178">
        <f t="shared" si="56"/>
        <v>7</v>
      </c>
      <c r="U170" s="253">
        <f t="shared" si="57"/>
        <v>1.4141823021832798</v>
      </c>
      <c r="V170" s="385">
        <f t="shared" si="58"/>
        <v>59.418256437753783</v>
      </c>
      <c r="W170" s="404">
        <f t="shared" si="59"/>
        <v>32.155077650637452</v>
      </c>
      <c r="X170" s="157">
        <f t="shared" si="60"/>
        <v>45447</v>
      </c>
      <c r="Y170" s="387">
        <f t="shared" si="61"/>
        <v>29.121520984140076</v>
      </c>
      <c r="Z170" s="387">
        <f t="shared" si="62"/>
        <v>30.604263489971178</v>
      </c>
      <c r="AA170" s="388">
        <f t="shared" si="63"/>
        <v>34.869357184925775</v>
      </c>
      <c r="AB170" s="199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0.12231638433525305</v>
      </c>
      <c r="AD170" s="233">
        <f>(INDEX(Models!$BJ170:$BT170,,AH170)*(1-AF170)+INDEX(Models!$BJ170:$BT170,,AH170+1)*AF170-ERP_i)*AE170*Ramure*Pc/MaxiM</f>
        <v>4.7085762644547956E-4</v>
      </c>
      <c r="AE170" s="307">
        <f t="shared" si="65"/>
        <v>0.9</v>
      </c>
      <c r="AF170" s="179">
        <f t="shared" si="66"/>
        <v>0.41418230218327978</v>
      </c>
      <c r="AG170" s="839">
        <f t="shared" si="74"/>
        <v>1</v>
      </c>
      <c r="AH170" s="178">
        <f t="shared" si="67"/>
        <v>7</v>
      </c>
      <c r="AI170" s="227">
        <f t="shared" si="68"/>
        <v>1.4141823021832798</v>
      </c>
      <c r="AJ170" s="267" t="b">
        <f t="shared" si="69"/>
        <v>0</v>
      </c>
      <c r="AK170" s="267" t="b">
        <f t="shared" si="70"/>
        <v>0</v>
      </c>
      <c r="AL170" s="267"/>
      <c r="AM170" s="267"/>
      <c r="AN170" s="267"/>
    </row>
    <row r="171" spans="1:40" s="6" customFormat="1" ht="11.25" x14ac:dyDescent="0.2">
      <c r="A171" s="56">
        <f t="shared" si="71"/>
        <v>45448</v>
      </c>
      <c r="B171" s="413">
        <f>'2023'!Wh/'2023'!Env_an*'2024'!Env_an</f>
        <v>42.904963106068379</v>
      </c>
      <c r="C171" s="868"/>
      <c r="D171" s="395">
        <f t="shared" si="50"/>
        <v>45.090548482019472</v>
      </c>
      <c r="E171" s="387">
        <f t="shared" si="75"/>
        <v>46.539570793835047</v>
      </c>
      <c r="F171" s="387">
        <f t="shared" si="51"/>
        <v>46.552012346168759</v>
      </c>
      <c r="G171" s="110">
        <f t="shared" si="76"/>
        <v>0.72214292006495795</v>
      </c>
      <c r="H171" s="416" t="b">
        <f>Wh_hp&gt;='2023'!Maxi_hp</f>
        <v>0</v>
      </c>
      <c r="I171" s="392">
        <f>IF(H171,Wh_hp,'2023'!Maxi_hp)</f>
        <v>63.625581606461907</v>
      </c>
      <c r="J171" s="85">
        <f>IF(H171,An,'2023'!An_max)</f>
        <v>2019</v>
      </c>
      <c r="K171" s="199">
        <f t="shared" si="52"/>
        <v>45448</v>
      </c>
      <c r="L171" s="147">
        <f>IF(t&lt;Tvie,1-EXP((T0-t)*PertePVj)+'2023'!Pspv,1-EXP((T0-t)*PertePVj)+Pspv)</f>
        <v>4.8471031059261205E-2</v>
      </c>
      <c r="M171" s="872"/>
      <c r="N171" s="872"/>
      <c r="O171" s="48">
        <f>IF(t&lt;Tnet,'2023'!Resal+('2023'!Salim-'2023'!Resal)*(1-EXP(('2023'!Tnet-t)/('2023'!Tau_j))),Resal+(Salim-Resal)*(1-EXP((Tnet-t)/(Tau_j))))*Salcycl</f>
        <v>3.1135274500802338E-2</v>
      </c>
      <c r="P171" s="171">
        <f>(INDEX(Models!$BJ171:$BT171,,T171)*(1-R171)+INDEX(Models!$BJ171:$BT171,,T171+1)*R171-ERP_i)*Q171*Ramure*Pc/MaxiM</f>
        <v>4.4304109429299542E-4</v>
      </c>
      <c r="Q171" s="307">
        <f t="shared" si="53"/>
        <v>0.9</v>
      </c>
      <c r="R171" s="179">
        <f t="shared" si="54"/>
        <v>0.42132498814927577</v>
      </c>
      <c r="S171" s="839">
        <f t="shared" si="55"/>
        <v>1</v>
      </c>
      <c r="T171" s="178">
        <f t="shared" si="56"/>
        <v>7</v>
      </c>
      <c r="U171" s="253">
        <f t="shared" si="57"/>
        <v>1.4213249881492758</v>
      </c>
      <c r="V171" s="385">
        <f t="shared" si="58"/>
        <v>59.402949296189554</v>
      </c>
      <c r="W171" s="404">
        <f t="shared" si="59"/>
        <v>42.904963106068379</v>
      </c>
      <c r="X171" s="157">
        <f t="shared" si="60"/>
        <v>45448</v>
      </c>
      <c r="Y171" s="387">
        <f t="shared" si="61"/>
        <v>38.857100303574086</v>
      </c>
      <c r="Z171" s="387">
        <f t="shared" si="62"/>
        <v>40.836486929904609</v>
      </c>
      <c r="AA171" s="388">
        <f t="shared" si="63"/>
        <v>46.539570793835047</v>
      </c>
      <c r="AB171" s="199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0.12254268285357517</v>
      </c>
      <c r="AD171" s="233">
        <f>(INDEX(Models!$BJ171:$BT171,,AH171)*(1-AF171)+INDEX(Models!$BJ171:$BT171,,AH171+1)*AF171-ERP_i)*AE171*Ramure*Pc/MaxiM</f>
        <v>4.4304109429299542E-4</v>
      </c>
      <c r="AE171" s="307">
        <f t="shared" si="65"/>
        <v>0.9</v>
      </c>
      <c r="AF171" s="179">
        <f t="shared" si="66"/>
        <v>0.42132498814927577</v>
      </c>
      <c r="AG171" s="839">
        <f t="shared" si="74"/>
        <v>1</v>
      </c>
      <c r="AH171" s="178">
        <f t="shared" si="67"/>
        <v>7</v>
      </c>
      <c r="AI171" s="227">
        <f t="shared" si="68"/>
        <v>1.4213249881492758</v>
      </c>
      <c r="AJ171" s="267" t="b">
        <f t="shared" si="69"/>
        <v>0</v>
      </c>
      <c r="AK171" s="267" t="b">
        <f t="shared" si="70"/>
        <v>0</v>
      </c>
      <c r="AL171" s="267"/>
      <c r="AM171" s="267"/>
      <c r="AN171" s="75"/>
    </row>
    <row r="172" spans="1:40" s="6" customFormat="1" ht="11.25" x14ac:dyDescent="0.2">
      <c r="A172" s="56">
        <f t="shared" si="71"/>
        <v>45449</v>
      </c>
      <c r="B172" s="413">
        <f>'2023'!Wh/'2023'!Env_an*'2024'!Env_an</f>
        <v>32.290315002282533</v>
      </c>
      <c r="C172" s="868"/>
      <c r="D172" s="395">
        <f t="shared" si="50"/>
        <v>33.935978321837531</v>
      </c>
      <c r="E172" s="387">
        <f t="shared" si="75"/>
        <v>35.035432350932894</v>
      </c>
      <c r="F172" s="387">
        <f t="shared" si="51"/>
        <v>35.040527434434509</v>
      </c>
      <c r="G172" s="110">
        <f t="shared" si="76"/>
        <v>0.54360569115049096</v>
      </c>
      <c r="H172" s="416" t="b">
        <f>Wh_hp&gt;='2023'!Maxi_hp</f>
        <v>0</v>
      </c>
      <c r="I172" s="392">
        <f>IF(H172,Wh_hp,'2023'!Maxi_hp)</f>
        <v>57.342414657537475</v>
      </c>
      <c r="J172" s="85">
        <f>IF(H172,An,'2023'!An_max)</f>
        <v>2021</v>
      </c>
      <c r="K172" s="199">
        <f t="shared" si="52"/>
        <v>45449</v>
      </c>
      <c r="L172" s="147">
        <f>IF(t&lt;Tvie,1-EXP((T0-t)*PertePVj)+'2023'!Pspv,1-EXP((T0-t)*PertePVj)+Pspv)</f>
        <v>4.8493174528462801E-2</v>
      </c>
      <c r="M172" s="872"/>
      <c r="N172" s="872"/>
      <c r="O172" s="48">
        <f>IF(t&lt;Tnet,'2023'!Resal+('2023'!Salim-'2023'!Resal)*(1-EXP(('2023'!Tnet-t)/('2023'!Tau_j))),Resal+(Salim-Resal)*(1-EXP((Tnet-t)/(Tau_j))))*Salcycl</f>
        <v>3.1381203408100238E-2</v>
      </c>
      <c r="P172" s="171">
        <f>(INDEX(Models!$BJ172:$BT172,,T172)*(1-R172)+INDEX(Models!$BJ172:$BT172,,T172+1)*R172-ERP_i)*Q172*Ramure*Pc/MaxiM</f>
        <v>4.1756827040526366E-4</v>
      </c>
      <c r="Q172" s="307">
        <f t="shared" si="53"/>
        <v>0.9</v>
      </c>
      <c r="R172" s="179">
        <f t="shared" si="54"/>
        <v>0.4284917833342321</v>
      </c>
      <c r="S172" s="839">
        <f t="shared" si="55"/>
        <v>1</v>
      </c>
      <c r="T172" s="178">
        <f t="shared" si="56"/>
        <v>7</v>
      </c>
      <c r="U172" s="253">
        <f t="shared" si="57"/>
        <v>1.4284917833342321</v>
      </c>
      <c r="V172" s="385">
        <f t="shared" si="58"/>
        <v>59.384083033736673</v>
      </c>
      <c r="W172" s="404">
        <f t="shared" si="59"/>
        <v>32.290315002282533</v>
      </c>
      <c r="X172" s="157">
        <f t="shared" si="60"/>
        <v>45449</v>
      </c>
      <c r="Y172" s="387">
        <f t="shared" si="61"/>
        <v>29.243825168556391</v>
      </c>
      <c r="Z172" s="387">
        <f t="shared" si="62"/>
        <v>30.734225321047024</v>
      </c>
      <c r="AA172" s="388">
        <f t="shared" si="63"/>
        <v>35.035432350932894</v>
      </c>
      <c r="AB172" s="199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0.12276734554900788</v>
      </c>
      <c r="AD172" s="233">
        <f>(INDEX(Models!$BJ172:$BT172,,AH172)*(1-AF172)+INDEX(Models!$BJ172:$BT172,,AH172+1)*AF172-ERP_i)*AE172*Ramure*Pc/MaxiM</f>
        <v>4.1756827040526366E-4</v>
      </c>
      <c r="AE172" s="307">
        <f t="shared" si="65"/>
        <v>0.9</v>
      </c>
      <c r="AF172" s="179">
        <f t="shared" si="66"/>
        <v>0.4284917833342321</v>
      </c>
      <c r="AG172" s="839">
        <f t="shared" si="74"/>
        <v>1</v>
      </c>
      <c r="AH172" s="178">
        <f t="shared" si="67"/>
        <v>7</v>
      </c>
      <c r="AI172" s="227">
        <f t="shared" si="68"/>
        <v>1.4284917833342321</v>
      </c>
      <c r="AJ172" s="267" t="b">
        <f t="shared" si="69"/>
        <v>0</v>
      </c>
      <c r="AK172" s="267" t="b">
        <f t="shared" si="70"/>
        <v>0</v>
      </c>
      <c r="AL172" s="267"/>
      <c r="AM172" s="267"/>
      <c r="AN172" s="75"/>
    </row>
    <row r="173" spans="1:40" s="6" customFormat="1" ht="11.25" x14ac:dyDescent="0.2">
      <c r="A173" s="56">
        <f t="shared" si="71"/>
        <v>45450</v>
      </c>
      <c r="B173" s="413">
        <f>'2023'!Wh/'2023'!Env_an*'2024'!Env_an</f>
        <v>22.717009501381241</v>
      </c>
      <c r="C173" s="868"/>
      <c r="D173" s="395">
        <f t="shared" si="50"/>
        <v>23.875328650873922</v>
      </c>
      <c r="E173" s="387">
        <f t="shared" si="75"/>
        <v>24.655090198908447</v>
      </c>
      <c r="F173" s="387">
        <f t="shared" si="51"/>
        <v>24.656239025132415</v>
      </c>
      <c r="G173" s="110">
        <f t="shared" si="76"/>
        <v>0.38255377506249161</v>
      </c>
      <c r="H173" s="416" t="b">
        <f>Wh_hp&gt;='2023'!Maxi_hp</f>
        <v>0</v>
      </c>
      <c r="I173" s="392">
        <f>IF(H173,Wh_hp,'2023'!Maxi_hp)</f>
        <v>65.985446784364868</v>
      </c>
      <c r="J173" s="85">
        <f>IF(H173,An,'2023'!An_max)</f>
        <v>2019</v>
      </c>
      <c r="K173" s="199">
        <f t="shared" si="52"/>
        <v>45450</v>
      </c>
      <c r="L173" s="147">
        <f>IF(t&lt;Tvie,1-EXP((T0-t)*PertePVj)+'2023'!Pspv,1-EXP((T0-t)*PertePVj)+Pspv)</f>
        <v>4.8515317482353493E-2</v>
      </c>
      <c r="M173" s="872"/>
      <c r="N173" s="872"/>
      <c r="O173" s="48">
        <f>IF(t&lt;Tnet,'2023'!Resal+('2023'!Salim-'2023'!Resal)*(1-EXP(('2023'!Tnet-t)/('2023'!Tau_j))),Resal+(Salim-Resal)*(1-EXP((Tnet-t)/(Tau_j))))*Salcycl</f>
        <v>3.1626797620438234E-2</v>
      </c>
      <c r="P173" s="171">
        <f>(INDEX(Models!$BJ173:$BT173,,T173)*(1-R173)+INDEX(Models!$BJ173:$BT173,,T173+1)*R173-ERP_i)*Q173*Ramure*Pc/MaxiM</f>
        <v>3.9444716377471615E-4</v>
      </c>
      <c r="Q173" s="307">
        <f t="shared" si="53"/>
        <v>0.9</v>
      </c>
      <c r="R173" s="179">
        <f t="shared" si="54"/>
        <v>0.43567673166880527</v>
      </c>
      <c r="S173" s="839">
        <f t="shared" si="55"/>
        <v>1</v>
      </c>
      <c r="T173" s="178">
        <f t="shared" si="56"/>
        <v>7</v>
      </c>
      <c r="U173" s="253">
        <f t="shared" si="57"/>
        <v>1.4356767316688053</v>
      </c>
      <c r="V173" s="385">
        <f t="shared" si="58"/>
        <v>59.361868641279315</v>
      </c>
      <c r="W173" s="404">
        <f t="shared" si="59"/>
        <v>22.717009501381241</v>
      </c>
      <c r="X173" s="157">
        <f t="shared" si="60"/>
        <v>45450</v>
      </c>
      <c r="Y173" s="387">
        <f t="shared" si="61"/>
        <v>20.573719802299493</v>
      </c>
      <c r="Z173" s="387">
        <f t="shared" si="62"/>
        <v>21.622754606896077</v>
      </c>
      <c r="AA173" s="388">
        <f t="shared" si="63"/>
        <v>24.655090198908447</v>
      </c>
      <c r="AB173" s="199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0.12299024532251032</v>
      </c>
      <c r="AD173" s="233">
        <f>(INDEX(Models!$BJ173:$BT173,,AH173)*(1-AF173)+INDEX(Models!$BJ173:$BT173,,AH173+1)*AF173-ERP_i)*AE173*Ramure*Pc/MaxiM</f>
        <v>3.9444716377471615E-4</v>
      </c>
      <c r="AE173" s="307">
        <f t="shared" si="65"/>
        <v>0.9</v>
      </c>
      <c r="AF173" s="179">
        <f t="shared" si="66"/>
        <v>0.43567673166880527</v>
      </c>
      <c r="AG173" s="839">
        <f t="shared" si="74"/>
        <v>1</v>
      </c>
      <c r="AH173" s="178">
        <f t="shared" si="67"/>
        <v>7</v>
      </c>
      <c r="AI173" s="227">
        <f t="shared" si="68"/>
        <v>1.4356767316688053</v>
      </c>
      <c r="AJ173" s="267" t="b">
        <f t="shared" si="69"/>
        <v>0</v>
      </c>
      <c r="AK173" s="267" t="b">
        <f t="shared" si="70"/>
        <v>0</v>
      </c>
      <c r="AL173" s="267"/>
      <c r="AM173" s="267"/>
      <c r="AN173" s="75"/>
    </row>
    <row r="174" spans="1:40" s="6" customFormat="1" ht="11.25" x14ac:dyDescent="0.2">
      <c r="A174" s="56">
        <f t="shared" si="71"/>
        <v>45451</v>
      </c>
      <c r="B174" s="413">
        <f>'2023'!Wh/'2023'!Env_an*'2024'!Env_an</f>
        <v>45.186329353392097</v>
      </c>
      <c r="C174" s="868"/>
      <c r="D174" s="395">
        <f t="shared" si="50"/>
        <v>47.491443383191609</v>
      </c>
      <c r="E174" s="387">
        <f t="shared" si="75"/>
        <v>49.054922699532995</v>
      </c>
      <c r="F174" s="387">
        <f t="shared" si="51"/>
        <v>49.067011866531452</v>
      </c>
      <c r="G174" s="110">
        <f t="shared" si="76"/>
        <v>0.76142951828738403</v>
      </c>
      <c r="H174" s="416" t="b">
        <f>Wh_hp&gt;='2023'!Maxi_hp</f>
        <v>0</v>
      </c>
      <c r="I174" s="392">
        <f>IF(H174,Wh_hp,'2023'!Maxi_hp)</f>
        <v>59.948298229793359</v>
      </c>
      <c r="J174" s="85">
        <f>IF(H174,An,'2023'!An_max)</f>
        <v>2021</v>
      </c>
      <c r="K174" s="199">
        <f t="shared" si="52"/>
        <v>45451</v>
      </c>
      <c r="L174" s="147">
        <f>IF(t&lt;Tvie,1-EXP((T0-t)*PertePVj)+'2023'!Pspv,1-EXP((T0-t)*PertePVj)+Pspv)</f>
        <v>4.8537459920945381E-2</v>
      </c>
      <c r="M174" s="872"/>
      <c r="N174" s="872"/>
      <c r="O174" s="48">
        <f>IF(t&lt;Tnet,'2023'!Resal+('2023'!Salim-'2023'!Resal)*(1-EXP(('2023'!Tnet-t)/('2023'!Tau_j))),Resal+(Salim-Resal)*(1-EXP((Tnet-t)/(Tau_j))))*Salcycl</f>
        <v>3.1872016717218718E-2</v>
      </c>
      <c r="P174" s="171">
        <f>(INDEX(Models!$BJ174:$BT174,,T174)*(1-R174)+INDEX(Models!$BJ174:$BT174,,T174+1)*R174-ERP_i)*Q174*Ramure*Pc/MaxiM</f>
        <v>3.7368715842076429E-4</v>
      </c>
      <c r="Q174" s="307">
        <f t="shared" si="53"/>
        <v>0.9</v>
      </c>
      <c r="R174" s="179">
        <f t="shared" si="54"/>
        <v>0.44287381617083343</v>
      </c>
      <c r="S174" s="839">
        <f t="shared" si="55"/>
        <v>1</v>
      </c>
      <c r="T174" s="178">
        <f t="shared" si="56"/>
        <v>7</v>
      </c>
      <c r="U174" s="253">
        <f t="shared" si="57"/>
        <v>1.4428738161708334</v>
      </c>
      <c r="V174" s="385">
        <f t="shared" si="58"/>
        <v>59.336516829404502</v>
      </c>
      <c r="W174" s="404">
        <f t="shared" si="59"/>
        <v>45.186329353392097</v>
      </c>
      <c r="X174" s="157">
        <f t="shared" si="60"/>
        <v>45451</v>
      </c>
      <c r="Y174" s="387">
        <f t="shared" si="61"/>
        <v>40.923168710189373</v>
      </c>
      <c r="Z174" s="387">
        <f t="shared" si="62"/>
        <v>43.010803879666319</v>
      </c>
      <c r="AA174" s="388">
        <f t="shared" si="63"/>
        <v>49.054922699532995</v>
      </c>
      <c r="AB174" s="199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0.12321125969125657</v>
      </c>
      <c r="AD174" s="233">
        <f>(INDEX(Models!$BJ174:$BT174,,AH174)*(1-AF174)+INDEX(Models!$BJ174:$BT174,,AH174+1)*AF174-ERP_i)*AE174*Ramure*Pc/MaxiM</f>
        <v>3.7368715842076429E-4</v>
      </c>
      <c r="AE174" s="307">
        <f t="shared" si="65"/>
        <v>0.9</v>
      </c>
      <c r="AF174" s="179">
        <f t="shared" si="66"/>
        <v>0.44287381617083343</v>
      </c>
      <c r="AG174" s="839">
        <f t="shared" si="74"/>
        <v>1</v>
      </c>
      <c r="AH174" s="178">
        <f t="shared" si="67"/>
        <v>7</v>
      </c>
      <c r="AI174" s="227">
        <f t="shared" si="68"/>
        <v>1.4428738161708334</v>
      </c>
      <c r="AJ174" s="267" t="b">
        <f t="shared" si="69"/>
        <v>0</v>
      </c>
      <c r="AK174" s="267" t="b">
        <f t="shared" si="70"/>
        <v>0</v>
      </c>
      <c r="AL174" s="267"/>
      <c r="AM174" s="267"/>
      <c r="AN174" s="75"/>
    </row>
    <row r="175" spans="1:40" s="6" customFormat="1" ht="11.25" x14ac:dyDescent="0.2">
      <c r="A175" s="56">
        <f t="shared" si="71"/>
        <v>45452</v>
      </c>
      <c r="B175" s="413">
        <f>'2023'!Wh/'2023'!Env_an*'2024'!Env_an</f>
        <v>59.355010303320249</v>
      </c>
      <c r="C175" s="868"/>
      <c r="D175" s="395">
        <f t="shared" si="50"/>
        <v>62.384370495905621</v>
      </c>
      <c r="E175" s="387">
        <f t="shared" si="75"/>
        <v>64.454442275409178</v>
      </c>
      <c r="F175" s="387">
        <f t="shared" si="51"/>
        <v>64.477351008667043</v>
      </c>
      <c r="G175" s="110">
        <f t="shared" si="76"/>
        <v>1.0007886304760685</v>
      </c>
      <c r="H175" s="416" t="b">
        <f>Wh_hp&gt;='2023'!Maxi_hp</f>
        <v>1</v>
      </c>
      <c r="I175" s="392">
        <f>IF(H175,Wh_hp,'2023'!Maxi_hp)</f>
        <v>64.477351008667043</v>
      </c>
      <c r="J175" s="85">
        <f>IF(H175,An,'2023'!An_max)</f>
        <v>2024</v>
      </c>
      <c r="K175" s="199">
        <f t="shared" si="52"/>
        <v>45452</v>
      </c>
      <c r="L175" s="147">
        <f>IF(t&lt;Tvie,1-EXP((T0-t)*PertePVj)+'2023'!Pspv,1-EXP((T0-t)*PertePVj)+Pspv)</f>
        <v>4.8559601844250344E-2</v>
      </c>
      <c r="M175" s="872"/>
      <c r="N175" s="872"/>
      <c r="O175" s="48">
        <f>IF(t&lt;Tnet,'2023'!Resal+('2023'!Salim-'2023'!Resal)*(1-EXP(('2023'!Tnet-t)/('2023'!Tau_j))),Resal+(Salim-Resal)*(1-EXP((Tnet-t)/(Tau_j))))*Salcycl</f>
        <v>3.2116820911401132E-2</v>
      </c>
      <c r="P175" s="171">
        <f>(INDEX(Models!$BJ175:$BT175,,T175)*(1-R175)+INDEX(Models!$BJ175:$BT175,,T175+1)*R175-ERP_i)*Q175*Ramure*Pc/MaxiM</f>
        <v>3.5529892124111024E-4</v>
      </c>
      <c r="Q175" s="307">
        <f t="shared" si="53"/>
        <v>0.9</v>
      </c>
      <c r="R175" s="179">
        <f t="shared" si="54"/>
        <v>0.45007697900624954</v>
      </c>
      <c r="S175" s="839">
        <f t="shared" si="55"/>
        <v>1</v>
      </c>
      <c r="T175" s="178">
        <f t="shared" si="56"/>
        <v>7</v>
      </c>
      <c r="U175" s="253">
        <f t="shared" si="57"/>
        <v>1.4500769790062495</v>
      </c>
      <c r="V175" s="385">
        <f t="shared" si="58"/>
        <v>59.308238019336279</v>
      </c>
      <c r="W175" s="404">
        <f t="shared" si="59"/>
        <v>59.355010303320249</v>
      </c>
      <c r="X175" s="157">
        <f t="shared" si="60"/>
        <v>45452</v>
      </c>
      <c r="Y175" s="387">
        <f t="shared" si="61"/>
        <v>53.755253117452618</v>
      </c>
      <c r="Z175" s="387">
        <f t="shared" si="62"/>
        <v>56.498812980456343</v>
      </c>
      <c r="AA175" s="388">
        <f t="shared" si="63"/>
        <v>64.454442275409178</v>
      </c>
      <c r="AB175" s="199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0.12343027127531425</v>
      </c>
      <c r="AD175" s="233">
        <f>(INDEX(Models!$BJ175:$BT175,,AH175)*(1-AF175)+INDEX(Models!$BJ175:$BT175,,AH175+1)*AF175-ERP_i)*AE175*Ramure*Pc/MaxiM</f>
        <v>3.5529892124111024E-4</v>
      </c>
      <c r="AE175" s="307">
        <f t="shared" si="65"/>
        <v>0.9</v>
      </c>
      <c r="AF175" s="179">
        <f t="shared" si="66"/>
        <v>0.45007697900624954</v>
      </c>
      <c r="AG175" s="839">
        <f t="shared" si="74"/>
        <v>1</v>
      </c>
      <c r="AH175" s="178">
        <f t="shared" si="67"/>
        <v>7</v>
      </c>
      <c r="AI175" s="227">
        <f t="shared" si="68"/>
        <v>1.4500769790062495</v>
      </c>
      <c r="AJ175" s="267" t="b">
        <f t="shared" si="69"/>
        <v>0</v>
      </c>
      <c r="AK175" s="267" t="b">
        <f t="shared" si="70"/>
        <v>0</v>
      </c>
      <c r="AL175" s="267"/>
      <c r="AM175" s="267"/>
      <c r="AN175" s="75"/>
    </row>
    <row r="176" spans="1:40" s="6" customFormat="1" ht="11.25" x14ac:dyDescent="0.2">
      <c r="A176" s="56">
        <f t="shared" si="71"/>
        <v>45453</v>
      </c>
      <c r="B176" s="413">
        <f>'2023'!Wh/'2023'!Env_an*'2024'!Env_an</f>
        <v>55.686946067496265</v>
      </c>
      <c r="C176" s="868"/>
      <c r="D176" s="395">
        <f t="shared" si="50"/>
        <v>58.530457737750091</v>
      </c>
      <c r="E176" s="387">
        <f t="shared" si="75"/>
        <v>60.487917595502807</v>
      </c>
      <c r="F176" s="387">
        <f t="shared" si="51"/>
        <v>60.506670832748895</v>
      </c>
      <c r="G176" s="110">
        <f t="shared" si="76"/>
        <v>0.93940454266554485</v>
      </c>
      <c r="H176" s="416" t="b">
        <f>Wh_hp&gt;='2023'!Maxi_hp</f>
        <v>0</v>
      </c>
      <c r="I176" s="392">
        <f>IF(H176,Wh_hp,'2023'!Maxi_hp)</f>
        <v>60.507586593115512</v>
      </c>
      <c r="J176" s="85">
        <f>IF(H176,An,'2023'!An_max)</f>
        <v>2022</v>
      </c>
      <c r="K176" s="199">
        <f t="shared" si="52"/>
        <v>45453</v>
      </c>
      <c r="L176" s="147">
        <f>IF(t&lt;Tvie,1-EXP((T0-t)*PertePVj)+'2023'!Pspv,1-EXP((T0-t)*PertePVj)+Pspv)</f>
        <v>4.8581743252280374E-2</v>
      </c>
      <c r="M176" s="872"/>
      <c r="N176" s="872"/>
      <c r="O176" s="48">
        <f>IF(t&lt;Tnet,'2023'!Resal+('2023'!Salim-'2023'!Resal)*(1-EXP(('2023'!Tnet-t)/('2023'!Tau_j))),Resal+(Salim-Resal)*(1-EXP((Tnet-t)/(Tau_j))))*Salcycl</f>
        <v>3.2361171215096546E-2</v>
      </c>
      <c r="P176" s="171">
        <f>(INDEX(Models!$BJ176:$BT176,,T176)*(1-R176)+INDEX(Models!$BJ176:$BT176,,T176+1)*R176-ERP_i)*Q176*Ramure*Pc/MaxiM</f>
        <v>3.3929430846460246E-4</v>
      </c>
      <c r="Q176" s="307">
        <f t="shared" si="53"/>
        <v>0.9</v>
      </c>
      <c r="R176" s="179">
        <f t="shared" si="54"/>
        <v>0.45728014184166588</v>
      </c>
      <c r="S176" s="839">
        <f t="shared" si="55"/>
        <v>1</v>
      </c>
      <c r="T176" s="178">
        <f t="shared" si="56"/>
        <v>7</v>
      </c>
      <c r="U176" s="253">
        <f t="shared" si="57"/>
        <v>1.4572801418416659</v>
      </c>
      <c r="V176" s="385">
        <f t="shared" si="58"/>
        <v>59.277242333201045</v>
      </c>
      <c r="W176" s="404">
        <f t="shared" si="59"/>
        <v>55.686946067496265</v>
      </c>
      <c r="X176" s="157">
        <f t="shared" si="60"/>
        <v>45453</v>
      </c>
      <c r="Y176" s="387">
        <f t="shared" si="61"/>
        <v>50.43350000574614</v>
      </c>
      <c r="Z176" s="387">
        <f t="shared" si="62"/>
        <v>53.008757870744965</v>
      </c>
      <c r="AA176" s="388">
        <f t="shared" si="63"/>
        <v>60.487917595502807</v>
      </c>
      <c r="AB176" s="199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0.12364716826214403</v>
      </c>
      <c r="AD176" s="233">
        <f>(INDEX(Models!$BJ176:$BT176,,AH176)*(1-AF176)+INDEX(Models!$BJ176:$BT176,,AH176+1)*AF176-ERP_i)*AE176*Ramure*Pc/MaxiM</f>
        <v>3.3929430846460246E-4</v>
      </c>
      <c r="AE176" s="307">
        <f t="shared" si="65"/>
        <v>0.9</v>
      </c>
      <c r="AF176" s="179">
        <f t="shared" si="66"/>
        <v>0.45728014184166588</v>
      </c>
      <c r="AG176" s="839">
        <f t="shared" si="74"/>
        <v>1</v>
      </c>
      <c r="AH176" s="178">
        <f t="shared" si="67"/>
        <v>7</v>
      </c>
      <c r="AI176" s="227">
        <f t="shared" si="68"/>
        <v>1.4572801418416659</v>
      </c>
      <c r="AJ176" s="267" t="b">
        <f t="shared" si="69"/>
        <v>0</v>
      </c>
      <c r="AK176" s="267" t="b">
        <f t="shared" si="70"/>
        <v>0</v>
      </c>
      <c r="AL176" s="267"/>
      <c r="AM176" s="267"/>
      <c r="AN176" s="75"/>
    </row>
    <row r="177" spans="1:40" s="6" customFormat="1" ht="11.25" x14ac:dyDescent="0.2">
      <c r="A177" s="56">
        <f t="shared" si="71"/>
        <v>45454</v>
      </c>
      <c r="B177" s="413">
        <f>'2023'!Wh/'2023'!Env_an*'2024'!Env_an</f>
        <v>43.947812332496895</v>
      </c>
      <c r="C177" s="868"/>
      <c r="D177" s="395">
        <f t="shared" si="50"/>
        <v>46.1929700995301</v>
      </c>
      <c r="E177" s="387">
        <f t="shared" si="75"/>
        <v>47.749855553351047</v>
      </c>
      <c r="F177" s="387">
        <f t="shared" si="51"/>
        <v>47.759673501526827</v>
      </c>
      <c r="G177" s="110">
        <f t="shared" si="76"/>
        <v>0.74173652438046567</v>
      </c>
      <c r="H177" s="416" t="b">
        <f>Wh_hp&gt;='2023'!Maxi_hp</f>
        <v>0</v>
      </c>
      <c r="I177" s="392">
        <f>IF(H177,Wh_hp,'2023'!Maxi_hp)</f>
        <v>60.838298485220825</v>
      </c>
      <c r="J177" s="85">
        <f>IF(H177,An,'2023'!An_max)</f>
        <v>2019</v>
      </c>
      <c r="K177" s="199">
        <f t="shared" si="52"/>
        <v>45454</v>
      </c>
      <c r="L177" s="147">
        <f>IF(t&lt;Tvie,1-EXP((T0-t)*PertePVj)+'2023'!Pspv,1-EXP((T0-t)*PertePVj)+Pspv)</f>
        <v>4.860388414504746E-2</v>
      </c>
      <c r="M177" s="872"/>
      <c r="N177" s="872"/>
      <c r="O177" s="48">
        <f>IF(t&lt;Tnet,'2023'!Resal+('2023'!Salim-'2023'!Resal)*(1-EXP(('2023'!Tnet-t)/('2023'!Tau_j))),Resal+(Salim-Resal)*(1-EXP((Tnet-t)/(Tau_j))))*Salcycl</f>
        <v>3.2605029602266196E-2</v>
      </c>
      <c r="P177" s="171">
        <f>(INDEX(Models!$BJ177:$BT177,,T177)*(1-R177)+INDEX(Models!$BJ177:$BT177,,T177+1)*R177-ERP_i)*Q177*Ramure*Pc/MaxiM</f>
        <v>3.2569155604407539E-4</v>
      </c>
      <c r="Q177" s="307">
        <f t="shared" si="53"/>
        <v>0.9</v>
      </c>
      <c r="R177" s="179">
        <f t="shared" si="54"/>
        <v>0.46447722634369404</v>
      </c>
      <c r="S177" s="839">
        <f t="shared" si="55"/>
        <v>1</v>
      </c>
      <c r="T177" s="178">
        <f t="shared" si="56"/>
        <v>7</v>
      </c>
      <c r="U177" s="253">
        <f t="shared" si="57"/>
        <v>1.464477226343694</v>
      </c>
      <c r="V177" s="385">
        <f t="shared" si="58"/>
        <v>59.242777881106285</v>
      </c>
      <c r="W177" s="404">
        <f t="shared" si="59"/>
        <v>43.947812332496895</v>
      </c>
      <c r="X177" s="157">
        <f t="shared" si="60"/>
        <v>45454</v>
      </c>
      <c r="Y177" s="387">
        <f t="shared" si="61"/>
        <v>39.802103999193605</v>
      </c>
      <c r="Z177" s="387">
        <f t="shared" si="62"/>
        <v>41.83547035340402</v>
      </c>
      <c r="AA177" s="388">
        <f t="shared" si="63"/>
        <v>47.749855553351047</v>
      </c>
      <c r="AB177" s="199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0.1238618448455592</v>
      </c>
      <c r="AD177" s="233">
        <f>(INDEX(Models!$BJ177:$BT177,,AH177)*(1-AF177)+INDEX(Models!$BJ177:$BT177,,AH177+1)*AF177-ERP_i)*AE177*Ramure*Pc/MaxiM</f>
        <v>3.2569155604407539E-4</v>
      </c>
      <c r="AE177" s="307">
        <f t="shared" si="65"/>
        <v>0.9</v>
      </c>
      <c r="AF177" s="179">
        <f t="shared" si="66"/>
        <v>0.46447722634369404</v>
      </c>
      <c r="AG177" s="839">
        <f t="shared" si="74"/>
        <v>1</v>
      </c>
      <c r="AH177" s="178">
        <f t="shared" si="67"/>
        <v>7</v>
      </c>
      <c r="AI177" s="227">
        <f t="shared" si="68"/>
        <v>1.464477226343694</v>
      </c>
      <c r="AJ177" s="267" t="b">
        <f t="shared" si="69"/>
        <v>0</v>
      </c>
      <c r="AK177" s="267" t="b">
        <f t="shared" si="70"/>
        <v>0</v>
      </c>
      <c r="AL177" s="267"/>
      <c r="AM177" s="267"/>
      <c r="AN177" s="75"/>
    </row>
    <row r="178" spans="1:40" s="6" customFormat="1" ht="11.25" x14ac:dyDescent="0.2">
      <c r="A178" s="56">
        <f t="shared" si="71"/>
        <v>45455</v>
      </c>
      <c r="B178" s="413">
        <f>'2023'!Wh/'2023'!Env_an*'2024'!Env_an</f>
        <v>53.991990457932467</v>
      </c>
      <c r="C178" s="868"/>
      <c r="D178" s="395">
        <f t="shared" si="50"/>
        <v>56.751594903399784</v>
      </c>
      <c r="E178" s="387">
        <f t="shared" si="75"/>
        <v>58.679107295461407</v>
      </c>
      <c r="F178" s="387">
        <f t="shared" si="51"/>
        <v>58.695270971989771</v>
      </c>
      <c r="G178" s="110">
        <f t="shared" si="76"/>
        <v>0.91192811448621669</v>
      </c>
      <c r="H178" s="416" t="b">
        <f>Wh_hp&gt;='2023'!Maxi_hp</f>
        <v>0</v>
      </c>
      <c r="I178" s="392">
        <f>IF(H178,Wh_hp,'2023'!Maxi_hp)</f>
        <v>63.47863553055479</v>
      </c>
      <c r="J178" s="85">
        <f>IF(H178,An,'2023'!An_max)</f>
        <v>2019</v>
      </c>
      <c r="K178" s="199">
        <f t="shared" si="52"/>
        <v>45455</v>
      </c>
      <c r="L178" s="147">
        <f>IF(t&lt;Tvie,1-EXP((T0-t)*PertePVj)+'2023'!Pspv,1-EXP((T0-t)*PertePVj)+Pspv)</f>
        <v>4.8626024522563704E-2</v>
      </c>
      <c r="M178" s="872"/>
      <c r="N178" s="872"/>
      <c r="O178" s="48">
        <f>IF(t&lt;Tnet,'2023'!Resal+('2023'!Salim-'2023'!Resal)*(1-EXP(('2023'!Tnet-t)/('2023'!Tau_j))),Resal+(Salim-Resal)*(1-EXP((Tnet-t)/(Tau_j))))*Salcycl</f>
        <v>3.284835916736429E-2</v>
      </c>
      <c r="P178" s="171">
        <f>(INDEX(Models!$BJ178:$BT178,,T178)*(1-R178)+INDEX(Models!$BJ178:$BT178,,T178+1)*R178-ERP_i)*Q178*Ramure*Pc/MaxiM</f>
        <v>3.1499889093012561E-4</v>
      </c>
      <c r="Q178" s="307">
        <f t="shared" si="53"/>
        <v>0.9</v>
      </c>
      <c r="R178" s="179">
        <f t="shared" si="54"/>
        <v>0.47166217467826721</v>
      </c>
      <c r="S178" s="839">
        <f t="shared" si="55"/>
        <v>1</v>
      </c>
      <c r="T178" s="178">
        <f t="shared" si="56"/>
        <v>7</v>
      </c>
      <c r="U178" s="253">
        <f t="shared" si="57"/>
        <v>1.4716621746782672</v>
      </c>
      <c r="V178" s="385">
        <f t="shared" si="58"/>
        <v>59.204064517014558</v>
      </c>
      <c r="W178" s="404">
        <f t="shared" si="59"/>
        <v>53.991990457932467</v>
      </c>
      <c r="X178" s="157">
        <f t="shared" si="60"/>
        <v>45455</v>
      </c>
      <c r="Y178" s="387">
        <f t="shared" si="61"/>
        <v>48.899237048715712</v>
      </c>
      <c r="Z178" s="387">
        <f t="shared" si="62"/>
        <v>51.398543905067598</v>
      </c>
      <c r="AA178" s="388">
        <f t="shared" si="63"/>
        <v>58.679107295461407</v>
      </c>
      <c r="AB178" s="199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0.1240742016359361</v>
      </c>
      <c r="AD178" s="233">
        <f>(INDEX(Models!$BJ178:$BT178,,AH178)*(1-AF178)+INDEX(Models!$BJ178:$BT178,,AH178+1)*AF178-ERP_i)*AE178*Ramure*Pc/MaxiM</f>
        <v>3.1499889093012561E-4</v>
      </c>
      <c r="AE178" s="307">
        <f t="shared" si="65"/>
        <v>0.9</v>
      </c>
      <c r="AF178" s="179">
        <f t="shared" si="66"/>
        <v>0.47166217467826721</v>
      </c>
      <c r="AG178" s="839">
        <f t="shared" si="74"/>
        <v>1</v>
      </c>
      <c r="AH178" s="178">
        <f t="shared" si="67"/>
        <v>7</v>
      </c>
      <c r="AI178" s="227">
        <f t="shared" si="68"/>
        <v>1.4716621746782672</v>
      </c>
      <c r="AJ178" s="267" t="b">
        <f t="shared" si="69"/>
        <v>0</v>
      </c>
      <c r="AK178" s="267" t="b">
        <f t="shared" si="70"/>
        <v>0</v>
      </c>
      <c r="AL178" s="267"/>
      <c r="AM178" s="267"/>
      <c r="AN178" s="75"/>
    </row>
    <row r="179" spans="1:40" s="6" customFormat="1" ht="11.25" x14ac:dyDescent="0.2">
      <c r="A179" s="56">
        <f t="shared" si="71"/>
        <v>45456</v>
      </c>
      <c r="B179" s="413">
        <f>'2023'!Wh/'2023'!Env_an*'2024'!Env_an</f>
        <v>46.371648644001461</v>
      </c>
      <c r="C179" s="868"/>
      <c r="D179" s="395">
        <f t="shared" si="50"/>
        <v>48.742901320011462</v>
      </c>
      <c r="E179" s="387">
        <f t="shared" si="75"/>
        <v>50.411059970520832</v>
      </c>
      <c r="F179" s="387">
        <f t="shared" si="51"/>
        <v>50.421707529353981</v>
      </c>
      <c r="G179" s="110">
        <f t="shared" si="76"/>
        <v>0.78374178721410059</v>
      </c>
      <c r="H179" s="416" t="b">
        <f>Wh_hp&gt;='2023'!Maxi_hp</f>
        <v>0</v>
      </c>
      <c r="I179" s="392">
        <f>IF(H179,Wh_hp,'2023'!Maxi_hp)</f>
        <v>54.493603449574607</v>
      </c>
      <c r="J179" s="85">
        <f>IF(H179,An,'2023'!An_max)</f>
        <v>2021</v>
      </c>
      <c r="K179" s="199">
        <f t="shared" si="52"/>
        <v>45456</v>
      </c>
      <c r="L179" s="147">
        <f>IF(t&lt;Tvie,1-EXP((T0-t)*PertePVj)+'2023'!Pspv,1-EXP((T0-t)*PertePVj)+Pspv)</f>
        <v>4.8648164384840986E-2</v>
      </c>
      <c r="M179" s="872"/>
      <c r="N179" s="872"/>
      <c r="O179" s="48">
        <f>IF(t&lt;Tnet,'2023'!Resal+('2023'!Salim-'2023'!Resal)*(1-EXP(('2023'!Tnet-t)/('2023'!Tau_j))),Resal+(Salim-Resal)*(1-EXP((Tnet-t)/(Tau_j))))*Salcycl</f>
        <v>3.3091124278776737E-2</v>
      </c>
      <c r="P179" s="171">
        <f>(INDEX(Models!$BJ179:$BT179,,T179)*(1-R179)+INDEX(Models!$BJ179:$BT179,,T179+1)*R179-ERP_i)*Q179*Ramure*Pc/MaxiM</f>
        <v>3.0552765503625808E-4</v>
      </c>
      <c r="Q179" s="307">
        <f t="shared" si="53"/>
        <v>0.9</v>
      </c>
      <c r="R179" s="179">
        <f t="shared" si="54"/>
        <v>0.47882896986322354</v>
      </c>
      <c r="S179" s="839">
        <f t="shared" si="55"/>
        <v>1</v>
      </c>
      <c r="T179" s="178">
        <f t="shared" si="56"/>
        <v>7</v>
      </c>
      <c r="U179" s="253">
        <f t="shared" si="57"/>
        <v>1.4788289698632235</v>
      </c>
      <c r="V179" s="385">
        <f t="shared" si="58"/>
        <v>59.161413826004654</v>
      </c>
      <c r="W179" s="404">
        <f t="shared" si="59"/>
        <v>46.371648644001461</v>
      </c>
      <c r="X179" s="157">
        <f t="shared" si="60"/>
        <v>45456</v>
      </c>
      <c r="Y179" s="387">
        <f t="shared" si="61"/>
        <v>41.998154026239234</v>
      </c>
      <c r="Z179" s="387">
        <f t="shared" si="62"/>
        <v>44.145764431181831</v>
      </c>
      <c r="AA179" s="388">
        <f t="shared" si="63"/>
        <v>50.411059970520832</v>
      </c>
      <c r="AB179" s="199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0.124284146038643</v>
      </c>
      <c r="AD179" s="233">
        <f>(INDEX(Models!$BJ179:$BT179,,AH179)*(1-AF179)+INDEX(Models!$BJ179:$BT179,,AH179+1)*AF179-ERP_i)*AE179*Ramure*Pc/MaxiM</f>
        <v>3.0552765503625808E-4</v>
      </c>
      <c r="AE179" s="307">
        <f t="shared" si="65"/>
        <v>0.9</v>
      </c>
      <c r="AF179" s="179">
        <f t="shared" si="66"/>
        <v>0.47882896986322354</v>
      </c>
      <c r="AG179" s="839">
        <f t="shared" si="74"/>
        <v>1</v>
      </c>
      <c r="AH179" s="178">
        <f t="shared" si="67"/>
        <v>7</v>
      </c>
      <c r="AI179" s="227">
        <f t="shared" si="68"/>
        <v>1.4788289698632235</v>
      </c>
      <c r="AJ179" s="267" t="b">
        <f t="shared" si="69"/>
        <v>0</v>
      </c>
      <c r="AK179" s="267" t="b">
        <f t="shared" si="70"/>
        <v>0</v>
      </c>
      <c r="AL179" s="267"/>
      <c r="AM179" s="267"/>
      <c r="AN179" s="75"/>
    </row>
    <row r="180" spans="1:40" s="6" customFormat="1" ht="11.25" x14ac:dyDescent="0.2">
      <c r="A180" s="56">
        <f t="shared" si="71"/>
        <v>45457</v>
      </c>
      <c r="B180" s="413">
        <f>'2023'!Wh/'2023'!Env_an*'2024'!Env_an</f>
        <v>54.771720410412527</v>
      </c>
      <c r="C180" s="868"/>
      <c r="D180" s="395">
        <f t="shared" si="50"/>
        <v>57.573857544100548</v>
      </c>
      <c r="E180" s="387">
        <f t="shared" si="75"/>
        <v>59.559160351489119</v>
      </c>
      <c r="F180" s="387">
        <f t="shared" si="51"/>
        <v>59.575012851386973</v>
      </c>
      <c r="G180" s="110">
        <f t="shared" si="76"/>
        <v>0.92649881866991179</v>
      </c>
      <c r="H180" s="416" t="b">
        <f>Wh_hp&gt;='2023'!Maxi_hp</f>
        <v>0</v>
      </c>
      <c r="I180" s="392">
        <f>IF(H180,Wh_hp,'2023'!Maxi_hp)</f>
        <v>59.57592395549829</v>
      </c>
      <c r="J180" s="85">
        <f>IF(H180,An,'2023'!An_max)</f>
        <v>2022</v>
      </c>
      <c r="K180" s="199">
        <f t="shared" si="52"/>
        <v>45457</v>
      </c>
      <c r="L180" s="147">
        <f>IF(t&lt;Tvie,1-EXP((T0-t)*PertePVj)+'2023'!Pspv,1-EXP((T0-t)*PertePVj)+Pspv)</f>
        <v>4.8670303731891407E-2</v>
      </c>
      <c r="M180" s="872"/>
      <c r="N180" s="872"/>
      <c r="O180" s="48">
        <f>IF(t&lt;Tnet,'2023'!Resal+('2023'!Salim-'2023'!Resal)*(1-EXP(('2023'!Tnet-t)/('2023'!Tau_j))),Resal+(Salim-Resal)*(1-EXP((Tnet-t)/(Tau_j))))*Salcycl</f>
        <v>3.3333290725931705E-2</v>
      </c>
      <c r="P180" s="171">
        <f>(INDEX(Models!$BJ180:$BT180,,T180)*(1-R180)+INDEX(Models!$BJ180:$BT180,,T180+1)*R180-ERP_i)*Q180*Ramure*Pc/MaxiM</f>
        <v>2.9729756432168088E-4</v>
      </c>
      <c r="Q180" s="307">
        <f t="shared" si="53"/>
        <v>0.9</v>
      </c>
      <c r="R180" s="179">
        <f t="shared" si="54"/>
        <v>0.48597165582921953</v>
      </c>
      <c r="S180" s="839">
        <f t="shared" si="55"/>
        <v>1</v>
      </c>
      <c r="T180" s="178">
        <f t="shared" si="56"/>
        <v>7</v>
      </c>
      <c r="U180" s="253">
        <f t="shared" si="57"/>
        <v>1.4859716558292195</v>
      </c>
      <c r="V180" s="385">
        <f t="shared" si="58"/>
        <v>59.115035798945421</v>
      </c>
      <c r="W180" s="404">
        <f t="shared" si="59"/>
        <v>54.771720410412527</v>
      </c>
      <c r="X180" s="157">
        <f t="shared" si="60"/>
        <v>45457</v>
      </c>
      <c r="Y180" s="387">
        <f t="shared" si="61"/>
        <v>49.606654751984102</v>
      </c>
      <c r="Z180" s="387">
        <f t="shared" si="62"/>
        <v>52.144545625540637</v>
      </c>
      <c r="AA180" s="388">
        <f t="shared" si="63"/>
        <v>59.559160351489119</v>
      </c>
      <c r="AB180" s="199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0.12449159259786463</v>
      </c>
      <c r="AD180" s="233">
        <f>(INDEX(Models!$BJ180:$BT180,,AH180)*(1-AF180)+INDEX(Models!$BJ180:$BT180,,AH180+1)*AF180-ERP_i)*AE180*Ramure*Pc/MaxiM</f>
        <v>2.9729756432168088E-4</v>
      </c>
      <c r="AE180" s="307">
        <f t="shared" si="65"/>
        <v>0.9</v>
      </c>
      <c r="AF180" s="179">
        <f t="shared" si="66"/>
        <v>0.48597165582921953</v>
      </c>
      <c r="AG180" s="839">
        <f t="shared" si="74"/>
        <v>1</v>
      </c>
      <c r="AH180" s="178">
        <f t="shared" si="67"/>
        <v>7</v>
      </c>
      <c r="AI180" s="227">
        <f t="shared" si="68"/>
        <v>1.4859716558292195</v>
      </c>
      <c r="AJ180" s="267" t="b">
        <f t="shared" si="69"/>
        <v>0</v>
      </c>
      <c r="AK180" s="267" t="b">
        <f t="shared" si="70"/>
        <v>0</v>
      </c>
      <c r="AL180" s="267"/>
      <c r="AM180" s="267"/>
      <c r="AN180" s="75"/>
    </row>
    <row r="181" spans="1:40" s="6" customFormat="1" ht="11.25" x14ac:dyDescent="0.2">
      <c r="A181" s="56">
        <f t="shared" si="71"/>
        <v>45458</v>
      </c>
      <c r="B181" s="413">
        <f>'2023'!Wh/'2023'!Env_an*'2024'!Env_an</f>
        <v>50.846186192760918</v>
      </c>
      <c r="C181" s="868"/>
      <c r="D181" s="395">
        <f t="shared" si="50"/>
        <v>53.448735685217166</v>
      </c>
      <c r="E181" s="387">
        <f t="shared" si="75"/>
        <v>55.30561197634799</v>
      </c>
      <c r="F181" s="387">
        <f t="shared" si="51"/>
        <v>55.31847990918132</v>
      </c>
      <c r="G181" s="110">
        <f t="shared" si="76"/>
        <v>0.8607996344541271</v>
      </c>
      <c r="H181" s="416" t="b">
        <f>Wh_hp&gt;='2023'!Maxi_hp</f>
        <v>0</v>
      </c>
      <c r="I181" s="392">
        <f>IF(H181,Wh_hp,'2023'!Maxi_hp)</f>
        <v>65.039285563897309</v>
      </c>
      <c r="J181" s="85">
        <f>IF(H181,An,'2023'!An_max)</f>
        <v>2019</v>
      </c>
      <c r="K181" s="199">
        <f t="shared" si="52"/>
        <v>45458</v>
      </c>
      <c r="L181" s="147">
        <f>IF(t&lt;Tvie,1-EXP((T0-t)*PertePVj)+'2023'!Pspv,1-EXP((T0-t)*PertePVj)+Pspv)</f>
        <v>4.8692442563726734E-2</v>
      </c>
      <c r="M181" s="872"/>
      <c r="N181" s="872"/>
      <c r="O181" s="48">
        <f>IF(t&lt;Tnet,'2023'!Resal+('2023'!Salim-'2023'!Resal)*(1-EXP(('2023'!Tnet-t)/('2023'!Tau_j))),Resal+(Salim-Resal)*(1-EXP((Tnet-t)/(Tau_j))))*Salcycl</f>
        <v>3.3574825858991179E-2</v>
      </c>
      <c r="P181" s="171">
        <f>(INDEX(Models!$BJ181:$BT181,,T181)*(1-R181)+INDEX(Models!$BJ181:$BT181,,T181+1)*R181-ERP_i)*Q181*Ramure*Pc/MaxiM</f>
        <v>2.9032897667042034E-4</v>
      </c>
      <c r="Q181" s="307">
        <f t="shared" si="53"/>
        <v>0.9</v>
      </c>
      <c r="R181" s="179">
        <f t="shared" si="54"/>
        <v>0.49308435704760023</v>
      </c>
      <c r="S181" s="839">
        <f t="shared" si="55"/>
        <v>1</v>
      </c>
      <c r="T181" s="178">
        <f t="shared" si="56"/>
        <v>7</v>
      </c>
      <c r="U181" s="253">
        <f t="shared" si="57"/>
        <v>1.4930843570476002</v>
      </c>
      <c r="V181" s="385">
        <f t="shared" si="58"/>
        <v>59.065140088338303</v>
      </c>
      <c r="W181" s="404">
        <f t="shared" si="59"/>
        <v>50.846186192760918</v>
      </c>
      <c r="X181" s="157">
        <f t="shared" si="60"/>
        <v>45458</v>
      </c>
      <c r="Y181" s="387">
        <f t="shared" si="61"/>
        <v>46.05203568049042</v>
      </c>
      <c r="Z181" s="387">
        <f t="shared" si="62"/>
        <v>48.409197762076417</v>
      </c>
      <c r="AA181" s="388">
        <f t="shared" si="63"/>
        <v>55.30561197634799</v>
      </c>
      <c r="AB181" s="199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0.12469646330323386</v>
      </c>
      <c r="AD181" s="233">
        <f>(INDEX(Models!$BJ181:$BT181,,AH181)*(1-AF181)+INDEX(Models!$BJ181:$BT181,,AH181+1)*AF181-ERP_i)*AE181*Ramure*Pc/MaxiM</f>
        <v>2.9032897667042034E-4</v>
      </c>
      <c r="AE181" s="307">
        <f t="shared" si="65"/>
        <v>0.9</v>
      </c>
      <c r="AF181" s="179">
        <f t="shared" si="66"/>
        <v>0.49308435704760023</v>
      </c>
      <c r="AG181" s="839">
        <f t="shared" si="74"/>
        <v>1</v>
      </c>
      <c r="AH181" s="178">
        <f t="shared" si="67"/>
        <v>7</v>
      </c>
      <c r="AI181" s="227">
        <f t="shared" si="68"/>
        <v>1.4930843570476002</v>
      </c>
      <c r="AJ181" s="267" t="b">
        <f t="shared" si="69"/>
        <v>0</v>
      </c>
      <c r="AK181" s="267" t="b">
        <f t="shared" si="70"/>
        <v>0</v>
      </c>
      <c r="AL181" s="267"/>
      <c r="AM181" s="267"/>
      <c r="AN181" s="75"/>
    </row>
    <row r="182" spans="1:40" s="6" customFormat="1" ht="11.25" x14ac:dyDescent="0.2">
      <c r="A182" s="56">
        <f t="shared" si="71"/>
        <v>45459</v>
      </c>
      <c r="B182" s="413">
        <f>'2023'!Wh/'2023'!Env_an*'2024'!Env_an</f>
        <v>52.454777718282386</v>
      </c>
      <c r="C182" s="868"/>
      <c r="D182" s="395">
        <f t="shared" si="50"/>
        <v>55.140945781368359</v>
      </c>
      <c r="E182" s="387">
        <f t="shared" si="75"/>
        <v>57.070835976451022</v>
      </c>
      <c r="F182" s="387">
        <f t="shared" si="51"/>
        <v>57.084505404247615</v>
      </c>
      <c r="G182" s="110">
        <f t="shared" si="76"/>
        <v>0.88884403093973197</v>
      </c>
      <c r="H182" s="416" t="b">
        <f>Wh_hp&gt;='2023'!Maxi_hp</f>
        <v>0</v>
      </c>
      <c r="I182" s="392">
        <f>IF(H182,Wh_hp,'2023'!Maxi_hp)</f>
        <v>64.172598180317252</v>
      </c>
      <c r="J182" s="85">
        <f>IF(H182,An,'2023'!An_max)</f>
        <v>2019</v>
      </c>
      <c r="K182" s="199">
        <f t="shared" si="52"/>
        <v>45459</v>
      </c>
      <c r="L182" s="147">
        <f>IF(t&lt;Tvie,1-EXP((T0-t)*PertePVj)+'2023'!Pspv,1-EXP((T0-t)*PertePVj)+Pspv)</f>
        <v>4.8714580880359182E-2</v>
      </c>
      <c r="M182" s="872"/>
      <c r="N182" s="872"/>
      <c r="O182" s="48">
        <f>IF(t&lt;Tnet,'2023'!Resal+('2023'!Salim-'2023'!Resal)*(1-EXP(('2023'!Tnet-t)/('2023'!Tau_j))),Resal+(Salim-Resal)*(1-EXP((Tnet-t)/(Tau_j))))*Salcycl</f>
        <v>3.3815698720078155E-2</v>
      </c>
      <c r="P182" s="171">
        <f>(INDEX(Models!$BJ182:$BT182,,T182)*(1-R182)+INDEX(Models!$BJ182:$BT182,,T182+1)*R182-ERP_i)*Q182*Ramure*Pc/MaxiM</f>
        <v>2.8464281659950502E-4</v>
      </c>
      <c r="Q182" s="307">
        <f t="shared" si="53"/>
        <v>0.9</v>
      </c>
      <c r="R182" s="179">
        <f t="shared" si="54"/>
        <v>0.50016129758912387</v>
      </c>
      <c r="S182" s="839">
        <f t="shared" si="55"/>
        <v>1</v>
      </c>
      <c r="T182" s="178">
        <f t="shared" si="56"/>
        <v>7</v>
      </c>
      <c r="U182" s="253">
        <f t="shared" si="57"/>
        <v>1.5001612975891239</v>
      </c>
      <c r="V182" s="385">
        <f t="shared" si="58"/>
        <v>59.011936002927321</v>
      </c>
      <c r="W182" s="404">
        <f t="shared" si="59"/>
        <v>52.454777718282386</v>
      </c>
      <c r="X182" s="157">
        <f t="shared" si="60"/>
        <v>45459</v>
      </c>
      <c r="Y182" s="387">
        <f t="shared" si="61"/>
        <v>47.509822658712579</v>
      </c>
      <c r="Z182" s="387">
        <f t="shared" si="62"/>
        <v>49.942763448093373</v>
      </c>
      <c r="AA182" s="388">
        <f t="shared" si="63"/>
        <v>57.070835976451022</v>
      </c>
      <c r="AB182" s="199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0.12489868785694465</v>
      </c>
      <c r="AD182" s="233">
        <f>(INDEX(Models!$BJ182:$BT182,,AH182)*(1-AF182)+INDEX(Models!$BJ182:$BT182,,AH182+1)*AF182-ERP_i)*AE182*Ramure*Pc/MaxiM</f>
        <v>2.8464281659950502E-4</v>
      </c>
      <c r="AE182" s="307">
        <f t="shared" si="65"/>
        <v>0.9</v>
      </c>
      <c r="AF182" s="179">
        <f t="shared" si="66"/>
        <v>0.50016129758912387</v>
      </c>
      <c r="AG182" s="839">
        <f t="shared" si="74"/>
        <v>1</v>
      </c>
      <c r="AH182" s="178">
        <f t="shared" si="67"/>
        <v>7</v>
      </c>
      <c r="AI182" s="227">
        <f t="shared" si="68"/>
        <v>1.5001612975891239</v>
      </c>
      <c r="AJ182" s="267" t="b">
        <f t="shared" si="69"/>
        <v>0</v>
      </c>
      <c r="AK182" s="267" t="b">
        <f t="shared" si="70"/>
        <v>0</v>
      </c>
      <c r="AL182" s="267"/>
      <c r="AM182" s="267"/>
      <c r="AN182" s="75"/>
    </row>
    <row r="183" spans="1:40" s="6" customFormat="1" ht="11.25" x14ac:dyDescent="0.2">
      <c r="A183" s="56">
        <f t="shared" si="71"/>
        <v>45460</v>
      </c>
      <c r="B183" s="413">
        <f>'2023'!Wh/'2023'!Env_an*'2024'!Env_an</f>
        <v>54.531419789669926</v>
      </c>
      <c r="C183" s="868"/>
      <c r="D183" s="395">
        <f t="shared" si="50"/>
        <v>57.325265108628805</v>
      </c>
      <c r="E183" s="387">
        <f t="shared" si="75"/>
        <v>59.346357549568992</v>
      </c>
      <c r="F183" s="387">
        <f t="shared" si="51"/>
        <v>59.361210634975059</v>
      </c>
      <c r="G183" s="110">
        <f t="shared" si="76"/>
        <v>0.92492911464591132</v>
      </c>
      <c r="H183" s="416" t="b">
        <f>Wh_hp&gt;='2023'!Maxi_hp</f>
        <v>0</v>
      </c>
      <c r="I183" s="392">
        <f>IF(H183,Wh_hp,'2023'!Maxi_hp)</f>
        <v>62.517821200510539</v>
      </c>
      <c r="J183" s="85">
        <f>IF(H183,An,'2023'!An_max)</f>
        <v>2019</v>
      </c>
      <c r="K183" s="199">
        <f t="shared" si="52"/>
        <v>45460</v>
      </c>
      <c r="L183" s="147">
        <f>IF(t&lt;Tvie,1-EXP((T0-t)*PertePVj)+'2023'!Pspv,1-EXP((T0-t)*PertePVj)+Pspv)</f>
        <v>4.8736718681800628E-2</v>
      </c>
      <c r="M183" s="872"/>
      <c r="N183" s="872"/>
      <c r="O183" s="48">
        <f>IF(t&lt;Tnet,'2023'!Resal+('2023'!Salim-'2023'!Resal)*(1-EXP(('2023'!Tnet-t)/('2023'!Tau_j))),Resal+(Salim-Resal)*(1-EXP((Tnet-t)/(Tau_j))))*Salcycl</f>
        <v>3.4055880165047549E-2</v>
      </c>
      <c r="P183" s="171">
        <f>(INDEX(Models!$BJ183:$BT183,,T183)*(1-R183)+INDEX(Models!$BJ183:$BT183,,T183+1)*R183-ERP_i)*Q183*Ramure*Pc/MaxiM</f>
        <v>2.8026050033947781E-4</v>
      </c>
      <c r="Q183" s="307">
        <f t="shared" si="53"/>
        <v>0.9</v>
      </c>
      <c r="R183" s="179">
        <f t="shared" si="54"/>
        <v>0.50719681948430462</v>
      </c>
      <c r="S183" s="839">
        <f t="shared" si="55"/>
        <v>1</v>
      </c>
      <c r="T183" s="178">
        <f t="shared" si="56"/>
        <v>7</v>
      </c>
      <c r="U183" s="253">
        <f t="shared" si="57"/>
        <v>1.5071968194843046</v>
      </c>
      <c r="V183" s="385">
        <f t="shared" si="58"/>
        <v>58.955632502875197</v>
      </c>
      <c r="W183" s="404">
        <f t="shared" si="59"/>
        <v>54.531419789669926</v>
      </c>
      <c r="X183" s="157">
        <f t="shared" si="60"/>
        <v>45460</v>
      </c>
      <c r="Y183" s="387">
        <f t="shared" si="61"/>
        <v>49.391715460781825</v>
      </c>
      <c r="Z183" s="387">
        <f t="shared" si="62"/>
        <v>51.922234812152077</v>
      </c>
      <c r="AA183" s="388">
        <f t="shared" si="63"/>
        <v>59.346357549568992</v>
      </c>
      <c r="AB183" s="199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0.12509820389930293</v>
      </c>
      <c r="AD183" s="233">
        <f>(INDEX(Models!$BJ183:$BT183,,AH183)*(1-AF183)+INDEX(Models!$BJ183:$BT183,,AH183+1)*AF183-ERP_i)*AE183*Ramure*Pc/MaxiM</f>
        <v>2.8026050033947781E-4</v>
      </c>
      <c r="AE183" s="307">
        <f t="shared" si="65"/>
        <v>0.9</v>
      </c>
      <c r="AF183" s="179">
        <f t="shared" si="66"/>
        <v>0.50719681948430462</v>
      </c>
      <c r="AG183" s="839">
        <f t="shared" si="74"/>
        <v>1</v>
      </c>
      <c r="AH183" s="178">
        <f t="shared" si="67"/>
        <v>7</v>
      </c>
      <c r="AI183" s="227">
        <f t="shared" si="68"/>
        <v>1.5071968194843046</v>
      </c>
      <c r="AJ183" s="267" t="b">
        <f t="shared" si="69"/>
        <v>0</v>
      </c>
      <c r="AK183" s="267" t="b">
        <f t="shared" si="70"/>
        <v>0</v>
      </c>
      <c r="AL183" s="267"/>
      <c r="AM183" s="267"/>
      <c r="AN183" s="75"/>
    </row>
    <row r="184" spans="1:40" s="6" customFormat="1" ht="11.25" x14ac:dyDescent="0.2">
      <c r="A184" s="56">
        <f t="shared" si="71"/>
        <v>45461</v>
      </c>
      <c r="B184" s="413">
        <f>'2023'!Wh/'2023'!Env_an*'2024'!Env_an</f>
        <v>55.884731776511373</v>
      </c>
      <c r="C184" s="868"/>
      <c r="D184" s="395">
        <f t="shared" si="50"/>
        <v>58.749279430490141</v>
      </c>
      <c r="E184" s="387">
        <f t="shared" si="75"/>
        <v>60.835659228845998</v>
      </c>
      <c r="F184" s="387">
        <f t="shared" si="51"/>
        <v>60.851323920798414</v>
      </c>
      <c r="G184" s="110">
        <f t="shared" si="76"/>
        <v>0.94884559920863976</v>
      </c>
      <c r="H184" s="416" t="b">
        <f>Wh_hp&gt;='2023'!Maxi_hp</f>
        <v>0</v>
      </c>
      <c r="I184" s="392">
        <f>IF(H184,Wh_hp,'2023'!Maxi_hp)</f>
        <v>60.851906660258678</v>
      </c>
      <c r="J184" s="85">
        <f>IF(H184,An,'2023'!An_max)</f>
        <v>2022</v>
      </c>
      <c r="K184" s="199">
        <f t="shared" si="52"/>
        <v>45461</v>
      </c>
      <c r="L184" s="147">
        <f>IF(t&lt;Tvie,1-EXP((T0-t)*PertePVj)+'2023'!Pspv,1-EXP((T0-t)*PertePVj)+Pspv)</f>
        <v>4.8758855968063175E-2</v>
      </c>
      <c r="M184" s="872"/>
      <c r="N184" s="872"/>
      <c r="O184" s="48">
        <f>IF(t&lt;Tnet,'2023'!Resal+('2023'!Salim-'2023'!Resal)*(1-EXP(('2023'!Tnet-t)/('2023'!Tau_j))),Resal+(Salim-Resal)*(1-EXP((Tnet-t)/(Tau_j))))*Salcycl</f>
        <v>3.4295342974874382E-2</v>
      </c>
      <c r="P184" s="171">
        <f>(INDEX(Models!$BJ184:$BT184,,T184)*(1-R184)+INDEX(Models!$BJ184:$BT184,,T184+1)*R184-ERP_i)*Q184*Ramure*Pc/MaxiM</f>
        <v>2.7771262051628977E-4</v>
      </c>
      <c r="Q184" s="307">
        <f t="shared" si="53"/>
        <v>0.9</v>
      </c>
      <c r="R184" s="179">
        <f t="shared" si="54"/>
        <v>0.51418540026448212</v>
      </c>
      <c r="S184" s="839">
        <f t="shared" si="55"/>
        <v>1</v>
      </c>
      <c r="T184" s="178">
        <f t="shared" si="56"/>
        <v>7</v>
      </c>
      <c r="U184" s="253">
        <f t="shared" si="57"/>
        <v>1.5141854002644821</v>
      </c>
      <c r="V184" s="385">
        <f t="shared" si="58"/>
        <v>58.896408224476296</v>
      </c>
      <c r="W184" s="404">
        <f t="shared" si="59"/>
        <v>55.884731776511373</v>
      </c>
      <c r="X184" s="157">
        <f t="shared" si="60"/>
        <v>45461</v>
      </c>
      <c r="Y184" s="387">
        <f t="shared" si="61"/>
        <v>50.61864033205363</v>
      </c>
      <c r="Z184" s="387">
        <f t="shared" si="62"/>
        <v>53.213257910082753</v>
      </c>
      <c r="AA184" s="388">
        <f t="shared" si="63"/>
        <v>60.835659228845998</v>
      </c>
      <c r="AB184" s="199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0.12529495719097894</v>
      </c>
      <c r="AD184" s="233">
        <f>(INDEX(Models!$BJ184:$BT184,,AH184)*(1-AF184)+INDEX(Models!$BJ184:$BT184,,AH184+1)*AF184-ERP_i)*AE184*Ramure*Pc/MaxiM</f>
        <v>2.7771262051628977E-4</v>
      </c>
      <c r="AE184" s="307">
        <f t="shared" si="65"/>
        <v>0.9</v>
      </c>
      <c r="AF184" s="179">
        <f t="shared" si="66"/>
        <v>0.51418540026448212</v>
      </c>
      <c r="AG184" s="839">
        <f t="shared" si="74"/>
        <v>1</v>
      </c>
      <c r="AH184" s="178">
        <f t="shared" si="67"/>
        <v>7</v>
      </c>
      <c r="AI184" s="227">
        <f t="shared" si="68"/>
        <v>1.5141854002644821</v>
      </c>
      <c r="AJ184" s="267" t="b">
        <f t="shared" si="69"/>
        <v>0</v>
      </c>
      <c r="AK184" s="267" t="b">
        <f t="shared" si="70"/>
        <v>0</v>
      </c>
      <c r="AL184" s="267"/>
      <c r="AM184" s="267"/>
      <c r="AN184" s="75"/>
    </row>
    <row r="185" spans="1:40" s="6" customFormat="1" ht="11.25" x14ac:dyDescent="0.2">
      <c r="A185" s="56">
        <f t="shared" si="71"/>
        <v>45462</v>
      </c>
      <c r="B185" s="413">
        <f>'2023'!Wh/'2023'!Env_an*'2024'!Env_an</f>
        <v>33.186810963649066</v>
      </c>
      <c r="C185" s="868"/>
      <c r="D185" s="395">
        <f t="shared" si="50"/>
        <v>34.888717225294727</v>
      </c>
      <c r="E185" s="387">
        <f t="shared" si="75"/>
        <v>36.136662983648122</v>
      </c>
      <c r="F185" s="387">
        <f t="shared" si="51"/>
        <v>36.14042799332006</v>
      </c>
      <c r="G185" s="110">
        <f t="shared" si="76"/>
        <v>0.5639733538136531</v>
      </c>
      <c r="H185" s="416" t="b">
        <f>Wh_hp&gt;='2023'!Maxi_hp</f>
        <v>0</v>
      </c>
      <c r="I185" s="392">
        <f>IF(H185,Wh_hp,'2023'!Maxi_hp)</f>
        <v>61.778509370898874</v>
      </c>
      <c r="J185" s="85">
        <f>IF(H185,An,'2023'!An_max)</f>
        <v>2020</v>
      </c>
      <c r="K185" s="199">
        <f t="shared" si="52"/>
        <v>45462</v>
      </c>
      <c r="L185" s="147">
        <f>IF(t&lt;Tvie,1-EXP((T0-t)*PertePVj)+'2023'!Pspv,1-EXP((T0-t)*PertePVj)+Pspv)</f>
        <v>4.8780992739158591E-2</v>
      </c>
      <c r="M185" s="872"/>
      <c r="N185" s="872"/>
      <c r="O185" s="48">
        <f>IF(t&lt;Tnet,'2023'!Resal+('2023'!Salim-'2023'!Resal)*(1-EXP(('2023'!Tnet-t)/('2023'!Tau_j))),Resal+(Salim-Resal)*(1-EXP((Tnet-t)/(Tau_j))))*Salcycl</f>
        <v>3.4534061955806356E-2</v>
      </c>
      <c r="P185" s="171">
        <f>(INDEX(Models!$BJ185:$BT185,,T185)*(1-R185)+INDEX(Models!$BJ185:$BT185,,T185+1)*R185-ERP_i)*Q185*Ramure*Pc/MaxiM</f>
        <v>2.7615389268629176E-4</v>
      </c>
      <c r="Q185" s="307">
        <f t="shared" si="53"/>
        <v>0.9</v>
      </c>
      <c r="R185" s="179">
        <f t="shared" si="54"/>
        <v>0.52112166957239747</v>
      </c>
      <c r="S185" s="839">
        <f t="shared" si="55"/>
        <v>1</v>
      </c>
      <c r="T185" s="178">
        <f t="shared" si="56"/>
        <v>7</v>
      </c>
      <c r="U185" s="253">
        <f t="shared" si="57"/>
        <v>1.5211216695723975</v>
      </c>
      <c r="V185" s="385">
        <f t="shared" si="58"/>
        <v>58.834522566774602</v>
      </c>
      <c r="W185" s="404">
        <f t="shared" si="59"/>
        <v>33.186810963649066</v>
      </c>
      <c r="X185" s="157">
        <f t="shared" si="60"/>
        <v>45462</v>
      </c>
      <c r="Y185" s="387">
        <f t="shared" si="61"/>
        <v>30.06034015245524</v>
      </c>
      <c r="Z185" s="387">
        <f t="shared" si="62"/>
        <v>31.601912832900481</v>
      </c>
      <c r="AA185" s="388">
        <f t="shared" si="63"/>
        <v>36.136662983648122</v>
      </c>
      <c r="AB185" s="199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0.12548890175054686</v>
      </c>
      <c r="AD185" s="233">
        <f>(INDEX(Models!$BJ185:$BT185,,AH185)*(1-AF185)+INDEX(Models!$BJ185:$BT185,,AH185+1)*AF185-ERP_i)*AE185*Ramure*Pc/MaxiM</f>
        <v>2.7615389268629176E-4</v>
      </c>
      <c r="AE185" s="307">
        <f t="shared" si="65"/>
        <v>0.9</v>
      </c>
      <c r="AF185" s="179">
        <f t="shared" si="66"/>
        <v>0.52112166957239747</v>
      </c>
      <c r="AG185" s="839">
        <f t="shared" si="74"/>
        <v>1</v>
      </c>
      <c r="AH185" s="178">
        <f t="shared" si="67"/>
        <v>7</v>
      </c>
      <c r="AI185" s="227">
        <f t="shared" si="68"/>
        <v>1.5211216695723975</v>
      </c>
      <c r="AJ185" s="267" t="b">
        <f t="shared" si="69"/>
        <v>0</v>
      </c>
      <c r="AK185" s="267" t="b">
        <f t="shared" si="70"/>
        <v>0</v>
      </c>
      <c r="AL185" s="267"/>
      <c r="AM185" s="267"/>
      <c r="AN185" s="75"/>
    </row>
    <row r="186" spans="1:40" s="6" customFormat="1" ht="11.25" x14ac:dyDescent="0.2">
      <c r="A186" s="56">
        <f t="shared" si="71"/>
        <v>45463</v>
      </c>
      <c r="B186" s="413">
        <f>'2023'!Wh/'2023'!Env_an*'2024'!Env_an</f>
        <v>19.703454882221173</v>
      </c>
      <c r="C186" s="868"/>
      <c r="D186" s="395">
        <f t="shared" si="50"/>
        <v>20.714381515369443</v>
      </c>
      <c r="E186" s="387">
        <f t="shared" si="75"/>
        <v>21.460610152635812</v>
      </c>
      <c r="F186" s="387">
        <f t="shared" si="51"/>
        <v>21.460908106919454</v>
      </c>
      <c r="G186" s="110">
        <f t="shared" si="76"/>
        <v>0.3351750297970521</v>
      </c>
      <c r="H186" s="416" t="b">
        <f>Wh_hp&gt;='2023'!Maxi_hp</f>
        <v>0</v>
      </c>
      <c r="I186" s="392">
        <f>IF(H186,Wh_hp,'2023'!Maxi_hp)</f>
        <v>55.37097904522787</v>
      </c>
      <c r="J186" s="85">
        <f>IF(H186,An,'2023'!An_max)</f>
        <v>2020</v>
      </c>
      <c r="K186" s="199">
        <f t="shared" si="52"/>
        <v>45463</v>
      </c>
      <c r="L186" s="147">
        <f>IF(t&lt;Tvie,1-EXP((T0-t)*PertePVj)+'2023'!Pspv,1-EXP((T0-t)*PertePVj)+Pspv)</f>
        <v>4.8803128995099088E-2</v>
      </c>
      <c r="M186" s="872"/>
      <c r="N186" s="872"/>
      <c r="O186" s="48">
        <f>IF(t&lt;Tnet,'2023'!Resal+('2023'!Salim-'2023'!Resal)*(1-EXP(('2023'!Tnet-t)/('2023'!Tau_j))),Resal+(Salim-Resal)*(1-EXP((Tnet-t)/(Tau_j))))*Salcycl</f>
        <v>3.4772014027509748E-2</v>
      </c>
      <c r="P186" s="171">
        <f>(INDEX(Models!$BJ186:$BT186,,T186)*(1-R186)+INDEX(Models!$BJ186:$BT186,,T186+1)*R186-ERP_i)*Q186*Ramure*Pc/MaxiM</f>
        <v>2.7560245703444757E-4</v>
      </c>
      <c r="Q186" s="307">
        <f t="shared" si="53"/>
        <v>0.9</v>
      </c>
      <c r="R186" s="179">
        <f t="shared" si="54"/>
        <v>0.52800042474187459</v>
      </c>
      <c r="S186" s="839">
        <f t="shared" si="55"/>
        <v>1</v>
      </c>
      <c r="T186" s="178">
        <f t="shared" si="56"/>
        <v>7</v>
      </c>
      <c r="U186" s="253">
        <f t="shared" si="57"/>
        <v>1.5280004247418746</v>
      </c>
      <c r="V186" s="385">
        <f t="shared" si="58"/>
        <v>58.770183615744443</v>
      </c>
      <c r="W186" s="404">
        <f t="shared" si="59"/>
        <v>19.703454882221173</v>
      </c>
      <c r="X186" s="157">
        <f t="shared" si="60"/>
        <v>45463</v>
      </c>
      <c r="Y186" s="387">
        <f t="shared" si="61"/>
        <v>17.8477260544059</v>
      </c>
      <c r="Z186" s="387">
        <f t="shared" si="62"/>
        <v>18.763440669806347</v>
      </c>
      <c r="AA186" s="388">
        <f t="shared" si="63"/>
        <v>21.460610152635812</v>
      </c>
      <c r="AB186" s="199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0.12567999994623624</v>
      </c>
      <c r="AD186" s="233">
        <f>(INDEX(Models!$BJ186:$BT186,,AH186)*(1-AF186)+INDEX(Models!$BJ186:$BT186,,AH186+1)*AF186-ERP_i)*AE186*Ramure*Pc/MaxiM</f>
        <v>2.7560245703444757E-4</v>
      </c>
      <c r="AE186" s="307">
        <f t="shared" si="65"/>
        <v>0.9</v>
      </c>
      <c r="AF186" s="179">
        <f t="shared" si="66"/>
        <v>0.52800042474187459</v>
      </c>
      <c r="AG186" s="839">
        <f t="shared" si="74"/>
        <v>1</v>
      </c>
      <c r="AH186" s="178">
        <f t="shared" si="67"/>
        <v>7</v>
      </c>
      <c r="AI186" s="227">
        <f t="shared" si="68"/>
        <v>1.5280004247418746</v>
      </c>
      <c r="AJ186" s="267" t="b">
        <f t="shared" si="69"/>
        <v>0</v>
      </c>
      <c r="AK186" s="267" t="b">
        <f t="shared" si="70"/>
        <v>0</v>
      </c>
      <c r="AL186" s="267"/>
      <c r="AM186" s="267"/>
      <c r="AN186" s="75"/>
    </row>
    <row r="187" spans="1:40" s="6" customFormat="1" ht="11.25" x14ac:dyDescent="0.2">
      <c r="A187" s="56">
        <f t="shared" si="71"/>
        <v>45464</v>
      </c>
      <c r="B187" s="413">
        <f>'2023'!Wh/'2023'!Env_an*'2024'!Env_an</f>
        <v>47.586042743906049</v>
      </c>
      <c r="C187" s="868"/>
      <c r="D187" s="395">
        <f t="shared" si="50"/>
        <v>50.02870763876345</v>
      </c>
      <c r="E187" s="387">
        <f t="shared" si="75"/>
        <v>51.843713446468726</v>
      </c>
      <c r="F187" s="387">
        <f t="shared" si="51"/>
        <v>51.854156055862745</v>
      </c>
      <c r="G187" s="110">
        <f t="shared" si="76"/>
        <v>0.81055486285880141</v>
      </c>
      <c r="H187" s="416" t="b">
        <f>Wh_hp&gt;='2023'!Maxi_hp</f>
        <v>0</v>
      </c>
      <c r="I187" s="392">
        <f>IF(H187,Wh_hp,'2023'!Maxi_hp)</f>
        <v>63.646514520182144</v>
      </c>
      <c r="J187" s="85">
        <f>IF(H187,An,'2023'!An_max)</f>
        <v>2020</v>
      </c>
      <c r="K187" s="199">
        <f t="shared" si="52"/>
        <v>45464</v>
      </c>
      <c r="L187" s="147">
        <f>IF(t&lt;Tvie,1-EXP((T0-t)*PertePVj)+'2023'!Pspv,1-EXP((T0-t)*PertePVj)+Pspv)</f>
        <v>4.8825264735896656E-2</v>
      </c>
      <c r="M187" s="872"/>
      <c r="N187" s="872"/>
      <c r="O187" s="48">
        <f>IF(t&lt;Tnet,'2023'!Resal+('2023'!Salim-'2023'!Resal)*(1-EXP(('2023'!Tnet-t)/('2023'!Tau_j))),Resal+(Salim-Resal)*(1-EXP((Tnet-t)/(Tau_j))))*Salcycl</f>
        <v>3.5009178298529099E-2</v>
      </c>
      <c r="P187" s="171">
        <f>(INDEX(Models!$BJ187:$BT187,,T187)*(1-R187)+INDEX(Models!$BJ187:$BT187,,T187+1)*R187-ERP_i)*Q187*Ramure*Pc/MaxiM</f>
        <v>2.7607658598466584E-4</v>
      </c>
      <c r="Q187" s="307">
        <f t="shared" si="53"/>
        <v>0.9</v>
      </c>
      <c r="R187" s="179">
        <f t="shared" si="54"/>
        <v>0.53481664525799744</v>
      </c>
      <c r="S187" s="839">
        <f t="shared" si="55"/>
        <v>1</v>
      </c>
      <c r="T187" s="178">
        <f t="shared" si="56"/>
        <v>7</v>
      </c>
      <c r="U187" s="253">
        <f t="shared" si="57"/>
        <v>1.5348166452579974</v>
      </c>
      <c r="V187" s="385">
        <f t="shared" si="58"/>
        <v>58.703599095820017</v>
      </c>
      <c r="W187" s="404">
        <f t="shared" si="59"/>
        <v>47.586042743906049</v>
      </c>
      <c r="X187" s="157">
        <f t="shared" si="60"/>
        <v>45464</v>
      </c>
      <c r="Y187" s="387">
        <f t="shared" si="61"/>
        <v>43.105562447339729</v>
      </c>
      <c r="Z187" s="387">
        <f t="shared" si="62"/>
        <v>45.318237385027928</v>
      </c>
      <c r="AA187" s="388">
        <f t="shared" si="63"/>
        <v>51.843713446468726</v>
      </c>
      <c r="AB187" s="199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0.1258682225411705</v>
      </c>
      <c r="AD187" s="233">
        <f>(INDEX(Models!$BJ187:$BT187,,AH187)*(1-AF187)+INDEX(Models!$BJ187:$BT187,,AH187+1)*AF187-ERP_i)*AE187*Ramure*Pc/MaxiM</f>
        <v>2.7607658598466584E-4</v>
      </c>
      <c r="AE187" s="307">
        <f t="shared" si="65"/>
        <v>0.9</v>
      </c>
      <c r="AF187" s="179">
        <f t="shared" si="66"/>
        <v>0.53481664525799744</v>
      </c>
      <c r="AG187" s="839">
        <f t="shared" si="74"/>
        <v>1</v>
      </c>
      <c r="AH187" s="178">
        <f t="shared" si="67"/>
        <v>7</v>
      </c>
      <c r="AI187" s="227">
        <f t="shared" si="68"/>
        <v>1.5348166452579974</v>
      </c>
      <c r="AJ187" s="267" t="b">
        <f t="shared" si="69"/>
        <v>0</v>
      </c>
      <c r="AK187" s="267" t="b">
        <f t="shared" si="70"/>
        <v>0</v>
      </c>
      <c r="AL187" s="267"/>
      <c r="AM187" s="267"/>
      <c r="AN187" s="75"/>
    </row>
    <row r="188" spans="1:40" s="6" customFormat="1" ht="11.25" x14ac:dyDescent="0.2">
      <c r="A188" s="56">
        <f t="shared" si="71"/>
        <v>45465</v>
      </c>
      <c r="B188" s="413">
        <f>'2023'!Wh/'2023'!Env_an*'2024'!Env_an</f>
        <v>42.171481606188422</v>
      </c>
      <c r="C188" s="868"/>
      <c r="D188" s="395">
        <f t="shared" si="50"/>
        <v>44.337240527423504</v>
      </c>
      <c r="E188" s="387">
        <f t="shared" si="75"/>
        <v>45.95702034847281</v>
      </c>
      <c r="F188" s="387">
        <f t="shared" si="51"/>
        <v>45.964661789010513</v>
      </c>
      <c r="G188" s="110">
        <f t="shared" si="76"/>
        <v>0.719140480571277</v>
      </c>
      <c r="H188" s="416" t="b">
        <f>Wh_hp&gt;='2023'!Maxi_hp</f>
        <v>0</v>
      </c>
      <c r="I188" s="392">
        <f>IF(H188,Wh_hp,'2023'!Maxi_hp)</f>
        <v>56.737228376806002</v>
      </c>
      <c r="J188" s="85">
        <f>IF(H188,An,'2023'!An_max)</f>
        <v>2020</v>
      </c>
      <c r="K188" s="199">
        <f t="shared" si="52"/>
        <v>45465</v>
      </c>
      <c r="L188" s="147">
        <f>IF(t&lt;Tvie,1-EXP((T0-t)*PertePVj)+'2023'!Pspv,1-EXP((T0-t)*PertePVj)+Pspv)</f>
        <v>4.8847399961563065E-2</v>
      </c>
      <c r="M188" s="872"/>
      <c r="N188" s="872"/>
      <c r="O188" s="48">
        <f>IF(t&lt;Tnet,'2023'!Resal+('2023'!Salim-'2023'!Resal)*(1-EXP(('2023'!Tnet-t)/('2023'!Tau_j))),Resal+(Salim-Resal)*(1-EXP((Tnet-t)/(Tau_j))))*Salcycl</f>
        <v>3.5245536128478229E-2</v>
      </c>
      <c r="P188" s="171">
        <f>(INDEX(Models!$BJ188:$BT188,,T188)*(1-R188)+INDEX(Models!$BJ188:$BT188,,T188+1)*R188-ERP_i)*Q188*Ramure*Pc/MaxiM</f>
        <v>2.7759179082639828E-4</v>
      </c>
      <c r="Q188" s="307">
        <f t="shared" si="53"/>
        <v>0.9</v>
      </c>
      <c r="R188" s="179">
        <f t="shared" si="54"/>
        <v>0.54156550602170794</v>
      </c>
      <c r="S188" s="839">
        <f t="shared" si="55"/>
        <v>1</v>
      </c>
      <c r="T188" s="178">
        <f t="shared" si="56"/>
        <v>7</v>
      </c>
      <c r="U188" s="253">
        <f t="shared" si="57"/>
        <v>1.5415655060217079</v>
      </c>
      <c r="V188" s="385">
        <f t="shared" si="58"/>
        <v>58.63497654087012</v>
      </c>
      <c r="W188" s="404">
        <f t="shared" si="59"/>
        <v>42.171481606188422</v>
      </c>
      <c r="X188" s="157">
        <f t="shared" si="60"/>
        <v>45465</v>
      </c>
      <c r="Y188" s="387">
        <f t="shared" si="61"/>
        <v>38.202069102888942</v>
      </c>
      <c r="Z188" s="387">
        <f t="shared" si="62"/>
        <v>40.163974846249864</v>
      </c>
      <c r="AA188" s="388">
        <f t="shared" si="63"/>
        <v>45.95702034847281</v>
      </c>
      <c r="AB188" s="199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0.12605354869172775</v>
      </c>
      <c r="AD188" s="233">
        <f>(INDEX(Models!$BJ188:$BT188,,AH188)*(1-AF188)+INDEX(Models!$BJ188:$BT188,,AH188+1)*AF188-ERP_i)*AE188*Ramure*Pc/MaxiM</f>
        <v>2.7759179082639828E-4</v>
      </c>
      <c r="AE188" s="307">
        <f t="shared" si="65"/>
        <v>0.9</v>
      </c>
      <c r="AF188" s="179">
        <f t="shared" si="66"/>
        <v>0.54156550602170794</v>
      </c>
      <c r="AG188" s="839">
        <f t="shared" si="74"/>
        <v>1</v>
      </c>
      <c r="AH188" s="178">
        <f t="shared" si="67"/>
        <v>7</v>
      </c>
      <c r="AI188" s="227">
        <f t="shared" si="68"/>
        <v>1.5415655060217079</v>
      </c>
      <c r="AJ188" s="267" t="b">
        <f t="shared" si="69"/>
        <v>0</v>
      </c>
      <c r="AK188" s="267" t="b">
        <f t="shared" si="70"/>
        <v>0</v>
      </c>
      <c r="AL188" s="267"/>
      <c r="AM188" s="267"/>
      <c r="AN188" s="75"/>
    </row>
    <row r="189" spans="1:40" s="6" customFormat="1" ht="11.25" x14ac:dyDescent="0.2">
      <c r="A189" s="56">
        <f t="shared" si="71"/>
        <v>45466</v>
      </c>
      <c r="B189" s="413">
        <f>'2023'!Wh/'2023'!Env_an*'2024'!Env_an</f>
        <v>44.595987485448838</v>
      </c>
      <c r="C189" s="868"/>
      <c r="D189" s="395">
        <f t="shared" si="50"/>
        <v>46.887350485692799</v>
      </c>
      <c r="E189" s="387">
        <f t="shared" si="75"/>
        <v>48.612162068072855</v>
      </c>
      <c r="F189" s="387">
        <f t="shared" si="51"/>
        <v>48.62114246917848</v>
      </c>
      <c r="G189" s="110">
        <f t="shared" si="76"/>
        <v>0.76141197944417816</v>
      </c>
      <c r="H189" s="416" t="b">
        <f>Wh_hp&gt;='2023'!Maxi_hp</f>
        <v>0</v>
      </c>
      <c r="I189" s="392">
        <f>IF(H189,Wh_hp,'2023'!Maxi_hp)</f>
        <v>62.884228215867878</v>
      </c>
      <c r="J189" s="85">
        <f>IF(H189,An,'2023'!An_max)</f>
        <v>2020</v>
      </c>
      <c r="K189" s="199">
        <f t="shared" si="52"/>
        <v>45466</v>
      </c>
      <c r="L189" s="147">
        <f>IF(t&lt;Tvie,1-EXP((T0-t)*PertePVj)+'2023'!Pspv,1-EXP((T0-t)*PertePVj)+Pspv)</f>
        <v>4.8869534672110526E-2</v>
      </c>
      <c r="M189" s="872"/>
      <c r="N189" s="872"/>
      <c r="O189" s="48">
        <f>IF(t&lt;Tnet,'2023'!Resal+('2023'!Salim-'2023'!Resal)*(1-EXP(('2023'!Tnet-t)/('2023'!Tau_j))),Resal+(Salim-Resal)*(1-EXP((Tnet-t)/(Tau_j))))*Salcycl</f>
        <v>3.5481071176483678E-2</v>
      </c>
      <c r="P189" s="171">
        <f>(INDEX(Models!$BJ189:$BT189,,T189)*(1-R189)+INDEX(Models!$BJ189:$BT189,,T189+1)*R189-ERP_i)*Q189*Ramure*Pc/MaxiM</f>
        <v>2.8016335002641849E-4</v>
      </c>
      <c r="Q189" s="307">
        <f t="shared" si="53"/>
        <v>0.9</v>
      </c>
      <c r="R189" s="179">
        <f t="shared" si="54"/>
        <v>0.54824238935586744</v>
      </c>
      <c r="S189" s="839">
        <f t="shared" si="55"/>
        <v>1</v>
      </c>
      <c r="T189" s="178">
        <f t="shared" si="56"/>
        <v>7</v>
      </c>
      <c r="U189" s="253">
        <f t="shared" si="57"/>
        <v>1.5482423893558674</v>
      </c>
      <c r="V189" s="385">
        <f t="shared" si="58"/>
        <v>58.564523136305716</v>
      </c>
      <c r="W189" s="404">
        <f t="shared" si="59"/>
        <v>44.595987485448838</v>
      </c>
      <c r="X189" s="157">
        <f t="shared" si="60"/>
        <v>45466</v>
      </c>
      <c r="Y189" s="387">
        <f t="shared" si="61"/>
        <v>40.399798039767035</v>
      </c>
      <c r="Z189" s="387">
        <f t="shared" si="62"/>
        <v>42.475558834969867</v>
      </c>
      <c r="AA189" s="388">
        <f t="shared" si="63"/>
        <v>48.612162068072855</v>
      </c>
      <c r="AB189" s="199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0.12623596589902228</v>
      </c>
      <c r="AD189" s="233">
        <f>(INDEX(Models!$BJ189:$BT189,,AH189)*(1-AF189)+INDEX(Models!$BJ189:$BT189,,AH189+1)*AF189-ERP_i)*AE189*Ramure*Pc/MaxiM</f>
        <v>2.8016335002641849E-4</v>
      </c>
      <c r="AE189" s="307">
        <f t="shared" si="65"/>
        <v>0.9</v>
      </c>
      <c r="AF189" s="179">
        <f t="shared" si="66"/>
        <v>0.54824238935586744</v>
      </c>
      <c r="AG189" s="839">
        <f t="shared" si="74"/>
        <v>1</v>
      </c>
      <c r="AH189" s="178">
        <f t="shared" si="67"/>
        <v>7</v>
      </c>
      <c r="AI189" s="227">
        <f t="shared" si="68"/>
        <v>1.5482423893558674</v>
      </c>
      <c r="AJ189" s="267" t="b">
        <f t="shared" si="69"/>
        <v>0</v>
      </c>
      <c r="AK189" s="267" t="b">
        <f t="shared" si="70"/>
        <v>0</v>
      </c>
      <c r="AL189" s="267"/>
      <c r="AM189" s="267"/>
      <c r="AN189" s="75"/>
    </row>
    <row r="190" spans="1:40" s="6" customFormat="1" ht="11.25" x14ac:dyDescent="0.2">
      <c r="A190" s="56">
        <f t="shared" si="71"/>
        <v>45467</v>
      </c>
      <c r="B190" s="413">
        <f>'2023'!Wh/'2023'!Env_an*'2024'!Env_an</f>
        <v>31.236340169451513</v>
      </c>
      <c r="C190" s="868"/>
      <c r="D190" s="395">
        <f t="shared" si="50"/>
        <v>32.842042433020822</v>
      </c>
      <c r="E190" s="387">
        <f t="shared" si="75"/>
        <v>34.05846677985727</v>
      </c>
      <c r="F190" s="387">
        <f t="shared" si="51"/>
        <v>34.061698651203898</v>
      </c>
      <c r="G190" s="110">
        <f t="shared" si="76"/>
        <v>0.53392259372533002</v>
      </c>
      <c r="H190" s="416" t="b">
        <f>Wh_hp&gt;='2023'!Maxi_hp</f>
        <v>0</v>
      </c>
      <c r="I190" s="392">
        <f>IF(H190,Wh_hp,'2023'!Maxi_hp)</f>
        <v>58.027223678853936</v>
      </c>
      <c r="J190" s="85">
        <f>IF(H190,An,'2023'!An_max)</f>
        <v>2021</v>
      </c>
      <c r="K190" s="199">
        <f t="shared" si="52"/>
        <v>45467</v>
      </c>
      <c r="L190" s="147">
        <f>IF(t&lt;Tvie,1-EXP((T0-t)*PertePVj)+'2023'!Pspv,1-EXP((T0-t)*PertePVj)+Pspv)</f>
        <v>4.8891668867550808E-2</v>
      </c>
      <c r="M190" s="872"/>
      <c r="N190" s="872"/>
      <c r="O190" s="48">
        <f>IF(t&lt;Tnet,'2023'!Resal+('2023'!Salim-'2023'!Resal)*(1-EXP(('2023'!Tnet-t)/('2023'!Tau_j))),Resal+(Salim-Resal)*(1-EXP((Tnet-t)/(Tau_j))))*Salcycl</f>
        <v>3.5715769435512655E-2</v>
      </c>
      <c r="P190" s="171">
        <f>(INDEX(Models!$BJ190:$BT190,,T190)*(1-R190)+INDEX(Models!$BJ190:$BT190,,T190+1)*R190-ERP_i)*Q190*Ramure*Pc/MaxiM</f>
        <v>2.838091167034145E-4</v>
      </c>
      <c r="Q190" s="307">
        <f t="shared" si="53"/>
        <v>0.9</v>
      </c>
      <c r="R190" s="179">
        <f t="shared" si="54"/>
        <v>0.55484289570323364</v>
      </c>
      <c r="S190" s="839">
        <f t="shared" si="55"/>
        <v>1</v>
      </c>
      <c r="T190" s="178">
        <f t="shared" si="56"/>
        <v>7</v>
      </c>
      <c r="U190" s="253">
        <f t="shared" si="57"/>
        <v>1.5548428957032336</v>
      </c>
      <c r="V190" s="385">
        <f t="shared" si="58"/>
        <v>58.492445556012719</v>
      </c>
      <c r="W190" s="404">
        <f t="shared" si="59"/>
        <v>31.236340169451513</v>
      </c>
      <c r="X190" s="157">
        <f t="shared" si="60"/>
        <v>45467</v>
      </c>
      <c r="Y190" s="387">
        <f t="shared" si="61"/>
        <v>28.29827833290048</v>
      </c>
      <c r="Z190" s="387">
        <f t="shared" si="62"/>
        <v>29.752949697335502</v>
      </c>
      <c r="AA190" s="388">
        <f t="shared" si="63"/>
        <v>34.05846677985727</v>
      </c>
      <c r="AB190" s="199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0.12641546991387531</v>
      </c>
      <c r="AD190" s="233">
        <f>(INDEX(Models!$BJ190:$BT190,,AH190)*(1-AF190)+INDEX(Models!$BJ190:$BT190,,AH190+1)*AF190-ERP_i)*AE190*Ramure*Pc/MaxiM</f>
        <v>2.838091167034145E-4</v>
      </c>
      <c r="AE190" s="307">
        <f t="shared" si="65"/>
        <v>0.9</v>
      </c>
      <c r="AF190" s="179">
        <f t="shared" si="66"/>
        <v>0.55484289570323364</v>
      </c>
      <c r="AG190" s="839">
        <f t="shared" si="74"/>
        <v>1</v>
      </c>
      <c r="AH190" s="178">
        <f t="shared" si="67"/>
        <v>7</v>
      </c>
      <c r="AI190" s="227">
        <f t="shared" si="68"/>
        <v>1.5548428957032336</v>
      </c>
      <c r="AJ190" s="267" t="b">
        <f t="shared" si="69"/>
        <v>0</v>
      </c>
      <c r="AK190" s="267" t="b">
        <f t="shared" si="70"/>
        <v>0</v>
      </c>
      <c r="AL190" s="267"/>
      <c r="AM190" s="267"/>
      <c r="AN190" s="75"/>
    </row>
    <row r="191" spans="1:40" s="6" customFormat="1" ht="11.25" x14ac:dyDescent="0.2">
      <c r="A191" s="56">
        <f t="shared" si="71"/>
        <v>45468</v>
      </c>
      <c r="B191" s="413">
        <f>'2023'!Wh/'2023'!Env_an*'2024'!Env_an</f>
        <v>11.936353675708258</v>
      </c>
      <c r="C191" s="868"/>
      <c r="D191" s="395">
        <f t="shared" si="50"/>
        <v>12.550233309751469</v>
      </c>
      <c r="E191" s="387">
        <f t="shared" si="75"/>
        <v>13.018233860369531</v>
      </c>
      <c r="F191" s="387">
        <f t="shared" si="51"/>
        <v>13.018233860369531</v>
      </c>
      <c r="G191" s="110">
        <f t="shared" si="76"/>
        <v>0.20426459955830326</v>
      </c>
      <c r="H191" s="416" t="b">
        <f>Wh_hp&gt;='2023'!Maxi_hp</f>
        <v>0</v>
      </c>
      <c r="I191" s="392">
        <f>IF(H191,Wh_hp,'2023'!Maxi_hp)</f>
        <v>61.058572386734099</v>
      </c>
      <c r="J191" s="85">
        <f>IF(H191,An,'2023'!An_max)</f>
        <v>2019</v>
      </c>
      <c r="K191" s="199">
        <f t="shared" si="52"/>
        <v>45468</v>
      </c>
      <c r="L191" s="147">
        <f>IF(t&lt;Tvie,1-EXP((T0-t)*PertePVj)+'2023'!Pspv,1-EXP((T0-t)*PertePVj)+Pspv)</f>
        <v>4.8913802547896124E-2</v>
      </c>
      <c r="M191" s="872"/>
      <c r="N191" s="872"/>
      <c r="O191" s="48">
        <f>IF(t&lt;Tnet,'2023'!Resal+('2023'!Salim-'2023'!Resal)*(1-EXP(('2023'!Tnet-t)/('2023'!Tau_j))),Resal+(Salim-Resal)*(1-EXP((Tnet-t)/(Tau_j))))*Salcycl</f>
        <v>3.5949619252329035E-2</v>
      </c>
      <c r="P191" s="171">
        <f>(INDEX(Models!$BJ191:$BT191,,T191)*(1-R191)+INDEX(Models!$BJ191:$BT191,,T191+1)*R191-ERP_i)*Q191*Ramure*Pc/MaxiM</f>
        <v>2.8854705042519034E-4</v>
      </c>
      <c r="Q191" s="307">
        <f t="shared" si="53"/>
        <v>0.9</v>
      </c>
      <c r="R191" s="179">
        <f t="shared" si="54"/>
        <v>0.56136285298039867</v>
      </c>
      <c r="S191" s="839">
        <f t="shared" si="55"/>
        <v>1</v>
      </c>
      <c r="T191" s="178">
        <f t="shared" si="56"/>
        <v>7</v>
      </c>
      <c r="U191" s="253">
        <f t="shared" si="57"/>
        <v>1.5613628529803987</v>
      </c>
      <c r="V191" s="385">
        <f t="shared" si="58"/>
        <v>58.418881694947288</v>
      </c>
      <c r="W191" s="404">
        <f t="shared" si="59"/>
        <v>11.936353675708258</v>
      </c>
      <c r="X191" s="157">
        <f t="shared" si="60"/>
        <v>45468</v>
      </c>
      <c r="Y191" s="387">
        <f t="shared" si="61"/>
        <v>10.814067634169556</v>
      </c>
      <c r="Z191" s="387">
        <f t="shared" si="62"/>
        <v>11.370228758591722</v>
      </c>
      <c r="AA191" s="388">
        <f t="shared" si="63"/>
        <v>13.018233860369531</v>
      </c>
      <c r="AB191" s="199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0.12659206459600578</v>
      </c>
      <c r="AD191" s="233">
        <f>(INDEX(Models!$BJ191:$BT191,,AH191)*(1-AF191)+INDEX(Models!$BJ191:$BT191,,AH191+1)*AF191-ERP_i)*AE191*Ramure*Pc/MaxiM</f>
        <v>2.8854705042519034E-4</v>
      </c>
      <c r="AE191" s="307">
        <f t="shared" si="65"/>
        <v>0.9</v>
      </c>
      <c r="AF191" s="179">
        <f t="shared" si="66"/>
        <v>0.56136285298039867</v>
      </c>
      <c r="AG191" s="839">
        <f t="shared" si="74"/>
        <v>1</v>
      </c>
      <c r="AH191" s="178">
        <f t="shared" si="67"/>
        <v>7</v>
      </c>
      <c r="AI191" s="227">
        <f t="shared" si="68"/>
        <v>1.5613628529803987</v>
      </c>
      <c r="AJ191" s="267" t="b">
        <f t="shared" si="69"/>
        <v>0</v>
      </c>
      <c r="AK191" s="267" t="b">
        <f t="shared" si="70"/>
        <v>0</v>
      </c>
      <c r="AL191" s="267"/>
      <c r="AM191" s="267"/>
      <c r="AN191" s="75"/>
    </row>
    <row r="192" spans="1:40" s="6" customFormat="1" ht="11.25" x14ac:dyDescent="0.2">
      <c r="A192" s="56">
        <f t="shared" si="71"/>
        <v>45469</v>
      </c>
      <c r="B192" s="413">
        <f>'2023'!Wh/'2023'!Env_an*'2024'!Env_an</f>
        <v>17.722436755047593</v>
      </c>
      <c r="C192" s="868"/>
      <c r="D192" s="395">
        <f t="shared" si="50"/>
        <v>18.634324879404225</v>
      </c>
      <c r="E192" s="387">
        <f t="shared" si="75"/>
        <v>19.333874962740733</v>
      </c>
      <c r="F192" s="387">
        <f t="shared" si="51"/>
        <v>19.33390562654423</v>
      </c>
      <c r="G192" s="110">
        <f t="shared" si="76"/>
        <v>0.30367029856642858</v>
      </c>
      <c r="H192" s="416" t="b">
        <f>Wh_hp&gt;='2023'!Maxi_hp</f>
        <v>0</v>
      </c>
      <c r="I192" s="392">
        <f>IF(H192,Wh_hp,'2023'!Maxi_hp)</f>
        <v>60.869890690098934</v>
      </c>
      <c r="J192" s="85">
        <f>IF(H192,An,'2023'!An_max)</f>
        <v>2019</v>
      </c>
      <c r="K192" s="199">
        <f t="shared" si="52"/>
        <v>45469</v>
      </c>
      <c r="L192" s="147">
        <f>IF(t&lt;Tvie,1-EXP((T0-t)*PertePVj)+'2023'!Pspv,1-EXP((T0-t)*PertePVj)+Pspv)</f>
        <v>4.8935935713158352E-2</v>
      </c>
      <c r="M192" s="872"/>
      <c r="N192" s="872"/>
      <c r="O192" s="48">
        <f>IF(t&lt;Tnet,'2023'!Resal+('2023'!Salim-'2023'!Resal)*(1-EXP(('2023'!Tnet-t)/('2023'!Tau_j))),Resal+(Salim-Resal)*(1-EXP((Tnet-t)/(Tau_j))))*Salcycl</f>
        <v>3.6182611332940026E-2</v>
      </c>
      <c r="P192" s="171">
        <f>(INDEX(Models!$BJ192:$BT192,,T192)*(1-R192)+INDEX(Models!$BJ192:$BT192,,T192+1)*R192-ERP_i)*Q192*Ramure*Pc/MaxiM</f>
        <v>2.9530594655115662E-4</v>
      </c>
      <c r="Q192" s="307">
        <f t="shared" si="53"/>
        <v>0.9</v>
      </c>
      <c r="R192" s="179">
        <f t="shared" si="54"/>
        <v>0.56779832456520274</v>
      </c>
      <c r="S192" s="839">
        <f t="shared" si="55"/>
        <v>1</v>
      </c>
      <c r="T192" s="178">
        <f t="shared" si="56"/>
        <v>7</v>
      </c>
      <c r="U192" s="253">
        <f t="shared" si="57"/>
        <v>1.5677983245652027</v>
      </c>
      <c r="V192" s="385">
        <f t="shared" si="58"/>
        <v>58.343642422275416</v>
      </c>
      <c r="W192" s="404">
        <f t="shared" si="59"/>
        <v>17.722436755047593</v>
      </c>
      <c r="X192" s="157">
        <f t="shared" si="60"/>
        <v>45469</v>
      </c>
      <c r="Y192" s="387">
        <f t="shared" si="61"/>
        <v>16.056816096160041</v>
      </c>
      <c r="Z192" s="387">
        <f t="shared" si="62"/>
        <v>16.883001575924641</v>
      </c>
      <c r="AA192" s="388">
        <f t="shared" si="63"/>
        <v>19.333874962740733</v>
      </c>
      <c r="AB192" s="199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0.12676576172853565</v>
      </c>
      <c r="AD192" s="233">
        <f>(INDEX(Models!$BJ192:$BT192,,AH192)*(1-AF192)+INDEX(Models!$BJ192:$BT192,,AH192+1)*AF192-ERP_i)*AE192*Ramure*Pc/MaxiM</f>
        <v>2.9530594655115662E-4</v>
      </c>
      <c r="AE192" s="307">
        <f t="shared" si="65"/>
        <v>0.9</v>
      </c>
      <c r="AF192" s="179">
        <f t="shared" si="66"/>
        <v>0.56779832456520274</v>
      </c>
      <c r="AG192" s="839">
        <f t="shared" si="74"/>
        <v>1</v>
      </c>
      <c r="AH192" s="178">
        <f t="shared" si="67"/>
        <v>7</v>
      </c>
      <c r="AI192" s="227">
        <f t="shared" si="68"/>
        <v>1.5677983245652027</v>
      </c>
      <c r="AJ192" s="267" t="b">
        <f t="shared" si="69"/>
        <v>0</v>
      </c>
      <c r="AK192" s="267" t="b">
        <f t="shared" si="70"/>
        <v>0</v>
      </c>
      <c r="AL192" s="267"/>
      <c r="AM192" s="267"/>
      <c r="AN192" s="75"/>
    </row>
    <row r="193" spans="1:40" s="6" customFormat="1" ht="11.25" x14ac:dyDescent="0.2">
      <c r="A193" s="56">
        <f t="shared" si="71"/>
        <v>45470</v>
      </c>
      <c r="B193" s="413">
        <f>'2023'!Wh/'2023'!Env_an*'2024'!Env_an</f>
        <v>60.468919723198042</v>
      </c>
      <c r="C193" s="868"/>
      <c r="D193" s="395">
        <f t="shared" si="50"/>
        <v>63.581759869553721</v>
      </c>
      <c r="E193" s="387">
        <f t="shared" si="75"/>
        <v>65.984570774759618</v>
      </c>
      <c r="F193" s="387">
        <f t="shared" si="51"/>
        <v>66.004608536540772</v>
      </c>
      <c r="G193" s="110">
        <f t="shared" si="76"/>
        <v>1.0377981106491903</v>
      </c>
      <c r="H193" s="416" t="b">
        <f>Wh_hp&gt;='2023'!Maxi_hp</f>
        <v>1</v>
      </c>
      <c r="I193" s="392">
        <f>IF(H193,Wh_hp,'2023'!Maxi_hp)</f>
        <v>66.004608536540772</v>
      </c>
      <c r="J193" s="85">
        <f>IF(H193,An,'2023'!An_max)</f>
        <v>2024</v>
      </c>
      <c r="K193" s="199">
        <f t="shared" si="52"/>
        <v>45470</v>
      </c>
      <c r="L193" s="147">
        <f>IF(t&lt;Tvie,1-EXP((T0-t)*PertePVj)+'2023'!Pspv,1-EXP((T0-t)*PertePVj)+Pspv)</f>
        <v>4.8958068363349483E-2</v>
      </c>
      <c r="M193" s="872"/>
      <c r="N193" s="872"/>
      <c r="O193" s="48">
        <f>IF(t&lt;Tnet,'2023'!Resal+('2023'!Salim-'2023'!Resal)*(1-EXP(('2023'!Tnet-t)/('2023'!Tau_j))),Resal+(Salim-Resal)*(1-EXP((Tnet-t)/(Tau_j))))*Salcycl</f>
        <v>3.6414738733513467E-2</v>
      </c>
      <c r="P193" s="171">
        <f>(INDEX(Models!$BJ193:$BT193,,T193)*(1-R193)+INDEX(Models!$BJ193:$BT193,,T193+1)*R193-ERP_i)*Q193*Ramure*Pc/MaxiM</f>
        <v>3.0358125327054444E-4</v>
      </c>
      <c r="Q193" s="307">
        <f t="shared" si="53"/>
        <v>0.9</v>
      </c>
      <c r="R193" s="179">
        <f t="shared" si="54"/>
        <v>0.57414561590836399</v>
      </c>
      <c r="S193" s="839">
        <f t="shared" si="55"/>
        <v>1</v>
      </c>
      <c r="T193" s="178">
        <f t="shared" si="56"/>
        <v>7</v>
      </c>
      <c r="U193" s="253">
        <f t="shared" si="57"/>
        <v>1.574145615908364</v>
      </c>
      <c r="V193" s="385">
        <f t="shared" si="58"/>
        <v>58.266554065483859</v>
      </c>
      <c r="W193" s="404">
        <f t="shared" si="59"/>
        <v>60.468919723198042</v>
      </c>
      <c r="X193" s="157">
        <f t="shared" si="60"/>
        <v>45470</v>
      </c>
      <c r="Y193" s="387">
        <f t="shared" si="61"/>
        <v>54.78830356965684</v>
      </c>
      <c r="Z193" s="387">
        <f t="shared" si="62"/>
        <v>57.608714975765061</v>
      </c>
      <c r="AA193" s="388">
        <f t="shared" si="63"/>
        <v>65.984570774759618</v>
      </c>
      <c r="AB193" s="199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0.12693658078925452</v>
      </c>
      <c r="AD193" s="233">
        <f>(INDEX(Models!$BJ193:$BT193,,AH193)*(1-AF193)+INDEX(Models!$BJ193:$BT193,,AH193+1)*AF193-ERP_i)*AE193*Ramure*Pc/MaxiM</f>
        <v>3.0358125327054444E-4</v>
      </c>
      <c r="AE193" s="307">
        <f t="shared" si="65"/>
        <v>0.9</v>
      </c>
      <c r="AF193" s="179">
        <f t="shared" si="66"/>
        <v>0.57414561590836399</v>
      </c>
      <c r="AG193" s="839">
        <f t="shared" si="74"/>
        <v>1</v>
      </c>
      <c r="AH193" s="178">
        <f t="shared" si="67"/>
        <v>7</v>
      </c>
      <c r="AI193" s="227">
        <f t="shared" si="68"/>
        <v>1.574145615908364</v>
      </c>
      <c r="AJ193" s="267" t="b">
        <f t="shared" si="69"/>
        <v>0</v>
      </c>
      <c r="AK193" s="267" t="b">
        <f t="shared" si="70"/>
        <v>0</v>
      </c>
      <c r="AL193" s="267"/>
      <c r="AM193" s="267"/>
      <c r="AN193" s="75"/>
    </row>
    <row r="194" spans="1:40" s="6" customFormat="1" ht="11.25" x14ac:dyDescent="0.2">
      <c r="A194" s="56">
        <f t="shared" si="71"/>
        <v>45471</v>
      </c>
      <c r="B194" s="413">
        <f>'2023'!Wh/'2023'!Env_an*'2024'!Env_an</f>
        <v>56.150705470363512</v>
      </c>
      <c r="C194" s="868"/>
      <c r="D194" s="395">
        <f t="shared" si="50"/>
        <v>59.042625084982632</v>
      </c>
      <c r="E194" s="387">
        <f t="shared" si="75"/>
        <v>61.288607190211103</v>
      </c>
      <c r="F194" s="387">
        <f t="shared" si="51"/>
        <v>61.306859800774184</v>
      </c>
      <c r="G194" s="110">
        <f t="shared" si="76"/>
        <v>0.96498234232473323</v>
      </c>
      <c r="H194" s="416" t="b">
        <f>Wh_hp&gt;='2023'!Maxi_hp</f>
        <v>0</v>
      </c>
      <c r="I194" s="392">
        <f>IF(H194,Wh_hp,'2023'!Maxi_hp)</f>
        <v>61.307330955408737</v>
      </c>
      <c r="J194" s="85">
        <f>IF(H194,An,'2023'!An_max)</f>
        <v>2022</v>
      </c>
      <c r="K194" s="199">
        <f t="shared" si="52"/>
        <v>45471</v>
      </c>
      <c r="L194" s="147">
        <f>IF(t&lt;Tvie,1-EXP((T0-t)*PertePVj)+'2023'!Pspv,1-EXP((T0-t)*PertePVj)+Pspv)</f>
        <v>4.8980200498481508E-2</v>
      </c>
      <c r="M194" s="872"/>
      <c r="N194" s="872"/>
      <c r="O194" s="48">
        <f>IF(t&lt;Tnet,'2023'!Resal+('2023'!Salim-'2023'!Resal)*(1-EXP(('2023'!Tnet-t)/('2023'!Tau_j))),Resal+(Salim-Resal)*(1-EXP((Tnet-t)/(Tau_j))))*Salcycl</f>
        <v>3.6645996836867159E-2</v>
      </c>
      <c r="P194" s="171">
        <f>(INDEX(Models!$BJ194:$BT194,,T194)*(1-R194)+INDEX(Models!$BJ194:$BT194,,T194+1)*R194-ERP_i)*Q194*Ramure*Pc/MaxiM</f>
        <v>3.133963712744139E-4</v>
      </c>
      <c r="Q194" s="307">
        <f t="shared" si="53"/>
        <v>0.9</v>
      </c>
      <c r="R194" s="179">
        <f t="shared" si="54"/>
        <v>0.58040127977284528</v>
      </c>
      <c r="S194" s="839">
        <f t="shared" si="55"/>
        <v>1</v>
      </c>
      <c r="T194" s="178">
        <f t="shared" si="56"/>
        <v>7</v>
      </c>
      <c r="U194" s="253">
        <f t="shared" si="57"/>
        <v>1.5804012797728453</v>
      </c>
      <c r="V194" s="385">
        <f t="shared" si="58"/>
        <v>58.187412153105832</v>
      </c>
      <c r="W194" s="404">
        <f t="shared" si="59"/>
        <v>56.150705470363512</v>
      </c>
      <c r="X194" s="157">
        <f t="shared" si="60"/>
        <v>45471</v>
      </c>
      <c r="Y194" s="387">
        <f t="shared" si="61"/>
        <v>50.878176903330171</v>
      </c>
      <c r="Z194" s="387">
        <f t="shared" si="62"/>
        <v>53.498546434047121</v>
      </c>
      <c r="AA194" s="388">
        <f t="shared" si="63"/>
        <v>61.288607190211103</v>
      </c>
      <c r="AB194" s="199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0.12710454868043061</v>
      </c>
      <c r="AD194" s="233">
        <f>(INDEX(Models!$BJ194:$BT194,,AH194)*(1-AF194)+INDEX(Models!$BJ194:$BT194,,AH194+1)*AF194-ERP_i)*AE194*Ramure*Pc/MaxiM</f>
        <v>3.133963712744139E-4</v>
      </c>
      <c r="AE194" s="307">
        <f t="shared" si="65"/>
        <v>0.9</v>
      </c>
      <c r="AF194" s="179">
        <f t="shared" si="66"/>
        <v>0.58040127977284528</v>
      </c>
      <c r="AG194" s="839">
        <f t="shared" si="74"/>
        <v>1</v>
      </c>
      <c r="AH194" s="178">
        <f t="shared" si="67"/>
        <v>7</v>
      </c>
      <c r="AI194" s="227">
        <f t="shared" si="68"/>
        <v>1.5804012797728453</v>
      </c>
      <c r="AJ194" s="267" t="b">
        <f t="shared" si="69"/>
        <v>0</v>
      </c>
      <c r="AK194" s="267" t="b">
        <f t="shared" si="70"/>
        <v>0</v>
      </c>
      <c r="AL194" s="267"/>
      <c r="AM194" s="267"/>
      <c r="AN194" s="75"/>
    </row>
    <row r="195" spans="1:40" s="6" customFormat="1" ht="11.25" x14ac:dyDescent="0.2">
      <c r="A195" s="56">
        <f t="shared" si="71"/>
        <v>45472</v>
      </c>
      <c r="B195" s="413">
        <f>'2023'!Wh/'2023'!Env_an*'2024'!Env_an</f>
        <v>13.600440655194477</v>
      </c>
      <c r="C195" s="868"/>
      <c r="D195" s="395">
        <f t="shared" si="50"/>
        <v>14.301234497759172</v>
      </c>
      <c r="E195" s="387">
        <f t="shared" si="75"/>
        <v>14.848804712087997</v>
      </c>
      <c r="F195" s="387">
        <f t="shared" si="51"/>
        <v>14.848804712087997</v>
      </c>
      <c r="G195" s="110">
        <f t="shared" si="76"/>
        <v>0.23398651937779641</v>
      </c>
      <c r="H195" s="416" t="b">
        <f>Wh_hp&gt;='2023'!Maxi_hp</f>
        <v>0</v>
      </c>
      <c r="I195" s="392">
        <f>IF(H195,Wh_hp,'2023'!Maxi_hp)</f>
        <v>57.379355434694759</v>
      </c>
      <c r="J195" s="85">
        <f>IF(H195,An,'2023'!An_max)</f>
        <v>2019</v>
      </c>
      <c r="K195" s="199">
        <f t="shared" si="52"/>
        <v>45472</v>
      </c>
      <c r="L195" s="147">
        <f>IF(t&lt;Tvie,1-EXP((T0-t)*PertePVj)+'2023'!Pspv,1-EXP((T0-t)*PertePVj)+Pspv)</f>
        <v>4.9002332118566416E-2</v>
      </c>
      <c r="M195" s="872"/>
      <c r="N195" s="872"/>
      <c r="O195" s="48">
        <f>IF(t&lt;Tnet,'2023'!Resal+('2023'!Salim-'2023'!Resal)*(1-EXP(('2023'!Tnet-t)/('2023'!Tau_j))),Resal+(Salim-Resal)*(1-EXP((Tnet-t)/(Tau_j))))*Salcycl</f>
        <v>3.6876383314750183E-2</v>
      </c>
      <c r="P195" s="171">
        <f>(INDEX(Models!$BJ195:$BT195,,T195)*(1-R195)+INDEX(Models!$BJ195:$BT195,,T195+1)*R195-ERP_i)*Q195*Ramure*Pc/MaxiM</f>
        <v>3.2477461549850969E-4</v>
      </c>
      <c r="Q195" s="307">
        <f t="shared" si="53"/>
        <v>0.9</v>
      </c>
      <c r="R195" s="179">
        <f t="shared" si="54"/>
        <v>0.58656212011662312</v>
      </c>
      <c r="S195" s="839">
        <f t="shared" si="55"/>
        <v>1</v>
      </c>
      <c r="T195" s="178">
        <f t="shared" si="56"/>
        <v>7</v>
      </c>
      <c r="U195" s="253">
        <f t="shared" si="57"/>
        <v>1.5865621201166231</v>
      </c>
      <c r="V195" s="385">
        <f t="shared" si="58"/>
        <v>58.106012318418365</v>
      </c>
      <c r="W195" s="404">
        <f t="shared" si="59"/>
        <v>13.600440655194477</v>
      </c>
      <c r="X195" s="157">
        <f t="shared" si="60"/>
        <v>45472</v>
      </c>
      <c r="Y195" s="387">
        <f t="shared" si="61"/>
        <v>12.323980489533673</v>
      </c>
      <c r="Z195" s="387">
        <f t="shared" si="62"/>
        <v>12.959001799644977</v>
      </c>
      <c r="AA195" s="388">
        <f t="shared" si="63"/>
        <v>14.848804712087997</v>
      </c>
      <c r="AB195" s="199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0.12726969941927946</v>
      </c>
      <c r="AD195" s="233">
        <f>(INDEX(Models!$BJ195:$BT195,,AH195)*(1-AF195)+INDEX(Models!$BJ195:$BT195,,AH195+1)*AF195-ERP_i)*AE195*Ramure*Pc/MaxiM</f>
        <v>3.2477461549850969E-4</v>
      </c>
      <c r="AE195" s="307">
        <f t="shared" si="65"/>
        <v>0.9</v>
      </c>
      <c r="AF195" s="179">
        <f t="shared" si="66"/>
        <v>0.58656212011662312</v>
      </c>
      <c r="AG195" s="839">
        <f t="shared" si="74"/>
        <v>1</v>
      </c>
      <c r="AH195" s="178">
        <f t="shared" si="67"/>
        <v>7</v>
      </c>
      <c r="AI195" s="227">
        <f t="shared" si="68"/>
        <v>1.5865621201166231</v>
      </c>
      <c r="AJ195" s="267" t="b">
        <f t="shared" si="69"/>
        <v>0</v>
      </c>
      <c r="AK195" s="267" t="b">
        <f t="shared" si="70"/>
        <v>0</v>
      </c>
      <c r="AL195" s="267"/>
      <c r="AM195" s="267"/>
      <c r="AN195" s="75"/>
    </row>
    <row r="196" spans="1:40" s="6" customFormat="1" ht="11.25" x14ac:dyDescent="0.2">
      <c r="A196" s="56">
        <f t="shared" si="71"/>
        <v>45473</v>
      </c>
      <c r="B196" s="413">
        <f>'2023'!Wh/'2023'!Env_an*'2024'!Env_an</f>
        <v>55.477721638333882</v>
      </c>
      <c r="C196" s="868"/>
      <c r="D196" s="395">
        <f t="shared" si="50"/>
        <v>58.337695863757155</v>
      </c>
      <c r="E196" s="387">
        <f t="shared" si="75"/>
        <v>60.585785858699893</v>
      </c>
      <c r="F196" s="387">
        <f t="shared" si="51"/>
        <v>60.60497224155651</v>
      </c>
      <c r="G196" s="110">
        <f t="shared" si="76"/>
        <v>0.95612705089467964</v>
      </c>
      <c r="H196" s="416" t="b">
        <f>Wh_hp&gt;='2023'!Maxi_hp</f>
        <v>0</v>
      </c>
      <c r="I196" s="392">
        <f>IF(H196,Wh_hp,'2023'!Maxi_hp)</f>
        <v>60.605617418397848</v>
      </c>
      <c r="J196" s="85">
        <f>IF(H196,An,'2023'!An_max)</f>
        <v>2022</v>
      </c>
      <c r="K196" s="199">
        <f t="shared" si="52"/>
        <v>45473</v>
      </c>
      <c r="L196" s="147">
        <f>IF(t&lt;Tvie,1-EXP((T0-t)*PertePVj)+'2023'!Pspv,1-EXP((T0-t)*PertePVj)+Pspv)</f>
        <v>4.9024463223616199E-2</v>
      </c>
      <c r="M196" s="872"/>
      <c r="N196" s="872"/>
      <c r="O196" s="48">
        <f>IF(t&lt;Tnet,'2023'!Resal+('2023'!Salim-'2023'!Resal)*(1-EXP(('2023'!Tnet-t)/('2023'!Tau_j))),Resal+(Salim-Resal)*(1-EXP((Tnet-t)/(Tau_j))))*Salcycl</f>
        <v>3.7105898076255167E-2</v>
      </c>
      <c r="P196" s="171">
        <f>(INDEX(Models!$BJ196:$BT196,,T196)*(1-R196)+INDEX(Models!$BJ196:$BT196,,T196+1)*R196-ERP_i)*Q196*Ramure*Pc/MaxiM</f>
        <v>3.3773926336252351E-4</v>
      </c>
      <c r="Q196" s="307">
        <f t="shared" si="53"/>
        <v>0.9</v>
      </c>
      <c r="R196" s="179">
        <f t="shared" si="54"/>
        <v>0.59262519464594332</v>
      </c>
      <c r="S196" s="839">
        <f t="shared" si="55"/>
        <v>1</v>
      </c>
      <c r="T196" s="178">
        <f t="shared" si="56"/>
        <v>7</v>
      </c>
      <c r="U196" s="253">
        <f t="shared" si="57"/>
        <v>1.5926251946459433</v>
      </c>
      <c r="V196" s="385">
        <f t="shared" si="58"/>
        <v>58.022150301657909</v>
      </c>
      <c r="W196" s="404">
        <f t="shared" si="59"/>
        <v>55.477721638333882</v>
      </c>
      <c r="X196" s="157">
        <f t="shared" si="60"/>
        <v>45473</v>
      </c>
      <c r="Y196" s="387">
        <f t="shared" si="61"/>
        <v>50.27352480820003</v>
      </c>
      <c r="Z196" s="387">
        <f t="shared" si="62"/>
        <v>52.865213524437429</v>
      </c>
      <c r="AA196" s="388">
        <f t="shared" si="63"/>
        <v>60.585785858699893</v>
      </c>
      <c r="AB196" s="199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0.12743207379150986</v>
      </c>
      <c r="AD196" s="233">
        <f>(INDEX(Models!$BJ196:$BT196,,AH196)*(1-AF196)+INDEX(Models!$BJ196:$BT196,,AH196+1)*AF196-ERP_i)*AE196*Ramure*Pc/MaxiM</f>
        <v>3.3773926336252351E-4</v>
      </c>
      <c r="AE196" s="307">
        <f t="shared" si="65"/>
        <v>0.9</v>
      </c>
      <c r="AF196" s="179">
        <f t="shared" si="66"/>
        <v>0.59262519464594332</v>
      </c>
      <c r="AG196" s="839">
        <f t="shared" si="74"/>
        <v>1</v>
      </c>
      <c r="AH196" s="178">
        <f t="shared" si="67"/>
        <v>7</v>
      </c>
      <c r="AI196" s="227">
        <f t="shared" si="68"/>
        <v>1.5926251946459433</v>
      </c>
      <c r="AJ196" s="267" t="b">
        <f t="shared" si="69"/>
        <v>0</v>
      </c>
      <c r="AK196" s="267" t="b">
        <f t="shared" si="70"/>
        <v>0</v>
      </c>
      <c r="AL196" s="267"/>
      <c r="AM196" s="267"/>
      <c r="AN196" s="75"/>
    </row>
    <row r="197" spans="1:40" s="6" customFormat="1" ht="11.25" x14ac:dyDescent="0.2">
      <c r="A197" s="56">
        <f t="shared" si="71"/>
        <v>45474</v>
      </c>
      <c r="B197" s="413">
        <f>'2023'!Wh/'2023'!Env_an*'2024'!Env_an</f>
        <v>51.659415149614354</v>
      </c>
      <c r="C197" s="868"/>
      <c r="D197" s="395">
        <f t="shared" si="50"/>
        <v>54.323813147466367</v>
      </c>
      <c r="E197" s="387">
        <f t="shared" si="75"/>
        <v>56.430624744969315</v>
      </c>
      <c r="F197" s="387">
        <f t="shared" si="51"/>
        <v>56.44743423807391</v>
      </c>
      <c r="G197" s="110">
        <f t="shared" si="76"/>
        <v>0.89162066314289223</v>
      </c>
      <c r="H197" s="416" t="b">
        <f>Wh_hp&gt;='2023'!Maxi_hp</f>
        <v>0</v>
      </c>
      <c r="I197" s="392">
        <f>IF(H197,Wh_hp,'2023'!Maxi_hp)</f>
        <v>56.741115224464892</v>
      </c>
      <c r="J197" s="85">
        <f>IF(H197,An,'2023'!An_max)</f>
        <v>2021</v>
      </c>
      <c r="K197" s="199">
        <f t="shared" si="52"/>
        <v>45474</v>
      </c>
      <c r="L197" s="147">
        <f>IF(t&lt;Tvie,1-EXP((T0-t)*PertePVj)+'2023'!Pspv,1-EXP((T0-t)*PertePVj)+Pspv)</f>
        <v>4.9046593813642847E-2</v>
      </c>
      <c r="M197" s="872"/>
      <c r="N197" s="872"/>
      <c r="O197" s="48">
        <f>IF(t&lt;Tnet,'2023'!Resal+('2023'!Salim-'2023'!Resal)*(1-EXP(('2023'!Tnet-t)/('2023'!Tau_j))),Resal+(Salim-Resal)*(1-EXP((Tnet-t)/(Tau_j))))*Salcycl</f>
        <v>3.7334543202815852E-2</v>
      </c>
      <c r="P197" s="171">
        <f>(INDEX(Models!$BJ197:$BT197,,T197)*(1-R197)+INDEX(Models!$BJ197:$BT197,,T197+1)*R197-ERP_i)*Q197*Ramure*Pc/MaxiM</f>
        <v>3.5231360927232859E-4</v>
      </c>
      <c r="Q197" s="307">
        <f t="shared" si="53"/>
        <v>0.9</v>
      </c>
      <c r="R197" s="179">
        <f t="shared" si="54"/>
        <v>0.59858781607666822</v>
      </c>
      <c r="S197" s="839">
        <f t="shared" si="55"/>
        <v>1</v>
      </c>
      <c r="T197" s="178">
        <f t="shared" si="56"/>
        <v>7</v>
      </c>
      <c r="U197" s="253">
        <f t="shared" si="57"/>
        <v>1.5985878160766682</v>
      </c>
      <c r="V197" s="385">
        <f t="shared" si="58"/>
        <v>57.935621950949276</v>
      </c>
      <c r="W197" s="404">
        <f t="shared" si="59"/>
        <v>51.659415149614354</v>
      </c>
      <c r="X197" s="157">
        <f t="shared" si="60"/>
        <v>45474</v>
      </c>
      <c r="Y197" s="387">
        <f t="shared" si="61"/>
        <v>46.815953820135363</v>
      </c>
      <c r="Z197" s="387">
        <f t="shared" si="62"/>
        <v>49.230544331170833</v>
      </c>
      <c r="AA197" s="388">
        <f t="shared" si="63"/>
        <v>56.430624744969315</v>
      </c>
      <c r="AB197" s="199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0.12759171897065263</v>
      </c>
      <c r="AD197" s="233">
        <f>(INDEX(Models!$BJ197:$BT197,,AH197)*(1-AF197)+INDEX(Models!$BJ197:$BT197,,AH197+1)*AF197-ERP_i)*AE197*Ramure*Pc/MaxiM</f>
        <v>3.5231360927232859E-4</v>
      </c>
      <c r="AE197" s="307">
        <f t="shared" si="65"/>
        <v>0.9</v>
      </c>
      <c r="AF197" s="179">
        <f t="shared" si="66"/>
        <v>0.59858781607666822</v>
      </c>
      <c r="AG197" s="839">
        <f t="shared" si="74"/>
        <v>1</v>
      </c>
      <c r="AH197" s="178">
        <f t="shared" si="67"/>
        <v>7</v>
      </c>
      <c r="AI197" s="227">
        <f t="shared" si="68"/>
        <v>1.5985878160766682</v>
      </c>
      <c r="AJ197" s="267" t="b">
        <f t="shared" si="69"/>
        <v>0</v>
      </c>
      <c r="AK197" s="267" t="b">
        <f t="shared" si="70"/>
        <v>0</v>
      </c>
      <c r="AL197" s="267"/>
      <c r="AM197" s="267"/>
      <c r="AN197" s="75"/>
    </row>
    <row r="198" spans="1:40" s="6" customFormat="1" ht="11.25" x14ac:dyDescent="0.2">
      <c r="A198" s="56">
        <f t="shared" si="71"/>
        <v>45475</v>
      </c>
      <c r="B198" s="413">
        <f>'2023'!Wh/'2023'!Env_an*'2024'!Env_an</f>
        <v>43.710875058913579</v>
      </c>
      <c r="C198" s="868"/>
      <c r="D198" s="395">
        <f t="shared" si="50"/>
        <v>45.966387011331825</v>
      </c>
      <c r="E198" s="387">
        <f t="shared" si="75"/>
        <v>47.76037774042797</v>
      </c>
      <c r="F198" s="387">
        <f t="shared" si="51"/>
        <v>47.77189173963221</v>
      </c>
      <c r="G198" s="110">
        <f t="shared" si="76"/>
        <v>0.75554285325620818</v>
      </c>
      <c r="H198" s="416" t="b">
        <f>Wh_hp&gt;='2023'!Maxi_hp</f>
        <v>0</v>
      </c>
      <c r="I198" s="392">
        <f>IF(H198,Wh_hp,'2023'!Maxi_hp)</f>
        <v>51.509935845707219</v>
      </c>
      <c r="J198" s="85">
        <f>IF(H198,An,'2023'!An_max)</f>
        <v>2019</v>
      </c>
      <c r="K198" s="199">
        <f t="shared" si="52"/>
        <v>45475</v>
      </c>
      <c r="L198" s="147">
        <f>IF(t&lt;Tvie,1-EXP((T0-t)*PertePVj)+'2023'!Pspv,1-EXP((T0-t)*PertePVj)+Pspv)</f>
        <v>4.9068723888658239E-2</v>
      </c>
      <c r="M198" s="872"/>
      <c r="N198" s="872"/>
      <c r="O198" s="48">
        <f>IF(t&lt;Tnet,'2023'!Resal+('2023'!Salim-'2023'!Resal)*(1-EXP(('2023'!Tnet-t)/('2023'!Tau_j))),Resal+(Salim-Resal)*(1-EXP((Tnet-t)/(Tau_j))))*Salcycl</f>
        <v>3.7562322870356581E-2</v>
      </c>
      <c r="P198" s="171">
        <f>(INDEX(Models!$BJ198:$BT198,,T198)*(1-R198)+INDEX(Models!$BJ198:$BT198,,T198+1)*R198-ERP_i)*Q198*Ramure*Pc/MaxiM</f>
        <v>3.702792950028687E-4</v>
      </c>
      <c r="Q198" s="307">
        <f t="shared" si="53"/>
        <v>0.9</v>
      </c>
      <c r="R198" s="179">
        <f t="shared" si="54"/>
        <v>0.60444755215088319</v>
      </c>
      <c r="S198" s="839">
        <f t="shared" si="55"/>
        <v>1</v>
      </c>
      <c r="T198" s="178">
        <f t="shared" si="56"/>
        <v>7</v>
      </c>
      <c r="U198" s="253">
        <f t="shared" si="57"/>
        <v>1.6044475521508832</v>
      </c>
      <c r="V198" s="385">
        <f t="shared" si="58"/>
        <v>57.846121484573999</v>
      </c>
      <c r="W198" s="404">
        <f t="shared" si="59"/>
        <v>43.710875058913579</v>
      </c>
      <c r="X198" s="157">
        <f t="shared" si="60"/>
        <v>45475</v>
      </c>
      <c r="Y198" s="387">
        <f t="shared" si="61"/>
        <v>39.614895613682627</v>
      </c>
      <c r="Z198" s="387">
        <f t="shared" si="62"/>
        <v>41.659052140634643</v>
      </c>
      <c r="AA198" s="388">
        <f t="shared" si="63"/>
        <v>47.76037774042797</v>
      </c>
      <c r="AB198" s="199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0.12774868810613912</v>
      </c>
      <c r="AD198" s="233">
        <f>(INDEX(Models!$BJ198:$BT198,,AH198)*(1-AF198)+INDEX(Models!$BJ198:$BT198,,AH198+1)*AF198-ERP_i)*AE198*Ramure*Pc/MaxiM</f>
        <v>3.702792950028687E-4</v>
      </c>
      <c r="AE198" s="307">
        <f t="shared" si="65"/>
        <v>0.9</v>
      </c>
      <c r="AF198" s="179">
        <f t="shared" si="66"/>
        <v>0.60444755215088319</v>
      </c>
      <c r="AG198" s="839">
        <f t="shared" si="74"/>
        <v>1</v>
      </c>
      <c r="AH198" s="178">
        <f t="shared" si="67"/>
        <v>7</v>
      </c>
      <c r="AI198" s="227">
        <f t="shared" si="68"/>
        <v>1.6044475521508832</v>
      </c>
      <c r="AJ198" s="267" t="b">
        <f t="shared" si="69"/>
        <v>0</v>
      </c>
      <c r="AK198" s="267" t="b">
        <f t="shared" si="70"/>
        <v>0</v>
      </c>
      <c r="AL198" s="267"/>
      <c r="AM198" s="267"/>
      <c r="AN198" s="75"/>
    </row>
    <row r="199" spans="1:40" s="6" customFormat="1" ht="11.25" x14ac:dyDescent="0.2">
      <c r="A199" s="56">
        <f t="shared" si="71"/>
        <v>45476</v>
      </c>
      <c r="B199" s="413">
        <f>'2023'!Wh/'2023'!Env_an*'2024'!Env_an</f>
        <v>45.865905200224887</v>
      </c>
      <c r="C199" s="868"/>
      <c r="D199" s="395">
        <f t="shared" si="50"/>
        <v>48.233740696014294</v>
      </c>
      <c r="E199" s="387">
        <f t="shared" si="75"/>
        <v>50.128041448419168</v>
      </c>
      <c r="F199" s="387">
        <f t="shared" si="51"/>
        <v>50.141885983790303</v>
      </c>
      <c r="G199" s="110">
        <f t="shared" si="76"/>
        <v>0.79407563375407886</v>
      </c>
      <c r="H199" s="416" t="b">
        <f>Wh_hp&gt;='2023'!Maxi_hp</f>
        <v>0</v>
      </c>
      <c r="I199" s="392">
        <f>IF(H199,Wh_hp,'2023'!Maxi_hp)</f>
        <v>59.188715550013768</v>
      </c>
      <c r="J199" s="85">
        <f>IF(H199,An,'2023'!An_max)</f>
        <v>2019</v>
      </c>
      <c r="K199" s="199">
        <f t="shared" si="52"/>
        <v>45476</v>
      </c>
      <c r="L199" s="147">
        <f>IF(t&lt;Tvie,1-EXP((T0-t)*PertePVj)+'2023'!Pspv,1-EXP((T0-t)*PertePVj)+Pspv)</f>
        <v>4.9090853448674587E-2</v>
      </c>
      <c r="M199" s="872"/>
      <c r="N199" s="872"/>
      <c r="O199" s="48">
        <f>IF(t&lt;Tnet,'2023'!Resal+('2023'!Salim-'2023'!Resal)*(1-EXP(('2023'!Tnet-t)/('2023'!Tau_j))),Resal+(Salim-Resal)*(1-EXP((Tnet-t)/(Tau_j))))*Salcycl</f>
        <v>3.778924325926597E-2</v>
      </c>
      <c r="P199" s="171">
        <f>(INDEX(Models!$BJ199:$BT199,,T199)*(1-R199)+INDEX(Models!$BJ199:$BT199,,T199+1)*R199-ERP_i)*Q199*Ramure*Pc/MaxiM</f>
        <v>3.9111279730863805E-4</v>
      </c>
      <c r="Q199" s="307">
        <f t="shared" si="53"/>
        <v>0.9</v>
      </c>
      <c r="R199" s="179">
        <f t="shared" si="54"/>
        <v>0.61020222446442318</v>
      </c>
      <c r="S199" s="839">
        <f t="shared" si="55"/>
        <v>1</v>
      </c>
      <c r="T199" s="178">
        <f t="shared" si="56"/>
        <v>7</v>
      </c>
      <c r="U199" s="253">
        <f t="shared" si="57"/>
        <v>1.6102022244644232</v>
      </c>
      <c r="V199" s="385">
        <f t="shared" si="58"/>
        <v>57.753477071735233</v>
      </c>
      <c r="W199" s="404">
        <f t="shared" si="59"/>
        <v>45.865905200224887</v>
      </c>
      <c r="X199" s="157">
        <f t="shared" si="60"/>
        <v>45476</v>
      </c>
      <c r="Y199" s="387">
        <f t="shared" si="61"/>
        <v>41.570431652213543</v>
      </c>
      <c r="Z199" s="387">
        <f t="shared" si="62"/>
        <v>43.716512563768653</v>
      </c>
      <c r="AA199" s="388">
        <f t="shared" si="63"/>
        <v>50.128041448419168</v>
      </c>
      <c r="AB199" s="199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0.12790303988333268</v>
      </c>
      <c r="AD199" s="233">
        <f>(INDEX(Models!$BJ199:$BT199,,AH199)*(1-AF199)+INDEX(Models!$BJ199:$BT199,,AH199+1)*AF199-ERP_i)*AE199*Ramure*Pc/MaxiM</f>
        <v>3.9111279730863805E-4</v>
      </c>
      <c r="AE199" s="307">
        <f t="shared" si="65"/>
        <v>0.9</v>
      </c>
      <c r="AF199" s="179">
        <f t="shared" si="66"/>
        <v>0.61020222446442318</v>
      </c>
      <c r="AG199" s="839">
        <f t="shared" si="74"/>
        <v>1</v>
      </c>
      <c r="AH199" s="178">
        <f t="shared" si="67"/>
        <v>7</v>
      </c>
      <c r="AI199" s="227">
        <f t="shared" si="68"/>
        <v>1.6102022244644232</v>
      </c>
      <c r="AJ199" s="267" t="b">
        <f t="shared" si="69"/>
        <v>0</v>
      </c>
      <c r="AK199" s="267" t="b">
        <f t="shared" si="70"/>
        <v>0</v>
      </c>
      <c r="AL199" s="267"/>
      <c r="AM199" s="267"/>
      <c r="AN199" s="75"/>
    </row>
    <row r="200" spans="1:40" s="6" customFormat="1" ht="11.25" x14ac:dyDescent="0.2">
      <c r="A200" s="56">
        <f t="shared" si="71"/>
        <v>45477</v>
      </c>
      <c r="B200" s="413">
        <f>'2023'!Wh/'2023'!Env_an*'2024'!Env_an</f>
        <v>55.291873379756474</v>
      </c>
      <c r="C200" s="868"/>
      <c r="D200" s="395">
        <f t="shared" si="50"/>
        <v>58.147679337088391</v>
      </c>
      <c r="E200" s="387">
        <f t="shared" si="75"/>
        <v>60.44553524584623</v>
      </c>
      <c r="F200" s="387">
        <f t="shared" si="51"/>
        <v>60.469149876469594</v>
      </c>
      <c r="G200" s="110">
        <f t="shared" si="76"/>
        <v>0.95894797022870915</v>
      </c>
      <c r="H200" s="416" t="b">
        <f>Wh_hp&gt;='2023'!Maxi_hp</f>
        <v>0</v>
      </c>
      <c r="I200" s="392">
        <f>IF(H200,Wh_hp,'2023'!Maxi_hp)</f>
        <v>62.028584740771763</v>
      </c>
      <c r="J200" s="85">
        <f>IF(H200,An,'2023'!An_max)</f>
        <v>2021</v>
      </c>
      <c r="K200" s="199">
        <f t="shared" si="52"/>
        <v>45477</v>
      </c>
      <c r="L200" s="147">
        <f>IF(t&lt;Tvie,1-EXP((T0-t)*PertePVj)+'2023'!Pspv,1-EXP((T0-t)*PertePVj)+Pspv)</f>
        <v>4.9112982493703661E-2</v>
      </c>
      <c r="M200" s="872"/>
      <c r="N200" s="872"/>
      <c r="O200" s="48">
        <f>IF(t&lt;Tnet,'2023'!Resal+('2023'!Salim-'2023'!Resal)*(1-EXP(('2023'!Tnet-t)/('2023'!Tau_j))),Resal+(Salim-Resal)*(1-EXP((Tnet-t)/(Tau_j))))*Salcycl</f>
        <v>3.8015312452969782E-2</v>
      </c>
      <c r="P200" s="171">
        <f>(INDEX(Models!$BJ200:$BT200,,T200)*(1-R200)+INDEX(Models!$BJ200:$BT200,,T200+1)*R200-ERP_i)*Q200*Ramure*Pc/MaxiM</f>
        <v>4.1483829046682496E-4</v>
      </c>
      <c r="Q200" s="307">
        <f t="shared" si="53"/>
        <v>0.9</v>
      </c>
      <c r="R200" s="179">
        <f t="shared" si="54"/>
        <v>0.61584990616838642</v>
      </c>
      <c r="S200" s="839">
        <f t="shared" si="55"/>
        <v>1</v>
      </c>
      <c r="T200" s="178">
        <f t="shared" si="56"/>
        <v>7</v>
      </c>
      <c r="U200" s="253">
        <f t="shared" si="57"/>
        <v>1.6158499061683864</v>
      </c>
      <c r="V200" s="385">
        <f t="shared" si="58"/>
        <v>57.657485251296926</v>
      </c>
      <c r="W200" s="404">
        <f t="shared" si="59"/>
        <v>55.291873379756474</v>
      </c>
      <c r="X200" s="157">
        <f t="shared" si="60"/>
        <v>45477</v>
      </c>
      <c r="Y200" s="387">
        <f t="shared" si="61"/>
        <v>50.116682845619941</v>
      </c>
      <c r="Z200" s="387">
        <f t="shared" si="62"/>
        <v>52.705192018554499</v>
      </c>
      <c r="AA200" s="388">
        <f t="shared" si="63"/>
        <v>60.44553524584623</v>
      </c>
      <c r="AB200" s="199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0.12805483805892248</v>
      </c>
      <c r="AD200" s="233">
        <f>(INDEX(Models!$BJ200:$BT200,,AH200)*(1-AF200)+INDEX(Models!$BJ200:$BT200,,AH200+1)*AF200-ERP_i)*AE200*Ramure*Pc/MaxiM</f>
        <v>4.1483829046682496E-4</v>
      </c>
      <c r="AE200" s="307">
        <f t="shared" si="65"/>
        <v>0.9</v>
      </c>
      <c r="AF200" s="179">
        <f t="shared" si="66"/>
        <v>0.61584990616838642</v>
      </c>
      <c r="AG200" s="839">
        <f t="shared" si="74"/>
        <v>1</v>
      </c>
      <c r="AH200" s="178">
        <f t="shared" si="67"/>
        <v>7</v>
      </c>
      <c r="AI200" s="227">
        <f t="shared" si="68"/>
        <v>1.6158499061683864</v>
      </c>
      <c r="AJ200" s="267" t="b">
        <f t="shared" si="69"/>
        <v>0</v>
      </c>
      <c r="AK200" s="267" t="b">
        <f t="shared" si="70"/>
        <v>0</v>
      </c>
      <c r="AL200" s="267"/>
      <c r="AM200" s="267"/>
      <c r="AN200" s="75"/>
    </row>
    <row r="201" spans="1:40" s="6" customFormat="1" ht="11.25" x14ac:dyDescent="0.2">
      <c r="A201" s="56">
        <f t="shared" si="71"/>
        <v>45478</v>
      </c>
      <c r="B201" s="413">
        <f>'2023'!Wh/'2023'!Env_an*'2024'!Env_an</f>
        <v>42.835984452675881</v>
      </c>
      <c r="C201" s="868"/>
      <c r="D201" s="395">
        <f t="shared" si="50"/>
        <v>45.049496462947161</v>
      </c>
      <c r="E201" s="387">
        <f t="shared" si="75"/>
        <v>46.840710543378265</v>
      </c>
      <c r="F201" s="387">
        <f t="shared" si="51"/>
        <v>46.853837400294132</v>
      </c>
      <c r="G201" s="110">
        <f t="shared" si="76"/>
        <v>0.74410360139696818</v>
      </c>
      <c r="H201" s="416" t="b">
        <f>Wh_hp&gt;='2023'!Maxi_hp</f>
        <v>0</v>
      </c>
      <c r="I201" s="392">
        <f>IF(H201,Wh_hp,'2023'!Maxi_hp)</f>
        <v>61.321046316933298</v>
      </c>
      <c r="J201" s="85">
        <f>IF(H201,An,'2023'!An_max)</f>
        <v>2020</v>
      </c>
      <c r="K201" s="199">
        <f t="shared" si="52"/>
        <v>45478</v>
      </c>
      <c r="L201" s="147">
        <f>IF(t&lt;Tvie,1-EXP((T0-t)*PertePVj)+'2023'!Pspv,1-EXP((T0-t)*PertePVj)+Pspv)</f>
        <v>4.9135111023757561E-2</v>
      </c>
      <c r="M201" s="872"/>
      <c r="N201" s="872"/>
      <c r="O201" s="48">
        <f>IF(t&lt;Tnet,'2023'!Resal+('2023'!Salim-'2023'!Resal)*(1-EXP(('2023'!Tnet-t)/('2023'!Tau_j))),Resal+(Salim-Resal)*(1-EXP((Tnet-t)/(Tau_j))))*Salcycl</f>
        <v>3.8240540325969165E-2</v>
      </c>
      <c r="P201" s="171">
        <f>(INDEX(Models!$BJ201:$BT201,,T201)*(1-R201)+INDEX(Models!$BJ201:$BT201,,T201+1)*R201-ERP_i)*Q201*Ramure*Pc/MaxiM</f>
        <v>4.4148089133938165E-4</v>
      </c>
      <c r="Q201" s="307">
        <f t="shared" si="53"/>
        <v>0.9</v>
      </c>
      <c r="R201" s="179">
        <f t="shared" si="54"/>
        <v>0.62138891861396317</v>
      </c>
      <c r="S201" s="839">
        <f t="shared" si="55"/>
        <v>1</v>
      </c>
      <c r="T201" s="178">
        <f t="shared" si="56"/>
        <v>7</v>
      </c>
      <c r="U201" s="253">
        <f t="shared" si="57"/>
        <v>1.6213889186139632</v>
      </c>
      <c r="V201" s="385">
        <f t="shared" si="58"/>
        <v>57.557942681479979</v>
      </c>
      <c r="W201" s="404">
        <f t="shared" si="59"/>
        <v>42.835984452675881</v>
      </c>
      <c r="X201" s="157">
        <f t="shared" si="60"/>
        <v>45478</v>
      </c>
      <c r="Y201" s="387">
        <f t="shared" si="61"/>
        <v>38.829078372037081</v>
      </c>
      <c r="Z201" s="387">
        <f t="shared" si="62"/>
        <v>40.835537017086381</v>
      </c>
      <c r="AA201" s="388">
        <f t="shared" si="63"/>
        <v>46.840710543378265</v>
      </c>
      <c r="AB201" s="199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0.1282041509752635</v>
      </c>
      <c r="AD201" s="233">
        <f>(INDEX(Models!$BJ201:$BT201,,AH201)*(1-AF201)+INDEX(Models!$BJ201:$BT201,,AH201+1)*AF201-ERP_i)*AE201*Ramure*Pc/MaxiM</f>
        <v>4.4148089133938165E-4</v>
      </c>
      <c r="AE201" s="307">
        <f t="shared" si="65"/>
        <v>0.9</v>
      </c>
      <c r="AF201" s="179">
        <f t="shared" si="66"/>
        <v>0.62138891861396317</v>
      </c>
      <c r="AG201" s="839">
        <f t="shared" si="74"/>
        <v>1</v>
      </c>
      <c r="AH201" s="178">
        <f t="shared" si="67"/>
        <v>7</v>
      </c>
      <c r="AI201" s="227">
        <f t="shared" si="68"/>
        <v>1.6213889186139632</v>
      </c>
      <c r="AJ201" s="267" t="b">
        <f t="shared" si="69"/>
        <v>0</v>
      </c>
      <c r="AK201" s="267" t="b">
        <f t="shared" si="70"/>
        <v>0</v>
      </c>
      <c r="AL201" s="267"/>
      <c r="AM201" s="267"/>
      <c r="AN201" s="75"/>
    </row>
    <row r="202" spans="1:40" s="6" customFormat="1" ht="11.25" x14ac:dyDescent="0.2">
      <c r="A202" s="56">
        <f t="shared" si="71"/>
        <v>45479</v>
      </c>
      <c r="B202" s="413">
        <f>'2023'!Wh/'2023'!Env_an*'2024'!Env_an</f>
        <v>53.193164593907184</v>
      </c>
      <c r="C202" s="868"/>
      <c r="D202" s="395">
        <f t="shared" si="50"/>
        <v>55.94317670372471</v>
      </c>
      <c r="E202" s="387">
        <f t="shared" si="75"/>
        <v>58.181109497902533</v>
      </c>
      <c r="F202" s="387">
        <f t="shared" si="51"/>
        <v>58.205622975617082</v>
      </c>
      <c r="G202" s="110">
        <f t="shared" si="76"/>
        <v>0.92578254286182027</v>
      </c>
      <c r="H202" s="416" t="b">
        <f>Wh_hp&gt;='2023'!Maxi_hp</f>
        <v>0</v>
      </c>
      <c r="I202" s="392">
        <f>IF(H202,Wh_hp,'2023'!Maxi_hp)</f>
        <v>58.207162099063567</v>
      </c>
      <c r="J202" s="85">
        <f>IF(H202,An,'2023'!An_max)</f>
        <v>2022</v>
      </c>
      <c r="K202" s="199">
        <f t="shared" si="52"/>
        <v>45479</v>
      </c>
      <c r="L202" s="147">
        <f>IF(t&lt;Tvie,1-EXP((T0-t)*PertePVj)+'2023'!Pspv,1-EXP((T0-t)*PertePVj)+Pspv)</f>
        <v>4.9157239038848277E-2</v>
      </c>
      <c r="M202" s="872"/>
      <c r="N202" s="872"/>
      <c r="O202" s="48">
        <f>IF(t&lt;Tnet,'2023'!Resal+('2023'!Salim-'2023'!Resal)*(1-EXP(('2023'!Tnet-t)/('2023'!Tau_j))),Resal+(Salim-Resal)*(1-EXP((Tnet-t)/(Tau_j))))*Salcycl</f>
        <v>3.8464938422298423E-2</v>
      </c>
      <c r="P202" s="171">
        <f>(INDEX(Models!$BJ202:$BT202,,T202)*(1-R202)+INDEX(Models!$BJ202:$BT202,,T202+1)*R202-ERP_i)*Q202*Ramure*Pc/MaxiM</f>
        <v>4.7106680326886881E-4</v>
      </c>
      <c r="Q202" s="307">
        <f t="shared" si="53"/>
        <v>0.9</v>
      </c>
      <c r="R202" s="179">
        <f t="shared" si="54"/>
        <v>0.62681782701501865</v>
      </c>
      <c r="S202" s="839">
        <f t="shared" si="55"/>
        <v>1</v>
      </c>
      <c r="T202" s="178">
        <f t="shared" si="56"/>
        <v>7</v>
      </c>
      <c r="U202" s="253">
        <f t="shared" si="57"/>
        <v>1.6268178270150186</v>
      </c>
      <c r="V202" s="385">
        <f t="shared" si="58"/>
        <v>57.454646144245253</v>
      </c>
      <c r="W202" s="404">
        <f t="shared" si="59"/>
        <v>53.193164593907184</v>
      </c>
      <c r="X202" s="157">
        <f t="shared" si="60"/>
        <v>45479</v>
      </c>
      <c r="Y202" s="387">
        <f t="shared" si="61"/>
        <v>48.220567155536393</v>
      </c>
      <c r="Z202" s="387">
        <f t="shared" si="62"/>
        <v>50.713502942161568</v>
      </c>
      <c r="AA202" s="388">
        <f t="shared" si="63"/>
        <v>58.181109497902533</v>
      </c>
      <c r="AB202" s="199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0.12835105105739131</v>
      </c>
      <c r="AD202" s="233">
        <f>(INDEX(Models!$BJ202:$BT202,,AH202)*(1-AF202)+INDEX(Models!$BJ202:$BT202,,AH202+1)*AF202-ERP_i)*AE202*Ramure*Pc/MaxiM</f>
        <v>4.7106680326886881E-4</v>
      </c>
      <c r="AE202" s="307">
        <f t="shared" si="65"/>
        <v>0.9</v>
      </c>
      <c r="AF202" s="179">
        <f t="shared" si="66"/>
        <v>0.62681782701501865</v>
      </c>
      <c r="AG202" s="839">
        <f t="shared" si="74"/>
        <v>1</v>
      </c>
      <c r="AH202" s="178">
        <f t="shared" si="67"/>
        <v>7</v>
      </c>
      <c r="AI202" s="227">
        <f t="shared" si="68"/>
        <v>1.6268178270150186</v>
      </c>
      <c r="AJ202" s="267" t="b">
        <f t="shared" si="69"/>
        <v>0</v>
      </c>
      <c r="AK202" s="267" t="b">
        <f t="shared" si="70"/>
        <v>0</v>
      </c>
      <c r="AL202" s="267"/>
      <c r="AM202" s="267"/>
      <c r="AN202" s="75"/>
    </row>
    <row r="203" spans="1:40" s="6" customFormat="1" ht="11.25" x14ac:dyDescent="0.2">
      <c r="A203" s="56">
        <f t="shared" si="71"/>
        <v>45480</v>
      </c>
      <c r="B203" s="413">
        <f>'2023'!Wh/'2023'!Env_an*'2024'!Env_an</f>
        <v>58.377805481229444</v>
      </c>
      <c r="C203" s="868"/>
      <c r="D203" s="395">
        <f t="shared" si="50"/>
        <v>61.397285068091847</v>
      </c>
      <c r="E203" s="387">
        <f t="shared" si="75"/>
        <v>63.868253250176956</v>
      </c>
      <c r="F203" s="387">
        <f t="shared" si="51"/>
        <v>63.900435008789167</v>
      </c>
      <c r="G203" s="110">
        <f t="shared" si="76"/>
        <v>1.0179679125142833</v>
      </c>
      <c r="H203" s="416" t="b">
        <f>Wh_hp&gt;='2023'!Maxi_hp</f>
        <v>1</v>
      </c>
      <c r="I203" s="392">
        <f>IF(H203,Wh_hp,'2023'!Maxi_hp)</f>
        <v>63.900435008789167</v>
      </c>
      <c r="J203" s="85">
        <f>IF(H203,An,'2023'!An_max)</f>
        <v>2024</v>
      </c>
      <c r="K203" s="199">
        <f t="shared" si="52"/>
        <v>45480</v>
      </c>
      <c r="L203" s="147">
        <f>IF(t&lt;Tvie,1-EXP((T0-t)*PertePVj)+'2023'!Pspv,1-EXP((T0-t)*PertePVj)+Pspv)</f>
        <v>4.917936653898769E-2</v>
      </c>
      <c r="M203" s="872"/>
      <c r="N203" s="872"/>
      <c r="O203" s="48">
        <f>IF(t&lt;Tnet,'2023'!Resal+('2023'!Salim-'2023'!Resal)*(1-EXP(('2023'!Tnet-t)/('2023'!Tau_j))),Resal+(Salim-Resal)*(1-EXP((Tnet-t)/(Tau_j))))*Salcycl</f>
        <v>3.8688519825430832E-2</v>
      </c>
      <c r="P203" s="171">
        <f>(INDEX(Models!$BJ203:$BT203,,T203)*(1-R203)+INDEX(Models!$BJ203:$BT203,,T203+1)*R203-ERP_i)*Q203*Ramure*Pc/MaxiM</f>
        <v>5.0362346684786736E-4</v>
      </c>
      <c r="Q203" s="307">
        <f t="shared" si="53"/>
        <v>0.9</v>
      </c>
      <c r="R203" s="179">
        <f t="shared" si="54"/>
        <v>0.632135435206862</v>
      </c>
      <c r="S203" s="839">
        <f t="shared" si="55"/>
        <v>1</v>
      </c>
      <c r="T203" s="178">
        <f t="shared" si="56"/>
        <v>7</v>
      </c>
      <c r="U203" s="253">
        <f t="shared" si="57"/>
        <v>1.632135435206862</v>
      </c>
      <c r="V203" s="385">
        <f t="shared" si="58"/>
        <v>57.347392548986981</v>
      </c>
      <c r="W203" s="404">
        <f t="shared" si="59"/>
        <v>58.377805481229444</v>
      </c>
      <c r="X203" s="157">
        <f t="shared" si="60"/>
        <v>45480</v>
      </c>
      <c r="Y203" s="387">
        <f t="shared" si="61"/>
        <v>52.924067332885357</v>
      </c>
      <c r="Z203" s="387">
        <f t="shared" si="62"/>
        <v>55.661462814748084</v>
      </c>
      <c r="AA203" s="388">
        <f t="shared" si="63"/>
        <v>63.868253250176956</v>
      </c>
      <c r="AB203" s="199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0.12849561429654624</v>
      </c>
      <c r="AD203" s="233">
        <f>(INDEX(Models!$BJ203:$BT203,,AH203)*(1-AF203)+INDEX(Models!$BJ203:$BT203,,AH203+1)*AF203-ERP_i)*AE203*Ramure*Pc/MaxiM</f>
        <v>5.0362346684786736E-4</v>
      </c>
      <c r="AE203" s="307">
        <f t="shared" si="65"/>
        <v>0.9</v>
      </c>
      <c r="AF203" s="179">
        <f t="shared" si="66"/>
        <v>0.632135435206862</v>
      </c>
      <c r="AG203" s="839">
        <f t="shared" si="74"/>
        <v>1</v>
      </c>
      <c r="AH203" s="178">
        <f t="shared" si="67"/>
        <v>7</v>
      </c>
      <c r="AI203" s="227">
        <f t="shared" si="68"/>
        <v>1.632135435206862</v>
      </c>
      <c r="AJ203" s="267" t="b">
        <f t="shared" si="69"/>
        <v>0</v>
      </c>
      <c r="AK203" s="267" t="b">
        <f t="shared" si="70"/>
        <v>0</v>
      </c>
      <c r="AL203" s="267"/>
      <c r="AM203" s="267"/>
      <c r="AN203" s="75"/>
    </row>
    <row r="204" spans="1:40" s="6" customFormat="1" ht="11.25" x14ac:dyDescent="0.2">
      <c r="A204" s="56">
        <f t="shared" si="71"/>
        <v>45481</v>
      </c>
      <c r="B204" s="413">
        <f>'2023'!Wh/'2023'!Env_an*'2024'!Env_an</f>
        <v>57.341544153241614</v>
      </c>
      <c r="C204" s="868"/>
      <c r="D204" s="395">
        <f t="shared" si="50"/>
        <v>60.308828592696528</v>
      </c>
      <c r="E204" s="387">
        <f t="shared" si="75"/>
        <v>62.750533359976806</v>
      </c>
      <c r="F204" s="387">
        <f t="shared" si="51"/>
        <v>62.784385427188177</v>
      </c>
      <c r="G204" s="110">
        <f t="shared" si="76"/>
        <v>1.0018443855288932</v>
      </c>
      <c r="H204" s="416" t="b">
        <f>Wh_hp&gt;='2023'!Maxi_hp</f>
        <v>1</v>
      </c>
      <c r="I204" s="392">
        <f>IF(H204,Wh_hp,'2023'!Maxi_hp)</f>
        <v>62.784385427188177</v>
      </c>
      <c r="J204" s="85">
        <f>IF(H204,An,'2023'!An_max)</f>
        <v>2024</v>
      </c>
      <c r="K204" s="199">
        <f t="shared" si="52"/>
        <v>45481</v>
      </c>
      <c r="L204" s="147">
        <f>IF(t&lt;Tvie,1-EXP((T0-t)*PertePVj)+'2023'!Pspv,1-EXP((T0-t)*PertePVj)+Pspv)</f>
        <v>4.92014935241879E-2</v>
      </c>
      <c r="M204" s="872"/>
      <c r="N204" s="872"/>
      <c r="O204" s="48">
        <f>IF(t&lt;Tnet,'2023'!Resal+('2023'!Salim-'2023'!Resal)*(1-EXP(('2023'!Tnet-t)/('2023'!Tau_j))),Resal+(Salim-Resal)*(1-EXP((Tnet-t)/(Tau_j))))*Salcycl</f>
        <v>3.891129902072888E-2</v>
      </c>
      <c r="P204" s="171">
        <f>(INDEX(Models!$BJ204:$BT204,,T204)*(1-R204)+INDEX(Models!$BJ204:$BT204,,T204+1)*R204-ERP_i)*Q204*Ramure*Pc/MaxiM</f>
        <v>5.3917971771231166E-4</v>
      </c>
      <c r="Q204" s="307">
        <f t="shared" si="53"/>
        <v>0.9</v>
      </c>
      <c r="R204" s="179">
        <f t="shared" si="54"/>
        <v>0.6373407795824948</v>
      </c>
      <c r="S204" s="839">
        <f t="shared" si="55"/>
        <v>1</v>
      </c>
      <c r="T204" s="178">
        <f t="shared" si="56"/>
        <v>7</v>
      </c>
      <c r="U204" s="253">
        <f t="shared" si="57"/>
        <v>1.6373407795824948</v>
      </c>
      <c r="V204" s="385">
        <f t="shared" si="58"/>
        <v>57.23597894194905</v>
      </c>
      <c r="W204" s="404">
        <f t="shared" si="59"/>
        <v>57.341544153241614</v>
      </c>
      <c r="X204" s="157">
        <f t="shared" si="60"/>
        <v>45481</v>
      </c>
      <c r="Y204" s="387">
        <f t="shared" si="61"/>
        <v>51.988174607285963</v>
      </c>
      <c r="Z204" s="387">
        <f t="shared" si="62"/>
        <v>54.678435286970576</v>
      </c>
      <c r="AA204" s="388">
        <f t="shared" si="63"/>
        <v>62.750533359976806</v>
      </c>
      <c r="AB204" s="199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0.12863791972411709</v>
      </c>
      <c r="AD204" s="233">
        <f>(INDEX(Models!$BJ204:$BT204,,AH204)*(1-AF204)+INDEX(Models!$BJ204:$BT204,,AH204+1)*AF204-ERP_i)*AE204*Ramure*Pc/MaxiM</f>
        <v>5.3917971771231166E-4</v>
      </c>
      <c r="AE204" s="307">
        <f t="shared" si="65"/>
        <v>0.9</v>
      </c>
      <c r="AF204" s="179">
        <f t="shared" si="66"/>
        <v>0.6373407795824948</v>
      </c>
      <c r="AG204" s="839">
        <f t="shared" si="74"/>
        <v>1</v>
      </c>
      <c r="AH204" s="178">
        <f t="shared" si="67"/>
        <v>7</v>
      </c>
      <c r="AI204" s="227">
        <f t="shared" si="68"/>
        <v>1.6373407795824948</v>
      </c>
      <c r="AJ204" s="267" t="b">
        <f t="shared" si="69"/>
        <v>0</v>
      </c>
      <c r="AK204" s="267" t="b">
        <f t="shared" si="70"/>
        <v>0</v>
      </c>
      <c r="AL204" s="267"/>
      <c r="AM204" s="267"/>
      <c r="AN204" s="75"/>
    </row>
    <row r="205" spans="1:40" s="6" customFormat="1" ht="11.25" x14ac:dyDescent="0.2">
      <c r="A205" s="56">
        <f t="shared" si="71"/>
        <v>45482</v>
      </c>
      <c r="B205" s="413">
        <f>'2023'!Wh/'2023'!Env_an*'2024'!Env_an</f>
        <v>56.763231348725625</v>
      </c>
      <c r="C205" s="868"/>
      <c r="D205" s="395">
        <f t="shared" si="50"/>
        <v>59.701978869516012</v>
      </c>
      <c r="E205" s="387">
        <f t="shared" si="75"/>
        <v>62.133465918856146</v>
      </c>
      <c r="F205" s="387">
        <f t="shared" si="51"/>
        <v>62.169064304303561</v>
      </c>
      <c r="G205" s="110">
        <f t="shared" si="76"/>
        <v>0.99374421092443976</v>
      </c>
      <c r="H205" s="416" t="b">
        <f>Wh_hp&gt;='2023'!Maxi_hp</f>
        <v>0</v>
      </c>
      <c r="I205" s="392">
        <f>IF(H205,Wh_hp,'2023'!Maxi_hp)</f>
        <v>62.966191858436069</v>
      </c>
      <c r="J205" s="85">
        <f>IF(H205,An,'2023'!An_max)</f>
        <v>2019</v>
      </c>
      <c r="K205" s="199">
        <f t="shared" si="52"/>
        <v>45482</v>
      </c>
      <c r="L205" s="147">
        <f>IF(t&lt;Tvie,1-EXP((T0-t)*PertePVj)+'2023'!Pspv,1-EXP((T0-t)*PertePVj)+Pspv)</f>
        <v>4.9223619994460788E-2</v>
      </c>
      <c r="M205" s="872"/>
      <c r="N205" s="872"/>
      <c r="O205" s="48">
        <f>IF(t&lt;Tnet,'2023'!Resal+('2023'!Salim-'2023'!Resal)*(1-EXP(('2023'!Tnet-t)/('2023'!Tau_j))),Resal+(Salim-Resal)*(1-EXP((Tnet-t)/(Tau_j))))*Salcycl</f>
        <v>3.9133291751590936E-2</v>
      </c>
      <c r="P205" s="171">
        <f>(INDEX(Models!$BJ205:$BT205,,T205)*(1-R205)+INDEX(Models!$BJ205:$BT205,,T205+1)*R205-ERP_i)*Q205*Ramure*Pc/MaxiM</f>
        <v>5.7776526245151662E-4</v>
      </c>
      <c r="Q205" s="307">
        <f t="shared" si="53"/>
        <v>0.9</v>
      </c>
      <c r="R205" s="179">
        <f t="shared" si="54"/>
        <v>0.64243312228945504</v>
      </c>
      <c r="S205" s="839">
        <f t="shared" si="55"/>
        <v>1</v>
      </c>
      <c r="T205" s="178">
        <f t="shared" si="56"/>
        <v>7</v>
      </c>
      <c r="U205" s="253">
        <f t="shared" si="57"/>
        <v>1.642433122289455</v>
      </c>
      <c r="V205" s="385">
        <f t="shared" si="58"/>
        <v>57.120270695616185</v>
      </c>
      <c r="W205" s="404">
        <f t="shared" si="59"/>
        <v>56.763231348725625</v>
      </c>
      <c r="X205" s="157">
        <f t="shared" si="60"/>
        <v>45482</v>
      </c>
      <c r="Y205" s="387">
        <f t="shared" si="61"/>
        <v>51.467464470348297</v>
      </c>
      <c r="Z205" s="387">
        <f t="shared" si="62"/>
        <v>54.132039407676963</v>
      </c>
      <c r="AA205" s="388">
        <f t="shared" si="63"/>
        <v>62.133465918856146</v>
      </c>
      <c r="AB205" s="199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0.12877804887995029</v>
      </c>
      <c r="AD205" s="233">
        <f>(INDEX(Models!$BJ205:$BT205,,AH205)*(1-AF205)+INDEX(Models!$BJ205:$BT205,,AH205+1)*AF205-ERP_i)*AE205*Ramure*Pc/MaxiM</f>
        <v>5.7776526245151662E-4</v>
      </c>
      <c r="AE205" s="307">
        <f t="shared" si="65"/>
        <v>0.9</v>
      </c>
      <c r="AF205" s="179">
        <f t="shared" si="66"/>
        <v>0.64243312228945504</v>
      </c>
      <c r="AG205" s="839">
        <f t="shared" si="74"/>
        <v>1</v>
      </c>
      <c r="AH205" s="178">
        <f t="shared" si="67"/>
        <v>7</v>
      </c>
      <c r="AI205" s="227">
        <f t="shared" si="68"/>
        <v>1.642433122289455</v>
      </c>
      <c r="AJ205" s="267" t="b">
        <f t="shared" si="69"/>
        <v>0</v>
      </c>
      <c r="AK205" s="267" t="b">
        <f t="shared" si="70"/>
        <v>0</v>
      </c>
      <c r="AL205" s="267"/>
      <c r="AM205" s="267"/>
      <c r="AN205" s="75"/>
    </row>
    <row r="206" spans="1:40" s="6" customFormat="1" ht="11.25" x14ac:dyDescent="0.2">
      <c r="A206" s="56">
        <f t="shared" si="71"/>
        <v>45483</v>
      </c>
      <c r="B206" s="413">
        <f>'2023'!Wh/'2023'!Env_an*'2024'!Env_an</f>
        <v>54.806598318116656</v>
      </c>
      <c r="C206" s="868"/>
      <c r="D206" s="395">
        <f t="shared" si="50"/>
        <v>57.645388474090296</v>
      </c>
      <c r="E206" s="387">
        <f t="shared" si="75"/>
        <v>60.006932178855592</v>
      </c>
      <c r="F206" s="387">
        <f t="shared" si="51"/>
        <v>60.042126878143641</v>
      </c>
      <c r="G206" s="110">
        <f t="shared" si="76"/>
        <v>0.96148044024207058</v>
      </c>
      <c r="H206" s="416" t="b">
        <f>Wh_hp&gt;='2023'!Maxi_hp</f>
        <v>0</v>
      </c>
      <c r="I206" s="392">
        <f>IF(H206,Wh_hp,'2023'!Maxi_hp)</f>
        <v>62.533277298191116</v>
      </c>
      <c r="J206" s="85">
        <f>IF(H206,An,'2023'!An_max)</f>
        <v>2019</v>
      </c>
      <c r="K206" s="199">
        <f t="shared" si="52"/>
        <v>45483</v>
      </c>
      <c r="L206" s="147">
        <f>IF(t&lt;Tvie,1-EXP((T0-t)*PertePVj)+'2023'!Pspv,1-EXP((T0-t)*PertePVj)+Pspv)</f>
        <v>4.9245745949818454E-2</v>
      </c>
      <c r="M206" s="872"/>
      <c r="N206" s="872"/>
      <c r="O206" s="48">
        <f>IF(t&lt;Tnet,'2023'!Resal+('2023'!Salim-'2023'!Resal)*(1-EXP(('2023'!Tnet-t)/('2023'!Tau_j))),Resal+(Salim-Resal)*(1-EXP((Tnet-t)/(Tau_j))))*Salcycl</f>
        <v>3.9354514870490645E-2</v>
      </c>
      <c r="P206" s="171">
        <f>(INDEX(Models!$BJ206:$BT206,,T206)*(1-R206)+INDEX(Models!$BJ206:$BT206,,T206+1)*R206-ERP_i)*Q206*Ramure*Pc/MaxiM</f>
        <v>6.2026986701422507E-4</v>
      </c>
      <c r="Q206" s="307">
        <f t="shared" si="53"/>
        <v>0.9</v>
      </c>
      <c r="R206" s="179">
        <f t="shared" si="54"/>
        <v>0.64741194377116495</v>
      </c>
      <c r="S206" s="839">
        <f t="shared" si="55"/>
        <v>1</v>
      </c>
      <c r="T206" s="178">
        <f t="shared" si="56"/>
        <v>7</v>
      </c>
      <c r="U206" s="253">
        <f t="shared" si="57"/>
        <v>1.647411943771165</v>
      </c>
      <c r="V206" s="385">
        <f t="shared" si="58"/>
        <v>57.000356796737265</v>
      </c>
      <c r="W206" s="404">
        <f t="shared" si="59"/>
        <v>54.806598318116656</v>
      </c>
      <c r="X206" s="157">
        <f t="shared" si="60"/>
        <v>45483</v>
      </c>
      <c r="Y206" s="387">
        <f t="shared" si="61"/>
        <v>49.696945391932736</v>
      </c>
      <c r="Z206" s="387">
        <f t="shared" si="62"/>
        <v>52.271073392756747</v>
      </c>
      <c r="AA206" s="388">
        <f t="shared" si="63"/>
        <v>60.006932178855592</v>
      </c>
      <c r="AB206" s="199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0.12891608527897214</v>
      </c>
      <c r="AD206" s="233">
        <f>(INDEX(Models!$BJ206:$BT206,,AH206)*(1-AF206)+INDEX(Models!$BJ206:$BT206,,AH206+1)*AF206-ERP_i)*AE206*Ramure*Pc/MaxiM</f>
        <v>6.2026986701422507E-4</v>
      </c>
      <c r="AE206" s="307">
        <f t="shared" si="65"/>
        <v>0.9</v>
      </c>
      <c r="AF206" s="179">
        <f t="shared" si="66"/>
        <v>0.64741194377116495</v>
      </c>
      <c r="AG206" s="839">
        <f t="shared" si="74"/>
        <v>1</v>
      </c>
      <c r="AH206" s="178">
        <f t="shared" si="67"/>
        <v>7</v>
      </c>
      <c r="AI206" s="227">
        <f t="shared" si="68"/>
        <v>1.647411943771165</v>
      </c>
      <c r="AJ206" s="267" t="b">
        <f t="shared" si="69"/>
        <v>0</v>
      </c>
      <c r="AK206" s="267" t="b">
        <f t="shared" si="70"/>
        <v>0</v>
      </c>
      <c r="AL206" s="267"/>
      <c r="AM206" s="267"/>
      <c r="AN206" s="75"/>
    </row>
    <row r="207" spans="1:40" s="6" customFormat="1" ht="11.25" x14ac:dyDescent="0.2">
      <c r="A207" s="56">
        <f t="shared" si="71"/>
        <v>45484</v>
      </c>
      <c r="B207" s="413">
        <f>'2023'!Wh/'2023'!Env_an*'2024'!Env_an</f>
        <v>54.914579628975332</v>
      </c>
      <c r="C207" s="868"/>
      <c r="D207" s="395">
        <f t="shared" ref="D207:D270" si="77">Wh/(1-Ppv)</f>
        <v>57.760307006010109</v>
      </c>
      <c r="E207" s="387">
        <f t="shared" si="75"/>
        <v>60.140360960241097</v>
      </c>
      <c r="F207" s="387">
        <f t="shared" ref="F207:F270" si="78">Wh_sa/(1-Pvg*MEDIAN((-Sdif+Wh/Env_an)/Csdif,0,1))</f>
        <v>60.178450082105876</v>
      </c>
      <c r="G207" s="110">
        <f t="shared" si="76"/>
        <v>0.96547392237388074</v>
      </c>
      <c r="H207" s="416" t="b">
        <f>Wh_hp&gt;='2023'!Maxi_hp</f>
        <v>0</v>
      </c>
      <c r="I207" s="392">
        <f>IF(H207,Wh_hp,'2023'!Maxi_hp)</f>
        <v>63.366086116985848</v>
      </c>
      <c r="J207" s="85">
        <f>IF(H207,An,'2023'!An_max)</f>
        <v>2019</v>
      </c>
      <c r="K207" s="199">
        <f t="shared" ref="K207:K270" si="79">t</f>
        <v>45484</v>
      </c>
      <c r="L207" s="147">
        <f>IF(t&lt;Tvie,1-EXP((T0-t)*PertePVj)+'2023'!Pspv,1-EXP((T0-t)*PertePVj)+Pspv)</f>
        <v>4.9267871390272777E-2</v>
      </c>
      <c r="M207" s="872"/>
      <c r="N207" s="872"/>
      <c r="O207" s="48">
        <f>IF(t&lt;Tnet,'2023'!Resal+('2023'!Salim-'2023'!Resal)*(1-EXP(('2023'!Tnet-t)/('2023'!Tau_j))),Resal+(Salim-Resal)*(1-EXP((Tnet-t)/(Tau_j))))*Salcycl</f>
        <v>3.9574986186139499E-2</v>
      </c>
      <c r="P207" s="171">
        <f>(INDEX(Models!$BJ207:$BT207,,T207)*(1-R207)+INDEX(Models!$BJ207:$BT207,,T207+1)*R207-ERP_i)*Q207*Ramure*Pc/MaxiM</f>
        <v>6.6574249105759398E-4</v>
      </c>
      <c r="Q207" s="307">
        <f t="shared" ref="Q207:Q270" si="80">IF(OR(t&lt;Ttai,Notai),Dd+PousD*Croivg,Dens+PousD*(Croivg-Croi_tai))</f>
        <v>0.9</v>
      </c>
      <c r="R207" s="179">
        <f t="shared" ref="R207:R270" si="81">(Hp_vg-S207)/(INDEX(Echel_vg,T207+1)-S207)</f>
        <v>0.65227693473657045</v>
      </c>
      <c r="S207" s="839">
        <f t="shared" ref="S207:S270" si="82">INDEX(Echel_vg,T207)</f>
        <v>1</v>
      </c>
      <c r="T207" s="178">
        <f t="shared" ref="T207:T270" si="83">MIN(MATCH(Hp_vg,Echel_vg),10)</f>
        <v>7</v>
      </c>
      <c r="U207" s="253">
        <f t="shared" ref="U207:U270" si="84">IF(OR(t&lt;Ttai,Notai),Hdd+PousH*Croivg,Hdtf+PousH*(Croivg-Croi_tai))</f>
        <v>1.6522769347365704</v>
      </c>
      <c r="V207" s="385">
        <f t="shared" ref="V207:V270" si="85">MaxiM*(1-Ppv)*(1-Pvg)*(1-Psa)</f>
        <v>56.876499379117512</v>
      </c>
      <c r="W207" s="404">
        <f t="shared" ref="W207:W270" si="86">Wh*(A207&gt;Tmaj)</f>
        <v>54.914579628975332</v>
      </c>
      <c r="X207" s="157">
        <f t="shared" ref="X207:X270" si="87">t</f>
        <v>45484</v>
      </c>
      <c r="Y207" s="387">
        <f t="shared" ref="Y207:Y270" si="88">Wh_pvt_s*(1-Ppv)</f>
        <v>49.79851248885938</v>
      </c>
      <c r="Z207" s="387">
        <f t="shared" ref="Z207:Z270" si="89">Wh_sa_s*(1-Psa_s)</f>
        <v>52.379120248813557</v>
      </c>
      <c r="AA207" s="388">
        <f t="shared" ref="AA207:AA270" si="90">Wh_hp*(1-Pvg_s*MEDIAN((-Sdif+Wh/Env_an)/Csdif,0,1))</f>
        <v>60.140360960241097</v>
      </c>
      <c r="AB207" s="199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0.1290521138800366</v>
      </c>
      <c r="AD207" s="233">
        <f>(INDEX(Models!$BJ207:$BT207,,AH207)*(1-AF207)+INDEX(Models!$BJ207:$BT207,,AH207+1)*AF207-ERP_i)*AE207*Ramure*Pc/MaxiM</f>
        <v>6.6574249105759398E-4</v>
      </c>
      <c r="AE207" s="307">
        <f t="shared" ref="AE207:AE270" si="92">IF(OR(t&lt;Ttai,Notai),Dd_s+PousD*Croivg,Dens_s+PousD*(Croivg-Croi_tai))</f>
        <v>0.9</v>
      </c>
      <c r="AF207" s="179">
        <f t="shared" ref="AF207:AF270" si="93">(Hp_vg_s-AG207)/(INDEX(Echel_vg,AH207+1)-AG207)</f>
        <v>0.65227693473657045</v>
      </c>
      <c r="AG207" s="839">
        <f t="shared" si="74"/>
        <v>1</v>
      </c>
      <c r="AH207" s="178">
        <f t="shared" ref="AH207:AH270" si="94">MIN(MATCH(Hp_vg_s,Echel_vg),10)</f>
        <v>7</v>
      </c>
      <c r="AI207" s="227">
        <f t="shared" ref="AI207:AI270" si="95">IF(OR(t&lt;Ttai,Notai),Hdd_s+PousH*Croivg,Hdtai_s+PousH*(Croivg-Croi_tai))</f>
        <v>1.6522769347365704</v>
      </c>
      <c r="AJ207" s="267" t="b">
        <f t="shared" ref="AJ207:AJ270" si="96">t&lt;Tnet</f>
        <v>0</v>
      </c>
      <c r="AK207" s="267" t="b">
        <f t="shared" ref="AK207:AK270" si="97">t&lt;Ttai</f>
        <v>0</v>
      </c>
      <c r="AL207" s="267"/>
      <c r="AM207" s="267"/>
      <c r="AN207" s="75"/>
    </row>
    <row r="208" spans="1:40" s="6" customFormat="1" ht="11.25" x14ac:dyDescent="0.2">
      <c r="A208" s="56">
        <f t="shared" ref="A208:A271" si="98">A207+1</f>
        <v>45485</v>
      </c>
      <c r="B208" s="413">
        <f>'2023'!Wh/'2023'!Env_an*'2024'!Env_an</f>
        <v>54.575460491719554</v>
      </c>
      <c r="C208" s="868"/>
      <c r="D208" s="395">
        <f t="shared" si="77"/>
        <v>57.404950279507197</v>
      </c>
      <c r="E208" s="387">
        <f t="shared" si="75"/>
        <v>59.784039655622628</v>
      </c>
      <c r="F208" s="387">
        <f t="shared" si="78"/>
        <v>59.824428395302839</v>
      </c>
      <c r="G208" s="110">
        <f t="shared" si="76"/>
        <v>0.96166307321700983</v>
      </c>
      <c r="H208" s="416" t="b">
        <f>Wh_hp&gt;='2023'!Maxi_hp</f>
        <v>0</v>
      </c>
      <c r="I208" s="392">
        <f>IF(H208,Wh_hp,'2023'!Maxi_hp)</f>
        <v>59.825654709604933</v>
      </c>
      <c r="J208" s="85">
        <f>IF(H208,An,'2023'!An_max)</f>
        <v>2022</v>
      </c>
      <c r="K208" s="199">
        <f t="shared" si="79"/>
        <v>45485</v>
      </c>
      <c r="L208" s="147">
        <f>IF(t&lt;Tvie,1-EXP((T0-t)*PertePVj)+'2023'!Pspv,1-EXP((T0-t)*PertePVj)+Pspv)</f>
        <v>4.9289996315835749E-2</v>
      </c>
      <c r="M208" s="872"/>
      <c r="N208" s="872"/>
      <c r="O208" s="48">
        <f>IF(t&lt;Tnet,'2023'!Resal+('2023'!Salim-'2023'!Resal)*(1-EXP(('2023'!Tnet-t)/('2023'!Tau_j))),Resal+(Salim-Resal)*(1-EXP((Tnet-t)/(Tau_j))))*Salcycl</f>
        <v>3.9794724308023173E-2</v>
      </c>
      <c r="P208" s="171">
        <f>(INDEX(Models!$BJ208:$BT208,,T208)*(1-R208)+INDEX(Models!$BJ208:$BT208,,T208+1)*R208-ERP_i)*Q208*Ramure*Pc/MaxiM</f>
        <v>7.1419729977717234E-4</v>
      </c>
      <c r="Q208" s="307">
        <f t="shared" si="80"/>
        <v>0.9</v>
      </c>
      <c r="R208" s="179">
        <f t="shared" si="81"/>
        <v>0.65702798764085424</v>
      </c>
      <c r="S208" s="839">
        <f t="shared" si="82"/>
        <v>1</v>
      </c>
      <c r="T208" s="178">
        <f t="shared" si="83"/>
        <v>7</v>
      </c>
      <c r="U208" s="253">
        <f t="shared" si="84"/>
        <v>1.6570279876408542</v>
      </c>
      <c r="V208" s="385">
        <f t="shared" si="85"/>
        <v>56.748905073473821</v>
      </c>
      <c r="W208" s="404">
        <f t="shared" si="86"/>
        <v>54.575460491719554</v>
      </c>
      <c r="X208" s="157">
        <f t="shared" si="87"/>
        <v>45485</v>
      </c>
      <c r="Y208" s="387">
        <f t="shared" si="88"/>
        <v>49.494690581842221</v>
      </c>
      <c r="Z208" s="387">
        <f t="shared" si="89"/>
        <v>52.060765522653398</v>
      </c>
      <c r="AA208" s="388">
        <f t="shared" si="90"/>
        <v>59.784039655622628</v>
      </c>
      <c r="AB208" s="199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0.12918622056083937</v>
      </c>
      <c r="AD208" s="233">
        <f>(INDEX(Models!$BJ208:$BT208,,AH208)*(1-AF208)+INDEX(Models!$BJ208:$BT208,,AH208+1)*AF208-ERP_i)*AE208*Ramure*Pc/MaxiM</f>
        <v>7.1419729977717234E-4</v>
      </c>
      <c r="AE208" s="307">
        <f t="shared" si="92"/>
        <v>0.9</v>
      </c>
      <c r="AF208" s="179">
        <f t="shared" si="93"/>
        <v>0.65702798764085424</v>
      </c>
      <c r="AG208" s="839">
        <f t="shared" ref="AG208:AG271" si="99">INDEX(Echel_vg,AH208)</f>
        <v>1</v>
      </c>
      <c r="AH208" s="178">
        <f t="shared" si="94"/>
        <v>7</v>
      </c>
      <c r="AI208" s="227">
        <f t="shared" si="95"/>
        <v>1.6570279876408542</v>
      </c>
      <c r="AJ208" s="267" t="b">
        <f t="shared" si="96"/>
        <v>0</v>
      </c>
      <c r="AK208" s="267" t="b">
        <f t="shared" si="97"/>
        <v>0</v>
      </c>
      <c r="AL208" s="267"/>
      <c r="AM208" s="267"/>
      <c r="AN208" s="75"/>
    </row>
    <row r="209" spans="1:40" s="6" customFormat="1" ht="11.25" x14ac:dyDescent="0.2">
      <c r="A209" s="56">
        <f t="shared" si="98"/>
        <v>45486</v>
      </c>
      <c r="B209" s="413">
        <f>'2023'!Wh/'2023'!Env_an*'2024'!Env_an</f>
        <v>53.884427023430867</v>
      </c>
      <c r="C209" s="868"/>
      <c r="D209" s="395">
        <f t="shared" si="77"/>
        <v>56.679408876664709</v>
      </c>
      <c r="E209" s="387">
        <f t="shared" si="75"/>
        <v>59.041896472461055</v>
      </c>
      <c r="F209" s="387">
        <f t="shared" si="78"/>
        <v>59.084014187255534</v>
      </c>
      <c r="G209" s="110">
        <f t="shared" si="76"/>
        <v>0.95167241461107999</v>
      </c>
      <c r="H209" s="416" t="b">
        <f>Wh_hp&gt;='2023'!Maxi_hp</f>
        <v>0</v>
      </c>
      <c r="I209" s="392">
        <f>IF(H209,Wh_hp,'2023'!Maxi_hp)</f>
        <v>62.288044884961785</v>
      </c>
      <c r="J209" s="85">
        <f>IF(H209,An,'2023'!An_max)</f>
        <v>2019</v>
      </c>
      <c r="K209" s="199">
        <f t="shared" si="79"/>
        <v>45486</v>
      </c>
      <c r="L209" s="147">
        <f>IF(t&lt;Tvie,1-EXP((T0-t)*PertePVj)+'2023'!Pspv,1-EXP((T0-t)*PertePVj)+Pspv)</f>
        <v>4.931212072651936E-2</v>
      </c>
      <c r="M209" s="872"/>
      <c r="N209" s="872"/>
      <c r="O209" s="48">
        <f>IF(t&lt;Tnet,'2023'!Resal+('2023'!Salim-'2023'!Resal)*(1-EXP(('2023'!Tnet-t)/('2023'!Tau_j))),Resal+(Salim-Resal)*(1-EXP((Tnet-t)/(Tau_j))))*Salcycl</f>
        <v>4.0013748489570927E-2</v>
      </c>
      <c r="P209" s="171">
        <f>(INDEX(Models!$BJ209:$BT209,,T209)*(1-R209)+INDEX(Models!$BJ209:$BT209,,T209+1)*R209-ERP_i)*Q209*Ramure*Pc/MaxiM</f>
        <v>7.656494827721175E-4</v>
      </c>
      <c r="Q209" s="307">
        <f t="shared" si="80"/>
        <v>0.9</v>
      </c>
      <c r="R209" s="179">
        <f t="shared" si="81"/>
        <v>0.66166518775824024</v>
      </c>
      <c r="S209" s="839">
        <f t="shared" si="82"/>
        <v>1</v>
      </c>
      <c r="T209" s="178">
        <f t="shared" si="83"/>
        <v>7</v>
      </c>
      <c r="U209" s="253">
        <f t="shared" si="84"/>
        <v>1.6616651877582402</v>
      </c>
      <c r="V209" s="385">
        <f t="shared" si="85"/>
        <v>56.617780236575783</v>
      </c>
      <c r="W209" s="404">
        <f t="shared" si="86"/>
        <v>53.884427023430867</v>
      </c>
      <c r="X209" s="157">
        <f t="shared" si="87"/>
        <v>45486</v>
      </c>
      <c r="Y209" s="387">
        <f t="shared" si="88"/>
        <v>48.871714700154669</v>
      </c>
      <c r="Z209" s="387">
        <f t="shared" si="89"/>
        <v>51.406687479283548</v>
      </c>
      <c r="AA209" s="388">
        <f t="shared" si="90"/>
        <v>59.041896472461055</v>
      </c>
      <c r="AB209" s="199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0.1293184916026334</v>
      </c>
      <c r="AD209" s="233">
        <f>(INDEX(Models!$BJ209:$BT209,,AH209)*(1-AF209)+INDEX(Models!$BJ209:$BT209,,AH209+1)*AF209-ERP_i)*AE209*Ramure*Pc/MaxiM</f>
        <v>7.656494827721175E-4</v>
      </c>
      <c r="AE209" s="307">
        <f t="shared" si="92"/>
        <v>0.9</v>
      </c>
      <c r="AF209" s="179">
        <f t="shared" si="93"/>
        <v>0.66166518775824024</v>
      </c>
      <c r="AG209" s="839">
        <f t="shared" si="99"/>
        <v>1</v>
      </c>
      <c r="AH209" s="178">
        <f t="shared" si="94"/>
        <v>7</v>
      </c>
      <c r="AI209" s="227">
        <f t="shared" si="95"/>
        <v>1.6616651877582402</v>
      </c>
      <c r="AJ209" s="267" t="b">
        <f t="shared" si="96"/>
        <v>0</v>
      </c>
      <c r="AK209" s="267" t="b">
        <f t="shared" si="97"/>
        <v>0</v>
      </c>
      <c r="AL209" s="267"/>
      <c r="AM209" s="267"/>
      <c r="AN209" s="75"/>
    </row>
    <row r="210" spans="1:40" s="6" customFormat="1" ht="11.25" x14ac:dyDescent="0.2">
      <c r="A210" s="56">
        <f t="shared" si="98"/>
        <v>45487</v>
      </c>
      <c r="B210" s="413">
        <f>'2023'!Wh/'2023'!Env_an*'2024'!Env_an</f>
        <v>52.061479626014872</v>
      </c>
      <c r="C210" s="868"/>
      <c r="D210" s="395">
        <f t="shared" si="77"/>
        <v>54.763179731169316</v>
      </c>
      <c r="E210" s="387">
        <f t="shared" si="75"/>
        <v>57.058772754082774</v>
      </c>
      <c r="F210" s="387">
        <f t="shared" si="78"/>
        <v>57.10036442607548</v>
      </c>
      <c r="G210" s="110">
        <f t="shared" si="76"/>
        <v>0.92162944758173249</v>
      </c>
      <c r="H210" s="416" t="b">
        <f>Wh_hp&gt;='2023'!Maxi_hp</f>
        <v>0</v>
      </c>
      <c r="I210" s="392">
        <f>IF(H210,Wh_hp,'2023'!Maxi_hp)</f>
        <v>63.922354684310292</v>
      </c>
      <c r="J210" s="85">
        <f>IF(H210,An,'2023'!An_max)</f>
        <v>2019</v>
      </c>
      <c r="K210" s="199">
        <f t="shared" si="79"/>
        <v>45487</v>
      </c>
      <c r="L210" s="147">
        <f>IF(t&lt;Tvie,1-EXP((T0-t)*PertePVj)+'2023'!Pspv,1-EXP((T0-t)*PertePVj)+Pspv)</f>
        <v>4.933424462233571E-2</v>
      </c>
      <c r="M210" s="872"/>
      <c r="N210" s="872"/>
      <c r="O210" s="48">
        <f>IF(t&lt;Tnet,'2023'!Resal+('2023'!Salim-'2023'!Resal)*(1-EXP(('2023'!Tnet-t)/('2023'!Tau_j))),Resal+(Salim-Resal)*(1-EXP((Tnet-t)/(Tau_j))))*Salcycl</f>
        <v>4.0232078471214572E-2</v>
      </c>
      <c r="P210" s="171">
        <f>(INDEX(Models!$BJ210:$BT210,,T210)*(1-R210)+INDEX(Models!$BJ210:$BT210,,T210+1)*R210-ERP_i)*Q210*Ramure*Pc/MaxiM</f>
        <v>8.2011519533236048E-4</v>
      </c>
      <c r="Q210" s="307">
        <f t="shared" si="80"/>
        <v>0.9</v>
      </c>
      <c r="R210" s="179">
        <f t="shared" si="81"/>
        <v>0.66618880392545354</v>
      </c>
      <c r="S210" s="839">
        <f t="shared" si="82"/>
        <v>1</v>
      </c>
      <c r="T210" s="178">
        <f t="shared" si="83"/>
        <v>7</v>
      </c>
      <c r="U210" s="253">
        <f t="shared" si="84"/>
        <v>1.6661888039254535</v>
      </c>
      <c r="V210" s="385">
        <f t="shared" si="85"/>
        <v>56.483330952937393</v>
      </c>
      <c r="W210" s="404">
        <f t="shared" si="86"/>
        <v>52.061479626014872</v>
      </c>
      <c r="X210" s="157">
        <f t="shared" si="87"/>
        <v>45487</v>
      </c>
      <c r="Y210" s="387">
        <f t="shared" si="88"/>
        <v>47.222012162179865</v>
      </c>
      <c r="Z210" s="387">
        <f t="shared" si="89"/>
        <v>49.672570927329033</v>
      </c>
      <c r="AA210" s="388">
        <f t="shared" si="90"/>
        <v>57.058772754082774</v>
      </c>
      <c r="AB210" s="199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0.12944901318833976</v>
      </c>
      <c r="AD210" s="233">
        <f>(INDEX(Models!$BJ210:$BT210,,AH210)*(1-AF210)+INDEX(Models!$BJ210:$BT210,,AH210+1)*AF210-ERP_i)*AE210*Ramure*Pc/MaxiM</f>
        <v>8.2011519533236048E-4</v>
      </c>
      <c r="AE210" s="307">
        <f t="shared" si="92"/>
        <v>0.9</v>
      </c>
      <c r="AF210" s="179">
        <f t="shared" si="93"/>
        <v>0.66618880392545354</v>
      </c>
      <c r="AG210" s="839">
        <f t="shared" si="99"/>
        <v>1</v>
      </c>
      <c r="AH210" s="178">
        <f t="shared" si="94"/>
        <v>7</v>
      </c>
      <c r="AI210" s="227">
        <f t="shared" si="95"/>
        <v>1.6661888039254535</v>
      </c>
      <c r="AJ210" s="267" t="b">
        <f t="shared" si="96"/>
        <v>0</v>
      </c>
      <c r="AK210" s="267" t="b">
        <f t="shared" si="97"/>
        <v>0</v>
      </c>
      <c r="AL210" s="267"/>
      <c r="AM210" s="267"/>
      <c r="AN210" s="75"/>
    </row>
    <row r="211" spans="1:40" s="6" customFormat="1" ht="11.25" x14ac:dyDescent="0.2">
      <c r="A211" s="56">
        <f t="shared" si="98"/>
        <v>45488</v>
      </c>
      <c r="B211" s="413">
        <f>'2023'!Wh/'2023'!Env_an*'2024'!Env_an</f>
        <v>53.61342057545076</v>
      </c>
      <c r="C211" s="868"/>
      <c r="D211" s="395">
        <f t="shared" si="77"/>
        <v>56.396970190441117</v>
      </c>
      <c r="E211" s="387">
        <f t="shared" si="75"/>
        <v>58.77437817261557</v>
      </c>
      <c r="F211" s="387">
        <f t="shared" si="78"/>
        <v>58.822425215362962</v>
      </c>
      <c r="G211" s="110">
        <f t="shared" si="76"/>
        <v>0.95144968322776524</v>
      </c>
      <c r="H211" s="416" t="b">
        <f>Wh_hp&gt;='2023'!Maxi_hp</f>
        <v>0</v>
      </c>
      <c r="I211" s="392">
        <f>IF(H211,Wh_hp,'2023'!Maxi_hp)</f>
        <v>61.80609820864801</v>
      </c>
      <c r="J211" s="85">
        <f>IF(H211,An,'2023'!An_max)</f>
        <v>2019</v>
      </c>
      <c r="K211" s="199">
        <f t="shared" si="79"/>
        <v>45488</v>
      </c>
      <c r="L211" s="147">
        <f>IF(t&lt;Tvie,1-EXP((T0-t)*PertePVj)+'2023'!Pspv,1-EXP((T0-t)*PertePVj)+Pspv)</f>
        <v>4.9356368003296569E-2</v>
      </c>
      <c r="M211" s="872"/>
      <c r="N211" s="872"/>
      <c r="O211" s="48">
        <f>IF(t&lt;Tnet,'2023'!Resal+('2023'!Salim-'2023'!Resal)*(1-EXP(('2023'!Tnet-t)/('2023'!Tau_j))),Resal+(Salim-Resal)*(1-EXP((Tnet-t)/(Tau_j))))*Salcycl</f>
        <v>4.0449734324575888E-2</v>
      </c>
      <c r="P211" s="171">
        <f>(INDEX(Models!$BJ211:$BT211,,T211)*(1-R211)+INDEX(Models!$BJ211:$BT211,,T211+1)*R211-ERP_i)*Q211*Ramure*Pc/MaxiM</f>
        <v>8.7761149709932864E-4</v>
      </c>
      <c r="Q211" s="307">
        <f t="shared" si="80"/>
        <v>0.9</v>
      </c>
      <c r="R211" s="179">
        <f t="shared" si="81"/>
        <v>0.67059927903133154</v>
      </c>
      <c r="S211" s="839">
        <f t="shared" si="82"/>
        <v>1</v>
      </c>
      <c r="T211" s="178">
        <f t="shared" si="83"/>
        <v>7</v>
      </c>
      <c r="U211" s="253">
        <f t="shared" si="84"/>
        <v>1.6705992790313315</v>
      </c>
      <c r="V211" s="385">
        <f t="shared" si="85"/>
        <v>56.345763050766628</v>
      </c>
      <c r="W211" s="404">
        <f t="shared" si="86"/>
        <v>53.61342057545076</v>
      </c>
      <c r="X211" s="157">
        <f t="shared" si="87"/>
        <v>45488</v>
      </c>
      <c r="Y211" s="387">
        <f t="shared" si="88"/>
        <v>48.633520675263888</v>
      </c>
      <c r="Z211" s="387">
        <f t="shared" si="89"/>
        <v>51.158519384509518</v>
      </c>
      <c r="AA211" s="388">
        <f t="shared" si="90"/>
        <v>58.77437817261557</v>
      </c>
      <c r="AB211" s="199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0.12957787091747522</v>
      </c>
      <c r="AD211" s="233">
        <f>(INDEX(Models!$BJ211:$BT211,,AH211)*(1-AF211)+INDEX(Models!$BJ211:$BT211,,AH211+1)*AF211-ERP_i)*AE211*Ramure*Pc/MaxiM</f>
        <v>8.7761149709932864E-4</v>
      </c>
      <c r="AE211" s="307">
        <f t="shared" si="92"/>
        <v>0.9</v>
      </c>
      <c r="AF211" s="179">
        <f t="shared" si="93"/>
        <v>0.67059927903133154</v>
      </c>
      <c r="AG211" s="839">
        <f t="shared" si="99"/>
        <v>1</v>
      </c>
      <c r="AH211" s="178">
        <f t="shared" si="94"/>
        <v>7</v>
      </c>
      <c r="AI211" s="227">
        <f t="shared" si="95"/>
        <v>1.6705992790313315</v>
      </c>
      <c r="AJ211" s="267" t="b">
        <f t="shared" si="96"/>
        <v>0</v>
      </c>
      <c r="AK211" s="267" t="b">
        <f t="shared" si="97"/>
        <v>0</v>
      </c>
      <c r="AL211" s="267"/>
      <c r="AM211" s="267"/>
      <c r="AN211" s="75"/>
    </row>
    <row r="212" spans="1:40" s="6" customFormat="1" ht="11.25" x14ac:dyDescent="0.2">
      <c r="A212" s="56">
        <f t="shared" si="98"/>
        <v>45489</v>
      </c>
      <c r="B212" s="413">
        <f>'2023'!Wh/'2023'!Env_an*'2024'!Env_an</f>
        <v>52.697122053582213</v>
      </c>
      <c r="C212" s="868"/>
      <c r="D212" s="395">
        <f t="shared" si="77"/>
        <v>55.434388499980031</v>
      </c>
      <c r="E212" s="387">
        <f t="shared" si="75"/>
        <v>57.784286855769032</v>
      </c>
      <c r="F212" s="387">
        <f t="shared" si="78"/>
        <v>57.833922473156626</v>
      </c>
      <c r="G212" s="110">
        <f t="shared" si="76"/>
        <v>0.93750810085040492</v>
      </c>
      <c r="H212" s="416" t="b">
        <f>Wh_hp&gt;='2023'!Maxi_hp</f>
        <v>0</v>
      </c>
      <c r="I212" s="392">
        <f>IF(H212,Wh_hp,'2023'!Maxi_hp)</f>
        <v>61.03216766608417</v>
      </c>
      <c r="J212" s="85">
        <f>IF(H212,An,'2023'!An_max)</f>
        <v>2021</v>
      </c>
      <c r="K212" s="199">
        <f t="shared" si="79"/>
        <v>45489</v>
      </c>
      <c r="L212" s="147">
        <f>IF(t&lt;Tvie,1-EXP((T0-t)*PertePVj)+'2023'!Pspv,1-EXP((T0-t)*PertePVj)+Pspv)</f>
        <v>4.9378490869414149E-2</v>
      </c>
      <c r="M212" s="872"/>
      <c r="N212" s="872"/>
      <c r="O212" s="48">
        <f>IF(t&lt;Tnet,'2023'!Resal+('2023'!Salim-'2023'!Resal)*(1-EXP(('2023'!Tnet-t)/('2023'!Tau_j))),Resal+(Salim-Resal)*(1-EXP((Tnet-t)/(Tau_j))))*Salcycl</f>
        <v>4.0666736298994324E-2</v>
      </c>
      <c r="P212" s="171">
        <f>(INDEX(Models!$BJ212:$BT212,,T212)*(1-R212)+INDEX(Models!$BJ212:$BT212,,T212+1)*R212-ERP_i)*Q212*Ramure*Pc/MaxiM</f>
        <v>9.4225707792245175E-4</v>
      </c>
      <c r="Q212" s="307">
        <f t="shared" si="80"/>
        <v>0.9</v>
      </c>
      <c r="R212" s="179">
        <f t="shared" si="81"/>
        <v>0.67489722032453825</v>
      </c>
      <c r="S212" s="839">
        <f t="shared" si="82"/>
        <v>1</v>
      </c>
      <c r="T212" s="178">
        <f t="shared" si="83"/>
        <v>7</v>
      </c>
      <c r="U212" s="253">
        <f t="shared" si="84"/>
        <v>1.6748972203245382</v>
      </c>
      <c r="V212" s="385">
        <f t="shared" si="85"/>
        <v>56.205051407910169</v>
      </c>
      <c r="W212" s="404">
        <f t="shared" si="86"/>
        <v>52.697122053582213</v>
      </c>
      <c r="X212" s="157">
        <f t="shared" si="87"/>
        <v>45489</v>
      </c>
      <c r="Y212" s="387">
        <f t="shared" si="88"/>
        <v>47.806154235541193</v>
      </c>
      <c r="Z212" s="387">
        <f t="shared" si="89"/>
        <v>50.289367299571708</v>
      </c>
      <c r="AA212" s="388">
        <f t="shared" si="90"/>
        <v>57.784286855769032</v>
      </c>
      <c r="AB212" s="199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0.12970514934111452</v>
      </c>
      <c r="AD212" s="233">
        <f>(INDEX(Models!$BJ212:$BT212,,AH212)*(1-AF212)+INDEX(Models!$BJ212:$BT212,,AH212+1)*AF212-ERP_i)*AE212*Ramure*Pc/MaxiM</f>
        <v>9.4225707792245175E-4</v>
      </c>
      <c r="AE212" s="307">
        <f t="shared" si="92"/>
        <v>0.9</v>
      </c>
      <c r="AF212" s="179">
        <f t="shared" si="93"/>
        <v>0.67489722032453825</v>
      </c>
      <c r="AG212" s="839">
        <f t="shared" si="99"/>
        <v>1</v>
      </c>
      <c r="AH212" s="178">
        <f t="shared" si="94"/>
        <v>7</v>
      </c>
      <c r="AI212" s="227">
        <f t="shared" si="95"/>
        <v>1.6748972203245382</v>
      </c>
      <c r="AJ212" s="267" t="b">
        <f t="shared" si="96"/>
        <v>0</v>
      </c>
      <c r="AK212" s="267" t="b">
        <f t="shared" si="97"/>
        <v>0</v>
      </c>
      <c r="AL212" s="267"/>
      <c r="AM212" s="267"/>
      <c r="AN212" s="75"/>
    </row>
    <row r="213" spans="1:40" s="6" customFormat="1" ht="11.25" x14ac:dyDescent="0.2">
      <c r="A213" s="56">
        <f t="shared" si="98"/>
        <v>45490</v>
      </c>
      <c r="B213" s="413">
        <f>'2023'!Wh/'2023'!Env_an*'2024'!Env_an</f>
        <v>52.981163722101904</v>
      </c>
      <c r="C213" s="868"/>
      <c r="D213" s="395">
        <f t="shared" si="77"/>
        <v>55.734481274605024</v>
      </c>
      <c r="E213" s="387">
        <f t="shared" si="75"/>
        <v>58.110206947735634</v>
      </c>
      <c r="F213" s="387">
        <f t="shared" si="78"/>
        <v>58.164466373235854</v>
      </c>
      <c r="G213" s="110">
        <f t="shared" si="76"/>
        <v>0.94497915264152121</v>
      </c>
      <c r="H213" s="416" t="b">
        <f>Wh_hp&gt;='2023'!Maxi_hp</f>
        <v>0</v>
      </c>
      <c r="I213" s="392">
        <f>IF(H213,Wh_hp,'2023'!Maxi_hp)</f>
        <v>58.166784898613678</v>
      </c>
      <c r="J213" s="85">
        <f>IF(H213,An,'2023'!An_max)</f>
        <v>2022</v>
      </c>
      <c r="K213" s="199">
        <f t="shared" si="79"/>
        <v>45490</v>
      </c>
      <c r="L213" s="147">
        <f>IF(t&lt;Tvie,1-EXP((T0-t)*PertePVj)+'2023'!Pspv,1-EXP((T0-t)*PertePVj)+Pspv)</f>
        <v>4.9400613220700218E-2</v>
      </c>
      <c r="M213" s="872"/>
      <c r="N213" s="872"/>
      <c r="O213" s="48">
        <f>IF(t&lt;Tnet,'2023'!Resal+('2023'!Salim-'2023'!Resal)*(1-EXP(('2023'!Tnet-t)/('2023'!Tau_j))),Resal+(Salim-Resal)*(1-EXP((Tnet-t)/(Tau_j))))*Salcycl</f>
        <v>4.0883104671565501E-2</v>
      </c>
      <c r="P213" s="171">
        <f>(INDEX(Models!$BJ213:$BT213,,T213)*(1-R213)+INDEX(Models!$BJ213:$BT213,,T213+1)*R213-ERP_i)*Q213*Ramure*Pc/MaxiM</f>
        <v>1.0123232152062121E-3</v>
      </c>
      <c r="Q213" s="307">
        <f t="shared" si="80"/>
        <v>0.9</v>
      </c>
      <c r="R213" s="179">
        <f t="shared" si="81"/>
        <v>0.67908338960734493</v>
      </c>
      <c r="S213" s="839">
        <f t="shared" si="82"/>
        <v>1</v>
      </c>
      <c r="T213" s="178">
        <f t="shared" si="83"/>
        <v>7</v>
      </c>
      <c r="U213" s="253">
        <f t="shared" si="84"/>
        <v>1.6790833896073449</v>
      </c>
      <c r="V213" s="385">
        <f t="shared" si="85"/>
        <v>56.061501145307886</v>
      </c>
      <c r="W213" s="404">
        <f t="shared" si="86"/>
        <v>52.981163722101904</v>
      </c>
      <c r="X213" s="157">
        <f t="shared" si="87"/>
        <v>45490</v>
      </c>
      <c r="Y213" s="387">
        <f t="shared" si="88"/>
        <v>48.067727831306208</v>
      </c>
      <c r="Z213" s="387">
        <f t="shared" si="89"/>
        <v>50.56570464889861</v>
      </c>
      <c r="AA213" s="388">
        <f t="shared" si="90"/>
        <v>58.110206947735634</v>
      </c>
      <c r="AB213" s="199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0.12983093151987149</v>
      </c>
      <c r="AD213" s="233">
        <f>(INDEX(Models!$BJ213:$BT213,,AH213)*(1-AF213)+INDEX(Models!$BJ213:$BT213,,AH213+1)*AF213-ERP_i)*AE213*Ramure*Pc/MaxiM</f>
        <v>1.0123232152062121E-3</v>
      </c>
      <c r="AE213" s="307">
        <f t="shared" si="92"/>
        <v>0.9</v>
      </c>
      <c r="AF213" s="179">
        <f t="shared" si="93"/>
        <v>0.67908338960734493</v>
      </c>
      <c r="AG213" s="839">
        <f t="shared" si="99"/>
        <v>1</v>
      </c>
      <c r="AH213" s="178">
        <f t="shared" si="94"/>
        <v>7</v>
      </c>
      <c r="AI213" s="227">
        <f t="shared" si="95"/>
        <v>1.6790833896073449</v>
      </c>
      <c r="AJ213" s="267" t="b">
        <f t="shared" si="96"/>
        <v>0</v>
      </c>
      <c r="AK213" s="267" t="b">
        <f t="shared" si="97"/>
        <v>0</v>
      </c>
      <c r="AL213" s="267"/>
      <c r="AM213" s="267"/>
      <c r="AN213" s="75"/>
    </row>
    <row r="214" spans="1:40" s="6" customFormat="1" ht="11.25" x14ac:dyDescent="0.2">
      <c r="A214" s="56">
        <f t="shared" si="98"/>
        <v>45491</v>
      </c>
      <c r="B214" s="413">
        <f>'2023'!Wh/'2023'!Env_an*'2024'!Env_an</f>
        <v>42.846956147760416</v>
      </c>
      <c r="C214" s="868"/>
      <c r="D214" s="395">
        <f t="shared" si="77"/>
        <v>45.074669601252452</v>
      </c>
      <c r="E214" s="387">
        <f t="shared" si="75"/>
        <v>47.006586708755869</v>
      </c>
      <c r="F214" s="387">
        <f t="shared" si="78"/>
        <v>47.040675152674261</v>
      </c>
      <c r="G214" s="110">
        <f t="shared" si="76"/>
        <v>0.76600447493651691</v>
      </c>
      <c r="H214" s="416" t="b">
        <f>Wh_hp&gt;='2023'!Maxi_hp</f>
        <v>0</v>
      </c>
      <c r="I214" s="392">
        <f>IF(H214,Wh_hp,'2023'!Maxi_hp)</f>
        <v>60.668630393036239</v>
      </c>
      <c r="J214" s="85">
        <f>IF(H214,An,'2023'!An_max)</f>
        <v>2020</v>
      </c>
      <c r="K214" s="199">
        <f t="shared" si="79"/>
        <v>45491</v>
      </c>
      <c r="L214" s="147">
        <f>IF(t&lt;Tvie,1-EXP((T0-t)*PertePVj)+'2023'!Pspv,1-EXP((T0-t)*PertePVj)+Pspv)</f>
        <v>4.9422735057166878E-2</v>
      </c>
      <c r="M214" s="872"/>
      <c r="N214" s="872"/>
      <c r="O214" s="48">
        <f>IF(t&lt;Tnet,'2023'!Resal+('2023'!Salim-'2023'!Resal)*(1-EXP(('2023'!Tnet-t)/('2023'!Tau_j))),Resal+(Salim-Resal)*(1-EXP((Tnet-t)/(Tau_j))))*Salcycl</f>
        <v>4.1098859601808972E-2</v>
      </c>
      <c r="P214" s="171">
        <f>(INDEX(Models!$BJ214:$BT214,,T214)*(1-R214)+INDEX(Models!$BJ214:$BT214,,T214+1)*R214-ERP_i)*Q214*Ramure*Pc/MaxiM</f>
        <v>1.0878827241986833E-3</v>
      </c>
      <c r="Q214" s="307">
        <f t="shared" si="80"/>
        <v>0.9</v>
      </c>
      <c r="R214" s="179">
        <f t="shared" si="81"/>
        <v>0.68315869337913426</v>
      </c>
      <c r="S214" s="839">
        <f t="shared" si="82"/>
        <v>1</v>
      </c>
      <c r="T214" s="178">
        <f t="shared" si="83"/>
        <v>7</v>
      </c>
      <c r="U214" s="253">
        <f t="shared" si="84"/>
        <v>1.6831586933791343</v>
      </c>
      <c r="V214" s="385">
        <f t="shared" si="85"/>
        <v>55.915315416373566</v>
      </c>
      <c r="W214" s="404">
        <f t="shared" si="86"/>
        <v>42.846956147760416</v>
      </c>
      <c r="X214" s="157">
        <f t="shared" si="87"/>
        <v>45491</v>
      </c>
      <c r="Y214" s="387">
        <f t="shared" si="88"/>
        <v>38.876548996145807</v>
      </c>
      <c r="Z214" s="387">
        <f t="shared" si="89"/>
        <v>40.897831696494244</v>
      </c>
      <c r="AA214" s="388">
        <f t="shared" si="90"/>
        <v>47.006586708755869</v>
      </c>
      <c r="AB214" s="199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0.12995529860762592</v>
      </c>
      <c r="AD214" s="233">
        <f>(INDEX(Models!$BJ214:$BT214,,AH214)*(1-AF214)+INDEX(Models!$BJ214:$BT214,,AH214+1)*AF214-ERP_i)*AE214*Ramure*Pc/MaxiM</f>
        <v>1.0878827241986833E-3</v>
      </c>
      <c r="AE214" s="307">
        <f t="shared" si="92"/>
        <v>0.9</v>
      </c>
      <c r="AF214" s="179">
        <f t="shared" si="93"/>
        <v>0.68315869337913426</v>
      </c>
      <c r="AG214" s="839">
        <f t="shared" si="99"/>
        <v>1</v>
      </c>
      <c r="AH214" s="178">
        <f t="shared" si="94"/>
        <v>7</v>
      </c>
      <c r="AI214" s="227">
        <f t="shared" si="95"/>
        <v>1.6831586933791343</v>
      </c>
      <c r="AJ214" s="267" t="b">
        <f t="shared" si="96"/>
        <v>0</v>
      </c>
      <c r="AK214" s="267" t="b">
        <f t="shared" si="97"/>
        <v>0</v>
      </c>
      <c r="AL214" s="267"/>
      <c r="AM214" s="267"/>
      <c r="AN214" s="75"/>
    </row>
    <row r="215" spans="1:40" s="6" customFormat="1" ht="11.25" x14ac:dyDescent="0.2">
      <c r="A215" s="56">
        <f t="shared" si="98"/>
        <v>45492</v>
      </c>
      <c r="B215" s="413">
        <f>'2023'!Wh/'2023'!Env_an*'2024'!Env_an</f>
        <v>41.096036279812409</v>
      </c>
      <c r="C215" s="868"/>
      <c r="D215" s="395">
        <f t="shared" si="77"/>
        <v>43.233721426466211</v>
      </c>
      <c r="E215" s="387">
        <f t="shared" si="75"/>
        <v>45.096853790647138</v>
      </c>
      <c r="F215" s="387">
        <f t="shared" si="78"/>
        <v>45.129783851045211</v>
      </c>
      <c r="G215" s="110">
        <f t="shared" si="76"/>
        <v>0.7366039276060935</v>
      </c>
      <c r="H215" s="416" t="b">
        <f>Wh_hp&gt;='2023'!Maxi_hp</f>
        <v>0</v>
      </c>
      <c r="I215" s="392">
        <f>IF(H215,Wh_hp,'2023'!Maxi_hp)</f>
        <v>59.226165984778646</v>
      </c>
      <c r="J215" s="85">
        <f>IF(H215,An,'2023'!An_max)</f>
        <v>2020</v>
      </c>
      <c r="K215" s="199">
        <f t="shared" si="79"/>
        <v>45492</v>
      </c>
      <c r="L215" s="147">
        <f>IF(t&lt;Tvie,1-EXP((T0-t)*PertePVj)+'2023'!Pspv,1-EXP((T0-t)*PertePVj)+Pspv)</f>
        <v>4.9444856378826119E-2</v>
      </c>
      <c r="M215" s="872"/>
      <c r="N215" s="872"/>
      <c r="O215" s="48">
        <f>IF(t&lt;Tnet,'2023'!Resal+('2023'!Salim-'2023'!Resal)*(1-EXP(('2023'!Tnet-t)/('2023'!Tau_j))),Resal+(Salim-Resal)*(1-EXP((Tnet-t)/(Tau_j))))*Salcycl</f>
        <v>4.1314020992021659E-2</v>
      </c>
      <c r="P215" s="171">
        <f>(INDEX(Models!$BJ215:$BT215,,T215)*(1-R215)+INDEX(Models!$BJ215:$BT215,,T215+1)*R215-ERP_i)*Q215*Ramure*Pc/MaxiM</f>
        <v>1.1690080866632792E-3</v>
      </c>
      <c r="Q215" s="307">
        <f t="shared" si="80"/>
        <v>0.9</v>
      </c>
      <c r="R215" s="179">
        <f t="shared" si="81"/>
        <v>0.6871241729887434</v>
      </c>
      <c r="S215" s="839">
        <f t="shared" si="82"/>
        <v>1</v>
      </c>
      <c r="T215" s="178">
        <f t="shared" si="83"/>
        <v>7</v>
      </c>
      <c r="U215" s="253">
        <f t="shared" si="84"/>
        <v>1.6871241729887434</v>
      </c>
      <c r="V215" s="385">
        <f t="shared" si="85"/>
        <v>55.766697263919625</v>
      </c>
      <c r="W215" s="404">
        <f t="shared" si="86"/>
        <v>41.096036279812409</v>
      </c>
      <c r="X215" s="157">
        <f t="shared" si="87"/>
        <v>45492</v>
      </c>
      <c r="Y215" s="387">
        <f t="shared" si="88"/>
        <v>37.290972555955136</v>
      </c>
      <c r="Z215" s="387">
        <f t="shared" si="89"/>
        <v>39.230730385502774</v>
      </c>
      <c r="AA215" s="388">
        <f t="shared" si="90"/>
        <v>45.096853790647138</v>
      </c>
      <c r="AB215" s="199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0.13007832946343961</v>
      </c>
      <c r="AD215" s="233">
        <f>(INDEX(Models!$BJ215:$BT215,,AH215)*(1-AF215)+INDEX(Models!$BJ215:$BT215,,AH215+1)*AF215-ERP_i)*AE215*Ramure*Pc/MaxiM</f>
        <v>1.1690080866632792E-3</v>
      </c>
      <c r="AE215" s="307">
        <f t="shared" si="92"/>
        <v>0.9</v>
      </c>
      <c r="AF215" s="179">
        <f t="shared" si="93"/>
        <v>0.6871241729887434</v>
      </c>
      <c r="AG215" s="839">
        <f t="shared" si="99"/>
        <v>1</v>
      </c>
      <c r="AH215" s="178">
        <f t="shared" si="94"/>
        <v>7</v>
      </c>
      <c r="AI215" s="227">
        <f t="shared" si="95"/>
        <v>1.6871241729887434</v>
      </c>
      <c r="AJ215" s="267" t="b">
        <f t="shared" si="96"/>
        <v>0</v>
      </c>
      <c r="AK215" s="267" t="b">
        <f t="shared" si="97"/>
        <v>0</v>
      </c>
      <c r="AL215" s="267"/>
      <c r="AM215" s="267"/>
      <c r="AN215" s="75"/>
    </row>
    <row r="216" spans="1:40" s="6" customFormat="1" ht="11.25" x14ac:dyDescent="0.2">
      <c r="A216" s="56">
        <f t="shared" si="98"/>
        <v>45493</v>
      </c>
      <c r="B216" s="413">
        <f>'2023'!Wh/'2023'!Env_an*'2024'!Env_an</f>
        <v>51.980738105761155</v>
      </c>
      <c r="C216" s="868"/>
      <c r="D216" s="395">
        <f t="shared" si="77"/>
        <v>54.685883455009403</v>
      </c>
      <c r="E216" s="387">
        <f t="shared" si="75"/>
        <v>57.055311125263088</v>
      </c>
      <c r="F216" s="387">
        <f t="shared" si="78"/>
        <v>57.12034356589276</v>
      </c>
      <c r="G216" s="110">
        <f t="shared" si="76"/>
        <v>0.9345292124493324</v>
      </c>
      <c r="H216" s="416" t="b">
        <f>Wh_hp&gt;='2023'!Maxi_hp</f>
        <v>0</v>
      </c>
      <c r="I216" s="392">
        <f>IF(H216,Wh_hp,'2023'!Maxi_hp)</f>
        <v>57.123658871758579</v>
      </c>
      <c r="J216" s="85">
        <f>IF(H216,An,'2023'!An_max)</f>
        <v>2022</v>
      </c>
      <c r="K216" s="199">
        <f t="shared" si="79"/>
        <v>45493</v>
      </c>
      <c r="L216" s="147">
        <f>IF(t&lt;Tvie,1-EXP((T0-t)*PertePVj)+'2023'!Pspv,1-EXP((T0-t)*PertePVj)+Pspv)</f>
        <v>4.9466977185689931E-2</v>
      </c>
      <c r="M216" s="872"/>
      <c r="N216" s="872"/>
      <c r="O216" s="48">
        <f>IF(t&lt;Tnet,'2023'!Resal+('2023'!Salim-'2023'!Resal)*(1-EXP(('2023'!Tnet-t)/('2023'!Tau_j))),Resal+(Salim-Resal)*(1-EXP((Tnet-t)/(Tau_j))))*Salcycl</f>
        <v>4.1528608354298224E-2</v>
      </c>
      <c r="P216" s="171">
        <f>(INDEX(Models!$BJ216:$BT216,,T216)*(1-R216)+INDEX(Models!$BJ216:$BT216,,T216+1)*R216-ERP_i)*Q216*Ramure*Pc/MaxiM</f>
        <v>1.2557713603530726E-3</v>
      </c>
      <c r="Q216" s="307">
        <f t="shared" si="80"/>
        <v>0.9</v>
      </c>
      <c r="R216" s="179">
        <f t="shared" si="81"/>
        <v>0.6909809948500274</v>
      </c>
      <c r="S216" s="839">
        <f t="shared" si="82"/>
        <v>1</v>
      </c>
      <c r="T216" s="178">
        <f t="shared" si="83"/>
        <v>7</v>
      </c>
      <c r="U216" s="253">
        <f t="shared" si="84"/>
        <v>1.6909809948500274</v>
      </c>
      <c r="V216" s="385">
        <f t="shared" si="85"/>
        <v>55.615849628010324</v>
      </c>
      <c r="W216" s="404">
        <f t="shared" si="86"/>
        <v>51.980738105761155</v>
      </c>
      <c r="X216" s="157">
        <f t="shared" si="87"/>
        <v>45493</v>
      </c>
      <c r="Y216" s="387">
        <f t="shared" si="88"/>
        <v>47.171820865111528</v>
      </c>
      <c r="Z216" s="387">
        <f t="shared" si="89"/>
        <v>49.626703894459759</v>
      </c>
      <c r="AA216" s="388">
        <f t="shared" si="90"/>
        <v>57.055311125263088</v>
      </c>
      <c r="AB216" s="199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0.13020010029380208</v>
      </c>
      <c r="AD216" s="233">
        <f>(INDEX(Models!$BJ216:$BT216,,AH216)*(1-AF216)+INDEX(Models!$BJ216:$BT216,,AH216+1)*AF216-ERP_i)*AE216*Ramure*Pc/MaxiM</f>
        <v>1.2557713603530726E-3</v>
      </c>
      <c r="AE216" s="307">
        <f t="shared" si="92"/>
        <v>0.9</v>
      </c>
      <c r="AF216" s="179">
        <f t="shared" si="93"/>
        <v>0.6909809948500274</v>
      </c>
      <c r="AG216" s="839">
        <f t="shared" si="99"/>
        <v>1</v>
      </c>
      <c r="AH216" s="178">
        <f t="shared" si="94"/>
        <v>7</v>
      </c>
      <c r="AI216" s="227">
        <f t="shared" si="95"/>
        <v>1.6909809948500274</v>
      </c>
      <c r="AJ216" s="267" t="b">
        <f t="shared" si="96"/>
        <v>0</v>
      </c>
      <c r="AK216" s="267" t="b">
        <f t="shared" si="97"/>
        <v>0</v>
      </c>
      <c r="AL216" s="267"/>
      <c r="AM216" s="267"/>
      <c r="AN216" s="75"/>
    </row>
    <row r="217" spans="1:40" s="6" customFormat="1" ht="11.25" x14ac:dyDescent="0.2">
      <c r="A217" s="56">
        <f t="shared" si="98"/>
        <v>45494</v>
      </c>
      <c r="B217" s="413">
        <f>'2023'!Wh/'2023'!Env_an*'2024'!Env_an</f>
        <v>39.149540890191304</v>
      </c>
      <c r="C217" s="868"/>
      <c r="D217" s="395">
        <f t="shared" si="77"/>
        <v>41.187892517914285</v>
      </c>
      <c r="E217" s="387">
        <f t="shared" si="75"/>
        <v>42.982077953841234</v>
      </c>
      <c r="F217" s="387">
        <f t="shared" si="78"/>
        <v>43.015704507759345</v>
      </c>
      <c r="G217" s="110">
        <f t="shared" si="76"/>
        <v>0.70546782653098905</v>
      </c>
      <c r="H217" s="416" t="b">
        <f>Wh_hp&gt;='2023'!Maxi_hp</f>
        <v>0</v>
      </c>
      <c r="I217" s="392">
        <f>IF(H217,Wh_hp,'2023'!Maxi_hp)</f>
        <v>55.801996612148457</v>
      </c>
      <c r="J217" s="85">
        <f>IF(H217,An,'2023'!An_max)</f>
        <v>2021</v>
      </c>
      <c r="K217" s="199">
        <f t="shared" si="79"/>
        <v>45494</v>
      </c>
      <c r="L217" s="147">
        <f>IF(t&lt;Tvie,1-EXP((T0-t)*PertePVj)+'2023'!Pspv,1-EXP((T0-t)*PertePVj)+Pspv)</f>
        <v>4.9489097477770194E-2</v>
      </c>
      <c r="M217" s="872"/>
      <c r="N217" s="872"/>
      <c r="O217" s="48">
        <f>IF(t&lt;Tnet,'2023'!Resal+('2023'!Salim-'2023'!Resal)*(1-EXP(('2023'!Tnet-t)/('2023'!Tau_j))),Resal+(Salim-Resal)*(1-EXP((Tnet-t)/(Tau_j))))*Salcycl</f>
        <v>4.1742640685118508E-2</v>
      </c>
      <c r="P217" s="171">
        <f>(INDEX(Models!$BJ217:$BT217,,T217)*(1-R217)+INDEX(Models!$BJ217:$BT217,,T217+1)*R217-ERP_i)*Q217*Ramure*Pc/MaxiM</f>
        <v>1.3482440859531547E-3</v>
      </c>
      <c r="Q217" s="307">
        <f t="shared" si="80"/>
        <v>0.9</v>
      </c>
      <c r="R217" s="179">
        <f t="shared" si="81"/>
        <v>0.69473044077021795</v>
      </c>
      <c r="S217" s="839">
        <f t="shared" si="82"/>
        <v>1</v>
      </c>
      <c r="T217" s="178">
        <f t="shared" si="83"/>
        <v>7</v>
      </c>
      <c r="U217" s="253">
        <f t="shared" si="84"/>
        <v>1.6947304407702179</v>
      </c>
      <c r="V217" s="385">
        <f t="shared" si="85"/>
        <v>55.462975345304407</v>
      </c>
      <c r="W217" s="404">
        <f t="shared" si="86"/>
        <v>39.149540890191304</v>
      </c>
      <c r="X217" s="157">
        <f t="shared" si="87"/>
        <v>45494</v>
      </c>
      <c r="Y217" s="387">
        <f t="shared" si="88"/>
        <v>35.530690789200293</v>
      </c>
      <c r="Z217" s="387">
        <f t="shared" si="89"/>
        <v>37.380624141099034</v>
      </c>
      <c r="AA217" s="388">
        <f t="shared" si="90"/>
        <v>42.982077953841234</v>
      </c>
      <c r="AB217" s="199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0.13032068432702676</v>
      </c>
      <c r="AD217" s="233">
        <f>(INDEX(Models!$BJ217:$BT217,,AH217)*(1-AF217)+INDEX(Models!$BJ217:$BT217,,AH217+1)*AF217-ERP_i)*AE217*Ramure*Pc/MaxiM</f>
        <v>1.3482440859531547E-3</v>
      </c>
      <c r="AE217" s="307">
        <f t="shared" si="92"/>
        <v>0.9</v>
      </c>
      <c r="AF217" s="179">
        <f t="shared" si="93"/>
        <v>0.69473044077021795</v>
      </c>
      <c r="AG217" s="839">
        <f t="shared" si="99"/>
        <v>1</v>
      </c>
      <c r="AH217" s="178">
        <f t="shared" si="94"/>
        <v>7</v>
      </c>
      <c r="AI217" s="227">
        <f t="shared" si="95"/>
        <v>1.6947304407702179</v>
      </c>
      <c r="AJ217" s="267" t="b">
        <f t="shared" si="96"/>
        <v>0</v>
      </c>
      <c r="AK217" s="267" t="b">
        <f t="shared" si="97"/>
        <v>0</v>
      </c>
      <c r="AL217" s="267"/>
      <c r="AM217" s="267"/>
      <c r="AN217" s="75"/>
    </row>
    <row r="218" spans="1:40" s="6" customFormat="1" ht="11.25" x14ac:dyDescent="0.2">
      <c r="A218" s="56">
        <f t="shared" si="98"/>
        <v>45495</v>
      </c>
      <c r="B218" s="413">
        <f>'2023'!Wh/'2023'!Env_an*'2024'!Env_an</f>
        <v>48.885249794761464</v>
      </c>
      <c r="C218" s="868"/>
      <c r="D218" s="395">
        <f t="shared" si="77"/>
        <v>51.431695651983937</v>
      </c>
      <c r="E218" s="387">
        <f t="shared" si="75"/>
        <v>53.684071892017862</v>
      </c>
      <c r="F218" s="387">
        <f t="shared" si="78"/>
        <v>53.748921063079806</v>
      </c>
      <c r="G218" s="110">
        <f t="shared" si="76"/>
        <v>0.88365624118218777</v>
      </c>
      <c r="H218" s="416" t="b">
        <f>Wh_hp&gt;='2023'!Maxi_hp</f>
        <v>0</v>
      </c>
      <c r="I218" s="392">
        <f>IF(H218,Wh_hp,'2023'!Maxi_hp)</f>
        <v>56.868046767934125</v>
      </c>
      <c r="J218" s="85">
        <f>IF(H218,An,'2023'!An_max)</f>
        <v>2019</v>
      </c>
      <c r="K218" s="199">
        <f t="shared" si="79"/>
        <v>45495</v>
      </c>
      <c r="L218" s="147">
        <f>IF(t&lt;Tvie,1-EXP((T0-t)*PertePVj)+'2023'!Pspv,1-EXP((T0-t)*PertePVj)+Pspv)</f>
        <v>4.9511217255078899E-2</v>
      </c>
      <c r="M218" s="872"/>
      <c r="N218" s="872"/>
      <c r="O218" s="48">
        <f>IF(t&lt;Tnet,'2023'!Resal+('2023'!Salim-'2023'!Resal)*(1-EXP(('2023'!Tnet-t)/('2023'!Tau_j))),Resal+(Salim-Resal)*(1-EXP((Tnet-t)/(Tau_j))))*Salcycl</f>
        <v>4.1956136348308914E-2</v>
      </c>
      <c r="P218" s="171">
        <f>(INDEX(Models!$BJ218:$BT218,,T218)*(1-R218)+INDEX(Models!$BJ218:$BT218,,T218+1)*R218-ERP_i)*Q218*Ramure*Pc/MaxiM</f>
        <v>1.4464971904536172E-3</v>
      </c>
      <c r="Q218" s="307">
        <f t="shared" si="80"/>
        <v>0.9</v>
      </c>
      <c r="R218" s="179">
        <f t="shared" si="81"/>
        <v>0.698373898435803</v>
      </c>
      <c r="S218" s="839">
        <f t="shared" si="82"/>
        <v>1</v>
      </c>
      <c r="T218" s="178">
        <f t="shared" si="83"/>
        <v>7</v>
      </c>
      <c r="U218" s="253">
        <f t="shared" si="84"/>
        <v>1.698373898435803</v>
      </c>
      <c r="V218" s="385">
        <f t="shared" si="85"/>
        <v>55.308277157701283</v>
      </c>
      <c r="W218" s="404">
        <f t="shared" si="86"/>
        <v>48.885249794761464</v>
      </c>
      <c r="X218" s="157">
        <f t="shared" si="87"/>
        <v>45495</v>
      </c>
      <c r="Y218" s="387">
        <f t="shared" si="88"/>
        <v>44.370254867403027</v>
      </c>
      <c r="Z218" s="387">
        <f t="shared" si="89"/>
        <v>46.681513420143638</v>
      </c>
      <c r="AA218" s="388">
        <f t="shared" si="90"/>
        <v>53.684071892017862</v>
      </c>
      <c r="AB218" s="199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0.13044015152128224</v>
      </c>
      <c r="AD218" s="233">
        <f>(INDEX(Models!$BJ218:$BT218,,AH218)*(1-AF218)+INDEX(Models!$BJ218:$BT218,,AH218+1)*AF218-ERP_i)*AE218*Ramure*Pc/MaxiM</f>
        <v>1.4464971904536172E-3</v>
      </c>
      <c r="AE218" s="307">
        <f t="shared" si="92"/>
        <v>0.9</v>
      </c>
      <c r="AF218" s="179">
        <f t="shared" si="93"/>
        <v>0.698373898435803</v>
      </c>
      <c r="AG218" s="839">
        <f t="shared" si="99"/>
        <v>1</v>
      </c>
      <c r="AH218" s="178">
        <f t="shared" si="94"/>
        <v>7</v>
      </c>
      <c r="AI218" s="227">
        <f t="shared" si="95"/>
        <v>1.698373898435803</v>
      </c>
      <c r="AJ218" s="267" t="b">
        <f t="shared" si="96"/>
        <v>0</v>
      </c>
      <c r="AK218" s="267" t="b">
        <f t="shared" si="97"/>
        <v>0</v>
      </c>
      <c r="AL218" s="267"/>
      <c r="AM218" s="267"/>
      <c r="AN218" s="75"/>
    </row>
    <row r="219" spans="1:40" s="6" customFormat="1" ht="11.25" x14ac:dyDescent="0.2">
      <c r="A219" s="56">
        <f t="shared" si="98"/>
        <v>45496</v>
      </c>
      <c r="B219" s="413">
        <f>'2023'!Wh/'2023'!Env_an*'2024'!Env_an</f>
        <v>51.512699524231429</v>
      </c>
      <c r="C219" s="868"/>
      <c r="D219" s="395">
        <f t="shared" si="77"/>
        <v>54.197271196757576</v>
      </c>
      <c r="E219" s="387">
        <f t="shared" si="75"/>
        <v>56.583340473228219</v>
      </c>
      <c r="F219" s="387">
        <f t="shared" si="78"/>
        <v>56.662919823952585</v>
      </c>
      <c r="G219" s="110">
        <f t="shared" si="76"/>
        <v>0.93387841513993786</v>
      </c>
      <c r="H219" s="416" t="b">
        <f>Wh_hp&gt;='2023'!Maxi_hp</f>
        <v>0</v>
      </c>
      <c r="I219" s="392">
        <f>IF(H219,Wh_hp,'2023'!Maxi_hp)</f>
        <v>57.12402573643886</v>
      </c>
      <c r="J219" s="85">
        <f>IF(H219,An,'2023'!An_max)</f>
        <v>2019</v>
      </c>
      <c r="K219" s="199">
        <f t="shared" si="79"/>
        <v>45496</v>
      </c>
      <c r="L219" s="147">
        <f>IF(t&lt;Tvie,1-EXP((T0-t)*PertePVj)+'2023'!Pspv,1-EXP((T0-t)*PertePVj)+Pspv)</f>
        <v>4.9533336517628146E-2</v>
      </c>
      <c r="M219" s="872"/>
      <c r="N219" s="872"/>
      <c r="O219" s="48">
        <f>IF(t&lt;Tnet,'2023'!Resal+('2023'!Salim-'2023'!Resal)*(1-EXP(('2023'!Tnet-t)/('2023'!Tau_j))),Resal+(Salim-Resal)*(1-EXP((Tnet-t)/(Tau_j))))*Salcycl</f>
        <v>4.2169112967085934E-2</v>
      </c>
      <c r="P219" s="171">
        <f>(INDEX(Models!$BJ219:$BT219,,T219)*(1-R219)+INDEX(Models!$BJ219:$BT219,,T219+1)*R219-ERP_i)*Q219*Ramure*Pc/MaxiM</f>
        <v>1.5506002900935326E-3</v>
      </c>
      <c r="Q219" s="307">
        <f t="shared" si="80"/>
        <v>0.9</v>
      </c>
      <c r="R219" s="179">
        <f t="shared" si="81"/>
        <v>0.70191285209583132</v>
      </c>
      <c r="S219" s="839">
        <f t="shared" si="82"/>
        <v>1</v>
      </c>
      <c r="T219" s="178">
        <f t="shared" si="83"/>
        <v>7</v>
      </c>
      <c r="U219" s="253">
        <f t="shared" si="84"/>
        <v>1.7019128520958313</v>
      </c>
      <c r="V219" s="385">
        <f t="shared" si="85"/>
        <v>55.151889900691451</v>
      </c>
      <c r="W219" s="404">
        <f t="shared" si="86"/>
        <v>51.512699524231429</v>
      </c>
      <c r="X219" s="157">
        <f t="shared" si="87"/>
        <v>45496</v>
      </c>
      <c r="Y219" s="387">
        <f t="shared" si="88"/>
        <v>46.75906345371331</v>
      </c>
      <c r="Z219" s="387">
        <f t="shared" si="89"/>
        <v>49.195900550993436</v>
      </c>
      <c r="AA219" s="388">
        <f t="shared" si="90"/>
        <v>56.583340473228219</v>
      </c>
      <c r="AB219" s="199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0.13055856830739898</v>
      </c>
      <c r="AD219" s="233">
        <f>(INDEX(Models!$BJ219:$BT219,,AH219)*(1-AF219)+INDEX(Models!$BJ219:$BT219,,AH219+1)*AF219-ERP_i)*AE219*Ramure*Pc/MaxiM</f>
        <v>1.5506002900935326E-3</v>
      </c>
      <c r="AE219" s="307">
        <f t="shared" si="92"/>
        <v>0.9</v>
      </c>
      <c r="AF219" s="179">
        <f t="shared" si="93"/>
        <v>0.70191285209583132</v>
      </c>
      <c r="AG219" s="839">
        <f t="shared" si="99"/>
        <v>1</v>
      </c>
      <c r="AH219" s="178">
        <f t="shared" si="94"/>
        <v>7</v>
      </c>
      <c r="AI219" s="227">
        <f t="shared" si="95"/>
        <v>1.7019128520958313</v>
      </c>
      <c r="AJ219" s="267" t="b">
        <f t="shared" si="96"/>
        <v>0</v>
      </c>
      <c r="AK219" s="267" t="b">
        <f t="shared" si="97"/>
        <v>0</v>
      </c>
      <c r="AL219" s="267"/>
      <c r="AM219" s="267"/>
      <c r="AN219" s="75"/>
    </row>
    <row r="220" spans="1:40" s="6" customFormat="1" ht="11.25" x14ac:dyDescent="0.2">
      <c r="A220" s="56">
        <f t="shared" si="98"/>
        <v>45497</v>
      </c>
      <c r="B220" s="413">
        <f>'2023'!Wh/'2023'!Env_an*'2024'!Env_an</f>
        <v>31.119447078582265</v>
      </c>
      <c r="C220" s="868"/>
      <c r="D220" s="395">
        <f t="shared" si="77"/>
        <v>32.741991367074412</v>
      </c>
      <c r="E220" s="387">
        <f t="shared" si="75"/>
        <v>34.191062884474135</v>
      </c>
      <c r="F220" s="387">
        <f t="shared" si="78"/>
        <v>34.212742786756074</v>
      </c>
      <c r="G220" s="110">
        <f t="shared" si="76"/>
        <v>0.5652916941274615</v>
      </c>
      <c r="H220" s="416" t="b">
        <f>Wh_hp&gt;='2023'!Maxi_hp</f>
        <v>0</v>
      </c>
      <c r="I220" s="392">
        <f>IF(H220,Wh_hp,'2023'!Maxi_hp)</f>
        <v>58.709047096297212</v>
      </c>
      <c r="J220" s="85">
        <f>IF(H220,An,'2023'!An_max)</f>
        <v>2020</v>
      </c>
      <c r="K220" s="199">
        <f t="shared" si="79"/>
        <v>45497</v>
      </c>
      <c r="L220" s="147">
        <f>IF(t&lt;Tvie,1-EXP((T0-t)*PertePVj)+'2023'!Pspv,1-EXP((T0-t)*PertePVj)+Pspv)</f>
        <v>4.9555455265429815E-2</v>
      </c>
      <c r="M220" s="872"/>
      <c r="N220" s="872"/>
      <c r="O220" s="48">
        <f>IF(t&lt;Tnet,'2023'!Resal+('2023'!Salim-'2023'!Resal)*(1-EXP(('2023'!Tnet-t)/('2023'!Tau_j))),Resal+(Salim-Resal)*(1-EXP((Tnet-t)/(Tau_j))))*Salcycl</f>
        <v>4.238158732578419E-2</v>
      </c>
      <c r="P220" s="171">
        <f>(INDEX(Models!$BJ220:$BT220,,T220)*(1-R220)+INDEX(Models!$BJ220:$BT220,,T220+1)*R220-ERP_i)*Q220*Ramure*Pc/MaxiM</f>
        <v>1.6683446942259168E-3</v>
      </c>
      <c r="Q220" s="307">
        <f t="shared" si="80"/>
        <v>0.9</v>
      </c>
      <c r="R220" s="179">
        <f t="shared" si="81"/>
        <v>0.70534887347782016</v>
      </c>
      <c r="S220" s="839">
        <f t="shared" si="82"/>
        <v>1</v>
      </c>
      <c r="T220" s="178">
        <f t="shared" si="83"/>
        <v>7</v>
      </c>
      <c r="U220" s="253">
        <f t="shared" si="84"/>
        <v>1.7053488734778202</v>
      </c>
      <c r="V220" s="385">
        <f t="shared" si="85"/>
        <v>54.99325174254971</v>
      </c>
      <c r="W220" s="404">
        <f t="shared" si="86"/>
        <v>31.119447078582265</v>
      </c>
      <c r="X220" s="157">
        <f t="shared" si="87"/>
        <v>45497</v>
      </c>
      <c r="Y220" s="387">
        <f t="shared" si="88"/>
        <v>28.250169311724587</v>
      </c>
      <c r="Z220" s="387">
        <f t="shared" si="89"/>
        <v>29.723111640999516</v>
      </c>
      <c r="AA220" s="388">
        <f t="shared" si="90"/>
        <v>34.191062884474135</v>
      </c>
      <c r="AB220" s="199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0.13067599736723826</v>
      </c>
      <c r="AD220" s="233">
        <f>(INDEX(Models!$BJ220:$BT220,,AH220)*(1-AF220)+INDEX(Models!$BJ220:$BT220,,AH220+1)*AF220-ERP_i)*AE220*Ramure*Pc/MaxiM</f>
        <v>1.6683446942259168E-3</v>
      </c>
      <c r="AE220" s="307">
        <f t="shared" si="92"/>
        <v>0.9</v>
      </c>
      <c r="AF220" s="179">
        <f t="shared" si="93"/>
        <v>0.70534887347782016</v>
      </c>
      <c r="AG220" s="839">
        <f t="shared" si="99"/>
        <v>1</v>
      </c>
      <c r="AH220" s="178">
        <f t="shared" si="94"/>
        <v>7</v>
      </c>
      <c r="AI220" s="227">
        <f t="shared" si="95"/>
        <v>1.7053488734778202</v>
      </c>
      <c r="AJ220" s="267" t="b">
        <f t="shared" si="96"/>
        <v>0</v>
      </c>
      <c r="AK220" s="267" t="b">
        <f t="shared" si="97"/>
        <v>0</v>
      </c>
      <c r="AL220" s="267"/>
      <c r="AM220" s="267"/>
      <c r="AN220" s="75"/>
    </row>
    <row r="221" spans="1:40" s="6" customFormat="1" ht="11.25" x14ac:dyDescent="0.2">
      <c r="A221" s="56">
        <f t="shared" si="98"/>
        <v>45498</v>
      </c>
      <c r="B221" s="413">
        <f>'2023'!Wh/'2023'!Env_an*'2024'!Env_an</f>
        <v>52.659063187815256</v>
      </c>
      <c r="C221" s="868"/>
      <c r="D221" s="395">
        <f t="shared" si="77"/>
        <v>55.405956045937138</v>
      </c>
      <c r="E221" s="387">
        <f t="shared" si="75"/>
        <v>57.870883895773709</v>
      </c>
      <c r="F221" s="387">
        <f t="shared" si="78"/>
        <v>57.969268463153647</v>
      </c>
      <c r="G221" s="110">
        <f t="shared" si="76"/>
        <v>0.96026945046058243</v>
      </c>
      <c r="H221" s="416" t="b">
        <f>Wh_hp&gt;='2023'!Maxi_hp</f>
        <v>0</v>
      </c>
      <c r="I221" s="392">
        <f>IF(H221,Wh_hp,'2023'!Maxi_hp)</f>
        <v>58.036306990108471</v>
      </c>
      <c r="J221" s="85">
        <f>IF(H221,An,'2023'!An_max)</f>
        <v>2020</v>
      </c>
      <c r="K221" s="199">
        <f t="shared" si="79"/>
        <v>45498</v>
      </c>
      <c r="L221" s="147">
        <f>IF(t&lt;Tvie,1-EXP((T0-t)*PertePVj)+'2023'!Pspv,1-EXP((T0-t)*PertePVj)+Pspv)</f>
        <v>4.9577573498495897E-2</v>
      </c>
      <c r="M221" s="872"/>
      <c r="N221" s="872"/>
      <c r="O221" s="48">
        <f>IF(t&lt;Tnet,'2023'!Resal+('2023'!Salim-'2023'!Resal)*(1-EXP(('2023'!Tnet-t)/('2023'!Tau_j))),Resal+(Salim-Resal)*(1-EXP((Tnet-t)/(Tau_j))))*Salcycl</f>
        <v>4.2593575281758979E-2</v>
      </c>
      <c r="P221" s="171">
        <f>(INDEX(Models!$BJ221:$BT221,,T221)*(1-R221)+INDEX(Models!$BJ221:$BT221,,T221+1)*R221-ERP_i)*Q221*Ramure*Pc/MaxiM</f>
        <v>1.7990430252099662E-3</v>
      </c>
      <c r="Q221" s="307">
        <f t="shared" si="80"/>
        <v>0.9</v>
      </c>
      <c r="R221" s="179">
        <f t="shared" si="81"/>
        <v>0.70868361296682281</v>
      </c>
      <c r="S221" s="839">
        <f t="shared" si="82"/>
        <v>1</v>
      </c>
      <c r="T221" s="178">
        <f t="shared" si="83"/>
        <v>7</v>
      </c>
      <c r="U221" s="253">
        <f t="shared" si="84"/>
        <v>1.7086836129668228</v>
      </c>
      <c r="V221" s="385">
        <f t="shared" si="85"/>
        <v>54.832203909648761</v>
      </c>
      <c r="W221" s="404">
        <f t="shared" si="86"/>
        <v>52.659063187815256</v>
      </c>
      <c r="X221" s="157">
        <f t="shared" si="87"/>
        <v>45498</v>
      </c>
      <c r="Y221" s="387">
        <f t="shared" si="88"/>
        <v>47.807964954565954</v>
      </c>
      <c r="Z221" s="387">
        <f t="shared" si="89"/>
        <v>50.301806461519028</v>
      </c>
      <c r="AA221" s="388">
        <f t="shared" si="90"/>
        <v>57.870883895773709</v>
      </c>
      <c r="AB221" s="199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0.13079249744805518</v>
      </c>
      <c r="AD221" s="233">
        <f>(INDEX(Models!$BJ221:$BT221,,AH221)*(1-AF221)+INDEX(Models!$BJ221:$BT221,,AH221+1)*AF221-ERP_i)*AE221*Ramure*Pc/MaxiM</f>
        <v>1.7990430252099662E-3</v>
      </c>
      <c r="AE221" s="307">
        <f t="shared" si="92"/>
        <v>0.9</v>
      </c>
      <c r="AF221" s="179">
        <f t="shared" si="93"/>
        <v>0.70868361296682281</v>
      </c>
      <c r="AG221" s="839">
        <f t="shared" si="99"/>
        <v>1</v>
      </c>
      <c r="AH221" s="178">
        <f t="shared" si="94"/>
        <v>7</v>
      </c>
      <c r="AI221" s="227">
        <f t="shared" si="95"/>
        <v>1.7086836129668228</v>
      </c>
      <c r="AJ221" s="267" t="b">
        <f t="shared" si="96"/>
        <v>0</v>
      </c>
      <c r="AK221" s="267" t="b">
        <f t="shared" si="97"/>
        <v>0</v>
      </c>
      <c r="AL221" s="267"/>
      <c r="AM221" s="267"/>
      <c r="AN221" s="75"/>
    </row>
    <row r="222" spans="1:40" s="6" customFormat="1" ht="11.25" x14ac:dyDescent="0.2">
      <c r="A222" s="56">
        <f t="shared" si="98"/>
        <v>45499</v>
      </c>
      <c r="B222" s="413">
        <f>'2023'!Wh/'2023'!Env_an*'2024'!Env_an</f>
        <v>55.41548009148007</v>
      </c>
      <c r="C222" s="868"/>
      <c r="D222" s="395">
        <f t="shared" si="77"/>
        <v>58.30751482228672</v>
      </c>
      <c r="E222" s="387">
        <f t="shared" si="75"/>
        <v>60.914986400315676</v>
      </c>
      <c r="F222" s="387">
        <f t="shared" si="78"/>
        <v>61.033566863458468</v>
      </c>
      <c r="G222" s="110">
        <f t="shared" si="76"/>
        <v>1.0136630640953654</v>
      </c>
      <c r="H222" s="416" t="b">
        <f>Wh_hp&gt;='2023'!Maxi_hp</f>
        <v>1</v>
      </c>
      <c r="I222" s="392">
        <f>IF(H222,Wh_hp,'2023'!Maxi_hp)</f>
        <v>61.033566863458468</v>
      </c>
      <c r="J222" s="85">
        <f>IF(H222,An,'2023'!An_max)</f>
        <v>2024</v>
      </c>
      <c r="K222" s="199">
        <f t="shared" si="79"/>
        <v>45499</v>
      </c>
      <c r="L222" s="147">
        <f>IF(t&lt;Tvie,1-EXP((T0-t)*PertePVj)+'2023'!Pspv,1-EXP((T0-t)*PertePVj)+Pspv)</f>
        <v>4.9599691216838382E-2</v>
      </c>
      <c r="M222" s="872"/>
      <c r="N222" s="872"/>
      <c r="O222" s="48">
        <f>IF(t&lt;Tnet,'2023'!Resal+('2023'!Salim-'2023'!Resal)*(1-EXP(('2023'!Tnet-t)/('2023'!Tau_j))),Resal+(Salim-Resal)*(1-EXP((Tnet-t)/(Tau_j))))*Salcycl</f>
        <v>4.2805091687838588E-2</v>
      </c>
      <c r="P222" s="171">
        <f>(INDEX(Models!$BJ222:$BT222,,T222)*(1-R222)+INDEX(Models!$BJ222:$BT222,,T222+1)*R222-ERP_i)*Q222*Ramure*Pc/MaxiM</f>
        <v>1.9428729015309927E-3</v>
      </c>
      <c r="Q222" s="307">
        <f t="shared" si="80"/>
        <v>0.9</v>
      </c>
      <c r="R222" s="179">
        <f t="shared" si="81"/>
        <v>0.71191879107377476</v>
      </c>
      <c r="S222" s="839">
        <f t="shared" si="82"/>
        <v>1</v>
      </c>
      <c r="T222" s="178">
        <f t="shared" si="83"/>
        <v>7</v>
      </c>
      <c r="U222" s="253">
        <f t="shared" si="84"/>
        <v>1.7119187910737748</v>
      </c>
      <c r="V222" s="385">
        <f t="shared" si="85"/>
        <v>54.668540321073181</v>
      </c>
      <c r="W222" s="404">
        <f t="shared" si="86"/>
        <v>55.41548009148007</v>
      </c>
      <c r="X222" s="157">
        <f t="shared" si="87"/>
        <v>45499</v>
      </c>
      <c r="Y222" s="387">
        <f t="shared" si="88"/>
        <v>50.314876497498602</v>
      </c>
      <c r="Z222" s="387">
        <f t="shared" si="89"/>
        <v>52.940719855109158</v>
      </c>
      <c r="AA222" s="388">
        <f t="shared" si="90"/>
        <v>60.914986400315676</v>
      </c>
      <c r="AB222" s="199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0.13090812321293063</v>
      </c>
      <c r="AD222" s="233">
        <f>(INDEX(Models!$BJ222:$BT222,,AH222)*(1-AF222)+INDEX(Models!$BJ222:$BT222,,AH222+1)*AF222-ERP_i)*AE222*Ramure*Pc/MaxiM</f>
        <v>1.9428729015309927E-3</v>
      </c>
      <c r="AE222" s="307">
        <f t="shared" si="92"/>
        <v>0.9</v>
      </c>
      <c r="AF222" s="179">
        <f t="shared" si="93"/>
        <v>0.71191879107377476</v>
      </c>
      <c r="AG222" s="839">
        <f t="shared" si="99"/>
        <v>1</v>
      </c>
      <c r="AH222" s="178">
        <f t="shared" si="94"/>
        <v>7</v>
      </c>
      <c r="AI222" s="227">
        <f t="shared" si="95"/>
        <v>1.7119187910737748</v>
      </c>
      <c r="AJ222" s="267" t="b">
        <f t="shared" si="96"/>
        <v>0</v>
      </c>
      <c r="AK222" s="267" t="b">
        <f t="shared" si="97"/>
        <v>0</v>
      </c>
      <c r="AL222" s="267"/>
      <c r="AM222" s="267"/>
      <c r="AN222" s="75"/>
    </row>
    <row r="223" spans="1:40" s="6" customFormat="1" ht="11.25" x14ac:dyDescent="0.2">
      <c r="A223" s="56">
        <f t="shared" si="98"/>
        <v>45500</v>
      </c>
      <c r="B223" s="413">
        <f>'2023'!Wh/'2023'!Env_an*'2024'!Env_an</f>
        <v>47.24261177333873</v>
      </c>
      <c r="C223" s="868"/>
      <c r="D223" s="395">
        <f t="shared" si="77"/>
        <v>49.709275940792999</v>
      </c>
      <c r="E223" s="387">
        <f t="shared" si="75"/>
        <v>51.943693676444958</v>
      </c>
      <c r="F223" s="387">
        <f t="shared" si="78"/>
        <v>52.032170488585095</v>
      </c>
      <c r="G223" s="110">
        <f t="shared" si="76"/>
        <v>0.86645726721370786</v>
      </c>
      <c r="H223" s="416" t="b">
        <f>Wh_hp&gt;='2023'!Maxi_hp</f>
        <v>0</v>
      </c>
      <c r="I223" s="392">
        <f>IF(H223,Wh_hp,'2023'!Maxi_hp)</f>
        <v>61.3460462503919</v>
      </c>
      <c r="J223" s="85">
        <f>IF(H223,An,'2023'!An_max)</f>
        <v>2019</v>
      </c>
      <c r="K223" s="199">
        <f t="shared" si="79"/>
        <v>45500</v>
      </c>
      <c r="L223" s="147">
        <f>IF(t&lt;Tvie,1-EXP((T0-t)*PertePVj)+'2023'!Pspv,1-EXP((T0-t)*PertePVj)+Pspv)</f>
        <v>4.962180842046926E-2</v>
      </c>
      <c r="M223" s="872"/>
      <c r="N223" s="872"/>
      <c r="O223" s="48">
        <f>IF(t&lt;Tnet,'2023'!Resal+('2023'!Salim-'2023'!Resal)*(1-EXP(('2023'!Tnet-t)/('2023'!Tau_j))),Resal+(Salim-Resal)*(1-EXP((Tnet-t)/(Tau_j))))*Salcycl</f>
        <v>4.3016150325582314E-2</v>
      </c>
      <c r="P223" s="171">
        <f>(INDEX(Models!$BJ223:$BT223,,T223)*(1-R223)+INDEX(Models!$BJ223:$BT223,,T223+1)*R223-ERP_i)*Q223*Ramure*Pc/MaxiM</f>
        <v>2.1000154310622824E-3</v>
      </c>
      <c r="Q223" s="307">
        <f t="shared" si="80"/>
        <v>0.9</v>
      </c>
      <c r="R223" s="179">
        <f t="shared" si="81"/>
        <v>0.71505619021498901</v>
      </c>
      <c r="S223" s="839">
        <f t="shared" si="82"/>
        <v>1</v>
      </c>
      <c r="T223" s="178">
        <f t="shared" si="83"/>
        <v>7</v>
      </c>
      <c r="U223" s="253">
        <f t="shared" si="84"/>
        <v>1.715056190214989</v>
      </c>
      <c r="V223" s="385">
        <f t="shared" si="85"/>
        <v>54.502055343899727</v>
      </c>
      <c r="W223" s="404">
        <f t="shared" si="86"/>
        <v>47.24261177333873</v>
      </c>
      <c r="X223" s="157">
        <f t="shared" si="87"/>
        <v>45500</v>
      </c>
      <c r="Y223" s="387">
        <f t="shared" si="88"/>
        <v>42.898055805355199</v>
      </c>
      <c r="Z223" s="387">
        <f t="shared" si="89"/>
        <v>45.137878989056482</v>
      </c>
      <c r="AA223" s="388">
        <f t="shared" si="90"/>
        <v>51.943693676444958</v>
      </c>
      <c r="AB223" s="199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0.13102292512699626</v>
      </c>
      <c r="AD223" s="233">
        <f>(INDEX(Models!$BJ223:$BT223,,AH223)*(1-AF223)+INDEX(Models!$BJ223:$BT223,,AH223+1)*AF223-ERP_i)*AE223*Ramure*Pc/MaxiM</f>
        <v>2.1000154310622824E-3</v>
      </c>
      <c r="AE223" s="307">
        <f t="shared" si="92"/>
        <v>0.9</v>
      </c>
      <c r="AF223" s="179">
        <f t="shared" si="93"/>
        <v>0.71505619021498901</v>
      </c>
      <c r="AG223" s="839">
        <f t="shared" si="99"/>
        <v>1</v>
      </c>
      <c r="AH223" s="178">
        <f t="shared" si="94"/>
        <v>7</v>
      </c>
      <c r="AI223" s="227">
        <f t="shared" si="95"/>
        <v>1.715056190214989</v>
      </c>
      <c r="AJ223" s="267" t="b">
        <f t="shared" si="96"/>
        <v>0</v>
      </c>
      <c r="AK223" s="267" t="b">
        <f t="shared" si="97"/>
        <v>0</v>
      </c>
      <c r="AL223" s="267"/>
      <c r="AM223" s="267"/>
      <c r="AN223" s="75"/>
    </row>
    <row r="224" spans="1:40" s="6" customFormat="1" ht="11.25" x14ac:dyDescent="0.2">
      <c r="A224" s="56">
        <f t="shared" si="98"/>
        <v>45501</v>
      </c>
      <c r="B224" s="413">
        <f>'2023'!Wh/'2023'!Env_an*'2024'!Env_an</f>
        <v>27.371721439835049</v>
      </c>
      <c r="C224" s="868"/>
      <c r="D224" s="395">
        <f t="shared" si="77"/>
        <v>28.801543087927282</v>
      </c>
      <c r="E224" s="387">
        <f t="shared" si="75"/>
        <v>30.102789250049852</v>
      </c>
      <c r="F224" s="387">
        <f t="shared" si="78"/>
        <v>30.122701099942642</v>
      </c>
      <c r="G224" s="110">
        <f t="shared" si="76"/>
        <v>0.5029698963896766</v>
      </c>
      <c r="H224" s="416" t="b">
        <f>Wh_hp&gt;='2023'!Maxi_hp</f>
        <v>0</v>
      </c>
      <c r="I224" s="392">
        <f>IF(H224,Wh_hp,'2023'!Maxi_hp)</f>
        <v>60.078998480863916</v>
      </c>
      <c r="J224" s="85">
        <f>IF(H224,An,'2023'!An_max)</f>
        <v>2019</v>
      </c>
      <c r="K224" s="199">
        <f t="shared" si="79"/>
        <v>45501</v>
      </c>
      <c r="L224" s="147">
        <f>IF(t&lt;Tvie,1-EXP((T0-t)*PertePVj)+'2023'!Pspv,1-EXP((T0-t)*PertePVj)+Pspv)</f>
        <v>4.9643925109400522E-2</v>
      </c>
      <c r="M224" s="872"/>
      <c r="N224" s="872"/>
      <c r="O224" s="48">
        <f>IF(t&lt;Tnet,'2023'!Resal+('2023'!Salim-'2023'!Resal)*(1-EXP(('2023'!Tnet-t)/('2023'!Tau_j))),Resal+(Salim-Resal)*(1-EXP((Tnet-t)/(Tau_j))))*Salcycl</f>
        <v>4.3226763849480022E-2</v>
      </c>
      <c r="P224" s="171">
        <f>(INDEX(Models!$BJ224:$BT224,,T224)*(1-R224)+INDEX(Models!$BJ224:$BT224,,T224+1)*R224-ERP_i)*Q224*Ramure*Pc/MaxiM</f>
        <v>2.2706559471749941E-3</v>
      </c>
      <c r="Q224" s="307">
        <f t="shared" si="80"/>
        <v>0.9</v>
      </c>
      <c r="R224" s="179">
        <f t="shared" si="81"/>
        <v>0.7180976468206357</v>
      </c>
      <c r="S224" s="839">
        <f t="shared" si="82"/>
        <v>1</v>
      </c>
      <c r="T224" s="178">
        <f t="shared" si="83"/>
        <v>7</v>
      </c>
      <c r="U224" s="253">
        <f t="shared" si="84"/>
        <v>1.7180976468206357</v>
      </c>
      <c r="V224" s="385">
        <f t="shared" si="85"/>
        <v>54.332543787071749</v>
      </c>
      <c r="W224" s="404">
        <f t="shared" si="86"/>
        <v>27.371721439835049</v>
      </c>
      <c r="X224" s="157">
        <f t="shared" si="87"/>
        <v>45501</v>
      </c>
      <c r="Y224" s="387">
        <f t="shared" si="88"/>
        <v>24.856754445445709</v>
      </c>
      <c r="Z224" s="387">
        <f t="shared" si="89"/>
        <v>26.155201300004425</v>
      </c>
      <c r="AA224" s="388">
        <f t="shared" si="90"/>
        <v>30.102789250049852</v>
      </c>
      <c r="AB224" s="199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0.13113694937883172</v>
      </c>
      <c r="AD224" s="233">
        <f>(INDEX(Models!$BJ224:$BT224,,AH224)*(1-AF224)+INDEX(Models!$BJ224:$BT224,,AH224+1)*AF224-ERP_i)*AE224*Ramure*Pc/MaxiM</f>
        <v>2.2706559471749941E-3</v>
      </c>
      <c r="AE224" s="307">
        <f t="shared" si="92"/>
        <v>0.9</v>
      </c>
      <c r="AF224" s="179">
        <f t="shared" si="93"/>
        <v>0.7180976468206357</v>
      </c>
      <c r="AG224" s="839">
        <f t="shared" si="99"/>
        <v>1</v>
      </c>
      <c r="AH224" s="178">
        <f t="shared" si="94"/>
        <v>7</v>
      </c>
      <c r="AI224" s="227">
        <f t="shared" si="95"/>
        <v>1.7180976468206357</v>
      </c>
      <c r="AJ224" s="267" t="b">
        <f t="shared" si="96"/>
        <v>0</v>
      </c>
      <c r="AK224" s="267" t="b">
        <f t="shared" si="97"/>
        <v>0</v>
      </c>
      <c r="AL224" s="267"/>
      <c r="AM224" s="267"/>
      <c r="AN224" s="75"/>
    </row>
    <row r="225" spans="1:40" s="6" customFormat="1" ht="11.25" x14ac:dyDescent="0.2">
      <c r="A225" s="56">
        <f t="shared" si="98"/>
        <v>45502</v>
      </c>
      <c r="B225" s="413">
        <f>'2023'!Wh/'2023'!Env_an*'2024'!Env_an</f>
        <v>46.441743277709833</v>
      </c>
      <c r="C225" s="868"/>
      <c r="D225" s="395">
        <f t="shared" si="77"/>
        <v>48.868866414539227</v>
      </c>
      <c r="E225" s="387">
        <f t="shared" si="75"/>
        <v>51.08797177022074</v>
      </c>
      <c r="F225" s="387">
        <f t="shared" si="78"/>
        <v>51.188054731513745</v>
      </c>
      <c r="G225" s="110">
        <f t="shared" si="76"/>
        <v>0.85706531845834766</v>
      </c>
      <c r="H225" s="416" t="b">
        <f>Wh_hp&gt;='2023'!Maxi_hp</f>
        <v>0</v>
      </c>
      <c r="I225" s="392">
        <f>IF(H225,Wh_hp,'2023'!Maxi_hp)</f>
        <v>51.973078310921963</v>
      </c>
      <c r="J225" s="85">
        <f>IF(H225,An,'2023'!An_max)</f>
        <v>2020</v>
      </c>
      <c r="K225" s="199">
        <f t="shared" si="79"/>
        <v>45502</v>
      </c>
      <c r="L225" s="147">
        <f>IF(t&lt;Tvie,1-EXP((T0-t)*PertePVj)+'2023'!Pspv,1-EXP((T0-t)*PertePVj)+Pspv)</f>
        <v>4.9666041283644047E-2</v>
      </c>
      <c r="M225" s="872"/>
      <c r="N225" s="872"/>
      <c r="O225" s="48">
        <f>IF(t&lt;Tnet,'2023'!Resal+('2023'!Salim-'2023'!Resal)*(1-EXP(('2023'!Tnet-t)/('2023'!Tau_j))),Resal+(Salim-Resal)*(1-EXP((Tnet-t)/(Tau_j))))*Salcycl</f>
        <v>4.3436943742108734E-2</v>
      </c>
      <c r="P225" s="171">
        <f>(INDEX(Models!$BJ225:$BT225,,T225)*(1-R225)+INDEX(Models!$BJ225:$BT225,,T225+1)*R225-ERP_i)*Q225*Ramure*Pc/MaxiM</f>
        <v>2.4549847750091123E-3</v>
      </c>
      <c r="Q225" s="307">
        <f t="shared" si="80"/>
        <v>0.9</v>
      </c>
      <c r="R225" s="179">
        <f t="shared" si="81"/>
        <v>0.72104504378627121</v>
      </c>
      <c r="S225" s="839">
        <f t="shared" si="82"/>
        <v>1</v>
      </c>
      <c r="T225" s="178">
        <f t="shared" si="83"/>
        <v>7</v>
      </c>
      <c r="U225" s="253">
        <f t="shared" si="84"/>
        <v>1.7210450437862712</v>
      </c>
      <c r="V225" s="385">
        <f t="shared" si="85"/>
        <v>54.159800893418229</v>
      </c>
      <c r="W225" s="404">
        <f t="shared" si="86"/>
        <v>46.441743277709833</v>
      </c>
      <c r="X225" s="157">
        <f t="shared" si="87"/>
        <v>45502</v>
      </c>
      <c r="Y225" s="387">
        <f t="shared" si="88"/>
        <v>42.178352135847881</v>
      </c>
      <c r="Z225" s="387">
        <f t="shared" si="89"/>
        <v>44.382663324816278</v>
      </c>
      <c r="AA225" s="388">
        <f t="shared" si="90"/>
        <v>51.08797177022074</v>
      </c>
      <c r="AB225" s="199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0.13125023783608089</v>
      </c>
      <c r="AD225" s="233">
        <f>(INDEX(Models!$BJ225:$BT225,,AH225)*(1-AF225)+INDEX(Models!$BJ225:$BT225,,AH225+1)*AF225-ERP_i)*AE225*Ramure*Pc/MaxiM</f>
        <v>2.4549847750091123E-3</v>
      </c>
      <c r="AE225" s="307">
        <f t="shared" si="92"/>
        <v>0.9</v>
      </c>
      <c r="AF225" s="179">
        <f t="shared" si="93"/>
        <v>0.72104504378627121</v>
      </c>
      <c r="AG225" s="839">
        <f t="shared" si="99"/>
        <v>1</v>
      </c>
      <c r="AH225" s="178">
        <f t="shared" si="94"/>
        <v>7</v>
      </c>
      <c r="AI225" s="227">
        <f t="shared" si="95"/>
        <v>1.7210450437862712</v>
      </c>
      <c r="AJ225" s="267" t="b">
        <f t="shared" si="96"/>
        <v>0</v>
      </c>
      <c r="AK225" s="267" t="b">
        <f t="shared" si="97"/>
        <v>0</v>
      </c>
      <c r="AL225" s="267"/>
      <c r="AM225" s="267"/>
      <c r="AN225" s="75"/>
    </row>
    <row r="226" spans="1:40" s="6" customFormat="1" ht="11.25" x14ac:dyDescent="0.2">
      <c r="A226" s="56">
        <f t="shared" si="98"/>
        <v>45503</v>
      </c>
      <c r="B226" s="413">
        <f>'2023'!Wh/'2023'!Env_an*'2024'!Env_an</f>
        <v>51.2603867722122</v>
      </c>
      <c r="C226" s="868"/>
      <c r="D226" s="395">
        <f t="shared" si="77"/>
        <v>53.940595549485344</v>
      </c>
      <c r="E226" s="387">
        <f t="shared" si="75"/>
        <v>56.4023730197679</v>
      </c>
      <c r="F226" s="387">
        <f t="shared" si="78"/>
        <v>56.541745507046592</v>
      </c>
      <c r="G226" s="110">
        <f t="shared" si="76"/>
        <v>0.94937521720282347</v>
      </c>
      <c r="H226" s="416" t="b">
        <f>Wh_hp&gt;='2023'!Maxi_hp</f>
        <v>0</v>
      </c>
      <c r="I226" s="392">
        <f>IF(H226,Wh_hp,'2023'!Maxi_hp)</f>
        <v>56.547241978763836</v>
      </c>
      <c r="J226" s="85">
        <f>IF(H226,An,'2023'!An_max)</f>
        <v>2022</v>
      </c>
      <c r="K226" s="199">
        <f t="shared" si="79"/>
        <v>45503</v>
      </c>
      <c r="L226" s="147">
        <f>IF(t&lt;Tvie,1-EXP((T0-t)*PertePVj)+'2023'!Pspv,1-EXP((T0-t)*PertePVj)+Pspv)</f>
        <v>4.9688156943211936E-2</v>
      </c>
      <c r="M226" s="872"/>
      <c r="N226" s="872"/>
      <c r="O226" s="48">
        <f>IF(t&lt;Tnet,'2023'!Resal+('2023'!Salim-'2023'!Resal)*(1-EXP(('2023'!Tnet-t)/('2023'!Tau_j))),Resal+(Salim-Resal)*(1-EXP((Tnet-t)/(Tau_j))))*Salcycl</f>
        <v>4.3646700280141587E-2</v>
      </c>
      <c r="P226" s="171">
        <f>(INDEX(Models!$BJ226:$BT226,,T226)*(1-R226)+INDEX(Models!$BJ226:$BT226,,T226+1)*R226-ERP_i)*Q226*Ramure*Pc/MaxiM</f>
        <v>2.6563685136249222E-3</v>
      </c>
      <c r="Q226" s="307">
        <f t="shared" si="80"/>
        <v>0.9</v>
      </c>
      <c r="R226" s="179">
        <f t="shared" si="81"/>
        <v>0.72390030327793342</v>
      </c>
      <c r="S226" s="839">
        <f t="shared" si="82"/>
        <v>1</v>
      </c>
      <c r="T226" s="178">
        <f t="shared" si="83"/>
        <v>7</v>
      </c>
      <c r="U226" s="253">
        <f t="shared" si="84"/>
        <v>1.7239003032779334</v>
      </c>
      <c r="V226" s="385">
        <f t="shared" si="85"/>
        <v>53.983450726268721</v>
      </c>
      <c r="W226" s="404">
        <f t="shared" si="86"/>
        <v>51.2603867722122</v>
      </c>
      <c r="X226" s="157">
        <f t="shared" si="87"/>
        <v>45503</v>
      </c>
      <c r="Y226" s="387">
        <f t="shared" si="88"/>
        <v>46.558816091019956</v>
      </c>
      <c r="Z226" s="387">
        <f t="shared" si="89"/>
        <v>48.993197792061743</v>
      </c>
      <c r="AA226" s="388">
        <f t="shared" si="90"/>
        <v>56.4023730197679</v>
      </c>
      <c r="AB226" s="199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0.13136282803401533</v>
      </c>
      <c r="AD226" s="233">
        <f>(INDEX(Models!$BJ226:$BT226,,AH226)*(1-AF226)+INDEX(Models!$BJ226:$BT226,,AH226+1)*AF226-ERP_i)*AE226*Ramure*Pc/MaxiM</f>
        <v>2.6563685136249222E-3</v>
      </c>
      <c r="AE226" s="307">
        <f t="shared" si="92"/>
        <v>0.9</v>
      </c>
      <c r="AF226" s="179">
        <f t="shared" si="93"/>
        <v>0.72390030327793342</v>
      </c>
      <c r="AG226" s="839">
        <f t="shared" si="99"/>
        <v>1</v>
      </c>
      <c r="AH226" s="178">
        <f t="shared" si="94"/>
        <v>7</v>
      </c>
      <c r="AI226" s="227">
        <f t="shared" si="95"/>
        <v>1.7239003032779334</v>
      </c>
      <c r="AJ226" s="267" t="b">
        <f t="shared" si="96"/>
        <v>0</v>
      </c>
      <c r="AK226" s="267" t="b">
        <f t="shared" si="97"/>
        <v>0</v>
      </c>
      <c r="AL226" s="267"/>
      <c r="AM226" s="267"/>
      <c r="AN226" s="75"/>
    </row>
    <row r="227" spans="1:40" s="6" customFormat="1" ht="11.25" x14ac:dyDescent="0.2">
      <c r="A227" s="56">
        <f t="shared" si="98"/>
        <v>45504</v>
      </c>
      <c r="B227" s="413">
        <f>'2023'!Wh/'2023'!Env_an*'2024'!Env_an</f>
        <v>53.209053967099166</v>
      </c>
      <c r="C227" s="868"/>
      <c r="D227" s="395">
        <f t="shared" si="77"/>
        <v>55.992454095045218</v>
      </c>
      <c r="E227" s="387">
        <f t="shared" si="75"/>
        <v>58.560694398038599</v>
      </c>
      <c r="F227" s="387">
        <f t="shared" si="78"/>
        <v>58.726613206817099</v>
      </c>
      <c r="G227" s="110">
        <f t="shared" si="76"/>
        <v>0.98890605253242636</v>
      </c>
      <c r="H227" s="416" t="b">
        <f>Wh_hp&gt;='2023'!Maxi_hp</f>
        <v>0</v>
      </c>
      <c r="I227" s="392">
        <f>IF(H227,Wh_hp,'2023'!Maxi_hp)</f>
        <v>58.727968528475465</v>
      </c>
      <c r="J227" s="85">
        <f>IF(H227,An,'2023'!An_max)</f>
        <v>2022</v>
      </c>
      <c r="K227" s="199">
        <f t="shared" si="79"/>
        <v>45504</v>
      </c>
      <c r="L227" s="147">
        <f>IF(t&lt;Tvie,1-EXP((T0-t)*PertePVj)+'2023'!Pspv,1-EXP((T0-t)*PertePVj)+Pspv)</f>
        <v>4.9710272088116181E-2</v>
      </c>
      <c r="M227" s="872"/>
      <c r="N227" s="872"/>
      <c r="O227" s="48">
        <f>IF(t&lt;Tnet,'2023'!Resal+('2023'!Salim-'2023'!Resal)*(1-EXP(('2023'!Tnet-t)/('2023'!Tau_j))),Resal+(Salim-Resal)*(1-EXP((Tnet-t)/(Tau_j))))*Salcycl</f>
        <v>4.3856042510988437E-2</v>
      </c>
      <c r="P227" s="171">
        <f>(INDEX(Models!$BJ227:$BT227,,T227)*(1-R227)+INDEX(Models!$BJ227:$BT227,,T227+1)*R227-ERP_i)*Q227*Ramure*Pc/MaxiM</f>
        <v>2.8705847776769773E-3</v>
      </c>
      <c r="Q227" s="307">
        <f t="shared" si="80"/>
        <v>0.9</v>
      </c>
      <c r="R227" s="179">
        <f t="shared" si="81"/>
        <v>0.72666537989807045</v>
      </c>
      <c r="S227" s="839">
        <f t="shared" si="82"/>
        <v>1</v>
      </c>
      <c r="T227" s="178">
        <f t="shared" si="83"/>
        <v>7</v>
      </c>
      <c r="U227" s="253">
        <f t="shared" si="84"/>
        <v>1.7266653798980705</v>
      </c>
      <c r="V227" s="385">
        <f t="shared" si="85"/>
        <v>53.803529757451024</v>
      </c>
      <c r="W227" s="404">
        <f t="shared" si="86"/>
        <v>53.209053967099166</v>
      </c>
      <c r="X227" s="157">
        <f t="shared" si="87"/>
        <v>45504</v>
      </c>
      <c r="Y227" s="387">
        <f t="shared" si="88"/>
        <v>48.333105456603057</v>
      </c>
      <c r="Z227" s="387">
        <f t="shared" si="89"/>
        <v>50.861441555100946</v>
      </c>
      <c r="AA227" s="388">
        <f t="shared" si="90"/>
        <v>58.560694398038599</v>
      </c>
      <c r="AB227" s="199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0.13147475319547314</v>
      </c>
      <c r="AD227" s="233">
        <f>(INDEX(Models!$BJ227:$BT227,,AH227)*(1-AF227)+INDEX(Models!$BJ227:$BT227,,AH227+1)*AF227-ERP_i)*AE227*Ramure*Pc/MaxiM</f>
        <v>2.8705847776769773E-3</v>
      </c>
      <c r="AE227" s="307">
        <f t="shared" si="92"/>
        <v>0.9</v>
      </c>
      <c r="AF227" s="179">
        <f t="shared" si="93"/>
        <v>0.72666537989807045</v>
      </c>
      <c r="AG227" s="839">
        <f t="shared" si="99"/>
        <v>1</v>
      </c>
      <c r="AH227" s="178">
        <f t="shared" si="94"/>
        <v>7</v>
      </c>
      <c r="AI227" s="227">
        <f t="shared" si="95"/>
        <v>1.7266653798980705</v>
      </c>
      <c r="AJ227" s="267" t="b">
        <f t="shared" si="96"/>
        <v>0</v>
      </c>
      <c r="AK227" s="267" t="b">
        <f t="shared" si="97"/>
        <v>0</v>
      </c>
      <c r="AL227" s="267"/>
      <c r="AM227" s="267"/>
      <c r="AN227" s="75"/>
    </row>
    <row r="228" spans="1:40" s="6" customFormat="1" ht="11.25" x14ac:dyDescent="0.2">
      <c r="A228" s="56">
        <f t="shared" si="98"/>
        <v>45505</v>
      </c>
      <c r="B228" s="413">
        <f>'2023'!Wh/'2023'!Env_an*'2024'!Env_an</f>
        <v>51.311860799838023</v>
      </c>
      <c r="C228" s="868"/>
      <c r="D228" s="395">
        <f t="shared" si="77"/>
        <v>53.99727411801279</v>
      </c>
      <c r="E228" s="387">
        <f t="shared" si="75"/>
        <v>56.486343620491851</v>
      </c>
      <c r="F228" s="387">
        <f t="shared" si="78"/>
        <v>56.651045425804007</v>
      </c>
      <c r="G228" s="110">
        <f t="shared" si="76"/>
        <v>0.95677385829175288</v>
      </c>
      <c r="H228" s="416" t="b">
        <f>Wh_hp&gt;='2023'!Maxi_hp</f>
        <v>0</v>
      </c>
      <c r="I228" s="392">
        <f>IF(H228,Wh_hp,'2023'!Maxi_hp)</f>
        <v>57.016794472934762</v>
      </c>
      <c r="J228" s="85">
        <f>IF(H228,An,'2023'!An_max)</f>
        <v>2019</v>
      </c>
      <c r="K228" s="199">
        <f t="shared" si="79"/>
        <v>45505</v>
      </c>
      <c r="L228" s="147">
        <f>IF(t&lt;Tvie,1-EXP((T0-t)*PertePVj)+'2023'!Pspv,1-EXP((T0-t)*PertePVj)+Pspv)</f>
        <v>4.9732386718368549E-2</v>
      </c>
      <c r="M228" s="872"/>
      <c r="N228" s="872"/>
      <c r="O228" s="48">
        <f>IF(t&lt;Tnet,'2023'!Resal+('2023'!Salim-'2023'!Resal)*(1-EXP(('2023'!Tnet-t)/('2023'!Tau_j))),Resal+(Salim-Resal)*(1-EXP((Tnet-t)/(Tau_j))))*Salcycl</f>
        <v>4.4064978239733141E-2</v>
      </c>
      <c r="P228" s="171">
        <f>(INDEX(Models!$BJ228:$BT228,,T228)*(1-R228)+INDEX(Models!$BJ228:$BT228,,T228+1)*R228-ERP_i)*Q228*Ramure*Pc/MaxiM</f>
        <v>3.0977883428949227E-3</v>
      </c>
      <c r="Q228" s="307">
        <f t="shared" si="80"/>
        <v>0.9</v>
      </c>
      <c r="R228" s="179">
        <f t="shared" si="81"/>
        <v>0.72934225421656196</v>
      </c>
      <c r="S228" s="839">
        <f t="shared" si="82"/>
        <v>1</v>
      </c>
      <c r="T228" s="178">
        <f t="shared" si="83"/>
        <v>7</v>
      </c>
      <c r="U228" s="253">
        <f t="shared" si="84"/>
        <v>1.729342254216562</v>
      </c>
      <c r="V228" s="385">
        <f t="shared" si="85"/>
        <v>53.619836855758393</v>
      </c>
      <c r="W228" s="404">
        <f t="shared" si="86"/>
        <v>51.311860799838023</v>
      </c>
      <c r="X228" s="157">
        <f t="shared" si="87"/>
        <v>45505</v>
      </c>
      <c r="Y228" s="387">
        <f t="shared" si="88"/>
        <v>46.613980135486081</v>
      </c>
      <c r="Z228" s="387">
        <f t="shared" si="89"/>
        <v>49.053529220585006</v>
      </c>
      <c r="AA228" s="388">
        <f t="shared" si="90"/>
        <v>56.486343620491851</v>
      </c>
      <c r="AB228" s="199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0.13158604228032217</v>
      </c>
      <c r="AD228" s="233">
        <f>(INDEX(Models!$BJ228:$BT228,,AH228)*(1-AF228)+INDEX(Models!$BJ228:$BT228,,AH228+1)*AF228-ERP_i)*AE228*Ramure*Pc/MaxiM</f>
        <v>3.0977883428949227E-3</v>
      </c>
      <c r="AE228" s="307">
        <f t="shared" si="92"/>
        <v>0.9</v>
      </c>
      <c r="AF228" s="179">
        <f t="shared" si="93"/>
        <v>0.72934225421656196</v>
      </c>
      <c r="AG228" s="839">
        <f t="shared" si="99"/>
        <v>1</v>
      </c>
      <c r="AH228" s="178">
        <f t="shared" si="94"/>
        <v>7</v>
      </c>
      <c r="AI228" s="227">
        <f t="shared" si="95"/>
        <v>1.729342254216562</v>
      </c>
      <c r="AJ228" s="267" t="b">
        <f t="shared" si="96"/>
        <v>0</v>
      </c>
      <c r="AK228" s="267" t="b">
        <f t="shared" si="97"/>
        <v>0</v>
      </c>
      <c r="AL228" s="267"/>
      <c r="AM228" s="267"/>
      <c r="AN228" s="75"/>
    </row>
    <row r="229" spans="1:40" s="6" customFormat="1" ht="11.25" x14ac:dyDescent="0.2">
      <c r="A229" s="56">
        <f t="shared" si="98"/>
        <v>45506</v>
      </c>
      <c r="B229" s="413">
        <f>'2023'!Wh/'2023'!Env_an*'2024'!Env_an</f>
        <v>49.41080579759732</v>
      </c>
      <c r="C229" s="868"/>
      <c r="D229" s="395">
        <f t="shared" si="77"/>
        <v>51.997937207766441</v>
      </c>
      <c r="E229" s="387">
        <f t="shared" si="75"/>
        <v>54.406713605692531</v>
      </c>
      <c r="F229" s="387">
        <f t="shared" si="78"/>
        <v>54.569288645425495</v>
      </c>
      <c r="G229" s="110">
        <f t="shared" si="76"/>
        <v>0.92440599056163042</v>
      </c>
      <c r="H229" s="416" t="b">
        <f>Wh_hp&gt;='2023'!Maxi_hp</f>
        <v>0</v>
      </c>
      <c r="I229" s="392">
        <f>IF(H229,Wh_hp,'2023'!Maxi_hp)</f>
        <v>57.318775039173993</v>
      </c>
      <c r="J229" s="85">
        <f>IF(H229,An,'2023'!An_max)</f>
        <v>2019</v>
      </c>
      <c r="K229" s="199">
        <f t="shared" si="79"/>
        <v>45506</v>
      </c>
      <c r="L229" s="147">
        <f>IF(t&lt;Tvie,1-EXP((T0-t)*PertePVj)+'2023'!Pspv,1-EXP((T0-t)*PertePVj)+Pspv)</f>
        <v>4.9754500833981252E-2</v>
      </c>
      <c r="M229" s="872"/>
      <c r="N229" s="872"/>
      <c r="O229" s="48">
        <f>IF(t&lt;Tnet,'2023'!Resal+('2023'!Salim-'2023'!Resal)*(1-EXP(('2023'!Tnet-t)/('2023'!Tau_j))),Resal+(Salim-Resal)*(1-EXP((Tnet-t)/(Tau_j))))*Salcycl</f>
        <v>4.4273514025924637E-2</v>
      </c>
      <c r="P229" s="171">
        <f>(INDEX(Models!$BJ229:$BT229,,T229)*(1-R229)+INDEX(Models!$BJ229:$BT229,,T229+1)*R229-ERP_i)*Q229*Ramure*Pc/MaxiM</f>
        <v>3.338144141475759E-3</v>
      </c>
      <c r="Q229" s="307">
        <f t="shared" si="80"/>
        <v>0.9</v>
      </c>
      <c r="R229" s="179">
        <f t="shared" si="81"/>
        <v>0.73193292666837406</v>
      </c>
      <c r="S229" s="839">
        <f t="shared" si="82"/>
        <v>1</v>
      </c>
      <c r="T229" s="178">
        <f t="shared" si="83"/>
        <v>7</v>
      </c>
      <c r="U229" s="253">
        <f t="shared" si="84"/>
        <v>1.7319329266683741</v>
      </c>
      <c r="V229" s="385">
        <f t="shared" si="85"/>
        <v>53.432171142750846</v>
      </c>
      <c r="W229" s="404">
        <f t="shared" si="86"/>
        <v>49.41080579759732</v>
      </c>
      <c r="X229" s="157">
        <f t="shared" si="87"/>
        <v>45506</v>
      </c>
      <c r="Y229" s="387">
        <f t="shared" si="88"/>
        <v>44.891049236423697</v>
      </c>
      <c r="Z229" s="387">
        <f t="shared" si="89"/>
        <v>47.241527874451648</v>
      </c>
      <c r="AA229" s="388">
        <f t="shared" si="90"/>
        <v>54.406713605692531</v>
      </c>
      <c r="AB229" s="199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0.13169672006234159</v>
      </c>
      <c r="AD229" s="233">
        <f>(INDEX(Models!$BJ229:$BT229,,AH229)*(1-AF229)+INDEX(Models!$BJ229:$BT229,,AH229+1)*AF229-ERP_i)*AE229*Ramure*Pc/MaxiM</f>
        <v>3.338144141475759E-3</v>
      </c>
      <c r="AE229" s="307">
        <f t="shared" si="92"/>
        <v>0.9</v>
      </c>
      <c r="AF229" s="179">
        <f t="shared" si="93"/>
        <v>0.73193292666837406</v>
      </c>
      <c r="AG229" s="839">
        <f t="shared" si="99"/>
        <v>1</v>
      </c>
      <c r="AH229" s="178">
        <f t="shared" si="94"/>
        <v>7</v>
      </c>
      <c r="AI229" s="227">
        <f t="shared" si="95"/>
        <v>1.7319329266683741</v>
      </c>
      <c r="AJ229" s="267" t="b">
        <f t="shared" si="96"/>
        <v>0</v>
      </c>
      <c r="AK229" s="267" t="b">
        <f t="shared" si="97"/>
        <v>0</v>
      </c>
      <c r="AL229" s="267"/>
      <c r="AM229" s="267"/>
      <c r="AN229" s="75"/>
    </row>
    <row r="230" spans="1:40" s="6" customFormat="1" ht="11.25" x14ac:dyDescent="0.2">
      <c r="A230" s="56">
        <f t="shared" si="98"/>
        <v>45507</v>
      </c>
      <c r="B230" s="413">
        <f>'2023'!Wh/'2023'!Env_an*'2024'!Env_an</f>
        <v>45.886078565938064</v>
      </c>
      <c r="C230" s="868"/>
      <c r="D230" s="395">
        <f t="shared" si="77"/>
        <v>48.289780343232351</v>
      </c>
      <c r="E230" s="387">
        <f t="shared" si="75"/>
        <v>50.537784654273928</v>
      </c>
      <c r="F230" s="387">
        <f t="shared" si="78"/>
        <v>50.683908475735322</v>
      </c>
      <c r="G230" s="110">
        <f t="shared" si="76"/>
        <v>0.86125422960457398</v>
      </c>
      <c r="H230" s="416" t="b">
        <f>Wh_hp&gt;='2023'!Maxi_hp</f>
        <v>0</v>
      </c>
      <c r="I230" s="392">
        <f>IF(H230,Wh_hp,'2023'!Maxi_hp)</f>
        <v>52.926175209989978</v>
      </c>
      <c r="J230" s="85">
        <f>IF(H230,An,'2023'!An_max)</f>
        <v>2019</v>
      </c>
      <c r="K230" s="199">
        <f t="shared" si="79"/>
        <v>45507</v>
      </c>
      <c r="L230" s="147">
        <f>IF(t&lt;Tvie,1-EXP((T0-t)*PertePVj)+'2023'!Pspv,1-EXP((T0-t)*PertePVj)+Pspv)</f>
        <v>4.9776614434966171E-2</v>
      </c>
      <c r="M230" s="872"/>
      <c r="N230" s="872"/>
      <c r="O230" s="48">
        <f>IF(t&lt;Tnet,'2023'!Resal+('2023'!Salim-'2023'!Resal)*(1-EXP(('2023'!Tnet-t)/('2023'!Tau_j))),Resal+(Salim-Resal)*(1-EXP((Tnet-t)/(Tau_j))))*Salcycl</f>
        <v>4.4481655189677234E-2</v>
      </c>
      <c r="P230" s="171">
        <f>(INDEX(Models!$BJ230:$BT230,,T230)*(1-R230)+INDEX(Models!$BJ230:$BT230,,T230+1)*R230-ERP_i)*Q230*Ramure*Pc/MaxiM</f>
        <v>3.5918280217159516E-3</v>
      </c>
      <c r="Q230" s="307">
        <f t="shared" si="80"/>
        <v>0.9</v>
      </c>
      <c r="R230" s="179">
        <f t="shared" si="81"/>
        <v>0.73443941181692152</v>
      </c>
      <c r="S230" s="839">
        <f t="shared" si="82"/>
        <v>1</v>
      </c>
      <c r="T230" s="178">
        <f t="shared" si="83"/>
        <v>7</v>
      </c>
      <c r="U230" s="253">
        <f t="shared" si="84"/>
        <v>1.7344394118169215</v>
      </c>
      <c r="V230" s="385">
        <f t="shared" si="85"/>
        <v>53.240331980101416</v>
      </c>
      <c r="W230" s="404">
        <f t="shared" si="86"/>
        <v>45.886078565938064</v>
      </c>
      <c r="X230" s="157">
        <f t="shared" si="87"/>
        <v>45507</v>
      </c>
      <c r="Y230" s="387">
        <f t="shared" si="88"/>
        <v>41.692533974018566</v>
      </c>
      <c r="Z230" s="387">
        <f t="shared" si="89"/>
        <v>43.876560614456807</v>
      </c>
      <c r="AA230" s="388">
        <f t="shared" si="90"/>
        <v>50.537784654273928</v>
      </c>
      <c r="AB230" s="199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0.13180680723118696</v>
      </c>
      <c r="AD230" s="233">
        <f>(INDEX(Models!$BJ230:$BT230,,AH230)*(1-AF230)+INDEX(Models!$BJ230:$BT230,,AH230+1)*AF230-ERP_i)*AE230*Ramure*Pc/MaxiM</f>
        <v>3.5918280217159516E-3</v>
      </c>
      <c r="AE230" s="307">
        <f t="shared" si="92"/>
        <v>0.9</v>
      </c>
      <c r="AF230" s="179">
        <f t="shared" si="93"/>
        <v>0.73443941181692152</v>
      </c>
      <c r="AG230" s="839">
        <f t="shared" si="99"/>
        <v>1</v>
      </c>
      <c r="AH230" s="178">
        <f t="shared" si="94"/>
        <v>7</v>
      </c>
      <c r="AI230" s="227">
        <f t="shared" si="95"/>
        <v>1.7344394118169215</v>
      </c>
      <c r="AJ230" s="267" t="b">
        <f t="shared" si="96"/>
        <v>0</v>
      </c>
      <c r="AK230" s="267" t="b">
        <f t="shared" si="97"/>
        <v>0</v>
      </c>
      <c r="AL230" s="267"/>
      <c r="AM230" s="267"/>
      <c r="AN230" s="75"/>
    </row>
    <row r="231" spans="1:40" s="6" customFormat="1" ht="11.25" x14ac:dyDescent="0.2">
      <c r="A231" s="56">
        <f t="shared" si="98"/>
        <v>45508</v>
      </c>
      <c r="B231" s="413">
        <f>'2023'!Wh/'2023'!Env_an*'2024'!Env_an</f>
        <v>44.900213898080224</v>
      </c>
      <c r="C231" s="868"/>
      <c r="D231" s="395">
        <f t="shared" si="77"/>
        <v>47.25337167877597</v>
      </c>
      <c r="E231" s="387">
        <f t="shared" si="75"/>
        <v>49.46388323020215</v>
      </c>
      <c r="F231" s="387">
        <f t="shared" si="78"/>
        <v>49.613349808479505</v>
      </c>
      <c r="G231" s="110">
        <f t="shared" si="76"/>
        <v>0.84575060188622964</v>
      </c>
      <c r="H231" s="416" t="b">
        <f>Wh_hp&gt;='2023'!Maxi_hp</f>
        <v>0</v>
      </c>
      <c r="I231" s="392">
        <f>IF(H231,Wh_hp,'2023'!Maxi_hp)</f>
        <v>57.776003242992068</v>
      </c>
      <c r="J231" s="85">
        <f>IF(H231,An,'2023'!An_max)</f>
        <v>2020</v>
      </c>
      <c r="K231" s="199">
        <f t="shared" si="79"/>
        <v>45508</v>
      </c>
      <c r="L231" s="147">
        <f>IF(t&lt;Tvie,1-EXP((T0-t)*PertePVj)+'2023'!Pspv,1-EXP((T0-t)*PertePVj)+Pspv)</f>
        <v>4.9798727521335295E-2</v>
      </c>
      <c r="M231" s="872"/>
      <c r="N231" s="872"/>
      <c r="O231" s="48">
        <f>IF(t&lt;Tnet,'2023'!Resal+('2023'!Salim-'2023'!Resal)*(1-EXP(('2023'!Tnet-t)/('2023'!Tau_j))),Resal+(Salim-Resal)*(1-EXP((Tnet-t)/(Tau_j))))*Salcycl</f>
        <v>4.4689405826440799E-2</v>
      </c>
      <c r="P231" s="171">
        <f>(INDEX(Models!$BJ231:$BT231,,T231)*(1-R231)+INDEX(Models!$BJ231:$BT231,,T231+1)*R231-ERP_i)*Q231*Ramure*Pc/MaxiM</f>
        <v>3.8590275412806337E-3</v>
      </c>
      <c r="Q231" s="307">
        <f t="shared" si="80"/>
        <v>0.9</v>
      </c>
      <c r="R231" s="179">
        <f t="shared" si="81"/>
        <v>0.73686373298002072</v>
      </c>
      <c r="S231" s="839">
        <f t="shared" si="82"/>
        <v>1</v>
      </c>
      <c r="T231" s="178">
        <f t="shared" si="83"/>
        <v>7</v>
      </c>
      <c r="U231" s="253">
        <f t="shared" si="84"/>
        <v>1.7368637329800207</v>
      </c>
      <c r="V231" s="385">
        <f t="shared" si="85"/>
        <v>53.044118977337114</v>
      </c>
      <c r="W231" s="404">
        <f t="shared" si="86"/>
        <v>44.900213898080224</v>
      </c>
      <c r="X231" s="157">
        <f t="shared" si="87"/>
        <v>45508</v>
      </c>
      <c r="Y231" s="387">
        <f t="shared" si="88"/>
        <v>40.800492664841272</v>
      </c>
      <c r="Z231" s="387">
        <f t="shared" si="89"/>
        <v>42.938789755996019</v>
      </c>
      <c r="AA231" s="388">
        <f t="shared" si="90"/>
        <v>49.46388323020215</v>
      </c>
      <c r="AB231" s="199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0.13191632051690544</v>
      </c>
      <c r="AD231" s="233">
        <f>(INDEX(Models!$BJ231:$BT231,,AH231)*(1-AF231)+INDEX(Models!$BJ231:$BT231,,AH231+1)*AF231-ERP_i)*AE231*Ramure*Pc/MaxiM</f>
        <v>3.8590275412806337E-3</v>
      </c>
      <c r="AE231" s="307">
        <f t="shared" si="92"/>
        <v>0.9</v>
      </c>
      <c r="AF231" s="179">
        <f t="shared" si="93"/>
        <v>0.73686373298002072</v>
      </c>
      <c r="AG231" s="839">
        <f t="shared" si="99"/>
        <v>1</v>
      </c>
      <c r="AH231" s="178">
        <f t="shared" si="94"/>
        <v>7</v>
      </c>
      <c r="AI231" s="227">
        <f t="shared" si="95"/>
        <v>1.7368637329800207</v>
      </c>
      <c r="AJ231" s="267" t="b">
        <f t="shared" si="96"/>
        <v>0</v>
      </c>
      <c r="AK231" s="267" t="b">
        <f t="shared" si="97"/>
        <v>0</v>
      </c>
      <c r="AL231" s="267"/>
      <c r="AM231" s="267"/>
      <c r="AN231" s="75"/>
    </row>
    <row r="232" spans="1:40" s="6" customFormat="1" ht="11.25" x14ac:dyDescent="0.2">
      <c r="A232" s="56">
        <f t="shared" si="98"/>
        <v>45509</v>
      </c>
      <c r="B232" s="413">
        <f>'2023'!Wh/'2023'!Env_an*'2024'!Env_an</f>
        <v>47.586145040780877</v>
      </c>
      <c r="C232" s="868"/>
      <c r="D232" s="395">
        <f t="shared" si="77"/>
        <v>50.081234201604119</v>
      </c>
      <c r="E232" s="387">
        <f t="shared" si="75"/>
        <v>52.435414902994054</v>
      </c>
      <c r="F232" s="387">
        <f t="shared" si="78"/>
        <v>52.622306212340007</v>
      </c>
      <c r="G232" s="110">
        <f t="shared" si="76"/>
        <v>0.89998197741101105</v>
      </c>
      <c r="H232" s="416" t="b">
        <f>Wh_hp&gt;='2023'!Maxi_hp</f>
        <v>0</v>
      </c>
      <c r="I232" s="392">
        <f>IF(H232,Wh_hp,'2023'!Maxi_hp)</f>
        <v>56.847097363544755</v>
      </c>
      <c r="J232" s="85">
        <f>IF(H232,An,'2023'!An_max)</f>
        <v>2020</v>
      </c>
      <c r="K232" s="199">
        <f t="shared" si="79"/>
        <v>45509</v>
      </c>
      <c r="L232" s="147">
        <f>IF(t&lt;Tvie,1-EXP((T0-t)*PertePVj)+'2023'!Pspv,1-EXP((T0-t)*PertePVj)+Pspv)</f>
        <v>4.9820840093100616E-2</v>
      </c>
      <c r="M232" s="872"/>
      <c r="N232" s="872"/>
      <c r="O232" s="48">
        <f>IF(t&lt;Tnet,'2023'!Resal+('2023'!Salim-'2023'!Resal)*(1-EXP(('2023'!Tnet-t)/('2023'!Tau_j))),Resal+(Salim-Resal)*(1-EXP((Tnet-t)/(Tau_j))))*Salcycl</f>
        <v>4.4896768829715397E-2</v>
      </c>
      <c r="P232" s="171">
        <f>(INDEX(Models!$BJ232:$BT232,,T232)*(1-R232)+INDEX(Models!$BJ232:$BT232,,T232+1)*R232-ERP_i)*Q232*Ramure*Pc/MaxiM</f>
        <v>4.1399428001268508E-3</v>
      </c>
      <c r="Q232" s="307">
        <f t="shared" si="80"/>
        <v>0.9</v>
      </c>
      <c r="R232" s="179">
        <f t="shared" si="81"/>
        <v>0.73920791721336498</v>
      </c>
      <c r="S232" s="839">
        <f t="shared" si="82"/>
        <v>1</v>
      </c>
      <c r="T232" s="178">
        <f t="shared" si="83"/>
        <v>7</v>
      </c>
      <c r="U232" s="253">
        <f t="shared" si="84"/>
        <v>1.739207917213365</v>
      </c>
      <c r="V232" s="385">
        <f t="shared" si="85"/>
        <v>52.843331977381879</v>
      </c>
      <c r="W232" s="404">
        <f t="shared" si="86"/>
        <v>47.586145040780877</v>
      </c>
      <c r="X232" s="157">
        <f t="shared" si="87"/>
        <v>45509</v>
      </c>
      <c r="Y232" s="387">
        <f t="shared" si="88"/>
        <v>43.245138232890461</v>
      </c>
      <c r="Z232" s="387">
        <f t="shared" si="89"/>
        <v>45.512614944246636</v>
      </c>
      <c r="AA232" s="388">
        <f t="shared" si="90"/>
        <v>52.435414902994054</v>
      </c>
      <c r="AB232" s="199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0.13202527283429824</v>
      </c>
      <c r="AD232" s="233">
        <f>(INDEX(Models!$BJ232:$BT232,,AH232)*(1-AF232)+INDEX(Models!$BJ232:$BT232,,AH232+1)*AF232-ERP_i)*AE232*Ramure*Pc/MaxiM</f>
        <v>4.1399428001268508E-3</v>
      </c>
      <c r="AE232" s="307">
        <f t="shared" si="92"/>
        <v>0.9</v>
      </c>
      <c r="AF232" s="179">
        <f t="shared" si="93"/>
        <v>0.73920791721336498</v>
      </c>
      <c r="AG232" s="839">
        <f t="shared" si="99"/>
        <v>1</v>
      </c>
      <c r="AH232" s="178">
        <f t="shared" si="94"/>
        <v>7</v>
      </c>
      <c r="AI232" s="227">
        <f t="shared" si="95"/>
        <v>1.739207917213365</v>
      </c>
      <c r="AJ232" s="267" t="b">
        <f t="shared" si="96"/>
        <v>0</v>
      </c>
      <c r="AK232" s="267" t="b">
        <f t="shared" si="97"/>
        <v>0</v>
      </c>
      <c r="AL232" s="267"/>
      <c r="AM232" s="267"/>
      <c r="AN232" s="75"/>
    </row>
    <row r="233" spans="1:40" s="6" customFormat="1" ht="11.25" x14ac:dyDescent="0.2">
      <c r="A233" s="56">
        <f t="shared" si="98"/>
        <v>45510</v>
      </c>
      <c r="B233" s="413">
        <f>'2023'!Wh/'2023'!Env_an*'2024'!Env_an</f>
        <v>50.65595280008813</v>
      </c>
      <c r="C233" s="868"/>
      <c r="D233" s="395">
        <f t="shared" si="77"/>
        <v>53.31324217899158</v>
      </c>
      <c r="E233" s="387">
        <f t="shared" ref="E233:E296" si="100">Wh_pvt/(1-Psa)</f>
        <v>55.831449700687415</v>
      </c>
      <c r="F233" s="387">
        <f t="shared" si="78"/>
        <v>56.06670488859195</v>
      </c>
      <c r="G233" s="110">
        <f t="shared" ref="G233:G296" si="101">+Wh_hp/MaxiM</f>
        <v>0.96209384470970583</v>
      </c>
      <c r="H233" s="416" t="b">
        <f>Wh_hp&gt;='2023'!Maxi_hp</f>
        <v>0</v>
      </c>
      <c r="I233" s="392">
        <f>IF(H233,Wh_hp,'2023'!Maxi_hp)</f>
        <v>56.073477746368091</v>
      </c>
      <c r="J233" s="85">
        <f>IF(H233,An,'2023'!An_max)</f>
        <v>2022</v>
      </c>
      <c r="K233" s="199">
        <f t="shared" si="79"/>
        <v>45510</v>
      </c>
      <c r="L233" s="147">
        <f>IF(t&lt;Tvie,1-EXP((T0-t)*PertePVj)+'2023'!Pspv,1-EXP((T0-t)*PertePVj)+Pspv)</f>
        <v>4.9842952150274011E-2</v>
      </c>
      <c r="M233" s="872"/>
      <c r="N233" s="872"/>
      <c r="O233" s="48">
        <f>IF(t&lt;Tnet,'2023'!Resal+('2023'!Salim-'2023'!Resal)*(1-EXP(('2023'!Tnet-t)/('2023'!Tau_j))),Resal+(Salim-Resal)*(1-EXP((Tnet-t)/(Tau_j))))*Salcycl</f>
        <v>4.5103745920909363E-2</v>
      </c>
      <c r="P233" s="171">
        <f>(INDEX(Models!$BJ233:$BT233,,T233)*(1-R233)+INDEX(Models!$BJ233:$BT233,,T233+1)*R233-ERP_i)*Q233*Ramure*Pc/MaxiM</f>
        <v>4.4346708786612028E-3</v>
      </c>
      <c r="Q233" s="307">
        <f t="shared" si="80"/>
        <v>0.9</v>
      </c>
      <c r="R233" s="179">
        <f t="shared" si="81"/>
        <v>0.74147399064475406</v>
      </c>
      <c r="S233" s="839">
        <f t="shared" si="82"/>
        <v>1</v>
      </c>
      <c r="T233" s="178">
        <f t="shared" si="83"/>
        <v>7</v>
      </c>
      <c r="U233" s="253">
        <f t="shared" si="84"/>
        <v>1.7414739906447541</v>
      </c>
      <c r="V233" s="385">
        <f t="shared" si="85"/>
        <v>52.639159260554841</v>
      </c>
      <c r="W233" s="404">
        <f t="shared" si="86"/>
        <v>50.65595280008813</v>
      </c>
      <c r="X233" s="157">
        <f t="shared" si="87"/>
        <v>45510</v>
      </c>
      <c r="Y233" s="387">
        <f t="shared" si="88"/>
        <v>46.039133033556233</v>
      </c>
      <c r="Z233" s="387">
        <f t="shared" si="89"/>
        <v>48.454235158015315</v>
      </c>
      <c r="AA233" s="388">
        <f t="shared" si="90"/>
        <v>55.831449700687415</v>
      </c>
      <c r="AB233" s="199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0.13213367344429294</v>
      </c>
      <c r="AD233" s="233">
        <f>(INDEX(Models!$BJ233:$BT233,,AH233)*(1-AF233)+INDEX(Models!$BJ233:$BT233,,AH233+1)*AF233-ERP_i)*AE233*Ramure*Pc/MaxiM</f>
        <v>4.4346708786612028E-3</v>
      </c>
      <c r="AE233" s="307">
        <f t="shared" si="92"/>
        <v>0.9</v>
      </c>
      <c r="AF233" s="179">
        <f t="shared" si="93"/>
        <v>0.74147399064475406</v>
      </c>
      <c r="AG233" s="839">
        <f t="shared" si="99"/>
        <v>1</v>
      </c>
      <c r="AH233" s="178">
        <f t="shared" si="94"/>
        <v>7</v>
      </c>
      <c r="AI233" s="227">
        <f t="shared" si="95"/>
        <v>1.7414739906447541</v>
      </c>
      <c r="AJ233" s="267" t="b">
        <f t="shared" si="96"/>
        <v>0</v>
      </c>
      <c r="AK233" s="267" t="b">
        <f t="shared" si="97"/>
        <v>0</v>
      </c>
      <c r="AL233" s="267"/>
      <c r="AM233" s="267"/>
      <c r="AN233" s="75"/>
    </row>
    <row r="234" spans="1:40" s="6" customFormat="1" ht="11.25" x14ac:dyDescent="0.2">
      <c r="A234" s="56">
        <f t="shared" si="98"/>
        <v>45511</v>
      </c>
      <c r="B234" s="413">
        <f>'2023'!Wh/'2023'!Env_an*'2024'!Env_an</f>
        <v>51.35046640714225</v>
      </c>
      <c r="C234" s="868"/>
      <c r="D234" s="395">
        <f t="shared" si="77"/>
        <v>54.045446014989118</v>
      </c>
      <c r="E234" s="387">
        <f t="shared" si="100"/>
        <v>56.610486264156897</v>
      </c>
      <c r="F234" s="387">
        <f t="shared" si="78"/>
        <v>56.872265731614419</v>
      </c>
      <c r="G234" s="110">
        <f t="shared" si="101"/>
        <v>0.97922235029853644</v>
      </c>
      <c r="H234" s="416" t="b">
        <f>Wh_hp&gt;='2023'!Maxi_hp</f>
        <v>0</v>
      </c>
      <c r="I234" s="392">
        <f>IF(H234,Wh_hp,'2023'!Maxi_hp)</f>
        <v>56.876275086433836</v>
      </c>
      <c r="J234" s="85">
        <f>IF(H234,An,'2023'!An_max)</f>
        <v>2022</v>
      </c>
      <c r="K234" s="199">
        <f t="shared" si="79"/>
        <v>45511</v>
      </c>
      <c r="L234" s="147">
        <f>IF(t&lt;Tvie,1-EXP((T0-t)*PertePVj)+'2023'!Pspv,1-EXP((T0-t)*PertePVj)+Pspv)</f>
        <v>4.9865063692867584E-2</v>
      </c>
      <c r="M234" s="872"/>
      <c r="N234" s="872"/>
      <c r="O234" s="48">
        <f>IF(t&lt;Tnet,'2023'!Resal+('2023'!Salim-'2023'!Resal)*(1-EXP(('2023'!Tnet-t)/('2023'!Tau_j))),Resal+(Salim-Resal)*(1-EXP((Tnet-t)/(Tau_j))))*Salcycl</f>
        <v>4.5310337685473039E-2</v>
      </c>
      <c r="P234" s="171">
        <f>(INDEX(Models!$BJ234:$BT234,,T234)*(1-R234)+INDEX(Models!$BJ234:$BT234,,T234+1)*R234-ERP_i)*Q234*Ramure*Pc/MaxiM</f>
        <v>4.7427819033607956E-3</v>
      </c>
      <c r="Q234" s="307">
        <f t="shared" si="80"/>
        <v>0.9</v>
      </c>
      <c r="R234" s="179">
        <f t="shared" si="81"/>
        <v>0.74366397415084418</v>
      </c>
      <c r="S234" s="839">
        <f t="shared" si="82"/>
        <v>1</v>
      </c>
      <c r="T234" s="178">
        <f t="shared" si="83"/>
        <v>7</v>
      </c>
      <c r="U234" s="253">
        <f t="shared" si="84"/>
        <v>1.7436639741508442</v>
      </c>
      <c r="V234" s="385">
        <f t="shared" si="85"/>
        <v>52.43267996658038</v>
      </c>
      <c r="W234" s="404">
        <f t="shared" si="86"/>
        <v>51.35046640714225</v>
      </c>
      <c r="X234" s="157">
        <f t="shared" si="87"/>
        <v>45511</v>
      </c>
      <c r="Y234" s="387">
        <f t="shared" si="88"/>
        <v>46.674646241874377</v>
      </c>
      <c r="Z234" s="387">
        <f t="shared" si="89"/>
        <v>49.124229052437173</v>
      </c>
      <c r="AA234" s="388">
        <f t="shared" si="90"/>
        <v>56.610486264156897</v>
      </c>
      <c r="AB234" s="199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0.13224152812938603</v>
      </c>
      <c r="AD234" s="233">
        <f>(INDEX(Models!$BJ234:$BT234,,AH234)*(1-AF234)+INDEX(Models!$BJ234:$BT234,,AH234+1)*AF234-ERP_i)*AE234*Ramure*Pc/MaxiM</f>
        <v>4.7427819033607956E-3</v>
      </c>
      <c r="AE234" s="307">
        <f t="shared" si="92"/>
        <v>0.9</v>
      </c>
      <c r="AF234" s="179">
        <f t="shared" si="93"/>
        <v>0.74366397415084418</v>
      </c>
      <c r="AG234" s="839">
        <f t="shared" si="99"/>
        <v>1</v>
      </c>
      <c r="AH234" s="178">
        <f t="shared" si="94"/>
        <v>7</v>
      </c>
      <c r="AI234" s="227">
        <f t="shared" si="95"/>
        <v>1.7436639741508442</v>
      </c>
      <c r="AJ234" s="267" t="b">
        <f t="shared" si="96"/>
        <v>0</v>
      </c>
      <c r="AK234" s="267" t="b">
        <f t="shared" si="97"/>
        <v>0</v>
      </c>
      <c r="AL234" s="267"/>
      <c r="AM234" s="267"/>
      <c r="AN234" s="75"/>
    </row>
    <row r="235" spans="1:40" s="6" customFormat="1" ht="11.25" x14ac:dyDescent="0.2">
      <c r="A235" s="56">
        <f t="shared" si="98"/>
        <v>45512</v>
      </c>
      <c r="B235" s="413">
        <f>'2023'!Wh/'2023'!Env_an*'2024'!Env_an</f>
        <v>49.372345371641885</v>
      </c>
      <c r="C235" s="868"/>
      <c r="D235" s="395">
        <f t="shared" si="77"/>
        <v>51.964718355568124</v>
      </c>
      <c r="E235" s="387">
        <f t="shared" si="100"/>
        <v>54.442764835700082</v>
      </c>
      <c r="F235" s="387">
        <f t="shared" si="78"/>
        <v>54.697756658712933</v>
      </c>
      <c r="G235" s="110">
        <f t="shared" si="101"/>
        <v>0.94502249709564545</v>
      </c>
      <c r="H235" s="416" t="b">
        <f>Wh_hp&gt;='2023'!Maxi_hp</f>
        <v>0</v>
      </c>
      <c r="I235" s="392">
        <f>IF(H235,Wh_hp,'2023'!Maxi_hp)</f>
        <v>56.037140301395539</v>
      </c>
      <c r="J235" s="85">
        <f>IF(H235,An,'2023'!An_max)</f>
        <v>2021</v>
      </c>
      <c r="K235" s="199">
        <f t="shared" si="79"/>
        <v>45512</v>
      </c>
      <c r="L235" s="147">
        <f>IF(t&lt;Tvie,1-EXP((T0-t)*PertePVj)+'2023'!Pspv,1-EXP((T0-t)*PertePVj)+Pspv)</f>
        <v>4.9887174720893324E-2</v>
      </c>
      <c r="M235" s="872"/>
      <c r="N235" s="872"/>
      <c r="O235" s="48">
        <f>IF(t&lt;Tnet,'2023'!Resal+('2023'!Salim-'2023'!Resal)*(1-EXP(('2023'!Tnet-t)/('2023'!Tau_j))),Resal+(Salim-Resal)*(1-EXP((Tnet-t)/(Tau_j))))*Salcycl</f>
        <v>4.5516543614387041E-2</v>
      </c>
      <c r="P235" s="171">
        <f>(INDEX(Models!$BJ235:$BT235,,T235)*(1-R235)+INDEX(Models!$BJ235:$BT235,,T235+1)*R235-ERP_i)*Q235*Ramure*Pc/MaxiM</f>
        <v>5.0562409207466344E-3</v>
      </c>
      <c r="Q235" s="307">
        <f t="shared" si="80"/>
        <v>0.9</v>
      </c>
      <c r="R235" s="179">
        <f t="shared" si="81"/>
        <v>0.74577987936692391</v>
      </c>
      <c r="S235" s="839">
        <f t="shared" si="82"/>
        <v>1</v>
      </c>
      <c r="T235" s="178">
        <f t="shared" si="83"/>
        <v>7</v>
      </c>
      <c r="U235" s="253">
        <f t="shared" si="84"/>
        <v>1.7457798793669239</v>
      </c>
      <c r="V235" s="385">
        <f t="shared" si="85"/>
        <v>52.223922170542636</v>
      </c>
      <c r="W235" s="404">
        <f t="shared" si="86"/>
        <v>49.372345371641885</v>
      </c>
      <c r="X235" s="157">
        <f t="shared" si="87"/>
        <v>45512</v>
      </c>
      <c r="Y235" s="387">
        <f t="shared" si="88"/>
        <v>44.880791256923075</v>
      </c>
      <c r="Z235" s="387">
        <f t="shared" si="89"/>
        <v>47.23732809704871</v>
      </c>
      <c r="AA235" s="388">
        <f t="shared" si="90"/>
        <v>54.442764835700082</v>
      </c>
      <c r="AB235" s="199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0.13234883938015046</v>
      </c>
      <c r="AD235" s="233">
        <f>(INDEX(Models!$BJ235:$BT235,,AH235)*(1-AF235)+INDEX(Models!$BJ235:$BT235,,AH235+1)*AF235-ERP_i)*AE235*Ramure*Pc/MaxiM</f>
        <v>5.0562409207466344E-3</v>
      </c>
      <c r="AE235" s="307">
        <f t="shared" si="92"/>
        <v>0.9</v>
      </c>
      <c r="AF235" s="179">
        <f t="shared" si="93"/>
        <v>0.74577987936692391</v>
      </c>
      <c r="AG235" s="839">
        <f t="shared" si="99"/>
        <v>1</v>
      </c>
      <c r="AH235" s="178">
        <f t="shared" si="94"/>
        <v>7</v>
      </c>
      <c r="AI235" s="227">
        <f t="shared" si="95"/>
        <v>1.7457798793669239</v>
      </c>
      <c r="AJ235" s="267" t="b">
        <f t="shared" si="96"/>
        <v>0</v>
      </c>
      <c r="AK235" s="267" t="b">
        <f t="shared" si="97"/>
        <v>0</v>
      </c>
      <c r="AL235" s="267"/>
      <c r="AM235" s="267"/>
      <c r="AN235" s="75"/>
    </row>
    <row r="236" spans="1:40" s="6" customFormat="1" ht="11.25" x14ac:dyDescent="0.2">
      <c r="A236" s="56">
        <f t="shared" si="98"/>
        <v>45513</v>
      </c>
      <c r="B236" s="413">
        <f>'2023'!Wh/'2023'!Env_an*'2024'!Env_an</f>
        <v>47.530084647463987</v>
      </c>
      <c r="C236" s="868"/>
      <c r="D236" s="395">
        <f t="shared" si="77"/>
        <v>50.026891020809984</v>
      </c>
      <c r="E236" s="387">
        <f t="shared" si="100"/>
        <v>52.423832474502206</v>
      </c>
      <c r="F236" s="387">
        <f t="shared" si="78"/>
        <v>52.672096746517312</v>
      </c>
      <c r="G236" s="110">
        <f t="shared" si="101"/>
        <v>0.91321312365339846</v>
      </c>
      <c r="H236" s="416" t="b">
        <f>Wh_hp&gt;='2023'!Maxi_hp</f>
        <v>0</v>
      </c>
      <c r="I236" s="392">
        <f>IF(H236,Wh_hp,'2023'!Maxi_hp)</f>
        <v>52.689465220903699</v>
      </c>
      <c r="J236" s="85">
        <f>IF(H236,An,'2023'!An_max)</f>
        <v>2022</v>
      </c>
      <c r="K236" s="199">
        <f t="shared" si="79"/>
        <v>45513</v>
      </c>
      <c r="L236" s="147">
        <f>IF(t&lt;Tvie,1-EXP((T0-t)*PertePVj)+'2023'!Pspv,1-EXP((T0-t)*PertePVj)+Pspv)</f>
        <v>4.9909285234362999E-2</v>
      </c>
      <c r="M236" s="872"/>
      <c r="N236" s="872"/>
      <c r="O236" s="48">
        <f>IF(t&lt;Tnet,'2023'!Resal+('2023'!Salim-'2023'!Resal)*(1-EXP(('2023'!Tnet-t)/('2023'!Tau_j))),Resal+(Salim-Resal)*(1-EXP((Tnet-t)/(Tau_j))))*Salcycl</f>
        <v>4.5722362150040094E-2</v>
      </c>
      <c r="P236" s="171">
        <f>(INDEX(Models!$BJ236:$BT236,,T236)*(1-R236)+INDEX(Models!$BJ236:$BT236,,T236+1)*R236-ERP_i)*Q236*Ramure*Pc/MaxiM</f>
        <v>5.3751442084787639E-3</v>
      </c>
      <c r="Q236" s="307">
        <f t="shared" si="80"/>
        <v>0.9</v>
      </c>
      <c r="R236" s="179">
        <f t="shared" si="81"/>
        <v>0.74782370501917983</v>
      </c>
      <c r="S236" s="839">
        <f t="shared" si="82"/>
        <v>1</v>
      </c>
      <c r="T236" s="178">
        <f t="shared" si="83"/>
        <v>7</v>
      </c>
      <c r="U236" s="253">
        <f t="shared" si="84"/>
        <v>1.7478237050191798</v>
      </c>
      <c r="V236" s="385">
        <f t="shared" si="85"/>
        <v>52.012483565103452</v>
      </c>
      <c r="W236" s="404">
        <f t="shared" si="86"/>
        <v>47.530084647463987</v>
      </c>
      <c r="X236" s="157">
        <f t="shared" si="87"/>
        <v>45513</v>
      </c>
      <c r="Y236" s="387">
        <f t="shared" si="88"/>
        <v>43.210127554832454</v>
      </c>
      <c r="Z236" s="387">
        <f t="shared" si="89"/>
        <v>45.480001944331477</v>
      </c>
      <c r="AA236" s="388">
        <f t="shared" si="90"/>
        <v>52.423832474502206</v>
      </c>
      <c r="AB236" s="199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0.13245560658977104</v>
      </c>
      <c r="AD236" s="233">
        <f>(INDEX(Models!$BJ236:$BT236,,AH236)*(1-AF236)+INDEX(Models!$BJ236:$BT236,,AH236+1)*AF236-ERP_i)*AE236*Ramure*Pc/MaxiM</f>
        <v>5.3751442084787639E-3</v>
      </c>
      <c r="AE236" s="307">
        <f t="shared" si="92"/>
        <v>0.9</v>
      </c>
      <c r="AF236" s="179">
        <f t="shared" si="93"/>
        <v>0.74782370501917983</v>
      </c>
      <c r="AG236" s="839">
        <f t="shared" si="99"/>
        <v>1</v>
      </c>
      <c r="AH236" s="178">
        <f t="shared" si="94"/>
        <v>7</v>
      </c>
      <c r="AI236" s="227">
        <f t="shared" si="95"/>
        <v>1.7478237050191798</v>
      </c>
      <c r="AJ236" s="267" t="b">
        <f t="shared" si="96"/>
        <v>0</v>
      </c>
      <c r="AK236" s="267" t="b">
        <f t="shared" si="97"/>
        <v>0</v>
      </c>
      <c r="AL236" s="267"/>
      <c r="AM236" s="267"/>
      <c r="AN236" s="75"/>
    </row>
    <row r="237" spans="1:40" s="6" customFormat="1" ht="11.25" x14ac:dyDescent="0.2">
      <c r="A237" s="56">
        <f t="shared" si="98"/>
        <v>45514</v>
      </c>
      <c r="B237" s="413">
        <f>'2023'!Wh/'2023'!Env_an*'2024'!Env_an</f>
        <v>43.045870233980722</v>
      </c>
      <c r="C237" s="868"/>
      <c r="D237" s="395">
        <f t="shared" si="77"/>
        <v>45.308170397390001</v>
      </c>
      <c r="E237" s="387">
        <f t="shared" si="100"/>
        <v>47.489246576334587</v>
      </c>
      <c r="F237" s="387">
        <f t="shared" si="78"/>
        <v>47.69547386617522</v>
      </c>
      <c r="G237" s="110">
        <f t="shared" si="101"/>
        <v>0.82988577291135701</v>
      </c>
      <c r="H237" s="416" t="b">
        <f>Wh_hp&gt;='2023'!Maxi_hp</f>
        <v>0</v>
      </c>
      <c r="I237" s="392">
        <f>IF(H237,Wh_hp,'2023'!Maxi_hp)</f>
        <v>51.041583493059605</v>
      </c>
      <c r="J237" s="85">
        <f>IF(H237,An,'2023'!An_max)</f>
        <v>2021</v>
      </c>
      <c r="K237" s="199">
        <f t="shared" si="79"/>
        <v>45514</v>
      </c>
      <c r="L237" s="147">
        <f>IF(t&lt;Tvie,1-EXP((T0-t)*PertePVj)+'2023'!Pspv,1-EXP((T0-t)*PertePVj)+Pspv)</f>
        <v>4.9931395233288822E-2</v>
      </c>
      <c r="M237" s="872"/>
      <c r="N237" s="872"/>
      <c r="O237" s="48">
        <f>IF(t&lt;Tnet,'2023'!Resal+('2023'!Salim-'2023'!Resal)*(1-EXP(('2023'!Tnet-t)/('2023'!Tau_j))),Resal+(Salim-Resal)*(1-EXP((Tnet-t)/(Tau_j))))*Salcycl</f>
        <v>4.5927790735502835E-2</v>
      </c>
      <c r="P237" s="171">
        <f>(INDEX(Models!$BJ237:$BT237,,T237)*(1-R237)+INDEX(Models!$BJ237:$BT237,,T237+1)*R237-ERP_i)*Q237*Ramure*Pc/MaxiM</f>
        <v>5.6996034141366964E-3</v>
      </c>
      <c r="Q237" s="307">
        <f t="shared" si="80"/>
        <v>0.9</v>
      </c>
      <c r="R237" s="179">
        <f t="shared" si="81"/>
        <v>0.74979743356805928</v>
      </c>
      <c r="S237" s="839">
        <f t="shared" si="82"/>
        <v>1</v>
      </c>
      <c r="T237" s="178">
        <f t="shared" si="83"/>
        <v>7</v>
      </c>
      <c r="U237" s="253">
        <f t="shared" si="84"/>
        <v>1.7497974335680593</v>
      </c>
      <c r="V237" s="385">
        <f t="shared" si="85"/>
        <v>51.797962142757974</v>
      </c>
      <c r="W237" s="404">
        <f t="shared" si="86"/>
        <v>43.045870233980722</v>
      </c>
      <c r="X237" s="157">
        <f t="shared" si="87"/>
        <v>45514</v>
      </c>
      <c r="Y237" s="387">
        <f t="shared" si="88"/>
        <v>39.137112160383701</v>
      </c>
      <c r="Z237" s="387">
        <f t="shared" si="89"/>
        <v>41.193985322769187</v>
      </c>
      <c r="AA237" s="388">
        <f t="shared" si="90"/>
        <v>47.489246576334587</v>
      </c>
      <c r="AB237" s="199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0.13256182625357815</v>
      </c>
      <c r="AD237" s="233">
        <f>(INDEX(Models!$BJ237:$BT237,,AH237)*(1-AF237)+INDEX(Models!$BJ237:$BT237,,AH237+1)*AF237-ERP_i)*AE237*Ramure*Pc/MaxiM</f>
        <v>5.6996034141366964E-3</v>
      </c>
      <c r="AE237" s="307">
        <f t="shared" si="92"/>
        <v>0.9</v>
      </c>
      <c r="AF237" s="179">
        <f t="shared" si="93"/>
        <v>0.74979743356805928</v>
      </c>
      <c r="AG237" s="839">
        <f t="shared" si="99"/>
        <v>1</v>
      </c>
      <c r="AH237" s="178">
        <f t="shared" si="94"/>
        <v>7</v>
      </c>
      <c r="AI237" s="227">
        <f t="shared" si="95"/>
        <v>1.7497974335680593</v>
      </c>
      <c r="AJ237" s="267" t="b">
        <f t="shared" si="96"/>
        <v>0</v>
      </c>
      <c r="AK237" s="267" t="b">
        <f t="shared" si="97"/>
        <v>0</v>
      </c>
      <c r="AL237" s="267"/>
      <c r="AM237" s="267"/>
      <c r="AN237" s="75"/>
    </row>
    <row r="238" spans="1:40" s="6" customFormat="1" ht="11.25" x14ac:dyDescent="0.2">
      <c r="A238" s="56">
        <f t="shared" si="98"/>
        <v>45515</v>
      </c>
      <c r="B238" s="413">
        <f>'2023'!Wh/'2023'!Env_an*'2024'!Env_an</f>
        <v>45.755455779982476</v>
      </c>
      <c r="C238" s="868"/>
      <c r="D238" s="395">
        <f t="shared" si="77"/>
        <v>48.161280534365545</v>
      </c>
      <c r="E238" s="387">
        <f t="shared" si="100"/>
        <v>50.490552395934714</v>
      </c>
      <c r="F238" s="387">
        <f t="shared" si="78"/>
        <v>50.747183270356203</v>
      </c>
      <c r="G238" s="110">
        <f t="shared" si="101"/>
        <v>0.88621097465510301</v>
      </c>
      <c r="H238" s="416" t="b">
        <f>Wh_hp&gt;='2023'!Maxi_hp</f>
        <v>0</v>
      </c>
      <c r="I238" s="392">
        <f>IF(H238,Wh_hp,'2023'!Maxi_hp)</f>
        <v>50.771415231973002</v>
      </c>
      <c r="J238" s="85">
        <f>IF(H238,An,'2023'!An_max)</f>
        <v>2022</v>
      </c>
      <c r="K238" s="199">
        <f t="shared" si="79"/>
        <v>45515</v>
      </c>
      <c r="L238" s="147">
        <f>IF(t&lt;Tvie,1-EXP((T0-t)*PertePVj)+'2023'!Pspv,1-EXP((T0-t)*PertePVj)+Pspv)</f>
        <v>4.9953504717682673E-2</v>
      </c>
      <c r="M238" s="872"/>
      <c r="N238" s="872"/>
      <c r="O238" s="48">
        <f>IF(t&lt;Tnet,'2023'!Resal+('2023'!Salim-'2023'!Resal)*(1-EXP(('2023'!Tnet-t)/('2023'!Tau_j))),Resal+(Salim-Resal)*(1-EXP((Tnet-t)/(Tau_j))))*Salcycl</f>
        <v>4.6132825866185397E-2</v>
      </c>
      <c r="P238" s="171">
        <f>(INDEX(Models!$BJ238:$BT238,,T238)*(1-R238)+INDEX(Models!$BJ238:$BT238,,T238+1)*R238-ERP_i)*Q238*Ramure*Pc/MaxiM</f>
        <v>6.0297462012821549E-3</v>
      </c>
      <c r="Q238" s="307">
        <f t="shared" si="80"/>
        <v>0.9</v>
      </c>
      <c r="R238" s="179">
        <f t="shared" si="81"/>
        <v>0.75170302815065182</v>
      </c>
      <c r="S238" s="839">
        <f t="shared" si="82"/>
        <v>1</v>
      </c>
      <c r="T238" s="178">
        <f t="shared" si="83"/>
        <v>7</v>
      </c>
      <c r="U238" s="253">
        <f t="shared" si="84"/>
        <v>1.7517030281506518</v>
      </c>
      <c r="V238" s="385">
        <f t="shared" si="85"/>
        <v>51.579956198515781</v>
      </c>
      <c r="W238" s="404">
        <f t="shared" si="86"/>
        <v>45.755455779982476</v>
      </c>
      <c r="X238" s="157">
        <f t="shared" si="87"/>
        <v>45515</v>
      </c>
      <c r="Y238" s="387">
        <f t="shared" si="88"/>
        <v>41.604528685628793</v>
      </c>
      <c r="Z238" s="387">
        <f t="shared" si="89"/>
        <v>43.792097431258377</v>
      </c>
      <c r="AA238" s="388">
        <f t="shared" si="90"/>
        <v>50.490552395934714</v>
      </c>
      <c r="AB238" s="199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0.13266749217058821</v>
      </c>
      <c r="AD238" s="233">
        <f>(INDEX(Models!$BJ238:$BT238,,AH238)*(1-AF238)+INDEX(Models!$BJ238:$BT238,,AH238+1)*AF238-ERP_i)*AE238*Ramure*Pc/MaxiM</f>
        <v>6.0297462012821549E-3</v>
      </c>
      <c r="AE238" s="307">
        <f t="shared" si="92"/>
        <v>0.9</v>
      </c>
      <c r="AF238" s="179">
        <f t="shared" si="93"/>
        <v>0.75170302815065182</v>
      </c>
      <c r="AG238" s="839">
        <f t="shared" si="99"/>
        <v>1</v>
      </c>
      <c r="AH238" s="178">
        <f t="shared" si="94"/>
        <v>7</v>
      </c>
      <c r="AI238" s="227">
        <f t="shared" si="95"/>
        <v>1.7517030281506518</v>
      </c>
      <c r="AJ238" s="267" t="b">
        <f t="shared" si="96"/>
        <v>0</v>
      </c>
      <c r="AK238" s="267" t="b">
        <f t="shared" si="97"/>
        <v>0</v>
      </c>
      <c r="AL238" s="267"/>
      <c r="AM238" s="267"/>
      <c r="AN238" s="75"/>
    </row>
    <row r="239" spans="1:40" s="6" customFormat="1" ht="11.25" x14ac:dyDescent="0.2">
      <c r="A239" s="56">
        <f t="shared" si="98"/>
        <v>45516</v>
      </c>
      <c r="B239" s="413">
        <f>'2023'!Wh/'2023'!Env_an*'2024'!Env_an</f>
        <v>30.8539727726574</v>
      </c>
      <c r="C239" s="868"/>
      <c r="D239" s="395">
        <f t="shared" si="77"/>
        <v>32.477032397471703</v>
      </c>
      <c r="E239" s="387">
        <f t="shared" si="100"/>
        <v>34.055057362850931</v>
      </c>
      <c r="F239" s="387">
        <f t="shared" si="78"/>
        <v>34.1484565955571</v>
      </c>
      <c r="G239" s="110">
        <f t="shared" si="101"/>
        <v>0.59857486460978371</v>
      </c>
      <c r="H239" s="416" t="b">
        <f>Wh_hp&gt;='2023'!Maxi_hp</f>
        <v>0</v>
      </c>
      <c r="I239" s="392">
        <f>IF(H239,Wh_hp,'2023'!Maxi_hp)</f>
        <v>52.03553309327885</v>
      </c>
      <c r="J239" s="85">
        <f>IF(H239,An,'2023'!An_max)</f>
        <v>2019</v>
      </c>
      <c r="K239" s="199">
        <f t="shared" si="79"/>
        <v>45516</v>
      </c>
      <c r="L239" s="147">
        <f>IF(t&lt;Tvie,1-EXP((T0-t)*PertePVj)+'2023'!Pspv,1-EXP((T0-t)*PertePVj)+Pspv)</f>
        <v>4.9975613687556542E-2</v>
      </c>
      <c r="M239" s="872"/>
      <c r="N239" s="872"/>
      <c r="O239" s="48">
        <f>IF(t&lt;Tnet,'2023'!Resal+('2023'!Salim-'2023'!Resal)*(1-EXP(('2023'!Tnet-t)/('2023'!Tau_j))),Resal+(Salim-Resal)*(1-EXP((Tnet-t)/(Tau_j))))*Salcycl</f>
        <v>4.6337463142864126E-2</v>
      </c>
      <c r="P239" s="171">
        <f>(INDEX(Models!$BJ239:$BT239,,T239)*(1-R239)+INDEX(Models!$BJ239:$BT239,,T239+1)*R239-ERP_i)*Q239*Ramure*Pc/MaxiM</f>
        <v>6.3657169432425852E-3</v>
      </c>
      <c r="Q239" s="307">
        <f t="shared" si="80"/>
        <v>0.9</v>
      </c>
      <c r="R239" s="179">
        <f t="shared" si="81"/>
        <v>0.75354242980949282</v>
      </c>
      <c r="S239" s="839">
        <f t="shared" si="82"/>
        <v>1</v>
      </c>
      <c r="T239" s="178">
        <f t="shared" si="83"/>
        <v>7</v>
      </c>
      <c r="U239" s="253">
        <f t="shared" si="84"/>
        <v>1.7535424298094928</v>
      </c>
      <c r="V239" s="385">
        <f t="shared" si="85"/>
        <v>51.358064329419371</v>
      </c>
      <c r="W239" s="404">
        <f t="shared" si="86"/>
        <v>30.8539727726574</v>
      </c>
      <c r="X239" s="157">
        <f t="shared" si="87"/>
        <v>45516</v>
      </c>
      <c r="Y239" s="387">
        <f t="shared" si="88"/>
        <v>28.057525264522901</v>
      </c>
      <c r="Z239" s="387">
        <f t="shared" si="89"/>
        <v>29.533479001975177</v>
      </c>
      <c r="AA239" s="388">
        <f t="shared" si="90"/>
        <v>34.055057362850931</v>
      </c>
      <c r="AB239" s="199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0.13277259564413868</v>
      </c>
      <c r="AD239" s="233">
        <f>(INDEX(Models!$BJ239:$BT239,,AH239)*(1-AF239)+INDEX(Models!$BJ239:$BT239,,AH239+1)*AF239-ERP_i)*AE239*Ramure*Pc/MaxiM</f>
        <v>6.3657169432425852E-3</v>
      </c>
      <c r="AE239" s="307">
        <f t="shared" si="92"/>
        <v>0.9</v>
      </c>
      <c r="AF239" s="179">
        <f t="shared" si="93"/>
        <v>0.75354242980949282</v>
      </c>
      <c r="AG239" s="839">
        <f t="shared" si="99"/>
        <v>1</v>
      </c>
      <c r="AH239" s="178">
        <f t="shared" si="94"/>
        <v>7</v>
      </c>
      <c r="AI239" s="227">
        <f t="shared" si="95"/>
        <v>1.7535424298094928</v>
      </c>
      <c r="AJ239" s="267" t="b">
        <f t="shared" si="96"/>
        <v>0</v>
      </c>
      <c r="AK239" s="267" t="b">
        <f t="shared" si="97"/>
        <v>0</v>
      </c>
      <c r="AL239" s="267"/>
      <c r="AM239" s="267"/>
      <c r="AN239" s="75"/>
    </row>
    <row r="240" spans="1:40" s="6" customFormat="1" ht="11.25" x14ac:dyDescent="0.2">
      <c r="A240" s="56">
        <f t="shared" si="98"/>
        <v>45517</v>
      </c>
      <c r="B240" s="413">
        <f>'2023'!Wh/'2023'!Env_an*'2024'!Env_an</f>
        <v>33.190301072506458</v>
      </c>
      <c r="C240" s="868"/>
      <c r="D240" s="395">
        <f t="shared" si="77"/>
        <v>34.937075253518231</v>
      </c>
      <c r="E240" s="387">
        <f t="shared" si="100"/>
        <v>36.642478392083</v>
      </c>
      <c r="F240" s="387">
        <f t="shared" si="78"/>
        <v>36.765380253682288</v>
      </c>
      <c r="G240" s="110">
        <f t="shared" si="101"/>
        <v>0.64692015976715345</v>
      </c>
      <c r="H240" s="416" t="b">
        <f>Wh_hp&gt;='2023'!Maxi_hp</f>
        <v>0</v>
      </c>
      <c r="I240" s="392">
        <f>IF(H240,Wh_hp,'2023'!Maxi_hp)</f>
        <v>56.382758921997223</v>
      </c>
      <c r="J240" s="85">
        <f>IF(H240,An,'2023'!An_max)</f>
        <v>2019</v>
      </c>
      <c r="K240" s="199">
        <f t="shared" si="79"/>
        <v>45517</v>
      </c>
      <c r="L240" s="147">
        <f>IF(t&lt;Tvie,1-EXP((T0-t)*PertePVj)+'2023'!Pspv,1-EXP((T0-t)*PertePVj)+Pspv)</f>
        <v>4.9997722142922307E-2</v>
      </c>
      <c r="M240" s="872"/>
      <c r="N240" s="872"/>
      <c r="O240" s="48">
        <f>IF(t&lt;Tnet,'2023'!Resal+('2023'!Salim-'2023'!Resal)*(1-EXP(('2023'!Tnet-t)/('2023'!Tau_j))),Resal+(Salim-Resal)*(1-EXP((Tnet-t)/(Tau_j))))*Salcycl</f>
        <v>4.6541697325070686E-2</v>
      </c>
      <c r="P240" s="171">
        <f>(INDEX(Models!$BJ240:$BT240,,T240)*(1-R240)+INDEX(Models!$BJ240:$BT240,,T240+1)*R240-ERP_i)*Q240*Ramure*Pc/MaxiM</f>
        <v>6.7028127567617139E-3</v>
      </c>
      <c r="Q240" s="307">
        <f t="shared" si="80"/>
        <v>0.9</v>
      </c>
      <c r="R240" s="179">
        <f t="shared" si="81"/>
        <v>0.75531755499482145</v>
      </c>
      <c r="S240" s="839">
        <f t="shared" si="82"/>
        <v>1</v>
      </c>
      <c r="T240" s="178">
        <f t="shared" si="83"/>
        <v>7</v>
      </c>
      <c r="U240" s="253">
        <f t="shared" si="84"/>
        <v>1.7553175549948214</v>
      </c>
      <c r="V240" s="385">
        <f t="shared" si="85"/>
        <v>51.132135859195309</v>
      </c>
      <c r="W240" s="404">
        <f t="shared" si="86"/>
        <v>33.190301072506458</v>
      </c>
      <c r="X240" s="157">
        <f t="shared" si="87"/>
        <v>45517</v>
      </c>
      <c r="Y240" s="387">
        <f t="shared" si="88"/>
        <v>30.184927001878119</v>
      </c>
      <c r="Z240" s="387">
        <f t="shared" si="89"/>
        <v>31.773531185594972</v>
      </c>
      <c r="AA240" s="388">
        <f t="shared" si="90"/>
        <v>36.642478392083</v>
      </c>
      <c r="AB240" s="199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0.13287712567881377</v>
      </c>
      <c r="AD240" s="233">
        <f>(INDEX(Models!$BJ240:$BT240,,AH240)*(1-AF240)+INDEX(Models!$BJ240:$BT240,,AH240+1)*AF240-ERP_i)*AE240*Ramure*Pc/MaxiM</f>
        <v>6.7028127567617139E-3</v>
      </c>
      <c r="AE240" s="307">
        <f t="shared" si="92"/>
        <v>0.9</v>
      </c>
      <c r="AF240" s="179">
        <f t="shared" si="93"/>
        <v>0.75531755499482145</v>
      </c>
      <c r="AG240" s="839">
        <f t="shared" si="99"/>
        <v>1</v>
      </c>
      <c r="AH240" s="178">
        <f t="shared" si="94"/>
        <v>7</v>
      </c>
      <c r="AI240" s="227">
        <f t="shared" si="95"/>
        <v>1.7553175549948214</v>
      </c>
      <c r="AJ240" s="267" t="b">
        <f t="shared" si="96"/>
        <v>0</v>
      </c>
      <c r="AK240" s="267" t="b">
        <f t="shared" si="97"/>
        <v>0</v>
      </c>
      <c r="AL240" s="267"/>
      <c r="AM240" s="267"/>
      <c r="AN240" s="75"/>
    </row>
    <row r="241" spans="1:40" s="6" customFormat="1" ht="11.25" x14ac:dyDescent="0.2">
      <c r="A241" s="56">
        <f t="shared" si="98"/>
        <v>45518</v>
      </c>
      <c r="B241" s="413">
        <f>'2023'!Wh/'2023'!Env_an*'2024'!Env_an</f>
        <v>38.916991448736042</v>
      </c>
      <c r="C241" s="868"/>
      <c r="D241" s="395">
        <f t="shared" si="77"/>
        <v>40.96610927380587</v>
      </c>
      <c r="E241" s="387">
        <f t="shared" si="100"/>
        <v>42.974998004994696</v>
      </c>
      <c r="F241" s="387">
        <f t="shared" si="78"/>
        <v>43.176660064705629</v>
      </c>
      <c r="G241" s="110">
        <f t="shared" si="101"/>
        <v>0.76272995635344554</v>
      </c>
      <c r="H241" s="416" t="b">
        <f>Wh_hp&gt;='2023'!Maxi_hp</f>
        <v>0</v>
      </c>
      <c r="I241" s="392">
        <f>IF(H241,Wh_hp,'2023'!Maxi_hp)</f>
        <v>51.37885714144074</v>
      </c>
      <c r="J241" s="85">
        <f>IF(H241,An,'2023'!An_max)</f>
        <v>2020</v>
      </c>
      <c r="K241" s="199">
        <f t="shared" si="79"/>
        <v>45518</v>
      </c>
      <c r="L241" s="147">
        <f>IF(t&lt;Tvie,1-EXP((T0-t)*PertePVj)+'2023'!Pspv,1-EXP((T0-t)*PertePVj)+Pspv)</f>
        <v>5.0019830083792072E-2</v>
      </c>
      <c r="M241" s="872"/>
      <c r="N241" s="872"/>
      <c r="O241" s="48">
        <f>IF(t&lt;Tnet,'2023'!Resal+('2023'!Salim-'2023'!Resal)*(1-EXP(('2023'!Tnet-t)/('2023'!Tau_j))),Resal+(Salim-Resal)*(1-EXP((Tnet-t)/(Tau_j))))*Salcycl</f>
        <v>4.674552238386008E-2</v>
      </c>
      <c r="P241" s="171">
        <f>(INDEX(Models!$BJ241:$BT241,,T241)*(1-R241)+INDEX(Models!$BJ241:$BT241,,T241+1)*R241-ERP_i)*Q241*Ramure*Pc/MaxiM</f>
        <v>7.0378869604137495E-3</v>
      </c>
      <c r="Q241" s="307">
        <f t="shared" si="80"/>
        <v>0.9</v>
      </c>
      <c r="R241" s="179">
        <f t="shared" si="81"/>
        <v>0.75703029332707761</v>
      </c>
      <c r="S241" s="839">
        <f t="shared" si="82"/>
        <v>1</v>
      </c>
      <c r="T241" s="178">
        <f t="shared" si="83"/>
        <v>7</v>
      </c>
      <c r="U241" s="253">
        <f t="shared" si="84"/>
        <v>1.7570302933270776</v>
      </c>
      <c r="V241" s="385">
        <f t="shared" si="85"/>
        <v>50.901937400312107</v>
      </c>
      <c r="W241" s="404">
        <f t="shared" si="86"/>
        <v>38.916991448736042</v>
      </c>
      <c r="X241" s="157">
        <f t="shared" si="87"/>
        <v>45518</v>
      </c>
      <c r="Y241" s="387">
        <f t="shared" si="88"/>
        <v>35.396391109900108</v>
      </c>
      <c r="Z241" s="387">
        <f t="shared" si="89"/>
        <v>37.260136822668848</v>
      </c>
      <c r="AA241" s="388">
        <f t="shared" si="90"/>
        <v>42.974998004994696</v>
      </c>
      <c r="AB241" s="199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0.13298106917100133</v>
      </c>
      <c r="AD241" s="233">
        <f>(INDEX(Models!$BJ241:$BT241,,AH241)*(1-AF241)+INDEX(Models!$BJ241:$BT241,,AH241+1)*AF241-ERP_i)*AE241*Ramure*Pc/MaxiM</f>
        <v>7.0378869604137495E-3</v>
      </c>
      <c r="AE241" s="307">
        <f t="shared" si="92"/>
        <v>0.9</v>
      </c>
      <c r="AF241" s="179">
        <f t="shared" si="93"/>
        <v>0.75703029332707761</v>
      </c>
      <c r="AG241" s="839">
        <f t="shared" si="99"/>
        <v>1</v>
      </c>
      <c r="AH241" s="178">
        <f t="shared" si="94"/>
        <v>7</v>
      </c>
      <c r="AI241" s="227">
        <f t="shared" si="95"/>
        <v>1.7570302933270776</v>
      </c>
      <c r="AJ241" s="267" t="b">
        <f t="shared" si="96"/>
        <v>0</v>
      </c>
      <c r="AK241" s="267" t="b">
        <f t="shared" si="97"/>
        <v>0</v>
      </c>
      <c r="AL241" s="267"/>
      <c r="AM241" s="267"/>
      <c r="AN241" s="75"/>
    </row>
    <row r="242" spans="1:40" s="6" customFormat="1" ht="11.25" x14ac:dyDescent="0.2">
      <c r="A242" s="56">
        <f t="shared" si="98"/>
        <v>45519</v>
      </c>
      <c r="B242" s="413">
        <f>'2023'!Wh/'2023'!Env_an*'2024'!Env_an</f>
        <v>31.042038386316829</v>
      </c>
      <c r="C242" s="868"/>
      <c r="D242" s="395">
        <f t="shared" si="77"/>
        <v>32.67727241027486</v>
      </c>
      <c r="E242" s="387">
        <f t="shared" si="100"/>
        <v>34.287010940056867</v>
      </c>
      <c r="F242" s="387">
        <f t="shared" si="78"/>
        <v>34.400270424591028</v>
      </c>
      <c r="G242" s="110">
        <f t="shared" si="101"/>
        <v>0.61015985510468018</v>
      </c>
      <c r="H242" s="416" t="b">
        <f>Wh_hp&gt;='2023'!Maxi_hp</f>
        <v>0</v>
      </c>
      <c r="I242" s="392">
        <f>IF(H242,Wh_hp,'2023'!Maxi_hp)</f>
        <v>55.398390259601427</v>
      </c>
      <c r="J242" s="85">
        <f>IF(H242,An,'2023'!An_max)</f>
        <v>2019</v>
      </c>
      <c r="K242" s="199">
        <f t="shared" si="79"/>
        <v>45519</v>
      </c>
      <c r="L242" s="147">
        <f>IF(t&lt;Tvie,1-EXP((T0-t)*PertePVj)+'2023'!Pspv,1-EXP((T0-t)*PertePVj)+Pspv)</f>
        <v>5.0041937510177714E-2</v>
      </c>
      <c r="M242" s="872"/>
      <c r="N242" s="872"/>
      <c r="O242" s="48">
        <f>IF(t&lt;Tnet,'2023'!Resal+('2023'!Salim-'2023'!Resal)*(1-EXP(('2023'!Tnet-t)/('2023'!Tau_j))),Resal+(Salim-Resal)*(1-EXP((Tnet-t)/(Tau_j))))*Salcycl</f>
        <v>4.6948931553009193E-2</v>
      </c>
      <c r="P242" s="171">
        <f>(INDEX(Models!$BJ242:$BT242,,T242)*(1-R242)+INDEX(Models!$BJ242:$BT242,,T242+1)*R242-ERP_i)*Q242*Ramure*Pc/MaxiM</f>
        <v>7.3710401581337731E-3</v>
      </c>
      <c r="Q242" s="307">
        <f t="shared" si="80"/>
        <v>0.9</v>
      </c>
      <c r="R242" s="179">
        <f t="shared" si="81"/>
        <v>0.75868250560630379</v>
      </c>
      <c r="S242" s="839">
        <f t="shared" si="82"/>
        <v>1</v>
      </c>
      <c r="T242" s="178">
        <f t="shared" si="83"/>
        <v>7</v>
      </c>
      <c r="U242" s="253">
        <f t="shared" si="84"/>
        <v>1.7586825056063038</v>
      </c>
      <c r="V242" s="385">
        <f t="shared" si="85"/>
        <v>50.667068029323396</v>
      </c>
      <c r="W242" s="404">
        <f t="shared" si="86"/>
        <v>31.042038386316829</v>
      </c>
      <c r="X242" s="157">
        <f t="shared" si="87"/>
        <v>45519</v>
      </c>
      <c r="Y242" s="387">
        <f t="shared" si="88"/>
        <v>28.236500518774644</v>
      </c>
      <c r="Z242" s="387">
        <f t="shared" si="89"/>
        <v>29.723944281042581</v>
      </c>
      <c r="AA242" s="388">
        <f t="shared" si="90"/>
        <v>34.287010940056867</v>
      </c>
      <c r="AB242" s="199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0.13308441109059588</v>
      </c>
      <c r="AD242" s="233">
        <f>(INDEX(Models!$BJ242:$BT242,,AH242)*(1-AF242)+INDEX(Models!$BJ242:$BT242,,AH242+1)*AF242-ERP_i)*AE242*Ramure*Pc/MaxiM</f>
        <v>7.3710401581337731E-3</v>
      </c>
      <c r="AE242" s="307">
        <f t="shared" si="92"/>
        <v>0.9</v>
      </c>
      <c r="AF242" s="179">
        <f t="shared" si="93"/>
        <v>0.75868250560630379</v>
      </c>
      <c r="AG242" s="839">
        <f t="shared" si="99"/>
        <v>1</v>
      </c>
      <c r="AH242" s="178">
        <f t="shared" si="94"/>
        <v>7</v>
      </c>
      <c r="AI242" s="227">
        <f t="shared" si="95"/>
        <v>1.7586825056063038</v>
      </c>
      <c r="AJ242" s="267" t="b">
        <f t="shared" si="96"/>
        <v>0</v>
      </c>
      <c r="AK242" s="267" t="b">
        <f t="shared" si="97"/>
        <v>0</v>
      </c>
      <c r="AL242" s="267"/>
      <c r="AM242" s="267"/>
      <c r="AN242" s="75"/>
    </row>
    <row r="243" spans="1:40" s="6" customFormat="1" ht="11.25" x14ac:dyDescent="0.2">
      <c r="A243" s="56">
        <f t="shared" si="98"/>
        <v>45520</v>
      </c>
      <c r="B243" s="413">
        <f>'2023'!Wh/'2023'!Env_an*'2024'!Env_an</f>
        <v>22.489585995522113</v>
      </c>
      <c r="C243" s="868"/>
      <c r="D243" s="395">
        <f t="shared" si="77"/>
        <v>23.674844460267021</v>
      </c>
      <c r="E243" s="387">
        <f t="shared" si="100"/>
        <v>24.846399853283476</v>
      </c>
      <c r="F243" s="387">
        <f t="shared" si="78"/>
        <v>24.88637479662103</v>
      </c>
      <c r="G243" s="110">
        <f t="shared" si="101"/>
        <v>0.44325878164900206</v>
      </c>
      <c r="H243" s="416" t="b">
        <f>Wh_hp&gt;='2023'!Maxi_hp</f>
        <v>0</v>
      </c>
      <c r="I243" s="392">
        <f>IF(H243,Wh_hp,'2023'!Maxi_hp)</f>
        <v>54.145647175100791</v>
      </c>
      <c r="J243" s="85">
        <f>IF(H243,An,'2023'!An_max)</f>
        <v>2019</v>
      </c>
      <c r="K243" s="199">
        <f t="shared" si="79"/>
        <v>45520</v>
      </c>
      <c r="L243" s="147">
        <f>IF(t&lt;Tvie,1-EXP((T0-t)*PertePVj)+'2023'!Pspv,1-EXP((T0-t)*PertePVj)+Pspv)</f>
        <v>5.0064044422091225E-2</v>
      </c>
      <c r="M243" s="872"/>
      <c r="N243" s="872"/>
      <c r="O243" s="48">
        <f>IF(t&lt;Tnet,'2023'!Resal+('2023'!Salim-'2023'!Resal)*(1-EXP(('2023'!Tnet-t)/('2023'!Tau_j))),Resal+(Salim-Resal)*(1-EXP((Tnet-t)/(Tau_j))))*Salcycl</f>
        <v>4.7151917377745746E-2</v>
      </c>
      <c r="P243" s="171">
        <f>(INDEX(Models!$BJ243:$BT243,,T243)*(1-R243)+INDEX(Models!$BJ243:$BT243,,T243+1)*R243-ERP_i)*Q243*Ramure*Pc/MaxiM</f>
        <v>7.7023854240451505E-3</v>
      </c>
      <c r="Q243" s="307">
        <f t="shared" si="80"/>
        <v>0.9</v>
      </c>
      <c r="R243" s="179">
        <f t="shared" si="81"/>
        <v>0.76027602205509748</v>
      </c>
      <c r="S243" s="839">
        <f t="shared" si="82"/>
        <v>1</v>
      </c>
      <c r="T243" s="178">
        <f t="shared" si="83"/>
        <v>7</v>
      </c>
      <c r="U243" s="253">
        <f t="shared" si="84"/>
        <v>1.7602760220550975</v>
      </c>
      <c r="V243" s="385">
        <f t="shared" si="85"/>
        <v>50.427127158144877</v>
      </c>
      <c r="W243" s="404">
        <f t="shared" si="86"/>
        <v>22.489585995522113</v>
      </c>
      <c r="X243" s="157">
        <f t="shared" si="87"/>
        <v>45520</v>
      </c>
      <c r="Y243" s="387">
        <f t="shared" si="88"/>
        <v>20.45894076171091</v>
      </c>
      <c r="Z243" s="387">
        <f t="shared" si="89"/>
        <v>21.537179050417546</v>
      </c>
      <c r="AA243" s="388">
        <f t="shared" si="90"/>
        <v>24.846399853283476</v>
      </c>
      <c r="AB243" s="199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0.13318713465156659</v>
      </c>
      <c r="AD243" s="233">
        <f>(INDEX(Models!$BJ243:$BT243,,AH243)*(1-AF243)+INDEX(Models!$BJ243:$BT243,,AH243+1)*AF243-ERP_i)*AE243*Ramure*Pc/MaxiM</f>
        <v>7.7023854240451505E-3</v>
      </c>
      <c r="AE243" s="307">
        <f t="shared" si="92"/>
        <v>0.9</v>
      </c>
      <c r="AF243" s="179">
        <f t="shared" si="93"/>
        <v>0.76027602205509748</v>
      </c>
      <c r="AG243" s="839">
        <f t="shared" si="99"/>
        <v>1</v>
      </c>
      <c r="AH243" s="178">
        <f t="shared" si="94"/>
        <v>7</v>
      </c>
      <c r="AI243" s="227">
        <f t="shared" si="95"/>
        <v>1.7602760220550975</v>
      </c>
      <c r="AJ243" s="267" t="b">
        <f t="shared" si="96"/>
        <v>0</v>
      </c>
      <c r="AK243" s="267" t="b">
        <f t="shared" si="97"/>
        <v>0</v>
      </c>
      <c r="AL243" s="267"/>
      <c r="AM243" s="267"/>
      <c r="AN243" s="75"/>
    </row>
    <row r="244" spans="1:40" s="6" customFormat="1" ht="11.25" x14ac:dyDescent="0.2">
      <c r="A244" s="56">
        <f t="shared" si="98"/>
        <v>45521</v>
      </c>
      <c r="B244" s="413">
        <f>'2023'!Wh/'2023'!Env_an*'2024'!Env_an</f>
        <v>37.907913065612711</v>
      </c>
      <c r="C244" s="868"/>
      <c r="D244" s="395">
        <f t="shared" si="77"/>
        <v>39.906685325535591</v>
      </c>
      <c r="E244" s="387">
        <f t="shared" si="100"/>
        <v>41.890382248756971</v>
      </c>
      <c r="F244" s="387">
        <f t="shared" si="78"/>
        <v>42.110433220138667</v>
      </c>
      <c r="G244" s="110">
        <f t="shared" si="101"/>
        <v>0.75328168404999285</v>
      </c>
      <c r="H244" s="416" t="b">
        <f>Wh_hp&gt;='2023'!Maxi_hp</f>
        <v>0</v>
      </c>
      <c r="I244" s="392">
        <f>IF(H244,Wh_hp,'2023'!Maxi_hp)</f>
        <v>53.373753498683605</v>
      </c>
      <c r="J244" s="85">
        <f>IF(H244,An,'2023'!An_max)</f>
        <v>2021</v>
      </c>
      <c r="K244" s="199">
        <f t="shared" si="79"/>
        <v>45521</v>
      </c>
      <c r="L244" s="147">
        <f>IF(t&lt;Tvie,1-EXP((T0-t)*PertePVj)+'2023'!Pspv,1-EXP((T0-t)*PertePVj)+Pspv)</f>
        <v>5.0086150819544595E-2</v>
      </c>
      <c r="M244" s="872"/>
      <c r="N244" s="872"/>
      <c r="O244" s="48">
        <f>IF(t&lt;Tnet,'2023'!Resal+('2023'!Salim-'2023'!Resal)*(1-EXP(('2023'!Tnet-t)/('2023'!Tau_j))),Resal+(Salim-Resal)*(1-EXP((Tnet-t)/(Tau_j))))*Salcycl</f>
        <v>4.7354471760167459E-2</v>
      </c>
      <c r="P244" s="171">
        <f>(INDEX(Models!$BJ244:$BT244,,T244)*(1-R244)+INDEX(Models!$BJ244:$BT244,,T244+1)*R244-ERP_i)*Q244*Ramure*Pc/MaxiM</f>
        <v>8.0320484526474074E-3</v>
      </c>
      <c r="Q244" s="307">
        <f t="shared" si="80"/>
        <v>0.9</v>
      </c>
      <c r="R244" s="179">
        <f t="shared" si="81"/>
        <v>0.76181264078183664</v>
      </c>
      <c r="S244" s="839">
        <f t="shared" si="82"/>
        <v>1</v>
      </c>
      <c r="T244" s="178">
        <f t="shared" si="83"/>
        <v>7</v>
      </c>
      <c r="U244" s="253">
        <f t="shared" si="84"/>
        <v>1.7618126407818366</v>
      </c>
      <c r="V244" s="385">
        <f t="shared" si="85"/>
        <v>50.181714526105353</v>
      </c>
      <c r="W244" s="404">
        <f t="shared" si="86"/>
        <v>37.907913065612711</v>
      </c>
      <c r="X244" s="157">
        <f t="shared" si="87"/>
        <v>45521</v>
      </c>
      <c r="Y244" s="387">
        <f t="shared" si="88"/>
        <v>34.488375656656991</v>
      </c>
      <c r="Z244" s="387">
        <f t="shared" si="89"/>
        <v>36.306845811767111</v>
      </c>
      <c r="AA244" s="388">
        <f t="shared" si="90"/>
        <v>41.890382248756971</v>
      </c>
      <c r="AB244" s="199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0.13328922146933952</v>
      </c>
      <c r="AD244" s="233">
        <f>(INDEX(Models!$BJ244:$BT244,,AH244)*(1-AF244)+INDEX(Models!$BJ244:$BT244,,AH244+1)*AF244-ERP_i)*AE244*Ramure*Pc/MaxiM</f>
        <v>8.0320484526474074E-3</v>
      </c>
      <c r="AE244" s="307">
        <f t="shared" si="92"/>
        <v>0.9</v>
      </c>
      <c r="AF244" s="179">
        <f t="shared" si="93"/>
        <v>0.76181264078183664</v>
      </c>
      <c r="AG244" s="839">
        <f t="shared" si="99"/>
        <v>1</v>
      </c>
      <c r="AH244" s="178">
        <f t="shared" si="94"/>
        <v>7</v>
      </c>
      <c r="AI244" s="227">
        <f t="shared" si="95"/>
        <v>1.7618126407818366</v>
      </c>
      <c r="AJ244" s="267" t="b">
        <f t="shared" si="96"/>
        <v>0</v>
      </c>
      <c r="AK244" s="267" t="b">
        <f t="shared" si="97"/>
        <v>0</v>
      </c>
      <c r="AL244" s="267"/>
      <c r="AM244" s="267"/>
      <c r="AN244" s="75"/>
    </row>
    <row r="245" spans="1:40" s="6" customFormat="1" ht="11.25" x14ac:dyDescent="0.2">
      <c r="A245" s="56">
        <f t="shared" si="98"/>
        <v>45522</v>
      </c>
      <c r="B245" s="413">
        <f>'2023'!Wh/'2023'!Env_an*'2024'!Env_an</f>
        <v>39.238555067348642</v>
      </c>
      <c r="C245" s="868"/>
      <c r="D245" s="395">
        <f t="shared" si="77"/>
        <v>41.308449456709766</v>
      </c>
      <c r="E245" s="387">
        <f t="shared" si="100"/>
        <v>43.371027453747558</v>
      </c>
      <c r="F245" s="387">
        <f t="shared" si="78"/>
        <v>43.624166598297535</v>
      </c>
      <c r="G245" s="110">
        <f t="shared" si="101"/>
        <v>0.78384301789406507</v>
      </c>
      <c r="H245" s="416" t="b">
        <f>Wh_hp&gt;='2023'!Maxi_hp</f>
        <v>0</v>
      </c>
      <c r="I245" s="392">
        <f>IF(H245,Wh_hp,'2023'!Maxi_hp)</f>
        <v>48.36638609373653</v>
      </c>
      <c r="J245" s="85">
        <f>IF(H245,An,'2023'!An_max)</f>
        <v>2021</v>
      </c>
      <c r="K245" s="199">
        <f t="shared" si="79"/>
        <v>45522</v>
      </c>
      <c r="L245" s="147">
        <f>IF(t&lt;Tvie,1-EXP((T0-t)*PertePVj)+'2023'!Pspv,1-EXP((T0-t)*PertePVj)+Pspv)</f>
        <v>5.0108256702549925E-2</v>
      </c>
      <c r="M245" s="872"/>
      <c r="N245" s="872"/>
      <c r="O245" s="48">
        <f>IF(t&lt;Tnet,'2023'!Resal+('2023'!Salim-'2023'!Resal)*(1-EXP(('2023'!Tnet-t)/('2023'!Tau_j))),Resal+(Salim-Resal)*(1-EXP((Tnet-t)/(Tau_j))))*Salcycl</f>
        <v>4.7556586000582955E-2</v>
      </c>
      <c r="P245" s="171">
        <f>(INDEX(Models!$BJ245:$BT245,,T245)*(1-R245)+INDEX(Models!$BJ245:$BT245,,T245+1)*R245-ERP_i)*Q245*Ramure*Pc/MaxiM</f>
        <v>8.3601677528186737E-3</v>
      </c>
      <c r="Q245" s="307">
        <f t="shared" si="80"/>
        <v>0.9</v>
      </c>
      <c r="R245" s="179">
        <f t="shared" si="81"/>
        <v>0.76329412645105155</v>
      </c>
      <c r="S245" s="839">
        <f t="shared" si="82"/>
        <v>1</v>
      </c>
      <c r="T245" s="178">
        <f t="shared" si="83"/>
        <v>7</v>
      </c>
      <c r="U245" s="253">
        <f t="shared" si="84"/>
        <v>1.7632941264510515</v>
      </c>
      <c r="V245" s="385">
        <f t="shared" si="85"/>
        <v>49.930430205815583</v>
      </c>
      <c r="W245" s="404">
        <f t="shared" si="86"/>
        <v>39.238555067348642</v>
      </c>
      <c r="X245" s="157">
        <f t="shared" si="87"/>
        <v>45522</v>
      </c>
      <c r="Y245" s="387">
        <f t="shared" si="88"/>
        <v>35.702382036781025</v>
      </c>
      <c r="Z245" s="387">
        <f t="shared" si="89"/>
        <v>37.585737836654872</v>
      </c>
      <c r="AA245" s="388">
        <f t="shared" si="90"/>
        <v>43.371027453747558</v>
      </c>
      <c r="AB245" s="199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0.13339065170319825</v>
      </c>
      <c r="AD245" s="233">
        <f>(INDEX(Models!$BJ245:$BT245,,AH245)*(1-AF245)+INDEX(Models!$BJ245:$BT245,,AH245+1)*AF245-ERP_i)*AE245*Ramure*Pc/MaxiM</f>
        <v>8.3601677528186737E-3</v>
      </c>
      <c r="AE245" s="307">
        <f t="shared" si="92"/>
        <v>0.9</v>
      </c>
      <c r="AF245" s="179">
        <f t="shared" si="93"/>
        <v>0.76329412645105155</v>
      </c>
      <c r="AG245" s="839">
        <f t="shared" si="99"/>
        <v>1</v>
      </c>
      <c r="AH245" s="178">
        <f t="shared" si="94"/>
        <v>7</v>
      </c>
      <c r="AI245" s="227">
        <f t="shared" si="95"/>
        <v>1.7632941264510515</v>
      </c>
      <c r="AJ245" s="267" t="b">
        <f t="shared" si="96"/>
        <v>0</v>
      </c>
      <c r="AK245" s="267" t="b">
        <f t="shared" si="97"/>
        <v>0</v>
      </c>
      <c r="AL245" s="267"/>
      <c r="AM245" s="267"/>
      <c r="AN245" s="75"/>
    </row>
    <row r="246" spans="1:40" s="6" customFormat="1" ht="11.25" x14ac:dyDescent="0.2">
      <c r="A246" s="56">
        <f t="shared" si="98"/>
        <v>45523</v>
      </c>
      <c r="B246" s="413">
        <f>'2023'!Wh/'2023'!Env_an*'2024'!Env_an</f>
        <v>46.236964907342532</v>
      </c>
      <c r="C246" s="868"/>
      <c r="D246" s="395">
        <f t="shared" si="77"/>
        <v>48.677169014643674</v>
      </c>
      <c r="E246" s="387">
        <f t="shared" si="100"/>
        <v>51.118499117772373</v>
      </c>
      <c r="F246" s="387">
        <f t="shared" si="78"/>
        <v>51.521837635638029</v>
      </c>
      <c r="G246" s="110">
        <f t="shared" si="101"/>
        <v>0.93002392913661647</v>
      </c>
      <c r="H246" s="416" t="b">
        <f>Wh_hp&gt;='2023'!Maxi_hp</f>
        <v>0</v>
      </c>
      <c r="I246" s="392">
        <f>IF(H246,Wh_hp,'2023'!Maxi_hp)</f>
        <v>52.08934331759658</v>
      </c>
      <c r="J246" s="85">
        <f>IF(H246,An,'2023'!An_max)</f>
        <v>2021</v>
      </c>
      <c r="K246" s="199">
        <f t="shared" si="79"/>
        <v>45523</v>
      </c>
      <c r="L246" s="147">
        <f>IF(t&lt;Tvie,1-EXP((T0-t)*PertePVj)+'2023'!Pspv,1-EXP((T0-t)*PertePVj)+Pspv)</f>
        <v>5.0130362071118983E-2</v>
      </c>
      <c r="M246" s="872"/>
      <c r="N246" s="872"/>
      <c r="O246" s="48">
        <f>IF(t&lt;Tnet,'2023'!Resal+('2023'!Salim-'2023'!Resal)*(1-EXP(('2023'!Tnet-t)/('2023'!Tau_j))),Resal+(Salim-Resal)*(1-EXP((Tnet-t)/(Tau_j))))*Salcycl</f>
        <v>4.7758250834088363E-2</v>
      </c>
      <c r="P246" s="171">
        <f>(INDEX(Models!$BJ246:$BT246,,T246)*(1-R246)+INDEX(Models!$BJ246:$BT246,,T246+1)*R246-ERP_i)*Q246*Ramure*Pc/MaxiM</f>
        <v>8.6868948954650013E-3</v>
      </c>
      <c r="Q246" s="307">
        <f t="shared" si="80"/>
        <v>0.9</v>
      </c>
      <c r="R246" s="179">
        <f t="shared" si="81"/>
        <v>0.76472220914805122</v>
      </c>
      <c r="S246" s="839">
        <f t="shared" si="82"/>
        <v>1</v>
      </c>
      <c r="T246" s="178">
        <f t="shared" si="83"/>
        <v>7</v>
      </c>
      <c r="U246" s="253">
        <f t="shared" si="84"/>
        <v>1.7647222091480512</v>
      </c>
      <c r="V246" s="385">
        <f t="shared" si="85"/>
        <v>49.672874593875271</v>
      </c>
      <c r="W246" s="404">
        <f t="shared" si="86"/>
        <v>46.236964907342532</v>
      </c>
      <c r="X246" s="157">
        <f t="shared" si="87"/>
        <v>45523</v>
      </c>
      <c r="Y246" s="387">
        <f t="shared" si="88"/>
        <v>42.074113608054461</v>
      </c>
      <c r="Z246" s="387">
        <f t="shared" si="89"/>
        <v>44.294618890855261</v>
      </c>
      <c r="AA246" s="388">
        <f t="shared" si="90"/>
        <v>51.118499117772373</v>
      </c>
      <c r="AB246" s="199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0.13349140418218292</v>
      </c>
      <c r="AD246" s="233">
        <f>(INDEX(Models!$BJ246:$BT246,,AH246)*(1-AF246)+INDEX(Models!$BJ246:$BT246,,AH246+1)*AF246-ERP_i)*AE246*Ramure*Pc/MaxiM</f>
        <v>8.6868948954650013E-3</v>
      </c>
      <c r="AE246" s="307">
        <f t="shared" si="92"/>
        <v>0.9</v>
      </c>
      <c r="AF246" s="179">
        <f t="shared" si="93"/>
        <v>0.76472220914805122</v>
      </c>
      <c r="AG246" s="839">
        <f t="shared" si="99"/>
        <v>1</v>
      </c>
      <c r="AH246" s="178">
        <f t="shared" si="94"/>
        <v>7</v>
      </c>
      <c r="AI246" s="227">
        <f t="shared" si="95"/>
        <v>1.7647222091480512</v>
      </c>
      <c r="AJ246" s="267" t="b">
        <f t="shared" si="96"/>
        <v>0</v>
      </c>
      <c r="AK246" s="267" t="b">
        <f t="shared" si="97"/>
        <v>0</v>
      </c>
      <c r="AL246" s="267"/>
      <c r="AM246" s="267"/>
      <c r="AN246" s="75"/>
    </row>
    <row r="247" spans="1:40" s="6" customFormat="1" ht="11.25" x14ac:dyDescent="0.2">
      <c r="A247" s="56">
        <f t="shared" si="98"/>
        <v>45524</v>
      </c>
      <c r="B247" s="413">
        <f>'2023'!Wh/'2023'!Env_an*'2024'!Env_an</f>
        <v>30.352738342690948</v>
      </c>
      <c r="C247" s="868"/>
      <c r="D247" s="395">
        <f t="shared" si="77"/>
        <v>31.95537945383359</v>
      </c>
      <c r="E247" s="387">
        <f t="shared" si="100"/>
        <v>33.565145592511108</v>
      </c>
      <c r="F247" s="387">
        <f t="shared" si="78"/>
        <v>33.701518018940703</v>
      </c>
      <c r="G247" s="110">
        <f t="shared" si="101"/>
        <v>0.61123950455332732</v>
      </c>
      <c r="H247" s="416" t="b">
        <f>Wh_hp&gt;='2023'!Maxi_hp</f>
        <v>0</v>
      </c>
      <c r="I247" s="392">
        <f>IF(H247,Wh_hp,'2023'!Maxi_hp)</f>
        <v>51.212941565413232</v>
      </c>
      <c r="J247" s="85">
        <f>IF(H247,An,'2023'!An_max)</f>
        <v>2020</v>
      </c>
      <c r="K247" s="199">
        <f t="shared" si="79"/>
        <v>45524</v>
      </c>
      <c r="L247" s="147">
        <f>IF(t&lt;Tvie,1-EXP((T0-t)*PertePVj)+'2023'!Pspv,1-EXP((T0-t)*PertePVj)+Pspv)</f>
        <v>5.0152466925263761E-2</v>
      </c>
      <c r="M247" s="872"/>
      <c r="N247" s="872"/>
      <c r="O247" s="48">
        <f>IF(t&lt;Tnet,'2023'!Resal+('2023'!Salim-'2023'!Resal)*(1-EXP(('2023'!Tnet-t)/('2023'!Tau_j))),Resal+(Salim-Resal)*(1-EXP((Tnet-t)/(Tau_j))))*Salcycl</f>
        <v>4.7959456461785156E-2</v>
      </c>
      <c r="P247" s="171">
        <f>(INDEX(Models!$BJ247:$BT247,,T247)*(1-R247)+INDEX(Models!$BJ247:$BT247,,T247+1)*R247-ERP_i)*Q247*Ramure*Pc/MaxiM</f>
        <v>9.0121325233727765E-3</v>
      </c>
      <c r="Q247" s="307">
        <f t="shared" si="80"/>
        <v>0.9</v>
      </c>
      <c r="R247" s="179">
        <f t="shared" si="81"/>
        <v>0.766098583425181</v>
      </c>
      <c r="S247" s="839">
        <f t="shared" si="82"/>
        <v>1</v>
      </c>
      <c r="T247" s="178">
        <f t="shared" si="83"/>
        <v>7</v>
      </c>
      <c r="U247" s="253">
        <f t="shared" si="84"/>
        <v>1.766098583425181</v>
      </c>
      <c r="V247" s="385">
        <f t="shared" si="85"/>
        <v>49.410099502638907</v>
      </c>
      <c r="W247" s="404">
        <f t="shared" si="86"/>
        <v>30.352738342690948</v>
      </c>
      <c r="X247" s="157">
        <f t="shared" si="87"/>
        <v>45524</v>
      </c>
      <c r="Y247" s="387">
        <f t="shared" si="88"/>
        <v>27.622638549184177</v>
      </c>
      <c r="Z247" s="387">
        <f t="shared" si="89"/>
        <v>29.081128904727873</v>
      </c>
      <c r="AA247" s="388">
        <f t="shared" si="90"/>
        <v>33.565145592511108</v>
      </c>
      <c r="AB247" s="199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0.13359145651326138</v>
      </c>
      <c r="AD247" s="233">
        <f>(INDEX(Models!$BJ247:$BT247,,AH247)*(1-AF247)+INDEX(Models!$BJ247:$BT247,,AH247+1)*AF247-ERP_i)*AE247*Ramure*Pc/MaxiM</f>
        <v>9.0121325233727765E-3</v>
      </c>
      <c r="AE247" s="307">
        <f t="shared" si="92"/>
        <v>0.9</v>
      </c>
      <c r="AF247" s="179">
        <f t="shared" si="93"/>
        <v>0.766098583425181</v>
      </c>
      <c r="AG247" s="839">
        <f t="shared" si="99"/>
        <v>1</v>
      </c>
      <c r="AH247" s="178">
        <f t="shared" si="94"/>
        <v>7</v>
      </c>
      <c r="AI247" s="227">
        <f t="shared" si="95"/>
        <v>1.766098583425181</v>
      </c>
      <c r="AJ247" s="267" t="b">
        <f t="shared" si="96"/>
        <v>0</v>
      </c>
      <c r="AK247" s="267" t="b">
        <f t="shared" si="97"/>
        <v>0</v>
      </c>
      <c r="AL247" s="267"/>
      <c r="AM247" s="267"/>
      <c r="AN247" s="75"/>
    </row>
    <row r="248" spans="1:40" s="6" customFormat="1" ht="11.25" x14ac:dyDescent="0.2">
      <c r="A248" s="56">
        <f t="shared" si="98"/>
        <v>45525</v>
      </c>
      <c r="B248" s="413">
        <f>'2023'!Wh/'2023'!Env_an*'2024'!Env_an</f>
        <v>24.338952656838988</v>
      </c>
      <c r="C248" s="868"/>
      <c r="D248" s="395">
        <f t="shared" si="77"/>
        <v>25.624658932593633</v>
      </c>
      <c r="E248" s="387">
        <f t="shared" si="100"/>
        <v>26.921188557921891</v>
      </c>
      <c r="F248" s="387">
        <f t="shared" si="78"/>
        <v>26.991434697059582</v>
      </c>
      <c r="G248" s="110">
        <f t="shared" si="101"/>
        <v>0.49192159956355497</v>
      </c>
      <c r="H248" s="416" t="b">
        <f>Wh_hp&gt;='2023'!Maxi_hp</f>
        <v>0</v>
      </c>
      <c r="I248" s="392">
        <f>IF(H248,Wh_hp,'2023'!Maxi_hp)</f>
        <v>55.17534928654144</v>
      </c>
      <c r="J248" s="85">
        <f>IF(H248,An,'2023'!An_max)</f>
        <v>2019</v>
      </c>
      <c r="K248" s="199">
        <f t="shared" si="79"/>
        <v>45525</v>
      </c>
      <c r="L248" s="147">
        <f>IF(t&lt;Tvie,1-EXP((T0-t)*PertePVj)+'2023'!Pspv,1-EXP((T0-t)*PertePVj)+Pspv)</f>
        <v>5.0174571264996359E-2</v>
      </c>
      <c r="M248" s="872"/>
      <c r="N248" s="872"/>
      <c r="O248" s="48">
        <f>IF(t&lt;Tnet,'2023'!Resal+('2023'!Salim-'2023'!Resal)*(1-EXP(('2023'!Tnet-t)/('2023'!Tau_j))),Resal+(Salim-Resal)*(1-EXP((Tnet-t)/(Tau_j))))*Salcycl</f>
        <v>4.8160192576146128E-2</v>
      </c>
      <c r="P248" s="171">
        <f>(INDEX(Models!$BJ248:$BT248,,T248)*(1-R248)+INDEX(Models!$BJ248:$BT248,,T248+1)*R248-ERP_i)*Q248*Ramure*Pc/MaxiM</f>
        <v>9.3298911822352181E-3</v>
      </c>
      <c r="Q248" s="307">
        <f t="shared" si="80"/>
        <v>0.9</v>
      </c>
      <c r="R248" s="179">
        <f t="shared" si="81"/>
        <v>0.76742490751744663</v>
      </c>
      <c r="S248" s="839">
        <f t="shared" si="82"/>
        <v>1</v>
      </c>
      <c r="T248" s="178">
        <f t="shared" si="83"/>
        <v>7</v>
      </c>
      <c r="U248" s="253">
        <f t="shared" si="84"/>
        <v>1.7674249075174466</v>
      </c>
      <c r="V248" s="385">
        <f t="shared" si="85"/>
        <v>49.143580235325302</v>
      </c>
      <c r="W248" s="404">
        <f t="shared" si="86"/>
        <v>24.338952656838988</v>
      </c>
      <c r="X248" s="157">
        <f t="shared" si="87"/>
        <v>45525</v>
      </c>
      <c r="Y248" s="387">
        <f t="shared" si="88"/>
        <v>22.151898671874676</v>
      </c>
      <c r="Z248" s="387">
        <f t="shared" si="89"/>
        <v>23.322073721880678</v>
      </c>
      <c r="AA248" s="388">
        <f t="shared" si="90"/>
        <v>26.921188557921891</v>
      </c>
      <c r="AB248" s="199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0.13369078517085498</v>
      </c>
      <c r="AD248" s="233">
        <f>(INDEX(Models!$BJ248:$BT248,,AH248)*(1-AF248)+INDEX(Models!$BJ248:$BT248,,AH248+1)*AF248-ERP_i)*AE248*Ramure*Pc/MaxiM</f>
        <v>9.3298911822352181E-3</v>
      </c>
      <c r="AE248" s="307">
        <f t="shared" si="92"/>
        <v>0.9</v>
      </c>
      <c r="AF248" s="179">
        <f t="shared" si="93"/>
        <v>0.76742490751744663</v>
      </c>
      <c r="AG248" s="839">
        <f t="shared" si="99"/>
        <v>1</v>
      </c>
      <c r="AH248" s="178">
        <f t="shared" si="94"/>
        <v>7</v>
      </c>
      <c r="AI248" s="227">
        <f t="shared" si="95"/>
        <v>1.7674249075174466</v>
      </c>
      <c r="AJ248" s="267" t="b">
        <f t="shared" si="96"/>
        <v>0</v>
      </c>
      <c r="AK248" s="267" t="b">
        <f t="shared" si="97"/>
        <v>0</v>
      </c>
      <c r="AL248" s="267"/>
      <c r="AM248" s="267"/>
      <c r="AN248" s="75"/>
    </row>
    <row r="249" spans="1:40" s="6" customFormat="1" ht="11.25" x14ac:dyDescent="0.2">
      <c r="A249" s="56">
        <f t="shared" si="98"/>
        <v>45526</v>
      </c>
      <c r="B249" s="413">
        <f>'2023'!Wh/'2023'!Env_an*'2024'!Env_an</f>
        <v>43.134756347963197</v>
      </c>
      <c r="C249" s="868"/>
      <c r="D249" s="395">
        <f t="shared" si="77"/>
        <v>45.41440866409414</v>
      </c>
      <c r="E249" s="387">
        <f t="shared" si="100"/>
        <v>47.722279498357238</v>
      </c>
      <c r="F249" s="387">
        <f t="shared" si="78"/>
        <v>48.108285782198621</v>
      </c>
      <c r="G249" s="110">
        <f t="shared" si="101"/>
        <v>0.88114832482306127</v>
      </c>
      <c r="H249" s="416" t="b">
        <f>Wh_hp&gt;='2023'!Maxi_hp</f>
        <v>0</v>
      </c>
      <c r="I249" s="392">
        <f>IF(H249,Wh_hp,'2023'!Maxi_hp)</f>
        <v>52.366514381661467</v>
      </c>
      <c r="J249" s="85">
        <f>IF(H249,An,'2023'!An_max)</f>
        <v>2019</v>
      </c>
      <c r="K249" s="199">
        <f t="shared" si="79"/>
        <v>45526</v>
      </c>
      <c r="L249" s="147">
        <f>IF(t&lt;Tvie,1-EXP((T0-t)*PertePVj)+'2023'!Pspv,1-EXP((T0-t)*PertePVj)+Pspv)</f>
        <v>5.0196675090328657E-2</v>
      </c>
      <c r="M249" s="872"/>
      <c r="N249" s="872"/>
      <c r="O249" s="48">
        <f>IF(t&lt;Tnet,'2023'!Resal+('2023'!Salim-'2023'!Resal)*(1-EXP(('2023'!Tnet-t)/('2023'!Tau_j))),Resal+(Salim-Resal)*(1-EXP((Tnet-t)/(Tau_j))))*Salcycl</f>
        <v>4.8360448380143757E-2</v>
      </c>
      <c r="P249" s="171">
        <f>(INDEX(Models!$BJ249:$BT249,,T249)*(1-R249)+INDEX(Models!$BJ249:$BT249,,T249+1)*R249-ERP_i)*Q249*Ramure*Pc/MaxiM</f>
        <v>9.6407692025788413E-3</v>
      </c>
      <c r="Q249" s="307">
        <f t="shared" si="80"/>
        <v>0.9</v>
      </c>
      <c r="R249" s="179">
        <f t="shared" si="81"/>
        <v>0.76870280271558755</v>
      </c>
      <c r="S249" s="839">
        <f t="shared" si="82"/>
        <v>1</v>
      </c>
      <c r="T249" s="178">
        <f t="shared" si="83"/>
        <v>7</v>
      </c>
      <c r="U249" s="253">
        <f t="shared" si="84"/>
        <v>1.7687028027155876</v>
      </c>
      <c r="V249" s="385">
        <f t="shared" si="85"/>
        <v>48.873088561002653</v>
      </c>
      <c r="W249" s="404">
        <f t="shared" si="86"/>
        <v>43.134756347963197</v>
      </c>
      <c r="X249" s="157">
        <f t="shared" si="87"/>
        <v>45526</v>
      </c>
      <c r="Y249" s="387">
        <f t="shared" si="88"/>
        <v>39.262538635218768</v>
      </c>
      <c r="Z249" s="387">
        <f t="shared" si="89"/>
        <v>41.337546000855212</v>
      </c>
      <c r="AA249" s="388">
        <f t="shared" si="90"/>
        <v>47.722279498357238</v>
      </c>
      <c r="AB249" s="199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0.1337893655671207</v>
      </c>
      <c r="AD249" s="233">
        <f>(INDEX(Models!$BJ249:$BT249,,AH249)*(1-AF249)+INDEX(Models!$BJ249:$BT249,,AH249+1)*AF249-ERP_i)*AE249*Ramure*Pc/MaxiM</f>
        <v>9.6407692025788413E-3</v>
      </c>
      <c r="AE249" s="307">
        <f t="shared" si="92"/>
        <v>0.9</v>
      </c>
      <c r="AF249" s="179">
        <f t="shared" si="93"/>
        <v>0.76870280271558755</v>
      </c>
      <c r="AG249" s="839">
        <f t="shared" si="99"/>
        <v>1</v>
      </c>
      <c r="AH249" s="178">
        <f t="shared" si="94"/>
        <v>7</v>
      </c>
      <c r="AI249" s="227">
        <f t="shared" si="95"/>
        <v>1.7687028027155876</v>
      </c>
      <c r="AJ249" s="267" t="b">
        <f t="shared" si="96"/>
        <v>0</v>
      </c>
      <c r="AK249" s="267" t="b">
        <f t="shared" si="97"/>
        <v>0</v>
      </c>
      <c r="AL249" s="267"/>
      <c r="AM249" s="267"/>
      <c r="AN249" s="75"/>
    </row>
    <row r="250" spans="1:40" s="6" customFormat="1" ht="11.25" x14ac:dyDescent="0.2">
      <c r="A250" s="56">
        <f t="shared" si="98"/>
        <v>45527</v>
      </c>
      <c r="B250" s="413">
        <f>'2023'!Wh/'2023'!Env_an*'2024'!Env_an</f>
        <v>43.545032440064574</v>
      </c>
      <c r="C250" s="868"/>
      <c r="D250" s="395">
        <f t="shared" si="77"/>
        <v>45.84743459842997</v>
      </c>
      <c r="E250" s="387">
        <f t="shared" si="100"/>
        <v>48.187426262371318</v>
      </c>
      <c r="F250" s="387">
        <f t="shared" si="78"/>
        <v>48.598938674895294</v>
      </c>
      <c r="G250" s="110">
        <f t="shared" si="101"/>
        <v>0.89468238856628568</v>
      </c>
      <c r="H250" s="416" t="b">
        <f>Wh_hp&gt;='2023'!Maxi_hp</f>
        <v>0</v>
      </c>
      <c r="I250" s="392">
        <f>IF(H250,Wh_hp,'2023'!Maxi_hp)</f>
        <v>52.23999379446547</v>
      </c>
      <c r="J250" s="85">
        <f>IF(H250,An,'2023'!An_max)</f>
        <v>2019</v>
      </c>
      <c r="K250" s="199">
        <f t="shared" si="79"/>
        <v>45527</v>
      </c>
      <c r="L250" s="147">
        <f>IF(t&lt;Tvie,1-EXP((T0-t)*PertePVj)+'2023'!Pspv,1-EXP((T0-t)*PertePVj)+Pspv)</f>
        <v>5.0218778401272646E-2</v>
      </c>
      <c r="M250" s="872"/>
      <c r="N250" s="872"/>
      <c r="O250" s="48">
        <f>IF(t&lt;Tnet,'2023'!Resal+('2023'!Salim-'2023'!Resal)*(1-EXP(('2023'!Tnet-t)/('2023'!Tau_j))),Resal+(Salim-Resal)*(1-EXP((Tnet-t)/(Tau_j))))*Salcycl</f>
        <v>4.8560212599870797E-2</v>
      </c>
      <c r="P250" s="171">
        <f>(INDEX(Models!$BJ250:$BT250,,T250)*(1-R250)+INDEX(Models!$BJ250:$BT250,,T250+1)*R250-ERP_i)*Q250*Ramure*Pc/MaxiM</f>
        <v>9.944782625259321E-3</v>
      </c>
      <c r="Q250" s="307">
        <f t="shared" si="80"/>
        <v>0.9</v>
      </c>
      <c r="R250" s="179">
        <f t="shared" si="81"/>
        <v>0.76993385288511762</v>
      </c>
      <c r="S250" s="839">
        <f t="shared" si="82"/>
        <v>1</v>
      </c>
      <c r="T250" s="178">
        <f t="shared" si="83"/>
        <v>7</v>
      </c>
      <c r="U250" s="253">
        <f t="shared" si="84"/>
        <v>1.7699338528851176</v>
      </c>
      <c r="V250" s="385">
        <f t="shared" si="85"/>
        <v>48.598425693460158</v>
      </c>
      <c r="W250" s="404">
        <f t="shared" si="86"/>
        <v>43.545032440064574</v>
      </c>
      <c r="X250" s="157">
        <f t="shared" si="87"/>
        <v>45527</v>
      </c>
      <c r="Y250" s="387">
        <f t="shared" si="88"/>
        <v>39.63982974750472</v>
      </c>
      <c r="Z250" s="387">
        <f t="shared" si="89"/>
        <v>41.735748029194177</v>
      </c>
      <c r="AA250" s="388">
        <f t="shared" si="90"/>
        <v>48.187426262371318</v>
      </c>
      <c r="AB250" s="199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0.13388717210271808</v>
      </c>
      <c r="AD250" s="233">
        <f>(INDEX(Models!$BJ250:$BT250,,AH250)*(1-AF250)+INDEX(Models!$BJ250:$BT250,,AH250+1)*AF250-ERP_i)*AE250*Ramure*Pc/MaxiM</f>
        <v>9.944782625259321E-3</v>
      </c>
      <c r="AE250" s="307">
        <f t="shared" si="92"/>
        <v>0.9</v>
      </c>
      <c r="AF250" s="179">
        <f t="shared" si="93"/>
        <v>0.76993385288511762</v>
      </c>
      <c r="AG250" s="839">
        <f t="shared" si="99"/>
        <v>1</v>
      </c>
      <c r="AH250" s="178">
        <f t="shared" si="94"/>
        <v>7</v>
      </c>
      <c r="AI250" s="227">
        <f t="shared" si="95"/>
        <v>1.7699338528851176</v>
      </c>
      <c r="AJ250" s="267" t="b">
        <f t="shared" si="96"/>
        <v>0</v>
      </c>
      <c r="AK250" s="267" t="b">
        <f t="shared" si="97"/>
        <v>0</v>
      </c>
      <c r="AL250" s="267"/>
      <c r="AM250" s="267"/>
      <c r="AN250" s="75"/>
    </row>
    <row r="251" spans="1:40" s="6" customFormat="1" ht="11.25" x14ac:dyDescent="0.2">
      <c r="A251" s="56">
        <f t="shared" si="98"/>
        <v>45528</v>
      </c>
      <c r="B251" s="413">
        <f>'2023'!Wh/'2023'!Env_an*'2024'!Env_an</f>
        <v>33.171140406576036</v>
      </c>
      <c r="C251" s="868"/>
      <c r="D251" s="395">
        <f t="shared" si="77"/>
        <v>34.925845669596335</v>
      </c>
      <c r="E251" s="387">
        <f t="shared" si="100"/>
        <v>36.716103547179529</v>
      </c>
      <c r="F251" s="387">
        <f t="shared" si="78"/>
        <v>36.92491335433445</v>
      </c>
      <c r="G251" s="110">
        <f t="shared" si="101"/>
        <v>0.6833306083663061</v>
      </c>
      <c r="H251" s="416" t="b">
        <f>Wh_hp&gt;='2023'!Maxi_hp</f>
        <v>0</v>
      </c>
      <c r="I251" s="392">
        <f>IF(H251,Wh_hp,'2023'!Maxi_hp)</f>
        <v>48.806443569925385</v>
      </c>
      <c r="J251" s="85">
        <f>IF(H251,An,'2023'!An_max)</f>
        <v>2021</v>
      </c>
      <c r="K251" s="199">
        <f t="shared" si="79"/>
        <v>45528</v>
      </c>
      <c r="L251" s="147">
        <f>IF(t&lt;Tvie,1-EXP((T0-t)*PertePVj)+'2023'!Pspv,1-EXP((T0-t)*PertePVj)+Pspv)</f>
        <v>5.0240881197840315E-2</v>
      </c>
      <c r="M251" s="872"/>
      <c r="N251" s="872"/>
      <c r="O251" s="48">
        <f>IF(t&lt;Tnet,'2023'!Resal+('2023'!Salim-'2023'!Resal)*(1-EXP(('2023'!Tnet-t)/('2023'!Tau_j))),Resal+(Salim-Resal)*(1-EXP((Tnet-t)/(Tau_j))))*Salcycl</f>
        <v>4.8759473490501033E-2</v>
      </c>
      <c r="P251" s="171">
        <f>(INDEX(Models!$BJ251:$BT251,,T251)*(1-R251)+INDEX(Models!$BJ251:$BT251,,T251+1)*R251-ERP_i)*Q251*Ramure*Pc/MaxiM</f>
        <v>1.0241953593630101E-2</v>
      </c>
      <c r="Q251" s="307">
        <f t="shared" si="80"/>
        <v>0.9</v>
      </c>
      <c r="R251" s="179">
        <f t="shared" si="81"/>
        <v>0.77111960412026792</v>
      </c>
      <c r="S251" s="839">
        <f t="shared" si="82"/>
        <v>1</v>
      </c>
      <c r="T251" s="178">
        <f t="shared" si="83"/>
        <v>7</v>
      </c>
      <c r="U251" s="253">
        <f t="shared" si="84"/>
        <v>1.7711196041202679</v>
      </c>
      <c r="V251" s="385">
        <f t="shared" si="85"/>
        <v>48.31939280042166</v>
      </c>
      <c r="W251" s="404">
        <f t="shared" si="86"/>
        <v>33.171140406576036</v>
      </c>
      <c r="X251" s="157">
        <f t="shared" si="87"/>
        <v>45528</v>
      </c>
      <c r="Y251" s="387">
        <f t="shared" si="88"/>
        <v>30.199231023847315</v>
      </c>
      <c r="Z251" s="387">
        <f t="shared" si="89"/>
        <v>31.79672658677362</v>
      </c>
      <c r="AA251" s="388">
        <f t="shared" si="90"/>
        <v>36.716103547179529</v>
      </c>
      <c r="AB251" s="199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0.13398417819811945</v>
      </c>
      <c r="AD251" s="233">
        <f>(INDEX(Models!$BJ251:$BT251,,AH251)*(1-AF251)+INDEX(Models!$BJ251:$BT251,,AH251+1)*AF251-ERP_i)*AE251*Ramure*Pc/MaxiM</f>
        <v>1.0241953593630101E-2</v>
      </c>
      <c r="AE251" s="307">
        <f t="shared" si="92"/>
        <v>0.9</v>
      </c>
      <c r="AF251" s="179">
        <f t="shared" si="93"/>
        <v>0.77111960412026792</v>
      </c>
      <c r="AG251" s="839">
        <f t="shared" si="99"/>
        <v>1</v>
      </c>
      <c r="AH251" s="178">
        <f t="shared" si="94"/>
        <v>7</v>
      </c>
      <c r="AI251" s="227">
        <f t="shared" si="95"/>
        <v>1.7711196041202679</v>
      </c>
      <c r="AJ251" s="267" t="b">
        <f t="shared" si="96"/>
        <v>0</v>
      </c>
      <c r="AK251" s="267" t="b">
        <f t="shared" si="97"/>
        <v>0</v>
      </c>
      <c r="AL251" s="267"/>
      <c r="AM251" s="267"/>
      <c r="AN251" s="75"/>
    </row>
    <row r="252" spans="1:40" s="6" customFormat="1" ht="11.25" x14ac:dyDescent="0.2">
      <c r="A252" s="56">
        <f t="shared" si="98"/>
        <v>45529</v>
      </c>
      <c r="B252" s="413">
        <f>'2023'!Wh/'2023'!Env_an*'2024'!Env_an</f>
        <v>40.170846096452728</v>
      </c>
      <c r="C252" s="868"/>
      <c r="D252" s="395">
        <f t="shared" si="77"/>
        <v>42.296809956557738</v>
      </c>
      <c r="E252" s="387">
        <f t="shared" si="100"/>
        <v>44.47418693295505</v>
      </c>
      <c r="F252" s="387">
        <f t="shared" si="78"/>
        <v>44.83595846636252</v>
      </c>
      <c r="G252" s="110">
        <f t="shared" si="101"/>
        <v>0.83419213489970545</v>
      </c>
      <c r="H252" s="416" t="b">
        <f>Wh_hp&gt;='2023'!Maxi_hp</f>
        <v>0</v>
      </c>
      <c r="I252" s="392">
        <f>IF(H252,Wh_hp,'2023'!Maxi_hp)</f>
        <v>50.962123018222243</v>
      </c>
      <c r="J252" s="85">
        <f>IF(H252,An,'2023'!An_max)</f>
        <v>2021</v>
      </c>
      <c r="K252" s="199">
        <f t="shared" si="79"/>
        <v>45529</v>
      </c>
      <c r="L252" s="147">
        <f>IF(t&lt;Tvie,1-EXP((T0-t)*PertePVj)+'2023'!Pspv,1-EXP((T0-t)*PertePVj)+Pspv)</f>
        <v>5.0262983480043655E-2</v>
      </c>
      <c r="M252" s="872"/>
      <c r="N252" s="872"/>
      <c r="O252" s="48">
        <f>IF(t&lt;Tnet,'2023'!Resal+('2023'!Salim-'2023'!Resal)*(1-EXP(('2023'!Tnet-t)/('2023'!Tau_j))),Resal+(Salim-Resal)*(1-EXP((Tnet-t)/(Tau_j))))*Salcycl</f>
        <v>4.8958218835562201E-2</v>
      </c>
      <c r="P252" s="171">
        <f>(INDEX(Models!$BJ252:$BT252,,T252)*(1-R252)+INDEX(Models!$BJ252:$BT252,,T252+1)*R252-ERP_i)*Q252*Ramure*Pc/MaxiM</f>
        <v>1.0532300292028734E-2</v>
      </c>
      <c r="Q252" s="307">
        <f t="shared" si="80"/>
        <v>0.9</v>
      </c>
      <c r="R252" s="179">
        <f t="shared" si="81"/>
        <v>0.77226156452223305</v>
      </c>
      <c r="S252" s="839">
        <f t="shared" si="82"/>
        <v>1</v>
      </c>
      <c r="T252" s="178">
        <f t="shared" si="83"/>
        <v>7</v>
      </c>
      <c r="U252" s="253">
        <f t="shared" si="84"/>
        <v>1.772261564522233</v>
      </c>
      <c r="V252" s="385">
        <f t="shared" si="85"/>
        <v>48.035791484592828</v>
      </c>
      <c r="W252" s="404">
        <f t="shared" si="86"/>
        <v>40.170846096452728</v>
      </c>
      <c r="X252" s="157">
        <f t="shared" si="87"/>
        <v>45529</v>
      </c>
      <c r="Y252" s="387">
        <f t="shared" si="88"/>
        <v>36.575390721681046</v>
      </c>
      <c r="Z252" s="387">
        <f t="shared" si="89"/>
        <v>38.511072102571362</v>
      </c>
      <c r="AA252" s="388">
        <f t="shared" si="90"/>
        <v>44.47418693295505</v>
      </c>
      <c r="AB252" s="199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0.13408035630585222</v>
      </c>
      <c r="AD252" s="233">
        <f>(INDEX(Models!$BJ252:$BT252,,AH252)*(1-AF252)+INDEX(Models!$BJ252:$BT252,,AH252+1)*AF252-ERP_i)*AE252*Ramure*Pc/MaxiM</f>
        <v>1.0532300292028734E-2</v>
      </c>
      <c r="AE252" s="307">
        <f t="shared" si="92"/>
        <v>0.9</v>
      </c>
      <c r="AF252" s="179">
        <f t="shared" si="93"/>
        <v>0.77226156452223305</v>
      </c>
      <c r="AG252" s="839">
        <f t="shared" si="99"/>
        <v>1</v>
      </c>
      <c r="AH252" s="178">
        <f t="shared" si="94"/>
        <v>7</v>
      </c>
      <c r="AI252" s="227">
        <f t="shared" si="95"/>
        <v>1.772261564522233</v>
      </c>
      <c r="AJ252" s="267" t="b">
        <f t="shared" si="96"/>
        <v>0</v>
      </c>
      <c r="AK252" s="267" t="b">
        <f t="shared" si="97"/>
        <v>0</v>
      </c>
      <c r="AL252" s="267"/>
      <c r="AM252" s="267"/>
      <c r="AN252" s="75"/>
    </row>
    <row r="253" spans="1:40" s="6" customFormat="1" ht="11.25" x14ac:dyDescent="0.2">
      <c r="A253" s="56">
        <f t="shared" si="98"/>
        <v>45530</v>
      </c>
      <c r="B253" s="413">
        <f>'2023'!Wh/'2023'!Env_an*'2024'!Env_an</f>
        <v>46.72905809925976</v>
      </c>
      <c r="C253" s="868"/>
      <c r="D253" s="395">
        <f t="shared" si="77"/>
        <v>49.203247599261907</v>
      </c>
      <c r="E253" s="387">
        <f t="shared" si="100"/>
        <v>51.746942882117743</v>
      </c>
      <c r="F253" s="387">
        <f t="shared" si="78"/>
        <v>52.295327198325538</v>
      </c>
      <c r="G253" s="110">
        <f t="shared" si="101"/>
        <v>0.97834589015939399</v>
      </c>
      <c r="H253" s="416" t="b">
        <f>Wh_hp&gt;='2023'!Maxi_hp</f>
        <v>0</v>
      </c>
      <c r="I253" s="392">
        <f>IF(H253,Wh_hp,'2023'!Maxi_hp)</f>
        <v>52.302767889448141</v>
      </c>
      <c r="J253" s="85">
        <f>IF(H253,An,'2023'!An_max)</f>
        <v>2022</v>
      </c>
      <c r="K253" s="199">
        <f t="shared" si="79"/>
        <v>45530</v>
      </c>
      <c r="L253" s="147">
        <f>IF(t&lt;Tvie,1-EXP((T0-t)*PertePVj)+'2023'!Pspv,1-EXP((T0-t)*PertePVj)+Pspv)</f>
        <v>5.0285085247894545E-2</v>
      </c>
      <c r="M253" s="872"/>
      <c r="N253" s="872"/>
      <c r="O253" s="48">
        <f>IF(t&lt;Tnet,'2023'!Resal+('2023'!Salim-'2023'!Resal)*(1-EXP(('2023'!Tnet-t)/('2023'!Tau_j))),Resal+(Salim-Resal)*(1-EXP((Tnet-t)/(Tau_j))))*Salcycl</f>
        <v>4.9156435939616931E-2</v>
      </c>
      <c r="P253" s="171">
        <f>(INDEX(Models!$BJ253:$BT253,,T253)*(1-R253)+INDEX(Models!$BJ253:$BT253,,T253+1)*R253-ERP_i)*Q253*Ramure*Pc/MaxiM</f>
        <v>1.0815842657149861E-2</v>
      </c>
      <c r="Q253" s="307">
        <f t="shared" si="80"/>
        <v>0.9</v>
      </c>
      <c r="R253" s="179">
        <f t="shared" si="81"/>
        <v>0.77336120409157916</v>
      </c>
      <c r="S253" s="839">
        <f t="shared" si="82"/>
        <v>1</v>
      </c>
      <c r="T253" s="178">
        <f t="shared" si="83"/>
        <v>7</v>
      </c>
      <c r="U253" s="253">
        <f t="shared" si="84"/>
        <v>1.7733612040915792</v>
      </c>
      <c r="V253" s="385">
        <f t="shared" si="85"/>
        <v>47.747423485419986</v>
      </c>
      <c r="W253" s="404">
        <f t="shared" si="86"/>
        <v>46.72905809925976</v>
      </c>
      <c r="X253" s="157">
        <f t="shared" si="87"/>
        <v>45530</v>
      </c>
      <c r="Y253" s="387">
        <f t="shared" si="88"/>
        <v>42.550800762835848</v>
      </c>
      <c r="Z253" s="387">
        <f t="shared" si="89"/>
        <v>44.803761741430016</v>
      </c>
      <c r="AA253" s="388">
        <f t="shared" si="90"/>
        <v>51.746942882117743</v>
      </c>
      <c r="AB253" s="199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0.13417567790438667</v>
      </c>
      <c r="AD253" s="233">
        <f>(INDEX(Models!$BJ253:$BT253,,AH253)*(1-AF253)+INDEX(Models!$BJ253:$BT253,,AH253+1)*AF253-ERP_i)*AE253*Ramure*Pc/MaxiM</f>
        <v>1.0815842657149861E-2</v>
      </c>
      <c r="AE253" s="307">
        <f t="shared" si="92"/>
        <v>0.9</v>
      </c>
      <c r="AF253" s="179">
        <f t="shared" si="93"/>
        <v>0.77336120409157916</v>
      </c>
      <c r="AG253" s="839">
        <f t="shared" si="99"/>
        <v>1</v>
      </c>
      <c r="AH253" s="178">
        <f t="shared" si="94"/>
        <v>7</v>
      </c>
      <c r="AI253" s="227">
        <f t="shared" si="95"/>
        <v>1.7733612040915792</v>
      </c>
      <c r="AJ253" s="267" t="b">
        <f t="shared" si="96"/>
        <v>0</v>
      </c>
      <c r="AK253" s="267" t="b">
        <f t="shared" si="97"/>
        <v>0</v>
      </c>
      <c r="AL253" s="267"/>
      <c r="AM253" s="267"/>
      <c r="AN253" s="75"/>
    </row>
    <row r="254" spans="1:40" s="6" customFormat="1" ht="11.25" x14ac:dyDescent="0.2">
      <c r="A254" s="56">
        <f t="shared" si="98"/>
        <v>45531</v>
      </c>
      <c r="B254" s="413">
        <f>'2023'!Wh/'2023'!Env_an*'2024'!Env_an</f>
        <v>45.05917340638841</v>
      </c>
      <c r="C254" s="868"/>
      <c r="D254" s="395">
        <f t="shared" si="77"/>
        <v>47.4460507291762</v>
      </c>
      <c r="E254" s="387">
        <f t="shared" si="100"/>
        <v>49.909278848045538</v>
      </c>
      <c r="F254" s="387">
        <f t="shared" si="78"/>
        <v>50.428145736527028</v>
      </c>
      <c r="G254" s="110">
        <f t="shared" si="101"/>
        <v>0.94876115482086221</v>
      </c>
      <c r="H254" s="416" t="b">
        <f>Wh_hp&gt;='2023'!Maxi_hp</f>
        <v>0</v>
      </c>
      <c r="I254" s="392">
        <f>IF(H254,Wh_hp,'2023'!Maxi_hp)</f>
        <v>52.43587821164941</v>
      </c>
      <c r="J254" s="85">
        <f>IF(H254,An,'2023'!An_max)</f>
        <v>2021</v>
      </c>
      <c r="K254" s="199">
        <f t="shared" si="79"/>
        <v>45531</v>
      </c>
      <c r="L254" s="147">
        <f>IF(t&lt;Tvie,1-EXP((T0-t)*PertePVj)+'2023'!Pspv,1-EXP((T0-t)*PertePVj)+Pspv)</f>
        <v>5.0307186501404977E-2</v>
      </c>
      <c r="M254" s="872"/>
      <c r="N254" s="872"/>
      <c r="O254" s="48">
        <f>IF(t&lt;Tnet,'2023'!Resal+('2023'!Salim-'2023'!Resal)*(1-EXP(('2023'!Tnet-t)/('2023'!Tau_j))),Resal+(Salim-Resal)*(1-EXP((Tnet-t)/(Tau_j))))*Salcycl</f>
        <v>4.935411161457405E-2</v>
      </c>
      <c r="P254" s="171">
        <f>(INDEX(Models!$BJ254:$BT254,,T254)*(1-R254)+INDEX(Models!$BJ254:$BT254,,T254+1)*R254-ERP_i)*Q254*Ramure*Pc/MaxiM</f>
        <v>1.1088759701483042E-2</v>
      </c>
      <c r="Q254" s="307">
        <f t="shared" si="80"/>
        <v>0.9</v>
      </c>
      <c r="R254" s="179">
        <f t="shared" si="81"/>
        <v>0.7744199547251629</v>
      </c>
      <c r="S254" s="839">
        <f t="shared" si="82"/>
        <v>1</v>
      </c>
      <c r="T254" s="178">
        <f t="shared" si="83"/>
        <v>7</v>
      </c>
      <c r="U254" s="253">
        <f t="shared" si="84"/>
        <v>1.7744199547251629</v>
      </c>
      <c r="V254" s="385">
        <f t="shared" si="85"/>
        <v>47.45427506600555</v>
      </c>
      <c r="W254" s="404">
        <f t="shared" si="86"/>
        <v>45.05917340638841</v>
      </c>
      <c r="X254" s="157">
        <f t="shared" si="87"/>
        <v>45531</v>
      </c>
      <c r="Y254" s="387">
        <f t="shared" si="88"/>
        <v>41.034283697675605</v>
      </c>
      <c r="Z254" s="387">
        <f t="shared" si="89"/>
        <v>43.207954313677988</v>
      </c>
      <c r="AA254" s="388">
        <f t="shared" si="90"/>
        <v>49.909278848045538</v>
      </c>
      <c r="AB254" s="199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0.13427011347470061</v>
      </c>
      <c r="AD254" s="233">
        <f>(INDEX(Models!$BJ254:$BT254,,AH254)*(1-AF254)+INDEX(Models!$BJ254:$BT254,,AH254+1)*AF254-ERP_i)*AE254*Ramure*Pc/MaxiM</f>
        <v>1.1088759701483042E-2</v>
      </c>
      <c r="AE254" s="307">
        <f t="shared" si="92"/>
        <v>0.9</v>
      </c>
      <c r="AF254" s="179">
        <f t="shared" si="93"/>
        <v>0.7744199547251629</v>
      </c>
      <c r="AG254" s="839">
        <f t="shared" si="99"/>
        <v>1</v>
      </c>
      <c r="AH254" s="178">
        <f t="shared" si="94"/>
        <v>7</v>
      </c>
      <c r="AI254" s="227">
        <f t="shared" si="95"/>
        <v>1.7744199547251629</v>
      </c>
      <c r="AJ254" s="267" t="b">
        <f t="shared" si="96"/>
        <v>0</v>
      </c>
      <c r="AK254" s="267" t="b">
        <f t="shared" si="97"/>
        <v>0</v>
      </c>
      <c r="AL254" s="267"/>
      <c r="AM254" s="267"/>
      <c r="AN254" s="75"/>
    </row>
    <row r="255" spans="1:40" s="6" customFormat="1" ht="11.25" x14ac:dyDescent="0.2">
      <c r="A255" s="56">
        <f t="shared" si="98"/>
        <v>45532</v>
      </c>
      <c r="B255" s="413">
        <f>'2023'!Wh/'2023'!Env_an*'2024'!Env_an</f>
        <v>31.656896468521396</v>
      </c>
      <c r="C255" s="868"/>
      <c r="D255" s="395">
        <f t="shared" si="77"/>
        <v>33.334603292690218</v>
      </c>
      <c r="E255" s="387">
        <f t="shared" si="100"/>
        <v>35.07248830302126</v>
      </c>
      <c r="F255" s="387">
        <f t="shared" si="78"/>
        <v>35.285048464786868</v>
      </c>
      <c r="G255" s="110">
        <f t="shared" si="101"/>
        <v>0.66772291449051724</v>
      </c>
      <c r="H255" s="416" t="b">
        <f>Wh_hp&gt;='2023'!Maxi_hp</f>
        <v>0</v>
      </c>
      <c r="I255" s="392">
        <f>IF(H255,Wh_hp,'2023'!Maxi_hp)</f>
        <v>51.701518118132348</v>
      </c>
      <c r="J255" s="85">
        <f>IF(H255,An,'2023'!An_max)</f>
        <v>2021</v>
      </c>
      <c r="K255" s="199">
        <f t="shared" si="79"/>
        <v>45532</v>
      </c>
      <c r="L255" s="147">
        <f>IF(t&lt;Tvie,1-EXP((T0-t)*PertePVj)+'2023'!Pspv,1-EXP((T0-t)*PertePVj)+Pspv)</f>
        <v>5.0329287240587051E-2</v>
      </c>
      <c r="M255" s="872"/>
      <c r="N255" s="872"/>
      <c r="O255" s="48">
        <f>IF(t&lt;Tnet,'2023'!Resal+('2023'!Salim-'2023'!Resal)*(1-EXP(('2023'!Tnet-t)/('2023'!Tau_j))),Resal+(Salim-Resal)*(1-EXP((Tnet-t)/(Tau_j))))*Salcycl</f>
        <v>4.9551232159975797E-2</v>
      </c>
      <c r="P255" s="171">
        <f>(INDEX(Models!$BJ255:$BT255,,T255)*(1-R255)+INDEX(Models!$BJ255:$BT255,,T255+1)*R255-ERP_i)*Q255*Ramure*Pc/MaxiM</f>
        <v>1.1356274888089221E-2</v>
      </c>
      <c r="Q255" s="307">
        <f t="shared" si="80"/>
        <v>0.9</v>
      </c>
      <c r="R255" s="179">
        <f t="shared" si="81"/>
        <v>0.77543921030837537</v>
      </c>
      <c r="S255" s="839">
        <f t="shared" si="82"/>
        <v>1</v>
      </c>
      <c r="T255" s="178">
        <f t="shared" si="83"/>
        <v>7</v>
      </c>
      <c r="U255" s="253">
        <f t="shared" si="84"/>
        <v>1.7754392103083754</v>
      </c>
      <c r="V255" s="385">
        <f t="shared" si="85"/>
        <v>47.155896851127551</v>
      </c>
      <c r="W255" s="404">
        <f t="shared" si="86"/>
        <v>31.656896468521396</v>
      </c>
      <c r="X255" s="157">
        <f t="shared" si="87"/>
        <v>45532</v>
      </c>
      <c r="Y255" s="387">
        <f t="shared" si="88"/>
        <v>28.832023138764264</v>
      </c>
      <c r="Z255" s="387">
        <f t="shared" si="89"/>
        <v>30.360021375186381</v>
      </c>
      <c r="AA255" s="388">
        <f t="shared" si="90"/>
        <v>35.07248830302126</v>
      </c>
      <c r="AB255" s="199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0.13436363246085775</v>
      </c>
      <c r="AD255" s="233">
        <f>(INDEX(Models!$BJ255:$BT255,,AH255)*(1-AF255)+INDEX(Models!$BJ255:$BT255,,AH255+1)*AF255-ERP_i)*AE255*Ramure*Pc/MaxiM</f>
        <v>1.1356274888089221E-2</v>
      </c>
      <c r="AE255" s="307">
        <f t="shared" si="92"/>
        <v>0.9</v>
      </c>
      <c r="AF255" s="179">
        <f t="shared" si="93"/>
        <v>0.77543921030837537</v>
      </c>
      <c r="AG255" s="839">
        <f t="shared" si="99"/>
        <v>1</v>
      </c>
      <c r="AH255" s="178">
        <f t="shared" si="94"/>
        <v>7</v>
      </c>
      <c r="AI255" s="227">
        <f t="shared" si="95"/>
        <v>1.7754392103083754</v>
      </c>
      <c r="AJ255" s="267" t="b">
        <f t="shared" si="96"/>
        <v>0</v>
      </c>
      <c r="AK255" s="267" t="b">
        <f t="shared" si="97"/>
        <v>0</v>
      </c>
      <c r="AL255" s="267"/>
      <c r="AM255" s="267"/>
      <c r="AN255" s="75"/>
    </row>
    <row r="256" spans="1:40" s="6" customFormat="1" ht="11.25" x14ac:dyDescent="0.2">
      <c r="A256" s="56">
        <f t="shared" si="98"/>
        <v>45533</v>
      </c>
      <c r="B256" s="413">
        <f>'2023'!Wh/'2023'!Env_an*'2024'!Env_an</f>
        <v>44.071224421451284</v>
      </c>
      <c r="C256" s="868"/>
      <c r="D256" s="395">
        <f t="shared" si="77"/>
        <v>46.407927984887152</v>
      </c>
      <c r="E256" s="387">
        <f t="shared" si="100"/>
        <v>48.837484586874666</v>
      </c>
      <c r="F256" s="387">
        <f t="shared" si="78"/>
        <v>49.362369061019137</v>
      </c>
      <c r="G256" s="110">
        <f t="shared" si="101"/>
        <v>0.93970920743854547</v>
      </c>
      <c r="H256" s="416" t="b">
        <f>Wh_hp&gt;='2023'!Maxi_hp</f>
        <v>0</v>
      </c>
      <c r="I256" s="392">
        <f>IF(H256,Wh_hp,'2023'!Maxi_hp)</f>
        <v>49.974130891350057</v>
      </c>
      <c r="J256" s="85">
        <f>IF(H256,An,'2023'!An_max)</f>
        <v>2021</v>
      </c>
      <c r="K256" s="199">
        <f t="shared" si="79"/>
        <v>45533</v>
      </c>
      <c r="L256" s="147">
        <f>IF(t&lt;Tvie,1-EXP((T0-t)*PertePVj)+'2023'!Pspv,1-EXP((T0-t)*PertePVj)+Pspv)</f>
        <v>5.0351387465452535E-2</v>
      </c>
      <c r="M256" s="872"/>
      <c r="N256" s="872"/>
      <c r="O256" s="48">
        <f>IF(t&lt;Tnet,'2023'!Resal+('2023'!Salim-'2023'!Resal)*(1-EXP(('2023'!Tnet-t)/('2023'!Tau_j))),Resal+(Salim-Resal)*(1-EXP((Tnet-t)/(Tau_j))))*Salcycl</f>
        <v>4.9747783337728863E-2</v>
      </c>
      <c r="P256" s="171">
        <f>(INDEX(Models!$BJ256:$BT256,,T256)*(1-R256)+INDEX(Models!$BJ256:$BT256,,T256+1)*R256-ERP_i)*Q256*Ramure*Pc/MaxiM</f>
        <v>1.1618438430631015E-2</v>
      </c>
      <c r="Q256" s="307">
        <f t="shared" si="80"/>
        <v>0.9</v>
      </c>
      <c r="R256" s="179">
        <f t="shared" si="81"/>
        <v>0.77642032689401996</v>
      </c>
      <c r="S256" s="839">
        <f t="shared" si="82"/>
        <v>1</v>
      </c>
      <c r="T256" s="178">
        <f t="shared" si="83"/>
        <v>7</v>
      </c>
      <c r="U256" s="253">
        <f t="shared" si="84"/>
        <v>1.77642032689402</v>
      </c>
      <c r="V256" s="385">
        <f t="shared" si="85"/>
        <v>46.85209087168888</v>
      </c>
      <c r="W256" s="404">
        <f t="shared" si="86"/>
        <v>44.071224421451284</v>
      </c>
      <c r="X256" s="157">
        <f t="shared" si="87"/>
        <v>45533</v>
      </c>
      <c r="Y256" s="387">
        <f t="shared" si="88"/>
        <v>40.142579249788866</v>
      </c>
      <c r="Z256" s="387">
        <f t="shared" si="89"/>
        <v>42.270981834692577</v>
      </c>
      <c r="AA256" s="388">
        <f t="shared" si="90"/>
        <v>48.837484586874666</v>
      </c>
      <c r="AB256" s="199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0.13445620321622517</v>
      </c>
      <c r="AD256" s="233">
        <f>(INDEX(Models!$BJ256:$BT256,,AH256)*(1-AF256)+INDEX(Models!$BJ256:$BT256,,AH256+1)*AF256-ERP_i)*AE256*Ramure*Pc/MaxiM</f>
        <v>1.1618438430631015E-2</v>
      </c>
      <c r="AE256" s="307">
        <f t="shared" si="92"/>
        <v>0.9</v>
      </c>
      <c r="AF256" s="179">
        <f t="shared" si="93"/>
        <v>0.77642032689401996</v>
      </c>
      <c r="AG256" s="839">
        <f t="shared" si="99"/>
        <v>1</v>
      </c>
      <c r="AH256" s="178">
        <f t="shared" si="94"/>
        <v>7</v>
      </c>
      <c r="AI256" s="227">
        <f t="shared" si="95"/>
        <v>1.77642032689402</v>
      </c>
      <c r="AJ256" s="267" t="b">
        <f t="shared" si="96"/>
        <v>0</v>
      </c>
      <c r="AK256" s="267" t="b">
        <f t="shared" si="97"/>
        <v>0</v>
      </c>
      <c r="AL256" s="267"/>
      <c r="AM256" s="267"/>
      <c r="AN256" s="75"/>
    </row>
    <row r="257" spans="1:40" s="6" customFormat="1" ht="11.25" x14ac:dyDescent="0.2">
      <c r="A257" s="56">
        <f t="shared" si="98"/>
        <v>45534</v>
      </c>
      <c r="B257" s="413">
        <f>'2023'!Wh/'2023'!Env_an*'2024'!Env_an</f>
        <v>20.692324724360684</v>
      </c>
      <c r="C257" s="868"/>
      <c r="D257" s="395">
        <f t="shared" si="77"/>
        <v>21.78996104776617</v>
      </c>
      <c r="E257" s="387">
        <f t="shared" si="100"/>
        <v>22.935443091508517</v>
      </c>
      <c r="F257" s="387">
        <f t="shared" si="78"/>
        <v>22.991839793529028</v>
      </c>
      <c r="G257" s="110">
        <f t="shared" si="101"/>
        <v>0.44038897233020774</v>
      </c>
      <c r="H257" s="416" t="b">
        <f>Wh_hp&gt;='2023'!Maxi_hp</f>
        <v>0</v>
      </c>
      <c r="I257" s="392">
        <f>IF(H257,Wh_hp,'2023'!Maxi_hp)</f>
        <v>49.874216739239351</v>
      </c>
      <c r="J257" s="85">
        <f>IF(H257,An,'2023'!An_max)</f>
        <v>2021</v>
      </c>
      <c r="K257" s="199">
        <f t="shared" si="79"/>
        <v>45534</v>
      </c>
      <c r="L257" s="147">
        <f>IF(t&lt;Tvie,1-EXP((T0-t)*PertePVj)+'2023'!Pspv,1-EXP((T0-t)*PertePVj)+Pspv)</f>
        <v>5.0373487176013532E-2</v>
      </c>
      <c r="M257" s="872"/>
      <c r="N257" s="872"/>
      <c r="O257" s="48">
        <f>IF(t&lt;Tnet,'2023'!Resal+('2023'!Salim-'2023'!Resal)*(1-EXP(('2023'!Tnet-t)/('2023'!Tau_j))),Resal+(Salim-Resal)*(1-EXP((Tnet-t)/(Tau_j))))*Salcycl</f>
        <v>4.9943750341864691E-2</v>
      </c>
      <c r="P257" s="171">
        <f>(INDEX(Models!$BJ257:$BT257,,T257)*(1-R257)+INDEX(Models!$BJ257:$BT257,,T257+1)*R257-ERP_i)*Q257*Ramure*Pc/MaxiM</f>
        <v>1.1875302521242267E-2</v>
      </c>
      <c r="Q257" s="307">
        <f t="shared" si="80"/>
        <v>0.9</v>
      </c>
      <c r="R257" s="179">
        <f t="shared" si="81"/>
        <v>0.77736462295960029</v>
      </c>
      <c r="S257" s="839">
        <f t="shared" si="82"/>
        <v>1</v>
      </c>
      <c r="T257" s="178">
        <f t="shared" si="83"/>
        <v>7</v>
      </c>
      <c r="U257" s="253">
        <f t="shared" si="84"/>
        <v>1.7773646229596003</v>
      </c>
      <c r="V257" s="385">
        <f t="shared" si="85"/>
        <v>46.54265931810135</v>
      </c>
      <c r="W257" s="404">
        <f t="shared" si="86"/>
        <v>20.692324724360684</v>
      </c>
      <c r="X257" s="157">
        <f t="shared" si="87"/>
        <v>45534</v>
      </c>
      <c r="Y257" s="387">
        <f t="shared" si="88"/>
        <v>18.849639806486781</v>
      </c>
      <c r="Z257" s="387">
        <f t="shared" si="89"/>
        <v>19.849529843508662</v>
      </c>
      <c r="AA257" s="388">
        <f t="shared" si="90"/>
        <v>22.935443091508517</v>
      </c>
      <c r="AB257" s="199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0.13454779293722749</v>
      </c>
      <c r="AD257" s="233">
        <f>(INDEX(Models!$BJ257:$BT257,,AH257)*(1-AF257)+INDEX(Models!$BJ257:$BT257,,AH257+1)*AF257-ERP_i)*AE257*Ramure*Pc/MaxiM</f>
        <v>1.1875302521242267E-2</v>
      </c>
      <c r="AE257" s="307">
        <f t="shared" si="92"/>
        <v>0.9</v>
      </c>
      <c r="AF257" s="179">
        <f t="shared" si="93"/>
        <v>0.77736462295960029</v>
      </c>
      <c r="AG257" s="839">
        <f t="shared" si="99"/>
        <v>1</v>
      </c>
      <c r="AH257" s="178">
        <f t="shared" si="94"/>
        <v>7</v>
      </c>
      <c r="AI257" s="227">
        <f t="shared" si="95"/>
        <v>1.7773646229596003</v>
      </c>
      <c r="AJ257" s="267" t="b">
        <f t="shared" si="96"/>
        <v>0</v>
      </c>
      <c r="AK257" s="267" t="b">
        <f t="shared" si="97"/>
        <v>0</v>
      </c>
      <c r="AL257" s="267"/>
      <c r="AM257" s="267"/>
      <c r="AN257" s="75"/>
    </row>
    <row r="258" spans="1:40" s="6" customFormat="1" ht="11.25" x14ac:dyDescent="0.2">
      <c r="A258" s="56">
        <f t="shared" si="98"/>
        <v>45535</v>
      </c>
      <c r="B258" s="413">
        <f>'2023'!Wh/'2023'!Env_an*'2024'!Env_an</f>
        <v>41.687081258194787</v>
      </c>
      <c r="C258" s="868"/>
      <c r="D258" s="395">
        <f t="shared" si="77"/>
        <v>43.899418178713049</v>
      </c>
      <c r="E258" s="387">
        <f t="shared" si="100"/>
        <v>46.216681831737041</v>
      </c>
      <c r="F258" s="387">
        <f t="shared" si="78"/>
        <v>46.703584942591043</v>
      </c>
      <c r="G258" s="110">
        <f t="shared" si="101"/>
        <v>0.90023228735029226</v>
      </c>
      <c r="H258" s="416" t="b">
        <f>Wh_hp&gt;='2023'!Maxi_hp</f>
        <v>0</v>
      </c>
      <c r="I258" s="392">
        <f>IF(H258,Wh_hp,'2023'!Maxi_hp)</f>
        <v>46.736743029698395</v>
      </c>
      <c r="J258" s="85">
        <f>IF(H258,An,'2023'!An_max)</f>
        <v>2022</v>
      </c>
      <c r="K258" s="199">
        <f t="shared" si="79"/>
        <v>45535</v>
      </c>
      <c r="L258" s="147">
        <f>IF(t&lt;Tvie,1-EXP((T0-t)*PertePVj)+'2023'!Pspv,1-EXP((T0-t)*PertePVj)+Pspv)</f>
        <v>5.0395586372282031E-2</v>
      </c>
      <c r="M258" s="872"/>
      <c r="N258" s="872"/>
      <c r="O258" s="48">
        <f>IF(t&lt;Tnet,'2023'!Resal+('2023'!Salim-'2023'!Resal)*(1-EXP(('2023'!Tnet-t)/('2023'!Tau_j))),Resal+(Salim-Resal)*(1-EXP((Tnet-t)/(Tau_j))))*Salcycl</f>
        <v>5.0139117764026193E-2</v>
      </c>
      <c r="P258" s="171">
        <f>(INDEX(Models!$BJ258:$BT258,,T258)*(1-R258)+INDEX(Models!$BJ258:$BT258,,T258+1)*R258-ERP_i)*Q258*Ramure*Pc/MaxiM</f>
        <v>1.2126921168369963E-2</v>
      </c>
      <c r="Q258" s="307">
        <f t="shared" si="80"/>
        <v>0.9</v>
      </c>
      <c r="R258" s="179">
        <f t="shared" si="81"/>
        <v>0.77827337973527033</v>
      </c>
      <c r="S258" s="839">
        <f t="shared" si="82"/>
        <v>1</v>
      </c>
      <c r="T258" s="178">
        <f t="shared" si="83"/>
        <v>7</v>
      </c>
      <c r="U258" s="253">
        <f t="shared" si="84"/>
        <v>1.7782733797352703</v>
      </c>
      <c r="V258" s="385">
        <f t="shared" si="85"/>
        <v>46.227404540882993</v>
      </c>
      <c r="W258" s="404">
        <f t="shared" si="86"/>
        <v>41.687081258194787</v>
      </c>
      <c r="X258" s="157">
        <f t="shared" si="87"/>
        <v>45535</v>
      </c>
      <c r="Y258" s="387">
        <f t="shared" si="88"/>
        <v>37.978614934867835</v>
      </c>
      <c r="Z258" s="387">
        <f t="shared" si="89"/>
        <v>39.994143234634265</v>
      </c>
      <c r="AA258" s="388">
        <f t="shared" si="90"/>
        <v>46.216681831737041</v>
      </c>
      <c r="AB258" s="199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0.13463836758678235</v>
      </c>
      <c r="AD258" s="233">
        <f>(INDEX(Models!$BJ258:$BT258,,AH258)*(1-AF258)+INDEX(Models!$BJ258:$BT258,,AH258+1)*AF258-ERP_i)*AE258*Ramure*Pc/MaxiM</f>
        <v>1.2126921168369963E-2</v>
      </c>
      <c r="AE258" s="307">
        <f t="shared" si="92"/>
        <v>0.9</v>
      </c>
      <c r="AF258" s="179">
        <f t="shared" si="93"/>
        <v>0.77827337973527033</v>
      </c>
      <c r="AG258" s="839">
        <f t="shared" si="99"/>
        <v>1</v>
      </c>
      <c r="AH258" s="178">
        <f t="shared" si="94"/>
        <v>7</v>
      </c>
      <c r="AI258" s="227">
        <f t="shared" si="95"/>
        <v>1.7782733797352703</v>
      </c>
      <c r="AJ258" s="267" t="b">
        <f t="shared" si="96"/>
        <v>0</v>
      </c>
      <c r="AK258" s="267" t="b">
        <f t="shared" si="97"/>
        <v>0</v>
      </c>
      <c r="AL258" s="267"/>
      <c r="AM258" s="267"/>
      <c r="AN258" s="75"/>
    </row>
    <row r="259" spans="1:40" s="6" customFormat="1" ht="11.25" x14ac:dyDescent="0.2">
      <c r="A259" s="56">
        <f t="shared" si="98"/>
        <v>45536</v>
      </c>
      <c r="B259" s="413">
        <f>'2023'!Wh/'2023'!Env_an*'2024'!Env_an</f>
        <v>36.229946650766593</v>
      </c>
      <c r="C259" s="868"/>
      <c r="D259" s="395">
        <f t="shared" si="77"/>
        <v>38.153560866218513</v>
      </c>
      <c r="E259" s="387">
        <f t="shared" si="100"/>
        <v>40.175762452810332</v>
      </c>
      <c r="F259" s="387">
        <f t="shared" si="78"/>
        <v>40.526213839167319</v>
      </c>
      <c r="G259" s="110">
        <f t="shared" si="101"/>
        <v>0.78625193233256108</v>
      </c>
      <c r="H259" s="416" t="b">
        <f>Wh_hp&gt;='2023'!Maxi_hp</f>
        <v>0</v>
      </c>
      <c r="I259" s="392">
        <f>IF(H259,Wh_hp,'2023'!Maxi_hp)</f>
        <v>49.068004680732784</v>
      </c>
      <c r="J259" s="85">
        <f>IF(H259,An,'2023'!An_max)</f>
        <v>2019</v>
      </c>
      <c r="K259" s="199">
        <f t="shared" si="79"/>
        <v>45536</v>
      </c>
      <c r="L259" s="147">
        <f>IF(t&lt;Tvie,1-EXP((T0-t)*PertePVj)+'2023'!Pspv,1-EXP((T0-t)*PertePVj)+Pspv)</f>
        <v>5.0417685054269912E-2</v>
      </c>
      <c r="M259" s="872"/>
      <c r="N259" s="872"/>
      <c r="O259" s="48">
        <f>IF(t&lt;Tnet,'2023'!Resal+('2023'!Salim-'2023'!Resal)*(1-EXP(('2023'!Tnet-t)/('2023'!Tau_j))),Resal+(Salim-Resal)*(1-EXP((Tnet-t)/(Tau_j))))*Salcycl</f>
        <v>5.0333869555482837E-2</v>
      </c>
      <c r="P259" s="171">
        <f>(INDEX(Models!$BJ259:$BT259,,T259)*(1-R259)+INDEX(Models!$BJ259:$BT259,,T259+1)*R259-ERP_i)*Q259*Ramure*Pc/MaxiM</f>
        <v>1.237335003875527E-2</v>
      </c>
      <c r="Q259" s="307">
        <f t="shared" si="80"/>
        <v>0.9</v>
      </c>
      <c r="R259" s="179">
        <f t="shared" si="81"/>
        <v>0.7791478415951596</v>
      </c>
      <c r="S259" s="839">
        <f t="shared" si="82"/>
        <v>1</v>
      </c>
      <c r="T259" s="178">
        <f t="shared" si="83"/>
        <v>7</v>
      </c>
      <c r="U259" s="253">
        <f t="shared" si="84"/>
        <v>1.7791478415951596</v>
      </c>
      <c r="V259" s="385">
        <f t="shared" si="85"/>
        <v>45.90612905153062</v>
      </c>
      <c r="W259" s="404">
        <f t="shared" si="86"/>
        <v>36.229946650766593</v>
      </c>
      <c r="X259" s="157">
        <f t="shared" si="87"/>
        <v>45536</v>
      </c>
      <c r="Y259" s="387">
        <f t="shared" si="88"/>
        <v>33.010298370285355</v>
      </c>
      <c r="Z259" s="387">
        <f t="shared" si="89"/>
        <v>34.762966675692503</v>
      </c>
      <c r="AA259" s="388">
        <f t="shared" si="90"/>
        <v>40.175762452810332</v>
      </c>
      <c r="AB259" s="199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0.13472789180978437</v>
      </c>
      <c r="AD259" s="233">
        <f>(INDEX(Models!$BJ259:$BT259,,AH259)*(1-AF259)+INDEX(Models!$BJ259:$BT259,,AH259+1)*AF259-ERP_i)*AE259*Ramure*Pc/MaxiM</f>
        <v>1.237335003875527E-2</v>
      </c>
      <c r="AE259" s="307">
        <f t="shared" si="92"/>
        <v>0.9</v>
      </c>
      <c r="AF259" s="179">
        <f t="shared" si="93"/>
        <v>0.7791478415951596</v>
      </c>
      <c r="AG259" s="839">
        <f t="shared" si="99"/>
        <v>1</v>
      </c>
      <c r="AH259" s="178">
        <f t="shared" si="94"/>
        <v>7</v>
      </c>
      <c r="AI259" s="227">
        <f t="shared" si="95"/>
        <v>1.7791478415951596</v>
      </c>
      <c r="AJ259" s="267" t="b">
        <f t="shared" si="96"/>
        <v>0</v>
      </c>
      <c r="AK259" s="267" t="b">
        <f t="shared" si="97"/>
        <v>0</v>
      </c>
      <c r="AL259" s="267"/>
      <c r="AM259" s="267"/>
      <c r="AN259" s="75"/>
    </row>
    <row r="260" spans="1:40" s="6" customFormat="1" ht="11.25" x14ac:dyDescent="0.2">
      <c r="A260" s="56">
        <f t="shared" si="98"/>
        <v>45537</v>
      </c>
      <c r="B260" s="413">
        <f>'2023'!Wh/'2023'!Env_an*'2024'!Env_an</f>
        <v>29.812300748206571</v>
      </c>
      <c r="C260" s="868"/>
      <c r="D260" s="395">
        <f t="shared" si="77"/>
        <v>31.395903304967675</v>
      </c>
      <c r="E260" s="387">
        <f t="shared" si="100"/>
        <v>33.066697007168209</v>
      </c>
      <c r="F260" s="387">
        <f t="shared" si="78"/>
        <v>33.279048559377649</v>
      </c>
      <c r="G260" s="110">
        <f t="shared" si="101"/>
        <v>0.64998141714696933</v>
      </c>
      <c r="H260" s="416" t="b">
        <f>Wh_hp&gt;='2023'!Maxi_hp</f>
        <v>0</v>
      </c>
      <c r="I260" s="392">
        <f>IF(H260,Wh_hp,'2023'!Maxi_hp)</f>
        <v>51.035952311623831</v>
      </c>
      <c r="J260" s="85">
        <f>IF(H260,An,'2023'!An_max)</f>
        <v>2019</v>
      </c>
      <c r="K260" s="199">
        <f t="shared" si="79"/>
        <v>45537</v>
      </c>
      <c r="L260" s="147">
        <f>IF(t&lt;Tvie,1-EXP((T0-t)*PertePVj)+'2023'!Pspv,1-EXP((T0-t)*PertePVj)+Pspv)</f>
        <v>5.0439783221989165E-2</v>
      </c>
      <c r="M260" s="872"/>
      <c r="N260" s="872"/>
      <c r="O260" s="48">
        <f>IF(t&lt;Tnet,'2023'!Resal+('2023'!Salim-'2023'!Resal)*(1-EXP(('2023'!Tnet-t)/('2023'!Tau_j))),Resal+(Salim-Resal)*(1-EXP((Tnet-t)/(Tau_j))))*Salcycl</f>
        <v>5.0527988986572688E-2</v>
      </c>
      <c r="P260" s="171">
        <f>(INDEX(Models!$BJ260:$BT260,,T260)*(1-R260)+INDEX(Models!$BJ260:$BT260,,T260+1)*R260-ERP_i)*Q260*Ramure*Pc/MaxiM</f>
        <v>1.2614646302684605E-2</v>
      </c>
      <c r="Q260" s="307">
        <f t="shared" si="80"/>
        <v>0.9</v>
      </c>
      <c r="R260" s="179">
        <f t="shared" si="81"/>
        <v>0.77998921650523512</v>
      </c>
      <c r="S260" s="839">
        <f t="shared" si="82"/>
        <v>1</v>
      </c>
      <c r="T260" s="178">
        <f t="shared" si="83"/>
        <v>7</v>
      </c>
      <c r="U260" s="253">
        <f t="shared" si="84"/>
        <v>1.7799892165052351</v>
      </c>
      <c r="V260" s="385">
        <f t="shared" si="85"/>
        <v>45.57863552629918</v>
      </c>
      <c r="W260" s="404">
        <f t="shared" si="86"/>
        <v>29.812300748206571</v>
      </c>
      <c r="X260" s="157">
        <f t="shared" si="87"/>
        <v>45537</v>
      </c>
      <c r="Y260" s="387">
        <f t="shared" si="88"/>
        <v>27.165746338782014</v>
      </c>
      <c r="Z260" s="387">
        <f t="shared" si="89"/>
        <v>28.608766309691394</v>
      </c>
      <c r="AA260" s="388">
        <f t="shared" si="90"/>
        <v>33.066697007168209</v>
      </c>
      <c r="AB260" s="199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0.13481632884319902</v>
      </c>
      <c r="AD260" s="233">
        <f>(INDEX(Models!$BJ260:$BT260,,AH260)*(1-AF260)+INDEX(Models!$BJ260:$BT260,,AH260+1)*AF260-ERP_i)*AE260*Ramure*Pc/MaxiM</f>
        <v>1.2614646302684605E-2</v>
      </c>
      <c r="AE260" s="307">
        <f t="shared" si="92"/>
        <v>0.9</v>
      </c>
      <c r="AF260" s="179">
        <f t="shared" si="93"/>
        <v>0.77998921650523512</v>
      </c>
      <c r="AG260" s="839">
        <f t="shared" si="99"/>
        <v>1</v>
      </c>
      <c r="AH260" s="178">
        <f t="shared" si="94"/>
        <v>7</v>
      </c>
      <c r="AI260" s="227">
        <f t="shared" si="95"/>
        <v>1.7799892165052351</v>
      </c>
      <c r="AJ260" s="267" t="b">
        <f t="shared" si="96"/>
        <v>0</v>
      </c>
      <c r="AK260" s="267" t="b">
        <f t="shared" si="97"/>
        <v>0</v>
      </c>
      <c r="AL260" s="267"/>
      <c r="AM260" s="267"/>
      <c r="AN260" s="75"/>
    </row>
    <row r="261" spans="1:40" s="6" customFormat="1" ht="11.25" x14ac:dyDescent="0.2">
      <c r="A261" s="56">
        <f t="shared" si="98"/>
        <v>45538</v>
      </c>
      <c r="B261" s="413">
        <f>'2023'!Wh/'2023'!Env_an*'2024'!Env_an</f>
        <v>43.381982969324518</v>
      </c>
      <c r="C261" s="868"/>
      <c r="D261" s="395">
        <f t="shared" si="77"/>
        <v>45.687458034145784</v>
      </c>
      <c r="E261" s="387">
        <f t="shared" si="100"/>
        <v>48.128611405230949</v>
      </c>
      <c r="F261" s="387">
        <f t="shared" si="78"/>
        <v>48.717875088294498</v>
      </c>
      <c r="G261" s="110">
        <f t="shared" si="101"/>
        <v>0.95810869340842464</v>
      </c>
      <c r="H261" s="416" t="b">
        <f>Wh_hp&gt;='2023'!Maxi_hp</f>
        <v>0</v>
      </c>
      <c r="I261" s="392">
        <f>IF(H261,Wh_hp,'2023'!Maxi_hp)</f>
        <v>50.502994047654042</v>
      </c>
      <c r="J261" s="85">
        <f>IF(H261,An,'2023'!An_max)</f>
        <v>2019</v>
      </c>
      <c r="K261" s="199">
        <f t="shared" si="79"/>
        <v>45538</v>
      </c>
      <c r="L261" s="147">
        <f>IF(t&lt;Tvie,1-EXP((T0-t)*PertePVj)+'2023'!Pspv,1-EXP((T0-t)*PertePVj)+Pspv)</f>
        <v>5.0461880875451781E-2</v>
      </c>
      <c r="M261" s="872"/>
      <c r="N261" s="872"/>
      <c r="O261" s="48">
        <f>IF(t&lt;Tnet,'2023'!Resal+('2023'!Salim-'2023'!Resal)*(1-EXP(('2023'!Tnet-t)/('2023'!Tau_j))),Resal+(Salim-Resal)*(1-EXP((Tnet-t)/(Tau_j))))*Salcycl</f>
        <v>5.0721458604555597E-2</v>
      </c>
      <c r="P261" s="171">
        <f>(INDEX(Models!$BJ261:$BT261,,T261)*(1-R261)+INDEX(Models!$BJ261:$BT261,,T261+1)*R261-ERP_i)*Q261*Ramure*Pc/MaxiM</f>
        <v>1.285103353487645E-2</v>
      </c>
      <c r="Q261" s="307">
        <f t="shared" si="80"/>
        <v>0.9</v>
      </c>
      <c r="R261" s="179">
        <f t="shared" si="81"/>
        <v>0.78079867652130508</v>
      </c>
      <c r="S261" s="839">
        <f t="shared" si="82"/>
        <v>1</v>
      </c>
      <c r="T261" s="178">
        <f t="shared" si="83"/>
        <v>7</v>
      </c>
      <c r="U261" s="253">
        <f t="shared" si="84"/>
        <v>1.7807986765213051</v>
      </c>
      <c r="V261" s="385">
        <f t="shared" si="85"/>
        <v>45.244138146436342</v>
      </c>
      <c r="W261" s="404">
        <f t="shared" si="86"/>
        <v>43.381982969324518</v>
      </c>
      <c r="X261" s="157">
        <f t="shared" si="87"/>
        <v>45538</v>
      </c>
      <c r="Y261" s="387">
        <f t="shared" si="88"/>
        <v>39.534861372515635</v>
      </c>
      <c r="Z261" s="387">
        <f t="shared" si="89"/>
        <v>41.635886518137731</v>
      </c>
      <c r="AA261" s="388">
        <f t="shared" si="90"/>
        <v>48.128611405230949</v>
      </c>
      <c r="AB261" s="199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0.13490364042349129</v>
      </c>
      <c r="AD261" s="233">
        <f>(INDEX(Models!$BJ261:$BT261,,AH261)*(1-AF261)+INDEX(Models!$BJ261:$BT261,,AH261+1)*AF261-ERP_i)*AE261*Ramure*Pc/MaxiM</f>
        <v>1.285103353487645E-2</v>
      </c>
      <c r="AE261" s="307">
        <f t="shared" si="92"/>
        <v>0.9</v>
      </c>
      <c r="AF261" s="179">
        <f t="shared" si="93"/>
        <v>0.78079867652130508</v>
      </c>
      <c r="AG261" s="839">
        <f t="shared" si="99"/>
        <v>1</v>
      </c>
      <c r="AH261" s="178">
        <f t="shared" si="94"/>
        <v>7</v>
      </c>
      <c r="AI261" s="227">
        <f t="shared" si="95"/>
        <v>1.7807986765213051</v>
      </c>
      <c r="AJ261" s="267" t="b">
        <f t="shared" si="96"/>
        <v>0</v>
      </c>
      <c r="AK261" s="267" t="b">
        <f t="shared" si="97"/>
        <v>0</v>
      </c>
      <c r="AL261" s="267"/>
      <c r="AM261" s="267"/>
      <c r="AN261" s="75"/>
    </row>
    <row r="262" spans="1:40" s="6" customFormat="1" ht="11.25" x14ac:dyDescent="0.2">
      <c r="A262" s="56">
        <f t="shared" si="98"/>
        <v>45539</v>
      </c>
      <c r="B262" s="413">
        <f>'2023'!Wh/'2023'!Env_an*'2024'!Env_an</f>
        <v>37.451348549720969</v>
      </c>
      <c r="C262" s="868"/>
      <c r="D262" s="395">
        <f t="shared" si="77"/>
        <v>39.442566194317024</v>
      </c>
      <c r="E262" s="387">
        <f t="shared" si="100"/>
        <v>41.558485750984012</v>
      </c>
      <c r="F262" s="387">
        <f t="shared" si="78"/>
        <v>41.9773593325367</v>
      </c>
      <c r="G262" s="110">
        <f t="shared" si="101"/>
        <v>0.83144753984117437</v>
      </c>
      <c r="H262" s="416" t="b">
        <f>Wh_hp&gt;='2023'!Maxi_hp</f>
        <v>0</v>
      </c>
      <c r="I262" s="392">
        <f>IF(H262,Wh_hp,'2023'!Maxi_hp)</f>
        <v>48.405506175605858</v>
      </c>
      <c r="J262" s="85">
        <f>IF(H262,An,'2023'!An_max)</f>
        <v>2020</v>
      </c>
      <c r="K262" s="199">
        <f t="shared" si="79"/>
        <v>45539</v>
      </c>
      <c r="L262" s="147">
        <f>IF(t&lt;Tvie,1-EXP((T0-t)*PertePVj)+'2023'!Pspv,1-EXP((T0-t)*PertePVj)+Pspv)</f>
        <v>5.048397801466975E-2</v>
      </c>
      <c r="M262" s="872"/>
      <c r="N262" s="872"/>
      <c r="O262" s="48">
        <f>IF(t&lt;Tnet,'2023'!Resal+('2023'!Salim-'2023'!Resal)*(1-EXP(('2023'!Tnet-t)/('2023'!Tau_j))),Resal+(Salim-Resal)*(1-EXP((Tnet-t)/(Tau_j))))*Salcycl</f>
        <v>5.0914260190937914E-2</v>
      </c>
      <c r="P262" s="171">
        <f>(INDEX(Models!$BJ262:$BT262,,T262)*(1-R262)+INDEX(Models!$BJ262:$BT262,,T262+1)*R262-ERP_i)*Q262*Ramure*Pc/MaxiM</f>
        <v>1.3079049129442088E-2</v>
      </c>
      <c r="Q262" s="307">
        <f t="shared" si="80"/>
        <v>0.9</v>
      </c>
      <c r="R262" s="179">
        <f t="shared" si="81"/>
        <v>0.7815773583311858</v>
      </c>
      <c r="S262" s="839">
        <f t="shared" si="82"/>
        <v>1</v>
      </c>
      <c r="T262" s="178">
        <f t="shared" si="83"/>
        <v>7</v>
      </c>
      <c r="U262" s="253">
        <f t="shared" si="84"/>
        <v>1.7815773583311858</v>
      </c>
      <c r="V262" s="385">
        <f t="shared" si="85"/>
        <v>44.902484982241091</v>
      </c>
      <c r="W262" s="404">
        <f t="shared" si="86"/>
        <v>37.451348549720969</v>
      </c>
      <c r="X262" s="157">
        <f t="shared" si="87"/>
        <v>45539</v>
      </c>
      <c r="Y262" s="387">
        <f t="shared" si="88"/>
        <v>34.13369060217871</v>
      </c>
      <c r="Z262" s="387">
        <f t="shared" si="89"/>
        <v>35.948514624122964</v>
      </c>
      <c r="AA262" s="388">
        <f t="shared" si="90"/>
        <v>41.558485750984012</v>
      </c>
      <c r="AB262" s="199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0.13498978669424258</v>
      </c>
      <c r="AD262" s="233">
        <f>(INDEX(Models!$BJ262:$BT262,,AH262)*(1-AF262)+INDEX(Models!$BJ262:$BT262,,AH262+1)*AF262-ERP_i)*AE262*Ramure*Pc/MaxiM</f>
        <v>1.3079049129442088E-2</v>
      </c>
      <c r="AE262" s="307">
        <f t="shared" si="92"/>
        <v>0.9</v>
      </c>
      <c r="AF262" s="179">
        <f t="shared" si="93"/>
        <v>0.7815773583311858</v>
      </c>
      <c r="AG262" s="839">
        <f t="shared" si="99"/>
        <v>1</v>
      </c>
      <c r="AH262" s="178">
        <f t="shared" si="94"/>
        <v>7</v>
      </c>
      <c r="AI262" s="227">
        <f t="shared" si="95"/>
        <v>1.7815773583311858</v>
      </c>
      <c r="AJ262" s="267" t="b">
        <f t="shared" si="96"/>
        <v>0</v>
      </c>
      <c r="AK262" s="267" t="b">
        <f t="shared" si="97"/>
        <v>0</v>
      </c>
      <c r="AL262" s="267"/>
      <c r="AM262" s="267"/>
      <c r="AN262" s="75"/>
    </row>
    <row r="263" spans="1:40" s="6" customFormat="1" ht="11.25" x14ac:dyDescent="0.2">
      <c r="A263" s="56">
        <f t="shared" si="98"/>
        <v>45540</v>
      </c>
      <c r="B263" s="413">
        <f>'2023'!Wh/'2023'!Env_an*'2024'!Env_an</f>
        <v>42.005768219364057</v>
      </c>
      <c r="C263" s="868"/>
      <c r="D263" s="395">
        <f t="shared" si="77"/>
        <v>44.240165310612525</v>
      </c>
      <c r="E263" s="387">
        <f t="shared" si="100"/>
        <v>46.622892315805935</v>
      </c>
      <c r="F263" s="387">
        <f t="shared" si="78"/>
        <v>47.199570326001776</v>
      </c>
      <c r="G263" s="110">
        <f t="shared" si="101"/>
        <v>0.94177043176725472</v>
      </c>
      <c r="H263" s="416" t="b">
        <f>Wh_hp&gt;='2023'!Maxi_hp</f>
        <v>0</v>
      </c>
      <c r="I263" s="392">
        <f>IF(H263,Wh_hp,'2023'!Maxi_hp)</f>
        <v>51.846079488865243</v>
      </c>
      <c r="J263" s="85">
        <f>IF(H263,An,'2023'!An_max)</f>
        <v>2019</v>
      </c>
      <c r="K263" s="199">
        <f t="shared" si="79"/>
        <v>45540</v>
      </c>
      <c r="L263" s="147">
        <f>IF(t&lt;Tvie,1-EXP((T0-t)*PertePVj)+'2023'!Pspv,1-EXP((T0-t)*PertePVj)+Pspv)</f>
        <v>5.0506074639654952E-2</v>
      </c>
      <c r="M263" s="872"/>
      <c r="N263" s="872"/>
      <c r="O263" s="48">
        <f>IF(t&lt;Tnet,'2023'!Resal+('2023'!Salim-'2023'!Resal)*(1-EXP(('2023'!Tnet-t)/('2023'!Tau_j))),Resal+(Salim-Resal)*(1-EXP((Tnet-t)/(Tau_j))))*Salcycl</f>
        <v>5.1106374719391404E-2</v>
      </c>
      <c r="P263" s="171">
        <f>(INDEX(Models!$BJ263:$BT263,,T263)*(1-R263)+INDEX(Models!$BJ263:$BT263,,T263+1)*R263-ERP_i)*Q263*Ramure*Pc/MaxiM</f>
        <v>1.3304915520377705E-2</v>
      </c>
      <c r="Q263" s="307">
        <f t="shared" si="80"/>
        <v>0.9</v>
      </c>
      <c r="R263" s="179">
        <f t="shared" si="81"/>
        <v>0.78232636383547005</v>
      </c>
      <c r="S263" s="839">
        <f t="shared" si="82"/>
        <v>1</v>
      </c>
      <c r="T263" s="178">
        <f t="shared" si="83"/>
        <v>7</v>
      </c>
      <c r="U263" s="253">
        <f t="shared" si="84"/>
        <v>1.7823263638354701</v>
      </c>
      <c r="V263" s="385">
        <f t="shared" si="85"/>
        <v>44.553895135107297</v>
      </c>
      <c r="W263" s="404">
        <f t="shared" si="86"/>
        <v>42.005768219364057</v>
      </c>
      <c r="X263" s="157">
        <f t="shared" si="87"/>
        <v>45540</v>
      </c>
      <c r="Y263" s="387">
        <f t="shared" si="88"/>
        <v>38.288644389468971</v>
      </c>
      <c r="Z263" s="387">
        <f t="shared" si="89"/>
        <v>40.325317905470477</v>
      </c>
      <c r="AA263" s="388">
        <f t="shared" si="90"/>
        <v>46.622892315805935</v>
      </c>
      <c r="AB263" s="199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0.13507472611690532</v>
      </c>
      <c r="AD263" s="233">
        <f>(INDEX(Models!$BJ263:$BT263,,AH263)*(1-AF263)+INDEX(Models!$BJ263:$BT263,,AH263+1)*AF263-ERP_i)*AE263*Ramure*Pc/MaxiM</f>
        <v>1.3304915520377705E-2</v>
      </c>
      <c r="AE263" s="307">
        <f t="shared" si="92"/>
        <v>0.9</v>
      </c>
      <c r="AF263" s="179">
        <f t="shared" si="93"/>
        <v>0.78232636383547005</v>
      </c>
      <c r="AG263" s="839">
        <f t="shared" si="99"/>
        <v>1</v>
      </c>
      <c r="AH263" s="178">
        <f t="shared" si="94"/>
        <v>7</v>
      </c>
      <c r="AI263" s="227">
        <f t="shared" si="95"/>
        <v>1.7823263638354701</v>
      </c>
      <c r="AJ263" s="267" t="b">
        <f t="shared" si="96"/>
        <v>0</v>
      </c>
      <c r="AK263" s="267" t="b">
        <f t="shared" si="97"/>
        <v>0</v>
      </c>
      <c r="AL263" s="267"/>
      <c r="AM263" s="267"/>
      <c r="AN263" s="75"/>
    </row>
    <row r="264" spans="1:40" s="6" customFormat="1" ht="11.25" x14ac:dyDescent="0.2">
      <c r="A264" s="56">
        <f t="shared" si="98"/>
        <v>45541</v>
      </c>
      <c r="B264" s="413">
        <f>'2023'!Wh/'2023'!Env_an*'2024'!Env_an</f>
        <v>33.867065858220464</v>
      </c>
      <c r="C264" s="868"/>
      <c r="D264" s="395">
        <f t="shared" si="77"/>
        <v>35.669374082417441</v>
      </c>
      <c r="E264" s="387">
        <f t="shared" si="100"/>
        <v>37.59807178428813</v>
      </c>
      <c r="F264" s="387">
        <f t="shared" si="78"/>
        <v>37.939942453124452</v>
      </c>
      <c r="G264" s="110">
        <f t="shared" si="101"/>
        <v>0.76274952690819353</v>
      </c>
      <c r="H264" s="416" t="b">
        <f>Wh_hp&gt;='2023'!Maxi_hp</f>
        <v>0</v>
      </c>
      <c r="I264" s="392">
        <f>IF(H264,Wh_hp,'2023'!Maxi_hp)</f>
        <v>50.605106354797776</v>
      </c>
      <c r="J264" s="85">
        <f>IF(H264,An,'2023'!An_max)</f>
        <v>2019</v>
      </c>
      <c r="K264" s="199">
        <f t="shared" si="79"/>
        <v>45541</v>
      </c>
      <c r="L264" s="147">
        <f>IF(t&lt;Tvie,1-EXP((T0-t)*PertePVj)+'2023'!Pspv,1-EXP((T0-t)*PertePVj)+Pspv)</f>
        <v>5.0528170750419488E-2</v>
      </c>
      <c r="M264" s="872"/>
      <c r="N264" s="872"/>
      <c r="O264" s="48">
        <f>IF(t&lt;Tnet,'2023'!Resal+('2023'!Salim-'2023'!Resal)*(1-EXP(('2023'!Tnet-t)/('2023'!Tau_j))),Resal+(Salim-Resal)*(1-EXP((Tnet-t)/(Tau_j))))*Salcycl</f>
        <v>5.1297782315439674E-2</v>
      </c>
      <c r="P264" s="171">
        <f>(INDEX(Models!$BJ264:$BT264,,T264)*(1-R264)+INDEX(Models!$BJ264:$BT264,,T264+1)*R264-ERP_i)*Q264*Ramure*Pc/MaxiM</f>
        <v>1.3528548432137365E-2</v>
      </c>
      <c r="Q264" s="307">
        <f t="shared" si="80"/>
        <v>0.9</v>
      </c>
      <c r="R264" s="179">
        <f t="shared" si="81"/>
        <v>0.78304676076172264</v>
      </c>
      <c r="S264" s="839">
        <f t="shared" si="82"/>
        <v>1</v>
      </c>
      <c r="T264" s="178">
        <f t="shared" si="83"/>
        <v>7</v>
      </c>
      <c r="U264" s="253">
        <f t="shared" si="84"/>
        <v>1.7830467607617226</v>
      </c>
      <c r="V264" s="385">
        <f t="shared" si="85"/>
        <v>44.198877689116784</v>
      </c>
      <c r="W264" s="404">
        <f t="shared" si="86"/>
        <v>33.867065858220464</v>
      </c>
      <c r="X264" s="157">
        <f t="shared" si="87"/>
        <v>45541</v>
      </c>
      <c r="Y264" s="387">
        <f t="shared" si="88"/>
        <v>30.873382982573709</v>
      </c>
      <c r="Z264" s="387">
        <f t="shared" si="89"/>
        <v>32.516375980290675</v>
      </c>
      <c r="AA264" s="388">
        <f t="shared" si="90"/>
        <v>37.59807178428813</v>
      </c>
      <c r="AB264" s="199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0.13515841538770204</v>
      </c>
      <c r="AD264" s="233">
        <f>(INDEX(Models!$BJ264:$BT264,,AH264)*(1-AF264)+INDEX(Models!$BJ264:$BT264,,AH264+1)*AF264-ERP_i)*AE264*Ramure*Pc/MaxiM</f>
        <v>1.3528548432137365E-2</v>
      </c>
      <c r="AE264" s="307">
        <f t="shared" si="92"/>
        <v>0.9</v>
      </c>
      <c r="AF264" s="179">
        <f t="shared" si="93"/>
        <v>0.78304676076172264</v>
      </c>
      <c r="AG264" s="839">
        <f t="shared" si="99"/>
        <v>1</v>
      </c>
      <c r="AH264" s="178">
        <f t="shared" si="94"/>
        <v>7</v>
      </c>
      <c r="AI264" s="227">
        <f t="shared" si="95"/>
        <v>1.7830467607617226</v>
      </c>
      <c r="AJ264" s="267" t="b">
        <f t="shared" si="96"/>
        <v>0</v>
      </c>
      <c r="AK264" s="267" t="b">
        <f t="shared" si="97"/>
        <v>0</v>
      </c>
      <c r="AL264" s="267"/>
      <c r="AM264" s="267"/>
      <c r="AN264" s="75"/>
    </row>
    <row r="265" spans="1:40" s="6" customFormat="1" ht="11.25" x14ac:dyDescent="0.2">
      <c r="A265" s="56">
        <f t="shared" si="98"/>
        <v>45542</v>
      </c>
      <c r="B265" s="413">
        <f>'2023'!Wh/'2023'!Env_an*'2024'!Env_an</f>
        <v>36.446362236112719</v>
      </c>
      <c r="C265" s="868"/>
      <c r="D265" s="395">
        <f t="shared" si="77"/>
        <v>38.386826542027336</v>
      </c>
      <c r="E265" s="387">
        <f t="shared" si="100"/>
        <v>40.470595256897411</v>
      </c>
      <c r="F265" s="387">
        <f t="shared" si="78"/>
        <v>40.897477991498491</v>
      </c>
      <c r="G265" s="110">
        <f t="shared" si="101"/>
        <v>0.82860596397308439</v>
      </c>
      <c r="H265" s="416" t="b">
        <f>Wh_hp&gt;='2023'!Maxi_hp</f>
        <v>0</v>
      </c>
      <c r="I265" s="392">
        <f>IF(H265,Wh_hp,'2023'!Maxi_hp)</f>
        <v>44.460234506845794</v>
      </c>
      <c r="J265" s="85">
        <f>IF(H265,An,'2023'!An_max)</f>
        <v>2019</v>
      </c>
      <c r="K265" s="199">
        <f t="shared" si="79"/>
        <v>45542</v>
      </c>
      <c r="L265" s="147">
        <f>IF(t&lt;Tvie,1-EXP((T0-t)*PertePVj)+'2023'!Pspv,1-EXP((T0-t)*PertePVj)+Pspv)</f>
        <v>5.0550266346975126E-2</v>
      </c>
      <c r="M265" s="872"/>
      <c r="N265" s="872"/>
      <c r="O265" s="48">
        <f>IF(t&lt;Tnet,'2023'!Resal+('2023'!Salim-'2023'!Resal)*(1-EXP(('2023'!Tnet-t)/('2023'!Tau_j))),Resal+(Salim-Resal)*(1-EXP((Tnet-t)/(Tau_j))))*Salcycl</f>
        <v>5.1488462219120422E-2</v>
      </c>
      <c r="P265" s="171">
        <f>(INDEX(Models!$BJ265:$BT265,,T265)*(1-R265)+INDEX(Models!$BJ265:$BT265,,T265+1)*R265-ERP_i)*Q265*Ramure*Pc/MaxiM</f>
        <v>1.374984852845661E-2</v>
      </c>
      <c r="Q265" s="307">
        <f t="shared" si="80"/>
        <v>0.9</v>
      </c>
      <c r="R265" s="179">
        <f t="shared" si="81"/>
        <v>0.78373958330730709</v>
      </c>
      <c r="S265" s="839">
        <f t="shared" si="82"/>
        <v>1</v>
      </c>
      <c r="T265" s="178">
        <f t="shared" si="83"/>
        <v>7</v>
      </c>
      <c r="U265" s="253">
        <f t="shared" si="84"/>
        <v>1.7837395833073071</v>
      </c>
      <c r="V265" s="385">
        <f t="shared" si="85"/>
        <v>43.837941269490422</v>
      </c>
      <c r="W265" s="404">
        <f t="shared" si="86"/>
        <v>36.446362236112719</v>
      </c>
      <c r="X265" s="157">
        <f t="shared" si="87"/>
        <v>45542</v>
      </c>
      <c r="Y265" s="387">
        <f t="shared" si="88"/>
        <v>33.228195391988287</v>
      </c>
      <c r="Z265" s="387">
        <f t="shared" si="89"/>
        <v>34.997319198924004</v>
      </c>
      <c r="AA265" s="388">
        <f t="shared" si="90"/>
        <v>40.470595256897411</v>
      </c>
      <c r="AB265" s="199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0.13524080936369712</v>
      </c>
      <c r="AD265" s="233">
        <f>(INDEX(Models!$BJ265:$BT265,,AH265)*(1-AF265)+INDEX(Models!$BJ265:$BT265,,AH265+1)*AF265-ERP_i)*AE265*Ramure*Pc/MaxiM</f>
        <v>1.374984852845661E-2</v>
      </c>
      <c r="AE265" s="307">
        <f t="shared" si="92"/>
        <v>0.9</v>
      </c>
      <c r="AF265" s="179">
        <f t="shared" si="93"/>
        <v>0.78373958330730709</v>
      </c>
      <c r="AG265" s="839">
        <f t="shared" si="99"/>
        <v>1</v>
      </c>
      <c r="AH265" s="178">
        <f t="shared" si="94"/>
        <v>7</v>
      </c>
      <c r="AI265" s="227">
        <f t="shared" si="95"/>
        <v>1.7837395833073071</v>
      </c>
      <c r="AJ265" s="267" t="b">
        <f t="shared" si="96"/>
        <v>0</v>
      </c>
      <c r="AK265" s="267" t="b">
        <f t="shared" si="97"/>
        <v>0</v>
      </c>
      <c r="AL265" s="267"/>
      <c r="AM265" s="267"/>
      <c r="AN265" s="75"/>
    </row>
    <row r="266" spans="1:40" s="6" customFormat="1" ht="11.25" x14ac:dyDescent="0.2">
      <c r="A266" s="56">
        <f t="shared" si="98"/>
        <v>45543</v>
      </c>
      <c r="B266" s="413">
        <f>'2023'!Wh/'2023'!Env_an*'2024'!Env_an</f>
        <v>20.723631978209525</v>
      </c>
      <c r="C266" s="868"/>
      <c r="D266" s="395">
        <f t="shared" si="77"/>
        <v>21.827500207818169</v>
      </c>
      <c r="E266" s="387">
        <f t="shared" si="100"/>
        <v>23.016980780557692</v>
      </c>
      <c r="F266" s="387">
        <f t="shared" si="78"/>
        <v>23.098435824197708</v>
      </c>
      <c r="G266" s="110">
        <f t="shared" si="101"/>
        <v>0.4717210134478837</v>
      </c>
      <c r="H266" s="416" t="b">
        <f>Wh_hp&gt;='2023'!Maxi_hp</f>
        <v>0</v>
      </c>
      <c r="I266" s="392">
        <f>IF(H266,Wh_hp,'2023'!Maxi_hp)</f>
        <v>45.722632872468637</v>
      </c>
      <c r="J266" s="85">
        <f>IF(H266,An,'2023'!An_max)</f>
        <v>2020</v>
      </c>
      <c r="K266" s="199">
        <f t="shared" si="79"/>
        <v>45543</v>
      </c>
      <c r="L266" s="147">
        <f>IF(t&lt;Tvie,1-EXP((T0-t)*PertePVj)+'2023'!Pspv,1-EXP((T0-t)*PertePVj)+Pspv)</f>
        <v>5.0572361429334078E-2</v>
      </c>
      <c r="M266" s="872"/>
      <c r="N266" s="872"/>
      <c r="O266" s="48">
        <f>IF(t&lt;Tnet,'2023'!Resal+('2023'!Salim-'2023'!Resal)*(1-EXP(('2023'!Tnet-t)/('2023'!Tau_j))),Resal+(Salim-Resal)*(1-EXP((Tnet-t)/(Tau_j))))*Salcycl</f>
        <v>5.1678392751853472E-2</v>
      </c>
      <c r="P266" s="171">
        <f>(INDEX(Models!$BJ266:$BT266,,T266)*(1-R266)+INDEX(Models!$BJ266:$BT266,,T266+1)*R266-ERP_i)*Q266*Ramure*Pc/MaxiM</f>
        <v>1.3968700920680787E-2</v>
      </c>
      <c r="Q266" s="307">
        <f t="shared" si="80"/>
        <v>0.9</v>
      </c>
      <c r="R266" s="179">
        <f t="shared" si="81"/>
        <v>0.7844058328064043</v>
      </c>
      <c r="S266" s="839">
        <f t="shared" si="82"/>
        <v>1</v>
      </c>
      <c r="T266" s="178">
        <f t="shared" si="83"/>
        <v>7</v>
      </c>
      <c r="U266" s="253">
        <f t="shared" si="84"/>
        <v>1.7844058328064043</v>
      </c>
      <c r="V266" s="385">
        <f t="shared" si="85"/>
        <v>43.471594038354404</v>
      </c>
      <c r="W266" s="404">
        <f t="shared" si="86"/>
        <v>20.723631978209525</v>
      </c>
      <c r="X266" s="157">
        <f t="shared" si="87"/>
        <v>45543</v>
      </c>
      <c r="Y266" s="387">
        <f t="shared" si="88"/>
        <v>18.895774803883</v>
      </c>
      <c r="Z266" s="387">
        <f t="shared" si="89"/>
        <v>19.902280106707245</v>
      </c>
      <c r="AA266" s="388">
        <f t="shared" si="90"/>
        <v>23.016980780557692</v>
      </c>
      <c r="AB266" s="199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0.13532186100104918</v>
      </c>
      <c r="AD266" s="233">
        <f>(INDEX(Models!$BJ266:$BT266,,AH266)*(1-AF266)+INDEX(Models!$BJ266:$BT266,,AH266+1)*AF266-ERP_i)*AE266*Ramure*Pc/MaxiM</f>
        <v>1.3968700920680787E-2</v>
      </c>
      <c r="AE266" s="307">
        <f t="shared" si="92"/>
        <v>0.9</v>
      </c>
      <c r="AF266" s="179">
        <f t="shared" si="93"/>
        <v>0.7844058328064043</v>
      </c>
      <c r="AG266" s="839">
        <f t="shared" si="99"/>
        <v>1</v>
      </c>
      <c r="AH266" s="178">
        <f t="shared" si="94"/>
        <v>7</v>
      </c>
      <c r="AI266" s="227">
        <f t="shared" si="95"/>
        <v>1.7844058328064043</v>
      </c>
      <c r="AJ266" s="267" t="b">
        <f t="shared" si="96"/>
        <v>0</v>
      </c>
      <c r="AK266" s="267" t="b">
        <f t="shared" si="97"/>
        <v>0</v>
      </c>
      <c r="AL266" s="267"/>
      <c r="AM266" s="267"/>
      <c r="AN266" s="75"/>
    </row>
    <row r="267" spans="1:40" s="6" customFormat="1" ht="11.25" x14ac:dyDescent="0.2">
      <c r="A267" s="56">
        <f t="shared" si="98"/>
        <v>45544</v>
      </c>
      <c r="B267" s="413">
        <f>'2023'!Wh/'2023'!Env_an*'2024'!Env_an</f>
        <v>40.752202789752737</v>
      </c>
      <c r="C267" s="868"/>
      <c r="D267" s="395">
        <f t="shared" si="77"/>
        <v>42.923914914115748</v>
      </c>
      <c r="E267" s="387">
        <f t="shared" si="100"/>
        <v>45.272066125845718</v>
      </c>
      <c r="F267" s="387">
        <f t="shared" si="78"/>
        <v>45.872117564076788</v>
      </c>
      <c r="G267" s="110">
        <f t="shared" si="101"/>
        <v>0.94446150604199419</v>
      </c>
      <c r="H267" s="416" t="b">
        <f>Wh_hp&gt;='2023'!Maxi_hp</f>
        <v>0</v>
      </c>
      <c r="I267" s="392">
        <f>IF(H267,Wh_hp,'2023'!Maxi_hp)</f>
        <v>45.892389083672228</v>
      </c>
      <c r="J267" s="85">
        <f>IF(H267,An,'2023'!An_max)</f>
        <v>2022</v>
      </c>
      <c r="K267" s="199">
        <f t="shared" si="79"/>
        <v>45544</v>
      </c>
      <c r="L267" s="147">
        <f>IF(t&lt;Tvie,1-EXP((T0-t)*PertePVj)+'2023'!Pspv,1-EXP((T0-t)*PertePVj)+Pspv)</f>
        <v>5.0594455997508114E-2</v>
      </c>
      <c r="M267" s="872"/>
      <c r="N267" s="872"/>
      <c r="O267" s="48">
        <f>IF(t&lt;Tnet,'2023'!Resal+('2023'!Salim-'2023'!Resal)*(1-EXP(('2023'!Tnet-t)/('2023'!Tau_j))),Resal+(Salim-Resal)*(1-EXP((Tnet-t)/(Tau_j))))*Salcycl</f>
        <v>5.1867551288749619E-2</v>
      </c>
      <c r="P267" s="171">
        <f>(INDEX(Models!$BJ267:$BT267,,T267)*(1-R267)+INDEX(Models!$BJ267:$BT267,,T267+1)*R267-ERP_i)*Q267*Ramure*Pc/MaxiM</f>
        <v>1.4184974638513641E-2</v>
      </c>
      <c r="Q267" s="307">
        <f t="shared" si="80"/>
        <v>0.9</v>
      </c>
      <c r="R267" s="179">
        <f t="shared" si="81"/>
        <v>0.78504647841713515</v>
      </c>
      <c r="S267" s="839">
        <f t="shared" si="82"/>
        <v>1</v>
      </c>
      <c r="T267" s="178">
        <f t="shared" si="83"/>
        <v>7</v>
      </c>
      <c r="U267" s="253">
        <f t="shared" si="84"/>
        <v>1.7850464784171352</v>
      </c>
      <c r="V267" s="385">
        <f t="shared" si="85"/>
        <v>43.100343706325134</v>
      </c>
      <c r="W267" s="404">
        <f t="shared" si="86"/>
        <v>40.752202789752737</v>
      </c>
      <c r="X267" s="157">
        <f t="shared" si="87"/>
        <v>45544</v>
      </c>
      <c r="Y267" s="387">
        <f t="shared" si="88"/>
        <v>37.161783233180216</v>
      </c>
      <c r="Z267" s="387">
        <f t="shared" si="89"/>
        <v>39.142159499631781</v>
      </c>
      <c r="AA267" s="388">
        <f t="shared" si="90"/>
        <v>45.272066125845718</v>
      </c>
      <c r="AB267" s="199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0.13540152130839883</v>
      </c>
      <c r="AD267" s="233">
        <f>(INDEX(Models!$BJ267:$BT267,,AH267)*(1-AF267)+INDEX(Models!$BJ267:$BT267,,AH267+1)*AF267-ERP_i)*AE267*Ramure*Pc/MaxiM</f>
        <v>1.4184974638513641E-2</v>
      </c>
      <c r="AE267" s="307">
        <f t="shared" si="92"/>
        <v>0.9</v>
      </c>
      <c r="AF267" s="179">
        <f t="shared" si="93"/>
        <v>0.78504647841713515</v>
      </c>
      <c r="AG267" s="839">
        <f t="shared" si="99"/>
        <v>1</v>
      </c>
      <c r="AH267" s="178">
        <f t="shared" si="94"/>
        <v>7</v>
      </c>
      <c r="AI267" s="227">
        <f t="shared" si="95"/>
        <v>1.7850464784171352</v>
      </c>
      <c r="AJ267" s="267" t="b">
        <f t="shared" si="96"/>
        <v>0</v>
      </c>
      <c r="AK267" s="267" t="b">
        <f t="shared" si="97"/>
        <v>0</v>
      </c>
      <c r="AL267" s="267"/>
      <c r="AM267" s="267"/>
      <c r="AN267" s="75"/>
    </row>
    <row r="268" spans="1:40" s="6" customFormat="1" ht="11.25" x14ac:dyDescent="0.2">
      <c r="A268" s="56">
        <f t="shared" si="98"/>
        <v>45545</v>
      </c>
      <c r="B268" s="413">
        <f>'2023'!Wh/'2023'!Env_an*'2024'!Env_an</f>
        <v>40.595032250911466</v>
      </c>
      <c r="C268" s="868"/>
      <c r="D268" s="395">
        <f t="shared" si="77"/>
        <v>42.759363725072276</v>
      </c>
      <c r="E268" s="387">
        <f t="shared" si="100"/>
        <v>45.107474551815692</v>
      </c>
      <c r="F268" s="387">
        <f t="shared" si="78"/>
        <v>45.719503446385339</v>
      </c>
      <c r="G268" s="110">
        <f t="shared" si="101"/>
        <v>0.94917924260717856</v>
      </c>
      <c r="H268" s="416" t="b">
        <f>Wh_hp&gt;='2023'!Maxi_hp</f>
        <v>0</v>
      </c>
      <c r="I268" s="392">
        <f>IF(H268,Wh_hp,'2023'!Maxi_hp)</f>
        <v>45.738259725642457</v>
      </c>
      <c r="J268" s="85">
        <f>IF(H268,An,'2023'!An_max)</f>
        <v>2022</v>
      </c>
      <c r="K268" s="199">
        <f t="shared" si="79"/>
        <v>45545</v>
      </c>
      <c r="L268" s="147">
        <f>IF(t&lt;Tvie,1-EXP((T0-t)*PertePVj)+'2023'!Pspv,1-EXP((T0-t)*PertePVj)+Pspv)</f>
        <v>5.0616550051509224E-2</v>
      </c>
      <c r="M268" s="872"/>
      <c r="N268" s="872"/>
      <c r="O268" s="48">
        <f>IF(t&lt;Tnet,'2023'!Resal+('2023'!Salim-'2023'!Resal)*(1-EXP(('2023'!Tnet-t)/('2023'!Tau_j))),Resal+(Salim-Resal)*(1-EXP((Tnet-t)/(Tau_j))))*Salcycl</f>
        <v>5.2055914237586119E-2</v>
      </c>
      <c r="P268" s="171">
        <f>(INDEX(Models!$BJ268:$BT268,,T268)*(1-R268)+INDEX(Models!$BJ268:$BT268,,T268+1)*R268-ERP_i)*Q268*Ramure*Pc/MaxiM</f>
        <v>1.441263182721228E-2</v>
      </c>
      <c r="Q268" s="307">
        <f t="shared" si="80"/>
        <v>0.9</v>
      </c>
      <c r="R268" s="179">
        <f t="shared" si="81"/>
        <v>0.78566245782500643</v>
      </c>
      <c r="S268" s="839">
        <f t="shared" si="82"/>
        <v>1</v>
      </c>
      <c r="T268" s="178">
        <f t="shared" si="83"/>
        <v>7</v>
      </c>
      <c r="U268" s="253">
        <f t="shared" si="84"/>
        <v>1.7856624578250064</v>
      </c>
      <c r="V268" s="385">
        <f t="shared" si="85"/>
        <v>42.724085888922204</v>
      </c>
      <c r="W268" s="404">
        <f t="shared" si="86"/>
        <v>40.595032250911466</v>
      </c>
      <c r="X268" s="157">
        <f t="shared" si="87"/>
        <v>45545</v>
      </c>
      <c r="Y268" s="387">
        <f t="shared" si="88"/>
        <v>37.022466188726384</v>
      </c>
      <c r="Z268" s="387">
        <f t="shared" si="89"/>
        <v>38.9963256582312</v>
      </c>
      <c r="AA268" s="388">
        <f t="shared" si="90"/>
        <v>45.107474551815692</v>
      </c>
      <c r="AB268" s="199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0.13547973931824794</v>
      </c>
      <c r="AD268" s="233">
        <f>(INDEX(Models!$BJ268:$BT268,,AH268)*(1-AF268)+INDEX(Models!$BJ268:$BT268,,AH268+1)*AF268-ERP_i)*AE268*Ramure*Pc/MaxiM</f>
        <v>1.441263182721228E-2</v>
      </c>
      <c r="AE268" s="307">
        <f t="shared" si="92"/>
        <v>0.9</v>
      </c>
      <c r="AF268" s="179">
        <f t="shared" si="93"/>
        <v>0.78566245782500643</v>
      </c>
      <c r="AG268" s="839">
        <f t="shared" si="99"/>
        <v>1</v>
      </c>
      <c r="AH268" s="178">
        <f t="shared" si="94"/>
        <v>7</v>
      </c>
      <c r="AI268" s="227">
        <f t="shared" si="95"/>
        <v>1.7856624578250064</v>
      </c>
      <c r="AJ268" s="267" t="b">
        <f t="shared" si="96"/>
        <v>0</v>
      </c>
      <c r="AK268" s="267" t="b">
        <f t="shared" si="97"/>
        <v>0</v>
      </c>
      <c r="AL268" s="267"/>
      <c r="AM268" s="267"/>
      <c r="AN268" s="75"/>
    </row>
    <row r="269" spans="1:40" s="6" customFormat="1" ht="11.25" x14ac:dyDescent="0.2">
      <c r="A269" s="56">
        <f t="shared" si="98"/>
        <v>45546</v>
      </c>
      <c r="B269" s="413">
        <f>'2023'!Wh/'2023'!Env_an*'2024'!Env_an</f>
        <v>28.214760268639811</v>
      </c>
      <c r="C269" s="868"/>
      <c r="D269" s="395">
        <f t="shared" si="77"/>
        <v>29.719726928188585</v>
      </c>
      <c r="E269" s="387">
        <f t="shared" si="100"/>
        <v>31.357975999742408</v>
      </c>
      <c r="F269" s="387">
        <f t="shared" si="78"/>
        <v>31.60035515854285</v>
      </c>
      <c r="G269" s="110">
        <f t="shared" si="101"/>
        <v>0.66164497072936557</v>
      </c>
      <c r="H269" s="416" t="b">
        <f>Wh_hp&gt;='2023'!Maxi_hp</f>
        <v>0</v>
      </c>
      <c r="I269" s="392">
        <f>IF(H269,Wh_hp,'2023'!Maxi_hp)</f>
        <v>47.211932330727613</v>
      </c>
      <c r="J269" s="85">
        <f>IF(H269,An,'2023'!An_max)</f>
        <v>2019</v>
      </c>
      <c r="K269" s="199">
        <f t="shared" si="79"/>
        <v>45546</v>
      </c>
      <c r="L269" s="147">
        <f>IF(t&lt;Tvie,1-EXP((T0-t)*PertePVj)+'2023'!Pspv,1-EXP((T0-t)*PertePVj)+Pspv)</f>
        <v>5.0638643591349508E-2</v>
      </c>
      <c r="M269" s="872"/>
      <c r="N269" s="872"/>
      <c r="O269" s="48">
        <f>IF(t&lt;Tnet,'2023'!Resal+('2023'!Salim-'2023'!Resal)*(1-EXP(('2023'!Tnet-t)/('2023'!Tau_j))),Resal+(Salim-Resal)*(1-EXP((Tnet-t)/(Tau_j))))*Salcycl</f>
        <v>5.2243457025647422E-2</v>
      </c>
      <c r="P269" s="171">
        <f>(INDEX(Models!$BJ269:$BT269,,T269)*(1-R269)+INDEX(Models!$BJ269:$BT269,,T269+1)*R269-ERP_i)*Q269*Ramure*Pc/MaxiM</f>
        <v>1.465621152388152E-2</v>
      </c>
      <c r="Q269" s="307">
        <f t="shared" si="80"/>
        <v>0.9</v>
      </c>
      <c r="R269" s="179">
        <f t="shared" si="81"/>
        <v>0.78625467795922832</v>
      </c>
      <c r="S269" s="839">
        <f t="shared" si="82"/>
        <v>1</v>
      </c>
      <c r="T269" s="178">
        <f t="shared" si="83"/>
        <v>7</v>
      </c>
      <c r="U269" s="253">
        <f t="shared" si="84"/>
        <v>1.7862546779592283</v>
      </c>
      <c r="V269" s="385">
        <f t="shared" si="85"/>
        <v>42.343141162767829</v>
      </c>
      <c r="W269" s="404">
        <f t="shared" si="86"/>
        <v>28.214760268639811</v>
      </c>
      <c r="X269" s="157">
        <f t="shared" si="87"/>
        <v>45546</v>
      </c>
      <c r="Y269" s="387">
        <f t="shared" si="88"/>
        <v>25.734527890116929</v>
      </c>
      <c r="Z269" s="387">
        <f t="shared" si="89"/>
        <v>27.10719971525738</v>
      </c>
      <c r="AA269" s="388">
        <f t="shared" si="90"/>
        <v>31.357975999742408</v>
      </c>
      <c r="AB269" s="199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0.13555646207905586</v>
      </c>
      <c r="AD269" s="233">
        <f>(INDEX(Models!$BJ269:$BT269,,AH269)*(1-AF269)+INDEX(Models!$BJ269:$BT269,,AH269+1)*AF269-ERP_i)*AE269*Ramure*Pc/MaxiM</f>
        <v>1.465621152388152E-2</v>
      </c>
      <c r="AE269" s="307">
        <f t="shared" si="92"/>
        <v>0.9</v>
      </c>
      <c r="AF269" s="179">
        <f t="shared" si="93"/>
        <v>0.78625467795922832</v>
      </c>
      <c r="AG269" s="839">
        <f t="shared" si="99"/>
        <v>1</v>
      </c>
      <c r="AH269" s="178">
        <f t="shared" si="94"/>
        <v>7</v>
      </c>
      <c r="AI269" s="227">
        <f t="shared" si="95"/>
        <v>1.7862546779592283</v>
      </c>
      <c r="AJ269" s="267" t="b">
        <f t="shared" si="96"/>
        <v>0</v>
      </c>
      <c r="AK269" s="267" t="b">
        <f t="shared" si="97"/>
        <v>0</v>
      </c>
      <c r="AL269" s="267"/>
      <c r="AM269" s="267"/>
      <c r="AN269" s="75"/>
    </row>
    <row r="270" spans="1:40" s="6" customFormat="1" ht="11.25" x14ac:dyDescent="0.2">
      <c r="A270" s="56">
        <f t="shared" si="98"/>
        <v>45547</v>
      </c>
      <c r="B270" s="413">
        <f>'2023'!Wh/'2023'!Env_an*'2024'!Env_an</f>
        <v>11.712673537452597</v>
      </c>
      <c r="C270" s="868"/>
      <c r="D270" s="395">
        <f t="shared" si="77"/>
        <v>12.337711068343076</v>
      </c>
      <c r="E270" s="387">
        <f t="shared" si="100"/>
        <v>13.020371133240637</v>
      </c>
      <c r="F270" s="387">
        <f t="shared" si="78"/>
        <v>13.020371133240637</v>
      </c>
      <c r="G270" s="110">
        <f t="shared" si="101"/>
        <v>0.27498838091427658</v>
      </c>
      <c r="H270" s="416" t="b">
        <f>Wh_hp&gt;='2023'!Maxi_hp</f>
        <v>0</v>
      </c>
      <c r="I270" s="392">
        <f>IF(H270,Wh_hp,'2023'!Maxi_hp)</f>
        <v>44.152198897789638</v>
      </c>
      <c r="J270" s="85">
        <f>IF(H270,An,'2023'!An_max)</f>
        <v>2020</v>
      </c>
      <c r="K270" s="199">
        <f t="shared" si="79"/>
        <v>45547</v>
      </c>
      <c r="L270" s="147">
        <f>IF(t&lt;Tvie,1-EXP((T0-t)*PertePVj)+'2023'!Pspv,1-EXP((T0-t)*PertePVj)+Pspv)</f>
        <v>5.0660736617040847E-2</v>
      </c>
      <c r="M270" s="872"/>
      <c r="N270" s="872"/>
      <c r="O270" s="48">
        <f>IF(t&lt;Tnet,'2023'!Resal+('2023'!Salim-'2023'!Resal)*(1-EXP(('2023'!Tnet-t)/('2023'!Tau_j))),Resal+(Salim-Resal)*(1-EXP((Tnet-t)/(Tau_j))))*Salcycl</f>
        <v>5.2430154095588738E-2</v>
      </c>
      <c r="P270" s="171">
        <f>(INDEX(Models!$BJ270:$BT270,,T270)*(1-R270)+INDEX(Models!$BJ270:$BT270,,T270+1)*R270-ERP_i)*Q270*Ramure*Pc/MaxiM</f>
        <v>1.491607756964472E-2</v>
      </c>
      <c r="Q270" s="307">
        <f t="shared" si="80"/>
        <v>0.9</v>
      </c>
      <c r="R270" s="179">
        <f t="shared" si="81"/>
        <v>0.78682401571872229</v>
      </c>
      <c r="S270" s="839">
        <f t="shared" si="82"/>
        <v>1</v>
      </c>
      <c r="T270" s="178">
        <f t="shared" si="83"/>
        <v>7</v>
      </c>
      <c r="U270" s="253">
        <f t="shared" si="84"/>
        <v>1.7868240157187223</v>
      </c>
      <c r="V270" s="385">
        <f t="shared" si="85"/>
        <v>41.958014197031893</v>
      </c>
      <c r="W270" s="404">
        <f t="shared" si="86"/>
        <v>11.712673537452597</v>
      </c>
      <c r="X270" s="157">
        <f t="shared" si="87"/>
        <v>45547</v>
      </c>
      <c r="Y270" s="387">
        <f t="shared" si="88"/>
        <v>10.68424087465743</v>
      </c>
      <c r="Z270" s="387">
        <f t="shared" si="89"/>
        <v>11.254396912421241</v>
      </c>
      <c r="AA270" s="388">
        <f t="shared" si="90"/>
        <v>13.020371133240637</v>
      </c>
      <c r="AB270" s="199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0.13563163467060585</v>
      </c>
      <c r="AD270" s="233">
        <f>(INDEX(Models!$BJ270:$BT270,,AH270)*(1-AF270)+INDEX(Models!$BJ270:$BT270,,AH270+1)*AF270-ERP_i)*AE270*Ramure*Pc/MaxiM</f>
        <v>1.491607756964472E-2</v>
      </c>
      <c r="AE270" s="307">
        <f t="shared" si="92"/>
        <v>0.9</v>
      </c>
      <c r="AF270" s="179">
        <f t="shared" si="93"/>
        <v>0.78682401571872229</v>
      </c>
      <c r="AG270" s="839">
        <f t="shared" si="99"/>
        <v>1</v>
      </c>
      <c r="AH270" s="178">
        <f t="shared" si="94"/>
        <v>7</v>
      </c>
      <c r="AI270" s="227">
        <f t="shared" si="95"/>
        <v>1.7868240157187223</v>
      </c>
      <c r="AJ270" s="267" t="b">
        <f t="shared" si="96"/>
        <v>0</v>
      </c>
      <c r="AK270" s="267" t="b">
        <f t="shared" si="97"/>
        <v>0</v>
      </c>
      <c r="AL270" s="267"/>
      <c r="AM270" s="267"/>
      <c r="AN270" s="75"/>
    </row>
    <row r="271" spans="1:40" s="6" customFormat="1" ht="11.25" x14ac:dyDescent="0.2">
      <c r="A271" s="56">
        <f t="shared" si="98"/>
        <v>45548</v>
      </c>
      <c r="B271" s="413">
        <f>'2023'!Wh/'2023'!Env_an*'2024'!Env_an</f>
        <v>34.239886005047104</v>
      </c>
      <c r="C271" s="868"/>
      <c r="D271" s="395">
        <f t="shared" ref="D271:D334" si="102">Wh/(1-Ppv)</f>
        <v>36.067909709899538</v>
      </c>
      <c r="E271" s="387">
        <f t="shared" si="100"/>
        <v>38.071055566734401</v>
      </c>
      <c r="F271" s="387">
        <f t="shared" ref="F271:F334" si="103">Wh_sa/(1-Pvg*MEDIAN((-Sdif+Wh/Env_an)/Csdif,0,1))</f>
        <v>38.508741510740592</v>
      </c>
      <c r="G271" s="110">
        <f t="shared" si="101"/>
        <v>0.82049560052593307</v>
      </c>
      <c r="H271" s="416" t="b">
        <f>Wh_hp&gt;='2023'!Maxi_hp</f>
        <v>0</v>
      </c>
      <c r="I271" s="392">
        <f>IF(H271,Wh_hp,'2023'!Maxi_hp)</f>
        <v>43.575578607161226</v>
      </c>
      <c r="J271" s="85">
        <f>IF(H271,An,'2023'!An_max)</f>
        <v>2020</v>
      </c>
      <c r="K271" s="199">
        <f t="shared" ref="K271:K334" si="104">t</f>
        <v>45548</v>
      </c>
      <c r="L271" s="147">
        <f>IF(t&lt;Tvie,1-EXP((T0-t)*PertePVj)+'2023'!Pspv,1-EXP((T0-t)*PertePVj)+Pspv)</f>
        <v>5.0682829128595119E-2</v>
      </c>
      <c r="M271" s="872"/>
      <c r="N271" s="872"/>
      <c r="O271" s="48">
        <f>IF(t&lt;Tnet,'2023'!Resal+('2023'!Salim-'2023'!Resal)*(1-EXP(('2023'!Tnet-t)/('2023'!Tau_j))),Resal+(Salim-Resal)*(1-EXP((Tnet-t)/(Tau_j))))*Salcycl</f>
        <v>5.2615978911421696E-2</v>
      </c>
      <c r="P271" s="171">
        <f>(INDEX(Models!$BJ271:$BT271,,T271)*(1-R271)+INDEX(Models!$BJ271:$BT271,,T271+1)*R271-ERP_i)*Q271*Ramure*Pc/MaxiM</f>
        <v>1.5192601272262329E-2</v>
      </c>
      <c r="Q271" s="307">
        <f t="shared" ref="Q271:Q334" si="105">IF(OR(t&lt;Ttai,Notai),Dd+PousD*Croivg,Dens+PousD*(Croivg-Croi_tai))</f>
        <v>0.9</v>
      </c>
      <c r="R271" s="179">
        <f t="shared" ref="R271:R334" si="106">(Hp_vg-S271)/(INDEX(Echel_vg,T271+1)-S271)</f>
        <v>0.78737131870493204</v>
      </c>
      <c r="S271" s="839">
        <f t="shared" ref="S271:S334" si="107">INDEX(Echel_vg,T271)</f>
        <v>1</v>
      </c>
      <c r="T271" s="178">
        <f t="shared" ref="T271:T334" si="108">MIN(MATCH(Hp_vg,Echel_vg),10)</f>
        <v>7</v>
      </c>
      <c r="U271" s="253">
        <f t="shared" ref="U271:U334" si="109">IF(OR(t&lt;Ttai,Notai),Hdd+PousH*Croivg,Hdtf+PousH*(Croivg-Croi_tai))</f>
        <v>1.787371318704932</v>
      </c>
      <c r="V271" s="385">
        <f t="shared" ref="V271:V334" si="110">MaxiM*(1-Ppv)*(1-Pvg)*(1-Psa)</f>
        <v>41.569209289885116</v>
      </c>
      <c r="W271" s="404">
        <f t="shared" ref="W271:W334" si="111">Wh*(A271&gt;Tmaj)</f>
        <v>34.239886005047104</v>
      </c>
      <c r="X271" s="157">
        <f t="shared" ref="X271:X334" si="112">t</f>
        <v>45548</v>
      </c>
      <c r="Y271" s="387">
        <f t="shared" ref="Y271:Y334" si="113">Wh_pvt_s*(1-Ppv)</f>
        <v>31.236916350312374</v>
      </c>
      <c r="Z271" s="387">
        <f t="shared" ref="Z271:Z334" si="114">Wh_sa_s*(1-Psa_s)</f>
        <v>32.904615347512497</v>
      </c>
      <c r="AA271" s="388">
        <f t="shared" ref="AA271:AA334" si="115">Wh_hp*(1-Pvg_s*MEDIAN((-Sdif+Wh/Env_an)/Csdif,0,1))</f>
        <v>38.071055566734401</v>
      </c>
      <c r="AB271" s="199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0.13570520024499183</v>
      </c>
      <c r="AD271" s="233">
        <f>(INDEX(Models!$BJ271:$BT271,,AH271)*(1-AF271)+INDEX(Models!$BJ271:$BT271,,AH271+1)*AF271-ERP_i)*AE271*Ramure*Pc/MaxiM</f>
        <v>1.5192601272262329E-2</v>
      </c>
      <c r="AE271" s="307">
        <f t="shared" ref="AE271:AE334" si="117">IF(OR(t&lt;Ttai,Notai),Dd_s+PousD*Croivg,Dens_s+PousD*(Croivg-Croi_tai))</f>
        <v>0.9</v>
      </c>
      <c r="AF271" s="179">
        <f t="shared" ref="AF271:AF334" si="118">(Hp_vg_s-AG271)/(INDEX(Echel_vg,AH271+1)-AG271)</f>
        <v>0.78737131870493204</v>
      </c>
      <c r="AG271" s="839">
        <f t="shared" si="99"/>
        <v>1</v>
      </c>
      <c r="AH271" s="178">
        <f t="shared" ref="AH271:AH334" si="119">MIN(MATCH(Hp_vg_s,Echel_vg),10)</f>
        <v>7</v>
      </c>
      <c r="AI271" s="227">
        <f t="shared" ref="AI271:AI334" si="120">IF(OR(t&lt;Ttai,Notai),Hdd_s+PousH*Croivg,Hdtai_s+PousH*(Croivg-Croi_tai))</f>
        <v>1.787371318704932</v>
      </c>
      <c r="AJ271" s="267" t="b">
        <f t="shared" ref="AJ271:AJ334" si="121">t&lt;Tnet</f>
        <v>0</v>
      </c>
      <c r="AK271" s="267" t="b">
        <f t="shared" ref="AK271:AK334" si="122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23">A271+1</f>
        <v>45549</v>
      </c>
      <c r="B272" s="413">
        <f>'2023'!Wh/'2023'!Env_an*'2024'!Env_an</f>
        <v>37.358111211998512</v>
      </c>
      <c r="C272" s="868"/>
      <c r="D272" s="395">
        <f t="shared" si="102"/>
        <v>39.353528785076549</v>
      </c>
      <c r="E272" s="387">
        <f t="shared" si="100"/>
        <v>41.547261763924631</v>
      </c>
      <c r="F272" s="387">
        <f t="shared" si="103"/>
        <v>42.113019911289513</v>
      </c>
      <c r="G272" s="110">
        <f t="shared" si="101"/>
        <v>0.90536475450259157</v>
      </c>
      <c r="H272" s="416" t="b">
        <f>Wh_hp&gt;='2023'!Maxi_hp</f>
        <v>0</v>
      </c>
      <c r="I272" s="392">
        <f>IF(H272,Wh_hp,'2023'!Maxi_hp)</f>
        <v>44.117844760090314</v>
      </c>
      <c r="J272" s="85">
        <f>IF(H272,An,'2023'!An_max)</f>
        <v>2020</v>
      </c>
      <c r="K272" s="199">
        <f t="shared" si="104"/>
        <v>45549</v>
      </c>
      <c r="L272" s="147">
        <f>IF(t&lt;Tvie,1-EXP((T0-t)*PertePVj)+'2023'!Pspv,1-EXP((T0-t)*PertePVj)+Pspv)</f>
        <v>5.0704921126024427E-2</v>
      </c>
      <c r="M272" s="872"/>
      <c r="N272" s="872"/>
      <c r="O272" s="48">
        <f>IF(t&lt;Tnet,'2023'!Resal+('2023'!Salim-'2023'!Resal)*(1-EXP(('2023'!Tnet-t)/('2023'!Tau_j))),Resal+(Salim-Resal)*(1-EXP((Tnet-t)/(Tau_j))))*Salcycl</f>
        <v>5.2800903975647781E-2</v>
      </c>
      <c r="P272" s="171">
        <f>(INDEX(Models!$BJ272:$BT272,,T272)*(1-R272)+INDEX(Models!$BJ272:$BT272,,T272+1)*R272-ERP_i)*Q272*Ramure*Pc/MaxiM</f>
        <v>1.5486160284933343E-2</v>
      </c>
      <c r="Q272" s="307">
        <f t="shared" si="105"/>
        <v>0.9</v>
      </c>
      <c r="R272" s="179">
        <f t="shared" si="106"/>
        <v>0.78789740595878932</v>
      </c>
      <c r="S272" s="839">
        <f t="shared" si="107"/>
        <v>1</v>
      </c>
      <c r="T272" s="178">
        <f t="shared" si="108"/>
        <v>7</v>
      </c>
      <c r="U272" s="253">
        <f t="shared" si="109"/>
        <v>1.7878974059587893</v>
      </c>
      <c r="V272" s="385">
        <f t="shared" si="110"/>
        <v>41.177230367036053</v>
      </c>
      <c r="W272" s="404">
        <f t="shared" si="111"/>
        <v>37.358111211998512</v>
      </c>
      <c r="X272" s="157">
        <f t="shared" si="112"/>
        <v>45549</v>
      </c>
      <c r="Y272" s="387">
        <f t="shared" si="113"/>
        <v>34.08547932753131</v>
      </c>
      <c r="Z272" s="387">
        <f t="shared" si="114"/>
        <v>35.906095044717233</v>
      </c>
      <c r="AA272" s="388">
        <f t="shared" si="115"/>
        <v>41.547261763924631</v>
      </c>
      <c r="AB272" s="199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0.13577710009533309</v>
      </c>
      <c r="AD272" s="233">
        <f>(INDEX(Models!$BJ272:$BT272,,AH272)*(1-AF272)+INDEX(Models!$BJ272:$BT272,,AH272+1)*AF272-ERP_i)*AE272*Ramure*Pc/MaxiM</f>
        <v>1.5486160284933343E-2</v>
      </c>
      <c r="AE272" s="307">
        <f t="shared" si="117"/>
        <v>0.9</v>
      </c>
      <c r="AF272" s="179">
        <f t="shared" si="118"/>
        <v>0.78789740595878932</v>
      </c>
      <c r="AG272" s="839">
        <f t="shared" ref="AG272:AG335" si="124">INDEX(Echel_vg,AH272)</f>
        <v>1</v>
      </c>
      <c r="AH272" s="178">
        <f t="shared" si="119"/>
        <v>7</v>
      </c>
      <c r="AI272" s="227">
        <f t="shared" si="120"/>
        <v>1.7878974059587893</v>
      </c>
      <c r="AJ272" s="267" t="b">
        <f t="shared" si="121"/>
        <v>0</v>
      </c>
      <c r="AK272" s="267" t="b">
        <f t="shared" si="122"/>
        <v>0</v>
      </c>
      <c r="AL272" s="267"/>
      <c r="AM272" s="267"/>
      <c r="AN272" s="75"/>
    </row>
    <row r="273" spans="1:40" s="6" customFormat="1" ht="11.25" x14ac:dyDescent="0.2">
      <c r="A273" s="56">
        <f t="shared" si="123"/>
        <v>45550</v>
      </c>
      <c r="B273" s="413">
        <f>'2023'!Wh/'2023'!Env_an*'2024'!Env_an</f>
        <v>25.78004022836345</v>
      </c>
      <c r="C273" s="868"/>
      <c r="D273" s="395">
        <f t="shared" si="102"/>
        <v>27.157667573820952</v>
      </c>
      <c r="E273" s="387">
        <f t="shared" si="100"/>
        <v>28.677122042129646</v>
      </c>
      <c r="F273" s="387">
        <f t="shared" si="103"/>
        <v>28.893690999946294</v>
      </c>
      <c r="G273" s="110">
        <f t="shared" si="101"/>
        <v>0.62684615580961378</v>
      </c>
      <c r="H273" s="416" t="b">
        <f>Wh_hp&gt;='2023'!Maxi_hp</f>
        <v>0</v>
      </c>
      <c r="I273" s="392">
        <f>IF(H273,Wh_hp,'2023'!Maxi_hp)</f>
        <v>41.206187812934779</v>
      </c>
      <c r="J273" s="85">
        <f>IF(H273,An,'2023'!An_max)</f>
        <v>2019</v>
      </c>
      <c r="K273" s="199">
        <f t="shared" si="104"/>
        <v>45550</v>
      </c>
      <c r="L273" s="147">
        <f>IF(t&lt;Tvie,1-EXP((T0-t)*PertePVj)+'2023'!Pspv,1-EXP((T0-t)*PertePVj)+Pspv)</f>
        <v>5.072701260934076E-2</v>
      </c>
      <c r="M273" s="872"/>
      <c r="N273" s="872"/>
      <c r="O273" s="48">
        <f>IF(t&lt;Tnet,'2023'!Resal+('2023'!Salim-'2023'!Resal)*(1-EXP(('2023'!Tnet-t)/('2023'!Tau_j))),Resal+(Salim-Resal)*(1-EXP((Tnet-t)/(Tau_j))))*Salcycl</f>
        <v>5.2984900858477332E-2</v>
      </c>
      <c r="P273" s="171">
        <f>(INDEX(Models!$BJ273:$BT273,,T273)*(1-R273)+INDEX(Models!$BJ273:$BT273,,T273+1)*R273-ERP_i)*Q273*Ramure*Pc/MaxiM</f>
        <v>1.5797137334814044E-2</v>
      </c>
      <c r="Q273" s="307">
        <f t="shared" si="105"/>
        <v>0.9</v>
      </c>
      <c r="R273" s="179">
        <f t="shared" si="106"/>
        <v>0.78840306869944321</v>
      </c>
      <c r="S273" s="839">
        <f t="shared" si="107"/>
        <v>1</v>
      </c>
      <c r="T273" s="178">
        <f t="shared" si="108"/>
        <v>7</v>
      </c>
      <c r="U273" s="253">
        <f t="shared" si="109"/>
        <v>1.7884030686994432</v>
      </c>
      <c r="V273" s="385">
        <f t="shared" si="110"/>
        <v>40.782580973092706</v>
      </c>
      <c r="W273" s="404">
        <f t="shared" si="111"/>
        <v>25.78004022836345</v>
      </c>
      <c r="X273" s="157">
        <f t="shared" si="112"/>
        <v>45550</v>
      </c>
      <c r="Y273" s="387">
        <f t="shared" si="113"/>
        <v>23.524326134045268</v>
      </c>
      <c r="Z273" s="387">
        <f t="shared" si="114"/>
        <v>24.781413193593995</v>
      </c>
      <c r="AA273" s="388">
        <f t="shared" si="115"/>
        <v>28.677122042129646</v>
      </c>
      <c r="AB273" s="199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0.13584727375405573</v>
      </c>
      <c r="AD273" s="233">
        <f>(INDEX(Models!$BJ273:$BT273,,AH273)*(1-AF273)+INDEX(Models!$BJ273:$BT273,,AH273+1)*AF273-ERP_i)*AE273*Ramure*Pc/MaxiM</f>
        <v>1.5797137334814044E-2</v>
      </c>
      <c r="AE273" s="307">
        <f t="shared" si="117"/>
        <v>0.9</v>
      </c>
      <c r="AF273" s="179">
        <f t="shared" si="118"/>
        <v>0.78840306869944321</v>
      </c>
      <c r="AG273" s="839">
        <f t="shared" si="124"/>
        <v>1</v>
      </c>
      <c r="AH273" s="178">
        <f t="shared" si="119"/>
        <v>7</v>
      </c>
      <c r="AI273" s="227">
        <f t="shared" si="120"/>
        <v>1.7884030686994432</v>
      </c>
      <c r="AJ273" s="267" t="b">
        <f t="shared" si="121"/>
        <v>0</v>
      </c>
      <c r="AK273" s="267" t="b">
        <f t="shared" si="122"/>
        <v>0</v>
      </c>
      <c r="AL273" s="267"/>
      <c r="AM273" s="267"/>
      <c r="AN273" s="75"/>
    </row>
    <row r="274" spans="1:40" s="6" customFormat="1" ht="11.25" x14ac:dyDescent="0.2">
      <c r="A274" s="56">
        <f t="shared" si="123"/>
        <v>45551</v>
      </c>
      <c r="B274" s="413">
        <f>'2023'!Wh/'2023'!Env_an*'2024'!Env_an</f>
        <v>40.461698975007998</v>
      </c>
      <c r="C274" s="868"/>
      <c r="D274" s="395">
        <f t="shared" si="102"/>
        <v>42.624873073645219</v>
      </c>
      <c r="E274" s="387">
        <f t="shared" si="100"/>
        <v>45.018409161650283</v>
      </c>
      <c r="F274" s="387">
        <f t="shared" si="103"/>
        <v>45.756271072960011</v>
      </c>
      <c r="G274" s="110">
        <f t="shared" si="101"/>
        <v>1.0018802347220361</v>
      </c>
      <c r="H274" s="416" t="b">
        <f>Wh_hp&gt;='2023'!Maxi_hp</f>
        <v>1</v>
      </c>
      <c r="I274" s="392">
        <f>IF(H274,Wh_hp,'2023'!Maxi_hp)</f>
        <v>45.756271072960011</v>
      </c>
      <c r="J274" s="85">
        <f>IF(H274,An,'2023'!An_max)</f>
        <v>2024</v>
      </c>
      <c r="K274" s="199">
        <f t="shared" si="104"/>
        <v>45551</v>
      </c>
      <c r="L274" s="147">
        <f>IF(t&lt;Tvie,1-EXP((T0-t)*PertePVj)+'2023'!Pspv,1-EXP((T0-t)*PertePVj)+Pspv)</f>
        <v>5.0749103578555887E-2</v>
      </c>
      <c r="M274" s="872"/>
      <c r="N274" s="872"/>
      <c r="O274" s="48">
        <f>IF(t&lt;Tnet,'2023'!Resal+('2023'!Salim-'2023'!Resal)*(1-EXP(('2023'!Tnet-t)/('2023'!Tau_j))),Resal+(Salim-Resal)*(1-EXP((Tnet-t)/(Tau_j))))*Salcycl</f>
        <v>5.3167940239968334E-2</v>
      </c>
      <c r="P274" s="171">
        <f>(INDEX(Models!$BJ274:$BT274,,T274)*(1-R274)+INDEX(Models!$BJ274:$BT274,,T274+1)*R274-ERP_i)*Q274*Ramure*Pc/MaxiM</f>
        <v>1.612591878680817E-2</v>
      </c>
      <c r="Q274" s="307">
        <f t="shared" si="105"/>
        <v>0.9</v>
      </c>
      <c r="R274" s="179">
        <f t="shared" si="106"/>
        <v>0.78888907106258088</v>
      </c>
      <c r="S274" s="839">
        <f t="shared" si="107"/>
        <v>1</v>
      </c>
      <c r="T274" s="178">
        <f t="shared" si="108"/>
        <v>7</v>
      </c>
      <c r="U274" s="253">
        <f t="shared" si="109"/>
        <v>1.7888890710625809</v>
      </c>
      <c r="V274" s="385">
        <f t="shared" si="110"/>
        <v>40.385764258772682</v>
      </c>
      <c r="W274" s="404">
        <f t="shared" si="111"/>
        <v>40.461698975007998</v>
      </c>
      <c r="X274" s="157">
        <f t="shared" si="112"/>
        <v>45551</v>
      </c>
      <c r="Y274" s="387">
        <f t="shared" si="113"/>
        <v>36.925577381139291</v>
      </c>
      <c r="Z274" s="387">
        <f t="shared" si="114"/>
        <v>38.899702407808149</v>
      </c>
      <c r="AA274" s="388">
        <f t="shared" si="115"/>
        <v>45.018409161650283</v>
      </c>
      <c r="AB274" s="199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0.13591565912227876</v>
      </c>
      <c r="AD274" s="233">
        <f>(INDEX(Models!$BJ274:$BT274,,AH274)*(1-AF274)+INDEX(Models!$BJ274:$BT274,,AH274+1)*AF274-ERP_i)*AE274*Ramure*Pc/MaxiM</f>
        <v>1.612591878680817E-2</v>
      </c>
      <c r="AE274" s="307">
        <f t="shared" si="117"/>
        <v>0.9</v>
      </c>
      <c r="AF274" s="179">
        <f t="shared" si="118"/>
        <v>0.78888907106258088</v>
      </c>
      <c r="AG274" s="839">
        <f t="shared" si="124"/>
        <v>1</v>
      </c>
      <c r="AH274" s="178">
        <f t="shared" si="119"/>
        <v>7</v>
      </c>
      <c r="AI274" s="227">
        <f t="shared" si="120"/>
        <v>1.7888890710625809</v>
      </c>
      <c r="AJ274" s="267" t="b">
        <f t="shared" si="121"/>
        <v>0</v>
      </c>
      <c r="AK274" s="267" t="b">
        <f t="shared" si="122"/>
        <v>0</v>
      </c>
      <c r="AL274" s="267"/>
      <c r="AM274" s="267"/>
      <c r="AN274" s="75"/>
    </row>
    <row r="275" spans="1:40" s="6" customFormat="1" ht="11.25" x14ac:dyDescent="0.2">
      <c r="A275" s="56">
        <f t="shared" si="123"/>
        <v>45552</v>
      </c>
      <c r="B275" s="413">
        <f>'2023'!Wh/'2023'!Env_an*'2024'!Env_an</f>
        <v>40.770265376261499</v>
      </c>
      <c r="C275" s="868"/>
      <c r="D275" s="395">
        <f t="shared" si="102"/>
        <v>42.950935664828705</v>
      </c>
      <c r="E275" s="387">
        <f t="shared" si="100"/>
        <v>45.37150509724303</v>
      </c>
      <c r="F275" s="387">
        <f t="shared" si="103"/>
        <v>46.131484277355959</v>
      </c>
      <c r="G275" s="110">
        <f t="shared" si="101"/>
        <v>1.0196628736548776</v>
      </c>
      <c r="H275" s="416" t="b">
        <f>Wh_hp&gt;='2023'!Maxi_hp</f>
        <v>1</v>
      </c>
      <c r="I275" s="392">
        <f>IF(H275,Wh_hp,'2023'!Maxi_hp)</f>
        <v>46.131484277355959</v>
      </c>
      <c r="J275" s="85">
        <f>IF(H275,An,'2023'!An_max)</f>
        <v>2024</v>
      </c>
      <c r="K275" s="199">
        <f t="shared" si="104"/>
        <v>45552</v>
      </c>
      <c r="L275" s="147">
        <f>IF(t&lt;Tvie,1-EXP((T0-t)*PertePVj)+'2023'!Pspv,1-EXP((T0-t)*PertePVj)+Pspv)</f>
        <v>5.077119403368191E-2</v>
      </c>
      <c r="M275" s="872"/>
      <c r="N275" s="872"/>
      <c r="O275" s="48">
        <f>IF(t&lt;Tnet,'2023'!Resal+('2023'!Salim-'2023'!Resal)*(1-EXP(('2023'!Tnet-t)/('2023'!Tau_j))),Resal+(Salim-Resal)*(1-EXP((Tnet-t)/(Tau_j))))*Salcycl</f>
        <v>5.3349991965803492E-2</v>
      </c>
      <c r="P275" s="171">
        <f>(INDEX(Models!$BJ275:$BT275,,T275)*(1-R275)+INDEX(Models!$BJ275:$BT275,,T275+1)*R275-ERP_i)*Q275*Ramure*Pc/MaxiM</f>
        <v>1.6474197438428682E-2</v>
      </c>
      <c r="Q275" s="307">
        <f t="shared" si="105"/>
        <v>0.9</v>
      </c>
      <c r="R275" s="179">
        <f t="shared" si="106"/>
        <v>0.78935615083638178</v>
      </c>
      <c r="S275" s="839">
        <f t="shared" si="107"/>
        <v>1</v>
      </c>
      <c r="T275" s="178">
        <f t="shared" si="108"/>
        <v>7</v>
      </c>
      <c r="U275" s="253">
        <f t="shared" si="109"/>
        <v>1.7893561508363818</v>
      </c>
      <c r="V275" s="385">
        <f t="shared" si="110"/>
        <v>39.984063781909242</v>
      </c>
      <c r="W275" s="404">
        <f t="shared" si="111"/>
        <v>40.770265376261499</v>
      </c>
      <c r="X275" s="157">
        <f t="shared" si="112"/>
        <v>45552</v>
      </c>
      <c r="Y275" s="387">
        <f t="shared" si="113"/>
        <v>37.211466748285439</v>
      </c>
      <c r="Z275" s="387">
        <f t="shared" si="114"/>
        <v>39.201788351127881</v>
      </c>
      <c r="AA275" s="388">
        <f t="shared" si="115"/>
        <v>45.37150509724303</v>
      </c>
      <c r="AB275" s="199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0.13598219263151673</v>
      </c>
      <c r="AD275" s="233">
        <f>(INDEX(Models!$BJ275:$BT275,,AH275)*(1-AF275)+INDEX(Models!$BJ275:$BT275,,AH275+1)*AF275-ERP_i)*AE275*Ramure*Pc/MaxiM</f>
        <v>1.6474197438428682E-2</v>
      </c>
      <c r="AE275" s="307">
        <f t="shared" si="117"/>
        <v>0.9</v>
      </c>
      <c r="AF275" s="179">
        <f t="shared" si="118"/>
        <v>0.78935615083638178</v>
      </c>
      <c r="AG275" s="839">
        <f t="shared" si="124"/>
        <v>1</v>
      </c>
      <c r="AH275" s="178">
        <f t="shared" si="119"/>
        <v>7</v>
      </c>
      <c r="AI275" s="227">
        <f t="shared" si="120"/>
        <v>1.7893561508363818</v>
      </c>
      <c r="AJ275" s="267" t="b">
        <f t="shared" si="121"/>
        <v>0</v>
      </c>
      <c r="AK275" s="267" t="b">
        <f t="shared" si="122"/>
        <v>0</v>
      </c>
      <c r="AL275" s="267"/>
      <c r="AM275" s="267"/>
      <c r="AN275" s="75"/>
    </row>
    <row r="276" spans="1:40" s="6" customFormat="1" ht="11.25" x14ac:dyDescent="0.2">
      <c r="A276" s="56">
        <f t="shared" si="123"/>
        <v>45553</v>
      </c>
      <c r="B276" s="413">
        <f>'2023'!Wh/'2023'!Env_an*'2024'!Env_an</f>
        <v>39.081065084677483</v>
      </c>
      <c r="C276" s="868"/>
      <c r="D276" s="395">
        <f t="shared" si="102"/>
        <v>41.17234362639833</v>
      </c>
      <c r="E276" s="387">
        <f t="shared" si="100"/>
        <v>43.500996566211562</v>
      </c>
      <c r="F276" s="387">
        <f t="shared" si="103"/>
        <v>44.234229592026431</v>
      </c>
      <c r="G276" s="110">
        <f t="shared" si="101"/>
        <v>0.9872494861916894</v>
      </c>
      <c r="H276" s="416" t="b">
        <f>Wh_hp&gt;='2023'!Maxi_hp</f>
        <v>0</v>
      </c>
      <c r="I276" s="392">
        <f>IF(H276,Wh_hp,'2023'!Maxi_hp)</f>
        <v>44.239894934132181</v>
      </c>
      <c r="J276" s="85">
        <f>IF(H276,An,'2023'!An_max)</f>
        <v>2022</v>
      </c>
      <c r="K276" s="199">
        <f t="shared" si="104"/>
        <v>45553</v>
      </c>
      <c r="L276" s="147">
        <f>IF(t&lt;Tvie,1-EXP((T0-t)*PertePVj)+'2023'!Pspv,1-EXP((T0-t)*PertePVj)+Pspv)</f>
        <v>5.0793283974730818E-2</v>
      </c>
      <c r="M276" s="872"/>
      <c r="N276" s="872"/>
      <c r="O276" s="48">
        <f>IF(t&lt;Tnet,'2023'!Resal+('2023'!Salim-'2023'!Resal)*(1-EXP(('2023'!Tnet-t)/('2023'!Tau_j))),Resal+(Salim-Resal)*(1-EXP((Tnet-t)/(Tau_j))))*Salcycl</f>
        <v>5.3531025117294948E-2</v>
      </c>
      <c r="P276" s="171">
        <f>(INDEX(Models!$BJ276:$BT276,,T276)*(1-R276)+INDEX(Models!$BJ276:$BT276,,T276+1)*R276-ERP_i)*Q276*Ramure*Pc/MaxiM</f>
        <v>1.6876280966951335E-2</v>
      </c>
      <c r="Q276" s="307">
        <f t="shared" si="105"/>
        <v>0.9</v>
      </c>
      <c r="R276" s="179">
        <f t="shared" si="106"/>
        <v>0.7898050201933482</v>
      </c>
      <c r="S276" s="839">
        <f t="shared" si="107"/>
        <v>1</v>
      </c>
      <c r="T276" s="178">
        <f t="shared" si="108"/>
        <v>7</v>
      </c>
      <c r="U276" s="253">
        <f t="shared" si="109"/>
        <v>1.7898050201933482</v>
      </c>
      <c r="V276" s="385">
        <f t="shared" si="110"/>
        <v>39.573723064315018</v>
      </c>
      <c r="W276" s="404">
        <f t="shared" si="111"/>
        <v>39.081065084677483</v>
      </c>
      <c r="X276" s="157">
        <f t="shared" si="112"/>
        <v>45553</v>
      </c>
      <c r="Y276" s="387">
        <f t="shared" si="113"/>
        <v>35.67386968456173</v>
      </c>
      <c r="Z276" s="387">
        <f t="shared" si="114"/>
        <v>37.582824775980662</v>
      </c>
      <c r="AA276" s="388">
        <f t="shared" si="115"/>
        <v>43.500996566211562</v>
      </c>
      <c r="AB276" s="199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0.13604680943856143</v>
      </c>
      <c r="AD276" s="233">
        <f>(INDEX(Models!$BJ276:$BT276,,AH276)*(1-AF276)+INDEX(Models!$BJ276:$BT276,,AH276+1)*AF276-ERP_i)*AE276*Ramure*Pc/MaxiM</f>
        <v>1.6876280966951335E-2</v>
      </c>
      <c r="AE276" s="307">
        <f t="shared" si="117"/>
        <v>0.9</v>
      </c>
      <c r="AF276" s="179">
        <f t="shared" si="118"/>
        <v>0.7898050201933482</v>
      </c>
      <c r="AG276" s="839">
        <f t="shared" si="124"/>
        <v>1</v>
      </c>
      <c r="AH276" s="178">
        <f t="shared" si="119"/>
        <v>7</v>
      </c>
      <c r="AI276" s="227">
        <f t="shared" si="120"/>
        <v>1.7898050201933482</v>
      </c>
      <c r="AJ276" s="267" t="b">
        <f t="shared" si="121"/>
        <v>0</v>
      </c>
      <c r="AK276" s="267" t="b">
        <f t="shared" si="122"/>
        <v>0</v>
      </c>
      <c r="AL276" s="267"/>
      <c r="AM276" s="267"/>
      <c r="AN276" s="75"/>
    </row>
    <row r="277" spans="1:40" s="6" customFormat="1" ht="11.25" x14ac:dyDescent="0.2">
      <c r="A277" s="56">
        <f t="shared" si="123"/>
        <v>45554</v>
      </c>
      <c r="B277" s="413">
        <f>'2023'!Wh/'2023'!Env_an*'2024'!Env_an</f>
        <v>40.050616859982689</v>
      </c>
      <c r="C277" s="868"/>
      <c r="D277" s="395">
        <f t="shared" si="102"/>
        <v>42.194759309911298</v>
      </c>
      <c r="E277" s="387">
        <f t="shared" si="100"/>
        <v>44.589718015228534</v>
      </c>
      <c r="F277" s="387">
        <f t="shared" si="103"/>
        <v>45.37644417312903</v>
      </c>
      <c r="G277" s="110">
        <f t="shared" si="101"/>
        <v>1.0228609327305085</v>
      </c>
      <c r="H277" s="416" t="b">
        <f>Wh_hp&gt;='2023'!Maxi_hp</f>
        <v>1</v>
      </c>
      <c r="I277" s="392">
        <f>IF(H277,Wh_hp,'2023'!Maxi_hp)</f>
        <v>45.37644417312903</v>
      </c>
      <c r="J277" s="85">
        <f>IF(H277,An,'2023'!An_max)</f>
        <v>2024</v>
      </c>
      <c r="K277" s="199">
        <f t="shared" si="104"/>
        <v>45554</v>
      </c>
      <c r="L277" s="147">
        <f>IF(t&lt;Tvie,1-EXP((T0-t)*PertePVj)+'2023'!Pspv,1-EXP((T0-t)*PertePVj)+Pspv)</f>
        <v>5.0815373401714492E-2</v>
      </c>
      <c r="M277" s="872"/>
      <c r="N277" s="872"/>
      <c r="O277" s="48">
        <f>IF(t&lt;Tnet,'2023'!Resal+('2023'!Salim-'2023'!Resal)*(1-EXP(('2023'!Tnet-t)/('2023'!Tau_j))),Resal+(Salim-Resal)*(1-EXP((Tnet-t)/(Tau_j))))*Salcycl</f>
        <v>5.371100809606591E-2</v>
      </c>
      <c r="P277" s="171">
        <f>(INDEX(Models!$BJ277:$BT277,,T277)*(1-R277)+INDEX(Models!$BJ277:$BT277,,T277+1)*R277-ERP_i)*Q277*Ramure*Pc/MaxiM</f>
        <v>1.7337765711628393E-2</v>
      </c>
      <c r="Q277" s="307">
        <f t="shared" si="105"/>
        <v>0.9</v>
      </c>
      <c r="R277" s="179">
        <f t="shared" si="106"/>
        <v>0.79023636641643047</v>
      </c>
      <c r="S277" s="839">
        <f t="shared" si="107"/>
        <v>1</v>
      </c>
      <c r="T277" s="178">
        <f t="shared" si="108"/>
        <v>7</v>
      </c>
      <c r="U277" s="253">
        <f t="shared" si="109"/>
        <v>1.7902363664164305</v>
      </c>
      <c r="V277" s="385">
        <f t="shared" si="110"/>
        <v>39.155485930104206</v>
      </c>
      <c r="W277" s="404">
        <f t="shared" si="111"/>
        <v>40.050616859982689</v>
      </c>
      <c r="X277" s="157">
        <f t="shared" si="112"/>
        <v>45554</v>
      </c>
      <c r="Y277" s="387">
        <f t="shared" si="113"/>
        <v>36.563195786052113</v>
      </c>
      <c r="Z277" s="387">
        <f t="shared" si="114"/>
        <v>38.520636303485361</v>
      </c>
      <c r="AA277" s="388">
        <f t="shared" si="115"/>
        <v>44.589718015228534</v>
      </c>
      <c r="AB277" s="199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0.13610944365403765</v>
      </c>
      <c r="AD277" s="233">
        <f>(INDEX(Models!$BJ277:$BT277,,AH277)*(1-AF277)+INDEX(Models!$BJ277:$BT277,,AH277+1)*AF277-ERP_i)*AE277*Ramure*Pc/MaxiM</f>
        <v>1.7337765711628393E-2</v>
      </c>
      <c r="AE277" s="307">
        <f t="shared" si="117"/>
        <v>0.9</v>
      </c>
      <c r="AF277" s="179">
        <f t="shared" si="118"/>
        <v>0.79023636641643047</v>
      </c>
      <c r="AG277" s="839">
        <f t="shared" si="124"/>
        <v>1</v>
      </c>
      <c r="AH277" s="178">
        <f t="shared" si="119"/>
        <v>7</v>
      </c>
      <c r="AI277" s="227">
        <f t="shared" si="120"/>
        <v>1.7902363664164305</v>
      </c>
      <c r="AJ277" s="267" t="b">
        <f t="shared" si="121"/>
        <v>0</v>
      </c>
      <c r="AK277" s="267" t="b">
        <f t="shared" si="122"/>
        <v>0</v>
      </c>
      <c r="AL277" s="267"/>
      <c r="AM277" s="267"/>
      <c r="AN277" s="75"/>
    </row>
    <row r="278" spans="1:40" s="6" customFormat="1" ht="11.25" x14ac:dyDescent="0.2">
      <c r="A278" s="56">
        <f t="shared" si="123"/>
        <v>45555</v>
      </c>
      <c r="B278" s="413">
        <f>'2023'!Wh/'2023'!Env_an*'2024'!Env_an</f>
        <v>38.881251585846726</v>
      </c>
      <c r="C278" s="868"/>
      <c r="D278" s="395">
        <f t="shared" si="102"/>
        <v>40.963744397943948</v>
      </c>
      <c r="E278" s="387">
        <f t="shared" si="100"/>
        <v>43.297016674544004</v>
      </c>
      <c r="F278" s="387">
        <f t="shared" si="103"/>
        <v>44.08437994879354</v>
      </c>
      <c r="G278" s="110">
        <f t="shared" si="101"/>
        <v>1.0038985965821807</v>
      </c>
      <c r="H278" s="416" t="b">
        <f>Wh_hp&gt;='2023'!Maxi_hp</f>
        <v>1</v>
      </c>
      <c r="I278" s="392">
        <f>IF(H278,Wh_hp,'2023'!Maxi_hp)</f>
        <v>44.08437994879354</v>
      </c>
      <c r="J278" s="85">
        <f>IF(H278,An,'2023'!An_max)</f>
        <v>2024</v>
      </c>
      <c r="K278" s="199">
        <f t="shared" si="104"/>
        <v>45555</v>
      </c>
      <c r="L278" s="147">
        <f>IF(t&lt;Tvie,1-EXP((T0-t)*PertePVj)+'2023'!Pspv,1-EXP((T0-t)*PertePVj)+Pspv)</f>
        <v>5.0837462314644921E-2</v>
      </c>
      <c r="M278" s="872"/>
      <c r="N278" s="872"/>
      <c r="O278" s="48">
        <f>IF(t&lt;Tnet,'2023'!Resal+('2023'!Salim-'2023'!Resal)*(1-EXP(('2023'!Tnet-t)/('2023'!Tau_j))),Resal+(Salim-Resal)*(1-EXP((Tnet-t)/(Tau_j))))*Salcycl</f>
        <v>5.388990872370833E-2</v>
      </c>
      <c r="P278" s="171">
        <f>(INDEX(Models!$BJ278:$BT278,,T278)*(1-R278)+INDEX(Models!$BJ278:$BT278,,T278+1)*R278-ERP_i)*Q278*Ramure*Pc/MaxiM</f>
        <v>1.7860368574177634E-2</v>
      </c>
      <c r="Q278" s="307">
        <f t="shared" si="105"/>
        <v>0.9</v>
      </c>
      <c r="R278" s="179">
        <f t="shared" si="106"/>
        <v>0.79065085261805312</v>
      </c>
      <c r="S278" s="839">
        <f t="shared" si="107"/>
        <v>1</v>
      </c>
      <c r="T278" s="178">
        <f t="shared" si="108"/>
        <v>7</v>
      </c>
      <c r="U278" s="253">
        <f t="shared" si="109"/>
        <v>1.7906508526180531</v>
      </c>
      <c r="V278" s="385">
        <f t="shared" si="110"/>
        <v>38.73025793463578</v>
      </c>
      <c r="W278" s="404">
        <f t="shared" si="111"/>
        <v>38.881251585846726</v>
      </c>
      <c r="X278" s="157">
        <f t="shared" si="112"/>
        <v>45555</v>
      </c>
      <c r="Y278" s="387">
        <f t="shared" si="113"/>
        <v>35.499875495361827</v>
      </c>
      <c r="Z278" s="387">
        <f t="shared" si="114"/>
        <v>37.401260675471313</v>
      </c>
      <c r="AA278" s="388">
        <f t="shared" si="115"/>
        <v>43.297016674544004</v>
      </c>
      <c r="AB278" s="199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0.13617002860474298</v>
      </c>
      <c r="AD278" s="233">
        <f>(INDEX(Models!$BJ278:$BT278,,AH278)*(1-AF278)+INDEX(Models!$BJ278:$BT278,,AH278+1)*AF278-ERP_i)*AE278*Ramure*Pc/MaxiM</f>
        <v>1.7860368574177634E-2</v>
      </c>
      <c r="AE278" s="307">
        <f t="shared" si="117"/>
        <v>0.9</v>
      </c>
      <c r="AF278" s="179">
        <f t="shared" si="118"/>
        <v>0.79065085261805312</v>
      </c>
      <c r="AG278" s="839">
        <f t="shared" si="124"/>
        <v>1</v>
      </c>
      <c r="AH278" s="178">
        <f t="shared" si="119"/>
        <v>7</v>
      </c>
      <c r="AI278" s="227">
        <f t="shared" si="120"/>
        <v>1.7906508526180531</v>
      </c>
      <c r="AJ278" s="267" t="b">
        <f t="shared" si="121"/>
        <v>0</v>
      </c>
      <c r="AK278" s="267" t="b">
        <f t="shared" si="122"/>
        <v>0</v>
      </c>
      <c r="AL278" s="267"/>
      <c r="AM278" s="267"/>
      <c r="AN278" s="75"/>
    </row>
    <row r="279" spans="1:40" s="6" customFormat="1" ht="11.25" x14ac:dyDescent="0.2">
      <c r="A279" s="56">
        <f t="shared" si="123"/>
        <v>45556</v>
      </c>
      <c r="B279" s="413">
        <f>'2023'!Wh/'2023'!Env_an*'2024'!Env_an</f>
        <v>37.556785053132678</v>
      </c>
      <c r="C279" s="868"/>
      <c r="D279" s="395">
        <f t="shared" si="102"/>
        <v>39.569259830161798</v>
      </c>
      <c r="E279" s="387">
        <f t="shared" si="100"/>
        <v>41.830963583853872</v>
      </c>
      <c r="F279" s="387">
        <f t="shared" si="103"/>
        <v>42.594913787716813</v>
      </c>
      <c r="G279" s="110">
        <f t="shared" si="101"/>
        <v>0.98011206731854716</v>
      </c>
      <c r="H279" s="416" t="b">
        <f>Wh_hp&gt;='2023'!Maxi_hp</f>
        <v>0</v>
      </c>
      <c r="I279" s="392">
        <f>IF(H279,Wh_hp,'2023'!Maxi_hp)</f>
        <v>42.604819732623852</v>
      </c>
      <c r="J279" s="85">
        <f>IF(H279,An,'2023'!An_max)</f>
        <v>2022</v>
      </c>
      <c r="K279" s="199">
        <f t="shared" si="104"/>
        <v>45556</v>
      </c>
      <c r="L279" s="147">
        <f>IF(t&lt;Tvie,1-EXP((T0-t)*PertePVj)+'2023'!Pspv,1-EXP((T0-t)*PertePVj)+Pspv)</f>
        <v>5.0859550713534096E-2</v>
      </c>
      <c r="M279" s="872"/>
      <c r="N279" s="872"/>
      <c r="O279" s="48">
        <f>IF(t&lt;Tnet,'2023'!Resal+('2023'!Salim-'2023'!Resal)*(1-EXP(('2023'!Tnet-t)/('2023'!Tau_j))),Resal+(Salim-Resal)*(1-EXP((Tnet-t)/(Tau_j))))*Salcycl</f>
        <v>5.406769435655695E-2</v>
      </c>
      <c r="P279" s="171">
        <f>(INDEX(Models!$BJ279:$BT279,,T279)*(1-R279)+INDEX(Models!$BJ279:$BT279,,T279+1)*R279-ERP_i)*Q279*Ramure*Pc/MaxiM</f>
        <v>1.8445880666394514E-2</v>
      </c>
      <c r="Q279" s="307">
        <f t="shared" si="105"/>
        <v>0.9</v>
      </c>
      <c r="R279" s="179">
        <f t="shared" si="106"/>
        <v>0.79104911845078751</v>
      </c>
      <c r="S279" s="839">
        <f t="shared" si="107"/>
        <v>1</v>
      </c>
      <c r="T279" s="178">
        <f t="shared" si="108"/>
        <v>7</v>
      </c>
      <c r="U279" s="253">
        <f t="shared" si="109"/>
        <v>1.7910491184507875</v>
      </c>
      <c r="V279" s="385">
        <f t="shared" si="110"/>
        <v>38.298943784543781</v>
      </c>
      <c r="W279" s="404">
        <f t="shared" si="111"/>
        <v>37.556785053132678</v>
      </c>
      <c r="X279" s="157">
        <f t="shared" si="112"/>
        <v>45556</v>
      </c>
      <c r="Y279" s="387">
        <f t="shared" si="113"/>
        <v>34.294716941993592</v>
      </c>
      <c r="Z279" s="387">
        <f t="shared" si="114"/>
        <v>36.132394281347175</v>
      </c>
      <c r="AA279" s="388">
        <f t="shared" si="115"/>
        <v>41.830963583853872</v>
      </c>
      <c r="AB279" s="199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0.1362284971294867</v>
      </c>
      <c r="AD279" s="233">
        <f>(INDEX(Models!$BJ279:$BT279,,AH279)*(1-AF279)+INDEX(Models!$BJ279:$BT279,,AH279+1)*AF279-ERP_i)*AE279*Ramure*Pc/MaxiM</f>
        <v>1.8445880666394514E-2</v>
      </c>
      <c r="AE279" s="307">
        <f t="shared" si="117"/>
        <v>0.9</v>
      </c>
      <c r="AF279" s="179">
        <f t="shared" si="118"/>
        <v>0.79104911845078751</v>
      </c>
      <c r="AG279" s="839">
        <f t="shared" si="124"/>
        <v>1</v>
      </c>
      <c r="AH279" s="178">
        <f t="shared" si="119"/>
        <v>7</v>
      </c>
      <c r="AI279" s="227">
        <f t="shared" si="120"/>
        <v>1.7910491184507875</v>
      </c>
      <c r="AJ279" s="267" t="b">
        <f t="shared" si="121"/>
        <v>0</v>
      </c>
      <c r="AK279" s="267" t="b">
        <f t="shared" si="122"/>
        <v>0</v>
      </c>
      <c r="AL279" s="267"/>
      <c r="AM279" s="267"/>
      <c r="AN279" s="75"/>
    </row>
    <row r="280" spans="1:40" s="6" customFormat="1" ht="11.25" x14ac:dyDescent="0.2">
      <c r="A280" s="56">
        <f t="shared" si="123"/>
        <v>45557</v>
      </c>
      <c r="B280" s="413">
        <f>'2023'!Wh/'2023'!Env_an*'2024'!Env_an</f>
        <v>24.173015921390562</v>
      </c>
      <c r="C280" s="868"/>
      <c r="D280" s="395">
        <f t="shared" si="102"/>
        <v>25.468916106198993</v>
      </c>
      <c r="E280" s="387">
        <f t="shared" si="100"/>
        <v>26.929699676531957</v>
      </c>
      <c r="F280" s="387">
        <f t="shared" si="103"/>
        <v>27.180654692643245</v>
      </c>
      <c r="G280" s="110">
        <f t="shared" si="101"/>
        <v>0.63208719765953458</v>
      </c>
      <c r="H280" s="416" t="b">
        <f>Wh_hp&gt;='2023'!Maxi_hp</f>
        <v>0</v>
      </c>
      <c r="I280" s="392">
        <f>IF(H280,Wh_hp,'2023'!Maxi_hp)</f>
        <v>39.039212402737128</v>
      </c>
      <c r="J280" s="85">
        <f>IF(H280,An,'2023'!An_max)</f>
        <v>2019</v>
      </c>
      <c r="K280" s="199">
        <f t="shared" si="104"/>
        <v>45557</v>
      </c>
      <c r="L280" s="147">
        <f>IF(t&lt;Tvie,1-EXP((T0-t)*PertePVj)+'2023'!Pspv,1-EXP((T0-t)*PertePVj)+Pspv)</f>
        <v>5.0881638598393897E-2</v>
      </c>
      <c r="M280" s="872"/>
      <c r="N280" s="872"/>
      <c r="O280" s="48">
        <f>IF(t&lt;Tnet,'2023'!Resal+('2023'!Salim-'2023'!Resal)*(1-EXP(('2023'!Tnet-t)/('2023'!Tau_j))),Resal+(Salim-Resal)*(1-EXP((Tnet-t)/(Tau_j))))*Salcycl</f>
        <v>5.4244332015554224E-2</v>
      </c>
      <c r="P280" s="171">
        <f>(INDEX(Models!$BJ280:$BT280,,T280)*(1-R280)+INDEX(Models!$BJ280:$BT280,,T280+1)*R280-ERP_i)*Q280*Ramure*Pc/MaxiM</f>
        <v>1.9096260787300749E-2</v>
      </c>
      <c r="Q280" s="307">
        <f t="shared" si="105"/>
        <v>0.9</v>
      </c>
      <c r="R280" s="179">
        <f t="shared" si="106"/>
        <v>0.79143178080857868</v>
      </c>
      <c r="S280" s="839">
        <f t="shared" si="107"/>
        <v>1</v>
      </c>
      <c r="T280" s="178">
        <f t="shared" si="108"/>
        <v>7</v>
      </c>
      <c r="U280" s="253">
        <f t="shared" si="109"/>
        <v>1.7914317808085787</v>
      </c>
      <c r="V280" s="385">
        <f t="shared" si="110"/>
        <v>37.862443397822361</v>
      </c>
      <c r="W280" s="404">
        <f t="shared" si="111"/>
        <v>24.173015921390562</v>
      </c>
      <c r="X280" s="157">
        <f t="shared" si="112"/>
        <v>45557</v>
      </c>
      <c r="Y280" s="387">
        <f t="shared" si="113"/>
        <v>22.076105304224214</v>
      </c>
      <c r="Z280" s="387">
        <f t="shared" si="114"/>
        <v>23.259591429274877</v>
      </c>
      <c r="AA280" s="388">
        <f t="shared" si="115"/>
        <v>26.929699676531957</v>
      </c>
      <c r="AB280" s="199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0.13628478190773949</v>
      </c>
      <c r="AD280" s="233">
        <f>(INDEX(Models!$BJ280:$BT280,,AH280)*(1-AF280)+INDEX(Models!$BJ280:$BT280,,AH280+1)*AF280-ERP_i)*AE280*Ramure*Pc/MaxiM</f>
        <v>1.9096260787300749E-2</v>
      </c>
      <c r="AE280" s="307">
        <f t="shared" si="117"/>
        <v>0.9</v>
      </c>
      <c r="AF280" s="179">
        <f t="shared" si="118"/>
        <v>0.79143178080857868</v>
      </c>
      <c r="AG280" s="839">
        <f t="shared" si="124"/>
        <v>1</v>
      </c>
      <c r="AH280" s="178">
        <f t="shared" si="119"/>
        <v>7</v>
      </c>
      <c r="AI280" s="227">
        <f t="shared" si="120"/>
        <v>1.7914317808085787</v>
      </c>
      <c r="AJ280" s="267" t="b">
        <f t="shared" si="121"/>
        <v>0</v>
      </c>
      <c r="AK280" s="267" t="b">
        <f t="shared" si="122"/>
        <v>0</v>
      </c>
      <c r="AL280" s="267"/>
      <c r="AM280" s="267"/>
      <c r="AN280" s="75"/>
    </row>
    <row r="281" spans="1:40" s="6" customFormat="1" ht="11.25" x14ac:dyDescent="0.2">
      <c r="A281" s="56">
        <f t="shared" si="123"/>
        <v>45558</v>
      </c>
      <c r="B281" s="413">
        <f>'2023'!Wh/'2023'!Env_an*'2024'!Env_an</f>
        <v>16.210749950371337</v>
      </c>
      <c r="C281" s="868"/>
      <c r="D281" s="395">
        <f t="shared" si="102"/>
        <v>17.080195543835725</v>
      </c>
      <c r="E281" s="387">
        <f t="shared" si="100"/>
        <v>18.063190553978572</v>
      </c>
      <c r="F281" s="387">
        <f t="shared" si="103"/>
        <v>18.131546256774087</v>
      </c>
      <c r="G281" s="110">
        <f t="shared" si="101"/>
        <v>0.42621545097462676</v>
      </c>
      <c r="H281" s="416" t="b">
        <f>Wh_hp&gt;='2023'!Maxi_hp</f>
        <v>0</v>
      </c>
      <c r="I281" s="392">
        <f>IF(H281,Wh_hp,'2023'!Maxi_hp)</f>
        <v>35.529783803479539</v>
      </c>
      <c r="J281" s="85">
        <f>IF(H281,An,'2023'!An_max)</f>
        <v>2021</v>
      </c>
      <c r="K281" s="199">
        <f t="shared" si="104"/>
        <v>45558</v>
      </c>
      <c r="L281" s="147">
        <f>IF(t&lt;Tvie,1-EXP((T0-t)*PertePVj)+'2023'!Pspv,1-EXP((T0-t)*PertePVj)+Pspv)</f>
        <v>5.0903725969236424E-2</v>
      </c>
      <c r="M281" s="872"/>
      <c r="N281" s="872"/>
      <c r="O281" s="48">
        <f>IF(t&lt;Tnet,'2023'!Resal+('2023'!Salim-'2023'!Resal)*(1-EXP(('2023'!Tnet-t)/('2023'!Tau_j))),Resal+(Salim-Resal)*(1-EXP((Tnet-t)/(Tau_j))))*Salcycl</f>
        <v>5.4419788531009698E-2</v>
      </c>
      <c r="P281" s="171">
        <f>(INDEX(Models!$BJ281:$BT281,,T281)*(1-R281)+INDEX(Models!$BJ281:$BT281,,T281+1)*R281-ERP_i)*Q281*Ramure*Pc/MaxiM</f>
        <v>1.9813487002045535E-2</v>
      </c>
      <c r="Q281" s="307">
        <f t="shared" si="105"/>
        <v>0.9</v>
      </c>
      <c r="R281" s="179">
        <f t="shared" si="106"/>
        <v>0.79179943451756918</v>
      </c>
      <c r="S281" s="839">
        <f t="shared" si="107"/>
        <v>1</v>
      </c>
      <c r="T281" s="178">
        <f t="shared" si="108"/>
        <v>7</v>
      </c>
      <c r="U281" s="253">
        <f t="shared" si="109"/>
        <v>1.7917994345175692</v>
      </c>
      <c r="V281" s="385">
        <f t="shared" si="110"/>
        <v>37.421657420294046</v>
      </c>
      <c r="W281" s="404">
        <f t="shared" si="111"/>
        <v>16.210749950371337</v>
      </c>
      <c r="X281" s="157">
        <f t="shared" si="112"/>
        <v>45558</v>
      </c>
      <c r="Y281" s="387">
        <f t="shared" si="113"/>
        <v>14.806354160937028</v>
      </c>
      <c r="Z281" s="387">
        <f t="shared" si="114"/>
        <v>15.600476543918138</v>
      </c>
      <c r="AA281" s="388">
        <f t="shared" si="115"/>
        <v>18.063190553978572</v>
      </c>
      <c r="AB281" s="199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0.13633881581999913</v>
      </c>
      <c r="AD281" s="233">
        <f>(INDEX(Models!$BJ281:$BT281,,AH281)*(1-AF281)+INDEX(Models!$BJ281:$BT281,,AH281+1)*AF281-ERP_i)*AE281*Ramure*Pc/MaxiM</f>
        <v>1.9813487002045535E-2</v>
      </c>
      <c r="AE281" s="307">
        <f t="shared" si="117"/>
        <v>0.9</v>
      </c>
      <c r="AF281" s="179">
        <f t="shared" si="118"/>
        <v>0.79179943451756918</v>
      </c>
      <c r="AG281" s="839">
        <f t="shared" si="124"/>
        <v>1</v>
      </c>
      <c r="AH281" s="178">
        <f t="shared" si="119"/>
        <v>7</v>
      </c>
      <c r="AI281" s="227">
        <f t="shared" si="120"/>
        <v>1.7917994345175692</v>
      </c>
      <c r="AJ281" s="267" t="b">
        <f t="shared" si="121"/>
        <v>0</v>
      </c>
      <c r="AK281" s="267" t="b">
        <f t="shared" si="122"/>
        <v>0</v>
      </c>
      <c r="AL281" s="267"/>
      <c r="AM281" s="267"/>
      <c r="AN281" s="75"/>
    </row>
    <row r="282" spans="1:40" s="6" customFormat="1" ht="11.25" x14ac:dyDescent="0.2">
      <c r="A282" s="56">
        <f t="shared" si="123"/>
        <v>45559</v>
      </c>
      <c r="B282" s="413">
        <f>'2023'!Wh/'2023'!Env_an*'2024'!Env_an</f>
        <v>27.055848470879081</v>
      </c>
      <c r="C282" s="868"/>
      <c r="D282" s="395">
        <f t="shared" si="102"/>
        <v>28.507622308687711</v>
      </c>
      <c r="E282" s="387">
        <f t="shared" si="100"/>
        <v>30.153842089501694</v>
      </c>
      <c r="F282" s="387">
        <f t="shared" si="103"/>
        <v>30.542131095364716</v>
      </c>
      <c r="G282" s="110">
        <f t="shared" si="101"/>
        <v>0.72583974465181667</v>
      </c>
      <c r="H282" s="416" t="b">
        <f>Wh_hp&gt;='2023'!Maxi_hp</f>
        <v>0</v>
      </c>
      <c r="I282" s="392">
        <f>IF(H282,Wh_hp,'2023'!Maxi_hp)</f>
        <v>30.660672457342763</v>
      </c>
      <c r="J282" s="85">
        <f>IF(H282,An,'2023'!An_max)</f>
        <v>2022</v>
      </c>
      <c r="K282" s="199">
        <f t="shared" si="104"/>
        <v>45559</v>
      </c>
      <c r="L282" s="147">
        <f>IF(t&lt;Tvie,1-EXP((T0-t)*PertePVj)+'2023'!Pspv,1-EXP((T0-t)*PertePVj)+Pspv)</f>
        <v>5.0925812826073558E-2</v>
      </c>
      <c r="M282" s="872"/>
      <c r="N282" s="872"/>
      <c r="O282" s="48">
        <f>IF(t&lt;Tnet,'2023'!Resal+('2023'!Salim-'2023'!Resal)*(1-EXP(('2023'!Tnet-t)/('2023'!Tau_j))),Resal+(Salim-Resal)*(1-EXP((Tnet-t)/(Tau_j))))*Salcycl</f>
        <v>5.4594030701882894E-2</v>
      </c>
      <c r="P282" s="171">
        <f>(INDEX(Models!$BJ282:$BT282,,T282)*(1-R282)+INDEX(Models!$BJ282:$BT282,,T282+1)*R282-ERP_i)*Q282*Ramure*Pc/MaxiM</f>
        <v>2.061465822967996E-2</v>
      </c>
      <c r="Q282" s="307">
        <f t="shared" si="105"/>
        <v>0.9</v>
      </c>
      <c r="R282" s="179">
        <f t="shared" si="106"/>
        <v>0.79215265301567483</v>
      </c>
      <c r="S282" s="839">
        <f t="shared" si="107"/>
        <v>1</v>
      </c>
      <c r="T282" s="178">
        <f t="shared" si="108"/>
        <v>7</v>
      </c>
      <c r="U282" s="253">
        <f t="shared" si="109"/>
        <v>1.7921526530156748</v>
      </c>
      <c r="V282" s="385">
        <f t="shared" si="110"/>
        <v>36.976916567415792</v>
      </c>
      <c r="W282" s="404">
        <f t="shared" si="111"/>
        <v>27.055848470879081</v>
      </c>
      <c r="X282" s="157">
        <f t="shared" si="112"/>
        <v>45559</v>
      </c>
      <c r="Y282" s="387">
        <f t="shared" si="113"/>
        <v>24.714977114452278</v>
      </c>
      <c r="Z282" s="387">
        <f t="shared" si="114"/>
        <v>26.041143514867333</v>
      </c>
      <c r="AA282" s="388">
        <f t="shared" si="115"/>
        <v>30.153842089501694</v>
      </c>
      <c r="AB282" s="199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0.13639053233837264</v>
      </c>
      <c r="AD282" s="233">
        <f>(INDEX(Models!$BJ282:$BT282,,AH282)*(1-AF282)+INDEX(Models!$BJ282:$BT282,,AH282+1)*AF282-ERP_i)*AE282*Ramure*Pc/MaxiM</f>
        <v>2.061465822967996E-2</v>
      </c>
      <c r="AE282" s="307">
        <f t="shared" si="117"/>
        <v>0.9</v>
      </c>
      <c r="AF282" s="179">
        <f t="shared" si="118"/>
        <v>0.79215265301567483</v>
      </c>
      <c r="AG282" s="839">
        <f t="shared" si="124"/>
        <v>1</v>
      </c>
      <c r="AH282" s="178">
        <f t="shared" si="119"/>
        <v>7</v>
      </c>
      <c r="AI282" s="227">
        <f t="shared" si="120"/>
        <v>1.7921526530156748</v>
      </c>
      <c r="AJ282" s="267" t="b">
        <f t="shared" si="121"/>
        <v>0</v>
      </c>
      <c r="AK282" s="267" t="b">
        <f t="shared" si="122"/>
        <v>0</v>
      </c>
      <c r="AL282" s="267"/>
      <c r="AM282" s="267"/>
      <c r="AN282" s="75"/>
    </row>
    <row r="283" spans="1:40" s="6" customFormat="1" ht="11.25" x14ac:dyDescent="0.2">
      <c r="A283" s="56">
        <f t="shared" si="123"/>
        <v>45560</v>
      </c>
      <c r="B283" s="413">
        <f>'2023'!Wh/'2023'!Env_an*'2024'!Env_an</f>
        <v>29.026638039589809</v>
      </c>
      <c r="C283" s="868"/>
      <c r="D283" s="395">
        <f t="shared" si="102"/>
        <v>30.584873068792795</v>
      </c>
      <c r="E283" s="387">
        <f t="shared" si="100"/>
        <v>32.356967956994474</v>
      </c>
      <c r="F283" s="387">
        <f t="shared" si="103"/>
        <v>32.855759419835827</v>
      </c>
      <c r="G283" s="110">
        <f t="shared" si="101"/>
        <v>0.78951613225831196</v>
      </c>
      <c r="H283" s="416" t="b">
        <f>Wh_hp&gt;='2023'!Maxi_hp</f>
        <v>0</v>
      </c>
      <c r="I283" s="392">
        <f>IF(H283,Wh_hp,'2023'!Maxi_hp)</f>
        <v>32.960149765426706</v>
      </c>
      <c r="J283" s="85">
        <f>IF(H283,An,'2023'!An_max)</f>
        <v>2022</v>
      </c>
      <c r="K283" s="199">
        <f t="shared" si="104"/>
        <v>45560</v>
      </c>
      <c r="L283" s="147">
        <f>IF(t&lt;Tvie,1-EXP((T0-t)*PertePVj)+'2023'!Pspv,1-EXP((T0-t)*PertePVj)+Pspv)</f>
        <v>5.0947899168917177E-2</v>
      </c>
      <c r="M283" s="872"/>
      <c r="N283" s="872"/>
      <c r="O283" s="48">
        <f>IF(t&lt;Tnet,'2023'!Resal+('2023'!Salim-'2023'!Resal)*(1-EXP(('2023'!Tnet-t)/('2023'!Tau_j))),Resal+(Salim-Resal)*(1-EXP((Tnet-t)/(Tau_j))))*Salcycl</f>
        <v>5.4767025469041671E-2</v>
      </c>
      <c r="P283" s="171">
        <f>(INDEX(Models!$BJ283:$BT283,,T283)*(1-R283)+INDEX(Models!$BJ283:$BT283,,T283+1)*R283-ERP_i)*Q283*Ramure*Pc/MaxiM</f>
        <v>2.1485670569414344E-2</v>
      </c>
      <c r="Q283" s="307">
        <f t="shared" si="105"/>
        <v>0.9</v>
      </c>
      <c r="R283" s="179">
        <f t="shared" si="106"/>
        <v>0.79249198902020401</v>
      </c>
      <c r="S283" s="839">
        <f t="shared" si="107"/>
        <v>1</v>
      </c>
      <c r="T283" s="178">
        <f t="shared" si="108"/>
        <v>7</v>
      </c>
      <c r="U283" s="253">
        <f t="shared" si="109"/>
        <v>1.792491989020204</v>
      </c>
      <c r="V283" s="385">
        <f t="shared" si="110"/>
        <v>36.529742409099775</v>
      </c>
      <c r="W283" s="404">
        <f t="shared" si="111"/>
        <v>29.026638039589809</v>
      </c>
      <c r="X283" s="157">
        <f t="shared" si="112"/>
        <v>45560</v>
      </c>
      <c r="Y283" s="387">
        <f t="shared" si="113"/>
        <v>26.518591830822132</v>
      </c>
      <c r="Z283" s="387">
        <f t="shared" si="114"/>
        <v>27.94218758654015</v>
      </c>
      <c r="AA283" s="388">
        <f t="shared" si="115"/>
        <v>32.356967956994474</v>
      </c>
      <c r="AB283" s="199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0.136439865945474</v>
      </c>
      <c r="AD283" s="233">
        <f>(INDEX(Models!$BJ283:$BT283,,AH283)*(1-AF283)+INDEX(Models!$BJ283:$BT283,,AH283+1)*AF283-ERP_i)*AE283*Ramure*Pc/MaxiM</f>
        <v>2.1485670569414344E-2</v>
      </c>
      <c r="AE283" s="307">
        <f t="shared" si="117"/>
        <v>0.9</v>
      </c>
      <c r="AF283" s="179">
        <f t="shared" si="118"/>
        <v>0.79249198902020401</v>
      </c>
      <c r="AG283" s="839">
        <f t="shared" si="124"/>
        <v>1</v>
      </c>
      <c r="AH283" s="178">
        <f t="shared" si="119"/>
        <v>7</v>
      </c>
      <c r="AI283" s="227">
        <f t="shared" si="120"/>
        <v>1.792491989020204</v>
      </c>
      <c r="AJ283" s="267" t="b">
        <f t="shared" si="121"/>
        <v>0</v>
      </c>
      <c r="AK283" s="267" t="b">
        <f t="shared" si="122"/>
        <v>0</v>
      </c>
      <c r="AL283" s="267"/>
      <c r="AM283" s="267"/>
      <c r="AN283" s="75"/>
    </row>
    <row r="284" spans="1:40" s="6" customFormat="1" ht="11.25" x14ac:dyDescent="0.2">
      <c r="A284" s="56">
        <f t="shared" si="123"/>
        <v>45561</v>
      </c>
      <c r="B284" s="413">
        <f>'2023'!Wh/'2023'!Env_an*'2024'!Env_an</f>
        <v>14.168298045322294</v>
      </c>
      <c r="C284" s="868"/>
      <c r="D284" s="395">
        <f t="shared" si="102"/>
        <v>14.929241247748251</v>
      </c>
      <c r="E284" s="387">
        <f t="shared" si="100"/>
        <v>15.797114833969564</v>
      </c>
      <c r="F284" s="387">
        <f t="shared" si="103"/>
        <v>15.844164428751622</v>
      </c>
      <c r="G284" s="110">
        <f t="shared" si="101"/>
        <v>0.38501600885803111</v>
      </c>
      <c r="H284" s="416" t="b">
        <f>Wh_hp&gt;='2023'!Maxi_hp</f>
        <v>0</v>
      </c>
      <c r="I284" s="392">
        <f>IF(H284,Wh_hp,'2023'!Maxi_hp)</f>
        <v>32.432173480535852</v>
      </c>
      <c r="J284" s="85">
        <f>IF(H284,An,'2023'!An_max)</f>
        <v>2019</v>
      </c>
      <c r="K284" s="199">
        <f t="shared" si="104"/>
        <v>45561</v>
      </c>
      <c r="L284" s="147">
        <f>IF(t&lt;Tvie,1-EXP((T0-t)*PertePVj)+'2023'!Pspv,1-EXP((T0-t)*PertePVj)+Pspv)</f>
        <v>5.0969984997779383E-2</v>
      </c>
      <c r="M284" s="872"/>
      <c r="N284" s="872"/>
      <c r="O284" s="48">
        <f>IF(t&lt;Tnet,'2023'!Resal+('2023'!Salim-'2023'!Resal)*(1-EXP(('2023'!Tnet-t)/('2023'!Tau_j))),Resal+(Salim-Resal)*(1-EXP((Tnet-t)/(Tau_j))))*Salcycl</f>
        <v>5.4938740101772653E-2</v>
      </c>
      <c r="P284" s="171">
        <f>(INDEX(Models!$BJ284:$BT284,,T284)*(1-R284)+INDEX(Models!$BJ284:$BT284,,T284+1)*R284-ERP_i)*Q284*Ramure*Pc/MaxiM</f>
        <v>2.2428439835103182E-2</v>
      </c>
      <c r="Q284" s="307">
        <f t="shared" si="105"/>
        <v>0.9</v>
      </c>
      <c r="R284" s="179">
        <f t="shared" si="106"/>
        <v>0.79281797518290098</v>
      </c>
      <c r="S284" s="839">
        <f t="shared" si="107"/>
        <v>1</v>
      </c>
      <c r="T284" s="178">
        <f t="shared" si="108"/>
        <v>7</v>
      </c>
      <c r="U284" s="253">
        <f t="shared" si="109"/>
        <v>1.792817975182901</v>
      </c>
      <c r="V284" s="385">
        <f t="shared" si="110"/>
        <v>36.081037783601424</v>
      </c>
      <c r="W284" s="404">
        <f t="shared" si="111"/>
        <v>14.168298045322294</v>
      </c>
      <c r="X284" s="157">
        <f t="shared" si="112"/>
        <v>45561</v>
      </c>
      <c r="Y284" s="387">
        <f t="shared" si="113"/>
        <v>12.945735450903404</v>
      </c>
      <c r="Z284" s="387">
        <f t="shared" si="114"/>
        <v>13.641017930157997</v>
      </c>
      <c r="AA284" s="388">
        <f t="shared" si="115"/>
        <v>15.797114833969564</v>
      </c>
      <c r="AB284" s="199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0.13648675257934895</v>
      </c>
      <c r="AD284" s="233">
        <f>(INDEX(Models!$BJ284:$BT284,,AH284)*(1-AF284)+INDEX(Models!$BJ284:$BT284,,AH284+1)*AF284-ERP_i)*AE284*Ramure*Pc/MaxiM</f>
        <v>2.2428439835103182E-2</v>
      </c>
      <c r="AE284" s="307">
        <f t="shared" si="117"/>
        <v>0.9</v>
      </c>
      <c r="AF284" s="179">
        <f t="shared" si="118"/>
        <v>0.79281797518290098</v>
      </c>
      <c r="AG284" s="839">
        <f t="shared" si="124"/>
        <v>1</v>
      </c>
      <c r="AH284" s="178">
        <f t="shared" si="119"/>
        <v>7</v>
      </c>
      <c r="AI284" s="227">
        <f t="shared" si="120"/>
        <v>1.792817975182901</v>
      </c>
      <c r="AJ284" s="267" t="b">
        <f t="shared" si="121"/>
        <v>0</v>
      </c>
      <c r="AK284" s="267" t="b">
        <f t="shared" si="122"/>
        <v>0</v>
      </c>
      <c r="AL284" s="267"/>
      <c r="AM284" s="267"/>
      <c r="AN284" s="75"/>
    </row>
    <row r="285" spans="1:40" s="6" customFormat="1" ht="11.25" x14ac:dyDescent="0.2">
      <c r="A285" s="56">
        <f t="shared" si="123"/>
        <v>45562</v>
      </c>
      <c r="B285" s="413">
        <f>'2023'!Wh/'2023'!Env_an*'2024'!Env_an</f>
        <v>16.653890027762969</v>
      </c>
      <c r="C285" s="868"/>
      <c r="D285" s="395">
        <f t="shared" si="102"/>
        <v>17.548736429683967</v>
      </c>
      <c r="E285" s="387">
        <f t="shared" si="100"/>
        <v>18.572236452996311</v>
      </c>
      <c r="F285" s="387">
        <f t="shared" si="103"/>
        <v>18.676945556028802</v>
      </c>
      <c r="G285" s="110">
        <f t="shared" si="101"/>
        <v>0.45900509181523574</v>
      </c>
      <c r="H285" s="416" t="b">
        <f>Wh_hp&gt;='2023'!Maxi_hp</f>
        <v>0</v>
      </c>
      <c r="I285" s="392">
        <f>IF(H285,Wh_hp,'2023'!Maxi_hp)</f>
        <v>28.532869501688754</v>
      </c>
      <c r="J285" s="85">
        <f>IF(H285,An,'2023'!An_max)</f>
        <v>2019</v>
      </c>
      <c r="K285" s="199">
        <f t="shared" si="104"/>
        <v>45562</v>
      </c>
      <c r="L285" s="147">
        <f>IF(t&lt;Tvie,1-EXP((T0-t)*PertePVj)+'2023'!Pspv,1-EXP((T0-t)*PertePVj)+Pspv)</f>
        <v>5.0992070312672166E-2</v>
      </c>
      <c r="M285" s="872"/>
      <c r="N285" s="872"/>
      <c r="O285" s="48">
        <f>IF(t&lt;Tnet,'2023'!Resal+('2023'!Salim-'2023'!Resal)*(1-EXP(('2023'!Tnet-t)/('2023'!Tau_j))),Resal+(Salim-Resal)*(1-EXP((Tnet-t)/(Tau_j))))*Salcycl</f>
        <v>5.510914239664555E-2</v>
      </c>
      <c r="P285" s="171">
        <f>(INDEX(Models!$BJ285:$BT285,,T285)*(1-R285)+INDEX(Models!$BJ285:$BT285,,T285+1)*R285-ERP_i)*Q285*Ramure*Pc/MaxiM</f>
        <v>2.3444880226068408E-2</v>
      </c>
      <c r="Q285" s="307">
        <f t="shared" si="105"/>
        <v>0.9</v>
      </c>
      <c r="R285" s="179">
        <f t="shared" si="106"/>
        <v>0.79313112473190217</v>
      </c>
      <c r="S285" s="839">
        <f t="shared" si="107"/>
        <v>1</v>
      </c>
      <c r="T285" s="178">
        <f t="shared" si="108"/>
        <v>7</v>
      </c>
      <c r="U285" s="253">
        <f t="shared" si="109"/>
        <v>1.7931311247319022</v>
      </c>
      <c r="V285" s="385">
        <f t="shared" si="110"/>
        <v>35.631704582038708</v>
      </c>
      <c r="W285" s="404">
        <f t="shared" si="111"/>
        <v>16.653890027762969</v>
      </c>
      <c r="X285" s="157">
        <f t="shared" si="112"/>
        <v>45562</v>
      </c>
      <c r="Y285" s="387">
        <f t="shared" si="113"/>
        <v>15.218811237264106</v>
      </c>
      <c r="Z285" s="387">
        <f t="shared" si="114"/>
        <v>16.03654802155161</v>
      </c>
      <c r="AA285" s="388">
        <f t="shared" si="115"/>
        <v>18.572236452996311</v>
      </c>
      <c r="AB285" s="199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0.13653113010176054</v>
      </c>
      <c r="AD285" s="233">
        <f>(INDEX(Models!$BJ285:$BT285,,AH285)*(1-AF285)+INDEX(Models!$BJ285:$BT285,,AH285+1)*AF285-ERP_i)*AE285*Ramure*Pc/MaxiM</f>
        <v>2.3444880226068408E-2</v>
      </c>
      <c r="AE285" s="307">
        <f t="shared" si="117"/>
        <v>0.9</v>
      </c>
      <c r="AF285" s="179">
        <f t="shared" si="118"/>
        <v>0.79313112473190217</v>
      </c>
      <c r="AG285" s="839">
        <f t="shared" si="124"/>
        <v>1</v>
      </c>
      <c r="AH285" s="178">
        <f t="shared" si="119"/>
        <v>7</v>
      </c>
      <c r="AI285" s="227">
        <f t="shared" si="120"/>
        <v>1.7931311247319022</v>
      </c>
      <c r="AJ285" s="267" t="b">
        <f t="shared" si="121"/>
        <v>0</v>
      </c>
      <c r="AK285" s="267" t="b">
        <f t="shared" si="122"/>
        <v>0</v>
      </c>
      <c r="AL285" s="267"/>
      <c r="AM285" s="267"/>
      <c r="AN285" s="75"/>
    </row>
    <row r="286" spans="1:40" s="6" customFormat="1" ht="11.25" x14ac:dyDescent="0.2">
      <c r="A286" s="56">
        <f t="shared" si="123"/>
        <v>45563</v>
      </c>
      <c r="B286" s="413">
        <f>'2023'!Wh/'2023'!Env_an*'2024'!Env_an</f>
        <v>22.242590381734281</v>
      </c>
      <c r="C286" s="868"/>
      <c r="D286" s="395">
        <f t="shared" si="102"/>
        <v>23.438274134001482</v>
      </c>
      <c r="E286" s="387">
        <f t="shared" si="100"/>
        <v>24.809710282989275</v>
      </c>
      <c r="F286" s="387">
        <f t="shared" si="103"/>
        <v>25.102013874955258</v>
      </c>
      <c r="G286" s="110">
        <f t="shared" si="101"/>
        <v>0.62395693703029098</v>
      </c>
      <c r="H286" s="416" t="b">
        <f>Wh_hp&gt;='2023'!Maxi_hp</f>
        <v>0</v>
      </c>
      <c r="I286" s="392">
        <f>IF(H286,Wh_hp,'2023'!Maxi_hp)</f>
        <v>39.545102096867112</v>
      </c>
      <c r="J286" s="85">
        <f>IF(H286,An,'2023'!An_max)</f>
        <v>2019</v>
      </c>
      <c r="K286" s="199">
        <f t="shared" si="104"/>
        <v>45563</v>
      </c>
      <c r="L286" s="147">
        <f>IF(t&lt;Tvie,1-EXP((T0-t)*PertePVj)+'2023'!Pspv,1-EXP((T0-t)*PertePVj)+Pspv)</f>
        <v>5.1014155113607296E-2</v>
      </c>
      <c r="M286" s="872"/>
      <c r="N286" s="872"/>
      <c r="O286" s="48">
        <f>IF(t&lt;Tnet,'2023'!Resal+('2023'!Salim-'2023'!Resal)*(1-EXP(('2023'!Tnet-t)/('2023'!Tau_j))),Resal+(Salim-Resal)*(1-EXP((Tnet-t)/(Tau_j))))*Salcycl</f>
        <v>5.5278200887662776E-2</v>
      </c>
      <c r="P286" s="171">
        <f>(INDEX(Models!$BJ286:$BT286,,T286)*(1-R286)+INDEX(Models!$BJ286:$BT286,,T286+1)*R286-ERP_i)*Q286*Ramure*Pc/MaxiM</f>
        <v>2.4536885078873798E-2</v>
      </c>
      <c r="Q286" s="307">
        <f t="shared" si="105"/>
        <v>0.9</v>
      </c>
      <c r="R286" s="179">
        <f t="shared" si="106"/>
        <v>0.7934319321001766</v>
      </c>
      <c r="S286" s="839">
        <f t="shared" si="107"/>
        <v>1</v>
      </c>
      <c r="T286" s="178">
        <f t="shared" si="108"/>
        <v>7</v>
      </c>
      <c r="U286" s="253">
        <f t="shared" si="109"/>
        <v>1.7934319321001766</v>
      </c>
      <c r="V286" s="385">
        <f t="shared" si="110"/>
        <v>35.182643775499891</v>
      </c>
      <c r="W286" s="404">
        <f t="shared" si="111"/>
        <v>22.242590381734281</v>
      </c>
      <c r="X286" s="157">
        <f t="shared" si="112"/>
        <v>45563</v>
      </c>
      <c r="Y286" s="387">
        <f t="shared" si="113"/>
        <v>20.328581879993088</v>
      </c>
      <c r="Z286" s="387">
        <f t="shared" si="114"/>
        <v>21.421375239192017</v>
      </c>
      <c r="AA286" s="388">
        <f t="shared" si="115"/>
        <v>24.809710282989275</v>
      </c>
      <c r="AB286" s="199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0.13657293878681295</v>
      </c>
      <c r="AD286" s="233">
        <f>(INDEX(Models!$BJ286:$BT286,,AH286)*(1-AF286)+INDEX(Models!$BJ286:$BT286,,AH286+1)*AF286-ERP_i)*AE286*Ramure*Pc/MaxiM</f>
        <v>2.4536885078873798E-2</v>
      </c>
      <c r="AE286" s="307">
        <f t="shared" si="117"/>
        <v>0.9</v>
      </c>
      <c r="AF286" s="179">
        <f t="shared" si="118"/>
        <v>0.7934319321001766</v>
      </c>
      <c r="AG286" s="839">
        <f t="shared" si="124"/>
        <v>1</v>
      </c>
      <c r="AH286" s="178">
        <f t="shared" si="119"/>
        <v>7</v>
      </c>
      <c r="AI286" s="227">
        <f t="shared" si="120"/>
        <v>1.7934319321001766</v>
      </c>
      <c r="AJ286" s="267" t="b">
        <f t="shared" si="121"/>
        <v>0</v>
      </c>
      <c r="AK286" s="267" t="b">
        <f t="shared" si="122"/>
        <v>0</v>
      </c>
      <c r="AL286" s="267"/>
      <c r="AM286" s="267"/>
      <c r="AN286" s="75"/>
    </row>
    <row r="287" spans="1:40" s="6" customFormat="1" ht="11.25" x14ac:dyDescent="0.2">
      <c r="A287" s="56">
        <f t="shared" si="123"/>
        <v>45564</v>
      </c>
      <c r="B287" s="413">
        <f>'2023'!Wh/'2023'!Env_an*'2024'!Env_an</f>
        <v>25.665924244935511</v>
      </c>
      <c r="C287" s="868"/>
      <c r="D287" s="395">
        <f t="shared" si="102"/>
        <v>27.046263841228139</v>
      </c>
      <c r="E287" s="387">
        <f t="shared" si="100"/>
        <v>28.633895521307643</v>
      </c>
      <c r="F287" s="387">
        <f t="shared" si="103"/>
        <v>29.10298590424539</v>
      </c>
      <c r="G287" s="110">
        <f t="shared" si="101"/>
        <v>0.73171114081048194</v>
      </c>
      <c r="H287" s="416" t="b">
        <f>Wh_hp&gt;='2023'!Maxi_hp</f>
        <v>0</v>
      </c>
      <c r="I287" s="392">
        <f>IF(H287,Wh_hp,'2023'!Maxi_hp)</f>
        <v>31.942652402822652</v>
      </c>
      <c r="J287" s="85">
        <f>IF(H287,An,'2023'!An_max)</f>
        <v>2020</v>
      </c>
      <c r="K287" s="199">
        <f t="shared" si="104"/>
        <v>45564</v>
      </c>
      <c r="L287" s="147">
        <f>IF(t&lt;Tvie,1-EXP((T0-t)*PertePVj)+'2023'!Pspv,1-EXP((T0-t)*PertePVj)+Pspv)</f>
        <v>5.1036239400596983E-2</v>
      </c>
      <c r="M287" s="872"/>
      <c r="N287" s="872"/>
      <c r="O287" s="48">
        <f>IF(t&lt;Tnet,'2023'!Resal+('2023'!Salim-'2023'!Resal)*(1-EXP(('2023'!Tnet-t)/('2023'!Tau_j))),Resal+(Salim-Resal)*(1-EXP((Tnet-t)/(Tau_j))))*Salcycl</f>
        <v>5.5445885066461954E-2</v>
      </c>
      <c r="P287" s="171">
        <f>(INDEX(Models!$BJ287:$BT287,,T287)*(1-R287)+INDEX(Models!$BJ287:$BT287,,T287+1)*R287-ERP_i)*Q287*Ramure*Pc/MaxiM</f>
        <v>2.5706305327894315E-2</v>
      </c>
      <c r="Q287" s="307">
        <f t="shared" si="105"/>
        <v>0.9</v>
      </c>
      <c r="R287" s="179">
        <f t="shared" si="106"/>
        <v>0.79372087354010912</v>
      </c>
      <c r="S287" s="839">
        <f t="shared" si="107"/>
        <v>1</v>
      </c>
      <c r="T287" s="178">
        <f t="shared" si="108"/>
        <v>7</v>
      </c>
      <c r="U287" s="253">
        <f t="shared" si="109"/>
        <v>1.7937208735401091</v>
      </c>
      <c r="V287" s="385">
        <f t="shared" si="110"/>
        <v>34.734755442134038</v>
      </c>
      <c r="W287" s="404">
        <f t="shared" si="111"/>
        <v>25.665924244935511</v>
      </c>
      <c r="X287" s="157">
        <f t="shared" si="112"/>
        <v>45564</v>
      </c>
      <c r="Y287" s="387">
        <f t="shared" si="113"/>
        <v>23.46043230858665</v>
      </c>
      <c r="Z287" s="387">
        <f t="shared" si="114"/>
        <v>24.72215829798191</v>
      </c>
      <c r="AA287" s="388">
        <f t="shared" si="115"/>
        <v>28.633895521307643</v>
      </c>
      <c r="AB287" s="199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0.1366121218265553</v>
      </c>
      <c r="AD287" s="233">
        <f>(INDEX(Models!$BJ287:$BT287,,AH287)*(1-AF287)+INDEX(Models!$BJ287:$BT287,,AH287+1)*AF287-ERP_i)*AE287*Ramure*Pc/MaxiM</f>
        <v>2.5706305327894315E-2</v>
      </c>
      <c r="AE287" s="307">
        <f t="shared" si="117"/>
        <v>0.9</v>
      </c>
      <c r="AF287" s="179">
        <f t="shared" si="118"/>
        <v>0.79372087354010912</v>
      </c>
      <c r="AG287" s="839">
        <f t="shared" si="124"/>
        <v>1</v>
      </c>
      <c r="AH287" s="178">
        <f t="shared" si="119"/>
        <v>7</v>
      </c>
      <c r="AI287" s="227">
        <f t="shared" si="120"/>
        <v>1.7937208735401091</v>
      </c>
      <c r="AJ287" s="267" t="b">
        <f t="shared" si="121"/>
        <v>0</v>
      </c>
      <c r="AK287" s="267" t="b">
        <f t="shared" si="122"/>
        <v>0</v>
      </c>
      <c r="AL287" s="267"/>
      <c r="AM287" s="267"/>
      <c r="AN287" s="75"/>
    </row>
    <row r="288" spans="1:40" s="6" customFormat="1" ht="11.25" x14ac:dyDescent="0.2">
      <c r="A288" s="56">
        <f t="shared" si="123"/>
        <v>45565</v>
      </c>
      <c r="B288" s="413">
        <f>'2023'!Wh/'2023'!Env_an*'2024'!Env_an</f>
        <v>30.849467145564539</v>
      </c>
      <c r="C288" s="868"/>
      <c r="D288" s="395">
        <f t="shared" si="102"/>
        <v>32.509339508343544</v>
      </c>
      <c r="E288" s="387">
        <f t="shared" si="100"/>
        <v>34.423716956691507</v>
      </c>
      <c r="F288" s="387">
        <f t="shared" si="103"/>
        <v>35.237431814124477</v>
      </c>
      <c r="G288" s="110">
        <f t="shared" si="101"/>
        <v>0.8961342319223079</v>
      </c>
      <c r="H288" s="416" t="b">
        <f>Wh_hp&gt;='2023'!Maxi_hp</f>
        <v>0</v>
      </c>
      <c r="I288" s="392">
        <f>IF(H288,Wh_hp,'2023'!Maxi_hp)</f>
        <v>37.95557881687494</v>
      </c>
      <c r="J288" s="85">
        <f>IF(H288,An,'2023'!An_max)</f>
        <v>2020</v>
      </c>
      <c r="K288" s="199">
        <f t="shared" si="104"/>
        <v>45565</v>
      </c>
      <c r="L288" s="147">
        <f>IF(t&lt;Tvie,1-EXP((T0-t)*PertePVj)+'2023'!Pspv,1-EXP((T0-t)*PertePVj)+Pspv)</f>
        <v>5.1058323173652886E-2</v>
      </c>
      <c r="M288" s="872"/>
      <c r="N288" s="872"/>
      <c r="O288" s="48">
        <f>IF(t&lt;Tnet,'2023'!Resal+('2023'!Salim-'2023'!Resal)*(1-EXP(('2023'!Tnet-t)/('2023'!Tau_j))),Resal+(Salim-Resal)*(1-EXP((Tnet-t)/(Tau_j))))*Salcycl</f>
        <v>5.5612165611181416E-2</v>
      </c>
      <c r="P288" s="171">
        <f>(INDEX(Models!$BJ288:$BT288,,T288)*(1-R288)+INDEX(Models!$BJ288:$BT288,,T288+1)*R288-ERP_i)*Q288*Ramure*Pc/MaxiM</f>
        <v>2.6954925531544029E-2</v>
      </c>
      <c r="Q288" s="307">
        <f t="shared" si="105"/>
        <v>0.9</v>
      </c>
      <c r="R288" s="179">
        <f t="shared" si="106"/>
        <v>0.79399840772395658</v>
      </c>
      <c r="S288" s="839">
        <f t="shared" si="107"/>
        <v>1</v>
      </c>
      <c r="T288" s="178">
        <f t="shared" si="108"/>
        <v>7</v>
      </c>
      <c r="U288" s="253">
        <f t="shared" si="109"/>
        <v>1.7939984077239566</v>
      </c>
      <c r="V288" s="385">
        <f t="shared" si="110"/>
        <v>34.288938797823342</v>
      </c>
      <c r="W288" s="404">
        <f t="shared" si="111"/>
        <v>30.849467145564539</v>
      </c>
      <c r="X288" s="157">
        <f t="shared" si="112"/>
        <v>45565</v>
      </c>
      <c r="Y288" s="387">
        <f t="shared" si="113"/>
        <v>28.202322056762007</v>
      </c>
      <c r="Z288" s="387">
        <f t="shared" si="114"/>
        <v>29.719763337913687</v>
      </c>
      <c r="AA288" s="388">
        <f t="shared" si="115"/>
        <v>34.423716956691507</v>
      </c>
      <c r="AB288" s="199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0.13664862584990062</v>
      </c>
      <c r="AD288" s="233">
        <f>(INDEX(Models!$BJ288:$BT288,,AH288)*(1-AF288)+INDEX(Models!$BJ288:$BT288,,AH288+1)*AF288-ERP_i)*AE288*Ramure*Pc/MaxiM</f>
        <v>2.6954925531544029E-2</v>
      </c>
      <c r="AE288" s="307">
        <f t="shared" si="117"/>
        <v>0.9</v>
      </c>
      <c r="AF288" s="179">
        <f t="shared" si="118"/>
        <v>0.79399840772395658</v>
      </c>
      <c r="AG288" s="839">
        <f t="shared" si="124"/>
        <v>1</v>
      </c>
      <c r="AH288" s="178">
        <f t="shared" si="119"/>
        <v>7</v>
      </c>
      <c r="AI288" s="227">
        <f t="shared" si="120"/>
        <v>1.7939984077239566</v>
      </c>
      <c r="AJ288" s="267" t="b">
        <f t="shared" si="121"/>
        <v>0</v>
      </c>
      <c r="AK288" s="267" t="b">
        <f t="shared" si="122"/>
        <v>0</v>
      </c>
      <c r="AL288" s="267"/>
      <c r="AM288" s="267"/>
      <c r="AN288" s="75"/>
    </row>
    <row r="289" spans="1:40" s="6" customFormat="1" ht="11.25" x14ac:dyDescent="0.2">
      <c r="A289" s="56">
        <f t="shared" si="123"/>
        <v>45566</v>
      </c>
      <c r="B289" s="413">
        <f>'2023'!Wh/'2023'!Env_an*'2024'!Env_an</f>
        <v>32.548913527790461</v>
      </c>
      <c r="C289" s="868"/>
      <c r="D289" s="395">
        <f t="shared" si="102"/>
        <v>34.301023762647169</v>
      </c>
      <c r="E289" s="387">
        <f t="shared" si="100"/>
        <v>36.327249276749932</v>
      </c>
      <c r="F289" s="387">
        <f t="shared" si="103"/>
        <v>37.32549426300087</v>
      </c>
      <c r="G289" s="110">
        <f t="shared" si="101"/>
        <v>0.96027454729732598</v>
      </c>
      <c r="H289" s="416" t="b">
        <f>Wh_hp&gt;='2023'!Maxi_hp</f>
        <v>0</v>
      </c>
      <c r="I289" s="392">
        <f>IF(H289,Wh_hp,'2023'!Maxi_hp)</f>
        <v>37.358132748041285</v>
      </c>
      <c r="J289" s="85">
        <f>IF(H289,An,'2023'!An_max)</f>
        <v>2022</v>
      </c>
      <c r="K289" s="199">
        <f t="shared" si="104"/>
        <v>45566</v>
      </c>
      <c r="L289" s="147">
        <f>IF(t&lt;Tvie,1-EXP((T0-t)*PertePVj)+'2023'!Pspv,1-EXP((T0-t)*PertePVj)+Pspv)</f>
        <v>5.1080406432787218E-2</v>
      </c>
      <c r="M289" s="872"/>
      <c r="N289" s="872"/>
      <c r="O289" s="48">
        <f>IF(t&lt;Tnet,'2023'!Resal+('2023'!Salim-'2023'!Resal)*(1-EXP(('2023'!Tnet-t)/('2023'!Tau_j))),Resal+(Salim-Resal)*(1-EXP((Tnet-t)/(Tau_j))))*Salcycl</f>
        <v>5.5777014622452582E-2</v>
      </c>
      <c r="P289" s="171">
        <f>(INDEX(Models!$BJ289:$BT289,,T289)*(1-R289)+INDEX(Models!$BJ289:$BT289,,T289+1)*R289-ERP_i)*Q289*Ramure*Pc/MaxiM</f>
        <v>2.8288035417467793E-2</v>
      </c>
      <c r="Q289" s="307">
        <f t="shared" si="105"/>
        <v>0.9</v>
      </c>
      <c r="R289" s="179">
        <f t="shared" si="106"/>
        <v>0.79426497632997561</v>
      </c>
      <c r="S289" s="839">
        <f t="shared" si="107"/>
        <v>1</v>
      </c>
      <c r="T289" s="178">
        <f t="shared" si="108"/>
        <v>7</v>
      </c>
      <c r="U289" s="253">
        <f t="shared" si="109"/>
        <v>1.7942649763299756</v>
      </c>
      <c r="V289" s="385">
        <f t="shared" si="110"/>
        <v>33.841661899677803</v>
      </c>
      <c r="W289" s="404">
        <f t="shared" si="111"/>
        <v>32.548913527790461</v>
      </c>
      <c r="X289" s="157">
        <f t="shared" si="112"/>
        <v>45566</v>
      </c>
      <c r="Y289" s="387">
        <f t="shared" si="113"/>
        <v>29.759972270700572</v>
      </c>
      <c r="Z289" s="387">
        <f t="shared" si="114"/>
        <v>31.361953607497774</v>
      </c>
      <c r="AA289" s="388">
        <f t="shared" si="115"/>
        <v>36.327249276749932</v>
      </c>
      <c r="AB289" s="199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0.1366824014509139</v>
      </c>
      <c r="AD289" s="233">
        <f>(INDEX(Models!$BJ289:$BT289,,AH289)*(1-AF289)+INDEX(Models!$BJ289:$BT289,,AH289+1)*AF289-ERP_i)*AE289*Ramure*Pc/MaxiM</f>
        <v>2.8288035417467793E-2</v>
      </c>
      <c r="AE289" s="307">
        <f t="shared" si="117"/>
        <v>0.9</v>
      </c>
      <c r="AF289" s="179">
        <f t="shared" si="118"/>
        <v>0.79426497632997561</v>
      </c>
      <c r="AG289" s="839">
        <f t="shared" si="124"/>
        <v>1</v>
      </c>
      <c r="AH289" s="178">
        <f t="shared" si="119"/>
        <v>7</v>
      </c>
      <c r="AI289" s="227">
        <f t="shared" si="120"/>
        <v>1.7942649763299756</v>
      </c>
      <c r="AJ289" s="267" t="b">
        <f t="shared" si="121"/>
        <v>0</v>
      </c>
      <c r="AK289" s="267" t="b">
        <f t="shared" si="122"/>
        <v>0</v>
      </c>
      <c r="AL289" s="267"/>
      <c r="AM289" s="267"/>
      <c r="AN289" s="75"/>
    </row>
    <row r="290" spans="1:40" s="6" customFormat="1" ht="11.25" x14ac:dyDescent="0.2">
      <c r="A290" s="56">
        <f t="shared" si="123"/>
        <v>45567</v>
      </c>
      <c r="B290" s="413">
        <f>'2023'!Wh/'2023'!Env_an*'2024'!Env_an</f>
        <v>30.669586111448481</v>
      </c>
      <c r="C290" s="868"/>
      <c r="D290" s="395">
        <f t="shared" si="102"/>
        <v>32.32128418682516</v>
      </c>
      <c r="E290" s="387">
        <f t="shared" si="100"/>
        <v>34.236487174768314</v>
      </c>
      <c r="F290" s="387">
        <f t="shared" si="103"/>
        <v>35.159365945557894</v>
      </c>
      <c r="G290" s="110">
        <f t="shared" si="101"/>
        <v>0.91527404400063761</v>
      </c>
      <c r="H290" s="416" t="b">
        <f>Wh_hp&gt;='2023'!Maxi_hp</f>
        <v>0</v>
      </c>
      <c r="I290" s="392">
        <f>IF(H290,Wh_hp,'2023'!Maxi_hp)</f>
        <v>36.035375229537863</v>
      </c>
      <c r="J290" s="85">
        <f>IF(H290,An,'2023'!An_max)</f>
        <v>2018</v>
      </c>
      <c r="K290" s="199">
        <f t="shared" si="104"/>
        <v>45567</v>
      </c>
      <c r="L290" s="147">
        <f>IF(t&lt;Tvie,1-EXP((T0-t)*PertePVj)+'2023'!Pspv,1-EXP((T0-t)*PertePVj)+Pspv)</f>
        <v>5.1102489178011856E-2</v>
      </c>
      <c r="M290" s="872"/>
      <c r="N290" s="872"/>
      <c r="O290" s="48">
        <f>IF(t&lt;Tnet,'2023'!Resal+('2023'!Salim-'2023'!Resal)*(1-EXP(('2023'!Tnet-t)/('2023'!Tau_j))),Resal+(Salim-Resal)*(1-EXP((Tnet-t)/(Tau_j))))*Salcycl</f>
        <v>5.5940405864846443E-2</v>
      </c>
      <c r="P290" s="171">
        <f>(INDEX(Models!$BJ290:$BT290,,T290)*(1-R290)+INDEX(Models!$BJ290:$BT290,,T290+1)*R290-ERP_i)*Q290*Ramure*Pc/MaxiM</f>
        <v>2.9705530740932989E-2</v>
      </c>
      <c r="Q290" s="307">
        <f t="shared" si="105"/>
        <v>0.9</v>
      </c>
      <c r="R290" s="179">
        <f t="shared" si="106"/>
        <v>0.79452100461407893</v>
      </c>
      <c r="S290" s="839">
        <f t="shared" si="107"/>
        <v>1</v>
      </c>
      <c r="T290" s="178">
        <f t="shared" si="108"/>
        <v>7</v>
      </c>
      <c r="U290" s="253">
        <f t="shared" si="109"/>
        <v>1.7945210046140789</v>
      </c>
      <c r="V290" s="385">
        <f t="shared" si="110"/>
        <v>33.389672663602042</v>
      </c>
      <c r="W290" s="404">
        <f t="shared" si="111"/>
        <v>30.669586111448481</v>
      </c>
      <c r="X290" s="157">
        <f t="shared" si="112"/>
        <v>45567</v>
      </c>
      <c r="Y290" s="387">
        <f t="shared" si="113"/>
        <v>28.045520397103552</v>
      </c>
      <c r="Z290" s="387">
        <f t="shared" si="114"/>
        <v>29.555900481611499</v>
      </c>
      <c r="AA290" s="388">
        <f t="shared" si="115"/>
        <v>34.236487174768314</v>
      </c>
      <c r="AB290" s="199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0.13671340372228158</v>
      </c>
      <c r="AD290" s="233">
        <f>(INDEX(Models!$BJ290:$BT290,,AH290)*(1-AF290)+INDEX(Models!$BJ290:$BT290,,AH290+1)*AF290-ERP_i)*AE290*Ramure*Pc/MaxiM</f>
        <v>2.9705530740932989E-2</v>
      </c>
      <c r="AE290" s="307">
        <f t="shared" si="117"/>
        <v>0.9</v>
      </c>
      <c r="AF290" s="179">
        <f t="shared" si="118"/>
        <v>0.79452100461407893</v>
      </c>
      <c r="AG290" s="839">
        <f t="shared" si="124"/>
        <v>1</v>
      </c>
      <c r="AH290" s="178">
        <f t="shared" si="119"/>
        <v>7</v>
      </c>
      <c r="AI290" s="227">
        <f t="shared" si="120"/>
        <v>1.7945210046140789</v>
      </c>
      <c r="AJ290" s="267" t="b">
        <f t="shared" si="121"/>
        <v>0</v>
      </c>
      <c r="AK290" s="267" t="b">
        <f t="shared" si="122"/>
        <v>0</v>
      </c>
      <c r="AL290" s="267"/>
      <c r="AM290" s="267"/>
      <c r="AN290" s="75"/>
    </row>
    <row r="291" spans="1:40" s="6" customFormat="1" ht="11.25" x14ac:dyDescent="0.2">
      <c r="A291" s="56">
        <f t="shared" si="123"/>
        <v>45568</v>
      </c>
      <c r="B291" s="413">
        <f>'2023'!Wh/'2023'!Env_an*'2024'!Env_an</f>
        <v>32.750030235463399</v>
      </c>
      <c r="C291" s="868"/>
      <c r="D291" s="395">
        <f t="shared" si="102"/>
        <v>34.514572986789339</v>
      </c>
      <c r="E291" s="387">
        <f t="shared" si="100"/>
        <v>36.566010846003266</v>
      </c>
      <c r="F291" s="387">
        <f t="shared" si="103"/>
        <v>37.732732026409195</v>
      </c>
      <c r="G291" s="110">
        <f t="shared" si="101"/>
        <v>0.9941178991947639</v>
      </c>
      <c r="H291" s="416" t="b">
        <f>Wh_hp&gt;='2023'!Maxi_hp</f>
        <v>0</v>
      </c>
      <c r="I291" s="392">
        <f>IF(H291,Wh_hp,'2023'!Maxi_hp)</f>
        <v>37.738212573739389</v>
      </c>
      <c r="J291" s="85">
        <f>IF(H291,An,'2023'!An_max)</f>
        <v>2022</v>
      </c>
      <c r="K291" s="199">
        <f t="shared" si="104"/>
        <v>45568</v>
      </c>
      <c r="L291" s="147">
        <f>IF(t&lt;Tvie,1-EXP((T0-t)*PertePVj)+'2023'!Pspv,1-EXP((T0-t)*PertePVj)+Pspv)</f>
        <v>5.1124571409338682E-2</v>
      </c>
      <c r="M291" s="872"/>
      <c r="N291" s="872"/>
      <c r="O291" s="48">
        <f>IF(t&lt;Tnet,'2023'!Resal+('2023'!Salim-'2023'!Resal)*(1-EXP(('2023'!Tnet-t)/('2023'!Tau_j))),Resal+(Salim-Resal)*(1-EXP((Tnet-t)/(Tau_j))))*Salcycl</f>
        <v>5.610231501197941E-2</v>
      </c>
      <c r="P291" s="171">
        <f>(INDEX(Models!$BJ291:$BT291,,T291)*(1-R291)+INDEX(Models!$BJ291:$BT291,,T291+1)*R291-ERP_i)*Q291*Ramure*Pc/MaxiM</f>
        <v>3.1171151243033587E-2</v>
      </c>
      <c r="Q291" s="307">
        <f t="shared" si="105"/>
        <v>0.9</v>
      </c>
      <c r="R291" s="179">
        <f t="shared" si="106"/>
        <v>0.79476690196694144</v>
      </c>
      <c r="S291" s="839">
        <f t="shared" si="107"/>
        <v>1</v>
      </c>
      <c r="T291" s="178">
        <f t="shared" si="108"/>
        <v>7</v>
      </c>
      <c r="U291" s="253">
        <f t="shared" si="109"/>
        <v>1.7947669019669414</v>
      </c>
      <c r="V291" s="385">
        <f t="shared" si="110"/>
        <v>32.935293784926316</v>
      </c>
      <c r="W291" s="404">
        <f t="shared" si="111"/>
        <v>32.750030235463399</v>
      </c>
      <c r="X291" s="157">
        <f t="shared" si="112"/>
        <v>45568</v>
      </c>
      <c r="Y291" s="387">
        <f t="shared" si="113"/>
        <v>29.952122339953153</v>
      </c>
      <c r="Z291" s="387">
        <f t="shared" si="114"/>
        <v>31.565916280960316</v>
      </c>
      <c r="AA291" s="388">
        <f t="shared" si="115"/>
        <v>36.566010846003266</v>
      </c>
      <c r="AB291" s="199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0.13674159278956377</v>
      </c>
      <c r="AD291" s="233">
        <f>(INDEX(Models!$BJ291:$BT291,,AH291)*(1-AF291)+INDEX(Models!$BJ291:$BT291,,AH291+1)*AF291-ERP_i)*AE291*Ramure*Pc/MaxiM</f>
        <v>3.1171151243033587E-2</v>
      </c>
      <c r="AE291" s="307">
        <f t="shared" si="117"/>
        <v>0.9</v>
      </c>
      <c r="AF291" s="179">
        <f t="shared" si="118"/>
        <v>0.79476690196694144</v>
      </c>
      <c r="AG291" s="839">
        <f t="shared" si="124"/>
        <v>1</v>
      </c>
      <c r="AH291" s="178">
        <f t="shared" si="119"/>
        <v>7</v>
      </c>
      <c r="AI291" s="227">
        <f t="shared" si="120"/>
        <v>1.7947669019669414</v>
      </c>
      <c r="AJ291" s="267" t="b">
        <f t="shared" si="121"/>
        <v>0</v>
      </c>
      <c r="AK291" s="267" t="b">
        <f t="shared" si="122"/>
        <v>0</v>
      </c>
      <c r="AL291" s="267"/>
      <c r="AM291" s="267"/>
      <c r="AN291" s="75"/>
    </row>
    <row r="292" spans="1:40" s="6" customFormat="1" ht="11.25" x14ac:dyDescent="0.2">
      <c r="A292" s="56">
        <f t="shared" si="123"/>
        <v>45569</v>
      </c>
      <c r="B292" s="413">
        <f>'2023'!Wh/'2023'!Env_an*'2024'!Env_an</f>
        <v>33.031248567900512</v>
      </c>
      <c r="C292" s="868"/>
      <c r="D292" s="395">
        <f t="shared" si="102"/>
        <v>34.811753235364769</v>
      </c>
      <c r="E292" s="387">
        <f t="shared" si="100"/>
        <v>36.88712311060943</v>
      </c>
      <c r="F292" s="387">
        <f t="shared" si="103"/>
        <v>38.13355386302181</v>
      </c>
      <c r="G292" s="110">
        <f t="shared" si="101"/>
        <v>1.016986676016481</v>
      </c>
      <c r="H292" s="416" t="b">
        <f>Wh_hp&gt;='2023'!Maxi_hp</f>
        <v>1</v>
      </c>
      <c r="I292" s="392">
        <f>IF(H292,Wh_hp,'2023'!Maxi_hp)</f>
        <v>38.13355386302181</v>
      </c>
      <c r="J292" s="85">
        <f>IF(H292,An,'2023'!An_max)</f>
        <v>2024</v>
      </c>
      <c r="K292" s="199">
        <f t="shared" si="104"/>
        <v>45569</v>
      </c>
      <c r="L292" s="147">
        <f>IF(t&lt;Tvie,1-EXP((T0-t)*PertePVj)+'2023'!Pspv,1-EXP((T0-t)*PertePVj)+Pspv)</f>
        <v>5.1146653126779795E-2</v>
      </c>
      <c r="M292" s="872"/>
      <c r="N292" s="872"/>
      <c r="O292" s="48">
        <f>IF(t&lt;Tnet,'2023'!Resal+('2023'!Salim-'2023'!Resal)*(1-EXP(('2023'!Tnet-t)/('2023'!Tau_j))),Resal+(Salim-Resal)*(1-EXP((Tnet-t)/(Tau_j))))*Salcycl</f>
        <v>5.6262719893375029E-2</v>
      </c>
      <c r="P292" s="171">
        <f>(INDEX(Models!$BJ292:$BT292,,T292)*(1-R292)+INDEX(Models!$BJ292:$BT292,,T292+1)*R292-ERP_i)*Q292*Ramure*Pc/MaxiM</f>
        <v>3.2685932102988348E-2</v>
      </c>
      <c r="Q292" s="307">
        <f t="shared" si="105"/>
        <v>0.9</v>
      </c>
      <c r="R292" s="179">
        <f t="shared" si="106"/>
        <v>0.79500306245651586</v>
      </c>
      <c r="S292" s="839">
        <f t="shared" si="107"/>
        <v>1</v>
      </c>
      <c r="T292" s="178">
        <f t="shared" si="108"/>
        <v>7</v>
      </c>
      <c r="U292" s="253">
        <f t="shared" si="109"/>
        <v>1.7950030624565159</v>
      </c>
      <c r="V292" s="385">
        <f t="shared" si="110"/>
        <v>32.479529326070761</v>
      </c>
      <c r="W292" s="404">
        <f t="shared" si="111"/>
        <v>33.031248567900512</v>
      </c>
      <c r="X292" s="157">
        <f t="shared" si="112"/>
        <v>45569</v>
      </c>
      <c r="Y292" s="387">
        <f t="shared" si="113"/>
        <v>30.2135632075166</v>
      </c>
      <c r="Z292" s="387">
        <f t="shared" si="114"/>
        <v>31.842184366087867</v>
      </c>
      <c r="AA292" s="388">
        <f t="shared" si="115"/>
        <v>36.88712311060943</v>
      </c>
      <c r="AB292" s="199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0.13676693434166312</v>
      </c>
      <c r="AD292" s="233">
        <f>(INDEX(Models!$BJ292:$BT292,,AH292)*(1-AF292)+INDEX(Models!$BJ292:$BT292,,AH292+1)*AF292-ERP_i)*AE292*Ramure*Pc/MaxiM</f>
        <v>3.2685932102988348E-2</v>
      </c>
      <c r="AE292" s="307">
        <f t="shared" si="117"/>
        <v>0.9</v>
      </c>
      <c r="AF292" s="179">
        <f t="shared" si="118"/>
        <v>0.79500306245651586</v>
      </c>
      <c r="AG292" s="839">
        <f t="shared" si="124"/>
        <v>1</v>
      </c>
      <c r="AH292" s="178">
        <f t="shared" si="119"/>
        <v>7</v>
      </c>
      <c r="AI292" s="227">
        <f t="shared" si="120"/>
        <v>1.7950030624565159</v>
      </c>
      <c r="AJ292" s="267" t="b">
        <f t="shared" si="121"/>
        <v>0</v>
      </c>
      <c r="AK292" s="267" t="b">
        <f t="shared" si="122"/>
        <v>0</v>
      </c>
      <c r="AL292" s="267"/>
      <c r="AM292" s="267"/>
      <c r="AN292" s="75"/>
    </row>
    <row r="293" spans="1:40" s="6" customFormat="1" ht="11.25" x14ac:dyDescent="0.2">
      <c r="A293" s="56">
        <f t="shared" si="123"/>
        <v>45570</v>
      </c>
      <c r="B293" s="413">
        <f>'2023'!Wh/'2023'!Env_an*'2024'!Env_an</f>
        <v>14.174244460697221</v>
      </c>
      <c r="C293" s="868"/>
      <c r="D293" s="395">
        <f t="shared" si="102"/>
        <v>14.938635533572473</v>
      </c>
      <c r="E293" s="387">
        <f t="shared" si="100"/>
        <v>15.831896475486586</v>
      </c>
      <c r="F293" s="387">
        <f t="shared" si="103"/>
        <v>15.94315478700509</v>
      </c>
      <c r="G293" s="110">
        <f t="shared" si="101"/>
        <v>0.43046554871881443</v>
      </c>
      <c r="H293" s="416" t="b">
        <f>Wh_hp&gt;='2023'!Maxi_hp</f>
        <v>0</v>
      </c>
      <c r="I293" s="392">
        <f>IF(H293,Wh_hp,'2023'!Maxi_hp)</f>
        <v>33.977858149363783</v>
      </c>
      <c r="J293" s="85">
        <f>IF(H293,An,'2023'!An_max)</f>
        <v>2018</v>
      </c>
      <c r="K293" s="199">
        <f t="shared" si="104"/>
        <v>45570</v>
      </c>
      <c r="L293" s="147">
        <f>IF(t&lt;Tvie,1-EXP((T0-t)*PertePVj)+'2023'!Pspv,1-EXP((T0-t)*PertePVj)+Pspv)</f>
        <v>5.1168734330347077E-2</v>
      </c>
      <c r="M293" s="872"/>
      <c r="N293" s="872"/>
      <c r="O293" s="48">
        <f>IF(t&lt;Tnet,'2023'!Resal+('2023'!Salim-'2023'!Resal)*(1-EXP(('2023'!Tnet-t)/('2023'!Tau_j))),Resal+(Salim-Resal)*(1-EXP((Tnet-t)/(Tau_j))))*Salcycl</f>
        <v>5.6421600741086188E-2</v>
      </c>
      <c r="P293" s="171">
        <f>(INDEX(Models!$BJ293:$BT293,,T293)*(1-R293)+INDEX(Models!$BJ293:$BT293,,T293+1)*R293-ERP_i)*Q293*Ramure*Pc/MaxiM</f>
        <v>3.4250789592326525E-2</v>
      </c>
      <c r="Q293" s="307">
        <f t="shared" si="105"/>
        <v>0.9</v>
      </c>
      <c r="R293" s="179">
        <f t="shared" si="106"/>
        <v>0.79522986535597062</v>
      </c>
      <c r="S293" s="839">
        <f t="shared" si="107"/>
        <v>1</v>
      </c>
      <c r="T293" s="178">
        <f t="shared" si="108"/>
        <v>7</v>
      </c>
      <c r="U293" s="253">
        <f t="shared" si="109"/>
        <v>1.7952298653559706</v>
      </c>
      <c r="V293" s="385">
        <f t="shared" si="110"/>
        <v>32.023382454379323</v>
      </c>
      <c r="W293" s="404">
        <f t="shared" si="111"/>
        <v>14.174244460697221</v>
      </c>
      <c r="X293" s="157">
        <f t="shared" si="112"/>
        <v>45570</v>
      </c>
      <c r="Y293" s="387">
        <f t="shared" si="113"/>
        <v>12.966975582430354</v>
      </c>
      <c r="Z293" s="387">
        <f t="shared" si="114"/>
        <v>13.666260853323275</v>
      </c>
      <c r="AA293" s="388">
        <f t="shared" si="115"/>
        <v>15.831896475486586</v>
      </c>
      <c r="AB293" s="199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0.13678940015281726</v>
      </c>
      <c r="AD293" s="233">
        <f>(INDEX(Models!$BJ293:$BT293,,AH293)*(1-AF293)+INDEX(Models!$BJ293:$BT293,,AH293+1)*AF293-ERP_i)*AE293*Ramure*Pc/MaxiM</f>
        <v>3.4250789592326525E-2</v>
      </c>
      <c r="AE293" s="307">
        <f t="shared" si="117"/>
        <v>0.9</v>
      </c>
      <c r="AF293" s="179">
        <f t="shared" si="118"/>
        <v>0.79522986535597062</v>
      </c>
      <c r="AG293" s="839">
        <f t="shared" si="124"/>
        <v>1</v>
      </c>
      <c r="AH293" s="178">
        <f t="shared" si="119"/>
        <v>7</v>
      </c>
      <c r="AI293" s="227">
        <f t="shared" si="120"/>
        <v>1.7952298653559706</v>
      </c>
      <c r="AJ293" s="267" t="b">
        <f t="shared" si="121"/>
        <v>0</v>
      </c>
      <c r="AK293" s="267" t="b">
        <f t="shared" si="122"/>
        <v>0</v>
      </c>
      <c r="AL293" s="267"/>
      <c r="AM293" s="267"/>
      <c r="AN293" s="75"/>
    </row>
    <row r="294" spans="1:40" s="6" customFormat="1" ht="11.25" x14ac:dyDescent="0.2">
      <c r="A294" s="56">
        <f t="shared" si="123"/>
        <v>45571</v>
      </c>
      <c r="B294" s="413">
        <f>'2023'!Wh/'2023'!Env_an*'2024'!Env_an</f>
        <v>24.305758250198309</v>
      </c>
      <c r="C294" s="868"/>
      <c r="D294" s="395">
        <f t="shared" si="102"/>
        <v>25.617119474567478</v>
      </c>
      <c r="E294" s="387">
        <f t="shared" si="100"/>
        <v>27.153431879453983</v>
      </c>
      <c r="F294" s="387">
        <f t="shared" si="103"/>
        <v>27.82340194002624</v>
      </c>
      <c r="G294" s="110">
        <f t="shared" si="101"/>
        <v>0.76065333025247839</v>
      </c>
      <c r="H294" s="416" t="b">
        <f>Wh_hp&gt;='2023'!Maxi_hp</f>
        <v>0</v>
      </c>
      <c r="I294" s="392">
        <f>IF(H294,Wh_hp,'2023'!Maxi_hp)</f>
        <v>36.648914494338172</v>
      </c>
      <c r="J294" s="85">
        <f>IF(H294,An,'2023'!An_max)</f>
        <v>2021</v>
      </c>
      <c r="K294" s="199">
        <f t="shared" si="104"/>
        <v>45571</v>
      </c>
      <c r="L294" s="147">
        <f>IF(t&lt;Tvie,1-EXP((T0-t)*PertePVj)+'2023'!Pspv,1-EXP((T0-t)*PertePVj)+Pspv)</f>
        <v>5.1190815020052516E-2</v>
      </c>
      <c r="M294" s="872"/>
      <c r="N294" s="872"/>
      <c r="O294" s="48">
        <f>IF(t&lt;Tnet,'2023'!Resal+('2023'!Salim-'2023'!Resal)*(1-EXP(('2023'!Tnet-t)/('2023'!Tau_j))),Resal+(Salim-Resal)*(1-EXP((Tnet-t)/(Tau_j))))*Salcycl</f>
        <v>5.6578940434007505E-2</v>
      </c>
      <c r="P294" s="171">
        <f>(INDEX(Models!$BJ294:$BT294,,T294)*(1-R294)+INDEX(Models!$BJ294:$BT294,,T294+1)*R294-ERP_i)*Q294*Ramure*Pc/MaxiM</f>
        <v>3.5866498279437019E-2</v>
      </c>
      <c r="Q294" s="307">
        <f t="shared" si="105"/>
        <v>0.9</v>
      </c>
      <c r="R294" s="179">
        <f t="shared" si="106"/>
        <v>0.7954476756571025</v>
      </c>
      <c r="S294" s="839">
        <f t="shared" si="107"/>
        <v>1</v>
      </c>
      <c r="T294" s="178">
        <f t="shared" si="108"/>
        <v>7</v>
      </c>
      <c r="U294" s="253">
        <f t="shared" si="109"/>
        <v>1.7954476756571025</v>
      </c>
      <c r="V294" s="385">
        <f t="shared" si="110"/>
        <v>31.567855464292471</v>
      </c>
      <c r="W294" s="404">
        <f t="shared" si="111"/>
        <v>24.305758250198309</v>
      </c>
      <c r="X294" s="157">
        <f t="shared" si="112"/>
        <v>45571</v>
      </c>
      <c r="Y294" s="387">
        <f t="shared" si="113"/>
        <v>22.238757891211471</v>
      </c>
      <c r="Z294" s="387">
        <f t="shared" si="114"/>
        <v>23.438598870310759</v>
      </c>
      <c r="AA294" s="388">
        <f t="shared" si="115"/>
        <v>27.153431879453983</v>
      </c>
      <c r="AB294" s="199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0.13680896859133684</v>
      </c>
      <c r="AD294" s="233">
        <f>(INDEX(Models!$BJ294:$BT294,,AH294)*(1-AF294)+INDEX(Models!$BJ294:$BT294,,AH294+1)*AF294-ERP_i)*AE294*Ramure*Pc/MaxiM</f>
        <v>3.5866498279437019E-2</v>
      </c>
      <c r="AE294" s="307">
        <f t="shared" si="117"/>
        <v>0.9</v>
      </c>
      <c r="AF294" s="179">
        <f t="shared" si="118"/>
        <v>0.7954476756571025</v>
      </c>
      <c r="AG294" s="839">
        <f t="shared" si="124"/>
        <v>1</v>
      </c>
      <c r="AH294" s="178">
        <f t="shared" si="119"/>
        <v>7</v>
      </c>
      <c r="AI294" s="227">
        <f t="shared" si="120"/>
        <v>1.7954476756571025</v>
      </c>
      <c r="AJ294" s="267" t="b">
        <f t="shared" si="121"/>
        <v>0</v>
      </c>
      <c r="AK294" s="267" t="b">
        <f t="shared" si="122"/>
        <v>0</v>
      </c>
      <c r="AL294" s="267"/>
      <c r="AM294" s="267"/>
      <c r="AN294" s="75"/>
    </row>
    <row r="295" spans="1:40" s="6" customFormat="1" ht="11.25" x14ac:dyDescent="0.2">
      <c r="A295" s="56">
        <f t="shared" si="123"/>
        <v>45572</v>
      </c>
      <c r="B295" s="413">
        <f>'2023'!Wh/'2023'!Env_an*'2024'!Env_an</f>
        <v>14.864829227110643</v>
      </c>
      <c r="C295" s="868"/>
      <c r="D295" s="395">
        <f t="shared" si="102"/>
        <v>15.667191461439574</v>
      </c>
      <c r="E295" s="387">
        <f t="shared" si="100"/>
        <v>16.609528488243924</v>
      </c>
      <c r="F295" s="387">
        <f t="shared" si="103"/>
        <v>16.769359110347885</v>
      </c>
      <c r="G295" s="110">
        <f t="shared" si="101"/>
        <v>0.46424740626170818</v>
      </c>
      <c r="H295" s="416" t="b">
        <f>Wh_hp&gt;='2023'!Maxi_hp</f>
        <v>0</v>
      </c>
      <c r="I295" s="392">
        <f>IF(H295,Wh_hp,'2023'!Maxi_hp)</f>
        <v>35.752420228658309</v>
      </c>
      <c r="J295" s="85">
        <f>IF(H295,An,'2023'!An_max)</f>
        <v>2021</v>
      </c>
      <c r="K295" s="199">
        <f t="shared" si="104"/>
        <v>45572</v>
      </c>
      <c r="L295" s="147">
        <f>IF(t&lt;Tvie,1-EXP((T0-t)*PertePVj)+'2023'!Pspv,1-EXP((T0-t)*PertePVj)+Pspv)</f>
        <v>5.1212895195907993E-2</v>
      </c>
      <c r="M295" s="872"/>
      <c r="N295" s="872"/>
      <c r="O295" s="48">
        <f>IF(t&lt;Tnet,'2023'!Resal+('2023'!Salim-'2023'!Resal)*(1-EXP(('2023'!Tnet-t)/('2023'!Tau_j))),Resal+(Salim-Resal)*(1-EXP((Tnet-t)/(Tau_j))))*Salcycl</f>
        <v>5.6734724737750895E-2</v>
      </c>
      <c r="P295" s="171">
        <f>(INDEX(Models!$BJ295:$BT295,,T295)*(1-R295)+INDEX(Models!$BJ295:$BT295,,T295+1)*R295-ERP_i)*Q295*Ramure*Pc/MaxiM</f>
        <v>3.7533665971317055E-2</v>
      </c>
      <c r="Q295" s="307">
        <f t="shared" si="105"/>
        <v>0.9</v>
      </c>
      <c r="R295" s="179">
        <f t="shared" si="106"/>
        <v>0.79565684456930841</v>
      </c>
      <c r="S295" s="839">
        <f t="shared" si="107"/>
        <v>1</v>
      </c>
      <c r="T295" s="178">
        <f t="shared" si="108"/>
        <v>7</v>
      </c>
      <c r="U295" s="253">
        <f t="shared" si="109"/>
        <v>1.7956568445693084</v>
      </c>
      <c r="V295" s="385">
        <f t="shared" si="110"/>
        <v>31.113949806198733</v>
      </c>
      <c r="W295" s="404">
        <f t="shared" si="111"/>
        <v>14.864829227110643</v>
      </c>
      <c r="X295" s="157">
        <f t="shared" si="112"/>
        <v>45572</v>
      </c>
      <c r="Y295" s="387">
        <f t="shared" si="113"/>
        <v>13.602684220922331</v>
      </c>
      <c r="Z295" s="387">
        <f t="shared" si="114"/>
        <v>14.336919370053041</v>
      </c>
      <c r="AA295" s="388">
        <f t="shared" si="115"/>
        <v>16.609528488243924</v>
      </c>
      <c r="AB295" s="199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0.13682562511027432</v>
      </c>
      <c r="AD295" s="233">
        <f>(INDEX(Models!$BJ295:$BT295,,AH295)*(1-AF295)+INDEX(Models!$BJ295:$BT295,,AH295+1)*AF295-ERP_i)*AE295*Ramure*Pc/MaxiM</f>
        <v>3.7533665971317055E-2</v>
      </c>
      <c r="AE295" s="307">
        <f t="shared" si="117"/>
        <v>0.9</v>
      </c>
      <c r="AF295" s="179">
        <f t="shared" si="118"/>
        <v>0.79565684456930841</v>
      </c>
      <c r="AG295" s="839">
        <f t="shared" si="124"/>
        <v>1</v>
      </c>
      <c r="AH295" s="178">
        <f t="shared" si="119"/>
        <v>7</v>
      </c>
      <c r="AI295" s="227">
        <f t="shared" si="120"/>
        <v>1.7956568445693084</v>
      </c>
      <c r="AJ295" s="267" t="b">
        <f t="shared" si="121"/>
        <v>0</v>
      </c>
      <c r="AK295" s="267" t="b">
        <f t="shared" si="122"/>
        <v>0</v>
      </c>
      <c r="AL295" s="267"/>
      <c r="AM295" s="267"/>
      <c r="AN295" s="75"/>
    </row>
    <row r="296" spans="1:40" s="6" customFormat="1" ht="11.25" x14ac:dyDescent="0.2">
      <c r="A296" s="56">
        <f t="shared" si="123"/>
        <v>45573</v>
      </c>
      <c r="B296" s="413">
        <f>'2023'!Wh/'2023'!Env_an*'2024'!Env_an</f>
        <v>29.984351223257022</v>
      </c>
      <c r="C296" s="868"/>
      <c r="D296" s="395">
        <f t="shared" si="102"/>
        <v>31.603558761840912</v>
      </c>
      <c r="E296" s="387">
        <f t="shared" si="100"/>
        <v>33.509901630128681</v>
      </c>
      <c r="F296" s="387">
        <f t="shared" si="103"/>
        <v>34.833740323293924</v>
      </c>
      <c r="G296" s="110">
        <f t="shared" si="101"/>
        <v>0.97660933048691223</v>
      </c>
      <c r="H296" s="416" t="b">
        <f>Wh_hp&gt;='2023'!Maxi_hp</f>
        <v>0</v>
      </c>
      <c r="I296" s="392">
        <f>IF(H296,Wh_hp,'2023'!Maxi_hp)</f>
        <v>34.859155610094177</v>
      </c>
      <c r="J296" s="85">
        <f>IF(H296,An,'2023'!An_max)</f>
        <v>2022</v>
      </c>
      <c r="K296" s="199">
        <f t="shared" si="104"/>
        <v>45573</v>
      </c>
      <c r="L296" s="147">
        <f>IF(t&lt;Tvie,1-EXP((T0-t)*PertePVj)+'2023'!Pspv,1-EXP((T0-t)*PertePVj)+Pspv)</f>
        <v>5.1234974857925497E-2</v>
      </c>
      <c r="M296" s="872"/>
      <c r="N296" s="872"/>
      <c r="O296" s="48">
        <f>IF(t&lt;Tnet,'2023'!Resal+('2023'!Salim-'2023'!Resal)*(1-EXP(('2023'!Tnet-t)/('2023'!Tau_j))),Resal+(Salim-Resal)*(1-EXP((Tnet-t)/(Tau_j))))*Salcycl</f>
        <v>5.6888942537920782E-2</v>
      </c>
      <c r="P296" s="171">
        <f>(INDEX(Models!$BJ296:$BT296,,T296)*(1-R296)+INDEX(Models!$BJ296:$BT296,,T296+1)*R296-ERP_i)*Q296*Ramure*Pc/MaxiM</f>
        <v>3.9245175498268732E-2</v>
      </c>
      <c r="Q296" s="307">
        <f t="shared" si="105"/>
        <v>0.9</v>
      </c>
      <c r="R296" s="179">
        <f t="shared" si="106"/>
        <v>0.79585771000423589</v>
      </c>
      <c r="S296" s="839">
        <f t="shared" si="107"/>
        <v>1</v>
      </c>
      <c r="T296" s="178">
        <f t="shared" si="108"/>
        <v>7</v>
      </c>
      <c r="U296" s="253">
        <f t="shared" si="109"/>
        <v>1.7958577100042359</v>
      </c>
      <c r="V296" s="385">
        <f t="shared" si="110"/>
        <v>30.662906460927683</v>
      </c>
      <c r="W296" s="404">
        <f t="shared" si="111"/>
        <v>29.984351223257022</v>
      </c>
      <c r="X296" s="157">
        <f t="shared" si="112"/>
        <v>45573</v>
      </c>
      <c r="Y296" s="387">
        <f t="shared" si="113"/>
        <v>27.442485702674468</v>
      </c>
      <c r="Z296" s="387">
        <f t="shared" si="114"/>
        <v>28.924428046412277</v>
      </c>
      <c r="AA296" s="388">
        <f t="shared" si="115"/>
        <v>33.509901630128681</v>
      </c>
      <c r="AB296" s="199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0.13683936271521649</v>
      </c>
      <c r="AD296" s="233">
        <f>(INDEX(Models!$BJ296:$BT296,,AH296)*(1-AF296)+INDEX(Models!$BJ296:$BT296,,AH296+1)*AF296-ERP_i)*AE296*Ramure*Pc/MaxiM</f>
        <v>3.9245175498268732E-2</v>
      </c>
      <c r="AE296" s="307">
        <f t="shared" si="117"/>
        <v>0.9</v>
      </c>
      <c r="AF296" s="179">
        <f t="shared" si="118"/>
        <v>0.79585771000423589</v>
      </c>
      <c r="AG296" s="839">
        <f t="shared" si="124"/>
        <v>1</v>
      </c>
      <c r="AH296" s="178">
        <f t="shared" si="119"/>
        <v>7</v>
      </c>
      <c r="AI296" s="227">
        <f t="shared" si="120"/>
        <v>1.7958577100042359</v>
      </c>
      <c r="AJ296" s="267" t="b">
        <f t="shared" si="121"/>
        <v>0</v>
      </c>
      <c r="AK296" s="267" t="b">
        <f t="shared" si="122"/>
        <v>0</v>
      </c>
      <c r="AL296" s="267"/>
      <c r="AM296" s="267"/>
      <c r="AN296" s="75"/>
    </row>
    <row r="297" spans="1:40" s="6" customFormat="1" ht="11.25" x14ac:dyDescent="0.2">
      <c r="A297" s="56">
        <f t="shared" si="123"/>
        <v>45574</v>
      </c>
      <c r="B297" s="413">
        <f>'2023'!Wh/'2023'!Env_an*'2024'!Env_an</f>
        <v>25.575342740773543</v>
      </c>
      <c r="C297" s="868"/>
      <c r="D297" s="395">
        <f t="shared" si="102"/>
        <v>26.957083421559837</v>
      </c>
      <c r="E297" s="387">
        <f t="shared" ref="E297:E360" si="125">Wh_pvt/(1-Psa)</f>
        <v>28.587775476816336</v>
      </c>
      <c r="F297" s="387">
        <f t="shared" si="103"/>
        <v>29.532537077913091</v>
      </c>
      <c r="G297" s="110">
        <f t="shared" ref="G297:G360" si="126">+Wh_hp/MaxiM</f>
        <v>0.83854625420182749</v>
      </c>
      <c r="H297" s="416" t="b">
        <f>Wh_hp&gt;='2023'!Maxi_hp</f>
        <v>0</v>
      </c>
      <c r="I297" s="392">
        <f>IF(H297,Wh_hp,'2023'!Maxi_hp)</f>
        <v>29.687816972042782</v>
      </c>
      <c r="J297" s="85">
        <f>IF(H297,An,'2023'!An_max)</f>
        <v>2022</v>
      </c>
      <c r="K297" s="199">
        <f t="shared" si="104"/>
        <v>45574</v>
      </c>
      <c r="L297" s="147">
        <f>IF(t&lt;Tvie,1-EXP((T0-t)*PertePVj)+'2023'!Pspv,1-EXP((T0-t)*PertePVj)+Pspv)</f>
        <v>5.125705400611702E-2</v>
      </c>
      <c r="M297" s="872"/>
      <c r="N297" s="872"/>
      <c r="O297" s="48">
        <f>IF(t&lt;Tnet,'2023'!Resal+('2023'!Salim-'2023'!Resal)*(1-EXP(('2023'!Tnet-t)/('2023'!Tau_j))),Resal+(Salim-Resal)*(1-EXP((Tnet-t)/(Tau_j))))*Salcycl</f>
        <v>5.7041586064607609E-2</v>
      </c>
      <c r="P297" s="171">
        <f>(INDEX(Models!$BJ297:$BT297,,T297)*(1-R297)+INDEX(Models!$BJ297:$BT297,,T297+1)*R297-ERP_i)*Q297*Ramure*Pc/MaxiM</f>
        <v>4.0982809593110868E-2</v>
      </c>
      <c r="Q297" s="307">
        <f t="shared" si="105"/>
        <v>0.9</v>
      </c>
      <c r="R297" s="179">
        <f t="shared" si="106"/>
        <v>0.79605059704626324</v>
      </c>
      <c r="S297" s="839">
        <f t="shared" si="107"/>
        <v>1</v>
      </c>
      <c r="T297" s="178">
        <f t="shared" si="108"/>
        <v>7</v>
      </c>
      <c r="U297" s="253">
        <f t="shared" si="109"/>
        <v>1.7960505970462632</v>
      </c>
      <c r="V297" s="385">
        <f t="shared" si="110"/>
        <v>30.216296021452262</v>
      </c>
      <c r="W297" s="404">
        <f t="shared" si="111"/>
        <v>25.575342740773543</v>
      </c>
      <c r="X297" s="157">
        <f t="shared" si="112"/>
        <v>45574</v>
      </c>
      <c r="Y297" s="387">
        <f t="shared" si="113"/>
        <v>23.410738051015386</v>
      </c>
      <c r="Z297" s="387">
        <f t="shared" si="114"/>
        <v>24.675533188276614</v>
      </c>
      <c r="AA297" s="388">
        <f t="shared" si="115"/>
        <v>28.587775476816336</v>
      </c>
      <c r="AB297" s="199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0.13685018240444805</v>
      </c>
      <c r="AD297" s="233">
        <f>(INDEX(Models!$BJ297:$BT297,,AH297)*(1-AF297)+INDEX(Models!$BJ297:$BT297,,AH297+1)*AF297-ERP_i)*AE297*Ramure*Pc/MaxiM</f>
        <v>4.0982809593110868E-2</v>
      </c>
      <c r="AE297" s="307">
        <f t="shared" si="117"/>
        <v>0.9</v>
      </c>
      <c r="AF297" s="179">
        <f t="shared" si="118"/>
        <v>0.79605059704626324</v>
      </c>
      <c r="AG297" s="839">
        <f t="shared" si="124"/>
        <v>1</v>
      </c>
      <c r="AH297" s="178">
        <f t="shared" si="119"/>
        <v>7</v>
      </c>
      <c r="AI297" s="227">
        <f t="shared" si="120"/>
        <v>1.7960505970462632</v>
      </c>
      <c r="AJ297" s="267" t="b">
        <f t="shared" si="121"/>
        <v>0</v>
      </c>
      <c r="AK297" s="267" t="b">
        <f t="shared" si="122"/>
        <v>0</v>
      </c>
      <c r="AL297" s="267"/>
      <c r="AM297" s="267"/>
      <c r="AN297" s="75"/>
    </row>
    <row r="298" spans="1:40" s="6" customFormat="1" ht="11.25" x14ac:dyDescent="0.2">
      <c r="A298" s="56">
        <f t="shared" si="123"/>
        <v>45575</v>
      </c>
      <c r="B298" s="413">
        <f>'2023'!Wh/'2023'!Env_an*'2024'!Env_an</f>
        <v>22.078647235476055</v>
      </c>
      <c r="C298" s="868"/>
      <c r="D298" s="395">
        <f t="shared" si="102"/>
        <v>23.272016032413923</v>
      </c>
      <c r="E298" s="387">
        <f t="shared" si="125"/>
        <v>24.683744838977184</v>
      </c>
      <c r="F298" s="387">
        <f t="shared" si="103"/>
        <v>25.367683132041186</v>
      </c>
      <c r="G298" s="110">
        <f t="shared" si="126"/>
        <v>0.72948463489962212</v>
      </c>
      <c r="H298" s="416" t="b">
        <f>Wh_hp&gt;='2023'!Maxi_hp</f>
        <v>0</v>
      </c>
      <c r="I298" s="392">
        <f>IF(H298,Wh_hp,'2023'!Maxi_hp)</f>
        <v>35.147507739823403</v>
      </c>
      <c r="J298" s="85">
        <f>IF(H298,An,'2023'!An_max)</f>
        <v>2019</v>
      </c>
      <c r="K298" s="199">
        <f t="shared" si="104"/>
        <v>45575</v>
      </c>
      <c r="L298" s="147">
        <f>IF(t&lt;Tvie,1-EXP((T0-t)*PertePVj)+'2023'!Pspv,1-EXP((T0-t)*PertePVj)+Pspv)</f>
        <v>5.1279132640494551E-2</v>
      </c>
      <c r="M298" s="872"/>
      <c r="N298" s="872"/>
      <c r="O298" s="48">
        <f>IF(t&lt;Tnet,'2023'!Resal+('2023'!Salim-'2023'!Resal)*(1-EXP(('2023'!Tnet-t)/('2023'!Tau_j))),Resal+(Salim-Resal)*(1-EXP((Tnet-t)/(Tau_j))))*Salcycl</f>
        <v>5.7192651105923378E-2</v>
      </c>
      <c r="P298" s="171">
        <f>(INDEX(Models!$BJ298:$BT298,,T298)*(1-R298)+INDEX(Models!$BJ298:$BT298,,T298+1)*R298-ERP_i)*Q298*Ramure*Pc/MaxiM</f>
        <v>4.2745491885168831E-2</v>
      </c>
      <c r="Q298" s="307">
        <f t="shared" si="105"/>
        <v>0.9</v>
      </c>
      <c r="R298" s="179">
        <f t="shared" si="106"/>
        <v>0.79623581840897639</v>
      </c>
      <c r="S298" s="839">
        <f t="shared" si="107"/>
        <v>1</v>
      </c>
      <c r="T298" s="178">
        <f t="shared" si="108"/>
        <v>7</v>
      </c>
      <c r="U298" s="253">
        <f t="shared" si="109"/>
        <v>1.7962358184089764</v>
      </c>
      <c r="V298" s="385">
        <f t="shared" si="110"/>
        <v>29.775117770507361</v>
      </c>
      <c r="W298" s="404">
        <f t="shared" si="111"/>
        <v>22.078647235476055</v>
      </c>
      <c r="X298" s="157">
        <f t="shared" si="112"/>
        <v>45575</v>
      </c>
      <c r="Y298" s="387">
        <f t="shared" si="113"/>
        <v>20.213043193211586</v>
      </c>
      <c r="Z298" s="387">
        <f t="shared" si="114"/>
        <v>21.305574577977652</v>
      </c>
      <c r="AA298" s="388">
        <f t="shared" si="115"/>
        <v>24.683744838977184</v>
      </c>
      <c r="AB298" s="199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0.13685809357683804</v>
      </c>
      <c r="AD298" s="233">
        <f>(INDEX(Models!$BJ298:$BT298,,AH298)*(1-AF298)+INDEX(Models!$BJ298:$BT298,,AH298+1)*AF298-ERP_i)*AE298*Ramure*Pc/MaxiM</f>
        <v>4.2745491885168831E-2</v>
      </c>
      <c r="AE298" s="307">
        <f t="shared" si="117"/>
        <v>0.9</v>
      </c>
      <c r="AF298" s="179">
        <f t="shared" si="118"/>
        <v>0.79623581840897639</v>
      </c>
      <c r="AG298" s="839">
        <f t="shared" si="124"/>
        <v>1</v>
      </c>
      <c r="AH298" s="178">
        <f t="shared" si="119"/>
        <v>7</v>
      </c>
      <c r="AI298" s="227">
        <f t="shared" si="120"/>
        <v>1.7962358184089764</v>
      </c>
      <c r="AJ298" s="267" t="b">
        <f t="shared" si="121"/>
        <v>0</v>
      </c>
      <c r="AK298" s="267" t="b">
        <f t="shared" si="122"/>
        <v>0</v>
      </c>
      <c r="AL298" s="267"/>
      <c r="AM298" s="267"/>
      <c r="AN298" s="75"/>
    </row>
    <row r="299" spans="1:40" s="6" customFormat="1" ht="11.25" x14ac:dyDescent="0.2">
      <c r="A299" s="56">
        <f t="shared" si="123"/>
        <v>45576</v>
      </c>
      <c r="B299" s="413">
        <f>'2023'!Wh/'2023'!Env_an*'2024'!Env_an</f>
        <v>23.784999461531775</v>
      </c>
      <c r="C299" s="868"/>
      <c r="D299" s="395">
        <f t="shared" si="102"/>
        <v>25.071181423782249</v>
      </c>
      <c r="E299" s="387">
        <f t="shared" si="125"/>
        <v>26.596268289256951</v>
      </c>
      <c r="F299" s="387">
        <f t="shared" si="103"/>
        <v>27.489298499545125</v>
      </c>
      <c r="G299" s="110">
        <f t="shared" si="126"/>
        <v>0.80056523910181387</v>
      </c>
      <c r="H299" s="416" t="b">
        <f>Wh_hp&gt;='2023'!Maxi_hp</f>
        <v>0</v>
      </c>
      <c r="I299" s="392">
        <f>IF(H299,Wh_hp,'2023'!Maxi_hp)</f>
        <v>33.883133366229487</v>
      </c>
      <c r="J299" s="85">
        <f>IF(H299,An,'2023'!An_max)</f>
        <v>2021</v>
      </c>
      <c r="K299" s="199">
        <f t="shared" si="104"/>
        <v>45576</v>
      </c>
      <c r="L299" s="147">
        <f>IF(t&lt;Tvie,1-EXP((T0-t)*PertePVj)+'2023'!Pspv,1-EXP((T0-t)*PertePVj)+Pspv)</f>
        <v>5.1301210761069971E-2</v>
      </c>
      <c r="M299" s="872"/>
      <c r="N299" s="872"/>
      <c r="O299" s="48">
        <f>IF(t&lt;Tnet,'2023'!Resal+('2023'!Salim-'2023'!Resal)*(1-EXP(('2023'!Tnet-t)/('2023'!Tau_j))),Resal+(Salim-Resal)*(1-EXP((Tnet-t)/(Tau_j))))*Salcycl</f>
        <v>5.7342137208426687E-2</v>
      </c>
      <c r="P299" s="171">
        <f>(INDEX(Models!$BJ299:$BT299,,T299)*(1-R299)+INDEX(Models!$BJ299:$BT299,,T299+1)*R299-ERP_i)*Q299*Ramure*Pc/MaxiM</f>
        <v>4.4531833938887849E-2</v>
      </c>
      <c r="Q299" s="307">
        <f t="shared" si="105"/>
        <v>0.9</v>
      </c>
      <c r="R299" s="179">
        <f t="shared" si="106"/>
        <v>0.79641367487783832</v>
      </c>
      <c r="S299" s="839">
        <f t="shared" si="107"/>
        <v>1</v>
      </c>
      <c r="T299" s="178">
        <f t="shared" si="108"/>
        <v>7</v>
      </c>
      <c r="U299" s="253">
        <f t="shared" si="109"/>
        <v>1.7964136748778383</v>
      </c>
      <c r="V299" s="385">
        <f t="shared" si="110"/>
        <v>29.340370316285089</v>
      </c>
      <c r="W299" s="404">
        <f t="shared" si="111"/>
        <v>23.784999461531775</v>
      </c>
      <c r="X299" s="157">
        <f t="shared" si="112"/>
        <v>45576</v>
      </c>
      <c r="Y299" s="387">
        <f t="shared" si="113"/>
        <v>21.778538289976932</v>
      </c>
      <c r="Z299" s="387">
        <f t="shared" si="114"/>
        <v>22.956220179692885</v>
      </c>
      <c r="AA299" s="388">
        <f t="shared" si="115"/>
        <v>26.596268289256951</v>
      </c>
      <c r="AB299" s="199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0.13686311440294771</v>
      </c>
      <c r="AD299" s="233">
        <f>(INDEX(Models!$BJ299:$BT299,,AH299)*(1-AF299)+INDEX(Models!$BJ299:$BT299,,AH299+1)*AF299-ERP_i)*AE299*Ramure*Pc/MaxiM</f>
        <v>4.4531833938887849E-2</v>
      </c>
      <c r="AE299" s="307">
        <f t="shared" si="117"/>
        <v>0.9</v>
      </c>
      <c r="AF299" s="179">
        <f t="shared" si="118"/>
        <v>0.79641367487783832</v>
      </c>
      <c r="AG299" s="839">
        <f t="shared" si="124"/>
        <v>1</v>
      </c>
      <c r="AH299" s="178">
        <f t="shared" si="119"/>
        <v>7</v>
      </c>
      <c r="AI299" s="227">
        <f t="shared" si="120"/>
        <v>1.7964136748778383</v>
      </c>
      <c r="AJ299" s="267" t="b">
        <f t="shared" si="121"/>
        <v>0</v>
      </c>
      <c r="AK299" s="267" t="b">
        <f t="shared" si="122"/>
        <v>0</v>
      </c>
      <c r="AL299" s="267"/>
      <c r="AM299" s="267"/>
      <c r="AN299" s="75"/>
    </row>
    <row r="300" spans="1:40" s="6" customFormat="1" ht="11.25" x14ac:dyDescent="0.2">
      <c r="A300" s="56">
        <f t="shared" si="123"/>
        <v>45577</v>
      </c>
      <c r="B300" s="413">
        <f>'2023'!Wh/'2023'!Env_an*'2024'!Env_an</f>
        <v>19.591611920092955</v>
      </c>
      <c r="C300" s="868"/>
      <c r="D300" s="395">
        <f t="shared" si="102"/>
        <v>20.651515611031172</v>
      </c>
      <c r="E300" s="387">
        <f t="shared" si="125"/>
        <v>21.911191032192622</v>
      </c>
      <c r="F300" s="387">
        <f t="shared" si="103"/>
        <v>22.472958184729872</v>
      </c>
      <c r="G300" s="110">
        <f t="shared" si="126"/>
        <v>0.66277178846701845</v>
      </c>
      <c r="H300" s="416" t="b">
        <f>Wh_hp&gt;='2023'!Maxi_hp</f>
        <v>0</v>
      </c>
      <c r="I300" s="392">
        <f>IF(H300,Wh_hp,'2023'!Maxi_hp)</f>
        <v>32.567800155049106</v>
      </c>
      <c r="J300" s="85">
        <f>IF(H300,An,'2023'!An_max)</f>
        <v>2021</v>
      </c>
      <c r="K300" s="199">
        <f t="shared" si="104"/>
        <v>45577</v>
      </c>
      <c r="L300" s="147">
        <f>IF(t&lt;Tvie,1-EXP((T0-t)*PertePVj)+'2023'!Pspv,1-EXP((T0-t)*PertePVj)+Pspv)</f>
        <v>5.1323288367855269E-2</v>
      </c>
      <c r="M300" s="872"/>
      <c r="N300" s="872"/>
      <c r="O300" s="48">
        <f>IF(t&lt;Tnet,'2023'!Resal+('2023'!Salim-'2023'!Resal)*(1-EXP(('2023'!Tnet-t)/('2023'!Tau_j))),Resal+(Salim-Resal)*(1-EXP((Tnet-t)/(Tau_j))))*Salcycl</f>
        <v>5.749004786233184E-2</v>
      </c>
      <c r="P300" s="171">
        <f>(INDEX(Models!$BJ300:$BT300,,T300)*(1-R300)+INDEX(Models!$BJ300:$BT300,,T300+1)*R300-ERP_i)*Q300*Ramure*Pc/MaxiM</f>
        <v>4.6340109366101341E-2</v>
      </c>
      <c r="Q300" s="307">
        <f t="shared" si="105"/>
        <v>0.9</v>
      </c>
      <c r="R300" s="179">
        <f t="shared" si="106"/>
        <v>0.79658445573927006</v>
      </c>
      <c r="S300" s="839">
        <f t="shared" si="107"/>
        <v>1</v>
      </c>
      <c r="T300" s="178">
        <f t="shared" si="108"/>
        <v>7</v>
      </c>
      <c r="U300" s="253">
        <f t="shared" si="109"/>
        <v>1.7965844557392701</v>
      </c>
      <c r="V300" s="385">
        <f t="shared" si="110"/>
        <v>28.913051599637612</v>
      </c>
      <c r="W300" s="404">
        <f t="shared" si="111"/>
        <v>19.591611920092955</v>
      </c>
      <c r="X300" s="157">
        <f t="shared" si="112"/>
        <v>45577</v>
      </c>
      <c r="Y300" s="387">
        <f t="shared" si="113"/>
        <v>17.941667973202676</v>
      </c>
      <c r="Z300" s="387">
        <f t="shared" si="114"/>
        <v>18.912309908330151</v>
      </c>
      <c r="AA300" s="388">
        <f t="shared" si="115"/>
        <v>21.911191032192622</v>
      </c>
      <c r="AB300" s="199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0.13686527215505623</v>
      </c>
      <c r="AD300" s="233">
        <f>(INDEX(Models!$BJ300:$BT300,,AH300)*(1-AF300)+INDEX(Models!$BJ300:$BT300,,AH300+1)*AF300-ERP_i)*AE300*Ramure*Pc/MaxiM</f>
        <v>4.6340109366101341E-2</v>
      </c>
      <c r="AE300" s="307">
        <f t="shared" si="117"/>
        <v>0.9</v>
      </c>
      <c r="AF300" s="179">
        <f t="shared" si="118"/>
        <v>0.79658445573927006</v>
      </c>
      <c r="AG300" s="839">
        <f t="shared" si="124"/>
        <v>1</v>
      </c>
      <c r="AH300" s="178">
        <f t="shared" si="119"/>
        <v>7</v>
      </c>
      <c r="AI300" s="227">
        <f t="shared" si="120"/>
        <v>1.7965844557392701</v>
      </c>
      <c r="AJ300" s="267" t="b">
        <f t="shared" si="121"/>
        <v>0</v>
      </c>
      <c r="AK300" s="267" t="b">
        <f t="shared" si="122"/>
        <v>0</v>
      </c>
      <c r="AL300" s="267"/>
      <c r="AM300" s="267"/>
      <c r="AN300" s="75"/>
    </row>
    <row r="301" spans="1:40" s="6" customFormat="1" ht="11.25" x14ac:dyDescent="0.2">
      <c r="A301" s="56">
        <f t="shared" si="123"/>
        <v>45578</v>
      </c>
      <c r="B301" s="413">
        <f>'2023'!Wh/'2023'!Env_an*'2024'!Env_an</f>
        <v>16.419635244481722</v>
      </c>
      <c r="C301" s="868"/>
      <c r="D301" s="395">
        <f t="shared" si="102"/>
        <v>17.308338194603859</v>
      </c>
      <c r="E301" s="387">
        <f t="shared" si="125"/>
        <v>18.366942465976443</v>
      </c>
      <c r="F301" s="387">
        <f t="shared" si="103"/>
        <v>18.722844035175552</v>
      </c>
      <c r="G301" s="110">
        <f t="shared" si="126"/>
        <v>0.55911715089961578</v>
      </c>
      <c r="H301" s="416" t="b">
        <f>Wh_hp&gt;='2023'!Maxi_hp</f>
        <v>0</v>
      </c>
      <c r="I301" s="392">
        <f>IF(H301,Wh_hp,'2023'!Maxi_hp)</f>
        <v>34.446907354425804</v>
      </c>
      <c r="J301" s="85">
        <f>IF(H301,An,'2023'!An_max)</f>
        <v>2021</v>
      </c>
      <c r="K301" s="199">
        <f t="shared" si="104"/>
        <v>45578</v>
      </c>
      <c r="L301" s="147">
        <f>IF(t&lt;Tvie,1-EXP((T0-t)*PertePVj)+'2023'!Pspv,1-EXP((T0-t)*PertePVj)+Pspv)</f>
        <v>5.1345365460862435E-2</v>
      </c>
      <c r="M301" s="872"/>
      <c r="N301" s="872"/>
      <c r="O301" s="48">
        <f>IF(t&lt;Tnet,'2023'!Resal+('2023'!Salim-'2023'!Resal)*(1-EXP(('2023'!Tnet-t)/('2023'!Tau_j))),Resal+(Salim-Resal)*(1-EXP((Tnet-t)/(Tau_j))))*Salcycl</f>
        <v>5.7636390669463765E-2</v>
      </c>
      <c r="P301" s="171">
        <f>(INDEX(Models!$BJ301:$BT301,,T301)*(1-R301)+INDEX(Models!$BJ301:$BT301,,T301+1)*R301-ERP_i)*Q301*Ramure*Pc/MaxiM</f>
        <v>4.8168227900038801E-2</v>
      </c>
      <c r="Q301" s="307">
        <f t="shared" si="105"/>
        <v>0.9</v>
      </c>
      <c r="R301" s="179">
        <f t="shared" si="106"/>
        <v>0.79674843919636329</v>
      </c>
      <c r="S301" s="839">
        <f t="shared" si="107"/>
        <v>1</v>
      </c>
      <c r="T301" s="178">
        <f t="shared" si="108"/>
        <v>7</v>
      </c>
      <c r="U301" s="253">
        <f t="shared" si="109"/>
        <v>1.7967484391963633</v>
      </c>
      <c r="V301" s="385">
        <f t="shared" si="110"/>
        <v>28.494158922949904</v>
      </c>
      <c r="W301" s="404">
        <f t="shared" si="111"/>
        <v>16.419635244481722</v>
      </c>
      <c r="X301" s="157">
        <f t="shared" si="112"/>
        <v>45578</v>
      </c>
      <c r="Y301" s="387">
        <f t="shared" si="113"/>
        <v>15.039171968164155</v>
      </c>
      <c r="Z301" s="387">
        <f t="shared" si="114"/>
        <v>15.853158168009458</v>
      </c>
      <c r="AA301" s="388">
        <f t="shared" si="115"/>
        <v>18.366942465976443</v>
      </c>
      <c r="AB301" s="199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0.13686460349204041</v>
      </c>
      <c r="AD301" s="233">
        <f>(INDEX(Models!$BJ301:$BT301,,AH301)*(1-AF301)+INDEX(Models!$BJ301:$BT301,,AH301+1)*AF301-ERP_i)*AE301*Ramure*Pc/MaxiM</f>
        <v>4.8168227900038801E-2</v>
      </c>
      <c r="AE301" s="307">
        <f t="shared" si="117"/>
        <v>0.9</v>
      </c>
      <c r="AF301" s="179">
        <f t="shared" si="118"/>
        <v>0.79674843919636329</v>
      </c>
      <c r="AG301" s="839">
        <f t="shared" si="124"/>
        <v>1</v>
      </c>
      <c r="AH301" s="178">
        <f t="shared" si="119"/>
        <v>7</v>
      </c>
      <c r="AI301" s="227">
        <f t="shared" si="120"/>
        <v>1.7967484391963633</v>
      </c>
      <c r="AJ301" s="267" t="b">
        <f t="shared" si="121"/>
        <v>0</v>
      </c>
      <c r="AK301" s="267" t="b">
        <f t="shared" si="122"/>
        <v>0</v>
      </c>
      <c r="AL301" s="267"/>
      <c r="AM301" s="267"/>
      <c r="AN301" s="75"/>
    </row>
    <row r="302" spans="1:40" s="6" customFormat="1" ht="11.25" x14ac:dyDescent="0.2">
      <c r="A302" s="56">
        <f t="shared" si="123"/>
        <v>45579</v>
      </c>
      <c r="B302" s="413">
        <f>'2023'!Wh/'2023'!Env_an*'2024'!Env_an</f>
        <v>27.781200719326193</v>
      </c>
      <c r="C302" s="868"/>
      <c r="D302" s="395">
        <f t="shared" si="102"/>
        <v>29.285523131392086</v>
      </c>
      <c r="E302" s="387">
        <f t="shared" si="125"/>
        <v>31.081445659767333</v>
      </c>
      <c r="F302" s="387">
        <f t="shared" si="103"/>
        <v>32.691214280910266</v>
      </c>
      <c r="G302" s="110">
        <f t="shared" si="126"/>
        <v>0.98839052459355792</v>
      </c>
      <c r="H302" s="416" t="b">
        <f>Wh_hp&gt;='2023'!Maxi_hp</f>
        <v>0</v>
      </c>
      <c r="I302" s="392">
        <f>IF(H302,Wh_hp,'2023'!Maxi_hp)</f>
        <v>32.705662850477829</v>
      </c>
      <c r="J302" s="85">
        <f>IF(H302,An,'2023'!An_max)</f>
        <v>2022</v>
      </c>
      <c r="K302" s="199">
        <f t="shared" si="104"/>
        <v>45579</v>
      </c>
      <c r="L302" s="147">
        <f>IF(t&lt;Tvie,1-EXP((T0-t)*PertePVj)+'2023'!Pspv,1-EXP((T0-t)*PertePVj)+Pspv)</f>
        <v>5.1367442040103461E-2</v>
      </c>
      <c r="M302" s="872"/>
      <c r="N302" s="872"/>
      <c r="O302" s="48">
        <f>IF(t&lt;Tnet,'2023'!Resal+('2023'!Salim-'2023'!Resal)*(1-EXP(('2023'!Tnet-t)/('2023'!Tau_j))),Resal+(Salim-Resal)*(1-EXP((Tnet-t)/(Tau_j))))*Salcycl</f>
        <v>5.7781177492008978E-2</v>
      </c>
      <c r="P302" s="171">
        <f>(INDEX(Models!$BJ302:$BT302,,T302)*(1-R302)+INDEX(Models!$BJ302:$BT302,,T302+1)*R302-ERP_i)*Q302*Ramure*Pc/MaxiM</f>
        <v>5.0013710012396344E-2</v>
      </c>
      <c r="Q302" s="307">
        <f t="shared" si="105"/>
        <v>0.9</v>
      </c>
      <c r="R302" s="179">
        <f t="shared" si="106"/>
        <v>0.79690589277147561</v>
      </c>
      <c r="S302" s="839">
        <f t="shared" si="107"/>
        <v>1</v>
      </c>
      <c r="T302" s="178">
        <f t="shared" si="108"/>
        <v>7</v>
      </c>
      <c r="U302" s="253">
        <f t="shared" si="109"/>
        <v>1.7969058927714756</v>
      </c>
      <c r="V302" s="385">
        <f t="shared" si="110"/>
        <v>28.084688963100021</v>
      </c>
      <c r="W302" s="404">
        <f t="shared" si="111"/>
        <v>27.781200719326193</v>
      </c>
      <c r="X302" s="157">
        <f t="shared" si="112"/>
        <v>45579</v>
      </c>
      <c r="Y302" s="387">
        <f t="shared" si="113"/>
        <v>25.449537768975279</v>
      </c>
      <c r="Z302" s="387">
        <f t="shared" si="114"/>
        <v>26.827603117171485</v>
      </c>
      <c r="AA302" s="388">
        <f t="shared" si="115"/>
        <v>31.081445659767329</v>
      </c>
      <c r="AB302" s="199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0.13686115469532792</v>
      </c>
      <c r="AD302" s="233">
        <f>(INDEX(Models!$BJ302:$BT302,,AH302)*(1-AF302)+INDEX(Models!$BJ302:$BT302,,AH302+1)*AF302-ERP_i)*AE302*Ramure*Pc/MaxiM</f>
        <v>5.0013710012396344E-2</v>
      </c>
      <c r="AE302" s="307">
        <f t="shared" si="117"/>
        <v>0.9</v>
      </c>
      <c r="AF302" s="179">
        <f t="shared" si="118"/>
        <v>0.79690589277147561</v>
      </c>
      <c r="AG302" s="839">
        <f t="shared" si="124"/>
        <v>1</v>
      </c>
      <c r="AH302" s="178">
        <f t="shared" si="119"/>
        <v>7</v>
      </c>
      <c r="AI302" s="227">
        <f t="shared" si="120"/>
        <v>1.7969058927714756</v>
      </c>
      <c r="AJ302" s="267" t="b">
        <f t="shared" si="121"/>
        <v>0</v>
      </c>
      <c r="AK302" s="267" t="b">
        <f t="shared" si="122"/>
        <v>0</v>
      </c>
      <c r="AL302" s="267"/>
      <c r="AM302" s="267"/>
      <c r="AN302" s="75"/>
    </row>
    <row r="303" spans="1:40" s="6" customFormat="1" ht="11.25" x14ac:dyDescent="0.2">
      <c r="A303" s="56">
        <f t="shared" si="123"/>
        <v>45580</v>
      </c>
      <c r="B303" s="413">
        <f>'2023'!Wh/'2023'!Env_an*'2024'!Env_an</f>
        <v>25.807373473975055</v>
      </c>
      <c r="C303" s="868"/>
      <c r="D303" s="395">
        <f t="shared" si="102"/>
        <v>27.205448354773377</v>
      </c>
      <c r="E303" s="387">
        <f t="shared" si="125"/>
        <v>28.878201563235461</v>
      </c>
      <c r="F303" s="387">
        <f t="shared" si="103"/>
        <v>30.297765904773208</v>
      </c>
      <c r="G303" s="110">
        <f t="shared" si="126"/>
        <v>0.92730686788868044</v>
      </c>
      <c r="H303" s="416" t="b">
        <f>Wh_hp&gt;='2023'!Maxi_hp</f>
        <v>0</v>
      </c>
      <c r="I303" s="392">
        <f>IF(H303,Wh_hp,'2023'!Maxi_hp)</f>
        <v>31.515402769838211</v>
      </c>
      <c r="J303" s="85">
        <f>IF(H303,An,'2023'!An_max)</f>
        <v>2021</v>
      </c>
      <c r="K303" s="199">
        <f t="shared" si="104"/>
        <v>45580</v>
      </c>
      <c r="L303" s="147">
        <f>IF(t&lt;Tvie,1-EXP((T0-t)*PertePVj)+'2023'!Pspv,1-EXP((T0-t)*PertePVj)+Pspv)</f>
        <v>5.1389518105590115E-2</v>
      </c>
      <c r="M303" s="872"/>
      <c r="N303" s="872"/>
      <c r="O303" s="48">
        <f>IF(t&lt;Tnet,'2023'!Resal+('2023'!Salim-'2023'!Resal)*(1-EXP(('2023'!Tnet-t)/('2023'!Tau_j))),Resal+(Salim-Resal)*(1-EXP((Tnet-t)/(Tau_j))))*Salcycl</f>
        <v>5.7924424580222053E-2</v>
      </c>
      <c r="P303" s="171">
        <f>(INDEX(Models!$BJ303:$BT303,,T303)*(1-R303)+INDEX(Models!$BJ303:$BT303,,T303+1)*R303-ERP_i)*Q303*Ramure*Pc/MaxiM</f>
        <v>5.1876950965112897E-2</v>
      </c>
      <c r="Q303" s="307">
        <f t="shared" si="105"/>
        <v>0.9</v>
      </c>
      <c r="R303" s="179">
        <f t="shared" si="106"/>
        <v>0.7970570736959619</v>
      </c>
      <c r="S303" s="839">
        <f t="shared" si="107"/>
        <v>1</v>
      </c>
      <c r="T303" s="178">
        <f t="shared" si="108"/>
        <v>7</v>
      </c>
      <c r="U303" s="253">
        <f t="shared" si="109"/>
        <v>1.7970570736959619</v>
      </c>
      <c r="V303" s="385">
        <f t="shared" si="110"/>
        <v>27.683786886698371</v>
      </c>
      <c r="W303" s="404">
        <f t="shared" si="111"/>
        <v>25.807373473975055</v>
      </c>
      <c r="X303" s="157">
        <f t="shared" si="112"/>
        <v>45580</v>
      </c>
      <c r="Y303" s="387">
        <f t="shared" si="113"/>
        <v>23.645136788105972</v>
      </c>
      <c r="Z303" s="387">
        <f t="shared" si="114"/>
        <v>24.926075812366914</v>
      </c>
      <c r="AA303" s="388">
        <f t="shared" si="115"/>
        <v>28.878201563235461</v>
      </c>
      <c r="AB303" s="199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0.13685498185246961</v>
      </c>
      <c r="AD303" s="233">
        <f>(INDEX(Models!$BJ303:$BT303,,AH303)*(1-AF303)+INDEX(Models!$BJ303:$BT303,,AH303+1)*AF303-ERP_i)*AE303*Ramure*Pc/MaxiM</f>
        <v>5.1876950965112897E-2</v>
      </c>
      <c r="AE303" s="307">
        <f t="shared" si="117"/>
        <v>0.9</v>
      </c>
      <c r="AF303" s="179">
        <f t="shared" si="118"/>
        <v>0.7970570736959619</v>
      </c>
      <c r="AG303" s="839">
        <f t="shared" si="124"/>
        <v>1</v>
      </c>
      <c r="AH303" s="178">
        <f t="shared" si="119"/>
        <v>7</v>
      </c>
      <c r="AI303" s="227">
        <f t="shared" si="120"/>
        <v>1.7970570736959619</v>
      </c>
      <c r="AJ303" s="267" t="b">
        <f t="shared" si="121"/>
        <v>0</v>
      </c>
      <c r="AK303" s="267" t="b">
        <f t="shared" si="122"/>
        <v>0</v>
      </c>
      <c r="AL303" s="267"/>
      <c r="AM303" s="267"/>
      <c r="AN303" s="75"/>
    </row>
    <row r="304" spans="1:40" s="6" customFormat="1" ht="11.25" x14ac:dyDescent="0.2">
      <c r="A304" s="56">
        <f t="shared" si="123"/>
        <v>45581</v>
      </c>
      <c r="B304" s="413">
        <f>'2023'!Wh/'2023'!Env_an*'2024'!Env_an</f>
        <v>16.425745014631243</v>
      </c>
      <c r="C304" s="868"/>
      <c r="D304" s="395">
        <f t="shared" si="102"/>
        <v>17.315987529261086</v>
      </c>
      <c r="E304" s="387">
        <f t="shared" si="125"/>
        <v>18.383443358023989</v>
      </c>
      <c r="F304" s="387">
        <f t="shared" si="103"/>
        <v>18.819841901781057</v>
      </c>
      <c r="G304" s="110">
        <f t="shared" si="126"/>
        <v>0.5830638925464563</v>
      </c>
      <c r="H304" s="416" t="b">
        <f>Wh_hp&gt;='2023'!Maxi_hp</f>
        <v>0</v>
      </c>
      <c r="I304" s="392">
        <f>IF(H304,Wh_hp,'2023'!Maxi_hp)</f>
        <v>29.529771052990444</v>
      </c>
      <c r="J304" s="85">
        <f>IF(H304,An,'2023'!An_max)</f>
        <v>2021</v>
      </c>
      <c r="K304" s="199">
        <f t="shared" si="104"/>
        <v>45581</v>
      </c>
      <c r="L304" s="147">
        <f>IF(t&lt;Tvie,1-EXP((T0-t)*PertePVj)+'2023'!Pspv,1-EXP((T0-t)*PertePVj)+Pspv)</f>
        <v>5.1411593657334498E-2</v>
      </c>
      <c r="M304" s="872"/>
      <c r="N304" s="872"/>
      <c r="O304" s="48">
        <f>IF(t&lt;Tnet,'2023'!Resal+('2023'!Salim-'2023'!Resal)*(1-EXP(('2023'!Tnet-t)/('2023'!Tau_j))),Resal+(Salim-Resal)*(1-EXP((Tnet-t)/(Tau_j))))*Salcycl</f>
        <v>5.8066152677375416E-2</v>
      </c>
      <c r="P304" s="171">
        <f>(INDEX(Models!$BJ304:$BT304,,T304)*(1-R304)+INDEX(Models!$BJ304:$BT304,,T304+1)*R304-ERP_i)*Q304*Ramure*Pc/MaxiM</f>
        <v>5.3764471601285758E-2</v>
      </c>
      <c r="Q304" s="307">
        <f t="shared" si="105"/>
        <v>0.9</v>
      </c>
      <c r="R304" s="179">
        <f t="shared" si="106"/>
        <v>0.79720222928730466</v>
      </c>
      <c r="S304" s="839">
        <f t="shared" si="107"/>
        <v>1</v>
      </c>
      <c r="T304" s="178">
        <f t="shared" si="108"/>
        <v>7</v>
      </c>
      <c r="U304" s="253">
        <f t="shared" si="109"/>
        <v>1.7972022292873047</v>
      </c>
      <c r="V304" s="385">
        <f t="shared" si="110"/>
        <v>27.289607482331274</v>
      </c>
      <c r="W304" s="404">
        <f t="shared" si="111"/>
        <v>16.425745014631243</v>
      </c>
      <c r="X304" s="157">
        <f t="shared" si="112"/>
        <v>45581</v>
      </c>
      <c r="Y304" s="387">
        <f t="shared" si="113"/>
        <v>15.051954097003419</v>
      </c>
      <c r="Z304" s="387">
        <f t="shared" si="114"/>
        <v>15.867739892623241</v>
      </c>
      <c r="AA304" s="388">
        <f t="shared" si="115"/>
        <v>18.383443358023989</v>
      </c>
      <c r="AB304" s="199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0.1368461509852395</v>
      </c>
      <c r="AD304" s="233">
        <f>(INDEX(Models!$BJ304:$BT304,,AH304)*(1-AF304)+INDEX(Models!$BJ304:$BT304,,AH304+1)*AF304-ERP_i)*AE304*Ramure*Pc/MaxiM</f>
        <v>5.3764471601285758E-2</v>
      </c>
      <c r="AE304" s="307">
        <f t="shared" si="117"/>
        <v>0.9</v>
      </c>
      <c r="AF304" s="179">
        <f t="shared" si="118"/>
        <v>0.79720222928730466</v>
      </c>
      <c r="AG304" s="839">
        <f t="shared" si="124"/>
        <v>1</v>
      </c>
      <c r="AH304" s="178">
        <f t="shared" si="119"/>
        <v>7</v>
      </c>
      <c r="AI304" s="227">
        <f t="shared" si="120"/>
        <v>1.7972022292873047</v>
      </c>
      <c r="AJ304" s="267" t="b">
        <f t="shared" si="121"/>
        <v>0</v>
      </c>
      <c r="AK304" s="267" t="b">
        <f t="shared" si="122"/>
        <v>0</v>
      </c>
      <c r="AL304" s="267"/>
      <c r="AM304" s="267"/>
      <c r="AN304" s="75"/>
    </row>
    <row r="305" spans="1:40" s="6" customFormat="1" ht="11.25" x14ac:dyDescent="0.2">
      <c r="A305" s="56">
        <f t="shared" si="123"/>
        <v>45582</v>
      </c>
      <c r="B305" s="413">
        <f>'2023'!Wh/'2023'!Env_an*'2024'!Env_an</f>
        <v>25.643801659078573</v>
      </c>
      <c r="C305" s="868"/>
      <c r="D305" s="395">
        <f t="shared" si="102"/>
        <v>27.034273527090374</v>
      </c>
      <c r="E305" s="387">
        <f t="shared" si="125"/>
        <v>28.705093299429748</v>
      </c>
      <c r="F305" s="387">
        <f t="shared" si="103"/>
        <v>30.278500265791557</v>
      </c>
      <c r="G305" s="110">
        <f t="shared" si="126"/>
        <v>0.94950341894786716</v>
      </c>
      <c r="H305" s="416" t="b">
        <f>Wh_hp&gt;='2023'!Maxi_hp</f>
        <v>0</v>
      </c>
      <c r="I305" s="392">
        <f>IF(H305,Wh_hp,'2023'!Maxi_hp)</f>
        <v>32.248415453098012</v>
      </c>
      <c r="J305" s="85">
        <f>IF(H305,An,'2023'!An_max)</f>
        <v>2020</v>
      </c>
      <c r="K305" s="199">
        <f t="shared" si="104"/>
        <v>45582</v>
      </c>
      <c r="L305" s="147">
        <f>IF(t&lt;Tvie,1-EXP((T0-t)*PertePVj)+'2023'!Pspv,1-EXP((T0-t)*PertePVj)+Pspv)</f>
        <v>5.14336686953486E-2</v>
      </c>
      <c r="M305" s="872"/>
      <c r="N305" s="872"/>
      <c r="O305" s="48">
        <f>IF(t&lt;Tnet,'2023'!Resal+('2023'!Salim-'2023'!Resal)*(1-EXP(('2023'!Tnet-t)/('2023'!Tau_j))),Resal+(Salim-Resal)*(1-EXP((Tnet-t)/(Tau_j))))*Salcycl</f>
        <v>5.820638710038846E-2</v>
      </c>
      <c r="P305" s="171">
        <f>(INDEX(Models!$BJ305:$BT305,,T305)*(1-R305)+INDEX(Models!$BJ305:$BT305,,T305+1)*R305-ERP_i)*Q305*Ramure*Pc/MaxiM</f>
        <v>5.5683919957311034E-2</v>
      </c>
      <c r="Q305" s="307">
        <f t="shared" si="105"/>
        <v>0.9</v>
      </c>
      <c r="R305" s="179">
        <f t="shared" si="106"/>
        <v>0.79734159731392129</v>
      </c>
      <c r="S305" s="839">
        <f t="shared" si="107"/>
        <v>1</v>
      </c>
      <c r="T305" s="178">
        <f t="shared" si="108"/>
        <v>7</v>
      </c>
      <c r="U305" s="253">
        <f t="shared" si="109"/>
        <v>1.7973415973139213</v>
      </c>
      <c r="V305" s="385">
        <f t="shared" si="110"/>
        <v>26.901633936349661</v>
      </c>
      <c r="W305" s="404">
        <f t="shared" si="111"/>
        <v>25.643801659078573</v>
      </c>
      <c r="X305" s="157">
        <f t="shared" si="112"/>
        <v>45582</v>
      </c>
      <c r="Y305" s="387">
        <f t="shared" si="113"/>
        <v>23.502855053899999</v>
      </c>
      <c r="Z305" s="387">
        <f t="shared" si="114"/>
        <v>24.777239375104468</v>
      </c>
      <c r="AA305" s="388">
        <f t="shared" si="115"/>
        <v>28.705093299429748</v>
      </c>
      <c r="AB305" s="199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0.13683473811956959</v>
      </c>
      <c r="AD305" s="233">
        <f>(INDEX(Models!$BJ305:$BT305,,AH305)*(1-AF305)+INDEX(Models!$BJ305:$BT305,,AH305+1)*AF305-ERP_i)*AE305*Ramure*Pc/MaxiM</f>
        <v>5.5683919957311034E-2</v>
      </c>
      <c r="AE305" s="307">
        <f t="shared" si="117"/>
        <v>0.9</v>
      </c>
      <c r="AF305" s="179">
        <f t="shared" si="118"/>
        <v>0.79734159731392129</v>
      </c>
      <c r="AG305" s="839">
        <f t="shared" si="124"/>
        <v>1</v>
      </c>
      <c r="AH305" s="178">
        <f t="shared" si="119"/>
        <v>7</v>
      </c>
      <c r="AI305" s="227">
        <f t="shared" si="120"/>
        <v>1.7973415973139213</v>
      </c>
      <c r="AJ305" s="267" t="b">
        <f t="shared" si="121"/>
        <v>0</v>
      </c>
      <c r="AK305" s="267" t="b">
        <f t="shared" si="122"/>
        <v>0</v>
      </c>
      <c r="AL305" s="267"/>
      <c r="AM305" s="267"/>
      <c r="AN305" s="75"/>
    </row>
    <row r="306" spans="1:40" s="6" customFormat="1" ht="11.25" x14ac:dyDescent="0.2">
      <c r="A306" s="56">
        <f t="shared" si="123"/>
        <v>45583</v>
      </c>
      <c r="B306" s="413">
        <f>'2023'!Wh/'2023'!Env_an*'2024'!Env_an</f>
        <v>13.847429292969712</v>
      </c>
      <c r="C306" s="868"/>
      <c r="D306" s="395">
        <f t="shared" si="102"/>
        <v>14.59861170840046</v>
      </c>
      <c r="E306" s="387">
        <f t="shared" si="125"/>
        <v>15.503145159018091</v>
      </c>
      <c r="F306" s="387">
        <f t="shared" si="103"/>
        <v>15.792010594788225</v>
      </c>
      <c r="G306" s="110">
        <f t="shared" si="126"/>
        <v>0.50123246287844503</v>
      </c>
      <c r="H306" s="416" t="b">
        <f>Wh_hp&gt;='2023'!Maxi_hp</f>
        <v>0</v>
      </c>
      <c r="I306" s="392">
        <f>IF(H306,Wh_hp,'2023'!Maxi_hp)</f>
        <v>30.51278811937587</v>
      </c>
      <c r="J306" s="85">
        <f>IF(H306,An,'2023'!An_max)</f>
        <v>2020</v>
      </c>
      <c r="K306" s="199">
        <f t="shared" si="104"/>
        <v>45583</v>
      </c>
      <c r="L306" s="147">
        <f>IF(t&lt;Tvie,1-EXP((T0-t)*PertePVj)+'2023'!Pspv,1-EXP((T0-t)*PertePVj)+Pspv)</f>
        <v>5.1455743219644301E-2</v>
      </c>
      <c r="M306" s="872"/>
      <c r="N306" s="872"/>
      <c r="O306" s="48">
        <f>IF(t&lt;Tnet,'2023'!Resal+('2023'!Salim-'2023'!Resal)*(1-EXP(('2023'!Tnet-t)/('2023'!Tau_j))),Resal+(Salim-Resal)*(1-EXP((Tnet-t)/(Tau_j))))*Salcycl</f>
        <v>5.8345157794737479E-2</v>
      </c>
      <c r="P306" s="171">
        <f>(INDEX(Models!$BJ306:$BT306,,T306)*(1-R306)+INDEX(Models!$BJ306:$BT306,,T306+1)*R306-ERP_i)*Q306*Ramure*Pc/MaxiM</f>
        <v>5.7635786487326188E-2</v>
      </c>
      <c r="Q306" s="307">
        <f t="shared" si="105"/>
        <v>0.9</v>
      </c>
      <c r="R306" s="179">
        <f t="shared" si="106"/>
        <v>0.79747540634792347</v>
      </c>
      <c r="S306" s="839">
        <f t="shared" si="107"/>
        <v>1</v>
      </c>
      <c r="T306" s="178">
        <f t="shared" si="108"/>
        <v>7</v>
      </c>
      <c r="U306" s="253">
        <f t="shared" si="109"/>
        <v>1.7974754063479235</v>
      </c>
      <c r="V306" s="385">
        <f t="shared" si="110"/>
        <v>26.519563044157064</v>
      </c>
      <c r="W306" s="404">
        <f t="shared" si="111"/>
        <v>13.847429292969712</v>
      </c>
      <c r="X306" s="157">
        <f t="shared" si="112"/>
        <v>45583</v>
      </c>
      <c r="Y306" s="387">
        <f t="shared" si="113"/>
        <v>12.693411638502903</v>
      </c>
      <c r="Z306" s="387">
        <f t="shared" si="114"/>
        <v>13.381991981679544</v>
      </c>
      <c r="AA306" s="388">
        <f t="shared" si="115"/>
        <v>15.503145159018091</v>
      </c>
      <c r="AB306" s="199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0.13682082929505976</v>
      </c>
      <c r="AD306" s="233">
        <f>(INDEX(Models!$BJ306:$BT306,,AH306)*(1-AF306)+INDEX(Models!$BJ306:$BT306,,AH306+1)*AF306-ERP_i)*AE306*Ramure*Pc/MaxiM</f>
        <v>5.7635786487326188E-2</v>
      </c>
      <c r="AE306" s="307">
        <f t="shared" si="117"/>
        <v>0.9</v>
      </c>
      <c r="AF306" s="179">
        <f t="shared" si="118"/>
        <v>0.79747540634792347</v>
      </c>
      <c r="AG306" s="839">
        <f t="shared" si="124"/>
        <v>1</v>
      </c>
      <c r="AH306" s="178">
        <f t="shared" si="119"/>
        <v>7</v>
      </c>
      <c r="AI306" s="227">
        <f t="shared" si="120"/>
        <v>1.7974754063479235</v>
      </c>
      <c r="AJ306" s="267" t="b">
        <f t="shared" si="121"/>
        <v>0</v>
      </c>
      <c r="AK306" s="267" t="b">
        <f t="shared" si="122"/>
        <v>0</v>
      </c>
      <c r="AL306" s="267"/>
      <c r="AM306" s="267"/>
      <c r="AN306" s="75"/>
    </row>
    <row r="307" spans="1:40" s="6" customFormat="1" ht="11.25" x14ac:dyDescent="0.2">
      <c r="A307" s="56">
        <f t="shared" si="123"/>
        <v>45584</v>
      </c>
      <c r="B307" s="413">
        <f>'2023'!Wh/'2023'!Env_an*'2024'!Env_an</f>
        <v>7.6636766363104734</v>
      </c>
      <c r="C307" s="868"/>
      <c r="D307" s="395">
        <f t="shared" si="102"/>
        <v>8.0795966351908373</v>
      </c>
      <c r="E307" s="387">
        <f t="shared" si="125"/>
        <v>8.5814619799627181</v>
      </c>
      <c r="F307" s="387">
        <f t="shared" si="103"/>
        <v>8.5814619799627181</v>
      </c>
      <c r="G307" s="110">
        <f t="shared" si="126"/>
        <v>0.27566607146571015</v>
      </c>
      <c r="H307" s="416" t="b">
        <f>Wh_hp&gt;='2023'!Maxi_hp</f>
        <v>0</v>
      </c>
      <c r="I307" s="392">
        <f>IF(H307,Wh_hp,'2023'!Maxi_hp)</f>
        <v>26.828949468096958</v>
      </c>
      <c r="J307" s="85">
        <f>IF(H307,An,'2023'!An_max)</f>
        <v>2020</v>
      </c>
      <c r="K307" s="199">
        <f t="shared" si="104"/>
        <v>45584</v>
      </c>
      <c r="L307" s="147">
        <f>IF(t&lt;Tvie,1-EXP((T0-t)*PertePVj)+'2023'!Pspv,1-EXP((T0-t)*PertePVj)+Pspv)</f>
        <v>5.147781723023348E-2</v>
      </c>
      <c r="M307" s="872"/>
      <c r="N307" s="872"/>
      <c r="O307" s="48">
        <f>IF(t&lt;Tnet,'2023'!Resal+('2023'!Salim-'2023'!Resal)*(1-EXP(('2023'!Tnet-t)/('2023'!Tau_j))),Resal+(Salim-Resal)*(1-EXP((Tnet-t)/(Tau_j))))*Salcycl</f>
        <v>5.8482499362429198E-2</v>
      </c>
      <c r="P307" s="171">
        <f>(INDEX(Models!$BJ307:$BT307,,T307)*(1-R307)+INDEX(Models!$BJ307:$BT307,,T307+1)*R307-ERP_i)*Q307*Ramure*Pc/MaxiM</f>
        <v>5.9620624830726568E-2</v>
      </c>
      <c r="Q307" s="307">
        <f t="shared" si="105"/>
        <v>0.9</v>
      </c>
      <c r="R307" s="179">
        <f t="shared" si="106"/>
        <v>0.79760387610611416</v>
      </c>
      <c r="S307" s="839">
        <f t="shared" si="107"/>
        <v>1</v>
      </c>
      <c r="T307" s="178">
        <f t="shared" si="108"/>
        <v>7</v>
      </c>
      <c r="U307" s="253">
        <f t="shared" si="109"/>
        <v>1.7976038761061142</v>
      </c>
      <c r="V307" s="385">
        <f t="shared" si="110"/>
        <v>26.143091924351832</v>
      </c>
      <c r="W307" s="404">
        <f t="shared" si="111"/>
        <v>7.6636766363104734</v>
      </c>
      <c r="X307" s="157">
        <f t="shared" si="112"/>
        <v>45584</v>
      </c>
      <c r="Y307" s="387">
        <f t="shared" si="113"/>
        <v>7.0261583286973766</v>
      </c>
      <c r="Z307" s="387">
        <f t="shared" si="114"/>
        <v>7.4074791884997238</v>
      </c>
      <c r="AA307" s="388">
        <f t="shared" si="115"/>
        <v>8.5814619799627181</v>
      </c>
      <c r="AB307" s="199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0.13680452051226069</v>
      </c>
      <c r="AD307" s="233">
        <f>(INDEX(Models!$BJ307:$BT307,,AH307)*(1-AF307)+INDEX(Models!$BJ307:$BT307,,AH307+1)*AF307-ERP_i)*AE307*Ramure*Pc/MaxiM</f>
        <v>5.9620624830726568E-2</v>
      </c>
      <c r="AE307" s="307">
        <f t="shared" si="117"/>
        <v>0.9</v>
      </c>
      <c r="AF307" s="179">
        <f t="shared" si="118"/>
        <v>0.79760387610611416</v>
      </c>
      <c r="AG307" s="839">
        <f t="shared" si="124"/>
        <v>1</v>
      </c>
      <c r="AH307" s="178">
        <f t="shared" si="119"/>
        <v>7</v>
      </c>
      <c r="AI307" s="227">
        <f t="shared" si="120"/>
        <v>1.7976038761061142</v>
      </c>
      <c r="AJ307" s="267" t="b">
        <f t="shared" si="121"/>
        <v>0</v>
      </c>
      <c r="AK307" s="267" t="b">
        <f t="shared" si="122"/>
        <v>0</v>
      </c>
      <c r="AL307" s="267"/>
      <c r="AM307" s="267"/>
      <c r="AN307" s="75"/>
    </row>
    <row r="308" spans="1:40" s="6" customFormat="1" ht="11.25" x14ac:dyDescent="0.2">
      <c r="A308" s="56">
        <f t="shared" si="123"/>
        <v>45585</v>
      </c>
      <c r="B308" s="413">
        <f>'2023'!Wh/'2023'!Env_an*'2024'!Env_an</f>
        <v>13.387511837396451</v>
      </c>
      <c r="C308" s="868"/>
      <c r="D308" s="395">
        <f t="shared" si="102"/>
        <v>14.114401997970704</v>
      </c>
      <c r="E308" s="387">
        <f t="shared" si="125"/>
        <v>14.993285149782103</v>
      </c>
      <c r="F308" s="387">
        <f t="shared" si="103"/>
        <v>15.288737436292454</v>
      </c>
      <c r="G308" s="110">
        <f t="shared" si="126"/>
        <v>0.49704747355120388</v>
      </c>
      <c r="H308" s="416" t="b">
        <f>Wh_hp&gt;='2023'!Maxi_hp</f>
        <v>0</v>
      </c>
      <c r="I308" s="392">
        <f>IF(H308,Wh_hp,'2023'!Maxi_hp)</f>
        <v>22.431533601951021</v>
      </c>
      <c r="J308" s="85">
        <f>IF(H308,An,'2023'!An_max)</f>
        <v>2019</v>
      </c>
      <c r="K308" s="199">
        <f t="shared" si="104"/>
        <v>45585</v>
      </c>
      <c r="L308" s="147">
        <f>IF(t&lt;Tvie,1-EXP((T0-t)*PertePVj)+'2023'!Pspv,1-EXP((T0-t)*PertePVj)+Pspv)</f>
        <v>5.149989072712835E-2</v>
      </c>
      <c r="M308" s="872"/>
      <c r="N308" s="872"/>
      <c r="O308" s="48">
        <f>IF(t&lt;Tnet,'2023'!Resal+('2023'!Salim-'2023'!Resal)*(1-EXP(('2023'!Tnet-t)/('2023'!Tau_j))),Resal+(Salim-Resal)*(1-EXP((Tnet-t)/(Tau_j))))*Salcycl</f>
        <v>5.8618451062018968E-2</v>
      </c>
      <c r="P308" s="171">
        <f>(INDEX(Models!$BJ308:$BT308,,T308)*(1-R308)+INDEX(Models!$BJ308:$BT308,,T308+1)*R308-ERP_i)*Q308*Ramure*Pc/MaxiM</f>
        <v>6.1639058242585532E-2</v>
      </c>
      <c r="Q308" s="307">
        <f t="shared" si="105"/>
        <v>0.9</v>
      </c>
      <c r="R308" s="179">
        <f t="shared" si="106"/>
        <v>0.79772721777951361</v>
      </c>
      <c r="S308" s="839">
        <f t="shared" si="107"/>
        <v>1</v>
      </c>
      <c r="T308" s="178">
        <f t="shared" si="108"/>
        <v>7</v>
      </c>
      <c r="U308" s="253">
        <f t="shared" si="109"/>
        <v>1.7977272177795136</v>
      </c>
      <c r="V308" s="385">
        <f t="shared" si="110"/>
        <v>25.771918022507446</v>
      </c>
      <c r="W308" s="404">
        <f t="shared" si="111"/>
        <v>13.387511837396451</v>
      </c>
      <c r="X308" s="157">
        <f t="shared" si="112"/>
        <v>45585</v>
      </c>
      <c r="Y308" s="387">
        <f t="shared" si="113"/>
        <v>12.275881930291479</v>
      </c>
      <c r="Z308" s="387">
        <f t="shared" si="114"/>
        <v>12.942414882484595</v>
      </c>
      <c r="AA308" s="388">
        <f t="shared" si="115"/>
        <v>14.993285149782103</v>
      </c>
      <c r="AB308" s="199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0.13678591761641468</v>
      </c>
      <c r="AD308" s="233">
        <f>(INDEX(Models!$BJ308:$BT308,,AH308)*(1-AF308)+INDEX(Models!$BJ308:$BT308,,AH308+1)*AF308-ERP_i)*AE308*Ramure*Pc/MaxiM</f>
        <v>6.1639058242585532E-2</v>
      </c>
      <c r="AE308" s="307">
        <f t="shared" si="117"/>
        <v>0.9</v>
      </c>
      <c r="AF308" s="179">
        <f t="shared" si="118"/>
        <v>0.79772721777951361</v>
      </c>
      <c r="AG308" s="839">
        <f t="shared" si="124"/>
        <v>1</v>
      </c>
      <c r="AH308" s="178">
        <f t="shared" si="119"/>
        <v>7</v>
      </c>
      <c r="AI308" s="227">
        <f t="shared" si="120"/>
        <v>1.7977272177795136</v>
      </c>
      <c r="AJ308" s="267" t="b">
        <f t="shared" si="121"/>
        <v>0</v>
      </c>
      <c r="AK308" s="267" t="b">
        <f t="shared" si="122"/>
        <v>0</v>
      </c>
      <c r="AL308" s="267"/>
      <c r="AM308" s="267"/>
      <c r="AN308" s="75"/>
    </row>
    <row r="309" spans="1:40" s="6" customFormat="1" ht="11.25" x14ac:dyDescent="0.2">
      <c r="A309" s="56">
        <f t="shared" si="123"/>
        <v>45586</v>
      </c>
      <c r="B309" s="413">
        <f>'2023'!Wh/'2023'!Env_an*'2024'!Env_an</f>
        <v>23.702013733013388</v>
      </c>
      <c r="C309" s="868"/>
      <c r="D309" s="395">
        <f t="shared" si="102"/>
        <v>24.989523031796317</v>
      </c>
      <c r="E309" s="387">
        <f t="shared" si="125"/>
        <v>26.549380278786035</v>
      </c>
      <c r="F309" s="387">
        <f t="shared" si="103"/>
        <v>28.171795508270058</v>
      </c>
      <c r="G309" s="110">
        <f t="shared" si="126"/>
        <v>0.92689893620748876</v>
      </c>
      <c r="H309" s="416" t="b">
        <f>Wh_hp&gt;='2023'!Maxi_hp</f>
        <v>0</v>
      </c>
      <c r="I309" s="392">
        <f>IF(H309,Wh_hp,'2023'!Maxi_hp)</f>
        <v>28.264273143615551</v>
      </c>
      <c r="J309" s="85">
        <f>IF(H309,An,'2023'!An_max)</f>
        <v>2022</v>
      </c>
      <c r="K309" s="199">
        <f t="shared" si="104"/>
        <v>45586</v>
      </c>
      <c r="L309" s="147">
        <f>IF(t&lt;Tvie,1-EXP((T0-t)*PertePVj)+'2023'!Pspv,1-EXP((T0-t)*PertePVj)+Pspv)</f>
        <v>5.1521963710340568E-2</v>
      </c>
      <c r="M309" s="872"/>
      <c r="N309" s="872"/>
      <c r="O309" s="48">
        <f>IF(t&lt;Tnet,'2023'!Resal+('2023'!Salim-'2023'!Resal)*(1-EXP(('2023'!Tnet-t)/('2023'!Tau_j))),Resal+(Salim-Resal)*(1-EXP((Tnet-t)/(Tau_j))))*Salcycl</f>
        <v>5.875305677986397E-2</v>
      </c>
      <c r="P309" s="171">
        <f>(INDEX(Models!$BJ309:$BT309,,T309)*(1-R309)+INDEX(Models!$BJ309:$BT309,,T309+1)*R309-ERP_i)*Q309*Ramure*Pc/MaxiM</f>
        <v>6.3691786447103646E-2</v>
      </c>
      <c r="Q309" s="307">
        <f t="shared" si="105"/>
        <v>0.9</v>
      </c>
      <c r="R309" s="179">
        <f t="shared" si="106"/>
        <v>0.79784563435169797</v>
      </c>
      <c r="S309" s="839">
        <f t="shared" si="107"/>
        <v>1</v>
      </c>
      <c r="T309" s="178">
        <f t="shared" si="108"/>
        <v>7</v>
      </c>
      <c r="U309" s="253">
        <f t="shared" si="109"/>
        <v>1.797845634351698</v>
      </c>
      <c r="V309" s="385">
        <f t="shared" si="110"/>
        <v>25.405739108473547</v>
      </c>
      <c r="W309" s="404">
        <f t="shared" si="111"/>
        <v>23.702013733013388</v>
      </c>
      <c r="X309" s="157">
        <f t="shared" si="112"/>
        <v>45586</v>
      </c>
      <c r="Y309" s="387">
        <f t="shared" si="113"/>
        <v>21.73755223956076</v>
      </c>
      <c r="Z309" s="387">
        <f t="shared" si="114"/>
        <v>22.9183506711401</v>
      </c>
      <c r="AA309" s="388">
        <f t="shared" si="115"/>
        <v>26.549380278786035</v>
      </c>
      <c r="AB309" s="199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0.1367651361168406</v>
      </c>
      <c r="AD309" s="233">
        <f>(INDEX(Models!$BJ309:$BT309,,AH309)*(1-AF309)+INDEX(Models!$BJ309:$BT309,,AH309+1)*AF309-ERP_i)*AE309*Ramure*Pc/MaxiM</f>
        <v>6.3691786447103646E-2</v>
      </c>
      <c r="AE309" s="307">
        <f t="shared" si="117"/>
        <v>0.9</v>
      </c>
      <c r="AF309" s="179">
        <f t="shared" si="118"/>
        <v>0.79784563435169797</v>
      </c>
      <c r="AG309" s="839">
        <f t="shared" si="124"/>
        <v>1</v>
      </c>
      <c r="AH309" s="178">
        <f t="shared" si="119"/>
        <v>7</v>
      </c>
      <c r="AI309" s="227">
        <f t="shared" si="120"/>
        <v>1.797845634351698</v>
      </c>
      <c r="AJ309" s="267" t="b">
        <f t="shared" si="121"/>
        <v>0</v>
      </c>
      <c r="AK309" s="267" t="b">
        <f t="shared" si="122"/>
        <v>0</v>
      </c>
      <c r="AL309" s="267"/>
      <c r="AM309" s="267"/>
      <c r="AN309" s="75"/>
    </row>
    <row r="310" spans="1:40" s="6" customFormat="1" ht="11.25" x14ac:dyDescent="0.2">
      <c r="A310" s="56">
        <f t="shared" si="123"/>
        <v>45587</v>
      </c>
      <c r="B310" s="413">
        <f>'2023'!Wh/'2023'!Env_an*'2024'!Env_an</f>
        <v>15.998732771327473</v>
      </c>
      <c r="C310" s="868"/>
      <c r="D310" s="395">
        <f t="shared" si="102"/>
        <v>16.868187223884398</v>
      </c>
      <c r="E310" s="387">
        <f t="shared" si="125"/>
        <v>17.923645557832103</v>
      </c>
      <c r="F310" s="387">
        <f t="shared" si="103"/>
        <v>18.513003988467485</v>
      </c>
      <c r="G310" s="110">
        <f t="shared" si="126"/>
        <v>0.61642095567004596</v>
      </c>
      <c r="H310" s="416" t="b">
        <f>Wh_hp&gt;='2023'!Maxi_hp</f>
        <v>0</v>
      </c>
      <c r="I310" s="392">
        <f>IF(H310,Wh_hp,'2023'!Maxi_hp)</f>
        <v>30.486938678311564</v>
      </c>
      <c r="J310" s="85">
        <f>IF(H310,An,'2023'!An_max)</f>
        <v>2021</v>
      </c>
      <c r="K310" s="199">
        <f t="shared" si="104"/>
        <v>45587</v>
      </c>
      <c r="L310" s="147">
        <f>IF(t&lt;Tvie,1-EXP((T0-t)*PertePVj)+'2023'!Pspv,1-EXP((T0-t)*PertePVj)+Pspv)</f>
        <v>5.1544036179882236E-2</v>
      </c>
      <c r="M310" s="872"/>
      <c r="N310" s="872"/>
      <c r="O310" s="48">
        <f>IF(t&lt;Tnet,'2023'!Resal+('2023'!Salim-'2023'!Resal)*(1-EXP(('2023'!Tnet-t)/('2023'!Tau_j))),Resal+(Salim-Resal)*(1-EXP((Tnet-t)/(Tau_j))))*Salcycl</f>
        <v>5.8886364972024326E-2</v>
      </c>
      <c r="P310" s="171">
        <f>(INDEX(Models!$BJ310:$BT310,,T310)*(1-R310)+INDEX(Models!$BJ310:$BT310,,T310+1)*R310-ERP_i)*Q310*Ramure*Pc/MaxiM</f>
        <v>6.5771881527335888E-2</v>
      </c>
      <c r="Q310" s="307">
        <f t="shared" si="105"/>
        <v>0.9</v>
      </c>
      <c r="R310" s="179">
        <f t="shared" si="106"/>
        <v>0.79795932090624833</v>
      </c>
      <c r="S310" s="839">
        <f t="shared" si="107"/>
        <v>1</v>
      </c>
      <c r="T310" s="178">
        <f t="shared" si="108"/>
        <v>7</v>
      </c>
      <c r="U310" s="253">
        <f t="shared" si="109"/>
        <v>1.7979593209062483</v>
      </c>
      <c r="V310" s="385">
        <f t="shared" si="110"/>
        <v>25.044460005827219</v>
      </c>
      <c r="W310" s="404">
        <f t="shared" si="111"/>
        <v>15.998732771327473</v>
      </c>
      <c r="X310" s="157">
        <f t="shared" si="112"/>
        <v>45587</v>
      </c>
      <c r="Y310" s="387">
        <f t="shared" si="113"/>
        <v>14.675198324604713</v>
      </c>
      <c r="Z310" s="387">
        <f t="shared" si="114"/>
        <v>15.472725022991137</v>
      </c>
      <c r="AA310" s="388">
        <f t="shared" si="115"/>
        <v>17.923645557832103</v>
      </c>
      <c r="AB310" s="199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0.1367423009416735</v>
      </c>
      <c r="AD310" s="233">
        <f>(INDEX(Models!$BJ310:$BT310,,AH310)*(1-AF310)+INDEX(Models!$BJ310:$BT310,,AH310+1)*AF310-ERP_i)*AE310*Ramure*Pc/MaxiM</f>
        <v>6.5771881527335888E-2</v>
      </c>
      <c r="AE310" s="307">
        <f t="shared" si="117"/>
        <v>0.9</v>
      </c>
      <c r="AF310" s="179">
        <f t="shared" si="118"/>
        <v>0.79795932090624833</v>
      </c>
      <c r="AG310" s="839">
        <f t="shared" si="124"/>
        <v>1</v>
      </c>
      <c r="AH310" s="178">
        <f t="shared" si="119"/>
        <v>7</v>
      </c>
      <c r="AI310" s="227">
        <f t="shared" si="120"/>
        <v>1.7979593209062483</v>
      </c>
      <c r="AJ310" s="267" t="b">
        <f t="shared" si="121"/>
        <v>0</v>
      </c>
      <c r="AK310" s="267" t="b">
        <f t="shared" si="122"/>
        <v>0</v>
      </c>
      <c r="AL310" s="267"/>
      <c r="AM310" s="267"/>
      <c r="AN310" s="75"/>
    </row>
    <row r="311" spans="1:40" s="6" customFormat="1" ht="11.25" x14ac:dyDescent="0.2">
      <c r="A311" s="56">
        <f t="shared" si="123"/>
        <v>45588</v>
      </c>
      <c r="B311" s="413">
        <f>'2023'!Wh/'2023'!Env_an*'2024'!Env_an</f>
        <v>18.891050955652538</v>
      </c>
      <c r="C311" s="868"/>
      <c r="D311" s="395">
        <f t="shared" si="102"/>
        <v>19.918152564666819</v>
      </c>
      <c r="E311" s="387">
        <f t="shared" si="125"/>
        <v>21.167420457059617</v>
      </c>
      <c r="F311" s="387">
        <f t="shared" si="103"/>
        <v>22.16758412329968</v>
      </c>
      <c r="G311" s="110">
        <f t="shared" si="126"/>
        <v>0.7469583395143311</v>
      </c>
      <c r="H311" s="416" t="b">
        <f>Wh_hp&gt;='2023'!Maxi_hp</f>
        <v>0</v>
      </c>
      <c r="I311" s="392">
        <f>IF(H311,Wh_hp,'2023'!Maxi_hp)</f>
        <v>30.713396956245166</v>
      </c>
      <c r="J311" s="85">
        <f>IF(H311,An,'2023'!An_max)</f>
        <v>2021</v>
      </c>
      <c r="K311" s="199">
        <f t="shared" si="104"/>
        <v>45588</v>
      </c>
      <c r="L311" s="147">
        <f>IF(t&lt;Tvie,1-EXP((T0-t)*PertePVj)+'2023'!Pspv,1-EXP((T0-t)*PertePVj)+Pspv)</f>
        <v>5.1566108135765343E-2</v>
      </c>
      <c r="M311" s="872"/>
      <c r="N311" s="872"/>
      <c r="O311" s="48">
        <f>IF(t&lt;Tnet,'2023'!Resal+('2023'!Salim-'2023'!Resal)*(1-EXP(('2023'!Tnet-t)/('2023'!Tau_j))),Resal+(Salim-Resal)*(1-EXP((Tnet-t)/(Tau_j))))*Salcycl</f>
        <v>5.9018428576456568E-2</v>
      </c>
      <c r="P311" s="171">
        <f>(INDEX(Models!$BJ311:$BT311,,T311)*(1-R311)+INDEX(Models!$BJ311:$BT311,,T311+1)*R311-ERP_i)*Q311*Ramure*Pc/MaxiM</f>
        <v>6.7889852760068758E-2</v>
      </c>
      <c r="Q311" s="307">
        <f t="shared" si="105"/>
        <v>0.9</v>
      </c>
      <c r="R311" s="179">
        <f t="shared" si="106"/>
        <v>0.79806846492359806</v>
      </c>
      <c r="S311" s="839">
        <f t="shared" si="107"/>
        <v>1</v>
      </c>
      <c r="T311" s="178">
        <f t="shared" si="108"/>
        <v>7</v>
      </c>
      <c r="U311" s="253">
        <f t="shared" si="109"/>
        <v>1.7980684649235981</v>
      </c>
      <c r="V311" s="385">
        <f t="shared" si="110"/>
        <v>24.687516529081766</v>
      </c>
      <c r="W311" s="404">
        <f t="shared" si="111"/>
        <v>18.891050955652538</v>
      </c>
      <c r="X311" s="157">
        <f t="shared" si="112"/>
        <v>45588</v>
      </c>
      <c r="Y311" s="387">
        <f t="shared" si="113"/>
        <v>17.331171322028474</v>
      </c>
      <c r="Z311" s="387">
        <f t="shared" si="114"/>
        <v>18.273462674306643</v>
      </c>
      <c r="AA311" s="388">
        <f t="shared" si="115"/>
        <v>21.167420457059617</v>
      </c>
      <c r="AB311" s="199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0.13671754612819634</v>
      </c>
      <c r="AD311" s="233">
        <f>(INDEX(Models!$BJ311:$BT311,,AH311)*(1-AF311)+INDEX(Models!$BJ311:$BT311,,AH311+1)*AF311-ERP_i)*AE311*Ramure*Pc/MaxiM</f>
        <v>6.7889852760068758E-2</v>
      </c>
      <c r="AE311" s="307">
        <f t="shared" si="117"/>
        <v>0.9</v>
      </c>
      <c r="AF311" s="179">
        <f t="shared" si="118"/>
        <v>0.79806846492359806</v>
      </c>
      <c r="AG311" s="839">
        <f t="shared" si="124"/>
        <v>1</v>
      </c>
      <c r="AH311" s="178">
        <f t="shared" si="119"/>
        <v>7</v>
      </c>
      <c r="AI311" s="227">
        <f t="shared" si="120"/>
        <v>1.7980684649235981</v>
      </c>
      <c r="AJ311" s="267" t="b">
        <f t="shared" si="121"/>
        <v>0</v>
      </c>
      <c r="AK311" s="267" t="b">
        <f t="shared" si="122"/>
        <v>0</v>
      </c>
      <c r="AL311" s="267"/>
      <c r="AM311" s="267"/>
      <c r="AN311" s="75"/>
    </row>
    <row r="312" spans="1:40" s="6" customFormat="1" ht="11.25" x14ac:dyDescent="0.2">
      <c r="A312" s="56">
        <f t="shared" si="123"/>
        <v>45589</v>
      </c>
      <c r="B312" s="413">
        <f>'2023'!Wh/'2023'!Env_an*'2024'!Env_an</f>
        <v>17.439360433248265</v>
      </c>
      <c r="C312" s="868"/>
      <c r="D312" s="395">
        <f t="shared" si="102"/>
        <v>18.387961914570589</v>
      </c>
      <c r="E312" s="387">
        <f t="shared" si="125"/>
        <v>19.543974416180834</v>
      </c>
      <c r="F312" s="387">
        <f t="shared" si="103"/>
        <v>20.394275022098931</v>
      </c>
      <c r="G312" s="110">
        <f t="shared" si="126"/>
        <v>0.69544487688236001</v>
      </c>
      <c r="H312" s="416" t="b">
        <f>Wh_hp&gt;='2023'!Maxi_hp</f>
        <v>0</v>
      </c>
      <c r="I312" s="392">
        <f>IF(H312,Wh_hp,'2023'!Maxi_hp)</f>
        <v>29.429997890434077</v>
      </c>
      <c r="J312" s="85">
        <f>IF(H312,An,'2023'!An_max)</f>
        <v>2021</v>
      </c>
      <c r="K312" s="199">
        <f t="shared" si="104"/>
        <v>45589</v>
      </c>
      <c r="L312" s="147">
        <f>IF(t&lt;Tvie,1-EXP((T0-t)*PertePVj)+'2023'!Pspv,1-EXP((T0-t)*PertePVj)+Pspv)</f>
        <v>5.1588179578001769E-2</v>
      </c>
      <c r="M312" s="872"/>
      <c r="N312" s="872"/>
      <c r="O312" s="48">
        <f>IF(t&lt;Tnet,'2023'!Resal+('2023'!Salim-'2023'!Resal)*(1-EXP(('2023'!Tnet-t)/('2023'!Tau_j))),Resal+(Salim-Resal)*(1-EXP((Tnet-t)/(Tau_j))))*Salcycl</f>
        <v>5.9149304895383004E-2</v>
      </c>
      <c r="P312" s="171">
        <f>(INDEX(Models!$BJ312:$BT312,,T312)*(1-R312)+INDEX(Models!$BJ312:$BT312,,T312+1)*R312-ERP_i)*Q312*Ramure*Pc/MaxiM</f>
        <v>7.0047381356350955E-2</v>
      </c>
      <c r="Q312" s="307">
        <f t="shared" si="105"/>
        <v>0.9</v>
      </c>
      <c r="R312" s="179">
        <f t="shared" si="106"/>
        <v>0.79817324656756972</v>
      </c>
      <c r="S312" s="839">
        <f t="shared" si="107"/>
        <v>1</v>
      </c>
      <c r="T312" s="178">
        <f t="shared" si="108"/>
        <v>7</v>
      </c>
      <c r="U312" s="253">
        <f t="shared" si="109"/>
        <v>1.7981732465675697</v>
      </c>
      <c r="V312" s="385">
        <f t="shared" si="110"/>
        <v>24.334590889349297</v>
      </c>
      <c r="W312" s="404">
        <f t="shared" si="111"/>
        <v>17.439360433248265</v>
      </c>
      <c r="X312" s="157">
        <f t="shared" si="112"/>
        <v>45589</v>
      </c>
      <c r="Y312" s="387">
        <f t="shared" si="113"/>
        <v>16.002067748488262</v>
      </c>
      <c r="Z312" s="387">
        <f t="shared" si="114"/>
        <v>16.872488726857181</v>
      </c>
      <c r="AA312" s="388">
        <f t="shared" si="115"/>
        <v>19.543974416180834</v>
      </c>
      <c r="AB312" s="199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0.13669101444954185</v>
      </c>
      <c r="AD312" s="233">
        <f>(INDEX(Models!$BJ312:$BT312,,AH312)*(1-AF312)+INDEX(Models!$BJ312:$BT312,,AH312+1)*AF312-ERP_i)*AE312*Ramure*Pc/MaxiM</f>
        <v>7.0047381356350955E-2</v>
      </c>
      <c r="AE312" s="307">
        <f t="shared" si="117"/>
        <v>0.9</v>
      </c>
      <c r="AF312" s="179">
        <f t="shared" si="118"/>
        <v>0.79817324656756972</v>
      </c>
      <c r="AG312" s="839">
        <f t="shared" si="124"/>
        <v>1</v>
      </c>
      <c r="AH312" s="178">
        <f t="shared" si="119"/>
        <v>7</v>
      </c>
      <c r="AI312" s="227">
        <f t="shared" si="120"/>
        <v>1.7981732465675697</v>
      </c>
      <c r="AJ312" s="267" t="b">
        <f t="shared" si="121"/>
        <v>0</v>
      </c>
      <c r="AK312" s="267" t="b">
        <f t="shared" si="122"/>
        <v>0</v>
      </c>
      <c r="AL312" s="267"/>
      <c r="AM312" s="267"/>
      <c r="AN312" s="75"/>
    </row>
    <row r="313" spans="1:40" s="6" customFormat="1" ht="11.25" x14ac:dyDescent="0.2">
      <c r="A313" s="56">
        <f t="shared" si="123"/>
        <v>45590</v>
      </c>
      <c r="B313" s="413">
        <f>'2023'!Wh/'2023'!Env_an*'2024'!Env_an</f>
        <v>13.797827955920438</v>
      </c>
      <c r="C313" s="868"/>
      <c r="D313" s="395">
        <f t="shared" si="102"/>
        <v>14.548689463683949</v>
      </c>
      <c r="E313" s="387">
        <f t="shared" si="125"/>
        <v>15.465467786105195</v>
      </c>
      <c r="F313" s="387">
        <f t="shared" si="103"/>
        <v>15.917674280477296</v>
      </c>
      <c r="G313" s="110">
        <f t="shared" si="126"/>
        <v>0.54930510463734994</v>
      </c>
      <c r="H313" s="416" t="b">
        <f>Wh_hp&gt;='2023'!Maxi_hp</f>
        <v>0</v>
      </c>
      <c r="I313" s="392">
        <f>IF(H313,Wh_hp,'2023'!Maxi_hp)</f>
        <v>29.199862154592079</v>
      </c>
      <c r="J313" s="85">
        <f>IF(H313,An,'2023'!An_max)</f>
        <v>2019</v>
      </c>
      <c r="K313" s="199">
        <f t="shared" si="104"/>
        <v>45590</v>
      </c>
      <c r="L313" s="147">
        <f>IF(t&lt;Tvie,1-EXP((T0-t)*PertePVj)+'2023'!Pspv,1-EXP((T0-t)*PertePVj)+Pspv)</f>
        <v>5.1610250506603506E-2</v>
      </c>
      <c r="M313" s="872"/>
      <c r="N313" s="872"/>
      <c r="O313" s="48">
        <f>IF(t&lt;Tnet,'2023'!Resal+('2023'!Salim-'2023'!Resal)*(1-EXP(('2023'!Tnet-t)/('2023'!Tau_j))),Resal+(Salim-Resal)*(1-EXP((Tnet-t)/(Tau_j))))*Salcycl</f>
        <v>5.9279055447964989E-2</v>
      </c>
      <c r="P313" s="171">
        <f>(INDEX(Models!$BJ313:$BT313,,T313)*(1-R313)+INDEX(Models!$BJ313:$BT313,,T313+1)*R313-ERP_i)*Q313*Ramure*Pc/MaxiM</f>
        <v>7.2245737306213642E-2</v>
      </c>
      <c r="Q313" s="307">
        <f t="shared" si="105"/>
        <v>0.9</v>
      </c>
      <c r="R313" s="179">
        <f t="shared" si="106"/>
        <v>0.79827383896189108</v>
      </c>
      <c r="S313" s="839">
        <f t="shared" si="107"/>
        <v>1</v>
      </c>
      <c r="T313" s="178">
        <f t="shared" si="108"/>
        <v>7</v>
      </c>
      <c r="U313" s="253">
        <f t="shared" si="109"/>
        <v>1.7982738389618911</v>
      </c>
      <c r="V313" s="385">
        <f t="shared" si="110"/>
        <v>23.985379918774939</v>
      </c>
      <c r="W313" s="404">
        <f t="shared" si="111"/>
        <v>13.797827955920438</v>
      </c>
      <c r="X313" s="157">
        <f t="shared" si="112"/>
        <v>45590</v>
      </c>
      <c r="Y313" s="387">
        <f t="shared" si="113"/>
        <v>12.662817210932882</v>
      </c>
      <c r="Z313" s="387">
        <f t="shared" si="114"/>
        <v>13.35191277393815</v>
      </c>
      <c r="AA313" s="388">
        <f t="shared" si="115"/>
        <v>15.465467786105195</v>
      </c>
      <c r="AB313" s="199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0.13666285697907893</v>
      </c>
      <c r="AD313" s="233">
        <f>(INDEX(Models!$BJ313:$BT313,,AH313)*(1-AF313)+INDEX(Models!$BJ313:$BT313,,AH313+1)*AF313-ERP_i)*AE313*Ramure*Pc/MaxiM</f>
        <v>7.2245737306213642E-2</v>
      </c>
      <c r="AE313" s="307">
        <f t="shared" si="117"/>
        <v>0.9</v>
      </c>
      <c r="AF313" s="179">
        <f t="shared" si="118"/>
        <v>0.79827383896189108</v>
      </c>
      <c r="AG313" s="839">
        <f t="shared" si="124"/>
        <v>1</v>
      </c>
      <c r="AH313" s="178">
        <f t="shared" si="119"/>
        <v>7</v>
      </c>
      <c r="AI313" s="227">
        <f t="shared" si="120"/>
        <v>1.7982738389618911</v>
      </c>
      <c r="AJ313" s="267" t="b">
        <f t="shared" si="121"/>
        <v>0</v>
      </c>
      <c r="AK313" s="267" t="b">
        <f t="shared" si="122"/>
        <v>0</v>
      </c>
      <c r="AL313" s="267"/>
      <c r="AM313" s="267"/>
      <c r="AN313" s="75"/>
    </row>
    <row r="314" spans="1:40" s="6" customFormat="1" ht="11.25" x14ac:dyDescent="0.2">
      <c r="A314" s="56">
        <f t="shared" si="123"/>
        <v>45591</v>
      </c>
      <c r="B314" s="413">
        <f>'2023'!Wh/'2023'!Env_an*'2024'!Env_an</f>
        <v>11.013797426456645</v>
      </c>
      <c r="C314" s="868"/>
      <c r="D314" s="395">
        <f t="shared" si="102"/>
        <v>11.61342554098783</v>
      </c>
      <c r="E314" s="387">
        <f t="shared" si="125"/>
        <v>12.346928745216008</v>
      </c>
      <c r="F314" s="387">
        <f t="shared" si="103"/>
        <v>12.568815887219328</v>
      </c>
      <c r="G314" s="110">
        <f t="shared" si="126"/>
        <v>0.43895053308371662</v>
      </c>
      <c r="H314" s="416" t="b">
        <f>Wh_hp&gt;='2023'!Maxi_hp</f>
        <v>0</v>
      </c>
      <c r="I314" s="392">
        <f>IF(H314,Wh_hp,'2023'!Maxi_hp)</f>
        <v>29.266376232509479</v>
      </c>
      <c r="J314" s="85">
        <f>IF(H314,An,'2023'!An_max)</f>
        <v>2021</v>
      </c>
      <c r="K314" s="199">
        <f t="shared" si="104"/>
        <v>45591</v>
      </c>
      <c r="L314" s="147">
        <f>IF(t&lt;Tvie,1-EXP((T0-t)*PertePVj)+'2023'!Pspv,1-EXP((T0-t)*PertePVj)+Pspv)</f>
        <v>5.1632320921582431E-2</v>
      </c>
      <c r="M314" s="872"/>
      <c r="N314" s="872"/>
      <c r="O314" s="48">
        <f>IF(t&lt;Tnet,'2023'!Resal+('2023'!Salim-'2023'!Resal)*(1-EXP(('2023'!Tnet-t)/('2023'!Tau_j))),Resal+(Salim-Resal)*(1-EXP((Tnet-t)/(Tau_j))))*Salcycl</f>
        <v>5.9407745793656187E-2</v>
      </c>
      <c r="P314" s="171">
        <f>(INDEX(Models!$BJ314:$BT314,,T314)*(1-R314)+INDEX(Models!$BJ314:$BT314,,T314+1)*R314-ERP_i)*Q314*Ramure*Pc/MaxiM</f>
        <v>7.4486316453558729E-2</v>
      </c>
      <c r="Q314" s="307">
        <f t="shared" si="105"/>
        <v>0.9</v>
      </c>
      <c r="R314" s="179">
        <f t="shared" si="106"/>
        <v>0.79837040845697915</v>
      </c>
      <c r="S314" s="839">
        <f t="shared" si="107"/>
        <v>1</v>
      </c>
      <c r="T314" s="178">
        <f t="shared" si="108"/>
        <v>7</v>
      </c>
      <c r="U314" s="253">
        <f t="shared" si="109"/>
        <v>1.7983704084569792</v>
      </c>
      <c r="V314" s="385">
        <f t="shared" si="110"/>
        <v>23.639580771932486</v>
      </c>
      <c r="W314" s="404">
        <f t="shared" si="111"/>
        <v>11.013797426456645</v>
      </c>
      <c r="X314" s="157">
        <f t="shared" si="112"/>
        <v>45591</v>
      </c>
      <c r="Y314" s="387">
        <f t="shared" si="113"/>
        <v>10.109531136809357</v>
      </c>
      <c r="Z314" s="387">
        <f t="shared" si="114"/>
        <v>10.659927958145262</v>
      </c>
      <c r="AA314" s="388">
        <f t="shared" si="115"/>
        <v>12.346928745216008</v>
      </c>
      <c r="AB314" s="199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0.13663323259433222</v>
      </c>
      <c r="AD314" s="233">
        <f>(INDEX(Models!$BJ314:$BT314,,AH314)*(1-AF314)+INDEX(Models!$BJ314:$BT314,,AH314+1)*AF314-ERP_i)*AE314*Ramure*Pc/MaxiM</f>
        <v>7.4486316453558729E-2</v>
      </c>
      <c r="AE314" s="307">
        <f t="shared" si="117"/>
        <v>0.9</v>
      </c>
      <c r="AF314" s="179">
        <f t="shared" si="118"/>
        <v>0.79837040845697915</v>
      </c>
      <c r="AG314" s="839">
        <f t="shared" si="124"/>
        <v>1</v>
      </c>
      <c r="AH314" s="178">
        <f t="shared" si="119"/>
        <v>7</v>
      </c>
      <c r="AI314" s="227">
        <f t="shared" si="120"/>
        <v>1.7983704084569792</v>
      </c>
      <c r="AJ314" s="267" t="b">
        <f t="shared" si="121"/>
        <v>0</v>
      </c>
      <c r="AK314" s="267" t="b">
        <f t="shared" si="122"/>
        <v>0</v>
      </c>
      <c r="AL314" s="267"/>
      <c r="AM314" s="267"/>
      <c r="AN314" s="75"/>
    </row>
    <row r="315" spans="1:40" s="6" customFormat="1" ht="11.25" x14ac:dyDescent="0.2">
      <c r="A315" s="56">
        <f t="shared" si="123"/>
        <v>45592</v>
      </c>
      <c r="B315" s="413">
        <f>'2023'!Wh/'2023'!Env_an*'2024'!Env_an</f>
        <v>14.968243967337584</v>
      </c>
      <c r="C315" s="868"/>
      <c r="D315" s="395">
        <f t="shared" si="102"/>
        <v>15.783532735841581</v>
      </c>
      <c r="E315" s="387">
        <f t="shared" si="125"/>
        <v>16.782698143607519</v>
      </c>
      <c r="F315" s="387">
        <f t="shared" si="103"/>
        <v>17.437706222916233</v>
      </c>
      <c r="G315" s="110">
        <f t="shared" si="126"/>
        <v>0.61632539369037698</v>
      </c>
      <c r="H315" s="416" t="b">
        <f>Wh_hp&gt;='2023'!Maxi_hp</f>
        <v>0</v>
      </c>
      <c r="I315" s="392">
        <f>IF(H315,Wh_hp,'2023'!Maxi_hp)</f>
        <v>28.371022569697843</v>
      </c>
      <c r="J315" s="85">
        <f>IF(H315,An,'2023'!An_max)</f>
        <v>2021</v>
      </c>
      <c r="K315" s="199">
        <f t="shared" si="104"/>
        <v>45592</v>
      </c>
      <c r="L315" s="147">
        <f>IF(t&lt;Tvie,1-EXP((T0-t)*PertePVj)+'2023'!Pspv,1-EXP((T0-t)*PertePVj)+Pspv)</f>
        <v>5.1654390822950647E-2</v>
      </c>
      <c r="M315" s="872"/>
      <c r="N315" s="872"/>
      <c r="O315" s="48">
        <f>IF(t&lt;Tnet,'2023'!Resal+('2023'!Salim-'2023'!Resal)*(1-EXP(('2023'!Tnet-t)/('2023'!Tau_j))),Resal+(Salim-Resal)*(1-EXP((Tnet-t)/(Tau_j))))*Salcycl</f>
        <v>5.9535445326859976E-2</v>
      </c>
      <c r="P315" s="171">
        <f>(INDEX(Models!$BJ315:$BT315,,T315)*(1-R315)+INDEX(Models!$BJ315:$BT315,,T315+1)*R315-ERP_i)*Q315*Ramure*Pc/MaxiM</f>
        <v>7.6770651270837653E-2</v>
      </c>
      <c r="Q315" s="307">
        <f t="shared" si="105"/>
        <v>0.9</v>
      </c>
      <c r="R315" s="179">
        <f t="shared" si="106"/>
        <v>0.79846311488727406</v>
      </c>
      <c r="S315" s="839">
        <f t="shared" si="107"/>
        <v>1</v>
      </c>
      <c r="T315" s="178">
        <f t="shared" si="108"/>
        <v>7</v>
      </c>
      <c r="U315" s="253">
        <f t="shared" si="109"/>
        <v>1.7984631148872741</v>
      </c>
      <c r="V315" s="385">
        <f t="shared" si="110"/>
        <v>23.296890939231083</v>
      </c>
      <c r="W315" s="404">
        <f t="shared" si="111"/>
        <v>14.968243967337584</v>
      </c>
      <c r="X315" s="157">
        <f t="shared" si="112"/>
        <v>45592</v>
      </c>
      <c r="Y315" s="387">
        <f t="shared" si="113"/>
        <v>13.741663350431432</v>
      </c>
      <c r="Z315" s="387">
        <f t="shared" si="114"/>
        <v>14.490142852410214</v>
      </c>
      <c r="AA315" s="388">
        <f t="shared" si="115"/>
        <v>16.782698143607519</v>
      </c>
      <c r="AB315" s="199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0.13660230742281043</v>
      </c>
      <c r="AD315" s="233">
        <f>(INDEX(Models!$BJ315:$BT315,,AH315)*(1-AF315)+INDEX(Models!$BJ315:$BT315,,AH315+1)*AF315-ERP_i)*AE315*Ramure*Pc/MaxiM</f>
        <v>7.6770651270837653E-2</v>
      </c>
      <c r="AE315" s="307">
        <f t="shared" si="117"/>
        <v>0.9</v>
      </c>
      <c r="AF315" s="179">
        <f t="shared" si="118"/>
        <v>0.79846311488727406</v>
      </c>
      <c r="AG315" s="839">
        <f t="shared" si="124"/>
        <v>1</v>
      </c>
      <c r="AH315" s="178">
        <f t="shared" si="119"/>
        <v>7</v>
      </c>
      <c r="AI315" s="227">
        <f t="shared" si="120"/>
        <v>1.7984631148872741</v>
      </c>
      <c r="AJ315" s="267" t="b">
        <f t="shared" si="121"/>
        <v>0</v>
      </c>
      <c r="AK315" s="267" t="b">
        <f t="shared" si="122"/>
        <v>0</v>
      </c>
      <c r="AL315" s="267"/>
      <c r="AM315" s="267"/>
      <c r="AN315" s="75"/>
    </row>
    <row r="316" spans="1:40" s="6" customFormat="1" ht="11.25" x14ac:dyDescent="0.2">
      <c r="A316" s="56">
        <f t="shared" si="123"/>
        <v>45593</v>
      </c>
      <c r="B316" s="413">
        <f>'2023'!Wh/'2023'!Env_an*'2024'!Env_an</f>
        <v>18.977130058599478</v>
      </c>
      <c r="C316" s="868"/>
      <c r="D316" s="395">
        <f t="shared" si="102"/>
        <v>20.011240112015194</v>
      </c>
      <c r="E316" s="387">
        <f t="shared" si="125"/>
        <v>21.280906380165703</v>
      </c>
      <c r="F316" s="387">
        <f t="shared" si="103"/>
        <v>22.627476217377517</v>
      </c>
      <c r="G316" s="110">
        <f t="shared" si="126"/>
        <v>0.80941922137171884</v>
      </c>
      <c r="H316" s="416" t="b">
        <f>Wh_hp&gt;='2023'!Maxi_hp</f>
        <v>0</v>
      </c>
      <c r="I316" s="392">
        <f>IF(H316,Wh_hp,'2023'!Maxi_hp)</f>
        <v>25.15927908632538</v>
      </c>
      <c r="J316" s="85">
        <f>IF(H316,An,'2023'!An_max)</f>
        <v>2019</v>
      </c>
      <c r="K316" s="199">
        <f t="shared" si="104"/>
        <v>45593</v>
      </c>
      <c r="L316" s="147">
        <f>IF(t&lt;Tvie,1-EXP((T0-t)*PertePVj)+'2023'!Pspv,1-EXP((T0-t)*PertePVj)+Pspv)</f>
        <v>5.1676460210719921E-2</v>
      </c>
      <c r="M316" s="872"/>
      <c r="N316" s="872"/>
      <c r="O316" s="48">
        <f>IF(t&lt;Tnet,'2023'!Resal+('2023'!Salim-'2023'!Resal)*(1-EXP(('2023'!Tnet-t)/('2023'!Tau_j))),Resal+(Salim-Resal)*(1-EXP((Tnet-t)/(Tau_j))))*Salcycl</f>
        <v>5.9662227043762929E-2</v>
      </c>
      <c r="P316" s="171">
        <f>(INDEX(Models!$BJ316:$BT316,,T316)*(1-R316)+INDEX(Models!$BJ316:$BT316,,T316+1)*R316-ERP_i)*Q316*Ramure*Pc/MaxiM</f>
        <v>7.9100422564453571E-2</v>
      </c>
      <c r="Q316" s="307">
        <f t="shared" si="105"/>
        <v>0.9</v>
      </c>
      <c r="R316" s="179">
        <f t="shared" si="106"/>
        <v>0.79855211181940478</v>
      </c>
      <c r="S316" s="839">
        <f t="shared" si="107"/>
        <v>1</v>
      </c>
      <c r="T316" s="178">
        <f t="shared" si="108"/>
        <v>7</v>
      </c>
      <c r="U316" s="253">
        <f t="shared" si="109"/>
        <v>1.7985521118194048</v>
      </c>
      <c r="V316" s="385">
        <f t="shared" si="110"/>
        <v>22.957008246574897</v>
      </c>
      <c r="W316" s="404">
        <f t="shared" si="111"/>
        <v>18.977130058599478</v>
      </c>
      <c r="X316" s="157">
        <f t="shared" si="112"/>
        <v>45593</v>
      </c>
      <c r="Y316" s="387">
        <f t="shared" si="113"/>
        <v>17.425034974803129</v>
      </c>
      <c r="Z316" s="387">
        <f t="shared" si="114"/>
        <v>18.374567585525732</v>
      </c>
      <c r="AA316" s="388">
        <f t="shared" si="115"/>
        <v>21.280906380165703</v>
      </c>
      <c r="AB316" s="199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0.13657025423262739</v>
      </c>
      <c r="AD316" s="233">
        <f>(INDEX(Models!$BJ316:$BT316,,AH316)*(1-AF316)+INDEX(Models!$BJ316:$BT316,,AH316+1)*AF316-ERP_i)*AE316*Ramure*Pc/MaxiM</f>
        <v>7.9100422564453571E-2</v>
      </c>
      <c r="AE316" s="307">
        <f t="shared" si="117"/>
        <v>0.9</v>
      </c>
      <c r="AF316" s="179">
        <f t="shared" si="118"/>
        <v>0.79855211181940478</v>
      </c>
      <c r="AG316" s="839">
        <f t="shared" si="124"/>
        <v>1</v>
      </c>
      <c r="AH316" s="178">
        <f t="shared" si="119"/>
        <v>7</v>
      </c>
      <c r="AI316" s="227">
        <f t="shared" si="120"/>
        <v>1.7985521118194048</v>
      </c>
      <c r="AJ316" s="267" t="b">
        <f t="shared" si="121"/>
        <v>0</v>
      </c>
      <c r="AK316" s="267" t="b">
        <f t="shared" si="122"/>
        <v>0</v>
      </c>
      <c r="AL316" s="267"/>
      <c r="AM316" s="267"/>
      <c r="AN316" s="75"/>
    </row>
    <row r="317" spans="1:40" s="6" customFormat="1" ht="11.25" x14ac:dyDescent="0.2">
      <c r="A317" s="56">
        <f t="shared" si="123"/>
        <v>45594</v>
      </c>
      <c r="B317" s="413">
        <f>'2023'!Wh/'2023'!Env_an*'2024'!Env_an</f>
        <v>16.332004969410804</v>
      </c>
      <c r="C317" s="868"/>
      <c r="D317" s="395">
        <f t="shared" si="102"/>
        <v>17.222376501905714</v>
      </c>
      <c r="E317" s="387">
        <f t="shared" si="125"/>
        <v>18.317549197532454</v>
      </c>
      <c r="F317" s="387">
        <f t="shared" si="103"/>
        <v>19.263851021866003</v>
      </c>
      <c r="G317" s="110">
        <f t="shared" si="126"/>
        <v>0.69746368572284567</v>
      </c>
      <c r="H317" s="416" t="b">
        <f>Wh_hp&gt;='2023'!Maxi_hp</f>
        <v>0</v>
      </c>
      <c r="I317" s="392">
        <f>IF(H317,Wh_hp,'2023'!Maxi_hp)</f>
        <v>25.463678721185552</v>
      </c>
      <c r="J317" s="85">
        <f>IF(H317,An,'2023'!An_max)</f>
        <v>2020</v>
      </c>
      <c r="K317" s="199">
        <f t="shared" si="104"/>
        <v>45594</v>
      </c>
      <c r="L317" s="147">
        <f>IF(t&lt;Tvie,1-EXP((T0-t)*PertePVj)+'2023'!Pspv,1-EXP((T0-t)*PertePVj)+Pspv)</f>
        <v>5.1698529084902356E-2</v>
      </c>
      <c r="M317" s="872"/>
      <c r="N317" s="872"/>
      <c r="O317" s="48">
        <f>IF(t&lt;Tnet,'2023'!Resal+('2023'!Salim-'2023'!Resal)*(1-EXP(('2023'!Tnet-t)/('2023'!Tau_j))),Resal+(Salim-Resal)*(1-EXP((Tnet-t)/(Tau_j))))*Salcycl</f>
        <v>5.9788167282458844E-2</v>
      </c>
      <c r="P317" s="171">
        <f>(INDEX(Models!$BJ317:$BT317,,T317)*(1-R317)+INDEX(Models!$BJ317:$BT317,,T317+1)*R317-ERP_i)*Q317*Ramure*Pc/MaxiM</f>
        <v>8.147785744927051E-2</v>
      </c>
      <c r="Q317" s="307">
        <f t="shared" si="105"/>
        <v>0.9</v>
      </c>
      <c r="R317" s="179">
        <f t="shared" si="106"/>
        <v>0.79863754679146437</v>
      </c>
      <c r="S317" s="839">
        <f t="shared" si="107"/>
        <v>1</v>
      </c>
      <c r="T317" s="178">
        <f t="shared" si="108"/>
        <v>7</v>
      </c>
      <c r="U317" s="253">
        <f t="shared" si="109"/>
        <v>1.7986375467914644</v>
      </c>
      <c r="V317" s="385">
        <f t="shared" si="110"/>
        <v>22.619514411959539</v>
      </c>
      <c r="W317" s="404">
        <f t="shared" si="111"/>
        <v>16.332004969410804</v>
      </c>
      <c r="X317" s="157">
        <f t="shared" si="112"/>
        <v>45594</v>
      </c>
      <c r="Y317" s="387">
        <f t="shared" si="113"/>
        <v>14.99883048079961</v>
      </c>
      <c r="Z317" s="387">
        <f t="shared" si="114"/>
        <v>15.816521370915885</v>
      </c>
      <c r="AA317" s="388">
        <f t="shared" si="115"/>
        <v>18.317549197532454</v>
      </c>
      <c r="AB317" s="199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0.13653725177129494</v>
      </c>
      <c r="AD317" s="233">
        <f>(INDEX(Models!$BJ317:$BT317,,AH317)*(1-AF317)+INDEX(Models!$BJ317:$BT317,,AH317+1)*AF317-ERP_i)*AE317*Ramure*Pc/MaxiM</f>
        <v>8.147785744927051E-2</v>
      </c>
      <c r="AE317" s="307">
        <f t="shared" si="117"/>
        <v>0.9</v>
      </c>
      <c r="AF317" s="179">
        <f t="shared" si="118"/>
        <v>0.79863754679146437</v>
      </c>
      <c r="AG317" s="839">
        <f t="shared" si="124"/>
        <v>1</v>
      </c>
      <c r="AH317" s="178">
        <f t="shared" si="119"/>
        <v>7</v>
      </c>
      <c r="AI317" s="227">
        <f t="shared" si="120"/>
        <v>1.7986375467914644</v>
      </c>
      <c r="AJ317" s="267" t="b">
        <f t="shared" si="121"/>
        <v>0</v>
      </c>
      <c r="AK317" s="267" t="b">
        <f t="shared" si="122"/>
        <v>0</v>
      </c>
      <c r="AL317" s="267"/>
      <c r="AM317" s="267"/>
      <c r="AN317" s="75"/>
    </row>
    <row r="318" spans="1:40" s="6" customFormat="1" ht="11.25" x14ac:dyDescent="0.2">
      <c r="A318" s="56">
        <f t="shared" si="123"/>
        <v>45595</v>
      </c>
      <c r="B318" s="413">
        <f>'2023'!Wh/'2023'!Env_an*'2024'!Env_an</f>
        <v>15.883046785325504</v>
      </c>
      <c r="C318" s="868"/>
      <c r="D318" s="395">
        <f t="shared" si="102"/>
        <v>16.749332256442035</v>
      </c>
      <c r="E318" s="387">
        <f t="shared" si="125"/>
        <v>17.816796116780033</v>
      </c>
      <c r="F318" s="387">
        <f t="shared" si="103"/>
        <v>18.743792882375207</v>
      </c>
      <c r="G318" s="110">
        <f t="shared" si="126"/>
        <v>0.68691135067251152</v>
      </c>
      <c r="H318" s="416" t="b">
        <f>Wh_hp&gt;='2023'!Maxi_hp</f>
        <v>0</v>
      </c>
      <c r="I318" s="392">
        <f>IF(H318,Wh_hp,'2023'!Maxi_hp)</f>
        <v>27.758372597474693</v>
      </c>
      <c r="J318" s="85">
        <f>IF(H318,An,'2023'!An_max)</f>
        <v>2020</v>
      </c>
      <c r="K318" s="199">
        <f t="shared" si="104"/>
        <v>45595</v>
      </c>
      <c r="L318" s="147">
        <f>IF(t&lt;Tvie,1-EXP((T0-t)*PertePVj)+'2023'!Pspv,1-EXP((T0-t)*PertePVj)+Pspv)</f>
        <v>5.1720597445509831E-2</v>
      </c>
      <c r="M318" s="872"/>
      <c r="N318" s="872"/>
      <c r="O318" s="48">
        <f>IF(t&lt;Tnet,'2023'!Resal+('2023'!Salim-'2023'!Resal)*(1-EXP(('2023'!Tnet-t)/('2023'!Tau_j))),Resal+(Salim-Resal)*(1-EXP((Tnet-t)/(Tau_j))))*Salcycl</f>
        <v>5.9913345437715891E-2</v>
      </c>
      <c r="P318" s="171">
        <f>(INDEX(Models!$BJ318:$BT318,,T318)*(1-R318)+INDEX(Models!$BJ318:$BT318,,T318+1)*R318-ERP_i)*Q318*Ramure*Pc/MaxiM</f>
        <v>8.3880371483674276E-2</v>
      </c>
      <c r="Q318" s="307">
        <f t="shared" si="105"/>
        <v>0.9</v>
      </c>
      <c r="R318" s="179">
        <f t="shared" si="106"/>
        <v>0.79871956154366974</v>
      </c>
      <c r="S318" s="839">
        <f t="shared" si="107"/>
        <v>1</v>
      </c>
      <c r="T318" s="178">
        <f t="shared" si="108"/>
        <v>7</v>
      </c>
      <c r="U318" s="253">
        <f t="shared" si="109"/>
        <v>1.7987195615436697</v>
      </c>
      <c r="V318" s="385">
        <f t="shared" si="110"/>
        <v>22.285027641134434</v>
      </c>
      <c r="W318" s="404">
        <f t="shared" si="111"/>
        <v>15.883046785325504</v>
      </c>
      <c r="X318" s="157">
        <f t="shared" si="112"/>
        <v>45595</v>
      </c>
      <c r="Y318" s="387">
        <f t="shared" si="113"/>
        <v>14.589033356804215</v>
      </c>
      <c r="Z318" s="387">
        <f t="shared" si="114"/>
        <v>15.384741372114636</v>
      </c>
      <c r="AA318" s="388">
        <f t="shared" si="115"/>
        <v>17.816796116780033</v>
      </c>
      <c r="AB318" s="199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0.13650348405653379</v>
      </c>
      <c r="AD318" s="233">
        <f>(INDEX(Models!$BJ318:$BT318,,AH318)*(1-AF318)+INDEX(Models!$BJ318:$BT318,,AH318+1)*AF318-ERP_i)*AE318*Ramure*Pc/MaxiM</f>
        <v>8.3880371483674276E-2</v>
      </c>
      <c r="AE318" s="307">
        <f t="shared" si="117"/>
        <v>0.9</v>
      </c>
      <c r="AF318" s="179">
        <f t="shared" si="118"/>
        <v>0.79871956154366974</v>
      </c>
      <c r="AG318" s="839">
        <f t="shared" si="124"/>
        <v>1</v>
      </c>
      <c r="AH318" s="178">
        <f t="shared" si="119"/>
        <v>7</v>
      </c>
      <c r="AI318" s="227">
        <f t="shared" si="120"/>
        <v>1.7987195615436697</v>
      </c>
      <c r="AJ318" s="267" t="b">
        <f t="shared" si="121"/>
        <v>0</v>
      </c>
      <c r="AK318" s="267" t="b">
        <f t="shared" si="122"/>
        <v>0</v>
      </c>
      <c r="AL318" s="267"/>
      <c r="AM318" s="267"/>
      <c r="AN318" s="75"/>
    </row>
    <row r="319" spans="1:40" s="6" customFormat="1" ht="11.25" x14ac:dyDescent="0.2">
      <c r="A319" s="56">
        <f t="shared" si="123"/>
        <v>45596</v>
      </c>
      <c r="B319" s="413">
        <f>'2023'!Wh/'2023'!Env_an*'2024'!Env_an</f>
        <v>14.966871062448641</v>
      </c>
      <c r="C319" s="868"/>
      <c r="D319" s="395">
        <f t="shared" si="102"/>
        <v>15.783554225885517</v>
      </c>
      <c r="E319" s="387">
        <f t="shared" si="125"/>
        <v>16.791691154044138</v>
      </c>
      <c r="F319" s="387">
        <f t="shared" si="103"/>
        <v>17.620994485745143</v>
      </c>
      <c r="G319" s="110">
        <f t="shared" si="126"/>
        <v>0.65366444707086357</v>
      </c>
      <c r="H319" s="416" t="b">
        <f>Wh_hp&gt;='2023'!Maxi_hp</f>
        <v>0</v>
      </c>
      <c r="I319" s="392">
        <f>IF(H319,Wh_hp,'2023'!Maxi_hp)</f>
        <v>26.743008767740822</v>
      </c>
      <c r="J319" s="85">
        <f>IF(H319,An,'2023'!An_max)</f>
        <v>2020</v>
      </c>
      <c r="K319" s="199">
        <f t="shared" si="104"/>
        <v>45596</v>
      </c>
      <c r="L319" s="147">
        <f>IF(t&lt;Tvie,1-EXP((T0-t)*PertePVj)+'2023'!Pspv,1-EXP((T0-t)*PertePVj)+Pspv)</f>
        <v>5.1742665292554335E-2</v>
      </c>
      <c r="M319" s="872"/>
      <c r="N319" s="872"/>
      <c r="O319" s="48">
        <f>IF(t&lt;Tnet,'2023'!Resal+('2023'!Salim-'2023'!Resal)*(1-EXP(('2023'!Tnet-t)/('2023'!Tau_j))),Resal+(Salim-Resal)*(1-EXP((Tnet-t)/(Tau_j))))*Salcycl</f>
        <v>6.0037843651967016E-2</v>
      </c>
      <c r="P319" s="171">
        <f>(INDEX(Models!$BJ319:$BT319,,T319)*(1-R319)+INDEX(Models!$BJ319:$BT319,,T319+1)*R319-ERP_i)*Q319*Ramure*Pc/MaxiM</f>
        <v>8.6301504184491354E-2</v>
      </c>
      <c r="Q319" s="307">
        <f t="shared" si="105"/>
        <v>0.9</v>
      </c>
      <c r="R319" s="179">
        <f t="shared" si="106"/>
        <v>0.79879829224066801</v>
      </c>
      <c r="S319" s="839">
        <f t="shared" si="107"/>
        <v>1</v>
      </c>
      <c r="T319" s="178">
        <f t="shared" si="108"/>
        <v>7</v>
      </c>
      <c r="U319" s="253">
        <f t="shared" si="109"/>
        <v>1.798798292240668</v>
      </c>
      <c r="V319" s="385">
        <f t="shared" si="110"/>
        <v>21.954069792641846</v>
      </c>
      <c r="W319" s="404">
        <f t="shared" si="111"/>
        <v>14.966871062448641</v>
      </c>
      <c r="X319" s="157">
        <f t="shared" si="112"/>
        <v>45596</v>
      </c>
      <c r="Y319" s="387">
        <f t="shared" si="113"/>
        <v>13.749867437127616</v>
      </c>
      <c r="Z319" s="387">
        <f t="shared" si="114"/>
        <v>14.50014350943006</v>
      </c>
      <c r="AA319" s="388">
        <f t="shared" si="115"/>
        <v>16.791691154044138</v>
      </c>
      <c r="AB319" s="199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0.13646913962338911</v>
      </c>
      <c r="AD319" s="233">
        <f>(INDEX(Models!$BJ319:$BT319,,AH319)*(1-AF319)+INDEX(Models!$BJ319:$BT319,,AH319+1)*AF319-ERP_i)*AE319*Ramure*Pc/MaxiM</f>
        <v>8.6301504184491354E-2</v>
      </c>
      <c r="AE319" s="307">
        <f t="shared" si="117"/>
        <v>0.9</v>
      </c>
      <c r="AF319" s="179">
        <f t="shared" si="118"/>
        <v>0.79879829224066801</v>
      </c>
      <c r="AG319" s="839">
        <f t="shared" si="124"/>
        <v>1</v>
      </c>
      <c r="AH319" s="178">
        <f t="shared" si="119"/>
        <v>7</v>
      </c>
      <c r="AI319" s="227">
        <f t="shared" si="120"/>
        <v>1.798798292240668</v>
      </c>
      <c r="AJ319" s="267" t="b">
        <f t="shared" si="121"/>
        <v>0</v>
      </c>
      <c r="AK319" s="267" t="b">
        <f t="shared" si="122"/>
        <v>0</v>
      </c>
      <c r="AL319" s="267"/>
      <c r="AM319" s="267"/>
      <c r="AN319" s="75"/>
    </row>
    <row r="320" spans="1:40" s="6" customFormat="1" ht="11.25" x14ac:dyDescent="0.2">
      <c r="A320" s="56">
        <f t="shared" si="123"/>
        <v>45597</v>
      </c>
      <c r="B320" s="413">
        <f>'2023'!Wh/'2023'!Env_an*'2024'!Env_an</f>
        <v>20.233240278662414</v>
      </c>
      <c r="C320" s="868"/>
      <c r="D320" s="395">
        <f t="shared" si="102"/>
        <v>21.337785014784838</v>
      </c>
      <c r="E320" s="387">
        <f t="shared" si="125"/>
        <v>22.703677930714186</v>
      </c>
      <c r="F320" s="387">
        <f t="shared" si="103"/>
        <v>24.693197117801621</v>
      </c>
      <c r="G320" s="110">
        <f t="shared" si="126"/>
        <v>0.92723971801904703</v>
      </c>
      <c r="H320" s="416" t="b">
        <f>Wh_hp&gt;='2023'!Maxi_hp</f>
        <v>0</v>
      </c>
      <c r="I320" s="392">
        <f>IF(H320,Wh_hp,'2023'!Maxi_hp)</f>
        <v>25.963625869506139</v>
      </c>
      <c r="J320" s="85">
        <f>IF(H320,An,'2023'!An_max)</f>
        <v>2021</v>
      </c>
      <c r="K320" s="199">
        <f t="shared" si="104"/>
        <v>45597</v>
      </c>
      <c r="L320" s="147">
        <f>IF(t&lt;Tvie,1-EXP((T0-t)*PertePVj)+'2023'!Pspv,1-EXP((T0-t)*PertePVj)+Pspv)</f>
        <v>5.1764732626047749E-2</v>
      </c>
      <c r="M320" s="872"/>
      <c r="N320" s="872"/>
      <c r="O320" s="48">
        <f>IF(t&lt;Tnet,'2023'!Resal+('2023'!Salim-'2023'!Resal)*(1-EXP(('2023'!Tnet-t)/('2023'!Tau_j))),Resal+(Salim-Resal)*(1-EXP((Tnet-t)/(Tau_j))))*Salcycl</f>
        <v>6.0161746484323063E-2</v>
      </c>
      <c r="P320" s="171">
        <f>(INDEX(Models!$BJ320:$BT320,,T320)*(1-R320)+INDEX(Models!$BJ320:$BT320,,T320+1)*R320-ERP_i)*Q320*Ramure*Pc/MaxiM</f>
        <v>8.8739523058596601E-2</v>
      </c>
      <c r="Q320" s="307">
        <f t="shared" si="105"/>
        <v>0.9</v>
      </c>
      <c r="R320" s="179">
        <f t="shared" si="106"/>
        <v>0.79887386968576379</v>
      </c>
      <c r="S320" s="839">
        <f t="shared" si="107"/>
        <v>1</v>
      </c>
      <c r="T320" s="178">
        <f t="shared" si="108"/>
        <v>7</v>
      </c>
      <c r="U320" s="253">
        <f t="shared" si="109"/>
        <v>1.7988738696857638</v>
      </c>
      <c r="V320" s="385">
        <f t="shared" si="110"/>
        <v>21.627038491845212</v>
      </c>
      <c r="W320" s="404">
        <f t="shared" si="111"/>
        <v>20.233240278662414</v>
      </c>
      <c r="X320" s="157">
        <f t="shared" si="112"/>
        <v>45597</v>
      </c>
      <c r="Y320" s="387">
        <f t="shared" si="113"/>
        <v>18.591209709411636</v>
      </c>
      <c r="Z320" s="387">
        <f t="shared" si="114"/>
        <v>19.606115010780215</v>
      </c>
      <c r="AA320" s="388">
        <f t="shared" si="115"/>
        <v>22.703677930714186</v>
      </c>
      <c r="AB320" s="199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0.13643441073234655</v>
      </c>
      <c r="AD320" s="233">
        <f>(INDEX(Models!$BJ320:$BT320,,AH320)*(1-AF320)+INDEX(Models!$BJ320:$BT320,,AH320+1)*AF320-ERP_i)*AE320*Ramure*Pc/MaxiM</f>
        <v>8.8739523058596601E-2</v>
      </c>
      <c r="AE320" s="307">
        <f t="shared" si="117"/>
        <v>0.9</v>
      </c>
      <c r="AF320" s="179">
        <f t="shared" si="118"/>
        <v>0.79887386968576379</v>
      </c>
      <c r="AG320" s="839">
        <f t="shared" si="124"/>
        <v>1</v>
      </c>
      <c r="AH320" s="178">
        <f t="shared" si="119"/>
        <v>7</v>
      </c>
      <c r="AI320" s="227">
        <f t="shared" si="120"/>
        <v>1.7988738696857638</v>
      </c>
      <c r="AJ320" s="267" t="b">
        <f t="shared" si="121"/>
        <v>0</v>
      </c>
      <c r="AK320" s="267" t="b">
        <f t="shared" si="122"/>
        <v>0</v>
      </c>
      <c r="AL320" s="267"/>
      <c r="AM320" s="267"/>
      <c r="AN320" s="75"/>
    </row>
    <row r="321" spans="1:40" s="6" customFormat="1" ht="11.25" x14ac:dyDescent="0.2">
      <c r="A321" s="56">
        <f t="shared" si="123"/>
        <v>45598</v>
      </c>
      <c r="B321" s="413">
        <f>'2023'!Wh/'2023'!Env_an*'2024'!Env_an</f>
        <v>5.3164580694157566</v>
      </c>
      <c r="C321" s="868"/>
      <c r="D321" s="395">
        <f t="shared" si="102"/>
        <v>5.6068171865879863</v>
      </c>
      <c r="E321" s="387">
        <f t="shared" si="125"/>
        <v>5.9665090216056784</v>
      </c>
      <c r="F321" s="387">
        <f t="shared" si="103"/>
        <v>5.9665090216056784</v>
      </c>
      <c r="G321" s="110">
        <f t="shared" si="126"/>
        <v>0.22679131727871227</v>
      </c>
      <c r="H321" s="416" t="b">
        <f>Wh_hp&gt;='2023'!Maxi_hp</f>
        <v>0</v>
      </c>
      <c r="I321" s="392">
        <f>IF(H321,Wh_hp,'2023'!Maxi_hp)</f>
        <v>25.318145187066094</v>
      </c>
      <c r="J321" s="85">
        <f>IF(H321,An,'2023'!An_max)</f>
        <v>2020</v>
      </c>
      <c r="K321" s="199">
        <f t="shared" si="104"/>
        <v>45598</v>
      </c>
      <c r="L321" s="147">
        <f>IF(t&lt;Tvie,1-EXP((T0-t)*PertePVj)+'2023'!Pspv,1-EXP((T0-t)*PertePVj)+Pspv)</f>
        <v>5.1786799446002063E-2</v>
      </c>
      <c r="M321" s="872"/>
      <c r="N321" s="872"/>
      <c r="O321" s="48">
        <f>IF(t&lt;Tnet,'2023'!Resal+('2023'!Salim-'2023'!Resal)*(1-EXP(('2023'!Tnet-t)/('2023'!Tau_j))),Resal+(Salim-Resal)*(1-EXP((Tnet-t)/(Tau_j))))*Salcycl</f>
        <v>6.0285140559612052E-2</v>
      </c>
      <c r="P321" s="171">
        <f>(INDEX(Models!$BJ321:$BT321,,T321)*(1-R321)+INDEX(Models!$BJ321:$BT321,,T321+1)*R321-ERP_i)*Q321*Ramure*Pc/MaxiM</f>
        <v>9.1192425098099786E-2</v>
      </c>
      <c r="Q321" s="307">
        <f t="shared" si="105"/>
        <v>0.9</v>
      </c>
      <c r="R321" s="179">
        <f t="shared" si="106"/>
        <v>0.79894641952731438</v>
      </c>
      <c r="S321" s="839">
        <f t="shared" si="107"/>
        <v>1</v>
      </c>
      <c r="T321" s="178">
        <f t="shared" si="108"/>
        <v>7</v>
      </c>
      <c r="U321" s="253">
        <f t="shared" si="109"/>
        <v>1.7989464195273144</v>
      </c>
      <c r="V321" s="385">
        <f t="shared" si="110"/>
        <v>21.304331325857568</v>
      </c>
      <c r="W321" s="404">
        <f t="shared" si="111"/>
        <v>5.3164580694157566</v>
      </c>
      <c r="X321" s="157">
        <f t="shared" si="112"/>
        <v>45598</v>
      </c>
      <c r="Y321" s="387">
        <f t="shared" si="113"/>
        <v>4.8858394017018618</v>
      </c>
      <c r="Z321" s="387">
        <f t="shared" si="114"/>
        <v>5.1526802188023622</v>
      </c>
      <c r="AA321" s="388">
        <f t="shared" si="115"/>
        <v>5.9665090216056784</v>
      </c>
      <c r="AB321" s="199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0.13639949254351463</v>
      </c>
      <c r="AD321" s="233">
        <f>(INDEX(Models!$BJ321:$BT321,,AH321)*(1-AF321)+INDEX(Models!$BJ321:$BT321,,AH321+1)*AF321-ERP_i)*AE321*Ramure*Pc/MaxiM</f>
        <v>9.1192425098099786E-2</v>
      </c>
      <c r="AE321" s="307">
        <f t="shared" si="117"/>
        <v>0.9</v>
      </c>
      <c r="AF321" s="179">
        <f t="shared" si="118"/>
        <v>0.79894641952731438</v>
      </c>
      <c r="AG321" s="839">
        <f t="shared" si="124"/>
        <v>1</v>
      </c>
      <c r="AH321" s="178">
        <f t="shared" si="119"/>
        <v>7</v>
      </c>
      <c r="AI321" s="227">
        <f t="shared" si="120"/>
        <v>1.7989464195273144</v>
      </c>
      <c r="AJ321" s="267" t="b">
        <f t="shared" si="121"/>
        <v>0</v>
      </c>
      <c r="AK321" s="267" t="b">
        <f t="shared" si="122"/>
        <v>0</v>
      </c>
      <c r="AL321" s="267"/>
      <c r="AM321" s="267"/>
      <c r="AN321" s="75"/>
    </row>
    <row r="322" spans="1:40" s="6" customFormat="1" ht="11.25" x14ac:dyDescent="0.2">
      <c r="A322" s="56">
        <f t="shared" si="123"/>
        <v>45599</v>
      </c>
      <c r="B322" s="413">
        <f>'2023'!Wh/'2023'!Env_an*'2024'!Env_an</f>
        <v>10.973689126256037</v>
      </c>
      <c r="C322" s="868"/>
      <c r="D322" s="395">
        <f t="shared" si="102"/>
        <v>11.573288053324944</v>
      </c>
      <c r="E322" s="387">
        <f t="shared" si="125"/>
        <v>12.317356320575945</v>
      </c>
      <c r="F322" s="387">
        <f t="shared" si="103"/>
        <v>12.695987542523461</v>
      </c>
      <c r="G322" s="110">
        <f t="shared" si="126"/>
        <v>0.48849143547774138</v>
      </c>
      <c r="H322" s="416" t="b">
        <f>Wh_hp&gt;='2023'!Maxi_hp</f>
        <v>0</v>
      </c>
      <c r="I322" s="392">
        <f>IF(H322,Wh_hp,'2023'!Maxi_hp)</f>
        <v>18.873766608269342</v>
      </c>
      <c r="J322" s="85">
        <f>IF(H322,An,'2023'!An_max)</f>
        <v>2018</v>
      </c>
      <c r="K322" s="199">
        <f t="shared" si="104"/>
        <v>45599</v>
      </c>
      <c r="L322" s="147">
        <f>IF(t&lt;Tvie,1-EXP((T0-t)*PertePVj)+'2023'!Pspv,1-EXP((T0-t)*PertePVj)+Pspv)</f>
        <v>5.1808865752429378E-2</v>
      </c>
      <c r="M322" s="872"/>
      <c r="N322" s="872"/>
      <c r="O322" s="48">
        <f>IF(t&lt;Tnet,'2023'!Resal+('2023'!Salim-'2023'!Resal)*(1-EXP(('2023'!Tnet-t)/('2023'!Tau_j))),Resal+(Salim-Resal)*(1-EXP((Tnet-t)/(Tau_j))))*Salcycl</f>
        <v>6.0408114199639304E-2</v>
      </c>
      <c r="P322" s="171">
        <f>(INDEX(Models!$BJ322:$BT322,,T322)*(1-R322)+INDEX(Models!$BJ322:$BT322,,T322+1)*R322-ERP_i)*Q322*Ramure*Pc/MaxiM</f>
        <v>9.3657920236667136E-2</v>
      </c>
      <c r="Q322" s="307">
        <f t="shared" si="105"/>
        <v>0.9</v>
      </c>
      <c r="R322" s="179">
        <f t="shared" si="106"/>
        <v>0.79901606245755552</v>
      </c>
      <c r="S322" s="839">
        <f t="shared" si="107"/>
        <v>1</v>
      </c>
      <c r="T322" s="178">
        <f t="shared" si="108"/>
        <v>7</v>
      </c>
      <c r="U322" s="253">
        <f t="shared" si="109"/>
        <v>1.7990160624575555</v>
      </c>
      <c r="V322" s="385">
        <f t="shared" si="110"/>
        <v>20.986345848250899</v>
      </c>
      <c r="W322" s="404">
        <f t="shared" si="111"/>
        <v>10.973689126256037</v>
      </c>
      <c r="X322" s="157">
        <f t="shared" si="112"/>
        <v>45599</v>
      </c>
      <c r="Y322" s="387">
        <f t="shared" si="113"/>
        <v>10.086577732208914</v>
      </c>
      <c r="Z322" s="387">
        <f t="shared" si="114"/>
        <v>10.637705171345054</v>
      </c>
      <c r="AA322" s="388">
        <f t="shared" si="115"/>
        <v>12.317356320575945</v>
      </c>
      <c r="AB322" s="199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0.13636458226227172</v>
      </c>
      <c r="AD322" s="233">
        <f>(INDEX(Models!$BJ322:$BT322,,AH322)*(1-AF322)+INDEX(Models!$BJ322:$BT322,,AH322+1)*AF322-ERP_i)*AE322*Ramure*Pc/MaxiM</f>
        <v>9.3657920236667136E-2</v>
      </c>
      <c r="AE322" s="307">
        <f t="shared" si="117"/>
        <v>0.9</v>
      </c>
      <c r="AF322" s="179">
        <f t="shared" si="118"/>
        <v>0.79901606245755552</v>
      </c>
      <c r="AG322" s="839">
        <f t="shared" si="124"/>
        <v>1</v>
      </c>
      <c r="AH322" s="178">
        <f t="shared" si="119"/>
        <v>7</v>
      </c>
      <c r="AI322" s="227">
        <f t="shared" si="120"/>
        <v>1.7990160624575555</v>
      </c>
      <c r="AJ322" s="267" t="b">
        <f t="shared" si="121"/>
        <v>0</v>
      </c>
      <c r="AK322" s="267" t="b">
        <f t="shared" si="122"/>
        <v>0</v>
      </c>
      <c r="AL322" s="267"/>
      <c r="AM322" s="267"/>
      <c r="AN322" s="75"/>
    </row>
    <row r="323" spans="1:40" s="6" customFormat="1" ht="11.25" x14ac:dyDescent="0.2">
      <c r="A323" s="56">
        <f t="shared" si="123"/>
        <v>45600</v>
      </c>
      <c r="B323" s="413">
        <f>'2023'!Wh/'2023'!Env_an*'2024'!Env_an</f>
        <v>19.178893539273975</v>
      </c>
      <c r="C323" s="868"/>
      <c r="D323" s="395">
        <f t="shared" si="102"/>
        <v>20.227292976907638</v>
      </c>
      <c r="E323" s="387">
        <f t="shared" si="125"/>
        <v>21.530553691312388</v>
      </c>
      <c r="F323" s="387">
        <f t="shared" si="103"/>
        <v>23.561686887422812</v>
      </c>
      <c r="G323" s="110">
        <f t="shared" si="126"/>
        <v>0.91762551750357357</v>
      </c>
      <c r="H323" s="416" t="b">
        <f>Wh_hp&gt;='2023'!Maxi_hp</f>
        <v>0</v>
      </c>
      <c r="I323" s="392">
        <f>IF(H323,Wh_hp,'2023'!Maxi_hp)</f>
        <v>23.673738340609276</v>
      </c>
      <c r="J323" s="85">
        <f>IF(H323,An,'2023'!An_max)</f>
        <v>2022</v>
      </c>
      <c r="K323" s="199">
        <f t="shared" si="104"/>
        <v>45600</v>
      </c>
      <c r="L323" s="147">
        <f>IF(t&lt;Tvie,1-EXP((T0-t)*PertePVj)+'2023'!Pspv,1-EXP((T0-t)*PertePVj)+Pspv)</f>
        <v>5.1830931545341352E-2</v>
      </c>
      <c r="M323" s="872"/>
      <c r="N323" s="872"/>
      <c r="O323" s="48">
        <f>IF(t&lt;Tnet,'2023'!Resal+('2023'!Salim-'2023'!Resal)*(1-EXP(('2023'!Tnet-t)/('2023'!Tau_j))),Resal+(Salim-Resal)*(1-EXP((Tnet-t)/(Tau_j))))*Salcycl</f>
        <v>6.0530757039036084E-2</v>
      </c>
      <c r="P323" s="171">
        <f>(INDEX(Models!$BJ323:$BT323,,T323)*(1-R323)+INDEX(Models!$BJ323:$BT323,,T323+1)*R323-ERP_i)*Q323*Ramure*Pc/MaxiM</f>
        <v>9.6133414941763182E-2</v>
      </c>
      <c r="Q323" s="307">
        <f t="shared" si="105"/>
        <v>0.9</v>
      </c>
      <c r="R323" s="179">
        <f t="shared" si="106"/>
        <v>0.79908291440410073</v>
      </c>
      <c r="S323" s="839">
        <f t="shared" si="107"/>
        <v>1</v>
      </c>
      <c r="T323" s="178">
        <f t="shared" si="108"/>
        <v>7</v>
      </c>
      <c r="U323" s="253">
        <f t="shared" si="109"/>
        <v>1.7990829144041007</v>
      </c>
      <c r="V323" s="385">
        <f t="shared" si="110"/>
        <v>20.673479584310808</v>
      </c>
      <c r="W323" s="404">
        <f t="shared" si="111"/>
        <v>19.178893539273975</v>
      </c>
      <c r="X323" s="157">
        <f t="shared" si="112"/>
        <v>45600</v>
      </c>
      <c r="Y323" s="387">
        <f t="shared" si="113"/>
        <v>17.631484417368998</v>
      </c>
      <c r="Z323" s="387">
        <f t="shared" si="114"/>
        <v>18.59529592766096</v>
      </c>
      <c r="AA323" s="388">
        <f t="shared" si="115"/>
        <v>21.530553691312388</v>
      </c>
      <c r="AB323" s="199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0.136329878262063</v>
      </c>
      <c r="AD323" s="233">
        <f>(INDEX(Models!$BJ323:$BT323,,AH323)*(1-AF323)+INDEX(Models!$BJ323:$BT323,,AH323+1)*AF323-ERP_i)*AE323*Ramure*Pc/MaxiM</f>
        <v>9.6133414941763182E-2</v>
      </c>
      <c r="AE323" s="307">
        <f t="shared" si="117"/>
        <v>0.9</v>
      </c>
      <c r="AF323" s="179">
        <f t="shared" si="118"/>
        <v>0.79908291440410073</v>
      </c>
      <c r="AG323" s="839">
        <f t="shared" si="124"/>
        <v>1</v>
      </c>
      <c r="AH323" s="178">
        <f t="shared" si="119"/>
        <v>7</v>
      </c>
      <c r="AI323" s="227">
        <f t="shared" si="120"/>
        <v>1.7990829144041007</v>
      </c>
      <c r="AJ323" s="267" t="b">
        <f t="shared" si="121"/>
        <v>0</v>
      </c>
      <c r="AK323" s="267" t="b">
        <f t="shared" si="122"/>
        <v>0</v>
      </c>
      <c r="AL323" s="267"/>
      <c r="AM323" s="267"/>
      <c r="AN323" s="75"/>
    </row>
    <row r="324" spans="1:40" s="6" customFormat="1" ht="11.25" x14ac:dyDescent="0.2">
      <c r="A324" s="56">
        <f t="shared" si="123"/>
        <v>45601</v>
      </c>
      <c r="B324" s="413">
        <f>'2023'!Wh/'2023'!Env_an*'2024'!Env_an</f>
        <v>19.186866560894689</v>
      </c>
      <c r="C324" s="868"/>
      <c r="D324" s="395">
        <f t="shared" si="102"/>
        <v>20.236172762915228</v>
      </c>
      <c r="E324" s="387">
        <f t="shared" si="125"/>
        <v>21.542812402398699</v>
      </c>
      <c r="F324" s="387">
        <f t="shared" si="103"/>
        <v>23.685054998790722</v>
      </c>
      <c r="G324" s="110">
        <f t="shared" si="126"/>
        <v>0.93363556657796265</v>
      </c>
      <c r="H324" s="416" t="b">
        <f>Wh_hp&gt;='2023'!Maxi_hp</f>
        <v>0</v>
      </c>
      <c r="I324" s="392">
        <f>IF(H324,Wh_hp,'2023'!Maxi_hp)</f>
        <v>23.777364402083492</v>
      </c>
      <c r="J324" s="85">
        <f>IF(H324,An,'2023'!An_max)</f>
        <v>2022</v>
      </c>
      <c r="K324" s="199">
        <f t="shared" si="104"/>
        <v>45601</v>
      </c>
      <c r="L324" s="147">
        <f>IF(t&lt;Tvie,1-EXP((T0-t)*PertePVj)+'2023'!Pspv,1-EXP((T0-t)*PertePVj)+Pspv)</f>
        <v>5.1852996824750197E-2</v>
      </c>
      <c r="M324" s="872"/>
      <c r="N324" s="872"/>
      <c r="O324" s="48">
        <f>IF(t&lt;Tnet,'2023'!Resal+('2023'!Salim-'2023'!Resal)*(1-EXP(('2023'!Tnet-t)/('2023'!Tau_j))),Resal+(Salim-Resal)*(1-EXP((Tnet-t)/(Tau_j))))*Salcycl</f>
        <v>6.0653159628219239E-2</v>
      </c>
      <c r="P324" s="171">
        <f>(INDEX(Models!$BJ324:$BT324,,T324)*(1-R324)+INDEX(Models!$BJ324:$BT324,,T324+1)*R324-ERP_i)*Q324*Ramure*Pc/MaxiM</f>
        <v>9.8605117855000479E-2</v>
      </c>
      <c r="Q324" s="307">
        <f t="shared" si="105"/>
        <v>0.9</v>
      </c>
      <c r="R324" s="179">
        <f t="shared" si="106"/>
        <v>0.79914708671435752</v>
      </c>
      <c r="S324" s="839">
        <f t="shared" si="107"/>
        <v>1</v>
      </c>
      <c r="T324" s="178">
        <f t="shared" si="108"/>
        <v>7</v>
      </c>
      <c r="U324" s="253">
        <f t="shared" si="109"/>
        <v>1.7991470867143575</v>
      </c>
      <c r="V324" s="385">
        <f t="shared" si="110"/>
        <v>20.366375814394786</v>
      </c>
      <c r="W324" s="404">
        <f t="shared" si="111"/>
        <v>19.186866560894689</v>
      </c>
      <c r="X324" s="157">
        <f t="shared" si="112"/>
        <v>45601</v>
      </c>
      <c r="Y324" s="387">
        <f t="shared" si="113"/>
        <v>17.641813181137827</v>
      </c>
      <c r="Z324" s="387">
        <f t="shared" si="114"/>
        <v>18.606622308626356</v>
      </c>
      <c r="AA324" s="388">
        <f t="shared" si="115"/>
        <v>21.542812402398699</v>
      </c>
      <c r="AB324" s="199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0.1362955791902738</v>
      </c>
      <c r="AD324" s="233">
        <f>(INDEX(Models!$BJ324:$BT324,,AH324)*(1-AF324)+INDEX(Models!$BJ324:$BT324,,AH324+1)*AF324-ERP_i)*AE324*Ramure*Pc/MaxiM</f>
        <v>9.8605117855000479E-2</v>
      </c>
      <c r="AE324" s="307">
        <f t="shared" si="117"/>
        <v>0.9</v>
      </c>
      <c r="AF324" s="179">
        <f t="shared" si="118"/>
        <v>0.79914708671435752</v>
      </c>
      <c r="AG324" s="839">
        <f t="shared" si="124"/>
        <v>1</v>
      </c>
      <c r="AH324" s="178">
        <f t="shared" si="119"/>
        <v>7</v>
      </c>
      <c r="AI324" s="227">
        <f t="shared" si="120"/>
        <v>1.7991470867143575</v>
      </c>
      <c r="AJ324" s="267" t="b">
        <f t="shared" si="121"/>
        <v>0</v>
      </c>
      <c r="AK324" s="267" t="b">
        <f t="shared" si="122"/>
        <v>0</v>
      </c>
      <c r="AL324" s="267"/>
      <c r="AM324" s="267"/>
      <c r="AN324" s="75"/>
    </row>
    <row r="325" spans="1:40" s="6" customFormat="1" ht="11.25" x14ac:dyDescent="0.2">
      <c r="A325" s="56">
        <f t="shared" si="123"/>
        <v>45602</v>
      </c>
      <c r="B325" s="413">
        <f>'2023'!Wh/'2023'!Env_an*'2024'!Env_an</f>
        <v>19.017733459628996</v>
      </c>
      <c r="C325" s="868"/>
      <c r="D325" s="395">
        <f t="shared" si="102"/>
        <v>20.058256764699195</v>
      </c>
      <c r="E325" s="387">
        <f t="shared" si="125"/>
        <v>21.356187905307685</v>
      </c>
      <c r="F325" s="387">
        <f t="shared" si="103"/>
        <v>23.560002673360636</v>
      </c>
      <c r="G325" s="110">
        <f t="shared" si="126"/>
        <v>0.93991378016017213</v>
      </c>
      <c r="H325" s="416" t="b">
        <f>Wh_hp&gt;='2023'!Maxi_hp</f>
        <v>0</v>
      </c>
      <c r="I325" s="392">
        <f>IF(H325,Wh_hp,'2023'!Maxi_hp)</f>
        <v>23.644688895751436</v>
      </c>
      <c r="J325" s="85">
        <f>IF(H325,An,'2023'!An_max)</f>
        <v>2022</v>
      </c>
      <c r="K325" s="199">
        <f t="shared" si="104"/>
        <v>45602</v>
      </c>
      <c r="L325" s="147">
        <f>IF(t&lt;Tvie,1-EXP((T0-t)*PertePVj)+'2023'!Pspv,1-EXP((T0-t)*PertePVj)+Pspv)</f>
        <v>5.1875061590667682E-2</v>
      </c>
      <c r="M325" s="872"/>
      <c r="N325" s="872"/>
      <c r="O325" s="48">
        <f>IF(t&lt;Tnet,'2023'!Resal+('2023'!Salim-'2023'!Resal)*(1-EXP(('2023'!Tnet-t)/('2023'!Tau_j))),Resal+(Salim-Resal)*(1-EXP((Tnet-t)/(Tau_j))))*Salcycl</f>
        <v>6.0775413026119378E-2</v>
      </c>
      <c r="P325" s="171">
        <f>(INDEX(Models!$BJ325:$BT325,,T325)*(1-R325)+INDEX(Models!$BJ325:$BT325,,T325+1)*R325-ERP_i)*Q325*Ramure*Pc/MaxiM</f>
        <v>0.10107871417098681</v>
      </c>
      <c r="Q325" s="307">
        <f t="shared" si="105"/>
        <v>0.9</v>
      </c>
      <c r="R325" s="179">
        <f t="shared" si="106"/>
        <v>0.79920868633309716</v>
      </c>
      <c r="S325" s="839">
        <f t="shared" si="107"/>
        <v>1</v>
      </c>
      <c r="T325" s="178">
        <f t="shared" si="108"/>
        <v>7</v>
      </c>
      <c r="U325" s="253">
        <f t="shared" si="109"/>
        <v>1.7992086863330972</v>
      </c>
      <c r="V325" s="385">
        <f t="shared" si="110"/>
        <v>20.06522369424837</v>
      </c>
      <c r="W325" s="404">
        <f t="shared" si="111"/>
        <v>19.017733459628996</v>
      </c>
      <c r="X325" s="157">
        <f t="shared" si="112"/>
        <v>45602</v>
      </c>
      <c r="Y325" s="387">
        <f t="shared" si="113"/>
        <v>17.489258175990294</v>
      </c>
      <c r="Z325" s="387">
        <f t="shared" si="114"/>
        <v>18.446153526276817</v>
      </c>
      <c r="AA325" s="388">
        <f t="shared" si="115"/>
        <v>21.356187905307685</v>
      </c>
      <c r="AB325" s="199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0.13626188306329867</v>
      </c>
      <c r="AD325" s="233">
        <f>(INDEX(Models!$BJ325:$BT325,,AH325)*(1-AF325)+INDEX(Models!$BJ325:$BT325,,AH325+1)*AF325-ERP_i)*AE325*Ramure*Pc/MaxiM</f>
        <v>0.10107871417098681</v>
      </c>
      <c r="AE325" s="307">
        <f t="shared" si="117"/>
        <v>0.9</v>
      </c>
      <c r="AF325" s="179">
        <f t="shared" si="118"/>
        <v>0.79920868633309716</v>
      </c>
      <c r="AG325" s="839">
        <f t="shared" si="124"/>
        <v>1</v>
      </c>
      <c r="AH325" s="178">
        <f t="shared" si="119"/>
        <v>7</v>
      </c>
      <c r="AI325" s="227">
        <f t="shared" si="120"/>
        <v>1.7992086863330972</v>
      </c>
      <c r="AJ325" s="267" t="b">
        <f t="shared" si="121"/>
        <v>0</v>
      </c>
      <c r="AK325" s="267" t="b">
        <f t="shared" si="122"/>
        <v>0</v>
      </c>
      <c r="AL325" s="267"/>
      <c r="AM325" s="267"/>
      <c r="AN325" s="75"/>
    </row>
    <row r="326" spans="1:40" s="6" customFormat="1" ht="11.25" x14ac:dyDescent="0.2">
      <c r="A326" s="56">
        <f t="shared" si="123"/>
        <v>45603</v>
      </c>
      <c r="B326" s="413">
        <f>'2023'!Wh/'2023'!Env_an*'2024'!Env_an</f>
        <v>12.550395541338267</v>
      </c>
      <c r="C326" s="868"/>
      <c r="D326" s="395">
        <f t="shared" si="102"/>
        <v>13.237377381118877</v>
      </c>
      <c r="E326" s="387">
        <f t="shared" si="125"/>
        <v>14.095776455600875</v>
      </c>
      <c r="F326" s="387">
        <f t="shared" si="103"/>
        <v>14.830287103408876</v>
      </c>
      <c r="G326" s="110">
        <f t="shared" si="126"/>
        <v>0.5987256531528734</v>
      </c>
      <c r="H326" s="416" t="b">
        <f>Wh_hp&gt;='2023'!Maxi_hp</f>
        <v>0</v>
      </c>
      <c r="I326" s="392">
        <f>IF(H326,Wh_hp,'2023'!Maxi_hp)</f>
        <v>20.22602199592037</v>
      </c>
      <c r="J326" s="85">
        <f>IF(H326,An,'2023'!An_max)</f>
        <v>2021</v>
      </c>
      <c r="K326" s="199">
        <f t="shared" si="104"/>
        <v>45603</v>
      </c>
      <c r="L326" s="147">
        <f>IF(t&lt;Tvie,1-EXP((T0-t)*PertePVj)+'2023'!Pspv,1-EXP((T0-t)*PertePVj)+Pspv)</f>
        <v>5.1897125843105907E-2</v>
      </c>
      <c r="M326" s="872"/>
      <c r="N326" s="872"/>
      <c r="O326" s="48">
        <f>IF(t&lt;Tnet,'2023'!Resal+('2023'!Salim-'2023'!Resal)*(1-EXP(('2023'!Tnet-t)/('2023'!Tau_j))),Resal+(Salim-Resal)*(1-EXP((Tnet-t)/(Tau_j))))*Salcycl</f>
        <v>6.0897608385447742E-2</v>
      </c>
      <c r="P326" s="171">
        <f>(INDEX(Models!$BJ326:$BT326,,T326)*(1-R326)+INDEX(Models!$BJ326:$BT326,,T326+1)*R326-ERP_i)*Q326*Ramure*Pc/MaxiM</f>
        <v>0.10355055361803091</v>
      </c>
      <c r="Q326" s="307">
        <f t="shared" si="105"/>
        <v>0.9</v>
      </c>
      <c r="R326" s="179">
        <f t="shared" si="106"/>
        <v>0.79926781597340968</v>
      </c>
      <c r="S326" s="839">
        <f t="shared" si="107"/>
        <v>1</v>
      </c>
      <c r="T326" s="178">
        <f t="shared" si="108"/>
        <v>7</v>
      </c>
      <c r="U326" s="253">
        <f t="shared" si="109"/>
        <v>1.7992678159734097</v>
      </c>
      <c r="V326" s="385">
        <f t="shared" si="110"/>
        <v>19.770420448071956</v>
      </c>
      <c r="W326" s="404">
        <f t="shared" si="111"/>
        <v>12.550395541338267</v>
      </c>
      <c r="X326" s="157">
        <f t="shared" si="112"/>
        <v>45603</v>
      </c>
      <c r="Y326" s="387">
        <f t="shared" si="113"/>
        <v>11.543648461722798</v>
      </c>
      <c r="Z326" s="387">
        <f t="shared" si="114"/>
        <v>12.175523117138583</v>
      </c>
      <c r="AA326" s="388">
        <f t="shared" si="115"/>
        <v>14.095776455600875</v>
      </c>
      <c r="AB326" s="199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0.1362289863570651</v>
      </c>
      <c r="AD326" s="233">
        <f>(INDEX(Models!$BJ326:$BT326,,AH326)*(1-AF326)+INDEX(Models!$BJ326:$BT326,,AH326+1)*AF326-ERP_i)*AE326*Ramure*Pc/MaxiM</f>
        <v>0.10355055361803091</v>
      </c>
      <c r="AE326" s="307">
        <f t="shared" si="117"/>
        <v>0.9</v>
      </c>
      <c r="AF326" s="179">
        <f t="shared" si="118"/>
        <v>0.79926781597340968</v>
      </c>
      <c r="AG326" s="839">
        <f t="shared" si="124"/>
        <v>1</v>
      </c>
      <c r="AH326" s="178">
        <f t="shared" si="119"/>
        <v>7</v>
      </c>
      <c r="AI326" s="227">
        <f t="shared" si="120"/>
        <v>1.7992678159734097</v>
      </c>
      <c r="AJ326" s="267" t="b">
        <f t="shared" si="121"/>
        <v>0</v>
      </c>
      <c r="AK326" s="267" t="b">
        <f t="shared" si="122"/>
        <v>0</v>
      </c>
      <c r="AL326" s="267"/>
      <c r="AM326" s="267"/>
      <c r="AN326" s="75"/>
    </row>
    <row r="327" spans="1:40" s="6" customFormat="1" ht="11.25" x14ac:dyDescent="0.2">
      <c r="A327" s="56">
        <f t="shared" si="123"/>
        <v>45604</v>
      </c>
      <c r="B327" s="413">
        <f>'2023'!Wh/'2023'!Env_an*'2024'!Env_an</f>
        <v>7.4081654420759122</v>
      </c>
      <c r="C327" s="868"/>
      <c r="D327" s="395">
        <f t="shared" si="102"/>
        <v>7.813854431681114</v>
      </c>
      <c r="E327" s="387">
        <f t="shared" si="125"/>
        <v>8.3216395145484228</v>
      </c>
      <c r="F327" s="387">
        <f t="shared" si="103"/>
        <v>8.4240253200049704</v>
      </c>
      <c r="G327" s="110">
        <f t="shared" si="126"/>
        <v>0.34411946824544398</v>
      </c>
      <c r="H327" s="416" t="b">
        <f>Wh_hp&gt;='2023'!Maxi_hp</f>
        <v>0</v>
      </c>
      <c r="I327" s="392">
        <f>IF(H327,Wh_hp,'2023'!Maxi_hp)</f>
        <v>19.543383638603277</v>
      </c>
      <c r="J327" s="85">
        <f>IF(H327,An,'2023'!An_max)</f>
        <v>2020</v>
      </c>
      <c r="K327" s="199">
        <f t="shared" si="104"/>
        <v>45604</v>
      </c>
      <c r="L327" s="147">
        <f>IF(t&lt;Tvie,1-EXP((T0-t)*PertePVj)+'2023'!Pspv,1-EXP((T0-t)*PertePVj)+Pspv)</f>
        <v>5.1919189582076641E-2</v>
      </c>
      <c r="M327" s="872"/>
      <c r="N327" s="872"/>
      <c r="O327" s="48">
        <f>IF(t&lt;Tnet,'2023'!Resal+('2023'!Salim-'2023'!Resal)*(1-EXP(('2023'!Tnet-t)/('2023'!Tau_j))),Resal+(Salim-Resal)*(1-EXP((Tnet-t)/(Tau_j))))*Salcycl</f>
        <v>6.1019836533361897E-2</v>
      </c>
      <c r="P327" s="171">
        <f>(INDEX(Models!$BJ327:$BT327,,T327)*(1-R327)+INDEX(Models!$BJ327:$BT327,,T327+1)*R327-ERP_i)*Q327*Ramure*Pc/MaxiM</f>
        <v>0.10601662469466797</v>
      </c>
      <c r="Q327" s="307">
        <f t="shared" si="105"/>
        <v>0.9</v>
      </c>
      <c r="R327" s="179">
        <f t="shared" si="106"/>
        <v>0.79932457428126691</v>
      </c>
      <c r="S327" s="839">
        <f t="shared" si="107"/>
        <v>1</v>
      </c>
      <c r="T327" s="178">
        <f t="shared" si="108"/>
        <v>7</v>
      </c>
      <c r="U327" s="253">
        <f t="shared" si="109"/>
        <v>1.7993245742812669</v>
      </c>
      <c r="V327" s="385">
        <f t="shared" si="110"/>
        <v>19.482363271782397</v>
      </c>
      <c r="W327" s="404">
        <f t="shared" si="111"/>
        <v>7.4081654420759122</v>
      </c>
      <c r="X327" s="157">
        <f t="shared" si="112"/>
        <v>45604</v>
      </c>
      <c r="Y327" s="387">
        <f t="shared" si="113"/>
        <v>6.815048034798072</v>
      </c>
      <c r="Z327" s="387">
        <f t="shared" si="114"/>
        <v>7.1882564860625457</v>
      </c>
      <c r="AA327" s="388">
        <f t="shared" si="115"/>
        <v>8.3216395145484228</v>
      </c>
      <c r="AB327" s="199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0.13619708309936096</v>
      </c>
      <c r="AD327" s="233">
        <f>(INDEX(Models!$BJ327:$BT327,,AH327)*(1-AF327)+INDEX(Models!$BJ327:$BT327,,AH327+1)*AF327-ERP_i)*AE327*Ramure*Pc/MaxiM</f>
        <v>0.10601662469466797</v>
      </c>
      <c r="AE327" s="307">
        <f t="shared" si="117"/>
        <v>0.9</v>
      </c>
      <c r="AF327" s="179">
        <f t="shared" si="118"/>
        <v>0.79932457428126691</v>
      </c>
      <c r="AG327" s="839">
        <f t="shared" si="124"/>
        <v>1</v>
      </c>
      <c r="AH327" s="178">
        <f t="shared" si="119"/>
        <v>7</v>
      </c>
      <c r="AI327" s="227">
        <f t="shared" si="120"/>
        <v>1.7993245742812669</v>
      </c>
      <c r="AJ327" s="267" t="b">
        <f t="shared" si="121"/>
        <v>0</v>
      </c>
      <c r="AK327" s="267" t="b">
        <f t="shared" si="122"/>
        <v>0</v>
      </c>
      <c r="AL327" s="267"/>
      <c r="AM327" s="267"/>
      <c r="AN327" s="75"/>
    </row>
    <row r="328" spans="1:40" s="6" customFormat="1" ht="11.25" x14ac:dyDescent="0.2">
      <c r="A328" s="56">
        <f t="shared" si="123"/>
        <v>45605</v>
      </c>
      <c r="B328" s="413">
        <f>'2023'!Wh/'2023'!Env_an*'2024'!Env_an</f>
        <v>16.633702959239393</v>
      </c>
      <c r="C328" s="868"/>
      <c r="D328" s="395">
        <f t="shared" si="102"/>
        <v>17.545012910327163</v>
      </c>
      <c r="E328" s="387">
        <f t="shared" si="125"/>
        <v>18.687614543624079</v>
      </c>
      <c r="F328" s="387">
        <f t="shared" si="103"/>
        <v>20.485193364937334</v>
      </c>
      <c r="G328" s="110">
        <f t="shared" si="126"/>
        <v>0.84659530103753933</v>
      </c>
      <c r="H328" s="416" t="b">
        <f>Wh_hp&gt;='2023'!Maxi_hp</f>
        <v>0</v>
      </c>
      <c r="I328" s="392">
        <f>IF(H328,Wh_hp,'2023'!Maxi_hp)</f>
        <v>20.686248828344251</v>
      </c>
      <c r="J328" s="85">
        <f>IF(H328,An,'2023'!An_max)</f>
        <v>2022</v>
      </c>
      <c r="K328" s="199">
        <f t="shared" si="104"/>
        <v>45605</v>
      </c>
      <c r="L328" s="147">
        <f>IF(t&lt;Tvie,1-EXP((T0-t)*PertePVj)+'2023'!Pspv,1-EXP((T0-t)*PertePVj)+Pspv)</f>
        <v>5.1941252807591987E-2</v>
      </c>
      <c r="M328" s="872"/>
      <c r="N328" s="872"/>
      <c r="O328" s="48">
        <f>IF(t&lt;Tnet,'2023'!Resal+('2023'!Salim-'2023'!Resal)*(1-EXP(('2023'!Tnet-t)/('2023'!Tau_j))),Resal+(Salim-Resal)*(1-EXP((Tnet-t)/(Tau_j))))*Salcycl</f>
        <v>6.1142187550457194E-2</v>
      </c>
      <c r="P328" s="171">
        <f>(INDEX(Models!$BJ328:$BT328,,T328)*(1-R328)+INDEX(Models!$BJ328:$BT328,,T328+1)*R328-ERP_i)*Q328*Ramure*Pc/MaxiM</f>
        <v>0.10847254421324579</v>
      </c>
      <c r="Q328" s="307">
        <f t="shared" si="105"/>
        <v>0.9</v>
      </c>
      <c r="R328" s="179">
        <f t="shared" si="106"/>
        <v>0.79937905599391623</v>
      </c>
      <c r="S328" s="839">
        <f t="shared" si="107"/>
        <v>1</v>
      </c>
      <c r="T328" s="178">
        <f t="shared" si="108"/>
        <v>7</v>
      </c>
      <c r="U328" s="253">
        <f t="shared" si="109"/>
        <v>1.7993790559939162</v>
      </c>
      <c r="V328" s="385">
        <f t="shared" si="110"/>
        <v>19.201449328119601</v>
      </c>
      <c r="W328" s="404">
        <f t="shared" si="111"/>
        <v>16.633702959239393</v>
      </c>
      <c r="X328" s="157">
        <f t="shared" si="112"/>
        <v>45605</v>
      </c>
      <c r="Y328" s="387">
        <f t="shared" si="113"/>
        <v>15.304502894243297</v>
      </c>
      <c r="Z328" s="387">
        <f t="shared" si="114"/>
        <v>16.142990019939404</v>
      </c>
      <c r="AA328" s="388">
        <f t="shared" si="115"/>
        <v>18.687614543624079</v>
      </c>
      <c r="AB328" s="199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0.13616636397034743</v>
      </c>
      <c r="AD328" s="233">
        <f>(INDEX(Models!$BJ328:$BT328,,AH328)*(1-AF328)+INDEX(Models!$BJ328:$BT328,,AH328+1)*AF328-ERP_i)*AE328*Ramure*Pc/MaxiM</f>
        <v>0.10847254421324579</v>
      </c>
      <c r="AE328" s="307">
        <f t="shared" si="117"/>
        <v>0.9</v>
      </c>
      <c r="AF328" s="179">
        <f t="shared" si="118"/>
        <v>0.79937905599391623</v>
      </c>
      <c r="AG328" s="839">
        <f t="shared" si="124"/>
        <v>1</v>
      </c>
      <c r="AH328" s="178">
        <f t="shared" si="119"/>
        <v>7</v>
      </c>
      <c r="AI328" s="227">
        <f t="shared" si="120"/>
        <v>1.7993790559939162</v>
      </c>
      <c r="AJ328" s="267" t="b">
        <f t="shared" si="121"/>
        <v>0</v>
      </c>
      <c r="AK328" s="267" t="b">
        <f t="shared" si="122"/>
        <v>0</v>
      </c>
      <c r="AL328" s="267"/>
      <c r="AM328" s="267"/>
      <c r="AN328" s="75"/>
    </row>
    <row r="329" spans="1:40" s="6" customFormat="1" ht="11.25" x14ac:dyDescent="0.2">
      <c r="A329" s="56">
        <f t="shared" si="123"/>
        <v>45606</v>
      </c>
      <c r="B329" s="413">
        <f>'2023'!Wh/'2023'!Env_an*'2024'!Env_an</f>
        <v>17.10876939726586</v>
      </c>
      <c r="C329" s="868"/>
      <c r="D329" s="395">
        <f t="shared" si="102"/>
        <v>18.046526761402685</v>
      </c>
      <c r="E329" s="387">
        <f t="shared" si="125"/>
        <v>19.224298616837274</v>
      </c>
      <c r="F329" s="387">
        <f t="shared" si="103"/>
        <v>21.258386945268736</v>
      </c>
      <c r="G329" s="110">
        <f t="shared" si="126"/>
        <v>0.88866096386893589</v>
      </c>
      <c r="H329" s="416" t="b">
        <f>Wh_hp&gt;='2023'!Maxi_hp</f>
        <v>0</v>
      </c>
      <c r="I329" s="392">
        <f>IF(H329,Wh_hp,'2023'!Maxi_hp)</f>
        <v>21.412751227633198</v>
      </c>
      <c r="J329" s="85">
        <f>IF(H329,An,'2023'!An_max)</f>
        <v>2022</v>
      </c>
      <c r="K329" s="199">
        <f t="shared" si="104"/>
        <v>45606</v>
      </c>
      <c r="L329" s="147">
        <f>IF(t&lt;Tvie,1-EXP((T0-t)*PertePVj)+'2023'!Pspv,1-EXP((T0-t)*PertePVj)+Pspv)</f>
        <v>5.1963315519663822E-2</v>
      </c>
      <c r="M329" s="872"/>
      <c r="N329" s="872"/>
      <c r="O329" s="48">
        <f>IF(t&lt;Tnet,'2023'!Resal+('2023'!Salim-'2023'!Resal)*(1-EXP(('2023'!Tnet-t)/('2023'!Tau_j))),Resal+(Salim-Resal)*(1-EXP((Tnet-t)/(Tau_j))))*Salcycl</f>
        <v>6.1264750351050973E-2</v>
      </c>
      <c r="P329" s="171">
        <f>(INDEX(Models!$BJ329:$BT329,,T329)*(1-R329)+INDEX(Models!$BJ329:$BT329,,T329+1)*R329-ERP_i)*Q329*Ramure*Pc/MaxiM</f>
        <v>0.1109135491689266</v>
      </c>
      <c r="Q329" s="307">
        <f t="shared" si="105"/>
        <v>0.9</v>
      </c>
      <c r="R329" s="179">
        <f t="shared" si="106"/>
        <v>0.7994313520923122</v>
      </c>
      <c r="S329" s="839">
        <f t="shared" si="107"/>
        <v>1</v>
      </c>
      <c r="T329" s="178">
        <f t="shared" si="108"/>
        <v>7</v>
      </c>
      <c r="U329" s="253">
        <f t="shared" si="109"/>
        <v>1.7994313520923122</v>
      </c>
      <c r="V329" s="385">
        <f t="shared" si="110"/>
        <v>18.928075740769497</v>
      </c>
      <c r="W329" s="404">
        <f t="shared" si="111"/>
        <v>17.10876939726586</v>
      </c>
      <c r="X329" s="157">
        <f t="shared" si="112"/>
        <v>45606</v>
      </c>
      <c r="Y329" s="387">
        <f t="shared" si="113"/>
        <v>15.744196885736191</v>
      </c>
      <c r="Z329" s="387">
        <f t="shared" si="114"/>
        <v>16.607159979643964</v>
      </c>
      <c r="AA329" s="388">
        <f t="shared" si="115"/>
        <v>19.224298616837274</v>
      </c>
      <c r="AB329" s="199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0.13613701541762013</v>
      </c>
      <c r="AD329" s="233">
        <f>(INDEX(Models!$BJ329:$BT329,,AH329)*(1-AF329)+INDEX(Models!$BJ329:$BT329,,AH329+1)*AF329-ERP_i)*AE329*Ramure*Pc/MaxiM</f>
        <v>0.1109135491689266</v>
      </c>
      <c r="AE329" s="307">
        <f t="shared" si="117"/>
        <v>0.9</v>
      </c>
      <c r="AF329" s="179">
        <f t="shared" si="118"/>
        <v>0.7994313520923122</v>
      </c>
      <c r="AG329" s="839">
        <f t="shared" si="124"/>
        <v>1</v>
      </c>
      <c r="AH329" s="178">
        <f t="shared" si="119"/>
        <v>7</v>
      </c>
      <c r="AI329" s="227">
        <f t="shared" si="120"/>
        <v>1.7994313520923122</v>
      </c>
      <c r="AJ329" s="267" t="b">
        <f t="shared" si="121"/>
        <v>0</v>
      </c>
      <c r="AK329" s="267" t="b">
        <f t="shared" si="122"/>
        <v>0</v>
      </c>
      <c r="AL329" s="267"/>
      <c r="AM329" s="267"/>
      <c r="AN329" s="75"/>
    </row>
    <row r="330" spans="1:40" s="6" customFormat="1" ht="11.25" x14ac:dyDescent="0.2">
      <c r="A330" s="56">
        <f t="shared" si="123"/>
        <v>45607</v>
      </c>
      <c r="B330" s="413">
        <f>'2023'!Wh/'2023'!Env_an*'2024'!Env_an</f>
        <v>16.94714157562845</v>
      </c>
      <c r="C330" s="868"/>
      <c r="D330" s="395">
        <f t="shared" si="102"/>
        <v>17.876455887188548</v>
      </c>
      <c r="E330" s="387">
        <f t="shared" si="125"/>
        <v>19.045621090063751</v>
      </c>
      <c r="F330" s="387">
        <f t="shared" si="103"/>
        <v>21.125460941218542</v>
      </c>
      <c r="G330" s="110">
        <f t="shared" si="126"/>
        <v>0.89308800651210074</v>
      </c>
      <c r="H330" s="416" t="b">
        <f>Wh_hp&gt;='2023'!Maxi_hp</f>
        <v>0</v>
      </c>
      <c r="I330" s="392">
        <f>IF(H330,Wh_hp,'2023'!Maxi_hp)</f>
        <v>21.417505226128377</v>
      </c>
      <c r="J330" s="85">
        <f>IF(H330,An,'2023'!An_max)</f>
        <v>2018</v>
      </c>
      <c r="K330" s="199">
        <f t="shared" si="104"/>
        <v>45607</v>
      </c>
      <c r="L330" s="147">
        <f>IF(t&lt;Tvie,1-EXP((T0-t)*PertePVj)+'2023'!Pspv,1-EXP((T0-t)*PertePVj)+Pspv)</f>
        <v>5.1985377718304138E-2</v>
      </c>
      <c r="M330" s="872"/>
      <c r="N330" s="872"/>
      <c r="O330" s="48">
        <f>IF(t&lt;Tnet,'2023'!Resal+('2023'!Salim-'2023'!Resal)*(1-EXP(('2023'!Tnet-t)/('2023'!Tau_j))),Resal+(Salim-Resal)*(1-EXP((Tnet-t)/(Tau_j))))*Salcycl</f>
        <v>6.1387612267744134E-2</v>
      </c>
      <c r="P330" s="171">
        <f>(INDEX(Models!$BJ330:$BT330,,T330)*(1-R330)+INDEX(Models!$BJ330:$BT330,,T330+1)*R330-ERP_i)*Q330*Ramure*Pc/MaxiM</f>
        <v>0.11333449147615383</v>
      </c>
      <c r="Q330" s="307">
        <f t="shared" si="105"/>
        <v>0.9</v>
      </c>
      <c r="R330" s="179">
        <f t="shared" si="106"/>
        <v>0.79948154994780074</v>
      </c>
      <c r="S330" s="839">
        <f t="shared" si="107"/>
        <v>1</v>
      </c>
      <c r="T330" s="178">
        <f t="shared" si="108"/>
        <v>7</v>
      </c>
      <c r="U330" s="253">
        <f t="shared" si="109"/>
        <v>1.7994815499478007</v>
      </c>
      <c r="V330" s="385">
        <f t="shared" si="110"/>
        <v>18.662639579512817</v>
      </c>
      <c r="W330" s="404">
        <f t="shared" si="111"/>
        <v>16.94714157562845</v>
      </c>
      <c r="X330" s="157">
        <f t="shared" si="112"/>
        <v>45607</v>
      </c>
      <c r="Y330" s="387">
        <f t="shared" si="113"/>
        <v>15.598003570337168</v>
      </c>
      <c r="Z330" s="387">
        <f t="shared" si="114"/>
        <v>16.453336482084694</v>
      </c>
      <c r="AA330" s="388">
        <f t="shared" si="115"/>
        <v>19.045621090063751</v>
      </c>
      <c r="AB330" s="199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0.13610921879210708</v>
      </c>
      <c r="AD330" s="233">
        <f>(INDEX(Models!$BJ330:$BT330,,AH330)*(1-AF330)+INDEX(Models!$BJ330:$BT330,,AH330+1)*AF330-ERP_i)*AE330*Ramure*Pc/MaxiM</f>
        <v>0.11333449147615383</v>
      </c>
      <c r="AE330" s="307">
        <f t="shared" si="117"/>
        <v>0.9</v>
      </c>
      <c r="AF330" s="179">
        <f t="shared" si="118"/>
        <v>0.79948154994780074</v>
      </c>
      <c r="AG330" s="839">
        <f t="shared" si="124"/>
        <v>1</v>
      </c>
      <c r="AH330" s="178">
        <f t="shared" si="119"/>
        <v>7</v>
      </c>
      <c r="AI330" s="227">
        <f t="shared" si="120"/>
        <v>1.7994815499478007</v>
      </c>
      <c r="AJ330" s="267" t="b">
        <f t="shared" si="121"/>
        <v>0</v>
      </c>
      <c r="AK330" s="267" t="b">
        <f t="shared" si="122"/>
        <v>0</v>
      </c>
      <c r="AL330" s="267"/>
      <c r="AM330" s="267"/>
      <c r="AN330" s="75"/>
    </row>
    <row r="331" spans="1:40" s="6" customFormat="1" ht="11.25" x14ac:dyDescent="0.2">
      <c r="A331" s="56">
        <f t="shared" si="123"/>
        <v>45608</v>
      </c>
      <c r="B331" s="413">
        <f>'2023'!Wh/'2023'!Env_an*'2024'!Env_an</f>
        <v>15.005749083101188</v>
      </c>
      <c r="C331" s="868"/>
      <c r="D331" s="395">
        <f t="shared" si="102"/>
        <v>15.8289734612048</v>
      </c>
      <c r="E331" s="387">
        <f t="shared" si="125"/>
        <v>16.866442842717369</v>
      </c>
      <c r="F331" s="387">
        <f t="shared" si="103"/>
        <v>18.437202195664717</v>
      </c>
      <c r="G331" s="110">
        <f t="shared" si="126"/>
        <v>0.78808476569266372</v>
      </c>
      <c r="H331" s="416" t="b">
        <f>Wh_hp&gt;='2023'!Maxi_hp</f>
        <v>0</v>
      </c>
      <c r="I331" s="392">
        <f>IF(H331,Wh_hp,'2023'!Maxi_hp)</f>
        <v>23.366158746660897</v>
      </c>
      <c r="J331" s="85">
        <f>IF(H331,An,'2023'!An_max)</f>
        <v>2020</v>
      </c>
      <c r="K331" s="199">
        <f t="shared" si="104"/>
        <v>45608</v>
      </c>
      <c r="L331" s="147">
        <f>IF(t&lt;Tvie,1-EXP((T0-t)*PertePVj)+'2023'!Pspv,1-EXP((T0-t)*PertePVj)+Pspv)</f>
        <v>5.2007439403524924E-2</v>
      </c>
      <c r="M331" s="872"/>
      <c r="N331" s="872"/>
      <c r="O331" s="48">
        <f>IF(t&lt;Tnet,'2023'!Resal+('2023'!Salim-'2023'!Resal)*(1-EXP(('2023'!Tnet-t)/('2023'!Tau_j))),Resal+(Salim-Resal)*(1-EXP((Tnet-t)/(Tau_j))))*Salcycl</f>
        <v>6.1510858643233642E-2</v>
      </c>
      <c r="P331" s="171">
        <f>(INDEX(Models!$BJ331:$BT331,,T331)*(1-R331)+INDEX(Models!$BJ331:$BT331,,T331+1)*R331-ERP_i)*Q331*Ramure*Pc/MaxiM</f>
        <v>0.11573177434931683</v>
      </c>
      <c r="Q331" s="307">
        <f t="shared" si="105"/>
        <v>0.9</v>
      </c>
      <c r="R331" s="179">
        <f t="shared" si="106"/>
        <v>0.79952973346325162</v>
      </c>
      <c r="S331" s="839">
        <f t="shared" si="107"/>
        <v>1</v>
      </c>
      <c r="T331" s="178">
        <f t="shared" si="108"/>
        <v>7</v>
      </c>
      <c r="U331" s="253">
        <f t="shared" si="109"/>
        <v>1.7995297334632516</v>
      </c>
      <c r="V331" s="385">
        <f t="shared" si="110"/>
        <v>18.40518924344444</v>
      </c>
      <c r="W331" s="404">
        <f t="shared" si="111"/>
        <v>15.005749083101188</v>
      </c>
      <c r="X331" s="157">
        <f t="shared" si="112"/>
        <v>45608</v>
      </c>
      <c r="Y331" s="387">
        <f t="shared" si="113"/>
        <v>13.81339316122507</v>
      </c>
      <c r="Z331" s="387">
        <f t="shared" si="114"/>
        <v>14.571204179633762</v>
      </c>
      <c r="AA331" s="388">
        <f t="shared" si="115"/>
        <v>16.866442842717369</v>
      </c>
      <c r="AB331" s="199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0.13608314951096229</v>
      </c>
      <c r="AD331" s="233">
        <f>(INDEX(Models!$BJ331:$BT331,,AH331)*(1-AF331)+INDEX(Models!$BJ331:$BT331,,AH331+1)*AF331-ERP_i)*AE331*Ramure*Pc/MaxiM</f>
        <v>0.11573177434931683</v>
      </c>
      <c r="AE331" s="307">
        <f t="shared" si="117"/>
        <v>0.9</v>
      </c>
      <c r="AF331" s="179">
        <f t="shared" si="118"/>
        <v>0.79952973346325162</v>
      </c>
      <c r="AG331" s="839">
        <f t="shared" si="124"/>
        <v>1</v>
      </c>
      <c r="AH331" s="178">
        <f t="shared" si="119"/>
        <v>7</v>
      </c>
      <c r="AI331" s="227">
        <f t="shared" si="120"/>
        <v>1.7995297334632516</v>
      </c>
      <c r="AJ331" s="267" t="b">
        <f t="shared" si="121"/>
        <v>0</v>
      </c>
      <c r="AK331" s="267" t="b">
        <f t="shared" si="122"/>
        <v>0</v>
      </c>
      <c r="AL331" s="267"/>
      <c r="AM331" s="267"/>
      <c r="AN331" s="75"/>
    </row>
    <row r="332" spans="1:40" s="6" customFormat="1" ht="11.25" x14ac:dyDescent="0.2">
      <c r="A332" s="56">
        <f t="shared" si="123"/>
        <v>45609</v>
      </c>
      <c r="B332" s="413">
        <f>'2023'!Wh/'2023'!Env_an*'2024'!Env_an</f>
        <v>8.6442796180247523</v>
      </c>
      <c r="C332" s="868"/>
      <c r="D332" s="395">
        <f t="shared" si="102"/>
        <v>9.118722178876979</v>
      </c>
      <c r="E332" s="387">
        <f t="shared" si="125"/>
        <v>9.7176663919869721</v>
      </c>
      <c r="F332" s="387">
        <f t="shared" si="103"/>
        <v>10.015283310986746</v>
      </c>
      <c r="G332" s="110">
        <f t="shared" si="126"/>
        <v>0.43275653859323898</v>
      </c>
      <c r="H332" s="416" t="b">
        <f>Wh_hp&gt;='2023'!Maxi_hp</f>
        <v>0</v>
      </c>
      <c r="I332" s="392">
        <f>IF(H332,Wh_hp,'2023'!Maxi_hp)</f>
        <v>17.041501964262778</v>
      </c>
      <c r="J332" s="85">
        <f>IF(H332,An,'2023'!An_max)</f>
        <v>2020</v>
      </c>
      <c r="K332" s="199">
        <f t="shared" si="104"/>
        <v>45609</v>
      </c>
      <c r="L332" s="147">
        <f>IF(t&lt;Tvie,1-EXP((T0-t)*PertePVj)+'2023'!Pspv,1-EXP((T0-t)*PertePVj)+Pspv)</f>
        <v>5.202950057533795E-2</v>
      </c>
      <c r="M332" s="872"/>
      <c r="N332" s="872"/>
      <c r="O332" s="48">
        <f>IF(t&lt;Tnet,'2023'!Resal+('2023'!Salim-'2023'!Resal)*(1-EXP(('2023'!Tnet-t)/('2023'!Tau_j))),Resal+(Salim-Resal)*(1-EXP((Tnet-t)/(Tau_j))))*Salcycl</f>
        <v>6.1634572432314828E-2</v>
      </c>
      <c r="P332" s="171">
        <f>(INDEX(Models!$BJ332:$BT332,,T332)*(1-R332)+INDEX(Models!$BJ332:$BT332,,T332+1)*R332-ERP_i)*Q332*Ramure*Pc/MaxiM</f>
        <v>0.11810318529236111</v>
      </c>
      <c r="Q332" s="307">
        <f t="shared" si="105"/>
        <v>0.9</v>
      </c>
      <c r="R332" s="179">
        <f t="shared" si="106"/>
        <v>0.79957598320883805</v>
      </c>
      <c r="S332" s="839">
        <f t="shared" si="107"/>
        <v>1</v>
      </c>
      <c r="T332" s="178">
        <f t="shared" si="108"/>
        <v>7</v>
      </c>
      <c r="U332" s="253">
        <f t="shared" si="109"/>
        <v>1.799575983208838</v>
      </c>
      <c r="V332" s="385">
        <f t="shared" si="110"/>
        <v>18.155332022281478</v>
      </c>
      <c r="W332" s="404">
        <f t="shared" si="111"/>
        <v>8.6442796180247523</v>
      </c>
      <c r="X332" s="157">
        <f t="shared" si="112"/>
        <v>45609</v>
      </c>
      <c r="Y332" s="387">
        <f t="shared" si="113"/>
        <v>7.9586774654580914</v>
      </c>
      <c r="Z332" s="387">
        <f t="shared" si="114"/>
        <v>8.3954906511208272</v>
      </c>
      <c r="AA332" s="388">
        <f t="shared" si="115"/>
        <v>9.7176663919869721</v>
      </c>
      <c r="AB332" s="199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0.13605897625343361</v>
      </c>
      <c r="AD332" s="233">
        <f>(INDEX(Models!$BJ332:$BT332,,AH332)*(1-AF332)+INDEX(Models!$BJ332:$BT332,,AH332+1)*AF332-ERP_i)*AE332*Ramure*Pc/MaxiM</f>
        <v>0.11810318529236111</v>
      </c>
      <c r="AE332" s="307">
        <f t="shared" si="117"/>
        <v>0.9</v>
      </c>
      <c r="AF332" s="179">
        <f t="shared" si="118"/>
        <v>0.79957598320883805</v>
      </c>
      <c r="AG332" s="839">
        <f t="shared" si="124"/>
        <v>1</v>
      </c>
      <c r="AH332" s="178">
        <f t="shared" si="119"/>
        <v>7</v>
      </c>
      <c r="AI332" s="227">
        <f t="shared" si="120"/>
        <v>1.799575983208838</v>
      </c>
      <c r="AJ332" s="267" t="b">
        <f t="shared" si="121"/>
        <v>0</v>
      </c>
      <c r="AK332" s="267" t="b">
        <f t="shared" si="122"/>
        <v>0</v>
      </c>
      <c r="AL332" s="267"/>
      <c r="AM332" s="267"/>
      <c r="AN332" s="75"/>
    </row>
    <row r="333" spans="1:40" s="6" customFormat="1" ht="11.25" x14ac:dyDescent="0.2">
      <c r="A333" s="56">
        <f t="shared" si="123"/>
        <v>45610</v>
      </c>
      <c r="B333" s="413">
        <f>'2023'!Wh/'2023'!Env_an*'2024'!Env_an</f>
        <v>10.511583779085242</v>
      </c>
      <c r="C333" s="868"/>
      <c r="D333" s="395">
        <f t="shared" si="102"/>
        <v>11.088771655941619</v>
      </c>
      <c r="E333" s="387">
        <f t="shared" si="125"/>
        <v>11.818679520376348</v>
      </c>
      <c r="F333" s="387">
        <f t="shared" si="103"/>
        <v>12.432434001697567</v>
      </c>
      <c r="G333" s="110">
        <f t="shared" si="126"/>
        <v>0.54294346222516909</v>
      </c>
      <c r="H333" s="416" t="b">
        <f>Wh_hp&gt;='2023'!Maxi_hp</f>
        <v>0</v>
      </c>
      <c r="I333" s="392">
        <f>IF(H333,Wh_hp,'2023'!Maxi_hp)</f>
        <v>21.801305387637619</v>
      </c>
      <c r="J333" s="85">
        <f>IF(H333,An,'2023'!An_max)</f>
        <v>2020</v>
      </c>
      <c r="K333" s="199">
        <f t="shared" si="104"/>
        <v>45610</v>
      </c>
      <c r="L333" s="147">
        <f>IF(t&lt;Tvie,1-EXP((T0-t)*PertePVj)+'2023'!Pspv,1-EXP((T0-t)*PertePVj)+Pspv)</f>
        <v>5.2051561233755317E-2</v>
      </c>
      <c r="M333" s="872"/>
      <c r="N333" s="872"/>
      <c r="O333" s="48">
        <f>IF(t&lt;Tnet,'2023'!Resal+('2023'!Salim-'2023'!Resal)*(1-EXP(('2023'!Tnet-t)/('2023'!Tau_j))),Resal+(Salim-Resal)*(1-EXP((Tnet-t)/(Tau_j))))*Salcycl</f>
        <v>6.1758833816951318E-2</v>
      </c>
      <c r="P333" s="171">
        <f>(INDEX(Models!$BJ333:$BT333,,T333)*(1-R333)+INDEX(Models!$BJ333:$BT333,,T333+1)*R333-ERP_i)*Q333*Ramure*Pc/MaxiM</f>
        <v>0.12047519886639657</v>
      </c>
      <c r="Q333" s="307">
        <f t="shared" si="105"/>
        <v>0.9</v>
      </c>
      <c r="R333" s="179">
        <f t="shared" si="106"/>
        <v>0.79962037655265128</v>
      </c>
      <c r="S333" s="839">
        <f t="shared" si="107"/>
        <v>1</v>
      </c>
      <c r="T333" s="178">
        <f t="shared" si="108"/>
        <v>7</v>
      </c>
      <c r="U333" s="253">
        <f t="shared" si="109"/>
        <v>1.7996203765526513</v>
      </c>
      <c r="V333" s="385">
        <f t="shared" si="110"/>
        <v>17.91219648467138</v>
      </c>
      <c r="W333" s="404">
        <f t="shared" si="111"/>
        <v>10.511583779085242</v>
      </c>
      <c r="X333" s="157">
        <f t="shared" si="112"/>
        <v>45610</v>
      </c>
      <c r="Y333" s="387">
        <f t="shared" si="113"/>
        <v>9.679409999715654</v>
      </c>
      <c r="Z333" s="387">
        <f t="shared" si="114"/>
        <v>10.210903466768098</v>
      </c>
      <c r="AA333" s="388">
        <f t="shared" si="115"/>
        <v>11.818679520376348</v>
      </c>
      <c r="AB333" s="199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0.13603686019544867</v>
      </c>
      <c r="AD333" s="233">
        <f>(INDEX(Models!$BJ333:$BT333,,AH333)*(1-AF333)+INDEX(Models!$BJ333:$BT333,,AH333+1)*AF333-ERP_i)*AE333*Ramure*Pc/MaxiM</f>
        <v>0.12047519886639657</v>
      </c>
      <c r="AE333" s="307">
        <f t="shared" si="117"/>
        <v>0.9</v>
      </c>
      <c r="AF333" s="179">
        <f t="shared" si="118"/>
        <v>0.79962037655265128</v>
      </c>
      <c r="AG333" s="839">
        <f t="shared" si="124"/>
        <v>1</v>
      </c>
      <c r="AH333" s="178">
        <f t="shared" si="119"/>
        <v>7</v>
      </c>
      <c r="AI333" s="227">
        <f t="shared" si="120"/>
        <v>1.7996203765526513</v>
      </c>
      <c r="AJ333" s="267" t="b">
        <f t="shared" si="121"/>
        <v>0</v>
      </c>
      <c r="AK333" s="267" t="b">
        <f t="shared" si="122"/>
        <v>0</v>
      </c>
      <c r="AL333" s="267"/>
      <c r="AM333" s="267"/>
      <c r="AN333" s="75"/>
    </row>
    <row r="334" spans="1:40" s="6" customFormat="1" ht="11.25" x14ac:dyDescent="0.2">
      <c r="A334" s="56">
        <f t="shared" si="123"/>
        <v>45611</v>
      </c>
      <c r="B334" s="413">
        <f>'2023'!Wh/'2023'!Env_an*'2024'!Env_an</f>
        <v>16.438717473202082</v>
      </c>
      <c r="C334" s="868"/>
      <c r="D334" s="395">
        <f t="shared" si="102"/>
        <v>17.341766031569581</v>
      </c>
      <c r="E334" s="387">
        <f t="shared" si="125"/>
        <v>18.485731884495348</v>
      </c>
      <c r="F334" s="387">
        <f t="shared" si="103"/>
        <v>20.783741473587842</v>
      </c>
      <c r="G334" s="110">
        <f t="shared" si="126"/>
        <v>0.91718924531257495</v>
      </c>
      <c r="H334" s="416" t="b">
        <f>Wh_hp&gt;='2023'!Maxi_hp</f>
        <v>0</v>
      </c>
      <c r="I334" s="392">
        <f>IF(H334,Wh_hp,'2023'!Maxi_hp)</f>
        <v>20.909527532207395</v>
      </c>
      <c r="J334" s="85">
        <f>IF(H334,An,'2023'!An_max)</f>
        <v>2022</v>
      </c>
      <c r="K334" s="199">
        <f t="shared" si="104"/>
        <v>45611</v>
      </c>
      <c r="L334" s="147">
        <f>IF(t&lt;Tvie,1-EXP((T0-t)*PertePVj)+'2023'!Pspv,1-EXP((T0-t)*PertePVj)+Pspv)</f>
        <v>5.2073621378788904E-2</v>
      </c>
      <c r="M334" s="872"/>
      <c r="N334" s="872"/>
      <c r="O334" s="48">
        <f>IF(t&lt;Tnet,'2023'!Resal+('2023'!Salim-'2023'!Resal)*(1-EXP(('2023'!Tnet-t)/('2023'!Tau_j))),Resal+(Salim-Resal)*(1-EXP((Tnet-t)/(Tau_j))))*Salcycl</f>
        <v>6.1883719837203387E-2</v>
      </c>
      <c r="P334" s="171">
        <f>(INDEX(Models!$BJ334:$BT334,,T334)*(1-R334)+INDEX(Models!$BJ334:$BT334,,T334+1)*R334-ERP_i)*Q334*Ramure*Pc/MaxiM</f>
        <v>0.12284723633706844</v>
      </c>
      <c r="Q334" s="307">
        <f t="shared" si="105"/>
        <v>0.9</v>
      </c>
      <c r="R334" s="179">
        <f t="shared" si="106"/>
        <v>0.7996629877863366</v>
      </c>
      <c r="S334" s="839">
        <f t="shared" si="107"/>
        <v>1</v>
      </c>
      <c r="T334" s="178">
        <f t="shared" si="108"/>
        <v>7</v>
      </c>
      <c r="U334" s="253">
        <f t="shared" si="109"/>
        <v>1.7996629877863366</v>
      </c>
      <c r="V334" s="385">
        <f t="shared" si="110"/>
        <v>17.675483224656258</v>
      </c>
      <c r="W334" s="404">
        <f t="shared" si="111"/>
        <v>16.438717473202082</v>
      </c>
      <c r="X334" s="157">
        <f t="shared" si="112"/>
        <v>45611</v>
      </c>
      <c r="Y334" s="387">
        <f t="shared" si="113"/>
        <v>15.139672437648422</v>
      </c>
      <c r="Z334" s="387">
        <f t="shared" si="114"/>
        <v>15.97135893577469</v>
      </c>
      <c r="AA334" s="388">
        <f t="shared" si="115"/>
        <v>18.485731884495348</v>
      </c>
      <c r="AB334" s="199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0.13601695428838026</v>
      </c>
      <c r="AD334" s="233">
        <f>(INDEX(Models!$BJ334:$BT334,,AH334)*(1-AF334)+INDEX(Models!$BJ334:$BT334,,AH334+1)*AF334-ERP_i)*AE334*Ramure*Pc/MaxiM</f>
        <v>0.12284723633706844</v>
      </c>
      <c r="AE334" s="307">
        <f t="shared" si="117"/>
        <v>0.9</v>
      </c>
      <c r="AF334" s="179">
        <f t="shared" si="118"/>
        <v>0.7996629877863366</v>
      </c>
      <c r="AG334" s="839">
        <f t="shared" si="124"/>
        <v>1</v>
      </c>
      <c r="AH334" s="178">
        <f t="shared" si="119"/>
        <v>7</v>
      </c>
      <c r="AI334" s="227">
        <f t="shared" si="120"/>
        <v>1.7996629877863366</v>
      </c>
      <c r="AJ334" s="267" t="b">
        <f t="shared" si="121"/>
        <v>0</v>
      </c>
      <c r="AK334" s="267" t="b">
        <f t="shared" si="122"/>
        <v>0</v>
      </c>
      <c r="AL334" s="267"/>
      <c r="AM334" s="267"/>
      <c r="AN334" s="75"/>
    </row>
    <row r="335" spans="1:40" s="6" customFormat="1" ht="11.25" x14ac:dyDescent="0.2">
      <c r="A335" s="56">
        <f t="shared" si="123"/>
        <v>45612</v>
      </c>
      <c r="B335" s="413">
        <f>'2023'!Wh/'2023'!Env_an*'2024'!Env_an</f>
        <v>10.770225202722893</v>
      </c>
      <c r="C335" s="868"/>
      <c r="D335" s="395">
        <f t="shared" ref="D335:D380" si="127">Wh/(1-Ppv)</f>
        <v>11.36214382291641</v>
      </c>
      <c r="E335" s="387">
        <f t="shared" si="125"/>
        <v>12.113279877788223</v>
      </c>
      <c r="F335" s="387">
        <f t="shared" ref="F335:F380" si="128">Wh_sa/(1-Pvg*MEDIAN((-Sdif+Wh/Env_an)/Csdif,0,1))</f>
        <v>12.842410482940577</v>
      </c>
      <c r="G335" s="110">
        <f t="shared" si="126"/>
        <v>0.57258595310167193</v>
      </c>
      <c r="H335" s="416" t="b">
        <f>Wh_hp&gt;='2023'!Maxi_hp</f>
        <v>0</v>
      </c>
      <c r="I335" s="392">
        <f>IF(H335,Wh_hp,'2023'!Maxi_hp)</f>
        <v>21.918634591687038</v>
      </c>
      <c r="J335" s="85">
        <f>IF(H335,An,'2023'!An_max)</f>
        <v>2018</v>
      </c>
      <c r="K335" s="199">
        <f t="shared" ref="K335:K380" si="129">t</f>
        <v>45612</v>
      </c>
      <c r="L335" s="147">
        <f>IF(t&lt;Tvie,1-EXP((T0-t)*PertePVj)+'2023'!Pspv,1-EXP((T0-t)*PertePVj)+Pspv)</f>
        <v>5.2095681010450812E-2</v>
      </c>
      <c r="M335" s="872"/>
      <c r="N335" s="872"/>
      <c r="O335" s="48">
        <f>IF(t&lt;Tnet,'2023'!Resal+('2023'!Salim-'2023'!Resal)*(1-EXP(('2023'!Tnet-t)/('2023'!Tau_j))),Resal+(Salim-Resal)*(1-EXP((Tnet-t)/(Tau_j))))*Salcycl</f>
        <v>6.2009304040695865E-2</v>
      </c>
      <c r="P335" s="171">
        <f>(INDEX(Models!$BJ335:$BT335,,T335)*(1-R335)+INDEX(Models!$BJ335:$BT335,,T335+1)*R335-ERP_i)*Q335*Ramure*Pc/MaxiM</f>
        <v>0.1252188333056084</v>
      </c>
      <c r="Q335" s="307">
        <f t="shared" ref="Q335:Q380" si="130">IF(OR(t&lt;Ttai,Notai),Dd+PousD*Croivg,Dens+PousD*(Croivg-Croi_tai))</f>
        <v>0.9</v>
      </c>
      <c r="R335" s="179">
        <f t="shared" ref="R335:R379" si="131">(Hp_vg-S335)/(INDEX(Echel_vg,T335+1)-S335)</f>
        <v>0.79970388824592842</v>
      </c>
      <c r="S335" s="839">
        <f t="shared" ref="S335:S379" si="132">INDEX(Echel_vg,T335)</f>
        <v>1</v>
      </c>
      <c r="T335" s="178">
        <f t="shared" ref="T335:T380" si="133">MIN(MATCH(Hp_vg,Echel_vg),10)</f>
        <v>7</v>
      </c>
      <c r="U335" s="253">
        <f t="shared" ref="U335:U380" si="134">IF(OR(t&lt;Ttai,Notai),Hdd+PousH*Croivg,Hdtf+PousH*(Croivg-Croi_tai))</f>
        <v>1.7997038882459284</v>
      </c>
      <c r="V335" s="385">
        <f t="shared" ref="V335:V380" si="135">MaxiM*(1-Ppv)*(1-Pvg)*(1-Psa)</f>
        <v>17.444893191727591</v>
      </c>
      <c r="W335" s="404">
        <f t="shared" ref="W335:W380" si="136">Wh*(A335&gt;Tmaj)</f>
        <v>10.770225202722893</v>
      </c>
      <c r="X335" s="157">
        <f t="shared" ref="X335:X380" si="137">t</f>
        <v>45612</v>
      </c>
      <c r="Y335" s="387">
        <f t="shared" ref="Y335:Y380" si="138">Wh_pvt_s*(1-Ppv)</f>
        <v>9.9206538503102024</v>
      </c>
      <c r="Z335" s="387">
        <f t="shared" ref="Z335:Z380" si="139">Wh_sa_s*(1-Psa_s)</f>
        <v>10.465881051038421</v>
      </c>
      <c r="AA335" s="388">
        <f t="shared" ref="AA335:AA380" si="140">Wh_hp*(1-Pvg_s*MEDIAN((-Sdif+Wh/Env_an)/Csdif,0,1))</f>
        <v>12.113279877788223</v>
      </c>
      <c r="AB335" s="199">
        <f t="shared" ref="AB335:AB380" si="141">t</f>
        <v>45612</v>
      </c>
      <c r="AC335" s="119">
        <f>IF(OR(t&lt;Tnet,NoTnet),'2023'!Resal_s+('2023'!Salim-'2023'!Resal_s)*(1-EXP(('2023'!Tnet_s-t)/'2023'!Tau_j)),Resal_s+(Salim-Resal_s)*(1-EXP((Tnet_s-t)/Tau_j)))*Salcycl</f>
        <v>0.1359994025871219</v>
      </c>
      <c r="AD335" s="233">
        <f>(INDEX(Models!$BJ335:$BT335,,AH335)*(1-AF335)+INDEX(Models!$BJ335:$BT335,,AH335+1)*AF335-ERP_i)*AE335*Ramure*Pc/MaxiM</f>
        <v>0.1252188333056084</v>
      </c>
      <c r="AE335" s="307">
        <f t="shared" ref="AE335:AE380" si="142">IF(OR(t&lt;Ttai,Notai),Dd_s+PousD*Croivg,Dens_s+PousD*(Croivg-Croi_tai))</f>
        <v>0.9</v>
      </c>
      <c r="AF335" s="179">
        <f t="shared" ref="AF335:AF379" si="143">(Hp_vg_s-AG335)/(INDEX(Echel_vg,AH335+1)-AG335)</f>
        <v>0.79970388824592842</v>
      </c>
      <c r="AG335" s="839">
        <f t="shared" si="124"/>
        <v>1</v>
      </c>
      <c r="AH335" s="178">
        <f t="shared" ref="AH335:AH380" si="144">MIN(MATCH(Hp_vg_s,Echel_vg),10)</f>
        <v>7</v>
      </c>
      <c r="AI335" s="227">
        <f t="shared" ref="AI335:AI380" si="145">IF(OR(t&lt;Ttai,Notai),Hdd_s+PousH*Croivg,Hdtai_s+PousH*(Croivg-Croi_tai))</f>
        <v>1.7997038882459284</v>
      </c>
      <c r="AJ335" s="267" t="b">
        <f t="shared" ref="AJ335:AJ380" si="146">t&lt;Tnet</f>
        <v>0</v>
      </c>
      <c r="AK335" s="267" t="b">
        <f t="shared" ref="AK335:AK380" si="147">t&lt;Ttai</f>
        <v>0</v>
      </c>
      <c r="AL335" s="267"/>
      <c r="AM335" s="267"/>
      <c r="AN335" s="75"/>
    </row>
    <row r="336" spans="1:40" s="6" customFormat="1" ht="11.25" x14ac:dyDescent="0.2">
      <c r="A336" s="56">
        <f t="shared" ref="A336:A379" si="148">A335+1</f>
        <v>45613</v>
      </c>
      <c r="B336" s="413">
        <f>'2023'!Wh/'2023'!Env_an*'2024'!Env_an</f>
        <v>10.166872488103991</v>
      </c>
      <c r="C336" s="868"/>
      <c r="D336" s="395">
        <f t="shared" si="127"/>
        <v>10.725881175880408</v>
      </c>
      <c r="E336" s="387">
        <f t="shared" si="125"/>
        <v>11.4364953164614</v>
      </c>
      <c r="F336" s="387">
        <f t="shared" si="128"/>
        <v>12.075693551102287</v>
      </c>
      <c r="G336" s="110">
        <f t="shared" si="126"/>
        <v>0.54386479404415322</v>
      </c>
      <c r="H336" s="416" t="b">
        <f>Wh_hp&gt;='2023'!Maxi_hp</f>
        <v>0</v>
      </c>
      <c r="I336" s="392">
        <f>IF(H336,Wh_hp,'2023'!Maxi_hp)</f>
        <v>20.767759562159952</v>
      </c>
      <c r="J336" s="85">
        <f>IF(H336,An,'2023'!An_max)</f>
        <v>2020</v>
      </c>
      <c r="K336" s="199">
        <f t="shared" si="129"/>
        <v>45613</v>
      </c>
      <c r="L336" s="147">
        <f>IF(t&lt;Tvie,1-EXP((T0-t)*PertePVj)+'2023'!Pspv,1-EXP((T0-t)*PertePVj)+Pspv)</f>
        <v>5.211774012875281E-2</v>
      </c>
      <c r="M336" s="872"/>
      <c r="N336" s="872"/>
      <c r="O336" s="48">
        <f>IF(t&lt;Tnet,'2023'!Resal+('2023'!Salim-'2023'!Resal)*(1-EXP(('2023'!Tnet-t)/('2023'!Tau_j))),Resal+(Salim-Resal)*(1-EXP((Tnet-t)/(Tau_j))))*Salcycl</f>
        <v>6.2135656153170661E-2</v>
      </c>
      <c r="P336" s="171">
        <f>(INDEX(Models!$BJ336:$BT336,,T336)*(1-R336)+INDEX(Models!$BJ336:$BT336,,T336+1)*R336-ERP_i)*Q336*Ramure*Pc/MaxiM</f>
        <v>0.12758964729561889</v>
      </c>
      <c r="Q336" s="307">
        <f t="shared" si="130"/>
        <v>0.9</v>
      </c>
      <c r="R336" s="179">
        <f t="shared" si="131"/>
        <v>0.79974314642805711</v>
      </c>
      <c r="S336" s="839">
        <f t="shared" si="132"/>
        <v>1</v>
      </c>
      <c r="T336" s="178">
        <f t="shared" si="133"/>
        <v>7</v>
      </c>
      <c r="U336" s="253">
        <f t="shared" si="134"/>
        <v>1.7997431464280571</v>
      </c>
      <c r="V336" s="385">
        <f t="shared" si="135"/>
        <v>17.220127692324745</v>
      </c>
      <c r="W336" s="404">
        <f t="shared" si="136"/>
        <v>10.166872488103991</v>
      </c>
      <c r="X336" s="157">
        <f t="shared" si="137"/>
        <v>45613</v>
      </c>
      <c r="Y336" s="387">
        <f t="shared" si="138"/>
        <v>9.3663194515461239</v>
      </c>
      <c r="Z336" s="387">
        <f t="shared" si="139"/>
        <v>9.8813110531453248</v>
      </c>
      <c r="AA336" s="388">
        <f t="shared" si="140"/>
        <v>11.4364953164614</v>
      </c>
      <c r="AB336" s="199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0.13598433963222833</v>
      </c>
      <c r="AD336" s="233">
        <f>(INDEX(Models!$BJ336:$BT336,,AH336)*(1-AF336)+INDEX(Models!$BJ336:$BT336,,AH336+1)*AF336-ERP_i)*AE336*Ramure*Pc/MaxiM</f>
        <v>0.12758964729561889</v>
      </c>
      <c r="AE336" s="307">
        <f t="shared" si="142"/>
        <v>0.9</v>
      </c>
      <c r="AF336" s="179">
        <f t="shared" si="143"/>
        <v>0.79974314642805711</v>
      </c>
      <c r="AG336" s="839">
        <f t="shared" ref="AG336:AG379" si="149">INDEX(Echel_vg,AH336)</f>
        <v>1</v>
      </c>
      <c r="AH336" s="178">
        <f t="shared" si="144"/>
        <v>7</v>
      </c>
      <c r="AI336" s="227">
        <f t="shared" si="145"/>
        <v>1.7997431464280571</v>
      </c>
      <c r="AJ336" s="267" t="b">
        <f t="shared" si="146"/>
        <v>0</v>
      </c>
      <c r="AK336" s="267" t="b">
        <f t="shared" si="147"/>
        <v>0</v>
      </c>
      <c r="AL336" s="267"/>
      <c r="AM336" s="267"/>
      <c r="AN336" s="75"/>
    </row>
    <row r="337" spans="1:40" s="6" customFormat="1" ht="11.25" x14ac:dyDescent="0.2">
      <c r="A337" s="56">
        <f t="shared" si="148"/>
        <v>45614</v>
      </c>
      <c r="B337" s="413">
        <f>'2023'!Wh/'2023'!Env_an*'2024'!Env_an</f>
        <v>7.462332572274855</v>
      </c>
      <c r="C337" s="868"/>
      <c r="D337" s="395">
        <f t="shared" si="127"/>
        <v>7.87281981277994</v>
      </c>
      <c r="E337" s="387">
        <f t="shared" si="125"/>
        <v>8.3955506547923981</v>
      </c>
      <c r="F337" s="387">
        <f t="shared" si="128"/>
        <v>8.6178452953962523</v>
      </c>
      <c r="G337" s="110">
        <f t="shared" si="126"/>
        <v>0.39200533549618477</v>
      </c>
      <c r="H337" s="416" t="b">
        <f>Wh_hp&gt;='2023'!Maxi_hp</f>
        <v>0</v>
      </c>
      <c r="I337" s="392">
        <f>IF(H337,Wh_hp,'2023'!Maxi_hp)</f>
        <v>21.77433778544162</v>
      </c>
      <c r="J337" s="85">
        <f>IF(H337,An,'2023'!An_max)</f>
        <v>2021</v>
      </c>
      <c r="K337" s="199">
        <f t="shared" si="129"/>
        <v>45614</v>
      </c>
      <c r="L337" s="147">
        <f>IF(t&lt;Tvie,1-EXP((T0-t)*PertePVj)+'2023'!Pspv,1-EXP((T0-t)*PertePVj)+Pspv)</f>
        <v>5.2139798733706777E-2</v>
      </c>
      <c r="M337" s="872"/>
      <c r="N337" s="872"/>
      <c r="O337" s="48">
        <f>IF(t&lt;Tnet,'2023'!Resal+('2023'!Salim-'2023'!Resal)*(1-EXP(('2023'!Tnet-t)/('2023'!Tau_j))),Resal+(Salim-Resal)*(1-EXP((Tnet-t)/(Tau_j))))*Salcycl</f>
        <v>6.2262841772513081E-2</v>
      </c>
      <c r="P337" s="171">
        <f>(INDEX(Models!$BJ337:$BT337,,T337)*(1-R337)+INDEX(Models!$BJ337:$BT337,,T337+1)*R337-ERP_i)*Q337*Ramure*Pc/MaxiM</f>
        <v>0.1299594652381228</v>
      </c>
      <c r="Q337" s="307">
        <f t="shared" si="130"/>
        <v>0.9</v>
      </c>
      <c r="R337" s="179">
        <f t="shared" si="131"/>
        <v>0.79978082810169582</v>
      </c>
      <c r="S337" s="839">
        <f t="shared" si="132"/>
        <v>1</v>
      </c>
      <c r="T337" s="178">
        <f t="shared" si="133"/>
        <v>7</v>
      </c>
      <c r="U337" s="253">
        <f t="shared" si="134"/>
        <v>1.7997808281016958</v>
      </c>
      <c r="V337" s="385">
        <f t="shared" si="135"/>
        <v>17.000888379540335</v>
      </c>
      <c r="W337" s="404">
        <f t="shared" si="136"/>
        <v>7.462332572274855</v>
      </c>
      <c r="X337" s="157">
        <f t="shared" si="137"/>
        <v>45614</v>
      </c>
      <c r="Y337" s="387">
        <f t="shared" si="138"/>
        <v>6.875770094915393</v>
      </c>
      <c r="Z337" s="387">
        <f t="shared" si="139"/>
        <v>7.2539917655891788</v>
      </c>
      <c r="AA337" s="388">
        <f t="shared" si="140"/>
        <v>8.3955506547923981</v>
      </c>
      <c r="AB337" s="199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0.13597188989046088</v>
      </c>
      <c r="AD337" s="233">
        <f>(INDEX(Models!$BJ337:$BT337,,AH337)*(1-AF337)+INDEX(Models!$BJ337:$BT337,,AH337+1)*AF337-ERP_i)*AE337*Ramure*Pc/MaxiM</f>
        <v>0.1299594652381228</v>
      </c>
      <c r="AE337" s="307">
        <f t="shared" si="142"/>
        <v>0.9</v>
      </c>
      <c r="AF337" s="179">
        <f t="shared" si="143"/>
        <v>0.79978082810169582</v>
      </c>
      <c r="AG337" s="839">
        <f t="shared" si="149"/>
        <v>1</v>
      </c>
      <c r="AH337" s="178">
        <f t="shared" si="144"/>
        <v>7</v>
      </c>
      <c r="AI337" s="227">
        <f t="shared" si="145"/>
        <v>1.7997808281016958</v>
      </c>
      <c r="AJ337" s="267" t="b">
        <f t="shared" si="146"/>
        <v>0</v>
      </c>
      <c r="AK337" s="267" t="b">
        <f t="shared" si="147"/>
        <v>0</v>
      </c>
      <c r="AL337" s="267"/>
      <c r="AM337" s="267"/>
      <c r="AN337" s="75"/>
    </row>
    <row r="338" spans="1:40" s="6" customFormat="1" ht="11.25" x14ac:dyDescent="0.2">
      <c r="A338" s="56">
        <f t="shared" si="148"/>
        <v>45615</v>
      </c>
      <c r="B338" s="413">
        <f>'2023'!Wh/'2023'!Env_an*'2024'!Env_an</f>
        <v>12.175821322560507</v>
      </c>
      <c r="C338" s="868"/>
      <c r="D338" s="395">
        <f t="shared" si="127"/>
        <v>12.845886621294845</v>
      </c>
      <c r="E338" s="387">
        <f t="shared" si="125"/>
        <v>13.700684991135322</v>
      </c>
      <c r="F338" s="387">
        <f t="shared" si="128"/>
        <v>14.898745788910585</v>
      </c>
      <c r="G338" s="110">
        <f t="shared" si="126"/>
        <v>0.68437046350488207</v>
      </c>
      <c r="H338" s="416" t="b">
        <f>Wh_hp&gt;='2023'!Maxi_hp</f>
        <v>0</v>
      </c>
      <c r="I338" s="392">
        <f>IF(H338,Wh_hp,'2023'!Maxi_hp)</f>
        <v>22.468091458324675</v>
      </c>
      <c r="J338" s="85">
        <f>IF(H338,An,'2023'!An_max)</f>
        <v>2019</v>
      </c>
      <c r="K338" s="199">
        <f t="shared" si="129"/>
        <v>45615</v>
      </c>
      <c r="L338" s="147">
        <f>IF(t&lt;Tvie,1-EXP((T0-t)*PertePVj)+'2023'!Pspv,1-EXP((T0-t)*PertePVj)+Pspv)</f>
        <v>5.2161856825324926E-2</v>
      </c>
      <c r="M338" s="872"/>
      <c r="N338" s="872"/>
      <c r="O338" s="48">
        <f>IF(t&lt;Tnet,'2023'!Resal+('2023'!Salim-'2023'!Resal)*(1-EXP(('2023'!Tnet-t)/('2023'!Tau_j))),Resal+(Salim-Resal)*(1-EXP((Tnet-t)/(Tau_j))))*Salcycl</f>
        <v>6.2390922088461455E-2</v>
      </c>
      <c r="P338" s="171">
        <f>(INDEX(Models!$BJ338:$BT338,,T338)*(1-R338)+INDEX(Models!$BJ338:$BT338,,T338+1)*R338-ERP_i)*Q338*Ramure*Pc/MaxiM</f>
        <v>0.1323430007349613</v>
      </c>
      <c r="Q338" s="307">
        <f t="shared" si="130"/>
        <v>0.9</v>
      </c>
      <c r="R338" s="179">
        <f t="shared" si="131"/>
        <v>0.79981699641561055</v>
      </c>
      <c r="S338" s="839">
        <f t="shared" si="132"/>
        <v>1</v>
      </c>
      <c r="T338" s="178">
        <f t="shared" si="133"/>
        <v>7</v>
      </c>
      <c r="U338" s="253">
        <f t="shared" si="134"/>
        <v>1.7998169964156105</v>
      </c>
      <c r="V338" s="385">
        <f t="shared" si="135"/>
        <v>16.786591114855884</v>
      </c>
      <c r="W338" s="404">
        <f t="shared" si="136"/>
        <v>12.175821322560507</v>
      </c>
      <c r="X338" s="157">
        <f t="shared" si="137"/>
        <v>45615</v>
      </c>
      <c r="Y338" s="387">
        <f t="shared" si="138"/>
        <v>11.22042279159354</v>
      </c>
      <c r="Z338" s="387">
        <f t="shared" si="139"/>
        <v>11.837910166826608</v>
      </c>
      <c r="AA338" s="388">
        <f t="shared" si="140"/>
        <v>13.700684991135322</v>
      </c>
      <c r="AB338" s="199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0.1359621672576207</v>
      </c>
      <c r="AD338" s="233">
        <f>(INDEX(Models!$BJ338:$BT338,,AH338)*(1-AF338)+INDEX(Models!$BJ338:$BT338,,AH338+1)*AF338-ERP_i)*AE338*Ramure*Pc/MaxiM</f>
        <v>0.1323430007349613</v>
      </c>
      <c r="AE338" s="307">
        <f t="shared" si="142"/>
        <v>0.9</v>
      </c>
      <c r="AF338" s="179">
        <f t="shared" si="143"/>
        <v>0.79981699641561055</v>
      </c>
      <c r="AG338" s="839">
        <f t="shared" si="149"/>
        <v>1</v>
      </c>
      <c r="AH338" s="178">
        <f t="shared" si="144"/>
        <v>7</v>
      </c>
      <c r="AI338" s="227">
        <f t="shared" si="145"/>
        <v>1.7998169964156105</v>
      </c>
      <c r="AJ338" s="267" t="b">
        <f t="shared" si="146"/>
        <v>0</v>
      </c>
      <c r="AK338" s="267" t="b">
        <f t="shared" si="147"/>
        <v>0</v>
      </c>
      <c r="AL338" s="267"/>
      <c r="AM338" s="267"/>
      <c r="AN338" s="75"/>
    </row>
    <row r="339" spans="1:40" s="6" customFormat="1" ht="11.25" x14ac:dyDescent="0.2">
      <c r="A339" s="56">
        <f t="shared" si="148"/>
        <v>45616</v>
      </c>
      <c r="B339" s="413">
        <f>'2023'!Wh/'2023'!Env_an*'2024'!Env_an</f>
        <v>2.900223775585085</v>
      </c>
      <c r="C339" s="868"/>
      <c r="D339" s="395">
        <f t="shared" si="127"/>
        <v>3.0599014087846146</v>
      </c>
      <c r="E339" s="387">
        <f t="shared" si="125"/>
        <v>3.2639643058354619</v>
      </c>
      <c r="F339" s="387">
        <f t="shared" si="128"/>
        <v>3.2639643058354619</v>
      </c>
      <c r="G339" s="110">
        <f t="shared" si="126"/>
        <v>0.15138172011849838</v>
      </c>
      <c r="H339" s="416" t="b">
        <f>Wh_hp&gt;='2023'!Maxi_hp</f>
        <v>0</v>
      </c>
      <c r="I339" s="392">
        <f>IF(H339,Wh_hp,'2023'!Maxi_hp)</f>
        <v>21.653761632843604</v>
      </c>
      <c r="J339" s="85">
        <f>IF(H339,An,'2023'!An_max)</f>
        <v>2019</v>
      </c>
      <c r="K339" s="199">
        <f t="shared" si="129"/>
        <v>45616</v>
      </c>
      <c r="L339" s="147">
        <f>IF(t&lt;Tvie,1-EXP((T0-t)*PertePVj)+'2023'!Pspv,1-EXP((T0-t)*PertePVj)+Pspv)</f>
        <v>5.2183914403619025E-2</v>
      </c>
      <c r="M339" s="872"/>
      <c r="N339" s="872"/>
      <c r="O339" s="48">
        <f>IF(t&lt;Tnet,'2023'!Resal+('2023'!Salim-'2023'!Resal)*(1-EXP(('2023'!Tnet-t)/('2023'!Tau_j))),Resal+(Salim-Resal)*(1-EXP((Tnet-t)/(Tau_j))))*Salcycl</f>
        <v>6.2519953630011976E-2</v>
      </c>
      <c r="P339" s="171">
        <f>(INDEX(Models!$BJ339:$BT339,,T339)*(1-R339)+INDEX(Models!$BJ339:$BT339,,T339+1)*R339-ERP_i)*Q339*Ramure*Pc/MaxiM</f>
        <v>0.13475359726994124</v>
      </c>
      <c r="Q339" s="307">
        <f t="shared" si="130"/>
        <v>0.9</v>
      </c>
      <c r="R339" s="179">
        <f t="shared" si="131"/>
        <v>0.79985171200166971</v>
      </c>
      <c r="S339" s="839">
        <f t="shared" si="132"/>
        <v>1</v>
      </c>
      <c r="T339" s="178">
        <f t="shared" si="133"/>
        <v>7</v>
      </c>
      <c r="U339" s="253">
        <f t="shared" si="134"/>
        <v>1.7998517120016697</v>
      </c>
      <c r="V339" s="385">
        <f t="shared" si="135"/>
        <v>16.576692264910672</v>
      </c>
      <c r="W339" s="404">
        <f t="shared" si="136"/>
        <v>2.900223775585085</v>
      </c>
      <c r="X339" s="157">
        <f t="shared" si="137"/>
        <v>45616</v>
      </c>
      <c r="Y339" s="387">
        <f t="shared" si="138"/>
        <v>2.6730414854146849</v>
      </c>
      <c r="Z339" s="387">
        <f t="shared" si="139"/>
        <v>2.8202111422626519</v>
      </c>
      <c r="AA339" s="388">
        <f t="shared" si="140"/>
        <v>3.2639643058354619</v>
      </c>
      <c r="AB339" s="199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0.13595527462706875</v>
      </c>
      <c r="AD339" s="233">
        <f>(INDEX(Models!$BJ339:$BT339,,AH339)*(1-AF339)+INDEX(Models!$BJ339:$BT339,,AH339+1)*AF339-ERP_i)*AE339*Ramure*Pc/MaxiM</f>
        <v>0.13475359726994124</v>
      </c>
      <c r="AE339" s="307">
        <f t="shared" si="142"/>
        <v>0.9</v>
      </c>
      <c r="AF339" s="179">
        <f t="shared" si="143"/>
        <v>0.79985171200166971</v>
      </c>
      <c r="AG339" s="839">
        <f t="shared" si="149"/>
        <v>1</v>
      </c>
      <c r="AH339" s="178">
        <f t="shared" si="144"/>
        <v>7</v>
      </c>
      <c r="AI339" s="227">
        <f t="shared" si="145"/>
        <v>1.7998517120016697</v>
      </c>
      <c r="AJ339" s="267" t="b">
        <f t="shared" si="146"/>
        <v>0</v>
      </c>
      <c r="AK339" s="267" t="b">
        <f t="shared" si="147"/>
        <v>0</v>
      </c>
      <c r="AL339" s="267"/>
      <c r="AM339" s="267"/>
      <c r="AN339" s="75"/>
    </row>
    <row r="340" spans="1:40" s="6" customFormat="1" ht="11.25" x14ac:dyDescent="0.2">
      <c r="A340" s="56">
        <f t="shared" si="148"/>
        <v>45617</v>
      </c>
      <c r="B340" s="413">
        <f>'2023'!Wh/'2023'!Env_an*'2024'!Env_an</f>
        <v>7.6665285631699644</v>
      </c>
      <c r="C340" s="868"/>
      <c r="D340" s="395">
        <f t="shared" si="127"/>
        <v>8.0888128985674275</v>
      </c>
      <c r="E340" s="387">
        <f t="shared" si="125"/>
        <v>8.6294476933687552</v>
      </c>
      <c r="F340" s="387">
        <f t="shared" si="128"/>
        <v>8.9238029341163401</v>
      </c>
      <c r="G340" s="110">
        <f t="shared" si="126"/>
        <v>0.41783742862818574</v>
      </c>
      <c r="H340" s="416" t="b">
        <f>Wh_hp&gt;='2023'!Maxi_hp</f>
        <v>0</v>
      </c>
      <c r="I340" s="392">
        <f>IF(H340,Wh_hp,'2023'!Maxi_hp)</f>
        <v>21.944926765970493</v>
      </c>
      <c r="J340" s="85">
        <f>IF(H340,An,'2023'!An_max)</f>
        <v>2020</v>
      </c>
      <c r="K340" s="199">
        <f t="shared" si="129"/>
        <v>45617</v>
      </c>
      <c r="L340" s="147">
        <f>IF(t&lt;Tvie,1-EXP((T0-t)*PertePVj)+'2023'!Pspv,1-EXP((T0-t)*PertePVj)+Pspv)</f>
        <v>5.2205971468600954E-2</v>
      </c>
      <c r="M340" s="872"/>
      <c r="N340" s="872"/>
      <c r="O340" s="48">
        <f>IF(t&lt;Tnet,'2023'!Resal+('2023'!Salim-'2023'!Resal)*(1-EXP(('2023'!Tnet-t)/('2023'!Tau_j))),Resal+(Salim-Resal)*(1-EXP((Tnet-t)/(Tau_j))))*Salcycl</f>
        <v>6.2649988042314017E-2</v>
      </c>
      <c r="P340" s="171">
        <f>(INDEX(Models!$BJ340:$BT340,,T340)*(1-R340)+INDEX(Models!$BJ340:$BT340,,T340+1)*R340-ERP_i)*Q340*Ramure*Pc/MaxiM</f>
        <v>0.13719227102039808</v>
      </c>
      <c r="Q340" s="307">
        <f t="shared" si="130"/>
        <v>0.9</v>
      </c>
      <c r="R340" s="179">
        <f t="shared" si="131"/>
        <v>0.79988503307416581</v>
      </c>
      <c r="S340" s="839">
        <f t="shared" si="132"/>
        <v>1</v>
      </c>
      <c r="T340" s="178">
        <f t="shared" si="133"/>
        <v>7</v>
      </c>
      <c r="U340" s="253">
        <f t="shared" si="134"/>
        <v>1.7998850330741658</v>
      </c>
      <c r="V340" s="385">
        <f t="shared" si="135"/>
        <v>16.370894704034882</v>
      </c>
      <c r="W340" s="404">
        <f t="shared" si="136"/>
        <v>7.6665285631699644</v>
      </c>
      <c r="X340" s="157">
        <f t="shared" si="137"/>
        <v>45617</v>
      </c>
      <c r="Y340" s="387">
        <f t="shared" si="138"/>
        <v>7.0670015756937028</v>
      </c>
      <c r="Z340" s="387">
        <f t="shared" si="139"/>
        <v>7.4562630307388389</v>
      </c>
      <c r="AA340" s="388">
        <f t="shared" si="140"/>
        <v>8.6294476933687552</v>
      </c>
      <c r="AB340" s="199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0.1359513035268112</v>
      </c>
      <c r="AD340" s="233">
        <f>(INDEX(Models!$BJ340:$BT340,,AH340)*(1-AF340)+INDEX(Models!$BJ340:$BT340,,AH340+1)*AF340-ERP_i)*AE340*Ramure*Pc/MaxiM</f>
        <v>0.13719227102039808</v>
      </c>
      <c r="AE340" s="307">
        <f t="shared" si="142"/>
        <v>0.9</v>
      </c>
      <c r="AF340" s="179">
        <f t="shared" si="143"/>
        <v>0.79988503307416581</v>
      </c>
      <c r="AG340" s="839">
        <f t="shared" si="149"/>
        <v>1</v>
      </c>
      <c r="AH340" s="178">
        <f t="shared" si="144"/>
        <v>7</v>
      </c>
      <c r="AI340" s="227">
        <f t="shared" si="145"/>
        <v>1.7998850330741658</v>
      </c>
      <c r="AJ340" s="267" t="b">
        <f t="shared" si="146"/>
        <v>0</v>
      </c>
      <c r="AK340" s="267" t="b">
        <f t="shared" si="147"/>
        <v>0</v>
      </c>
      <c r="AL340" s="267"/>
      <c r="AM340" s="267"/>
      <c r="AN340" s="75"/>
    </row>
    <row r="341" spans="1:40" s="6" customFormat="1" ht="11.25" x14ac:dyDescent="0.2">
      <c r="A341" s="56">
        <f t="shared" si="148"/>
        <v>45618</v>
      </c>
      <c r="B341" s="413">
        <f>'2023'!Wh/'2023'!Env_an*'2024'!Env_an</f>
        <v>11.37145394397653</v>
      </c>
      <c r="C341" s="868"/>
      <c r="D341" s="395">
        <f t="shared" si="127"/>
        <v>11.998090553599834</v>
      </c>
      <c r="E341" s="387">
        <f t="shared" si="125"/>
        <v>12.801801365508451</v>
      </c>
      <c r="F341" s="387">
        <f t="shared" si="128"/>
        <v>13.92199148463787</v>
      </c>
      <c r="G341" s="110">
        <f t="shared" si="126"/>
        <v>0.65801497215638505</v>
      </c>
      <c r="H341" s="416" t="b">
        <f>Wh_hp&gt;='2023'!Maxi_hp</f>
        <v>0</v>
      </c>
      <c r="I341" s="392">
        <f>IF(H341,Wh_hp,'2023'!Maxi_hp)</f>
        <v>21.331642050489656</v>
      </c>
      <c r="J341" s="85">
        <f>IF(H341,An,'2023'!An_max)</f>
        <v>2020</v>
      </c>
      <c r="K341" s="199">
        <f t="shared" si="129"/>
        <v>45618</v>
      </c>
      <c r="L341" s="147">
        <f>IF(t&lt;Tvie,1-EXP((T0-t)*PertePVj)+'2023'!Pspv,1-EXP((T0-t)*PertePVj)+Pspv)</f>
        <v>5.2228028020282924E-2</v>
      </c>
      <c r="M341" s="872"/>
      <c r="N341" s="872"/>
      <c r="O341" s="48">
        <f>IF(t&lt;Tnet,'2023'!Resal+('2023'!Salim-'2023'!Resal)*(1-EXP(('2023'!Tnet-t)/('2023'!Tau_j))),Resal+(Salim-Resal)*(1-EXP((Tnet-t)/(Tau_j))))*Salcycl</f>
        <v>6.2781071894618998E-2</v>
      </c>
      <c r="P341" s="171">
        <f>(INDEX(Models!$BJ341:$BT341,,T341)*(1-R341)+INDEX(Models!$BJ341:$BT341,,T341+1)*R341-ERP_i)*Q341*Ramure*Pc/MaxiM</f>
        <v>0.13965931977450208</v>
      </c>
      <c r="Q341" s="307">
        <f t="shared" si="130"/>
        <v>0.9</v>
      </c>
      <c r="R341" s="179">
        <f t="shared" si="131"/>
        <v>0.79991701552529548</v>
      </c>
      <c r="S341" s="839">
        <f t="shared" si="132"/>
        <v>1</v>
      </c>
      <c r="T341" s="178">
        <f t="shared" si="133"/>
        <v>7</v>
      </c>
      <c r="U341" s="253">
        <f t="shared" si="134"/>
        <v>1.7999170155252955</v>
      </c>
      <c r="V341" s="385">
        <f t="shared" si="135"/>
        <v>16.16891802631724</v>
      </c>
      <c r="W341" s="404">
        <f t="shared" si="136"/>
        <v>11.37145394397653</v>
      </c>
      <c r="X341" s="157">
        <f t="shared" si="137"/>
        <v>45618</v>
      </c>
      <c r="Y341" s="387">
        <f t="shared" si="138"/>
        <v>10.483677494704008</v>
      </c>
      <c r="Z341" s="387">
        <f t="shared" si="139"/>
        <v>11.061392196274364</v>
      </c>
      <c r="AA341" s="388">
        <f t="shared" si="140"/>
        <v>12.801801365508451</v>
      </c>
      <c r="AB341" s="199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0.13595033382748969</v>
      </c>
      <c r="AD341" s="233">
        <f>(INDEX(Models!$BJ341:$BT341,,AH341)*(1-AF341)+INDEX(Models!$BJ341:$BT341,,AH341+1)*AF341-ERP_i)*AE341*Ramure*Pc/MaxiM</f>
        <v>0.13965931977450208</v>
      </c>
      <c r="AE341" s="307">
        <f t="shared" si="142"/>
        <v>0.9</v>
      </c>
      <c r="AF341" s="179">
        <f t="shared" si="143"/>
        <v>0.79991701552529548</v>
      </c>
      <c r="AG341" s="839">
        <f t="shared" si="149"/>
        <v>1</v>
      </c>
      <c r="AH341" s="178">
        <f t="shared" si="144"/>
        <v>7</v>
      </c>
      <c r="AI341" s="227">
        <f t="shared" si="145"/>
        <v>1.7999170155252955</v>
      </c>
      <c r="AJ341" s="267" t="b">
        <f t="shared" si="146"/>
        <v>0</v>
      </c>
      <c r="AK341" s="267" t="b">
        <f t="shared" si="147"/>
        <v>0</v>
      </c>
      <c r="AL341" s="267"/>
      <c r="AM341" s="267"/>
      <c r="AN341" s="75"/>
    </row>
    <row r="342" spans="1:40" s="6" customFormat="1" ht="11.25" x14ac:dyDescent="0.2">
      <c r="A342" s="56">
        <f t="shared" si="148"/>
        <v>45619</v>
      </c>
      <c r="B342" s="413">
        <f>'2023'!Wh/'2023'!Env_an*'2024'!Env_an</f>
        <v>10.254827817861033</v>
      </c>
      <c r="C342" s="868"/>
      <c r="D342" s="395">
        <f t="shared" si="127"/>
        <v>10.820183305081848</v>
      </c>
      <c r="E342" s="387">
        <f t="shared" si="125"/>
        <v>11.546618565363909</v>
      </c>
      <c r="F342" s="387">
        <f t="shared" si="128"/>
        <v>12.408726295392984</v>
      </c>
      <c r="G342" s="110">
        <f t="shared" si="126"/>
        <v>0.59195878271539315</v>
      </c>
      <c r="H342" s="416" t="b">
        <f>Wh_hp&gt;='2023'!Maxi_hp</f>
        <v>0</v>
      </c>
      <c r="I342" s="392">
        <f>IF(H342,Wh_hp,'2023'!Maxi_hp)</f>
        <v>20.115501391985529</v>
      </c>
      <c r="J342" s="85">
        <f>IF(H342,An,'2023'!An_max)</f>
        <v>2020</v>
      </c>
      <c r="K342" s="199">
        <f t="shared" si="129"/>
        <v>45619</v>
      </c>
      <c r="L342" s="147">
        <f>IF(t&lt;Tvie,1-EXP((T0-t)*PertePVj)+'2023'!Pspv,1-EXP((T0-t)*PertePVj)+Pspv)</f>
        <v>5.2250084058676594E-2</v>
      </c>
      <c r="M342" s="872"/>
      <c r="N342" s="872"/>
      <c r="O342" s="48">
        <f>IF(t&lt;Tnet,'2023'!Resal+('2023'!Salim-'2023'!Resal)*(1-EXP(('2023'!Tnet-t)/('2023'!Tau_j))),Resal+(Salim-Resal)*(1-EXP((Tnet-t)/(Tau_j))))*Salcycl</f>
        <v>6.2913246520598695E-2</v>
      </c>
      <c r="P342" s="171">
        <f>(INDEX(Models!$BJ342:$BT342,,T342)*(1-R342)+INDEX(Models!$BJ342:$BT342,,T342+1)*R342-ERP_i)*Q342*Ramure*Pc/MaxiM</f>
        <v>0.14215572834653484</v>
      </c>
      <c r="Q342" s="307">
        <f t="shared" si="130"/>
        <v>0.9</v>
      </c>
      <c r="R342" s="179">
        <f t="shared" si="131"/>
        <v>0.79994771301694256</v>
      </c>
      <c r="S342" s="839">
        <f t="shared" si="132"/>
        <v>1</v>
      </c>
      <c r="T342" s="178">
        <f t="shared" si="133"/>
        <v>7</v>
      </c>
      <c r="U342" s="253">
        <f t="shared" si="134"/>
        <v>1.7999477130169426</v>
      </c>
      <c r="V342" s="385">
        <f t="shared" si="135"/>
        <v>15.970471781078281</v>
      </c>
      <c r="W342" s="404">
        <f t="shared" si="136"/>
        <v>10.254827817861033</v>
      </c>
      <c r="X342" s="157">
        <f t="shared" si="137"/>
        <v>45619</v>
      </c>
      <c r="Y342" s="387">
        <f t="shared" si="138"/>
        <v>9.4555375879162931</v>
      </c>
      <c r="Z342" s="387">
        <f t="shared" si="139"/>
        <v>9.9768276724402263</v>
      </c>
      <c r="AA342" s="388">
        <f t="shared" si="140"/>
        <v>11.546618565363909</v>
      </c>
      <c r="AB342" s="199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0.13595243352305264</v>
      </c>
      <c r="AD342" s="233">
        <f>(INDEX(Models!$BJ342:$BT342,,AH342)*(1-AF342)+INDEX(Models!$BJ342:$BT342,,AH342+1)*AF342-ERP_i)*AE342*Ramure*Pc/MaxiM</f>
        <v>0.14215572834653484</v>
      </c>
      <c r="AE342" s="307">
        <f t="shared" si="142"/>
        <v>0.9</v>
      </c>
      <c r="AF342" s="179">
        <f t="shared" si="143"/>
        <v>0.79994771301694256</v>
      </c>
      <c r="AG342" s="839">
        <f t="shared" si="149"/>
        <v>1</v>
      </c>
      <c r="AH342" s="178">
        <f t="shared" si="144"/>
        <v>7</v>
      </c>
      <c r="AI342" s="227">
        <f t="shared" si="145"/>
        <v>1.7999477130169426</v>
      </c>
      <c r="AJ342" s="267" t="b">
        <f t="shared" si="146"/>
        <v>0</v>
      </c>
      <c r="AK342" s="267" t="b">
        <f t="shared" si="147"/>
        <v>0</v>
      </c>
      <c r="AL342" s="267"/>
      <c r="AM342" s="267"/>
      <c r="AN342" s="75"/>
    </row>
    <row r="343" spans="1:40" s="6" customFormat="1" ht="11.25" x14ac:dyDescent="0.2">
      <c r="A343" s="56">
        <f t="shared" si="148"/>
        <v>45620</v>
      </c>
      <c r="B343" s="413">
        <f>'2023'!Wh/'2023'!Env_an*'2024'!Env_an</f>
        <v>4.1967861021101678</v>
      </c>
      <c r="C343" s="868"/>
      <c r="D343" s="395">
        <f t="shared" si="127"/>
        <v>4.4282607670382292</v>
      </c>
      <c r="E343" s="387">
        <f t="shared" si="125"/>
        <v>4.7262334719785297</v>
      </c>
      <c r="F343" s="387">
        <f t="shared" si="128"/>
        <v>4.7262334719785297</v>
      </c>
      <c r="G343" s="110">
        <f t="shared" si="126"/>
        <v>0.22754507181444972</v>
      </c>
      <c r="H343" s="416" t="b">
        <f>Wh_hp&gt;='2023'!Maxi_hp</f>
        <v>0</v>
      </c>
      <c r="I343" s="392">
        <f>IF(H343,Wh_hp,'2023'!Maxi_hp)</f>
        <v>18.431846699348394</v>
      </c>
      <c r="J343" s="85">
        <f>IF(H343,An,'2023'!An_max)</f>
        <v>2020</v>
      </c>
      <c r="K343" s="199">
        <f t="shared" si="129"/>
        <v>45620</v>
      </c>
      <c r="L343" s="147">
        <f>IF(t&lt;Tvie,1-EXP((T0-t)*PertePVj)+'2023'!Pspv,1-EXP((T0-t)*PertePVj)+Pspv)</f>
        <v>5.2272139583794064E-2</v>
      </c>
      <c r="M343" s="872"/>
      <c r="N343" s="872"/>
      <c r="O343" s="48">
        <f>IF(t&lt;Tnet,'2023'!Resal+('2023'!Salim-'2023'!Resal)*(1-EXP(('2023'!Tnet-t)/('2023'!Tau_j))),Resal+(Salim-Resal)*(1-EXP((Tnet-t)/(Tau_j))))*Salcycl</f>
        <v>6.3046547892091506E-2</v>
      </c>
      <c r="P343" s="171">
        <f>(INDEX(Models!$BJ343:$BT343,,T343)*(1-R343)+INDEX(Models!$BJ343:$BT343,,T343+1)*R343-ERP_i)*Q343*Ramure*Pc/MaxiM</f>
        <v>0.14468337016099672</v>
      </c>
      <c r="Q343" s="307">
        <f t="shared" si="130"/>
        <v>0.9</v>
      </c>
      <c r="R343" s="179">
        <f t="shared" si="131"/>
        <v>0.79997717706889881</v>
      </c>
      <c r="S343" s="839">
        <f t="shared" si="132"/>
        <v>1</v>
      </c>
      <c r="T343" s="178">
        <f t="shared" si="133"/>
        <v>7</v>
      </c>
      <c r="U343" s="253">
        <f t="shared" si="134"/>
        <v>1.7999771770688988</v>
      </c>
      <c r="V343" s="385">
        <f t="shared" si="135"/>
        <v>15.775252420931963</v>
      </c>
      <c r="W343" s="404">
        <f t="shared" si="136"/>
        <v>4.1967861021101678</v>
      </c>
      <c r="X343" s="157">
        <f t="shared" si="137"/>
        <v>45620</v>
      </c>
      <c r="Y343" s="387">
        <f t="shared" si="138"/>
        <v>3.8702038846496229</v>
      </c>
      <c r="Z343" s="387">
        <f t="shared" si="139"/>
        <v>4.0836658352008106</v>
      </c>
      <c r="AA343" s="388">
        <f t="shared" si="140"/>
        <v>4.7262334719785297</v>
      </c>
      <c r="AB343" s="199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0.13595765858530959</v>
      </c>
      <c r="AD343" s="233">
        <f>(INDEX(Models!$BJ343:$BT343,,AH343)*(1-AF343)+INDEX(Models!$BJ343:$BT343,,AH343+1)*AF343-ERP_i)*AE343*Ramure*Pc/MaxiM</f>
        <v>0.14468337016099672</v>
      </c>
      <c r="AE343" s="307">
        <f t="shared" si="142"/>
        <v>0.9</v>
      </c>
      <c r="AF343" s="179">
        <f t="shared" si="143"/>
        <v>0.79997717706889881</v>
      </c>
      <c r="AG343" s="839">
        <f t="shared" si="149"/>
        <v>1</v>
      </c>
      <c r="AH343" s="178">
        <f t="shared" si="144"/>
        <v>7</v>
      </c>
      <c r="AI343" s="227">
        <f t="shared" si="145"/>
        <v>1.7999771770688988</v>
      </c>
      <c r="AJ343" s="267" t="b">
        <f t="shared" si="146"/>
        <v>0</v>
      </c>
      <c r="AK343" s="267" t="b">
        <f t="shared" si="147"/>
        <v>0</v>
      </c>
      <c r="AL343" s="267"/>
      <c r="AM343" s="267"/>
      <c r="AN343" s="75"/>
    </row>
    <row r="344" spans="1:40" s="6" customFormat="1" ht="11.25" x14ac:dyDescent="0.2">
      <c r="A344" s="56">
        <f t="shared" si="148"/>
        <v>45621</v>
      </c>
      <c r="B344" s="413">
        <f>'2023'!Wh/'2023'!Env_an*'2024'!Env_an</f>
        <v>8.9851431813761682</v>
      </c>
      <c r="C344" s="868"/>
      <c r="D344" s="395">
        <f t="shared" si="127"/>
        <v>9.4809413745677364</v>
      </c>
      <c r="E344" s="387">
        <f t="shared" si="125"/>
        <v>10.120355629661621</v>
      </c>
      <c r="F344" s="387">
        <f t="shared" si="128"/>
        <v>10.745561232217307</v>
      </c>
      <c r="G344" s="110">
        <f t="shared" si="126"/>
        <v>0.52207523086610608</v>
      </c>
      <c r="H344" s="416" t="b">
        <f>Wh_hp&gt;='2023'!Maxi_hp</f>
        <v>0</v>
      </c>
      <c r="I344" s="392">
        <f>IF(H344,Wh_hp,'2023'!Maxi_hp)</f>
        <v>20.271977727485368</v>
      </c>
      <c r="J344" s="85">
        <f>IF(H344,An,'2023'!An_max)</f>
        <v>2020</v>
      </c>
      <c r="K344" s="199">
        <f t="shared" si="129"/>
        <v>45621</v>
      </c>
      <c r="L344" s="147">
        <f>IF(t&lt;Tvie,1-EXP((T0-t)*PertePVj)+'2023'!Pspv,1-EXP((T0-t)*PertePVj)+Pspv)</f>
        <v>5.2294194595647214E-2</v>
      </c>
      <c r="M344" s="872"/>
      <c r="N344" s="872"/>
      <c r="O344" s="48">
        <f>IF(t&lt;Tnet,'2023'!Resal+('2023'!Salim-'2023'!Resal)*(1-EXP(('2023'!Tnet-t)/('2023'!Tau_j))),Resal+(Salim-Resal)*(1-EXP((Tnet-t)/(Tau_j))))*Salcycl</f>
        <v>6.3181006527066333E-2</v>
      </c>
      <c r="P344" s="171">
        <f>(INDEX(Models!$BJ344:$BT344,,T344)*(1-R344)+INDEX(Models!$BJ344:$BT344,,T344+1)*R344-ERP_i)*Q344*Ramure*Pc/MaxiM</f>
        <v>0.14724432675783994</v>
      </c>
      <c r="Q344" s="307">
        <f t="shared" si="130"/>
        <v>0.9</v>
      </c>
      <c r="R344" s="179">
        <f t="shared" si="131"/>
        <v>0.80000545714365656</v>
      </c>
      <c r="S344" s="839">
        <f t="shared" si="132"/>
        <v>1</v>
      </c>
      <c r="T344" s="178">
        <f t="shared" si="133"/>
        <v>7</v>
      </c>
      <c r="U344" s="253">
        <f t="shared" si="134"/>
        <v>1.8000054571436566</v>
      </c>
      <c r="V344" s="385">
        <f t="shared" si="135"/>
        <v>15.582956548884702</v>
      </c>
      <c r="W344" s="404">
        <f t="shared" si="136"/>
        <v>8.9851431813761682</v>
      </c>
      <c r="X344" s="157">
        <f t="shared" si="137"/>
        <v>45621</v>
      </c>
      <c r="Y344" s="387">
        <f t="shared" si="138"/>
        <v>8.2870530832704041</v>
      </c>
      <c r="Z344" s="387">
        <f t="shared" si="139"/>
        <v>8.7443308208232509</v>
      </c>
      <c r="AA344" s="388">
        <f t="shared" si="140"/>
        <v>10.120355629661621</v>
      </c>
      <c r="AB344" s="199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0.13596605289298289</v>
      </c>
      <c r="AD344" s="233">
        <f>(INDEX(Models!$BJ344:$BT344,,AH344)*(1-AF344)+INDEX(Models!$BJ344:$BT344,,AH344+1)*AF344-ERP_i)*AE344*Ramure*Pc/MaxiM</f>
        <v>0.14724432675783994</v>
      </c>
      <c r="AE344" s="307">
        <f t="shared" si="142"/>
        <v>0.9</v>
      </c>
      <c r="AF344" s="179">
        <f t="shared" si="143"/>
        <v>0.80000545714365656</v>
      </c>
      <c r="AG344" s="839">
        <f t="shared" si="149"/>
        <v>1</v>
      </c>
      <c r="AH344" s="178">
        <f t="shared" si="144"/>
        <v>7</v>
      </c>
      <c r="AI344" s="227">
        <f t="shared" si="145"/>
        <v>1.8000054571436566</v>
      </c>
      <c r="AJ344" s="267" t="b">
        <f t="shared" si="146"/>
        <v>0</v>
      </c>
      <c r="AK344" s="267" t="b">
        <f t="shared" si="147"/>
        <v>0</v>
      </c>
      <c r="AL344" s="267"/>
      <c r="AM344" s="267"/>
      <c r="AN344" s="75"/>
    </row>
    <row r="345" spans="1:40" s="6" customFormat="1" ht="11.25" x14ac:dyDescent="0.2">
      <c r="A345" s="56">
        <f t="shared" si="148"/>
        <v>45622</v>
      </c>
      <c r="B345" s="413">
        <f>'2023'!Wh/'2023'!Env_an*'2024'!Env_an</f>
        <v>10.633055858840121</v>
      </c>
      <c r="C345" s="868"/>
      <c r="D345" s="395">
        <f t="shared" si="127"/>
        <v>11.220046612255979</v>
      </c>
      <c r="E345" s="387">
        <f t="shared" si="125"/>
        <v>11.978484064544391</v>
      </c>
      <c r="F345" s="387">
        <f t="shared" si="128"/>
        <v>13.072128995257742</v>
      </c>
      <c r="G345" s="110">
        <f t="shared" si="126"/>
        <v>0.64091462115829922</v>
      </c>
      <c r="H345" s="416" t="b">
        <f>Wh_hp&gt;='2023'!Maxi_hp</f>
        <v>0</v>
      </c>
      <c r="I345" s="392">
        <f>IF(H345,Wh_hp,'2023'!Maxi_hp)</f>
        <v>18.707105113619761</v>
      </c>
      <c r="J345" s="85">
        <f>IF(H345,An,'2023'!An_max)</f>
        <v>2018</v>
      </c>
      <c r="K345" s="199">
        <f t="shared" si="129"/>
        <v>45622</v>
      </c>
      <c r="L345" s="147">
        <f>IF(t&lt;Tvie,1-EXP((T0-t)*PertePVj)+'2023'!Pspv,1-EXP((T0-t)*PertePVj)+Pspv)</f>
        <v>5.2316249094248035E-2</v>
      </c>
      <c r="M345" s="872"/>
      <c r="N345" s="872"/>
      <c r="O345" s="48">
        <f>IF(t&lt;Tnet,'2023'!Resal+('2023'!Salim-'2023'!Resal)*(1-EXP(('2023'!Tnet-t)/('2023'!Tau_j))),Resal+(Salim-Resal)*(1-EXP((Tnet-t)/(Tau_j))))*Salcycl</f>
        <v>6.3316647432319198E-2</v>
      </c>
      <c r="P345" s="171">
        <f>(INDEX(Models!$BJ345:$BT345,,T345)*(1-R345)+INDEX(Models!$BJ345:$BT345,,T345+1)*R345-ERP_i)*Q345*Ramure*Pc/MaxiM</f>
        <v>0.14985076919503651</v>
      </c>
      <c r="Q345" s="307">
        <f t="shared" si="130"/>
        <v>0.9</v>
      </c>
      <c r="R345" s="179">
        <f t="shared" si="131"/>
        <v>0.8000326007279015</v>
      </c>
      <c r="S345" s="839">
        <f t="shared" si="132"/>
        <v>1</v>
      </c>
      <c r="T345" s="178">
        <f t="shared" si="133"/>
        <v>7</v>
      </c>
      <c r="U345" s="253">
        <f t="shared" si="134"/>
        <v>1.8000326007279015</v>
      </c>
      <c r="V345" s="385">
        <f t="shared" si="135"/>
        <v>15.392088356142114</v>
      </c>
      <c r="W345" s="404">
        <f t="shared" si="136"/>
        <v>10.633055858840121</v>
      </c>
      <c r="X345" s="157">
        <f t="shared" si="137"/>
        <v>45622</v>
      </c>
      <c r="Y345" s="387">
        <f t="shared" si="138"/>
        <v>9.8082216411941783</v>
      </c>
      <c r="Z345" s="387">
        <f t="shared" si="139"/>
        <v>10.349677972023828</v>
      </c>
      <c r="AA345" s="388">
        <f t="shared" si="140"/>
        <v>11.978484064544391</v>
      </c>
      <c r="AB345" s="199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0.13597764823528319</v>
      </c>
      <c r="AD345" s="233">
        <f>(INDEX(Models!$BJ345:$BT345,,AH345)*(1-AF345)+INDEX(Models!$BJ345:$BT345,,AH345+1)*AF345-ERP_i)*AE345*Ramure*Pc/MaxiM</f>
        <v>0.14985076919503651</v>
      </c>
      <c r="AE345" s="307">
        <f t="shared" si="142"/>
        <v>0.9</v>
      </c>
      <c r="AF345" s="179">
        <f t="shared" si="143"/>
        <v>0.8000326007279015</v>
      </c>
      <c r="AG345" s="839">
        <f t="shared" si="149"/>
        <v>1</v>
      </c>
      <c r="AH345" s="178">
        <f t="shared" si="144"/>
        <v>7</v>
      </c>
      <c r="AI345" s="227">
        <f t="shared" si="145"/>
        <v>1.8000326007279015</v>
      </c>
      <c r="AJ345" s="267" t="b">
        <f t="shared" si="146"/>
        <v>0</v>
      </c>
      <c r="AK345" s="267" t="b">
        <f t="shared" si="147"/>
        <v>0</v>
      </c>
      <c r="AL345" s="267"/>
      <c r="AM345" s="267"/>
      <c r="AN345" s="75"/>
    </row>
    <row r="346" spans="1:40" s="6" customFormat="1" ht="11.25" x14ac:dyDescent="0.2">
      <c r="A346" s="56">
        <f t="shared" si="148"/>
        <v>45623</v>
      </c>
      <c r="B346" s="413">
        <f>'2023'!Wh/'2023'!Env_an*'2024'!Env_an</f>
        <v>8.3596185410705761</v>
      </c>
      <c r="C346" s="868"/>
      <c r="D346" s="395">
        <f t="shared" si="127"/>
        <v>8.8213109891818569</v>
      </c>
      <c r="E346" s="387">
        <f t="shared" si="125"/>
        <v>9.4189780173822832</v>
      </c>
      <c r="F346" s="387">
        <f t="shared" si="128"/>
        <v>9.961171807959925</v>
      </c>
      <c r="G346" s="110">
        <f t="shared" si="126"/>
        <v>0.4928658819215922</v>
      </c>
      <c r="H346" s="416" t="b">
        <f>Wh_hp&gt;='2023'!Maxi_hp</f>
        <v>0</v>
      </c>
      <c r="I346" s="392">
        <f>IF(H346,Wh_hp,'2023'!Maxi_hp)</f>
        <v>15.033904025861062</v>
      </c>
      <c r="J346" s="85">
        <f>IF(H346,An,'2023'!An_max)</f>
        <v>2018</v>
      </c>
      <c r="K346" s="199">
        <f t="shared" si="129"/>
        <v>45623</v>
      </c>
      <c r="L346" s="147">
        <f>IF(t&lt;Tvie,1-EXP((T0-t)*PertePVj)+'2023'!Pspv,1-EXP((T0-t)*PertePVj)+Pspv)</f>
        <v>5.2338303079608517E-2</v>
      </c>
      <c r="M346" s="872"/>
      <c r="N346" s="872"/>
      <c r="O346" s="48">
        <f>IF(t&lt;Tnet,'2023'!Resal+('2023'!Salim-'2023'!Resal)*(1-EXP(('2023'!Tnet-t)/('2023'!Tau_j))),Resal+(Salim-Resal)*(1-EXP((Tnet-t)/(Tau_j))))*Salcycl</f>
        <v>6.3453490081138361E-2</v>
      </c>
      <c r="P346" s="171">
        <f>(INDEX(Models!$BJ346:$BT346,,T346)*(1-R346)+INDEX(Models!$BJ346:$BT346,,T346+1)*R346-ERP_i)*Q346*Ramure*Pc/MaxiM</f>
        <v>0.15247709821573344</v>
      </c>
      <c r="Q346" s="307">
        <f t="shared" si="130"/>
        <v>0.9</v>
      </c>
      <c r="R346" s="179">
        <f t="shared" si="131"/>
        <v>0.80005865341082982</v>
      </c>
      <c r="S346" s="839">
        <f t="shared" si="132"/>
        <v>1</v>
      </c>
      <c r="T346" s="178">
        <f t="shared" si="133"/>
        <v>7</v>
      </c>
      <c r="U346" s="253">
        <f t="shared" si="134"/>
        <v>1.8000586534108298</v>
      </c>
      <c r="V346" s="385">
        <f t="shared" si="135"/>
        <v>15.202527402218278</v>
      </c>
      <c r="W346" s="404">
        <f t="shared" si="136"/>
        <v>8.3596185410705761</v>
      </c>
      <c r="X346" s="157">
        <f t="shared" si="137"/>
        <v>45623</v>
      </c>
      <c r="Y346" s="387">
        <f t="shared" si="138"/>
        <v>7.7121353160991983</v>
      </c>
      <c r="Z346" s="387">
        <f t="shared" si="139"/>
        <v>8.1380679847684689</v>
      </c>
      <c r="AA346" s="388">
        <f t="shared" si="140"/>
        <v>9.4189780173822832</v>
      </c>
      <c r="AB346" s="199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0.13599246438944385</v>
      </c>
      <c r="AD346" s="233">
        <f>(INDEX(Models!$BJ346:$BT346,,AH346)*(1-AF346)+INDEX(Models!$BJ346:$BT346,,AH346+1)*AF346-ERP_i)*AE346*Ramure*Pc/MaxiM</f>
        <v>0.15247709821573344</v>
      </c>
      <c r="AE346" s="307">
        <f t="shared" si="142"/>
        <v>0.9</v>
      </c>
      <c r="AF346" s="179">
        <f t="shared" si="143"/>
        <v>0.80005865341082982</v>
      </c>
      <c r="AG346" s="839">
        <f t="shared" si="149"/>
        <v>1</v>
      </c>
      <c r="AH346" s="178">
        <f t="shared" si="144"/>
        <v>7</v>
      </c>
      <c r="AI346" s="227">
        <f t="shared" si="145"/>
        <v>1.8000586534108298</v>
      </c>
      <c r="AJ346" s="267" t="b">
        <f t="shared" si="146"/>
        <v>0</v>
      </c>
      <c r="AK346" s="267" t="b">
        <f t="shared" si="147"/>
        <v>0</v>
      </c>
      <c r="AL346" s="267"/>
      <c r="AM346" s="267"/>
      <c r="AN346" s="75"/>
    </row>
    <row r="347" spans="1:40" s="6" customFormat="1" ht="11.25" x14ac:dyDescent="0.2">
      <c r="A347" s="56">
        <f t="shared" si="148"/>
        <v>45624</v>
      </c>
      <c r="B347" s="413">
        <f>'2023'!Wh/'2023'!Env_an*'2024'!Env_an</f>
        <v>9.4351581280423353</v>
      </c>
      <c r="C347" s="868"/>
      <c r="D347" s="395">
        <f t="shared" si="127"/>
        <v>9.9564831349919025</v>
      </c>
      <c r="E347" s="387">
        <f t="shared" si="125"/>
        <v>10.6326284414189</v>
      </c>
      <c r="F347" s="387">
        <f t="shared" si="128"/>
        <v>11.467050132101949</v>
      </c>
      <c r="G347" s="110">
        <f t="shared" si="126"/>
        <v>0.57256833835510146</v>
      </c>
      <c r="H347" s="416" t="b">
        <f>Wh_hp&gt;='2023'!Maxi_hp</f>
        <v>0</v>
      </c>
      <c r="I347" s="392">
        <f>IF(H347,Wh_hp,'2023'!Maxi_hp)</f>
        <v>19.928845702990856</v>
      </c>
      <c r="J347" s="85">
        <f>IF(H347,An,'2023'!An_max)</f>
        <v>2018</v>
      </c>
      <c r="K347" s="199">
        <f t="shared" si="129"/>
        <v>45624</v>
      </c>
      <c r="L347" s="147">
        <f>IF(t&lt;Tvie,1-EXP((T0-t)*PertePVj)+'2023'!Pspv,1-EXP((T0-t)*PertePVj)+Pspv)</f>
        <v>5.2360356551740539E-2</v>
      </c>
      <c r="M347" s="872"/>
      <c r="N347" s="872"/>
      <c r="O347" s="48">
        <f>IF(t&lt;Tnet,'2023'!Resal+('2023'!Salim-'2023'!Resal)*(1-EXP(('2023'!Tnet-t)/('2023'!Tau_j))),Resal+(Salim-Resal)*(1-EXP((Tnet-t)/(Tau_j))))*Salcycl</f>
        <v>6.3591548425891181E-2</v>
      </c>
      <c r="P347" s="171">
        <f>(INDEX(Models!$BJ347:$BT347,,T347)*(1-R347)+INDEX(Models!$BJ347:$BT347,,T347+1)*R347-ERP_i)*Q347*Ramure*Pc/MaxiM</f>
        <v>0.15511724533162907</v>
      </c>
      <c r="Q347" s="307">
        <f t="shared" si="130"/>
        <v>0.9</v>
      </c>
      <c r="R347" s="179">
        <f t="shared" si="131"/>
        <v>0.80008365895941091</v>
      </c>
      <c r="S347" s="839">
        <f t="shared" si="132"/>
        <v>1</v>
      </c>
      <c r="T347" s="178">
        <f t="shared" si="133"/>
        <v>7</v>
      </c>
      <c r="U347" s="253">
        <f t="shared" si="134"/>
        <v>1.8000836589594109</v>
      </c>
      <c r="V347" s="385">
        <f t="shared" si="135"/>
        <v>15.015139564731546</v>
      </c>
      <c r="W347" s="404">
        <f t="shared" si="136"/>
        <v>9.4351581280423353</v>
      </c>
      <c r="X347" s="157">
        <f t="shared" si="137"/>
        <v>45624</v>
      </c>
      <c r="Y347" s="387">
        <f t="shared" si="138"/>
        <v>8.705471904157708</v>
      </c>
      <c r="Z347" s="387">
        <f t="shared" si="139"/>
        <v>9.1864792322114592</v>
      </c>
      <c r="AA347" s="388">
        <f t="shared" si="140"/>
        <v>10.6326284414189</v>
      </c>
      <c r="AB347" s="199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0.13601050927106925</v>
      </c>
      <c r="AD347" s="233">
        <f>(INDEX(Models!$BJ347:$BT347,,AH347)*(1-AF347)+INDEX(Models!$BJ347:$BT347,,AH347+1)*AF347-ERP_i)*AE347*Ramure*Pc/MaxiM</f>
        <v>0.15511724533162907</v>
      </c>
      <c r="AE347" s="307">
        <f t="shared" si="142"/>
        <v>0.9</v>
      </c>
      <c r="AF347" s="179">
        <f t="shared" si="143"/>
        <v>0.80008365895941091</v>
      </c>
      <c r="AG347" s="839">
        <f t="shared" si="149"/>
        <v>1</v>
      </c>
      <c r="AH347" s="178">
        <f t="shared" si="144"/>
        <v>7</v>
      </c>
      <c r="AI347" s="227">
        <f t="shared" si="145"/>
        <v>1.8000836589594109</v>
      </c>
      <c r="AJ347" s="267" t="b">
        <f t="shared" si="146"/>
        <v>0</v>
      </c>
      <c r="AK347" s="267" t="b">
        <f t="shared" si="147"/>
        <v>0</v>
      </c>
      <c r="AL347" s="267"/>
      <c r="AM347" s="267"/>
      <c r="AN347" s="75"/>
    </row>
    <row r="348" spans="1:40" s="6" customFormat="1" ht="11.25" x14ac:dyDescent="0.2">
      <c r="A348" s="56">
        <f t="shared" si="148"/>
        <v>45625</v>
      </c>
      <c r="B348" s="413">
        <f>'2023'!Wh/'2023'!Env_an*'2024'!Env_an</f>
        <v>3.8210057011749439</v>
      </c>
      <c r="C348" s="868"/>
      <c r="D348" s="395">
        <f t="shared" si="127"/>
        <v>4.0322232718388014</v>
      </c>
      <c r="E348" s="387">
        <f t="shared" si="125"/>
        <v>4.3066923541971516</v>
      </c>
      <c r="F348" s="387">
        <f t="shared" si="128"/>
        <v>4.3066923541971516</v>
      </c>
      <c r="G348" s="110">
        <f t="shared" si="126"/>
        <v>0.21699363844159764</v>
      </c>
      <c r="H348" s="416" t="b">
        <f>Wh_hp&gt;='2023'!Maxi_hp</f>
        <v>0</v>
      </c>
      <c r="I348" s="392">
        <f>IF(H348,Wh_hp,'2023'!Maxi_hp)</f>
        <v>19.468754862857971</v>
      </c>
      <c r="J348" s="85">
        <f>IF(H348,An,'2023'!An_max)</f>
        <v>2021</v>
      </c>
      <c r="K348" s="199">
        <f t="shared" si="129"/>
        <v>45625</v>
      </c>
      <c r="L348" s="147">
        <f>IF(t&lt;Tvie,1-EXP((T0-t)*PertePVj)+'2023'!Pspv,1-EXP((T0-t)*PertePVj)+Pspv)</f>
        <v>5.2382409510655981E-2</v>
      </c>
      <c r="M348" s="872"/>
      <c r="N348" s="872"/>
      <c r="O348" s="48">
        <f>IF(t&lt;Tnet,'2023'!Resal+('2023'!Salim-'2023'!Resal)*(1-EXP(('2023'!Tnet-t)/('2023'!Tau_j))),Resal+(Salim-Resal)*(1-EXP((Tnet-t)/(Tau_j))))*Salcycl</f>
        <v>6.3730830945205985E-2</v>
      </c>
      <c r="P348" s="171">
        <f>(INDEX(Models!$BJ348:$BT348,,T348)*(1-R348)+INDEX(Models!$BJ348:$BT348,,T348+1)*R348-ERP_i)*Q348*Ramure*Pc/MaxiM</f>
        <v>0.15776303090732582</v>
      </c>
      <c r="Q348" s="307">
        <f t="shared" si="130"/>
        <v>0.9</v>
      </c>
      <c r="R348" s="179">
        <f t="shared" si="131"/>
        <v>0.8001076593907035</v>
      </c>
      <c r="S348" s="839">
        <f t="shared" si="132"/>
        <v>1</v>
      </c>
      <c r="T348" s="178">
        <f t="shared" si="133"/>
        <v>7</v>
      </c>
      <c r="U348" s="253">
        <f t="shared" si="134"/>
        <v>1.8001076593907035</v>
      </c>
      <c r="V348" s="385">
        <f t="shared" si="135"/>
        <v>14.83081386051586</v>
      </c>
      <c r="W348" s="404">
        <f t="shared" si="136"/>
        <v>3.8210057011749439</v>
      </c>
      <c r="X348" s="157">
        <f t="shared" si="137"/>
        <v>45625</v>
      </c>
      <c r="Y348" s="387">
        <f t="shared" si="138"/>
        <v>3.5259384871267798</v>
      </c>
      <c r="Z348" s="387">
        <f t="shared" si="139"/>
        <v>3.7208453309799858</v>
      </c>
      <c r="AA348" s="388">
        <f t="shared" si="140"/>
        <v>4.3066923541971516</v>
      </c>
      <c r="AB348" s="199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0.1360317791555786</v>
      </c>
      <c r="AD348" s="233">
        <f>(INDEX(Models!$BJ348:$BT348,,AH348)*(1-AF348)+INDEX(Models!$BJ348:$BT348,,AH348+1)*AF348-ERP_i)*AE348*Ramure*Pc/MaxiM</f>
        <v>0.15776303090732582</v>
      </c>
      <c r="AE348" s="307">
        <f t="shared" si="142"/>
        <v>0.9</v>
      </c>
      <c r="AF348" s="179">
        <f t="shared" si="143"/>
        <v>0.8001076593907035</v>
      </c>
      <c r="AG348" s="839">
        <f t="shared" si="149"/>
        <v>1</v>
      </c>
      <c r="AH348" s="178">
        <f t="shared" si="144"/>
        <v>7</v>
      </c>
      <c r="AI348" s="227">
        <f t="shared" si="145"/>
        <v>1.8001076593907035</v>
      </c>
      <c r="AJ348" s="267" t="b">
        <f t="shared" si="146"/>
        <v>0</v>
      </c>
      <c r="AK348" s="267" t="b">
        <f t="shared" si="147"/>
        <v>0</v>
      </c>
      <c r="AL348" s="267"/>
      <c r="AM348" s="267"/>
      <c r="AN348" s="75"/>
    </row>
    <row r="349" spans="1:40" s="6" customFormat="1" ht="11.25" x14ac:dyDescent="0.2">
      <c r="A349" s="56">
        <f t="shared" si="148"/>
        <v>45626</v>
      </c>
      <c r="B349" s="413">
        <f>'2023'!Wh/'2023'!Env_an*'2024'!Env_an</f>
        <v>3.2977624066831441</v>
      </c>
      <c r="C349" s="868"/>
      <c r="D349" s="395">
        <f t="shared" si="127"/>
        <v>3.4801371199906335</v>
      </c>
      <c r="E349" s="387">
        <f t="shared" si="125"/>
        <v>3.7175842075878904</v>
      </c>
      <c r="F349" s="387">
        <f t="shared" si="128"/>
        <v>3.7175842075878904</v>
      </c>
      <c r="G349" s="110">
        <f t="shared" si="126"/>
        <v>0.18898979506614658</v>
      </c>
      <c r="H349" s="416" t="b">
        <f>Wh_hp&gt;='2023'!Maxi_hp</f>
        <v>0</v>
      </c>
      <c r="I349" s="392">
        <f>IF(H349,Wh_hp,'2023'!Maxi_hp)</f>
        <v>18.687325201357915</v>
      </c>
      <c r="J349" s="85">
        <f>IF(H349,An,'2023'!An_max)</f>
        <v>2020</v>
      </c>
      <c r="K349" s="199">
        <f t="shared" si="129"/>
        <v>45626</v>
      </c>
      <c r="L349" s="147">
        <f>IF(t&lt;Tvie,1-EXP((T0-t)*PertePVj)+'2023'!Pspv,1-EXP((T0-t)*PertePVj)+Pspv)</f>
        <v>5.2404461956366832E-2</v>
      </c>
      <c r="M349" s="872"/>
      <c r="N349" s="872"/>
      <c r="O349" s="48">
        <f>IF(t&lt;Tnet,'2023'!Resal+('2023'!Salim-'2023'!Resal)*(1-EXP(('2023'!Tnet-t)/('2023'!Tau_j))),Resal+(Salim-Resal)*(1-EXP((Tnet-t)/(Tau_j))))*Salcycl</f>
        <v>6.3871340725143E-2</v>
      </c>
      <c r="P349" s="171">
        <f>(INDEX(Models!$BJ349:$BT349,,T349)*(1-R349)+INDEX(Models!$BJ349:$BT349,,T349+1)*R349-ERP_i)*Q349*Ramure*Pc/MaxiM</f>
        <v>0.16040543932259016</v>
      </c>
      <c r="Q349" s="307">
        <f t="shared" si="130"/>
        <v>0.9</v>
      </c>
      <c r="R349" s="179">
        <f t="shared" si="131"/>
        <v>0.80013069504134915</v>
      </c>
      <c r="S349" s="839">
        <f t="shared" si="132"/>
        <v>1</v>
      </c>
      <c r="T349" s="178">
        <f t="shared" si="133"/>
        <v>7</v>
      </c>
      <c r="U349" s="253">
        <f t="shared" si="134"/>
        <v>1.8001306950413491</v>
      </c>
      <c r="V349" s="385">
        <f t="shared" si="135"/>
        <v>14.650438549280057</v>
      </c>
      <c r="W349" s="404">
        <f t="shared" si="136"/>
        <v>3.2977624066831441</v>
      </c>
      <c r="X349" s="157">
        <f t="shared" si="137"/>
        <v>45626</v>
      </c>
      <c r="Y349" s="387">
        <f t="shared" si="138"/>
        <v>3.0434718160107566</v>
      </c>
      <c r="Z349" s="387">
        <f t="shared" si="139"/>
        <v>3.2117836079032025</v>
      </c>
      <c r="AA349" s="388">
        <f t="shared" si="140"/>
        <v>3.7175842075878904</v>
      </c>
      <c r="AB349" s="199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0.13605625896847418</v>
      </c>
      <c r="AD349" s="233">
        <f>(INDEX(Models!$BJ349:$BT349,,AH349)*(1-AF349)+INDEX(Models!$BJ349:$BT349,,AH349+1)*AF349-ERP_i)*AE349*Ramure*Pc/MaxiM</f>
        <v>0.16040543932259016</v>
      </c>
      <c r="AE349" s="307">
        <f t="shared" si="142"/>
        <v>0.9</v>
      </c>
      <c r="AF349" s="179">
        <f t="shared" si="143"/>
        <v>0.80013069504134915</v>
      </c>
      <c r="AG349" s="839">
        <f t="shared" si="149"/>
        <v>1</v>
      </c>
      <c r="AH349" s="178">
        <f t="shared" si="144"/>
        <v>7</v>
      </c>
      <c r="AI349" s="227">
        <f t="shared" si="145"/>
        <v>1.8001306950413491</v>
      </c>
      <c r="AJ349" s="267" t="b">
        <f t="shared" si="146"/>
        <v>0</v>
      </c>
      <c r="AK349" s="267" t="b">
        <f t="shared" si="147"/>
        <v>0</v>
      </c>
      <c r="AL349" s="267"/>
      <c r="AM349" s="267"/>
      <c r="AN349" s="75"/>
    </row>
    <row r="350" spans="1:40" s="6" customFormat="1" ht="11.25" x14ac:dyDescent="0.2">
      <c r="A350" s="56">
        <f t="shared" si="148"/>
        <v>45627</v>
      </c>
      <c r="B350" s="413">
        <f>'2023'!Wh/'2023'!Env_an*'2024'!Env_an</f>
        <v>4.5396266801535914</v>
      </c>
      <c r="C350" s="868"/>
      <c r="D350" s="395">
        <f t="shared" si="127"/>
        <v>4.7907911594112109</v>
      </c>
      <c r="E350" s="387">
        <f t="shared" si="125"/>
        <v>5.1184381259882628</v>
      </c>
      <c r="F350" s="387">
        <f t="shared" si="128"/>
        <v>5.134727119307601</v>
      </c>
      <c r="G350" s="110">
        <f t="shared" si="126"/>
        <v>0.26332491420913734</v>
      </c>
      <c r="H350" s="416" t="b">
        <f>Wh_hp&gt;='2023'!Maxi_hp</f>
        <v>0</v>
      </c>
      <c r="I350" s="392">
        <f>IF(H350,Wh_hp,'2023'!Maxi_hp)</f>
        <v>8.2113391342416708</v>
      </c>
      <c r="J350" s="85">
        <f>IF(H350,An,'2023'!An_max)</f>
        <v>2021</v>
      </c>
      <c r="K350" s="199">
        <f t="shared" si="129"/>
        <v>45627</v>
      </c>
      <c r="L350" s="147">
        <f>IF(t&lt;Tvie,1-EXP((T0-t)*PertePVj)+'2023'!Pspv,1-EXP((T0-t)*PertePVj)+Pspv)</f>
        <v>5.2426513888885085E-2</v>
      </c>
      <c r="M350" s="872"/>
      <c r="N350" s="872"/>
      <c r="O350" s="48">
        <f>IF(t&lt;Tnet,'2023'!Resal+('2023'!Salim-'2023'!Resal)*(1-EXP(('2023'!Tnet-t)/('2023'!Tau_j))),Resal+(Salim-Resal)*(1-EXP((Tnet-t)/(Tau_j))))*Salcycl</f>
        <v>6.4013075573476935E-2</v>
      </c>
      <c r="P350" s="171">
        <f>(INDEX(Models!$BJ350:$BT350,,T350)*(1-R350)+INDEX(Models!$BJ350:$BT350,,T350+1)*R350-ERP_i)*Q350*Ramure*Pc/MaxiM</f>
        <v>0.16303459583215002</v>
      </c>
      <c r="Q350" s="307">
        <f t="shared" si="130"/>
        <v>0.9</v>
      </c>
      <c r="R350" s="179">
        <f t="shared" si="131"/>
        <v>0.8001528046343398</v>
      </c>
      <c r="S350" s="839">
        <f t="shared" si="132"/>
        <v>1</v>
      </c>
      <c r="T350" s="178">
        <f t="shared" si="133"/>
        <v>7</v>
      </c>
      <c r="U350" s="253">
        <f t="shared" si="134"/>
        <v>1.8001528046343398</v>
      </c>
      <c r="V350" s="385">
        <f t="shared" si="135"/>
        <v>14.474901127416105</v>
      </c>
      <c r="W350" s="404">
        <f t="shared" si="136"/>
        <v>4.5396266801535914</v>
      </c>
      <c r="X350" s="157">
        <f t="shared" si="137"/>
        <v>45627</v>
      </c>
      <c r="Y350" s="387">
        <f t="shared" si="138"/>
        <v>4.1900761344423767</v>
      </c>
      <c r="Z350" s="387">
        <f t="shared" si="139"/>
        <v>4.4219009880053122</v>
      </c>
      <c r="AA350" s="388">
        <f t="shared" si="140"/>
        <v>5.1184381259882628</v>
      </c>
      <c r="AB350" s="199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0.13608392264162877</v>
      </c>
      <c r="AD350" s="233">
        <f>(INDEX(Models!$BJ350:$BT350,,AH350)*(1-AF350)+INDEX(Models!$BJ350:$BT350,,AH350+1)*AF350-ERP_i)*AE350*Ramure*Pc/MaxiM</f>
        <v>0.16303459583215002</v>
      </c>
      <c r="AE350" s="307">
        <f t="shared" si="142"/>
        <v>0.9</v>
      </c>
      <c r="AF350" s="179">
        <f t="shared" si="143"/>
        <v>0.8001528046343398</v>
      </c>
      <c r="AG350" s="839">
        <f t="shared" si="149"/>
        <v>1</v>
      </c>
      <c r="AH350" s="178">
        <f t="shared" si="144"/>
        <v>7</v>
      </c>
      <c r="AI350" s="227">
        <f t="shared" si="145"/>
        <v>1.8001528046343398</v>
      </c>
      <c r="AJ350" s="267" t="b">
        <f t="shared" si="146"/>
        <v>0</v>
      </c>
      <c r="AK350" s="267" t="b">
        <f t="shared" si="147"/>
        <v>0</v>
      </c>
      <c r="AL350" s="267"/>
      <c r="AM350" s="267"/>
      <c r="AN350" s="75"/>
    </row>
    <row r="351" spans="1:40" s="6" customFormat="1" ht="11.25" x14ac:dyDescent="0.2">
      <c r="A351" s="56">
        <f t="shared" si="148"/>
        <v>45628</v>
      </c>
      <c r="B351" s="413">
        <f>'2023'!Wh/'2023'!Env_an*'2024'!Env_an</f>
        <v>7.1108481599631173</v>
      </c>
      <c r="C351" s="868"/>
      <c r="D351" s="395">
        <f t="shared" si="127"/>
        <v>7.5044455631858726</v>
      </c>
      <c r="E351" s="387">
        <f t="shared" si="125"/>
        <v>8.0189067719042786</v>
      </c>
      <c r="F351" s="387">
        <f t="shared" si="128"/>
        <v>8.4111694675235658</v>
      </c>
      <c r="G351" s="110">
        <f t="shared" si="126"/>
        <v>0.43503648770200537</v>
      </c>
      <c r="H351" s="416" t="b">
        <f>Wh_hp&gt;='2023'!Maxi_hp</f>
        <v>0</v>
      </c>
      <c r="I351" s="392">
        <f>IF(H351,Wh_hp,'2023'!Maxi_hp)</f>
        <v>13.277660836257485</v>
      </c>
      <c r="J351" s="85">
        <f>IF(H351,An,'2023'!An_max)</f>
        <v>2021</v>
      </c>
      <c r="K351" s="199">
        <f t="shared" si="129"/>
        <v>45628</v>
      </c>
      <c r="L351" s="147">
        <f>IF(t&lt;Tvie,1-EXP((T0-t)*PertePVj)+'2023'!Pspv,1-EXP((T0-t)*PertePVj)+Pspv)</f>
        <v>5.2448565308222617E-2</v>
      </c>
      <c r="M351" s="872"/>
      <c r="N351" s="872"/>
      <c r="O351" s="48">
        <f>IF(t&lt;Tnet,'2023'!Resal+('2023'!Salim-'2023'!Resal)*(1-EXP(('2023'!Tnet-t)/('2023'!Tau_j))),Resal+(Salim-Resal)*(1-EXP((Tnet-t)/(Tau_j))))*Salcycl</f>
        <v>6.4156028165948606E-2</v>
      </c>
      <c r="P351" s="171">
        <f>(INDEX(Models!$BJ351:$BT351,,T351)*(1-R351)+INDEX(Models!$BJ351:$BT351,,T351+1)*R351-ERP_i)*Q351*Ramure*Pc/MaxiM</f>
        <v>0.16563975484839602</v>
      </c>
      <c r="Q351" s="307">
        <f t="shared" si="130"/>
        <v>0.9</v>
      </c>
      <c r="R351" s="179">
        <f t="shared" si="131"/>
        <v>0.80017402534316751</v>
      </c>
      <c r="S351" s="839">
        <f t="shared" si="132"/>
        <v>1</v>
      </c>
      <c r="T351" s="178">
        <f t="shared" si="133"/>
        <v>7</v>
      </c>
      <c r="U351" s="253">
        <f t="shared" si="134"/>
        <v>1.8001740253431675</v>
      </c>
      <c r="V351" s="385">
        <f t="shared" si="135"/>
        <v>14.305088304273376</v>
      </c>
      <c r="W351" s="404">
        <f t="shared" si="136"/>
        <v>7.1108481599631173</v>
      </c>
      <c r="X351" s="157">
        <f t="shared" si="137"/>
        <v>45628</v>
      </c>
      <c r="Y351" s="387">
        <f t="shared" si="138"/>
        <v>6.5640824136980447</v>
      </c>
      <c r="Z351" s="387">
        <f t="shared" si="139"/>
        <v>6.9274154134263233</v>
      </c>
      <c r="AA351" s="388">
        <f t="shared" si="140"/>
        <v>8.0189067719042786</v>
      </c>
      <c r="AB351" s="199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0.1361147335322811</v>
      </c>
      <c r="AD351" s="233">
        <f>(INDEX(Models!$BJ351:$BT351,,AH351)*(1-AF351)+INDEX(Models!$BJ351:$BT351,,AH351+1)*AF351-ERP_i)*AE351*Ramure*Pc/MaxiM</f>
        <v>0.16563975484839602</v>
      </c>
      <c r="AE351" s="307">
        <f t="shared" si="142"/>
        <v>0.9</v>
      </c>
      <c r="AF351" s="179">
        <f t="shared" si="143"/>
        <v>0.80017402534316751</v>
      </c>
      <c r="AG351" s="839">
        <f t="shared" si="149"/>
        <v>1</v>
      </c>
      <c r="AH351" s="178">
        <f t="shared" si="144"/>
        <v>7</v>
      </c>
      <c r="AI351" s="227">
        <f t="shared" si="145"/>
        <v>1.8001740253431675</v>
      </c>
      <c r="AJ351" s="267" t="b">
        <f t="shared" si="146"/>
        <v>0</v>
      </c>
      <c r="AK351" s="267" t="b">
        <f t="shared" si="147"/>
        <v>0</v>
      </c>
      <c r="AL351" s="267"/>
      <c r="AM351" s="267"/>
      <c r="AN351" s="75"/>
    </row>
    <row r="352" spans="1:40" s="6" customFormat="1" ht="11.25" x14ac:dyDescent="0.2">
      <c r="A352" s="56">
        <f t="shared" si="148"/>
        <v>45629</v>
      </c>
      <c r="B352" s="413">
        <f>'2023'!Wh/'2023'!Env_an*'2024'!Env_an</f>
        <v>12.041556769353823</v>
      </c>
      <c r="C352" s="868"/>
      <c r="D352" s="395">
        <f t="shared" si="127"/>
        <v>12.708372927966517</v>
      </c>
      <c r="E352" s="387">
        <f t="shared" si="125"/>
        <v>13.581677308099218</v>
      </c>
      <c r="F352" s="387">
        <f t="shared" si="128"/>
        <v>15.655487514147213</v>
      </c>
      <c r="G352" s="110">
        <f t="shared" si="126"/>
        <v>0.81639916776844146</v>
      </c>
      <c r="H352" s="416" t="b">
        <f>Wh_hp&gt;='2023'!Maxi_hp</f>
        <v>0</v>
      </c>
      <c r="I352" s="392">
        <f>IF(H352,Wh_hp,'2023'!Maxi_hp)</f>
        <v>15.957241279151608</v>
      </c>
      <c r="J352" s="85">
        <f>IF(H352,An,'2023'!An_max)</f>
        <v>2022</v>
      </c>
      <c r="K352" s="199">
        <f t="shared" si="129"/>
        <v>45629</v>
      </c>
      <c r="L352" s="147">
        <f>IF(t&lt;Tvie,1-EXP((T0-t)*PertePVj)+'2023'!Pspv,1-EXP((T0-t)*PertePVj)+Pspv)</f>
        <v>5.247061621439153E-2</v>
      </c>
      <c r="M352" s="872"/>
      <c r="N352" s="872"/>
      <c r="O352" s="48">
        <f>IF(t&lt;Tnet,'2023'!Resal+('2023'!Salim-'2023'!Resal)*(1-EXP(('2023'!Tnet-t)/('2023'!Tau_j))),Resal+(Salim-Resal)*(1-EXP((Tnet-t)/(Tau_j))))*Salcycl</f>
        <v>6.4300186223090416E-2</v>
      </c>
      <c r="P352" s="171">
        <f>(INDEX(Models!$BJ352:$BT352,,T352)*(1-R352)+INDEX(Models!$BJ352:$BT352,,T352+1)*R352-ERP_i)*Q352*Ramure*Pc/MaxiM</f>
        <v>0.1681559900594814</v>
      </c>
      <c r="Q352" s="307">
        <f t="shared" si="130"/>
        <v>0.9</v>
      </c>
      <c r="R352" s="179">
        <f t="shared" si="131"/>
        <v>0.8001943928534565</v>
      </c>
      <c r="S352" s="839">
        <f t="shared" si="132"/>
        <v>1</v>
      </c>
      <c r="T352" s="178">
        <f t="shared" si="133"/>
        <v>7</v>
      </c>
      <c r="U352" s="253">
        <f t="shared" si="134"/>
        <v>1.8001943928534565</v>
      </c>
      <c r="V352" s="385">
        <f t="shared" si="135"/>
        <v>14.142792392203232</v>
      </c>
      <c r="W352" s="404">
        <f t="shared" si="136"/>
        <v>12.041556769353823</v>
      </c>
      <c r="X352" s="157">
        <f t="shared" si="137"/>
        <v>45629</v>
      </c>
      <c r="Y352" s="387">
        <f t="shared" si="138"/>
        <v>11.116936200639765</v>
      </c>
      <c r="Z352" s="387">
        <f t="shared" si="139"/>
        <v>11.732550347119499</v>
      </c>
      <c r="AA352" s="388">
        <f t="shared" si="140"/>
        <v>13.581677308099218</v>
      </c>
      <c r="AB352" s="199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0.13614864490095205</v>
      </c>
      <c r="AD352" s="233">
        <f>(INDEX(Models!$BJ352:$BT352,,AH352)*(1-AF352)+INDEX(Models!$BJ352:$BT352,,AH352+1)*AF352-ERP_i)*AE352*Ramure*Pc/MaxiM</f>
        <v>0.1681559900594814</v>
      </c>
      <c r="AE352" s="307">
        <f t="shared" si="142"/>
        <v>0.9</v>
      </c>
      <c r="AF352" s="179">
        <f t="shared" si="143"/>
        <v>0.8001943928534565</v>
      </c>
      <c r="AG352" s="839">
        <f t="shared" si="149"/>
        <v>1</v>
      </c>
      <c r="AH352" s="178">
        <f t="shared" si="144"/>
        <v>7</v>
      </c>
      <c r="AI352" s="227">
        <f t="shared" si="145"/>
        <v>1.8001943928534565</v>
      </c>
      <c r="AJ352" s="267" t="b">
        <f t="shared" si="146"/>
        <v>0</v>
      </c>
      <c r="AK352" s="267" t="b">
        <f t="shared" si="147"/>
        <v>0</v>
      </c>
      <c r="AL352" s="267"/>
      <c r="AM352" s="267"/>
      <c r="AN352" s="75"/>
    </row>
    <row r="353" spans="1:40" s="6" customFormat="1" ht="11.25" x14ac:dyDescent="0.2">
      <c r="A353" s="56">
        <f t="shared" si="148"/>
        <v>45630</v>
      </c>
      <c r="B353" s="413">
        <f>'2023'!Wh/'2023'!Env_an*'2024'!Env_an</f>
        <v>14.090434495916091</v>
      </c>
      <c r="C353" s="868"/>
      <c r="D353" s="395">
        <f t="shared" si="127"/>
        <v>14.871055874010597</v>
      </c>
      <c r="E353" s="387">
        <f t="shared" si="125"/>
        <v>15.895446383984931</v>
      </c>
      <c r="F353" s="387">
        <f t="shared" si="128"/>
        <v>19.163900067358469</v>
      </c>
      <c r="G353" s="110">
        <f t="shared" si="126"/>
        <v>1.0072377932128669</v>
      </c>
      <c r="H353" s="416" t="b">
        <f>Wh_hp&gt;='2023'!Maxi_hp</f>
        <v>1</v>
      </c>
      <c r="I353" s="392">
        <f>IF(H353,Wh_hp,'2023'!Maxi_hp)</f>
        <v>19.163900067358469</v>
      </c>
      <c r="J353" s="85">
        <f>IF(H353,An,'2023'!An_max)</f>
        <v>2024</v>
      </c>
      <c r="K353" s="199">
        <f t="shared" si="129"/>
        <v>45630</v>
      </c>
      <c r="L353" s="147">
        <f>IF(t&lt;Tvie,1-EXP((T0-t)*PertePVj)+'2023'!Pspv,1-EXP((T0-t)*PertePVj)+Pspv)</f>
        <v>5.2492666607403482E-2</v>
      </c>
      <c r="M353" s="872"/>
      <c r="N353" s="872"/>
      <c r="O353" s="48">
        <f>IF(t&lt;Tnet,'2023'!Resal+('2023'!Salim-'2023'!Resal)*(1-EXP(('2023'!Tnet-t)/('2023'!Tau_j))),Resal+(Salim-Resal)*(1-EXP((Tnet-t)/(Tau_j))))*Salcycl</f>
        <v>6.4445532715987922E-2</v>
      </c>
      <c r="P353" s="171">
        <f>(INDEX(Models!$BJ353:$BT353,,T353)*(1-R353)+INDEX(Models!$BJ353:$BT353,,T353+1)*R353-ERP_i)*Q353*Ramure*Pc/MaxiM</f>
        <v>0.17055263656590647</v>
      </c>
      <c r="Q353" s="307">
        <f t="shared" si="130"/>
        <v>0.9</v>
      </c>
      <c r="R353" s="179">
        <f t="shared" si="131"/>
        <v>0.80021394142217295</v>
      </c>
      <c r="S353" s="839">
        <f t="shared" si="132"/>
        <v>1</v>
      </c>
      <c r="T353" s="178">
        <f t="shared" si="133"/>
        <v>7</v>
      </c>
      <c r="U353" s="253">
        <f t="shared" si="134"/>
        <v>1.8002139414221729</v>
      </c>
      <c r="V353" s="385">
        <f t="shared" si="135"/>
        <v>13.989183677243387</v>
      </c>
      <c r="W353" s="404">
        <f t="shared" si="136"/>
        <v>14.090434495916091</v>
      </c>
      <c r="X353" s="157">
        <f t="shared" si="137"/>
        <v>45630</v>
      </c>
      <c r="Y353" s="387">
        <f t="shared" si="138"/>
        <v>13.009953604205442</v>
      </c>
      <c r="Z353" s="387">
        <f t="shared" si="139"/>
        <v>13.730715473855664</v>
      </c>
      <c r="AA353" s="388">
        <f t="shared" si="140"/>
        <v>15.895446383984929</v>
      </c>
      <c r="AB353" s="199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0.13618560044405476</v>
      </c>
      <c r="AD353" s="233">
        <f>(INDEX(Models!$BJ353:$BT353,,AH353)*(1-AF353)+INDEX(Models!$BJ353:$BT353,,AH353+1)*AF353-ERP_i)*AE353*Ramure*Pc/MaxiM</f>
        <v>0.17055263656590647</v>
      </c>
      <c r="AE353" s="307">
        <f t="shared" si="142"/>
        <v>0.9</v>
      </c>
      <c r="AF353" s="179">
        <f t="shared" si="143"/>
        <v>0.80021394142217295</v>
      </c>
      <c r="AG353" s="839">
        <f t="shared" si="149"/>
        <v>1</v>
      </c>
      <c r="AH353" s="178">
        <f t="shared" si="144"/>
        <v>7</v>
      </c>
      <c r="AI353" s="227">
        <f t="shared" si="145"/>
        <v>1.8002139414221729</v>
      </c>
      <c r="AJ353" s="267" t="b">
        <f t="shared" si="146"/>
        <v>0</v>
      </c>
      <c r="AK353" s="267" t="b">
        <f t="shared" si="147"/>
        <v>0</v>
      </c>
      <c r="AL353" s="267"/>
      <c r="AM353" s="267"/>
      <c r="AN353" s="75"/>
    </row>
    <row r="354" spans="1:40" s="6" customFormat="1" ht="11.25" x14ac:dyDescent="0.2">
      <c r="A354" s="56">
        <f t="shared" si="148"/>
        <v>45631</v>
      </c>
      <c r="B354" s="413">
        <f>'2023'!Wh/'2023'!Env_an*'2024'!Env_an</f>
        <v>10.088631826513476</v>
      </c>
      <c r="C354" s="868"/>
      <c r="D354" s="395">
        <f t="shared" si="127"/>
        <v>10.647797915246391</v>
      </c>
      <c r="E354" s="387">
        <f t="shared" si="125"/>
        <v>11.383052571706731</v>
      </c>
      <c r="F354" s="387">
        <f t="shared" si="128"/>
        <v>12.730313957868155</v>
      </c>
      <c r="G354" s="110">
        <f t="shared" si="126"/>
        <v>0.67408990134730662</v>
      </c>
      <c r="H354" s="416" t="b">
        <f>Wh_hp&gt;='2023'!Maxi_hp</f>
        <v>0</v>
      </c>
      <c r="I354" s="392">
        <f>IF(H354,Wh_hp,'2023'!Maxi_hp)</f>
        <v>16.199835950430391</v>
      </c>
      <c r="J354" s="85">
        <f>IF(H354,An,'2023'!An_max)</f>
        <v>2020</v>
      </c>
      <c r="K354" s="199">
        <f t="shared" si="129"/>
        <v>45631</v>
      </c>
      <c r="L354" s="147">
        <f>IF(t&lt;Tvie,1-EXP((T0-t)*PertePVj)+'2023'!Pspv,1-EXP((T0-t)*PertePVj)+Pspv)</f>
        <v>5.2514716487270685E-2</v>
      </c>
      <c r="M354" s="872"/>
      <c r="N354" s="872"/>
      <c r="O354" s="48">
        <f>IF(t&lt;Tnet,'2023'!Resal+('2023'!Salim-'2023'!Resal)*(1-EXP(('2023'!Tnet-t)/('2023'!Tau_j))),Resal+(Salim-Resal)*(1-EXP((Tnet-t)/(Tau_j))))*Salcycl</f>
        <v>6.4592046099115744E-2</v>
      </c>
      <c r="P354" s="171">
        <f>(INDEX(Models!$BJ354:$BT354,,T354)*(1-R354)+INDEX(Models!$BJ354:$BT354,,T354+1)*R354-ERP_i)*Q354*Ramure*Pc/MaxiM</f>
        <v>0.17281488796936306</v>
      </c>
      <c r="Q354" s="307">
        <f t="shared" si="130"/>
        <v>0.9</v>
      </c>
      <c r="R354" s="179">
        <f t="shared" si="131"/>
        <v>0.80023270393450519</v>
      </c>
      <c r="S354" s="839">
        <f t="shared" si="132"/>
        <v>1</v>
      </c>
      <c r="T354" s="178">
        <f t="shared" si="133"/>
        <v>7</v>
      </c>
      <c r="U354" s="253">
        <f t="shared" si="134"/>
        <v>1.8002327039345052</v>
      </c>
      <c r="V354" s="385">
        <f t="shared" si="135"/>
        <v>13.845145825392834</v>
      </c>
      <c r="W354" s="404">
        <f t="shared" si="136"/>
        <v>10.088631826513476</v>
      </c>
      <c r="X354" s="157">
        <f t="shared" si="137"/>
        <v>45631</v>
      </c>
      <c r="Y354" s="387">
        <f t="shared" si="138"/>
        <v>9.3160449656570741</v>
      </c>
      <c r="Z354" s="387">
        <f t="shared" si="139"/>
        <v>9.8323901465978967</v>
      </c>
      <c r="AA354" s="388">
        <f t="shared" si="140"/>
        <v>11.383052571706731</v>
      </c>
      <c r="AB354" s="199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0.1362255348765673</v>
      </c>
      <c r="AD354" s="233">
        <f>(INDEX(Models!$BJ354:$BT354,,AH354)*(1-AF354)+INDEX(Models!$BJ354:$BT354,,AH354+1)*AF354-ERP_i)*AE354*Ramure*Pc/MaxiM</f>
        <v>0.17281488796936306</v>
      </c>
      <c r="AE354" s="307">
        <f t="shared" si="142"/>
        <v>0.9</v>
      </c>
      <c r="AF354" s="179">
        <f t="shared" si="143"/>
        <v>0.80023270393450519</v>
      </c>
      <c r="AG354" s="839">
        <f t="shared" si="149"/>
        <v>1</v>
      </c>
      <c r="AH354" s="178">
        <f t="shared" si="144"/>
        <v>7</v>
      </c>
      <c r="AI354" s="227">
        <f t="shared" si="145"/>
        <v>1.8002327039345052</v>
      </c>
      <c r="AJ354" s="267" t="b">
        <f t="shared" si="146"/>
        <v>0</v>
      </c>
      <c r="AK354" s="267" t="b">
        <f t="shared" si="147"/>
        <v>0</v>
      </c>
      <c r="AL354" s="267"/>
      <c r="AM354" s="267"/>
      <c r="AN354" s="75"/>
    </row>
    <row r="355" spans="1:40" s="6" customFormat="1" ht="11.25" x14ac:dyDescent="0.2">
      <c r="A355" s="56">
        <f t="shared" si="148"/>
        <v>45632</v>
      </c>
      <c r="B355" s="413">
        <f>'2023'!Wh/'2023'!Env_an*'2024'!Env_an</f>
        <v>12.386957925454025</v>
      </c>
      <c r="C355" s="868"/>
      <c r="D355" s="395">
        <f t="shared" si="127"/>
        <v>13.073813820986022</v>
      </c>
      <c r="E355" s="387">
        <f t="shared" si="125"/>
        <v>13.978796949820746</v>
      </c>
      <c r="F355" s="387">
        <f t="shared" si="128"/>
        <v>16.460868466203895</v>
      </c>
      <c r="G355" s="110">
        <f t="shared" si="126"/>
        <v>0.87771367476497897</v>
      </c>
      <c r="H355" s="416" t="b">
        <f>Wh_hp&gt;='2023'!Maxi_hp</f>
        <v>0</v>
      </c>
      <c r="I355" s="392">
        <f>IF(H355,Wh_hp,'2023'!Maxi_hp)</f>
        <v>16.678463487438538</v>
      </c>
      <c r="J355" s="85">
        <f>IF(H355,An,'2023'!An_max)</f>
        <v>2022</v>
      </c>
      <c r="K355" s="199">
        <f t="shared" si="129"/>
        <v>45632</v>
      </c>
      <c r="L355" s="147">
        <f>IF(t&lt;Tvie,1-EXP((T0-t)*PertePVj)+'2023'!Pspv,1-EXP((T0-t)*PertePVj)+Pspv)</f>
        <v>5.2536765854004908E-2</v>
      </c>
      <c r="M355" s="872"/>
      <c r="N355" s="872"/>
      <c r="O355" s="48">
        <f>IF(t&lt;Tnet,'2023'!Resal+('2023'!Salim-'2023'!Resal)*(1-EXP(('2023'!Tnet-t)/('2023'!Tau_j))),Resal+(Salim-Resal)*(1-EXP((Tnet-t)/(Tau_j))))*Salcycl</f>
        <v>6.4739700568175823E-2</v>
      </c>
      <c r="P355" s="171">
        <f>(INDEX(Models!$BJ355:$BT355,,T355)*(1-R355)+INDEX(Models!$BJ355:$BT355,,T355+1)*R355-ERP_i)*Q355*Ramure*Pc/MaxiM</f>
        <v>0.17492737986608348</v>
      </c>
      <c r="Q355" s="307">
        <f t="shared" si="130"/>
        <v>0.9</v>
      </c>
      <c r="R355" s="179">
        <f t="shared" si="131"/>
        <v>0.80025071195850428</v>
      </c>
      <c r="S355" s="839">
        <f t="shared" si="132"/>
        <v>1</v>
      </c>
      <c r="T355" s="178">
        <f t="shared" si="133"/>
        <v>7</v>
      </c>
      <c r="U355" s="253">
        <f t="shared" si="134"/>
        <v>1.8002507119585043</v>
      </c>
      <c r="V355" s="385">
        <f t="shared" si="135"/>
        <v>13.711561665534376</v>
      </c>
      <c r="W355" s="404">
        <f t="shared" si="136"/>
        <v>12.386957925454025</v>
      </c>
      <c r="X355" s="157">
        <f t="shared" si="137"/>
        <v>45632</v>
      </c>
      <c r="Y355" s="387">
        <f t="shared" si="138"/>
        <v>11.439603829769879</v>
      </c>
      <c r="Z355" s="387">
        <f t="shared" si="139"/>
        <v>12.073929011167461</v>
      </c>
      <c r="AA355" s="388">
        <f t="shared" si="140"/>
        <v>13.978796949820747</v>
      </c>
      <c r="AB355" s="199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0.13626837455978014</v>
      </c>
      <c r="AD355" s="233">
        <f>(INDEX(Models!$BJ355:$BT355,,AH355)*(1-AF355)+INDEX(Models!$BJ355:$BT355,,AH355+1)*AF355-ERP_i)*AE355*Ramure*Pc/MaxiM</f>
        <v>0.17492737986608348</v>
      </c>
      <c r="AE355" s="307">
        <f t="shared" si="142"/>
        <v>0.9</v>
      </c>
      <c r="AF355" s="179">
        <f t="shared" si="143"/>
        <v>0.80025071195850428</v>
      </c>
      <c r="AG355" s="839">
        <f t="shared" si="149"/>
        <v>1</v>
      </c>
      <c r="AH355" s="178">
        <f t="shared" si="144"/>
        <v>7</v>
      </c>
      <c r="AI355" s="227">
        <f t="shared" si="145"/>
        <v>1.8002507119585043</v>
      </c>
      <c r="AJ355" s="267" t="b">
        <f t="shared" si="146"/>
        <v>0</v>
      </c>
      <c r="AK355" s="267" t="b">
        <f t="shared" si="147"/>
        <v>0</v>
      </c>
      <c r="AL355" s="267"/>
      <c r="AM355" s="267"/>
      <c r="AN355" s="75"/>
    </row>
    <row r="356" spans="1:40" s="6" customFormat="1" ht="11.25" x14ac:dyDescent="0.2">
      <c r="A356" s="56">
        <f t="shared" si="148"/>
        <v>45633</v>
      </c>
      <c r="B356" s="413">
        <f>'2023'!Wh/'2023'!Env_an*'2024'!Env_an</f>
        <v>3.6908335613142769</v>
      </c>
      <c r="C356" s="868"/>
      <c r="D356" s="395">
        <f t="shared" si="127"/>
        <v>3.8955806635905113</v>
      </c>
      <c r="E356" s="387">
        <f t="shared" si="125"/>
        <v>4.1658994925943649</v>
      </c>
      <c r="F356" s="387">
        <f t="shared" si="128"/>
        <v>4.1658994925943649</v>
      </c>
      <c r="G356" s="110">
        <f t="shared" si="126"/>
        <v>0.22355948598132086</v>
      </c>
      <c r="H356" s="416" t="b">
        <f>Wh_hp&gt;='2023'!Maxi_hp</f>
        <v>0</v>
      </c>
      <c r="I356" s="392">
        <f>IF(H356,Wh_hp,'2023'!Maxi_hp)</f>
        <v>15.165312115790208</v>
      </c>
      <c r="J356" s="85">
        <f>IF(H356,An,'2023'!An_max)</f>
        <v>2019</v>
      </c>
      <c r="K356" s="199">
        <f t="shared" si="129"/>
        <v>45633</v>
      </c>
      <c r="L356" s="147">
        <f>IF(t&lt;Tvie,1-EXP((T0-t)*PertePVj)+'2023'!Pspv,1-EXP((T0-t)*PertePVj)+Pspv)</f>
        <v>5.2558814707618251E-2</v>
      </c>
      <c r="M356" s="872"/>
      <c r="N356" s="872"/>
      <c r="O356" s="48">
        <f>IF(t&lt;Tnet,'2023'!Resal+('2023'!Salim-'2023'!Resal)*(1-EXP(('2023'!Tnet-t)/('2023'!Tau_j))),Resal+(Salim-Resal)*(1-EXP((Tnet-t)/(Tau_j))))*Salcycl</f>
        <v>6.4888466340677145E-2</v>
      </c>
      <c r="P356" s="171">
        <f>(INDEX(Models!$BJ356:$BT356,,T356)*(1-R356)+INDEX(Models!$BJ356:$BT356,,T356+1)*R356-ERP_i)*Q356*Ramure*Pc/MaxiM</f>
        <v>0.17687432278274065</v>
      </c>
      <c r="Q356" s="307">
        <f t="shared" si="130"/>
        <v>0.9</v>
      </c>
      <c r="R356" s="179">
        <f t="shared" si="131"/>
        <v>0.8002679957975718</v>
      </c>
      <c r="S356" s="839">
        <f t="shared" si="132"/>
        <v>1</v>
      </c>
      <c r="T356" s="178">
        <f t="shared" si="133"/>
        <v>7</v>
      </c>
      <c r="U356" s="253">
        <f t="shared" si="134"/>
        <v>1.8002679957975718</v>
      </c>
      <c r="V356" s="385">
        <f t="shared" si="135"/>
        <v>13.589313203676092</v>
      </c>
      <c r="W356" s="404">
        <f t="shared" si="136"/>
        <v>3.6908335613142769</v>
      </c>
      <c r="X356" s="157">
        <f t="shared" si="137"/>
        <v>45633</v>
      </c>
      <c r="Y356" s="387">
        <f t="shared" si="138"/>
        <v>3.4089207753520054</v>
      </c>
      <c r="Z356" s="387">
        <f t="shared" si="139"/>
        <v>3.5980289101534124</v>
      </c>
      <c r="AA356" s="388">
        <f t="shared" si="140"/>
        <v>4.1658994925943649</v>
      </c>
      <c r="AB356" s="199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0.13631403816881427</v>
      </c>
      <c r="AD356" s="233">
        <f>(INDEX(Models!$BJ356:$BT356,,AH356)*(1-AF356)+INDEX(Models!$BJ356:$BT356,,AH356+1)*AF356-ERP_i)*AE356*Ramure*Pc/MaxiM</f>
        <v>0.17687432278274065</v>
      </c>
      <c r="AE356" s="307">
        <f t="shared" si="142"/>
        <v>0.9</v>
      </c>
      <c r="AF356" s="179">
        <f t="shared" si="143"/>
        <v>0.8002679957975718</v>
      </c>
      <c r="AG356" s="839">
        <f t="shared" si="149"/>
        <v>1</v>
      </c>
      <c r="AH356" s="178">
        <f t="shared" si="144"/>
        <v>7</v>
      </c>
      <c r="AI356" s="227">
        <f t="shared" si="145"/>
        <v>1.8002679957975718</v>
      </c>
      <c r="AJ356" s="267" t="b">
        <f t="shared" si="146"/>
        <v>0</v>
      </c>
      <c r="AK356" s="267" t="b">
        <f t="shared" si="147"/>
        <v>0</v>
      </c>
      <c r="AL356" s="267"/>
      <c r="AM356" s="267"/>
      <c r="AN356" s="75"/>
    </row>
    <row r="357" spans="1:40" s="6" customFormat="1" ht="11.25" x14ac:dyDescent="0.2">
      <c r="A357" s="56">
        <f t="shared" si="148"/>
        <v>45634</v>
      </c>
      <c r="B357" s="413">
        <f>'2023'!Wh/'2023'!Env_an*'2024'!Env_an</f>
        <v>7.0234415636589596</v>
      </c>
      <c r="C357" s="868"/>
      <c r="D357" s="395">
        <f t="shared" si="127"/>
        <v>7.4132359055522254</v>
      </c>
      <c r="E357" s="387">
        <f t="shared" si="125"/>
        <v>7.9289194247198589</v>
      </c>
      <c r="F357" s="387">
        <f t="shared" si="128"/>
        <v>8.4029555606124848</v>
      </c>
      <c r="G357" s="110">
        <f t="shared" si="126"/>
        <v>0.45356028126577547</v>
      </c>
      <c r="H357" s="416" t="b">
        <f>Wh_hp&gt;='2023'!Maxi_hp</f>
        <v>0</v>
      </c>
      <c r="I357" s="392">
        <f>IF(H357,Wh_hp,'2023'!Maxi_hp)</f>
        <v>9.1704580125425537</v>
      </c>
      <c r="J357" s="85">
        <f>IF(H357,An,'2023'!An_max)</f>
        <v>2020</v>
      </c>
      <c r="K357" s="199">
        <f t="shared" si="129"/>
        <v>45634</v>
      </c>
      <c r="L357" s="147">
        <f>IF(t&lt;Tvie,1-EXP((T0-t)*PertePVj)+'2023'!Pspv,1-EXP((T0-t)*PertePVj)+Pspv)</f>
        <v>5.2580863048122484E-2</v>
      </c>
      <c r="M357" s="872"/>
      <c r="N357" s="872"/>
      <c r="O357" s="48">
        <f>IF(t&lt;Tnet,'2023'!Resal+('2023'!Salim-'2023'!Resal)*(1-EXP(('2023'!Tnet-t)/('2023'!Tau_j))),Resal+(Salim-Resal)*(1-EXP((Tnet-t)/(Tau_j))))*Salcycl</f>
        <v>6.5038309956826607E-2</v>
      </c>
      <c r="P357" s="171">
        <f>(INDEX(Models!$BJ357:$BT357,,T357)*(1-R357)+INDEX(Models!$BJ357:$BT357,,T357+1)*R357-ERP_i)*Q357*Ramure*Pc/MaxiM</f>
        <v>0.17863966125216754</v>
      </c>
      <c r="Q357" s="307">
        <f t="shared" si="130"/>
        <v>0.9</v>
      </c>
      <c r="R357" s="179">
        <f t="shared" si="131"/>
        <v>0.80028458454087614</v>
      </c>
      <c r="S357" s="839">
        <f t="shared" si="132"/>
        <v>1</v>
      </c>
      <c r="T357" s="178">
        <f t="shared" si="133"/>
        <v>7</v>
      </c>
      <c r="U357" s="253">
        <f t="shared" si="134"/>
        <v>1.8002845845408761</v>
      </c>
      <c r="V357" s="385">
        <f t="shared" si="135"/>
        <v>13.479281644489475</v>
      </c>
      <c r="W357" s="404">
        <f t="shared" si="136"/>
        <v>7.0234415636589596</v>
      </c>
      <c r="X357" s="157">
        <f t="shared" si="137"/>
        <v>45634</v>
      </c>
      <c r="Y357" s="387">
        <f t="shared" si="138"/>
        <v>6.4876540052262612</v>
      </c>
      <c r="Z357" s="387">
        <f t="shared" si="139"/>
        <v>6.8477126460617299</v>
      </c>
      <c r="AA357" s="388">
        <f t="shared" si="140"/>
        <v>7.928919424719858</v>
      </c>
      <c r="AB357" s="199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0.13636243739434009</v>
      </c>
      <c r="AD357" s="233">
        <f>(INDEX(Models!$BJ357:$BT357,,AH357)*(1-AF357)+INDEX(Models!$BJ357:$BT357,,AH357+1)*AF357-ERP_i)*AE357*Ramure*Pc/MaxiM</f>
        <v>0.17863966125216754</v>
      </c>
      <c r="AE357" s="307">
        <f t="shared" si="142"/>
        <v>0.9</v>
      </c>
      <c r="AF357" s="179">
        <f t="shared" si="143"/>
        <v>0.80028458454087614</v>
      </c>
      <c r="AG357" s="839">
        <f t="shared" si="149"/>
        <v>1</v>
      </c>
      <c r="AH357" s="178">
        <f t="shared" si="144"/>
        <v>7</v>
      </c>
      <c r="AI357" s="227">
        <f t="shared" si="145"/>
        <v>1.8002845845408761</v>
      </c>
      <c r="AJ357" s="267" t="b">
        <f t="shared" si="146"/>
        <v>0</v>
      </c>
      <c r="AK357" s="267" t="b">
        <f t="shared" si="147"/>
        <v>0</v>
      </c>
      <c r="AL357" s="267"/>
      <c r="AM357" s="267"/>
      <c r="AN357" s="75"/>
    </row>
    <row r="358" spans="1:40" s="6" customFormat="1" ht="11.25" x14ac:dyDescent="0.2">
      <c r="A358" s="56">
        <f t="shared" si="148"/>
        <v>45635</v>
      </c>
      <c r="B358" s="413">
        <f>'2023'!Wh/'2023'!Env_an*'2024'!Env_an</f>
        <v>10.272616591228394</v>
      </c>
      <c r="C358" s="868"/>
      <c r="D358" s="395">
        <f t="shared" si="127"/>
        <v>10.842989396053298</v>
      </c>
      <c r="E358" s="387">
        <f t="shared" si="125"/>
        <v>11.599127153212823</v>
      </c>
      <c r="F358" s="387">
        <f t="shared" si="128"/>
        <v>13.186591465377864</v>
      </c>
      <c r="G358" s="110">
        <f t="shared" si="126"/>
        <v>0.7154183737425952</v>
      </c>
      <c r="H358" s="416" t="b">
        <f>Wh_hp&gt;='2023'!Maxi_hp</f>
        <v>0</v>
      </c>
      <c r="I358" s="392">
        <f>IF(H358,Wh_hp,'2023'!Maxi_hp)</f>
        <v>16.668106879337483</v>
      </c>
      <c r="J358" s="85">
        <f>IF(H358,An,'2023'!An_max)</f>
        <v>2019</v>
      </c>
      <c r="K358" s="199">
        <f t="shared" si="129"/>
        <v>45635</v>
      </c>
      <c r="L358" s="147">
        <f>IF(t&lt;Tvie,1-EXP((T0-t)*PertePVj)+'2023'!Pspv,1-EXP((T0-t)*PertePVj)+Pspv)</f>
        <v>5.2602910875529596E-2</v>
      </c>
      <c r="M358" s="872"/>
      <c r="N358" s="872"/>
      <c r="O358" s="48">
        <f>IF(t&lt;Tnet,'2023'!Resal+('2023'!Salim-'2023'!Resal)*(1-EXP(('2023'!Tnet-t)/('2023'!Tau_j))),Resal+(Salim-Resal)*(1-EXP((Tnet-t)/(Tau_j))))*Salcycl</f>
        <v>6.518919459815424E-2</v>
      </c>
      <c r="P358" s="171">
        <f>(INDEX(Models!$BJ358:$BT358,,T358)*(1-R358)+INDEX(Models!$BJ358:$BT358,,T358+1)*R358-ERP_i)*Q358*Ramure*Pc/MaxiM</f>
        <v>0.18020725925339176</v>
      </c>
      <c r="Q358" s="307">
        <f t="shared" si="130"/>
        <v>0.9</v>
      </c>
      <c r="R358" s="179">
        <f t="shared" si="131"/>
        <v>0.80030050611177828</v>
      </c>
      <c r="S358" s="839">
        <f t="shared" si="132"/>
        <v>1</v>
      </c>
      <c r="T358" s="178">
        <f t="shared" si="133"/>
        <v>7</v>
      </c>
      <c r="U358" s="253">
        <f t="shared" si="134"/>
        <v>1.8003005061117783</v>
      </c>
      <c r="V358" s="385">
        <f t="shared" si="135"/>
        <v>13.382347401472677</v>
      </c>
      <c r="W358" s="404">
        <f t="shared" si="136"/>
        <v>10.272616591228394</v>
      </c>
      <c r="X358" s="157">
        <f t="shared" si="137"/>
        <v>45635</v>
      </c>
      <c r="Y358" s="387">
        <f t="shared" si="138"/>
        <v>9.4899344187694155</v>
      </c>
      <c r="Z358" s="387">
        <f t="shared" si="139"/>
        <v>10.016849880275085</v>
      </c>
      <c r="AA358" s="388">
        <f t="shared" si="140"/>
        <v>11.599127153212823</v>
      </c>
      <c r="AB358" s="199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0.13641347767271136</v>
      </c>
      <c r="AD358" s="233">
        <f>(INDEX(Models!$BJ358:$BT358,,AH358)*(1-AF358)+INDEX(Models!$BJ358:$BT358,,AH358+1)*AF358-ERP_i)*AE358*Ramure*Pc/MaxiM</f>
        <v>0.18020725925339176</v>
      </c>
      <c r="AE358" s="307">
        <f t="shared" si="142"/>
        <v>0.9</v>
      </c>
      <c r="AF358" s="179">
        <f t="shared" si="143"/>
        <v>0.80030050611177828</v>
      </c>
      <c r="AG358" s="839">
        <f t="shared" si="149"/>
        <v>1</v>
      </c>
      <c r="AH358" s="178">
        <f t="shared" si="144"/>
        <v>7</v>
      </c>
      <c r="AI358" s="227">
        <f t="shared" si="145"/>
        <v>1.8003005061117783</v>
      </c>
      <c r="AJ358" s="267" t="b">
        <f t="shared" si="146"/>
        <v>0</v>
      </c>
      <c r="AK358" s="267" t="b">
        <f t="shared" si="147"/>
        <v>0</v>
      </c>
      <c r="AL358" s="267"/>
      <c r="AM358" s="267"/>
      <c r="AN358" s="75"/>
    </row>
    <row r="359" spans="1:40" s="6" customFormat="1" ht="11.25" x14ac:dyDescent="0.2">
      <c r="A359" s="56">
        <f t="shared" si="148"/>
        <v>45636</v>
      </c>
      <c r="B359" s="413">
        <f>'2023'!Wh/'2023'!Env_an*'2024'!Env_an</f>
        <v>10.746005653552531</v>
      </c>
      <c r="C359" s="868"/>
      <c r="D359" s="395">
        <f t="shared" si="127"/>
        <v>11.342926696717861</v>
      </c>
      <c r="E359" s="387">
        <f t="shared" si="125"/>
        <v>12.135899480667412</v>
      </c>
      <c r="F359" s="387">
        <f t="shared" si="128"/>
        <v>13.978590705740531</v>
      </c>
      <c r="G359" s="110">
        <f t="shared" si="126"/>
        <v>0.76183170893095675</v>
      </c>
      <c r="H359" s="416" t="b">
        <f>Wh_hp&gt;='2023'!Maxi_hp</f>
        <v>0</v>
      </c>
      <c r="I359" s="392">
        <f>IF(H359,Wh_hp,'2023'!Maxi_hp)</f>
        <v>15.154011286324524</v>
      </c>
      <c r="J359" s="85">
        <f>IF(H359,An,'2023'!An_max)</f>
        <v>2018</v>
      </c>
      <c r="K359" s="199">
        <f t="shared" si="129"/>
        <v>45636</v>
      </c>
      <c r="L359" s="147">
        <f>IF(t&lt;Tvie,1-EXP((T0-t)*PertePVj)+'2023'!Pspv,1-EXP((T0-t)*PertePVj)+Pspv)</f>
        <v>5.2624958189851578E-2</v>
      </c>
      <c r="M359" s="872"/>
      <c r="N359" s="872"/>
      <c r="O359" s="48">
        <f>IF(t&lt;Tnet,'2023'!Resal+('2023'!Salim-'2023'!Resal)*(1-EXP(('2023'!Tnet-t)/('2023'!Tau_j))),Resal+(Salim-Resal)*(1-EXP((Tnet-t)/(Tau_j))))*Salcycl</f>
        <v>6.5341080421172135E-2</v>
      </c>
      <c r="P359" s="171">
        <f>(INDEX(Models!$BJ359:$BT359,,T359)*(1-R359)+INDEX(Models!$BJ359:$BT359,,T359+1)*R359-ERP_i)*Q359*Ramure*Pc/MaxiM</f>
        <v>0.18158871753527644</v>
      </c>
      <c r="Q359" s="307">
        <f t="shared" si="130"/>
        <v>0.9</v>
      </c>
      <c r="R359" s="179">
        <f t="shared" si="131"/>
        <v>0.80031578731434627</v>
      </c>
      <c r="S359" s="839">
        <f t="shared" si="132"/>
        <v>1</v>
      </c>
      <c r="T359" s="178">
        <f t="shared" si="133"/>
        <v>7</v>
      </c>
      <c r="U359" s="253">
        <f t="shared" si="134"/>
        <v>1.8003157873143463</v>
      </c>
      <c r="V359" s="385">
        <f t="shared" si="135"/>
        <v>13.296919696690361</v>
      </c>
      <c r="W359" s="404">
        <f t="shared" si="136"/>
        <v>10.746005653552531</v>
      </c>
      <c r="X359" s="157">
        <f t="shared" si="137"/>
        <v>45636</v>
      </c>
      <c r="Y359" s="387">
        <f t="shared" si="138"/>
        <v>9.928252619529415</v>
      </c>
      <c r="Z359" s="387">
        <f t="shared" si="139"/>
        <v>10.479748970966677</v>
      </c>
      <c r="AA359" s="388">
        <f t="shared" si="140"/>
        <v>12.135899480667412</v>
      </c>
      <c r="AB359" s="199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0.13646705893856453</v>
      </c>
      <c r="AD359" s="233">
        <f>(INDEX(Models!$BJ359:$BT359,,AH359)*(1-AF359)+INDEX(Models!$BJ359:$BT359,,AH359+1)*AF359-ERP_i)*AE359*Ramure*Pc/MaxiM</f>
        <v>0.18158871753527644</v>
      </c>
      <c r="AE359" s="307">
        <f t="shared" si="142"/>
        <v>0.9</v>
      </c>
      <c r="AF359" s="179">
        <f t="shared" si="143"/>
        <v>0.80031578731434627</v>
      </c>
      <c r="AG359" s="839">
        <f t="shared" si="149"/>
        <v>1</v>
      </c>
      <c r="AH359" s="178">
        <f t="shared" si="144"/>
        <v>7</v>
      </c>
      <c r="AI359" s="227">
        <f t="shared" si="145"/>
        <v>1.8003157873143463</v>
      </c>
      <c r="AJ359" s="267" t="b">
        <f t="shared" si="146"/>
        <v>0</v>
      </c>
      <c r="AK359" s="267" t="b">
        <f t="shared" si="147"/>
        <v>0</v>
      </c>
      <c r="AL359" s="267"/>
      <c r="AM359" s="267"/>
      <c r="AN359" s="75"/>
    </row>
    <row r="360" spans="1:40" s="6" customFormat="1" ht="11.25" x14ac:dyDescent="0.2">
      <c r="A360" s="56">
        <f t="shared" si="148"/>
        <v>45637</v>
      </c>
      <c r="B360" s="413">
        <f>'2023'!Wh/'2023'!Env_an*'2024'!Env_an</f>
        <v>3.7277597692462279</v>
      </c>
      <c r="C360" s="868"/>
      <c r="D360" s="395">
        <f t="shared" si="127"/>
        <v>3.9349216067145161</v>
      </c>
      <c r="E360" s="387">
        <f t="shared" si="125"/>
        <v>4.2106966573836422</v>
      </c>
      <c r="F360" s="387">
        <f t="shared" si="128"/>
        <v>4.2106966573836422</v>
      </c>
      <c r="G360" s="110">
        <f t="shared" si="126"/>
        <v>0.23041674904709719</v>
      </c>
      <c r="H360" s="416" t="b">
        <f>Wh_hp&gt;='2023'!Maxi_hp</f>
        <v>0</v>
      </c>
      <c r="I360" s="392">
        <f>IF(H360,Wh_hp,'2023'!Maxi_hp)</f>
        <v>17.813849297428309</v>
      </c>
      <c r="J360" s="85">
        <f>IF(H360,An,'2023'!An_max)</f>
        <v>2021</v>
      </c>
      <c r="K360" s="199">
        <f t="shared" si="129"/>
        <v>45637</v>
      </c>
      <c r="L360" s="147">
        <f>IF(t&lt;Tvie,1-EXP((T0-t)*PertePVj)+'2023'!Pspv,1-EXP((T0-t)*PertePVj)+Pspv)</f>
        <v>5.2647004991100421E-2</v>
      </c>
      <c r="M360" s="872"/>
      <c r="N360" s="872"/>
      <c r="O360" s="48">
        <f>IF(t&lt;Tnet,'2023'!Resal+('2023'!Salim-'2023'!Resal)*(1-EXP(('2023'!Tnet-t)/('2023'!Tau_j))),Resal+(Salim-Resal)*(1-EXP((Tnet-t)/(Tau_j))))*Salcycl</f>
        <v>6.549392490326815E-2</v>
      </c>
      <c r="P360" s="171">
        <f>(INDEX(Models!$BJ360:$BT360,,T360)*(1-R360)+INDEX(Models!$BJ360:$BT360,,T360+1)*R360-ERP_i)*Q360*Ramure*Pc/MaxiM</f>
        <v>0.18280301850106093</v>
      </c>
      <c r="Q360" s="307">
        <f t="shared" si="130"/>
        <v>0.9</v>
      </c>
      <c r="R360" s="179">
        <f t="shared" si="131"/>
        <v>0.80033045387802693</v>
      </c>
      <c r="S360" s="839">
        <f t="shared" si="132"/>
        <v>1</v>
      </c>
      <c r="T360" s="178">
        <f t="shared" si="133"/>
        <v>7</v>
      </c>
      <c r="U360" s="253">
        <f t="shared" si="134"/>
        <v>1.8003304538780269</v>
      </c>
      <c r="V360" s="385">
        <f t="shared" si="135"/>
        <v>13.220887994381572</v>
      </c>
      <c r="W360" s="404">
        <f t="shared" si="136"/>
        <v>3.7277597692462279</v>
      </c>
      <c r="X360" s="157">
        <f t="shared" si="137"/>
        <v>45637</v>
      </c>
      <c r="Y360" s="387">
        <f t="shared" si="138"/>
        <v>3.4444233411306882</v>
      </c>
      <c r="Z360" s="387">
        <f t="shared" si="139"/>
        <v>3.6358393959564466</v>
      </c>
      <c r="AA360" s="388">
        <f t="shared" si="140"/>
        <v>4.2106966573836422</v>
      </c>
      <c r="AB360" s="199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0.13652307639382144</v>
      </c>
      <c r="AD360" s="233">
        <f>(INDEX(Models!$BJ360:$BT360,,AH360)*(1-AF360)+INDEX(Models!$BJ360:$BT360,,AH360+1)*AF360-ERP_i)*AE360*Ramure*Pc/MaxiM</f>
        <v>0.18280301850106093</v>
      </c>
      <c r="AE360" s="307">
        <f t="shared" si="142"/>
        <v>0.9</v>
      </c>
      <c r="AF360" s="179">
        <f t="shared" si="143"/>
        <v>0.80033045387802693</v>
      </c>
      <c r="AG360" s="839">
        <f t="shared" si="149"/>
        <v>1</v>
      </c>
      <c r="AH360" s="178">
        <f t="shared" si="144"/>
        <v>7</v>
      </c>
      <c r="AI360" s="227">
        <f t="shared" si="145"/>
        <v>1.8003304538780269</v>
      </c>
      <c r="AJ360" s="267" t="b">
        <f t="shared" si="146"/>
        <v>0</v>
      </c>
      <c r="AK360" s="267" t="b">
        <f t="shared" si="147"/>
        <v>0</v>
      </c>
      <c r="AL360" s="267"/>
      <c r="AM360" s="267"/>
      <c r="AN360" s="75"/>
    </row>
    <row r="361" spans="1:40" s="6" customFormat="1" ht="11.25" x14ac:dyDescent="0.2">
      <c r="A361" s="56">
        <f t="shared" si="148"/>
        <v>45638</v>
      </c>
      <c r="B361" s="413">
        <f>'2023'!Wh/'2023'!Env_an*'2024'!Env_an</f>
        <v>4.4827620051383628</v>
      </c>
      <c r="C361" s="868"/>
      <c r="D361" s="395">
        <f t="shared" si="127"/>
        <v>4.7319915085556348</v>
      </c>
      <c r="E361" s="387">
        <f t="shared" ref="E361:E380" si="150">Wh_pvt/(1-Psa)</f>
        <v>5.0644616848081361</v>
      </c>
      <c r="F361" s="387">
        <f t="shared" si="128"/>
        <v>5.1193167258105117</v>
      </c>
      <c r="G361" s="110">
        <f t="shared" ref="G361:G380" si="151">+Wh_hp/MaxiM</f>
        <v>0.2811430345317007</v>
      </c>
      <c r="H361" s="416" t="b">
        <f>Wh_hp&gt;='2023'!Maxi_hp</f>
        <v>0</v>
      </c>
      <c r="I361" s="392">
        <f>IF(H361,Wh_hp,'2023'!Maxi_hp)</f>
        <v>18.138305430753984</v>
      </c>
      <c r="J361" s="85">
        <f>IF(H361,An,'2023'!An_max)</f>
        <v>2021</v>
      </c>
      <c r="K361" s="199">
        <f t="shared" si="129"/>
        <v>45638</v>
      </c>
      <c r="L361" s="147">
        <f>IF(t&lt;Tvie,1-EXP((T0-t)*PertePVj)+'2023'!Pspv,1-EXP((T0-t)*PertePVj)+Pspv)</f>
        <v>5.2669051279287893E-2</v>
      </c>
      <c r="M361" s="872"/>
      <c r="N361" s="872"/>
      <c r="O361" s="48">
        <f>IF(t&lt;Tnet,'2023'!Resal+('2023'!Salim-'2023'!Resal)*(1-EXP(('2023'!Tnet-t)/('2023'!Tau_j))),Resal+(Salim-Resal)*(1-EXP((Tnet-t)/(Tau_j))))*Salcycl</f>
        <v>6.5647683197961978E-2</v>
      </c>
      <c r="P361" s="171">
        <f>(INDEX(Models!$BJ361:$BT361,,T361)*(1-R361)+INDEX(Models!$BJ361:$BT361,,T361+1)*R361-ERP_i)*Q361*Ramure*Pc/MaxiM</f>
        <v>0.18387259601223327</v>
      </c>
      <c r="Q361" s="307">
        <f t="shared" si="130"/>
        <v>0.9</v>
      </c>
      <c r="R361" s="179">
        <f t="shared" si="131"/>
        <v>0.80034453050055321</v>
      </c>
      <c r="S361" s="839">
        <f t="shared" si="132"/>
        <v>1</v>
      </c>
      <c r="T361" s="178">
        <f t="shared" si="133"/>
        <v>7</v>
      </c>
      <c r="U361" s="253">
        <f t="shared" si="134"/>
        <v>1.8003445305005532</v>
      </c>
      <c r="V361" s="385">
        <f t="shared" si="135"/>
        <v>13.153914810599735</v>
      </c>
      <c r="W361" s="404">
        <f t="shared" si="136"/>
        <v>4.4827620051383628</v>
      </c>
      <c r="X361" s="157">
        <f t="shared" si="137"/>
        <v>45638</v>
      </c>
      <c r="Y361" s="387">
        <f t="shared" si="138"/>
        <v>4.1424416995429256</v>
      </c>
      <c r="Z361" s="387">
        <f t="shared" si="139"/>
        <v>4.3727503098436005</v>
      </c>
      <c r="AA361" s="388">
        <f t="shared" si="140"/>
        <v>5.0644616848081361</v>
      </c>
      <c r="AB361" s="199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0.13658142128697745</v>
      </c>
      <c r="AD361" s="233">
        <f>(INDEX(Models!$BJ361:$BT361,,AH361)*(1-AF361)+INDEX(Models!$BJ361:$BT361,,AH361+1)*AF361-ERP_i)*AE361*Ramure*Pc/MaxiM</f>
        <v>0.18387259601223327</v>
      </c>
      <c r="AE361" s="307">
        <f t="shared" si="142"/>
        <v>0.9</v>
      </c>
      <c r="AF361" s="179">
        <f t="shared" si="143"/>
        <v>0.80034453050055321</v>
      </c>
      <c r="AG361" s="839">
        <f t="shared" si="149"/>
        <v>1</v>
      </c>
      <c r="AH361" s="178">
        <f t="shared" si="144"/>
        <v>7</v>
      </c>
      <c r="AI361" s="227">
        <f t="shared" si="145"/>
        <v>1.8003445305005532</v>
      </c>
      <c r="AJ361" s="267" t="b">
        <f t="shared" si="146"/>
        <v>0</v>
      </c>
      <c r="AK361" s="267" t="b">
        <f t="shared" si="147"/>
        <v>0</v>
      </c>
      <c r="AL361" s="267"/>
      <c r="AM361" s="267"/>
      <c r="AN361" s="75"/>
    </row>
    <row r="362" spans="1:40" s="6" customFormat="1" ht="11.25" x14ac:dyDescent="0.2">
      <c r="A362" s="56">
        <f t="shared" si="148"/>
        <v>45639</v>
      </c>
      <c r="B362" s="413">
        <f>'2023'!Wh/'2023'!Env_an*'2024'!Env_an</f>
        <v>10.545461756902016</v>
      </c>
      <c r="C362" s="868"/>
      <c r="D362" s="395">
        <f t="shared" si="127"/>
        <v>11.132020108870325</v>
      </c>
      <c r="E362" s="387">
        <f t="shared" si="150"/>
        <v>11.916128898751246</v>
      </c>
      <c r="F362" s="387">
        <f t="shared" si="128"/>
        <v>13.750084154606588</v>
      </c>
      <c r="G362" s="110">
        <f t="shared" si="151"/>
        <v>0.75746306034568589</v>
      </c>
      <c r="H362" s="416" t="b">
        <f>Wh_hp&gt;='2023'!Maxi_hp</f>
        <v>0</v>
      </c>
      <c r="I362" s="392">
        <f>IF(H362,Wh_hp,'2023'!Maxi_hp)</f>
        <v>18.109392366943464</v>
      </c>
      <c r="J362" s="85">
        <f>IF(H362,An,'2023'!An_max)</f>
        <v>2021</v>
      </c>
      <c r="K362" s="199">
        <f t="shared" si="129"/>
        <v>45639</v>
      </c>
      <c r="L362" s="147">
        <f>IF(t&lt;Tvie,1-EXP((T0-t)*PertePVj)+'2023'!Pspv,1-EXP((T0-t)*PertePVj)+Pspv)</f>
        <v>5.2691097054426095E-2</v>
      </c>
      <c r="M362" s="872"/>
      <c r="N362" s="872"/>
      <c r="O362" s="48">
        <f>IF(t&lt;Tnet,'2023'!Resal+('2023'!Salim-'2023'!Resal)*(1-EXP(('2023'!Tnet-t)/('2023'!Tau_j))),Resal+(Salim-Resal)*(1-EXP((Tnet-t)/(Tau_j))))*Salcycl</f>
        <v>6.5802308496603526E-2</v>
      </c>
      <c r="P362" s="171">
        <f>(INDEX(Models!$BJ362:$BT362,,T362)*(1-R362)+INDEX(Models!$BJ362:$BT362,,T362+1)*R362-ERP_i)*Q362*Ramure*Pc/MaxiM</f>
        <v>0.18479339962219604</v>
      </c>
      <c r="Q362" s="307">
        <f t="shared" si="130"/>
        <v>0.9</v>
      </c>
      <c r="R362" s="179">
        <f t="shared" si="131"/>
        <v>0.80035804088915019</v>
      </c>
      <c r="S362" s="839">
        <f t="shared" si="132"/>
        <v>1</v>
      </c>
      <c r="T362" s="178">
        <f t="shared" si="133"/>
        <v>7</v>
      </c>
      <c r="U362" s="253">
        <f t="shared" si="134"/>
        <v>1.8003580408891502</v>
      </c>
      <c r="V362" s="385">
        <f t="shared" si="135"/>
        <v>13.096100341589365</v>
      </c>
      <c r="W362" s="404">
        <f t="shared" si="136"/>
        <v>10.545461756902016</v>
      </c>
      <c r="X362" s="157">
        <f t="shared" si="137"/>
        <v>45639</v>
      </c>
      <c r="Y362" s="387">
        <f t="shared" si="138"/>
        <v>9.7458054620986125</v>
      </c>
      <c r="Z362" s="387">
        <f t="shared" si="139"/>
        <v>10.287885431874319</v>
      </c>
      <c r="AA362" s="388">
        <f t="shared" si="140"/>
        <v>11.916128898751246</v>
      </c>
      <c r="AB362" s="199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0.13664198169655239</v>
      </c>
      <c r="AD362" s="233">
        <f>(INDEX(Models!$BJ362:$BT362,,AH362)*(1-AF362)+INDEX(Models!$BJ362:$BT362,,AH362+1)*AF362-ERP_i)*AE362*Ramure*Pc/MaxiM</f>
        <v>0.18479339962219604</v>
      </c>
      <c r="AE362" s="307">
        <f t="shared" si="142"/>
        <v>0.9</v>
      </c>
      <c r="AF362" s="179">
        <f t="shared" si="143"/>
        <v>0.80035804088915019</v>
      </c>
      <c r="AG362" s="839">
        <f t="shared" si="149"/>
        <v>1</v>
      </c>
      <c r="AH362" s="178">
        <f t="shared" si="144"/>
        <v>7</v>
      </c>
      <c r="AI362" s="227">
        <f t="shared" si="145"/>
        <v>1.8003580408891502</v>
      </c>
      <c r="AJ362" s="267" t="b">
        <f t="shared" si="146"/>
        <v>0</v>
      </c>
      <c r="AK362" s="267" t="b">
        <f t="shared" si="147"/>
        <v>0</v>
      </c>
      <c r="AL362" s="267"/>
      <c r="AM362" s="267"/>
      <c r="AN362" s="75"/>
    </row>
    <row r="363" spans="1:40" s="6" customFormat="1" ht="11.25" x14ac:dyDescent="0.2">
      <c r="A363" s="56">
        <f t="shared" si="148"/>
        <v>45640</v>
      </c>
      <c r="B363" s="413">
        <f>'2023'!Wh/'2023'!Env_an*'2024'!Env_an</f>
        <v>5.1664041135748127</v>
      </c>
      <c r="C363" s="868"/>
      <c r="D363" s="395">
        <f t="shared" si="127"/>
        <v>5.4538961157013306</v>
      </c>
      <c r="E363" s="387">
        <f t="shared" si="150"/>
        <v>5.8390250865819642</v>
      </c>
      <c r="F363" s="387">
        <f t="shared" si="128"/>
        <v>5.9914466649957809</v>
      </c>
      <c r="G363" s="110">
        <f t="shared" si="151"/>
        <v>0.33090939652095197</v>
      </c>
      <c r="H363" s="416" t="b">
        <f>Wh_hp&gt;='2023'!Maxi_hp</f>
        <v>0</v>
      </c>
      <c r="I363" s="392">
        <f>IF(H363,Wh_hp,'2023'!Maxi_hp)</f>
        <v>17.774835996132822</v>
      </c>
      <c r="J363" s="85">
        <f>IF(H363,An,'2023'!An_max)</f>
        <v>2019</v>
      </c>
      <c r="K363" s="199">
        <f t="shared" si="129"/>
        <v>45640</v>
      </c>
      <c r="L363" s="147">
        <f>IF(t&lt;Tvie,1-EXP((T0-t)*PertePVj)+'2023'!Pspv,1-EXP((T0-t)*PertePVj)+Pspv)</f>
        <v>5.2713142316526906E-2</v>
      </c>
      <c r="M363" s="872"/>
      <c r="N363" s="872"/>
      <c r="O363" s="48">
        <f>IF(t&lt;Tnet,'2023'!Resal+('2023'!Salim-'2023'!Resal)*(1-EXP(('2023'!Tnet-t)/('2023'!Tau_j))),Resal+(Salim-Resal)*(1-EXP((Tnet-t)/(Tau_j))))*Salcycl</f>
        <v>6.5957752393572794E-2</v>
      </c>
      <c r="P363" s="171">
        <f>(INDEX(Models!$BJ363:$BT363,,T363)*(1-R363)+INDEX(Models!$BJ363:$BT363,,T363+1)*R363-ERP_i)*Q363*Ramure*Pc/MaxiM</f>
        <v>0.18556174855585209</v>
      </c>
      <c r="Q363" s="307">
        <f t="shared" si="130"/>
        <v>0.9</v>
      </c>
      <c r="R363" s="179">
        <f t="shared" si="131"/>
        <v>0.80037100780010917</v>
      </c>
      <c r="S363" s="839">
        <f t="shared" si="132"/>
        <v>1</v>
      </c>
      <c r="T363" s="178">
        <f t="shared" si="133"/>
        <v>7</v>
      </c>
      <c r="U363" s="253">
        <f t="shared" si="134"/>
        <v>1.8003710078001092</v>
      </c>
      <c r="V363" s="385">
        <f t="shared" si="135"/>
        <v>13.047544694609746</v>
      </c>
      <c r="W363" s="404">
        <f t="shared" si="136"/>
        <v>5.1664041135748127</v>
      </c>
      <c r="X363" s="157">
        <f t="shared" si="137"/>
        <v>45640</v>
      </c>
      <c r="Y363" s="387">
        <f t="shared" si="138"/>
        <v>4.7750866659930802</v>
      </c>
      <c r="Z363" s="387">
        <f t="shared" si="139"/>
        <v>5.0408032448272708</v>
      </c>
      <c r="AA363" s="388">
        <f t="shared" si="140"/>
        <v>5.8390250865819642</v>
      </c>
      <c r="AB363" s="199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0.13670464331263127</v>
      </c>
      <c r="AD363" s="233">
        <f>(INDEX(Models!$BJ363:$BT363,,AH363)*(1-AF363)+INDEX(Models!$BJ363:$BT363,,AH363+1)*AF363-ERP_i)*AE363*Ramure*Pc/MaxiM</f>
        <v>0.18556174855585209</v>
      </c>
      <c r="AE363" s="307">
        <f t="shared" si="142"/>
        <v>0.9</v>
      </c>
      <c r="AF363" s="179">
        <f t="shared" si="143"/>
        <v>0.80037100780010917</v>
      </c>
      <c r="AG363" s="839">
        <f t="shared" si="149"/>
        <v>1</v>
      </c>
      <c r="AH363" s="178">
        <f t="shared" si="144"/>
        <v>7</v>
      </c>
      <c r="AI363" s="227">
        <f t="shared" si="145"/>
        <v>1.8003710078001092</v>
      </c>
      <c r="AJ363" s="267" t="b">
        <f t="shared" si="146"/>
        <v>0</v>
      </c>
      <c r="AK363" s="267" t="b">
        <f t="shared" si="147"/>
        <v>0</v>
      </c>
      <c r="AL363" s="267"/>
      <c r="AM363" s="267"/>
      <c r="AN363" s="75"/>
    </row>
    <row r="364" spans="1:40" s="6" customFormat="1" ht="11.25" x14ac:dyDescent="0.2">
      <c r="A364" s="56">
        <f t="shared" si="148"/>
        <v>45641</v>
      </c>
      <c r="B364" s="413">
        <f>'2023'!Wh/'2023'!Env_an*'2024'!Env_an</f>
        <v>4.559013016138139</v>
      </c>
      <c r="C364" s="868"/>
      <c r="D364" s="395">
        <f t="shared" si="127"/>
        <v>4.8128178666485217</v>
      </c>
      <c r="E364" s="387">
        <f t="shared" si="150"/>
        <v>5.1535387483842703</v>
      </c>
      <c r="F364" s="387">
        <f t="shared" si="128"/>
        <v>5.2236543358003864</v>
      </c>
      <c r="G364" s="110">
        <f t="shared" si="151"/>
        <v>0.28910056399701978</v>
      </c>
      <c r="H364" s="416" t="b">
        <f>Wh_hp&gt;='2023'!Maxi_hp</f>
        <v>0</v>
      </c>
      <c r="I364" s="392">
        <f>IF(H364,Wh_hp,'2023'!Maxi_hp)</f>
        <v>17.653857308333976</v>
      </c>
      <c r="J364" s="85">
        <f>IF(H364,An,'2023'!An_max)</f>
        <v>2021</v>
      </c>
      <c r="K364" s="199">
        <f t="shared" si="129"/>
        <v>45641</v>
      </c>
      <c r="L364" s="147">
        <f>IF(t&lt;Tvie,1-EXP((T0-t)*PertePVj)+'2023'!Pspv,1-EXP((T0-t)*PertePVj)+Pspv)</f>
        <v>5.2735187065602207E-2</v>
      </c>
      <c r="M364" s="872"/>
      <c r="N364" s="872"/>
      <c r="O364" s="48">
        <f>IF(t&lt;Tnet,'2023'!Resal+('2023'!Salim-'2023'!Resal)*(1-EXP(('2023'!Tnet-t)/('2023'!Tau_j))),Resal+(Salim-Resal)*(1-EXP((Tnet-t)/(Tau_j))))*Salcycl</f>
        <v>6.6113965252045728E-2</v>
      </c>
      <c r="P364" s="171">
        <f>(INDEX(Models!$BJ364:$BT364,,T364)*(1-R364)+INDEX(Models!$BJ364:$BT364,,T364+1)*R364-ERP_i)*Q364*Ramure*Pc/MaxiM</f>
        <v>0.18617436533065237</v>
      </c>
      <c r="Q364" s="307">
        <f t="shared" si="130"/>
        <v>0.9</v>
      </c>
      <c r="R364" s="179">
        <f t="shared" si="131"/>
        <v>0.80038345307679259</v>
      </c>
      <c r="S364" s="839">
        <f t="shared" si="132"/>
        <v>1</v>
      </c>
      <c r="T364" s="178">
        <f t="shared" si="133"/>
        <v>7</v>
      </c>
      <c r="U364" s="253">
        <f t="shared" si="134"/>
        <v>1.8003834530767926</v>
      </c>
      <c r="V364" s="385">
        <f t="shared" si="135"/>
        <v>13.008347911216346</v>
      </c>
      <c r="W364" s="404">
        <f t="shared" si="136"/>
        <v>4.559013016138139</v>
      </c>
      <c r="X364" s="157">
        <f t="shared" si="137"/>
        <v>45641</v>
      </c>
      <c r="Y364" s="387">
        <f t="shared" si="138"/>
        <v>4.2140902587996365</v>
      </c>
      <c r="Z364" s="387">
        <f t="shared" si="139"/>
        <v>4.4486929116953071</v>
      </c>
      <c r="AA364" s="388">
        <f t="shared" si="140"/>
        <v>5.1535387483842703</v>
      </c>
      <c r="AB364" s="199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0.13676929021052672</v>
      </c>
      <c r="AD364" s="233">
        <f>(INDEX(Models!$BJ364:$BT364,,AH364)*(1-AF364)+INDEX(Models!$BJ364:$BT364,,AH364+1)*AF364-ERP_i)*AE364*Ramure*Pc/MaxiM</f>
        <v>0.18617436533065237</v>
      </c>
      <c r="AE364" s="307">
        <f t="shared" si="142"/>
        <v>0.9</v>
      </c>
      <c r="AF364" s="179">
        <f t="shared" si="143"/>
        <v>0.80038345307679259</v>
      </c>
      <c r="AG364" s="839">
        <f t="shared" si="149"/>
        <v>1</v>
      </c>
      <c r="AH364" s="178">
        <f t="shared" si="144"/>
        <v>7</v>
      </c>
      <c r="AI364" s="227">
        <f t="shared" si="145"/>
        <v>1.8003834530767926</v>
      </c>
      <c r="AJ364" s="267" t="b">
        <f t="shared" si="146"/>
        <v>0</v>
      </c>
      <c r="AK364" s="267" t="b">
        <f t="shared" si="147"/>
        <v>0</v>
      </c>
      <c r="AL364" s="267"/>
      <c r="AM364" s="267"/>
      <c r="AN364" s="75"/>
    </row>
    <row r="365" spans="1:40" s="6" customFormat="1" ht="11.25" x14ac:dyDescent="0.2">
      <c r="A365" s="56">
        <f t="shared" si="148"/>
        <v>45642</v>
      </c>
      <c r="B365" s="413">
        <f>'2023'!Wh/'2023'!Env_an*'2024'!Env_an</f>
        <v>2.8240928191438357</v>
      </c>
      <c r="C365" s="868"/>
      <c r="D365" s="395">
        <f t="shared" si="127"/>
        <v>2.9813822944508659</v>
      </c>
      <c r="E365" s="387">
        <f t="shared" si="150"/>
        <v>3.1929842215378077</v>
      </c>
      <c r="F365" s="387">
        <f t="shared" si="128"/>
        <v>3.1929842215378077</v>
      </c>
      <c r="G365" s="110">
        <f t="shared" si="151"/>
        <v>0.1769863549839866</v>
      </c>
      <c r="H365" s="416" t="b">
        <f>Wh_hp&gt;='2023'!Maxi_hp</f>
        <v>0</v>
      </c>
      <c r="I365" s="392">
        <f>IF(H365,Wh_hp,'2023'!Maxi_hp)</f>
        <v>17.652836359239622</v>
      </c>
      <c r="J365" s="85">
        <f>IF(H365,An,'2023'!An_max)</f>
        <v>2021</v>
      </c>
      <c r="K365" s="199">
        <f t="shared" si="129"/>
        <v>45642</v>
      </c>
      <c r="L365" s="147">
        <f>IF(t&lt;Tvie,1-EXP((T0-t)*PertePVj)+'2023'!Pspv,1-EXP((T0-t)*PertePVj)+Pspv)</f>
        <v>5.2757231301663987E-2</v>
      </c>
      <c r="M365" s="872"/>
      <c r="N365" s="872"/>
      <c r="O365" s="48">
        <f>IF(t&lt;Tnet,'2023'!Resal+('2023'!Salim-'2023'!Resal)*(1-EXP(('2023'!Tnet-t)/('2023'!Tau_j))),Resal+(Salim-Resal)*(1-EXP((Tnet-t)/(Tau_j))))*Salcycl</f>
        <v>6.6270896567421758E-2</v>
      </c>
      <c r="P365" s="171">
        <f>(INDEX(Models!$BJ365:$BT365,,T365)*(1-R365)+INDEX(Models!$BJ365:$BT365,,T365+1)*R365-ERP_i)*Q365*Ramure*Pc/MaxiM</f>
        <v>0.18662840737998268</v>
      </c>
      <c r="Q365" s="307">
        <f t="shared" si="130"/>
        <v>0.9</v>
      </c>
      <c r="R365" s="179">
        <f t="shared" si="131"/>
        <v>0.80039539768612999</v>
      </c>
      <c r="S365" s="839">
        <f t="shared" si="132"/>
        <v>1</v>
      </c>
      <c r="T365" s="178">
        <f t="shared" si="133"/>
        <v>7</v>
      </c>
      <c r="U365" s="253">
        <f t="shared" si="134"/>
        <v>1.80039539768613</v>
      </c>
      <c r="V365" s="385">
        <f t="shared" si="135"/>
        <v>12.978609985055673</v>
      </c>
      <c r="W365" s="404">
        <f t="shared" si="136"/>
        <v>2.8240928191438357</v>
      </c>
      <c r="X365" s="157">
        <f t="shared" si="137"/>
        <v>45642</v>
      </c>
      <c r="Y365" s="387">
        <f t="shared" si="138"/>
        <v>2.6106670490996238</v>
      </c>
      <c r="Z365" s="387">
        <f t="shared" si="139"/>
        <v>2.7560696532812812</v>
      </c>
      <c r="AA365" s="388">
        <f t="shared" si="140"/>
        <v>3.1929842215378077</v>
      </c>
      <c r="AB365" s="199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0.13683580561074588</v>
      </c>
      <c r="AD365" s="233">
        <f>(INDEX(Models!$BJ365:$BT365,,AH365)*(1-AF365)+INDEX(Models!$BJ365:$BT365,,AH365+1)*AF365-ERP_i)*AE365*Ramure*Pc/MaxiM</f>
        <v>0.18662840737998268</v>
      </c>
      <c r="AE365" s="307">
        <f t="shared" si="142"/>
        <v>0.9</v>
      </c>
      <c r="AF365" s="179">
        <f t="shared" si="143"/>
        <v>0.80039539768612999</v>
      </c>
      <c r="AG365" s="839">
        <f t="shared" si="149"/>
        <v>1</v>
      </c>
      <c r="AH365" s="178">
        <f t="shared" si="144"/>
        <v>7</v>
      </c>
      <c r="AI365" s="227">
        <f t="shared" si="145"/>
        <v>1.80039539768613</v>
      </c>
      <c r="AJ365" s="267" t="b">
        <f t="shared" si="146"/>
        <v>0</v>
      </c>
      <c r="AK365" s="267" t="b">
        <f t="shared" si="147"/>
        <v>0</v>
      </c>
      <c r="AL365" s="267"/>
      <c r="AM365" s="267"/>
      <c r="AN365" s="75"/>
    </row>
    <row r="366" spans="1:40" s="6" customFormat="1" ht="11.25" x14ac:dyDescent="0.2">
      <c r="A366" s="56">
        <f t="shared" si="148"/>
        <v>45643</v>
      </c>
      <c r="B366" s="413">
        <f>'2023'!Wh/'2023'!Env_an*'2024'!Env_an</f>
        <v>10.99122811697654</v>
      </c>
      <c r="C366" s="868"/>
      <c r="D366" s="395">
        <f t="shared" si="127"/>
        <v>11.603660928410779</v>
      </c>
      <c r="E366" s="387">
        <f t="shared" si="150"/>
        <v>12.429322092963142</v>
      </c>
      <c r="F366" s="387">
        <f t="shared" si="128"/>
        <v>14.560627119001857</v>
      </c>
      <c r="G366" s="110">
        <f t="shared" si="151"/>
        <v>0.80790244430406877</v>
      </c>
      <c r="H366" s="416" t="b">
        <f>Wh_hp&gt;='2023'!Maxi_hp</f>
        <v>0</v>
      </c>
      <c r="I366" s="392">
        <f>IF(H366,Wh_hp,'2023'!Maxi_hp)</f>
        <v>18.053067103991125</v>
      </c>
      <c r="J366" s="85">
        <f>IF(H366,An,'2023'!An_max)</f>
        <v>2021</v>
      </c>
      <c r="K366" s="199">
        <f t="shared" si="129"/>
        <v>45643</v>
      </c>
      <c r="L366" s="147">
        <f>IF(t&lt;Tvie,1-EXP((T0-t)*PertePVj)+'2023'!Pspv,1-EXP((T0-t)*PertePVj)+Pspv)</f>
        <v>5.2779275024724237E-2</v>
      </c>
      <c r="M366" s="872"/>
      <c r="N366" s="872"/>
      <c r="O366" s="48">
        <f>IF(t&lt;Tnet,'2023'!Resal+('2023'!Salim-'2023'!Resal)*(1-EXP(('2023'!Tnet-t)/('2023'!Tau_j))),Resal+(Salim-Resal)*(1-EXP((Tnet-t)/(Tau_j))))*Salcycl</f>
        <v>6.6428495325566536E-2</v>
      </c>
      <c r="P366" s="171">
        <f>(INDEX(Models!$BJ366:$BT366,,T366)*(1-R366)+INDEX(Models!$BJ366:$BT366,,T366+1)*R366-ERP_i)*Q366*Ramure*Pc/MaxiM</f>
        <v>0.18691266882093979</v>
      </c>
      <c r="Q366" s="307">
        <f t="shared" si="130"/>
        <v>0.9</v>
      </c>
      <c r="R366" s="179">
        <f t="shared" si="131"/>
        <v>0.80040686175366704</v>
      </c>
      <c r="S366" s="839">
        <f t="shared" si="132"/>
        <v>1</v>
      </c>
      <c r="T366" s="178">
        <f t="shared" si="133"/>
        <v>7</v>
      </c>
      <c r="U366" s="253">
        <f t="shared" si="134"/>
        <v>1.800406861753667</v>
      </c>
      <c r="V366" s="385">
        <f t="shared" si="135"/>
        <v>12.958571565262263</v>
      </c>
      <c r="W366" s="404">
        <f t="shared" si="136"/>
        <v>10.99122811697654</v>
      </c>
      <c r="X366" s="157">
        <f t="shared" si="137"/>
        <v>45643</v>
      </c>
      <c r="Y366" s="387">
        <f t="shared" si="138"/>
        <v>10.161497193489295</v>
      </c>
      <c r="Z366" s="387">
        <f t="shared" si="139"/>
        <v>10.727697278535084</v>
      </c>
      <c r="AA366" s="388">
        <f t="shared" si="140"/>
        <v>12.429322092963142</v>
      </c>
      <c r="AB366" s="199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0.13690407261965096</v>
      </c>
      <c r="AD366" s="233">
        <f>(INDEX(Models!$BJ366:$BT366,,AH366)*(1-AF366)+INDEX(Models!$BJ366:$BT366,,AH366+1)*AF366-ERP_i)*AE366*Ramure*Pc/MaxiM</f>
        <v>0.18691266882093979</v>
      </c>
      <c r="AE366" s="307">
        <f t="shared" si="142"/>
        <v>0.9</v>
      </c>
      <c r="AF366" s="179">
        <f t="shared" si="143"/>
        <v>0.80040686175366704</v>
      </c>
      <c r="AG366" s="839">
        <f t="shared" si="149"/>
        <v>1</v>
      </c>
      <c r="AH366" s="178">
        <f t="shared" si="144"/>
        <v>7</v>
      </c>
      <c r="AI366" s="227">
        <f t="shared" si="145"/>
        <v>1.800406861753667</v>
      </c>
      <c r="AJ366" s="267" t="b">
        <f t="shared" si="146"/>
        <v>0</v>
      </c>
      <c r="AK366" s="267" t="b">
        <f t="shared" si="147"/>
        <v>0</v>
      </c>
      <c r="AL366" s="267"/>
      <c r="AM366" s="267"/>
      <c r="AN366" s="75"/>
    </row>
    <row r="367" spans="1:40" s="6" customFormat="1" ht="11.25" x14ac:dyDescent="0.2">
      <c r="A367" s="56">
        <f t="shared" si="148"/>
        <v>45644</v>
      </c>
      <c r="B367" s="413">
        <f>'2023'!Wh/'2023'!Env_an*'2024'!Env_an</f>
        <v>10.777104684213784</v>
      </c>
      <c r="C367" s="868"/>
      <c r="D367" s="395">
        <f t="shared" si="127"/>
        <v>11.377871286866137</v>
      </c>
      <c r="E367" s="387">
        <f t="shared" si="150"/>
        <v>12.189532132299432</v>
      </c>
      <c r="F367" s="387">
        <f t="shared" si="128"/>
        <v>14.211590777231198</v>
      </c>
      <c r="G367" s="110">
        <f t="shared" si="151"/>
        <v>0.78889821262641402</v>
      </c>
      <c r="H367" s="416" t="b">
        <f>Wh_hp&gt;='2023'!Maxi_hp</f>
        <v>0</v>
      </c>
      <c r="I367" s="392">
        <f>IF(H367,Wh_hp,'2023'!Maxi_hp)</f>
        <v>17.589332525794376</v>
      </c>
      <c r="J367" s="85">
        <f>IF(H367,An,'2023'!An_max)</f>
        <v>2021</v>
      </c>
      <c r="K367" s="199">
        <f t="shared" si="129"/>
        <v>45644</v>
      </c>
      <c r="L367" s="147">
        <f>IF(t&lt;Tvie,1-EXP((T0-t)*PertePVj)+'2023'!Pspv,1-EXP((T0-t)*PertePVj)+Pspv)</f>
        <v>5.2801318234794836E-2</v>
      </c>
      <c r="M367" s="872"/>
      <c r="N367" s="872"/>
      <c r="O367" s="48">
        <f>IF(t&lt;Tnet,'2023'!Resal+('2023'!Salim-'2023'!Resal)*(1-EXP(('2023'!Tnet-t)/('2023'!Tau_j))),Resal+(Salim-Resal)*(1-EXP((Tnet-t)/(Tau_j))))*Salcycl</f>
        <v>6.6586710353105469E-2</v>
      </c>
      <c r="P367" s="171">
        <f>(INDEX(Models!$BJ367:$BT367,,T367)*(1-R367)+INDEX(Models!$BJ367:$BT367,,T367+1)*R367-ERP_i)*Q367*Ramure*Pc/MaxiM</f>
        <v>0.18708204573529374</v>
      </c>
      <c r="Q367" s="307">
        <f t="shared" si="130"/>
        <v>0.9</v>
      </c>
      <c r="R367" s="179">
        <f t="shared" si="131"/>
        <v>0.80041786459721975</v>
      </c>
      <c r="S367" s="839">
        <f t="shared" si="132"/>
        <v>1</v>
      </c>
      <c r="T367" s="178">
        <f t="shared" si="133"/>
        <v>7</v>
      </c>
      <c r="U367" s="253">
        <f t="shared" si="134"/>
        <v>1.8004178645972198</v>
      </c>
      <c r="V367" s="385">
        <f t="shared" si="135"/>
        <v>12.947427918289776</v>
      </c>
      <c r="W367" s="404">
        <f t="shared" si="136"/>
        <v>10.777104684213784</v>
      </c>
      <c r="X367" s="157">
        <f t="shared" si="137"/>
        <v>45644</v>
      </c>
      <c r="Y367" s="387">
        <f t="shared" si="138"/>
        <v>9.9644197488684298</v>
      </c>
      <c r="Z367" s="387">
        <f t="shared" si="139"/>
        <v>10.519883463413059</v>
      </c>
      <c r="AA367" s="388">
        <f t="shared" si="140"/>
        <v>12.189532132299432</v>
      </c>
      <c r="AB367" s="199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0.13697397494545258</v>
      </c>
      <c r="AD367" s="233">
        <f>(INDEX(Models!$BJ367:$BT367,,AH367)*(1-AF367)+INDEX(Models!$BJ367:$BT367,,AH367+1)*AF367-ERP_i)*AE367*Ramure*Pc/MaxiM</f>
        <v>0.18708204573529374</v>
      </c>
      <c r="AE367" s="307">
        <f t="shared" si="142"/>
        <v>0.9</v>
      </c>
      <c r="AF367" s="179">
        <f t="shared" si="143"/>
        <v>0.80041786459721975</v>
      </c>
      <c r="AG367" s="839">
        <f t="shared" si="149"/>
        <v>1</v>
      </c>
      <c r="AH367" s="178">
        <f t="shared" si="144"/>
        <v>7</v>
      </c>
      <c r="AI367" s="227">
        <f t="shared" si="145"/>
        <v>1.8004178645972198</v>
      </c>
      <c r="AJ367" s="267" t="b">
        <f t="shared" si="146"/>
        <v>0</v>
      </c>
      <c r="AK367" s="267" t="b">
        <f t="shared" si="147"/>
        <v>0</v>
      </c>
      <c r="AL367" s="267"/>
      <c r="AM367" s="267"/>
      <c r="AN367" s="75"/>
    </row>
    <row r="368" spans="1:40" s="6" customFormat="1" ht="11.25" x14ac:dyDescent="0.2">
      <c r="A368" s="56">
        <f t="shared" si="148"/>
        <v>45645</v>
      </c>
      <c r="B368" s="413">
        <f>'2023'!Wh/'2023'!Env_an*'2024'!Env_an</f>
        <v>3.4249259776413363</v>
      </c>
      <c r="C368" s="868"/>
      <c r="D368" s="395">
        <f t="shared" si="127"/>
        <v>3.6159316397530437</v>
      </c>
      <c r="E368" s="387">
        <f t="shared" si="150"/>
        <v>3.8745396926065152</v>
      </c>
      <c r="F368" s="387">
        <f t="shared" si="128"/>
        <v>3.8745396926065152</v>
      </c>
      <c r="G368" s="110">
        <f t="shared" si="151"/>
        <v>0.21505923485721945</v>
      </c>
      <c r="H368" s="416" t="b">
        <f>Wh_hp&gt;='2023'!Maxi_hp</f>
        <v>0</v>
      </c>
      <c r="I368" s="392">
        <f>IF(H368,Wh_hp,'2023'!Maxi_hp)</f>
        <v>18.435000096108368</v>
      </c>
      <c r="J368" s="85">
        <f>IF(H368,An,'2023'!An_max)</f>
        <v>2021</v>
      </c>
      <c r="K368" s="199">
        <f t="shared" si="129"/>
        <v>45645</v>
      </c>
      <c r="L368" s="147">
        <f>IF(t&lt;Tvie,1-EXP((T0-t)*PertePVj)+'2023'!Pspv,1-EXP((T0-t)*PertePVj)+Pspv)</f>
        <v>5.2823360931887664E-2</v>
      </c>
      <c r="M368" s="872"/>
      <c r="N368" s="872"/>
      <c r="O368" s="48">
        <f>IF(t&lt;Tnet,'2023'!Resal+('2023'!Salim-'2023'!Resal)*(1-EXP(('2023'!Tnet-t)/('2023'!Tau_j))),Resal+(Salim-Resal)*(1-EXP((Tnet-t)/(Tau_j))))*Salcycl</f>
        <v>6.6745490657110412E-2</v>
      </c>
      <c r="P368" s="171">
        <f>(INDEX(Models!$BJ368:$BT368,,T368)*(1-R368)+INDEX(Models!$BJ368:$BT368,,T368+1)*R368-ERP_i)*Q368*Ramure*Pc/MaxiM</f>
        <v>0.18713518909008325</v>
      </c>
      <c r="Q368" s="307">
        <f t="shared" si="130"/>
        <v>0.9</v>
      </c>
      <c r="R368" s="179">
        <f t="shared" si="131"/>
        <v>0.80042842475919329</v>
      </c>
      <c r="S368" s="839">
        <f t="shared" si="132"/>
        <v>1</v>
      </c>
      <c r="T368" s="178">
        <f t="shared" si="133"/>
        <v>7</v>
      </c>
      <c r="U368" s="253">
        <f t="shared" si="134"/>
        <v>1.8004284247591933</v>
      </c>
      <c r="V368" s="385">
        <f t="shared" si="135"/>
        <v>12.945279048557111</v>
      </c>
      <c r="W368" s="404">
        <f t="shared" si="136"/>
        <v>3.4249259776413363</v>
      </c>
      <c r="X368" s="157">
        <f t="shared" si="137"/>
        <v>45645</v>
      </c>
      <c r="Y368" s="387">
        <f t="shared" si="138"/>
        <v>3.1669342132824259</v>
      </c>
      <c r="Z368" s="387">
        <f t="shared" si="139"/>
        <v>3.3435518599764462</v>
      </c>
      <c r="AA368" s="388">
        <f t="shared" si="140"/>
        <v>3.8745396926065152</v>
      </c>
      <c r="AB368" s="199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0.13704539758446979</v>
      </c>
      <c r="AD368" s="233">
        <f>(INDEX(Models!$BJ368:$BT368,,AH368)*(1-AF368)+INDEX(Models!$BJ368:$BT368,,AH368+1)*AF368-ERP_i)*AE368*Ramure*Pc/MaxiM</f>
        <v>0.18713518909008325</v>
      </c>
      <c r="AE368" s="307">
        <f t="shared" si="142"/>
        <v>0.9</v>
      </c>
      <c r="AF368" s="179">
        <f t="shared" si="143"/>
        <v>0.80042842475919329</v>
      </c>
      <c r="AG368" s="839">
        <f t="shared" si="149"/>
        <v>1</v>
      </c>
      <c r="AH368" s="178">
        <f t="shared" si="144"/>
        <v>7</v>
      </c>
      <c r="AI368" s="227">
        <f t="shared" si="145"/>
        <v>1.8004284247591933</v>
      </c>
      <c r="AJ368" s="267" t="b">
        <f t="shared" si="146"/>
        <v>0</v>
      </c>
      <c r="AK368" s="267" t="b">
        <f t="shared" si="147"/>
        <v>0</v>
      </c>
      <c r="AL368" s="267"/>
      <c r="AM368" s="267"/>
      <c r="AN368" s="75"/>
    </row>
    <row r="369" spans="1:40" s="18" customFormat="1" ht="11.25" x14ac:dyDescent="0.2">
      <c r="A369" s="56">
        <f t="shared" si="148"/>
        <v>45646</v>
      </c>
      <c r="B369" s="413">
        <f>'2023'!Wh/'2023'!Env_an*'2024'!Env_an</f>
        <v>12.486648776924259</v>
      </c>
      <c r="C369" s="868"/>
      <c r="D369" s="395">
        <f t="shared" si="127"/>
        <v>13.183327007020502</v>
      </c>
      <c r="E369" s="387">
        <f t="shared" si="150"/>
        <v>14.128597816933709</v>
      </c>
      <c r="F369" s="387">
        <f t="shared" si="128"/>
        <v>17.176892518285687</v>
      </c>
      <c r="G369" s="110">
        <f t="shared" si="151"/>
        <v>0.95279529397324891</v>
      </c>
      <c r="H369" s="416" t="b">
        <f>Wh_hp&gt;='2023'!Maxi_hp</f>
        <v>0</v>
      </c>
      <c r="I369" s="392">
        <f>IF(H369,Wh_hp,'2023'!Maxi_hp)</f>
        <v>17.268665801811821</v>
      </c>
      <c r="J369" s="85">
        <f>IF(H369,An,'2023'!An_max)</f>
        <v>2022</v>
      </c>
      <c r="K369" s="199">
        <f t="shared" si="129"/>
        <v>45646</v>
      </c>
      <c r="L369" s="147">
        <f>IF(t&lt;Tvie,1-EXP((T0-t)*PertePVj)+'2023'!Pspv,1-EXP((T0-t)*PertePVj)+Pspv)</f>
        <v>5.2845403116014822E-2</v>
      </c>
      <c r="M369" s="872"/>
      <c r="N369" s="872"/>
      <c r="O369" s="48">
        <f>IF(t&lt;Tnet,'2023'!Resal+('2023'!Salim-'2023'!Resal)*(1-EXP(('2023'!Tnet-t)/('2023'!Tau_j))),Resal+(Salim-Resal)*(1-EXP((Tnet-t)/(Tau_j))))*Salcycl</f>
        <v>6.690478575165193E-2</v>
      </c>
      <c r="P369" s="171">
        <f>(INDEX(Models!$BJ369:$BT369,,T369)*(1-R369)+INDEX(Models!$BJ369:$BT369,,T369+1)*R369-ERP_i)*Q369*Ramure*Pc/MaxiM</f>
        <v>0.18707112813551402</v>
      </c>
      <c r="Q369" s="307">
        <f t="shared" si="130"/>
        <v>0.9</v>
      </c>
      <c r="R369" s="179">
        <f t="shared" si="131"/>
        <v>0.80043856003761515</v>
      </c>
      <c r="S369" s="839">
        <f t="shared" si="132"/>
        <v>1</v>
      </c>
      <c r="T369" s="178">
        <f t="shared" si="133"/>
        <v>7</v>
      </c>
      <c r="U369" s="253">
        <f t="shared" si="134"/>
        <v>1.8004385600376152</v>
      </c>
      <c r="V369" s="385">
        <f t="shared" si="135"/>
        <v>12.952224883096539</v>
      </c>
      <c r="W369" s="404">
        <f t="shared" si="136"/>
        <v>12.486648776924259</v>
      </c>
      <c r="X369" s="157">
        <f t="shared" si="137"/>
        <v>45646</v>
      </c>
      <c r="Y369" s="387">
        <f t="shared" si="138"/>
        <v>11.547054861099829</v>
      </c>
      <c r="Z369" s="387">
        <f t="shared" si="139"/>
        <v>12.19130952759785</v>
      </c>
      <c r="AA369" s="388">
        <f t="shared" si="140"/>
        <v>14.128597816933711</v>
      </c>
      <c r="AB369" s="199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0.13711822747293007</v>
      </c>
      <c r="AD369" s="233">
        <f>(INDEX(Models!$BJ369:$BT369,,AH369)*(1-AF369)+INDEX(Models!$BJ369:$BT369,,AH369+1)*AF369-ERP_i)*AE369*Ramure*Pc/MaxiM</f>
        <v>0.18707112813551402</v>
      </c>
      <c r="AE369" s="307">
        <f t="shared" si="142"/>
        <v>0.9</v>
      </c>
      <c r="AF369" s="179">
        <f t="shared" si="143"/>
        <v>0.80043856003761515</v>
      </c>
      <c r="AG369" s="839">
        <f t="shared" si="149"/>
        <v>1</v>
      </c>
      <c r="AH369" s="178">
        <f t="shared" si="144"/>
        <v>7</v>
      </c>
      <c r="AI369" s="227">
        <f t="shared" si="145"/>
        <v>1.8004385600376152</v>
      </c>
      <c r="AJ369" s="267" t="b">
        <f t="shared" si="146"/>
        <v>0</v>
      </c>
      <c r="AK369" s="267" t="b">
        <f t="shared" si="147"/>
        <v>0</v>
      </c>
      <c r="AL369" s="267"/>
      <c r="AM369" s="267"/>
      <c r="AN369" s="267"/>
    </row>
    <row r="370" spans="1:40" s="18" customFormat="1" ht="11.25" x14ac:dyDescent="0.2">
      <c r="A370" s="56">
        <f t="shared" si="148"/>
        <v>45647</v>
      </c>
      <c r="B370" s="413">
        <f>'2023'!Wh/'2023'!Env_an*'2024'!Env_an</f>
        <v>11.077368131050354</v>
      </c>
      <c r="C370" s="868"/>
      <c r="D370" s="395">
        <f t="shared" si="127"/>
        <v>11.695689341563572</v>
      </c>
      <c r="E370" s="387">
        <f t="shared" si="150"/>
        <v>12.536439998101885</v>
      </c>
      <c r="F370" s="387">
        <f t="shared" si="128"/>
        <v>14.71341655930733</v>
      </c>
      <c r="G370" s="110">
        <f t="shared" si="151"/>
        <v>0.81515527611408112</v>
      </c>
      <c r="H370" s="416" t="b">
        <f>Wh_hp&gt;='2023'!Maxi_hp</f>
        <v>0</v>
      </c>
      <c r="I370" s="392">
        <f>IF(H370,Wh_hp,'2023'!Maxi_hp)</f>
        <v>17.399805301490186</v>
      </c>
      <c r="J370" s="85">
        <f>IF(H370,An,'2023'!An_max)</f>
        <v>2021</v>
      </c>
      <c r="K370" s="199">
        <f t="shared" si="129"/>
        <v>45647</v>
      </c>
      <c r="L370" s="147">
        <f>IF(t&lt;Tvie,1-EXP((T0-t)*PertePVj)+'2023'!Pspv,1-EXP((T0-t)*PertePVj)+Pspv)</f>
        <v>5.2867444787188189E-2</v>
      </c>
      <c r="M370" s="872"/>
      <c r="N370" s="872"/>
      <c r="O370" s="48">
        <f>IF(t&lt;Tnet,'2023'!Resal+('2023'!Salim-'2023'!Resal)*(1-EXP(('2023'!Tnet-t)/('2023'!Tau_j))),Resal+(Salim-Resal)*(1-EXP((Tnet-t)/(Tau_j))))*Salcycl</f>
        <v>6.7064545968840331E-2</v>
      </c>
      <c r="P370" s="171">
        <f>(INDEX(Models!$BJ370:$BT370,,T370)*(1-R370)+INDEX(Models!$BJ370:$BT370,,T370+1)*R370-ERP_i)*Q370*Ramure*Pc/MaxiM</f>
        <v>0.18688928353354489</v>
      </c>
      <c r="Q370" s="307">
        <f t="shared" si="130"/>
        <v>0.9</v>
      </c>
      <c r="R370" s="179">
        <f t="shared" si="131"/>
        <v>0.80044828751593133</v>
      </c>
      <c r="S370" s="839">
        <f t="shared" si="132"/>
        <v>1</v>
      </c>
      <c r="T370" s="178">
        <f t="shared" si="133"/>
        <v>7</v>
      </c>
      <c r="U370" s="253">
        <f t="shared" si="134"/>
        <v>1.8004482875159313</v>
      </c>
      <c r="V370" s="385">
        <f t="shared" si="135"/>
        <v>12.968365258889925</v>
      </c>
      <c r="W370" s="404">
        <f t="shared" si="136"/>
        <v>11.077368131050354</v>
      </c>
      <c r="X370" s="157">
        <f t="shared" si="137"/>
        <v>45647</v>
      </c>
      <c r="Y370" s="387">
        <f t="shared" si="138"/>
        <v>10.244693648013635</v>
      </c>
      <c r="Z370" s="387">
        <f t="shared" si="139"/>
        <v>10.816536282729453</v>
      </c>
      <c r="AA370" s="388">
        <f t="shared" si="140"/>
        <v>12.536439998101885</v>
      </c>
      <c r="AB370" s="199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0.13719235409995484</v>
      </c>
      <c r="AD370" s="233">
        <f>(INDEX(Models!$BJ370:$BT370,,AH370)*(1-AF370)+INDEX(Models!$BJ370:$BT370,,AH370+1)*AF370-ERP_i)*AE370*Ramure*Pc/MaxiM</f>
        <v>0.18688928353354489</v>
      </c>
      <c r="AE370" s="307">
        <f t="shared" si="142"/>
        <v>0.9</v>
      </c>
      <c r="AF370" s="179">
        <f t="shared" si="143"/>
        <v>0.80044828751593133</v>
      </c>
      <c r="AG370" s="839">
        <f t="shared" si="149"/>
        <v>1</v>
      </c>
      <c r="AH370" s="178">
        <f t="shared" si="144"/>
        <v>7</v>
      </c>
      <c r="AI370" s="227">
        <f t="shared" si="145"/>
        <v>1.8004482875159313</v>
      </c>
      <c r="AJ370" s="267" t="b">
        <f t="shared" si="146"/>
        <v>0</v>
      </c>
      <c r="AK370" s="267" t="b">
        <f t="shared" si="147"/>
        <v>0</v>
      </c>
      <c r="AL370" s="267"/>
      <c r="AM370" s="267"/>
      <c r="AN370" s="267"/>
    </row>
    <row r="371" spans="1:40" s="6" customFormat="1" ht="11.25" x14ac:dyDescent="0.2">
      <c r="A371" s="56">
        <f t="shared" si="148"/>
        <v>45648</v>
      </c>
      <c r="B371" s="413">
        <f>'2023'!Wh/'2023'!Env_an*'2024'!Env_an</f>
        <v>11.609323992652941</v>
      </c>
      <c r="C371" s="868"/>
      <c r="D371" s="395">
        <f t="shared" si="127"/>
        <v>12.257623392811279</v>
      </c>
      <c r="E371" s="387">
        <f t="shared" si="150"/>
        <v>13.141025166294463</v>
      </c>
      <c r="F371" s="387">
        <f t="shared" si="128"/>
        <v>15.610398088818854</v>
      </c>
      <c r="G371" s="110">
        <f t="shared" si="151"/>
        <v>0.86330702172725393</v>
      </c>
      <c r="H371" s="416" t="b">
        <f>Wh_hp&gt;='2023'!Maxi_hp</f>
        <v>0</v>
      </c>
      <c r="I371" s="392">
        <f>IF(H371,Wh_hp,'2023'!Maxi_hp)</f>
        <v>16.064164889067985</v>
      </c>
      <c r="J371" s="85">
        <f>IF(H371,An,'2023'!An_max)</f>
        <v>2020</v>
      </c>
      <c r="K371" s="199">
        <f t="shared" si="129"/>
        <v>45648</v>
      </c>
      <c r="L371" s="147">
        <f>IF(t&lt;Tvie,1-EXP((T0-t)*PertePVj)+'2023'!Pspv,1-EXP((T0-t)*PertePVj)+Pspv)</f>
        <v>5.2889485945419534E-2</v>
      </c>
      <c r="M371" s="872"/>
      <c r="N371" s="872"/>
      <c r="O371" s="48">
        <f>IF(t&lt;Tnet,'2023'!Resal+('2023'!Salim-'2023'!Resal)*(1-EXP(('2023'!Tnet-t)/('2023'!Tau_j))),Resal+(Salim-Resal)*(1-EXP((Tnet-t)/(Tau_j))))*Salcycl</f>
        <v>6.7224722752150939E-2</v>
      </c>
      <c r="P371" s="171">
        <f>(INDEX(Models!$BJ371:$BT371,,T371)*(1-R371)+INDEX(Models!$BJ371:$BT371,,T371+1)*R371-ERP_i)*Q371*Ramure*Pc/MaxiM</f>
        <v>0.18658906364220332</v>
      </c>
      <c r="Q371" s="307">
        <f t="shared" si="130"/>
        <v>0.9</v>
      </c>
      <c r="R371" s="179">
        <f t="shared" si="131"/>
        <v>0.80044828751593133</v>
      </c>
      <c r="S371" s="839">
        <f t="shared" si="132"/>
        <v>1</v>
      </c>
      <c r="T371" s="178">
        <f t="shared" si="133"/>
        <v>7</v>
      </c>
      <c r="U371" s="253">
        <f t="shared" si="134"/>
        <v>1.8004482875159313</v>
      </c>
      <c r="V371" s="385">
        <f t="shared" si="135"/>
        <v>12.993806555766133</v>
      </c>
      <c r="W371" s="404">
        <f t="shared" si="136"/>
        <v>11.609323992652941</v>
      </c>
      <c r="X371" s="157">
        <f t="shared" si="137"/>
        <v>45648</v>
      </c>
      <c r="Y371" s="387">
        <f t="shared" si="138"/>
        <v>10.737569253073168</v>
      </c>
      <c r="Z371" s="387">
        <f t="shared" si="139"/>
        <v>11.33718725928364</v>
      </c>
      <c r="AA371" s="388">
        <f t="shared" si="140"/>
        <v>13.141025166294463</v>
      </c>
      <c r="AB371" s="199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0.13726767007778851</v>
      </c>
      <c r="AD371" s="233">
        <f>(INDEX(Models!$BJ371:$BT371,,AH371)*(1-AF371)+INDEX(Models!$BJ371:$BT371,,AH371+1)*AF371-ERP_i)*AE371*Ramure*Pc/MaxiM</f>
        <v>0.18658906364220332</v>
      </c>
      <c r="AE371" s="307">
        <f t="shared" si="142"/>
        <v>0.9</v>
      </c>
      <c r="AF371" s="179">
        <f t="shared" si="143"/>
        <v>0.80044828751593133</v>
      </c>
      <c r="AG371" s="839">
        <f t="shared" si="149"/>
        <v>1</v>
      </c>
      <c r="AH371" s="178">
        <f t="shared" si="144"/>
        <v>7</v>
      </c>
      <c r="AI371" s="227">
        <f t="shared" si="145"/>
        <v>1.8004482875159313</v>
      </c>
      <c r="AJ371" s="267" t="b">
        <f t="shared" si="146"/>
        <v>0</v>
      </c>
      <c r="AK371" s="267" t="b">
        <f t="shared" si="147"/>
        <v>0</v>
      </c>
      <c r="AL371" s="267"/>
      <c r="AM371" s="267"/>
      <c r="AN371" s="75"/>
    </row>
    <row r="372" spans="1:40" s="6" customFormat="1" ht="11.25" x14ac:dyDescent="0.2">
      <c r="A372" s="56">
        <f t="shared" si="148"/>
        <v>45649</v>
      </c>
      <c r="B372" s="413">
        <f>'2023'!Wh/'2023'!Env_an*'2024'!Env_an</f>
        <v>13.22298977325063</v>
      </c>
      <c r="C372" s="868"/>
      <c r="D372" s="395">
        <f t="shared" si="127"/>
        <v>13.961726010296809</v>
      </c>
      <c r="E372" s="387">
        <f t="shared" si="150"/>
        <v>14.970518420053944</v>
      </c>
      <c r="F372" s="387">
        <f t="shared" si="128"/>
        <v>18.395161157636583</v>
      </c>
      <c r="G372" s="110">
        <f t="shared" si="151"/>
        <v>1.014916642032514</v>
      </c>
      <c r="H372" s="416" t="b">
        <f>Wh_hp&gt;='2023'!Maxi_hp</f>
        <v>1</v>
      </c>
      <c r="I372" s="392">
        <f>IF(H372,Wh_hp,'2023'!Maxi_hp)</f>
        <v>18.395161157636583</v>
      </c>
      <c r="J372" s="85">
        <f>IF(H372,An,'2023'!An_max)</f>
        <v>2024</v>
      </c>
      <c r="K372" s="199">
        <f t="shared" si="129"/>
        <v>45649</v>
      </c>
      <c r="L372" s="147">
        <f>IF(t&lt;Tvie,1-EXP((T0-t)*PertePVj)+'2023'!Pspv,1-EXP((T0-t)*PertePVj)+Pspv)</f>
        <v>5.2911526590720959E-2</v>
      </c>
      <c r="M372" s="872"/>
      <c r="N372" s="872"/>
      <c r="O372" s="48">
        <f>IF(t&lt;Tnet,'2023'!Resal+('2023'!Salim-'2023'!Resal)*(1-EXP(('2023'!Tnet-t)/('2023'!Tau_j))),Resal+(Salim-Resal)*(1-EXP((Tnet-t)/(Tau_j))))*Salcycl</f>
        <v>6.7385268930018699E-2</v>
      </c>
      <c r="P372" s="171">
        <f>(INDEX(Models!$BJ372:$BT372,,T372)*(1-R372)+INDEX(Models!$BJ372:$BT372,,T372+1)*R372-ERP_i)*Q372*Ramure*Pc/MaxiM</f>
        <v>0.1861708472263604</v>
      </c>
      <c r="Q372" s="307">
        <f t="shared" si="130"/>
        <v>0.9</v>
      </c>
      <c r="R372" s="179">
        <f t="shared" si="131"/>
        <v>0.80044828751593133</v>
      </c>
      <c r="S372" s="839">
        <f t="shared" si="132"/>
        <v>1</v>
      </c>
      <c r="T372" s="178">
        <f t="shared" si="133"/>
        <v>7</v>
      </c>
      <c r="U372" s="253">
        <f t="shared" si="134"/>
        <v>1.8004482875159313</v>
      </c>
      <c r="V372" s="385">
        <f t="shared" si="135"/>
        <v>13.028646122867514</v>
      </c>
      <c r="W372" s="404">
        <f t="shared" si="136"/>
        <v>13.22298977325063</v>
      </c>
      <c r="X372" s="157">
        <f t="shared" si="137"/>
        <v>45649</v>
      </c>
      <c r="Y372" s="387">
        <f t="shared" si="138"/>
        <v>12.231085504204477</v>
      </c>
      <c r="Z372" s="387">
        <f t="shared" si="139"/>
        <v>12.914406465296386</v>
      </c>
      <c r="AA372" s="388">
        <f t="shared" si="140"/>
        <v>14.970518420053944</v>
      </c>
      <c r="AB372" s="199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0.1373440716657659</v>
      </c>
      <c r="AD372" s="233">
        <f>(INDEX(Models!$BJ372:$BT372,,AH372)*(1-AF372)+INDEX(Models!$BJ372:$BT372,,AH372+1)*AF372-ERP_i)*AE372*Ramure*Pc/MaxiM</f>
        <v>0.1861708472263604</v>
      </c>
      <c r="AE372" s="307">
        <f t="shared" si="142"/>
        <v>0.9</v>
      </c>
      <c r="AF372" s="179">
        <f t="shared" si="143"/>
        <v>0.80044828751593133</v>
      </c>
      <c r="AG372" s="839">
        <f t="shared" si="149"/>
        <v>1</v>
      </c>
      <c r="AH372" s="178">
        <f t="shared" si="144"/>
        <v>7</v>
      </c>
      <c r="AI372" s="227">
        <f t="shared" si="145"/>
        <v>1.8004482875159313</v>
      </c>
      <c r="AJ372" s="267" t="b">
        <f t="shared" si="146"/>
        <v>0</v>
      </c>
      <c r="AK372" s="267" t="b">
        <f t="shared" si="147"/>
        <v>0</v>
      </c>
      <c r="AL372" s="267"/>
      <c r="AM372" s="267"/>
      <c r="AN372" s="75"/>
    </row>
    <row r="373" spans="1:40" s="6" customFormat="1" ht="11.25" x14ac:dyDescent="0.2">
      <c r="A373" s="56">
        <f t="shared" si="148"/>
        <v>45650</v>
      </c>
      <c r="B373" s="413">
        <f>'2023'!Wh/'2023'!Env_an*'2024'!Env_an</f>
        <v>7.4778714394252361</v>
      </c>
      <c r="C373" s="868"/>
      <c r="D373" s="395">
        <f t="shared" si="127"/>
        <v>7.895825653488151</v>
      </c>
      <c r="E373" s="387">
        <f t="shared" si="150"/>
        <v>8.4677923310312533</v>
      </c>
      <c r="F373" s="387">
        <f t="shared" si="128"/>
        <v>9.1260580586088693</v>
      </c>
      <c r="G373" s="110">
        <f t="shared" si="151"/>
        <v>0.50202819400428333</v>
      </c>
      <c r="H373" s="416" t="b">
        <f>Wh_hp&gt;='2023'!Maxi_hp</f>
        <v>0</v>
      </c>
      <c r="I373" s="392">
        <f>IF(H373,Wh_hp,'2023'!Maxi_hp)</f>
        <v>13.899256266993024</v>
      </c>
      <c r="J373" s="85">
        <f>IF(H373,An,'2023'!An_max)</f>
        <v>2018</v>
      </c>
      <c r="K373" s="199">
        <f t="shared" si="129"/>
        <v>45650</v>
      </c>
      <c r="L373" s="147">
        <f>IF(t&lt;Tvie,1-EXP((T0-t)*PertePVj)+'2023'!Pspv,1-EXP((T0-t)*PertePVj)+Pspv)</f>
        <v>5.2933566723104453E-2</v>
      </c>
      <c r="M373" s="872"/>
      <c r="N373" s="872"/>
      <c r="O373" s="48">
        <f>IF(t&lt;Tnet,'2023'!Resal+('2023'!Salim-'2023'!Resal)*(1-EXP(('2023'!Tnet-t)/('2023'!Tau_j))),Resal+(Salim-Resal)*(1-EXP((Tnet-t)/(Tau_j))))*Salcycl</f>
        <v>6.7546138967893743E-2</v>
      </c>
      <c r="P373" s="171">
        <f>(INDEX(Models!$BJ373:$BT373,,T373)*(1-R373)+INDEX(Models!$BJ373:$BT373,,T373+1)*R373-ERP_i)*Q373*Ramure*Pc/MaxiM</f>
        <v>0.18563135809217976</v>
      </c>
      <c r="Q373" s="307">
        <f t="shared" si="130"/>
        <v>0.9</v>
      </c>
      <c r="R373" s="179">
        <f t="shared" si="131"/>
        <v>0.80044828751593133</v>
      </c>
      <c r="S373" s="839">
        <f t="shared" si="132"/>
        <v>1</v>
      </c>
      <c r="T373" s="178">
        <f t="shared" si="133"/>
        <v>7</v>
      </c>
      <c r="U373" s="253">
        <f t="shared" si="134"/>
        <v>1.8004482875159313</v>
      </c>
      <c r="V373" s="385">
        <f t="shared" si="135"/>
        <v>13.073261781754706</v>
      </c>
      <c r="W373" s="404">
        <f t="shared" si="136"/>
        <v>7.4778714394252361</v>
      </c>
      <c r="X373" s="157">
        <f t="shared" si="137"/>
        <v>45650</v>
      </c>
      <c r="Y373" s="387">
        <f t="shared" si="138"/>
        <v>6.9175019845308654</v>
      </c>
      <c r="Z373" s="387">
        <f t="shared" si="139"/>
        <v>7.3041359523174894</v>
      </c>
      <c r="AA373" s="388">
        <f t="shared" si="140"/>
        <v>8.4677923310312533</v>
      </c>
      <c r="AB373" s="199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0.13742145924497987</v>
      </c>
      <c r="AD373" s="233">
        <f>(INDEX(Models!$BJ373:$BT373,,AH373)*(1-AF373)+INDEX(Models!$BJ373:$BT373,,AH373+1)*AF373-ERP_i)*AE373*Ramure*Pc/MaxiM</f>
        <v>0.18563135809217976</v>
      </c>
      <c r="AE373" s="307">
        <f t="shared" si="142"/>
        <v>0.9</v>
      </c>
      <c r="AF373" s="179">
        <f t="shared" si="143"/>
        <v>0.80044828751593133</v>
      </c>
      <c r="AG373" s="839">
        <f t="shared" si="149"/>
        <v>1</v>
      </c>
      <c r="AH373" s="178">
        <f t="shared" si="144"/>
        <v>7</v>
      </c>
      <c r="AI373" s="227">
        <f t="shared" si="145"/>
        <v>1.8004482875159313</v>
      </c>
      <c r="AJ373" s="267" t="b">
        <f t="shared" si="146"/>
        <v>0</v>
      </c>
      <c r="AK373" s="267" t="b">
        <f t="shared" si="147"/>
        <v>0</v>
      </c>
      <c r="AL373" s="267"/>
      <c r="AM373" s="267"/>
      <c r="AN373" s="75"/>
    </row>
    <row r="374" spans="1:40" s="6" customFormat="1" ht="11.25" x14ac:dyDescent="0.2">
      <c r="A374" s="56">
        <f t="shared" si="148"/>
        <v>45651</v>
      </c>
      <c r="B374" s="413">
        <f>'2023'!Wh/'2023'!Env_an*'2024'!Env_an</f>
        <v>11.635212735635177</v>
      </c>
      <c r="C374" s="868"/>
      <c r="D374" s="395">
        <f t="shared" si="127"/>
        <v>12.285815547358673</v>
      </c>
      <c r="E374" s="387">
        <f t="shared" si="150"/>
        <v>13.178066721962169</v>
      </c>
      <c r="F374" s="387">
        <f t="shared" si="128"/>
        <v>15.593994109469532</v>
      </c>
      <c r="G374" s="110">
        <f t="shared" si="151"/>
        <v>0.85479366514257249</v>
      </c>
      <c r="H374" s="416" t="b">
        <f>Wh_hp&gt;='2023'!Maxi_hp</f>
        <v>0</v>
      </c>
      <c r="I374" s="392">
        <f>IF(H374,Wh_hp,'2023'!Maxi_hp)</f>
        <v>17.569018811526597</v>
      </c>
      <c r="J374" s="85">
        <f>IF(H374,An,'2023'!An_max)</f>
        <v>2018</v>
      </c>
      <c r="K374" s="199">
        <f t="shared" si="129"/>
        <v>45651</v>
      </c>
      <c r="L374" s="147">
        <f>IF(t&lt;Tvie,1-EXP((T0-t)*PertePVj)+'2023'!Pspv,1-EXP((T0-t)*PertePVj)+Pspv)</f>
        <v>5.2955606342581785E-2</v>
      </c>
      <c r="M374" s="872"/>
      <c r="N374" s="872"/>
      <c r="O374" s="48">
        <f>IF(t&lt;Tnet,'2023'!Resal+('2023'!Salim-'2023'!Resal)*(1-EXP(('2023'!Tnet-t)/('2023'!Tau_j))),Resal+(Salim-Resal)*(1-EXP((Tnet-t)/(Tau_j))))*Salcycl</f>
        <v>6.7707289197170062E-2</v>
      </c>
      <c r="P374" s="171">
        <f>(INDEX(Models!$BJ374:$BT374,,T374)*(1-R374)+INDEX(Models!$BJ374:$BT374,,T374+1)*R374-ERP_i)*Q374*Ramure*Pc/MaxiM</f>
        <v>0.18497044863767229</v>
      </c>
      <c r="Q374" s="307">
        <f t="shared" si="130"/>
        <v>0.9</v>
      </c>
      <c r="R374" s="179">
        <f t="shared" si="131"/>
        <v>0.80044828751593133</v>
      </c>
      <c r="S374" s="839">
        <f t="shared" si="132"/>
        <v>1</v>
      </c>
      <c r="T374" s="178">
        <f t="shared" si="133"/>
        <v>7</v>
      </c>
      <c r="U374" s="253">
        <f t="shared" si="134"/>
        <v>1.8004482875159313</v>
      </c>
      <c r="V374" s="385">
        <f t="shared" si="135"/>
        <v>13.127803053552549</v>
      </c>
      <c r="W374" s="404">
        <f t="shared" si="136"/>
        <v>11.635212735635177</v>
      </c>
      <c r="X374" s="157">
        <f t="shared" si="137"/>
        <v>45651</v>
      </c>
      <c r="Y374" s="387">
        <f t="shared" si="138"/>
        <v>10.76418802768678</v>
      </c>
      <c r="Z374" s="387">
        <f t="shared" si="139"/>
        <v>11.366086003757701</v>
      </c>
      <c r="AA374" s="388">
        <f t="shared" si="140"/>
        <v>13.178066721962169</v>
      </c>
      <c r="AB374" s="199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0.13749973774109644</v>
      </c>
      <c r="AD374" s="233">
        <f>(INDEX(Models!$BJ374:$BT374,,AH374)*(1-AF374)+INDEX(Models!$BJ374:$BT374,,AH374+1)*AF374-ERP_i)*AE374*Ramure*Pc/MaxiM</f>
        <v>0.18497044863767229</v>
      </c>
      <c r="AE374" s="307">
        <f t="shared" si="142"/>
        <v>0.9</v>
      </c>
      <c r="AF374" s="179">
        <f t="shared" si="143"/>
        <v>0.80044828751593133</v>
      </c>
      <c r="AG374" s="839">
        <f t="shared" si="149"/>
        <v>1</v>
      </c>
      <c r="AH374" s="178">
        <f t="shared" si="144"/>
        <v>7</v>
      </c>
      <c r="AI374" s="227">
        <f t="shared" si="145"/>
        <v>1.8004482875159313</v>
      </c>
      <c r="AJ374" s="267" t="b">
        <f t="shared" si="146"/>
        <v>0</v>
      </c>
      <c r="AK374" s="267" t="b">
        <f t="shared" si="147"/>
        <v>0</v>
      </c>
      <c r="AL374" s="267"/>
      <c r="AM374" s="267"/>
      <c r="AN374" s="75"/>
    </row>
    <row r="375" spans="1:40" s="6" customFormat="1" ht="11.25" x14ac:dyDescent="0.2">
      <c r="A375" s="56">
        <f t="shared" si="148"/>
        <v>45652</v>
      </c>
      <c r="B375" s="413">
        <f>'2023'!Wh/'2023'!Env_an*'2024'!Env_an</f>
        <v>5.54693000661449</v>
      </c>
      <c r="C375" s="868"/>
      <c r="D375" s="395">
        <f t="shared" si="127"/>
        <v>5.8572323873445988</v>
      </c>
      <c r="E375" s="387">
        <f t="shared" si="150"/>
        <v>6.2836987120018346</v>
      </c>
      <c r="F375" s="387">
        <f t="shared" si="128"/>
        <v>6.489304477427706</v>
      </c>
      <c r="G375" s="110">
        <f t="shared" si="151"/>
        <v>0.35425097531696642</v>
      </c>
      <c r="H375" s="416" t="b">
        <f>Wh_hp&gt;='2023'!Maxi_hp</f>
        <v>0</v>
      </c>
      <c r="I375" s="392">
        <f>IF(H375,Wh_hp,'2023'!Maxi_hp)</f>
        <v>17.805021501401317</v>
      </c>
      <c r="J375" s="85">
        <f>IF(H375,An,'2023'!An_max)</f>
        <v>2018</v>
      </c>
      <c r="K375" s="199">
        <f t="shared" si="129"/>
        <v>45652</v>
      </c>
      <c r="L375" s="147">
        <f>IF(t&lt;Tvie,1-EXP((T0-t)*PertePVj)+'2023'!Pspv,1-EXP((T0-t)*PertePVj)+Pspv)</f>
        <v>5.2977645449165056E-2</v>
      </c>
      <c r="M375" s="872"/>
      <c r="N375" s="872"/>
      <c r="O375" s="48">
        <f>IF(t&lt;Tnet,'2023'!Resal+('2023'!Salim-'2023'!Resal)*(1-EXP(('2023'!Tnet-t)/('2023'!Tau_j))),Resal+(Salim-Resal)*(1-EXP((Tnet-t)/(Tau_j))))*Salcycl</f>
        <v>6.7868678019633172E-2</v>
      </c>
      <c r="P375" s="171">
        <f>(INDEX(Models!$BJ375:$BT375,,T375)*(1-R375)+INDEX(Models!$BJ375:$BT375,,T375+1)*R375-ERP_i)*Q375*Ramure*Pc/MaxiM</f>
        <v>0.18413675397951376</v>
      </c>
      <c r="Q375" s="307">
        <f t="shared" si="130"/>
        <v>0.9</v>
      </c>
      <c r="R375" s="179">
        <f t="shared" si="131"/>
        <v>0.80044828751593133</v>
      </c>
      <c r="S375" s="839">
        <f t="shared" si="132"/>
        <v>1</v>
      </c>
      <c r="T375" s="178">
        <f t="shared" si="133"/>
        <v>7</v>
      </c>
      <c r="U375" s="253">
        <f t="shared" si="134"/>
        <v>1.8004482875159313</v>
      </c>
      <c r="V375" s="385">
        <f t="shared" si="135"/>
        <v>13.192946410045849</v>
      </c>
      <c r="W375" s="404">
        <f t="shared" si="136"/>
        <v>5.54693000661449</v>
      </c>
      <c r="X375" s="157">
        <f t="shared" si="137"/>
        <v>45652</v>
      </c>
      <c r="Y375" s="387">
        <f t="shared" si="138"/>
        <v>5.1320986920561458</v>
      </c>
      <c r="Z375" s="387">
        <f t="shared" si="139"/>
        <v>5.4191948768624991</v>
      </c>
      <c r="AA375" s="388">
        <f t="shared" si="140"/>
        <v>6.2836987120018346</v>
      </c>
      <c r="AB375" s="199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0.13757881699326807</v>
      </c>
      <c r="AD375" s="233">
        <f>(INDEX(Models!$BJ375:$BT375,,AH375)*(1-AF375)+INDEX(Models!$BJ375:$BT375,,AH375+1)*AF375-ERP_i)*AE375*Ramure*Pc/MaxiM</f>
        <v>0.18413675397951376</v>
      </c>
      <c r="AE375" s="307">
        <f t="shared" si="142"/>
        <v>0.9</v>
      </c>
      <c r="AF375" s="179">
        <f t="shared" si="143"/>
        <v>0.80044828751593133</v>
      </c>
      <c r="AG375" s="839">
        <f t="shared" si="149"/>
        <v>1</v>
      </c>
      <c r="AH375" s="178">
        <f t="shared" si="144"/>
        <v>7</v>
      </c>
      <c r="AI375" s="227">
        <f t="shared" si="145"/>
        <v>1.8004482875159313</v>
      </c>
      <c r="AJ375" s="267" t="b">
        <f t="shared" si="146"/>
        <v>0</v>
      </c>
      <c r="AK375" s="267" t="b">
        <f t="shared" si="147"/>
        <v>0</v>
      </c>
      <c r="AL375" s="267"/>
      <c r="AM375" s="267"/>
      <c r="AN375" s="75"/>
    </row>
    <row r="376" spans="1:40" s="6" customFormat="1" ht="11.25" x14ac:dyDescent="0.2">
      <c r="A376" s="56">
        <f t="shared" si="148"/>
        <v>45653</v>
      </c>
      <c r="B376" s="413">
        <f>'2023'!Wh/'2023'!Env_an*'2024'!Env_an</f>
        <v>12.351857988234556</v>
      </c>
      <c r="C376" s="868"/>
      <c r="D376" s="395">
        <f t="shared" si="127"/>
        <v>13.04314030323266</v>
      </c>
      <c r="E376" s="387">
        <f t="shared" si="150"/>
        <v>13.995240219293064</v>
      </c>
      <c r="F376" s="387">
        <f t="shared" si="128"/>
        <v>16.762232356436478</v>
      </c>
      <c r="G376" s="110">
        <f t="shared" si="151"/>
        <v>0.91077888228240778</v>
      </c>
      <c r="H376" s="416" t="b">
        <f>Wh_hp&gt;='2023'!Maxi_hp</f>
        <v>0</v>
      </c>
      <c r="I376" s="392">
        <f>IF(H376,Wh_hp,'2023'!Maxi_hp)</f>
        <v>16.929099541079747</v>
      </c>
      <c r="J376" s="85">
        <f>IF(H376,An,'2023'!An_max)</f>
        <v>2022</v>
      </c>
      <c r="K376" s="199">
        <f t="shared" si="129"/>
        <v>45653</v>
      </c>
      <c r="L376" s="147">
        <f>IF(t&lt;Tvie,1-EXP((T0-t)*PertePVj)+'2023'!Pspv,1-EXP((T0-t)*PertePVj)+Pspv)</f>
        <v>5.2999684042866035E-2</v>
      </c>
      <c r="M376" s="872"/>
      <c r="N376" s="872"/>
      <c r="O376" s="48">
        <f>IF(t&lt;Tnet,'2023'!Resal+('2023'!Salim-'2023'!Resal)*(1-EXP(('2023'!Tnet-t)/('2023'!Tau_j))),Resal+(Salim-Resal)*(1-EXP((Tnet-t)/(Tau_j))))*Salcycl</f>
        <v>6.803026608631503E-2</v>
      </c>
      <c r="P376" s="171">
        <f>(INDEX(Models!$BJ376:$BT376,,T376)*(1-R376)+INDEX(Models!$BJ376:$BT376,,T376+1)*R376-ERP_i)*Q376*Ramure*Pc/MaxiM</f>
        <v>0.18314457777020665</v>
      </c>
      <c r="Q376" s="307">
        <f t="shared" si="130"/>
        <v>0.9</v>
      </c>
      <c r="R376" s="179">
        <f t="shared" si="131"/>
        <v>0.80044828751593133</v>
      </c>
      <c r="S376" s="839">
        <f t="shared" si="132"/>
        <v>1</v>
      </c>
      <c r="T376" s="178">
        <f t="shared" si="133"/>
        <v>7</v>
      </c>
      <c r="U376" s="253">
        <f t="shared" si="134"/>
        <v>1.8004482875159313</v>
      </c>
      <c r="V376" s="385">
        <f t="shared" si="135"/>
        <v>13.268322929454381</v>
      </c>
      <c r="W376" s="404">
        <f t="shared" si="136"/>
        <v>12.351857988234556</v>
      </c>
      <c r="X376" s="157">
        <f t="shared" si="137"/>
        <v>45653</v>
      </c>
      <c r="Y376" s="387">
        <f t="shared" si="138"/>
        <v>11.429038919953243</v>
      </c>
      <c r="Z376" s="387">
        <f t="shared" si="139"/>
        <v>12.068674875152395</v>
      </c>
      <c r="AA376" s="388">
        <f t="shared" si="140"/>
        <v>13.995240219293064</v>
      </c>
      <c r="AB376" s="199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0.1376586120676096</v>
      </c>
      <c r="AD376" s="233">
        <f>(INDEX(Models!$BJ376:$BT376,,AH376)*(1-AF376)+INDEX(Models!$BJ376:$BT376,,AH376+1)*AF376-ERP_i)*AE376*Ramure*Pc/MaxiM</f>
        <v>0.18314457777020665</v>
      </c>
      <c r="AE376" s="307">
        <f t="shared" si="142"/>
        <v>0.9</v>
      </c>
      <c r="AF376" s="179">
        <f t="shared" si="143"/>
        <v>0.80044828751593133</v>
      </c>
      <c r="AG376" s="839">
        <f t="shared" si="149"/>
        <v>1</v>
      </c>
      <c r="AH376" s="178">
        <f t="shared" si="144"/>
        <v>7</v>
      </c>
      <c r="AI376" s="227">
        <f t="shared" si="145"/>
        <v>1.8004482875159313</v>
      </c>
      <c r="AJ376" s="267" t="b">
        <f t="shared" si="146"/>
        <v>0</v>
      </c>
      <c r="AK376" s="267" t="b">
        <f t="shared" si="147"/>
        <v>0</v>
      </c>
      <c r="AL376" s="267"/>
      <c r="AM376" s="267"/>
      <c r="AN376" s="75"/>
    </row>
    <row r="377" spans="1:40" s="6" customFormat="1" ht="11.25" x14ac:dyDescent="0.2">
      <c r="A377" s="56">
        <f t="shared" si="148"/>
        <v>45654</v>
      </c>
      <c r="B377" s="413">
        <f>'2023'!Wh/'2023'!Env_an*'2024'!Env_an</f>
        <v>8.3069339159229578</v>
      </c>
      <c r="C377" s="868"/>
      <c r="D377" s="395">
        <f t="shared" si="127"/>
        <v>8.7720427278988033</v>
      </c>
      <c r="E377" s="387">
        <f t="shared" si="150"/>
        <v>9.4140025442560606</v>
      </c>
      <c r="F377" s="387">
        <f t="shared" si="128"/>
        <v>10.274356928821826</v>
      </c>
      <c r="G377" s="110">
        <f t="shared" si="151"/>
        <v>0.55535759202435986</v>
      </c>
      <c r="H377" s="416" t="b">
        <f>Wh_hp&gt;='2023'!Maxi_hp</f>
        <v>0</v>
      </c>
      <c r="I377" s="392">
        <f>IF(H377,Wh_hp,'2023'!Maxi_hp)</f>
        <v>18.983624487934243</v>
      </c>
      <c r="J377" s="85">
        <f>IF(H377,An,'2023'!An_max)</f>
        <v>2019</v>
      </c>
      <c r="K377" s="199">
        <f t="shared" si="129"/>
        <v>45654</v>
      </c>
      <c r="L377" s="147">
        <f>IF(t&lt;Tvie,1-EXP((T0-t)*PertePVj)+'2023'!Pspv,1-EXP((T0-t)*PertePVj)+Pspv)</f>
        <v>5.3021722123696824E-2</v>
      </c>
      <c r="M377" s="872"/>
      <c r="N377" s="872"/>
      <c r="O377" s="48">
        <f>IF(t&lt;Tnet,'2023'!Resal+('2023'!Salim-'2023'!Resal)*(1-EXP(('2023'!Tnet-t)/('2023'!Tau_j))),Resal+(Salim-Resal)*(1-EXP((Tnet-t)/(Tau_j))))*Salcycl</f>
        <v>6.8192016449894491E-2</v>
      </c>
      <c r="P377" s="171">
        <f>(INDEX(Models!$BJ377:$BT377,,T377)*(1-R377)+INDEX(Models!$BJ377:$BT377,,T377+1)*R377-ERP_i)*Q377*Ramure*Pc/MaxiM</f>
        <v>0.18199984302539371</v>
      </c>
      <c r="Q377" s="307">
        <f t="shared" si="130"/>
        <v>0.9</v>
      </c>
      <c r="R377" s="179">
        <f t="shared" si="131"/>
        <v>0.80044828751593133</v>
      </c>
      <c r="S377" s="839">
        <f t="shared" si="132"/>
        <v>1</v>
      </c>
      <c r="T377" s="178">
        <f t="shared" si="133"/>
        <v>7</v>
      </c>
      <c r="U377" s="253">
        <f t="shared" si="134"/>
        <v>1.8004482875159313</v>
      </c>
      <c r="V377" s="385">
        <f t="shared" si="135"/>
        <v>13.353704661159711</v>
      </c>
      <c r="W377" s="404">
        <f t="shared" si="136"/>
        <v>8.3069339159229578</v>
      </c>
      <c r="X377" s="157">
        <f t="shared" si="137"/>
        <v>45654</v>
      </c>
      <c r="Y377" s="387">
        <f t="shared" si="138"/>
        <v>7.6869321901691112</v>
      </c>
      <c r="Z377" s="387">
        <f t="shared" si="139"/>
        <v>8.1173268381697756</v>
      </c>
      <c r="AA377" s="388">
        <f t="shared" si="140"/>
        <v>9.4140025442560606</v>
      </c>
      <c r="AB377" s="199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0.13773904351422228</v>
      </c>
      <c r="AD377" s="233">
        <f>(INDEX(Models!$BJ377:$BT377,,AH377)*(1-AF377)+INDEX(Models!$BJ377:$BT377,,AH377+1)*AF377-ERP_i)*AE377*Ramure*Pc/MaxiM</f>
        <v>0.18199984302539371</v>
      </c>
      <c r="AE377" s="307">
        <f t="shared" si="142"/>
        <v>0.9</v>
      </c>
      <c r="AF377" s="179">
        <f t="shared" si="143"/>
        <v>0.80044828751593133</v>
      </c>
      <c r="AG377" s="839">
        <f t="shared" si="149"/>
        <v>1</v>
      </c>
      <c r="AH377" s="178">
        <f t="shared" si="144"/>
        <v>7</v>
      </c>
      <c r="AI377" s="227">
        <f t="shared" si="145"/>
        <v>1.8004482875159313</v>
      </c>
      <c r="AJ377" s="267" t="b">
        <f t="shared" si="146"/>
        <v>0</v>
      </c>
      <c r="AK377" s="267" t="b">
        <f t="shared" si="147"/>
        <v>0</v>
      </c>
      <c r="AL377" s="267"/>
      <c r="AM377" s="267"/>
      <c r="AN377" s="75"/>
    </row>
    <row r="378" spans="1:40" s="6" customFormat="1" ht="11.25" x14ac:dyDescent="0.2">
      <c r="A378" s="56">
        <f t="shared" si="148"/>
        <v>45655</v>
      </c>
      <c r="B378" s="413">
        <f>'2023'!Wh/'2023'!Env_an*'2024'!Env_an</f>
        <v>10.567989596305992</v>
      </c>
      <c r="C378" s="868"/>
      <c r="D378" s="395">
        <f t="shared" si="127"/>
        <v>11.159955599284118</v>
      </c>
      <c r="E378" s="387">
        <f t="shared" si="150"/>
        <v>11.978749801751349</v>
      </c>
      <c r="F378" s="387">
        <f t="shared" si="128"/>
        <v>13.696408981837463</v>
      </c>
      <c r="G378" s="110">
        <f t="shared" si="151"/>
        <v>0.73610589069501564</v>
      </c>
      <c r="H378" s="416" t="b">
        <f>Wh_hp&gt;='2023'!Maxi_hp</f>
        <v>0</v>
      </c>
      <c r="I378" s="392">
        <f>IF(H378,Wh_hp,'2023'!Maxi_hp)</f>
        <v>18.10568803478461</v>
      </c>
      <c r="J378" s="85">
        <f>IF(H378,An,'2023'!An_max)</f>
        <v>2019</v>
      </c>
      <c r="K378" s="199">
        <f t="shared" si="129"/>
        <v>45655</v>
      </c>
      <c r="L378" s="147">
        <f>IF(t&lt;Tvie,1-EXP((T0-t)*PertePVj)+'2023'!Pspv,1-EXP((T0-t)*PertePVj)+Pspv)</f>
        <v>5.304375969166919E-2</v>
      </c>
      <c r="M378" s="872"/>
      <c r="N378" s="872"/>
      <c r="O378" s="48">
        <f>IF(t&lt;Tnet,'2023'!Resal+('2023'!Salim-'2023'!Resal)*(1-EXP(('2023'!Tnet-t)/('2023'!Tau_j))),Resal+(Salim-Resal)*(1-EXP((Tnet-t)/(Tau_j))))*Salcycl</f>
        <v>6.8353894690038469E-2</v>
      </c>
      <c r="P378" s="171">
        <f>(INDEX(Models!$BJ378:$BT378,,T378)*(1-R378)+INDEX(Models!$BJ378:$BT378,,T378+1)*R378-ERP_i)*Q378*Ramure*Pc/MaxiM</f>
        <v>0.18070879625192324</v>
      </c>
      <c r="Q378" s="307">
        <f t="shared" si="130"/>
        <v>0.9</v>
      </c>
      <c r="R378" s="179">
        <f t="shared" si="131"/>
        <v>0.80044828751593133</v>
      </c>
      <c r="S378" s="839">
        <f t="shared" si="132"/>
        <v>1</v>
      </c>
      <c r="T378" s="178">
        <f t="shared" si="133"/>
        <v>7</v>
      </c>
      <c r="U378" s="253">
        <f t="shared" si="134"/>
        <v>1.8004482875159313</v>
      </c>
      <c r="V378" s="385">
        <f t="shared" si="135"/>
        <v>13.448863874515284</v>
      </c>
      <c r="W378" s="404">
        <f t="shared" si="136"/>
        <v>10.567989596305992</v>
      </c>
      <c r="X378" s="157">
        <f t="shared" si="137"/>
        <v>45655</v>
      </c>
      <c r="Y378" s="387">
        <f t="shared" si="138"/>
        <v>9.780010694190695</v>
      </c>
      <c r="Z378" s="387">
        <f t="shared" si="139"/>
        <v>10.327838054064996</v>
      </c>
      <c r="AA378" s="388">
        <f t="shared" si="140"/>
        <v>11.978749801751349</v>
      </c>
      <c r="AB378" s="199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0.13782003756727446</v>
      </c>
      <c r="AD378" s="233">
        <f>(INDEX(Models!$BJ378:$BT378,,AH378)*(1-AF378)+INDEX(Models!$BJ378:$BT378,,AH378+1)*AF378-ERP_i)*AE378*Ramure*Pc/MaxiM</f>
        <v>0.18070879625192324</v>
      </c>
      <c r="AE378" s="307">
        <f t="shared" si="142"/>
        <v>0.9</v>
      </c>
      <c r="AF378" s="179">
        <f t="shared" si="143"/>
        <v>0.80044828751593133</v>
      </c>
      <c r="AG378" s="839">
        <f t="shared" si="149"/>
        <v>1</v>
      </c>
      <c r="AH378" s="178">
        <f t="shared" si="144"/>
        <v>7</v>
      </c>
      <c r="AI378" s="227">
        <f t="shared" si="145"/>
        <v>1.8004482875159313</v>
      </c>
      <c r="AJ378" s="267" t="b">
        <f t="shared" si="146"/>
        <v>0</v>
      </c>
      <c r="AK378" s="267" t="b">
        <f t="shared" si="147"/>
        <v>0</v>
      </c>
      <c r="AL378" s="267"/>
      <c r="AM378" s="267"/>
      <c r="AN378" s="75"/>
    </row>
    <row r="379" spans="1:40" s="18" customFormat="1" ht="12.75" x14ac:dyDescent="0.2">
      <c r="A379" s="56">
        <f t="shared" si="148"/>
        <v>45656</v>
      </c>
      <c r="B379" s="413">
        <f>'2023'!Wh/'2023'!Env_an*'2024'!Env_an</f>
        <v>8.2584960807583538</v>
      </c>
      <c r="C379" s="868"/>
      <c r="D379" s="395">
        <f t="shared" si="127"/>
        <v>8.7212987474590982</v>
      </c>
      <c r="E379" s="387">
        <f t="shared" si="150"/>
        <v>9.3627990615389471</v>
      </c>
      <c r="F379" s="387">
        <f t="shared" si="128"/>
        <v>10.168345412046184</v>
      </c>
      <c r="G379" s="110">
        <f t="shared" si="151"/>
        <v>0.54311007334048056</v>
      </c>
      <c r="H379" s="416" t="b">
        <f>Wh_hp&gt;='2023'!Maxi_hp</f>
        <v>0</v>
      </c>
      <c r="I379" s="392">
        <f>IF(H379,Wh_hp,'2023'!Maxi_hp)</f>
        <v>17.949916308915405</v>
      </c>
      <c r="J379" s="85">
        <f>IF(H379,An,'2023'!An_max)</f>
        <v>2021</v>
      </c>
      <c r="K379" s="199">
        <f t="shared" si="129"/>
        <v>45656</v>
      </c>
      <c r="L379" s="147">
        <f>IF(t&lt;Tvie,1-EXP((T0-t)*PertePVj)+'2023'!Pspv,1-EXP((T0-t)*PertePVj)+Pspv)</f>
        <v>5.3065796746795235E-2</v>
      </c>
      <c r="M379" s="872"/>
      <c r="N379" s="872"/>
      <c r="O379" s="48">
        <f>IF(t&lt;Tnet,'2023'!Resal+('2023'!Salim-'2023'!Resal)*(1-EXP(('2023'!Tnet-t)/('2023'!Tau_j))),Resal+(Salim-Resal)*(1-EXP((Tnet-t)/(Tau_j))))*Salcycl</f>
        <v>6.8515869011334593E-2</v>
      </c>
      <c r="P379" s="171">
        <f>(INDEX(Models!$BJ379:$BT379,,T379)*(1-R379)+INDEX(Models!$BJ379:$BT379,,T379+1)*R379-ERP_i)*Q379*Ramure*Pc/MaxiM</f>
        <v>0.17927794609748246</v>
      </c>
      <c r="Q379" s="308">
        <f t="shared" si="130"/>
        <v>0.9</v>
      </c>
      <c r="R379" s="179">
        <f t="shared" si="131"/>
        <v>0.80044828751593133</v>
      </c>
      <c r="S379" s="839">
        <f t="shared" si="132"/>
        <v>1</v>
      </c>
      <c r="T379" s="178">
        <f t="shared" si="133"/>
        <v>7</v>
      </c>
      <c r="U379" s="309">
        <f t="shared" si="134"/>
        <v>1.8004482875159313</v>
      </c>
      <c r="V379" s="385">
        <f t="shared" si="135"/>
        <v>13.553573032650769</v>
      </c>
      <c r="W379" s="404">
        <f t="shared" si="136"/>
        <v>8.2584960807583538</v>
      </c>
      <c r="X379" s="157">
        <f t="shared" si="137"/>
        <v>45656</v>
      </c>
      <c r="Y379" s="387">
        <f t="shared" si="138"/>
        <v>7.6433259886244658</v>
      </c>
      <c r="Z379" s="387">
        <f t="shared" si="139"/>
        <v>8.0716547806233212</v>
      </c>
      <c r="AA379" s="388">
        <f t="shared" si="140"/>
        <v>9.3627990615389471</v>
      </c>
      <c r="AB379" s="199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0.13790152628816563</v>
      </c>
      <c r="AD379" s="233">
        <f>(INDEX(Models!$BJ379:$BT379,,AH379)*(1-AF379)+INDEX(Models!$BJ379:$BT379,,AH379+1)*AF379-ERP_i)*AE379*Ramure*Pc/MaxiM</f>
        <v>0.17927794609748246</v>
      </c>
      <c r="AE379" s="308">
        <f t="shared" si="142"/>
        <v>0.9</v>
      </c>
      <c r="AF379" s="179">
        <f t="shared" si="143"/>
        <v>0.80044828751593133</v>
      </c>
      <c r="AG379" s="839">
        <f t="shared" si="149"/>
        <v>1</v>
      </c>
      <c r="AH379" s="178">
        <f t="shared" si="144"/>
        <v>7</v>
      </c>
      <c r="AI379" s="224">
        <f t="shared" si="145"/>
        <v>1.8004482875159313</v>
      </c>
      <c r="AJ379" s="267" t="b">
        <f t="shared" si="146"/>
        <v>0</v>
      </c>
      <c r="AK379" s="267" t="b">
        <f t="shared" si="147"/>
        <v>0</v>
      </c>
      <c r="AL379" s="267"/>
      <c r="AM379" s="267"/>
      <c r="AN379" s="267"/>
    </row>
    <row r="380" spans="1:40" s="18" customFormat="1" ht="12" thickBot="1" x14ac:dyDescent="0.25">
      <c r="A380" s="609">
        <f>A379+1</f>
        <v>45657</v>
      </c>
      <c r="B380" s="830">
        <f>AVERAGE(B366:B379)</f>
        <v>9.8382058011147571</v>
      </c>
      <c r="C380" s="878"/>
      <c r="D380" s="608">
        <f t="shared" si="127"/>
        <v>10.389776525195186</v>
      </c>
      <c r="E380" s="604">
        <f t="shared" si="150"/>
        <v>11.155943405889909</v>
      </c>
      <c r="F380" s="604">
        <f t="shared" si="128"/>
        <v>12.486820283989427</v>
      </c>
      <c r="G380" s="110">
        <f t="shared" si="151"/>
        <v>0.66250924711866432</v>
      </c>
      <c r="H380" s="605" t="b">
        <f>Wh_hp&gt;='2023'!Maxi_hp</f>
        <v>0</v>
      </c>
      <c r="I380" s="606">
        <f>IF(H380,Wh_hp,'2023'!Maxi_hp)</f>
        <v>13.024115631411625</v>
      </c>
      <c r="J380" s="151">
        <f>IF(H380,An,'2023'!An_max)</f>
        <v>2020</v>
      </c>
      <c r="K380" s="236">
        <f t="shared" si="129"/>
        <v>45657</v>
      </c>
      <c r="L380" s="147">
        <f>IF(t&lt;Tvie,1-EXP((T0-t)*PertePVj)+'2023'!Pspv,1-EXP((T0-t)*PertePVj)+Pspv)</f>
        <v>5.3087833289086728E-2</v>
      </c>
      <c r="M380" s="872"/>
      <c r="N380" s="872"/>
      <c r="O380" s="48">
        <f>IF(t&lt;Tnet,'2023'!Resal+('2023'!Salim-'2023'!Resal)*(1-EXP(('2023'!Tnet-t)/('2023'!Tau_j))),Resal+(Salim-Resal)*(1-EXP((Tnet-t)/(Tau_j))))*Salcycl</f>
        <v>6.8677910313727122E-2</v>
      </c>
      <c r="P380" s="233">
        <f>(INDEX(Models!$BJ380:$BT380,,T380)*(1-R380)+INDEX(Models!$BJ380:$BT380,,T380+1)*R380-ERP_i)*Q380*Ramure*Pc/MaxiM</f>
        <v>0.17771400359674225</v>
      </c>
      <c r="Q380" s="330">
        <f t="shared" si="130"/>
        <v>0.9</v>
      </c>
      <c r="R380" s="316">
        <f>(Hp_vg-S380)/(INDEX(Echel_vg,T380+1)-S380)</f>
        <v>0.80044828751593133</v>
      </c>
      <c r="S380" s="840">
        <f>INDEX(Echel_vg,T380)</f>
        <v>1</v>
      </c>
      <c r="T380" s="235">
        <f t="shared" si="133"/>
        <v>7</v>
      </c>
      <c r="U380" s="303">
        <f t="shared" si="134"/>
        <v>1.8004482875159313</v>
      </c>
      <c r="V380" s="385">
        <f t="shared" si="135"/>
        <v>13.66760477181222</v>
      </c>
      <c r="W380" s="404">
        <f t="shared" si="136"/>
        <v>9.8382058011147571</v>
      </c>
      <c r="X380" s="328">
        <f t="shared" si="137"/>
        <v>45657</v>
      </c>
      <c r="Y380" s="604">
        <f t="shared" si="138"/>
        <v>9.1060829973664443</v>
      </c>
      <c r="Z380" s="604">
        <f t="shared" si="139"/>
        <v>9.616607872931132</v>
      </c>
      <c r="AA380" s="607">
        <f t="shared" si="140"/>
        <v>11.155943405889909</v>
      </c>
      <c r="AB380" s="236">
        <f t="shared" si="141"/>
        <v>45657</v>
      </c>
      <c r="AC380" s="119">
        <f>IF(OR(t&lt;Tnet,NoTnet),'2023'!Resal_s+('2023'!Salim-'2023'!Resal_s)*(1-EXP(('2023'!Tnet_s-t)/'2023'!Tau_j)),Resal_s+(Salim-Resal_s)*(1-EXP((Tnet_s-t)/Tau_j)))*Salcycl</f>
        <v>0.13798344765231291</v>
      </c>
      <c r="AD380" s="233">
        <f>(INDEX(Models!$BJ380:$BT380,,AH380)*(1-AF380)+INDEX(Models!$BJ380:$BT380,,AH380+1)*AF380-ERP_i)*AE380*Ramure*Pc/MaxiM</f>
        <v>0.17771400359674225</v>
      </c>
      <c r="AE380" s="330">
        <f t="shared" si="142"/>
        <v>0.9</v>
      </c>
      <c r="AF380" s="316">
        <f>(Hp_vg_s-AG380)/(INDEX(Echel_vg,AH380+1)-AG380)</f>
        <v>0.80044828751593133</v>
      </c>
      <c r="AG380" s="840">
        <f>INDEX(Echel_vg,AH380)</f>
        <v>1</v>
      </c>
      <c r="AH380" s="235">
        <f t="shared" si="144"/>
        <v>7</v>
      </c>
      <c r="AI380" s="227">
        <f t="shared" si="145"/>
        <v>1.8004482875159313</v>
      </c>
      <c r="AJ380" s="267" t="b">
        <f t="shared" si="146"/>
        <v>0</v>
      </c>
      <c r="AK380" s="267" t="b">
        <f t="shared" si="147"/>
        <v>0</v>
      </c>
      <c r="AL380" s="267"/>
      <c r="AM380" s="267"/>
      <c r="AN380" s="267"/>
    </row>
    <row r="381" spans="1:40" s="104" customFormat="1" ht="11.25" customHeight="1" x14ac:dyDescent="0.2">
      <c r="A381" s="112" t="s">
        <v>7</v>
      </c>
      <c r="B381" s="377">
        <f>MIN(B15:B380)</f>
        <v>0.84603346650835798</v>
      </c>
      <c r="C381" s="377"/>
      <c r="D381" s="375">
        <f>MIN(D15:D380)</f>
        <v>0.88844797963761502</v>
      </c>
      <c r="E381" s="375">
        <f>MIN(E15:E380)</f>
        <v>0.90942768863947576</v>
      </c>
      <c r="F381" s="376">
        <f>MIN(F15:F380)</f>
        <v>0.90942768863947576</v>
      </c>
      <c r="G381" s="125">
        <f>+MIN(G15:G380)</f>
        <v>1.4708685065055105E-2</v>
      </c>
      <c r="H381" s="94"/>
      <c r="I381" s="376">
        <f>MIN(I15:I380)</f>
        <v>8.2113391342416708</v>
      </c>
      <c r="J381" s="57">
        <f>MIN(J15:J380)</f>
        <v>2018</v>
      </c>
      <c r="K381" s="202" t="s">
        <v>7</v>
      </c>
      <c r="L381" s="146">
        <f t="shared" ref="L381:T381" si="152">MIN(L15:L380)</f>
        <v>4.5010331625304212E-2</v>
      </c>
      <c r="M381" s="874"/>
      <c r="N381" s="874"/>
      <c r="O381" s="47">
        <f t="shared" si="152"/>
        <v>2.2356760658222851E-2</v>
      </c>
      <c r="P381" s="170">
        <f t="shared" si="152"/>
        <v>2.7560245703444757E-4</v>
      </c>
      <c r="Q381" s="312">
        <f t="shared" si="152"/>
        <v>0.9</v>
      </c>
      <c r="R381" s="313">
        <f t="shared" si="152"/>
        <v>0.10045006976657089</v>
      </c>
      <c r="S381" s="839">
        <f t="shared" si="152"/>
        <v>1</v>
      </c>
      <c r="T381" s="178">
        <f t="shared" si="152"/>
        <v>7</v>
      </c>
      <c r="U381" s="254">
        <f>+MIN(U15:U380)</f>
        <v>1.1004500697665709</v>
      </c>
      <c r="V381" s="375">
        <f>MIN(V15:V380)</f>
        <v>12.945279048557111</v>
      </c>
      <c r="W381" s="831" t="s">
        <v>40</v>
      </c>
      <c r="X381" s="112" t="s">
        <v>7</v>
      </c>
      <c r="Y381" s="375">
        <f>MIN(Y15:Y380)</f>
        <v>0.76640171022065284</v>
      </c>
      <c r="Z381" s="375">
        <f>MIN(Z15:Z380)</f>
        <v>0.80482401464153575</v>
      </c>
      <c r="AA381" s="375">
        <f>MIN(AA15:AA380)</f>
        <v>0.90942768863947576</v>
      </c>
      <c r="AB381" s="202" t="s">
        <v>7</v>
      </c>
      <c r="AC381" s="47">
        <f t="shared" ref="AC381:AH381" si="153">MIN(AC15:AC380)</f>
        <v>0.11440413547914795</v>
      </c>
      <c r="AD381" s="170">
        <f t="shared" si="153"/>
        <v>2.7560245703444757E-4</v>
      </c>
      <c r="AE381" s="312">
        <f t="shared" si="153"/>
        <v>0.9</v>
      </c>
      <c r="AF381" s="313">
        <f t="shared" si="153"/>
        <v>0.10045006976657089</v>
      </c>
      <c r="AG381" s="839">
        <f t="shared" si="153"/>
        <v>1</v>
      </c>
      <c r="AH381" s="178">
        <f t="shared" si="153"/>
        <v>7</v>
      </c>
      <c r="AI381" s="228">
        <f>MIN(AI15:AI380)</f>
        <v>1.1004500697665709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27.724670060965966</v>
      </c>
      <c r="C382" s="377"/>
      <c r="D382" s="377">
        <f>AVERAGE(D15:D380)</f>
        <v>29.151083590675821</v>
      </c>
      <c r="E382" s="377">
        <f>AVERAGE(E15:E380)</f>
        <v>30.994953878672472</v>
      </c>
      <c r="F382" s="378">
        <f>AVERAGE(F15:F380)</f>
        <v>31.523809493948502</v>
      </c>
      <c r="G382" s="126">
        <f>AVERAGE(G15:G380)</f>
        <v>0.70442942130353403</v>
      </c>
      <c r="H382" s="94"/>
      <c r="I382" s="378">
        <f>AVERAGE(I15:I380)</f>
        <v>40.680751519242577</v>
      </c>
      <c r="J382" s="59">
        <f>AVERAGE(J15:J380)</f>
        <v>2020.5109289617487</v>
      </c>
      <c r="K382" s="202" t="s">
        <v>8</v>
      </c>
      <c r="L382" s="147">
        <f t="shared" ref="L382:V382" si="154">AVERAGE(L15:L380)</f>
        <v>4.9054784433032725E-2</v>
      </c>
      <c r="M382" s="872"/>
      <c r="N382" s="872"/>
      <c r="O382" s="48">
        <f t="shared" si="154"/>
        <v>6.6987783724071978E-2</v>
      </c>
      <c r="P382" s="171">
        <f t="shared" si="154"/>
        <v>4.7844597744620673E-2</v>
      </c>
      <c r="Q382" s="314">
        <f t="shared" si="154"/>
        <v>0.89999999999999802</v>
      </c>
      <c r="R382" s="179">
        <f t="shared" si="154"/>
        <v>0.49312907600785982</v>
      </c>
      <c r="S382" s="839">
        <f t="shared" si="154"/>
        <v>1</v>
      </c>
      <c r="T382" s="178">
        <f t="shared" si="154"/>
        <v>7</v>
      </c>
      <c r="U382" s="253">
        <f t="shared" si="154"/>
        <v>1.4931290760078593</v>
      </c>
      <c r="V382" s="377">
        <f t="shared" si="154"/>
        <v>37.622007814689553</v>
      </c>
      <c r="X382" s="112" t="s">
        <v>8</v>
      </c>
      <c r="Y382" s="377">
        <f>AVERAGE(Y15:Y380)</f>
        <v>25.330488856270573</v>
      </c>
      <c r="Z382" s="377">
        <f>AVERAGE(Z15:Z380)</f>
        <v>26.633595452592854</v>
      </c>
      <c r="AA382" s="377">
        <f>AVERAGE(AA15:AA380)</f>
        <v>30.994953878672472</v>
      </c>
      <c r="AB382" s="202" t="s">
        <v>8</v>
      </c>
      <c r="AC382" s="48">
        <f t="shared" ref="AC382:AH382" si="155">AVERAGE(AC15:AC380)</f>
        <v>0.14485875867639891</v>
      </c>
      <c r="AD382" s="171">
        <f t="shared" si="155"/>
        <v>4.7844597744620673E-2</v>
      </c>
      <c r="AE382" s="314">
        <f t="shared" si="155"/>
        <v>0.89999999999999802</v>
      </c>
      <c r="AF382" s="179">
        <f t="shared" si="155"/>
        <v>0.49312907600785982</v>
      </c>
      <c r="AG382" s="839">
        <f t="shared" si="155"/>
        <v>1</v>
      </c>
      <c r="AH382" s="178">
        <f t="shared" si="155"/>
        <v>7</v>
      </c>
      <c r="AI382" s="227">
        <f>AVERAGE(AI15:AI380)</f>
        <v>1.4931290760078593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60.468919723198042</v>
      </c>
      <c r="C383" s="379"/>
      <c r="D383" s="379">
        <f>MAX(D15:D380)</f>
        <v>63.581759869553721</v>
      </c>
      <c r="E383" s="379">
        <f>MAX(E15:E380)</f>
        <v>65.984570774759618</v>
      </c>
      <c r="F383" s="380">
        <f>MAX(F15:F380)</f>
        <v>66.004608536540772</v>
      </c>
      <c r="G383" s="127">
        <f>+MAX(G15:G380)</f>
        <v>1.0377981106491903</v>
      </c>
      <c r="H383" s="94"/>
      <c r="I383" s="380">
        <f>MAX(I15:I380)</f>
        <v>66.004608536540772</v>
      </c>
      <c r="J383" s="60">
        <f>MAX(J15:J380)</f>
        <v>2024</v>
      </c>
      <c r="K383" s="202" t="s">
        <v>9</v>
      </c>
      <c r="L383" s="148">
        <f t="shared" ref="L383:T383" si="156">MAX(L15:L380)</f>
        <v>5.3087833289086728E-2</v>
      </c>
      <c r="M383" s="875"/>
      <c r="N383" s="875"/>
      <c r="O383" s="49">
        <f t="shared" si="156"/>
        <v>0.11420266815803698</v>
      </c>
      <c r="P383" s="172">
        <f t="shared" si="156"/>
        <v>0.18713518909008325</v>
      </c>
      <c r="Q383" s="315">
        <f t="shared" si="156"/>
        <v>0.9</v>
      </c>
      <c r="R383" s="316">
        <f t="shared" si="156"/>
        <v>0.80044828751593133</v>
      </c>
      <c r="S383" s="840">
        <f t="shared" si="156"/>
        <v>1</v>
      </c>
      <c r="T383" s="235">
        <f t="shared" si="156"/>
        <v>7</v>
      </c>
      <c r="U383" s="255">
        <f>+MAX(U15:U380)</f>
        <v>1.8004482875159313</v>
      </c>
      <c r="V383" s="379">
        <f>MAX(V15:V380)</f>
        <v>59.440588573703671</v>
      </c>
      <c r="X383" s="112" t="s">
        <v>9</v>
      </c>
      <c r="Y383" s="379">
        <f>MAX(Y15:Y380)</f>
        <v>54.78830356965684</v>
      </c>
      <c r="Z383" s="379">
        <f>MAX(Z15:Z380)</f>
        <v>57.608714975765061</v>
      </c>
      <c r="AA383" s="379">
        <f>MAX(AA15:AA380)</f>
        <v>65.984570774759618</v>
      </c>
      <c r="AB383" s="202" t="s">
        <v>9</v>
      </c>
      <c r="AC383" s="49">
        <f t="shared" ref="AC383:AH383" si="157">MAX(AC15:AC380)</f>
        <v>0.17801059321735282</v>
      </c>
      <c r="AD383" s="172">
        <f t="shared" si="157"/>
        <v>0.18713518909008325</v>
      </c>
      <c r="AE383" s="315">
        <f t="shared" si="157"/>
        <v>0.9</v>
      </c>
      <c r="AF383" s="316">
        <f t="shared" si="157"/>
        <v>0.80044828751593133</v>
      </c>
      <c r="AG383" s="840">
        <f t="shared" si="157"/>
        <v>1</v>
      </c>
      <c r="AH383" s="235">
        <f t="shared" si="157"/>
        <v>7</v>
      </c>
      <c r="AI383" s="229">
        <f>MAX(AI15:AI380)</f>
        <v>1.8004482875159313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7"/>
      <c r="AK384" s="857"/>
      <c r="AL384" s="857"/>
      <c r="AM384" s="857"/>
      <c r="AN384" s="406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7" priority="4" stopIfTrue="1" operator="lessThan">
      <formula>0.01</formula>
    </cfRule>
    <cfRule type="cellIs" dxfId="6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2"/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6">
        <f>'2024'!An+1</f>
        <v>2025</v>
      </c>
      <c r="K1" s="1267"/>
      <c r="L1" s="113" t="str">
        <f>"Calcul pertes et enveloppes en "&amp;TEXT(An,0)</f>
        <v>Calcul pertes et enveloppes en 2025</v>
      </c>
      <c r="M1" s="245"/>
      <c r="N1" s="245"/>
      <c r="V1" s="460"/>
      <c r="W1" s="458"/>
      <c r="X1" s="489" t="str">
        <f>"Prévision sans nettoyage ni taille végétation en "&amp;TEXT(An,0)</f>
        <v>Prévision sans nettoyage ni taille végétation en 2025</v>
      </c>
      <c r="Y1" s="490"/>
      <c r="Z1" s="491"/>
      <c r="AA1" s="492"/>
      <c r="AB1" s="493"/>
      <c r="AC1" s="494"/>
      <c r="AD1" s="494"/>
      <c r="AE1" s="494"/>
      <c r="AF1" s="494"/>
      <c r="AG1" s="494"/>
      <c r="AH1" s="494"/>
      <c r="AI1" s="494"/>
      <c r="AL1" s="856" t="s">
        <v>270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6" t="s">
        <v>24</v>
      </c>
      <c r="P2" s="18"/>
      <c r="Q2" s="812"/>
      <c r="R2" s="18"/>
      <c r="S2" s="497"/>
      <c r="T2" s="497"/>
      <c r="U2" s="296" t="s">
        <v>79</v>
      </c>
      <c r="V2" s="498">
        <f>PertePVan</f>
        <v>8.5000000000000006E-3</v>
      </c>
      <c r="W2" s="452" t="s">
        <v>14</v>
      </c>
      <c r="X2" s="499"/>
      <c r="Y2" s="500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862" t="s">
        <v>262</v>
      </c>
      <c r="AK2" s="862" t="s">
        <v>264</v>
      </c>
      <c r="AL2" s="862" t="s">
        <v>263</v>
      </c>
      <c r="AM2" s="862" t="s">
        <v>265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6">
        <f>Tmaj</f>
        <v>44926</v>
      </c>
      <c r="F3" s="1276"/>
      <c r="G3" s="8"/>
      <c r="H3" s="26"/>
      <c r="I3" s="6"/>
      <c r="J3" s="34"/>
      <c r="K3" s="193"/>
      <c r="L3" s="54"/>
      <c r="M3" s="34"/>
      <c r="N3" s="34"/>
      <c r="O3" s="503"/>
      <c r="P3" s="34"/>
      <c r="Q3" s="503"/>
      <c r="R3" s="34"/>
      <c r="S3" s="515"/>
      <c r="T3" s="452"/>
      <c r="U3" s="211" t="s">
        <v>165</v>
      </c>
      <c r="V3" s="637">
        <f>Salim_i</f>
        <v>0.21</v>
      </c>
      <c r="W3" s="452"/>
      <c r="X3" s="504" t="s">
        <v>96</v>
      </c>
      <c r="Y3" s="505"/>
      <c r="Z3" s="506"/>
      <c r="AA3" s="500"/>
      <c r="AB3" s="500"/>
      <c r="AC3" s="430"/>
      <c r="AD3" s="430"/>
      <c r="AE3" s="430"/>
      <c r="AF3" s="430"/>
      <c r="AG3" s="430"/>
      <c r="AH3" s="430"/>
      <c r="AI3" s="430"/>
      <c r="AJ3" s="860">
        <f>AL11-AJ11</f>
        <v>0</v>
      </c>
      <c r="AK3" s="861">
        <f>AM11-AK11</f>
        <v>-5.5674355670375206</v>
      </c>
      <c r="AL3" s="860"/>
      <c r="AM3" s="861"/>
      <c r="AN3" s="859" t="s">
        <v>271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6" t="str">
        <f>Station</f>
        <v>Crèche Ayguesvives</v>
      </c>
      <c r="F4" s="1217"/>
      <c r="G4" s="1217"/>
      <c r="H4" s="1217"/>
      <c r="I4" s="1218"/>
      <c r="J4" s="158"/>
      <c r="K4" s="193"/>
      <c r="L4" s="508"/>
      <c r="M4" s="507"/>
      <c r="N4" s="507"/>
      <c r="O4" s="430"/>
      <c r="P4" s="34"/>
      <c r="Q4" s="507"/>
      <c r="R4" s="34"/>
      <c r="S4" s="497"/>
      <c r="T4" s="411"/>
      <c r="U4" s="297" t="s">
        <v>82</v>
      </c>
      <c r="V4" s="636">
        <f>Persistant</f>
        <v>1</v>
      </c>
      <c r="W4" s="510" t="s">
        <v>54</v>
      </c>
      <c r="X4" s="511"/>
      <c r="Y4" s="512"/>
      <c r="Z4" s="513" t="s">
        <v>27</v>
      </c>
      <c r="AA4" s="514" t="s">
        <v>28</v>
      </c>
      <c r="AB4" s="507"/>
      <c r="AC4" s="430"/>
      <c r="AD4" s="430"/>
      <c r="AE4" s="430"/>
      <c r="AF4" s="430"/>
      <c r="AG4" s="430"/>
      <c r="AH4" s="430"/>
      <c r="AI4" s="430"/>
      <c r="AJ4" s="860">
        <f>AL12-AJ12</f>
        <v>618.37495722786957</v>
      </c>
      <c r="AK4" s="861">
        <f>AM12-AK12</f>
        <v>125.95563161785431</v>
      </c>
      <c r="AL4" s="860"/>
      <c r="AM4" s="861"/>
      <c r="AN4" s="859" t="s">
        <v>272</v>
      </c>
    </row>
    <row r="5" spans="1:40" s="35" customFormat="1" ht="16.5" customHeight="1" x14ac:dyDescent="0.25">
      <c r="D5" s="161" t="s">
        <v>20</v>
      </c>
      <c r="E5" s="1277">
        <f>T0</f>
        <v>43313</v>
      </c>
      <c r="F5" s="1277"/>
      <c r="G5" s="34"/>
      <c r="H5" s="158"/>
      <c r="I5" s="158"/>
      <c r="K5" s="194"/>
      <c r="L5" s="508"/>
      <c r="M5" s="507"/>
      <c r="N5" s="507"/>
      <c r="O5" s="19"/>
      <c r="R5" s="39"/>
      <c r="S5" s="180"/>
      <c r="T5" s="180"/>
      <c r="U5" s="41"/>
      <c r="V5" s="509"/>
      <c r="W5" s="510"/>
      <c r="X5" s="511"/>
      <c r="Y5" s="512"/>
      <c r="Z5" s="238">
        <f>Wh_Psa_s-Wh_Psa</f>
        <v>618.37495722786957</v>
      </c>
      <c r="AA5" s="239">
        <f>Wh_Pvg_s-Wh_Pvg</f>
        <v>121.43259291448197</v>
      </c>
      <c r="AB5" s="516" t="s">
        <v>6</v>
      </c>
      <c r="AC5" s="510"/>
      <c r="AD5" s="510"/>
      <c r="AE5" s="510"/>
      <c r="AF5" s="510"/>
      <c r="AG5" s="510"/>
      <c r="AH5" s="510"/>
      <c r="AI5" s="510"/>
      <c r="AJ5" s="518">
        <f>SUMIF(AJ15:AJ380,"VRAI",Wh)</f>
        <v>0</v>
      </c>
      <c r="AK5" s="518">
        <f>SUMIF(AK15:AK380,"VRAI",Wh)</f>
        <v>1566.0946589861151</v>
      </c>
      <c r="AL5" s="518">
        <f>SUMIF(AJ15:AJ380,"VRAI",Wh_s)</f>
        <v>0</v>
      </c>
      <c r="AM5" s="518">
        <f>SUMIF(AK15:AK380,"VRAI",Wh_s)</f>
        <v>1455.1476960405919</v>
      </c>
      <c r="AN5" s="859" t="s">
        <v>268</v>
      </c>
    </row>
    <row r="6" spans="1:40" s="6" customFormat="1" ht="16.5" customHeight="1" x14ac:dyDescent="0.2">
      <c r="B6" s="8"/>
      <c r="C6" s="8"/>
      <c r="D6" s="161" t="s">
        <v>11</v>
      </c>
      <c r="E6" s="1278">
        <f>Tservice</f>
        <v>43354</v>
      </c>
      <c r="F6" s="1278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2"/>
      <c r="W6" s="464"/>
      <c r="X6" s="499"/>
      <c r="Y6" s="500"/>
      <c r="Z6" s="464"/>
      <c r="AA6" s="464"/>
      <c r="AB6" s="518"/>
      <c r="AC6" s="464"/>
      <c r="AD6" s="464"/>
      <c r="AE6" s="464"/>
      <c r="AF6" s="464"/>
      <c r="AG6" s="464"/>
      <c r="AH6" s="464"/>
      <c r="AI6" s="464"/>
      <c r="AJ6" s="518">
        <f>SUMIF(AJ15:AJ380,"FAUX",Wh)</f>
        <v>9760.6319481704359</v>
      </c>
      <c r="AK6" s="518">
        <f>SUMIF(AK15:AK380,"FAUX",Wh)</f>
        <v>8194.5372891843308</v>
      </c>
      <c r="AL6" s="518">
        <f>SUMIF(AJ15:AJ380,"FAUX",Wh_s)</f>
        <v>8991.9266209232428</v>
      </c>
      <c r="AM6" s="518">
        <f>SUMIF(AK15:AK380,"FAUX",Wh_s)</f>
        <v>7536.7789248826566</v>
      </c>
      <c r="AN6" s="859" t="s">
        <v>269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AND(YEAR(Tnet)=An,Resal_2025="I")</f>
        <v>0</v>
      </c>
      <c r="F7" s="322" t="b">
        <f>YEAR(Tnet)=An</f>
        <v>0</v>
      </c>
      <c r="J7" s="180"/>
      <c r="K7" s="193"/>
      <c r="L7" s="191" t="s">
        <v>81</v>
      </c>
      <c r="M7" s="870"/>
      <c r="N7" s="870"/>
      <c r="O7" s="18"/>
      <c r="P7" s="118"/>
      <c r="Q7" s="118"/>
      <c r="R7" s="141"/>
      <c r="S7" s="141"/>
      <c r="T7" s="141"/>
      <c r="U7" s="141"/>
      <c r="V7" s="430"/>
      <c r="W7" s="520"/>
      <c r="X7" s="521"/>
      <c r="Y7" s="250"/>
      <c r="Z7" s="520"/>
      <c r="AA7" s="520"/>
      <c r="AB7" s="520"/>
      <c r="AC7" s="520"/>
      <c r="AD7" s="250"/>
      <c r="AE7" s="250"/>
      <c r="AF7" s="495"/>
      <c r="AG7" s="495"/>
      <c r="AH7" s="495"/>
      <c r="AI7" s="520"/>
      <c r="AJ7" s="518">
        <f>SUMIF(AJ15:AJ380,"VRAI",Wh_pvt)</f>
        <v>0</v>
      </c>
      <c r="AK7" s="518">
        <f>SUMIF(AK15:AK380,"VRAI",Wh_sa)</f>
        <v>1794.5968791892774</v>
      </c>
      <c r="AL7" s="518">
        <f>SUMIF(AJ15:AJ380,"VRAI",Wh_pvt_s)</f>
        <v>0</v>
      </c>
      <c r="AM7" s="518">
        <f>SUMIF(AK15:AK380,"VRAI",Wh_sa_s)</f>
        <v>1794.5968791892774</v>
      </c>
      <c r="AN7" s="859" t="s">
        <v>260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AND(YEAR(Tnet)=An,Resal_2025&lt;&gt;"I")</f>
        <v>0</v>
      </c>
      <c r="F8" s="323" t="b">
        <f>YEAR(Ttai)=An</f>
        <v>1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20"/>
      <c r="W8" s="406"/>
      <c r="X8" s="1264" t="s">
        <v>102</v>
      </c>
      <c r="Y8" s="1265"/>
      <c r="Z8" s="500"/>
      <c r="AA8" s="500"/>
      <c r="AB8" s="464"/>
      <c r="AC8" s="522" t="s">
        <v>61</v>
      </c>
      <c r="AD8" s="464"/>
      <c r="AE8" s="464"/>
      <c r="AF8" s="464"/>
      <c r="AG8" s="464"/>
      <c r="AH8" s="464"/>
      <c r="AI8" s="464"/>
      <c r="AJ8" s="518">
        <f>SUMIF(AJ15:AJ380,"FAUX",Wh_pvt)</f>
        <v>10350.54608927542</v>
      </c>
      <c r="AK8" s="518">
        <f>SUMIF(AK15:AK380,"FAUX",Wh_sa)</f>
        <v>9693.9339997407551</v>
      </c>
      <c r="AL8" s="518">
        <f>SUMIF(AJ15:AJ380,"FAUX",Wh_pvt_s)</f>
        <v>9535.097185669485</v>
      </c>
      <c r="AM8" s="518">
        <f>SUMIF(AK15:AK380,"FAUX",Wh_sa_s)</f>
        <v>9534.1799522018919</v>
      </c>
      <c r="AN8" s="859" t="s">
        <v>261</v>
      </c>
    </row>
    <row r="9" spans="1:40" s="19" customFormat="1" ht="15" customHeight="1" x14ac:dyDescent="0.25">
      <c r="A9" s="34"/>
      <c r="B9" s="212"/>
      <c r="C9" s="212"/>
      <c r="D9" s="186">
        <f>SUM(D$15:D$380)</f>
        <v>10350.54608927542</v>
      </c>
      <c r="E9" s="186">
        <f>SUM(E$15:E$380)</f>
        <v>11488.530878930027</v>
      </c>
      <c r="F9" s="186">
        <f>SUM(F$15:F$380)</f>
        <v>11584.606679437555</v>
      </c>
      <c r="H9" s="1268">
        <f>+SUM(Wh)</f>
        <v>9760.6319481704359</v>
      </c>
      <c r="I9" s="1269"/>
      <c r="J9" s="1270"/>
      <c r="K9" s="193"/>
      <c r="L9" s="234"/>
      <c r="M9" s="234"/>
      <c r="N9" s="234"/>
      <c r="O9" s="225">
        <f>Tnet_2025</f>
        <v>45412</v>
      </c>
      <c r="P9" s="246" t="s">
        <v>91</v>
      </c>
      <c r="Q9" s="247"/>
      <c r="R9" s="247"/>
      <c r="S9" s="247"/>
      <c r="T9" s="247"/>
      <c r="U9" s="248"/>
      <c r="V9" s="464"/>
      <c r="W9" s="523"/>
      <c r="X9" s="1262">
        <f>+SUM(Wh_s)</f>
        <v>8991.9266209232428</v>
      </c>
      <c r="Y9" s="1263"/>
      <c r="Z9" s="518">
        <f>SUM(Z$15:Z$380)</f>
        <v>9535.097185669485</v>
      </c>
      <c r="AA9" s="518">
        <f>SUM(AA$15:AA$380)</f>
        <v>11328.776831391166</v>
      </c>
      <c r="AB9" s="518">
        <f>F9</f>
        <v>11584.606679437555</v>
      </c>
      <c r="AC9" s="327">
        <f>IF(An_Tnet,Tnet,'2024'!Tnet_s)</f>
        <v>45412</v>
      </c>
      <c r="AD9" s="318" t="s">
        <v>91</v>
      </c>
      <c r="AE9" s="318"/>
      <c r="AF9" s="318"/>
      <c r="AG9" s="318"/>
      <c r="AH9" s="318"/>
      <c r="AI9" s="319"/>
      <c r="AJ9" s="518">
        <f>SUMIF(AJ15:AJ380,"VRAI",Wh_sa)</f>
        <v>0</v>
      </c>
      <c r="AK9" s="518">
        <f>SUMIF(AK15:AK380,"VRAI",Wh_hp)</f>
        <v>1884.6516425503874</v>
      </c>
      <c r="AL9" s="518">
        <f>SUMIF(AJ15:AJ380,"VRAI",Wh_sa_s)</f>
        <v>0</v>
      </c>
      <c r="AM9" s="518">
        <f>SUMIF(AK15:AK380,"VRAI",Wh_hp)</f>
        <v>1884.6516425503874</v>
      </c>
      <c r="AN9" s="859" t="s">
        <v>266</v>
      </c>
    </row>
    <row r="10" spans="1:40" s="19" customFormat="1" ht="15" customHeight="1" x14ac:dyDescent="0.25">
      <c r="A10" s="208"/>
      <c r="B10" s="209"/>
      <c r="C10" s="866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IF(Inflex,'2024'!Resal+('2024'!Salim-'2024'!Resal)*(1-EXP(-(Tnet-'2024'!Tnet)/('2024'!Tau_j))),IF(An_Tnet,Resal_2025,'2024'!Resal))</f>
        <v>2.1999999999999999E-2</v>
      </c>
      <c r="P10" s="423" t="b">
        <f>NOT(Acti_tai)</f>
        <v>0</v>
      </c>
      <c r="Q10" s="259">
        <f>IF(Acti_tai,'2024'!PousD,Dens-Dd)</f>
        <v>0</v>
      </c>
      <c r="R10" s="276"/>
      <c r="S10" s="277"/>
      <c r="T10" s="278"/>
      <c r="U10" s="268">
        <f>IF(Acti_tai,'2024'!PousH,Hdtf-Hdd)</f>
        <v>0.7</v>
      </c>
      <c r="V10" s="430"/>
      <c r="W10" s="507"/>
      <c r="X10" s="508"/>
      <c r="Y10" s="524" t="s">
        <v>26</v>
      </c>
      <c r="Z10" s="514" t="s">
        <v>27</v>
      </c>
      <c r="AA10" s="514" t="s">
        <v>28</v>
      </c>
      <c r="AB10" s="430"/>
      <c r="AC10" s="320">
        <f>IF(OR(Inflex,GainD),'2024'!Resal_s+('2024'!Salim-'2024'!Resal_s)*(1-EXP(('2024'!Tnet_s-Tnet)/('2024'!Tau_j))),IF(Acti_net,'2024'!Resal+('2024'!Salim-'2024'!Resal)*(1-EXP(('2024'!Tnet-Tnet)/'2024'!Tau_j)),'2024'!Resal_s))</f>
        <v>0.11257851792654669</v>
      </c>
      <c r="AD10" s="430"/>
      <c r="AE10" s="430"/>
      <c r="AF10" s="262"/>
      <c r="AG10" s="263"/>
      <c r="AH10" s="264"/>
      <c r="AI10" s="475"/>
      <c r="AJ10" s="518">
        <f>SUMIF(AJ15:AJ380,"FAUX",Wh_sa)</f>
        <v>11488.530878930027</v>
      </c>
      <c r="AK10" s="518">
        <f>SUMIF(AK15:AK380,"FAUX",Wh_hp)</f>
        <v>9699.9550368871714</v>
      </c>
      <c r="AL10" s="518">
        <f>SUMIF(AJ15:AJ380,"FAUX",Wh_sa_s)</f>
        <v>11328.776831391166</v>
      </c>
      <c r="AM10" s="518">
        <f>SUMIF(AK15:AK380,"FAUX",Wh_hp)</f>
        <v>9699.9550368871714</v>
      </c>
      <c r="AN10" s="859" t="s">
        <v>267</v>
      </c>
    </row>
    <row r="11" spans="1:40" s="40" customFormat="1" ht="15" customHeight="1" x14ac:dyDescent="0.25">
      <c r="A11" s="218"/>
      <c r="B11" s="219" t="s">
        <v>43</v>
      </c>
      <c r="C11" s="867"/>
      <c r="D11" s="50">
        <f>D$9-Prod_an</f>
        <v>589.91414110498408</v>
      </c>
      <c r="E11" s="51">
        <f>(E$9-D$9)*Prod_an/D$9</f>
        <v>1073.1270213794428</v>
      </c>
      <c r="F11" s="188">
        <f>(F$9-E$9)*Prod_an/E$9</f>
        <v>81.625800353609833</v>
      </c>
      <c r="G11" s="187" t="s">
        <v>6</v>
      </c>
      <c r="K11" s="196"/>
      <c r="L11" s="213">
        <f>Tvie_2025</f>
        <v>43313</v>
      </c>
      <c r="M11" s="871"/>
      <c r="N11" s="871"/>
      <c r="O11" s="204">
        <f>IF(An_Tnet,Salim_2025,'2024'!Salim)</f>
        <v>0.22</v>
      </c>
      <c r="P11" s="258">
        <f>Ttai_2025</f>
        <v>45747</v>
      </c>
      <c r="Q11" s="274">
        <f>Dens_2025</f>
        <v>0.9</v>
      </c>
      <c r="R11" s="279"/>
      <c r="S11" s="232"/>
      <c r="T11" s="232"/>
      <c r="U11" s="268">
        <f>Htf_2025</f>
        <v>-2.800224011995649</v>
      </c>
      <c r="V11" s="430"/>
      <c r="W11" s="521"/>
      <c r="X11" s="528" t="s">
        <v>43</v>
      </c>
      <c r="Y11" s="50">
        <f>Z$9-Prod_an_s</f>
        <v>543.17056474624223</v>
      </c>
      <c r="Z11" s="51">
        <f>(AA$9-Z$9)*Prod_an_s/Z$9</f>
        <v>1691.5019786073124</v>
      </c>
      <c r="AA11" s="188">
        <f>(AB$9-AA$9)*Prod_an_s/AA$9</f>
        <v>203.05839326809181</v>
      </c>
      <c r="AB11" s="529" t="s">
        <v>6</v>
      </c>
      <c r="AC11" s="327"/>
      <c r="AD11" s="430"/>
      <c r="AE11" s="274">
        <f>IF(Acti_tai,IF(GainD,Dd_s,Dd)+PousD*Croi_tai,"NA")</f>
        <v>0.9</v>
      </c>
      <c r="AF11" s="249"/>
      <c r="AG11" s="249"/>
      <c r="AH11" s="249"/>
      <c r="AI11" s="268">
        <f>IF(Acti_tai,IF(GainD,Hdd_s,Hdd)+PousH*Croi_tai,"NA")</f>
        <v>1.83543164031133</v>
      </c>
      <c r="AJ11" s="860">
        <f>IF($AJ7=0,0,($AJ9-$AJ7)*$AJ5/$AJ7)</f>
        <v>0</v>
      </c>
      <c r="AK11" s="861">
        <f>IF($AK7=0,0,($AK9-$AK7)*$AK5/$AK7)</f>
        <v>78.588281051623184</v>
      </c>
      <c r="AL11" s="860">
        <f>IF($AL7=0,0,($AL9-$AL7)*$AL5/$AL7)</f>
        <v>0</v>
      </c>
      <c r="AM11" s="861">
        <f>IF($AM7=0,0,($AM9-$AM7)*$AM5/$AM7)</f>
        <v>73.020845484585664</v>
      </c>
      <c r="AN11" s="859" t="s">
        <v>273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3.7798110649190475E-2</v>
      </c>
      <c r="K12" s="193"/>
      <c r="L12" s="214">
        <f>Pspv_2025</f>
        <v>0</v>
      </c>
      <c r="M12" s="214"/>
      <c r="N12" s="214"/>
      <c r="O12" s="207">
        <f>IF(An_Tnet,Tau_2025*365,'2024'!Tau_j)</f>
        <v>912.5</v>
      </c>
      <c r="P12" s="283">
        <f>INDEX(Croivg,MIN(MAX(Ttai-$A$15,0)+1,366))</f>
        <v>4.9976218279140845E-2</v>
      </c>
      <c r="Q12" s="282">
        <f>'2024'!Df</f>
        <v>0.9</v>
      </c>
      <c r="R12" s="280"/>
      <c r="S12" s="281"/>
      <c r="T12" s="281"/>
      <c r="U12" s="269">
        <f>'2024'!Hdf</f>
        <v>1.8004482875159313</v>
      </c>
      <c r="V12" s="40"/>
      <c r="W12" s="34"/>
      <c r="X12" s="54"/>
      <c r="Y12" s="34"/>
      <c r="AB12" s="321" t="s">
        <v>106</v>
      </c>
      <c r="AC12" s="320" t="b">
        <f>NOT(An_Tnet)</f>
        <v>1</v>
      </c>
      <c r="AE12" s="298">
        <f>'2024'!Df_s</f>
        <v>0.9</v>
      </c>
      <c r="AF12" s="205"/>
      <c r="AG12" s="205"/>
      <c r="AH12" s="205"/>
      <c r="AI12" s="299">
        <f>'2024'!Hdf_s</f>
        <v>1.8004482875159313</v>
      </c>
      <c r="AJ12" s="860">
        <f>IF($AJ8=0,0,($AJ10-$AJ8)*$AJ6/$AJ8)</f>
        <v>1073.1270213794428</v>
      </c>
      <c r="AK12" s="861">
        <f>IF($AK8=0,0,($AK10-$AK8)*$AK6/$AK8)</f>
        <v>5.0897410088816635</v>
      </c>
      <c r="AL12" s="860">
        <f>IF($AL8=0,0,($AL10-$AL8)*$AL6/$AL8)</f>
        <v>1691.5019786073124</v>
      </c>
      <c r="AM12" s="861">
        <f>IF($AM8=0,0,($AM10-$AM8)*$AM6/$AM8)</f>
        <v>131.04537262673597</v>
      </c>
      <c r="AN12" s="859" t="s">
        <v>274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205</v>
      </c>
      <c r="V13" s="124" t="s">
        <v>41</v>
      </c>
      <c r="W13" s="864" t="s">
        <v>46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209</v>
      </c>
      <c r="AJ13" s="73">
        <f>+AJ11+AJ12</f>
        <v>1073.1270213794428</v>
      </c>
      <c r="AK13" s="73">
        <f>+AK11+AK12</f>
        <v>83.678022060504844</v>
      </c>
      <c r="AL13" s="73">
        <f>+AL11+AL12</f>
        <v>1691.5019786073124</v>
      </c>
      <c r="AM13" s="73">
        <f>+AM11+AM12</f>
        <v>204.06621811132163</v>
      </c>
      <c r="AN13" s="858" t="s">
        <v>275</v>
      </c>
    </row>
    <row r="14" spans="1:40" s="46" customFormat="1" ht="40.5" customHeight="1" thickBot="1" x14ac:dyDescent="0.25">
      <c r="A14" s="45" t="s">
        <v>2</v>
      </c>
      <c r="B14" s="418" t="s">
        <v>190</v>
      </c>
      <c r="C14" s="418"/>
      <c r="D14" s="53" t="s">
        <v>30</v>
      </c>
      <c r="E14" s="162" t="s">
        <v>29</v>
      </c>
      <c r="F14" s="162" t="str">
        <f>"Hors pertes "&amp; TEXT(An,0)</f>
        <v>Hors pertes 2025</v>
      </c>
      <c r="G14" s="107" t="s">
        <v>42</v>
      </c>
      <c r="H14" s="415" t="s">
        <v>117</v>
      </c>
      <c r="I14" s="417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206</v>
      </c>
      <c r="S14" s="174" t="s">
        <v>207</v>
      </c>
      <c r="T14" s="174" t="s">
        <v>208</v>
      </c>
      <c r="U14" s="108" t="s">
        <v>204</v>
      </c>
      <c r="V14" s="45" t="str">
        <f>"Enveloppe "&amp; TEXT(An,0)</f>
        <v>Enveloppe 2025</v>
      </c>
      <c r="W14" s="865" t="s">
        <v>116</v>
      </c>
      <c r="X14" s="260" t="s">
        <v>2</v>
      </c>
      <c r="Y14" s="107" t="str">
        <f>"Wh / Jour "&amp; TEXT(An,0)</f>
        <v>Wh / Jour 2025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206</v>
      </c>
      <c r="AG14" s="174" t="s">
        <v>207</v>
      </c>
      <c r="AH14" s="174" t="s">
        <v>208</v>
      </c>
      <c r="AI14" s="108" t="s">
        <v>211</v>
      </c>
      <c r="AJ14" s="705" t="s">
        <v>258</v>
      </c>
      <c r="AK14" s="705" t="s">
        <v>259</v>
      </c>
      <c r="AL14" s="267"/>
      <c r="AM14" s="267"/>
      <c r="AN14" s="75"/>
    </row>
    <row r="15" spans="1:40" s="6" customFormat="1" ht="11.25" x14ac:dyDescent="0.2">
      <c r="A15" s="129">
        <f>DATE(An,1,1)</f>
        <v>45658</v>
      </c>
      <c r="B15" s="412">
        <f>'2024'!Wh/'2024'!Env_an*'2025'!Env_an</f>
        <v>13.845352990735517</v>
      </c>
      <c r="C15" s="868"/>
      <c r="D15" s="395">
        <f t="shared" ref="D15:D78" si="0">Wh/(1-Ppv)</f>
        <v>14.621921321295737</v>
      </c>
      <c r="E15" s="402">
        <f t="shared" ref="E15:E79" si="1">Wh_pvt/(1-Psa)</f>
        <v>15.702974460592211</v>
      </c>
      <c r="F15" s="402">
        <f t="shared" ref="F15:F78" si="2">Wh_sa/(1-Pvg*MEDIAN((-Sdif+Wh/Env_an)/Csdif,0,1))</f>
        <v>19.0967331839568</v>
      </c>
      <c r="G15" s="123">
        <f>+Wh_hp/MaxiM</f>
        <v>1.0132092907872865</v>
      </c>
      <c r="H15" s="416" t="b">
        <f>Wh_hp&gt;='2024'!Maxi_hp</f>
        <v>1</v>
      </c>
      <c r="I15" s="398">
        <f>IF(H15,Wh_hp,'2024'!Maxi_hp)</f>
        <v>19.0967331839568</v>
      </c>
      <c r="J15" s="84">
        <f>IF(H15,An,'2024'!An_max)</f>
        <v>2025</v>
      </c>
      <c r="K15" s="199">
        <f t="shared" ref="K15:K78" si="3">t</f>
        <v>45658</v>
      </c>
      <c r="L15" s="146">
        <f>IF(t&lt;Tvie,1-EXP((T0-t)*PertePVj)+'2024'!Pspv,1-EXP((T0-t)*PertePVj)+Pspv)</f>
        <v>5.3109869318555769E-2</v>
      </c>
      <c r="M15" s="872"/>
      <c r="N15" s="872"/>
      <c r="O15" s="48">
        <f>IF(t&lt;Tnet,'2024'!Resal+('2024'!Salim-'2024'!Resal)*(1-EXP(('2024'!Tnet-t)/('2024'!Tau_j))),Resal+(Salim-Resal)*(1-EXP((Tnet-t)/(Tau_j))))*Salcycl</f>
        <v>6.8843844967681589E-2</v>
      </c>
      <c r="P15" s="304">
        <f>(INDEX(Models!$BJ15:$BT15,,T15)*(1-R15)+INDEX(Models!$BJ15:$BT15,,T15+1)*R15-ERP_i)*Q15*Ramure*Pc/MaxiM</f>
        <v>0.17771409856716716</v>
      </c>
      <c r="Q15" s="305">
        <f t="shared" ref="Q15:Q78" si="4">IF(OR(t&lt;Ttai,Notai),Dd+PousD*Croivg,Dens+PousD*(Croivg-Croi_tai))</f>
        <v>0.9</v>
      </c>
      <c r="R15" s="306">
        <f t="shared" ref="R15:R78" si="5">(Hp_vg-S15)/(INDEX(Echel_vg,T15+1)-S15)</f>
        <v>0.80044996121345258</v>
      </c>
      <c r="S15" s="838">
        <f t="shared" ref="S15:S78" si="6">INDEX(Echel_vg,T15)</f>
        <v>1</v>
      </c>
      <c r="T15" s="251">
        <f t="shared" ref="T15:T78" si="7">MIN(MATCH(Hp_vg,Echel_vg),10)</f>
        <v>7</v>
      </c>
      <c r="U15" s="253">
        <f t="shared" ref="U15:U78" si="8">IF(OR(t&lt;Ttai,Notai),Hdd+PousH*Croivg,Hdtf+PousH*(Croivg-Croi_tai))</f>
        <v>1.8004499612134526</v>
      </c>
      <c r="V15" s="384">
        <f t="shared" ref="V15:V78" si="9">MaxiM*(1-Ppv)*(1-Pvg)*(1-Psa)</f>
        <v>13.664850013344589</v>
      </c>
      <c r="W15" s="404">
        <f t="shared" ref="W15:W78" si="10">Wh*(A15&gt;Tmaj)</f>
        <v>13.845352990735517</v>
      </c>
      <c r="X15" s="156">
        <f t="shared" ref="X15:X78" si="11">t</f>
        <v>45658</v>
      </c>
      <c r="Y15" s="387">
        <f t="shared" ref="Y15:Y78" si="12">Wh_pvt_s*(1-Ppv)</f>
        <v>12.815978242705452</v>
      </c>
      <c r="Z15" s="387">
        <f>Wh_sa_s*(1-Psa_s)</f>
        <v>13.534810246128801</v>
      </c>
      <c r="AA15" s="388">
        <f t="shared" ref="AA15:AA78" si="13">Wh_hp*(1-Pvg_s*MEDIAN((-Sdif+Wh/Env_an)/Csdif,0,1))</f>
        <v>15.702974460592211</v>
      </c>
      <c r="AB15" s="199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0.13807347263440956</v>
      </c>
      <c r="AD15" s="233">
        <f>(INDEX(Models!$BJ15:$BT15,,AH15)*(1-AF15)+INDEX(Models!$BJ15:$BT15,,AH15+1)*AF15-ERP_i)*AE15*Ramure*Pc/MaxiM</f>
        <v>0.17771409856716716</v>
      </c>
      <c r="AE15" s="305">
        <f t="shared" ref="AE15:AE78" si="15">IF(OR(t&lt;Ttai,Notai),Dd_s+PousD*Croivg,Dens_s+PousD*(Croivg-Croi_tai))</f>
        <v>0.9</v>
      </c>
      <c r="AF15" s="306">
        <f>(Hp_vg_s-AG15)/(INDEX(Echel_vg,AH15+1)-AG15)</f>
        <v>0.80044996121345258</v>
      </c>
      <c r="AG15" s="838">
        <f>INDEX(Echel_vg,AH15)</f>
        <v>1</v>
      </c>
      <c r="AH15" s="251">
        <f t="shared" ref="AH15:AH78" si="16">MIN(MATCH(Hp_vg_s,Echel_vg),10)</f>
        <v>7</v>
      </c>
      <c r="AI15" s="226">
        <f t="shared" ref="AI15:AI78" si="17">IF(OR(t&lt;Ttai,Notai),Hdd_s+PousH*Croivg,Hdtai_s+PousH*(Croivg-Croi_tai))</f>
        <v>1.8004499612134526</v>
      </c>
      <c r="AJ15" s="267" t="b">
        <f t="shared" ref="AJ15:AJ78" si="18">t&lt;Tnet</f>
        <v>0</v>
      </c>
      <c r="AK15" s="267" t="b">
        <f t="shared" ref="AK15:AK78" si="19">t&lt;Ttai</f>
        <v>1</v>
      </c>
      <c r="AL15" s="267"/>
      <c r="AM15" s="267"/>
      <c r="AN15" s="75"/>
    </row>
    <row r="16" spans="1:40" s="6" customFormat="1" ht="11.25" x14ac:dyDescent="0.2">
      <c r="A16" s="56">
        <f t="shared" ref="A16:A79" si="20">A15+1</f>
        <v>45659</v>
      </c>
      <c r="B16" s="413">
        <f>'2024'!Wh/'2024'!Env_an*'2025'!Env_an</f>
        <v>11.871994470881209</v>
      </c>
      <c r="C16" s="868"/>
      <c r="D16" s="395">
        <f t="shared" si="0"/>
        <v>12.538171400542433</v>
      </c>
      <c r="E16" s="387">
        <f t="shared" si="1"/>
        <v>13.467506604046987</v>
      </c>
      <c r="F16" s="387">
        <f t="shared" si="2"/>
        <v>15.679134770751098</v>
      </c>
      <c r="G16" s="110">
        <f t="shared" ref="G16:G79" si="21">+Wh_hp/MaxiM</f>
        <v>0.82598724009668356</v>
      </c>
      <c r="H16" s="416" t="b">
        <f>Wh_hp&gt;='2024'!Maxi_hp</f>
        <v>0</v>
      </c>
      <c r="I16" s="392">
        <f>IF(H16,Wh_hp,'2024'!Maxi_hp)</f>
        <v>17.78447596879985</v>
      </c>
      <c r="J16" s="85">
        <f>IF(H16,An,'2024'!An_max)</f>
        <v>2020</v>
      </c>
      <c r="K16" s="199">
        <f t="shared" si="3"/>
        <v>45659</v>
      </c>
      <c r="L16" s="147">
        <f>IF(t&lt;Tvie,1-EXP((T0-t)*PertePVj)+'2024'!Pspv,1-EXP((T0-t)*PertePVj)+Pspv)</f>
        <v>5.3131904835214128E-2</v>
      </c>
      <c r="M16" s="872"/>
      <c r="N16" s="872"/>
      <c r="O16" s="48">
        <f>IF(t&lt;Tnet,'2024'!Resal+('2024'!Salim-'2024'!Resal)*(1-EXP(('2024'!Tnet-t)/('2024'!Tau_j))),Resal+(Salim-Resal)*(1-EXP((Tnet-t)/(Tau_j))))*Salcycl</f>
        <v>6.9005735866896706E-2</v>
      </c>
      <c r="P16" s="171">
        <f>(INDEX(Models!$BJ16:$BT16,,T16)*(1-R16)+INDEX(Models!$BJ16:$BT16,,T16+1)*R16-ERP_i)*Q16*Ramure*Pc/MaxiM</f>
        <v>0.17600003983139145</v>
      </c>
      <c r="Q16" s="307">
        <f t="shared" si="4"/>
        <v>0.9</v>
      </c>
      <c r="R16" s="179">
        <f t="shared" si="5"/>
        <v>0.8004908616730444</v>
      </c>
      <c r="S16" s="839">
        <f t="shared" si="6"/>
        <v>1</v>
      </c>
      <c r="T16" s="178">
        <f t="shared" si="7"/>
        <v>7</v>
      </c>
      <c r="U16" s="253">
        <f t="shared" si="8"/>
        <v>1.8004908616730444</v>
      </c>
      <c r="V16" s="385">
        <f t="shared" si="9"/>
        <v>13.788354288005568</v>
      </c>
      <c r="W16" s="404">
        <f t="shared" si="10"/>
        <v>11.871994470881209</v>
      </c>
      <c r="X16" s="157">
        <f t="shared" si="11"/>
        <v>45659</v>
      </c>
      <c r="Y16" s="387">
        <f t="shared" si="12"/>
        <v>10.99019784674468</v>
      </c>
      <c r="Z16" s="387">
        <f t="shared" ref="Z16:Z78" si="22">Wh_sa_s*(1-Psa_s)</f>
        <v>11.606894247325998</v>
      </c>
      <c r="AA16" s="388">
        <f t="shared" si="13"/>
        <v>13.467506604046987</v>
      </c>
      <c r="AB16" s="199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0.13815566692663614</v>
      </c>
      <c r="AD16" s="233">
        <f>(INDEX(Models!$BJ16:$BT16,,AH16)*(1-AF16)+INDEX(Models!$BJ16:$BT16,,AH16+1)*AF16-ERP_i)*AE16*Ramure*Pc/MaxiM</f>
        <v>0.17600003983139145</v>
      </c>
      <c r="AE16" s="307">
        <f t="shared" si="15"/>
        <v>0.9</v>
      </c>
      <c r="AF16" s="179">
        <f t="shared" ref="AF16:AF78" si="23">(Hp_vg_s-AG16)/(INDEX(Echel_vg,AH16+1)-AG16)</f>
        <v>0.8004908616730444</v>
      </c>
      <c r="AG16" s="839">
        <f t="shared" ref="AG16:AG79" si="24">INDEX(Echel_vg,AH16)</f>
        <v>1</v>
      </c>
      <c r="AH16" s="178">
        <f t="shared" si="16"/>
        <v>7</v>
      </c>
      <c r="AI16" s="227">
        <f t="shared" si="17"/>
        <v>1.8004908616730444</v>
      </c>
      <c r="AJ16" s="267" t="b">
        <f t="shared" si="18"/>
        <v>0</v>
      </c>
      <c r="AK16" s="267" t="b">
        <f t="shared" si="19"/>
        <v>1</v>
      </c>
      <c r="AL16" s="267"/>
      <c r="AM16" s="267"/>
      <c r="AN16" s="75"/>
    </row>
    <row r="17" spans="1:40" s="6" customFormat="1" ht="11.25" x14ac:dyDescent="0.2">
      <c r="A17" s="56">
        <f t="shared" si="20"/>
        <v>45660</v>
      </c>
      <c r="B17" s="413">
        <f>'2024'!Wh/'2024'!Env_an*'2025'!Env_an</f>
        <v>11.54511520022433</v>
      </c>
      <c r="C17" s="868"/>
      <c r="D17" s="395">
        <f t="shared" si="0"/>
        <v>12.193233605748036</v>
      </c>
      <c r="E17" s="387">
        <f t="shared" si="1"/>
        <v>13.09927994440309</v>
      </c>
      <c r="F17" s="387">
        <f t="shared" si="2"/>
        <v>15.085789634767021</v>
      </c>
      <c r="G17" s="110">
        <f t="shared" si="21"/>
        <v>0.78876794009502149</v>
      </c>
      <c r="H17" s="416" t="b">
        <f>Wh_hp&gt;='2024'!Maxi_hp</f>
        <v>0</v>
      </c>
      <c r="I17" s="392">
        <f>IF(H17,Wh_hp,'2024'!Maxi_hp)</f>
        <v>19.408966249247889</v>
      </c>
      <c r="J17" s="85">
        <f>IF(H17,An,'2024'!An_max)</f>
        <v>2019</v>
      </c>
      <c r="K17" s="199">
        <f t="shared" si="3"/>
        <v>45660</v>
      </c>
      <c r="L17" s="147">
        <f>IF(t&lt;Tvie,1-EXP((T0-t)*PertePVj)+'2024'!Pspv,1-EXP((T0-t)*PertePVj)+Pspv)</f>
        <v>5.3153939839073905E-2</v>
      </c>
      <c r="M17" s="872"/>
      <c r="N17" s="872"/>
      <c r="O17" s="48">
        <f>IF(t&lt;Tnet,'2024'!Resal+('2024'!Salim-'2024'!Resal)*(1-EXP(('2024'!Tnet-t)/('2024'!Tau_j))),Resal+(Salim-Resal)*(1-EXP((Tnet-t)/(Tau_j))))*Salcycl</f>
        <v>6.9167644519436258E-2</v>
      </c>
      <c r="P17" s="171">
        <f>(INDEX(Models!$BJ17:$BT17,,T17)*(1-R17)+INDEX(Models!$BJ17:$BT17,,T17+1)*R17-ERP_i)*Q17*Ramure*Pc/MaxiM</f>
        <v>0.17414113016869834</v>
      </c>
      <c r="Q17" s="307">
        <f t="shared" si="4"/>
        <v>0.9</v>
      </c>
      <c r="R17" s="179">
        <f t="shared" si="5"/>
        <v>0.80053347290672972</v>
      </c>
      <c r="S17" s="839">
        <f t="shared" si="6"/>
        <v>1</v>
      </c>
      <c r="T17" s="178">
        <f t="shared" si="7"/>
        <v>7</v>
      </c>
      <c r="U17" s="253">
        <f t="shared" si="8"/>
        <v>1.8005334729067297</v>
      </c>
      <c r="V17" s="385">
        <f t="shared" si="9"/>
        <v>13.921161827218834</v>
      </c>
      <c r="W17" s="404">
        <f t="shared" si="10"/>
        <v>11.54511520022433</v>
      </c>
      <c r="X17" s="157">
        <f t="shared" si="11"/>
        <v>45660</v>
      </c>
      <c r="Y17" s="387">
        <f t="shared" si="12"/>
        <v>10.688433138128788</v>
      </c>
      <c r="Z17" s="387">
        <f t="shared" si="22"/>
        <v>11.288459220406093</v>
      </c>
      <c r="AA17" s="388">
        <f t="shared" si="13"/>
        <v>13.09927994440309</v>
      </c>
      <c r="AB17" s="199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0.13823818802885446</v>
      </c>
      <c r="AD17" s="233">
        <f>(INDEX(Models!$BJ17:$BT17,,AH17)*(1-AF17)+INDEX(Models!$BJ17:$BT17,,AH17+1)*AF17-ERP_i)*AE17*Ramure*Pc/MaxiM</f>
        <v>0.17414113016869834</v>
      </c>
      <c r="AE17" s="307">
        <f t="shared" si="15"/>
        <v>0.9</v>
      </c>
      <c r="AF17" s="179">
        <f>(Hp_vg_s-AG17)/(INDEX(Echel_vg,AH17+1)-AG17)</f>
        <v>0.80053347290672972</v>
      </c>
      <c r="AG17" s="839">
        <f>INDEX(Echel_vg,AH17)</f>
        <v>1</v>
      </c>
      <c r="AH17" s="178">
        <f t="shared" si="16"/>
        <v>7</v>
      </c>
      <c r="AI17" s="227">
        <f t="shared" si="17"/>
        <v>1.8005334729067297</v>
      </c>
      <c r="AJ17" s="267" t="b">
        <f t="shared" si="18"/>
        <v>0</v>
      </c>
      <c r="AK17" s="267" t="b">
        <f t="shared" si="19"/>
        <v>1</v>
      </c>
      <c r="AL17" s="267"/>
      <c r="AM17" s="267"/>
      <c r="AN17" s="75"/>
    </row>
    <row r="18" spans="1:40" s="6" customFormat="1" ht="11.25" x14ac:dyDescent="0.2">
      <c r="A18" s="56">
        <f t="shared" si="20"/>
        <v>45661</v>
      </c>
      <c r="B18" s="413">
        <f>'2024'!Wh/'2024'!Env_an*'2025'!Env_an</f>
        <v>12.140816804618614</v>
      </c>
      <c r="C18" s="868"/>
      <c r="D18" s="395">
        <f t="shared" si="0"/>
        <v>12.82267504357983</v>
      </c>
      <c r="E18" s="387">
        <f t="shared" si="1"/>
        <v>13.777889954143891</v>
      </c>
      <c r="F18" s="387">
        <f t="shared" si="2"/>
        <v>15.99347982864095</v>
      </c>
      <c r="G18" s="110">
        <f t="shared" si="21"/>
        <v>0.82962735205489391</v>
      </c>
      <c r="H18" s="416" t="b">
        <f>Wh_hp&gt;='2024'!Maxi_hp</f>
        <v>0</v>
      </c>
      <c r="I18" s="392">
        <f>IF(H18,Wh_hp,'2024'!Maxi_hp)</f>
        <v>19.187961348193991</v>
      </c>
      <c r="J18" s="85">
        <f>IF(H18,An,'2024'!An_max)</f>
        <v>2019</v>
      </c>
      <c r="K18" s="199">
        <f t="shared" si="3"/>
        <v>45661</v>
      </c>
      <c r="L18" s="147">
        <f>IF(t&lt;Tvie,1-EXP((T0-t)*PertePVj)+'2024'!Pspv,1-EXP((T0-t)*PertePVj)+Pspv)</f>
        <v>5.3175974330146869E-2</v>
      </c>
      <c r="M18" s="872"/>
      <c r="N18" s="872"/>
      <c r="O18" s="48">
        <f>IF(t&lt;Tnet,'2024'!Resal+('2024'!Salim-'2024'!Resal)*(1-EXP(('2024'!Tnet-t)/('2024'!Tau_j))),Resal+(Salim-Resal)*(1-EXP((Tnet-t)/(Tau_j))))*Salcycl</f>
        <v>6.9329550006803978E-2</v>
      </c>
      <c r="P18" s="171">
        <f>(INDEX(Models!$BJ18:$BT18,,T18)*(1-R18)+INDEX(Models!$BJ18:$BT18,,T18+1)*R18-ERP_i)*Q18*Ramure*Pc/MaxiM</f>
        <v>0.17214496243165495</v>
      </c>
      <c r="Q18" s="307">
        <f t="shared" si="4"/>
        <v>0.9</v>
      </c>
      <c r="R18" s="179">
        <f t="shared" si="5"/>
        <v>0.80057786625054295</v>
      </c>
      <c r="S18" s="839">
        <f t="shared" si="6"/>
        <v>1</v>
      </c>
      <c r="T18" s="178">
        <f t="shared" si="7"/>
        <v>7</v>
      </c>
      <c r="U18" s="253">
        <f t="shared" si="8"/>
        <v>1.8005778662505429</v>
      </c>
      <c r="V18" s="385">
        <f t="shared" si="9"/>
        <v>14.06304593114014</v>
      </c>
      <c r="W18" s="404">
        <f t="shared" si="10"/>
        <v>12.140816804618614</v>
      </c>
      <c r="X18" s="157">
        <f t="shared" si="11"/>
        <v>45661</v>
      </c>
      <c r="Y18" s="387">
        <f t="shared" si="12"/>
        <v>11.240807082039229</v>
      </c>
      <c r="Z18" s="387">
        <f>Wh_sa_s*(1-Psa_s)</f>
        <v>11.872118553483741</v>
      </c>
      <c r="AA18" s="388">
        <f t="shared" si="13"/>
        <v>13.777889954143891</v>
      </c>
      <c r="AB18" s="199">
        <f>t</f>
        <v>45661</v>
      </c>
      <c r="AC18" s="119">
        <f>IF(OR(t&lt;Tnet,NoTnet),'2024'!Resal_s+('2024'!Salim-'2024'!Resal_s)*(1-EXP(('2024'!Tnet_s-t)/'2024'!Tau_j)),Resal_s+(Salim-Resal_s)*(1-EXP((Tnet_s-t)/Tau_j)))*Salcycl</f>
        <v>0.13832099160343231</v>
      </c>
      <c r="AD18" s="233">
        <f>(INDEX(Models!$BJ18:$BT18,,AH18)*(1-AF18)+INDEX(Models!$BJ18:$BT18,,AH18+1)*AF18-ERP_i)*AE18*Ramure*Pc/MaxiM</f>
        <v>0.17214496243165495</v>
      </c>
      <c r="AE18" s="307">
        <f t="shared" si="15"/>
        <v>0.9</v>
      </c>
      <c r="AF18" s="179">
        <f t="shared" si="23"/>
        <v>0.80057786625054295</v>
      </c>
      <c r="AG18" s="839">
        <f t="shared" si="24"/>
        <v>1</v>
      </c>
      <c r="AH18" s="178">
        <f t="shared" si="16"/>
        <v>7</v>
      </c>
      <c r="AI18" s="227">
        <f t="shared" si="17"/>
        <v>1.8005778662505429</v>
      </c>
      <c r="AJ18" s="267" t="b">
        <f t="shared" si="18"/>
        <v>0</v>
      </c>
      <c r="AK18" s="267" t="b">
        <f t="shared" si="19"/>
        <v>1</v>
      </c>
      <c r="AL18" s="267"/>
      <c r="AM18" s="267"/>
      <c r="AN18" s="75"/>
    </row>
    <row r="19" spans="1:40" s="6" customFormat="1" ht="11.25" x14ac:dyDescent="0.2">
      <c r="A19" s="56">
        <f t="shared" si="20"/>
        <v>45662</v>
      </c>
      <c r="B19" s="413">
        <f>'2024'!Wh/'2024'!Env_an*'2025'!Env_an</f>
        <v>9.608871493117114</v>
      </c>
      <c r="C19" s="868"/>
      <c r="D19" s="395">
        <f t="shared" si="0"/>
        <v>10.148765610378492</v>
      </c>
      <c r="E19" s="387">
        <f t="shared" si="1"/>
        <v>10.906686926471922</v>
      </c>
      <c r="F19" s="387">
        <f t="shared" si="2"/>
        <v>12.002921801142241</v>
      </c>
      <c r="G19" s="110">
        <f t="shared" si="21"/>
        <v>0.61748297772834648</v>
      </c>
      <c r="H19" s="416" t="b">
        <f>Wh_hp&gt;='2024'!Maxi_hp</f>
        <v>0</v>
      </c>
      <c r="I19" s="392">
        <f>IF(H19,Wh_hp,'2024'!Maxi_hp)</f>
        <v>19.412334573306765</v>
      </c>
      <c r="J19" s="85">
        <f>IF(H19,An,'2024'!An_max)</f>
        <v>2019</v>
      </c>
      <c r="K19" s="199">
        <f t="shared" si="3"/>
        <v>45662</v>
      </c>
      <c r="L19" s="147">
        <f>IF(t&lt;Tvie,1-EXP((T0-t)*PertePVj)+'2024'!Pspv,1-EXP((T0-t)*PertePVj)+Pspv)</f>
        <v>5.3198008308445122E-2</v>
      </c>
      <c r="M19" s="872"/>
      <c r="N19" s="872"/>
      <c r="O19" s="48">
        <f>IF(t&lt;Tnet,'2024'!Resal+('2024'!Salim-'2024'!Resal)*(1-EXP(('2024'!Tnet-t)/('2024'!Tau_j))),Resal+(Salim-Resal)*(1-EXP((Tnet-t)/(Tau_j))))*Salcycl</f>
        <v>6.9491434126880317E-2</v>
      </c>
      <c r="P19" s="171">
        <f>(INDEX(Models!$BJ19:$BT19,,T19)*(1-R19)+INDEX(Models!$BJ19:$BT19,,T19+1)*R19-ERP_i)*Q19*Ramure*Pc/MaxiM</f>
        <v>0.17001916741994727</v>
      </c>
      <c r="Q19" s="307">
        <f t="shared" si="4"/>
        <v>0.9</v>
      </c>
      <c r="R19" s="179">
        <f t="shared" si="5"/>
        <v>0.80062411599612937</v>
      </c>
      <c r="S19" s="839">
        <f t="shared" si="6"/>
        <v>1</v>
      </c>
      <c r="T19" s="178">
        <f t="shared" si="7"/>
        <v>7</v>
      </c>
      <c r="U19" s="253">
        <f t="shared" si="8"/>
        <v>1.8006241159961294</v>
      </c>
      <c r="V19" s="385">
        <f t="shared" si="9"/>
        <v>14.213779964926957</v>
      </c>
      <c r="W19" s="404">
        <f t="shared" si="10"/>
        <v>9.608871493117114</v>
      </c>
      <c r="X19" s="157">
        <f t="shared" si="11"/>
        <v>45662</v>
      </c>
      <c r="Y19" s="387">
        <f t="shared" si="12"/>
        <v>8.8972473456676475</v>
      </c>
      <c r="Z19" s="387">
        <f t="shared" si="22"/>
        <v>9.3971574032832788</v>
      </c>
      <c r="AA19" s="388">
        <f t="shared" si="13"/>
        <v>10.906686926471922</v>
      </c>
      <c r="AB19" s="199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0.13840403904184892</v>
      </c>
      <c r="AD19" s="233">
        <f>(INDEX(Models!$BJ19:$BT19,,AH19)*(1-AF19)+INDEX(Models!$BJ19:$BT19,,AH19+1)*AF19-ERP_i)*AE19*Ramure*Pc/MaxiM</f>
        <v>0.17001916741994727</v>
      </c>
      <c r="AE19" s="307">
        <f t="shared" si="15"/>
        <v>0.9</v>
      </c>
      <c r="AF19" s="179">
        <f t="shared" si="23"/>
        <v>0.80062411599612937</v>
      </c>
      <c r="AG19" s="839">
        <f t="shared" si="24"/>
        <v>1</v>
      </c>
      <c r="AH19" s="178">
        <f t="shared" si="16"/>
        <v>7</v>
      </c>
      <c r="AI19" s="227">
        <f t="shared" si="17"/>
        <v>1.8006241159961294</v>
      </c>
      <c r="AJ19" s="267" t="b">
        <f t="shared" si="18"/>
        <v>0</v>
      </c>
      <c r="AK19" s="267" t="b">
        <f t="shared" si="19"/>
        <v>1</v>
      </c>
      <c r="AL19" s="267"/>
      <c r="AM19" s="267"/>
      <c r="AN19" s="75"/>
    </row>
    <row r="20" spans="1:40" s="6" customFormat="1" ht="11.25" x14ac:dyDescent="0.2">
      <c r="A20" s="56">
        <f t="shared" si="20"/>
        <v>45663</v>
      </c>
      <c r="B20" s="413">
        <f>'2024'!Wh/'2024'!Env_an*'2025'!Env_an</f>
        <v>14.72286315022512</v>
      </c>
      <c r="C20" s="868"/>
      <c r="D20" s="395">
        <f t="shared" si="0"/>
        <v>15.550459240615243</v>
      </c>
      <c r="E20" s="387">
        <f t="shared" si="1"/>
        <v>16.714692413719053</v>
      </c>
      <c r="F20" s="387">
        <f t="shared" si="2"/>
        <v>20.08425531340108</v>
      </c>
      <c r="G20" s="110">
        <f t="shared" si="21"/>
        <v>1.024331906404542</v>
      </c>
      <c r="H20" s="416" t="b">
        <f>Wh_hp&gt;='2024'!Maxi_hp</f>
        <v>1</v>
      </c>
      <c r="I20" s="392">
        <f>IF(H20,Wh_hp,'2024'!Maxi_hp)</f>
        <v>20.08425531340108</v>
      </c>
      <c r="J20" s="85">
        <f>IF(H20,An,'2024'!An_max)</f>
        <v>2025</v>
      </c>
      <c r="K20" s="199">
        <f t="shared" si="3"/>
        <v>45663</v>
      </c>
      <c r="L20" s="147">
        <f>IF(t&lt;Tvie,1-EXP((T0-t)*PertePVj)+'2024'!Pspv,1-EXP((T0-t)*PertePVj)+Pspv)</f>
        <v>5.3220041773980431E-2</v>
      </c>
      <c r="M20" s="872"/>
      <c r="N20" s="872"/>
      <c r="O20" s="48">
        <f>IF(t&lt;Tnet,'2024'!Resal+('2024'!Salim-'2024'!Resal)*(1-EXP(('2024'!Tnet-t)/('2024'!Tau_j))),Resal+(Salim-Resal)*(1-EXP((Tnet-t)/(Tau_j))))*Salcycl</f>
        <v>6.9653281333985601E-2</v>
      </c>
      <c r="P20" s="171">
        <f>(INDEX(Models!$BJ20:$BT20,,T20)*(1-R20)+INDEX(Models!$BJ20:$BT20,,T20+1)*R20-ERP_i)*Q20*Ramure*Pc/MaxiM</f>
        <v>0.16777136354334779</v>
      </c>
      <c r="Q20" s="307">
        <f t="shared" si="4"/>
        <v>0.9</v>
      </c>
      <c r="R20" s="179">
        <f t="shared" si="5"/>
        <v>0.80067229951158025</v>
      </c>
      <c r="S20" s="839">
        <f t="shared" si="6"/>
        <v>1</v>
      </c>
      <c r="T20" s="178">
        <f t="shared" si="7"/>
        <v>7</v>
      </c>
      <c r="U20" s="253">
        <f t="shared" si="8"/>
        <v>1.8006722995115803</v>
      </c>
      <c r="V20" s="385">
        <f t="shared" si="9"/>
        <v>14.373137318257648</v>
      </c>
      <c r="W20" s="404">
        <f t="shared" si="10"/>
        <v>14.72286315022512</v>
      </c>
      <c r="X20" s="157">
        <f t="shared" si="11"/>
        <v>45663</v>
      </c>
      <c r="Y20" s="387">
        <f t="shared" si="12"/>
        <v>13.633555501011637</v>
      </c>
      <c r="Z20" s="387">
        <f t="shared" si="22"/>
        <v>14.399919836238203</v>
      </c>
      <c r="AA20" s="388">
        <f t="shared" si="13"/>
        <v>16.714692413719053</v>
      </c>
      <c r="AB20" s="199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0.13848729729426171</v>
      </c>
      <c r="AD20" s="233">
        <f>(INDEX(Models!$BJ20:$BT20,,AH20)*(1-AF20)+INDEX(Models!$BJ20:$BT20,,AH20+1)*AF20-ERP_i)*AE20*Ramure*Pc/MaxiM</f>
        <v>0.16777136354334779</v>
      </c>
      <c r="AE20" s="307">
        <f t="shared" si="15"/>
        <v>0.9</v>
      </c>
      <c r="AF20" s="179">
        <f t="shared" si="23"/>
        <v>0.80067229951158025</v>
      </c>
      <c r="AG20" s="839">
        <f t="shared" si="24"/>
        <v>1</v>
      </c>
      <c r="AH20" s="178">
        <f t="shared" si="16"/>
        <v>7</v>
      </c>
      <c r="AI20" s="227">
        <f t="shared" si="17"/>
        <v>1.8006722995115803</v>
      </c>
      <c r="AJ20" s="267" t="b">
        <f t="shared" si="18"/>
        <v>0</v>
      </c>
      <c r="AK20" s="267" t="b">
        <f t="shared" si="19"/>
        <v>1</v>
      </c>
      <c r="AL20" s="267"/>
      <c r="AM20" s="267"/>
      <c r="AN20" s="75"/>
    </row>
    <row r="21" spans="1:40" s="6" customFormat="1" ht="11.25" x14ac:dyDescent="0.2">
      <c r="A21" s="56">
        <f t="shared" si="20"/>
        <v>45664</v>
      </c>
      <c r="B21" s="413">
        <f>'2024'!Wh/'2024'!Env_an*'2025'!Env_an</f>
        <v>7.3895415516536183</v>
      </c>
      <c r="C21" s="868"/>
      <c r="D21" s="395">
        <f t="shared" si="0"/>
        <v>7.8051013404730574</v>
      </c>
      <c r="E21" s="387">
        <f t="shared" si="1"/>
        <v>8.3909136359633258</v>
      </c>
      <c r="F21" s="387">
        <f t="shared" si="2"/>
        <v>8.8250637941617249</v>
      </c>
      <c r="G21" s="110">
        <f t="shared" si="21"/>
        <v>0.44607584590242394</v>
      </c>
      <c r="H21" s="416" t="b">
        <f>Wh_hp&gt;='2024'!Maxi_hp</f>
        <v>0</v>
      </c>
      <c r="I21" s="392">
        <f>IF(H21,Wh_hp,'2024'!Maxi_hp)</f>
        <v>11.638105968264961</v>
      </c>
      <c r="J21" s="85">
        <f>IF(H21,An,'2024'!An_max)</f>
        <v>2021</v>
      </c>
      <c r="K21" s="199">
        <f t="shared" si="3"/>
        <v>45664</v>
      </c>
      <c r="L21" s="147">
        <f>IF(t&lt;Tvie,1-EXP((T0-t)*PertePVj)+'2024'!Pspv,1-EXP((T0-t)*PertePVj)+Pspv)</f>
        <v>5.3242074726764899E-2</v>
      </c>
      <c r="M21" s="872"/>
      <c r="N21" s="872"/>
      <c r="O21" s="48">
        <f>IF(t&lt;Tnet,'2024'!Resal+('2024'!Salim-'2024'!Resal)*(1-EXP(('2024'!Tnet-t)/('2024'!Tau_j))),Resal+(Salim-Resal)*(1-EXP((Tnet-t)/(Tau_j))))*Salcycl</f>
        <v>6.98150786559745E-2</v>
      </c>
      <c r="P21" s="171">
        <f>(INDEX(Models!$BJ21:$BT21,,T21)*(1-R21)+INDEX(Models!$BJ21:$BT21,,T21+1)*R21-ERP_i)*Q21*Ramure*Pc/MaxiM</f>
        <v>0.16540911108611553</v>
      </c>
      <c r="Q21" s="307">
        <f t="shared" si="4"/>
        <v>0.9</v>
      </c>
      <c r="R21" s="179">
        <f t="shared" si="5"/>
        <v>0.8007224973670688</v>
      </c>
      <c r="S21" s="839">
        <f t="shared" si="6"/>
        <v>1</v>
      </c>
      <c r="T21" s="178">
        <f t="shared" si="7"/>
        <v>7</v>
      </c>
      <c r="U21" s="253">
        <f t="shared" si="8"/>
        <v>1.8007224973670688</v>
      </c>
      <c r="V21" s="385">
        <f t="shared" si="9"/>
        <v>14.540891352384611</v>
      </c>
      <c r="W21" s="404">
        <f t="shared" si="10"/>
        <v>7.3895415516536183</v>
      </c>
      <c r="X21" s="157">
        <f t="shared" si="11"/>
        <v>45664</v>
      </c>
      <c r="Y21" s="387">
        <f t="shared" si="12"/>
        <v>6.8433353137106074</v>
      </c>
      <c r="Z21" s="387">
        <f t="shared" si="22"/>
        <v>7.2281785354325025</v>
      </c>
      <c r="AA21" s="388">
        <f t="shared" si="13"/>
        <v>8.3909136359633258</v>
      </c>
      <c r="AB21" s="199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0.13857073865560463</v>
      </c>
      <c r="AD21" s="233">
        <f>(INDEX(Models!$BJ21:$BT21,,AH21)*(1-AF21)+INDEX(Models!$BJ21:$BT21,,AH21+1)*AF21-ERP_i)*AE21*Ramure*Pc/MaxiM</f>
        <v>0.16540911108611553</v>
      </c>
      <c r="AE21" s="307">
        <f t="shared" si="15"/>
        <v>0.9</v>
      </c>
      <c r="AF21" s="179">
        <f t="shared" si="23"/>
        <v>0.8007224973670688</v>
      </c>
      <c r="AG21" s="839">
        <f t="shared" si="24"/>
        <v>1</v>
      </c>
      <c r="AH21" s="178">
        <f t="shared" si="16"/>
        <v>7</v>
      </c>
      <c r="AI21" s="227">
        <f t="shared" si="17"/>
        <v>1.8007224973670688</v>
      </c>
      <c r="AJ21" s="267" t="b">
        <f t="shared" si="18"/>
        <v>0</v>
      </c>
      <c r="AK21" s="267" t="b">
        <f t="shared" si="19"/>
        <v>1</v>
      </c>
      <c r="AL21" s="267"/>
      <c r="AM21" s="267"/>
      <c r="AN21" s="75"/>
    </row>
    <row r="22" spans="1:40" s="6" customFormat="1" ht="11.25" x14ac:dyDescent="0.2">
      <c r="A22" s="56">
        <f t="shared" si="20"/>
        <v>45665</v>
      </c>
      <c r="B22" s="413">
        <f>'2024'!Wh/'2024'!Env_an*'2025'!Env_an</f>
        <v>6.0085665927211993</v>
      </c>
      <c r="C22" s="868"/>
      <c r="D22" s="395">
        <f t="shared" si="0"/>
        <v>6.3466132827604538</v>
      </c>
      <c r="E22" s="387">
        <f t="shared" si="1"/>
        <v>6.8241452354608896</v>
      </c>
      <c r="F22" s="387">
        <f t="shared" si="2"/>
        <v>7.0005897541450492</v>
      </c>
      <c r="G22" s="110">
        <f t="shared" si="21"/>
        <v>0.35059043238653281</v>
      </c>
      <c r="H22" s="416" t="b">
        <f>Wh_hp&gt;='2024'!Maxi_hp</f>
        <v>0</v>
      </c>
      <c r="I22" s="392">
        <f>IF(H22,Wh_hp,'2024'!Maxi_hp)</f>
        <v>14.643565191481343</v>
      </c>
      <c r="J22" s="85">
        <f>IF(H22,An,'2024'!An_max)</f>
        <v>2021</v>
      </c>
      <c r="K22" s="199">
        <f t="shared" si="3"/>
        <v>45665</v>
      </c>
      <c r="L22" s="147">
        <f>IF(t&lt;Tvie,1-EXP((T0-t)*PertePVj)+'2024'!Pspv,1-EXP((T0-t)*PertePVj)+Pspv)</f>
        <v>5.3264107166810293E-2</v>
      </c>
      <c r="M22" s="872"/>
      <c r="N22" s="872"/>
      <c r="O22" s="48">
        <f>IF(t&lt;Tnet,'2024'!Resal+('2024'!Salim-'2024'!Resal)*(1-EXP(('2024'!Tnet-t)/('2024'!Tau_j))),Resal+(Salim-Resal)*(1-EXP((Tnet-t)/(Tau_j))))*Salcycl</f>
        <v>6.997681558988457E-2</v>
      </c>
      <c r="P22" s="171">
        <f>(INDEX(Models!$BJ22:$BT22,,T22)*(1-R22)+INDEX(Models!$BJ22:$BT22,,T22+1)*R22-ERP_i)*Q22*Ramure*Pc/MaxiM</f>
        <v>0.16293987074222085</v>
      </c>
      <c r="Q22" s="307">
        <f t="shared" si="4"/>
        <v>0.9</v>
      </c>
      <c r="R22" s="179">
        <f t="shared" si="5"/>
        <v>0.80077479346546476</v>
      </c>
      <c r="S22" s="839">
        <f t="shared" si="6"/>
        <v>1</v>
      </c>
      <c r="T22" s="178">
        <f t="shared" si="7"/>
        <v>7</v>
      </c>
      <c r="U22" s="253">
        <f t="shared" si="8"/>
        <v>1.8007747934654648</v>
      </c>
      <c r="V22" s="385">
        <f t="shared" si="9"/>
        <v>14.716815381939622</v>
      </c>
      <c r="W22" s="404">
        <f t="shared" si="10"/>
        <v>6.0085665927211993</v>
      </c>
      <c r="X22" s="157">
        <f t="shared" si="11"/>
        <v>45665</v>
      </c>
      <c r="Y22" s="387">
        <f t="shared" si="12"/>
        <v>5.5648642325720186</v>
      </c>
      <c r="Z22" s="387">
        <f t="shared" si="22"/>
        <v>5.8779478782817423</v>
      </c>
      <c r="AA22" s="388">
        <f t="shared" si="13"/>
        <v>6.8241452354608896</v>
      </c>
      <c r="AB22" s="199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0.13865434051173786</v>
      </c>
      <c r="AD22" s="233">
        <f>(INDEX(Models!$BJ22:$BT22,,AH22)*(1-AF22)+INDEX(Models!$BJ22:$BT22,,AH22+1)*AF22-ERP_i)*AE22*Ramure*Pc/MaxiM</f>
        <v>0.16293987074222085</v>
      </c>
      <c r="AE22" s="307">
        <f t="shared" si="15"/>
        <v>0.9</v>
      </c>
      <c r="AF22" s="179">
        <f t="shared" si="23"/>
        <v>0.80077479346546476</v>
      </c>
      <c r="AG22" s="839">
        <f t="shared" si="24"/>
        <v>1</v>
      </c>
      <c r="AH22" s="178">
        <f t="shared" si="16"/>
        <v>7</v>
      </c>
      <c r="AI22" s="227">
        <f t="shared" si="17"/>
        <v>1.8007747934654648</v>
      </c>
      <c r="AJ22" s="267" t="b">
        <f t="shared" si="18"/>
        <v>0</v>
      </c>
      <c r="AK22" s="267" t="b">
        <f t="shared" si="19"/>
        <v>1</v>
      </c>
      <c r="AL22" s="267"/>
      <c r="AM22" s="267"/>
      <c r="AN22" s="75"/>
    </row>
    <row r="23" spans="1:40" s="6" customFormat="1" ht="11.25" x14ac:dyDescent="0.2">
      <c r="A23" s="56">
        <f t="shared" si="20"/>
        <v>45666</v>
      </c>
      <c r="B23" s="413">
        <f>'2024'!Wh/'2024'!Env_an*'2025'!Env_an</f>
        <v>1.814902206601696</v>
      </c>
      <c r="C23" s="868"/>
      <c r="D23" s="395">
        <f t="shared" si="0"/>
        <v>1.917054647182509</v>
      </c>
      <c r="E23" s="387">
        <f t="shared" si="1"/>
        <v>2.0616560790508252</v>
      </c>
      <c r="F23" s="387">
        <f t="shared" si="2"/>
        <v>2.0616560790508252</v>
      </c>
      <c r="G23" s="110">
        <f t="shared" si="21"/>
        <v>0.10225508658114214</v>
      </c>
      <c r="H23" s="416" t="b">
        <f>Wh_hp&gt;='2024'!Maxi_hp</f>
        <v>0</v>
      </c>
      <c r="I23" s="392">
        <f>IF(H23,Wh_hp,'2024'!Maxi_hp)</f>
        <v>18.867508996859197</v>
      </c>
      <c r="J23" s="85">
        <f>IF(H23,An,'2024'!An_max)</f>
        <v>2020</v>
      </c>
      <c r="K23" s="199">
        <f t="shared" si="3"/>
        <v>45666</v>
      </c>
      <c r="L23" s="147">
        <f>IF(t&lt;Tvie,1-EXP((T0-t)*PertePVj)+'2024'!Pspv,1-EXP((T0-t)*PertePVj)+Pspv)</f>
        <v>5.3286139094128715E-2</v>
      </c>
      <c r="M23" s="872"/>
      <c r="N23" s="872"/>
      <c r="O23" s="48">
        <f>IF(t&lt;Tnet,'2024'!Resal+('2024'!Salim-'2024'!Resal)*(1-EXP(('2024'!Tnet-t)/('2024'!Tau_j))),Resal+(Salim-Resal)*(1-EXP((Tnet-t)/(Tau_j))))*Salcycl</f>
        <v>7.013848397783673E-2</v>
      </c>
      <c r="P23" s="171">
        <f>(INDEX(Models!$BJ23:$BT23,,T23)*(1-R23)+INDEX(Models!$BJ23:$BT23,,T23+1)*R23-ERP_i)*Q23*Ramure*Pc/MaxiM</f>
        <v>0.16035265596600992</v>
      </c>
      <c r="Q23" s="307">
        <f t="shared" si="4"/>
        <v>0.9</v>
      </c>
      <c r="R23" s="179">
        <f t="shared" si="5"/>
        <v>0.80082927517811386</v>
      </c>
      <c r="S23" s="839">
        <f t="shared" si="6"/>
        <v>1</v>
      </c>
      <c r="T23" s="178">
        <f t="shared" si="7"/>
        <v>7</v>
      </c>
      <c r="U23" s="253">
        <f t="shared" si="8"/>
        <v>1.8008292751781139</v>
      </c>
      <c r="V23" s="385">
        <f t="shared" si="9"/>
        <v>14.902709179609413</v>
      </c>
      <c r="W23" s="404">
        <f t="shared" si="10"/>
        <v>1.814902206601696</v>
      </c>
      <c r="X23" s="157">
        <f t="shared" si="11"/>
        <v>45666</v>
      </c>
      <c r="Y23" s="387">
        <f t="shared" si="12"/>
        <v>1.6810096159184154</v>
      </c>
      <c r="Z23" s="387">
        <f t="shared" si="22"/>
        <v>1.7756258626127295</v>
      </c>
      <c r="AA23" s="388">
        <f t="shared" si="13"/>
        <v>2.0616560790508252</v>
      </c>
      <c r="AB23" s="199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0.13873808504946292</v>
      </c>
      <c r="AD23" s="233">
        <f>(INDEX(Models!$BJ23:$BT23,,AH23)*(1-AF23)+INDEX(Models!$BJ23:$BT23,,AH23+1)*AF23-ERP_i)*AE23*Ramure*Pc/MaxiM</f>
        <v>0.16035265596600992</v>
      </c>
      <c r="AE23" s="307">
        <f t="shared" si="15"/>
        <v>0.9</v>
      </c>
      <c r="AF23" s="179">
        <f t="shared" si="23"/>
        <v>0.80082927517811386</v>
      </c>
      <c r="AG23" s="839">
        <f t="shared" si="24"/>
        <v>1</v>
      </c>
      <c r="AH23" s="178">
        <f t="shared" si="16"/>
        <v>7</v>
      </c>
      <c r="AI23" s="227">
        <f t="shared" si="17"/>
        <v>1.8008292751781139</v>
      </c>
      <c r="AJ23" s="267" t="b">
        <f t="shared" si="18"/>
        <v>0</v>
      </c>
      <c r="AK23" s="267" t="b">
        <f t="shared" si="19"/>
        <v>1</v>
      </c>
      <c r="AL23" s="267"/>
      <c r="AM23" s="267"/>
      <c r="AN23" s="75"/>
    </row>
    <row r="24" spans="1:40" s="6" customFormat="1" ht="11.25" x14ac:dyDescent="0.2">
      <c r="A24" s="56">
        <f t="shared" si="20"/>
        <v>45667</v>
      </c>
      <c r="B24" s="413">
        <f>'2024'!Wh/'2024'!Env_an*'2025'!Env_an</f>
        <v>1.5390729708885968</v>
      </c>
      <c r="C24" s="868"/>
      <c r="D24" s="395">
        <f t="shared" si="0"/>
        <v>1.6257380944289566</v>
      </c>
      <c r="E24" s="387">
        <f t="shared" si="1"/>
        <v>1.7486697112931062</v>
      </c>
      <c r="F24" s="387">
        <f t="shared" si="2"/>
        <v>1.7486697112931062</v>
      </c>
      <c r="G24" s="110">
        <f t="shared" si="21"/>
        <v>8.5857259320469947E-2</v>
      </c>
      <c r="H24" s="416" t="b">
        <f>Wh_hp&gt;='2024'!Maxi_hp</f>
        <v>0</v>
      </c>
      <c r="I24" s="392">
        <f>IF(H24,Wh_hp,'2024'!Maxi_hp)</f>
        <v>10.733503548463755</v>
      </c>
      <c r="J24" s="85">
        <f>IF(H24,An,'2024'!An_max)</f>
        <v>2019</v>
      </c>
      <c r="K24" s="199">
        <f t="shared" si="3"/>
        <v>45667</v>
      </c>
      <c r="L24" s="147">
        <f>IF(t&lt;Tvie,1-EXP((T0-t)*PertePVj)+'2024'!Pspv,1-EXP((T0-t)*PertePVj)+Pspv)</f>
        <v>5.3308170508731934E-2</v>
      </c>
      <c r="M24" s="872"/>
      <c r="N24" s="872"/>
      <c r="O24" s="48">
        <f>IF(t&lt;Tnet,'2024'!Resal+('2024'!Salim-'2024'!Resal)*(1-EXP(('2024'!Tnet-t)/('2024'!Tau_j))),Resal+(Salim-Resal)*(1-EXP((Tnet-t)/(Tau_j))))*Salcycl</f>
        <v>7.0300077865044164E-2</v>
      </c>
      <c r="P24" s="171">
        <f>(INDEX(Models!$BJ24:$BT24,,T24)*(1-R24)+INDEX(Models!$BJ24:$BT24,,T24+1)*R24-ERP_i)*Q24*Ramure*Pc/MaxiM</f>
        <v>0.15765665157022718</v>
      </c>
      <c r="Q24" s="307">
        <f t="shared" si="4"/>
        <v>0.9</v>
      </c>
      <c r="R24" s="179">
        <f t="shared" si="5"/>
        <v>0.80088603348597132</v>
      </c>
      <c r="S24" s="839">
        <f t="shared" si="6"/>
        <v>1</v>
      </c>
      <c r="T24" s="178">
        <f t="shared" si="7"/>
        <v>7</v>
      </c>
      <c r="U24" s="253">
        <f t="shared" si="8"/>
        <v>1.8008860334859713</v>
      </c>
      <c r="V24" s="385">
        <f t="shared" si="9"/>
        <v>15.099805072242349</v>
      </c>
      <c r="W24" s="404">
        <f t="shared" si="10"/>
        <v>1.5390729708885968</v>
      </c>
      <c r="X24" s="157">
        <f t="shared" si="11"/>
        <v>45667</v>
      </c>
      <c r="Y24" s="387">
        <f t="shared" si="12"/>
        <v>1.4256383318641865</v>
      </c>
      <c r="Z24" s="387">
        <f t="shared" si="22"/>
        <v>1.5059159564420177</v>
      </c>
      <c r="AA24" s="388">
        <f t="shared" si="13"/>
        <v>1.7486697112931062</v>
      </c>
      <c r="AB24" s="199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0.13882195893447316</v>
      </c>
      <c r="AD24" s="233">
        <f>(INDEX(Models!$BJ24:$BT24,,AH24)*(1-AF24)+INDEX(Models!$BJ24:$BT24,,AH24+1)*AF24-ERP_i)*AE24*Ramure*Pc/MaxiM</f>
        <v>0.15765665157022718</v>
      </c>
      <c r="AE24" s="307">
        <f t="shared" si="15"/>
        <v>0.9</v>
      </c>
      <c r="AF24" s="179">
        <f t="shared" si="23"/>
        <v>0.80088603348597132</v>
      </c>
      <c r="AG24" s="839">
        <f t="shared" si="24"/>
        <v>1</v>
      </c>
      <c r="AH24" s="178">
        <f t="shared" si="16"/>
        <v>7</v>
      </c>
      <c r="AI24" s="227">
        <f t="shared" si="17"/>
        <v>1.8008860334859713</v>
      </c>
      <c r="AJ24" s="267" t="b">
        <f t="shared" si="18"/>
        <v>0</v>
      </c>
      <c r="AK24" s="267" t="b">
        <f t="shared" si="19"/>
        <v>1</v>
      </c>
      <c r="AL24" s="267"/>
      <c r="AM24" s="267"/>
      <c r="AN24" s="75"/>
    </row>
    <row r="25" spans="1:40" s="6" customFormat="1" ht="11.25" x14ac:dyDescent="0.2">
      <c r="A25" s="56">
        <f t="shared" si="20"/>
        <v>45668</v>
      </c>
      <c r="B25" s="413">
        <f>'2024'!Wh/'2024'!Env_an*'2025'!Env_an</f>
        <v>15.631931395834568</v>
      </c>
      <c r="C25" s="868"/>
      <c r="D25" s="395">
        <f t="shared" si="0"/>
        <v>16.51254895754327</v>
      </c>
      <c r="E25" s="387">
        <f t="shared" si="1"/>
        <v>17.764246037890977</v>
      </c>
      <c r="F25" s="387">
        <f t="shared" si="2"/>
        <v>21.020658697052699</v>
      </c>
      <c r="G25" s="110">
        <f t="shared" si="21"/>
        <v>1.0212579859233319</v>
      </c>
      <c r="H25" s="416" t="b">
        <f>Wh_hp&gt;='2024'!Maxi_hp</f>
        <v>1</v>
      </c>
      <c r="I25" s="392">
        <f>IF(H25,Wh_hp,'2024'!Maxi_hp)</f>
        <v>21.020658697052699</v>
      </c>
      <c r="J25" s="85">
        <f>IF(H25,An,'2024'!An_max)</f>
        <v>2025</v>
      </c>
      <c r="K25" s="199">
        <f t="shared" si="3"/>
        <v>45668</v>
      </c>
      <c r="L25" s="147">
        <f>IF(t&lt;Tvie,1-EXP((T0-t)*PertePVj)+'2024'!Pspv,1-EXP((T0-t)*PertePVj)+Pspv)</f>
        <v>5.3330201410631939E-2</v>
      </c>
      <c r="M25" s="872"/>
      <c r="N25" s="872"/>
      <c r="O25" s="48">
        <f>IF(t&lt;Tnet,'2024'!Resal+('2024'!Salim-'2024'!Resal)*(1-EXP(('2024'!Tnet-t)/('2024'!Tau_j))),Resal+(Salim-Resal)*(1-EXP((Tnet-t)/(Tau_j))))*Salcycl</f>
        <v>7.0461593341921161E-2</v>
      </c>
      <c r="P25" s="171">
        <f>(INDEX(Models!$BJ25:$BT25,,T25)*(1-R25)+INDEX(Models!$BJ25:$BT25,,T25+1)*R25-ERP_i)*Q25*Ramure*Pc/MaxiM</f>
        <v>0.15491487236878562</v>
      </c>
      <c r="Q25" s="307">
        <f t="shared" si="4"/>
        <v>0.9</v>
      </c>
      <c r="R25" s="179">
        <f t="shared" si="5"/>
        <v>0.80094516312628383</v>
      </c>
      <c r="S25" s="839">
        <f t="shared" si="6"/>
        <v>1</v>
      </c>
      <c r="T25" s="178">
        <f t="shared" si="7"/>
        <v>7</v>
      </c>
      <c r="U25" s="253">
        <f t="shared" si="8"/>
        <v>1.8009451631262838</v>
      </c>
      <c r="V25" s="385">
        <f t="shared" si="9"/>
        <v>15.306545076072569</v>
      </c>
      <c r="W25" s="404">
        <f t="shared" si="10"/>
        <v>15.631931395834568</v>
      </c>
      <c r="X25" s="157">
        <f t="shared" si="11"/>
        <v>45668</v>
      </c>
      <c r="Y25" s="387">
        <f t="shared" si="12"/>
        <v>14.480911140682343</v>
      </c>
      <c r="Z25" s="387">
        <f t="shared" si="22"/>
        <v>15.296686513354855</v>
      </c>
      <c r="AA25" s="388">
        <f t="shared" si="13"/>
        <v>17.764246037890977</v>
      </c>
      <c r="AB25" s="199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0.13890595296151828</v>
      </c>
      <c r="AD25" s="233">
        <f>(INDEX(Models!$BJ25:$BT25,,AH25)*(1-AF25)+INDEX(Models!$BJ25:$BT25,,AH25+1)*AF25-ERP_i)*AE25*Ramure*Pc/MaxiM</f>
        <v>0.15491487236878562</v>
      </c>
      <c r="AE25" s="307">
        <f t="shared" si="15"/>
        <v>0.9</v>
      </c>
      <c r="AF25" s="179">
        <f t="shared" si="23"/>
        <v>0.80094516312628383</v>
      </c>
      <c r="AG25" s="839">
        <f t="shared" si="24"/>
        <v>1</v>
      </c>
      <c r="AH25" s="178">
        <f t="shared" si="16"/>
        <v>7</v>
      </c>
      <c r="AI25" s="227">
        <f t="shared" si="17"/>
        <v>1.8009451631262838</v>
      </c>
      <c r="AJ25" s="267" t="b">
        <f t="shared" si="18"/>
        <v>0</v>
      </c>
      <c r="AK25" s="267" t="b">
        <f t="shared" si="19"/>
        <v>1</v>
      </c>
      <c r="AL25" s="267"/>
      <c r="AM25" s="267"/>
      <c r="AN25" s="75"/>
    </row>
    <row r="26" spans="1:40" s="6" customFormat="1" ht="11.25" x14ac:dyDescent="0.2">
      <c r="A26" s="56">
        <f t="shared" si="20"/>
        <v>45669</v>
      </c>
      <c r="B26" s="413">
        <f>'2024'!Wh/'2024'!Env_an*'2025'!Env_an</f>
        <v>14.274703806219854</v>
      </c>
      <c r="C26" s="868"/>
      <c r="D26" s="395">
        <f t="shared" si="0"/>
        <v>15.079213500244167</v>
      </c>
      <c r="E26" s="387">
        <f t="shared" si="1"/>
        <v>16.22507761714412</v>
      </c>
      <c r="F26" s="387">
        <f t="shared" si="2"/>
        <v>18.75015503629303</v>
      </c>
      <c r="G26" s="110">
        <f t="shared" si="21"/>
        <v>0.90106238622575929</v>
      </c>
      <c r="H26" s="416" t="b">
        <f>Wh_hp&gt;='2024'!Maxi_hp</f>
        <v>0</v>
      </c>
      <c r="I26" s="392">
        <f>IF(H26,Wh_hp,'2024'!Maxi_hp)</f>
        <v>20.696537437632458</v>
      </c>
      <c r="J26" s="85">
        <f>IF(H26,An,'2024'!An_max)</f>
        <v>2020</v>
      </c>
      <c r="K26" s="199">
        <f t="shared" si="3"/>
        <v>45669</v>
      </c>
      <c r="L26" s="147">
        <f>IF(t&lt;Tvie,1-EXP((T0-t)*PertePVj)+'2024'!Pspv,1-EXP((T0-t)*PertePVj)+Pspv)</f>
        <v>5.335223179984061E-2</v>
      </c>
      <c r="M26" s="872"/>
      <c r="N26" s="872"/>
      <c r="O26" s="48">
        <f>IF(t&lt;Tnet,'2024'!Resal+('2024'!Salim-'2024'!Resal)*(1-EXP(('2024'!Tnet-t)/('2024'!Tau_j))),Resal+(Salim-Resal)*(1-EXP((Tnet-t)/(Tau_j))))*Salcycl</f>
        <v>7.0623028372399518E-2</v>
      </c>
      <c r="P26" s="171">
        <f>(INDEX(Models!$BJ26:$BT26,,T26)*(1-R26)+INDEX(Models!$BJ26:$BT26,,T26+1)*R26-ERP_i)*Q26*Ramure*Pc/MaxiM</f>
        <v>0.15213799800246502</v>
      </c>
      <c r="Q26" s="307">
        <f t="shared" si="4"/>
        <v>0.9</v>
      </c>
      <c r="R26" s="179">
        <f t="shared" si="5"/>
        <v>0.80100676274502325</v>
      </c>
      <c r="S26" s="839">
        <f t="shared" si="6"/>
        <v>1</v>
      </c>
      <c r="T26" s="178">
        <f t="shared" si="7"/>
        <v>7</v>
      </c>
      <c r="U26" s="253">
        <f t="shared" si="8"/>
        <v>1.8010067627450232</v>
      </c>
      <c r="V26" s="385">
        <f t="shared" si="9"/>
        <v>15.522279415983926</v>
      </c>
      <c r="W26" s="404">
        <f t="shared" si="10"/>
        <v>14.274703806219854</v>
      </c>
      <c r="X26" s="157">
        <f t="shared" si="11"/>
        <v>45669</v>
      </c>
      <c r="Y26" s="387">
        <f t="shared" si="12"/>
        <v>13.224624903485266</v>
      </c>
      <c r="Z26" s="387">
        <f t="shared" si="22"/>
        <v>13.969953078354534</v>
      </c>
      <c r="AA26" s="388">
        <f t="shared" si="13"/>
        <v>16.22507761714412</v>
      </c>
      <c r="AB26" s="199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0.13899006168122879</v>
      </c>
      <c r="AD26" s="233">
        <f>(INDEX(Models!$BJ26:$BT26,,AH26)*(1-AF26)+INDEX(Models!$BJ26:$BT26,,AH26+1)*AF26-ERP_i)*AE26*Ramure*Pc/MaxiM</f>
        <v>0.15213799800246502</v>
      </c>
      <c r="AE26" s="307">
        <f t="shared" si="15"/>
        <v>0.9</v>
      </c>
      <c r="AF26" s="179">
        <f t="shared" si="23"/>
        <v>0.80100676274502325</v>
      </c>
      <c r="AG26" s="839">
        <f t="shared" si="24"/>
        <v>1</v>
      </c>
      <c r="AH26" s="178">
        <f t="shared" si="16"/>
        <v>7</v>
      </c>
      <c r="AI26" s="227">
        <f t="shared" si="17"/>
        <v>1.8010067627450232</v>
      </c>
      <c r="AJ26" s="267" t="b">
        <f t="shared" si="18"/>
        <v>0</v>
      </c>
      <c r="AK26" s="267" t="b">
        <f t="shared" si="19"/>
        <v>1</v>
      </c>
      <c r="AL26" s="267"/>
      <c r="AM26" s="267"/>
      <c r="AN26" s="75"/>
    </row>
    <row r="27" spans="1:40" s="6" customFormat="1" ht="11.25" x14ac:dyDescent="0.2">
      <c r="A27" s="56">
        <f t="shared" si="20"/>
        <v>45670</v>
      </c>
      <c r="B27" s="413">
        <f>'2024'!Wh/'2024'!Env_an*'2025'!Env_an</f>
        <v>5.2597265859800171</v>
      </c>
      <c r="C27" s="868"/>
      <c r="D27" s="395">
        <f t="shared" si="0"/>
        <v>5.5562894320773637</v>
      </c>
      <c r="E27" s="387">
        <f t="shared" si="1"/>
        <v>5.9795480490178283</v>
      </c>
      <c r="F27" s="387">
        <f t="shared" si="2"/>
        <v>6.0232737740542026</v>
      </c>
      <c r="G27" s="110">
        <f t="shared" si="21"/>
        <v>0.28622353276105972</v>
      </c>
      <c r="H27" s="416" t="b">
        <f>Wh_hp&gt;='2024'!Maxi_hp</f>
        <v>0</v>
      </c>
      <c r="I27" s="392">
        <f>IF(H27,Wh_hp,'2024'!Maxi_hp)</f>
        <v>14.73462756836317</v>
      </c>
      <c r="J27" s="85">
        <f>IF(H27,An,'2024'!An_max)</f>
        <v>2020</v>
      </c>
      <c r="K27" s="199">
        <f t="shared" si="3"/>
        <v>45670</v>
      </c>
      <c r="L27" s="147">
        <f>IF(t&lt;Tvie,1-EXP((T0-t)*PertePVj)+'2024'!Pspv,1-EXP((T0-t)*PertePVj)+Pspv)</f>
        <v>5.3374261676370049E-2</v>
      </c>
      <c r="M27" s="872"/>
      <c r="N27" s="872"/>
      <c r="O27" s="48">
        <f>IF(t&lt;Tnet,'2024'!Resal+('2024'!Salim-'2024'!Resal)*(1-EXP(('2024'!Tnet-t)/('2024'!Tau_j))),Resal+(Salim-Resal)*(1-EXP((Tnet-t)/(Tau_j))))*Salcycl</f>
        <v>7.0784382610653437E-2</v>
      </c>
      <c r="P27" s="171">
        <f>(INDEX(Models!$BJ27:$BT27,,T27)*(1-R27)+INDEX(Models!$BJ27:$BT27,,T27+1)*R27-ERP_i)*Q27*Ramure*Pc/MaxiM</f>
        <v>0.14933598433247613</v>
      </c>
      <c r="Q27" s="307">
        <f t="shared" si="4"/>
        <v>0.9</v>
      </c>
      <c r="R27" s="179">
        <f t="shared" si="5"/>
        <v>0.80107093505528004</v>
      </c>
      <c r="S27" s="839">
        <f t="shared" si="6"/>
        <v>1</v>
      </c>
      <c r="T27" s="178">
        <f t="shared" si="7"/>
        <v>7</v>
      </c>
      <c r="U27" s="253">
        <f t="shared" si="8"/>
        <v>1.80107093505528</v>
      </c>
      <c r="V27" s="385">
        <f t="shared" si="9"/>
        <v>15.746358561755631</v>
      </c>
      <c r="W27" s="404">
        <f t="shared" si="10"/>
        <v>5.2597265859800171</v>
      </c>
      <c r="X27" s="157">
        <f t="shared" si="11"/>
        <v>45670</v>
      </c>
      <c r="Y27" s="387">
        <f t="shared" si="12"/>
        <v>4.8731788375856606</v>
      </c>
      <c r="Z27" s="387">
        <f t="shared" si="22"/>
        <v>5.147946691387796</v>
      </c>
      <c r="AA27" s="388">
        <f t="shared" si="13"/>
        <v>5.9795480490178283</v>
      </c>
      <c r="AB27" s="199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0.13907428300816591</v>
      </c>
      <c r="AD27" s="233">
        <f>(INDEX(Models!$BJ27:$BT27,,AH27)*(1-AF27)+INDEX(Models!$BJ27:$BT27,,AH27+1)*AF27-ERP_i)*AE27*Ramure*Pc/MaxiM</f>
        <v>0.14933598433247613</v>
      </c>
      <c r="AE27" s="307">
        <f t="shared" si="15"/>
        <v>0.9</v>
      </c>
      <c r="AF27" s="179">
        <f t="shared" si="23"/>
        <v>0.80107093505528004</v>
      </c>
      <c r="AG27" s="839">
        <f t="shared" si="24"/>
        <v>1</v>
      </c>
      <c r="AH27" s="178">
        <f t="shared" si="16"/>
        <v>7</v>
      </c>
      <c r="AI27" s="227">
        <f t="shared" si="17"/>
        <v>1.80107093505528</v>
      </c>
      <c r="AJ27" s="267" t="b">
        <f t="shared" si="18"/>
        <v>0</v>
      </c>
      <c r="AK27" s="267" t="b">
        <f t="shared" si="19"/>
        <v>1</v>
      </c>
      <c r="AL27" s="267"/>
      <c r="AM27" s="267"/>
      <c r="AN27" s="75"/>
    </row>
    <row r="28" spans="1:40" s="6" customFormat="1" ht="11.25" x14ac:dyDescent="0.2">
      <c r="A28" s="56">
        <f t="shared" si="20"/>
        <v>45671</v>
      </c>
      <c r="B28" s="413">
        <f>'2024'!Wh/'2024'!Env_an*'2025'!Env_an</f>
        <v>16.282147996750567</v>
      </c>
      <c r="C28" s="868"/>
      <c r="D28" s="395">
        <f t="shared" si="0"/>
        <v>17.200596028345565</v>
      </c>
      <c r="E28" s="387">
        <f t="shared" si="1"/>
        <v>18.514090334762912</v>
      </c>
      <c r="F28" s="387">
        <f t="shared" si="2"/>
        <v>21.692421575213356</v>
      </c>
      <c r="G28" s="110">
        <f t="shared" si="21"/>
        <v>1.0190269259145368</v>
      </c>
      <c r="H28" s="416" t="b">
        <f>Wh_hp&gt;='2024'!Maxi_hp</f>
        <v>1</v>
      </c>
      <c r="I28" s="392">
        <f>IF(H28,Wh_hp,'2024'!Maxi_hp)</f>
        <v>21.692421575213356</v>
      </c>
      <c r="J28" s="85">
        <f>IF(H28,An,'2024'!An_max)</f>
        <v>2025</v>
      </c>
      <c r="K28" s="199">
        <f t="shared" si="3"/>
        <v>45671</v>
      </c>
      <c r="L28" s="147">
        <f>IF(t&lt;Tvie,1-EXP((T0-t)*PertePVj)+'2024'!Pspv,1-EXP((T0-t)*PertePVj)+Pspv)</f>
        <v>5.3396291040232025E-2</v>
      </c>
      <c r="M28" s="872"/>
      <c r="N28" s="872"/>
      <c r="O28" s="48">
        <f>IF(t&lt;Tnet,'2024'!Resal+('2024'!Salim-'2024'!Resal)*(1-EXP(('2024'!Tnet-t)/('2024'!Tau_j))),Resal+(Salim-Resal)*(1-EXP((Tnet-t)/(Tau_j))))*Salcycl</f>
        <v>7.0945657208502835E-2</v>
      </c>
      <c r="P28" s="171">
        <f>(INDEX(Models!$BJ28:$BT28,,T28)*(1-R28)+INDEX(Models!$BJ28:$BT28,,T28+1)*R28-ERP_i)*Q28*Ramure*Pc/MaxiM</f>
        <v>0.14651804684093614</v>
      </c>
      <c r="Q28" s="307">
        <f t="shared" si="4"/>
        <v>0.9</v>
      </c>
      <c r="R28" s="179">
        <f t="shared" si="5"/>
        <v>0.80113778700182525</v>
      </c>
      <c r="S28" s="839">
        <f t="shared" si="6"/>
        <v>1</v>
      </c>
      <c r="T28" s="178">
        <f t="shared" si="7"/>
        <v>7</v>
      </c>
      <c r="U28" s="253">
        <f t="shared" si="8"/>
        <v>1.8011377870018253</v>
      </c>
      <c r="V28" s="385">
        <f t="shared" si="9"/>
        <v>15.9781332393528</v>
      </c>
      <c r="W28" s="404">
        <f t="shared" si="10"/>
        <v>16.282147996750567</v>
      </c>
      <c r="X28" s="157">
        <f t="shared" si="11"/>
        <v>45671</v>
      </c>
      <c r="Y28" s="387">
        <f t="shared" si="12"/>
        <v>15.086681306879571</v>
      </c>
      <c r="Z28" s="387">
        <f t="shared" si="22"/>
        <v>15.937695113680119</v>
      </c>
      <c r="AA28" s="388">
        <f t="shared" si="13"/>
        <v>18.514090334762912</v>
      </c>
      <c r="AB28" s="199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0.13915861781473721</v>
      </c>
      <c r="AD28" s="233">
        <f>(INDEX(Models!$BJ28:$BT28,,AH28)*(1-AF28)+INDEX(Models!$BJ28:$BT28,,AH28+1)*AF28-ERP_i)*AE28*Ramure*Pc/MaxiM</f>
        <v>0.14651804684093614</v>
      </c>
      <c r="AE28" s="307">
        <f t="shared" si="15"/>
        <v>0.9</v>
      </c>
      <c r="AF28" s="179">
        <f t="shared" si="23"/>
        <v>0.80113778700182525</v>
      </c>
      <c r="AG28" s="839">
        <f t="shared" si="24"/>
        <v>1</v>
      </c>
      <c r="AH28" s="178">
        <f t="shared" si="16"/>
        <v>7</v>
      </c>
      <c r="AI28" s="227">
        <f t="shared" si="17"/>
        <v>1.8011377870018253</v>
      </c>
      <c r="AJ28" s="267" t="b">
        <f t="shared" si="18"/>
        <v>0</v>
      </c>
      <c r="AK28" s="267" t="b">
        <f t="shared" si="19"/>
        <v>1</v>
      </c>
      <c r="AL28" s="267"/>
      <c r="AM28" s="267"/>
      <c r="AN28" s="75"/>
    </row>
    <row r="29" spans="1:40" s="6" customFormat="1" ht="11.25" x14ac:dyDescent="0.2">
      <c r="A29" s="56">
        <f t="shared" si="20"/>
        <v>45672</v>
      </c>
      <c r="B29" s="413">
        <f>'2024'!Wh/'2024'!Env_an*'2025'!Env_an</f>
        <v>16.452932352274239</v>
      </c>
      <c r="C29" s="868"/>
      <c r="D29" s="395">
        <f t="shared" si="0"/>
        <v>17.381418527334361</v>
      </c>
      <c r="E29" s="387">
        <f t="shared" si="1"/>
        <v>18.711967693706555</v>
      </c>
      <c r="F29" s="387">
        <f t="shared" si="2"/>
        <v>21.851929496030461</v>
      </c>
      <c r="G29" s="110">
        <f t="shared" si="21"/>
        <v>1.0145513106600166</v>
      </c>
      <c r="H29" s="416" t="b">
        <f>Wh_hp&gt;='2024'!Maxi_hp</f>
        <v>1</v>
      </c>
      <c r="I29" s="392">
        <f>IF(H29,Wh_hp,'2024'!Maxi_hp)</f>
        <v>21.851929496030461</v>
      </c>
      <c r="J29" s="85">
        <f>IF(H29,An,'2024'!An_max)</f>
        <v>2025</v>
      </c>
      <c r="K29" s="199">
        <f t="shared" si="3"/>
        <v>45672</v>
      </c>
      <c r="L29" s="147">
        <f>IF(t&lt;Tvie,1-EXP((T0-t)*PertePVj)+'2024'!Pspv,1-EXP((T0-t)*PertePVj)+Pspv)</f>
        <v>5.3418319891438526E-2</v>
      </c>
      <c r="M29" s="872"/>
      <c r="N29" s="872"/>
      <c r="O29" s="48">
        <f>IF(t&lt;Tnet,'2024'!Resal+('2024'!Salim-'2024'!Resal)*(1-EXP(('2024'!Tnet-t)/('2024'!Tau_j))),Resal+(Salim-Resal)*(1-EXP((Tnet-t)/(Tau_j))))*Salcycl</f>
        <v>7.1106854615813675E-2</v>
      </c>
      <c r="P29" s="171">
        <f>(INDEX(Models!$BJ29:$BT29,,T29)*(1-R29)+INDEX(Models!$BJ29:$BT29,,T29+1)*R29-ERP_i)*Q29*Ramure*Pc/MaxiM</f>
        <v>0.14369265665507014</v>
      </c>
      <c r="Q29" s="307">
        <f t="shared" si="4"/>
        <v>0.9</v>
      </c>
      <c r="R29" s="179">
        <f t="shared" si="5"/>
        <v>0.80120742993206662</v>
      </c>
      <c r="S29" s="839">
        <f t="shared" si="6"/>
        <v>1</v>
      </c>
      <c r="T29" s="178">
        <f t="shared" si="7"/>
        <v>7</v>
      </c>
      <c r="U29" s="253">
        <f t="shared" si="8"/>
        <v>1.8012074299320666</v>
      </c>
      <c r="V29" s="385">
        <f t="shared" si="9"/>
        <v>16.216954410685034</v>
      </c>
      <c r="W29" s="404">
        <f t="shared" si="10"/>
        <v>16.452932352274239</v>
      </c>
      <c r="X29" s="157">
        <f t="shared" si="11"/>
        <v>45672</v>
      </c>
      <c r="Y29" s="387">
        <f t="shared" si="12"/>
        <v>15.246076063090065</v>
      </c>
      <c r="Z29" s="387">
        <f t="shared" si="22"/>
        <v>16.106455875357238</v>
      </c>
      <c r="AA29" s="388">
        <f t="shared" si="13"/>
        <v>18.711967693706555</v>
      </c>
      <c r="AB29" s="199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0.13924306951564669</v>
      </c>
      <c r="AD29" s="233">
        <f>(INDEX(Models!$BJ29:$BT29,,AH29)*(1-AF29)+INDEX(Models!$BJ29:$BT29,,AH29+1)*AF29-ERP_i)*AE29*Ramure*Pc/MaxiM</f>
        <v>0.14369265665507014</v>
      </c>
      <c r="AE29" s="307">
        <f t="shared" si="15"/>
        <v>0.9</v>
      </c>
      <c r="AF29" s="179">
        <f t="shared" si="23"/>
        <v>0.80120742993206662</v>
      </c>
      <c r="AG29" s="839">
        <f t="shared" si="24"/>
        <v>1</v>
      </c>
      <c r="AH29" s="178">
        <f t="shared" si="16"/>
        <v>7</v>
      </c>
      <c r="AI29" s="227">
        <f t="shared" si="17"/>
        <v>1.8012074299320666</v>
      </c>
      <c r="AJ29" s="267" t="b">
        <f t="shared" si="18"/>
        <v>0</v>
      </c>
      <c r="AK29" s="267" t="b">
        <f t="shared" si="19"/>
        <v>1</v>
      </c>
      <c r="AL29" s="267"/>
      <c r="AM29" s="267"/>
      <c r="AN29" s="75"/>
    </row>
    <row r="30" spans="1:40" s="6" customFormat="1" ht="11.25" x14ac:dyDescent="0.2">
      <c r="A30" s="56">
        <f t="shared" si="20"/>
        <v>45673</v>
      </c>
      <c r="B30" s="413">
        <f>'2024'!Wh/'2024'!Env_an*'2025'!Env_an</f>
        <v>16.474903774349784</v>
      </c>
      <c r="C30" s="868"/>
      <c r="D30" s="395">
        <f t="shared" si="0"/>
        <v>17.405034900381498</v>
      </c>
      <c r="E30" s="387">
        <f t="shared" si="1"/>
        <v>18.740642612872435</v>
      </c>
      <c r="F30" s="387">
        <f t="shared" si="2"/>
        <v>21.813416600563905</v>
      </c>
      <c r="G30" s="110">
        <f t="shared" si="21"/>
        <v>1.0007717959974689</v>
      </c>
      <c r="H30" s="416" t="b">
        <f>Wh_hp&gt;='2024'!Maxi_hp</f>
        <v>1</v>
      </c>
      <c r="I30" s="392">
        <f>IF(H30,Wh_hp,'2024'!Maxi_hp)</f>
        <v>21.813416600563905</v>
      </c>
      <c r="J30" s="85">
        <f>IF(H30,An,'2024'!An_max)</f>
        <v>2025</v>
      </c>
      <c r="K30" s="199">
        <f t="shared" si="3"/>
        <v>45673</v>
      </c>
      <c r="L30" s="147">
        <f>IF(t&lt;Tvie,1-EXP((T0-t)*PertePVj)+'2024'!Pspv,1-EXP((T0-t)*PertePVj)+Pspv)</f>
        <v>5.3440348230001433E-2</v>
      </c>
      <c r="M30" s="872"/>
      <c r="N30" s="872"/>
      <c r="O30" s="48">
        <f>IF(t&lt;Tnet,'2024'!Resal+('2024'!Salim-'2024'!Resal)*(1-EXP(('2024'!Tnet-t)/('2024'!Tau_j))),Resal+(Salim-Resal)*(1-EXP((Tnet-t)/(Tau_j))))*Salcycl</f>
        <v>7.1267978376234803E-2</v>
      </c>
      <c r="P30" s="171">
        <f>(INDEX(Models!$BJ30:$BT30,,T30)*(1-R30)+INDEX(Models!$BJ30:$BT30,,T30+1)*R30-ERP_i)*Q30*Ramure*Pc/MaxiM</f>
        <v>0.14086624044085028</v>
      </c>
      <c r="Q30" s="307">
        <f t="shared" si="4"/>
        <v>0.9</v>
      </c>
      <c r="R30" s="179">
        <f t="shared" si="5"/>
        <v>0.8012799797736172</v>
      </c>
      <c r="S30" s="839">
        <f t="shared" si="6"/>
        <v>1</v>
      </c>
      <c r="T30" s="178">
        <f t="shared" si="7"/>
        <v>7</v>
      </c>
      <c r="U30" s="253">
        <f t="shared" si="8"/>
        <v>1.8012799797736172</v>
      </c>
      <c r="V30" s="385">
        <f t="shared" si="9"/>
        <v>16.462198315580277</v>
      </c>
      <c r="W30" s="404">
        <f t="shared" si="10"/>
        <v>16.474903774349784</v>
      </c>
      <c r="X30" s="157">
        <f t="shared" si="11"/>
        <v>45673</v>
      </c>
      <c r="Y30" s="387">
        <f t="shared" si="12"/>
        <v>15.267584106079239</v>
      </c>
      <c r="Z30" s="387">
        <f t="shared" si="22"/>
        <v>16.12955303718044</v>
      </c>
      <c r="AA30" s="388">
        <f t="shared" si="13"/>
        <v>18.740642612872435</v>
      </c>
      <c r="AB30" s="199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0.13932764364752939</v>
      </c>
      <c r="AD30" s="233">
        <f>(INDEX(Models!$BJ30:$BT30,,AH30)*(1-AF30)+INDEX(Models!$BJ30:$BT30,,AH30+1)*AF30-ERP_i)*AE30*Ramure*Pc/MaxiM</f>
        <v>0.14086624044085028</v>
      </c>
      <c r="AE30" s="307">
        <f t="shared" si="15"/>
        <v>0.9</v>
      </c>
      <c r="AF30" s="179">
        <f t="shared" si="23"/>
        <v>0.8012799797736172</v>
      </c>
      <c r="AG30" s="839">
        <f t="shared" si="24"/>
        <v>1</v>
      </c>
      <c r="AH30" s="178">
        <f t="shared" si="16"/>
        <v>7</v>
      </c>
      <c r="AI30" s="227">
        <f t="shared" si="17"/>
        <v>1.8012799797736172</v>
      </c>
      <c r="AJ30" s="267" t="b">
        <f t="shared" si="18"/>
        <v>0</v>
      </c>
      <c r="AK30" s="267" t="b">
        <f t="shared" si="19"/>
        <v>1</v>
      </c>
      <c r="AL30" s="267"/>
      <c r="AM30" s="267"/>
      <c r="AN30" s="75"/>
    </row>
    <row r="31" spans="1:40" s="6" customFormat="1" ht="11.25" x14ac:dyDescent="0.2">
      <c r="A31" s="56">
        <f t="shared" si="20"/>
        <v>45674</v>
      </c>
      <c r="B31" s="413">
        <f>'2024'!Wh/'2024'!Env_an*'2025'!Env_an</f>
        <v>13.222560864508461</v>
      </c>
      <c r="C31" s="868"/>
      <c r="D31" s="395">
        <f t="shared" si="0"/>
        <v>13.969398077819893</v>
      </c>
      <c r="E31" s="387">
        <f t="shared" si="1"/>
        <v>15.043974637455566</v>
      </c>
      <c r="F31" s="387">
        <f t="shared" si="2"/>
        <v>16.65785704892938</v>
      </c>
      <c r="G31" s="110">
        <f t="shared" si="21"/>
        <v>0.7550856894205189</v>
      </c>
      <c r="H31" s="416" t="b">
        <f>Wh_hp&gt;='2024'!Maxi_hp</f>
        <v>0</v>
      </c>
      <c r="I31" s="392">
        <f>IF(H31,Wh_hp,'2024'!Maxi_hp)</f>
        <v>17.129787184609615</v>
      </c>
      <c r="J31" s="85">
        <f>IF(H31,An,'2024'!An_max)</f>
        <v>2022</v>
      </c>
      <c r="K31" s="199">
        <f t="shared" si="3"/>
        <v>45674</v>
      </c>
      <c r="L31" s="147">
        <f>IF(t&lt;Tvie,1-EXP((T0-t)*PertePVj)+'2024'!Pspv,1-EXP((T0-t)*PertePVj)+Pspv)</f>
        <v>5.3462376055932848E-2</v>
      </c>
      <c r="M31" s="872"/>
      <c r="N31" s="872"/>
      <c r="O31" s="48">
        <f>IF(t&lt;Tnet,'2024'!Resal+('2024'!Salim-'2024'!Resal)*(1-EXP(('2024'!Tnet-t)/('2024'!Tau_j))),Resal+(Salim-Resal)*(1-EXP((Tnet-t)/(Tau_j))))*Salcycl</f>
        <v>7.1429032920612534E-2</v>
      </c>
      <c r="P31" s="171">
        <f>(INDEX(Models!$BJ31:$BT31,,T31)*(1-R31)+INDEX(Models!$BJ31:$BT31,,T31+1)*R31-ERP_i)*Q31*Ramure*Pc/MaxiM</f>
        <v>0.13807582093599299</v>
      </c>
      <c r="Q31" s="307">
        <f t="shared" si="4"/>
        <v>0.9</v>
      </c>
      <c r="R31" s="179">
        <f t="shared" si="5"/>
        <v>0.80135555721871299</v>
      </c>
      <c r="S31" s="839">
        <f t="shared" si="6"/>
        <v>1</v>
      </c>
      <c r="T31" s="178">
        <f t="shared" si="7"/>
        <v>7</v>
      </c>
      <c r="U31" s="253">
        <f t="shared" si="8"/>
        <v>1.801355557218713</v>
      </c>
      <c r="V31" s="385">
        <f t="shared" si="9"/>
        <v>16.712635348355107</v>
      </c>
      <c r="W31" s="404">
        <f t="shared" si="10"/>
        <v>13.222560864508461</v>
      </c>
      <c r="X31" s="157">
        <f t="shared" si="11"/>
        <v>45674</v>
      </c>
      <c r="Y31" s="387">
        <f t="shared" si="12"/>
        <v>12.254499675882801</v>
      </c>
      <c r="Z31" s="387">
        <f t="shared" si="22"/>
        <v>12.946658818294312</v>
      </c>
      <c r="AA31" s="388">
        <f t="shared" si="13"/>
        <v>15.043974637455566</v>
      </c>
      <c r="AB31" s="199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0.13941234744835893</v>
      </c>
      <c r="AD31" s="233">
        <f>(INDEX(Models!$BJ31:$BT31,,AH31)*(1-AF31)+INDEX(Models!$BJ31:$BT31,,AH31+1)*AF31-ERP_i)*AE31*Ramure*Pc/MaxiM</f>
        <v>0.13807582093599299</v>
      </c>
      <c r="AE31" s="307">
        <f t="shared" si="15"/>
        <v>0.9</v>
      </c>
      <c r="AF31" s="179">
        <f t="shared" si="23"/>
        <v>0.80135555721871299</v>
      </c>
      <c r="AG31" s="839">
        <f t="shared" si="24"/>
        <v>1</v>
      </c>
      <c r="AH31" s="178">
        <f t="shared" si="16"/>
        <v>7</v>
      </c>
      <c r="AI31" s="227">
        <f t="shared" si="17"/>
        <v>1.801355557218713</v>
      </c>
      <c r="AJ31" s="267" t="b">
        <f t="shared" si="18"/>
        <v>0</v>
      </c>
      <c r="AK31" s="267" t="b">
        <f t="shared" si="19"/>
        <v>1</v>
      </c>
      <c r="AL31" s="267"/>
      <c r="AM31" s="267"/>
      <c r="AN31" s="75"/>
    </row>
    <row r="32" spans="1:40" s="6" customFormat="1" ht="11.25" x14ac:dyDescent="0.2">
      <c r="A32" s="56">
        <f t="shared" si="20"/>
        <v>45675</v>
      </c>
      <c r="B32" s="413">
        <f>'2024'!Wh/'2024'!Env_an*'2025'!Env_an</f>
        <v>3.6698811788901029</v>
      </c>
      <c r="C32" s="868"/>
      <c r="D32" s="395">
        <f t="shared" si="0"/>
        <v>3.8772537842519643</v>
      </c>
      <c r="E32" s="387">
        <f t="shared" si="1"/>
        <v>4.1762302019693571</v>
      </c>
      <c r="F32" s="387">
        <f t="shared" si="2"/>
        <v>4.1762302019693571</v>
      </c>
      <c r="G32" s="110">
        <f t="shared" si="21"/>
        <v>0.18701791113381122</v>
      </c>
      <c r="H32" s="416" t="b">
        <f>Wh_hp&gt;='2024'!Maxi_hp</f>
        <v>0</v>
      </c>
      <c r="I32" s="392">
        <f>IF(H32,Wh_hp,'2024'!Maxi_hp)</f>
        <v>21.664293726015998</v>
      </c>
      <c r="J32" s="85">
        <f>IF(H32,An,'2024'!An_max)</f>
        <v>2021</v>
      </c>
      <c r="K32" s="199">
        <f t="shared" si="3"/>
        <v>45675</v>
      </c>
      <c r="L32" s="147">
        <f>IF(t&lt;Tvie,1-EXP((T0-t)*PertePVj)+'2024'!Pspv,1-EXP((T0-t)*PertePVj)+Pspv)</f>
        <v>5.3484403369244427E-2</v>
      </c>
      <c r="M32" s="872"/>
      <c r="N32" s="872"/>
      <c r="O32" s="48">
        <f>IF(t&lt;Tnet,'2024'!Resal+('2024'!Salim-'2024'!Resal)*(1-EXP(('2024'!Tnet-t)/('2024'!Tau_j))),Resal+(Salim-Resal)*(1-EXP((Tnet-t)/(Tau_j))))*Salcycl</f>
        <v>7.1590023360399616E-2</v>
      </c>
      <c r="P32" s="171">
        <f>(INDEX(Models!$BJ32:$BT32,,T32)*(1-R32)+INDEX(Models!$BJ32:$BT32,,T32+1)*R32-ERP_i)*Q32*Ramure*Pc/MaxiM</f>
        <v>0.13532668129064188</v>
      </c>
      <c r="Q32" s="307">
        <f t="shared" si="4"/>
        <v>0.9</v>
      </c>
      <c r="R32" s="179">
        <f t="shared" si="5"/>
        <v>0.80143428791571125</v>
      </c>
      <c r="S32" s="839">
        <f t="shared" si="6"/>
        <v>1</v>
      </c>
      <c r="T32" s="178">
        <f t="shared" si="7"/>
        <v>7</v>
      </c>
      <c r="U32" s="253">
        <f t="shared" si="8"/>
        <v>1.8014342879157113</v>
      </c>
      <c r="V32" s="385">
        <f t="shared" si="9"/>
        <v>16.967617267147528</v>
      </c>
      <c r="W32" s="404">
        <f t="shared" si="10"/>
        <v>3.6698811788901029</v>
      </c>
      <c r="X32" s="157">
        <f t="shared" si="11"/>
        <v>45675</v>
      </c>
      <c r="Y32" s="387">
        <f t="shared" si="12"/>
        <v>3.4014531815807811</v>
      </c>
      <c r="Z32" s="387">
        <f t="shared" si="22"/>
        <v>3.5936578263355541</v>
      </c>
      <c r="AA32" s="388">
        <f t="shared" si="13"/>
        <v>4.1762302019693571</v>
      </c>
      <c r="AB32" s="199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0.13949718944110967</v>
      </c>
      <c r="AD32" s="233">
        <f>(INDEX(Models!$BJ32:$BT32,,AH32)*(1-AF32)+INDEX(Models!$BJ32:$BT32,,AH32+1)*AF32-ERP_i)*AE32*Ramure*Pc/MaxiM</f>
        <v>0.13532668129064188</v>
      </c>
      <c r="AE32" s="307">
        <f t="shared" si="15"/>
        <v>0.9</v>
      </c>
      <c r="AF32" s="179">
        <f t="shared" si="23"/>
        <v>0.80143428791571125</v>
      </c>
      <c r="AG32" s="839">
        <f t="shared" si="24"/>
        <v>1</v>
      </c>
      <c r="AH32" s="178">
        <f t="shared" si="16"/>
        <v>7</v>
      </c>
      <c r="AI32" s="227">
        <f t="shared" si="17"/>
        <v>1.8014342879157113</v>
      </c>
      <c r="AJ32" s="267" t="b">
        <f t="shared" si="18"/>
        <v>0</v>
      </c>
      <c r="AK32" s="267" t="b">
        <f t="shared" si="19"/>
        <v>1</v>
      </c>
      <c r="AL32" s="267"/>
      <c r="AM32" s="267"/>
      <c r="AN32" s="75"/>
    </row>
    <row r="33" spans="1:40" s="6" customFormat="1" ht="11.25" x14ac:dyDescent="0.2">
      <c r="A33" s="56">
        <f t="shared" si="20"/>
        <v>45676</v>
      </c>
      <c r="B33" s="413">
        <f>'2024'!Wh/'2024'!Env_an*'2025'!Env_an</f>
        <v>9.0080824520378542</v>
      </c>
      <c r="C33" s="868"/>
      <c r="D33" s="395">
        <f t="shared" si="0"/>
        <v>9.5173202852876297</v>
      </c>
      <c r="E33" s="387">
        <f t="shared" si="1"/>
        <v>10.252981502601601</v>
      </c>
      <c r="F33" s="387">
        <f t="shared" si="2"/>
        <v>10.705110959140894</v>
      </c>
      <c r="G33" s="110">
        <f t="shared" si="21"/>
        <v>0.47356988946822764</v>
      </c>
      <c r="H33" s="416" t="b">
        <f>Wh_hp&gt;='2024'!Maxi_hp</f>
        <v>0</v>
      </c>
      <c r="I33" s="392">
        <f>IF(H33,Wh_hp,'2024'!Maxi_hp)</f>
        <v>22.003301908530709</v>
      </c>
      <c r="J33" s="85">
        <f>IF(H33,An,'2024'!An_max)</f>
        <v>2021</v>
      </c>
      <c r="K33" s="199">
        <f t="shared" si="3"/>
        <v>45676</v>
      </c>
      <c r="L33" s="147">
        <f>IF(t&lt;Tvie,1-EXP((T0-t)*PertePVj)+'2024'!Pspv,1-EXP((T0-t)*PertePVj)+Pspv)</f>
        <v>5.3506430169948382E-2</v>
      </c>
      <c r="M33" s="872"/>
      <c r="N33" s="872"/>
      <c r="O33" s="48">
        <f>IF(t&lt;Tnet,'2024'!Resal+('2024'!Salim-'2024'!Resal)*(1-EXP(('2024'!Tnet-t)/('2024'!Tau_j))),Resal+(Salim-Resal)*(1-EXP((Tnet-t)/(Tau_j))))*Salcycl</f>
        <v>7.1750955283329462E-2</v>
      </c>
      <c r="P33" s="171">
        <f>(INDEX(Models!$BJ33:$BT33,,T33)*(1-R33)+INDEX(Models!$BJ33:$BT33,,T33+1)*R33-ERP_i)*Q33*Ramure*Pc/MaxiM</f>
        <v>0.13262343990966693</v>
      </c>
      <c r="Q33" s="307">
        <f t="shared" si="4"/>
        <v>0.9</v>
      </c>
      <c r="R33" s="179">
        <f t="shared" si="5"/>
        <v>0.80151630266791662</v>
      </c>
      <c r="S33" s="839">
        <f t="shared" si="6"/>
        <v>1</v>
      </c>
      <c r="T33" s="178">
        <f t="shared" si="7"/>
        <v>7</v>
      </c>
      <c r="U33" s="253">
        <f t="shared" si="8"/>
        <v>1.8015163026679166</v>
      </c>
      <c r="V33" s="385">
        <f t="shared" si="9"/>
        <v>17.226496185571062</v>
      </c>
      <c r="W33" s="404">
        <f t="shared" si="10"/>
        <v>9.0080824520378542</v>
      </c>
      <c r="X33" s="157">
        <f t="shared" si="11"/>
        <v>45676</v>
      </c>
      <c r="Y33" s="387">
        <f t="shared" si="12"/>
        <v>8.3498224088151023</v>
      </c>
      <c r="Z33" s="387">
        <f t="shared" si="22"/>
        <v>8.8218480029551181</v>
      </c>
      <c r="AA33" s="388">
        <f t="shared" si="13"/>
        <v>10.252981502601601</v>
      </c>
      <c r="AB33" s="199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0.13958217902600775</v>
      </c>
      <c r="AD33" s="233">
        <f>(INDEX(Models!$BJ33:$BT33,,AH33)*(1-AF33)+INDEX(Models!$BJ33:$BT33,,AH33+1)*AF33-ERP_i)*AE33*Ramure*Pc/MaxiM</f>
        <v>0.13262343990966693</v>
      </c>
      <c r="AE33" s="307">
        <f t="shared" si="15"/>
        <v>0.9</v>
      </c>
      <c r="AF33" s="179">
        <f t="shared" si="23"/>
        <v>0.80151630266791662</v>
      </c>
      <c r="AG33" s="839">
        <f t="shared" si="24"/>
        <v>1</v>
      </c>
      <c r="AH33" s="178">
        <f t="shared" si="16"/>
        <v>7</v>
      </c>
      <c r="AI33" s="227">
        <f t="shared" si="17"/>
        <v>1.8015163026679166</v>
      </c>
      <c r="AJ33" s="267" t="b">
        <f t="shared" si="18"/>
        <v>0</v>
      </c>
      <c r="AK33" s="267" t="b">
        <f t="shared" si="19"/>
        <v>1</v>
      </c>
      <c r="AL33" s="267"/>
      <c r="AM33" s="267"/>
      <c r="AN33" s="75"/>
    </row>
    <row r="34" spans="1:40" s="6" customFormat="1" ht="11.25" x14ac:dyDescent="0.2">
      <c r="A34" s="56">
        <f t="shared" si="20"/>
        <v>45677</v>
      </c>
      <c r="B34" s="413">
        <f>'2024'!Wh/'2024'!Env_an*'2025'!Env_an</f>
        <v>5.3273946950693185</v>
      </c>
      <c r="C34" s="868"/>
      <c r="D34" s="395">
        <f t="shared" si="0"/>
        <v>5.6286897703578243</v>
      </c>
      <c r="E34" s="387">
        <f t="shared" si="1"/>
        <v>6.064822265727563</v>
      </c>
      <c r="F34" s="387">
        <f t="shared" si="2"/>
        <v>6.0700301048824938</v>
      </c>
      <c r="G34" s="110">
        <f t="shared" si="21"/>
        <v>0.26525658091351756</v>
      </c>
      <c r="H34" s="416" t="b">
        <f>Wh_hp&gt;='2024'!Maxi_hp</f>
        <v>0</v>
      </c>
      <c r="I34" s="392">
        <f>IF(H34,Wh_hp,'2024'!Maxi_hp)</f>
        <v>9.8558030999389263</v>
      </c>
      <c r="J34" s="85">
        <f>IF(H34,An,'2024'!An_max)</f>
        <v>2020</v>
      </c>
      <c r="K34" s="199">
        <f t="shared" si="3"/>
        <v>45677</v>
      </c>
      <c r="L34" s="147">
        <f>IF(t&lt;Tvie,1-EXP((T0-t)*PertePVj)+'2024'!Pspv,1-EXP((T0-t)*PertePVj)+Pspv)</f>
        <v>5.3528456458056373E-2</v>
      </c>
      <c r="M34" s="872"/>
      <c r="N34" s="872"/>
      <c r="O34" s="48">
        <f>IF(t&lt;Tnet,'2024'!Resal+('2024'!Salim-'2024'!Resal)*(1-EXP(('2024'!Tnet-t)/('2024'!Tau_j))),Resal+(Salim-Resal)*(1-EXP((Tnet-t)/(Tau_j))))*Salcycl</f>
        <v>7.1911834553558485E-2</v>
      </c>
      <c r="P34" s="171">
        <f>(INDEX(Models!$BJ34:$BT34,,T34)*(1-R34)+INDEX(Models!$BJ34:$BT34,,T34+1)*R34-ERP_i)*Q34*Ramure*Pc/MaxiM</f>
        <v>0.12997081783954284</v>
      </c>
      <c r="Q34" s="307">
        <f t="shared" si="4"/>
        <v>0.9</v>
      </c>
      <c r="R34" s="179">
        <f t="shared" si="5"/>
        <v>0.80160173763997622</v>
      </c>
      <c r="S34" s="839">
        <f t="shared" si="6"/>
        <v>1</v>
      </c>
      <c r="T34" s="178">
        <f t="shared" si="7"/>
        <v>7</v>
      </c>
      <c r="U34" s="253">
        <f t="shared" si="8"/>
        <v>1.8016017376399762</v>
      </c>
      <c r="V34" s="385">
        <f t="shared" si="9"/>
        <v>17.488610010785603</v>
      </c>
      <c r="W34" s="404">
        <f t="shared" si="10"/>
        <v>5.3273946950693185</v>
      </c>
      <c r="X34" s="157">
        <f t="shared" si="11"/>
        <v>45677</v>
      </c>
      <c r="Y34" s="387">
        <f t="shared" si="12"/>
        <v>4.938465863102655</v>
      </c>
      <c r="Z34" s="387">
        <f t="shared" si="22"/>
        <v>5.2177647566894896</v>
      </c>
      <c r="AA34" s="388">
        <f t="shared" si="13"/>
        <v>6.064822265727563</v>
      </c>
      <c r="AB34" s="199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0.13966732608551666</v>
      </c>
      <c r="AD34" s="233">
        <f>(INDEX(Models!$BJ34:$BT34,,AH34)*(1-AF34)+INDEX(Models!$BJ34:$BT34,,AH34+1)*AF34-ERP_i)*AE34*Ramure*Pc/MaxiM</f>
        <v>0.12997081783954284</v>
      </c>
      <c r="AE34" s="307">
        <f t="shared" si="15"/>
        <v>0.9</v>
      </c>
      <c r="AF34" s="179">
        <f t="shared" si="23"/>
        <v>0.80160173763997622</v>
      </c>
      <c r="AG34" s="839">
        <f t="shared" si="24"/>
        <v>1</v>
      </c>
      <c r="AH34" s="178">
        <f t="shared" si="16"/>
        <v>7</v>
      </c>
      <c r="AI34" s="227">
        <f t="shared" si="17"/>
        <v>1.8016017376399762</v>
      </c>
      <c r="AJ34" s="267" t="b">
        <f t="shared" si="18"/>
        <v>0</v>
      </c>
      <c r="AK34" s="267" t="b">
        <f t="shared" si="19"/>
        <v>1</v>
      </c>
      <c r="AL34" s="267"/>
      <c r="AM34" s="267"/>
      <c r="AN34" s="75"/>
    </row>
    <row r="35" spans="1:40" s="6" customFormat="1" ht="11.25" x14ac:dyDescent="0.2">
      <c r="A35" s="56">
        <f t="shared" si="20"/>
        <v>45678</v>
      </c>
      <c r="B35" s="413">
        <f>'2024'!Wh/'2024'!Env_an*'2025'!Env_an</f>
        <v>13.068658609818447</v>
      </c>
      <c r="C35" s="868"/>
      <c r="D35" s="395">
        <f t="shared" si="0"/>
        <v>13.80808840249602</v>
      </c>
      <c r="E35" s="387">
        <f t="shared" si="1"/>
        <v>14.880570830493836</v>
      </c>
      <c r="F35" s="387">
        <f t="shared" si="2"/>
        <v>16.163258634383904</v>
      </c>
      <c r="G35" s="110">
        <f t="shared" si="21"/>
        <v>0.69773419758590738</v>
      </c>
      <c r="H35" s="416" t="b">
        <f>Wh_hp&gt;='2024'!Maxi_hp</f>
        <v>0</v>
      </c>
      <c r="I35" s="392">
        <f>IF(H35,Wh_hp,'2024'!Maxi_hp)</f>
        <v>16.681922261721198</v>
      </c>
      <c r="J35" s="85">
        <f>IF(H35,An,'2024'!An_max)</f>
        <v>2022</v>
      </c>
      <c r="K35" s="199">
        <f t="shared" si="3"/>
        <v>45678</v>
      </c>
      <c r="L35" s="147">
        <f>IF(t&lt;Tvie,1-EXP((T0-t)*PertePVj)+'2024'!Pspv,1-EXP((T0-t)*PertePVj)+Pspv)</f>
        <v>5.355048223358061E-2</v>
      </c>
      <c r="M35" s="872"/>
      <c r="N35" s="872"/>
      <c r="O35" s="48">
        <f>IF(t&lt;Tnet,'2024'!Resal+('2024'!Salim-'2024'!Resal)*(1-EXP(('2024'!Tnet-t)/('2024'!Tau_j))),Resal+(Salim-Resal)*(1-EXP((Tnet-t)/(Tau_j))))*Salcycl</f>
        <v>7.207266711839061E-2</v>
      </c>
      <c r="P35" s="171">
        <f>(INDEX(Models!$BJ35:$BT35,,T35)*(1-R35)+INDEX(Models!$BJ35:$BT35,,T35+1)*R35-ERP_i)*Q35*Ramure*Pc/MaxiM</f>
        <v>0.12737322083993768</v>
      </c>
      <c r="Q35" s="307">
        <f t="shared" si="4"/>
        <v>0.9</v>
      </c>
      <c r="R35" s="179">
        <f t="shared" si="5"/>
        <v>0.80169073457210693</v>
      </c>
      <c r="S35" s="839">
        <f t="shared" si="6"/>
        <v>1</v>
      </c>
      <c r="T35" s="178">
        <f t="shared" si="7"/>
        <v>7</v>
      </c>
      <c r="U35" s="253">
        <f t="shared" si="8"/>
        <v>1.8016907345721069</v>
      </c>
      <c r="V35" s="385">
        <f t="shared" si="9"/>
        <v>17.753290975374213</v>
      </c>
      <c r="W35" s="404">
        <f t="shared" si="10"/>
        <v>13.068658609818447</v>
      </c>
      <c r="X35" s="157">
        <f t="shared" si="11"/>
        <v>45678</v>
      </c>
      <c r="Y35" s="387">
        <f t="shared" si="12"/>
        <v>12.115473552229785</v>
      </c>
      <c r="Z35" s="387">
        <f t="shared" si="22"/>
        <v>12.800971763208024</v>
      </c>
      <c r="AA35" s="388">
        <f t="shared" si="13"/>
        <v>14.880570830493836</v>
      </c>
      <c r="AB35" s="199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0.13975264060597861</v>
      </c>
      <c r="AD35" s="233">
        <f>(INDEX(Models!$BJ35:$BT35,,AH35)*(1-AF35)+INDEX(Models!$BJ35:$BT35,,AH35+1)*AF35-ERP_i)*AE35*Ramure*Pc/MaxiM</f>
        <v>0.12737322083993768</v>
      </c>
      <c r="AE35" s="307">
        <f t="shared" si="15"/>
        <v>0.9</v>
      </c>
      <c r="AF35" s="179">
        <f t="shared" si="23"/>
        <v>0.80169073457210693</v>
      </c>
      <c r="AG35" s="839">
        <f t="shared" si="24"/>
        <v>1</v>
      </c>
      <c r="AH35" s="178">
        <f t="shared" si="16"/>
        <v>7</v>
      </c>
      <c r="AI35" s="227">
        <f t="shared" si="17"/>
        <v>1.8016907345721069</v>
      </c>
      <c r="AJ35" s="267" t="b">
        <f t="shared" si="18"/>
        <v>0</v>
      </c>
      <c r="AK35" s="267" t="b">
        <f t="shared" si="19"/>
        <v>1</v>
      </c>
      <c r="AL35" s="267"/>
      <c r="AM35" s="267"/>
      <c r="AN35" s="75"/>
    </row>
    <row r="36" spans="1:40" s="6" customFormat="1" ht="11.25" x14ac:dyDescent="0.2">
      <c r="A36" s="56">
        <f t="shared" si="20"/>
        <v>45679</v>
      </c>
      <c r="B36" s="413">
        <f>'2024'!Wh/'2024'!Env_an*'2025'!Env_an</f>
        <v>17.90422673522572</v>
      </c>
      <c r="C36" s="868"/>
      <c r="D36" s="395">
        <f t="shared" si="0"/>
        <v>18.917695097662357</v>
      </c>
      <c r="E36" s="387">
        <f t="shared" si="1"/>
        <v>20.390577001919734</v>
      </c>
      <c r="F36" s="387">
        <f t="shared" si="2"/>
        <v>23.268661514428558</v>
      </c>
      <c r="G36" s="110">
        <f t="shared" si="21"/>
        <v>0.99228394149553156</v>
      </c>
      <c r="H36" s="416" t="b">
        <f>Wh_hp&gt;='2024'!Maxi_hp</f>
        <v>0</v>
      </c>
      <c r="I36" s="392">
        <f>IF(H36,Wh_hp,'2024'!Maxi_hp)</f>
        <v>23.286743891331543</v>
      </c>
      <c r="J36" s="85">
        <f>IF(H36,An,'2024'!An_max)</f>
        <v>2022</v>
      </c>
      <c r="K36" s="199">
        <f t="shared" si="3"/>
        <v>45679</v>
      </c>
      <c r="L36" s="147">
        <f>IF(t&lt;Tvie,1-EXP((T0-t)*PertePVj)+'2024'!Pspv,1-EXP((T0-t)*PertePVj)+Pspv)</f>
        <v>5.3572507496532751E-2</v>
      </c>
      <c r="M36" s="872"/>
      <c r="N36" s="872"/>
      <c r="O36" s="48">
        <f>IF(t&lt;Tnet,'2024'!Resal+('2024'!Salim-'2024'!Resal)*(1-EXP(('2024'!Tnet-t)/('2024'!Tau_j))),Resal+(Salim-Resal)*(1-EXP((Tnet-t)/(Tau_j))))*Salcycl</f>
        <v>7.2233458823588392E-2</v>
      </c>
      <c r="P36" s="171">
        <f>(INDEX(Models!$BJ36:$BT36,,T36)*(1-R36)+INDEX(Models!$BJ36:$BT36,,T36+1)*R36-ERP_i)*Q36*Ramure*Pc/MaxiM</f>
        <v>0.12483390182302745</v>
      </c>
      <c r="Q36" s="307">
        <f t="shared" si="4"/>
        <v>0.9</v>
      </c>
      <c r="R36" s="179">
        <f t="shared" si="5"/>
        <v>0.80178344100240184</v>
      </c>
      <c r="S36" s="839">
        <f t="shared" si="6"/>
        <v>1</v>
      </c>
      <c r="T36" s="178">
        <f t="shared" si="7"/>
        <v>7</v>
      </c>
      <c r="U36" s="253">
        <f t="shared" si="8"/>
        <v>1.8017834410024018</v>
      </c>
      <c r="V36" s="385">
        <f t="shared" si="9"/>
        <v>18.019883479624401</v>
      </c>
      <c r="W36" s="404">
        <f t="shared" si="10"/>
        <v>17.90422673522572</v>
      </c>
      <c r="X36" s="157">
        <f t="shared" si="11"/>
        <v>45679</v>
      </c>
      <c r="Y36" s="387">
        <f t="shared" si="12"/>
        <v>16.599578045159571</v>
      </c>
      <c r="Z36" s="387">
        <f t="shared" si="22"/>
        <v>17.539196797052849</v>
      </c>
      <c r="AA36" s="388">
        <f t="shared" si="13"/>
        <v>20.390577001919734</v>
      </c>
      <c r="AB36" s="199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0.13983813231957257</v>
      </c>
      <c r="AD36" s="233">
        <f>(INDEX(Models!$BJ36:$BT36,,AH36)*(1-AF36)+INDEX(Models!$BJ36:$BT36,,AH36+1)*AF36-ERP_i)*AE36*Ramure*Pc/MaxiM</f>
        <v>0.12483390182302745</v>
      </c>
      <c r="AE36" s="307">
        <f t="shared" si="15"/>
        <v>0.9</v>
      </c>
      <c r="AF36" s="179">
        <f t="shared" si="23"/>
        <v>0.80178344100240184</v>
      </c>
      <c r="AG36" s="839">
        <f t="shared" si="24"/>
        <v>1</v>
      </c>
      <c r="AH36" s="178">
        <f t="shared" si="16"/>
        <v>7</v>
      </c>
      <c r="AI36" s="227">
        <f t="shared" si="17"/>
        <v>1.8017834410024018</v>
      </c>
      <c r="AJ36" s="267" t="b">
        <f t="shared" si="18"/>
        <v>0</v>
      </c>
      <c r="AK36" s="267" t="b">
        <f t="shared" si="19"/>
        <v>1</v>
      </c>
      <c r="AL36" s="267"/>
      <c r="AM36" s="267"/>
      <c r="AN36" s="75"/>
    </row>
    <row r="37" spans="1:40" s="6" customFormat="1" ht="11.25" x14ac:dyDescent="0.2">
      <c r="A37" s="56">
        <f t="shared" si="20"/>
        <v>45680</v>
      </c>
      <c r="B37" s="413">
        <f>'2024'!Wh/'2024'!Env_an*'2025'!Env_an</f>
        <v>17.976264198626666</v>
      </c>
      <c r="C37" s="868"/>
      <c r="D37" s="395">
        <f t="shared" si="0"/>
        <v>18.994252264101267</v>
      </c>
      <c r="E37" s="387">
        <f t="shared" si="1"/>
        <v>20.476642746463945</v>
      </c>
      <c r="F37" s="387">
        <f t="shared" si="2"/>
        <v>23.251589176484007</v>
      </c>
      <c r="G37" s="110">
        <f t="shared" si="21"/>
        <v>0.97950105875260329</v>
      </c>
      <c r="H37" s="416" t="b">
        <f>Wh_hp&gt;='2024'!Maxi_hp</f>
        <v>0</v>
      </c>
      <c r="I37" s="392">
        <f>IF(H37,Wh_hp,'2024'!Maxi_hp)</f>
        <v>23.298620808792489</v>
      </c>
      <c r="J37" s="85">
        <f>IF(H37,An,'2024'!An_max)</f>
        <v>2022</v>
      </c>
      <c r="K37" s="199">
        <f t="shared" si="3"/>
        <v>45680</v>
      </c>
      <c r="L37" s="147">
        <f>IF(t&lt;Tvie,1-EXP((T0-t)*PertePVj)+'2024'!Pspv,1-EXP((T0-t)*PertePVj)+Pspv)</f>
        <v>5.3594532246924897E-2</v>
      </c>
      <c r="M37" s="872"/>
      <c r="N37" s="872"/>
      <c r="O37" s="48">
        <f>IF(t&lt;Tnet,'2024'!Resal+('2024'!Salim-'2024'!Resal)*(1-EXP(('2024'!Tnet-t)/('2024'!Tau_j))),Resal+(Salim-Resal)*(1-EXP((Tnet-t)/(Tau_j))))*Salcycl</f>
        <v>7.239421523914942E-2</v>
      </c>
      <c r="P37" s="171">
        <f>(INDEX(Models!$BJ37:$BT37,,T37)*(1-R37)+INDEX(Models!$BJ37:$BT37,,T37+1)*R37-ERP_i)*Q37*Ramure*Pc/MaxiM</f>
        <v>0.12234231051925729</v>
      </c>
      <c r="Q37" s="307">
        <f t="shared" si="4"/>
        <v>0.9</v>
      </c>
      <c r="R37" s="179">
        <f t="shared" si="5"/>
        <v>0.80188001049749014</v>
      </c>
      <c r="S37" s="839">
        <f t="shared" si="6"/>
        <v>1</v>
      </c>
      <c r="T37" s="178">
        <f t="shared" si="7"/>
        <v>7</v>
      </c>
      <c r="U37" s="253">
        <f t="shared" si="8"/>
        <v>1.8018800104974901</v>
      </c>
      <c r="V37" s="385">
        <f t="shared" si="9"/>
        <v>18.289994818774858</v>
      </c>
      <c r="W37" s="404">
        <f t="shared" si="10"/>
        <v>17.976264198626666</v>
      </c>
      <c r="X37" s="157">
        <f t="shared" si="11"/>
        <v>45680</v>
      </c>
      <c r="Y37" s="387">
        <f t="shared" si="12"/>
        <v>16.667594219158278</v>
      </c>
      <c r="Z37" s="387">
        <f t="shared" si="22"/>
        <v>17.611472869794312</v>
      </c>
      <c r="AA37" s="388">
        <f t="shared" si="13"/>
        <v>20.476642746463945</v>
      </c>
      <c r="AB37" s="199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0.13992381036995971</v>
      </c>
      <c r="AD37" s="233">
        <f>(INDEX(Models!$BJ37:$BT37,,AH37)*(1-AF37)+INDEX(Models!$BJ37:$BT37,,AH37+1)*AF37-ERP_i)*AE37*Ramure*Pc/MaxiM</f>
        <v>0.12234231051925729</v>
      </c>
      <c r="AE37" s="307">
        <f t="shared" si="15"/>
        <v>0.9</v>
      </c>
      <c r="AF37" s="179">
        <f t="shared" si="23"/>
        <v>0.80188001049749014</v>
      </c>
      <c r="AG37" s="839">
        <f t="shared" si="24"/>
        <v>1</v>
      </c>
      <c r="AH37" s="178">
        <f t="shared" si="16"/>
        <v>7</v>
      </c>
      <c r="AI37" s="227">
        <f t="shared" si="17"/>
        <v>1.8018800104974901</v>
      </c>
      <c r="AJ37" s="267" t="b">
        <f t="shared" si="18"/>
        <v>0</v>
      </c>
      <c r="AK37" s="267" t="b">
        <f t="shared" si="19"/>
        <v>1</v>
      </c>
      <c r="AL37" s="267"/>
      <c r="AM37" s="267"/>
      <c r="AN37" s="75"/>
    </row>
    <row r="38" spans="1:40" s="6" customFormat="1" ht="11.25" x14ac:dyDescent="0.2">
      <c r="A38" s="56">
        <f t="shared" si="20"/>
        <v>45681</v>
      </c>
      <c r="B38" s="413">
        <f>'2024'!Wh/'2024'!Env_an*'2025'!Env_an</f>
        <v>18.402877362486667</v>
      </c>
      <c r="C38" s="868"/>
      <c r="D38" s="395">
        <f t="shared" si="0"/>
        <v>19.445476871543022</v>
      </c>
      <c r="E38" s="387">
        <f t="shared" si="1"/>
        <v>20.966715702745876</v>
      </c>
      <c r="F38" s="387">
        <f t="shared" si="2"/>
        <v>23.781875383428439</v>
      </c>
      <c r="G38" s="110">
        <f t="shared" si="21"/>
        <v>0.98954054240298506</v>
      </c>
      <c r="H38" s="416" t="b">
        <f>Wh_hp&gt;='2024'!Maxi_hp</f>
        <v>0</v>
      </c>
      <c r="I38" s="392">
        <f>IF(H38,Wh_hp,'2024'!Maxi_hp)</f>
        <v>23.805877087103614</v>
      </c>
      <c r="J38" s="85">
        <f>IF(H38,An,'2024'!An_max)</f>
        <v>2022</v>
      </c>
      <c r="K38" s="199">
        <f t="shared" si="3"/>
        <v>45681</v>
      </c>
      <c r="L38" s="147">
        <f>IF(t&lt;Tvie,1-EXP((T0-t)*PertePVj)+'2024'!Pspv,1-EXP((T0-t)*PertePVj)+Pspv)</f>
        <v>5.3616556484768929E-2</v>
      </c>
      <c r="M38" s="872"/>
      <c r="N38" s="872"/>
      <c r="O38" s="48">
        <f>IF(t&lt;Tnet,'2024'!Resal+('2024'!Salim-'2024'!Resal)*(1-EXP(('2024'!Tnet-t)/('2024'!Tau_j))),Resal+(Salim-Resal)*(1-EXP((Tnet-t)/(Tau_j))))*Salcycl</f>
        <v>7.2554941497281117E-2</v>
      </c>
      <c r="P38" s="171">
        <f>(INDEX(Models!$BJ38:$BT38,,T38)*(1-R38)+INDEX(Models!$BJ38:$BT38,,T38+1)*R38-ERP_i)*Q38*Ramure*Pc/MaxiM</f>
        <v>0.11987616840795746</v>
      </c>
      <c r="Q38" s="307">
        <f t="shared" si="4"/>
        <v>0.9</v>
      </c>
      <c r="R38" s="179">
        <f t="shared" si="5"/>
        <v>0.80198060289181128</v>
      </c>
      <c r="S38" s="839">
        <f t="shared" si="6"/>
        <v>1</v>
      </c>
      <c r="T38" s="178">
        <f t="shared" si="7"/>
        <v>7</v>
      </c>
      <c r="U38" s="253">
        <f t="shared" si="8"/>
        <v>1.8019806028918113</v>
      </c>
      <c r="V38" s="385">
        <f t="shared" si="9"/>
        <v>18.565712164776556</v>
      </c>
      <c r="W38" s="404">
        <f t="shared" si="10"/>
        <v>18.402877362486667</v>
      </c>
      <c r="X38" s="157">
        <f t="shared" si="11"/>
        <v>45681</v>
      </c>
      <c r="Y38" s="387">
        <f t="shared" si="12"/>
        <v>17.064403105604271</v>
      </c>
      <c r="Z38" s="387">
        <f t="shared" si="22"/>
        <v>18.03117248355543</v>
      </c>
      <c r="AA38" s="388">
        <f t="shared" si="13"/>
        <v>20.966715702745876</v>
      </c>
      <c r="AB38" s="199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0.14000968300466793</v>
      </c>
      <c r="AD38" s="233">
        <f>(INDEX(Models!$BJ38:$BT38,,AH38)*(1-AF38)+INDEX(Models!$BJ38:$BT38,,AH38+1)*AF38-ERP_i)*AE38*Ramure*Pc/MaxiM</f>
        <v>0.11987616840795746</v>
      </c>
      <c r="AE38" s="307">
        <f t="shared" si="15"/>
        <v>0.9</v>
      </c>
      <c r="AF38" s="179">
        <f t="shared" si="23"/>
        <v>0.80198060289181128</v>
      </c>
      <c r="AG38" s="839">
        <f t="shared" si="24"/>
        <v>1</v>
      </c>
      <c r="AH38" s="178">
        <f t="shared" si="16"/>
        <v>7</v>
      </c>
      <c r="AI38" s="227">
        <f t="shared" si="17"/>
        <v>1.8019806028918113</v>
      </c>
      <c r="AJ38" s="267" t="b">
        <f t="shared" si="18"/>
        <v>0</v>
      </c>
      <c r="AK38" s="267" t="b">
        <f t="shared" si="19"/>
        <v>1</v>
      </c>
      <c r="AL38" s="267"/>
      <c r="AM38" s="267"/>
      <c r="AN38" s="75"/>
    </row>
    <row r="39" spans="1:40" s="6" customFormat="1" ht="11.25" x14ac:dyDescent="0.2">
      <c r="A39" s="56">
        <f t="shared" si="20"/>
        <v>45682</v>
      </c>
      <c r="B39" s="413">
        <f>'2024'!Wh/'2024'!Env_an*'2025'!Env_an</f>
        <v>18.648893716571735</v>
      </c>
      <c r="C39" s="868"/>
      <c r="D39" s="395">
        <f t="shared" si="0"/>
        <v>19.705889659694162</v>
      </c>
      <c r="E39" s="387">
        <f t="shared" si="1"/>
        <v>21.251183083967756</v>
      </c>
      <c r="F39" s="387">
        <f t="shared" si="2"/>
        <v>24.030600038910503</v>
      </c>
      <c r="G39" s="110">
        <f t="shared" si="21"/>
        <v>0.98751467088493861</v>
      </c>
      <c r="H39" s="416" t="b">
        <f>Wh_hp&gt;='2024'!Maxi_hp</f>
        <v>0</v>
      </c>
      <c r="I39" s="392">
        <f>IF(H39,Wh_hp,'2024'!Maxi_hp)</f>
        <v>24.058949643818465</v>
      </c>
      <c r="J39" s="85">
        <f>IF(H39,An,'2024'!An_max)</f>
        <v>2022</v>
      </c>
      <c r="K39" s="199">
        <f t="shared" si="3"/>
        <v>45682</v>
      </c>
      <c r="L39" s="147">
        <f>IF(t&lt;Tvie,1-EXP((T0-t)*PertePVj)+'2024'!Pspv,1-EXP((T0-t)*PertePVj)+Pspv)</f>
        <v>5.3638580210076725E-2</v>
      </c>
      <c r="M39" s="872"/>
      <c r="N39" s="872"/>
      <c r="O39" s="48">
        <f>IF(t&lt;Tnet,'2024'!Resal+('2024'!Salim-'2024'!Resal)*(1-EXP(('2024'!Tnet-t)/('2024'!Tau_j))),Resal+(Salim-Resal)*(1-EXP((Tnet-t)/(Tau_j))))*Salcycl</f>
        <v>7.2715642144149134E-2</v>
      </c>
      <c r="P39" s="171">
        <f>(INDEX(Models!$BJ39:$BT39,,T39)*(1-R39)+INDEX(Models!$BJ39:$BT39,,T39+1)*R39-ERP_i)*Q39*Ramure*Pc/MaxiM</f>
        <v>0.11742499738161472</v>
      </c>
      <c r="Q39" s="307">
        <f t="shared" si="4"/>
        <v>0.9</v>
      </c>
      <c r="R39" s="179">
        <f t="shared" si="5"/>
        <v>0.80208538453578293</v>
      </c>
      <c r="S39" s="839">
        <f t="shared" si="6"/>
        <v>1</v>
      </c>
      <c r="T39" s="178">
        <f t="shared" si="7"/>
        <v>7</v>
      </c>
      <c r="U39" s="253">
        <f t="shared" si="8"/>
        <v>1.8020853845357829</v>
      </c>
      <c r="V39" s="385">
        <f t="shared" si="9"/>
        <v>18.847017874046649</v>
      </c>
      <c r="W39" s="404">
        <f t="shared" si="10"/>
        <v>18.648893716571735</v>
      </c>
      <c r="X39" s="157">
        <f t="shared" si="11"/>
        <v>45682</v>
      </c>
      <c r="Y39" s="387">
        <f t="shared" si="12"/>
        <v>17.293792020474978</v>
      </c>
      <c r="Z39" s="387">
        <f t="shared" si="22"/>
        <v>18.273982496363722</v>
      </c>
      <c r="AA39" s="388">
        <f t="shared" si="13"/>
        <v>21.251183083967756</v>
      </c>
      <c r="AB39" s="199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0.14009575729692358</v>
      </c>
      <c r="AD39" s="233">
        <f>(INDEX(Models!$BJ39:$BT39,,AH39)*(1-AF39)+INDEX(Models!$BJ39:$BT39,,AH39+1)*AF39-ERP_i)*AE39*Ramure*Pc/MaxiM</f>
        <v>0.11742499738161472</v>
      </c>
      <c r="AE39" s="307">
        <f t="shared" si="15"/>
        <v>0.9</v>
      </c>
      <c r="AF39" s="179">
        <f t="shared" si="23"/>
        <v>0.80208538453578293</v>
      </c>
      <c r="AG39" s="839">
        <f t="shared" si="24"/>
        <v>1</v>
      </c>
      <c r="AH39" s="178">
        <f t="shared" si="16"/>
        <v>7</v>
      </c>
      <c r="AI39" s="227">
        <f t="shared" si="17"/>
        <v>1.8020853845357829</v>
      </c>
      <c r="AJ39" s="267" t="b">
        <f t="shared" si="18"/>
        <v>0</v>
      </c>
      <c r="AK39" s="267" t="b">
        <f t="shared" si="19"/>
        <v>1</v>
      </c>
      <c r="AL39" s="267"/>
      <c r="AM39" s="267"/>
      <c r="AN39" s="75"/>
    </row>
    <row r="40" spans="1:40" s="6" customFormat="1" ht="11.25" x14ac:dyDescent="0.2">
      <c r="A40" s="56">
        <f t="shared" si="20"/>
        <v>45683</v>
      </c>
      <c r="B40" s="413">
        <f>'2024'!Wh/'2024'!Env_an*'2025'!Env_an</f>
        <v>18.764989823710309</v>
      </c>
      <c r="C40" s="868"/>
      <c r="D40" s="395">
        <f t="shared" si="0"/>
        <v>19.829027399242069</v>
      </c>
      <c r="E40" s="387">
        <f t="shared" si="1"/>
        <v>21.387683055161748</v>
      </c>
      <c r="F40" s="387">
        <f t="shared" si="2"/>
        <v>24.080537561165393</v>
      </c>
      <c r="G40" s="110">
        <f t="shared" si="21"/>
        <v>0.97723978207809692</v>
      </c>
      <c r="H40" s="416" t="b">
        <f>Wh_hp&gt;='2024'!Maxi_hp</f>
        <v>0</v>
      </c>
      <c r="I40" s="392">
        <f>IF(H40,Wh_hp,'2024'!Maxi_hp)</f>
        <v>24.131302627113506</v>
      </c>
      <c r="J40" s="85">
        <f>IF(H40,An,'2024'!An_max)</f>
        <v>2022</v>
      </c>
      <c r="K40" s="199">
        <f t="shared" si="3"/>
        <v>45683</v>
      </c>
      <c r="L40" s="147">
        <f>IF(t&lt;Tvie,1-EXP((T0-t)*PertePVj)+'2024'!Pspv,1-EXP((T0-t)*PertePVj)+Pspv)</f>
        <v>5.3660603422860276E-2</v>
      </c>
      <c r="M40" s="872"/>
      <c r="N40" s="872"/>
      <c r="O40" s="48">
        <f>IF(t&lt;Tnet,'2024'!Resal+('2024'!Salim-'2024'!Resal)*(1-EXP(('2024'!Tnet-t)/('2024'!Tau_j))),Resal+(Salim-Resal)*(1-EXP((Tnet-t)/(Tau_j))))*Salcycl</f>
        <v>7.2876321006800582E-2</v>
      </c>
      <c r="P40" s="171">
        <f>(INDEX(Models!$BJ40:$BT40,,T40)*(1-R40)+INDEX(Models!$BJ40:$BT40,,T40+1)*R40-ERP_i)*Q40*Ramure*Pc/MaxiM</f>
        <v>0.11499184159044233</v>
      </c>
      <c r="Q40" s="307">
        <f t="shared" si="4"/>
        <v>0.9</v>
      </c>
      <c r="R40" s="179">
        <f t="shared" si="5"/>
        <v>0.80219452855313267</v>
      </c>
      <c r="S40" s="839">
        <f t="shared" si="6"/>
        <v>1</v>
      </c>
      <c r="T40" s="178">
        <f t="shared" si="7"/>
        <v>7</v>
      </c>
      <c r="U40" s="253">
        <f t="shared" si="8"/>
        <v>1.8021945285531327</v>
      </c>
      <c r="V40" s="385">
        <f t="shared" si="9"/>
        <v>19.133609550008256</v>
      </c>
      <c r="W40" s="404">
        <f t="shared" si="10"/>
        <v>18.764989823710309</v>
      </c>
      <c r="X40" s="157">
        <f t="shared" si="11"/>
        <v>45683</v>
      </c>
      <c r="Y40" s="387">
        <f t="shared" si="12"/>
        <v>17.402721617270643</v>
      </c>
      <c r="Z40" s="387">
        <f t="shared" si="22"/>
        <v>18.389514037157685</v>
      </c>
      <c r="AA40" s="388">
        <f t="shared" si="13"/>
        <v>21.387683055161748</v>
      </c>
      <c r="AB40" s="199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0.14018203889927572</v>
      </c>
      <c r="AD40" s="233">
        <f>(INDEX(Models!$BJ40:$BT40,,AH40)*(1-AF40)+INDEX(Models!$BJ40:$BT40,,AH40+1)*AF40-ERP_i)*AE40*Ramure*Pc/MaxiM</f>
        <v>0.11499184159044233</v>
      </c>
      <c r="AE40" s="307">
        <f t="shared" si="15"/>
        <v>0.9</v>
      </c>
      <c r="AF40" s="179">
        <f t="shared" si="23"/>
        <v>0.80219452855313267</v>
      </c>
      <c r="AG40" s="839">
        <f t="shared" si="24"/>
        <v>1</v>
      </c>
      <c r="AH40" s="178">
        <f t="shared" si="16"/>
        <v>7</v>
      </c>
      <c r="AI40" s="227">
        <f t="shared" si="17"/>
        <v>1.8021945285531327</v>
      </c>
      <c r="AJ40" s="267" t="b">
        <f t="shared" si="18"/>
        <v>0</v>
      </c>
      <c r="AK40" s="267" t="b">
        <f t="shared" si="19"/>
        <v>1</v>
      </c>
      <c r="AL40" s="267"/>
      <c r="AM40" s="267"/>
      <c r="AN40" s="75"/>
    </row>
    <row r="41" spans="1:40" s="6" customFormat="1" ht="11.25" x14ac:dyDescent="0.2">
      <c r="A41" s="56">
        <f t="shared" si="20"/>
        <v>45684</v>
      </c>
      <c r="B41" s="413">
        <f>'2024'!Wh/'2024'!Env_an*'2025'!Env_an</f>
        <v>18.338574267680496</v>
      </c>
      <c r="C41" s="868"/>
      <c r="D41" s="395">
        <f t="shared" si="0"/>
        <v>19.378883632402431</v>
      </c>
      <c r="E41" s="387">
        <f t="shared" si="1"/>
        <v>20.905778587485717</v>
      </c>
      <c r="F41" s="387">
        <f t="shared" si="2"/>
        <v>23.321488650223809</v>
      </c>
      <c r="G41" s="110">
        <f t="shared" si="21"/>
        <v>0.93458716446696322</v>
      </c>
      <c r="H41" s="416" t="b">
        <f>Wh_hp&gt;='2024'!Maxi_hp</f>
        <v>0</v>
      </c>
      <c r="I41" s="392">
        <f>IF(H41,Wh_hp,'2024'!Maxi_hp)</f>
        <v>23.460443635711847</v>
      </c>
      <c r="J41" s="85">
        <f>IF(H41,An,'2024'!An_max)</f>
        <v>2022</v>
      </c>
      <c r="K41" s="199">
        <f t="shared" si="3"/>
        <v>45684</v>
      </c>
      <c r="L41" s="147">
        <f>IF(t&lt;Tvie,1-EXP((T0-t)*PertePVj)+'2024'!Pspv,1-EXP((T0-t)*PertePVj)+Pspv)</f>
        <v>5.3682626123131572E-2</v>
      </c>
      <c r="M41" s="872"/>
      <c r="N41" s="872"/>
      <c r="O41" s="48">
        <f>IF(t&lt;Tnet,'2024'!Resal+('2024'!Salim-'2024'!Resal)*(1-EXP(('2024'!Tnet-t)/('2024'!Tau_j))),Resal+(Salim-Resal)*(1-EXP((Tnet-t)/(Tau_j))))*Salcycl</f>
        <v>7.3036981076480476E-2</v>
      </c>
      <c r="P41" s="171">
        <f>(INDEX(Models!$BJ41:$BT41,,T41)*(1-R41)+INDEX(Models!$BJ41:$BT41,,T41+1)*R41-ERP_i)*Q41*Ramure*Pc/MaxiM</f>
        <v>0.11257943682936858</v>
      </c>
      <c r="Q41" s="307">
        <f t="shared" si="4"/>
        <v>0.9</v>
      </c>
      <c r="R41" s="179">
        <f t="shared" si="5"/>
        <v>0.80230821510768302</v>
      </c>
      <c r="S41" s="839">
        <f t="shared" si="6"/>
        <v>1</v>
      </c>
      <c r="T41" s="178">
        <f t="shared" si="7"/>
        <v>7</v>
      </c>
      <c r="U41" s="253">
        <f t="shared" si="8"/>
        <v>1.802308215107683</v>
      </c>
      <c r="V41" s="385">
        <f t="shared" si="9"/>
        <v>19.425185125607332</v>
      </c>
      <c r="W41" s="404">
        <f t="shared" si="10"/>
        <v>18.338574267680496</v>
      </c>
      <c r="X41" s="157">
        <f t="shared" si="11"/>
        <v>45684</v>
      </c>
      <c r="Y41" s="387">
        <f t="shared" si="12"/>
        <v>17.008498783035517</v>
      </c>
      <c r="Z41" s="387">
        <f t="shared" si="22"/>
        <v>17.973355718235609</v>
      </c>
      <c r="AA41" s="388">
        <f t="shared" si="13"/>
        <v>20.905778587485717</v>
      </c>
      <c r="AB41" s="199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0.14026853183097759</v>
      </c>
      <c r="AD41" s="233">
        <f>(INDEX(Models!$BJ41:$BT41,,AH41)*(1-AF41)+INDEX(Models!$BJ41:$BT41,,AH41+1)*AF41-ERP_i)*AE41*Ramure*Pc/MaxiM</f>
        <v>0.11257943682936858</v>
      </c>
      <c r="AE41" s="307">
        <f t="shared" si="15"/>
        <v>0.9</v>
      </c>
      <c r="AF41" s="179">
        <f t="shared" si="23"/>
        <v>0.80230821510768302</v>
      </c>
      <c r="AG41" s="839">
        <f t="shared" si="24"/>
        <v>1</v>
      </c>
      <c r="AH41" s="178">
        <f t="shared" si="16"/>
        <v>7</v>
      </c>
      <c r="AI41" s="227">
        <f t="shared" si="17"/>
        <v>1.802308215107683</v>
      </c>
      <c r="AJ41" s="267" t="b">
        <f t="shared" si="18"/>
        <v>0</v>
      </c>
      <c r="AK41" s="267" t="b">
        <f t="shared" si="19"/>
        <v>1</v>
      </c>
      <c r="AL41" s="267"/>
      <c r="AM41" s="267"/>
      <c r="AN41" s="75"/>
    </row>
    <row r="42" spans="1:40" s="6" customFormat="1" ht="11.25" x14ac:dyDescent="0.2">
      <c r="A42" s="56">
        <f t="shared" si="20"/>
        <v>45685</v>
      </c>
      <c r="B42" s="413">
        <f>'2024'!Wh/'2024'!Env_an*'2025'!Env_an</f>
        <v>3.8411568944682801</v>
      </c>
      <c r="C42" s="868"/>
      <c r="D42" s="395">
        <f t="shared" si="0"/>
        <v>4.0591522378419969</v>
      </c>
      <c r="E42" s="387">
        <f t="shared" si="1"/>
        <v>4.3797387067066733</v>
      </c>
      <c r="F42" s="387">
        <f t="shared" si="2"/>
        <v>4.3797387067066733</v>
      </c>
      <c r="G42" s="110">
        <f t="shared" si="21"/>
        <v>0.17330876717404692</v>
      </c>
      <c r="H42" s="416" t="b">
        <f>Wh_hp&gt;='2024'!Maxi_hp</f>
        <v>0</v>
      </c>
      <c r="I42" s="392">
        <f>IF(H42,Wh_hp,'2024'!Maxi_hp)</f>
        <v>17.183861490086507</v>
      </c>
      <c r="J42" s="85">
        <f>IF(H42,An,'2024'!An_max)</f>
        <v>2020</v>
      </c>
      <c r="K42" s="199">
        <f t="shared" si="3"/>
        <v>45685</v>
      </c>
      <c r="L42" s="147">
        <f>IF(t&lt;Tvie,1-EXP((T0-t)*PertePVj)+'2024'!Pspv,1-EXP((T0-t)*PertePVj)+Pspv)</f>
        <v>5.3704648310902381E-2</v>
      </c>
      <c r="M42" s="872"/>
      <c r="N42" s="872"/>
      <c r="O42" s="48">
        <f>IF(t&lt;Tnet,'2024'!Resal+('2024'!Salim-'2024'!Resal)*(1-EXP(('2024'!Tnet-t)/('2024'!Tau_j))),Resal+(Salim-Resal)*(1-EXP((Tnet-t)/(Tau_j))))*Salcycl</f>
        <v>7.3197624409365808E-2</v>
      </c>
      <c r="P42" s="171">
        <f>(INDEX(Models!$BJ42:$BT42,,T42)*(1-R42)+INDEX(Models!$BJ42:$BT42,,T42+1)*R42-ERP_i)*Q42*Ramure*Pc/MaxiM</f>
        <v>0.11019022560928579</v>
      </c>
      <c r="Q42" s="307">
        <f t="shared" si="4"/>
        <v>0.9</v>
      </c>
      <c r="R42" s="179">
        <f t="shared" si="5"/>
        <v>0.80242663167986739</v>
      </c>
      <c r="S42" s="839">
        <f t="shared" si="6"/>
        <v>1</v>
      </c>
      <c r="T42" s="178">
        <f t="shared" si="7"/>
        <v>7</v>
      </c>
      <c r="U42" s="253">
        <f t="shared" si="8"/>
        <v>1.8024266316798674</v>
      </c>
      <c r="V42" s="385">
        <f t="shared" si="9"/>
        <v>19.721442864074501</v>
      </c>
      <c r="W42" s="404">
        <f t="shared" si="10"/>
        <v>3.8411568944682801</v>
      </c>
      <c r="X42" s="157">
        <f t="shared" si="11"/>
        <v>45685</v>
      </c>
      <c r="Y42" s="387">
        <f t="shared" si="12"/>
        <v>3.5628203920932848</v>
      </c>
      <c r="Z42" s="387">
        <f t="shared" si="22"/>
        <v>3.7650194368320626</v>
      </c>
      <c r="AA42" s="388">
        <f t="shared" si="13"/>
        <v>4.3797387067066733</v>
      </c>
      <c r="AB42" s="199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0.14035523830069907</v>
      </c>
      <c r="AD42" s="233">
        <f>(INDEX(Models!$BJ42:$BT42,,AH42)*(1-AF42)+INDEX(Models!$BJ42:$BT42,,AH42+1)*AF42-ERP_i)*AE42*Ramure*Pc/MaxiM</f>
        <v>0.11019022560928579</v>
      </c>
      <c r="AE42" s="307">
        <f t="shared" si="15"/>
        <v>0.9</v>
      </c>
      <c r="AF42" s="179">
        <f t="shared" si="23"/>
        <v>0.80242663167986739</v>
      </c>
      <c r="AG42" s="839">
        <f t="shared" si="24"/>
        <v>1</v>
      </c>
      <c r="AH42" s="178">
        <f t="shared" si="16"/>
        <v>7</v>
      </c>
      <c r="AI42" s="227">
        <f t="shared" si="17"/>
        <v>1.8024266316798674</v>
      </c>
      <c r="AJ42" s="267" t="b">
        <f t="shared" si="18"/>
        <v>0</v>
      </c>
      <c r="AK42" s="267" t="b">
        <f t="shared" si="19"/>
        <v>1</v>
      </c>
      <c r="AL42" s="267"/>
      <c r="AM42" s="267"/>
      <c r="AN42" s="75"/>
    </row>
    <row r="43" spans="1:40" s="6" customFormat="1" ht="11.25" x14ac:dyDescent="0.2">
      <c r="A43" s="56">
        <f t="shared" si="20"/>
        <v>45686</v>
      </c>
      <c r="B43" s="413">
        <f>'2024'!Wh/'2024'!Env_an*'2025'!Env_an</f>
        <v>6.0144949557848717</v>
      </c>
      <c r="C43" s="868"/>
      <c r="D43" s="395">
        <f t="shared" si="0"/>
        <v>6.3559806295048622</v>
      </c>
      <c r="E43" s="387">
        <f t="shared" si="1"/>
        <v>6.859156349835895</v>
      </c>
      <c r="F43" s="387">
        <f t="shared" si="2"/>
        <v>6.8595717049386993</v>
      </c>
      <c r="G43" s="110">
        <f t="shared" si="21"/>
        <v>0.26801902449127368</v>
      </c>
      <c r="H43" s="416" t="b">
        <f>Wh_hp&gt;='2024'!Maxi_hp</f>
        <v>0</v>
      </c>
      <c r="I43" s="392">
        <f>IF(H43,Wh_hp,'2024'!Maxi_hp)</f>
        <v>19.986344451656461</v>
      </c>
      <c r="J43" s="85">
        <f>IF(H43,An,'2024'!An_max)</f>
        <v>2020</v>
      </c>
      <c r="K43" s="199">
        <f t="shared" si="3"/>
        <v>45686</v>
      </c>
      <c r="L43" s="147">
        <f>IF(t&lt;Tvie,1-EXP((T0-t)*PertePVj)+'2024'!Pspv,1-EXP((T0-t)*PertePVj)+Pspv)</f>
        <v>5.3726669986184694E-2</v>
      </c>
      <c r="M43" s="872"/>
      <c r="N43" s="872"/>
      <c r="O43" s="48">
        <f>IF(t&lt;Tnet,'2024'!Resal+('2024'!Salim-'2024'!Resal)*(1-EXP(('2024'!Tnet-t)/('2024'!Tau_j))),Resal+(Salim-Resal)*(1-EXP((Tnet-t)/(Tau_j))))*Salcycl</f>
        <v>7.3358252045540653E-2</v>
      </c>
      <c r="P43" s="171">
        <f>(INDEX(Models!$BJ43:$BT43,,T43)*(1-R43)+INDEX(Models!$BJ43:$BT43,,T43+1)*R43-ERP_i)*Q43*Ramure*Pc/MaxiM</f>
        <v>0.10782637270593994</v>
      </c>
      <c r="Q43" s="307">
        <f t="shared" si="4"/>
        <v>0.9</v>
      </c>
      <c r="R43" s="179">
        <f t="shared" si="5"/>
        <v>0.80254997335326683</v>
      </c>
      <c r="S43" s="839">
        <f t="shared" si="6"/>
        <v>1</v>
      </c>
      <c r="T43" s="178">
        <f t="shared" si="7"/>
        <v>7</v>
      </c>
      <c r="U43" s="253">
        <f t="shared" si="8"/>
        <v>1.8025499733532668</v>
      </c>
      <c r="V43" s="385">
        <f t="shared" si="9"/>
        <v>20.022081368679544</v>
      </c>
      <c r="W43" s="404">
        <f t="shared" si="10"/>
        <v>6.0144949557848717</v>
      </c>
      <c r="X43" s="157">
        <f t="shared" si="11"/>
        <v>45686</v>
      </c>
      <c r="Y43" s="387">
        <f t="shared" si="12"/>
        <v>5.5790776887874003</v>
      </c>
      <c r="Z43" s="387">
        <f t="shared" si="22"/>
        <v>5.8958416261250299</v>
      </c>
      <c r="AA43" s="388">
        <f t="shared" si="13"/>
        <v>6.859156349835895</v>
      </c>
      <c r="AB43" s="199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0.14044215856574152</v>
      </c>
      <c r="AD43" s="233">
        <f>(INDEX(Models!$BJ43:$BT43,,AH43)*(1-AF43)+INDEX(Models!$BJ43:$BT43,,AH43+1)*AF43-ERP_i)*AE43*Ramure*Pc/MaxiM</f>
        <v>0.10782637270593994</v>
      </c>
      <c r="AE43" s="307">
        <f t="shared" si="15"/>
        <v>0.9</v>
      </c>
      <c r="AF43" s="179">
        <f t="shared" si="23"/>
        <v>0.80254997335326683</v>
      </c>
      <c r="AG43" s="839">
        <f t="shared" si="24"/>
        <v>1</v>
      </c>
      <c r="AH43" s="178">
        <f t="shared" si="16"/>
        <v>7</v>
      </c>
      <c r="AI43" s="227">
        <f t="shared" si="17"/>
        <v>1.8025499733532668</v>
      </c>
      <c r="AJ43" s="267" t="b">
        <f t="shared" si="18"/>
        <v>0</v>
      </c>
      <c r="AK43" s="267" t="b">
        <f t="shared" si="19"/>
        <v>1</v>
      </c>
      <c r="AL43" s="267"/>
      <c r="AM43" s="267"/>
      <c r="AN43" s="75"/>
    </row>
    <row r="44" spans="1:40" s="6" customFormat="1" ht="11.25" x14ac:dyDescent="0.2">
      <c r="A44" s="56">
        <f t="shared" si="20"/>
        <v>45687</v>
      </c>
      <c r="B44" s="413">
        <f>'2024'!Wh/'2024'!Env_an*'2025'!Env_an</f>
        <v>4.3830888952056579</v>
      </c>
      <c r="C44" s="868"/>
      <c r="D44" s="395">
        <f t="shared" si="0"/>
        <v>4.6320558335901758</v>
      </c>
      <c r="E44" s="387">
        <f t="shared" si="1"/>
        <v>4.9996223920141958</v>
      </c>
      <c r="F44" s="387">
        <f t="shared" si="2"/>
        <v>4.9996223920141958</v>
      </c>
      <c r="G44" s="110">
        <f t="shared" si="21"/>
        <v>0.19288416705389602</v>
      </c>
      <c r="H44" s="416" t="b">
        <f>Wh_hp&gt;='2024'!Maxi_hp</f>
        <v>0</v>
      </c>
      <c r="I44" s="392">
        <f>IF(H44,Wh_hp,'2024'!Maxi_hp)</f>
        <v>10.95637555418933</v>
      </c>
      <c r="J44" s="85">
        <f>IF(H44,An,'2024'!An_max)</f>
        <v>2020</v>
      </c>
      <c r="K44" s="199">
        <f t="shared" si="3"/>
        <v>45687</v>
      </c>
      <c r="L44" s="147">
        <f>IF(t&lt;Tvie,1-EXP((T0-t)*PertePVj)+'2024'!Pspv,1-EXP((T0-t)*PertePVj)+Pspv)</f>
        <v>5.3748691148990502E-2</v>
      </c>
      <c r="M44" s="872"/>
      <c r="N44" s="872"/>
      <c r="O44" s="48">
        <f>IF(t&lt;Tnet,'2024'!Resal+('2024'!Salim-'2024'!Resal)*(1-EXP(('2024'!Tnet-t)/('2024'!Tau_j))),Resal+(Salim-Resal)*(1-EXP((Tnet-t)/(Tau_j))))*Salcycl</f>
        <v>7.3518863946830673E-2</v>
      </c>
      <c r="P44" s="171">
        <f>(INDEX(Models!$BJ44:$BT44,,T44)*(1-R44)+INDEX(Models!$BJ44:$BT44,,T44+1)*R44-ERP_i)*Q44*Ramure*Pc/MaxiM</f>
        <v>0.10546466564217247</v>
      </c>
      <c r="Q44" s="307">
        <f t="shared" si="4"/>
        <v>0.9</v>
      </c>
      <c r="R44" s="179">
        <f t="shared" si="5"/>
        <v>0.80267844311145753</v>
      </c>
      <c r="S44" s="839">
        <f t="shared" si="6"/>
        <v>1</v>
      </c>
      <c r="T44" s="178">
        <f t="shared" si="7"/>
        <v>7</v>
      </c>
      <c r="U44" s="253">
        <f t="shared" si="8"/>
        <v>1.8026784431114575</v>
      </c>
      <c r="V44" s="385">
        <f t="shared" si="9"/>
        <v>20.327370308716475</v>
      </c>
      <c r="W44" s="404">
        <f t="shared" si="10"/>
        <v>4.3830888952056579</v>
      </c>
      <c r="X44" s="157">
        <f t="shared" si="11"/>
        <v>45687</v>
      </c>
      <c r="Y44" s="387">
        <f t="shared" si="12"/>
        <v>4.0660693181213752</v>
      </c>
      <c r="Z44" s="387">
        <f t="shared" si="22"/>
        <v>4.297029002854031</v>
      </c>
      <c r="AA44" s="388">
        <f t="shared" si="13"/>
        <v>4.9996223920141958</v>
      </c>
      <c r="AB44" s="199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0.14052929082852431</v>
      </c>
      <c r="AD44" s="233">
        <f>(INDEX(Models!$BJ44:$BT44,,AH44)*(1-AF44)+INDEX(Models!$BJ44:$BT44,,AH44+1)*AF44-ERP_i)*AE44*Ramure*Pc/MaxiM</f>
        <v>0.10546466564217247</v>
      </c>
      <c r="AE44" s="307">
        <f t="shared" si="15"/>
        <v>0.9</v>
      </c>
      <c r="AF44" s="179">
        <f t="shared" si="23"/>
        <v>0.80267844311145753</v>
      </c>
      <c r="AG44" s="839">
        <f t="shared" si="24"/>
        <v>1</v>
      </c>
      <c r="AH44" s="178">
        <f t="shared" si="16"/>
        <v>7</v>
      </c>
      <c r="AI44" s="227">
        <f t="shared" si="17"/>
        <v>1.8026784431114575</v>
      </c>
      <c r="AJ44" s="267" t="b">
        <f t="shared" si="18"/>
        <v>0</v>
      </c>
      <c r="AK44" s="267" t="b">
        <f t="shared" si="19"/>
        <v>1</v>
      </c>
      <c r="AL44" s="267"/>
      <c r="AM44" s="267"/>
      <c r="AN44" s="75"/>
    </row>
    <row r="45" spans="1:40" s="6" customFormat="1" ht="11.25" x14ac:dyDescent="0.2">
      <c r="A45" s="56">
        <f t="shared" si="20"/>
        <v>45688</v>
      </c>
      <c r="B45" s="413">
        <f>'2024'!Wh/'2024'!Env_an*'2025'!Env_an</f>
        <v>9.8394830211885793</v>
      </c>
      <c r="C45" s="868"/>
      <c r="D45" s="395">
        <f t="shared" si="0"/>
        <v>10.398624460144489</v>
      </c>
      <c r="E45" s="387">
        <f t="shared" si="1"/>
        <v>11.225730186660149</v>
      </c>
      <c r="F45" s="387">
        <f t="shared" si="2"/>
        <v>11.525872123173828</v>
      </c>
      <c r="G45" s="110">
        <f t="shared" si="21"/>
        <v>0.43906116154253955</v>
      </c>
      <c r="H45" s="416" t="b">
        <f>Wh_hp&gt;='2024'!Maxi_hp</f>
        <v>0</v>
      </c>
      <c r="I45" s="392">
        <f>IF(H45,Wh_hp,'2024'!Maxi_hp)</f>
        <v>19.362829984004698</v>
      </c>
      <c r="J45" s="85">
        <f>IF(H45,An,'2024'!An_max)</f>
        <v>2020</v>
      </c>
      <c r="K45" s="199">
        <f t="shared" si="3"/>
        <v>45688</v>
      </c>
      <c r="L45" s="147">
        <f>IF(t&lt;Tvie,1-EXP((T0-t)*PertePVj)+'2024'!Pspv,1-EXP((T0-t)*PertePVj)+Pspv)</f>
        <v>5.3770711799331683E-2</v>
      </c>
      <c r="M45" s="872"/>
      <c r="N45" s="872"/>
      <c r="O45" s="48">
        <f>IF(t&lt;Tnet,'2024'!Resal+('2024'!Salim-'2024'!Resal)*(1-EXP(('2024'!Tnet-t)/('2024'!Tau_j))),Resal+(Salim-Resal)*(1-EXP((Tnet-t)/(Tau_j))))*Salcycl</f>
        <v>7.367945895390679E-2</v>
      </c>
      <c r="P45" s="171">
        <f>(INDEX(Models!$BJ45:$BT45,,T45)*(1-R45)+INDEX(Models!$BJ45:$BT45,,T45+1)*R45-ERP_i)*Q45*Ramure*Pc/MaxiM</f>
        <v>0.10310887207039893</v>
      </c>
      <c r="Q45" s="307">
        <f t="shared" si="4"/>
        <v>0.9</v>
      </c>
      <c r="R45" s="179">
        <f t="shared" si="5"/>
        <v>0.8028122521454597</v>
      </c>
      <c r="S45" s="839">
        <f t="shared" si="6"/>
        <v>1</v>
      </c>
      <c r="T45" s="178">
        <f t="shared" si="7"/>
        <v>7</v>
      </c>
      <c r="U45" s="253">
        <f t="shared" si="8"/>
        <v>1.8028122521454597</v>
      </c>
      <c r="V45" s="385">
        <f t="shared" si="9"/>
        <v>20.636981929662419</v>
      </c>
      <c r="W45" s="404">
        <f t="shared" si="10"/>
        <v>9.8394830211885793</v>
      </c>
      <c r="X45" s="157">
        <f t="shared" si="11"/>
        <v>45688</v>
      </c>
      <c r="Y45" s="387">
        <f t="shared" si="12"/>
        <v>9.1284687012753061</v>
      </c>
      <c r="Z45" s="387">
        <f t="shared" si="22"/>
        <v>9.6472058253806843</v>
      </c>
      <c r="AA45" s="388">
        <f t="shared" si="13"/>
        <v>11.225730186660149</v>
      </c>
      <c r="AB45" s="199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0.14061663117070725</v>
      </c>
      <c r="AD45" s="233">
        <f>(INDEX(Models!$BJ45:$BT45,,AH45)*(1-AF45)+INDEX(Models!$BJ45:$BT45,,AH45+1)*AF45-ERP_i)*AE45*Ramure*Pc/MaxiM</f>
        <v>0.10310887207039893</v>
      </c>
      <c r="AE45" s="307">
        <f t="shared" si="15"/>
        <v>0.9</v>
      </c>
      <c r="AF45" s="179">
        <f t="shared" si="23"/>
        <v>0.8028122521454597</v>
      </c>
      <c r="AG45" s="839">
        <f t="shared" si="24"/>
        <v>1</v>
      </c>
      <c r="AH45" s="178">
        <f t="shared" si="16"/>
        <v>7</v>
      </c>
      <c r="AI45" s="227">
        <f t="shared" si="17"/>
        <v>1.8028122521454597</v>
      </c>
      <c r="AJ45" s="267" t="b">
        <f t="shared" si="18"/>
        <v>0</v>
      </c>
      <c r="AK45" s="267" t="b">
        <f t="shared" si="19"/>
        <v>1</v>
      </c>
      <c r="AL45" s="267"/>
      <c r="AM45" s="267"/>
      <c r="AN45" s="75"/>
    </row>
    <row r="46" spans="1:40" s="6" customFormat="1" ht="11.25" x14ac:dyDescent="0.2">
      <c r="A46" s="56">
        <f t="shared" si="20"/>
        <v>45689</v>
      </c>
      <c r="B46" s="413">
        <f>'2024'!Wh/'2024'!Env_an*'2025'!Env_an</f>
        <v>9.6858119415639692</v>
      </c>
      <c r="C46" s="868"/>
      <c r="D46" s="395">
        <f t="shared" si="0"/>
        <v>10.236459038614493</v>
      </c>
      <c r="E46" s="387">
        <f t="shared" si="1"/>
        <v>11.052582083909716</v>
      </c>
      <c r="F46" s="387">
        <f t="shared" si="2"/>
        <v>11.316999128744893</v>
      </c>
      <c r="G46" s="110">
        <f t="shared" si="21"/>
        <v>0.42567855161952717</v>
      </c>
      <c r="H46" s="416" t="b">
        <f>Wh_hp&gt;='2024'!Maxi_hp</f>
        <v>0</v>
      </c>
      <c r="I46" s="392">
        <f>IF(H46,Wh_hp,'2024'!Maxi_hp)</f>
        <v>21.665220022404377</v>
      </c>
      <c r="J46" s="85">
        <f>IF(H46,An,'2024'!An_max)</f>
        <v>2019</v>
      </c>
      <c r="K46" s="199">
        <f t="shared" si="3"/>
        <v>45689</v>
      </c>
      <c r="L46" s="147">
        <f>IF(t&lt;Tvie,1-EXP((T0-t)*PertePVj)+'2024'!Pspv,1-EXP((T0-t)*PertePVj)+Pspv)</f>
        <v>5.3792731937220117E-2</v>
      </c>
      <c r="M46" s="872"/>
      <c r="N46" s="872"/>
      <c r="O46" s="48">
        <f>IF(t&lt;Tnet,'2024'!Resal+('2024'!Salim-'2024'!Resal)*(1-EXP(('2024'!Tnet-t)/('2024'!Tau_j))),Resal+(Salim-Resal)*(1-EXP((Tnet-t)/(Tau_j))))*Salcycl</f>
        <v>7.3840034762856971E-2</v>
      </c>
      <c r="P46" s="171">
        <f>(INDEX(Models!$BJ46:$BT46,,T46)*(1-R46)+INDEX(Models!$BJ46:$BT46,,T46+1)*R46-ERP_i)*Q46*Ramure*Pc/MaxiM</f>
        <v>0.10076133424449543</v>
      </c>
      <c r="Q46" s="307">
        <f t="shared" si="4"/>
        <v>0.9</v>
      </c>
      <c r="R46" s="179">
        <f t="shared" si="5"/>
        <v>0.80295162017207633</v>
      </c>
      <c r="S46" s="839">
        <f t="shared" si="6"/>
        <v>1</v>
      </c>
      <c r="T46" s="178">
        <f t="shared" si="7"/>
        <v>7</v>
      </c>
      <c r="U46" s="253">
        <f t="shared" si="8"/>
        <v>1.8029516201720763</v>
      </c>
      <c r="V46" s="385">
        <f t="shared" si="9"/>
        <v>20.950614726618401</v>
      </c>
      <c r="W46" s="404">
        <f t="shared" si="10"/>
        <v>9.6858119415639692</v>
      </c>
      <c r="X46" s="157">
        <f t="shared" si="11"/>
        <v>45689</v>
      </c>
      <c r="Y46" s="387">
        <f t="shared" si="12"/>
        <v>8.9865445385316072</v>
      </c>
      <c r="Z46" s="387">
        <f t="shared" si="22"/>
        <v>9.4974376564769312</v>
      </c>
      <c r="AA46" s="388">
        <f t="shared" si="13"/>
        <v>11.052582083909716</v>
      </c>
      <c r="AB46" s="199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0.14070417352491357</v>
      </c>
      <c r="AD46" s="233">
        <f>(INDEX(Models!$BJ46:$BT46,,AH46)*(1-AF46)+INDEX(Models!$BJ46:$BT46,,AH46+1)*AF46-ERP_i)*AE46*Ramure*Pc/MaxiM</f>
        <v>0.10076133424449543</v>
      </c>
      <c r="AE46" s="307">
        <f t="shared" si="15"/>
        <v>0.9</v>
      </c>
      <c r="AF46" s="179">
        <f t="shared" si="23"/>
        <v>0.80295162017207633</v>
      </c>
      <c r="AG46" s="839">
        <f t="shared" si="24"/>
        <v>1</v>
      </c>
      <c r="AH46" s="178">
        <f t="shared" si="16"/>
        <v>7</v>
      </c>
      <c r="AI46" s="227">
        <f t="shared" si="17"/>
        <v>1.8029516201720763</v>
      </c>
      <c r="AJ46" s="267" t="b">
        <f t="shared" si="18"/>
        <v>0</v>
      </c>
      <c r="AK46" s="267" t="b">
        <f t="shared" si="19"/>
        <v>1</v>
      </c>
      <c r="AL46" s="267"/>
      <c r="AM46" s="267"/>
      <c r="AN46" s="75"/>
    </row>
    <row r="47" spans="1:40" s="6" customFormat="1" ht="11.25" x14ac:dyDescent="0.2">
      <c r="A47" s="56">
        <f t="shared" si="20"/>
        <v>45690</v>
      </c>
      <c r="B47" s="413">
        <f>'2024'!Wh/'2024'!Env_an*'2025'!Env_an</f>
        <v>5.0662972007432217</v>
      </c>
      <c r="C47" s="868"/>
      <c r="D47" s="395">
        <f t="shared" si="0"/>
        <v>5.3544453468392588</v>
      </c>
      <c r="E47" s="387">
        <f t="shared" si="1"/>
        <v>5.7823420587482222</v>
      </c>
      <c r="F47" s="387">
        <f t="shared" si="2"/>
        <v>5.7823420587482222</v>
      </c>
      <c r="G47" s="110">
        <f t="shared" si="21"/>
        <v>0.21476669980886104</v>
      </c>
      <c r="H47" s="416" t="b">
        <f>Wh_hp&gt;='2024'!Maxi_hp</f>
        <v>0</v>
      </c>
      <c r="I47" s="392">
        <f>IF(H47,Wh_hp,'2024'!Maxi_hp)</f>
        <v>24.095566163036541</v>
      </c>
      <c r="J47" s="85">
        <f>IF(H47,An,'2024'!An_max)</f>
        <v>2021</v>
      </c>
      <c r="K47" s="199">
        <f t="shared" si="3"/>
        <v>45690</v>
      </c>
      <c r="L47" s="147">
        <f>IF(t&lt;Tvie,1-EXP((T0-t)*PertePVj)+'2024'!Pspv,1-EXP((T0-t)*PertePVj)+Pspv)</f>
        <v>5.3814751562667795E-2</v>
      </c>
      <c r="M47" s="872"/>
      <c r="N47" s="872"/>
      <c r="O47" s="48">
        <f>IF(t&lt;Tnet,'2024'!Resal+('2024'!Salim-'2024'!Resal)*(1-EXP(('2024'!Tnet-t)/('2024'!Tau_j))),Resal+(Salim-Resal)*(1-EXP((Tnet-t)/(Tau_j))))*Salcycl</f>
        <v>7.4000587921219538E-2</v>
      </c>
      <c r="P47" s="171">
        <f>(INDEX(Models!$BJ47:$BT47,,T47)*(1-R47)+INDEX(Models!$BJ47:$BT47,,T47+1)*R47-ERP_i)*Q47*Ramure*Pc/MaxiM</f>
        <v>9.8424154308964826E-2</v>
      </c>
      <c r="Q47" s="307">
        <f t="shared" si="4"/>
        <v>0.9</v>
      </c>
      <c r="R47" s="179">
        <f t="shared" si="5"/>
        <v>0.80309677576341909</v>
      </c>
      <c r="S47" s="839">
        <f t="shared" si="6"/>
        <v>1</v>
      </c>
      <c r="T47" s="178">
        <f t="shared" si="7"/>
        <v>7</v>
      </c>
      <c r="U47" s="253">
        <f t="shared" si="8"/>
        <v>1.8030967757634191</v>
      </c>
      <c r="V47" s="385">
        <f t="shared" si="9"/>
        <v>21.267967461190825</v>
      </c>
      <c r="W47" s="404">
        <f t="shared" si="10"/>
        <v>5.0662972007432217</v>
      </c>
      <c r="X47" s="157">
        <f t="shared" si="11"/>
        <v>45690</v>
      </c>
      <c r="Y47" s="387">
        <f t="shared" si="12"/>
        <v>4.7008707414335067</v>
      </c>
      <c r="Z47" s="387">
        <f t="shared" si="22"/>
        <v>4.9682350778531026</v>
      </c>
      <c r="AA47" s="388">
        <f t="shared" si="13"/>
        <v>5.7823420587482222</v>
      </c>
      <c r="AB47" s="199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0.14079190968362737</v>
      </c>
      <c r="AD47" s="233">
        <f>(INDEX(Models!$BJ47:$BT47,,AH47)*(1-AF47)+INDEX(Models!$BJ47:$BT47,,AH47+1)*AF47-ERP_i)*AE47*Ramure*Pc/MaxiM</f>
        <v>9.8424154308964826E-2</v>
      </c>
      <c r="AE47" s="307">
        <f t="shared" si="15"/>
        <v>0.9</v>
      </c>
      <c r="AF47" s="179">
        <f t="shared" si="23"/>
        <v>0.80309677576341909</v>
      </c>
      <c r="AG47" s="839">
        <f t="shared" si="24"/>
        <v>1</v>
      </c>
      <c r="AH47" s="178">
        <f t="shared" si="16"/>
        <v>7</v>
      </c>
      <c r="AI47" s="227">
        <f t="shared" si="17"/>
        <v>1.8030967757634191</v>
      </c>
      <c r="AJ47" s="267" t="b">
        <f t="shared" si="18"/>
        <v>0</v>
      </c>
      <c r="AK47" s="267" t="b">
        <f t="shared" si="19"/>
        <v>1</v>
      </c>
      <c r="AL47" s="267"/>
      <c r="AM47" s="267"/>
      <c r="AN47" s="75"/>
    </row>
    <row r="48" spans="1:40" s="6" customFormat="1" ht="11.25" x14ac:dyDescent="0.2">
      <c r="A48" s="56">
        <f t="shared" si="20"/>
        <v>45691</v>
      </c>
      <c r="B48" s="413">
        <f>'2024'!Wh/'2024'!Env_an*'2025'!Env_an</f>
        <v>12.12880565598206</v>
      </c>
      <c r="C48" s="868"/>
      <c r="D48" s="395">
        <f t="shared" si="0"/>
        <v>12.818935760845031</v>
      </c>
      <c r="E48" s="387">
        <f t="shared" si="1"/>
        <v>13.845752163271012</v>
      </c>
      <c r="F48" s="387">
        <f t="shared" si="2"/>
        <v>14.361959862327547</v>
      </c>
      <c r="G48" s="110">
        <f t="shared" si="21"/>
        <v>0.52675501658246737</v>
      </c>
      <c r="H48" s="416" t="b">
        <f>Wh_hp&gt;='2024'!Maxi_hp</f>
        <v>0</v>
      </c>
      <c r="I48" s="392">
        <f>IF(H48,Wh_hp,'2024'!Maxi_hp)</f>
        <v>22.364236578915285</v>
      </c>
      <c r="J48" s="85">
        <f>IF(H48,An,'2024'!An_max)</f>
        <v>2020</v>
      </c>
      <c r="K48" s="199">
        <f t="shared" si="3"/>
        <v>45691</v>
      </c>
      <c r="L48" s="147">
        <f>IF(t&lt;Tvie,1-EXP((T0-t)*PertePVj)+'2024'!Pspv,1-EXP((T0-t)*PertePVj)+Pspv)</f>
        <v>5.3836770675686596E-2</v>
      </c>
      <c r="M48" s="872"/>
      <c r="N48" s="872"/>
      <c r="O48" s="48">
        <f>IF(t&lt;Tnet,'2024'!Resal+('2024'!Salim-'2024'!Resal)*(1-EXP(('2024'!Tnet-t)/('2024'!Tau_j))),Resal+(Salim-Resal)*(1-EXP((Tnet-t)/(Tau_j))))*Salcycl</f>
        <v>7.4161113843265486E-2</v>
      </c>
      <c r="P48" s="171">
        <f>(INDEX(Models!$BJ48:$BT48,,T48)*(1-R48)+INDEX(Models!$BJ48:$BT48,,T48+1)*R48-ERP_i)*Q48*Ramure*Pc/MaxiM</f>
        <v>9.6099207106651111E-2</v>
      </c>
      <c r="Q48" s="307">
        <f t="shared" si="4"/>
        <v>0.9</v>
      </c>
      <c r="R48" s="179">
        <f t="shared" si="5"/>
        <v>0.80324795668790538</v>
      </c>
      <c r="S48" s="839">
        <f t="shared" si="6"/>
        <v>1</v>
      </c>
      <c r="T48" s="178">
        <f t="shared" si="7"/>
        <v>7</v>
      </c>
      <c r="U48" s="253">
        <f t="shared" si="8"/>
        <v>1.8032479566879054</v>
      </c>
      <c r="V48" s="385">
        <f t="shared" si="9"/>
        <v>21.588739174022152</v>
      </c>
      <c r="W48" s="404">
        <f t="shared" si="10"/>
        <v>12.12880565598206</v>
      </c>
      <c r="X48" s="157">
        <f t="shared" si="11"/>
        <v>45691</v>
      </c>
      <c r="Y48" s="387">
        <f t="shared" si="12"/>
        <v>11.254767693189295</v>
      </c>
      <c r="Z48" s="387">
        <f t="shared" si="22"/>
        <v>11.895164961363696</v>
      </c>
      <c r="AA48" s="388">
        <f t="shared" si="13"/>
        <v>13.845752163271012</v>
      </c>
      <c r="AB48" s="199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0.14087982934446069</v>
      </c>
      <c r="AD48" s="233">
        <f>(INDEX(Models!$BJ48:$BT48,,AH48)*(1-AF48)+INDEX(Models!$BJ48:$BT48,,AH48+1)*AF48-ERP_i)*AE48*Ramure*Pc/MaxiM</f>
        <v>9.6099207106651111E-2</v>
      </c>
      <c r="AE48" s="307">
        <f t="shared" si="15"/>
        <v>0.9</v>
      </c>
      <c r="AF48" s="179">
        <f t="shared" si="23"/>
        <v>0.80324795668790538</v>
      </c>
      <c r="AG48" s="839">
        <f t="shared" si="24"/>
        <v>1</v>
      </c>
      <c r="AH48" s="178">
        <f t="shared" si="16"/>
        <v>7</v>
      </c>
      <c r="AI48" s="227">
        <f t="shared" si="17"/>
        <v>1.8032479566879054</v>
      </c>
      <c r="AJ48" s="267" t="b">
        <f t="shared" si="18"/>
        <v>0</v>
      </c>
      <c r="AK48" s="267" t="b">
        <f t="shared" si="19"/>
        <v>1</v>
      </c>
      <c r="AL48" s="267"/>
      <c r="AM48" s="267"/>
      <c r="AN48" s="75"/>
    </row>
    <row r="49" spans="1:40" s="6" customFormat="1" ht="11.25" x14ac:dyDescent="0.2">
      <c r="A49" s="56">
        <f t="shared" si="20"/>
        <v>45692</v>
      </c>
      <c r="B49" s="413">
        <f>'2024'!Wh/'2024'!Env_an*'2025'!Env_an</f>
        <v>10.124048995934391</v>
      </c>
      <c r="C49" s="868"/>
      <c r="D49" s="395">
        <f t="shared" si="0"/>
        <v>10.700357284078578</v>
      </c>
      <c r="E49" s="387">
        <f t="shared" si="1"/>
        <v>11.559476123881694</v>
      </c>
      <c r="F49" s="387">
        <f t="shared" si="2"/>
        <v>11.815974842677047</v>
      </c>
      <c r="G49" s="110">
        <f t="shared" si="21"/>
        <v>0.42797745278804894</v>
      </c>
      <c r="H49" s="416" t="b">
        <f>Wh_hp&gt;='2024'!Maxi_hp</f>
        <v>0</v>
      </c>
      <c r="I49" s="392">
        <f>IF(H49,Wh_hp,'2024'!Maxi_hp)</f>
        <v>23.372565339149336</v>
      </c>
      <c r="J49" s="85">
        <f>IF(H49,An,'2024'!An_max)</f>
        <v>2019</v>
      </c>
      <c r="K49" s="199">
        <f t="shared" si="3"/>
        <v>45692</v>
      </c>
      <c r="L49" s="147">
        <f>IF(t&lt;Tvie,1-EXP((T0-t)*PertePVj)+'2024'!Pspv,1-EXP((T0-t)*PertePVj)+Pspv)</f>
        <v>5.385878927628851E-2</v>
      </c>
      <c r="M49" s="872"/>
      <c r="N49" s="872"/>
      <c r="O49" s="48">
        <f>IF(t&lt;Tnet,'2024'!Resal+('2024'!Salim-'2024'!Resal)*(1-EXP(('2024'!Tnet-t)/('2024'!Tau_j))),Resal+(Salim-Resal)*(1-EXP((Tnet-t)/(Tau_j))))*Salcycl</f>
        <v>7.4321606844119065E-2</v>
      </c>
      <c r="P49" s="171">
        <f>(INDEX(Models!$BJ49:$BT49,,T49)*(1-R49)+INDEX(Models!$BJ49:$BT49,,T49+1)*R49-ERP_i)*Q49*Ramure*Pc/MaxiM</f>
        <v>9.3788153012167752E-2</v>
      </c>
      <c r="Q49" s="307">
        <f t="shared" si="4"/>
        <v>0.9</v>
      </c>
      <c r="R49" s="179">
        <f t="shared" si="5"/>
        <v>0.80340541026301771</v>
      </c>
      <c r="S49" s="839">
        <f t="shared" si="6"/>
        <v>1</v>
      </c>
      <c r="T49" s="178">
        <f t="shared" si="7"/>
        <v>7</v>
      </c>
      <c r="U49" s="253">
        <f t="shared" si="8"/>
        <v>1.8034054102630177</v>
      </c>
      <c r="V49" s="385">
        <f t="shared" si="9"/>
        <v>21.912629186496996</v>
      </c>
      <c r="W49" s="404">
        <f t="shared" si="10"/>
        <v>10.124048995934391</v>
      </c>
      <c r="X49" s="157">
        <f t="shared" si="11"/>
        <v>45692</v>
      </c>
      <c r="Y49" s="387">
        <f t="shared" si="12"/>
        <v>9.3951451490831612</v>
      </c>
      <c r="Z49" s="387">
        <f t="shared" si="22"/>
        <v>9.9299608162049449</v>
      </c>
      <c r="AA49" s="388">
        <f t="shared" si="13"/>
        <v>11.559476123881694</v>
      </c>
      <c r="AB49" s="199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0.14096792019062157</v>
      </c>
      <c r="AD49" s="233">
        <f>(INDEX(Models!$BJ49:$BT49,,AH49)*(1-AF49)+INDEX(Models!$BJ49:$BT49,,AH49+1)*AF49-ERP_i)*AE49*Ramure*Pc/MaxiM</f>
        <v>9.3788153012167752E-2</v>
      </c>
      <c r="AE49" s="307">
        <f t="shared" si="15"/>
        <v>0.9</v>
      </c>
      <c r="AF49" s="179">
        <f t="shared" si="23"/>
        <v>0.80340541026301771</v>
      </c>
      <c r="AG49" s="839">
        <f t="shared" si="24"/>
        <v>1</v>
      </c>
      <c r="AH49" s="178">
        <f t="shared" si="16"/>
        <v>7</v>
      </c>
      <c r="AI49" s="227">
        <f t="shared" si="17"/>
        <v>1.8034054102630177</v>
      </c>
      <c r="AJ49" s="267" t="b">
        <f t="shared" si="18"/>
        <v>0</v>
      </c>
      <c r="AK49" s="267" t="b">
        <f t="shared" si="19"/>
        <v>1</v>
      </c>
      <c r="AL49" s="267"/>
      <c r="AM49" s="267"/>
      <c r="AN49" s="75"/>
    </row>
    <row r="50" spans="1:40" s="6" customFormat="1" ht="11.25" x14ac:dyDescent="0.2">
      <c r="A50" s="56">
        <f t="shared" si="20"/>
        <v>45693</v>
      </c>
      <c r="B50" s="413">
        <f>'2024'!Wh/'2024'!Env_an*'2025'!Env_an</f>
        <v>8.7794456926365818</v>
      </c>
      <c r="C50" s="868"/>
      <c r="D50" s="395">
        <f t="shared" si="0"/>
        <v>9.2794288087323444</v>
      </c>
      <c r="E50" s="387">
        <f t="shared" si="1"/>
        <v>10.026200908281192</v>
      </c>
      <c r="F50" s="387">
        <f t="shared" si="2"/>
        <v>10.151952159958917</v>
      </c>
      <c r="G50" s="110">
        <f t="shared" si="21"/>
        <v>0.36315076122476403</v>
      </c>
      <c r="H50" s="416" t="b">
        <f>Wh_hp&gt;='2024'!Maxi_hp</f>
        <v>0</v>
      </c>
      <c r="I50" s="392">
        <f>IF(H50,Wh_hp,'2024'!Maxi_hp)</f>
        <v>27.755080564710749</v>
      </c>
      <c r="J50" s="85">
        <f>IF(H50,An,'2024'!An_max)</f>
        <v>2020</v>
      </c>
      <c r="K50" s="199">
        <f t="shared" si="3"/>
        <v>45693</v>
      </c>
      <c r="L50" s="147">
        <f>IF(t&lt;Tvie,1-EXP((T0-t)*PertePVj)+'2024'!Pspv,1-EXP((T0-t)*PertePVj)+Pspv)</f>
        <v>5.3880807364485306E-2</v>
      </c>
      <c r="M50" s="872"/>
      <c r="N50" s="872"/>
      <c r="O50" s="48">
        <f>IF(t&lt;Tnet,'2024'!Resal+('2024'!Salim-'2024'!Resal)*(1-EXP(('2024'!Tnet-t)/('2024'!Tau_j))),Resal+(Salim-Resal)*(1-EXP((Tnet-t)/(Tau_j))))*Salcycl</f>
        <v>7.448206019211584E-2</v>
      </c>
      <c r="P50" s="171">
        <f>(INDEX(Models!$BJ50:$BT50,,T50)*(1-R50)+INDEX(Models!$BJ50:$BT50,,T50+1)*R50-ERP_i)*Q50*Ramure*Pc/MaxiM</f>
        <v>9.1492450593282537E-2</v>
      </c>
      <c r="Q50" s="307">
        <f t="shared" si="4"/>
        <v>0.9</v>
      </c>
      <c r="R50" s="179">
        <f t="shared" si="5"/>
        <v>0.80356939372011094</v>
      </c>
      <c r="S50" s="839">
        <f t="shared" si="6"/>
        <v>1</v>
      </c>
      <c r="T50" s="178">
        <f t="shared" si="7"/>
        <v>7</v>
      </c>
      <c r="U50" s="253">
        <f t="shared" si="8"/>
        <v>1.8035693937201109</v>
      </c>
      <c r="V50" s="385">
        <f t="shared" si="9"/>
        <v>22.239337108878097</v>
      </c>
      <c r="W50" s="404">
        <f t="shared" si="10"/>
        <v>8.7794456926365818</v>
      </c>
      <c r="X50" s="157">
        <f t="shared" si="11"/>
        <v>45693</v>
      </c>
      <c r="Y50" s="387">
        <f t="shared" si="12"/>
        <v>8.1479249636046731</v>
      </c>
      <c r="Z50" s="387">
        <f t="shared" si="22"/>
        <v>8.6119434285100702</v>
      </c>
      <c r="AA50" s="388">
        <f t="shared" si="13"/>
        <v>10.026200908281192</v>
      </c>
      <c r="AB50" s="199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0.14105616800507245</v>
      </c>
      <c r="AD50" s="233">
        <f>(INDEX(Models!$BJ50:$BT50,,AH50)*(1-AF50)+INDEX(Models!$BJ50:$BT50,,AH50+1)*AF50-ERP_i)*AE50*Ramure*Pc/MaxiM</f>
        <v>9.1492450593282537E-2</v>
      </c>
      <c r="AE50" s="307">
        <f t="shared" si="15"/>
        <v>0.9</v>
      </c>
      <c r="AF50" s="179">
        <f t="shared" si="23"/>
        <v>0.80356939372011094</v>
      </c>
      <c r="AG50" s="839">
        <f t="shared" si="24"/>
        <v>1</v>
      </c>
      <c r="AH50" s="178">
        <f t="shared" si="16"/>
        <v>7</v>
      </c>
      <c r="AI50" s="227">
        <f t="shared" si="17"/>
        <v>1.8035693937201109</v>
      </c>
      <c r="AJ50" s="267" t="b">
        <f t="shared" si="18"/>
        <v>0</v>
      </c>
      <c r="AK50" s="267" t="b">
        <f t="shared" si="19"/>
        <v>1</v>
      </c>
      <c r="AL50" s="267"/>
      <c r="AM50" s="267"/>
      <c r="AN50" s="75"/>
    </row>
    <row r="51" spans="1:40" s="6" customFormat="1" ht="11.25" x14ac:dyDescent="0.2">
      <c r="A51" s="56">
        <f t="shared" si="20"/>
        <v>45694</v>
      </c>
      <c r="B51" s="413">
        <f>'2024'!Wh/'2024'!Env_an*'2025'!Env_an</f>
        <v>16.314064246864039</v>
      </c>
      <c r="C51" s="868"/>
      <c r="D51" s="395">
        <f t="shared" si="0"/>
        <v>17.243539751436646</v>
      </c>
      <c r="E51" s="387">
        <f t="shared" si="1"/>
        <v>18.634461947078119</v>
      </c>
      <c r="F51" s="387">
        <f t="shared" si="2"/>
        <v>19.695874901789345</v>
      </c>
      <c r="G51" s="110">
        <f t="shared" si="21"/>
        <v>0.6958636795231552</v>
      </c>
      <c r="H51" s="416" t="b">
        <f>Wh_hp&gt;='2024'!Maxi_hp</f>
        <v>0</v>
      </c>
      <c r="I51" s="392">
        <f>IF(H51,Wh_hp,'2024'!Maxi_hp)</f>
        <v>28.804501994668065</v>
      </c>
      <c r="J51" s="85">
        <f>IF(H51,An,'2024'!An_max)</f>
        <v>2020</v>
      </c>
      <c r="K51" s="199">
        <f t="shared" si="3"/>
        <v>45694</v>
      </c>
      <c r="L51" s="147">
        <f>IF(t&lt;Tvie,1-EXP((T0-t)*PertePVj)+'2024'!Pspv,1-EXP((T0-t)*PertePVj)+Pspv)</f>
        <v>5.3902824940289196E-2</v>
      </c>
      <c r="M51" s="872"/>
      <c r="N51" s="872"/>
      <c r="O51" s="48">
        <f>IF(t&lt;Tnet,'2024'!Resal+('2024'!Salim-'2024'!Resal)*(1-EXP(('2024'!Tnet-t)/('2024'!Tau_j))),Resal+(Salim-Resal)*(1-EXP((Tnet-t)/(Tau_j))))*Salcycl</f>
        <v>7.4642466178615238E-2</v>
      </c>
      <c r="P51" s="171">
        <f>(INDEX(Models!$BJ51:$BT51,,T51)*(1-R51)+INDEX(Models!$BJ51:$BT51,,T51+1)*R51-ERP_i)*Q51*Ramure*Pc/MaxiM</f>
        <v>8.9211487042649293E-2</v>
      </c>
      <c r="Q51" s="307">
        <f t="shared" si="4"/>
        <v>0.9</v>
      </c>
      <c r="R51" s="179">
        <f t="shared" si="5"/>
        <v>0.80374017458154268</v>
      </c>
      <c r="S51" s="839">
        <f t="shared" si="6"/>
        <v>1</v>
      </c>
      <c r="T51" s="178">
        <f t="shared" si="7"/>
        <v>7</v>
      </c>
      <c r="U51" s="253">
        <f t="shared" si="8"/>
        <v>1.8037401745815427</v>
      </c>
      <c r="V51" s="385">
        <f t="shared" si="9"/>
        <v>22.569085585070106</v>
      </c>
      <c r="W51" s="404">
        <f t="shared" si="10"/>
        <v>16.314064246864039</v>
      </c>
      <c r="X51" s="157">
        <f t="shared" si="11"/>
        <v>45694</v>
      </c>
      <c r="Y51" s="387">
        <f t="shared" si="12"/>
        <v>15.141631603734572</v>
      </c>
      <c r="Z51" s="387">
        <f t="shared" si="22"/>
        <v>16.004309074042993</v>
      </c>
      <c r="AA51" s="388">
        <f t="shared" si="13"/>
        <v>18.634461947078119</v>
      </c>
      <c r="AB51" s="199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0.1411445568165457</v>
      </c>
      <c r="AD51" s="233">
        <f>(INDEX(Models!$BJ51:$BT51,,AH51)*(1-AF51)+INDEX(Models!$BJ51:$BT51,,AH51+1)*AF51-ERP_i)*AE51*Ramure*Pc/MaxiM</f>
        <v>8.9211487042649293E-2</v>
      </c>
      <c r="AE51" s="307">
        <f t="shared" si="15"/>
        <v>0.9</v>
      </c>
      <c r="AF51" s="179">
        <f t="shared" si="23"/>
        <v>0.80374017458154268</v>
      </c>
      <c r="AG51" s="839">
        <f t="shared" si="24"/>
        <v>1</v>
      </c>
      <c r="AH51" s="178">
        <f t="shared" si="16"/>
        <v>7</v>
      </c>
      <c r="AI51" s="227">
        <f t="shared" si="17"/>
        <v>1.8037401745815427</v>
      </c>
      <c r="AJ51" s="267" t="b">
        <f t="shared" si="18"/>
        <v>0</v>
      </c>
      <c r="AK51" s="267" t="b">
        <f t="shared" si="19"/>
        <v>1</v>
      </c>
      <c r="AL51" s="267"/>
      <c r="AM51" s="267"/>
      <c r="AN51" s="75"/>
    </row>
    <row r="52" spans="1:40" s="6" customFormat="1" ht="11.25" x14ac:dyDescent="0.2">
      <c r="A52" s="56">
        <f t="shared" si="20"/>
        <v>45695</v>
      </c>
      <c r="B52" s="413">
        <f>'2024'!Wh/'2024'!Env_an*'2025'!Env_an</f>
        <v>11.319067264111823</v>
      </c>
      <c r="C52" s="868"/>
      <c r="D52" s="395">
        <f t="shared" si="0"/>
        <v>11.96423684571182</v>
      </c>
      <c r="E52" s="387">
        <f t="shared" si="1"/>
        <v>12.931553462611848</v>
      </c>
      <c r="F52" s="387">
        <f t="shared" si="2"/>
        <v>13.251195145416334</v>
      </c>
      <c r="G52" s="110">
        <f t="shared" si="21"/>
        <v>0.46241537993478476</v>
      </c>
      <c r="H52" s="416" t="b">
        <f>Wh_hp&gt;='2024'!Maxi_hp</f>
        <v>0</v>
      </c>
      <c r="I52" s="392">
        <f>IF(H52,Wh_hp,'2024'!Maxi_hp)</f>
        <v>20.435045615049184</v>
      </c>
      <c r="J52" s="85">
        <f>IF(H52,An,'2024'!An_max)</f>
        <v>2021</v>
      </c>
      <c r="K52" s="199">
        <f t="shared" si="3"/>
        <v>45695</v>
      </c>
      <c r="L52" s="147">
        <f>IF(t&lt;Tvie,1-EXP((T0-t)*PertePVj)+'2024'!Pspv,1-EXP((T0-t)*PertePVj)+Pspv)</f>
        <v>5.3924842003711837E-2</v>
      </c>
      <c r="M52" s="872"/>
      <c r="N52" s="872"/>
      <c r="O52" s="48">
        <f>IF(t&lt;Tnet,'2024'!Resal+('2024'!Salim-'2024'!Resal)*(1-EXP(('2024'!Tnet-t)/('2024'!Tau_j))),Resal+(Salim-Resal)*(1-EXP((Tnet-t)/(Tau_j))))*Salcycl</f>
        <v>7.4802816204315087E-2</v>
      </c>
      <c r="P52" s="171">
        <f>(INDEX(Models!$BJ52:$BT52,,T52)*(1-R52)+INDEX(Models!$BJ52:$BT52,,T52+1)*R52-ERP_i)*Q52*Ramure*Pc/MaxiM</f>
        <v>8.6935444107725718E-2</v>
      </c>
      <c r="Q52" s="307">
        <f t="shared" si="4"/>
        <v>0.9</v>
      </c>
      <c r="R52" s="179">
        <f t="shared" si="5"/>
        <v>0.80391803105040482</v>
      </c>
      <c r="S52" s="839">
        <f t="shared" si="6"/>
        <v>1</v>
      </c>
      <c r="T52" s="178">
        <f t="shared" si="7"/>
        <v>7</v>
      </c>
      <c r="U52" s="253">
        <f t="shared" si="8"/>
        <v>1.8039180310504048</v>
      </c>
      <c r="V52" s="385">
        <f t="shared" si="9"/>
        <v>22.902569241985628</v>
      </c>
      <c r="W52" s="404">
        <f t="shared" si="10"/>
        <v>11.319067264111823</v>
      </c>
      <c r="X52" s="157">
        <f t="shared" si="11"/>
        <v>45695</v>
      </c>
      <c r="Y52" s="387">
        <f t="shared" si="12"/>
        <v>10.506344837165306</v>
      </c>
      <c r="Z52" s="387">
        <f t="shared" si="22"/>
        <v>11.105190479175997</v>
      </c>
      <c r="AA52" s="388">
        <f t="shared" si="13"/>
        <v>12.931553462611848</v>
      </c>
      <c r="AB52" s="199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0.14123306907528896</v>
      </c>
      <c r="AD52" s="233">
        <f>(INDEX(Models!$BJ52:$BT52,,AH52)*(1-AF52)+INDEX(Models!$BJ52:$BT52,,AH52+1)*AF52-ERP_i)*AE52*Ramure*Pc/MaxiM</f>
        <v>8.6935444107725718E-2</v>
      </c>
      <c r="AE52" s="307">
        <f t="shared" si="15"/>
        <v>0.9</v>
      </c>
      <c r="AF52" s="179">
        <f t="shared" si="23"/>
        <v>0.80391803105040482</v>
      </c>
      <c r="AG52" s="839">
        <f t="shared" si="24"/>
        <v>1</v>
      </c>
      <c r="AH52" s="178">
        <f t="shared" si="16"/>
        <v>7</v>
      </c>
      <c r="AI52" s="227">
        <f t="shared" si="17"/>
        <v>1.8039180310504048</v>
      </c>
      <c r="AJ52" s="267" t="b">
        <f t="shared" si="18"/>
        <v>0</v>
      </c>
      <c r="AK52" s="267" t="b">
        <f t="shared" si="19"/>
        <v>1</v>
      </c>
      <c r="AL52" s="267"/>
      <c r="AM52" s="267"/>
      <c r="AN52" s="75"/>
    </row>
    <row r="53" spans="1:40" s="6" customFormat="1" ht="11.25" x14ac:dyDescent="0.2">
      <c r="A53" s="56">
        <f t="shared" si="20"/>
        <v>45696</v>
      </c>
      <c r="B53" s="413">
        <f>'2024'!Wh/'2024'!Env_an*'2025'!Env_an</f>
        <v>23.55921391188021</v>
      </c>
      <c r="C53" s="868"/>
      <c r="D53" s="395">
        <f t="shared" si="0"/>
        <v>24.902632716688682</v>
      </c>
      <c r="E53" s="387">
        <f t="shared" si="1"/>
        <v>26.920691207458539</v>
      </c>
      <c r="F53" s="387">
        <f t="shared" si="2"/>
        <v>29.411050619732659</v>
      </c>
      <c r="G53" s="110">
        <f t="shared" si="21"/>
        <v>1.0137513331920482</v>
      </c>
      <c r="H53" s="416" t="b">
        <f>Wh_hp&gt;='2024'!Maxi_hp</f>
        <v>1</v>
      </c>
      <c r="I53" s="392">
        <f>IF(H53,Wh_hp,'2024'!Maxi_hp)</f>
        <v>29.411050619732659</v>
      </c>
      <c r="J53" s="85">
        <f>IF(H53,An,'2024'!An_max)</f>
        <v>2025</v>
      </c>
      <c r="K53" s="199">
        <f t="shared" si="3"/>
        <v>45696</v>
      </c>
      <c r="L53" s="147">
        <f>IF(t&lt;Tvie,1-EXP((T0-t)*PertePVj)+'2024'!Pspv,1-EXP((T0-t)*PertePVj)+Pspv)</f>
        <v>5.394685855476522E-2</v>
      </c>
      <c r="M53" s="872"/>
      <c r="N53" s="872"/>
      <c r="O53" s="48">
        <f>IF(t&lt;Tnet,'2024'!Resal+('2024'!Salim-'2024'!Resal)*(1-EXP(('2024'!Tnet-t)/('2024'!Tau_j))),Resal+(Salim-Resal)*(1-EXP((Tnet-t)/(Tau_j))))*Salcycl</f>
        <v>7.4963100880958811E-2</v>
      </c>
      <c r="P53" s="171">
        <f>(INDEX(Models!$BJ53:$BT53,,T53)*(1-R53)+INDEX(Models!$BJ53:$BT53,,T53+1)*R53-ERP_i)*Q53*Ramure*Pc/MaxiM</f>
        <v>8.467427581805842E-2</v>
      </c>
      <c r="Q53" s="307">
        <f t="shared" si="4"/>
        <v>0.9</v>
      </c>
      <c r="R53" s="179">
        <f t="shared" si="5"/>
        <v>0.80410325241311753</v>
      </c>
      <c r="S53" s="839">
        <f t="shared" si="6"/>
        <v>1</v>
      </c>
      <c r="T53" s="178">
        <f t="shared" si="7"/>
        <v>7</v>
      </c>
      <c r="U53" s="253">
        <f t="shared" si="8"/>
        <v>1.8041032524131175</v>
      </c>
      <c r="V53" s="385">
        <f t="shared" si="9"/>
        <v>23.239637907748211</v>
      </c>
      <c r="W53" s="404">
        <f t="shared" si="10"/>
        <v>23.55921391188021</v>
      </c>
      <c r="X53" s="157">
        <f t="shared" si="11"/>
        <v>45696</v>
      </c>
      <c r="Y53" s="387">
        <f t="shared" si="12"/>
        <v>21.869166628567545</v>
      </c>
      <c r="Z53" s="387">
        <f t="shared" si="22"/>
        <v>23.11621374160778</v>
      </c>
      <c r="AA53" s="388">
        <f t="shared" si="13"/>
        <v>26.920691207458539</v>
      </c>
      <c r="AB53" s="199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0.14132168585614566</v>
      </c>
      <c r="AD53" s="233">
        <f>(INDEX(Models!$BJ53:$BT53,,AH53)*(1-AF53)+INDEX(Models!$BJ53:$BT53,,AH53+1)*AF53-ERP_i)*AE53*Ramure*Pc/MaxiM</f>
        <v>8.467427581805842E-2</v>
      </c>
      <c r="AE53" s="307">
        <f t="shared" si="15"/>
        <v>0.9</v>
      </c>
      <c r="AF53" s="179">
        <f t="shared" si="23"/>
        <v>0.80410325241311753</v>
      </c>
      <c r="AG53" s="839">
        <f t="shared" si="24"/>
        <v>1</v>
      </c>
      <c r="AH53" s="178">
        <f t="shared" si="16"/>
        <v>7</v>
      </c>
      <c r="AI53" s="227">
        <f t="shared" si="17"/>
        <v>1.8041032524131175</v>
      </c>
      <c r="AJ53" s="267" t="b">
        <f t="shared" si="18"/>
        <v>0</v>
      </c>
      <c r="AK53" s="267" t="b">
        <f t="shared" si="19"/>
        <v>1</v>
      </c>
      <c r="AL53" s="267"/>
      <c r="AM53" s="267"/>
      <c r="AN53" s="75"/>
    </row>
    <row r="54" spans="1:40" s="6" customFormat="1" ht="11.25" x14ac:dyDescent="0.2">
      <c r="A54" s="56">
        <f t="shared" si="20"/>
        <v>45697</v>
      </c>
      <c r="B54" s="413">
        <f>'2024'!Wh/'2024'!Env_an*'2025'!Env_an</f>
        <v>23.618720431723524</v>
      </c>
      <c r="C54" s="868"/>
      <c r="D54" s="395">
        <f t="shared" si="0"/>
        <v>24.9661134791668</v>
      </c>
      <c r="E54" s="387">
        <f t="shared" si="1"/>
        <v>26.993991472679291</v>
      </c>
      <c r="F54" s="387">
        <f t="shared" si="2"/>
        <v>29.418936956466222</v>
      </c>
      <c r="G54" s="110">
        <f t="shared" si="21"/>
        <v>1.0016257753781828</v>
      </c>
      <c r="H54" s="416" t="b">
        <f>Wh_hp&gt;='2024'!Maxi_hp</f>
        <v>1</v>
      </c>
      <c r="I54" s="392">
        <f>IF(H54,Wh_hp,'2024'!Maxi_hp)</f>
        <v>29.418936956466222</v>
      </c>
      <c r="J54" s="85">
        <f>IF(H54,An,'2024'!An_max)</f>
        <v>2025</v>
      </c>
      <c r="K54" s="199">
        <f t="shared" si="3"/>
        <v>45697</v>
      </c>
      <c r="L54" s="147">
        <f>IF(t&lt;Tvie,1-EXP((T0-t)*PertePVj)+'2024'!Pspv,1-EXP((T0-t)*PertePVj)+Pspv)</f>
        <v>5.3968874593461336E-2</v>
      </c>
      <c r="M54" s="872"/>
      <c r="N54" s="872"/>
      <c r="O54" s="48">
        <f>IF(t&lt;Tnet,'2024'!Resal+('2024'!Salim-'2024'!Resal)*(1-EXP(('2024'!Tnet-t)/('2024'!Tau_j))),Resal+(Salim-Resal)*(1-EXP((Tnet-t)/(Tau_j))))*Salcycl</f>
        <v>7.5123310147182681E-2</v>
      </c>
      <c r="P54" s="171">
        <f>(INDEX(Models!$BJ54:$BT54,,T54)*(1-R54)+INDEX(Models!$BJ54:$BT54,,T54+1)*R54-ERP_i)*Q54*Ramure*Pc/MaxiM</f>
        <v>8.2428045832360852E-2</v>
      </c>
      <c r="Q54" s="307">
        <f t="shared" si="4"/>
        <v>0.9</v>
      </c>
      <c r="R54" s="179">
        <f t="shared" si="5"/>
        <v>0.80429613945514511</v>
      </c>
      <c r="S54" s="839">
        <f t="shared" si="6"/>
        <v>1</v>
      </c>
      <c r="T54" s="178">
        <f t="shared" si="7"/>
        <v>7</v>
      </c>
      <c r="U54" s="253">
        <f t="shared" si="8"/>
        <v>1.8042961394551451</v>
      </c>
      <c r="V54" s="385">
        <f t="shared" si="9"/>
        <v>23.580384023969255</v>
      </c>
      <c r="W54" s="404">
        <f t="shared" si="10"/>
        <v>23.618720431723524</v>
      </c>
      <c r="X54" s="157">
        <f t="shared" si="11"/>
        <v>45697</v>
      </c>
      <c r="Y54" s="387">
        <f t="shared" si="12"/>
        <v>21.925936998386902</v>
      </c>
      <c r="Z54" s="387">
        <f t="shared" si="22"/>
        <v>23.1767606895224</v>
      </c>
      <c r="AA54" s="388">
        <f t="shared" si="13"/>
        <v>26.993991472679291</v>
      </c>
      <c r="AB54" s="199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0.14141038708633816</v>
      </c>
      <c r="AD54" s="233">
        <f>(INDEX(Models!$BJ54:$BT54,,AH54)*(1-AF54)+INDEX(Models!$BJ54:$BT54,,AH54+1)*AF54-ERP_i)*AE54*Ramure*Pc/MaxiM</f>
        <v>8.2428045832360852E-2</v>
      </c>
      <c r="AE54" s="307">
        <f t="shared" si="15"/>
        <v>0.9</v>
      </c>
      <c r="AF54" s="179">
        <f t="shared" si="23"/>
        <v>0.80429613945514511</v>
      </c>
      <c r="AG54" s="839">
        <f t="shared" si="24"/>
        <v>1</v>
      </c>
      <c r="AH54" s="178">
        <f t="shared" si="16"/>
        <v>7</v>
      </c>
      <c r="AI54" s="227">
        <f t="shared" si="17"/>
        <v>1.8042961394551451</v>
      </c>
      <c r="AJ54" s="267" t="b">
        <f t="shared" si="18"/>
        <v>0</v>
      </c>
      <c r="AK54" s="267" t="b">
        <f t="shared" si="19"/>
        <v>1</v>
      </c>
      <c r="AL54" s="267"/>
      <c r="AM54" s="267"/>
      <c r="AN54" s="75"/>
    </row>
    <row r="55" spans="1:40" s="6" customFormat="1" ht="11.25" x14ac:dyDescent="0.2">
      <c r="A55" s="56">
        <f t="shared" si="20"/>
        <v>45698</v>
      </c>
      <c r="B55" s="413">
        <f>'2024'!Wh/'2024'!Env_an*'2025'!Env_an</f>
        <v>22.94213277389315</v>
      </c>
      <c r="C55" s="868"/>
      <c r="D55" s="395">
        <f t="shared" si="0"/>
        <v>24.251492437317829</v>
      </c>
      <c r="E55" s="387">
        <f t="shared" si="1"/>
        <v>26.225865647038592</v>
      </c>
      <c r="F55" s="387">
        <f t="shared" si="2"/>
        <v>28.367337181351697</v>
      </c>
      <c r="G55" s="110">
        <f t="shared" si="21"/>
        <v>0.95404156203217882</v>
      </c>
      <c r="H55" s="416" t="b">
        <f>Wh_hp&gt;='2024'!Maxi_hp</f>
        <v>0</v>
      </c>
      <c r="I55" s="392">
        <f>IF(H55,Wh_hp,'2024'!Maxi_hp)</f>
        <v>28.45850777930519</v>
      </c>
      <c r="J55" s="85">
        <f>IF(H55,An,'2024'!An_max)</f>
        <v>2022</v>
      </c>
      <c r="K55" s="199">
        <f t="shared" si="3"/>
        <v>45698</v>
      </c>
      <c r="L55" s="147">
        <f>IF(t&lt;Tvie,1-EXP((T0-t)*PertePVj)+'2024'!Pspv,1-EXP((T0-t)*PertePVj)+Pspv)</f>
        <v>5.3990890119812063E-2</v>
      </c>
      <c r="M55" s="872"/>
      <c r="N55" s="872"/>
      <c r="O55" s="48">
        <f>IF(t&lt;Tnet,'2024'!Resal+('2024'!Salim-'2024'!Resal)*(1-EXP(('2024'!Tnet-t)/('2024'!Tau_j))),Resal+(Salim-Resal)*(1-EXP((Tnet-t)/(Tau_j))))*Salcycl</f>
        <v>7.5283433397124372E-2</v>
      </c>
      <c r="P55" s="171">
        <f>(INDEX(Models!$BJ55:$BT55,,T55)*(1-R55)+INDEX(Models!$BJ55:$BT55,,T55+1)*R55-ERP_i)*Q55*Ramure*Pc/MaxiM</f>
        <v>8.0196834022039795E-2</v>
      </c>
      <c r="Q55" s="307">
        <f t="shared" si="4"/>
        <v>0.9</v>
      </c>
      <c r="R55" s="179">
        <f t="shared" si="5"/>
        <v>0.80449700489007259</v>
      </c>
      <c r="S55" s="839">
        <f t="shared" si="6"/>
        <v>1</v>
      </c>
      <c r="T55" s="178">
        <f t="shared" si="7"/>
        <v>7</v>
      </c>
      <c r="U55" s="253">
        <f t="shared" si="8"/>
        <v>1.8044970048900726</v>
      </c>
      <c r="V55" s="385">
        <f t="shared" si="9"/>
        <v>23.924900096020007</v>
      </c>
      <c r="W55" s="404">
        <f t="shared" si="10"/>
        <v>22.94213277389315</v>
      </c>
      <c r="X55" s="157">
        <f t="shared" si="11"/>
        <v>45698</v>
      </c>
      <c r="Y55" s="387">
        <f t="shared" si="12"/>
        <v>21.299326904429499</v>
      </c>
      <c r="Z55" s="387">
        <f t="shared" si="22"/>
        <v>22.514927902889919</v>
      </c>
      <c r="AA55" s="388">
        <f t="shared" si="13"/>
        <v>26.225865647038592</v>
      </c>
      <c r="AB55" s="199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0.1414991517951176</v>
      </c>
      <c r="AD55" s="233">
        <f>(INDEX(Models!$BJ55:$BT55,,AH55)*(1-AF55)+INDEX(Models!$BJ55:$BT55,,AH55+1)*AF55-ERP_i)*AE55*Ramure*Pc/MaxiM</f>
        <v>8.0196834022039795E-2</v>
      </c>
      <c r="AE55" s="307">
        <f t="shared" si="15"/>
        <v>0.9</v>
      </c>
      <c r="AF55" s="179">
        <f t="shared" si="23"/>
        <v>0.80449700489007259</v>
      </c>
      <c r="AG55" s="839">
        <f t="shared" si="24"/>
        <v>1</v>
      </c>
      <c r="AH55" s="178">
        <f t="shared" si="16"/>
        <v>7</v>
      </c>
      <c r="AI55" s="227">
        <f t="shared" si="17"/>
        <v>1.8044970048900726</v>
      </c>
      <c r="AJ55" s="267" t="b">
        <f t="shared" si="18"/>
        <v>0</v>
      </c>
      <c r="AK55" s="267" t="b">
        <f t="shared" si="19"/>
        <v>1</v>
      </c>
      <c r="AL55" s="267"/>
      <c r="AM55" s="267"/>
      <c r="AN55" s="75"/>
    </row>
    <row r="56" spans="1:40" s="6" customFormat="1" ht="11.25" x14ac:dyDescent="0.2">
      <c r="A56" s="56">
        <f t="shared" si="20"/>
        <v>45699</v>
      </c>
      <c r="B56" s="413">
        <f>'2024'!Wh/'2024'!Env_an*'2025'!Env_an</f>
        <v>12.110461731198157</v>
      </c>
      <c r="C56" s="868"/>
      <c r="D56" s="395">
        <f t="shared" si="0"/>
        <v>12.801931228154261</v>
      </c>
      <c r="E56" s="387">
        <f t="shared" si="1"/>
        <v>13.846563913653956</v>
      </c>
      <c r="F56" s="387">
        <f t="shared" si="2"/>
        <v>14.160358432572478</v>
      </c>
      <c r="G56" s="110">
        <f t="shared" si="21"/>
        <v>0.47044026581174703</v>
      </c>
      <c r="H56" s="416" t="b">
        <f>Wh_hp&gt;='2024'!Maxi_hp</f>
        <v>0</v>
      </c>
      <c r="I56" s="392">
        <f>IF(H56,Wh_hp,'2024'!Maxi_hp)</f>
        <v>26.844997488492737</v>
      </c>
      <c r="J56" s="85">
        <f>IF(H56,An,'2024'!An_max)</f>
        <v>2021</v>
      </c>
      <c r="K56" s="199">
        <f t="shared" si="3"/>
        <v>45699</v>
      </c>
      <c r="L56" s="147">
        <f>IF(t&lt;Tvie,1-EXP((T0-t)*PertePVj)+'2024'!Pspv,1-EXP((T0-t)*PertePVj)+Pspv)</f>
        <v>5.4012905133829392E-2</v>
      </c>
      <c r="M56" s="872"/>
      <c r="N56" s="872"/>
      <c r="O56" s="48">
        <f>IF(t&lt;Tnet,'2024'!Resal+('2024'!Salim-'2024'!Resal)*(1-EXP(('2024'!Tnet-t)/('2024'!Tau_j))),Resal+(Salim-Resal)*(1-EXP((Tnet-t)/(Tau_j))))*Salcycl</f>
        <v>7.5443459620302827E-2</v>
      </c>
      <c r="P56" s="171">
        <f>(INDEX(Models!$BJ56:$BT56,,T56)*(1-R56)+INDEX(Models!$BJ56:$BT56,,T56+1)*R56-ERP_i)*Q56*Ramure*Pc/MaxiM</f>
        <v>7.7980734539736321E-2</v>
      </c>
      <c r="Q56" s="307">
        <f t="shared" si="4"/>
        <v>0.9</v>
      </c>
      <c r="R56" s="179">
        <f t="shared" si="5"/>
        <v>0.80470617380227827</v>
      </c>
      <c r="S56" s="839">
        <f t="shared" si="6"/>
        <v>1</v>
      </c>
      <c r="T56" s="178">
        <f t="shared" si="7"/>
        <v>7</v>
      </c>
      <c r="U56" s="253">
        <f t="shared" si="8"/>
        <v>1.8047061738022783</v>
      </c>
      <c r="V56" s="385">
        <f t="shared" si="9"/>
        <v>24.273278705671462</v>
      </c>
      <c r="W56" s="404">
        <f t="shared" si="10"/>
        <v>12.110461731198157</v>
      </c>
      <c r="X56" s="157">
        <f t="shared" si="11"/>
        <v>45699</v>
      </c>
      <c r="Y56" s="387">
        <f t="shared" si="12"/>
        <v>11.244056718631635</v>
      </c>
      <c r="Z56" s="387">
        <f t="shared" si="22"/>
        <v>11.886057198510027</v>
      </c>
      <c r="AA56" s="388">
        <f t="shared" si="13"/>
        <v>13.846563913653956</v>
      </c>
      <c r="AB56" s="199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0.14158795838227362</v>
      </c>
      <c r="AD56" s="233">
        <f>(INDEX(Models!$BJ56:$BT56,,AH56)*(1-AF56)+INDEX(Models!$BJ56:$BT56,,AH56+1)*AF56-ERP_i)*AE56*Ramure*Pc/MaxiM</f>
        <v>7.7980734539736321E-2</v>
      </c>
      <c r="AE56" s="307">
        <f t="shared" si="15"/>
        <v>0.9</v>
      </c>
      <c r="AF56" s="179">
        <f t="shared" si="23"/>
        <v>0.80470617380227827</v>
      </c>
      <c r="AG56" s="839">
        <f t="shared" si="24"/>
        <v>1</v>
      </c>
      <c r="AH56" s="178">
        <f t="shared" si="16"/>
        <v>7</v>
      </c>
      <c r="AI56" s="227">
        <f t="shared" si="17"/>
        <v>1.8047061738022783</v>
      </c>
      <c r="AJ56" s="267" t="b">
        <f t="shared" si="18"/>
        <v>0</v>
      </c>
      <c r="AK56" s="267" t="b">
        <f t="shared" si="19"/>
        <v>1</v>
      </c>
      <c r="AL56" s="267"/>
      <c r="AM56" s="267"/>
      <c r="AN56" s="75"/>
    </row>
    <row r="57" spans="1:40" s="6" customFormat="1" ht="11.25" x14ac:dyDescent="0.2">
      <c r="A57" s="56">
        <f t="shared" si="20"/>
        <v>45700</v>
      </c>
      <c r="B57" s="413">
        <f>'2024'!Wh/'2024'!Env_an*'2025'!Env_an</f>
        <v>20.724604353656193</v>
      </c>
      <c r="C57" s="868"/>
      <c r="D57" s="395">
        <f t="shared" si="0"/>
        <v>21.908424300050402</v>
      </c>
      <c r="E57" s="387">
        <f t="shared" si="1"/>
        <v>23.700242696704112</v>
      </c>
      <c r="F57" s="387">
        <f t="shared" si="2"/>
        <v>25.176346704537998</v>
      </c>
      <c r="G57" s="110">
        <f t="shared" si="21"/>
        <v>0.82625586487742186</v>
      </c>
      <c r="H57" s="416" t="b">
        <f>Wh_hp&gt;='2024'!Maxi_hp</f>
        <v>0</v>
      </c>
      <c r="I57" s="392">
        <f>IF(H57,Wh_hp,'2024'!Maxi_hp)</f>
        <v>30.627768501609644</v>
      </c>
      <c r="J57" s="85">
        <f>IF(H57,An,'2024'!An_max)</f>
        <v>2019</v>
      </c>
      <c r="K57" s="199">
        <f t="shared" si="3"/>
        <v>45700</v>
      </c>
      <c r="L57" s="147">
        <f>IF(t&lt;Tvie,1-EXP((T0-t)*PertePVj)+'2024'!Pspv,1-EXP((T0-t)*PertePVj)+Pspv)</f>
        <v>5.4034919635525092E-2</v>
      </c>
      <c r="M57" s="872"/>
      <c r="N57" s="872"/>
      <c r="O57" s="48">
        <f>IF(t&lt;Tnet,'2024'!Resal+('2024'!Salim-'2024'!Resal)*(1-EXP(('2024'!Tnet-t)/('2024'!Tau_j))),Resal+(Salim-Resal)*(1-EXP((Tnet-t)/(Tau_j))))*Salcycl</f>
        <v>7.5603377551188219E-2</v>
      </c>
      <c r="P57" s="171">
        <f>(INDEX(Models!$BJ57:$BT57,,T57)*(1-R57)+INDEX(Models!$BJ57:$BT57,,T57+1)*R57-ERP_i)*Q57*Ramure*Pc/MaxiM</f>
        <v>7.5779854047756043E-2</v>
      </c>
      <c r="Q57" s="307">
        <f t="shared" si="4"/>
        <v>0.9</v>
      </c>
      <c r="R57" s="179">
        <f t="shared" si="5"/>
        <v>0.80492398410341037</v>
      </c>
      <c r="S57" s="839">
        <f t="shared" si="6"/>
        <v>1</v>
      </c>
      <c r="T57" s="178">
        <f t="shared" si="7"/>
        <v>7</v>
      </c>
      <c r="U57" s="253">
        <f t="shared" si="8"/>
        <v>1.8049239841034104</v>
      </c>
      <c r="V57" s="385">
        <f t="shared" si="9"/>
        <v>24.625612506747771</v>
      </c>
      <c r="W57" s="404">
        <f t="shared" si="10"/>
        <v>20.724604353656193</v>
      </c>
      <c r="X57" s="157">
        <f t="shared" si="11"/>
        <v>45700</v>
      </c>
      <c r="Y57" s="387">
        <f t="shared" si="12"/>
        <v>19.243264858901785</v>
      </c>
      <c r="Z57" s="387">
        <f t="shared" si="22"/>
        <v>20.342468510029423</v>
      </c>
      <c r="AA57" s="388">
        <f t="shared" si="13"/>
        <v>23.700242696704112</v>
      </c>
      <c r="AB57" s="199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0.14167678490236063</v>
      </c>
      <c r="AD57" s="233">
        <f>(INDEX(Models!$BJ57:$BT57,,AH57)*(1-AF57)+INDEX(Models!$BJ57:$BT57,,AH57+1)*AF57-ERP_i)*AE57*Ramure*Pc/MaxiM</f>
        <v>7.5779854047756043E-2</v>
      </c>
      <c r="AE57" s="307">
        <f t="shared" si="15"/>
        <v>0.9</v>
      </c>
      <c r="AF57" s="179">
        <f t="shared" si="23"/>
        <v>0.80492398410341037</v>
      </c>
      <c r="AG57" s="839">
        <f t="shared" si="24"/>
        <v>1</v>
      </c>
      <c r="AH57" s="178">
        <f t="shared" si="16"/>
        <v>7</v>
      </c>
      <c r="AI57" s="227">
        <f t="shared" si="17"/>
        <v>1.8049239841034104</v>
      </c>
      <c r="AJ57" s="267" t="b">
        <f t="shared" si="18"/>
        <v>0</v>
      </c>
      <c r="AK57" s="267" t="b">
        <f t="shared" si="19"/>
        <v>1</v>
      </c>
      <c r="AL57" s="267"/>
      <c r="AM57" s="267"/>
      <c r="AN57" s="75"/>
    </row>
    <row r="58" spans="1:40" s="6" customFormat="1" ht="11.25" x14ac:dyDescent="0.2">
      <c r="A58" s="56">
        <f t="shared" si="20"/>
        <v>45701</v>
      </c>
      <c r="B58" s="413">
        <f>'2024'!Wh/'2024'!Env_an*'2025'!Env_an</f>
        <v>24.179432150196426</v>
      </c>
      <c r="C58" s="868"/>
      <c r="D58" s="395">
        <f t="shared" si="0"/>
        <v>25.561191798628514</v>
      </c>
      <c r="E58" s="387">
        <f t="shared" si="1"/>
        <v>27.656539027748714</v>
      </c>
      <c r="F58" s="387">
        <f t="shared" si="2"/>
        <v>29.745302799450346</v>
      </c>
      <c r="G58" s="110">
        <f t="shared" si="21"/>
        <v>0.96436351346802651</v>
      </c>
      <c r="H58" s="416" t="b">
        <f>Wh_hp&gt;='2024'!Maxi_hp</f>
        <v>0</v>
      </c>
      <c r="I58" s="392">
        <f>IF(H58,Wh_hp,'2024'!Maxi_hp)</f>
        <v>31.571868913069107</v>
      </c>
      <c r="J58" s="85">
        <f>IF(H58,An,'2024'!An_max)</f>
        <v>2019</v>
      </c>
      <c r="K58" s="199">
        <f t="shared" si="3"/>
        <v>45701</v>
      </c>
      <c r="L58" s="147">
        <f>IF(t&lt;Tvie,1-EXP((T0-t)*PertePVj)+'2024'!Pspv,1-EXP((T0-t)*PertePVj)+Pspv)</f>
        <v>5.4056933624911263E-2</v>
      </c>
      <c r="M58" s="872"/>
      <c r="N58" s="872"/>
      <c r="O58" s="48">
        <f>IF(t&lt;Tnet,'2024'!Resal+('2024'!Salim-'2024'!Resal)*(1-EXP(('2024'!Tnet-t)/('2024'!Tau_j))),Resal+(Salim-Resal)*(1-EXP((Tnet-t)/(Tau_j))))*Salcycl</f>
        <v>7.576317582680428E-2</v>
      </c>
      <c r="P58" s="171">
        <f>(INDEX(Models!$BJ58:$BT58,,T58)*(1-R58)+INDEX(Models!$BJ58:$BT58,,T58+1)*R58-ERP_i)*Q58*Ramure*Pc/MaxiM</f>
        <v>7.3598861563474033E-2</v>
      </c>
      <c r="Q58" s="307">
        <f t="shared" si="4"/>
        <v>0.9</v>
      </c>
      <c r="R58" s="179">
        <f t="shared" si="5"/>
        <v>0.80515078700286513</v>
      </c>
      <c r="S58" s="839">
        <f t="shared" si="6"/>
        <v>1</v>
      </c>
      <c r="T58" s="178">
        <f t="shared" si="7"/>
        <v>7</v>
      </c>
      <c r="U58" s="253">
        <f t="shared" si="8"/>
        <v>1.8051507870028651</v>
      </c>
      <c r="V58" s="385">
        <f t="shared" si="9"/>
        <v>24.981871496870095</v>
      </c>
      <c r="W58" s="404">
        <f t="shared" si="10"/>
        <v>24.179432150196426</v>
      </c>
      <c r="X58" s="157">
        <f t="shared" si="11"/>
        <v>45701</v>
      </c>
      <c r="Y58" s="387">
        <f t="shared" si="12"/>
        <v>22.452708737260334</v>
      </c>
      <c r="Z58" s="387">
        <f t="shared" si="22"/>
        <v>23.735792919652635</v>
      </c>
      <c r="AA58" s="388">
        <f t="shared" si="13"/>
        <v>27.656539027748714</v>
      </c>
      <c r="AB58" s="199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0.14176560936139787</v>
      </c>
      <c r="AD58" s="233">
        <f>(INDEX(Models!$BJ58:$BT58,,AH58)*(1-AF58)+INDEX(Models!$BJ58:$BT58,,AH58+1)*AF58-ERP_i)*AE58*Ramure*Pc/MaxiM</f>
        <v>7.3598861563474033E-2</v>
      </c>
      <c r="AE58" s="307">
        <f t="shared" si="15"/>
        <v>0.9</v>
      </c>
      <c r="AF58" s="179">
        <f t="shared" si="23"/>
        <v>0.80515078700286513</v>
      </c>
      <c r="AG58" s="839">
        <f t="shared" si="24"/>
        <v>1</v>
      </c>
      <c r="AH58" s="178">
        <f t="shared" si="16"/>
        <v>7</v>
      </c>
      <c r="AI58" s="227">
        <f t="shared" si="17"/>
        <v>1.8051507870028651</v>
      </c>
      <c r="AJ58" s="267" t="b">
        <f t="shared" si="18"/>
        <v>0</v>
      </c>
      <c r="AK58" s="267" t="b">
        <f t="shared" si="19"/>
        <v>1</v>
      </c>
      <c r="AL58" s="267"/>
      <c r="AM58" s="267"/>
      <c r="AN58" s="75"/>
    </row>
    <row r="59" spans="1:40" s="6" customFormat="1" ht="11.25" x14ac:dyDescent="0.2">
      <c r="A59" s="56">
        <f t="shared" si="20"/>
        <v>45702</v>
      </c>
      <c r="B59" s="413">
        <f>'2024'!Wh/'2024'!Env_an*'2025'!Env_an</f>
        <v>14.221250808539644</v>
      </c>
      <c r="C59" s="868"/>
      <c r="D59" s="395">
        <f t="shared" si="0"/>
        <v>15.034289346843766</v>
      </c>
      <c r="E59" s="387">
        <f t="shared" si="1"/>
        <v>16.269517361627425</v>
      </c>
      <c r="F59" s="387">
        <f t="shared" si="2"/>
        <v>16.715184522110476</v>
      </c>
      <c r="G59" s="110">
        <f t="shared" si="21"/>
        <v>0.53535505430736918</v>
      </c>
      <c r="H59" s="416" t="b">
        <f>Wh_hp&gt;='2024'!Maxi_hp</f>
        <v>0</v>
      </c>
      <c r="I59" s="392">
        <f>IF(H59,Wh_hp,'2024'!Maxi_hp)</f>
        <v>31.764389384281085</v>
      </c>
      <c r="J59" s="85">
        <f>IF(H59,An,'2024'!An_max)</f>
        <v>2019</v>
      </c>
      <c r="K59" s="199">
        <f t="shared" si="3"/>
        <v>45702</v>
      </c>
      <c r="L59" s="147">
        <f>IF(t&lt;Tvie,1-EXP((T0-t)*PertePVj)+'2024'!Pspv,1-EXP((T0-t)*PertePVj)+Pspv)</f>
        <v>5.4078947101999675E-2</v>
      </c>
      <c r="M59" s="872"/>
      <c r="N59" s="872"/>
      <c r="O59" s="48">
        <f>IF(t&lt;Tnet,'2024'!Resal+('2024'!Salim-'2024'!Resal)*(1-EXP(('2024'!Tnet-t)/('2024'!Tau_j))),Resal+(Salim-Resal)*(1-EXP((Tnet-t)/(Tau_j))))*Salcycl</f>
        <v>7.5922843150652689E-2</v>
      </c>
      <c r="P59" s="171">
        <f>(INDEX(Models!$BJ59:$BT59,,T59)*(1-R59)+INDEX(Models!$BJ59:$BT59,,T59+1)*R59-ERP_i)*Q59*Ramure*Pc/MaxiM</f>
        <v>7.1458444490736989E-2</v>
      </c>
      <c r="Q59" s="307">
        <f t="shared" si="4"/>
        <v>0.9</v>
      </c>
      <c r="R59" s="179">
        <f t="shared" si="5"/>
        <v>0.80538694749243955</v>
      </c>
      <c r="S59" s="839">
        <f t="shared" si="6"/>
        <v>1</v>
      </c>
      <c r="T59" s="178">
        <f t="shared" si="7"/>
        <v>7</v>
      </c>
      <c r="U59" s="253">
        <f t="shared" si="8"/>
        <v>1.8053869474924396</v>
      </c>
      <c r="V59" s="385">
        <f t="shared" si="9"/>
        <v>25.341582915402768</v>
      </c>
      <c r="W59" s="404">
        <f t="shared" si="10"/>
        <v>14.221250808539644</v>
      </c>
      <c r="X59" s="157">
        <f t="shared" si="11"/>
        <v>45702</v>
      </c>
      <c r="Y59" s="387">
        <f t="shared" si="12"/>
        <v>13.20658515888246</v>
      </c>
      <c r="Z59" s="387">
        <f t="shared" si="22"/>
        <v>13.961614574939098</v>
      </c>
      <c r="AA59" s="388">
        <f t="shared" si="13"/>
        <v>16.269517361627425</v>
      </c>
      <c r="AB59" s="199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0.14185441002273647</v>
      </c>
      <c r="AD59" s="233">
        <f>(INDEX(Models!$BJ59:$BT59,,AH59)*(1-AF59)+INDEX(Models!$BJ59:$BT59,,AH59+1)*AF59-ERP_i)*AE59*Ramure*Pc/MaxiM</f>
        <v>7.1458444490736989E-2</v>
      </c>
      <c r="AE59" s="307">
        <f t="shared" si="15"/>
        <v>0.9</v>
      </c>
      <c r="AF59" s="179">
        <f t="shared" si="23"/>
        <v>0.80538694749243955</v>
      </c>
      <c r="AG59" s="839">
        <f t="shared" si="24"/>
        <v>1</v>
      </c>
      <c r="AH59" s="178">
        <f t="shared" si="16"/>
        <v>7</v>
      </c>
      <c r="AI59" s="227">
        <f t="shared" si="17"/>
        <v>1.8053869474924396</v>
      </c>
      <c r="AJ59" s="267" t="b">
        <f t="shared" si="18"/>
        <v>0</v>
      </c>
      <c r="AK59" s="267" t="b">
        <f t="shared" si="19"/>
        <v>1</v>
      </c>
      <c r="AL59" s="267"/>
      <c r="AM59" s="267"/>
      <c r="AN59" s="75"/>
    </row>
    <row r="60" spans="1:40" s="6" customFormat="1" ht="11.25" x14ac:dyDescent="0.2">
      <c r="A60" s="56">
        <f t="shared" si="20"/>
        <v>45703</v>
      </c>
      <c r="B60" s="413">
        <f>'2024'!Wh/'2024'!Env_an*'2025'!Env_an</f>
        <v>17.331840912209508</v>
      </c>
      <c r="C60" s="868"/>
      <c r="D60" s="395">
        <f t="shared" si="0"/>
        <v>18.323140399247617</v>
      </c>
      <c r="E60" s="387">
        <f t="shared" si="1"/>
        <v>19.832006418938366</v>
      </c>
      <c r="F60" s="387">
        <f t="shared" si="2"/>
        <v>20.595758956778599</v>
      </c>
      <c r="G60" s="110">
        <f t="shared" si="21"/>
        <v>0.65166390168534238</v>
      </c>
      <c r="H60" s="416" t="b">
        <f>Wh_hp&gt;='2024'!Maxi_hp</f>
        <v>0</v>
      </c>
      <c r="I60" s="392">
        <f>IF(H60,Wh_hp,'2024'!Maxi_hp)</f>
        <v>31.923977618483878</v>
      </c>
      <c r="J60" s="85">
        <f>IF(H60,An,'2024'!An_max)</f>
        <v>2019</v>
      </c>
      <c r="K60" s="199">
        <f t="shared" si="3"/>
        <v>45703</v>
      </c>
      <c r="L60" s="147">
        <f>IF(t&lt;Tvie,1-EXP((T0-t)*PertePVj)+'2024'!Pspv,1-EXP((T0-t)*PertePVj)+Pspv)</f>
        <v>5.4100960066802317E-2</v>
      </c>
      <c r="M60" s="872"/>
      <c r="N60" s="872"/>
      <c r="O60" s="48">
        <f>IF(t&lt;Tnet,'2024'!Resal+('2024'!Salim-'2024'!Resal)*(1-EXP(('2024'!Tnet-t)/('2024'!Tau_j))),Resal+(Salim-Resal)*(1-EXP((Tnet-t)/(Tau_j))))*Salcycl</f>
        <v>7.608236846120997E-2</v>
      </c>
      <c r="P60" s="171">
        <f>(INDEX(Models!$BJ60:$BT60,,T60)*(1-R60)+INDEX(Models!$BJ60:$BT60,,T60+1)*R60-ERP_i)*Q60*Ramure*Pc/MaxiM</f>
        <v>6.935778527242302E-2</v>
      </c>
      <c r="Q60" s="307">
        <f t="shared" si="4"/>
        <v>0.9</v>
      </c>
      <c r="R60" s="179">
        <f t="shared" si="5"/>
        <v>0.80563284484530207</v>
      </c>
      <c r="S60" s="839">
        <f t="shared" si="6"/>
        <v>1</v>
      </c>
      <c r="T60" s="178">
        <f t="shared" si="7"/>
        <v>7</v>
      </c>
      <c r="U60" s="253">
        <f t="shared" si="8"/>
        <v>1.8056328448453021</v>
      </c>
      <c r="V60" s="385">
        <f t="shared" si="9"/>
        <v>25.704841151008377</v>
      </c>
      <c r="W60" s="404">
        <f t="shared" si="10"/>
        <v>17.331840912209508</v>
      </c>
      <c r="X60" s="157">
        <f t="shared" si="11"/>
        <v>45703</v>
      </c>
      <c r="Y60" s="387">
        <f t="shared" si="12"/>
        <v>16.096353222124023</v>
      </c>
      <c r="Z60" s="387">
        <f t="shared" si="22"/>
        <v>17.016988645279518</v>
      </c>
      <c r="AA60" s="388">
        <f t="shared" si="13"/>
        <v>19.832006418938366</v>
      </c>
      <c r="AB60" s="199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0.14194316571875834</v>
      </c>
      <c r="AD60" s="233">
        <f>(INDEX(Models!$BJ60:$BT60,,AH60)*(1-AF60)+INDEX(Models!$BJ60:$BT60,,AH60+1)*AF60-ERP_i)*AE60*Ramure*Pc/MaxiM</f>
        <v>6.935778527242302E-2</v>
      </c>
      <c r="AE60" s="307">
        <f t="shared" si="15"/>
        <v>0.9</v>
      </c>
      <c r="AF60" s="179">
        <f t="shared" si="23"/>
        <v>0.80563284484530207</v>
      </c>
      <c r="AG60" s="839">
        <f t="shared" si="24"/>
        <v>1</v>
      </c>
      <c r="AH60" s="178">
        <f t="shared" si="16"/>
        <v>7</v>
      </c>
      <c r="AI60" s="227">
        <f t="shared" si="17"/>
        <v>1.8056328448453021</v>
      </c>
      <c r="AJ60" s="267" t="b">
        <f t="shared" si="18"/>
        <v>0</v>
      </c>
      <c r="AK60" s="267" t="b">
        <f t="shared" si="19"/>
        <v>1</v>
      </c>
      <c r="AL60" s="267"/>
      <c r="AM60" s="267"/>
      <c r="AN60" s="75"/>
    </row>
    <row r="61" spans="1:40" s="6" customFormat="1" ht="11.25" x14ac:dyDescent="0.2">
      <c r="A61" s="56">
        <f t="shared" si="20"/>
        <v>45704</v>
      </c>
      <c r="B61" s="413">
        <f>'2024'!Wh/'2024'!Env_an*'2025'!Env_an</f>
        <v>8.8493568835214358</v>
      </c>
      <c r="C61" s="868"/>
      <c r="D61" s="395">
        <f t="shared" si="0"/>
        <v>9.3557160459764859</v>
      </c>
      <c r="E61" s="387">
        <f t="shared" si="1"/>
        <v>10.127883519168634</v>
      </c>
      <c r="F61" s="387">
        <f t="shared" si="2"/>
        <v>10.166414750845792</v>
      </c>
      <c r="G61" s="110">
        <f t="shared" si="21"/>
        <v>0.31778588330328872</v>
      </c>
      <c r="H61" s="416" t="b">
        <f>Wh_hp&gt;='2024'!Maxi_hp</f>
        <v>0</v>
      </c>
      <c r="I61" s="392">
        <f>IF(H61,Wh_hp,'2024'!Maxi_hp)</f>
        <v>32.585872870752389</v>
      </c>
      <c r="J61" s="85">
        <f>IF(H61,An,'2024'!An_max)</f>
        <v>2019</v>
      </c>
      <c r="K61" s="199">
        <f t="shared" si="3"/>
        <v>45704</v>
      </c>
      <c r="L61" s="147">
        <f>IF(t&lt;Tvie,1-EXP((T0-t)*PertePVj)+'2024'!Pspv,1-EXP((T0-t)*PertePVj)+Pspv)</f>
        <v>5.412297251933107E-2</v>
      </c>
      <c r="M61" s="872"/>
      <c r="N61" s="872"/>
      <c r="O61" s="48">
        <f>IF(t&lt;Tnet,'2024'!Resal+('2024'!Salim-'2024'!Resal)*(1-EXP(('2024'!Tnet-t)/('2024'!Tau_j))),Resal+(Salim-Resal)*(1-EXP((Tnet-t)/(Tau_j))))*Salcycl</f>
        <v>7.6241741103232216E-2</v>
      </c>
      <c r="P61" s="171">
        <f>(INDEX(Models!$BJ61:$BT61,,T61)*(1-R61)+INDEX(Models!$BJ61:$BT61,,T61+1)*R61-ERP_i)*Q61*Ramure*Pc/MaxiM</f>
        <v>6.729609682709782E-2</v>
      </c>
      <c r="Q61" s="307">
        <f t="shared" si="4"/>
        <v>0.9</v>
      </c>
      <c r="R61" s="179">
        <f t="shared" si="5"/>
        <v>0.80588887312940538</v>
      </c>
      <c r="S61" s="839">
        <f t="shared" si="6"/>
        <v>1</v>
      </c>
      <c r="T61" s="178">
        <f t="shared" si="7"/>
        <v>7</v>
      </c>
      <c r="U61" s="253">
        <f t="shared" si="8"/>
        <v>1.8058888731294054</v>
      </c>
      <c r="V61" s="385">
        <f t="shared" si="9"/>
        <v>26.071740724857715</v>
      </c>
      <c r="W61" s="404">
        <f t="shared" si="10"/>
        <v>8.8493568835214358</v>
      </c>
      <c r="X61" s="157">
        <f t="shared" si="11"/>
        <v>45704</v>
      </c>
      <c r="Y61" s="387">
        <f t="shared" si="12"/>
        <v>8.2191051894412723</v>
      </c>
      <c r="Z61" s="387">
        <f t="shared" si="22"/>
        <v>8.6894014239173902</v>
      </c>
      <c r="AA61" s="388">
        <f t="shared" si="13"/>
        <v>10.127883519168634</v>
      </c>
      <c r="AB61" s="199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0.14203185616507993</v>
      </c>
      <c r="AD61" s="233">
        <f>(INDEX(Models!$BJ61:$BT61,,AH61)*(1-AF61)+INDEX(Models!$BJ61:$BT61,,AH61+1)*AF61-ERP_i)*AE61*Ramure*Pc/MaxiM</f>
        <v>6.729609682709782E-2</v>
      </c>
      <c r="AE61" s="307">
        <f t="shared" si="15"/>
        <v>0.9</v>
      </c>
      <c r="AF61" s="179">
        <f t="shared" si="23"/>
        <v>0.80588887312940538</v>
      </c>
      <c r="AG61" s="839">
        <f t="shared" si="24"/>
        <v>1</v>
      </c>
      <c r="AH61" s="178">
        <f t="shared" si="16"/>
        <v>7</v>
      </c>
      <c r="AI61" s="227">
        <f t="shared" si="17"/>
        <v>1.8058888731294054</v>
      </c>
      <c r="AJ61" s="267" t="b">
        <f t="shared" si="18"/>
        <v>0</v>
      </c>
      <c r="AK61" s="267" t="b">
        <f t="shared" si="19"/>
        <v>1</v>
      </c>
      <c r="AL61" s="267"/>
      <c r="AM61" s="267"/>
      <c r="AN61" s="75"/>
    </row>
    <row r="62" spans="1:40" s="6" customFormat="1" ht="11.25" x14ac:dyDescent="0.2">
      <c r="A62" s="56">
        <f t="shared" si="20"/>
        <v>45705</v>
      </c>
      <c r="B62" s="413">
        <f>'2024'!Wh/'2024'!Env_an*'2025'!Env_an</f>
        <v>10.291313020517872</v>
      </c>
      <c r="C62" s="868"/>
      <c r="D62" s="395">
        <f t="shared" si="0"/>
        <v>10.880433947520027</v>
      </c>
      <c r="E62" s="387">
        <f t="shared" si="1"/>
        <v>11.780473311770635</v>
      </c>
      <c r="F62" s="387">
        <f t="shared" si="2"/>
        <v>11.879277848152457</v>
      </c>
      <c r="G62" s="110">
        <f t="shared" si="21"/>
        <v>0.36684497224138901</v>
      </c>
      <c r="H62" s="416" t="b">
        <f>Wh_hp&gt;='2024'!Maxi_hp</f>
        <v>0</v>
      </c>
      <c r="I62" s="392">
        <f>IF(H62,Wh_hp,'2024'!Maxi_hp)</f>
        <v>33.205489118694373</v>
      </c>
      <c r="J62" s="85">
        <f>IF(H62,An,'2024'!An_max)</f>
        <v>2019</v>
      </c>
      <c r="K62" s="199">
        <f t="shared" si="3"/>
        <v>45705</v>
      </c>
      <c r="L62" s="147">
        <f>IF(t&lt;Tvie,1-EXP((T0-t)*PertePVj)+'2024'!Pspv,1-EXP((T0-t)*PertePVj)+Pspv)</f>
        <v>5.4144984459598033E-2</v>
      </c>
      <c r="M62" s="872"/>
      <c r="N62" s="872"/>
      <c r="O62" s="48">
        <f>IF(t&lt;Tnet,'2024'!Resal+('2024'!Salim-'2024'!Resal)*(1-EXP(('2024'!Tnet-t)/('2024'!Tau_j))),Resal+(Salim-Resal)*(1-EXP((Tnet-t)/(Tau_j))))*Salcycl</f>
        <v>7.6400951000102871E-2</v>
      </c>
      <c r="P62" s="171">
        <f>(INDEX(Models!$BJ62:$BT62,,T62)*(1-R62)+INDEX(Models!$BJ62:$BT62,,T62+1)*R62-ERP_i)*Q62*Ramure*Pc/MaxiM</f>
        <v>6.5272620275540566E-2</v>
      </c>
      <c r="Q62" s="307">
        <f t="shared" si="4"/>
        <v>0.9</v>
      </c>
      <c r="R62" s="179">
        <f t="shared" si="5"/>
        <v>0.80615544173542442</v>
      </c>
      <c r="S62" s="839">
        <f t="shared" si="6"/>
        <v>1</v>
      </c>
      <c r="T62" s="178">
        <f t="shared" si="7"/>
        <v>7</v>
      </c>
      <c r="U62" s="253">
        <f t="shared" si="8"/>
        <v>1.8061554417354244</v>
      </c>
      <c r="V62" s="385">
        <f t="shared" si="9"/>
        <v>26.442376295333936</v>
      </c>
      <c r="W62" s="404">
        <f t="shared" si="10"/>
        <v>10.291313020517872</v>
      </c>
      <c r="X62" s="157">
        <f t="shared" si="11"/>
        <v>45705</v>
      </c>
      <c r="Y62" s="387">
        <f t="shared" si="12"/>
        <v>9.5590254950951934</v>
      </c>
      <c r="Z62" s="387">
        <f t="shared" si="22"/>
        <v>10.106226998895563</v>
      </c>
      <c r="AA62" s="388">
        <f t="shared" si="13"/>
        <v>11.780473311770635</v>
      </c>
      <c r="AB62" s="199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0.14212046227397532</v>
      </c>
      <c r="AD62" s="233">
        <f>(INDEX(Models!$BJ62:$BT62,,AH62)*(1-AF62)+INDEX(Models!$BJ62:$BT62,,AH62+1)*AF62-ERP_i)*AE62*Ramure*Pc/MaxiM</f>
        <v>6.5272620275540566E-2</v>
      </c>
      <c r="AE62" s="307">
        <f t="shared" si="15"/>
        <v>0.9</v>
      </c>
      <c r="AF62" s="179">
        <f t="shared" si="23"/>
        <v>0.80615544173542442</v>
      </c>
      <c r="AG62" s="839">
        <f t="shared" si="24"/>
        <v>1</v>
      </c>
      <c r="AH62" s="178">
        <f t="shared" si="16"/>
        <v>7</v>
      </c>
      <c r="AI62" s="227">
        <f t="shared" si="17"/>
        <v>1.8061554417354244</v>
      </c>
      <c r="AJ62" s="267" t="b">
        <f t="shared" si="18"/>
        <v>0</v>
      </c>
      <c r="AK62" s="267" t="b">
        <f t="shared" si="19"/>
        <v>1</v>
      </c>
      <c r="AL62" s="267"/>
      <c r="AM62" s="267"/>
      <c r="AN62" s="75"/>
    </row>
    <row r="63" spans="1:40" s="6" customFormat="1" ht="11.25" x14ac:dyDescent="0.2">
      <c r="A63" s="56">
        <f t="shared" si="20"/>
        <v>45706</v>
      </c>
      <c r="B63" s="413">
        <f>'2024'!Wh/'2024'!Env_an*'2025'!Env_an</f>
        <v>24.316243085969887</v>
      </c>
      <c r="C63" s="868"/>
      <c r="D63" s="395">
        <f t="shared" si="0"/>
        <v>25.708812211294543</v>
      </c>
      <c r="E63" s="387">
        <f t="shared" si="1"/>
        <v>27.84026238866954</v>
      </c>
      <c r="F63" s="387">
        <f t="shared" si="2"/>
        <v>29.456112180970912</v>
      </c>
      <c r="G63" s="110">
        <f t="shared" si="21"/>
        <v>0.89866464481532227</v>
      </c>
      <c r="H63" s="416" t="b">
        <f>Wh_hp&gt;='2024'!Maxi_hp</f>
        <v>0</v>
      </c>
      <c r="I63" s="392">
        <f>IF(H63,Wh_hp,'2024'!Maxi_hp)</f>
        <v>33.121421529464264</v>
      </c>
      <c r="J63" s="85">
        <f>IF(H63,An,'2024'!An_max)</f>
        <v>2019</v>
      </c>
      <c r="K63" s="199">
        <f t="shared" si="3"/>
        <v>45706</v>
      </c>
      <c r="L63" s="147">
        <f>IF(t&lt;Tvie,1-EXP((T0-t)*PertePVj)+'2024'!Pspv,1-EXP((T0-t)*PertePVj)+Pspv)</f>
        <v>5.4166995887614866E-2</v>
      </c>
      <c r="M63" s="872"/>
      <c r="N63" s="872"/>
      <c r="O63" s="48">
        <f>IF(t&lt;Tnet,'2024'!Resal+('2024'!Salim-'2024'!Resal)*(1-EXP(('2024'!Tnet-t)/('2024'!Tau_j))),Resal+(Salim-Resal)*(1-EXP((Tnet-t)/(Tau_j))))*Salcycl</f>
        <v>7.6559988825480943E-2</v>
      </c>
      <c r="P63" s="171">
        <f>(INDEX(Models!$BJ63:$BT63,,T63)*(1-R63)+INDEX(Models!$BJ63:$BT63,,T63+1)*R63-ERP_i)*Q63*Ramure*Pc/MaxiM</f>
        <v>6.3286622854340266E-2</v>
      </c>
      <c r="Q63" s="307">
        <f t="shared" si="4"/>
        <v>0.9</v>
      </c>
      <c r="R63" s="179">
        <f t="shared" si="5"/>
        <v>0.80643297591927188</v>
      </c>
      <c r="S63" s="839">
        <f t="shared" si="6"/>
        <v>1</v>
      </c>
      <c r="T63" s="178">
        <f t="shared" si="7"/>
        <v>7</v>
      </c>
      <c r="U63" s="253">
        <f t="shared" si="8"/>
        <v>1.8064329759192719</v>
      </c>
      <c r="V63" s="385">
        <f t="shared" si="9"/>
        <v>26.81684264776381</v>
      </c>
      <c r="W63" s="404">
        <f t="shared" si="10"/>
        <v>24.316243085969887</v>
      </c>
      <c r="X63" s="157">
        <f t="shared" si="11"/>
        <v>45706</v>
      </c>
      <c r="Y63" s="387">
        <f t="shared" si="12"/>
        <v>22.587558516012113</v>
      </c>
      <c r="Z63" s="387">
        <f t="shared" si="22"/>
        <v>23.881127448295544</v>
      </c>
      <c r="AA63" s="388">
        <f t="shared" si="13"/>
        <v>27.84026238866954</v>
      </c>
      <c r="AB63" s="199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0.1422089664638107</v>
      </c>
      <c r="AD63" s="233">
        <f>(INDEX(Models!$BJ63:$BT63,,AH63)*(1-AF63)+INDEX(Models!$BJ63:$BT63,,AH63+1)*AF63-ERP_i)*AE63*Ramure*Pc/MaxiM</f>
        <v>6.3286622854340266E-2</v>
      </c>
      <c r="AE63" s="307">
        <f t="shared" si="15"/>
        <v>0.9</v>
      </c>
      <c r="AF63" s="179">
        <f t="shared" si="23"/>
        <v>0.80643297591927188</v>
      </c>
      <c r="AG63" s="839">
        <f t="shared" si="24"/>
        <v>1</v>
      </c>
      <c r="AH63" s="178">
        <f t="shared" si="16"/>
        <v>7</v>
      </c>
      <c r="AI63" s="227">
        <f t="shared" si="17"/>
        <v>1.8064329759192719</v>
      </c>
      <c r="AJ63" s="267" t="b">
        <f t="shared" si="18"/>
        <v>0</v>
      </c>
      <c r="AK63" s="267" t="b">
        <f t="shared" si="19"/>
        <v>1</v>
      </c>
      <c r="AL63" s="267"/>
      <c r="AM63" s="267"/>
      <c r="AN63" s="75"/>
    </row>
    <row r="64" spans="1:40" s="6" customFormat="1" ht="11.25" x14ac:dyDescent="0.2">
      <c r="A64" s="56">
        <f t="shared" si="20"/>
        <v>45707</v>
      </c>
      <c r="B64" s="413">
        <f>'2024'!Wh/'2024'!Env_an*'2025'!Env_an</f>
        <v>14.690005275820058</v>
      </c>
      <c r="C64" s="868"/>
      <c r="D64" s="395">
        <f t="shared" si="0"/>
        <v>15.531649961237484</v>
      </c>
      <c r="E64" s="387">
        <f t="shared" si="1"/>
        <v>16.822232206139073</v>
      </c>
      <c r="F64" s="387">
        <f t="shared" si="2"/>
        <v>17.183861707043889</v>
      </c>
      <c r="G64" s="110">
        <f t="shared" si="21"/>
        <v>0.51793564655117019</v>
      </c>
      <c r="H64" s="416" t="b">
        <f>Wh_hp&gt;='2024'!Maxi_hp</f>
        <v>0</v>
      </c>
      <c r="I64" s="392">
        <f>IF(H64,Wh_hp,'2024'!Maxi_hp)</f>
        <v>32.195162026357977</v>
      </c>
      <c r="J64" s="85">
        <f>IF(H64,An,'2024'!An_max)</f>
        <v>2021</v>
      </c>
      <c r="K64" s="199">
        <f t="shared" si="3"/>
        <v>45707</v>
      </c>
      <c r="L64" s="147">
        <f>IF(t&lt;Tvie,1-EXP((T0-t)*PertePVj)+'2024'!Pspv,1-EXP((T0-t)*PertePVj)+Pspv)</f>
        <v>5.4189006803393669E-2</v>
      </c>
      <c r="M64" s="872"/>
      <c r="N64" s="872"/>
      <c r="O64" s="48">
        <f>IF(t&lt;Tnet,'2024'!Resal+('2024'!Salim-'2024'!Resal)*(1-EXP(('2024'!Tnet-t)/('2024'!Tau_j))),Resal+(Salim-Resal)*(1-EXP((Tnet-t)/(Tau_j))))*Salcycl</f>
        <v>7.6718846172543473E-2</v>
      </c>
      <c r="P64" s="171">
        <f>(INDEX(Models!$BJ64:$BT64,,T64)*(1-R64)+INDEX(Models!$BJ64:$BT64,,T64+1)*R64-ERP_i)*Q64*Ramure*Pc/MaxiM</f>
        <v>6.1337395929616637E-2</v>
      </c>
      <c r="Q64" s="307">
        <f t="shared" si="4"/>
        <v>0.9</v>
      </c>
      <c r="R64" s="179">
        <f t="shared" si="5"/>
        <v>0.8067219173592044</v>
      </c>
      <c r="S64" s="839">
        <f t="shared" si="6"/>
        <v>1</v>
      </c>
      <c r="T64" s="178">
        <f t="shared" si="7"/>
        <v>7</v>
      </c>
      <c r="U64" s="253">
        <f t="shared" si="8"/>
        <v>1.8067219173592044</v>
      </c>
      <c r="V64" s="385">
        <f t="shared" si="9"/>
        <v>27.195234701403528</v>
      </c>
      <c r="W64" s="404">
        <f t="shared" si="10"/>
        <v>14.690005275820058</v>
      </c>
      <c r="X64" s="157">
        <f t="shared" si="11"/>
        <v>45707</v>
      </c>
      <c r="Y64" s="387">
        <f t="shared" si="12"/>
        <v>13.646608465742244</v>
      </c>
      <c r="Z64" s="387">
        <f t="shared" si="22"/>
        <v>14.428473092303669</v>
      </c>
      <c r="AA64" s="388">
        <f t="shared" si="13"/>
        <v>16.822232206139073</v>
      </c>
      <c r="AB64" s="199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0.14229735296138818</v>
      </c>
      <c r="AD64" s="233">
        <f>(INDEX(Models!$BJ64:$BT64,,AH64)*(1-AF64)+INDEX(Models!$BJ64:$BT64,,AH64+1)*AF64-ERP_i)*AE64*Ramure*Pc/MaxiM</f>
        <v>6.1337395929616637E-2</v>
      </c>
      <c r="AE64" s="307">
        <f t="shared" si="15"/>
        <v>0.9</v>
      </c>
      <c r="AF64" s="179">
        <f t="shared" si="23"/>
        <v>0.8067219173592044</v>
      </c>
      <c r="AG64" s="839">
        <f t="shared" si="24"/>
        <v>1</v>
      </c>
      <c r="AH64" s="178">
        <f t="shared" si="16"/>
        <v>7</v>
      </c>
      <c r="AI64" s="227">
        <f t="shared" si="17"/>
        <v>1.8067219173592044</v>
      </c>
      <c r="AJ64" s="267" t="b">
        <f t="shared" si="18"/>
        <v>0</v>
      </c>
      <c r="AK64" s="267" t="b">
        <f t="shared" si="19"/>
        <v>1</v>
      </c>
      <c r="AL64" s="267"/>
      <c r="AM64" s="267"/>
      <c r="AN64" s="75"/>
    </row>
    <row r="65" spans="1:40" s="6" customFormat="1" ht="11.25" x14ac:dyDescent="0.2">
      <c r="A65" s="56">
        <f t="shared" si="20"/>
        <v>45708</v>
      </c>
      <c r="B65" s="413">
        <f>'2024'!Wh/'2024'!Env_an*'2025'!Env_an</f>
        <v>17.593574040141707</v>
      </c>
      <c r="C65" s="868"/>
      <c r="D65" s="395">
        <f t="shared" si="0"/>
        <v>18.602007805361932</v>
      </c>
      <c r="E65" s="387">
        <f t="shared" si="1"/>
        <v>20.151180501094739</v>
      </c>
      <c r="F65" s="387">
        <f t="shared" si="2"/>
        <v>20.746366386505457</v>
      </c>
      <c r="G65" s="110">
        <f t="shared" si="21"/>
        <v>0.61776493722607362</v>
      </c>
      <c r="H65" s="416" t="b">
        <f>Wh_hp&gt;='2024'!Maxi_hp</f>
        <v>0</v>
      </c>
      <c r="I65" s="392">
        <f>IF(H65,Wh_hp,'2024'!Maxi_hp)</f>
        <v>33.58083461156118</v>
      </c>
      <c r="J65" s="85">
        <f>IF(H65,An,'2024'!An_max)</f>
        <v>2020</v>
      </c>
      <c r="K65" s="199">
        <f t="shared" si="3"/>
        <v>45708</v>
      </c>
      <c r="L65" s="147">
        <f>IF(t&lt;Tvie,1-EXP((T0-t)*PertePVj)+'2024'!Pspv,1-EXP((T0-t)*PertePVj)+Pspv)</f>
        <v>5.421101720694621E-2</v>
      </c>
      <c r="M65" s="872"/>
      <c r="N65" s="872"/>
      <c r="O65" s="48">
        <f>IF(t&lt;Tnet,'2024'!Resal+('2024'!Salim-'2024'!Resal)*(1-EXP(('2024'!Tnet-t)/('2024'!Tau_j))),Resal+(Salim-Resal)*(1-EXP((Tnet-t)/(Tau_j))))*Salcycl</f>
        <v>7.6877515719173145E-2</v>
      </c>
      <c r="P65" s="171">
        <f>(INDEX(Models!$BJ65:$BT65,,T65)*(1-R65)+INDEX(Models!$BJ65:$BT65,,T65+1)*R65-ERP_i)*Q65*Ramure*Pc/MaxiM</f>
        <v>5.942303158114217E-2</v>
      </c>
      <c r="Q65" s="307">
        <f t="shared" si="4"/>
        <v>0.9</v>
      </c>
      <c r="R65" s="179">
        <f t="shared" si="5"/>
        <v>0.80702272472747882</v>
      </c>
      <c r="S65" s="839">
        <f t="shared" si="6"/>
        <v>1</v>
      </c>
      <c r="T65" s="178">
        <f t="shared" si="7"/>
        <v>7</v>
      </c>
      <c r="U65" s="253">
        <f t="shared" si="8"/>
        <v>1.8070227247274788</v>
      </c>
      <c r="V65" s="385">
        <f t="shared" si="9"/>
        <v>27.578250250295312</v>
      </c>
      <c r="W65" s="404">
        <f t="shared" si="10"/>
        <v>17.593574040141707</v>
      </c>
      <c r="X65" s="157">
        <f t="shared" si="11"/>
        <v>45708</v>
      </c>
      <c r="Y65" s="387">
        <f t="shared" si="12"/>
        <v>16.345070734183317</v>
      </c>
      <c r="Z65" s="387">
        <f t="shared" si="22"/>
        <v>17.281942411629625</v>
      </c>
      <c r="AA65" s="388">
        <f t="shared" si="13"/>
        <v>20.151180501094739</v>
      </c>
      <c r="AB65" s="199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0.14238560809423739</v>
      </c>
      <c r="AD65" s="233">
        <f>(INDEX(Models!$BJ65:$BT65,,AH65)*(1-AF65)+INDEX(Models!$BJ65:$BT65,,AH65+1)*AF65-ERP_i)*AE65*Ramure*Pc/MaxiM</f>
        <v>5.942303158114217E-2</v>
      </c>
      <c r="AE65" s="307">
        <f t="shared" si="15"/>
        <v>0.9</v>
      </c>
      <c r="AF65" s="179">
        <f t="shared" si="23"/>
        <v>0.80702272472747882</v>
      </c>
      <c r="AG65" s="839">
        <f t="shared" si="24"/>
        <v>1</v>
      </c>
      <c r="AH65" s="178">
        <f t="shared" si="16"/>
        <v>7</v>
      </c>
      <c r="AI65" s="227">
        <f t="shared" si="17"/>
        <v>1.8070227247274788</v>
      </c>
      <c r="AJ65" s="267" t="b">
        <f t="shared" si="18"/>
        <v>0</v>
      </c>
      <c r="AK65" s="267" t="b">
        <f t="shared" si="19"/>
        <v>1</v>
      </c>
      <c r="AL65" s="267"/>
      <c r="AM65" s="267"/>
      <c r="AN65" s="75"/>
    </row>
    <row r="66" spans="1:40" s="6" customFormat="1" ht="11.25" x14ac:dyDescent="0.2">
      <c r="A66" s="56">
        <f t="shared" si="20"/>
        <v>45709</v>
      </c>
      <c r="B66" s="413">
        <f>'2024'!Wh/'2024'!Env_an*'2025'!Env_an</f>
        <v>18.077472738618997</v>
      </c>
      <c r="C66" s="868"/>
      <c r="D66" s="395">
        <f t="shared" si="0"/>
        <v>19.114087567633447</v>
      </c>
      <c r="E66" s="387">
        <f t="shared" si="1"/>
        <v>20.70946146249852</v>
      </c>
      <c r="F66" s="387">
        <f t="shared" si="2"/>
        <v>21.316361384022258</v>
      </c>
      <c r="G66" s="110">
        <f t="shared" si="21"/>
        <v>0.62706037687767324</v>
      </c>
      <c r="H66" s="416" t="b">
        <f>Wh_hp&gt;='2024'!Maxi_hp</f>
        <v>0</v>
      </c>
      <c r="I66" s="392">
        <f>IF(H66,Wh_hp,'2024'!Maxi_hp)</f>
        <v>33.349979242504801</v>
      </c>
      <c r="J66" s="85">
        <f>IF(H66,An,'2024'!An_max)</f>
        <v>2019</v>
      </c>
      <c r="K66" s="199">
        <f t="shared" si="3"/>
        <v>45709</v>
      </c>
      <c r="L66" s="147">
        <f>IF(t&lt;Tvie,1-EXP((T0-t)*PertePVj)+'2024'!Pspv,1-EXP((T0-t)*PertePVj)+Pspv)</f>
        <v>5.4233027098284592E-2</v>
      </c>
      <c r="M66" s="872"/>
      <c r="N66" s="872"/>
      <c r="O66" s="48">
        <f>IF(t&lt;Tnet,'2024'!Resal+('2024'!Salim-'2024'!Resal)*(1-EXP(('2024'!Tnet-t)/('2024'!Tau_j))),Resal+(Salim-Resal)*(1-EXP((Tnet-t)/(Tau_j))))*Salcycl</f>
        <v>7.7035991387513159E-2</v>
      </c>
      <c r="P66" s="171">
        <f>(INDEX(Models!$BJ66:$BT66,,T66)*(1-R66)+INDEX(Models!$BJ66:$BT66,,T66+1)*R66-ERP_i)*Q66*Ramure*Pc/MaxiM</f>
        <v>5.7534384388057309E-2</v>
      </c>
      <c r="Q66" s="307">
        <f t="shared" si="4"/>
        <v>0.9</v>
      </c>
      <c r="R66" s="179">
        <f t="shared" si="5"/>
        <v>0.80733587427648024</v>
      </c>
      <c r="S66" s="839">
        <f t="shared" si="6"/>
        <v>1</v>
      </c>
      <c r="T66" s="178">
        <f t="shared" si="7"/>
        <v>7</v>
      </c>
      <c r="U66" s="253">
        <f t="shared" si="8"/>
        <v>1.8073358742764802</v>
      </c>
      <c r="V66" s="385">
        <f t="shared" si="9"/>
        <v>27.966501399167512</v>
      </c>
      <c r="W66" s="404">
        <f t="shared" si="10"/>
        <v>18.077472738618997</v>
      </c>
      <c r="X66" s="157">
        <f t="shared" si="11"/>
        <v>45709</v>
      </c>
      <c r="Y66" s="387">
        <f t="shared" si="12"/>
        <v>16.795788128670942</v>
      </c>
      <c r="Z66" s="387">
        <f t="shared" si="22"/>
        <v>17.75890743693412</v>
      </c>
      <c r="AA66" s="388">
        <f t="shared" si="13"/>
        <v>20.70946146249852</v>
      </c>
      <c r="AB66" s="199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0.14247372057005808</v>
      </c>
      <c r="AD66" s="233">
        <f>(INDEX(Models!$BJ66:$BT66,,AH66)*(1-AF66)+INDEX(Models!$BJ66:$BT66,,AH66+1)*AF66-ERP_i)*AE66*Ramure*Pc/MaxiM</f>
        <v>5.7534384388057309E-2</v>
      </c>
      <c r="AE66" s="307">
        <f t="shared" si="15"/>
        <v>0.9</v>
      </c>
      <c r="AF66" s="179">
        <f t="shared" si="23"/>
        <v>0.80733587427648024</v>
      </c>
      <c r="AG66" s="839">
        <f t="shared" si="24"/>
        <v>1</v>
      </c>
      <c r="AH66" s="178">
        <f t="shared" si="16"/>
        <v>7</v>
      </c>
      <c r="AI66" s="227">
        <f t="shared" si="17"/>
        <v>1.8073358742764802</v>
      </c>
      <c r="AJ66" s="267" t="b">
        <f t="shared" si="18"/>
        <v>0</v>
      </c>
      <c r="AK66" s="267" t="b">
        <f t="shared" si="19"/>
        <v>1</v>
      </c>
      <c r="AL66" s="267"/>
      <c r="AM66" s="267"/>
      <c r="AN66" s="75"/>
    </row>
    <row r="67" spans="1:40" s="6" customFormat="1" ht="11.25" x14ac:dyDescent="0.2">
      <c r="A67" s="56">
        <f t="shared" si="20"/>
        <v>45710</v>
      </c>
      <c r="B67" s="413">
        <f>'2024'!Wh/'2024'!Env_an*'2025'!Env_an</f>
        <v>26.74495741161132</v>
      </c>
      <c r="C67" s="868"/>
      <c r="D67" s="395">
        <f t="shared" si="0"/>
        <v>28.279249103262917</v>
      </c>
      <c r="E67" s="387">
        <f t="shared" si="1"/>
        <v>30.644856374250374</v>
      </c>
      <c r="F67" s="387">
        <f t="shared" si="2"/>
        <v>32.296868962031759</v>
      </c>
      <c r="G67" s="110">
        <f t="shared" si="21"/>
        <v>0.93857177924069879</v>
      </c>
      <c r="H67" s="416" t="b">
        <f>Wh_hp&gt;='2024'!Maxi_hp</f>
        <v>0</v>
      </c>
      <c r="I67" s="392">
        <f>IF(H67,Wh_hp,'2024'!Maxi_hp)</f>
        <v>33.437622553718462</v>
      </c>
      <c r="J67" s="85">
        <f>IF(H67,An,'2024'!An_max)</f>
        <v>2020</v>
      </c>
      <c r="K67" s="199">
        <f t="shared" si="3"/>
        <v>45710</v>
      </c>
      <c r="L67" s="147">
        <f>IF(t&lt;Tvie,1-EXP((T0-t)*PertePVj)+'2024'!Pspv,1-EXP((T0-t)*PertePVj)+Pspv)</f>
        <v>5.4255036477420693E-2</v>
      </c>
      <c r="M67" s="872"/>
      <c r="N67" s="872"/>
      <c r="O67" s="48">
        <f>IF(t&lt;Tnet,'2024'!Resal+('2024'!Salim-'2024'!Resal)*(1-EXP(('2024'!Tnet-t)/('2024'!Tau_j))),Resal+(Salim-Resal)*(1-EXP((Tnet-t)/(Tau_j))))*Salcycl</f>
        <v>7.7194268496398613E-2</v>
      </c>
      <c r="P67" s="171">
        <f>(INDEX(Models!$BJ67:$BT67,,T67)*(1-R67)+INDEX(Models!$BJ67:$BT67,,T67+1)*R67-ERP_i)*Q67*Ramure*Pc/MaxiM</f>
        <v>5.567896529461628E-2</v>
      </c>
      <c r="Q67" s="307">
        <f t="shared" si="4"/>
        <v>0.9</v>
      </c>
      <c r="R67" s="179">
        <f t="shared" si="5"/>
        <v>0.8076618604391772</v>
      </c>
      <c r="S67" s="839">
        <f t="shared" si="6"/>
        <v>1</v>
      </c>
      <c r="T67" s="178">
        <f t="shared" si="7"/>
        <v>7</v>
      </c>
      <c r="U67" s="253">
        <f t="shared" si="8"/>
        <v>1.8076618604391772</v>
      </c>
      <c r="V67" s="385">
        <f t="shared" si="9"/>
        <v>28.359391870541113</v>
      </c>
      <c r="W67" s="404">
        <f t="shared" si="10"/>
        <v>26.74495741161132</v>
      </c>
      <c r="X67" s="157">
        <f t="shared" si="11"/>
        <v>45710</v>
      </c>
      <c r="Y67" s="387">
        <f t="shared" si="12"/>
        <v>24.850464753359478</v>
      </c>
      <c r="Z67" s="387">
        <f t="shared" si="22"/>
        <v>26.276074112834735</v>
      </c>
      <c r="AA67" s="388">
        <f t="shared" si="13"/>
        <v>30.644856374250374</v>
      </c>
      <c r="AB67" s="199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0.14256168174070954</v>
      </c>
      <c r="AD67" s="233">
        <f>(INDEX(Models!$BJ67:$BT67,,AH67)*(1-AF67)+INDEX(Models!$BJ67:$BT67,,AH67+1)*AF67-ERP_i)*AE67*Ramure*Pc/MaxiM</f>
        <v>5.567896529461628E-2</v>
      </c>
      <c r="AE67" s="307">
        <f t="shared" si="15"/>
        <v>0.9</v>
      </c>
      <c r="AF67" s="179">
        <f t="shared" si="23"/>
        <v>0.8076618604391772</v>
      </c>
      <c r="AG67" s="839">
        <f t="shared" si="24"/>
        <v>1</v>
      </c>
      <c r="AH67" s="178">
        <f t="shared" si="16"/>
        <v>7</v>
      </c>
      <c r="AI67" s="227">
        <f t="shared" si="17"/>
        <v>1.8076618604391772</v>
      </c>
      <c r="AJ67" s="267" t="b">
        <f t="shared" si="18"/>
        <v>0</v>
      </c>
      <c r="AK67" s="267" t="b">
        <f t="shared" si="19"/>
        <v>1</v>
      </c>
      <c r="AL67" s="267"/>
      <c r="AM67" s="267"/>
      <c r="AN67" s="75"/>
    </row>
    <row r="68" spans="1:40" s="6" customFormat="1" ht="11.25" x14ac:dyDescent="0.2">
      <c r="A68" s="56">
        <f t="shared" si="20"/>
        <v>45711</v>
      </c>
      <c r="B68" s="413">
        <f>'2024'!Wh/'2024'!Env_an*'2025'!Env_an</f>
        <v>28.341867579731989</v>
      </c>
      <c r="C68" s="868"/>
      <c r="D68" s="395">
        <f t="shared" si="0"/>
        <v>29.968467446211157</v>
      </c>
      <c r="E68" s="387">
        <f t="shared" si="1"/>
        <v>32.48094464690692</v>
      </c>
      <c r="F68" s="387">
        <f t="shared" si="2"/>
        <v>34.289632446522511</v>
      </c>
      <c r="G68" s="110">
        <f t="shared" si="21"/>
        <v>0.98442561590005884</v>
      </c>
      <c r="H68" s="416" t="b">
        <f>Wh_hp&gt;='2024'!Maxi_hp</f>
        <v>0</v>
      </c>
      <c r="I68" s="392">
        <f>IF(H68,Wh_hp,'2024'!Maxi_hp)</f>
        <v>34.318205709303783</v>
      </c>
      <c r="J68" s="85">
        <f>IF(H68,An,'2024'!An_max)</f>
        <v>2022</v>
      </c>
      <c r="K68" s="199">
        <f t="shared" si="3"/>
        <v>45711</v>
      </c>
      <c r="L68" s="147">
        <f>IF(t&lt;Tvie,1-EXP((T0-t)*PertePVj)+'2024'!Pspv,1-EXP((T0-t)*PertePVj)+Pspv)</f>
        <v>5.4277045344366281E-2</v>
      </c>
      <c r="M68" s="872"/>
      <c r="N68" s="872"/>
      <c r="O68" s="48">
        <f>IF(t&lt;Tnet,'2024'!Resal+('2024'!Salim-'2024'!Resal)*(1-EXP(('2024'!Tnet-t)/('2024'!Tau_j))),Resal+(Salim-Resal)*(1-EXP((Tnet-t)/(Tau_j))))*Salcycl</f>
        <v>7.7352343905275567E-2</v>
      </c>
      <c r="P68" s="171">
        <f>(INDEX(Models!$BJ68:$BT68,,T68)*(1-R68)+INDEX(Models!$BJ68:$BT68,,T68+1)*R68-ERP_i)*Q68*Ramure*Pc/MaxiM</f>
        <v>5.3856819789709069E-2</v>
      </c>
      <c r="Q68" s="307">
        <f t="shared" si="4"/>
        <v>0.9</v>
      </c>
      <c r="R68" s="179">
        <f t="shared" si="5"/>
        <v>0.80800119644370616</v>
      </c>
      <c r="S68" s="839">
        <f t="shared" si="6"/>
        <v>1</v>
      </c>
      <c r="T68" s="178">
        <f t="shared" si="7"/>
        <v>7</v>
      </c>
      <c r="U68" s="253">
        <f t="shared" si="8"/>
        <v>1.8080011964437062</v>
      </c>
      <c r="V68" s="385">
        <f t="shared" si="9"/>
        <v>28.756538016308411</v>
      </c>
      <c r="W68" s="404">
        <f t="shared" si="10"/>
        <v>28.341867579731989</v>
      </c>
      <c r="X68" s="157">
        <f t="shared" si="11"/>
        <v>45711</v>
      </c>
      <c r="Y68" s="387">
        <f t="shared" si="12"/>
        <v>26.336071609774191</v>
      </c>
      <c r="Z68" s="387">
        <f t="shared" si="22"/>
        <v>27.847554593156669</v>
      </c>
      <c r="AA68" s="388">
        <f t="shared" si="13"/>
        <v>32.48094464690692</v>
      </c>
      <c r="AB68" s="199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0.1426494858483581</v>
      </c>
      <c r="AD68" s="233">
        <f>(INDEX(Models!$BJ68:$BT68,,AH68)*(1-AF68)+INDEX(Models!$BJ68:$BT68,,AH68+1)*AF68-ERP_i)*AE68*Ramure*Pc/MaxiM</f>
        <v>5.3856819789709069E-2</v>
      </c>
      <c r="AE68" s="307">
        <f t="shared" si="15"/>
        <v>0.9</v>
      </c>
      <c r="AF68" s="179">
        <f t="shared" si="23"/>
        <v>0.80800119644370616</v>
      </c>
      <c r="AG68" s="839">
        <f t="shared" si="24"/>
        <v>1</v>
      </c>
      <c r="AH68" s="178">
        <f t="shared" si="16"/>
        <v>7</v>
      </c>
      <c r="AI68" s="227">
        <f t="shared" si="17"/>
        <v>1.8080011964437062</v>
      </c>
      <c r="AJ68" s="267" t="b">
        <f t="shared" si="18"/>
        <v>0</v>
      </c>
      <c r="AK68" s="267" t="b">
        <f t="shared" si="19"/>
        <v>1</v>
      </c>
      <c r="AL68" s="267"/>
      <c r="AM68" s="267"/>
      <c r="AN68" s="75"/>
    </row>
    <row r="69" spans="1:40" s="6" customFormat="1" ht="11.25" x14ac:dyDescent="0.2">
      <c r="A69" s="56">
        <f t="shared" si="20"/>
        <v>45712</v>
      </c>
      <c r="B69" s="413">
        <f>'2024'!Wh/'2024'!Env_an*'2025'!Env_an</f>
        <v>17.074786201453403</v>
      </c>
      <c r="C69" s="868"/>
      <c r="D69" s="395">
        <f t="shared" si="0"/>
        <v>18.055164550952249</v>
      </c>
      <c r="E69" s="387">
        <f t="shared" si="1"/>
        <v>19.57221084396901</v>
      </c>
      <c r="F69" s="387">
        <f t="shared" si="2"/>
        <v>19.99703031531698</v>
      </c>
      <c r="G69" s="110">
        <f t="shared" si="21"/>
        <v>0.5671618530641257</v>
      </c>
      <c r="H69" s="416" t="b">
        <f>Wh_hp&gt;='2024'!Maxi_hp</f>
        <v>0</v>
      </c>
      <c r="I69" s="392">
        <f>IF(H69,Wh_hp,'2024'!Maxi_hp)</f>
        <v>35.33766783326174</v>
      </c>
      <c r="J69" s="85">
        <f>IF(H69,An,'2024'!An_max)</f>
        <v>2020</v>
      </c>
      <c r="K69" s="199">
        <f t="shared" si="3"/>
        <v>45712</v>
      </c>
      <c r="L69" s="147">
        <f>IF(t&lt;Tvie,1-EXP((T0-t)*PertePVj)+'2024'!Pspv,1-EXP((T0-t)*PertePVj)+Pspv)</f>
        <v>5.4299053699133459E-2</v>
      </c>
      <c r="M69" s="872"/>
      <c r="N69" s="872"/>
      <c r="O69" s="48">
        <f>IF(t&lt;Tnet,'2024'!Resal+('2024'!Salim-'2024'!Resal)*(1-EXP(('2024'!Tnet-t)/('2024'!Tau_j))),Resal+(Salim-Resal)*(1-EXP((Tnet-t)/(Tau_j))))*Salcycl</f>
        <v>7.7510216148331743E-2</v>
      </c>
      <c r="P69" s="171">
        <f>(INDEX(Models!$BJ69:$BT69,,T69)*(1-R69)+INDEX(Models!$BJ69:$BT69,,T69+1)*R69-ERP_i)*Q69*Ramure*Pc/MaxiM</f>
        <v>5.206815187423363E-2</v>
      </c>
      <c r="Q69" s="307">
        <f t="shared" si="4"/>
        <v>0.9</v>
      </c>
      <c r="R69" s="179">
        <f t="shared" si="5"/>
        <v>0.80835441494181182</v>
      </c>
      <c r="S69" s="839">
        <f t="shared" si="6"/>
        <v>1</v>
      </c>
      <c r="T69" s="178">
        <f t="shared" si="7"/>
        <v>7</v>
      </c>
      <c r="U69" s="253">
        <f t="shared" si="8"/>
        <v>1.8083544149418118</v>
      </c>
      <c r="V69" s="385">
        <f t="shared" si="9"/>
        <v>29.15754776635567</v>
      </c>
      <c r="W69" s="404">
        <f t="shared" si="10"/>
        <v>17.074786201453403</v>
      </c>
      <c r="X69" s="157">
        <f t="shared" si="11"/>
        <v>45712</v>
      </c>
      <c r="Y69" s="387">
        <f t="shared" si="12"/>
        <v>15.867471353754842</v>
      </c>
      <c r="Z69" s="387">
        <f t="shared" si="22"/>
        <v>16.778529635421073</v>
      </c>
      <c r="AA69" s="388">
        <f t="shared" si="13"/>
        <v>19.57221084396901</v>
      </c>
      <c r="AB69" s="199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0.14273713025162829</v>
      </c>
      <c r="AD69" s="233">
        <f>(INDEX(Models!$BJ69:$BT69,,AH69)*(1-AF69)+INDEX(Models!$BJ69:$BT69,,AH69+1)*AF69-ERP_i)*AE69*Ramure*Pc/MaxiM</f>
        <v>5.206815187423363E-2</v>
      </c>
      <c r="AE69" s="307">
        <f t="shared" si="15"/>
        <v>0.9</v>
      </c>
      <c r="AF69" s="179">
        <f t="shared" si="23"/>
        <v>0.80835441494181182</v>
      </c>
      <c r="AG69" s="839">
        <f t="shared" si="24"/>
        <v>1</v>
      </c>
      <c r="AH69" s="178">
        <f t="shared" si="16"/>
        <v>7</v>
      </c>
      <c r="AI69" s="227">
        <f t="shared" si="17"/>
        <v>1.8083544149418118</v>
      </c>
      <c r="AJ69" s="267" t="b">
        <f t="shared" si="18"/>
        <v>0</v>
      </c>
      <c r="AK69" s="267" t="b">
        <f t="shared" si="19"/>
        <v>1</v>
      </c>
      <c r="AL69" s="267"/>
      <c r="AM69" s="267"/>
      <c r="AN69" s="75"/>
    </row>
    <row r="70" spans="1:40" s="6" customFormat="1" ht="11.25" x14ac:dyDescent="0.2">
      <c r="A70" s="56">
        <f t="shared" si="20"/>
        <v>45713</v>
      </c>
      <c r="B70" s="413">
        <f>'2024'!Wh/'2024'!Env_an*'2025'!Env_an</f>
        <v>25.29424266466242</v>
      </c>
      <c r="C70" s="868"/>
      <c r="D70" s="395">
        <f t="shared" si="0"/>
        <v>26.747177753476727</v>
      </c>
      <c r="E70" s="387">
        <f t="shared" si="1"/>
        <v>28.999508240748415</v>
      </c>
      <c r="F70" s="387">
        <f t="shared" si="2"/>
        <v>30.205824328547934</v>
      </c>
      <c r="G70" s="110">
        <f t="shared" si="21"/>
        <v>0.84638502564840457</v>
      </c>
      <c r="H70" s="416" t="b">
        <f>Wh_hp&gt;='2024'!Maxi_hp</f>
        <v>0</v>
      </c>
      <c r="I70" s="392">
        <f>IF(H70,Wh_hp,'2024'!Maxi_hp)</f>
        <v>35.142931851813223</v>
      </c>
      <c r="J70" s="85">
        <f>IF(H70,An,'2024'!An_max)</f>
        <v>2019</v>
      </c>
      <c r="K70" s="199">
        <f t="shared" si="3"/>
        <v>45713</v>
      </c>
      <c r="L70" s="147">
        <f>IF(t&lt;Tvie,1-EXP((T0-t)*PertePVj)+'2024'!Pspv,1-EXP((T0-t)*PertePVj)+Pspv)</f>
        <v>5.4321061541733995E-2</v>
      </c>
      <c r="M70" s="872"/>
      <c r="N70" s="872"/>
      <c r="O70" s="48">
        <f>IF(t&lt;Tnet,'2024'!Resal+('2024'!Salim-'2024'!Resal)*(1-EXP(('2024'!Tnet-t)/('2024'!Tau_j))),Resal+(Salim-Resal)*(1-EXP((Tnet-t)/(Tau_j))))*Salcycl</f>
        <v>7.7667885557688318E-2</v>
      </c>
      <c r="P70" s="171">
        <f>(INDEX(Models!$BJ70:$BT70,,T70)*(1-R70)+INDEX(Models!$BJ70:$BT70,,T70+1)*R70-ERP_i)*Q70*Ramure*Pc/MaxiM</f>
        <v>5.0313041460499974E-2</v>
      </c>
      <c r="Q70" s="307">
        <f t="shared" si="4"/>
        <v>0.9</v>
      </c>
      <c r="R70" s="179">
        <f t="shared" si="5"/>
        <v>0.80872206865080232</v>
      </c>
      <c r="S70" s="839">
        <f t="shared" si="6"/>
        <v>1</v>
      </c>
      <c r="T70" s="178">
        <f t="shared" si="7"/>
        <v>7</v>
      </c>
      <c r="U70" s="253">
        <f t="shared" si="8"/>
        <v>1.8087220686508023</v>
      </c>
      <c r="V70" s="385">
        <f t="shared" si="9"/>
        <v>29.562029264546791</v>
      </c>
      <c r="W70" s="404">
        <f t="shared" si="10"/>
        <v>25.29424266466242</v>
      </c>
      <c r="X70" s="157">
        <f t="shared" si="11"/>
        <v>45713</v>
      </c>
      <c r="Y70" s="387">
        <f t="shared" si="12"/>
        <v>23.507369893049312</v>
      </c>
      <c r="Z70" s="387">
        <f t="shared" si="22"/>
        <v>24.857664622808684</v>
      </c>
      <c r="AA70" s="388">
        <f t="shared" si="13"/>
        <v>28.999508240748415</v>
      </c>
      <c r="AB70" s="199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0.14282461562985593</v>
      </c>
      <c r="AD70" s="233">
        <f>(INDEX(Models!$BJ70:$BT70,,AH70)*(1-AF70)+INDEX(Models!$BJ70:$BT70,,AH70+1)*AF70-ERP_i)*AE70*Ramure*Pc/MaxiM</f>
        <v>5.0313041460499974E-2</v>
      </c>
      <c r="AE70" s="307">
        <f t="shared" si="15"/>
        <v>0.9</v>
      </c>
      <c r="AF70" s="179">
        <f t="shared" si="23"/>
        <v>0.80872206865080232</v>
      </c>
      <c r="AG70" s="839">
        <f t="shared" si="24"/>
        <v>1</v>
      </c>
      <c r="AH70" s="178">
        <f t="shared" si="16"/>
        <v>7</v>
      </c>
      <c r="AI70" s="227">
        <f t="shared" si="17"/>
        <v>1.8087220686508023</v>
      </c>
      <c r="AJ70" s="267" t="b">
        <f t="shared" si="18"/>
        <v>0</v>
      </c>
      <c r="AK70" s="267" t="b">
        <f t="shared" si="19"/>
        <v>1</v>
      </c>
      <c r="AL70" s="267"/>
      <c r="AM70" s="267"/>
      <c r="AN70" s="75"/>
    </row>
    <row r="71" spans="1:40" s="6" customFormat="1" ht="11.25" x14ac:dyDescent="0.2">
      <c r="A71" s="56">
        <f t="shared" si="20"/>
        <v>45714</v>
      </c>
      <c r="B71" s="413">
        <f>'2024'!Wh/'2024'!Env_an*'2025'!Env_an</f>
        <v>30.896231179708707</v>
      </c>
      <c r="C71" s="868"/>
      <c r="D71" s="395">
        <f t="shared" si="0"/>
        <v>32.671712290905432</v>
      </c>
      <c r="E71" s="387">
        <f t="shared" si="1"/>
        <v>35.428985654609292</v>
      </c>
      <c r="F71" s="387">
        <f t="shared" si="2"/>
        <v>37.238456464048674</v>
      </c>
      <c r="G71" s="110">
        <f t="shared" si="21"/>
        <v>1.0309193519733113</v>
      </c>
      <c r="H71" s="416" t="b">
        <f>Wh_hp&gt;='2024'!Maxi_hp</f>
        <v>1</v>
      </c>
      <c r="I71" s="392">
        <f>IF(H71,Wh_hp,'2024'!Maxi_hp)</f>
        <v>37.238456464048674</v>
      </c>
      <c r="J71" s="85">
        <f>IF(H71,An,'2024'!An_max)</f>
        <v>2025</v>
      </c>
      <c r="K71" s="199">
        <f t="shared" si="3"/>
        <v>45714</v>
      </c>
      <c r="L71" s="147">
        <f>IF(t&lt;Tvie,1-EXP((T0-t)*PertePVj)+'2024'!Pspv,1-EXP((T0-t)*PertePVj)+Pspv)</f>
        <v>5.4343068872179989E-2</v>
      </c>
      <c r="M71" s="872"/>
      <c r="N71" s="872"/>
      <c r="O71" s="48">
        <f>IF(t&lt;Tnet,'2024'!Resal+('2024'!Salim-'2024'!Resal)*(1-EXP(('2024'!Tnet-t)/('2024'!Tau_j))),Resal+(Salim-Resal)*(1-EXP((Tnet-t)/(Tau_j))))*Salcycl</f>
        <v>7.7825354374635919E-2</v>
      </c>
      <c r="P71" s="171">
        <f>(INDEX(Models!$BJ71:$BT71,,T71)*(1-R71)+INDEX(Models!$BJ71:$BT71,,T71+1)*R71-ERP_i)*Q71*Ramure*Pc/MaxiM</f>
        <v>4.8591455749147645E-2</v>
      </c>
      <c r="Q71" s="307">
        <f t="shared" si="4"/>
        <v>0.9</v>
      </c>
      <c r="R71" s="179">
        <f t="shared" si="5"/>
        <v>0.8091047310085937</v>
      </c>
      <c r="S71" s="839">
        <f t="shared" si="6"/>
        <v>1</v>
      </c>
      <c r="T71" s="178">
        <f t="shared" si="7"/>
        <v>7</v>
      </c>
      <c r="U71" s="253">
        <f t="shared" si="8"/>
        <v>1.8091047310085937</v>
      </c>
      <c r="V71" s="385">
        <f t="shared" si="9"/>
        <v>29.969590851669793</v>
      </c>
      <c r="W71" s="404">
        <f t="shared" si="10"/>
        <v>30.896231179708707</v>
      </c>
      <c r="X71" s="157">
        <f t="shared" si="11"/>
        <v>45714</v>
      </c>
      <c r="Y71" s="387">
        <f t="shared" si="12"/>
        <v>28.71559175727711</v>
      </c>
      <c r="Z71" s="387">
        <f t="shared" si="22"/>
        <v>30.365760364099483</v>
      </c>
      <c r="AA71" s="388">
        <f t="shared" si="13"/>
        <v>35.428985654609292</v>
      </c>
      <c r="AB71" s="199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0.1429119461638069</v>
      </c>
      <c r="AD71" s="233">
        <f>(INDEX(Models!$BJ71:$BT71,,AH71)*(1-AF71)+INDEX(Models!$BJ71:$BT71,,AH71+1)*AF71-ERP_i)*AE71*Ramure*Pc/MaxiM</f>
        <v>4.8591455749147645E-2</v>
      </c>
      <c r="AE71" s="307">
        <f t="shared" si="15"/>
        <v>0.9</v>
      </c>
      <c r="AF71" s="179">
        <f t="shared" si="23"/>
        <v>0.8091047310085937</v>
      </c>
      <c r="AG71" s="839">
        <f t="shared" si="24"/>
        <v>1</v>
      </c>
      <c r="AH71" s="178">
        <f t="shared" si="16"/>
        <v>7</v>
      </c>
      <c r="AI71" s="227">
        <f t="shared" si="17"/>
        <v>1.8091047310085937</v>
      </c>
      <c r="AJ71" s="267" t="b">
        <f t="shared" si="18"/>
        <v>0</v>
      </c>
      <c r="AK71" s="267" t="b">
        <f t="shared" si="19"/>
        <v>1</v>
      </c>
      <c r="AL71" s="267"/>
      <c r="AM71" s="267"/>
      <c r="AN71" s="75"/>
    </row>
    <row r="72" spans="1:40" s="6" customFormat="1" ht="11.25" x14ac:dyDescent="0.2">
      <c r="A72" s="56">
        <f t="shared" si="20"/>
        <v>45715</v>
      </c>
      <c r="B72" s="413">
        <f>'2024'!Wh/'2024'!Env_an*'2025'!Env_an</f>
        <v>23.611927214326499</v>
      </c>
      <c r="C72" s="868"/>
      <c r="D72" s="395">
        <f t="shared" si="0"/>
        <v>24.969389991140019</v>
      </c>
      <c r="E72" s="387">
        <f t="shared" si="1"/>
        <v>27.081257596894289</v>
      </c>
      <c r="F72" s="387">
        <f t="shared" si="2"/>
        <v>27.975667170025748</v>
      </c>
      <c r="G72" s="110">
        <f t="shared" si="21"/>
        <v>0.76523450893470424</v>
      </c>
      <c r="H72" s="416" t="b">
        <f>Wh_hp&gt;='2024'!Maxi_hp</f>
        <v>0</v>
      </c>
      <c r="I72" s="392">
        <f>IF(H72,Wh_hp,'2024'!Maxi_hp)</f>
        <v>35.739850450809598</v>
      </c>
      <c r="J72" s="85">
        <f>IF(H72,An,'2024'!An_max)</f>
        <v>2019</v>
      </c>
      <c r="K72" s="199">
        <f t="shared" si="3"/>
        <v>45715</v>
      </c>
      <c r="L72" s="147">
        <f>IF(t&lt;Tvie,1-EXP((T0-t)*PertePVj)+'2024'!Pspv,1-EXP((T0-t)*PertePVj)+Pspv)</f>
        <v>5.4365075690483211E-2</v>
      </c>
      <c r="M72" s="872"/>
      <c r="N72" s="872"/>
      <c r="O72" s="48">
        <f>IF(t&lt;Tnet,'2024'!Resal+('2024'!Salim-'2024'!Resal)*(1-EXP(('2024'!Tnet-t)/('2024'!Tau_j))),Resal+(Salim-Resal)*(1-EXP((Tnet-t)/(Tau_j))))*Salcycl</f>
        <v>7.7982626848040568E-2</v>
      </c>
      <c r="P72" s="171">
        <f>(INDEX(Models!$BJ72:$BT72,,T72)*(1-R72)+INDEX(Models!$BJ72:$BT72,,T72+1)*R72-ERP_i)*Q72*Ramure*Pc/MaxiM</f>
        <v>4.6896176668955264E-2</v>
      </c>
      <c r="Q72" s="307">
        <f t="shared" si="4"/>
        <v>0.9</v>
      </c>
      <c r="R72" s="179">
        <f t="shared" si="5"/>
        <v>0.80950299684132787</v>
      </c>
      <c r="S72" s="839">
        <f t="shared" si="6"/>
        <v>1</v>
      </c>
      <c r="T72" s="178">
        <f t="shared" si="7"/>
        <v>7</v>
      </c>
      <c r="U72" s="253">
        <f t="shared" si="8"/>
        <v>1.8095029968413279</v>
      </c>
      <c r="V72" s="385">
        <f t="shared" si="9"/>
        <v>30.380066843411072</v>
      </c>
      <c r="W72" s="404">
        <f t="shared" si="10"/>
        <v>23.611927214326499</v>
      </c>
      <c r="X72" s="157">
        <f t="shared" si="11"/>
        <v>45715</v>
      </c>
      <c r="Y72" s="387">
        <f t="shared" si="12"/>
        <v>21.946920699729215</v>
      </c>
      <c r="Z72" s="387">
        <f t="shared" si="22"/>
        <v>23.208661329587002</v>
      </c>
      <c r="AA72" s="388">
        <f t="shared" si="13"/>
        <v>27.081257596894289</v>
      </c>
      <c r="AB72" s="199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0.14299912969150291</v>
      </c>
      <c r="AD72" s="233">
        <f>(INDEX(Models!$BJ72:$BT72,,AH72)*(1-AF72)+INDEX(Models!$BJ72:$BT72,,AH72+1)*AF72-ERP_i)*AE72*Ramure*Pc/MaxiM</f>
        <v>4.6896176668955264E-2</v>
      </c>
      <c r="AE72" s="307">
        <f t="shared" si="15"/>
        <v>0.9</v>
      </c>
      <c r="AF72" s="179">
        <f t="shared" si="23"/>
        <v>0.80950299684132787</v>
      </c>
      <c r="AG72" s="839">
        <f t="shared" si="24"/>
        <v>1</v>
      </c>
      <c r="AH72" s="178">
        <f t="shared" si="16"/>
        <v>7</v>
      </c>
      <c r="AI72" s="227">
        <f t="shared" si="17"/>
        <v>1.8095029968413279</v>
      </c>
      <c r="AJ72" s="267" t="b">
        <f t="shared" si="18"/>
        <v>0</v>
      </c>
      <c r="AK72" s="267" t="b">
        <f t="shared" si="19"/>
        <v>1</v>
      </c>
      <c r="AL72" s="267"/>
      <c r="AM72" s="267"/>
      <c r="AN72" s="75"/>
    </row>
    <row r="73" spans="1:40" s="6" customFormat="1" ht="11.25" x14ac:dyDescent="0.2">
      <c r="A73" s="56">
        <f t="shared" si="20"/>
        <v>45716</v>
      </c>
      <c r="B73" s="413">
        <f>'2024'!Wh/'2024'!Env_an*'2025'!Env_an</f>
        <v>28.145095373177419</v>
      </c>
      <c r="C73" s="868"/>
      <c r="D73" s="395">
        <f t="shared" si="0"/>
        <v>29.763865147491433</v>
      </c>
      <c r="E73" s="387">
        <f t="shared" si="1"/>
        <v>32.286741763776782</v>
      </c>
      <c r="F73" s="387">
        <f t="shared" si="2"/>
        <v>33.620384345354225</v>
      </c>
      <c r="G73" s="110">
        <f t="shared" si="21"/>
        <v>0.90871620435667599</v>
      </c>
      <c r="H73" s="416" t="b">
        <f>Wh_hp&gt;='2024'!Maxi_hp</f>
        <v>0</v>
      </c>
      <c r="I73" s="392">
        <f>IF(H73,Wh_hp,'2024'!Maxi_hp)</f>
        <v>33.764181045667172</v>
      </c>
      <c r="J73" s="85">
        <f>IF(H73,An,'2024'!An_max)</f>
        <v>2022</v>
      </c>
      <c r="K73" s="199">
        <f t="shared" si="3"/>
        <v>45716</v>
      </c>
      <c r="L73" s="147">
        <f>IF(t&lt;Tvie,1-EXP((T0-t)*PertePVj)+'2024'!Pspv,1-EXP((T0-t)*PertePVj)+Pspv)</f>
        <v>5.438708199665554E-2</v>
      </c>
      <c r="M73" s="872"/>
      <c r="N73" s="872"/>
      <c r="O73" s="48">
        <f>IF(t&lt;Tnet,'2024'!Resal+('2024'!Salim-'2024'!Resal)*(1-EXP(('2024'!Tnet-t)/('2024'!Tau_j))),Resal+(Salim-Resal)*(1-EXP((Tnet-t)/(Tau_j))))*Salcycl</f>
        <v>7.8139709319192313E-2</v>
      </c>
      <c r="P73" s="171">
        <f>(INDEX(Models!$BJ73:$BT73,,T73)*(1-R73)+INDEX(Models!$BJ73:$BT73,,T73+1)*R73-ERP_i)*Q73*Ramure*Pc/MaxiM</f>
        <v>4.5223446164779219E-2</v>
      </c>
      <c r="Q73" s="307">
        <f t="shared" si="4"/>
        <v>0.9</v>
      </c>
      <c r="R73" s="179">
        <f t="shared" si="5"/>
        <v>0.80991748304295053</v>
      </c>
      <c r="S73" s="839">
        <f t="shared" si="6"/>
        <v>1</v>
      </c>
      <c r="T73" s="178">
        <f t="shared" si="7"/>
        <v>7</v>
      </c>
      <c r="U73" s="253">
        <f t="shared" si="8"/>
        <v>1.8099174830429505</v>
      </c>
      <c r="V73" s="385">
        <f t="shared" si="9"/>
        <v>30.793187865365859</v>
      </c>
      <c r="W73" s="404">
        <f t="shared" si="10"/>
        <v>28.145095373177419</v>
      </c>
      <c r="X73" s="157">
        <f t="shared" si="11"/>
        <v>45716</v>
      </c>
      <c r="Y73" s="387">
        <f t="shared" si="12"/>
        <v>26.16223032400044</v>
      </c>
      <c r="Z73" s="387">
        <f t="shared" si="22"/>
        <v>27.666955289952913</v>
      </c>
      <c r="AA73" s="388">
        <f t="shared" si="13"/>
        <v>32.286741763776782</v>
      </c>
      <c r="AB73" s="199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0.14308617783807806</v>
      </c>
      <c r="AD73" s="233">
        <f>(INDEX(Models!$BJ73:$BT73,,AH73)*(1-AF73)+INDEX(Models!$BJ73:$BT73,,AH73+1)*AF73-ERP_i)*AE73*Ramure*Pc/MaxiM</f>
        <v>4.5223446164779219E-2</v>
      </c>
      <c r="AE73" s="307">
        <f t="shared" si="15"/>
        <v>0.9</v>
      </c>
      <c r="AF73" s="179">
        <f t="shared" si="23"/>
        <v>0.80991748304295053</v>
      </c>
      <c r="AG73" s="839">
        <f t="shared" si="24"/>
        <v>1</v>
      </c>
      <c r="AH73" s="178">
        <f t="shared" si="16"/>
        <v>7</v>
      </c>
      <c r="AI73" s="227">
        <f t="shared" si="17"/>
        <v>1.8099174830429505</v>
      </c>
      <c r="AJ73" s="267" t="b">
        <f t="shared" si="18"/>
        <v>0</v>
      </c>
      <c r="AK73" s="267" t="b">
        <f t="shared" si="19"/>
        <v>1</v>
      </c>
      <c r="AL73" s="267"/>
      <c r="AM73" s="267"/>
      <c r="AN73" s="75"/>
    </row>
    <row r="74" spans="1:40" s="6" customFormat="1" ht="11.25" x14ac:dyDescent="0.2">
      <c r="A74" s="56">
        <f t="shared" si="20"/>
        <v>45717</v>
      </c>
      <c r="B74" s="413">
        <f>'2024'!Wh/'2024'!Env_an*'2025'!Env_an</f>
        <v>30.974783592389983</v>
      </c>
      <c r="C74" s="868"/>
      <c r="D74" s="395">
        <f t="shared" si="0"/>
        <v>32.757065653285622</v>
      </c>
      <c r="E74" s="387">
        <f t="shared" si="1"/>
        <v>35.539704007904064</v>
      </c>
      <c r="F74" s="387">
        <f t="shared" si="2"/>
        <v>37.140730090569107</v>
      </c>
      <c r="G74" s="110">
        <f t="shared" si="21"/>
        <v>0.99202546674290015</v>
      </c>
      <c r="H74" s="416" t="b">
        <f>Wh_hp&gt;='2024'!Maxi_hp</f>
        <v>0</v>
      </c>
      <c r="I74" s="392">
        <f>IF(H74,Wh_hp,'2024'!Maxi_hp)</f>
        <v>37.154113437752279</v>
      </c>
      <c r="J74" s="85">
        <f>IF(H74,An,'2024'!An_max)</f>
        <v>2022</v>
      </c>
      <c r="K74" s="199">
        <f t="shared" si="3"/>
        <v>45717</v>
      </c>
      <c r="L74" s="147">
        <f>IF(t&lt;Tvie,1-EXP((T0-t)*PertePVj)+'2024'!Pspv,1-EXP((T0-t)*PertePVj)+Pspv)</f>
        <v>5.4409087790709076E-2</v>
      </c>
      <c r="M74" s="872"/>
      <c r="N74" s="872"/>
      <c r="O74" s="48">
        <f>IF(t&lt;Tnet,'2024'!Resal+('2024'!Salim-'2024'!Resal)*(1-EXP(('2024'!Tnet-t)/('2024'!Tau_j))),Resal+(Salim-Resal)*(1-EXP((Tnet-t)/(Tau_j))))*Salcycl</f>
        <v>7.8296610292521843E-2</v>
      </c>
      <c r="P74" s="171">
        <f>(INDEX(Models!$BJ74:$BT74,,T74)*(1-R74)+INDEX(Models!$BJ74:$BT74,,T74+1)*R74-ERP_i)*Q74*Ramure*Pc/MaxiM</f>
        <v>4.357330663810649E-2</v>
      </c>
      <c r="Q74" s="307">
        <f t="shared" si="4"/>
        <v>0.9</v>
      </c>
      <c r="R74" s="179">
        <f t="shared" si="5"/>
        <v>0.8103488292660328</v>
      </c>
      <c r="S74" s="839">
        <f t="shared" si="6"/>
        <v>1</v>
      </c>
      <c r="T74" s="178">
        <f t="shared" si="7"/>
        <v>7</v>
      </c>
      <c r="U74" s="253">
        <f t="shared" si="8"/>
        <v>1.8103488292660328</v>
      </c>
      <c r="V74" s="385">
        <f t="shared" si="9"/>
        <v>31.208563446405755</v>
      </c>
      <c r="W74" s="404">
        <f t="shared" si="10"/>
        <v>30.974783592389983</v>
      </c>
      <c r="X74" s="157">
        <f t="shared" si="11"/>
        <v>45717</v>
      </c>
      <c r="Y74" s="387">
        <f t="shared" si="12"/>
        <v>28.794542702648052</v>
      </c>
      <c r="Z74" s="387">
        <f t="shared" si="22"/>
        <v>30.451374194546887</v>
      </c>
      <c r="AA74" s="388">
        <f t="shared" si="13"/>
        <v>35.539704007904064</v>
      </c>
      <c r="AB74" s="199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0.14317310611887848</v>
      </c>
      <c r="AD74" s="233">
        <f>(INDEX(Models!$BJ74:$BT74,,AH74)*(1-AF74)+INDEX(Models!$BJ74:$BT74,,AH74+1)*AF74-ERP_i)*AE74*Ramure*Pc/MaxiM</f>
        <v>4.357330663810649E-2</v>
      </c>
      <c r="AE74" s="307">
        <f t="shared" si="15"/>
        <v>0.9</v>
      </c>
      <c r="AF74" s="179">
        <f t="shared" si="23"/>
        <v>0.8103488292660328</v>
      </c>
      <c r="AG74" s="839">
        <f t="shared" si="24"/>
        <v>1</v>
      </c>
      <c r="AH74" s="178">
        <f t="shared" si="16"/>
        <v>7</v>
      </c>
      <c r="AI74" s="227">
        <f t="shared" si="17"/>
        <v>1.8103488292660328</v>
      </c>
      <c r="AJ74" s="267" t="b">
        <f t="shared" si="18"/>
        <v>0</v>
      </c>
      <c r="AK74" s="267" t="b">
        <f t="shared" si="19"/>
        <v>1</v>
      </c>
      <c r="AL74" s="267"/>
      <c r="AM74" s="267"/>
      <c r="AN74" s="75"/>
    </row>
    <row r="75" spans="1:40" s="6" customFormat="1" ht="11.25" x14ac:dyDescent="0.2">
      <c r="A75" s="56">
        <f t="shared" si="20"/>
        <v>45718</v>
      </c>
      <c r="B75" s="413">
        <f>'2024'!Wh/'2024'!Env_an*'2025'!Env_an</f>
        <v>14.394205442036837</v>
      </c>
      <c r="C75" s="868"/>
      <c r="D75" s="395">
        <f t="shared" si="0"/>
        <v>15.222799033030025</v>
      </c>
      <c r="E75" s="387">
        <f t="shared" si="1"/>
        <v>16.518750164157023</v>
      </c>
      <c r="F75" s="387">
        <f t="shared" si="2"/>
        <v>16.673756721934584</v>
      </c>
      <c r="G75" s="110">
        <f t="shared" si="21"/>
        <v>0.44014170946251197</v>
      </c>
      <c r="H75" s="416" t="b">
        <f>Wh_hp&gt;='2024'!Maxi_hp</f>
        <v>0</v>
      </c>
      <c r="I75" s="392">
        <f>IF(H75,Wh_hp,'2024'!Maxi_hp)</f>
        <v>26.224711056387971</v>
      </c>
      <c r="J75" s="85">
        <f>IF(H75,An,'2024'!An_max)</f>
        <v>2020</v>
      </c>
      <c r="K75" s="199">
        <f t="shared" si="3"/>
        <v>45718</v>
      </c>
      <c r="L75" s="147">
        <f>IF(t&lt;Tvie,1-EXP((T0-t)*PertePVj)+'2024'!Pspv,1-EXP((T0-t)*PertePVj)+Pspv)</f>
        <v>5.443109307265559E-2</v>
      </c>
      <c r="M75" s="872"/>
      <c r="N75" s="872"/>
      <c r="O75" s="48">
        <f>IF(t&lt;Tnet,'2024'!Resal+('2024'!Salim-'2024'!Resal)*(1-EXP(('2024'!Tnet-t)/('2024'!Tau_j))),Resal+(Salim-Resal)*(1-EXP((Tnet-t)/(Tau_j))))*Salcycl</f>
        <v>7.8453340491764362E-2</v>
      </c>
      <c r="P75" s="171">
        <f>(INDEX(Models!$BJ75:$BT75,,T75)*(1-R75)+INDEX(Models!$BJ75:$BT75,,T75+1)*R75-ERP_i)*Q75*Ramure*Pc/MaxiM</f>
        <v>4.1945711206278102E-2</v>
      </c>
      <c r="Q75" s="307">
        <f t="shared" si="4"/>
        <v>0.9</v>
      </c>
      <c r="R75" s="179">
        <f t="shared" si="5"/>
        <v>0.810797698622999</v>
      </c>
      <c r="S75" s="839">
        <f t="shared" si="6"/>
        <v>1</v>
      </c>
      <c r="T75" s="178">
        <f t="shared" si="7"/>
        <v>7</v>
      </c>
      <c r="U75" s="253">
        <f t="shared" si="8"/>
        <v>1.810797698622999</v>
      </c>
      <c r="V75" s="385">
        <f t="shared" si="9"/>
        <v>31.625803355820391</v>
      </c>
      <c r="W75" s="404">
        <f t="shared" si="10"/>
        <v>14.394205442036837</v>
      </c>
      <c r="X75" s="157">
        <f t="shared" si="11"/>
        <v>45718</v>
      </c>
      <c r="Y75" s="387">
        <f t="shared" si="12"/>
        <v>13.381951302160502</v>
      </c>
      <c r="Z75" s="387">
        <f t="shared" si="22"/>
        <v>14.152275105624581</v>
      </c>
      <c r="AA75" s="388">
        <f t="shared" si="13"/>
        <v>16.518750164157023</v>
      </c>
      <c r="AB75" s="199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0.14325993401530493</v>
      </c>
      <c r="AD75" s="233">
        <f>(INDEX(Models!$BJ75:$BT75,,AH75)*(1-AF75)+INDEX(Models!$BJ75:$BT75,,AH75+1)*AF75-ERP_i)*AE75*Ramure*Pc/MaxiM</f>
        <v>4.1945711206278102E-2</v>
      </c>
      <c r="AE75" s="307">
        <f t="shared" si="15"/>
        <v>0.9</v>
      </c>
      <c r="AF75" s="179">
        <f t="shared" si="23"/>
        <v>0.810797698622999</v>
      </c>
      <c r="AG75" s="839">
        <f t="shared" si="24"/>
        <v>1</v>
      </c>
      <c r="AH75" s="178">
        <f t="shared" si="16"/>
        <v>7</v>
      </c>
      <c r="AI75" s="227">
        <f t="shared" si="17"/>
        <v>1.810797698622999</v>
      </c>
      <c r="AJ75" s="267" t="b">
        <f t="shared" si="18"/>
        <v>0</v>
      </c>
      <c r="AK75" s="267" t="b">
        <f t="shared" si="19"/>
        <v>1</v>
      </c>
      <c r="AL75" s="267"/>
      <c r="AM75" s="267"/>
      <c r="AN75" s="75"/>
    </row>
    <row r="76" spans="1:40" s="6" customFormat="1" ht="11.25" x14ac:dyDescent="0.2">
      <c r="A76" s="56">
        <f t="shared" si="20"/>
        <v>45719</v>
      </c>
      <c r="B76" s="413">
        <f>'2024'!Wh/'2024'!Env_an*'2025'!Env_an</f>
        <v>29.783278365917461</v>
      </c>
      <c r="C76" s="868"/>
      <c r="D76" s="395">
        <f t="shared" si="0"/>
        <v>31.498467498502443</v>
      </c>
      <c r="E76" s="387">
        <f t="shared" si="1"/>
        <v>34.185811134224267</v>
      </c>
      <c r="F76" s="387">
        <f t="shared" si="2"/>
        <v>35.472537916771195</v>
      </c>
      <c r="G76" s="110">
        <f t="shared" si="21"/>
        <v>0.9255124983331614</v>
      </c>
      <c r="H76" s="416" t="b">
        <f>Wh_hp&gt;='2024'!Maxi_hp</f>
        <v>0</v>
      </c>
      <c r="I76" s="392">
        <f>IF(H76,Wh_hp,'2024'!Maxi_hp)</f>
        <v>35.584060448329645</v>
      </c>
      <c r="J76" s="85">
        <f>IF(H76,An,'2024'!An_max)</f>
        <v>2022</v>
      </c>
      <c r="K76" s="199">
        <f t="shared" si="3"/>
        <v>45719</v>
      </c>
      <c r="L76" s="147">
        <f>IF(t&lt;Tvie,1-EXP((T0-t)*PertePVj)+'2024'!Pspv,1-EXP((T0-t)*PertePVj)+Pspv)</f>
        <v>5.445309784250707E-2</v>
      </c>
      <c r="M76" s="872"/>
      <c r="N76" s="872"/>
      <c r="O76" s="48">
        <f>IF(t&lt;Tnet,'2024'!Resal+('2024'!Salim-'2024'!Resal)*(1-EXP(('2024'!Tnet-t)/('2024'!Tau_j))),Resal+(Salim-Resal)*(1-EXP((Tnet-t)/(Tau_j))))*Salcycl</f>
        <v>7.8609912901304729E-2</v>
      </c>
      <c r="P76" s="171">
        <f>(INDEX(Models!$BJ76:$BT76,,T76)*(1-R76)+INDEX(Models!$BJ76:$BT76,,T76+1)*R76-ERP_i)*Q76*Ramure*Pc/MaxiM</f>
        <v>4.0340531407181419E-2</v>
      </c>
      <c r="Q76" s="307">
        <f t="shared" si="4"/>
        <v>0.9</v>
      </c>
      <c r="R76" s="179">
        <f t="shared" si="5"/>
        <v>0.81126477839680011</v>
      </c>
      <c r="S76" s="839">
        <f t="shared" si="6"/>
        <v>1</v>
      </c>
      <c r="T76" s="178">
        <f t="shared" si="7"/>
        <v>7</v>
      </c>
      <c r="U76" s="253">
        <f t="shared" si="8"/>
        <v>1.8112647783968001</v>
      </c>
      <c r="V76" s="385">
        <f t="shared" si="9"/>
        <v>32.044517592610028</v>
      </c>
      <c r="W76" s="404">
        <f t="shared" si="10"/>
        <v>29.783278365917461</v>
      </c>
      <c r="X76" s="157">
        <f t="shared" si="11"/>
        <v>45719</v>
      </c>
      <c r="Y76" s="387">
        <f t="shared" si="12"/>
        <v>27.690708311590015</v>
      </c>
      <c r="Z76" s="387">
        <f t="shared" si="22"/>
        <v>29.285388433304576</v>
      </c>
      <c r="AA76" s="388">
        <f t="shared" si="13"/>
        <v>34.185811134224267</v>
      </c>
      <c r="AB76" s="199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0.14334668502318365</v>
      </c>
      <c r="AD76" s="233">
        <f>(INDEX(Models!$BJ76:$BT76,,AH76)*(1-AF76)+INDEX(Models!$BJ76:$BT76,,AH76+1)*AF76-ERP_i)*AE76*Ramure*Pc/MaxiM</f>
        <v>4.0340531407181419E-2</v>
      </c>
      <c r="AE76" s="307">
        <f t="shared" si="15"/>
        <v>0.9</v>
      </c>
      <c r="AF76" s="179">
        <f t="shared" si="23"/>
        <v>0.81126477839680011</v>
      </c>
      <c r="AG76" s="839">
        <f t="shared" si="24"/>
        <v>1</v>
      </c>
      <c r="AH76" s="178">
        <f t="shared" si="16"/>
        <v>7</v>
      </c>
      <c r="AI76" s="227">
        <f t="shared" si="17"/>
        <v>1.8112647783968001</v>
      </c>
      <c r="AJ76" s="267" t="b">
        <f t="shared" si="18"/>
        <v>0</v>
      </c>
      <c r="AK76" s="267" t="b">
        <f t="shared" si="19"/>
        <v>1</v>
      </c>
      <c r="AL76" s="267"/>
      <c r="AM76" s="267"/>
      <c r="AN76" s="75"/>
    </row>
    <row r="77" spans="1:40" s="6" customFormat="1" ht="11.25" x14ac:dyDescent="0.2">
      <c r="A77" s="56">
        <f t="shared" si="20"/>
        <v>45720</v>
      </c>
      <c r="B77" s="413">
        <f>'2024'!Wh/'2024'!Env_an*'2025'!Env_an</f>
        <v>5.6671893152408446</v>
      </c>
      <c r="C77" s="868"/>
      <c r="D77" s="395">
        <f t="shared" si="0"/>
        <v>5.9936965465735046</v>
      </c>
      <c r="E77" s="387">
        <f t="shared" si="1"/>
        <v>6.506163229796182</v>
      </c>
      <c r="F77" s="387">
        <f t="shared" si="2"/>
        <v>6.506163229796182</v>
      </c>
      <c r="G77" s="110">
        <f t="shared" si="21"/>
        <v>0.16780094167566448</v>
      </c>
      <c r="H77" s="416" t="b">
        <f>Wh_hp&gt;='2024'!Maxi_hp</f>
        <v>0</v>
      </c>
      <c r="I77" s="392">
        <f>IF(H77,Wh_hp,'2024'!Maxi_hp)</f>
        <v>29.708311263077956</v>
      </c>
      <c r="J77" s="85">
        <f>IF(H77,An,'2024'!An_max)</f>
        <v>2021</v>
      </c>
      <c r="K77" s="199">
        <f t="shared" si="3"/>
        <v>45720</v>
      </c>
      <c r="L77" s="147">
        <f>IF(t&lt;Tvie,1-EXP((T0-t)*PertePVj)+'2024'!Pspv,1-EXP((T0-t)*PertePVj)+Pspv)</f>
        <v>5.4475102100275397E-2</v>
      </c>
      <c r="M77" s="872"/>
      <c r="N77" s="872"/>
      <c r="O77" s="48">
        <f>IF(t&lt;Tnet,'2024'!Resal+('2024'!Salim-'2024'!Resal)*(1-EXP(('2024'!Tnet-t)/('2024'!Tau_j))),Resal+(Salim-Resal)*(1-EXP((Tnet-t)/(Tau_j))))*Salcycl</f>
        <v>7.8766342792591121E-2</v>
      </c>
      <c r="P77" s="171">
        <f>(INDEX(Models!$BJ77:$BT77,,T77)*(1-R77)+INDEX(Models!$BJ77:$BT77,,T77+1)*R77-ERP_i)*Q77*Ramure*Pc/MaxiM</f>
        <v>3.8757564390858611E-2</v>
      </c>
      <c r="Q77" s="307">
        <f t="shared" si="4"/>
        <v>0.9</v>
      </c>
      <c r="R77" s="179">
        <f t="shared" si="5"/>
        <v>0.81175078075993756</v>
      </c>
      <c r="S77" s="839">
        <f t="shared" si="6"/>
        <v>1</v>
      </c>
      <c r="T77" s="178">
        <f t="shared" si="7"/>
        <v>7</v>
      </c>
      <c r="U77" s="253">
        <f t="shared" si="8"/>
        <v>1.8117507807599376</v>
      </c>
      <c r="V77" s="385">
        <f t="shared" si="9"/>
        <v>32.46431638607573</v>
      </c>
      <c r="W77" s="404">
        <f t="shared" si="10"/>
        <v>5.6671893152408446</v>
      </c>
      <c r="X77" s="157">
        <f t="shared" si="11"/>
        <v>45720</v>
      </c>
      <c r="Y77" s="387">
        <f t="shared" si="12"/>
        <v>5.2693745184580898</v>
      </c>
      <c r="Z77" s="387">
        <f t="shared" si="22"/>
        <v>5.5729622034944244</v>
      </c>
      <c r="AA77" s="388">
        <f t="shared" si="13"/>
        <v>6.506163229796182</v>
      </c>
      <c r="AB77" s="199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0.14343338667372968</v>
      </c>
      <c r="AD77" s="233">
        <f>(INDEX(Models!$BJ77:$BT77,,AH77)*(1-AF77)+INDEX(Models!$BJ77:$BT77,,AH77+1)*AF77-ERP_i)*AE77*Ramure*Pc/MaxiM</f>
        <v>3.8757564390858611E-2</v>
      </c>
      <c r="AE77" s="307">
        <f t="shared" si="15"/>
        <v>0.9</v>
      </c>
      <c r="AF77" s="179">
        <f t="shared" si="23"/>
        <v>0.81175078075993756</v>
      </c>
      <c r="AG77" s="839">
        <f t="shared" si="24"/>
        <v>1</v>
      </c>
      <c r="AH77" s="178">
        <f t="shared" si="16"/>
        <v>7</v>
      </c>
      <c r="AI77" s="227">
        <f t="shared" si="17"/>
        <v>1.8117507807599376</v>
      </c>
      <c r="AJ77" s="267" t="b">
        <f t="shared" si="18"/>
        <v>0</v>
      </c>
      <c r="AK77" s="267" t="b">
        <f t="shared" si="19"/>
        <v>1</v>
      </c>
      <c r="AL77" s="267"/>
      <c r="AM77" s="267"/>
      <c r="AN77" s="75"/>
    </row>
    <row r="78" spans="1:40" s="6" customFormat="1" ht="11.25" x14ac:dyDescent="0.2">
      <c r="A78" s="56">
        <f t="shared" si="20"/>
        <v>45721</v>
      </c>
      <c r="B78" s="413">
        <f>'2024'!Wh/'2024'!Env_an*'2025'!Env_an</f>
        <v>12.715299725299568</v>
      </c>
      <c r="C78" s="868"/>
      <c r="D78" s="395">
        <f t="shared" si="0"/>
        <v>13.448186995425713</v>
      </c>
      <c r="E78" s="387">
        <f t="shared" si="1"/>
        <v>14.600496866376252</v>
      </c>
      <c r="F78" s="387">
        <f t="shared" si="2"/>
        <v>14.668043602732029</v>
      </c>
      <c r="G78" s="110">
        <f t="shared" si="21"/>
        <v>0.37400160132459637</v>
      </c>
      <c r="H78" s="416" t="b">
        <f>Wh_hp&gt;='2024'!Maxi_hp</f>
        <v>0</v>
      </c>
      <c r="I78" s="392">
        <f>IF(H78,Wh_hp,'2024'!Maxi_hp)</f>
        <v>38.591105820273576</v>
      </c>
      <c r="J78" s="85">
        <f>IF(H78,An,'2024'!An_max)</f>
        <v>2019</v>
      </c>
      <c r="K78" s="199">
        <f t="shared" si="3"/>
        <v>45721</v>
      </c>
      <c r="L78" s="147">
        <f>IF(t&lt;Tvie,1-EXP((T0-t)*PertePVj)+'2024'!Pspv,1-EXP((T0-t)*PertePVj)+Pspv)</f>
        <v>5.4497105845972449E-2</v>
      </c>
      <c r="M78" s="872"/>
      <c r="N78" s="872"/>
      <c r="O78" s="48">
        <f>IF(t&lt;Tnet,'2024'!Resal+('2024'!Salim-'2024'!Resal)*(1-EXP(('2024'!Tnet-t)/('2024'!Tau_j))),Resal+(Salim-Resal)*(1-EXP((Tnet-t)/(Tau_j))))*Salcycl</f>
        <v>7.8922647735654439E-2</v>
      </c>
      <c r="P78" s="171">
        <f>(INDEX(Models!$BJ78:$BT78,,T78)*(1-R78)+INDEX(Models!$BJ78:$BT78,,T78+1)*R78-ERP_i)*Q78*Ramure*Pc/MaxiM</f>
        <v>3.719653962057691E-2</v>
      </c>
      <c r="Q78" s="307">
        <f t="shared" si="4"/>
        <v>0.9</v>
      </c>
      <c r="R78" s="179">
        <f t="shared" si="5"/>
        <v>0.81225644350059145</v>
      </c>
      <c r="S78" s="839">
        <f t="shared" si="6"/>
        <v>1</v>
      </c>
      <c r="T78" s="178">
        <f t="shared" si="7"/>
        <v>7</v>
      </c>
      <c r="U78" s="253">
        <f t="shared" si="8"/>
        <v>1.8122564435005915</v>
      </c>
      <c r="V78" s="385">
        <f t="shared" si="9"/>
        <v>32.884810193177273</v>
      </c>
      <c r="W78" s="404">
        <f t="shared" si="10"/>
        <v>12.715299725299568</v>
      </c>
      <c r="X78" s="157">
        <f t="shared" si="11"/>
        <v>45721</v>
      </c>
      <c r="Y78" s="387">
        <f t="shared" si="12"/>
        <v>11.823544445180953</v>
      </c>
      <c r="Z78" s="387">
        <f t="shared" si="22"/>
        <v>12.50503252637832</v>
      </c>
      <c r="AA78" s="388">
        <f t="shared" si="13"/>
        <v>14.600496866376252</v>
      </c>
      <c r="AB78" s="199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0.14352007052743629</v>
      </c>
      <c r="AD78" s="233">
        <f>(INDEX(Models!$BJ78:$BT78,,AH78)*(1-AF78)+INDEX(Models!$BJ78:$BT78,,AH78+1)*AF78-ERP_i)*AE78*Ramure*Pc/MaxiM</f>
        <v>3.719653962057691E-2</v>
      </c>
      <c r="AE78" s="307">
        <f t="shared" si="15"/>
        <v>0.9</v>
      </c>
      <c r="AF78" s="179">
        <f t="shared" si="23"/>
        <v>0.81225644350059145</v>
      </c>
      <c r="AG78" s="839">
        <f t="shared" si="24"/>
        <v>1</v>
      </c>
      <c r="AH78" s="178">
        <f t="shared" si="16"/>
        <v>7</v>
      </c>
      <c r="AI78" s="227">
        <f t="shared" si="17"/>
        <v>1.8122564435005915</v>
      </c>
      <c r="AJ78" s="267" t="b">
        <f t="shared" si="18"/>
        <v>0</v>
      </c>
      <c r="AK78" s="267" t="b">
        <f t="shared" si="19"/>
        <v>1</v>
      </c>
      <c r="AL78" s="267"/>
      <c r="AM78" s="267"/>
      <c r="AN78" s="75"/>
    </row>
    <row r="79" spans="1:40" s="6" customFormat="1" ht="11.25" x14ac:dyDescent="0.2">
      <c r="A79" s="56">
        <f t="shared" si="20"/>
        <v>45722</v>
      </c>
      <c r="B79" s="413">
        <f>'2024'!Wh/'2024'!Env_an*'2025'!Env_an</f>
        <v>18.672017934666183</v>
      </c>
      <c r="C79" s="868"/>
      <c r="D79" s="395">
        <f t="shared" ref="D79:D142" si="25">Wh/(1-Ppv)</f>
        <v>19.748699433247861</v>
      </c>
      <c r="E79" s="387">
        <f t="shared" si="1"/>
        <v>21.444506276887534</v>
      </c>
      <c r="F79" s="387">
        <f t="shared" ref="F79:F142" si="26">Wh_sa/(1-Pvg*MEDIAN((-Sdif+Wh/Env_an)/Csdif,0,1))</f>
        <v>21.732972814052374</v>
      </c>
      <c r="G79" s="110">
        <f t="shared" si="21"/>
        <v>0.54787342682699758</v>
      </c>
      <c r="H79" s="416" t="b">
        <f>Wh_hp&gt;='2024'!Maxi_hp</f>
        <v>0</v>
      </c>
      <c r="I79" s="392">
        <f>IF(H79,Wh_hp,'2024'!Maxi_hp)</f>
        <v>24.167812123505598</v>
      </c>
      <c r="J79" s="85">
        <f>IF(H79,An,'2024'!An_max)</f>
        <v>2019</v>
      </c>
      <c r="K79" s="199">
        <f t="shared" ref="K79:K142" si="27">t</f>
        <v>45722</v>
      </c>
      <c r="L79" s="147">
        <f>IF(t&lt;Tvie,1-EXP((T0-t)*PertePVj)+'2024'!Pspv,1-EXP((T0-t)*PertePVj)+Pspv)</f>
        <v>5.4519109079610328E-2</v>
      </c>
      <c r="M79" s="872"/>
      <c r="N79" s="872"/>
      <c r="O79" s="48">
        <f>IF(t&lt;Tnet,'2024'!Resal+('2024'!Salim-'2024'!Resal)*(1-EXP(('2024'!Tnet-t)/('2024'!Tau_j))),Resal+(Salim-Resal)*(1-EXP((Tnet-t)/(Tau_j))))*Salcycl</f>
        <v>7.9078847595916948E-2</v>
      </c>
      <c r="P79" s="171">
        <f>(INDEX(Models!$BJ79:$BT79,,T79)*(1-R79)+INDEX(Models!$BJ79:$BT79,,T79+1)*R79-ERP_i)*Q79*Ramure*Pc/MaxiM</f>
        <v>3.565481050554372E-2</v>
      </c>
      <c r="Q79" s="307">
        <f t="shared" ref="Q79:Q142" si="28">IF(OR(t&lt;Ttai,Notai),Dd+PousD*Croivg,Dens+PousD*(Croivg-Croi_tai))</f>
        <v>0.9</v>
      </c>
      <c r="R79" s="179">
        <f t="shared" ref="R79:R142" si="29">(Hp_vg-S79)/(INDEX(Echel_vg,T79+1)-S79)</f>
        <v>0.81278253075444895</v>
      </c>
      <c r="S79" s="839">
        <f t="shared" ref="S79:S142" si="30">INDEX(Echel_vg,T79)</f>
        <v>1</v>
      </c>
      <c r="T79" s="178">
        <f t="shared" ref="T79:T142" si="31">MIN(MATCH(Hp_vg,Echel_vg),10)</f>
        <v>7</v>
      </c>
      <c r="U79" s="253">
        <f t="shared" ref="U79:U142" si="32">IF(OR(t&lt;Ttai,Notai),Hdd+PousH*Croivg,Hdtf+PousH*(Croivg-Croi_tai))</f>
        <v>1.812782530754449</v>
      </c>
      <c r="V79" s="385">
        <f t="shared" ref="V79:V142" si="33">MaxiM*(1-Ppv)*(1-Pvg)*(1-Psa)</f>
        <v>33.307851717525921</v>
      </c>
      <c r="W79" s="404">
        <f t="shared" ref="W79:W142" si="34">Wh*(A79&gt;Tmaj)</f>
        <v>18.672017934666183</v>
      </c>
      <c r="X79" s="157">
        <f t="shared" ref="X79:X142" si="35">t</f>
        <v>45722</v>
      </c>
      <c r="Y79" s="387">
        <f t="shared" ref="Y79:Y142" si="36">Wh_pvt_s*(1-Ppv)</f>
        <v>17.363690331096343</v>
      </c>
      <c r="Z79" s="387">
        <f t="shared" ref="Z79:Z142" si="37">Wh_sa_s*(1-Psa_s)</f>
        <v>18.364929950295931</v>
      </c>
      <c r="AA79" s="388">
        <f t="shared" ref="AA79:AA142" si="38">Wh_hp*(1-Pvg_s*MEDIAN((-Sdif+Wh/Env_an)/Csdif,0,1))</f>
        <v>21.444506276887534</v>
      </c>
      <c r="AB79" s="199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0.14360677214148368</v>
      </c>
      <c r="AD79" s="233">
        <f>(INDEX(Models!$BJ79:$BT79,,AH79)*(1-AF79)+INDEX(Models!$BJ79:$BT79,,AH79+1)*AF79-ERP_i)*AE79*Ramure*Pc/MaxiM</f>
        <v>3.565481050554372E-2</v>
      </c>
      <c r="AE79" s="307">
        <f t="shared" ref="AE79:AE142" si="40">IF(OR(t&lt;Ttai,Notai),Dd_s+PousD*Croivg,Dens_s+PousD*(Croivg-Croi_tai))</f>
        <v>0.9</v>
      </c>
      <c r="AF79" s="179">
        <f t="shared" ref="AF79:AF142" si="41">(Hp_vg_s-AG79)/(INDEX(Echel_vg,AH79+1)-AG79)</f>
        <v>0.81278253075444895</v>
      </c>
      <c r="AG79" s="839">
        <f t="shared" si="24"/>
        <v>1</v>
      </c>
      <c r="AH79" s="178">
        <f t="shared" ref="AH79:AH142" si="42">MIN(MATCH(Hp_vg_s,Echel_vg),10)</f>
        <v>7</v>
      </c>
      <c r="AI79" s="227">
        <f t="shared" ref="AI79:AI142" si="43">IF(OR(t&lt;Ttai,Notai),Hdd_s+PousH*Croivg,Hdtai_s+PousH*(Croivg-Croi_tai))</f>
        <v>1.812782530754449</v>
      </c>
      <c r="AJ79" s="267" t="b">
        <f t="shared" ref="AJ79:AJ142" si="44">t&lt;Tnet</f>
        <v>0</v>
      </c>
      <c r="AK79" s="267" t="b">
        <f t="shared" ref="AK79:AK142" si="45">t&lt;Ttai</f>
        <v>1</v>
      </c>
      <c r="AL79" s="267"/>
      <c r="AM79" s="267"/>
      <c r="AN79" s="75"/>
    </row>
    <row r="80" spans="1:40" s="6" customFormat="1" ht="11.25" x14ac:dyDescent="0.2">
      <c r="A80" s="56">
        <f t="shared" ref="A80:A143" si="46">A79+1</f>
        <v>45723</v>
      </c>
      <c r="B80" s="413">
        <f>'2024'!Wh/'2024'!Env_an*'2025'!Env_an</f>
        <v>31.872320174744992</v>
      </c>
      <c r="C80" s="868"/>
      <c r="D80" s="395">
        <f t="shared" si="25"/>
        <v>33.710953033045342</v>
      </c>
      <c r="E80" s="387">
        <f t="shared" ref="E80:E143" si="47">Wh_pvt/(1-Psa)</f>
        <v>36.611895254414748</v>
      </c>
      <c r="F80" s="387">
        <f t="shared" si="26"/>
        <v>37.800860077010618</v>
      </c>
      <c r="G80" s="110">
        <f t="shared" ref="G80:G143" si="48">+Wh_hp/MaxiM</f>
        <v>0.94216917402780032</v>
      </c>
      <c r="H80" s="416" t="b">
        <f>Wh_hp&gt;='2024'!Maxi_hp</f>
        <v>0</v>
      </c>
      <c r="I80" s="392">
        <f>IF(H80,Wh_hp,'2024'!Maxi_hp)</f>
        <v>37.878473795726443</v>
      </c>
      <c r="J80" s="85">
        <f>IF(H80,An,'2024'!An_max)</f>
        <v>2022</v>
      </c>
      <c r="K80" s="199">
        <f t="shared" si="27"/>
        <v>45723</v>
      </c>
      <c r="L80" s="147">
        <f>IF(t&lt;Tvie,1-EXP((T0-t)*PertePVj)+'2024'!Pspv,1-EXP((T0-t)*PertePVj)+Pspv)</f>
        <v>5.4541111801200692E-2</v>
      </c>
      <c r="M80" s="872"/>
      <c r="N80" s="872"/>
      <c r="O80" s="48">
        <f>IF(t&lt;Tnet,'2024'!Resal+('2024'!Salim-'2024'!Resal)*(1-EXP(('2024'!Tnet-t)/('2024'!Tau_j))),Resal+(Salim-Resal)*(1-EXP((Tnet-t)/(Tau_j))))*Salcycl</f>
        <v>7.9234964516610246E-2</v>
      </c>
      <c r="P80" s="171">
        <f>(INDEX(Models!$BJ80:$BT80,,T80)*(1-R80)+INDEX(Models!$BJ80:$BT80,,T80+1)*R80-ERP_i)*Q80*Ramure*Pc/MaxiM</f>
        <v>3.4146250552464584E-2</v>
      </c>
      <c r="Q80" s="307">
        <f t="shared" si="28"/>
        <v>0.9</v>
      </c>
      <c r="R80" s="179">
        <f t="shared" si="29"/>
        <v>0.8133298337406587</v>
      </c>
      <c r="S80" s="839">
        <f t="shared" si="30"/>
        <v>1</v>
      </c>
      <c r="T80" s="178">
        <f t="shared" si="31"/>
        <v>7</v>
      </c>
      <c r="U80" s="253">
        <f t="shared" si="32"/>
        <v>1.8133298337406587</v>
      </c>
      <c r="V80" s="385">
        <f t="shared" si="33"/>
        <v>33.734604966658566</v>
      </c>
      <c r="W80" s="404">
        <f t="shared" si="34"/>
        <v>31.872320174744992</v>
      </c>
      <c r="X80" s="157">
        <f t="shared" si="35"/>
        <v>45723</v>
      </c>
      <c r="Y80" s="387">
        <f t="shared" si="36"/>
        <v>29.641084202310765</v>
      </c>
      <c r="Z80" s="387">
        <f t="shared" si="37"/>
        <v>31.35100274828471</v>
      </c>
      <c r="AA80" s="388">
        <f t="shared" si="38"/>
        <v>36.611895254414748</v>
      </c>
      <c r="AB80" s="199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0.14369353101150009</v>
      </c>
      <c r="AD80" s="233">
        <f>(INDEX(Models!$BJ80:$BT80,,AH80)*(1-AF80)+INDEX(Models!$BJ80:$BT80,,AH80+1)*AF80-ERP_i)*AE80*Ramure*Pc/MaxiM</f>
        <v>3.4146250552464584E-2</v>
      </c>
      <c r="AE80" s="307">
        <f t="shared" si="40"/>
        <v>0.9</v>
      </c>
      <c r="AF80" s="179">
        <f t="shared" si="41"/>
        <v>0.8133298337406587</v>
      </c>
      <c r="AG80" s="839">
        <f t="shared" ref="AG80:AG143" si="49">INDEX(Echel_vg,AH80)</f>
        <v>1</v>
      </c>
      <c r="AH80" s="178">
        <f t="shared" si="42"/>
        <v>7</v>
      </c>
      <c r="AI80" s="227">
        <f t="shared" si="43"/>
        <v>1.8133298337406587</v>
      </c>
      <c r="AJ80" s="267" t="b">
        <f t="shared" si="44"/>
        <v>0</v>
      </c>
      <c r="AK80" s="267" t="b">
        <f t="shared" si="45"/>
        <v>1</v>
      </c>
      <c r="AL80" s="267"/>
      <c r="AM80" s="267"/>
      <c r="AN80" s="75"/>
    </row>
    <row r="81" spans="1:40" s="6" customFormat="1" ht="11.25" x14ac:dyDescent="0.2">
      <c r="A81" s="56">
        <f t="shared" si="46"/>
        <v>45724</v>
      </c>
      <c r="B81" s="413">
        <f>'2024'!Wh/'2024'!Env_an*'2025'!Env_an</f>
        <v>25.742594454925161</v>
      </c>
      <c r="C81" s="868"/>
      <c r="D81" s="395">
        <f t="shared" si="25"/>
        <v>27.228252711961588</v>
      </c>
      <c r="E81" s="387">
        <f t="shared" si="47"/>
        <v>29.576349339277677</v>
      </c>
      <c r="F81" s="387">
        <f t="shared" si="26"/>
        <v>30.216025546898372</v>
      </c>
      <c r="G81" s="110">
        <f t="shared" si="48"/>
        <v>0.74463688000500872</v>
      </c>
      <c r="H81" s="416" t="b">
        <f>Wh_hp&gt;='2024'!Maxi_hp</f>
        <v>0</v>
      </c>
      <c r="I81" s="392">
        <f>IF(H81,Wh_hp,'2024'!Maxi_hp)</f>
        <v>30.478520113862707</v>
      </c>
      <c r="J81" s="85">
        <f>IF(H81,An,'2024'!An_max)</f>
        <v>2022</v>
      </c>
      <c r="K81" s="199">
        <f t="shared" si="27"/>
        <v>45724</v>
      </c>
      <c r="L81" s="147">
        <f>IF(t&lt;Tvie,1-EXP((T0-t)*PertePVj)+'2024'!Pspv,1-EXP((T0-t)*PertePVj)+Pspv)</f>
        <v>5.4563114010755642E-2</v>
      </c>
      <c r="M81" s="872"/>
      <c r="N81" s="872"/>
      <c r="O81" s="48">
        <f>IF(t&lt;Tnet,'2024'!Resal+('2024'!Salim-'2024'!Resal)*(1-EXP(('2024'!Tnet-t)/('2024'!Tau_j))),Resal+(Salim-Resal)*(1-EXP((Tnet-t)/(Tau_j))))*Salcycl</f>
        <v>7.9391022887256552E-2</v>
      </c>
      <c r="P81" s="171">
        <f>(INDEX(Models!$BJ81:$BT81,,T81)*(1-R81)+INDEX(Models!$BJ81:$BT81,,T81+1)*R81-ERP_i)*Q81*Ramure*Pc/MaxiM</f>
        <v>3.2677457006511847E-2</v>
      </c>
      <c r="Q81" s="307">
        <f t="shared" si="28"/>
        <v>0.9</v>
      </c>
      <c r="R81" s="179">
        <f t="shared" si="29"/>
        <v>0.8138991715001529</v>
      </c>
      <c r="S81" s="839">
        <f t="shared" si="30"/>
        <v>1</v>
      </c>
      <c r="T81" s="178">
        <f t="shared" si="31"/>
        <v>7</v>
      </c>
      <c r="U81" s="253">
        <f t="shared" si="32"/>
        <v>1.8138991715001529</v>
      </c>
      <c r="V81" s="385">
        <f t="shared" si="33"/>
        <v>34.164247048950109</v>
      </c>
      <c r="W81" s="404">
        <f t="shared" si="34"/>
        <v>25.742594454925161</v>
      </c>
      <c r="X81" s="157">
        <f t="shared" si="35"/>
        <v>45724</v>
      </c>
      <c r="Y81" s="387">
        <f t="shared" si="36"/>
        <v>23.942102151914501</v>
      </c>
      <c r="Z81" s="387">
        <f t="shared" si="37"/>
        <v>25.323850282045029</v>
      </c>
      <c r="AA81" s="388">
        <f t="shared" si="38"/>
        <v>29.576349339277677</v>
      </c>
      <c r="AB81" s="199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0.14378039048873714</v>
      </c>
      <c r="AD81" s="233">
        <f>(INDEX(Models!$BJ81:$BT81,,AH81)*(1-AF81)+INDEX(Models!$BJ81:$BT81,,AH81+1)*AF81-ERP_i)*AE81*Ramure*Pc/MaxiM</f>
        <v>3.2677457006511847E-2</v>
      </c>
      <c r="AE81" s="307">
        <f t="shared" si="40"/>
        <v>0.9</v>
      </c>
      <c r="AF81" s="179">
        <f t="shared" si="41"/>
        <v>0.8138991715001529</v>
      </c>
      <c r="AG81" s="839">
        <f t="shared" si="49"/>
        <v>1</v>
      </c>
      <c r="AH81" s="178">
        <f t="shared" si="42"/>
        <v>7</v>
      </c>
      <c r="AI81" s="227">
        <f t="shared" si="43"/>
        <v>1.8138991715001529</v>
      </c>
      <c r="AJ81" s="267" t="b">
        <f t="shared" si="44"/>
        <v>0</v>
      </c>
      <c r="AK81" s="267" t="b">
        <f t="shared" si="45"/>
        <v>1</v>
      </c>
      <c r="AL81" s="267"/>
      <c r="AM81" s="267"/>
      <c r="AN81" s="75"/>
    </row>
    <row r="82" spans="1:40" s="6" customFormat="1" ht="11.25" x14ac:dyDescent="0.2">
      <c r="A82" s="56">
        <f t="shared" si="46"/>
        <v>45725</v>
      </c>
      <c r="B82" s="413">
        <f>'2024'!Wh/'2024'!Env_an*'2025'!Env_an</f>
        <v>26.835657864379119</v>
      </c>
      <c r="C82" s="868"/>
      <c r="D82" s="395">
        <f t="shared" si="25"/>
        <v>28.385059628592462</v>
      </c>
      <c r="E82" s="387">
        <f t="shared" si="47"/>
        <v>30.838142902326865</v>
      </c>
      <c r="F82" s="387">
        <f t="shared" si="26"/>
        <v>31.507179174007909</v>
      </c>
      <c r="G82" s="110">
        <f t="shared" si="48"/>
        <v>0.76774654082390836</v>
      </c>
      <c r="H82" s="416" t="b">
        <f>Wh_hp&gt;='2024'!Maxi_hp</f>
        <v>0</v>
      </c>
      <c r="I82" s="392">
        <f>IF(H82,Wh_hp,'2024'!Maxi_hp)</f>
        <v>39.141345127163731</v>
      </c>
      <c r="J82" s="85">
        <f>IF(H82,An,'2024'!An_max)</f>
        <v>2021</v>
      </c>
      <c r="K82" s="199">
        <f t="shared" si="27"/>
        <v>45725</v>
      </c>
      <c r="L82" s="147">
        <f>IF(t&lt;Tvie,1-EXP((T0-t)*PertePVj)+'2024'!Pspv,1-EXP((T0-t)*PertePVj)+Pspv)</f>
        <v>5.4585115708286946E-2</v>
      </c>
      <c r="M82" s="872"/>
      <c r="N82" s="872"/>
      <c r="O82" s="48">
        <f>IF(t&lt;Tnet,'2024'!Resal+('2024'!Salim-'2024'!Resal)*(1-EXP(('2024'!Tnet-t)/('2024'!Tau_j))),Resal+(Salim-Resal)*(1-EXP((Tnet-t)/(Tau_j))))*Salcycl</f>
        <v>7.9547049298785963E-2</v>
      </c>
      <c r="P82" s="171">
        <f>(INDEX(Models!$BJ82:$BT82,,T82)*(1-R82)+INDEX(Models!$BJ82:$BT82,,T82+1)*R82-ERP_i)*Q82*Ramure*Pc/MaxiM</f>
        <v>3.1247921485893289E-2</v>
      </c>
      <c r="Q82" s="307">
        <f t="shared" si="28"/>
        <v>0.9</v>
      </c>
      <c r="R82" s="179">
        <f t="shared" si="29"/>
        <v>0.81449139163437456</v>
      </c>
      <c r="S82" s="839">
        <f t="shared" si="30"/>
        <v>1</v>
      </c>
      <c r="T82" s="178">
        <f t="shared" si="31"/>
        <v>7</v>
      </c>
      <c r="U82" s="253">
        <f t="shared" si="32"/>
        <v>1.8144913916343746</v>
      </c>
      <c r="V82" s="385">
        <f t="shared" si="33"/>
        <v>34.596194603349616</v>
      </c>
      <c r="W82" s="404">
        <f t="shared" si="34"/>
        <v>26.835657864379119</v>
      </c>
      <c r="X82" s="157">
        <f t="shared" si="35"/>
        <v>45725</v>
      </c>
      <c r="Y82" s="387">
        <f t="shared" si="36"/>
        <v>24.960408443539141</v>
      </c>
      <c r="Z82" s="387">
        <f t="shared" si="37"/>
        <v>26.401539533872484</v>
      </c>
      <c r="AA82" s="388">
        <f t="shared" si="38"/>
        <v>30.838142902326865</v>
      </c>
      <c r="AB82" s="199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0.14386739767392487</v>
      </c>
      <c r="AD82" s="233">
        <f>(INDEX(Models!$BJ82:$BT82,,AH82)*(1-AF82)+INDEX(Models!$BJ82:$BT82,,AH82+1)*AF82-ERP_i)*AE82*Ramure*Pc/MaxiM</f>
        <v>3.1247921485893289E-2</v>
      </c>
      <c r="AE82" s="307">
        <f t="shared" si="40"/>
        <v>0.9</v>
      </c>
      <c r="AF82" s="179">
        <f t="shared" si="41"/>
        <v>0.81449139163437456</v>
      </c>
      <c r="AG82" s="839">
        <f t="shared" si="49"/>
        <v>1</v>
      </c>
      <c r="AH82" s="178">
        <f t="shared" si="42"/>
        <v>7</v>
      </c>
      <c r="AI82" s="227">
        <f t="shared" si="43"/>
        <v>1.8144913916343746</v>
      </c>
      <c r="AJ82" s="267" t="b">
        <f t="shared" si="44"/>
        <v>0</v>
      </c>
      <c r="AK82" s="267" t="b">
        <f t="shared" si="45"/>
        <v>1</v>
      </c>
      <c r="AL82" s="267"/>
      <c r="AM82" s="267"/>
      <c r="AN82" s="75"/>
    </row>
    <row r="83" spans="1:40" s="6" customFormat="1" ht="11.25" x14ac:dyDescent="0.2">
      <c r="A83" s="56">
        <f t="shared" si="46"/>
        <v>45726</v>
      </c>
      <c r="B83" s="413">
        <f>'2024'!Wh/'2024'!Env_an*'2025'!Env_an</f>
        <v>18.846134144305438</v>
      </c>
      <c r="C83" s="868"/>
      <c r="D83" s="395">
        <f t="shared" si="25"/>
        <v>19.934711251881197</v>
      </c>
      <c r="E83" s="387">
        <f t="shared" si="47"/>
        <v>21.661173319061625</v>
      </c>
      <c r="F83" s="387">
        <f t="shared" si="26"/>
        <v>21.883321304746872</v>
      </c>
      <c r="G83" s="110">
        <f t="shared" si="48"/>
        <v>0.52729155161048569</v>
      </c>
      <c r="H83" s="416" t="b">
        <f>Wh_hp&gt;='2024'!Maxi_hp</f>
        <v>0</v>
      </c>
      <c r="I83" s="392">
        <f>IF(H83,Wh_hp,'2024'!Maxi_hp)</f>
        <v>39.134897044525324</v>
      </c>
      <c r="J83" s="85">
        <f>IF(H83,An,'2024'!An_max)</f>
        <v>2021</v>
      </c>
      <c r="K83" s="199">
        <f t="shared" si="27"/>
        <v>45726</v>
      </c>
      <c r="L83" s="147">
        <f>IF(t&lt;Tvie,1-EXP((T0-t)*PertePVj)+'2024'!Pspv,1-EXP((T0-t)*PertePVj)+Pspv)</f>
        <v>5.4607116893806706E-2</v>
      </c>
      <c r="M83" s="872"/>
      <c r="N83" s="872"/>
      <c r="O83" s="48">
        <f>IF(t&lt;Tnet,'2024'!Resal+('2024'!Salim-'2024'!Resal)*(1-EXP(('2024'!Tnet-t)/('2024'!Tau_j))),Resal+(Salim-Resal)*(1-EXP((Tnet-t)/(Tau_j))))*Salcycl</f>
        <v>7.9703072485974608E-2</v>
      </c>
      <c r="P83" s="171">
        <f>(INDEX(Models!$BJ83:$BT83,,T83)*(1-R83)+INDEX(Models!$BJ83:$BT83,,T83+1)*R83-ERP_i)*Q83*Ramure*Pc/MaxiM</f>
        <v>2.9857039473455319E-2</v>
      </c>
      <c r="Q83" s="307">
        <f t="shared" si="28"/>
        <v>0.9</v>
      </c>
      <c r="R83" s="179">
        <f t="shared" si="29"/>
        <v>0.81510737104224606</v>
      </c>
      <c r="S83" s="839">
        <f t="shared" si="30"/>
        <v>1</v>
      </c>
      <c r="T83" s="178">
        <f t="shared" si="31"/>
        <v>7</v>
      </c>
      <c r="U83" s="253">
        <f t="shared" si="32"/>
        <v>1.8151073710422461</v>
      </c>
      <c r="V83" s="385">
        <f t="shared" si="33"/>
        <v>35.029864823510067</v>
      </c>
      <c r="W83" s="404">
        <f t="shared" si="34"/>
        <v>18.846134144305438</v>
      </c>
      <c r="X83" s="157">
        <f t="shared" si="35"/>
        <v>45726</v>
      </c>
      <c r="Y83" s="387">
        <f t="shared" si="36"/>
        <v>17.530370794136921</v>
      </c>
      <c r="Z83" s="387">
        <f t="shared" si="37"/>
        <v>18.542947707136257</v>
      </c>
      <c r="AA83" s="388">
        <f t="shared" si="38"/>
        <v>21.661173319061625</v>
      </c>
      <c r="AB83" s="199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0.14395460328925758</v>
      </c>
      <c r="AD83" s="233">
        <f>(INDEX(Models!$BJ83:$BT83,,AH83)*(1-AF83)+INDEX(Models!$BJ83:$BT83,,AH83+1)*AF83-ERP_i)*AE83*Ramure*Pc/MaxiM</f>
        <v>2.9857039473455319E-2</v>
      </c>
      <c r="AE83" s="307">
        <f t="shared" si="40"/>
        <v>0.9</v>
      </c>
      <c r="AF83" s="179">
        <f t="shared" si="41"/>
        <v>0.81510737104224606</v>
      </c>
      <c r="AG83" s="839">
        <f t="shared" si="49"/>
        <v>1</v>
      </c>
      <c r="AH83" s="178">
        <f t="shared" si="42"/>
        <v>7</v>
      </c>
      <c r="AI83" s="227">
        <f t="shared" si="43"/>
        <v>1.8151073710422461</v>
      </c>
      <c r="AJ83" s="267" t="b">
        <f t="shared" si="44"/>
        <v>0</v>
      </c>
      <c r="AK83" s="267" t="b">
        <f t="shared" si="45"/>
        <v>1</v>
      </c>
      <c r="AL83" s="267"/>
      <c r="AM83" s="267"/>
      <c r="AN83" s="75"/>
    </row>
    <row r="84" spans="1:40" s="6" customFormat="1" ht="11.25" x14ac:dyDescent="0.2">
      <c r="A84" s="56">
        <f t="shared" si="46"/>
        <v>45727</v>
      </c>
      <c r="B84" s="413">
        <f>'2024'!Wh/'2024'!Env_an*'2025'!Env_an</f>
        <v>13.419953517717126</v>
      </c>
      <c r="C84" s="868"/>
      <c r="D84" s="395">
        <f t="shared" si="25"/>
        <v>14.195437755798299</v>
      </c>
      <c r="E84" s="387">
        <f t="shared" si="47"/>
        <v>15.427461288385288</v>
      </c>
      <c r="F84" s="387">
        <f t="shared" si="26"/>
        <v>15.476872748929219</v>
      </c>
      <c r="G84" s="110">
        <f t="shared" si="48"/>
        <v>0.36879475034358672</v>
      </c>
      <c r="H84" s="416" t="b">
        <f>Wh_hp&gt;='2024'!Maxi_hp</f>
        <v>0</v>
      </c>
      <c r="I84" s="392">
        <f>IF(H84,Wh_hp,'2024'!Maxi_hp)</f>
        <v>33.079373904008349</v>
      </c>
      <c r="J84" s="85">
        <f>IF(H84,An,'2024'!An_max)</f>
        <v>2019</v>
      </c>
      <c r="K84" s="199">
        <f t="shared" si="27"/>
        <v>45727</v>
      </c>
      <c r="L84" s="147">
        <f>IF(t&lt;Tvie,1-EXP((T0-t)*PertePVj)+'2024'!Pspv,1-EXP((T0-t)*PertePVj)+Pspv)</f>
        <v>5.462911756732669E-2</v>
      </c>
      <c r="M84" s="872"/>
      <c r="N84" s="872"/>
      <c r="O84" s="48">
        <f>IF(t&lt;Tnet,'2024'!Resal+('2024'!Salim-'2024'!Resal)*(1-EXP(('2024'!Tnet-t)/('2024'!Tau_j))),Resal+(Salim-Resal)*(1-EXP((Tnet-t)/(Tau_j))))*Salcycl</f>
        <v>7.9859123257987413E-2</v>
      </c>
      <c r="P84" s="171">
        <f>(INDEX(Models!$BJ84:$BT84,,T84)*(1-R84)+INDEX(Models!$BJ84:$BT84,,T84+1)*R84-ERP_i)*Q84*Ramure*Pc/MaxiM</f>
        <v>2.8504121704345464E-2</v>
      </c>
      <c r="Q84" s="307">
        <f t="shared" si="28"/>
        <v>0.9</v>
      </c>
      <c r="R84" s="179">
        <f t="shared" si="29"/>
        <v>0.81574801665297669</v>
      </c>
      <c r="S84" s="839">
        <f t="shared" si="30"/>
        <v>1</v>
      </c>
      <c r="T84" s="178">
        <f t="shared" si="31"/>
        <v>7</v>
      </c>
      <c r="U84" s="253">
        <f t="shared" si="32"/>
        <v>1.8157480166529767</v>
      </c>
      <c r="V84" s="385">
        <f t="shared" si="33"/>
        <v>35.46467547053247</v>
      </c>
      <c r="W84" s="404">
        <f t="shared" si="34"/>
        <v>13.419953517717126</v>
      </c>
      <c r="X84" s="157">
        <f t="shared" si="35"/>
        <v>45727</v>
      </c>
      <c r="Y84" s="387">
        <f t="shared" si="36"/>
        <v>12.483866370613832</v>
      </c>
      <c r="Z84" s="387">
        <f t="shared" si="37"/>
        <v>13.205257960230121</v>
      </c>
      <c r="AA84" s="388">
        <f t="shared" si="38"/>
        <v>15.427461288385288</v>
      </c>
      <c r="AB84" s="199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0.14404206153012189</v>
      </c>
      <c r="AD84" s="233">
        <f>(INDEX(Models!$BJ84:$BT84,,AH84)*(1-AF84)+INDEX(Models!$BJ84:$BT84,,AH84+1)*AF84-ERP_i)*AE84*Ramure*Pc/MaxiM</f>
        <v>2.8504121704345464E-2</v>
      </c>
      <c r="AE84" s="307">
        <f t="shared" si="40"/>
        <v>0.9</v>
      </c>
      <c r="AF84" s="179">
        <f t="shared" si="41"/>
        <v>0.81574801665297669</v>
      </c>
      <c r="AG84" s="839">
        <f t="shared" si="49"/>
        <v>1</v>
      </c>
      <c r="AH84" s="178">
        <f t="shared" si="42"/>
        <v>7</v>
      </c>
      <c r="AI84" s="227">
        <f t="shared" si="43"/>
        <v>1.8157480166529767</v>
      </c>
      <c r="AJ84" s="267" t="b">
        <f t="shared" si="44"/>
        <v>0</v>
      </c>
      <c r="AK84" s="267" t="b">
        <f t="shared" si="45"/>
        <v>1</v>
      </c>
      <c r="AL84" s="267"/>
      <c r="AM84" s="267"/>
      <c r="AN84" s="75"/>
    </row>
    <row r="85" spans="1:40" s="6" customFormat="1" ht="11.25" x14ac:dyDescent="0.2">
      <c r="A85" s="56">
        <f t="shared" si="46"/>
        <v>45728</v>
      </c>
      <c r="B85" s="413">
        <f>'2024'!Wh/'2024'!Env_an*'2025'!Env_an</f>
        <v>12.735298192616373</v>
      </c>
      <c r="C85" s="868"/>
      <c r="D85" s="395">
        <f t="shared" si="25"/>
        <v>13.47153250133498</v>
      </c>
      <c r="E85" s="387">
        <f t="shared" si="47"/>
        <v>14.643212589298795</v>
      </c>
      <c r="F85" s="387">
        <f t="shared" si="26"/>
        <v>14.674414195052336</v>
      </c>
      <c r="G85" s="110">
        <f t="shared" si="48"/>
        <v>0.34583366786958025</v>
      </c>
      <c r="H85" s="416" t="b">
        <f>Wh_hp&gt;='2024'!Maxi_hp</f>
        <v>0</v>
      </c>
      <c r="I85" s="392">
        <f>IF(H85,Wh_hp,'2024'!Maxi_hp)</f>
        <v>39.985849154638863</v>
      </c>
      <c r="J85" s="85">
        <f>IF(H85,An,'2024'!An_max)</f>
        <v>2020</v>
      </c>
      <c r="K85" s="199">
        <f t="shared" si="27"/>
        <v>45728</v>
      </c>
      <c r="L85" s="147">
        <f>IF(t&lt;Tvie,1-EXP((T0-t)*PertePVj)+'2024'!Pspv,1-EXP((T0-t)*PertePVj)+Pspv)</f>
        <v>5.4651117728858889E-2</v>
      </c>
      <c r="M85" s="872"/>
      <c r="N85" s="872"/>
      <c r="O85" s="48">
        <f>IF(t&lt;Tnet,'2024'!Resal+('2024'!Salim-'2024'!Resal)*(1-EXP(('2024'!Tnet-t)/('2024'!Tau_j))),Resal+(Salim-Resal)*(1-EXP((Tnet-t)/(Tau_j))))*Salcycl</f>
        <v>8.0015234417894987E-2</v>
      </c>
      <c r="P85" s="171">
        <f>(INDEX(Models!$BJ85:$BT85,,T85)*(1-R85)+INDEX(Models!$BJ85:$BT85,,T85+1)*R85-ERP_i)*Q85*Ramure*Pc/MaxiM</f>
        <v>2.7188404654139624E-2</v>
      </c>
      <c r="Q85" s="307">
        <f t="shared" si="28"/>
        <v>0.9</v>
      </c>
      <c r="R85" s="179">
        <f t="shared" si="29"/>
        <v>0.81641426615207413</v>
      </c>
      <c r="S85" s="839">
        <f t="shared" si="30"/>
        <v>1</v>
      </c>
      <c r="T85" s="178">
        <f t="shared" si="31"/>
        <v>7</v>
      </c>
      <c r="U85" s="253">
        <f t="shared" si="32"/>
        <v>1.8164142661520741</v>
      </c>
      <c r="V85" s="385">
        <f t="shared" si="33"/>
        <v>35.900044893966488</v>
      </c>
      <c r="W85" s="404">
        <f t="shared" si="34"/>
        <v>12.735298192616373</v>
      </c>
      <c r="X85" s="157">
        <f t="shared" si="35"/>
        <v>45728</v>
      </c>
      <c r="Y85" s="387">
        <f t="shared" si="36"/>
        <v>11.847763395857561</v>
      </c>
      <c r="Z85" s="387">
        <f t="shared" si="37"/>
        <v>12.532688849638301</v>
      </c>
      <c r="AA85" s="388">
        <f t="shared" si="38"/>
        <v>14.643212589298795</v>
      </c>
      <c r="AB85" s="199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0.14412982989831455</v>
      </c>
      <c r="AD85" s="233">
        <f>(INDEX(Models!$BJ85:$BT85,,AH85)*(1-AF85)+INDEX(Models!$BJ85:$BT85,,AH85+1)*AF85-ERP_i)*AE85*Ramure*Pc/MaxiM</f>
        <v>2.7188404654139624E-2</v>
      </c>
      <c r="AE85" s="307">
        <f t="shared" si="40"/>
        <v>0.9</v>
      </c>
      <c r="AF85" s="179">
        <f t="shared" si="41"/>
        <v>0.81641426615207413</v>
      </c>
      <c r="AG85" s="839">
        <f t="shared" si="49"/>
        <v>1</v>
      </c>
      <c r="AH85" s="178">
        <f t="shared" si="42"/>
        <v>7</v>
      </c>
      <c r="AI85" s="227">
        <f t="shared" si="43"/>
        <v>1.8164142661520741</v>
      </c>
      <c r="AJ85" s="267" t="b">
        <f t="shared" si="44"/>
        <v>0</v>
      </c>
      <c r="AK85" s="267" t="b">
        <f t="shared" si="45"/>
        <v>1</v>
      </c>
      <c r="AL85" s="267"/>
      <c r="AM85" s="267"/>
      <c r="AN85" s="75"/>
    </row>
    <row r="86" spans="1:40" s="6" customFormat="1" ht="11.25" x14ac:dyDescent="0.2">
      <c r="A86" s="56">
        <f t="shared" si="46"/>
        <v>45729</v>
      </c>
      <c r="B86" s="413">
        <f>'2024'!Wh/'2024'!Env_an*'2025'!Env_an</f>
        <v>8.4184753508969781</v>
      </c>
      <c r="C86" s="868"/>
      <c r="D86" s="395">
        <f t="shared" si="25"/>
        <v>8.9053590939367169</v>
      </c>
      <c r="E86" s="387">
        <f t="shared" si="47"/>
        <v>9.6815422870146026</v>
      </c>
      <c r="F86" s="387">
        <f t="shared" si="26"/>
        <v>9.6815422870146026</v>
      </c>
      <c r="G86" s="110">
        <f t="shared" si="48"/>
        <v>0.22568520950162912</v>
      </c>
      <c r="H86" s="416" t="b">
        <f>Wh_hp&gt;='2024'!Maxi_hp</f>
        <v>0</v>
      </c>
      <c r="I86" s="392">
        <f>IF(H86,Wh_hp,'2024'!Maxi_hp)</f>
        <v>40.053703033892276</v>
      </c>
      <c r="J86" s="85">
        <f>IF(H86,An,'2024'!An_max)</f>
        <v>2021</v>
      </c>
      <c r="K86" s="199">
        <f t="shared" si="27"/>
        <v>45729</v>
      </c>
      <c r="L86" s="147">
        <f>IF(t&lt;Tvie,1-EXP((T0-t)*PertePVj)+'2024'!Pspv,1-EXP((T0-t)*PertePVj)+Pspv)</f>
        <v>5.4673117378415181E-2</v>
      </c>
      <c r="M86" s="872"/>
      <c r="N86" s="872"/>
      <c r="O86" s="48">
        <f>IF(t&lt;Tnet,'2024'!Resal+('2024'!Salim-'2024'!Resal)*(1-EXP(('2024'!Tnet-t)/('2024'!Tau_j))),Resal+(Salim-Resal)*(1-EXP((Tnet-t)/(Tau_j))))*Salcycl</f>
        <v>8.0171440672107075E-2</v>
      </c>
      <c r="P86" s="171">
        <f>(INDEX(Models!$BJ86:$BT86,,T86)*(1-R86)+INDEX(Models!$BJ86:$BT86,,T86+1)*R86-ERP_i)*Q86*Ramure*Pc/MaxiM</f>
        <v>2.5945292525794989E-2</v>
      </c>
      <c r="Q86" s="307">
        <f t="shared" si="28"/>
        <v>0.9</v>
      </c>
      <c r="R86" s="179">
        <f t="shared" si="29"/>
        <v>0.81710708869765813</v>
      </c>
      <c r="S86" s="839">
        <f t="shared" si="30"/>
        <v>1</v>
      </c>
      <c r="T86" s="178">
        <f t="shared" si="31"/>
        <v>7</v>
      </c>
      <c r="U86" s="253">
        <f t="shared" si="32"/>
        <v>1.8171070886976581</v>
      </c>
      <c r="V86" s="385">
        <f t="shared" si="33"/>
        <v>36.334040513353031</v>
      </c>
      <c r="W86" s="404">
        <f t="shared" si="34"/>
        <v>8.4184753508969781</v>
      </c>
      <c r="X86" s="157">
        <f t="shared" si="35"/>
        <v>45729</v>
      </c>
      <c r="Y86" s="387">
        <f t="shared" si="36"/>
        <v>7.8323072930259361</v>
      </c>
      <c r="Z86" s="387">
        <f t="shared" si="37"/>
        <v>8.2852899214135807</v>
      </c>
      <c r="AA86" s="388">
        <f t="shared" si="38"/>
        <v>9.6815422870146026</v>
      </c>
      <c r="AB86" s="199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0.14421796901860859</v>
      </c>
      <c r="AD86" s="233">
        <f>(INDEX(Models!$BJ86:$BT86,,AH86)*(1-AF86)+INDEX(Models!$BJ86:$BT86,,AH86+1)*AF86-ERP_i)*AE86*Ramure*Pc/MaxiM</f>
        <v>2.5945292525794989E-2</v>
      </c>
      <c r="AE86" s="307">
        <f t="shared" si="40"/>
        <v>0.9</v>
      </c>
      <c r="AF86" s="179">
        <f t="shared" si="41"/>
        <v>0.81710708869765813</v>
      </c>
      <c r="AG86" s="839">
        <f t="shared" si="49"/>
        <v>1</v>
      </c>
      <c r="AH86" s="178">
        <f t="shared" si="42"/>
        <v>7</v>
      </c>
      <c r="AI86" s="227">
        <f t="shared" si="43"/>
        <v>1.8171070886976581</v>
      </c>
      <c r="AJ86" s="267" t="b">
        <f t="shared" si="44"/>
        <v>0</v>
      </c>
      <c r="AK86" s="267" t="b">
        <f t="shared" si="45"/>
        <v>1</v>
      </c>
      <c r="AL86" s="267"/>
      <c r="AM86" s="267"/>
      <c r="AN86" s="75"/>
    </row>
    <row r="87" spans="1:40" s="6" customFormat="1" ht="11.25" x14ac:dyDescent="0.2">
      <c r="A87" s="56">
        <f t="shared" si="46"/>
        <v>45730</v>
      </c>
      <c r="B87" s="413">
        <f>'2024'!Wh/'2024'!Env_an*'2025'!Env_an</f>
        <v>11.607701027486016</v>
      </c>
      <c r="C87" s="868"/>
      <c r="D87" s="395">
        <f t="shared" si="25"/>
        <v>12.279319857848355</v>
      </c>
      <c r="E87" s="387">
        <f t="shared" si="47"/>
        <v>13.351843810429342</v>
      </c>
      <c r="F87" s="387">
        <f t="shared" si="26"/>
        <v>13.359277616335362</v>
      </c>
      <c r="G87" s="110">
        <f t="shared" si="48"/>
        <v>0.30806788100542537</v>
      </c>
      <c r="H87" s="416" t="b">
        <f>Wh_hp&gt;='2024'!Maxi_hp</f>
        <v>0</v>
      </c>
      <c r="I87" s="392">
        <f>IF(H87,Wh_hp,'2024'!Maxi_hp)</f>
        <v>37.84988818165337</v>
      </c>
      <c r="J87" s="85">
        <f>IF(H87,An,'2024'!An_max)</f>
        <v>2020</v>
      </c>
      <c r="K87" s="199">
        <f t="shared" si="27"/>
        <v>45730</v>
      </c>
      <c r="L87" s="147">
        <f>IF(t&lt;Tvie,1-EXP((T0-t)*PertePVj)+'2024'!Pspv,1-EXP((T0-t)*PertePVj)+Pspv)</f>
        <v>5.4695116516007447E-2</v>
      </c>
      <c r="M87" s="872"/>
      <c r="N87" s="872"/>
      <c r="O87" s="48">
        <f>IF(t&lt;Tnet,'2024'!Resal+('2024'!Salim-'2024'!Resal)*(1-EXP(('2024'!Tnet-t)/('2024'!Tau_j))),Resal+(Salim-Resal)*(1-EXP((Tnet-t)/(Tau_j))))*Salcycl</f>
        <v>8.0327778530724078E-2</v>
      </c>
      <c r="P87" s="171">
        <f>(INDEX(Models!$BJ87:$BT87,,T87)*(1-R87)+INDEX(Models!$BJ87:$BT87,,T87+1)*R87-ERP_i)*Q87*Ramure*Pc/MaxiM</f>
        <v>2.477896157697598E-2</v>
      </c>
      <c r="Q87" s="307">
        <f t="shared" si="28"/>
        <v>0.9</v>
      </c>
      <c r="R87" s="179">
        <f t="shared" si="29"/>
        <v>0.81782748562391094</v>
      </c>
      <c r="S87" s="839">
        <f t="shared" si="30"/>
        <v>1</v>
      </c>
      <c r="T87" s="178">
        <f t="shared" si="31"/>
        <v>7</v>
      </c>
      <c r="U87" s="253">
        <f t="shared" si="32"/>
        <v>1.8178274856239109</v>
      </c>
      <c r="V87" s="385">
        <f t="shared" si="33"/>
        <v>36.765847856565486</v>
      </c>
      <c r="W87" s="404">
        <f t="shared" si="34"/>
        <v>11.607701027486016</v>
      </c>
      <c r="X87" s="157">
        <f t="shared" si="35"/>
        <v>45730</v>
      </c>
      <c r="Y87" s="387">
        <f t="shared" si="36"/>
        <v>10.800189018057685</v>
      </c>
      <c r="Z87" s="387">
        <f t="shared" si="37"/>
        <v>11.42508539493922</v>
      </c>
      <c r="AA87" s="388">
        <f t="shared" si="38"/>
        <v>13.351843810429342</v>
      </c>
      <c r="AB87" s="199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0.14430654244061022</v>
      </c>
      <c r="AD87" s="233">
        <f>(INDEX(Models!$BJ87:$BT87,,AH87)*(1-AF87)+INDEX(Models!$BJ87:$BT87,,AH87+1)*AF87-ERP_i)*AE87*Ramure*Pc/MaxiM</f>
        <v>2.477896157697598E-2</v>
      </c>
      <c r="AE87" s="307">
        <f t="shared" si="40"/>
        <v>0.9</v>
      </c>
      <c r="AF87" s="179">
        <f t="shared" si="41"/>
        <v>0.81782748562391094</v>
      </c>
      <c r="AG87" s="839">
        <f t="shared" si="49"/>
        <v>1</v>
      </c>
      <c r="AH87" s="178">
        <f t="shared" si="42"/>
        <v>7</v>
      </c>
      <c r="AI87" s="227">
        <f t="shared" si="43"/>
        <v>1.8178274856239109</v>
      </c>
      <c r="AJ87" s="267" t="b">
        <f t="shared" si="44"/>
        <v>0</v>
      </c>
      <c r="AK87" s="267" t="b">
        <f t="shared" si="45"/>
        <v>1</v>
      </c>
      <c r="AL87" s="267"/>
      <c r="AM87" s="267"/>
      <c r="AN87" s="75"/>
    </row>
    <row r="88" spans="1:40" s="6" customFormat="1" ht="11.25" x14ac:dyDescent="0.2">
      <c r="A88" s="56">
        <f t="shared" si="46"/>
        <v>45731</v>
      </c>
      <c r="B88" s="413">
        <f>'2024'!Wh/'2024'!Env_an*'2025'!Env_an</f>
        <v>13.427294280135941</v>
      </c>
      <c r="C88" s="868"/>
      <c r="D88" s="395">
        <f t="shared" si="25"/>
        <v>14.204524904889164</v>
      </c>
      <c r="E88" s="387">
        <f t="shared" si="47"/>
        <v>15.447832692477977</v>
      </c>
      <c r="F88" s="387">
        <f t="shared" si="26"/>
        <v>15.479784886736931</v>
      </c>
      <c r="G88" s="110">
        <f t="shared" si="48"/>
        <v>0.3531763495280647</v>
      </c>
      <c r="H88" s="416" t="b">
        <f>Wh_hp&gt;='2024'!Maxi_hp</f>
        <v>0</v>
      </c>
      <c r="I88" s="392">
        <f>IF(H88,Wh_hp,'2024'!Maxi_hp)</f>
        <v>32.044042478479284</v>
      </c>
      <c r="J88" s="85">
        <f>IF(H88,An,'2024'!An_max)</f>
        <v>2020</v>
      </c>
      <c r="K88" s="199">
        <f t="shared" si="27"/>
        <v>45731</v>
      </c>
      <c r="L88" s="147">
        <f>IF(t&lt;Tvie,1-EXP((T0-t)*PertePVj)+'2024'!Pspv,1-EXP((T0-t)*PertePVj)+Pspv)</f>
        <v>5.4717115141647676E-2</v>
      </c>
      <c r="M88" s="872"/>
      <c r="N88" s="872"/>
      <c r="O88" s="48">
        <f>IF(t&lt;Tnet,'2024'!Resal+('2024'!Salim-'2024'!Resal)*(1-EXP(('2024'!Tnet-t)/('2024'!Tau_j))),Resal+(Salim-Resal)*(1-EXP((Tnet-t)/(Tau_j))))*Salcycl</f>
        <v>8.0484286199851082E-2</v>
      </c>
      <c r="P88" s="171">
        <f>(INDEX(Models!$BJ88:$BT88,,T88)*(1-R88)+INDEX(Models!$BJ88:$BT88,,T88+1)*R88-ERP_i)*Q88*Ramure*Pc/MaxiM</f>
        <v>2.3687281137394711E-2</v>
      </c>
      <c r="Q88" s="307">
        <f t="shared" si="28"/>
        <v>0.9</v>
      </c>
      <c r="R88" s="179">
        <f t="shared" si="29"/>
        <v>0.81857649112819519</v>
      </c>
      <c r="S88" s="839">
        <f t="shared" si="30"/>
        <v>1</v>
      </c>
      <c r="T88" s="178">
        <f t="shared" si="31"/>
        <v>7</v>
      </c>
      <c r="U88" s="253">
        <f t="shared" si="32"/>
        <v>1.8185764911281952</v>
      </c>
      <c r="V88" s="385">
        <f t="shared" si="33"/>
        <v>37.194883700783848</v>
      </c>
      <c r="W88" s="404">
        <f t="shared" si="34"/>
        <v>13.427294280135941</v>
      </c>
      <c r="X88" s="157">
        <f t="shared" si="35"/>
        <v>45731</v>
      </c>
      <c r="Y88" s="387">
        <f t="shared" si="36"/>
        <v>12.494024488301212</v>
      </c>
      <c r="Z88" s="387">
        <f t="shared" si="37"/>
        <v>13.217233368372478</v>
      </c>
      <c r="AA88" s="388">
        <f t="shared" si="38"/>
        <v>15.447832692477977</v>
      </c>
      <c r="AB88" s="199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0.14439561642790485</v>
      </c>
      <c r="AD88" s="233">
        <f>(INDEX(Models!$BJ88:$BT88,,AH88)*(1-AF88)+INDEX(Models!$BJ88:$BT88,,AH88+1)*AF88-ERP_i)*AE88*Ramure*Pc/MaxiM</f>
        <v>2.3687281137394711E-2</v>
      </c>
      <c r="AE88" s="307">
        <f t="shared" si="40"/>
        <v>0.9</v>
      </c>
      <c r="AF88" s="179">
        <f t="shared" si="41"/>
        <v>0.81857649112819519</v>
      </c>
      <c r="AG88" s="839">
        <f t="shared" si="49"/>
        <v>1</v>
      </c>
      <c r="AH88" s="178">
        <f t="shared" si="42"/>
        <v>7</v>
      </c>
      <c r="AI88" s="227">
        <f t="shared" si="43"/>
        <v>1.8185764911281952</v>
      </c>
      <c r="AJ88" s="267" t="b">
        <f t="shared" si="44"/>
        <v>0</v>
      </c>
      <c r="AK88" s="267" t="b">
        <f t="shared" si="45"/>
        <v>1</v>
      </c>
      <c r="AL88" s="267"/>
      <c r="AM88" s="267"/>
      <c r="AN88" s="75"/>
    </row>
    <row r="89" spans="1:40" s="6" customFormat="1" ht="11.25" x14ac:dyDescent="0.2">
      <c r="A89" s="56">
        <f t="shared" si="46"/>
        <v>45732</v>
      </c>
      <c r="B89" s="413">
        <f>'2024'!Wh/'2024'!Env_an*'2025'!Env_an</f>
        <v>11.795121062254857</v>
      </c>
      <c r="C89" s="868"/>
      <c r="D89" s="395">
        <f t="shared" si="25"/>
        <v>12.478164734897286</v>
      </c>
      <c r="E89" s="387">
        <f t="shared" si="47"/>
        <v>13.572679205786942</v>
      </c>
      <c r="F89" s="387">
        <f t="shared" si="26"/>
        <v>13.578627945697049</v>
      </c>
      <c r="G89" s="110">
        <f t="shared" si="48"/>
        <v>0.30655573403264347</v>
      </c>
      <c r="H89" s="416" t="b">
        <f>Wh_hp&gt;='2024'!Maxi_hp</f>
        <v>0</v>
      </c>
      <c r="I89" s="392">
        <f>IF(H89,Wh_hp,'2024'!Maxi_hp)</f>
        <v>45.869563285625219</v>
      </c>
      <c r="J89" s="85">
        <f>IF(H89,An,'2024'!An_max)</f>
        <v>2020</v>
      </c>
      <c r="K89" s="199">
        <f t="shared" si="27"/>
        <v>45732</v>
      </c>
      <c r="L89" s="147">
        <f>IF(t&lt;Tvie,1-EXP((T0-t)*PertePVj)+'2024'!Pspv,1-EXP((T0-t)*PertePVj)+Pspv)</f>
        <v>5.4739113255347749E-2</v>
      </c>
      <c r="M89" s="872"/>
      <c r="N89" s="872"/>
      <c r="O89" s="48">
        <f>IF(t&lt;Tnet,'2024'!Resal+('2024'!Salim-'2024'!Resal)*(1-EXP(('2024'!Tnet-t)/('2024'!Tau_j))),Resal+(Salim-Resal)*(1-EXP((Tnet-t)/(Tau_j))))*Salcycl</f>
        <v>8.0641003466949315E-2</v>
      </c>
      <c r="P89" s="171">
        <f>(INDEX(Models!$BJ89:$BT89,,T89)*(1-R89)+INDEX(Models!$BJ89:$BT89,,T89+1)*R89-ERP_i)*Q89*Ramure*Pc/MaxiM</f>
        <v>2.2668148399379154E-2</v>
      </c>
      <c r="Q89" s="307">
        <f t="shared" si="28"/>
        <v>0.9</v>
      </c>
      <c r="R89" s="179">
        <f t="shared" si="29"/>
        <v>0.81935517293807592</v>
      </c>
      <c r="S89" s="839">
        <f t="shared" si="30"/>
        <v>1</v>
      </c>
      <c r="T89" s="178">
        <f t="shared" si="31"/>
        <v>7</v>
      </c>
      <c r="U89" s="253">
        <f t="shared" si="32"/>
        <v>1.8193551729380759</v>
      </c>
      <c r="V89" s="385">
        <f t="shared" si="33"/>
        <v>37.620565197660461</v>
      </c>
      <c r="W89" s="404">
        <f t="shared" si="34"/>
        <v>11.795121062254857</v>
      </c>
      <c r="X89" s="157">
        <f t="shared" si="35"/>
        <v>45732</v>
      </c>
      <c r="Y89" s="387">
        <f t="shared" si="36"/>
        <v>10.976016953121176</v>
      </c>
      <c r="Z89" s="387">
        <f t="shared" si="37"/>
        <v>11.611627125418318</v>
      </c>
      <c r="AA89" s="388">
        <f t="shared" si="38"/>
        <v>13.572679205786942</v>
      </c>
      <c r="AB89" s="199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0.14448525973652251</v>
      </c>
      <c r="AD89" s="233">
        <f>(INDEX(Models!$BJ89:$BT89,,AH89)*(1-AF89)+INDEX(Models!$BJ89:$BT89,,AH89+1)*AF89-ERP_i)*AE89*Ramure*Pc/MaxiM</f>
        <v>2.2668148399379154E-2</v>
      </c>
      <c r="AE89" s="307">
        <f t="shared" si="40"/>
        <v>0.9</v>
      </c>
      <c r="AF89" s="179">
        <f t="shared" si="41"/>
        <v>0.81935517293807592</v>
      </c>
      <c r="AG89" s="839">
        <f t="shared" si="49"/>
        <v>1</v>
      </c>
      <c r="AH89" s="178">
        <f t="shared" si="42"/>
        <v>7</v>
      </c>
      <c r="AI89" s="227">
        <f t="shared" si="43"/>
        <v>1.8193551729380759</v>
      </c>
      <c r="AJ89" s="267" t="b">
        <f t="shared" si="44"/>
        <v>0</v>
      </c>
      <c r="AK89" s="267" t="b">
        <f t="shared" si="45"/>
        <v>1</v>
      </c>
      <c r="AL89" s="267"/>
      <c r="AM89" s="267"/>
      <c r="AN89" s="75"/>
    </row>
    <row r="90" spans="1:40" s="6" customFormat="1" ht="11.25" x14ac:dyDescent="0.2">
      <c r="A90" s="56">
        <f t="shared" si="46"/>
        <v>45733</v>
      </c>
      <c r="B90" s="413">
        <f>'2024'!Wh/'2024'!Env_an*'2025'!Env_an</f>
        <v>10.352967808341401</v>
      </c>
      <c r="C90" s="868"/>
      <c r="D90" s="395">
        <f t="shared" si="25"/>
        <v>10.952752713897773</v>
      </c>
      <c r="E90" s="387">
        <f t="shared" si="47"/>
        <v>11.915501027263824</v>
      </c>
      <c r="F90" s="387">
        <f t="shared" si="26"/>
        <v>11.915501027263824</v>
      </c>
      <c r="G90" s="110">
        <f t="shared" si="48"/>
        <v>0.26623269151637263</v>
      </c>
      <c r="H90" s="416" t="b">
        <f>Wh_hp&gt;='2024'!Maxi_hp</f>
        <v>0</v>
      </c>
      <c r="I90" s="392">
        <f>IF(H90,Wh_hp,'2024'!Maxi_hp)</f>
        <v>24.974741617292128</v>
      </c>
      <c r="J90" s="85">
        <f>IF(H90,An,'2024'!An_max)</f>
        <v>2021</v>
      </c>
      <c r="K90" s="199">
        <f t="shared" si="27"/>
        <v>45733</v>
      </c>
      <c r="L90" s="147">
        <f>IF(t&lt;Tvie,1-EXP((T0-t)*PertePVj)+'2024'!Pspv,1-EXP((T0-t)*PertePVj)+Pspv)</f>
        <v>5.4761110857119544E-2</v>
      </c>
      <c r="M90" s="872"/>
      <c r="N90" s="872"/>
      <c r="O90" s="48">
        <f>IF(t&lt;Tnet,'2024'!Resal+('2024'!Salim-'2024'!Resal)*(1-EXP(('2024'!Tnet-t)/('2024'!Tau_j))),Resal+(Salim-Resal)*(1-EXP((Tnet-t)/(Tau_j))))*Salcycl</f>
        <v>8.0797971580312891E-2</v>
      </c>
      <c r="P90" s="171">
        <f>(INDEX(Models!$BJ90:$BT90,,T90)*(1-R90)+INDEX(Models!$BJ90:$BT90,,T90+1)*R90-ERP_i)*Q90*Ramure*Pc/MaxiM</f>
        <v>2.1719497234989633E-2</v>
      </c>
      <c r="Q90" s="307">
        <f t="shared" si="28"/>
        <v>0.9</v>
      </c>
      <c r="R90" s="179">
        <f t="shared" si="29"/>
        <v>0.82016463295414588</v>
      </c>
      <c r="S90" s="839">
        <f t="shared" si="30"/>
        <v>1</v>
      </c>
      <c r="T90" s="178">
        <f t="shared" si="31"/>
        <v>7</v>
      </c>
      <c r="U90" s="253">
        <f t="shared" si="32"/>
        <v>1.8201646329541459</v>
      </c>
      <c r="V90" s="385">
        <f t="shared" si="33"/>
        <v>38.042309886768123</v>
      </c>
      <c r="W90" s="404">
        <f t="shared" si="34"/>
        <v>10.352967808341401</v>
      </c>
      <c r="X90" s="157">
        <f t="shared" si="35"/>
        <v>45733</v>
      </c>
      <c r="Y90" s="387">
        <f t="shared" si="36"/>
        <v>9.6346413388918677</v>
      </c>
      <c r="Z90" s="387">
        <f t="shared" si="37"/>
        <v>10.19281099154556</v>
      </c>
      <c r="AA90" s="388">
        <f t="shared" si="38"/>
        <v>11.915501027263824</v>
      </c>
      <c r="AB90" s="199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0.1445755433847542</v>
      </c>
      <c r="AD90" s="233">
        <f>(INDEX(Models!$BJ90:$BT90,,AH90)*(1-AF90)+INDEX(Models!$BJ90:$BT90,,AH90+1)*AF90-ERP_i)*AE90*Ramure*Pc/MaxiM</f>
        <v>2.1719497234989633E-2</v>
      </c>
      <c r="AE90" s="307">
        <f t="shared" si="40"/>
        <v>0.9</v>
      </c>
      <c r="AF90" s="179">
        <f t="shared" si="41"/>
        <v>0.82016463295414588</v>
      </c>
      <c r="AG90" s="839">
        <f t="shared" si="49"/>
        <v>1</v>
      </c>
      <c r="AH90" s="178">
        <f t="shared" si="42"/>
        <v>7</v>
      </c>
      <c r="AI90" s="227">
        <f t="shared" si="43"/>
        <v>1.8201646329541459</v>
      </c>
      <c r="AJ90" s="267" t="b">
        <f t="shared" si="44"/>
        <v>0</v>
      </c>
      <c r="AK90" s="267" t="b">
        <f t="shared" si="45"/>
        <v>1</v>
      </c>
      <c r="AL90" s="267"/>
      <c r="AM90" s="267"/>
      <c r="AN90" s="75"/>
    </row>
    <row r="91" spans="1:40" s="6" customFormat="1" ht="11.25" x14ac:dyDescent="0.2">
      <c r="A91" s="56">
        <f t="shared" si="46"/>
        <v>45734</v>
      </c>
      <c r="B91" s="413">
        <f>'2024'!Wh/'2024'!Env_an*'2025'!Env_an</f>
        <v>13.003103469521939</v>
      </c>
      <c r="C91" s="868"/>
      <c r="D91" s="395">
        <f t="shared" si="25"/>
        <v>13.756740467554497</v>
      </c>
      <c r="E91" s="387">
        <f t="shared" si="47"/>
        <v>14.968520537157904</v>
      </c>
      <c r="F91" s="387">
        <f t="shared" si="26"/>
        <v>14.985517154238611</v>
      </c>
      <c r="G91" s="110">
        <f t="shared" si="48"/>
        <v>0.33142846884335053</v>
      </c>
      <c r="H91" s="416" t="b">
        <f>Wh_hp&gt;='2024'!Maxi_hp</f>
        <v>0</v>
      </c>
      <c r="I91" s="392">
        <f>IF(H91,Wh_hp,'2024'!Maxi_hp)</f>
        <v>30.155899568656967</v>
      </c>
      <c r="J91" s="85">
        <f>IF(H91,An,'2024'!An_max)</f>
        <v>2019</v>
      </c>
      <c r="K91" s="199">
        <f t="shared" si="27"/>
        <v>45734</v>
      </c>
      <c r="L91" s="147">
        <f>IF(t&lt;Tvie,1-EXP((T0-t)*PertePVj)+'2024'!Pspv,1-EXP((T0-t)*PertePVj)+Pspv)</f>
        <v>5.4783107946975051E-2</v>
      </c>
      <c r="M91" s="872"/>
      <c r="N91" s="872"/>
      <c r="O91" s="48">
        <f>IF(t&lt;Tnet,'2024'!Resal+('2024'!Salim-'2024'!Resal)*(1-EXP(('2024'!Tnet-t)/('2024'!Tau_j))),Resal+(Salim-Resal)*(1-EXP((Tnet-t)/(Tau_j))))*Salcycl</f>
        <v>8.0955233123759934E-2</v>
      </c>
      <c r="P91" s="171">
        <f>(INDEX(Models!$BJ91:$BT91,,T91)*(1-R91)+INDEX(Models!$BJ91:$BT91,,T91+1)*R91-ERP_i)*Q91*Ramure*Pc/MaxiM</f>
        <v>2.0839305868554849E-2</v>
      </c>
      <c r="Q91" s="307">
        <f t="shared" si="28"/>
        <v>0.9</v>
      </c>
      <c r="R91" s="179">
        <f t="shared" si="29"/>
        <v>0.8210060078642214</v>
      </c>
      <c r="S91" s="839">
        <f t="shared" si="30"/>
        <v>1</v>
      </c>
      <c r="T91" s="178">
        <f t="shared" si="31"/>
        <v>7</v>
      </c>
      <c r="U91" s="253">
        <f t="shared" si="32"/>
        <v>1.8210060078642214</v>
      </c>
      <c r="V91" s="385">
        <f t="shared" si="33"/>
        <v>38.459535710164275</v>
      </c>
      <c r="W91" s="404">
        <f t="shared" si="34"/>
        <v>13.003103469521939</v>
      </c>
      <c r="X91" s="157">
        <f t="shared" si="35"/>
        <v>45734</v>
      </c>
      <c r="Y91" s="387">
        <f t="shared" si="36"/>
        <v>12.101684136359731</v>
      </c>
      <c r="Z91" s="387">
        <f t="shared" si="37"/>
        <v>12.803076455896482</v>
      </c>
      <c r="AA91" s="388">
        <f t="shared" si="38"/>
        <v>14.968520537157904</v>
      </c>
      <c r="AB91" s="199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0.14466654041633004</v>
      </c>
      <c r="AD91" s="233">
        <f>(INDEX(Models!$BJ91:$BT91,,AH91)*(1-AF91)+INDEX(Models!$BJ91:$BT91,,AH91+1)*AF91-ERP_i)*AE91*Ramure*Pc/MaxiM</f>
        <v>2.0839305868554849E-2</v>
      </c>
      <c r="AE91" s="307">
        <f t="shared" si="40"/>
        <v>0.9</v>
      </c>
      <c r="AF91" s="179">
        <f t="shared" si="41"/>
        <v>0.8210060078642214</v>
      </c>
      <c r="AG91" s="839">
        <f t="shared" si="49"/>
        <v>1</v>
      </c>
      <c r="AH91" s="178">
        <f t="shared" si="42"/>
        <v>7</v>
      </c>
      <c r="AI91" s="227">
        <f t="shared" si="43"/>
        <v>1.8210060078642214</v>
      </c>
      <c r="AJ91" s="267" t="b">
        <f t="shared" si="44"/>
        <v>0</v>
      </c>
      <c r="AK91" s="267" t="b">
        <f t="shared" si="45"/>
        <v>1</v>
      </c>
      <c r="AL91" s="267"/>
      <c r="AM91" s="267"/>
      <c r="AN91" s="75"/>
    </row>
    <row r="92" spans="1:40" s="6" customFormat="1" ht="11.25" x14ac:dyDescent="0.2">
      <c r="A92" s="56">
        <f t="shared" si="46"/>
        <v>45735</v>
      </c>
      <c r="B92" s="413">
        <f>'2024'!Wh/'2024'!Env_an*'2025'!Env_an</f>
        <v>26.205706730304509</v>
      </c>
      <c r="C92" s="868"/>
      <c r="D92" s="395">
        <f t="shared" si="25"/>
        <v>27.725188588892028</v>
      </c>
      <c r="E92" s="387">
        <f t="shared" si="47"/>
        <v>30.172571291692002</v>
      </c>
      <c r="F92" s="387">
        <f t="shared" si="26"/>
        <v>30.499031772788083</v>
      </c>
      <c r="G92" s="110">
        <f t="shared" si="48"/>
        <v>0.66780741514841235</v>
      </c>
      <c r="H92" s="416" t="b">
        <f>Wh_hp&gt;='2024'!Maxi_hp</f>
        <v>0</v>
      </c>
      <c r="I92" s="392">
        <f>IF(H92,Wh_hp,'2024'!Maxi_hp)</f>
        <v>42.600345506877346</v>
      </c>
      <c r="J92" s="85">
        <f>IF(H92,An,'2024'!An_max)</f>
        <v>2020</v>
      </c>
      <c r="K92" s="199">
        <f t="shared" si="27"/>
        <v>45735</v>
      </c>
      <c r="L92" s="147">
        <f>IF(t&lt;Tvie,1-EXP((T0-t)*PertePVj)+'2024'!Pspv,1-EXP((T0-t)*PertePVj)+Pspv)</f>
        <v>5.4805104524926151E-2</v>
      </c>
      <c r="M92" s="872"/>
      <c r="N92" s="872"/>
      <c r="O92" s="48">
        <f>IF(t&lt;Tnet,'2024'!Resal+('2024'!Salim-'2024'!Resal)*(1-EXP(('2024'!Tnet-t)/('2024'!Tau_j))),Resal+(Salim-Resal)*(1-EXP((Tnet-t)/(Tau_j))))*Salcycl</f>
        <v>8.1112831887611134E-2</v>
      </c>
      <c r="P92" s="171">
        <f>(INDEX(Models!$BJ92:$BT92,,T92)*(1-R92)+INDEX(Models!$BJ92:$BT92,,T92+1)*R92-ERP_i)*Q92*Ramure*Pc/MaxiM</f>
        <v>2.002560351403336E-2</v>
      </c>
      <c r="Q92" s="307">
        <f t="shared" si="28"/>
        <v>0.9</v>
      </c>
      <c r="R92" s="179">
        <f t="shared" si="29"/>
        <v>0.82188046972411066</v>
      </c>
      <c r="S92" s="839">
        <f t="shared" si="30"/>
        <v>1</v>
      </c>
      <c r="T92" s="178">
        <f t="shared" si="31"/>
        <v>7</v>
      </c>
      <c r="U92" s="253">
        <f t="shared" si="32"/>
        <v>1.8218804697241107</v>
      </c>
      <c r="V92" s="385">
        <f t="shared" si="33"/>
        <v>38.871661026676776</v>
      </c>
      <c r="W92" s="404">
        <f t="shared" si="34"/>
        <v>26.205706730304509</v>
      </c>
      <c r="X92" s="157">
        <f t="shared" si="35"/>
        <v>45735</v>
      </c>
      <c r="Y92" s="387">
        <f t="shared" si="36"/>
        <v>24.390603415821889</v>
      </c>
      <c r="Z92" s="387">
        <f t="shared" si="37"/>
        <v>25.804840390682266</v>
      </c>
      <c r="AA92" s="388">
        <f t="shared" si="38"/>
        <v>30.172571291692002</v>
      </c>
      <c r="AB92" s="199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0.14475832565892013</v>
      </c>
      <c r="AD92" s="233">
        <f>(INDEX(Models!$BJ92:$BT92,,AH92)*(1-AF92)+INDEX(Models!$BJ92:$BT92,,AH92+1)*AF92-ERP_i)*AE92*Ramure*Pc/MaxiM</f>
        <v>2.002560351403336E-2</v>
      </c>
      <c r="AE92" s="307">
        <f t="shared" si="40"/>
        <v>0.9</v>
      </c>
      <c r="AF92" s="179">
        <f t="shared" si="41"/>
        <v>0.82188046972411066</v>
      </c>
      <c r="AG92" s="839">
        <f t="shared" si="49"/>
        <v>1</v>
      </c>
      <c r="AH92" s="178">
        <f t="shared" si="42"/>
        <v>7</v>
      </c>
      <c r="AI92" s="227">
        <f t="shared" si="43"/>
        <v>1.8218804697241107</v>
      </c>
      <c r="AJ92" s="267" t="b">
        <f t="shared" si="44"/>
        <v>0</v>
      </c>
      <c r="AK92" s="267" t="b">
        <f t="shared" si="45"/>
        <v>1</v>
      </c>
      <c r="AL92" s="267"/>
      <c r="AM92" s="267"/>
      <c r="AN92" s="75"/>
    </row>
    <row r="93" spans="1:40" s="6" customFormat="1" ht="11.25" x14ac:dyDescent="0.2">
      <c r="A93" s="56">
        <f t="shared" si="46"/>
        <v>45736</v>
      </c>
      <c r="B93" s="413">
        <f>'2024'!Wh/'2024'!Env_an*'2025'!Env_an</f>
        <v>29.576547218574138</v>
      </c>
      <c r="C93" s="868"/>
      <c r="D93" s="395">
        <f t="shared" si="25"/>
        <v>31.292208269055699</v>
      </c>
      <c r="E93" s="387">
        <f t="shared" si="47"/>
        <v>34.060317994553778</v>
      </c>
      <c r="F93" s="387">
        <f t="shared" si="26"/>
        <v>34.490486456512762</v>
      </c>
      <c r="G93" s="110">
        <f t="shared" si="48"/>
        <v>0.74775629908463004</v>
      </c>
      <c r="H93" s="416" t="b">
        <f>Wh_hp&gt;='2024'!Maxi_hp</f>
        <v>0</v>
      </c>
      <c r="I93" s="392">
        <f>IF(H93,Wh_hp,'2024'!Maxi_hp)</f>
        <v>46.71339553405334</v>
      </c>
      <c r="J93" s="85">
        <f>IF(H93,An,'2024'!An_max)</f>
        <v>2019</v>
      </c>
      <c r="K93" s="199">
        <f t="shared" si="27"/>
        <v>45736</v>
      </c>
      <c r="L93" s="147">
        <f>IF(t&lt;Tvie,1-EXP((T0-t)*PertePVj)+'2024'!Pspv,1-EXP((T0-t)*PertePVj)+Pspv)</f>
        <v>5.4827100590984723E-2</v>
      </c>
      <c r="M93" s="872"/>
      <c r="N93" s="872"/>
      <c r="O93" s="48">
        <f>IF(t&lt;Tnet,'2024'!Resal+('2024'!Salim-'2024'!Resal)*(1-EXP(('2024'!Tnet-t)/('2024'!Tau_j))),Resal+(Salim-Resal)*(1-EXP((Tnet-t)/(Tau_j))))*Salcycl</f>
        <v>8.1270812737000861E-2</v>
      </c>
      <c r="P93" s="171">
        <f>(INDEX(Models!$BJ93:$BT93,,T93)*(1-R93)+INDEX(Models!$BJ93:$BT93,,T93+1)*R93-ERP_i)*Q93*Ramure*Pc/MaxiM</f>
        <v>1.9274963938737039E-2</v>
      </c>
      <c r="Q93" s="307">
        <f t="shared" si="28"/>
        <v>0.9</v>
      </c>
      <c r="R93" s="179">
        <f t="shared" si="29"/>
        <v>0.8227892264997807</v>
      </c>
      <c r="S93" s="839">
        <f t="shared" si="30"/>
        <v>1</v>
      </c>
      <c r="T93" s="178">
        <f t="shared" si="31"/>
        <v>7</v>
      </c>
      <c r="U93" s="253">
        <f t="shared" si="32"/>
        <v>1.8227892264997807</v>
      </c>
      <c r="V93" s="385">
        <f t="shared" si="33"/>
        <v>39.281247907532304</v>
      </c>
      <c r="W93" s="404">
        <f t="shared" si="34"/>
        <v>29.576547218574138</v>
      </c>
      <c r="X93" s="157">
        <f t="shared" si="35"/>
        <v>45736</v>
      </c>
      <c r="Y93" s="387">
        <f t="shared" si="36"/>
        <v>27.529718064130218</v>
      </c>
      <c r="Z93" s="387">
        <f t="shared" si="37"/>
        <v>29.126647707888814</v>
      </c>
      <c r="AA93" s="388">
        <f t="shared" si="38"/>
        <v>34.060317994553778</v>
      </c>
      <c r="AB93" s="199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0.14485097547984885</v>
      </c>
      <c r="AD93" s="233">
        <f>(INDEX(Models!$BJ93:$BT93,,AH93)*(1-AF93)+INDEX(Models!$BJ93:$BT93,,AH93+1)*AF93-ERP_i)*AE93*Ramure*Pc/MaxiM</f>
        <v>1.9274963938737039E-2</v>
      </c>
      <c r="AE93" s="307">
        <f t="shared" si="40"/>
        <v>0.9</v>
      </c>
      <c r="AF93" s="179">
        <f t="shared" si="41"/>
        <v>0.8227892264997807</v>
      </c>
      <c r="AG93" s="839">
        <f t="shared" si="49"/>
        <v>1</v>
      </c>
      <c r="AH93" s="178">
        <f t="shared" si="42"/>
        <v>7</v>
      </c>
      <c r="AI93" s="227">
        <f t="shared" si="43"/>
        <v>1.8227892264997807</v>
      </c>
      <c r="AJ93" s="267" t="b">
        <f t="shared" si="44"/>
        <v>0</v>
      </c>
      <c r="AK93" s="267" t="b">
        <f t="shared" si="45"/>
        <v>1</v>
      </c>
      <c r="AL93" s="267"/>
      <c r="AM93" s="267"/>
      <c r="AN93" s="75"/>
    </row>
    <row r="94" spans="1:40" s="6" customFormat="1" ht="11.25" x14ac:dyDescent="0.2">
      <c r="A94" s="56">
        <f t="shared" si="46"/>
        <v>45737</v>
      </c>
      <c r="B94" s="413">
        <f>'2024'!Wh/'2024'!Env_an*'2025'!Env_an</f>
        <v>39.6710500956641</v>
      </c>
      <c r="C94" s="868"/>
      <c r="D94" s="395">
        <f t="shared" si="25"/>
        <v>41.973244625661437</v>
      </c>
      <c r="E94" s="387">
        <f t="shared" si="47"/>
        <v>45.69407780772346</v>
      </c>
      <c r="F94" s="387">
        <f t="shared" si="26"/>
        <v>46.559520336766681</v>
      </c>
      <c r="G94" s="110">
        <f t="shared" si="48"/>
        <v>0.9995078336910499</v>
      </c>
      <c r="H94" s="416" t="b">
        <f>Wh_hp&gt;='2024'!Maxi_hp</f>
        <v>0</v>
      </c>
      <c r="I94" s="392">
        <f>IF(H94,Wh_hp,'2024'!Maxi_hp)</f>
        <v>47.074007170656884</v>
      </c>
      <c r="J94" s="85">
        <f>IF(H94,An,'2024'!An_max)</f>
        <v>2020</v>
      </c>
      <c r="K94" s="199">
        <f t="shared" si="27"/>
        <v>45737</v>
      </c>
      <c r="L94" s="147">
        <f>IF(t&lt;Tvie,1-EXP((T0-t)*PertePVj)+'2024'!Pspv,1-EXP((T0-t)*PertePVj)+Pspv)</f>
        <v>5.4849096145162757E-2</v>
      </c>
      <c r="M94" s="872"/>
      <c r="N94" s="872"/>
      <c r="O94" s="48">
        <f>IF(t&lt;Tnet,'2024'!Resal+('2024'!Salim-'2024'!Resal)*(1-EXP(('2024'!Tnet-t)/('2024'!Tau_j))),Resal+(Salim-Resal)*(1-EXP((Tnet-t)/(Tau_j))))*Salcycl</f>
        <v>8.1429221478524008E-2</v>
      </c>
      <c r="P94" s="171">
        <f>(INDEX(Models!$BJ94:$BT94,,T94)*(1-R94)+INDEX(Models!$BJ94:$BT94,,T94+1)*R94-ERP_i)*Q94*Ramure*Pc/MaxiM</f>
        <v>1.8600608067836946E-2</v>
      </c>
      <c r="Q94" s="307">
        <f t="shared" si="28"/>
        <v>0.9</v>
      </c>
      <c r="R94" s="179">
        <f t="shared" si="29"/>
        <v>0.82373352256536103</v>
      </c>
      <c r="S94" s="839">
        <f t="shared" si="30"/>
        <v>1</v>
      </c>
      <c r="T94" s="178">
        <f t="shared" si="31"/>
        <v>7</v>
      </c>
      <c r="U94" s="253">
        <f t="shared" si="32"/>
        <v>1.823733522565361</v>
      </c>
      <c r="V94" s="385">
        <f t="shared" si="33"/>
        <v>39.690069496238763</v>
      </c>
      <c r="W94" s="404">
        <f t="shared" si="34"/>
        <v>39.6710500956641</v>
      </c>
      <c r="X94" s="157">
        <f t="shared" si="35"/>
        <v>45737</v>
      </c>
      <c r="Y94" s="387">
        <f t="shared" si="36"/>
        <v>36.927962100271472</v>
      </c>
      <c r="Z94" s="387">
        <f t="shared" si="37"/>
        <v>39.070969460706479</v>
      </c>
      <c r="AA94" s="388">
        <f t="shared" si="38"/>
        <v>45.69407780772346</v>
      </c>
      <c r="AB94" s="199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0.14494456754081825</v>
      </c>
      <c r="AD94" s="233">
        <f>(INDEX(Models!$BJ94:$BT94,,AH94)*(1-AF94)+INDEX(Models!$BJ94:$BT94,,AH94+1)*AF94-ERP_i)*AE94*Ramure*Pc/MaxiM</f>
        <v>1.8600608067836946E-2</v>
      </c>
      <c r="AE94" s="307">
        <f t="shared" si="40"/>
        <v>0.9</v>
      </c>
      <c r="AF94" s="179">
        <f t="shared" si="41"/>
        <v>0.82373352256536103</v>
      </c>
      <c r="AG94" s="839">
        <f t="shared" si="49"/>
        <v>1</v>
      </c>
      <c r="AH94" s="178">
        <f t="shared" si="42"/>
        <v>7</v>
      </c>
      <c r="AI94" s="227">
        <f t="shared" si="43"/>
        <v>1.823733522565361</v>
      </c>
      <c r="AJ94" s="267" t="b">
        <f t="shared" si="44"/>
        <v>0</v>
      </c>
      <c r="AK94" s="267" t="b">
        <f t="shared" si="45"/>
        <v>1</v>
      </c>
      <c r="AL94" s="267"/>
      <c r="AM94" s="267"/>
      <c r="AN94" s="75"/>
    </row>
    <row r="95" spans="1:40" s="6" customFormat="1" ht="11.25" x14ac:dyDescent="0.2">
      <c r="A95" s="56">
        <f t="shared" si="46"/>
        <v>45738</v>
      </c>
      <c r="B95" s="413">
        <f>'2024'!Wh/'2024'!Env_an*'2025'!Env_an</f>
        <v>36.711807932692743</v>
      </c>
      <c r="C95" s="868"/>
      <c r="D95" s="395">
        <f t="shared" si="25"/>
        <v>38.843175349294867</v>
      </c>
      <c r="E95" s="387">
        <f t="shared" si="47"/>
        <v>42.293850449000836</v>
      </c>
      <c r="F95" s="387">
        <f t="shared" si="26"/>
        <v>42.97358692550582</v>
      </c>
      <c r="G95" s="110">
        <f t="shared" si="48"/>
        <v>0.91353602565722192</v>
      </c>
      <c r="H95" s="416" t="b">
        <f>Wh_hp&gt;='2024'!Maxi_hp</f>
        <v>0</v>
      </c>
      <c r="I95" s="392">
        <f>IF(H95,Wh_hp,'2024'!Maxi_hp)</f>
        <v>46.536327342743263</v>
      </c>
      <c r="J95" s="85">
        <f>IF(H95,An,'2024'!An_max)</f>
        <v>2020</v>
      </c>
      <c r="K95" s="199">
        <f t="shared" si="27"/>
        <v>45738</v>
      </c>
      <c r="L95" s="147">
        <f>IF(t&lt;Tvie,1-EXP((T0-t)*PertePVj)+'2024'!Pspv,1-EXP((T0-t)*PertePVj)+Pspv)</f>
        <v>5.4871091187472021E-2</v>
      </c>
      <c r="M95" s="872"/>
      <c r="N95" s="872"/>
      <c r="O95" s="48">
        <f>IF(t&lt;Tnet,'2024'!Resal+('2024'!Salim-'2024'!Resal)*(1-EXP(('2024'!Tnet-t)/('2024'!Tau_j))),Resal+(Salim-Resal)*(1-EXP((Tnet-t)/(Tau_j))))*Salcycl</f>
        <v>8.1588104726168106E-2</v>
      </c>
      <c r="P95" s="171">
        <f>(INDEX(Models!$BJ95:$BT95,,T95)*(1-R95)+INDEX(Models!$BJ95:$BT95,,T95+1)*R95-ERP_i)*Q95*Ramure*Pc/MaxiM</f>
        <v>1.7987482758941246E-2</v>
      </c>
      <c r="Q95" s="307">
        <f t="shared" si="28"/>
        <v>0.9</v>
      </c>
      <c r="R95" s="179">
        <f t="shared" si="29"/>
        <v>0.82471463915100562</v>
      </c>
      <c r="S95" s="839">
        <f t="shared" si="30"/>
        <v>1</v>
      </c>
      <c r="T95" s="178">
        <f t="shared" si="31"/>
        <v>7</v>
      </c>
      <c r="U95" s="253">
        <f t="shared" si="32"/>
        <v>1.8247146391510056</v>
      </c>
      <c r="V95" s="385">
        <f t="shared" si="33"/>
        <v>40.097887883648099</v>
      </c>
      <c r="W95" s="404">
        <f t="shared" si="34"/>
        <v>36.711807932692743</v>
      </c>
      <c r="X95" s="157">
        <f t="shared" si="35"/>
        <v>45738</v>
      </c>
      <c r="Y95" s="387">
        <f t="shared" si="36"/>
        <v>34.175469149542899</v>
      </c>
      <c r="Z95" s="387">
        <f t="shared" si="37"/>
        <v>36.159585037433033</v>
      </c>
      <c r="AA95" s="388">
        <f t="shared" si="38"/>
        <v>42.293850449000836</v>
      </c>
      <c r="AB95" s="199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0.14503918055332138</v>
      </c>
      <c r="AD95" s="233">
        <f>(INDEX(Models!$BJ95:$BT95,,AH95)*(1-AF95)+INDEX(Models!$BJ95:$BT95,,AH95+1)*AF95-ERP_i)*AE95*Ramure*Pc/MaxiM</f>
        <v>1.7987482758941246E-2</v>
      </c>
      <c r="AE95" s="307">
        <f t="shared" si="40"/>
        <v>0.9</v>
      </c>
      <c r="AF95" s="179">
        <f t="shared" si="41"/>
        <v>0.82471463915100562</v>
      </c>
      <c r="AG95" s="839">
        <f t="shared" si="49"/>
        <v>1</v>
      </c>
      <c r="AH95" s="178">
        <f t="shared" si="42"/>
        <v>7</v>
      </c>
      <c r="AI95" s="227">
        <f t="shared" si="43"/>
        <v>1.8247146391510056</v>
      </c>
      <c r="AJ95" s="267" t="b">
        <f t="shared" si="44"/>
        <v>0</v>
      </c>
      <c r="AK95" s="267" t="b">
        <f t="shared" si="45"/>
        <v>1</v>
      </c>
      <c r="AL95" s="267"/>
      <c r="AM95" s="267"/>
      <c r="AN95" s="75"/>
    </row>
    <row r="96" spans="1:40" s="6" customFormat="1" ht="11.25" x14ac:dyDescent="0.2">
      <c r="A96" s="56">
        <f t="shared" si="46"/>
        <v>45739</v>
      </c>
      <c r="B96" s="413">
        <f>'2024'!Wh/'2024'!Env_an*'2025'!Env_an</f>
        <v>41.499971042826175</v>
      </c>
      <c r="C96" s="868"/>
      <c r="D96" s="395">
        <f t="shared" si="25"/>
        <v>43.91034539658456</v>
      </c>
      <c r="E96" s="387">
        <f t="shared" si="47"/>
        <v>47.819467808317519</v>
      </c>
      <c r="F96" s="387">
        <f t="shared" si="26"/>
        <v>48.667959104368592</v>
      </c>
      <c r="G96" s="110">
        <f t="shared" si="48"/>
        <v>1.0245914803834315</v>
      </c>
      <c r="H96" s="416" t="b">
        <f>Wh_hp&gt;='2024'!Maxi_hp</f>
        <v>1</v>
      </c>
      <c r="I96" s="392">
        <f>IF(H96,Wh_hp,'2024'!Maxi_hp)</f>
        <v>48.667959104368592</v>
      </c>
      <c r="J96" s="85">
        <f>IF(H96,An,'2024'!An_max)</f>
        <v>2025</v>
      </c>
      <c r="K96" s="199">
        <f t="shared" si="27"/>
        <v>45739</v>
      </c>
      <c r="L96" s="147">
        <f>IF(t&lt;Tvie,1-EXP((T0-t)*PertePVj)+'2024'!Pspv,1-EXP((T0-t)*PertePVj)+Pspv)</f>
        <v>5.4893085717924506E-2</v>
      </c>
      <c r="M96" s="872"/>
      <c r="N96" s="872"/>
      <c r="O96" s="48">
        <f>IF(t&lt;Tnet,'2024'!Resal+('2024'!Salim-'2024'!Resal)*(1-EXP(('2024'!Tnet-t)/('2024'!Tau_j))),Resal+(Salim-Resal)*(1-EXP((Tnet-t)/(Tau_j))))*Salcycl</f>
        <v>8.1747509767413656E-2</v>
      </c>
      <c r="P96" s="171">
        <f>(INDEX(Models!$BJ96:$BT96,,T96)*(1-R96)+INDEX(Models!$BJ96:$BT96,,T96+1)*R96-ERP_i)*Q96*Ramure*Pc/MaxiM</f>
        <v>1.7434289657215371E-2</v>
      </c>
      <c r="Q96" s="307">
        <f t="shared" si="28"/>
        <v>0.9</v>
      </c>
      <c r="R96" s="179">
        <f t="shared" si="29"/>
        <v>0.8257338947342181</v>
      </c>
      <c r="S96" s="839">
        <f t="shared" si="30"/>
        <v>1</v>
      </c>
      <c r="T96" s="178">
        <f t="shared" si="31"/>
        <v>7</v>
      </c>
      <c r="U96" s="253">
        <f t="shared" si="32"/>
        <v>1.8257338947342181</v>
      </c>
      <c r="V96" s="385">
        <f t="shared" si="33"/>
        <v>40.503919696165831</v>
      </c>
      <c r="W96" s="404">
        <f t="shared" si="34"/>
        <v>41.499971042826175</v>
      </c>
      <c r="X96" s="157">
        <f t="shared" si="35"/>
        <v>45739</v>
      </c>
      <c r="Y96" s="387">
        <f t="shared" si="36"/>
        <v>38.635209291978441</v>
      </c>
      <c r="Z96" s="387">
        <f t="shared" si="37"/>
        <v>40.879194415085429</v>
      </c>
      <c r="AA96" s="388">
        <f t="shared" si="38"/>
        <v>47.819467808317519</v>
      </c>
      <c r="AB96" s="199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0.14513489403629315</v>
      </c>
      <c r="AD96" s="233">
        <f>(INDEX(Models!$BJ96:$BT96,,AH96)*(1-AF96)+INDEX(Models!$BJ96:$BT96,,AH96+1)*AF96-ERP_i)*AE96*Ramure*Pc/MaxiM</f>
        <v>1.7434289657215371E-2</v>
      </c>
      <c r="AE96" s="307">
        <f t="shared" si="40"/>
        <v>0.9</v>
      </c>
      <c r="AF96" s="179">
        <f t="shared" si="41"/>
        <v>0.8257338947342181</v>
      </c>
      <c r="AG96" s="839">
        <f t="shared" si="49"/>
        <v>1</v>
      </c>
      <c r="AH96" s="178">
        <f t="shared" si="42"/>
        <v>7</v>
      </c>
      <c r="AI96" s="227">
        <f t="shared" si="43"/>
        <v>1.8257338947342181</v>
      </c>
      <c r="AJ96" s="267" t="b">
        <f t="shared" si="44"/>
        <v>0</v>
      </c>
      <c r="AK96" s="267" t="b">
        <f t="shared" si="45"/>
        <v>1</v>
      </c>
      <c r="AL96" s="267"/>
      <c r="AM96" s="267"/>
      <c r="AN96" s="75"/>
    </row>
    <row r="97" spans="1:40" s="6" customFormat="1" ht="11.25" x14ac:dyDescent="0.2">
      <c r="A97" s="56">
        <f t="shared" si="46"/>
        <v>45740</v>
      </c>
      <c r="B97" s="413">
        <f>'2024'!Wh/'2024'!Env_an*'2025'!Env_an</f>
        <v>40.925876551134941</v>
      </c>
      <c r="C97" s="868"/>
      <c r="D97" s="395">
        <f t="shared" si="25"/>
        <v>43.303914466993881</v>
      </c>
      <c r="E97" s="387">
        <f t="shared" si="47"/>
        <v>47.167266623585583</v>
      </c>
      <c r="F97" s="387">
        <f t="shared" si="26"/>
        <v>47.980036095825021</v>
      </c>
      <c r="G97" s="110">
        <f t="shared" si="48"/>
        <v>1.0004521160685849</v>
      </c>
      <c r="H97" s="416" t="b">
        <f>Wh_hp&gt;='2024'!Maxi_hp</f>
        <v>1</v>
      </c>
      <c r="I97" s="392">
        <f>IF(H97,Wh_hp,'2024'!Maxi_hp)</f>
        <v>47.980036095825021</v>
      </c>
      <c r="J97" s="85">
        <f>IF(H97,An,'2024'!An_max)</f>
        <v>2025</v>
      </c>
      <c r="K97" s="199">
        <f t="shared" si="27"/>
        <v>45740</v>
      </c>
      <c r="L97" s="147">
        <f>IF(t&lt;Tvie,1-EXP((T0-t)*PertePVj)+'2024'!Pspv,1-EXP((T0-t)*PertePVj)+Pspv)</f>
        <v>5.4915079736532202E-2</v>
      </c>
      <c r="M97" s="872"/>
      <c r="N97" s="872"/>
      <c r="O97" s="48">
        <f>IF(t&lt;Tnet,'2024'!Resal+('2024'!Salim-'2024'!Resal)*(1-EXP(('2024'!Tnet-t)/('2024'!Tau_j))),Resal+(Salim-Resal)*(1-EXP((Tnet-t)/(Tau_j))))*Salcycl</f>
        <v>8.1907484430311761E-2</v>
      </c>
      <c r="P97" s="171">
        <f>(INDEX(Models!$BJ97:$BT97,,T97)*(1-R97)+INDEX(Models!$BJ97:$BT97,,T97+1)*R97-ERP_i)*Q97*Ramure*Pc/MaxiM</f>
        <v>1.6939742825874324E-2</v>
      </c>
      <c r="Q97" s="307">
        <f t="shared" si="28"/>
        <v>0.9</v>
      </c>
      <c r="R97" s="179">
        <f t="shared" si="29"/>
        <v>0.82679264536780184</v>
      </c>
      <c r="S97" s="839">
        <f t="shared" si="30"/>
        <v>1</v>
      </c>
      <c r="T97" s="178">
        <f t="shared" si="31"/>
        <v>7</v>
      </c>
      <c r="U97" s="253">
        <f t="shared" si="32"/>
        <v>1.8267926453678018</v>
      </c>
      <c r="V97" s="385">
        <f t="shared" si="33"/>
        <v>40.907381666559758</v>
      </c>
      <c r="W97" s="404">
        <f t="shared" si="34"/>
        <v>40.925876551134941</v>
      </c>
      <c r="X97" s="157">
        <f t="shared" si="35"/>
        <v>45740</v>
      </c>
      <c r="Y97" s="387">
        <f t="shared" si="36"/>
        <v>38.10306448176626</v>
      </c>
      <c r="Z97" s="387">
        <f t="shared" si="37"/>
        <v>40.317080153118951</v>
      </c>
      <c r="AA97" s="388">
        <f t="shared" si="38"/>
        <v>47.167266623585583</v>
      </c>
      <c r="AB97" s="199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0.1452317880773964</v>
      </c>
      <c r="AD97" s="233">
        <f>(INDEX(Models!$BJ97:$BT97,,AH97)*(1-AF97)+INDEX(Models!$BJ97:$BT97,,AH97+1)*AF97-ERP_i)*AE97*Ramure*Pc/MaxiM</f>
        <v>1.6939742825874324E-2</v>
      </c>
      <c r="AE97" s="307">
        <f t="shared" si="40"/>
        <v>0.9</v>
      </c>
      <c r="AF97" s="179">
        <f t="shared" si="41"/>
        <v>0.82679264536780184</v>
      </c>
      <c r="AG97" s="839">
        <f t="shared" si="49"/>
        <v>1</v>
      </c>
      <c r="AH97" s="178">
        <f t="shared" si="42"/>
        <v>7</v>
      </c>
      <c r="AI97" s="227">
        <f t="shared" si="43"/>
        <v>1.8267926453678018</v>
      </c>
      <c r="AJ97" s="267" t="b">
        <f t="shared" si="44"/>
        <v>0</v>
      </c>
      <c r="AK97" s="267" t="b">
        <f t="shared" si="45"/>
        <v>1</v>
      </c>
      <c r="AL97" s="267"/>
      <c r="AM97" s="267"/>
      <c r="AN97" s="75"/>
    </row>
    <row r="98" spans="1:40" s="6" customFormat="1" ht="11.25" x14ac:dyDescent="0.2">
      <c r="A98" s="56">
        <f t="shared" si="46"/>
        <v>45741</v>
      </c>
      <c r="B98" s="413">
        <f>'2024'!Wh/'2024'!Env_an*'2025'!Env_an</f>
        <v>37.473812209105844</v>
      </c>
      <c r="C98" s="868"/>
      <c r="D98" s="395">
        <f t="shared" si="25"/>
        <v>39.652187328636472</v>
      </c>
      <c r="E98" s="387">
        <f t="shared" si="47"/>
        <v>43.197307265425962</v>
      </c>
      <c r="F98" s="387">
        <f t="shared" si="26"/>
        <v>43.824640031533988</v>
      </c>
      <c r="G98" s="110">
        <f t="shared" si="48"/>
        <v>0.90517795874603624</v>
      </c>
      <c r="H98" s="416" t="b">
        <f>Wh_hp&gt;='2024'!Maxi_hp</f>
        <v>0</v>
      </c>
      <c r="I98" s="392">
        <f>IF(H98,Wh_hp,'2024'!Maxi_hp)</f>
        <v>46.654104834621393</v>
      </c>
      <c r="J98" s="85">
        <f>IF(H98,An,'2024'!An_max)</f>
        <v>2020</v>
      </c>
      <c r="K98" s="199">
        <f t="shared" si="27"/>
        <v>45741</v>
      </c>
      <c r="L98" s="147">
        <f>IF(t&lt;Tvie,1-EXP((T0-t)*PertePVj)+'2024'!Pspv,1-EXP((T0-t)*PertePVj)+Pspv)</f>
        <v>5.4937073243306989E-2</v>
      </c>
      <c r="M98" s="872"/>
      <c r="N98" s="872"/>
      <c r="O98" s="48">
        <f>IF(t&lt;Tnet,'2024'!Resal+('2024'!Salim-'2024'!Resal)*(1-EXP(('2024'!Tnet-t)/('2024'!Tau_j))),Resal+(Salim-Resal)*(1-EXP((Tnet-t)/(Tau_j))))*Salcycl</f>
        <v>8.2068076952262189E-2</v>
      </c>
      <c r="P98" s="171">
        <f>(INDEX(Models!$BJ98:$BT98,,T98)*(1-R98)+INDEX(Models!$BJ98:$BT98,,T98+1)*R98-ERP_i)*Q98*Ramure*Pc/MaxiM</f>
        <v>1.6502579564096145E-2</v>
      </c>
      <c r="Q98" s="307">
        <f t="shared" si="28"/>
        <v>0.9</v>
      </c>
      <c r="R98" s="179">
        <f t="shared" si="29"/>
        <v>0.82789228493714795</v>
      </c>
      <c r="S98" s="839">
        <f t="shared" si="30"/>
        <v>1</v>
      </c>
      <c r="T98" s="178">
        <f t="shared" si="31"/>
        <v>7</v>
      </c>
      <c r="U98" s="253">
        <f t="shared" si="32"/>
        <v>1.8278922849371479</v>
      </c>
      <c r="V98" s="385">
        <f t="shared" si="33"/>
        <v>41.307490624094051</v>
      </c>
      <c r="W98" s="404">
        <f t="shared" si="34"/>
        <v>37.473812209105844</v>
      </c>
      <c r="X98" s="157">
        <f t="shared" si="35"/>
        <v>45741</v>
      </c>
      <c r="Y98" s="387">
        <f t="shared" si="36"/>
        <v>34.891198801222643</v>
      </c>
      <c r="Z98" s="387">
        <f t="shared" si="37"/>
        <v>36.919445058503925</v>
      </c>
      <c r="AA98" s="388">
        <f t="shared" si="38"/>
        <v>43.197307265425962</v>
      </c>
      <c r="AB98" s="199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0.14532994309917749</v>
      </c>
      <c r="AD98" s="233">
        <f>(INDEX(Models!$BJ98:$BT98,,AH98)*(1-AF98)+INDEX(Models!$BJ98:$BT98,,AH98+1)*AF98-ERP_i)*AE98*Ramure*Pc/MaxiM</f>
        <v>1.6502579564096145E-2</v>
      </c>
      <c r="AE98" s="307">
        <f t="shared" si="40"/>
        <v>0.9</v>
      </c>
      <c r="AF98" s="179">
        <f t="shared" si="41"/>
        <v>0.82789228493714795</v>
      </c>
      <c r="AG98" s="839">
        <f t="shared" si="49"/>
        <v>1</v>
      </c>
      <c r="AH98" s="178">
        <f t="shared" si="42"/>
        <v>7</v>
      </c>
      <c r="AI98" s="227">
        <f t="shared" si="43"/>
        <v>1.8278922849371479</v>
      </c>
      <c r="AJ98" s="267" t="b">
        <f t="shared" si="44"/>
        <v>0</v>
      </c>
      <c r="AK98" s="267" t="b">
        <f t="shared" si="45"/>
        <v>1</v>
      </c>
      <c r="AL98" s="267"/>
      <c r="AM98" s="267"/>
      <c r="AN98" s="75"/>
    </row>
    <row r="99" spans="1:40" s="6" customFormat="1" ht="11.25" x14ac:dyDescent="0.2">
      <c r="A99" s="56">
        <f t="shared" si="46"/>
        <v>45742</v>
      </c>
      <c r="B99" s="413">
        <f>'2024'!Wh/'2024'!Env_an*'2025'!Env_an</f>
        <v>40.479401702541857</v>
      </c>
      <c r="C99" s="868"/>
      <c r="D99" s="395">
        <f t="shared" si="25"/>
        <v>42.833490335083617</v>
      </c>
      <c r="E99" s="387">
        <f t="shared" si="47"/>
        <v>46.671234991812014</v>
      </c>
      <c r="F99" s="387">
        <f t="shared" si="26"/>
        <v>47.403408114554253</v>
      </c>
      <c r="G99" s="110">
        <f t="shared" si="48"/>
        <v>0.96998199552882547</v>
      </c>
      <c r="H99" s="416" t="b">
        <f>Wh_hp&gt;='2024'!Maxi_hp</f>
        <v>0</v>
      </c>
      <c r="I99" s="392">
        <f>IF(H99,Wh_hp,'2024'!Maxi_hp)</f>
        <v>49.888240917785708</v>
      </c>
      <c r="J99" s="85">
        <f>IF(H99,An,'2024'!An_max)</f>
        <v>2019</v>
      </c>
      <c r="K99" s="199">
        <f t="shared" si="27"/>
        <v>45742</v>
      </c>
      <c r="L99" s="147">
        <f>IF(t&lt;Tvie,1-EXP((T0-t)*PertePVj)+'2024'!Pspv,1-EXP((T0-t)*PertePVj)+Pspv)</f>
        <v>5.4959066238260634E-2</v>
      </c>
      <c r="M99" s="872"/>
      <c r="N99" s="872"/>
      <c r="O99" s="48">
        <f>IF(t&lt;Tnet,'2024'!Resal+('2024'!Salim-'2024'!Resal)*(1-EXP(('2024'!Tnet-t)/('2024'!Tau_j))),Resal+(Salim-Resal)*(1-EXP((Tnet-t)/(Tau_j))))*Salcycl</f>
        <v>8.2229335851123075E-2</v>
      </c>
      <c r="P99" s="171">
        <f>(INDEX(Models!$BJ99:$BT99,,T99)*(1-R99)+INDEX(Models!$BJ99:$BT99,,T99+1)*R99-ERP_i)*Q99*Ramure*Pc/MaxiM</f>
        <v>1.6121570176157892E-2</v>
      </c>
      <c r="Q99" s="307">
        <f t="shared" si="28"/>
        <v>0.9</v>
      </c>
      <c r="R99" s="179">
        <f t="shared" si="29"/>
        <v>0.82903424533911307</v>
      </c>
      <c r="S99" s="839">
        <f t="shared" si="30"/>
        <v>1</v>
      </c>
      <c r="T99" s="178">
        <f t="shared" si="31"/>
        <v>7</v>
      </c>
      <c r="U99" s="253">
        <f t="shared" si="32"/>
        <v>1.8290342453391131</v>
      </c>
      <c r="V99" s="385">
        <f t="shared" si="33"/>
        <v>41.703463491590284</v>
      </c>
      <c r="W99" s="404">
        <f t="shared" si="34"/>
        <v>40.479401702541857</v>
      </c>
      <c r="X99" s="157">
        <f t="shared" si="35"/>
        <v>45742</v>
      </c>
      <c r="Y99" s="387">
        <f t="shared" si="36"/>
        <v>37.691883547419138</v>
      </c>
      <c r="Z99" s="387">
        <f t="shared" si="37"/>
        <v>39.883863440059088</v>
      </c>
      <c r="AA99" s="388">
        <f t="shared" si="38"/>
        <v>46.671234991812014</v>
      </c>
      <c r="AB99" s="199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0.14542943963114974</v>
      </c>
      <c r="AD99" s="233">
        <f>(INDEX(Models!$BJ99:$BT99,,AH99)*(1-AF99)+INDEX(Models!$BJ99:$BT99,,AH99+1)*AF99-ERP_i)*AE99*Ramure*Pc/MaxiM</f>
        <v>1.6121570176157892E-2</v>
      </c>
      <c r="AE99" s="307">
        <f t="shared" si="40"/>
        <v>0.9</v>
      </c>
      <c r="AF99" s="179">
        <f t="shared" si="41"/>
        <v>0.82903424533911307</v>
      </c>
      <c r="AG99" s="839">
        <f t="shared" si="49"/>
        <v>1</v>
      </c>
      <c r="AH99" s="178">
        <f t="shared" si="42"/>
        <v>7</v>
      </c>
      <c r="AI99" s="227">
        <f t="shared" si="43"/>
        <v>1.8290342453391131</v>
      </c>
      <c r="AJ99" s="267" t="b">
        <f t="shared" si="44"/>
        <v>0</v>
      </c>
      <c r="AK99" s="267" t="b">
        <f t="shared" si="45"/>
        <v>1</v>
      </c>
      <c r="AL99" s="267"/>
      <c r="AM99" s="267"/>
      <c r="AN99" s="75"/>
    </row>
    <row r="100" spans="1:40" s="6" customFormat="1" ht="11.25" x14ac:dyDescent="0.2">
      <c r="A100" s="56">
        <f t="shared" si="46"/>
        <v>45743</v>
      </c>
      <c r="B100" s="413">
        <f>'2024'!Wh/'2024'!Env_an*'2025'!Env_an</f>
        <v>39.969890100578809</v>
      </c>
      <c r="C100" s="868"/>
      <c r="D100" s="395">
        <f t="shared" si="25"/>
        <v>42.295332246462934</v>
      </c>
      <c r="E100" s="387">
        <f t="shared" si="47"/>
        <v>46.092994430127781</v>
      </c>
      <c r="F100" s="387">
        <f t="shared" si="26"/>
        <v>46.778436543632658</v>
      </c>
      <c r="G100" s="110">
        <f t="shared" si="48"/>
        <v>0.94842618239851684</v>
      </c>
      <c r="H100" s="416" t="b">
        <f>Wh_hp&gt;='2024'!Maxi_hp</f>
        <v>0</v>
      </c>
      <c r="I100" s="392">
        <f>IF(H100,Wh_hp,'2024'!Maxi_hp)</f>
        <v>49.214148253624103</v>
      </c>
      <c r="J100" s="85">
        <f>IF(H100,An,'2024'!An_max)</f>
        <v>2019</v>
      </c>
      <c r="K100" s="199">
        <f t="shared" si="27"/>
        <v>45743</v>
      </c>
      <c r="L100" s="147">
        <f>IF(t&lt;Tvie,1-EXP((T0-t)*PertePVj)+'2024'!Pspv,1-EXP((T0-t)*PertePVj)+Pspv)</f>
        <v>5.498105872140524E-2</v>
      </c>
      <c r="M100" s="872"/>
      <c r="N100" s="872"/>
      <c r="O100" s="48">
        <f>IF(t&lt;Tnet,'2024'!Resal+('2024'!Salim-'2024'!Resal)*(1-EXP(('2024'!Tnet-t)/('2024'!Tau_j))),Resal+(Salim-Resal)*(1-EXP((Tnet-t)/(Tau_j))))*Salcycl</f>
        <v>8.2391309799186699E-2</v>
      </c>
      <c r="P100" s="171">
        <f>(INDEX(Models!$BJ100:$BT100,,T100)*(1-R100)+INDEX(Models!$BJ100:$BT100,,T100+1)*R100-ERP_i)*Q100*Ramure*Pc/MaxiM</f>
        <v>1.5791676798568285E-2</v>
      </c>
      <c r="Q100" s="307">
        <f t="shared" si="28"/>
        <v>0.9</v>
      </c>
      <c r="R100" s="179">
        <f t="shared" si="29"/>
        <v>0.83021999657426337</v>
      </c>
      <c r="S100" s="839">
        <f t="shared" si="30"/>
        <v>1</v>
      </c>
      <c r="T100" s="178">
        <f t="shared" si="31"/>
        <v>7</v>
      </c>
      <c r="U100" s="253">
        <f t="shared" si="32"/>
        <v>1.8302199965742634</v>
      </c>
      <c r="V100" s="385">
        <f t="shared" si="33"/>
        <v>42.094681939123028</v>
      </c>
      <c r="W100" s="404">
        <f t="shared" si="34"/>
        <v>39.969890100578809</v>
      </c>
      <c r="X100" s="157">
        <f t="shared" si="35"/>
        <v>45743</v>
      </c>
      <c r="Y100" s="387">
        <f t="shared" si="36"/>
        <v>37.2196319043166</v>
      </c>
      <c r="Z100" s="387">
        <f t="shared" si="37"/>
        <v>39.385064445331714</v>
      </c>
      <c r="AA100" s="388">
        <f t="shared" si="38"/>
        <v>46.092994430127781</v>
      </c>
      <c r="AB100" s="199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0.14553035808868073</v>
      </c>
      <c r="AD100" s="233">
        <f>(INDEX(Models!$BJ100:$BT100,,AH100)*(1-AF100)+INDEX(Models!$BJ100:$BT100,,AH100+1)*AF100-ERP_i)*AE100*Ramure*Pc/MaxiM</f>
        <v>1.5791676798568285E-2</v>
      </c>
      <c r="AE100" s="307">
        <f t="shared" si="40"/>
        <v>0.9</v>
      </c>
      <c r="AF100" s="179">
        <f t="shared" si="41"/>
        <v>0.83021999657426337</v>
      </c>
      <c r="AG100" s="839">
        <f t="shared" si="49"/>
        <v>1</v>
      </c>
      <c r="AH100" s="178">
        <f t="shared" si="42"/>
        <v>7</v>
      </c>
      <c r="AI100" s="227">
        <f t="shared" si="43"/>
        <v>1.8302199965742634</v>
      </c>
      <c r="AJ100" s="267" t="b">
        <f t="shared" si="44"/>
        <v>0</v>
      </c>
      <c r="AK100" s="267" t="b">
        <f t="shared" si="45"/>
        <v>1</v>
      </c>
      <c r="AL100" s="267"/>
      <c r="AM100" s="267"/>
      <c r="AN100" s="75"/>
    </row>
    <row r="101" spans="1:40" s="6" customFormat="1" ht="11.25" x14ac:dyDescent="0.2">
      <c r="A101" s="56">
        <f t="shared" si="46"/>
        <v>45744</v>
      </c>
      <c r="B101" s="413">
        <f>'2024'!Wh/'2024'!Env_an*'2025'!Env_an</f>
        <v>31.093593045098128</v>
      </c>
      <c r="C101" s="868"/>
      <c r="D101" s="395">
        <f t="shared" si="25"/>
        <v>32.903379283808306</v>
      </c>
      <c r="E101" s="387">
        <f t="shared" si="47"/>
        <v>35.864106429555015</v>
      </c>
      <c r="F101" s="387">
        <f t="shared" si="26"/>
        <v>36.209983500767841</v>
      </c>
      <c r="G101" s="110">
        <f t="shared" si="48"/>
        <v>0.72754773011387408</v>
      </c>
      <c r="H101" s="416" t="b">
        <f>Wh_hp&gt;='2024'!Maxi_hp</f>
        <v>0</v>
      </c>
      <c r="I101" s="392">
        <f>IF(H101,Wh_hp,'2024'!Maxi_hp)</f>
        <v>48.325580600194776</v>
      </c>
      <c r="J101" s="85">
        <f>IF(H101,An,'2024'!An_max)</f>
        <v>2021</v>
      </c>
      <c r="K101" s="199">
        <f t="shared" si="27"/>
        <v>45744</v>
      </c>
      <c r="L101" s="147">
        <f>IF(t&lt;Tvie,1-EXP((T0-t)*PertePVj)+'2024'!Pspv,1-EXP((T0-t)*PertePVj)+Pspv)</f>
        <v>5.5003050692752686E-2</v>
      </c>
      <c r="M101" s="872"/>
      <c r="N101" s="872"/>
      <c r="O101" s="48">
        <f>IF(t&lt;Tnet,'2024'!Resal+('2024'!Salim-'2024'!Resal)*(1-EXP(('2024'!Tnet-t)/('2024'!Tau_j))),Resal+(Salim-Resal)*(1-EXP((Tnet-t)/(Tau_j))))*Salcycl</f>
        <v>8.2554047500450894E-2</v>
      </c>
      <c r="P101" s="171">
        <f>(INDEX(Models!$BJ101:$BT101,,T101)*(1-R101)+INDEX(Models!$BJ101:$BT101,,T101+1)*R101-ERP_i)*Q101*Ramure*Pc/MaxiM</f>
        <v>1.5480302336616555E-2</v>
      </c>
      <c r="Q101" s="307">
        <f t="shared" si="28"/>
        <v>0.9</v>
      </c>
      <c r="R101" s="179">
        <f t="shared" si="29"/>
        <v>0.83145104674379344</v>
      </c>
      <c r="S101" s="839">
        <f t="shared" si="30"/>
        <v>1</v>
      </c>
      <c r="T101" s="178">
        <f t="shared" si="31"/>
        <v>7</v>
      </c>
      <c r="U101" s="253">
        <f t="shared" si="32"/>
        <v>1.8314510467437934</v>
      </c>
      <c r="V101" s="385">
        <f t="shared" si="33"/>
        <v>42.481724878897481</v>
      </c>
      <c r="W101" s="404">
        <f t="shared" si="34"/>
        <v>31.093593045098128</v>
      </c>
      <c r="X101" s="157">
        <f t="shared" si="35"/>
        <v>45744</v>
      </c>
      <c r="Y101" s="387">
        <f t="shared" si="36"/>
        <v>28.955762050254702</v>
      </c>
      <c r="Z101" s="387">
        <f t="shared" si="37"/>
        <v>30.641116959669993</v>
      </c>
      <c r="AA101" s="388">
        <f t="shared" si="38"/>
        <v>35.864106429555015</v>
      </c>
      <c r="AB101" s="199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0.14563277855936882</v>
      </c>
      <c r="AD101" s="233">
        <f>(INDEX(Models!$BJ101:$BT101,,AH101)*(1-AF101)+INDEX(Models!$BJ101:$BT101,,AH101+1)*AF101-ERP_i)*AE101*Ramure*Pc/MaxiM</f>
        <v>1.5480302336616555E-2</v>
      </c>
      <c r="AE101" s="307">
        <f t="shared" si="40"/>
        <v>0.9</v>
      </c>
      <c r="AF101" s="179">
        <f t="shared" si="41"/>
        <v>0.83145104674379344</v>
      </c>
      <c r="AG101" s="839">
        <f t="shared" si="49"/>
        <v>1</v>
      </c>
      <c r="AH101" s="178">
        <f t="shared" si="42"/>
        <v>7</v>
      </c>
      <c r="AI101" s="227">
        <f t="shared" si="43"/>
        <v>1.8314510467437934</v>
      </c>
      <c r="AJ101" s="267" t="b">
        <f t="shared" si="44"/>
        <v>0</v>
      </c>
      <c r="AK101" s="267" t="b">
        <f t="shared" si="45"/>
        <v>1</v>
      </c>
      <c r="AL101" s="267"/>
      <c r="AM101" s="267"/>
      <c r="AN101" s="75"/>
    </row>
    <row r="102" spans="1:40" s="6" customFormat="1" ht="11.25" x14ac:dyDescent="0.2">
      <c r="A102" s="56">
        <f t="shared" si="46"/>
        <v>45745</v>
      </c>
      <c r="B102" s="413">
        <f>'2024'!Wh/'2024'!Env_an*'2025'!Env_an</f>
        <v>25.678682447242362</v>
      </c>
      <c r="C102" s="868"/>
      <c r="D102" s="395">
        <f t="shared" si="25"/>
        <v>27.173929038002456</v>
      </c>
      <c r="E102" s="387">
        <f t="shared" si="47"/>
        <v>29.624387174614913</v>
      </c>
      <c r="F102" s="387">
        <f t="shared" si="26"/>
        <v>29.817868090245387</v>
      </c>
      <c r="G102" s="110">
        <f t="shared" si="48"/>
        <v>0.59383095905424488</v>
      </c>
      <c r="H102" s="416" t="b">
        <f>Wh_hp&gt;='2024'!Maxi_hp</f>
        <v>0</v>
      </c>
      <c r="I102" s="392">
        <f>IF(H102,Wh_hp,'2024'!Maxi_hp)</f>
        <v>50.344049299154825</v>
      </c>
      <c r="J102" s="85">
        <f>IF(H102,An,'2024'!An_max)</f>
        <v>2021</v>
      </c>
      <c r="K102" s="199">
        <f t="shared" si="27"/>
        <v>45745</v>
      </c>
      <c r="L102" s="147">
        <f>IF(t&lt;Tvie,1-EXP((T0-t)*PertePVj)+'2024'!Pspv,1-EXP((T0-t)*PertePVj)+Pspv)</f>
        <v>5.502504215231474E-2</v>
      </c>
      <c r="M102" s="872"/>
      <c r="N102" s="872"/>
      <c r="O102" s="48">
        <f>IF(t&lt;Tnet,'2024'!Resal+('2024'!Salim-'2024'!Resal)*(1-EXP(('2024'!Tnet-t)/('2024'!Tau_j))),Resal+(Salim-Resal)*(1-EXP((Tnet-t)/(Tau_j))))*Salcycl</f>
        <v>8.2717597571511994E-2</v>
      </c>
      <c r="P102" s="171">
        <f>(INDEX(Models!$BJ102:$BT102,,T102)*(1-R102)+INDEX(Models!$BJ102:$BT102,,T102+1)*R102-ERP_i)*Q102*Ramure*Pc/MaxiM</f>
        <v>1.5187209435816595E-2</v>
      </c>
      <c r="Q102" s="307">
        <f t="shared" si="28"/>
        <v>0.9</v>
      </c>
      <c r="R102" s="179">
        <f t="shared" si="29"/>
        <v>0.83272894194193436</v>
      </c>
      <c r="S102" s="839">
        <f t="shared" si="30"/>
        <v>1</v>
      </c>
      <c r="T102" s="178">
        <f t="shared" si="31"/>
        <v>7</v>
      </c>
      <c r="U102" s="253">
        <f t="shared" si="32"/>
        <v>1.8327289419419344</v>
      </c>
      <c r="V102" s="385">
        <f t="shared" si="33"/>
        <v>42.86381241761611</v>
      </c>
      <c r="W102" s="404">
        <f t="shared" si="34"/>
        <v>25.678682447242362</v>
      </c>
      <c r="X102" s="157">
        <f t="shared" si="35"/>
        <v>45745</v>
      </c>
      <c r="Y102" s="387">
        <f t="shared" si="36"/>
        <v>23.914504278423028</v>
      </c>
      <c r="Z102" s="387">
        <f t="shared" si="37"/>
        <v>25.307024360615554</v>
      </c>
      <c r="AA102" s="388">
        <f t="shared" si="38"/>
        <v>29.624387174614913</v>
      </c>
      <c r="AB102" s="199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0.14573678059740261</v>
      </c>
      <c r="AD102" s="233">
        <f>(INDEX(Models!$BJ102:$BT102,,AH102)*(1-AF102)+INDEX(Models!$BJ102:$BT102,,AH102+1)*AF102-ERP_i)*AE102*Ramure*Pc/MaxiM</f>
        <v>1.5187209435816595E-2</v>
      </c>
      <c r="AE102" s="307">
        <f t="shared" si="40"/>
        <v>0.9</v>
      </c>
      <c r="AF102" s="179">
        <f t="shared" si="41"/>
        <v>0.83272894194193436</v>
      </c>
      <c r="AG102" s="839">
        <f t="shared" si="49"/>
        <v>1</v>
      </c>
      <c r="AH102" s="178">
        <f t="shared" si="42"/>
        <v>7</v>
      </c>
      <c r="AI102" s="227">
        <f t="shared" si="43"/>
        <v>1.8327289419419344</v>
      </c>
      <c r="AJ102" s="267" t="b">
        <f t="shared" si="44"/>
        <v>0</v>
      </c>
      <c r="AK102" s="267" t="b">
        <f t="shared" si="45"/>
        <v>1</v>
      </c>
      <c r="AL102" s="267"/>
      <c r="AM102" s="267"/>
      <c r="AN102" s="75"/>
    </row>
    <row r="103" spans="1:40" s="6" customFormat="1" ht="11.25" x14ac:dyDescent="0.2">
      <c r="A103" s="56">
        <f t="shared" si="46"/>
        <v>45746</v>
      </c>
      <c r="B103" s="413">
        <f>'2024'!Wh/'2024'!Env_an*'2025'!Env_an</f>
        <v>7.2385824327311719</v>
      </c>
      <c r="C103" s="868"/>
      <c r="D103" s="395">
        <f t="shared" si="25"/>
        <v>7.6602568448234623</v>
      </c>
      <c r="E103" s="387">
        <f t="shared" si="47"/>
        <v>8.3525314247505467</v>
      </c>
      <c r="F103" s="387">
        <f t="shared" si="26"/>
        <v>8.3525314247505467</v>
      </c>
      <c r="G103" s="110">
        <f t="shared" si="48"/>
        <v>0.16490777740917745</v>
      </c>
      <c r="H103" s="416" t="b">
        <f>Wh_hp&gt;='2024'!Maxi_hp</f>
        <v>0</v>
      </c>
      <c r="I103" s="392">
        <f>IF(H103,Wh_hp,'2024'!Maxi_hp)</f>
        <v>50.446118707020261</v>
      </c>
      <c r="J103" s="85">
        <f>IF(H103,An,'2024'!An_max)</f>
        <v>2019</v>
      </c>
      <c r="K103" s="199">
        <f t="shared" si="27"/>
        <v>45746</v>
      </c>
      <c r="L103" s="147">
        <f>IF(t&lt;Tvie,1-EXP((T0-t)*PertePVj)+'2024'!Pspv,1-EXP((T0-t)*PertePVj)+Pspv)</f>
        <v>5.5047033100103393E-2</v>
      </c>
      <c r="M103" s="872"/>
      <c r="N103" s="872"/>
      <c r="O103" s="48">
        <f>IF(t&lt;Tnet,'2024'!Resal+('2024'!Salim-'2024'!Resal)*(1-EXP(('2024'!Tnet-t)/('2024'!Tau_j))),Resal+(Salim-Resal)*(1-EXP((Tnet-t)/(Tau_j))))*Salcycl</f>
        <v>8.2882008426296852E-2</v>
      </c>
      <c r="P103" s="171">
        <f>(INDEX(Models!$BJ103:$BT103,,T103)*(1-R103)+INDEX(Models!$BJ103:$BT103,,T103+1)*R103-ERP_i)*Q103*Ramure*Pc/MaxiM</f>
        <v>1.4912163866440155E-2</v>
      </c>
      <c r="Q103" s="307">
        <f t="shared" si="28"/>
        <v>0.9</v>
      </c>
      <c r="R103" s="179">
        <f t="shared" si="29"/>
        <v>0.83405526603419999</v>
      </c>
      <c r="S103" s="839">
        <f t="shared" si="30"/>
        <v>1</v>
      </c>
      <c r="T103" s="178">
        <f t="shared" si="31"/>
        <v>7</v>
      </c>
      <c r="U103" s="253">
        <f t="shared" si="32"/>
        <v>1.8340552660342</v>
      </c>
      <c r="V103" s="385">
        <f t="shared" si="33"/>
        <v>43.240165002288826</v>
      </c>
      <c r="W103" s="404">
        <f t="shared" si="34"/>
        <v>7.2385824327311719</v>
      </c>
      <c r="X103" s="157">
        <f t="shared" si="35"/>
        <v>45746</v>
      </c>
      <c r="Y103" s="387">
        <f t="shared" si="36"/>
        <v>6.7416515034076889</v>
      </c>
      <c r="Z103" s="387">
        <f t="shared" si="37"/>
        <v>7.1343778363117876</v>
      </c>
      <c r="AA103" s="388">
        <f t="shared" si="38"/>
        <v>8.3525314247505467</v>
      </c>
      <c r="AB103" s="199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0.14584244302620383</v>
      </c>
      <c r="AD103" s="233">
        <f>(INDEX(Models!$BJ103:$BT103,,AH103)*(1-AF103)+INDEX(Models!$BJ103:$BT103,,AH103+1)*AF103-ERP_i)*AE103*Ramure*Pc/MaxiM</f>
        <v>1.4912163866440155E-2</v>
      </c>
      <c r="AE103" s="307">
        <f t="shared" si="40"/>
        <v>0.9</v>
      </c>
      <c r="AF103" s="179">
        <f t="shared" si="41"/>
        <v>0.83405526603419999</v>
      </c>
      <c r="AG103" s="839">
        <f t="shared" si="49"/>
        <v>1</v>
      </c>
      <c r="AH103" s="178">
        <f t="shared" si="42"/>
        <v>7</v>
      </c>
      <c r="AI103" s="227">
        <f t="shared" si="43"/>
        <v>1.8340552660342</v>
      </c>
      <c r="AJ103" s="267" t="b">
        <f t="shared" si="44"/>
        <v>0</v>
      </c>
      <c r="AK103" s="267" t="b">
        <f t="shared" si="45"/>
        <v>1</v>
      </c>
      <c r="AL103" s="267"/>
      <c r="AM103" s="267"/>
      <c r="AN103" s="75"/>
    </row>
    <row r="104" spans="1:40" s="6" customFormat="1" ht="11.25" x14ac:dyDescent="0.2">
      <c r="A104" s="56">
        <f t="shared" si="46"/>
        <v>45747</v>
      </c>
      <c r="B104" s="413">
        <f>'2024'!Wh/'2024'!Env_an*'2025'!Env_an</f>
        <v>25.656964616528889</v>
      </c>
      <c r="C104" s="868"/>
      <c r="D104" s="395">
        <f t="shared" si="25"/>
        <v>27.15221032603106</v>
      </c>
      <c r="E104" s="387">
        <f t="shared" si="47"/>
        <v>29.611354173478428</v>
      </c>
      <c r="F104" s="387">
        <f t="shared" si="26"/>
        <v>29.611354173478428</v>
      </c>
      <c r="G104" s="110">
        <f t="shared" si="48"/>
        <v>0.57970560464043097</v>
      </c>
      <c r="H104" s="416" t="b">
        <f>Wh_hp&gt;='2024'!Maxi_hp</f>
        <v>0</v>
      </c>
      <c r="I104" s="392">
        <f>IF(H104,Wh_hp,'2024'!Maxi_hp)</f>
        <v>45.61734121324757</v>
      </c>
      <c r="J104" s="85">
        <f>IF(H104,An,'2024'!An_max)</f>
        <v>2021</v>
      </c>
      <c r="K104" s="199">
        <f t="shared" si="27"/>
        <v>45747</v>
      </c>
      <c r="L104" s="147">
        <f>IF(t&lt;Tvie,1-EXP((T0-t)*PertePVj)+'2024'!Pspv,1-EXP((T0-t)*PertePVj)+Pspv)</f>
        <v>5.5069023536130524E-2</v>
      </c>
      <c r="M104" s="872"/>
      <c r="N104" s="872"/>
      <c r="O104" s="48">
        <f>IF(t&lt;Tnet,'2024'!Resal+('2024'!Salim-'2024'!Resal)*(1-EXP(('2024'!Tnet-t)/('2024'!Tau_j))),Resal+(Salim-Resal)*(1-EXP((Tnet-t)/(Tau_j))))*Salcycl</f>
        <v>8.3047328164745512E-2</v>
      </c>
      <c r="P104" s="171">
        <f>(INDEX(Models!$BJ104:$BT104,,T104)*(1-R104)+INDEX(Models!$BJ104:$BT104,,T104+1)*R104-ERP_i)*Q104*Ramure*Pc/MaxiM</f>
        <v>0</v>
      </c>
      <c r="Q104" s="307">
        <f t="shared" si="28"/>
        <v>0.9</v>
      </c>
      <c r="R104" s="179">
        <f t="shared" si="29"/>
        <v>0.19977598800435103</v>
      </c>
      <c r="S104" s="839">
        <f t="shared" si="30"/>
        <v>-3</v>
      </c>
      <c r="T104" s="178">
        <f t="shared" si="31"/>
        <v>3</v>
      </c>
      <c r="U104" s="253">
        <f t="shared" si="32"/>
        <v>-2.800224011995649</v>
      </c>
      <c r="V104" s="385">
        <f t="shared" si="33"/>
        <v>44.258610596740589</v>
      </c>
      <c r="W104" s="404">
        <f t="shared" si="34"/>
        <v>25.656964616528889</v>
      </c>
      <c r="X104" s="157">
        <f t="shared" si="35"/>
        <v>45747</v>
      </c>
      <c r="Y104" s="387">
        <f t="shared" si="36"/>
        <v>23.756973291398442</v>
      </c>
      <c r="Z104" s="387">
        <f t="shared" si="37"/>
        <v>25.141490630672344</v>
      </c>
      <c r="AA104" s="388">
        <f t="shared" si="38"/>
        <v>29.437955659476646</v>
      </c>
      <c r="AB104" s="199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0.14594984374946524</v>
      </c>
      <c r="AD104" s="233">
        <f>(INDEX(Models!$BJ104:$BT104,,AH104)*(1-AF104)+INDEX(Models!$BJ104:$BT104,,AH104+1)*AF104-ERP_i)*AE104*Ramure*Pc/MaxiM</f>
        <v>1.4654937608654656E-2</v>
      </c>
      <c r="AE104" s="307">
        <f t="shared" si="40"/>
        <v>0.9</v>
      </c>
      <c r="AF104" s="179">
        <f t="shared" si="41"/>
        <v>0.83543164031132999</v>
      </c>
      <c r="AG104" s="839">
        <f t="shared" si="49"/>
        <v>1</v>
      </c>
      <c r="AH104" s="178">
        <f t="shared" si="42"/>
        <v>7</v>
      </c>
      <c r="AI104" s="227">
        <f t="shared" si="43"/>
        <v>1.83543164031133</v>
      </c>
      <c r="AJ104" s="267" t="b">
        <f t="shared" si="44"/>
        <v>0</v>
      </c>
      <c r="AK104" s="267" t="b">
        <f t="shared" si="45"/>
        <v>0</v>
      </c>
      <c r="AL104" s="267"/>
      <c r="AM104" s="267"/>
      <c r="AN104" s="75"/>
    </row>
    <row r="105" spans="1:40" s="6" customFormat="1" ht="11.25" x14ac:dyDescent="0.2">
      <c r="A105" s="56">
        <f t="shared" si="46"/>
        <v>45748</v>
      </c>
      <c r="B105" s="413">
        <f>'2024'!Wh/'2024'!Env_an*'2025'!Env_an</f>
        <v>27.963855774446248</v>
      </c>
      <c r="C105" s="868"/>
      <c r="D105" s="395">
        <f t="shared" si="25"/>
        <v>29.594232008369794</v>
      </c>
      <c r="E105" s="387">
        <f t="shared" si="47"/>
        <v>32.280400486434296</v>
      </c>
      <c r="F105" s="387">
        <f t="shared" si="26"/>
        <v>32.280437235436487</v>
      </c>
      <c r="G105" s="110">
        <f t="shared" si="48"/>
        <v>0.62677238881514985</v>
      </c>
      <c r="H105" s="416" t="b">
        <f>Wh_hp&gt;='2024'!Maxi_hp</f>
        <v>0</v>
      </c>
      <c r="I105" s="392">
        <f>IF(H105,Wh_hp,'2024'!Maxi_hp)</f>
        <v>47.773310266895436</v>
      </c>
      <c r="J105" s="85">
        <f>IF(H105,An,'2024'!An_max)</f>
        <v>2020</v>
      </c>
      <c r="K105" s="199">
        <f t="shared" si="27"/>
        <v>45748</v>
      </c>
      <c r="L105" s="147">
        <f>IF(t&lt;Tvie,1-EXP((T0-t)*PertePVj)+'2024'!Pspv,1-EXP((T0-t)*PertePVj)+Pspv)</f>
        <v>5.5091013460408234E-2</v>
      </c>
      <c r="M105" s="872"/>
      <c r="N105" s="872"/>
      <c r="O105" s="48">
        <f>IF(t&lt;Tnet,'2024'!Resal+('2024'!Salim-'2024'!Resal)*(1-EXP(('2024'!Tnet-t)/('2024'!Tau_j))),Resal+(Salim-Resal)*(1-EXP((Tnet-t)/(Tau_j))))*Salcycl</f>
        <v>8.3213604465451146E-2</v>
      </c>
      <c r="P105" s="171">
        <f>(INDEX(Models!$BJ105:$BT105,,T105)*(1-R105)+INDEX(Models!$BJ105:$BT105,,T105+1)*R105-ERP_i)*Q105*Ramure*Pc/MaxiM</f>
        <v>2.4386964551837096E-6</v>
      </c>
      <c r="Q105" s="307">
        <f t="shared" si="28"/>
        <v>0.9</v>
      </c>
      <c r="R105" s="179">
        <f t="shared" si="29"/>
        <v>0.20120407070135027</v>
      </c>
      <c r="S105" s="839">
        <f t="shared" si="30"/>
        <v>-3</v>
      </c>
      <c r="T105" s="178">
        <f t="shared" si="31"/>
        <v>3</v>
      </c>
      <c r="U105" s="253">
        <f t="shared" si="32"/>
        <v>-2.7987959292986497</v>
      </c>
      <c r="V105" s="385">
        <f t="shared" si="33"/>
        <v>44.615589188270064</v>
      </c>
      <c r="W105" s="404">
        <f t="shared" si="34"/>
        <v>27.963855774446248</v>
      </c>
      <c r="X105" s="157">
        <f t="shared" si="35"/>
        <v>45748</v>
      </c>
      <c r="Y105" s="387">
        <f t="shared" si="36"/>
        <v>25.871691902221073</v>
      </c>
      <c r="Z105" s="387">
        <f t="shared" si="37"/>
        <v>27.380088739516975</v>
      </c>
      <c r="AA105" s="388">
        <f t="shared" si="38"/>
        <v>32.063211216628318</v>
      </c>
      <c r="AB105" s="199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0.14605905957050949</v>
      </c>
      <c r="AD105" s="233">
        <f>(INDEX(Models!$BJ105:$BT105,,AH105)*(1-AF105)+INDEX(Models!$BJ105:$BT105,,AH105+1)*AF105-ERP_i)*AE105*Ramure*Pc/MaxiM</f>
        <v>1.4415311720566345E-2</v>
      </c>
      <c r="AE105" s="307">
        <f t="shared" si="40"/>
        <v>0.9</v>
      </c>
      <c r="AF105" s="179">
        <f t="shared" si="41"/>
        <v>0.83685972300832923</v>
      </c>
      <c r="AG105" s="839">
        <f t="shared" si="49"/>
        <v>1</v>
      </c>
      <c r="AH105" s="178">
        <f t="shared" si="42"/>
        <v>7</v>
      </c>
      <c r="AI105" s="227">
        <f t="shared" si="43"/>
        <v>1.8368597230083292</v>
      </c>
      <c r="AJ105" s="267" t="b">
        <f t="shared" si="44"/>
        <v>0</v>
      </c>
      <c r="AK105" s="267" t="b">
        <f t="shared" si="45"/>
        <v>0</v>
      </c>
      <c r="AL105" s="267"/>
      <c r="AM105" s="267"/>
      <c r="AN105" s="75"/>
    </row>
    <row r="106" spans="1:40" s="6" customFormat="1" ht="11.25" x14ac:dyDescent="0.2">
      <c r="A106" s="56">
        <f t="shared" si="46"/>
        <v>45749</v>
      </c>
      <c r="B106" s="413">
        <f>'2024'!Wh/'2024'!Env_an*'2025'!Env_an</f>
        <v>18.943815385905221</v>
      </c>
      <c r="C106" s="868"/>
      <c r="D106" s="395">
        <f t="shared" si="25"/>
        <v>20.0487629139826</v>
      </c>
      <c r="E106" s="387">
        <f t="shared" si="47"/>
        <v>21.87251233862408</v>
      </c>
      <c r="F106" s="387">
        <f t="shared" si="26"/>
        <v>21.872530726830366</v>
      </c>
      <c r="G106" s="110">
        <f t="shared" si="48"/>
        <v>0.42129967036897298</v>
      </c>
      <c r="H106" s="416" t="b">
        <f>Wh_hp&gt;='2024'!Maxi_hp</f>
        <v>0</v>
      </c>
      <c r="I106" s="392">
        <f>IF(H106,Wh_hp,'2024'!Maxi_hp)</f>
        <v>42.352590855929826</v>
      </c>
      <c r="J106" s="85">
        <f>IF(H106,An,'2024'!An_max)</f>
        <v>2020</v>
      </c>
      <c r="K106" s="199">
        <f t="shared" si="27"/>
        <v>45749</v>
      </c>
      <c r="L106" s="147">
        <f>IF(t&lt;Tvie,1-EXP((T0-t)*PertePVj)+'2024'!Pspv,1-EXP((T0-t)*PertePVj)+Pspv)</f>
        <v>5.511300287294818E-2</v>
      </c>
      <c r="M106" s="872"/>
      <c r="N106" s="872"/>
      <c r="O106" s="48">
        <f>IF(t&lt;Tnet,'2024'!Resal+('2024'!Salim-'2024'!Resal)*(1-EXP(('2024'!Tnet-t)/('2024'!Tau_j))),Resal+(Salim-Resal)*(1-EXP((Tnet-t)/(Tau_j))))*Salcycl</f>
        <v>8.3380884482162104E-2</v>
      </c>
      <c r="P106" s="171">
        <f>(INDEX(Models!$BJ106:$BT106,,T106)*(1-R106)+INDEX(Models!$BJ106:$BT106,,T106+1)*R106-ERP_i)*Q106*Ramure*Pc/MaxiM</f>
        <v>4.8514627524217017E-6</v>
      </c>
      <c r="Q106" s="307">
        <f t="shared" si="28"/>
        <v>0.9</v>
      </c>
      <c r="R106" s="179">
        <f t="shared" si="29"/>
        <v>0.2026855563705654</v>
      </c>
      <c r="S106" s="839">
        <f t="shared" si="30"/>
        <v>-3</v>
      </c>
      <c r="T106" s="178">
        <f t="shared" si="31"/>
        <v>3</v>
      </c>
      <c r="U106" s="253">
        <f t="shared" si="32"/>
        <v>-2.7973144436294346</v>
      </c>
      <c r="V106" s="385">
        <f t="shared" si="33"/>
        <v>44.964999355625174</v>
      </c>
      <c r="W106" s="404">
        <f t="shared" si="34"/>
        <v>18.943815385905221</v>
      </c>
      <c r="X106" s="157">
        <f t="shared" si="35"/>
        <v>45749</v>
      </c>
      <c r="Y106" s="387">
        <f t="shared" si="36"/>
        <v>17.602760367663027</v>
      </c>
      <c r="Z106" s="387">
        <f t="shared" si="37"/>
        <v>18.629487357942885</v>
      </c>
      <c r="AA106" s="388">
        <f t="shared" si="38"/>
        <v>21.818735556590017</v>
      </c>
      <c r="AB106" s="199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0.14617016601971999</v>
      </c>
      <c r="AD106" s="233">
        <f>(INDEX(Models!$BJ106:$BT106,,AH106)*(1-AF106)+INDEX(Models!$BJ106:$BT106,,AH106+1)*AF106-ERP_i)*AE106*Ramure*Pc/MaxiM</f>
        <v>1.4193079011164757E-2</v>
      </c>
      <c r="AE106" s="307">
        <f t="shared" si="40"/>
        <v>0.9</v>
      </c>
      <c r="AF106" s="179">
        <f t="shared" si="41"/>
        <v>0.83834120867754436</v>
      </c>
      <c r="AG106" s="839">
        <f t="shared" si="49"/>
        <v>1</v>
      </c>
      <c r="AH106" s="178">
        <f t="shared" si="42"/>
        <v>7</v>
      </c>
      <c r="AI106" s="227">
        <f t="shared" si="43"/>
        <v>1.8383412086775444</v>
      </c>
      <c r="AJ106" s="267" t="b">
        <f t="shared" si="44"/>
        <v>0</v>
      </c>
      <c r="AK106" s="267" t="b">
        <f t="shared" si="45"/>
        <v>0</v>
      </c>
      <c r="AL106" s="267"/>
      <c r="AM106" s="267"/>
      <c r="AN106" s="75"/>
    </row>
    <row r="107" spans="1:40" s="6" customFormat="1" ht="11.25" x14ac:dyDescent="0.2">
      <c r="A107" s="56">
        <f t="shared" si="46"/>
        <v>45750</v>
      </c>
      <c r="B107" s="413">
        <f>'2024'!Wh/'2024'!Env_an*'2025'!Env_an</f>
        <v>23.451962106188869</v>
      </c>
      <c r="C107" s="868"/>
      <c r="D107" s="395">
        <f t="shared" si="25"/>
        <v>24.820436678266269</v>
      </c>
      <c r="E107" s="387">
        <f t="shared" si="47"/>
        <v>27.083218299967704</v>
      </c>
      <c r="F107" s="387">
        <f t="shared" si="26"/>
        <v>27.083279181312193</v>
      </c>
      <c r="G107" s="110">
        <f t="shared" si="48"/>
        <v>0.51760210194516787</v>
      </c>
      <c r="H107" s="416" t="b">
        <f>Wh_hp&gt;='2024'!Maxi_hp</f>
        <v>0</v>
      </c>
      <c r="I107" s="392">
        <f>IF(H107,Wh_hp,'2024'!Maxi_hp)</f>
        <v>48.910344837500652</v>
      </c>
      <c r="J107" s="85">
        <f>IF(H107,An,'2024'!An_max)</f>
        <v>2021</v>
      </c>
      <c r="K107" s="199">
        <f t="shared" si="27"/>
        <v>45750</v>
      </c>
      <c r="L107" s="147">
        <f>IF(t&lt;Tvie,1-EXP((T0-t)*PertePVj)+'2024'!Pspv,1-EXP((T0-t)*PertePVj)+Pspv)</f>
        <v>5.5134991773762354E-2</v>
      </c>
      <c r="M107" s="872"/>
      <c r="N107" s="872"/>
      <c r="O107" s="48">
        <f>IF(t&lt;Tnet,'2024'!Resal+('2024'!Salim-'2024'!Resal)*(1-EXP(('2024'!Tnet-t)/('2024'!Tau_j))),Resal+(Salim-Resal)*(1-EXP((Tnet-t)/(Tau_j))))*Salcycl</f>
        <v>8.3549214743955769E-2</v>
      </c>
      <c r="P107" s="171">
        <f>(INDEX(Models!$BJ107:$BT107,,T107)*(1-R107)+INDEX(Models!$BJ107:$BT107,,T107+1)*R107-ERP_i)*Q107*Ramure*Pc/MaxiM</f>
        <v>7.2312403053163298E-6</v>
      </c>
      <c r="Q107" s="307">
        <f t="shared" si="28"/>
        <v>0.9</v>
      </c>
      <c r="R107" s="179">
        <f t="shared" si="29"/>
        <v>0.20422217509730434</v>
      </c>
      <c r="S107" s="839">
        <f t="shared" si="30"/>
        <v>-3</v>
      </c>
      <c r="T107" s="178">
        <f t="shared" si="31"/>
        <v>3</v>
      </c>
      <c r="U107" s="253">
        <f t="shared" si="32"/>
        <v>-2.7957778249026957</v>
      </c>
      <c r="V107" s="385">
        <f t="shared" si="33"/>
        <v>45.308636014833937</v>
      </c>
      <c r="W107" s="404">
        <f t="shared" si="34"/>
        <v>23.451962106188869</v>
      </c>
      <c r="X107" s="157">
        <f t="shared" si="35"/>
        <v>45750</v>
      </c>
      <c r="Y107" s="387">
        <f t="shared" si="36"/>
        <v>21.751656411322042</v>
      </c>
      <c r="Z107" s="387">
        <f t="shared" si="37"/>
        <v>23.020914333737128</v>
      </c>
      <c r="AA107" s="388">
        <f t="shared" si="38"/>
        <v>26.965517530608206</v>
      </c>
      <c r="AB107" s="199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0.14628323718962963</v>
      </c>
      <c r="AD107" s="233">
        <f>(INDEX(Models!$BJ107:$BT107,,AH107)*(1-AF107)+INDEX(Models!$BJ107:$BT107,,AH107+1)*AF107-ERP_i)*AE107*Ramure*Pc/MaxiM</f>
        <v>1.3987253437448373E-2</v>
      </c>
      <c r="AE107" s="307">
        <f t="shared" si="40"/>
        <v>0.9</v>
      </c>
      <c r="AF107" s="179">
        <f t="shared" si="41"/>
        <v>0.83987782740428352</v>
      </c>
      <c r="AG107" s="839">
        <f t="shared" si="49"/>
        <v>1</v>
      </c>
      <c r="AH107" s="178">
        <f t="shared" si="42"/>
        <v>7</v>
      </c>
      <c r="AI107" s="227">
        <f t="shared" si="43"/>
        <v>1.8398778274042835</v>
      </c>
      <c r="AJ107" s="267" t="b">
        <f t="shared" si="44"/>
        <v>0</v>
      </c>
      <c r="AK107" s="267" t="b">
        <f t="shared" si="45"/>
        <v>0</v>
      </c>
      <c r="AL107" s="267"/>
      <c r="AM107" s="267"/>
      <c r="AN107" s="75"/>
    </row>
    <row r="108" spans="1:40" s="6" customFormat="1" ht="11.25" x14ac:dyDescent="0.2">
      <c r="A108" s="56">
        <f t="shared" si="46"/>
        <v>45751</v>
      </c>
      <c r="B108" s="413">
        <f>'2024'!Wh/'2024'!Env_an*'2025'!Env_an</f>
        <v>40.612398955053052</v>
      </c>
      <c r="C108" s="868"/>
      <c r="D108" s="395">
        <f t="shared" si="25"/>
        <v>42.983223776213556</v>
      </c>
      <c r="E108" s="387">
        <f t="shared" si="47"/>
        <v>46.910507735181405</v>
      </c>
      <c r="F108" s="387">
        <f t="shared" si="26"/>
        <v>46.910885788326539</v>
      </c>
      <c r="G108" s="110">
        <f t="shared" si="48"/>
        <v>0.88967292772928719</v>
      </c>
      <c r="H108" s="416" t="b">
        <f>Wh_hp&gt;='2024'!Maxi_hp</f>
        <v>0</v>
      </c>
      <c r="I108" s="392">
        <f>IF(H108,Wh_hp,'2024'!Maxi_hp)</f>
        <v>53.219609194847415</v>
      </c>
      <c r="J108" s="85">
        <f>IF(H108,An,'2024'!An_max)</f>
        <v>2020</v>
      </c>
      <c r="K108" s="199">
        <f t="shared" si="27"/>
        <v>45751</v>
      </c>
      <c r="L108" s="147">
        <f>IF(t&lt;Tvie,1-EXP((T0-t)*PertePVj)+'2024'!Pspv,1-EXP((T0-t)*PertePVj)+Pspv)</f>
        <v>5.5156980162862745E-2</v>
      </c>
      <c r="M108" s="872"/>
      <c r="N108" s="872"/>
      <c r="O108" s="48">
        <f>IF(t&lt;Tnet,'2024'!Resal+('2024'!Salim-'2024'!Resal)*(1-EXP(('2024'!Tnet-t)/('2024'!Tau_j))),Resal+(Salim-Resal)*(1-EXP((Tnet-t)/(Tau_j))))*Salcycl</f>
        <v>8.3718641058802876E-2</v>
      </c>
      <c r="P108" s="171">
        <f>(INDEX(Models!$BJ108:$BT108,,T108)*(1-R108)+INDEX(Models!$BJ108:$BT108,,T108+1)*R108-ERP_i)*Q108*Ramure*Pc/MaxiM</f>
        <v>9.5667645253679634E-6</v>
      </c>
      <c r="Q108" s="307">
        <f t="shared" si="28"/>
        <v>0.9</v>
      </c>
      <c r="R108" s="179">
        <f t="shared" si="29"/>
        <v>0.20581569154609802</v>
      </c>
      <c r="S108" s="839">
        <f t="shared" si="30"/>
        <v>-3</v>
      </c>
      <c r="T108" s="178">
        <f t="shared" si="31"/>
        <v>3</v>
      </c>
      <c r="U108" s="253">
        <f t="shared" si="32"/>
        <v>-2.794184308453902</v>
      </c>
      <c r="V108" s="385">
        <f t="shared" si="33"/>
        <v>45.648615860238223</v>
      </c>
      <c r="W108" s="404">
        <f t="shared" si="34"/>
        <v>40.612398955053052</v>
      </c>
      <c r="X108" s="157">
        <f t="shared" si="35"/>
        <v>45751</v>
      </c>
      <c r="Y108" s="387">
        <f t="shared" si="36"/>
        <v>37.394951578703392</v>
      </c>
      <c r="Z108" s="387">
        <f t="shared" si="37"/>
        <v>39.577951885752583</v>
      </c>
      <c r="AA108" s="388">
        <f t="shared" si="38"/>
        <v>46.365833150253522</v>
      </c>
      <c r="AB108" s="199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0.14639834557709921</v>
      </c>
      <c r="AD108" s="233">
        <f>(INDEX(Models!$BJ108:$BT108,,AH108)*(1-AF108)+INDEX(Models!$BJ108:$BT108,,AH108+1)*AF108-ERP_i)*AE108*Ramure*Pc/MaxiM</f>
        <v>1.3792743981692614E-2</v>
      </c>
      <c r="AE108" s="307">
        <f t="shared" si="40"/>
        <v>0.9</v>
      </c>
      <c r="AF108" s="179">
        <f t="shared" si="41"/>
        <v>0.8414713438530772</v>
      </c>
      <c r="AG108" s="839">
        <f t="shared" si="49"/>
        <v>1</v>
      </c>
      <c r="AH108" s="178">
        <f t="shared" si="42"/>
        <v>7</v>
      </c>
      <c r="AI108" s="227">
        <f t="shared" si="43"/>
        <v>1.8414713438530772</v>
      </c>
      <c r="AJ108" s="267" t="b">
        <f t="shared" si="44"/>
        <v>0</v>
      </c>
      <c r="AK108" s="267" t="b">
        <f t="shared" si="45"/>
        <v>0</v>
      </c>
      <c r="AL108" s="267"/>
      <c r="AM108" s="267"/>
      <c r="AN108" s="75"/>
    </row>
    <row r="109" spans="1:40" s="6" customFormat="1" ht="11.25" x14ac:dyDescent="0.2">
      <c r="A109" s="56">
        <f t="shared" si="46"/>
        <v>45752</v>
      </c>
      <c r="B109" s="413">
        <f>'2024'!Wh/'2024'!Env_an*'2025'!Env_an</f>
        <v>46.992270054300008</v>
      </c>
      <c r="C109" s="868"/>
      <c r="D109" s="395">
        <f t="shared" si="25"/>
        <v>49.736689240320025</v>
      </c>
      <c r="E109" s="387">
        <f t="shared" si="47"/>
        <v>54.291129083359834</v>
      </c>
      <c r="F109" s="387">
        <f t="shared" si="26"/>
        <v>54.291772673602424</v>
      </c>
      <c r="G109" s="110">
        <f t="shared" si="48"/>
        <v>1.0219121604568473</v>
      </c>
      <c r="H109" s="416" t="b">
        <f>Wh_hp&gt;='2024'!Maxi_hp</f>
        <v>0</v>
      </c>
      <c r="I109" s="392">
        <f>IF(H109,Wh_hp,'2024'!Maxi_hp)</f>
        <v>55.117663879347624</v>
      </c>
      <c r="J109" s="85">
        <f>IF(H109,An,'2024'!An_max)</f>
        <v>2020</v>
      </c>
      <c r="K109" s="199">
        <f t="shared" si="27"/>
        <v>45752</v>
      </c>
      <c r="L109" s="147">
        <f>IF(t&lt;Tvie,1-EXP((T0-t)*PertePVj)+'2024'!Pspv,1-EXP((T0-t)*PertePVj)+Pspv)</f>
        <v>5.5178968040261123E-2</v>
      </c>
      <c r="M109" s="872"/>
      <c r="N109" s="872"/>
      <c r="O109" s="48">
        <f>IF(t&lt;Tnet,'2024'!Resal+('2024'!Salim-'2024'!Resal)*(1-EXP(('2024'!Tnet-t)/('2024'!Tau_j))),Resal+(Salim-Resal)*(1-EXP((Tnet-t)/(Tau_j))))*Salcycl</f>
        <v>8.3889208420160427E-2</v>
      </c>
      <c r="P109" s="171">
        <f>(INDEX(Models!$BJ109:$BT109,,T109)*(1-R109)+INDEX(Models!$BJ109:$BT109,,T109+1)*R109-ERP_i)*Q109*Ramure*Pc/MaxiM</f>
        <v>1.1854286771239871E-5</v>
      </c>
      <c r="Q109" s="307">
        <f t="shared" si="28"/>
        <v>0.9</v>
      </c>
      <c r="R109" s="179">
        <f t="shared" si="29"/>
        <v>0.20746790382532465</v>
      </c>
      <c r="S109" s="839">
        <f t="shared" si="30"/>
        <v>-3</v>
      </c>
      <c r="T109" s="178">
        <f t="shared" si="31"/>
        <v>3</v>
      </c>
      <c r="U109" s="253">
        <f t="shared" si="32"/>
        <v>-2.7925320961746753</v>
      </c>
      <c r="V109" s="385">
        <f t="shared" si="33"/>
        <v>45.984647088740033</v>
      </c>
      <c r="W109" s="404">
        <f t="shared" si="34"/>
        <v>46.992270054300008</v>
      </c>
      <c r="X109" s="157">
        <f t="shared" si="35"/>
        <v>45752</v>
      </c>
      <c r="Y109" s="387">
        <f t="shared" si="36"/>
        <v>43.185158388865283</v>
      </c>
      <c r="Z109" s="387">
        <f t="shared" si="37"/>
        <v>45.707236532712479</v>
      </c>
      <c r="AA109" s="388">
        <f t="shared" si="38"/>
        <v>53.55368474693222</v>
      </c>
      <c r="AB109" s="199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0.14651556193188409</v>
      </c>
      <c r="AD109" s="233">
        <f>(INDEX(Models!$BJ109:$BT109,,AH109)*(1-AF109)+INDEX(Models!$BJ109:$BT109,,AH109+1)*AF109-ERP_i)*AE109*Ramure*Pc/MaxiM</f>
        <v>1.3594839334267483E-2</v>
      </c>
      <c r="AE109" s="307">
        <f t="shared" si="40"/>
        <v>0.9</v>
      </c>
      <c r="AF109" s="179">
        <f t="shared" si="41"/>
        <v>0.84312355613230339</v>
      </c>
      <c r="AG109" s="839">
        <f t="shared" si="49"/>
        <v>1</v>
      </c>
      <c r="AH109" s="178">
        <f t="shared" si="42"/>
        <v>7</v>
      </c>
      <c r="AI109" s="227">
        <f t="shared" si="43"/>
        <v>1.8431235561323034</v>
      </c>
      <c r="AJ109" s="267" t="b">
        <f t="shared" si="44"/>
        <v>0</v>
      </c>
      <c r="AK109" s="267" t="b">
        <f t="shared" si="45"/>
        <v>0</v>
      </c>
      <c r="AL109" s="267"/>
      <c r="AM109" s="267"/>
      <c r="AN109" s="75"/>
    </row>
    <row r="110" spans="1:40" s="6" customFormat="1" ht="11.25" x14ac:dyDescent="0.2">
      <c r="A110" s="56">
        <f t="shared" si="46"/>
        <v>45753</v>
      </c>
      <c r="B110" s="413">
        <f>'2024'!Wh/'2024'!Env_an*'2025'!Env_an</f>
        <v>11.937196363148312</v>
      </c>
      <c r="C110" s="868"/>
      <c r="D110" s="395">
        <f t="shared" si="25"/>
        <v>12.634640595215242</v>
      </c>
      <c r="E110" s="387">
        <f t="shared" si="47"/>
        <v>13.794193779373023</v>
      </c>
      <c r="F110" s="387">
        <f t="shared" si="26"/>
        <v>13.794193779373023</v>
      </c>
      <c r="G110" s="110">
        <f t="shared" si="48"/>
        <v>0.2577276803430108</v>
      </c>
      <c r="H110" s="416" t="b">
        <f>Wh_hp&gt;='2024'!Maxi_hp</f>
        <v>0</v>
      </c>
      <c r="I110" s="392">
        <f>IF(H110,Wh_hp,'2024'!Maxi_hp)</f>
        <v>55.281205017406521</v>
      </c>
      <c r="J110" s="85">
        <f>IF(H110,An,'2024'!An_max)</f>
        <v>2020</v>
      </c>
      <c r="K110" s="199">
        <f t="shared" si="27"/>
        <v>45753</v>
      </c>
      <c r="L110" s="147">
        <f>IF(t&lt;Tvie,1-EXP((T0-t)*PertePVj)+'2024'!Pspv,1-EXP((T0-t)*PertePVj)+Pspv)</f>
        <v>5.5200955405969587E-2</v>
      </c>
      <c r="M110" s="872"/>
      <c r="N110" s="872"/>
      <c r="O110" s="48">
        <f>IF(t&lt;Tnet,'2024'!Resal+('2024'!Salim-'2024'!Resal)*(1-EXP(('2024'!Tnet-t)/('2024'!Tau_j))),Resal+(Salim-Resal)*(1-EXP((Tnet-t)/(Tau_j))))*Salcycl</f>
        <v>8.406096091615764E-2</v>
      </c>
      <c r="P110" s="171">
        <f>(INDEX(Models!$BJ110:$BT110,,T110)*(1-R110)+INDEX(Models!$BJ110:$BT110,,T110+1)*R110-ERP_i)*Q110*Ramure*Pc/MaxiM</f>
        <v>1.4086950740465432E-5</v>
      </c>
      <c r="Q110" s="307">
        <f t="shared" si="28"/>
        <v>0.9</v>
      </c>
      <c r="R110" s="179">
        <f t="shared" si="29"/>
        <v>0.20918064215758081</v>
      </c>
      <c r="S110" s="839">
        <f t="shared" si="30"/>
        <v>-3</v>
      </c>
      <c r="T110" s="178">
        <f t="shared" si="31"/>
        <v>3</v>
      </c>
      <c r="U110" s="253">
        <f t="shared" si="32"/>
        <v>-2.7908193578424192</v>
      </c>
      <c r="V110" s="385">
        <f t="shared" si="33"/>
        <v>46.316438298610869</v>
      </c>
      <c r="W110" s="404">
        <f t="shared" si="34"/>
        <v>11.937196363148312</v>
      </c>
      <c r="X110" s="157">
        <f t="shared" si="35"/>
        <v>45753</v>
      </c>
      <c r="Y110" s="387">
        <f t="shared" si="36"/>
        <v>11.121685696985784</v>
      </c>
      <c r="Z110" s="387">
        <f t="shared" si="37"/>
        <v>11.771482793745466</v>
      </c>
      <c r="AA110" s="388">
        <f t="shared" si="38"/>
        <v>13.794193779373023</v>
      </c>
      <c r="AB110" s="199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0.14663495511076499</v>
      </c>
      <c r="AD110" s="233">
        <f>(INDEX(Models!$BJ110:$BT110,,AH110)*(1-AF110)+INDEX(Models!$BJ110:$BT110,,AH110+1)*AF110-ERP_i)*AE110*Ramure*Pc/MaxiM</f>
        <v>1.3393650728175312E-2</v>
      </c>
      <c r="AE110" s="307">
        <f t="shared" si="40"/>
        <v>0.9</v>
      </c>
      <c r="AF110" s="179">
        <f t="shared" si="41"/>
        <v>0.84483629446455977</v>
      </c>
      <c r="AG110" s="839">
        <f t="shared" si="49"/>
        <v>1</v>
      </c>
      <c r="AH110" s="178">
        <f t="shared" si="42"/>
        <v>7</v>
      </c>
      <c r="AI110" s="227">
        <f t="shared" si="43"/>
        <v>1.8448362944645598</v>
      </c>
      <c r="AJ110" s="267" t="b">
        <f t="shared" si="44"/>
        <v>0</v>
      </c>
      <c r="AK110" s="267" t="b">
        <f t="shared" si="45"/>
        <v>0</v>
      </c>
      <c r="AL110" s="267"/>
      <c r="AM110" s="267"/>
      <c r="AN110" s="75"/>
    </row>
    <row r="111" spans="1:40" s="6" customFormat="1" ht="11.25" x14ac:dyDescent="0.2">
      <c r="A111" s="56">
        <f t="shared" si="46"/>
        <v>45754</v>
      </c>
      <c r="B111" s="413">
        <f>'2024'!Wh/'2024'!Env_an*'2025'!Env_an</f>
        <v>36.109332298814472</v>
      </c>
      <c r="C111" s="868"/>
      <c r="D111" s="395">
        <f t="shared" si="25"/>
        <v>38.219950413689716</v>
      </c>
      <c r="E111" s="387">
        <f t="shared" si="47"/>
        <v>41.735495724937188</v>
      </c>
      <c r="F111" s="387">
        <f t="shared" si="26"/>
        <v>41.735955329758113</v>
      </c>
      <c r="G111" s="110">
        <f t="shared" si="48"/>
        <v>0.77414836616252181</v>
      </c>
      <c r="H111" s="416" t="b">
        <f>Wh_hp&gt;='2024'!Maxi_hp</f>
        <v>0</v>
      </c>
      <c r="I111" s="392">
        <f>IF(H111,Wh_hp,'2024'!Maxi_hp)</f>
        <v>54.094709331029712</v>
      </c>
      <c r="J111" s="85">
        <f>IF(H111,An,'2024'!An_max)</f>
        <v>2021</v>
      </c>
      <c r="K111" s="199">
        <f t="shared" si="27"/>
        <v>45754</v>
      </c>
      <c r="L111" s="147">
        <f>IF(t&lt;Tvie,1-EXP((T0-t)*PertePVj)+'2024'!Pspv,1-EXP((T0-t)*PertePVj)+Pspv)</f>
        <v>5.5222942259999797E-2</v>
      </c>
      <c r="M111" s="872"/>
      <c r="N111" s="872"/>
      <c r="O111" s="48">
        <f>IF(t&lt;Tnet,'2024'!Resal+('2024'!Salim-'2024'!Resal)*(1-EXP(('2024'!Tnet-t)/('2024'!Tau_j))),Resal+(Salim-Resal)*(1-EXP((Tnet-t)/(Tau_j))))*Salcycl</f>
        <v>8.4233941640877885E-2</v>
      </c>
      <c r="P111" s="171">
        <f>(INDEX(Models!$BJ111:$BT111,,T111)*(1-R111)+INDEX(Models!$BJ111:$BT111,,T111+1)*R111-ERP_i)*Q111*Ramure*Pc/MaxiM</f>
        <v>1.6257519321784097E-5</v>
      </c>
      <c r="Q111" s="307">
        <f t="shared" si="28"/>
        <v>0.9</v>
      </c>
      <c r="R111" s="179">
        <f t="shared" si="29"/>
        <v>0.21095576734290944</v>
      </c>
      <c r="S111" s="839">
        <f t="shared" si="30"/>
        <v>-3</v>
      </c>
      <c r="T111" s="178">
        <f t="shared" si="31"/>
        <v>3</v>
      </c>
      <c r="U111" s="253">
        <f t="shared" si="32"/>
        <v>-2.7890442326570906</v>
      </c>
      <c r="V111" s="385">
        <f t="shared" si="33"/>
        <v>46.643698378981391</v>
      </c>
      <c r="W111" s="404">
        <f t="shared" si="34"/>
        <v>36.109332298814472</v>
      </c>
      <c r="X111" s="157">
        <f t="shared" si="35"/>
        <v>45754</v>
      </c>
      <c r="Y111" s="387">
        <f t="shared" si="36"/>
        <v>33.343812954559212</v>
      </c>
      <c r="Z111" s="387">
        <f t="shared" si="37"/>
        <v>35.292784346733498</v>
      </c>
      <c r="AA111" s="388">
        <f t="shared" si="38"/>
        <v>41.36309054742744</v>
      </c>
      <c r="AB111" s="199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0.1467565919363219</v>
      </c>
      <c r="AD111" s="233">
        <f>(INDEX(Models!$BJ111:$BT111,,AH111)*(1-AF111)+INDEX(Models!$BJ111:$BT111,,AH111+1)*AF111-ERP_i)*AE111*Ramure*Pc/MaxiM</f>
        <v>1.3189279413850584E-2</v>
      </c>
      <c r="AE111" s="307">
        <f t="shared" si="40"/>
        <v>0.9</v>
      </c>
      <c r="AF111" s="179">
        <f t="shared" si="41"/>
        <v>0.84661141964988817</v>
      </c>
      <c r="AG111" s="839">
        <f t="shared" si="49"/>
        <v>1</v>
      </c>
      <c r="AH111" s="178">
        <f t="shared" si="42"/>
        <v>7</v>
      </c>
      <c r="AI111" s="227">
        <f t="shared" si="43"/>
        <v>1.8466114196498882</v>
      </c>
      <c r="AJ111" s="267" t="b">
        <f t="shared" si="44"/>
        <v>0</v>
      </c>
      <c r="AK111" s="267" t="b">
        <f t="shared" si="45"/>
        <v>0</v>
      </c>
      <c r="AL111" s="267"/>
      <c r="AM111" s="267"/>
      <c r="AN111" s="75"/>
    </row>
    <row r="112" spans="1:40" s="6" customFormat="1" ht="11.25" x14ac:dyDescent="0.2">
      <c r="A112" s="56">
        <f t="shared" si="46"/>
        <v>45755</v>
      </c>
      <c r="B112" s="413">
        <f>'2024'!Wh/'2024'!Env_an*'2025'!Env_an</f>
        <v>28.203529109041657</v>
      </c>
      <c r="C112" s="868"/>
      <c r="D112" s="395">
        <f t="shared" si="25"/>
        <v>29.852741692424456</v>
      </c>
      <c r="E112" s="387">
        <f t="shared" si="47"/>
        <v>32.604858902605812</v>
      </c>
      <c r="F112" s="387">
        <f t="shared" si="26"/>
        <v>32.605115869417737</v>
      </c>
      <c r="G112" s="110">
        <f t="shared" si="48"/>
        <v>0.60050146140598371</v>
      </c>
      <c r="H112" s="416" t="b">
        <f>Wh_hp&gt;='2024'!Maxi_hp</f>
        <v>0</v>
      </c>
      <c r="I112" s="392">
        <f>IF(H112,Wh_hp,'2024'!Maxi_hp)</f>
        <v>51.981553630280644</v>
      </c>
      <c r="J112" s="85">
        <f>IF(H112,An,'2024'!An_max)</f>
        <v>2021</v>
      </c>
      <c r="K112" s="199">
        <f t="shared" si="27"/>
        <v>45755</v>
      </c>
      <c r="L112" s="147">
        <f>IF(t&lt;Tvie,1-EXP((T0-t)*PertePVj)+'2024'!Pspv,1-EXP((T0-t)*PertePVj)+Pspv)</f>
        <v>5.5244928602363852E-2</v>
      </c>
      <c r="M112" s="872"/>
      <c r="N112" s="872"/>
      <c r="O112" s="48">
        <f>IF(t&lt;Tnet,'2024'!Resal+('2024'!Salim-'2024'!Resal)*(1-EXP(('2024'!Tnet-t)/('2024'!Tau_j))),Resal+(Salim-Resal)*(1-EXP((Tnet-t)/(Tau_j))))*Salcycl</f>
        <v>8.4408192607188404E-2</v>
      </c>
      <c r="P112" s="171">
        <f>(INDEX(Models!$BJ112:$BT112,,T112)*(1-R112)+INDEX(Models!$BJ112:$BT112,,T112+1)*R112-ERP_i)*Q112*Ramure*Pc/MaxiM</f>
        <v>1.8358350081475652E-5</v>
      </c>
      <c r="Q112" s="307">
        <f t="shared" si="28"/>
        <v>0.9</v>
      </c>
      <c r="R112" s="179">
        <f t="shared" si="29"/>
        <v>0.21279516900175022</v>
      </c>
      <c r="S112" s="839">
        <f t="shared" si="30"/>
        <v>-3</v>
      </c>
      <c r="T112" s="178">
        <f t="shared" si="31"/>
        <v>3</v>
      </c>
      <c r="U112" s="253">
        <f t="shared" si="32"/>
        <v>-2.7872048309982498</v>
      </c>
      <c r="V112" s="385">
        <f t="shared" si="33"/>
        <v>46.966136514521203</v>
      </c>
      <c r="W112" s="404">
        <f t="shared" si="34"/>
        <v>28.203529109041657</v>
      </c>
      <c r="X112" s="157">
        <f t="shared" si="35"/>
        <v>45755</v>
      </c>
      <c r="Y112" s="387">
        <f t="shared" si="36"/>
        <v>26.132906485764824</v>
      </c>
      <c r="Z112" s="387">
        <f t="shared" si="37"/>
        <v>27.661038587604253</v>
      </c>
      <c r="AA112" s="388">
        <f t="shared" si="38"/>
        <v>32.423405852514868</v>
      </c>
      <c r="AB112" s="199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0.14688053705934881</v>
      </c>
      <c r="AD112" s="233">
        <f>(INDEX(Models!$BJ112:$BT112,,AH112)*(1-AF112)+INDEX(Models!$BJ112:$BT112,,AH112+1)*AF112-ERP_i)*AE112*Ramure*Pc/MaxiM</f>
        <v>1.2981816907218831E-2</v>
      </c>
      <c r="AE112" s="307">
        <f t="shared" si="40"/>
        <v>0.9</v>
      </c>
      <c r="AF112" s="179">
        <f t="shared" si="41"/>
        <v>0.8484508213087294</v>
      </c>
      <c r="AG112" s="839">
        <f t="shared" si="49"/>
        <v>1</v>
      </c>
      <c r="AH112" s="178">
        <f t="shared" si="42"/>
        <v>7</v>
      </c>
      <c r="AI112" s="227">
        <f t="shared" si="43"/>
        <v>1.8484508213087294</v>
      </c>
      <c r="AJ112" s="267" t="b">
        <f t="shared" si="44"/>
        <v>0</v>
      </c>
      <c r="AK112" s="267" t="b">
        <f t="shared" si="45"/>
        <v>0</v>
      </c>
      <c r="AL112" s="267"/>
      <c r="AM112" s="267"/>
      <c r="AN112" s="75"/>
    </row>
    <row r="113" spans="1:40" s="6" customFormat="1" ht="11.25" x14ac:dyDescent="0.2">
      <c r="A113" s="56">
        <f t="shared" si="46"/>
        <v>45756</v>
      </c>
      <c r="B113" s="413">
        <f>'2024'!Wh/'2024'!Env_an*'2025'!Env_an</f>
        <v>34.221525809161442</v>
      </c>
      <c r="C113" s="868"/>
      <c r="D113" s="395">
        <f t="shared" si="25"/>
        <v>36.223486116848967</v>
      </c>
      <c r="E113" s="387">
        <f t="shared" si="47"/>
        <v>39.57050828108909</v>
      </c>
      <c r="F113" s="387">
        <f t="shared" si="26"/>
        <v>39.570996511281059</v>
      </c>
      <c r="G113" s="110">
        <f t="shared" si="48"/>
        <v>0.72374671718178141</v>
      </c>
      <c r="H113" s="416" t="b">
        <f>Wh_hp&gt;='2024'!Maxi_hp</f>
        <v>0</v>
      </c>
      <c r="I113" s="392">
        <f>IF(H113,Wh_hp,'2024'!Maxi_hp)</f>
        <v>51.372515344218137</v>
      </c>
      <c r="J113" s="85">
        <f>IF(H113,An,'2024'!An_max)</f>
        <v>2020</v>
      </c>
      <c r="K113" s="199">
        <f t="shared" si="27"/>
        <v>45756</v>
      </c>
      <c r="L113" s="147">
        <f>IF(t&lt;Tvie,1-EXP((T0-t)*PertePVj)+'2024'!Pspv,1-EXP((T0-t)*PertePVj)+Pspv)</f>
        <v>5.5266914433073633E-2</v>
      </c>
      <c r="M113" s="872"/>
      <c r="N113" s="872"/>
      <c r="O113" s="48">
        <f>IF(t&lt;Tnet,'2024'!Resal+('2024'!Salim-'2024'!Resal)*(1-EXP(('2024'!Tnet-t)/('2024'!Tau_j))),Resal+(Salim-Resal)*(1-EXP((Tnet-t)/(Tau_j))))*Salcycl</f>
        <v>8.4583754660530405E-2</v>
      </c>
      <c r="P113" s="171">
        <f>(INDEX(Models!$BJ113:$BT113,,T113)*(1-R113)+INDEX(Models!$BJ113:$BT113,,T113+1)*R113-ERP_i)*Q113*Ramure*Pc/MaxiM</f>
        <v>2.0381369962534746E-5</v>
      </c>
      <c r="Q113" s="307">
        <f t="shared" si="28"/>
        <v>0.9</v>
      </c>
      <c r="R113" s="179">
        <f t="shared" si="29"/>
        <v>0.21470076358434298</v>
      </c>
      <c r="S113" s="839">
        <f t="shared" si="30"/>
        <v>-3</v>
      </c>
      <c r="T113" s="178">
        <f t="shared" si="31"/>
        <v>3</v>
      </c>
      <c r="U113" s="253">
        <f t="shared" si="32"/>
        <v>-2.785299236415657</v>
      </c>
      <c r="V113" s="385">
        <f t="shared" si="33"/>
        <v>47.283462210961154</v>
      </c>
      <c r="W113" s="404">
        <f t="shared" si="34"/>
        <v>34.221525809161442</v>
      </c>
      <c r="X113" s="157">
        <f t="shared" si="35"/>
        <v>45756</v>
      </c>
      <c r="Y113" s="387">
        <f t="shared" si="36"/>
        <v>31.641783827004211</v>
      </c>
      <c r="Z113" s="387">
        <f t="shared" si="37"/>
        <v>33.492829149744708</v>
      </c>
      <c r="AA113" s="388">
        <f t="shared" si="38"/>
        <v>39.265062398945872</v>
      </c>
      <c r="AB113" s="199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0.14700685282385101</v>
      </c>
      <c r="AD113" s="233">
        <f>(INDEX(Models!$BJ113:$BT113,,AH113)*(1-AF113)+INDEX(Models!$BJ113:$BT113,,AH113+1)*AF113-ERP_i)*AE113*Ramure*Pc/MaxiM</f>
        <v>1.2771345218383632E-2</v>
      </c>
      <c r="AE113" s="307">
        <f t="shared" si="40"/>
        <v>0.9</v>
      </c>
      <c r="AF113" s="179">
        <f t="shared" si="41"/>
        <v>0.85035641589132172</v>
      </c>
      <c r="AG113" s="839">
        <f t="shared" si="49"/>
        <v>1</v>
      </c>
      <c r="AH113" s="178">
        <f t="shared" si="42"/>
        <v>7</v>
      </c>
      <c r="AI113" s="227">
        <f t="shared" si="43"/>
        <v>1.8503564158913217</v>
      </c>
      <c r="AJ113" s="267" t="b">
        <f t="shared" si="44"/>
        <v>0</v>
      </c>
      <c r="AK113" s="267" t="b">
        <f t="shared" si="45"/>
        <v>0</v>
      </c>
      <c r="AL113" s="267"/>
      <c r="AM113" s="267"/>
      <c r="AN113" s="75"/>
    </row>
    <row r="114" spans="1:40" s="6" customFormat="1" ht="11.25" x14ac:dyDescent="0.2">
      <c r="A114" s="56">
        <f t="shared" si="46"/>
        <v>45757</v>
      </c>
      <c r="B114" s="413">
        <f>'2024'!Wh/'2024'!Env_an*'2025'!Env_an</f>
        <v>48.454890812531069</v>
      </c>
      <c r="C114" s="868"/>
      <c r="D114" s="395">
        <f t="shared" si="25"/>
        <v>51.290697018187053</v>
      </c>
      <c r="E114" s="387">
        <f t="shared" si="47"/>
        <v>56.04074824023575</v>
      </c>
      <c r="F114" s="387">
        <f t="shared" si="26"/>
        <v>56.041999013019058</v>
      </c>
      <c r="G114" s="110">
        <f t="shared" si="48"/>
        <v>1.0180585896509362</v>
      </c>
      <c r="H114" s="416" t="b">
        <f>Wh_hp&gt;='2024'!Maxi_hp</f>
        <v>1</v>
      </c>
      <c r="I114" s="392">
        <f>IF(H114,Wh_hp,'2024'!Maxi_hp)</f>
        <v>56.041999013019058</v>
      </c>
      <c r="J114" s="85">
        <f>IF(H114,An,'2024'!An_max)</f>
        <v>2025</v>
      </c>
      <c r="K114" s="199">
        <f t="shared" si="27"/>
        <v>45757</v>
      </c>
      <c r="L114" s="147">
        <f>IF(t&lt;Tvie,1-EXP((T0-t)*PertePVj)+'2024'!Pspv,1-EXP((T0-t)*PertePVj)+Pspv)</f>
        <v>5.5288899752141019E-2</v>
      </c>
      <c r="M114" s="872"/>
      <c r="N114" s="872"/>
      <c r="O114" s="48">
        <f>IF(t&lt;Tnet,'2024'!Resal+('2024'!Salim-'2024'!Resal)*(1-EXP(('2024'!Tnet-t)/('2024'!Tau_j))),Resal+(Salim-Resal)*(1-EXP((Tnet-t)/(Tau_j))))*Salcycl</f>
        <v>8.4760667393057501E-2</v>
      </c>
      <c r="P114" s="171">
        <f>(INDEX(Models!$BJ114:$BT114,,T114)*(1-R114)+INDEX(Models!$BJ114:$BT114,,T114+1)*R114-ERP_i)*Q114*Ramure*Pc/MaxiM</f>
        <v>2.2318489799397844E-5</v>
      </c>
      <c r="Q114" s="307">
        <f t="shared" si="28"/>
        <v>0.9</v>
      </c>
      <c r="R114" s="179">
        <f t="shared" si="29"/>
        <v>0.21667449213322243</v>
      </c>
      <c r="S114" s="839">
        <f t="shared" si="30"/>
        <v>-3</v>
      </c>
      <c r="T114" s="178">
        <f t="shared" si="31"/>
        <v>3</v>
      </c>
      <c r="U114" s="253">
        <f t="shared" si="32"/>
        <v>-2.7833255078667776</v>
      </c>
      <c r="V114" s="385">
        <f t="shared" si="33"/>
        <v>47.595385280472804</v>
      </c>
      <c r="W114" s="404">
        <f t="shared" si="34"/>
        <v>48.454890812531069</v>
      </c>
      <c r="X114" s="157">
        <f t="shared" si="35"/>
        <v>45757</v>
      </c>
      <c r="Y114" s="387">
        <f t="shared" si="36"/>
        <v>44.586872339412771</v>
      </c>
      <c r="Z114" s="387">
        <f t="shared" si="37"/>
        <v>47.196304063448331</v>
      </c>
      <c r="AA114" s="388">
        <f t="shared" si="38"/>
        <v>55.338579046679946</v>
      </c>
      <c r="AB114" s="199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0.1471355991335328</v>
      </c>
      <c r="AD114" s="233">
        <f>(INDEX(Models!$BJ114:$BT114,,AH114)*(1-AF114)+INDEX(Models!$BJ114:$BT114,,AH114+1)*AF114-ERP_i)*AE114*Ramure*Pc/MaxiM</f>
        <v>1.2551657305723525E-2</v>
      </c>
      <c r="AE114" s="307">
        <f t="shared" si="40"/>
        <v>0.9</v>
      </c>
      <c r="AF114" s="179">
        <f t="shared" si="41"/>
        <v>0.85233014444020139</v>
      </c>
      <c r="AG114" s="839">
        <f t="shared" si="49"/>
        <v>1</v>
      </c>
      <c r="AH114" s="178">
        <f t="shared" si="42"/>
        <v>7</v>
      </c>
      <c r="AI114" s="227">
        <f t="shared" si="43"/>
        <v>1.8523301444402014</v>
      </c>
      <c r="AJ114" s="267" t="b">
        <f t="shared" si="44"/>
        <v>0</v>
      </c>
      <c r="AK114" s="267" t="b">
        <f t="shared" si="45"/>
        <v>0</v>
      </c>
      <c r="AL114" s="267"/>
      <c r="AM114" s="267"/>
      <c r="AN114" s="75"/>
    </row>
    <row r="115" spans="1:40" s="6" customFormat="1" ht="11.25" x14ac:dyDescent="0.2">
      <c r="A115" s="56">
        <f t="shared" si="46"/>
        <v>45758</v>
      </c>
      <c r="B115" s="413">
        <f>'2024'!Wh/'2024'!Env_an*'2025'!Env_an</f>
        <v>37.072496118923908</v>
      </c>
      <c r="C115" s="868"/>
      <c r="D115" s="395">
        <f t="shared" si="25"/>
        <v>39.243064742669759</v>
      </c>
      <c r="E115" s="387">
        <f t="shared" si="47"/>
        <v>42.885734847925725</v>
      </c>
      <c r="F115" s="387">
        <f t="shared" si="26"/>
        <v>42.886436727276767</v>
      </c>
      <c r="G115" s="110">
        <f t="shared" si="48"/>
        <v>0.77392393657597902</v>
      </c>
      <c r="H115" s="416" t="b">
        <f>Wh_hp&gt;='2024'!Maxi_hp</f>
        <v>0</v>
      </c>
      <c r="I115" s="392">
        <f>IF(H115,Wh_hp,'2024'!Maxi_hp)</f>
        <v>55.083209342837009</v>
      </c>
      <c r="J115" s="85">
        <f>IF(H115,An,'2024'!An_max)</f>
        <v>2020</v>
      </c>
      <c r="K115" s="199">
        <f t="shared" si="27"/>
        <v>45758</v>
      </c>
      <c r="L115" s="147">
        <f>IF(t&lt;Tvie,1-EXP((T0-t)*PertePVj)+'2024'!Pspv,1-EXP((T0-t)*PertePVj)+Pspv)</f>
        <v>5.5310884559577889E-2</v>
      </c>
      <c r="M115" s="872"/>
      <c r="N115" s="872"/>
      <c r="O115" s="48">
        <f>IF(t&lt;Tnet,'2024'!Resal+('2024'!Salim-'2024'!Resal)*(1-EXP(('2024'!Tnet-t)/('2024'!Tau_j))),Resal+(Salim-Resal)*(1-EXP((Tnet-t)/(Tau_j))))*Salcycl</f>
        <v>8.4938969057496622E-2</v>
      </c>
      <c r="P115" s="171">
        <f>(INDEX(Models!$BJ115:$BT115,,T115)*(1-R115)+INDEX(Models!$BJ115:$BT115,,T115+1)*R115-ERP_i)*Q115*Ramure*Pc/MaxiM</f>
        <v>2.4172766728922446E-5</v>
      </c>
      <c r="Q115" s="307">
        <f t="shared" si="28"/>
        <v>0.9</v>
      </c>
      <c r="R115" s="179">
        <f t="shared" si="29"/>
        <v>0.21871831778547834</v>
      </c>
      <c r="S115" s="839">
        <f t="shared" si="30"/>
        <v>-3</v>
      </c>
      <c r="T115" s="178">
        <f t="shared" si="31"/>
        <v>3</v>
      </c>
      <c r="U115" s="253">
        <f t="shared" si="32"/>
        <v>-2.7812816822145217</v>
      </c>
      <c r="V115" s="385">
        <f t="shared" si="33"/>
        <v>47.90161532128274</v>
      </c>
      <c r="W115" s="404">
        <f t="shared" si="34"/>
        <v>37.072496118923908</v>
      </c>
      <c r="X115" s="157">
        <f t="shared" si="35"/>
        <v>45758</v>
      </c>
      <c r="Y115" s="387">
        <f t="shared" si="36"/>
        <v>34.259610974131775</v>
      </c>
      <c r="Z115" s="387">
        <f t="shared" si="37"/>
        <v>36.265487147229017</v>
      </c>
      <c r="AA115" s="388">
        <f t="shared" si="38"/>
        <v>42.52852892818423</v>
      </c>
      <c r="AB115" s="199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0.14726683331867169</v>
      </c>
      <c r="AD115" s="233">
        <f>(INDEX(Models!$BJ115:$BT115,,AH115)*(1-AF115)+INDEX(Models!$BJ115:$BT115,,AH115+1)*AF115-ERP_i)*AE115*Ramure*Pc/MaxiM</f>
        <v>1.2326365955961127E-2</v>
      </c>
      <c r="AE115" s="307">
        <f t="shared" si="40"/>
        <v>0.9</v>
      </c>
      <c r="AF115" s="179">
        <f t="shared" si="41"/>
        <v>0.8543739700924573</v>
      </c>
      <c r="AG115" s="839">
        <f t="shared" si="49"/>
        <v>1</v>
      </c>
      <c r="AH115" s="178">
        <f t="shared" si="42"/>
        <v>7</v>
      </c>
      <c r="AI115" s="227">
        <f t="shared" si="43"/>
        <v>1.8543739700924573</v>
      </c>
      <c r="AJ115" s="267" t="b">
        <f t="shared" si="44"/>
        <v>0</v>
      </c>
      <c r="AK115" s="267" t="b">
        <f t="shared" si="45"/>
        <v>0</v>
      </c>
      <c r="AL115" s="267"/>
      <c r="AM115" s="267"/>
      <c r="AN115" s="75"/>
    </row>
    <row r="116" spans="1:40" s="6" customFormat="1" ht="11.25" x14ac:dyDescent="0.2">
      <c r="A116" s="56">
        <f t="shared" si="46"/>
        <v>45759</v>
      </c>
      <c r="B116" s="413">
        <f>'2024'!Wh/'2024'!Env_an*'2025'!Env_an</f>
        <v>34.056680705469759</v>
      </c>
      <c r="C116" s="868"/>
      <c r="D116" s="395">
        <f t="shared" si="25"/>
        <v>36.051514425197645</v>
      </c>
      <c r="E116" s="387">
        <f t="shared" si="47"/>
        <v>39.405674032788696</v>
      </c>
      <c r="F116" s="387">
        <f t="shared" si="26"/>
        <v>39.406267667863972</v>
      </c>
      <c r="G116" s="110">
        <f t="shared" si="48"/>
        <v>0.70653515190241512</v>
      </c>
      <c r="H116" s="416" t="b">
        <f>Wh_hp&gt;='2024'!Maxi_hp</f>
        <v>0</v>
      </c>
      <c r="I116" s="392">
        <f>IF(H116,Wh_hp,'2024'!Maxi_hp)</f>
        <v>55.421173257782392</v>
      </c>
      <c r="J116" s="85">
        <f>IF(H116,An,'2024'!An_max)</f>
        <v>2019</v>
      </c>
      <c r="K116" s="199">
        <f t="shared" si="27"/>
        <v>45759</v>
      </c>
      <c r="L116" s="147">
        <f>IF(t&lt;Tvie,1-EXP((T0-t)*PertePVj)+'2024'!Pspv,1-EXP((T0-t)*PertePVj)+Pspv)</f>
        <v>5.5332868855396122E-2</v>
      </c>
      <c r="M116" s="872"/>
      <c r="N116" s="872"/>
      <c r="O116" s="48">
        <f>IF(t&lt;Tnet,'2024'!Resal+('2024'!Salim-'2024'!Resal)*(1-EXP(('2024'!Tnet-t)/('2024'!Tau_j))),Resal+(Salim-Resal)*(1-EXP((Tnet-t)/(Tau_j))))*Salcycl</f>
        <v>8.5118696480108794E-2</v>
      </c>
      <c r="P116" s="171">
        <f>(INDEX(Models!$BJ116:$BT116,,T116)*(1-R116)+INDEX(Models!$BJ116:$BT116,,T116+1)*R116-ERP_i)*Q116*Ramure*Pc/MaxiM</f>
        <v>2.5938566988841492E-5</v>
      </c>
      <c r="Q116" s="307">
        <f t="shared" si="28"/>
        <v>0.9</v>
      </c>
      <c r="R116" s="179">
        <f t="shared" si="29"/>
        <v>0.22083422300155808</v>
      </c>
      <c r="S116" s="839">
        <f t="shared" si="30"/>
        <v>-3</v>
      </c>
      <c r="T116" s="178">
        <f t="shared" si="31"/>
        <v>3</v>
      </c>
      <c r="U116" s="253">
        <f t="shared" si="32"/>
        <v>-2.7791657769984419</v>
      </c>
      <c r="V116" s="385">
        <f t="shared" si="33"/>
        <v>48.201862671668678</v>
      </c>
      <c r="W116" s="404">
        <f t="shared" si="34"/>
        <v>34.056680705469759</v>
      </c>
      <c r="X116" s="157">
        <f t="shared" si="35"/>
        <v>45759</v>
      </c>
      <c r="Y116" s="387">
        <f t="shared" si="36"/>
        <v>31.515741061455419</v>
      </c>
      <c r="Z116" s="387">
        <f t="shared" si="37"/>
        <v>33.361741953770995</v>
      </c>
      <c r="AA116" s="388">
        <f t="shared" si="38"/>
        <v>39.12944619144119</v>
      </c>
      <c r="AB116" s="199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0.1474006100022896</v>
      </c>
      <c r="AD116" s="233">
        <f>(INDEX(Models!$BJ116:$BT116,,AH116)*(1-AF116)+INDEX(Models!$BJ116:$BT116,,AH116+1)*AF116-ERP_i)*AE116*Ramure*Pc/MaxiM</f>
        <v>1.2095566298522186E-2</v>
      </c>
      <c r="AE116" s="307">
        <f t="shared" si="40"/>
        <v>0.9</v>
      </c>
      <c r="AF116" s="179">
        <f t="shared" si="41"/>
        <v>0.85648987530853682</v>
      </c>
      <c r="AG116" s="839">
        <f t="shared" si="49"/>
        <v>1</v>
      </c>
      <c r="AH116" s="178">
        <f t="shared" si="42"/>
        <v>7</v>
      </c>
      <c r="AI116" s="227">
        <f t="shared" si="43"/>
        <v>1.8564898753085368</v>
      </c>
      <c r="AJ116" s="267" t="b">
        <f t="shared" si="44"/>
        <v>0</v>
      </c>
      <c r="AK116" s="267" t="b">
        <f t="shared" si="45"/>
        <v>0</v>
      </c>
      <c r="AL116" s="267"/>
      <c r="AM116" s="267"/>
      <c r="AN116" s="75"/>
    </row>
    <row r="117" spans="1:40" s="6" customFormat="1" ht="11.25" x14ac:dyDescent="0.2">
      <c r="A117" s="56">
        <f t="shared" si="46"/>
        <v>45760</v>
      </c>
      <c r="B117" s="413">
        <f>'2024'!Wh/'2024'!Env_an*'2025'!Env_an</f>
        <v>7.5050490932764555</v>
      </c>
      <c r="C117" s="868"/>
      <c r="D117" s="395">
        <f t="shared" si="25"/>
        <v>7.944834220815828</v>
      </c>
      <c r="E117" s="387">
        <f t="shared" si="47"/>
        <v>8.6857256168310926</v>
      </c>
      <c r="F117" s="387">
        <f t="shared" si="26"/>
        <v>8.6857256168310926</v>
      </c>
      <c r="G117" s="110">
        <f t="shared" si="48"/>
        <v>0.15475228771323549</v>
      </c>
      <c r="H117" s="416" t="b">
        <f>Wh_hp&gt;='2024'!Maxi_hp</f>
        <v>0</v>
      </c>
      <c r="I117" s="392">
        <f>IF(H117,Wh_hp,'2024'!Maxi_hp)</f>
        <v>56.406019342238785</v>
      </c>
      <c r="J117" s="85">
        <f>IF(H117,An,'2024'!An_max)</f>
        <v>2019</v>
      </c>
      <c r="K117" s="199">
        <f t="shared" si="27"/>
        <v>45760</v>
      </c>
      <c r="L117" s="147">
        <f>IF(t&lt;Tvie,1-EXP((T0-t)*PertePVj)+'2024'!Pspv,1-EXP((T0-t)*PertePVj)+Pspv)</f>
        <v>5.535485263960771E-2</v>
      </c>
      <c r="M117" s="872"/>
      <c r="N117" s="872"/>
      <c r="O117" s="48">
        <f>IF(t&lt;Tnet,'2024'!Resal+('2024'!Salim-'2024'!Resal)*(1-EXP(('2024'!Tnet-t)/('2024'!Tau_j))),Resal+(Salim-Resal)*(1-EXP((Tnet-t)/(Tau_j))))*Salcycl</f>
        <v>8.5299884972140402E-2</v>
      </c>
      <c r="P117" s="171">
        <f>(INDEX(Models!$BJ117:$BT117,,T117)*(1-R117)+INDEX(Models!$BJ117:$BT117,,T117+1)*R117-ERP_i)*Q117*Ramure*Pc/MaxiM</f>
        <v>2.7609913694275045E-5</v>
      </c>
      <c r="Q117" s="307">
        <f t="shared" si="28"/>
        <v>0.9</v>
      </c>
      <c r="R117" s="179">
        <f t="shared" si="29"/>
        <v>0.22302420650764798</v>
      </c>
      <c r="S117" s="839">
        <f t="shared" si="30"/>
        <v>-3</v>
      </c>
      <c r="T117" s="178">
        <f t="shared" si="31"/>
        <v>3</v>
      </c>
      <c r="U117" s="253">
        <f t="shared" si="32"/>
        <v>-2.776975793492352</v>
      </c>
      <c r="V117" s="385">
        <f t="shared" si="33"/>
        <v>48.49583802874438</v>
      </c>
      <c r="W117" s="404">
        <f t="shared" si="34"/>
        <v>7.5050490932764555</v>
      </c>
      <c r="X117" s="157">
        <f t="shared" si="35"/>
        <v>45760</v>
      </c>
      <c r="Y117" s="387">
        <f t="shared" si="36"/>
        <v>6.9943981671727613</v>
      </c>
      <c r="Z117" s="387">
        <f t="shared" si="37"/>
        <v>7.4042598818372198</v>
      </c>
      <c r="AA117" s="388">
        <f t="shared" si="38"/>
        <v>8.6857256168310926</v>
      </c>
      <c r="AB117" s="199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0.1475369809645683</v>
      </c>
      <c r="AD117" s="233">
        <f>(INDEX(Models!$BJ117:$BT117,,AH117)*(1-AF117)+INDEX(Models!$BJ117:$BT117,,AH117+1)*AF117-ERP_i)*AE117*Ramure*Pc/MaxiM</f>
        <v>1.1859340883036196E-2</v>
      </c>
      <c r="AE117" s="307">
        <f t="shared" si="40"/>
        <v>0.9</v>
      </c>
      <c r="AF117" s="179">
        <f t="shared" si="41"/>
        <v>0.85867985881462716</v>
      </c>
      <c r="AG117" s="839">
        <f t="shared" si="49"/>
        <v>1</v>
      </c>
      <c r="AH117" s="178">
        <f t="shared" si="42"/>
        <v>7</v>
      </c>
      <c r="AI117" s="227">
        <f t="shared" si="43"/>
        <v>1.8586798588146272</v>
      </c>
      <c r="AJ117" s="267" t="b">
        <f t="shared" si="44"/>
        <v>0</v>
      </c>
      <c r="AK117" s="267" t="b">
        <f t="shared" si="45"/>
        <v>0</v>
      </c>
      <c r="AL117" s="267"/>
      <c r="AM117" s="267"/>
      <c r="AN117" s="75"/>
    </row>
    <row r="118" spans="1:40" s="6" customFormat="1" ht="11.25" x14ac:dyDescent="0.2">
      <c r="A118" s="56">
        <f t="shared" si="46"/>
        <v>45761</v>
      </c>
      <c r="B118" s="413">
        <f>'2024'!Wh/'2024'!Env_an*'2025'!Env_an</f>
        <v>36.68916339451112</v>
      </c>
      <c r="C118" s="868"/>
      <c r="D118" s="395">
        <f t="shared" si="25"/>
        <v>38.839999683833625</v>
      </c>
      <c r="E118" s="387">
        <f t="shared" si="47"/>
        <v>42.470485892271128</v>
      </c>
      <c r="F118" s="387">
        <f t="shared" si="26"/>
        <v>42.471286297591654</v>
      </c>
      <c r="G118" s="110">
        <f t="shared" si="48"/>
        <v>0.75207745204768395</v>
      </c>
      <c r="H118" s="416" t="b">
        <f>Wh_hp&gt;='2024'!Maxi_hp</f>
        <v>0</v>
      </c>
      <c r="I118" s="392">
        <f>IF(H118,Wh_hp,'2024'!Maxi_hp)</f>
        <v>56.154090506679154</v>
      </c>
      <c r="J118" s="85">
        <f>IF(H118,An,'2024'!An_max)</f>
        <v>2021</v>
      </c>
      <c r="K118" s="199">
        <f t="shared" si="27"/>
        <v>45761</v>
      </c>
      <c r="L118" s="147">
        <f>IF(t&lt;Tvie,1-EXP((T0-t)*PertePVj)+'2024'!Pspv,1-EXP((T0-t)*PertePVj)+Pspv)</f>
        <v>5.5376835912224531E-2</v>
      </c>
      <c r="M118" s="872"/>
      <c r="N118" s="872"/>
      <c r="O118" s="48">
        <f>IF(t&lt;Tnet,'2024'!Resal+('2024'!Salim-'2024'!Resal)*(1-EXP(('2024'!Tnet-t)/('2024'!Tau_j))),Resal+(Salim-Resal)*(1-EXP((Tnet-t)/(Tau_j))))*Salcycl</f>
        <v>8.5482568239187248E-2</v>
      </c>
      <c r="P118" s="171">
        <f>(INDEX(Models!$BJ118:$BT118,,T118)*(1-R118)+INDEX(Models!$BJ118:$BT118,,T118+1)*R118-ERP_i)*Q118*Ramure*Pc/MaxiM</f>
        <v>2.9180469758458849E-5</v>
      </c>
      <c r="Q118" s="307">
        <f t="shared" si="28"/>
        <v>0.9</v>
      </c>
      <c r="R118" s="179">
        <f t="shared" si="29"/>
        <v>0.22529027993903705</v>
      </c>
      <c r="S118" s="839">
        <f t="shared" si="30"/>
        <v>-3</v>
      </c>
      <c r="T118" s="178">
        <f t="shared" si="31"/>
        <v>3</v>
      </c>
      <c r="U118" s="253">
        <f t="shared" si="32"/>
        <v>-2.7747097200609629</v>
      </c>
      <c r="V118" s="385">
        <f t="shared" si="33"/>
        <v>48.783252465613373</v>
      </c>
      <c r="W118" s="404">
        <f t="shared" si="34"/>
        <v>36.68916339451112</v>
      </c>
      <c r="X118" s="157">
        <f t="shared" si="35"/>
        <v>45761</v>
      </c>
      <c r="Y118" s="387">
        <f t="shared" si="36"/>
        <v>33.93812577946693</v>
      </c>
      <c r="Z118" s="387">
        <f t="shared" si="37"/>
        <v>35.927687431041399</v>
      </c>
      <c r="AA118" s="388">
        <f t="shared" si="38"/>
        <v>42.152617103905015</v>
      </c>
      <c r="AB118" s="199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0.14767599500451739</v>
      </c>
      <c r="AD118" s="233">
        <f>(INDEX(Models!$BJ118:$BT118,,AH118)*(1-AF118)+INDEX(Models!$BJ118:$BT118,,AH118+1)*AF118-ERP_i)*AE118*Ramure*Pc/MaxiM</f>
        <v>1.1617759815987637E-2</v>
      </c>
      <c r="AE118" s="307">
        <f t="shared" si="40"/>
        <v>0.9</v>
      </c>
      <c r="AF118" s="179">
        <f t="shared" si="41"/>
        <v>0.86094593224601601</v>
      </c>
      <c r="AG118" s="839">
        <f t="shared" si="49"/>
        <v>1</v>
      </c>
      <c r="AH118" s="178">
        <f t="shared" si="42"/>
        <v>7</v>
      </c>
      <c r="AI118" s="227">
        <f t="shared" si="43"/>
        <v>1.860945932246016</v>
      </c>
      <c r="AJ118" s="267" t="b">
        <f t="shared" si="44"/>
        <v>0</v>
      </c>
      <c r="AK118" s="267" t="b">
        <f t="shared" si="45"/>
        <v>0</v>
      </c>
      <c r="AL118" s="267"/>
      <c r="AM118" s="267"/>
      <c r="AN118" s="75"/>
    </row>
    <row r="119" spans="1:40" s="6" customFormat="1" ht="11.25" x14ac:dyDescent="0.2">
      <c r="A119" s="56">
        <f t="shared" si="46"/>
        <v>45762</v>
      </c>
      <c r="B119" s="413">
        <f>'2024'!Wh/'2024'!Env_an*'2025'!Env_an</f>
        <v>40.732316855537476</v>
      </c>
      <c r="C119" s="868"/>
      <c r="D119" s="395">
        <f t="shared" si="25"/>
        <v>43.121179245538116</v>
      </c>
      <c r="E119" s="387">
        <f t="shared" si="47"/>
        <v>47.161339237783366</v>
      </c>
      <c r="F119" s="387">
        <f t="shared" si="26"/>
        <v>47.162433871439667</v>
      </c>
      <c r="G119" s="110">
        <f t="shared" si="48"/>
        <v>0.83018436348881219</v>
      </c>
      <c r="H119" s="416" t="b">
        <f>Wh_hp&gt;='2024'!Maxi_hp</f>
        <v>0</v>
      </c>
      <c r="I119" s="392">
        <f>IF(H119,Wh_hp,'2024'!Maxi_hp)</f>
        <v>56.104027308625504</v>
      </c>
      <c r="J119" s="85">
        <f>IF(H119,An,'2024'!An_max)</f>
        <v>2021</v>
      </c>
      <c r="K119" s="199">
        <f t="shared" si="27"/>
        <v>45762</v>
      </c>
      <c r="L119" s="147">
        <f>IF(t&lt;Tvie,1-EXP((T0-t)*PertePVj)+'2024'!Pspv,1-EXP((T0-t)*PertePVj)+Pspv)</f>
        <v>5.5398818673258465E-2</v>
      </c>
      <c r="M119" s="872"/>
      <c r="N119" s="872"/>
      <c r="O119" s="48">
        <f>IF(t&lt;Tnet,'2024'!Resal+('2024'!Salim-'2024'!Resal)*(1-EXP(('2024'!Tnet-t)/('2024'!Tau_j))),Resal+(Salim-Resal)*(1-EXP((Tnet-t)/(Tau_j))))*Salcycl</f>
        <v>8.5666778287934481E-2</v>
      </c>
      <c r="P119" s="171">
        <f>(INDEX(Models!$BJ119:$BT119,,T119)*(1-R119)+INDEX(Models!$BJ119:$BT119,,T119+1)*R119-ERP_i)*Q119*Ramure*Pc/MaxiM</f>
        <v>3.0643520460392602E-5</v>
      </c>
      <c r="Q119" s="307">
        <f t="shared" si="28"/>
        <v>0.9</v>
      </c>
      <c r="R119" s="179">
        <f t="shared" si="29"/>
        <v>0.22763446417238109</v>
      </c>
      <c r="S119" s="839">
        <f t="shared" si="30"/>
        <v>-3</v>
      </c>
      <c r="T119" s="178">
        <f t="shared" si="31"/>
        <v>3</v>
      </c>
      <c r="U119" s="253">
        <f t="shared" si="32"/>
        <v>-2.7723655358276189</v>
      </c>
      <c r="V119" s="385">
        <f t="shared" si="33"/>
        <v>49.063817448051822</v>
      </c>
      <c r="W119" s="404">
        <f t="shared" si="34"/>
        <v>40.732316855537476</v>
      </c>
      <c r="X119" s="157">
        <f t="shared" si="35"/>
        <v>45762</v>
      </c>
      <c r="Y119" s="387">
        <f t="shared" si="36"/>
        <v>37.637490029747902</v>
      </c>
      <c r="Z119" s="387">
        <f t="shared" si="37"/>
        <v>39.844847512136376</v>
      </c>
      <c r="AA119" s="388">
        <f t="shared" si="38"/>
        <v>46.756248527079777</v>
      </c>
      <c r="AB119" s="199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0.14781769779798584</v>
      </c>
      <c r="AD119" s="233">
        <f>(INDEX(Models!$BJ119:$BT119,,AH119)*(1-AF119)+INDEX(Models!$BJ119:$BT119,,AH119+1)*AF119-ERP_i)*AE119*Ramure*Pc/MaxiM</f>
        <v>1.1370880877760805E-2</v>
      </c>
      <c r="AE119" s="307">
        <f t="shared" si="40"/>
        <v>0.9</v>
      </c>
      <c r="AF119" s="179">
        <f t="shared" si="41"/>
        <v>0.86329011647936005</v>
      </c>
      <c r="AG119" s="839">
        <f t="shared" si="49"/>
        <v>1</v>
      </c>
      <c r="AH119" s="178">
        <f t="shared" si="42"/>
        <v>7</v>
      </c>
      <c r="AI119" s="227">
        <f t="shared" si="43"/>
        <v>1.86329011647936</v>
      </c>
      <c r="AJ119" s="267" t="b">
        <f t="shared" si="44"/>
        <v>0</v>
      </c>
      <c r="AK119" s="267" t="b">
        <f t="shared" si="45"/>
        <v>0</v>
      </c>
      <c r="AL119" s="267"/>
      <c r="AM119" s="267"/>
      <c r="AN119" s="75"/>
    </row>
    <row r="120" spans="1:40" s="6" customFormat="1" ht="11.25" x14ac:dyDescent="0.2">
      <c r="A120" s="56">
        <f t="shared" si="46"/>
        <v>45763</v>
      </c>
      <c r="B120" s="413">
        <f>'2024'!Wh/'2024'!Env_an*'2025'!Env_an</f>
        <v>43.672345415841399</v>
      </c>
      <c r="C120" s="868"/>
      <c r="D120" s="395">
        <f t="shared" si="25"/>
        <v>46.234710078840564</v>
      </c>
      <c r="E120" s="387">
        <f t="shared" si="47"/>
        <v>50.576862455434508</v>
      </c>
      <c r="F120" s="387">
        <f t="shared" si="26"/>
        <v>50.578215137614656</v>
      </c>
      <c r="G120" s="110">
        <f t="shared" si="48"/>
        <v>0.88517541613922901</v>
      </c>
      <c r="H120" s="416" t="b">
        <f>Wh_hp&gt;='2024'!Maxi_hp</f>
        <v>1</v>
      </c>
      <c r="I120" s="392">
        <f>IF(H120,Wh_hp,'2024'!Maxi_hp)</f>
        <v>50.578215137614656</v>
      </c>
      <c r="J120" s="85">
        <f>IF(H120,An,'2024'!An_max)</f>
        <v>2025</v>
      </c>
      <c r="K120" s="199">
        <f t="shared" si="27"/>
        <v>45763</v>
      </c>
      <c r="L120" s="147">
        <f>IF(t&lt;Tvie,1-EXP((T0-t)*PertePVj)+'2024'!Pspv,1-EXP((T0-t)*PertePVj)+Pspv)</f>
        <v>5.5420800922721503E-2</v>
      </c>
      <c r="M120" s="872"/>
      <c r="N120" s="872"/>
      <c r="O120" s="48">
        <f>IF(t&lt;Tnet,'2024'!Resal+('2024'!Salim-'2024'!Resal)*(1-EXP(('2024'!Tnet-t)/('2024'!Tau_j))),Resal+(Salim-Resal)*(1-EXP((Tnet-t)/(Tau_j))))*Salcycl</f>
        <v>8.5852545329793889E-2</v>
      </c>
      <c r="P120" s="171">
        <f>(INDEX(Models!$BJ120:$BT120,,T120)*(1-R120)+INDEX(Models!$BJ120:$BT120,,T120+1)*R120-ERP_i)*Q120*Ramure*Pc/MaxiM</f>
        <v>3.1991955666783718E-5</v>
      </c>
      <c r="Q120" s="307">
        <f t="shared" si="28"/>
        <v>0.9</v>
      </c>
      <c r="R120" s="179">
        <f t="shared" si="29"/>
        <v>0.23005878533548074</v>
      </c>
      <c r="S120" s="839">
        <f t="shared" si="30"/>
        <v>-3</v>
      </c>
      <c r="T120" s="178">
        <f t="shared" si="31"/>
        <v>3</v>
      </c>
      <c r="U120" s="253">
        <f t="shared" si="32"/>
        <v>-2.7699412146645193</v>
      </c>
      <c r="V120" s="385">
        <f t="shared" si="33"/>
        <v>49.337244842996483</v>
      </c>
      <c r="W120" s="404">
        <f t="shared" si="34"/>
        <v>43.672345415841399</v>
      </c>
      <c r="X120" s="157">
        <f t="shared" si="35"/>
        <v>45763</v>
      </c>
      <c r="Y120" s="387">
        <f t="shared" si="36"/>
        <v>40.327857270855297</v>
      </c>
      <c r="Z120" s="387">
        <f t="shared" si="37"/>
        <v>42.693992531542051</v>
      </c>
      <c r="AA120" s="388">
        <f t="shared" si="38"/>
        <v>50.108092753309329</v>
      </c>
      <c r="AB120" s="199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0.14796213175121545</v>
      </c>
      <c r="AD120" s="233">
        <f>(INDEX(Models!$BJ120:$BT120,,AH120)*(1-AF120)+INDEX(Models!$BJ120:$BT120,,AH120+1)*AF120-ERP_i)*AE120*Ramure*Pc/MaxiM</f>
        <v>1.1118749620122298E-2</v>
      </c>
      <c r="AE120" s="307">
        <f t="shared" si="40"/>
        <v>0.9</v>
      </c>
      <c r="AF120" s="179">
        <f t="shared" si="41"/>
        <v>0.86571443764245948</v>
      </c>
      <c r="AG120" s="839">
        <f t="shared" si="49"/>
        <v>1</v>
      </c>
      <c r="AH120" s="178">
        <f t="shared" si="42"/>
        <v>7</v>
      </c>
      <c r="AI120" s="227">
        <f t="shared" si="43"/>
        <v>1.8657144376424595</v>
      </c>
      <c r="AJ120" s="267" t="b">
        <f t="shared" si="44"/>
        <v>0</v>
      </c>
      <c r="AK120" s="267" t="b">
        <f t="shared" si="45"/>
        <v>0</v>
      </c>
      <c r="AL120" s="267"/>
      <c r="AM120" s="267"/>
      <c r="AN120" s="75"/>
    </row>
    <row r="121" spans="1:40" s="6" customFormat="1" ht="11.25" x14ac:dyDescent="0.2">
      <c r="A121" s="56">
        <f t="shared" si="46"/>
        <v>45764</v>
      </c>
      <c r="B121" s="413">
        <f>'2024'!Wh/'2024'!Env_an*'2025'!Env_an</f>
        <v>49.565415473212781</v>
      </c>
      <c r="C121" s="868"/>
      <c r="D121" s="395">
        <f t="shared" si="25"/>
        <v>52.474762315435441</v>
      </c>
      <c r="E121" s="387">
        <f t="shared" si="47"/>
        <v>57.414718850737856</v>
      </c>
      <c r="F121" s="387">
        <f t="shared" si="26"/>
        <v>57.416623926306571</v>
      </c>
      <c r="G121" s="110">
        <f t="shared" si="48"/>
        <v>0.99921002484888943</v>
      </c>
      <c r="H121" s="416" t="b">
        <f>Wh_hp&gt;='2024'!Maxi_hp</f>
        <v>1</v>
      </c>
      <c r="I121" s="392">
        <f>IF(H121,Wh_hp,'2024'!Maxi_hp)</f>
        <v>57.416623926306571</v>
      </c>
      <c r="J121" s="85">
        <f>IF(H121,An,'2024'!An_max)</f>
        <v>2025</v>
      </c>
      <c r="K121" s="199">
        <f t="shared" si="27"/>
        <v>45764</v>
      </c>
      <c r="L121" s="147">
        <f>IF(t&lt;Tvie,1-EXP((T0-t)*PertePVj)+'2024'!Pspv,1-EXP((T0-t)*PertePVj)+Pspv)</f>
        <v>5.5442782660625411E-2</v>
      </c>
      <c r="M121" s="872"/>
      <c r="N121" s="872"/>
      <c r="O121" s="48">
        <f>IF(t&lt;Tnet,'2024'!Resal+('2024'!Salim-'2024'!Resal)*(1-EXP(('2024'!Tnet-t)/('2024'!Tau_j))),Resal+(Salim-Resal)*(1-EXP((Tnet-t)/(Tau_j))))*Salcycl</f>
        <v>8.6039897681026906E-2</v>
      </c>
      <c r="P121" s="171">
        <f>(INDEX(Models!$BJ121:$BT121,,T121)*(1-R121)+INDEX(Models!$BJ121:$BT121,,T121+1)*R121-ERP_i)*Q121*Ramure*Pc/MaxiM</f>
        <v>3.321734562884338E-5</v>
      </c>
      <c r="Q121" s="307">
        <f t="shared" si="28"/>
        <v>0.9</v>
      </c>
      <c r="R121" s="179">
        <f t="shared" si="29"/>
        <v>0.2325652704840282</v>
      </c>
      <c r="S121" s="839">
        <f t="shared" si="30"/>
        <v>-3</v>
      </c>
      <c r="T121" s="178">
        <f t="shared" si="31"/>
        <v>3</v>
      </c>
      <c r="U121" s="253">
        <f t="shared" si="32"/>
        <v>-2.7674347295159718</v>
      </c>
      <c r="V121" s="385">
        <f t="shared" si="33"/>
        <v>49.604600016575958</v>
      </c>
      <c r="W121" s="404">
        <f t="shared" si="34"/>
        <v>49.565415473212781</v>
      </c>
      <c r="X121" s="157">
        <f t="shared" si="35"/>
        <v>45764</v>
      </c>
      <c r="Y121" s="387">
        <f t="shared" si="36"/>
        <v>45.699604753393793</v>
      </c>
      <c r="Z121" s="387">
        <f t="shared" si="37"/>
        <v>48.382039663113559</v>
      </c>
      <c r="AA121" s="388">
        <f t="shared" si="38"/>
        <v>56.793719780162263</v>
      </c>
      <c r="AB121" s="199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0.14810933584925795</v>
      </c>
      <c r="AD121" s="233">
        <f>(INDEX(Models!$BJ121:$BT121,,AH121)*(1-AF121)+INDEX(Models!$BJ121:$BT121,,AH121+1)*AF121-ERP_i)*AE121*Ramure*Pc/MaxiM</f>
        <v>1.0861103179294389E-2</v>
      </c>
      <c r="AE121" s="307">
        <f t="shared" si="40"/>
        <v>0.9</v>
      </c>
      <c r="AF121" s="179">
        <f t="shared" si="41"/>
        <v>0.86822092279100693</v>
      </c>
      <c r="AG121" s="839">
        <f t="shared" si="49"/>
        <v>1</v>
      </c>
      <c r="AH121" s="178">
        <f t="shared" si="42"/>
        <v>7</v>
      </c>
      <c r="AI121" s="227">
        <f t="shared" si="43"/>
        <v>1.8682209227910069</v>
      </c>
      <c r="AJ121" s="267" t="b">
        <f t="shared" si="44"/>
        <v>0</v>
      </c>
      <c r="AK121" s="267" t="b">
        <f t="shared" si="45"/>
        <v>0</v>
      </c>
      <c r="AL121" s="267"/>
      <c r="AM121" s="267"/>
      <c r="AN121" s="75"/>
    </row>
    <row r="122" spans="1:40" s="18" customFormat="1" ht="11.25" x14ac:dyDescent="0.2">
      <c r="A122" s="56">
        <f t="shared" si="46"/>
        <v>45765</v>
      </c>
      <c r="B122" s="413">
        <f>'2024'!Wh/'2024'!Env_an*'2025'!Env_an</f>
        <v>39.821637353091596</v>
      </c>
      <c r="C122" s="868"/>
      <c r="D122" s="395">
        <f t="shared" si="25"/>
        <v>42.16003366583432</v>
      </c>
      <c r="E122" s="387">
        <f t="shared" si="47"/>
        <v>46.138504376904748</v>
      </c>
      <c r="F122" s="387">
        <f t="shared" si="26"/>
        <v>46.139631627817437</v>
      </c>
      <c r="G122" s="110">
        <f t="shared" si="48"/>
        <v>0.79854985925497735</v>
      </c>
      <c r="H122" s="416" t="b">
        <f>Wh_hp&gt;='2024'!Maxi_hp</f>
        <v>1</v>
      </c>
      <c r="I122" s="392">
        <f>IF(H122,Wh_hp,'2024'!Maxi_hp)</f>
        <v>46.139631627817437</v>
      </c>
      <c r="J122" s="85">
        <f>IF(H122,An,'2024'!An_max)</f>
        <v>2025</v>
      </c>
      <c r="K122" s="199">
        <f t="shared" si="27"/>
        <v>45765</v>
      </c>
      <c r="L122" s="147">
        <f>IF(t&lt;Tvie,1-EXP((T0-t)*PertePVj)+'2024'!Pspv,1-EXP((T0-t)*PertePVj)+Pspv)</f>
        <v>5.5464763886982182E-2</v>
      </c>
      <c r="M122" s="872"/>
      <c r="N122" s="872"/>
      <c r="O122" s="48">
        <f>IF(t&lt;Tnet,'2024'!Resal+('2024'!Salim-'2024'!Resal)*(1-EXP(('2024'!Tnet-t)/('2024'!Tau_j))),Resal+(Salim-Resal)*(1-EXP((Tnet-t)/(Tau_j))))*Salcycl</f>
        <v>8.6228861659024714E-2</v>
      </c>
      <c r="P122" s="171">
        <f>(INDEX(Models!$BJ122:$BT122,,T122)*(1-R122)+INDEX(Models!$BJ122:$BT122,,T122+1)*R122-ERP_i)*Q122*Ramure*Pc/MaxiM</f>
        <v>3.4302758652705352E-5</v>
      </c>
      <c r="Q122" s="307">
        <f t="shared" si="28"/>
        <v>0.9</v>
      </c>
      <c r="R122" s="179">
        <f t="shared" si="29"/>
        <v>0.2351559429358403</v>
      </c>
      <c r="S122" s="839">
        <f t="shared" si="30"/>
        <v>-3</v>
      </c>
      <c r="T122" s="178">
        <f t="shared" si="31"/>
        <v>3</v>
      </c>
      <c r="U122" s="253">
        <f t="shared" si="32"/>
        <v>-2.7648440570641597</v>
      </c>
      <c r="V122" s="385">
        <f t="shared" si="33"/>
        <v>49.866947923277166</v>
      </c>
      <c r="W122" s="404">
        <f t="shared" si="34"/>
        <v>39.821637353091596</v>
      </c>
      <c r="X122" s="157">
        <f t="shared" si="35"/>
        <v>45765</v>
      </c>
      <c r="Y122" s="387">
        <f t="shared" si="36"/>
        <v>36.839252976068508</v>
      </c>
      <c r="Z122" s="387">
        <f t="shared" si="37"/>
        <v>39.002518453065449</v>
      </c>
      <c r="AA122" s="388">
        <f t="shared" si="38"/>
        <v>45.791542586285139</v>
      </c>
      <c r="AB122" s="199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0.14825934549872635</v>
      </c>
      <c r="AD122" s="233">
        <f>(INDEX(Models!$BJ122:$BT122,,AH122)*(1-AF122)+INDEX(Models!$BJ122:$BT122,,AH122+1)*AF122-ERP_i)*AE122*Ramure*Pc/MaxiM</f>
        <v>1.059250806266749E-2</v>
      </c>
      <c r="AE122" s="307">
        <f t="shared" si="40"/>
        <v>0.9</v>
      </c>
      <c r="AF122" s="179">
        <f t="shared" si="41"/>
        <v>0.87081159524281904</v>
      </c>
      <c r="AG122" s="839">
        <f t="shared" si="49"/>
        <v>1</v>
      </c>
      <c r="AH122" s="178">
        <f t="shared" si="42"/>
        <v>7</v>
      </c>
      <c r="AI122" s="227">
        <f t="shared" si="43"/>
        <v>1.870811595242819</v>
      </c>
      <c r="AJ122" s="267" t="b">
        <f t="shared" si="44"/>
        <v>0</v>
      </c>
      <c r="AK122" s="267" t="b">
        <f t="shared" si="45"/>
        <v>0</v>
      </c>
      <c r="AL122" s="267"/>
      <c r="AM122" s="267"/>
      <c r="AN122" s="267"/>
    </row>
    <row r="123" spans="1:40" s="18" customFormat="1" ht="11.25" x14ac:dyDescent="0.2">
      <c r="A123" s="56">
        <f t="shared" si="46"/>
        <v>45766</v>
      </c>
      <c r="B123" s="413">
        <f>'2024'!Wh/'2024'!Env_an*'2025'!Env_an</f>
        <v>10.87908690734878</v>
      </c>
      <c r="C123" s="868"/>
      <c r="D123" s="395">
        <f t="shared" si="25"/>
        <v>11.518193995871744</v>
      </c>
      <c r="E123" s="387">
        <f t="shared" si="47"/>
        <v>12.607748863019733</v>
      </c>
      <c r="F123" s="387">
        <f t="shared" si="26"/>
        <v>12.607748863019733</v>
      </c>
      <c r="G123" s="110">
        <f t="shared" si="48"/>
        <v>0.21703582237896393</v>
      </c>
      <c r="H123" s="416" t="b">
        <f>Wh_hp&gt;='2024'!Maxi_hp</f>
        <v>0</v>
      </c>
      <c r="I123" s="392">
        <f>IF(H123,Wh_hp,'2024'!Maxi_hp)</f>
        <v>56.480000775881308</v>
      </c>
      <c r="J123" s="85">
        <f>IF(H123,An,'2024'!An_max)</f>
        <v>2021</v>
      </c>
      <c r="K123" s="199">
        <f t="shared" si="27"/>
        <v>45766</v>
      </c>
      <c r="L123" s="147">
        <f>IF(t&lt;Tvie,1-EXP((T0-t)*PertePVj)+'2024'!Pspv,1-EXP((T0-t)*PertePVj)+Pspv)</f>
        <v>5.5486744601803695E-2</v>
      </c>
      <c r="M123" s="872"/>
      <c r="N123" s="872"/>
      <c r="O123" s="48">
        <f>IF(t&lt;Tnet,'2024'!Resal+('2024'!Salim-'2024'!Resal)*(1-EXP(('2024'!Tnet-t)/('2024'!Tau_j))),Resal+(Salim-Resal)*(1-EXP((Tnet-t)/(Tau_j))))*Salcycl</f>
        <v>8.6419461474506604E-2</v>
      </c>
      <c r="P123" s="171">
        <f>(INDEX(Models!$BJ123:$BT123,,T123)*(1-R123)+INDEX(Models!$BJ123:$BT123,,T123+1)*R123-ERP_i)*Q123*Ramure*Pc/MaxiM</f>
        <v>3.5256842541003866E-5</v>
      </c>
      <c r="Q123" s="307">
        <f t="shared" si="28"/>
        <v>0.9</v>
      </c>
      <c r="R123" s="179">
        <f t="shared" si="29"/>
        <v>0.23783281725433181</v>
      </c>
      <c r="S123" s="839">
        <f t="shared" si="30"/>
        <v>-3</v>
      </c>
      <c r="T123" s="178">
        <f t="shared" si="31"/>
        <v>3</v>
      </c>
      <c r="U123" s="253">
        <f t="shared" si="32"/>
        <v>-2.7621671827456682</v>
      </c>
      <c r="V123" s="385">
        <f t="shared" si="33"/>
        <v>50.123999005562823</v>
      </c>
      <c r="W123" s="404">
        <f t="shared" si="34"/>
        <v>10.87908690734878</v>
      </c>
      <c r="X123" s="157">
        <f t="shared" si="35"/>
        <v>45766</v>
      </c>
      <c r="Y123" s="387">
        <f t="shared" si="36"/>
        <v>10.140865942107187</v>
      </c>
      <c r="Z123" s="387">
        <f t="shared" si="37"/>
        <v>10.736605213477825</v>
      </c>
      <c r="AA123" s="388">
        <f t="shared" si="38"/>
        <v>12.607748863019733</v>
      </c>
      <c r="AB123" s="199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0.14841219236450928</v>
      </c>
      <c r="AD123" s="233">
        <f>(INDEX(Models!$BJ123:$BT123,,AH123)*(1-AF123)+INDEX(Models!$BJ123:$BT123,,AH123+1)*AF123-ERP_i)*AE123*Ramure*Pc/MaxiM</f>
        <v>1.0316822181058805E-2</v>
      </c>
      <c r="AE123" s="307">
        <f t="shared" si="40"/>
        <v>0.9</v>
      </c>
      <c r="AF123" s="179">
        <f t="shared" si="41"/>
        <v>0.87348846956131077</v>
      </c>
      <c r="AG123" s="839">
        <f t="shared" si="49"/>
        <v>1</v>
      </c>
      <c r="AH123" s="178">
        <f t="shared" si="42"/>
        <v>7</v>
      </c>
      <c r="AI123" s="227">
        <f t="shared" si="43"/>
        <v>1.8734884695613108</v>
      </c>
      <c r="AJ123" s="267" t="b">
        <f t="shared" si="44"/>
        <v>0</v>
      </c>
      <c r="AK123" s="267" t="b">
        <f t="shared" si="45"/>
        <v>0</v>
      </c>
      <c r="AL123" s="267"/>
      <c r="AM123" s="267"/>
      <c r="AN123" s="267"/>
    </row>
    <row r="124" spans="1:40" s="6" customFormat="1" ht="11.25" x14ac:dyDescent="0.2">
      <c r="A124" s="56">
        <f t="shared" si="46"/>
        <v>45767</v>
      </c>
      <c r="B124" s="413">
        <f>'2024'!Wh/'2024'!Env_an*'2025'!Env_an</f>
        <v>10.268643961142903</v>
      </c>
      <c r="C124" s="868"/>
      <c r="D124" s="395">
        <f t="shared" si="25"/>
        <v>10.872142740571046</v>
      </c>
      <c r="E124" s="387">
        <f t="shared" si="47"/>
        <v>11.903089812024291</v>
      </c>
      <c r="F124" s="387">
        <f t="shared" si="26"/>
        <v>11.903089812024291</v>
      </c>
      <c r="G124" s="110">
        <f t="shared" si="48"/>
        <v>0.20383481453213584</v>
      </c>
      <c r="H124" s="416" t="b">
        <f>Wh_hp&gt;='2024'!Maxi_hp</f>
        <v>0</v>
      </c>
      <c r="I124" s="392">
        <f>IF(H124,Wh_hp,'2024'!Maxi_hp)</f>
        <v>48.589941916916572</v>
      </c>
      <c r="J124" s="85">
        <f>IF(H124,An,'2024'!An_max)</f>
        <v>2019</v>
      </c>
      <c r="K124" s="199">
        <f t="shared" si="27"/>
        <v>45767</v>
      </c>
      <c r="L124" s="147">
        <f>IF(t&lt;Tvie,1-EXP((T0-t)*PertePVj)+'2024'!Pspv,1-EXP((T0-t)*PertePVj)+Pspv)</f>
        <v>5.5508724805101828E-2</v>
      </c>
      <c r="M124" s="872"/>
      <c r="N124" s="872"/>
      <c r="O124" s="48">
        <f>IF(t&lt;Tnet,'2024'!Resal+('2024'!Salim-'2024'!Resal)*(1-EXP(('2024'!Tnet-t)/('2024'!Tau_j))),Resal+(Salim-Resal)*(1-EXP((Tnet-t)/(Tau_j))))*Salcycl</f>
        <v>8.6611719119501329E-2</v>
      </c>
      <c r="P124" s="171">
        <f>(INDEX(Models!$BJ124:$BT124,,T124)*(1-R124)+INDEX(Models!$BJ124:$BT124,,T124+1)*R124-ERP_i)*Q124*Ramure*Pc/MaxiM</f>
        <v>3.6072681108419247E-5</v>
      </c>
      <c r="Q124" s="307">
        <f t="shared" si="28"/>
        <v>0.9</v>
      </c>
      <c r="R124" s="179">
        <f t="shared" si="29"/>
        <v>0.24059789387446884</v>
      </c>
      <c r="S124" s="839">
        <f t="shared" si="30"/>
        <v>-3</v>
      </c>
      <c r="T124" s="178">
        <f t="shared" si="31"/>
        <v>3</v>
      </c>
      <c r="U124" s="253">
        <f t="shared" si="32"/>
        <v>-2.7594021061255312</v>
      </c>
      <c r="V124" s="385">
        <f t="shared" si="33"/>
        <v>50.37546489392772</v>
      </c>
      <c r="W124" s="404">
        <f t="shared" si="34"/>
        <v>10.268643961142903</v>
      </c>
      <c r="X124" s="157">
        <f t="shared" si="35"/>
        <v>45767</v>
      </c>
      <c r="Y124" s="387">
        <f t="shared" si="36"/>
        <v>9.5721099469647548</v>
      </c>
      <c r="Z124" s="387">
        <f t="shared" si="37"/>
        <v>10.134672705144391</v>
      </c>
      <c r="AA124" s="388">
        <f t="shared" si="38"/>
        <v>11.903089812024291</v>
      </c>
      <c r="AB124" s="199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0.14856790420025867</v>
      </c>
      <c r="AD124" s="233">
        <f>(INDEX(Models!$BJ124:$BT124,,AH124)*(1-AF124)+INDEX(Models!$BJ124:$BT124,,AH124+1)*AF124-ERP_i)*AE124*Ramure*Pc/MaxiM</f>
        <v>1.0034106860593668E-2</v>
      </c>
      <c r="AE124" s="307">
        <f t="shared" si="40"/>
        <v>0.9</v>
      </c>
      <c r="AF124" s="179">
        <f t="shared" si="41"/>
        <v>0.87625354618144757</v>
      </c>
      <c r="AG124" s="839">
        <f t="shared" si="49"/>
        <v>1</v>
      </c>
      <c r="AH124" s="178">
        <f t="shared" si="42"/>
        <v>7</v>
      </c>
      <c r="AI124" s="227">
        <f t="shared" si="43"/>
        <v>1.8762535461814476</v>
      </c>
      <c r="AJ124" s="267" t="b">
        <f t="shared" si="44"/>
        <v>0</v>
      </c>
      <c r="AK124" s="267" t="b">
        <f t="shared" si="45"/>
        <v>0</v>
      </c>
      <c r="AL124" s="267"/>
      <c r="AM124" s="267"/>
      <c r="AN124" s="75"/>
    </row>
    <row r="125" spans="1:40" s="6" customFormat="1" ht="11.25" x14ac:dyDescent="0.2">
      <c r="A125" s="56">
        <f t="shared" si="46"/>
        <v>45768</v>
      </c>
      <c r="B125" s="413">
        <f>'2024'!Wh/'2024'!Env_an*'2025'!Env_an</f>
        <v>9.7971556962317727</v>
      </c>
      <c r="C125" s="868"/>
      <c r="D125" s="395">
        <f t="shared" si="25"/>
        <v>10.373186024023051</v>
      </c>
      <c r="E125" s="387">
        <f t="shared" si="47"/>
        <v>11.359231550558878</v>
      </c>
      <c r="F125" s="387">
        <f t="shared" si="26"/>
        <v>11.359231550558878</v>
      </c>
      <c r="G125" s="110">
        <f t="shared" si="48"/>
        <v>0.1935320234107416</v>
      </c>
      <c r="H125" s="416" t="b">
        <f>Wh_hp&gt;='2024'!Maxi_hp</f>
        <v>0</v>
      </c>
      <c r="I125" s="392">
        <f>IF(H125,Wh_hp,'2024'!Maxi_hp)</f>
        <v>55.308374448877338</v>
      </c>
      <c r="J125" s="85">
        <f>IF(H125,An,'2024'!An_max)</f>
        <v>2021</v>
      </c>
      <c r="K125" s="199">
        <f t="shared" si="27"/>
        <v>45768</v>
      </c>
      <c r="L125" s="147">
        <f>IF(t&lt;Tvie,1-EXP((T0-t)*PertePVj)+'2024'!Pspv,1-EXP((T0-t)*PertePVj)+Pspv)</f>
        <v>5.5530704496888572E-2</v>
      </c>
      <c r="M125" s="872"/>
      <c r="N125" s="872"/>
      <c r="O125" s="48">
        <f>IF(t&lt;Tnet,'2024'!Resal+('2024'!Salim-'2024'!Resal)*(1-EXP(('2024'!Tnet-t)/('2024'!Tau_j))),Resal+(Salim-Resal)*(1-EXP((Tnet-t)/(Tau_j))))*Salcycl</f>
        <v>8.6805654251084802E-2</v>
      </c>
      <c r="P125" s="171">
        <f>(INDEX(Models!$BJ125:$BT125,,T125)*(1-R125)+INDEX(Models!$BJ125:$BT125,,T125+1)*R125-ERP_i)*Q125*Ramure*Pc/MaxiM</f>
        <v>3.6743132360707488E-5</v>
      </c>
      <c r="Q125" s="307">
        <f t="shared" si="28"/>
        <v>0.9</v>
      </c>
      <c r="R125" s="179">
        <f t="shared" si="29"/>
        <v>0.24345315336613105</v>
      </c>
      <c r="S125" s="839">
        <f t="shared" si="30"/>
        <v>-3</v>
      </c>
      <c r="T125" s="178">
        <f t="shared" si="31"/>
        <v>3</v>
      </c>
      <c r="U125" s="253">
        <f t="shared" si="32"/>
        <v>-2.756546846633869</v>
      </c>
      <c r="V125" s="385">
        <f t="shared" si="33"/>
        <v>50.621057669877679</v>
      </c>
      <c r="W125" s="404">
        <f t="shared" si="34"/>
        <v>9.7971556962317727</v>
      </c>
      <c r="X125" s="157">
        <f t="shared" si="35"/>
        <v>45768</v>
      </c>
      <c r="Y125" s="387">
        <f t="shared" si="36"/>
        <v>9.1328412321232353</v>
      </c>
      <c r="Z125" s="387">
        <f t="shared" si="37"/>
        <v>9.6698127462769889</v>
      </c>
      <c r="AA125" s="388">
        <f t="shared" si="38"/>
        <v>11.359231550558878</v>
      </c>
      <c r="AB125" s="199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0.14872650467264839</v>
      </c>
      <c r="AD125" s="233">
        <f>(INDEX(Models!$BJ125:$BT125,,AH125)*(1-AF125)+INDEX(Models!$BJ125:$BT125,,AH125+1)*AF125-ERP_i)*AE125*Ramure*Pc/MaxiM</f>
        <v>9.7444374984868316E-3</v>
      </c>
      <c r="AE125" s="307">
        <f t="shared" si="40"/>
        <v>0.9</v>
      </c>
      <c r="AF125" s="179">
        <f t="shared" si="41"/>
        <v>0.87910880567310978</v>
      </c>
      <c r="AG125" s="839">
        <f t="shared" si="49"/>
        <v>1</v>
      </c>
      <c r="AH125" s="178">
        <f t="shared" si="42"/>
        <v>7</v>
      </c>
      <c r="AI125" s="227">
        <f t="shared" si="43"/>
        <v>1.8791088056731098</v>
      </c>
      <c r="AJ125" s="267" t="b">
        <f t="shared" si="44"/>
        <v>0</v>
      </c>
      <c r="AK125" s="267" t="b">
        <f t="shared" si="45"/>
        <v>0</v>
      </c>
      <c r="AL125" s="267"/>
      <c r="AM125" s="267"/>
      <c r="AN125" s="75"/>
    </row>
    <row r="126" spans="1:40" s="6" customFormat="1" ht="11.25" x14ac:dyDescent="0.2">
      <c r="A126" s="56">
        <f t="shared" si="46"/>
        <v>45769</v>
      </c>
      <c r="B126" s="413">
        <f>'2024'!Wh/'2024'!Env_an*'2025'!Env_an</f>
        <v>29.625523984885877</v>
      </c>
      <c r="C126" s="868"/>
      <c r="D126" s="395">
        <f t="shared" si="25"/>
        <v>31.368106481822533</v>
      </c>
      <c r="E126" s="387">
        <f t="shared" si="47"/>
        <v>34.357229571679639</v>
      </c>
      <c r="F126" s="387">
        <f t="shared" si="26"/>
        <v>34.357746195990892</v>
      </c>
      <c r="G126" s="110">
        <f t="shared" si="48"/>
        <v>0.58247306793422304</v>
      </c>
      <c r="H126" s="416" t="b">
        <f>Wh_hp&gt;='2024'!Maxi_hp</f>
        <v>0</v>
      </c>
      <c r="I126" s="392">
        <f>IF(H126,Wh_hp,'2024'!Maxi_hp)</f>
        <v>59.256250971912621</v>
      </c>
      <c r="J126" s="85">
        <f>IF(H126,An,'2024'!An_max)</f>
        <v>2021</v>
      </c>
      <c r="K126" s="199">
        <f t="shared" si="27"/>
        <v>45769</v>
      </c>
      <c r="L126" s="147">
        <f>IF(t&lt;Tvie,1-EXP((T0-t)*PertePVj)+'2024'!Pspv,1-EXP((T0-t)*PertePVj)+Pspv)</f>
        <v>5.5552683677175807E-2</v>
      </c>
      <c r="M126" s="872"/>
      <c r="N126" s="872"/>
      <c r="O126" s="48">
        <f>IF(t&lt;Tnet,'2024'!Resal+('2024'!Salim-'2024'!Resal)*(1-EXP(('2024'!Tnet-t)/('2024'!Tau_j))),Resal+(Salim-Resal)*(1-EXP((Tnet-t)/(Tau_j))))*Salcycl</f>
        <v>8.7001284070966259E-2</v>
      </c>
      <c r="P126" s="171">
        <f>(INDEX(Models!$BJ126:$BT126,,T126)*(1-R126)+INDEX(Models!$BJ126:$BT126,,T126+1)*R126-ERP_i)*Q126*Ramure*Pc/MaxiM</f>
        <v>3.7260721706074831E-5</v>
      </c>
      <c r="Q126" s="307">
        <f t="shared" si="28"/>
        <v>0.9</v>
      </c>
      <c r="R126" s="179">
        <f t="shared" si="29"/>
        <v>0.24640055033176633</v>
      </c>
      <c r="S126" s="839">
        <f t="shared" si="30"/>
        <v>-3</v>
      </c>
      <c r="T126" s="178">
        <f t="shared" si="31"/>
        <v>3</v>
      </c>
      <c r="U126" s="253">
        <f t="shared" si="32"/>
        <v>-2.7535994496682337</v>
      </c>
      <c r="V126" s="385">
        <f t="shared" si="33"/>
        <v>50.860489875248895</v>
      </c>
      <c r="W126" s="404">
        <f t="shared" si="34"/>
        <v>29.625523984885877</v>
      </c>
      <c r="X126" s="157">
        <f t="shared" si="35"/>
        <v>45769</v>
      </c>
      <c r="Y126" s="387">
        <f t="shared" si="36"/>
        <v>27.51250348960675</v>
      </c>
      <c r="Z126" s="387">
        <f t="shared" si="37"/>
        <v>29.130797466528694</v>
      </c>
      <c r="AA126" s="388">
        <f t="shared" si="38"/>
        <v>34.226750319139803</v>
      </c>
      <c r="AB126" s="199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0.14888801317960421</v>
      </c>
      <c r="AD126" s="233">
        <f>(INDEX(Models!$BJ126:$BT126,,AH126)*(1-AF126)+INDEX(Models!$BJ126:$BT126,,AH126+1)*AF126-ERP_i)*AE126*Ramure*Pc/MaxiM</f>
        <v>9.4478730591854767E-3</v>
      </c>
      <c r="AE126" s="307">
        <f t="shared" si="40"/>
        <v>0.9</v>
      </c>
      <c r="AF126" s="179">
        <f t="shared" si="41"/>
        <v>0.88205620263874529</v>
      </c>
      <c r="AG126" s="839">
        <f t="shared" si="49"/>
        <v>1</v>
      </c>
      <c r="AH126" s="178">
        <f t="shared" si="42"/>
        <v>7</v>
      </c>
      <c r="AI126" s="227">
        <f t="shared" si="43"/>
        <v>1.8820562026387453</v>
      </c>
      <c r="AJ126" s="267" t="b">
        <f t="shared" si="44"/>
        <v>0</v>
      </c>
      <c r="AK126" s="267" t="b">
        <f t="shared" si="45"/>
        <v>0</v>
      </c>
      <c r="AL126" s="267"/>
      <c r="AM126" s="267"/>
      <c r="AN126" s="75"/>
    </row>
    <row r="127" spans="1:40" s="6" customFormat="1" ht="11.25" x14ac:dyDescent="0.2">
      <c r="A127" s="56">
        <f t="shared" si="46"/>
        <v>45770</v>
      </c>
      <c r="B127" s="413">
        <f>'2024'!Wh/'2024'!Env_an*'2025'!Env_an</f>
        <v>8.567889331360778</v>
      </c>
      <c r="C127" s="868"/>
      <c r="D127" s="395">
        <f t="shared" si="25"/>
        <v>9.0720663558684489</v>
      </c>
      <c r="E127" s="387">
        <f t="shared" si="47"/>
        <v>9.9387080108091155</v>
      </c>
      <c r="F127" s="387">
        <f t="shared" si="26"/>
        <v>9.9387080108091155</v>
      </c>
      <c r="G127" s="110">
        <f t="shared" si="48"/>
        <v>0.16768417306000211</v>
      </c>
      <c r="H127" s="416" t="b">
        <f>Wh_hp&gt;='2024'!Maxi_hp</f>
        <v>0</v>
      </c>
      <c r="I127" s="392">
        <f>IF(H127,Wh_hp,'2024'!Maxi_hp)</f>
        <v>58.448809737185101</v>
      </c>
      <c r="J127" s="85">
        <f>IF(H127,An,'2024'!An_max)</f>
        <v>2021</v>
      </c>
      <c r="K127" s="199">
        <f t="shared" si="27"/>
        <v>45770</v>
      </c>
      <c r="L127" s="147">
        <f>IF(t&lt;Tvie,1-EXP((T0-t)*PertePVj)+'2024'!Pspv,1-EXP((T0-t)*PertePVj)+Pspv)</f>
        <v>5.5574662345975301E-2</v>
      </c>
      <c r="M127" s="872"/>
      <c r="N127" s="872"/>
      <c r="O127" s="48">
        <f>IF(t&lt;Tnet,'2024'!Resal+('2024'!Salim-'2024'!Resal)*(1-EXP(('2024'!Tnet-t)/('2024'!Tau_j))),Resal+(Salim-Resal)*(1-EXP((Tnet-t)/(Tau_j))))*Salcycl</f>
        <v>8.719862320113711E-2</v>
      </c>
      <c r="P127" s="171">
        <f>(INDEX(Models!$BJ127:$BT127,,T127)*(1-R127)+INDEX(Models!$BJ127:$BT127,,T127+1)*R127-ERP_i)*Q127*Ramure*Pc/MaxiM</f>
        <v>3.7617518555368447E-5</v>
      </c>
      <c r="Q127" s="307">
        <f t="shared" si="28"/>
        <v>0.9</v>
      </c>
      <c r="R127" s="179">
        <f t="shared" si="29"/>
        <v>0.24944200693741303</v>
      </c>
      <c r="S127" s="839">
        <f t="shared" si="30"/>
        <v>-3</v>
      </c>
      <c r="T127" s="178">
        <f t="shared" si="31"/>
        <v>3</v>
      </c>
      <c r="U127" s="253">
        <f t="shared" si="32"/>
        <v>-2.750557993062587</v>
      </c>
      <c r="V127" s="385">
        <f t="shared" si="33"/>
        <v>51.093474549677133</v>
      </c>
      <c r="W127" s="404">
        <f t="shared" si="34"/>
        <v>8.567889331360778</v>
      </c>
      <c r="X127" s="157">
        <f t="shared" si="35"/>
        <v>45770</v>
      </c>
      <c r="Y127" s="387">
        <f t="shared" si="36"/>
        <v>7.9873066213907746</v>
      </c>
      <c r="Z127" s="387">
        <f t="shared" si="37"/>
        <v>8.4573192850071521</v>
      </c>
      <c r="AA127" s="388">
        <f t="shared" si="38"/>
        <v>9.9387080108091155</v>
      </c>
      <c r="AB127" s="199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0.14905244466291165</v>
      </c>
      <c r="AD127" s="233">
        <f>(INDEX(Models!$BJ127:$BT127,,AH127)*(1-AF127)+INDEX(Models!$BJ127:$BT127,,AH127+1)*AF127-ERP_i)*AE127*Ramure*Pc/MaxiM</f>
        <v>9.1444293435680238E-3</v>
      </c>
      <c r="AE127" s="307">
        <f t="shared" si="40"/>
        <v>0.9</v>
      </c>
      <c r="AF127" s="179">
        <f t="shared" si="41"/>
        <v>0.88509765924439199</v>
      </c>
      <c r="AG127" s="839">
        <f t="shared" si="49"/>
        <v>1</v>
      </c>
      <c r="AH127" s="178">
        <f t="shared" si="42"/>
        <v>7</v>
      </c>
      <c r="AI127" s="227">
        <f t="shared" si="43"/>
        <v>1.885097659244392</v>
      </c>
      <c r="AJ127" s="267" t="b">
        <f t="shared" si="44"/>
        <v>0</v>
      </c>
      <c r="AK127" s="267" t="b">
        <f t="shared" si="45"/>
        <v>0</v>
      </c>
      <c r="AL127" s="267"/>
      <c r="AM127" s="267"/>
      <c r="AN127" s="75"/>
    </row>
    <row r="128" spans="1:40" s="6" customFormat="1" ht="11.25" x14ac:dyDescent="0.2">
      <c r="A128" s="56">
        <f t="shared" si="46"/>
        <v>45771</v>
      </c>
      <c r="B128" s="413">
        <f>'2024'!Wh/'2024'!Env_an*'2025'!Env_an</f>
        <v>36.620475684777226</v>
      </c>
      <c r="C128" s="868"/>
      <c r="D128" s="395">
        <f t="shared" si="25"/>
        <v>38.776308148981286</v>
      </c>
      <c r="E128" s="387">
        <f t="shared" si="47"/>
        <v>42.489819990893608</v>
      </c>
      <c r="F128" s="387">
        <f t="shared" si="26"/>
        <v>42.4907697355831</v>
      </c>
      <c r="G128" s="110">
        <f t="shared" si="48"/>
        <v>0.71356402616348547</v>
      </c>
      <c r="H128" s="416" t="b">
        <f>Wh_hp&gt;='2024'!Maxi_hp</f>
        <v>0</v>
      </c>
      <c r="I128" s="392">
        <f>IF(H128,Wh_hp,'2024'!Maxi_hp)</f>
        <v>54.689071133466982</v>
      </c>
      <c r="J128" s="85">
        <f>IF(H128,An,'2024'!An_max)</f>
        <v>2021</v>
      </c>
      <c r="K128" s="199">
        <f t="shared" si="27"/>
        <v>45771</v>
      </c>
      <c r="L128" s="147">
        <f>IF(t&lt;Tvie,1-EXP((T0-t)*PertePVj)+'2024'!Pspv,1-EXP((T0-t)*PertePVj)+Pspv)</f>
        <v>5.5596640503299155E-2</v>
      </c>
      <c r="M128" s="872"/>
      <c r="N128" s="872"/>
      <c r="O128" s="48">
        <f>IF(t&lt;Tnet,'2024'!Resal+('2024'!Salim-'2024'!Resal)*(1-EXP(('2024'!Tnet-t)/('2024'!Tau_j))),Resal+(Salim-Resal)*(1-EXP((Tnet-t)/(Tau_j))))*Salcycl</f>
        <v>8.7397683555924657E-2</v>
      </c>
      <c r="P128" s="171">
        <f>(INDEX(Models!$BJ128:$BT128,,T128)*(1-R128)+INDEX(Models!$BJ128:$BT128,,T128+1)*R128-ERP_i)*Q128*Ramure*Pc/MaxiM</f>
        <v>3.783170902896544E-5</v>
      </c>
      <c r="Q128" s="307">
        <f t="shared" si="28"/>
        <v>0.9</v>
      </c>
      <c r="R128" s="179">
        <f t="shared" si="29"/>
        <v>0.25257940607862706</v>
      </c>
      <c r="S128" s="839">
        <f t="shared" si="30"/>
        <v>-3</v>
      </c>
      <c r="T128" s="178">
        <f t="shared" si="31"/>
        <v>3</v>
      </c>
      <c r="U128" s="253">
        <f t="shared" si="32"/>
        <v>-2.7474205939213729</v>
      </c>
      <c r="V128" s="385">
        <f t="shared" si="33"/>
        <v>51.319723875282818</v>
      </c>
      <c r="W128" s="404">
        <f t="shared" si="34"/>
        <v>36.620475684777226</v>
      </c>
      <c r="X128" s="157">
        <f t="shared" si="35"/>
        <v>45771</v>
      </c>
      <c r="Y128" s="387">
        <f t="shared" si="36"/>
        <v>33.962294634901163</v>
      </c>
      <c r="Z128" s="387">
        <f t="shared" si="37"/>
        <v>35.961641065106576</v>
      </c>
      <c r="AA128" s="388">
        <f t="shared" si="38"/>
        <v>42.269015502598876</v>
      </c>
      <c r="AB128" s="199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0.14921980941582366</v>
      </c>
      <c r="AD128" s="233">
        <f>(INDEX(Models!$BJ128:$BT128,,AH128)*(1-AF128)+INDEX(Models!$BJ128:$BT128,,AH128+1)*AF128-ERP_i)*AE128*Ramure*Pc/MaxiM</f>
        <v>8.8332598339926991E-3</v>
      </c>
      <c r="AE128" s="307">
        <f t="shared" si="40"/>
        <v>0.9</v>
      </c>
      <c r="AF128" s="179">
        <f t="shared" si="41"/>
        <v>0.88823505838560624</v>
      </c>
      <c r="AG128" s="839">
        <f t="shared" si="49"/>
        <v>1</v>
      </c>
      <c r="AH128" s="178">
        <f t="shared" si="42"/>
        <v>7</v>
      </c>
      <c r="AI128" s="227">
        <f t="shared" si="43"/>
        <v>1.8882350583856062</v>
      </c>
      <c r="AJ128" s="267" t="b">
        <f t="shared" si="44"/>
        <v>0</v>
      </c>
      <c r="AK128" s="267" t="b">
        <f t="shared" si="45"/>
        <v>0</v>
      </c>
      <c r="AL128" s="267"/>
      <c r="AM128" s="267"/>
      <c r="AN128" s="75"/>
    </row>
    <row r="129" spans="1:40" s="6" customFormat="1" ht="11.25" x14ac:dyDescent="0.2">
      <c r="A129" s="56">
        <f t="shared" si="46"/>
        <v>45772</v>
      </c>
      <c r="B129" s="413">
        <f>'2024'!Wh/'2024'!Env_an*'2025'!Env_an</f>
        <v>45.684432770805628</v>
      </c>
      <c r="C129" s="868"/>
      <c r="D129" s="395">
        <f t="shared" si="25"/>
        <v>48.374982447526904</v>
      </c>
      <c r="E129" s="387">
        <f t="shared" si="47"/>
        <v>53.019401086260174</v>
      </c>
      <c r="F129" s="387">
        <f t="shared" si="26"/>
        <v>53.021084389294053</v>
      </c>
      <c r="G129" s="110">
        <f t="shared" si="48"/>
        <v>0.88640048482579004</v>
      </c>
      <c r="H129" s="416" t="b">
        <f>Wh_hp&gt;='2024'!Maxi_hp</f>
        <v>0</v>
      </c>
      <c r="I129" s="392">
        <f>IF(H129,Wh_hp,'2024'!Maxi_hp)</f>
        <v>56.298016159754951</v>
      </c>
      <c r="J129" s="85">
        <f>IF(H129,An,'2024'!An_max)</f>
        <v>2020</v>
      </c>
      <c r="K129" s="199">
        <f t="shared" si="27"/>
        <v>45772</v>
      </c>
      <c r="L129" s="147">
        <f>IF(t&lt;Tvie,1-EXP((T0-t)*PertePVj)+'2024'!Pspv,1-EXP((T0-t)*PertePVj)+Pspv)</f>
        <v>5.5618618149159138E-2</v>
      </c>
      <c r="M129" s="872"/>
      <c r="N129" s="872"/>
      <c r="O129" s="48">
        <f>IF(t&lt;Tnet,'2024'!Resal+('2024'!Salim-'2024'!Resal)*(1-EXP(('2024'!Tnet-t)/('2024'!Tau_j))),Resal+(Salim-Resal)*(1-EXP((Tnet-t)/(Tau_j))))*Salcycl</f>
        <v>8.7598474210921623E-2</v>
      </c>
      <c r="P129" s="171">
        <f>(INDEX(Models!$BJ129:$BT129,,T129)*(1-R129)+INDEX(Models!$BJ129:$BT129,,T129+1)*R129-ERP_i)*Q129*Ramure*Pc/MaxiM</f>
        <v>3.7897746143382838E-5</v>
      </c>
      <c r="Q129" s="307">
        <f t="shared" si="28"/>
        <v>0.9</v>
      </c>
      <c r="R129" s="179">
        <f t="shared" si="29"/>
        <v>0.25581458418557945</v>
      </c>
      <c r="S129" s="839">
        <f t="shared" si="30"/>
        <v>-3</v>
      </c>
      <c r="T129" s="178">
        <f t="shared" si="31"/>
        <v>3</v>
      </c>
      <c r="U129" s="253">
        <f t="shared" si="32"/>
        <v>-2.7441854158144205</v>
      </c>
      <c r="V129" s="385">
        <f t="shared" si="33"/>
        <v>51.538951734981559</v>
      </c>
      <c r="W129" s="404">
        <f t="shared" si="34"/>
        <v>45.684432770805628</v>
      </c>
      <c r="X129" s="157">
        <f t="shared" si="35"/>
        <v>45772</v>
      </c>
      <c r="Y129" s="387">
        <f t="shared" si="36"/>
        <v>42.287842820820707</v>
      </c>
      <c r="Z129" s="387">
        <f t="shared" si="37"/>
        <v>44.778352934005433</v>
      </c>
      <c r="AA129" s="388">
        <f t="shared" si="38"/>
        <v>52.642643369639799</v>
      </c>
      <c r="AB129" s="199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0.14939011288650217</v>
      </c>
      <c r="AD129" s="233">
        <f>(INDEX(Models!$BJ129:$BT129,,AH129)*(1-AF129)+INDEX(Models!$BJ129:$BT129,,AH129+1)*AF129-ERP_i)*AE129*Ramure*Pc/MaxiM</f>
        <v>8.5201900100244452E-3</v>
      </c>
      <c r="AE129" s="307">
        <f t="shared" si="40"/>
        <v>0.9</v>
      </c>
      <c r="AF129" s="179">
        <f t="shared" si="41"/>
        <v>0.89147023649255841</v>
      </c>
      <c r="AG129" s="839">
        <f t="shared" si="49"/>
        <v>1</v>
      </c>
      <c r="AH129" s="178">
        <f t="shared" si="42"/>
        <v>7</v>
      </c>
      <c r="AI129" s="227">
        <f t="shared" si="43"/>
        <v>1.8914702364925584</v>
      </c>
      <c r="AJ129" s="267" t="b">
        <f t="shared" si="44"/>
        <v>0</v>
      </c>
      <c r="AK129" s="267" t="b">
        <f t="shared" si="45"/>
        <v>0</v>
      </c>
      <c r="AL129" s="267"/>
      <c r="AM129" s="267"/>
      <c r="AN129" s="75"/>
    </row>
    <row r="130" spans="1:40" s="6" customFormat="1" ht="11.25" x14ac:dyDescent="0.2">
      <c r="A130" s="56">
        <f t="shared" si="46"/>
        <v>45773</v>
      </c>
      <c r="B130" s="413">
        <f>'2024'!Wh/'2024'!Env_an*'2025'!Env_an</f>
        <v>50.65779450133234</v>
      </c>
      <c r="C130" s="868"/>
      <c r="D130" s="395">
        <f t="shared" si="25"/>
        <v>53.642494847121888</v>
      </c>
      <c r="E130" s="387">
        <f t="shared" si="47"/>
        <v>58.80569362800162</v>
      </c>
      <c r="F130" s="387">
        <f t="shared" si="26"/>
        <v>58.807850119748025</v>
      </c>
      <c r="G130" s="110">
        <f t="shared" si="48"/>
        <v>0.97887695958651377</v>
      </c>
      <c r="H130" s="416" t="b">
        <f>Wh_hp&gt;='2024'!Maxi_hp</f>
        <v>1</v>
      </c>
      <c r="I130" s="392">
        <f>IF(H130,Wh_hp,'2024'!Maxi_hp)</f>
        <v>58.807850119748025</v>
      </c>
      <c r="J130" s="85">
        <f>IF(H130,An,'2024'!An_max)</f>
        <v>2025</v>
      </c>
      <c r="K130" s="199">
        <f t="shared" si="27"/>
        <v>45773</v>
      </c>
      <c r="L130" s="147">
        <f>IF(t&lt;Tvie,1-EXP((T0-t)*PertePVj)+'2024'!Pspv,1-EXP((T0-t)*PertePVj)+Pspv)</f>
        <v>5.564059528356724E-2</v>
      </c>
      <c r="M130" s="872"/>
      <c r="N130" s="872"/>
      <c r="O130" s="48">
        <f>IF(t&lt;Tnet,'2024'!Resal+('2024'!Salim-'2024'!Resal)*(1-EXP(('2024'!Tnet-t)/('2024'!Tau_j))),Resal+(Salim-Resal)*(1-EXP((Tnet-t)/(Tau_j))))*Salcycl</f>
        <v>8.7801001269393428E-2</v>
      </c>
      <c r="P130" s="171">
        <f>(INDEX(Models!$BJ130:$BT130,,T130)*(1-R130)+INDEX(Models!$BJ130:$BT130,,T130+1)*R130-ERP_i)*Q130*Ramure*Pc/MaxiM</f>
        <v>3.7811051376502283E-5</v>
      </c>
      <c r="Q130" s="307">
        <f t="shared" si="28"/>
        <v>0.9</v>
      </c>
      <c r="R130" s="179">
        <f t="shared" si="29"/>
        <v>0.2591493236745821</v>
      </c>
      <c r="S130" s="839">
        <f t="shared" si="30"/>
        <v>-3</v>
      </c>
      <c r="T130" s="178">
        <f t="shared" si="31"/>
        <v>3</v>
      </c>
      <c r="U130" s="253">
        <f t="shared" si="32"/>
        <v>-2.7408506763254179</v>
      </c>
      <c r="V130" s="385">
        <f t="shared" si="33"/>
        <v>51.750872473548753</v>
      </c>
      <c r="W130" s="404">
        <f t="shared" si="34"/>
        <v>50.65779450133234</v>
      </c>
      <c r="X130" s="157">
        <f t="shared" si="35"/>
        <v>45773</v>
      </c>
      <c r="Y130" s="387">
        <f t="shared" si="36"/>
        <v>46.853802068813721</v>
      </c>
      <c r="Z130" s="387">
        <f t="shared" si="37"/>
        <v>49.614375453678818</v>
      </c>
      <c r="AA130" s="388">
        <f t="shared" si="38"/>
        <v>58.339884309177847</v>
      </c>
      <c r="AB130" s="199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0.14956335547834401</v>
      </c>
      <c r="AD130" s="233">
        <f>(INDEX(Models!$BJ130:$BT130,,AH130)*(1-AF130)+INDEX(Models!$BJ130:$BT130,,AH130+1)*AF130-ERP_i)*AE130*Ramure*Pc/MaxiM</f>
        <v>8.2051226652878426E-3</v>
      </c>
      <c r="AE130" s="307">
        <f t="shared" si="40"/>
        <v>0.9</v>
      </c>
      <c r="AF130" s="179">
        <f t="shared" si="41"/>
        <v>0.89480497598156084</v>
      </c>
      <c r="AG130" s="839">
        <f t="shared" si="49"/>
        <v>1</v>
      </c>
      <c r="AH130" s="178">
        <f t="shared" si="42"/>
        <v>7</v>
      </c>
      <c r="AI130" s="227">
        <f t="shared" si="43"/>
        <v>1.8948049759815608</v>
      </c>
      <c r="AJ130" s="267" t="b">
        <f t="shared" si="44"/>
        <v>0</v>
      </c>
      <c r="AK130" s="267" t="b">
        <f t="shared" si="45"/>
        <v>0</v>
      </c>
      <c r="AL130" s="267"/>
      <c r="AM130" s="267"/>
      <c r="AN130" s="75"/>
    </row>
    <row r="131" spans="1:40" s="6" customFormat="1" ht="11.25" x14ac:dyDescent="0.2">
      <c r="A131" s="56">
        <f t="shared" si="46"/>
        <v>45774</v>
      </c>
      <c r="B131" s="413">
        <f>'2024'!Wh/'2024'!Env_an*'2025'!Env_an</f>
        <v>36.13238417637524</v>
      </c>
      <c r="C131" s="868"/>
      <c r="D131" s="395">
        <f t="shared" si="25"/>
        <v>38.262154079102196</v>
      </c>
      <c r="E131" s="387">
        <f t="shared" si="47"/>
        <v>41.954358643865675</v>
      </c>
      <c r="F131" s="387">
        <f t="shared" si="26"/>
        <v>41.955249049604895</v>
      </c>
      <c r="G131" s="110">
        <f t="shared" si="48"/>
        <v>0.69544132113953283</v>
      </c>
      <c r="H131" s="416" t="b">
        <f>Wh_hp&gt;='2024'!Maxi_hp</f>
        <v>1</v>
      </c>
      <c r="I131" s="392">
        <f>IF(H131,Wh_hp,'2024'!Maxi_hp)</f>
        <v>41.955249049604895</v>
      </c>
      <c r="J131" s="85">
        <f>IF(H131,An,'2024'!An_max)</f>
        <v>2025</v>
      </c>
      <c r="K131" s="199">
        <f t="shared" si="27"/>
        <v>45774</v>
      </c>
      <c r="L131" s="147">
        <f>IF(t&lt;Tvie,1-EXP((T0-t)*PertePVj)+'2024'!Pspv,1-EXP((T0-t)*PertePVj)+Pspv)</f>
        <v>5.566257190653523E-2</v>
      </c>
      <c r="M131" s="872"/>
      <c r="N131" s="872"/>
      <c r="O131" s="48">
        <f>IF(t&lt;Tnet,'2024'!Resal+('2024'!Salim-'2024'!Resal)*(1-EXP(('2024'!Tnet-t)/('2024'!Tau_j))),Resal+(Salim-Resal)*(1-EXP((Tnet-t)/(Tau_j))))*Salcycl</f>
        <v>8.800526772689278E-2</v>
      </c>
      <c r="P131" s="171">
        <f>(INDEX(Models!$BJ131:$BT131,,T131)*(1-R131)+INDEX(Models!$BJ131:$BT131,,T131+1)*R131-ERP_i)*Q131*Ramure*Pc/MaxiM</f>
        <v>3.7566882401889918E-5</v>
      </c>
      <c r="Q131" s="307">
        <f t="shared" si="28"/>
        <v>0.9</v>
      </c>
      <c r="R131" s="179">
        <f t="shared" si="29"/>
        <v>0.26258534505657094</v>
      </c>
      <c r="S131" s="839">
        <f t="shared" si="30"/>
        <v>-3</v>
      </c>
      <c r="T131" s="178">
        <f t="shared" si="31"/>
        <v>3</v>
      </c>
      <c r="U131" s="253">
        <f t="shared" si="32"/>
        <v>-2.7374146549434291</v>
      </c>
      <c r="V131" s="385">
        <f t="shared" si="33"/>
        <v>51.9552009825168</v>
      </c>
      <c r="W131" s="404">
        <f t="shared" si="34"/>
        <v>36.13238417637524</v>
      </c>
      <c r="X131" s="157">
        <f t="shared" si="35"/>
        <v>45774</v>
      </c>
      <c r="Y131" s="387">
        <f t="shared" si="36"/>
        <v>33.537129161346137</v>
      </c>
      <c r="Z131" s="387">
        <f t="shared" si="37"/>
        <v>35.513925598665182</v>
      </c>
      <c r="AA131" s="388">
        <f t="shared" si="38"/>
        <v>41.768289776844327</v>
      </c>
      <c r="AB131" s="199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0.14973953234844831</v>
      </c>
      <c r="AD131" s="233">
        <f>(INDEX(Models!$BJ131:$BT131,,AH131)*(1-AF131)+INDEX(Models!$BJ131:$BT131,,AH131+1)*AF131-ERP_i)*AE131*Ramure*Pc/MaxiM</f>
        <v>7.8879511939064038E-3</v>
      </c>
      <c r="AE131" s="307">
        <f t="shared" si="40"/>
        <v>0.9</v>
      </c>
      <c r="AF131" s="179">
        <f t="shared" si="41"/>
        <v>0.8982409973635499</v>
      </c>
      <c r="AG131" s="839">
        <f t="shared" si="49"/>
        <v>1</v>
      </c>
      <c r="AH131" s="178">
        <f t="shared" si="42"/>
        <v>7</v>
      </c>
      <c r="AI131" s="227">
        <f t="shared" si="43"/>
        <v>1.8982409973635499</v>
      </c>
      <c r="AJ131" s="267" t="b">
        <f t="shared" si="44"/>
        <v>0</v>
      </c>
      <c r="AK131" s="267" t="b">
        <f t="shared" si="45"/>
        <v>0</v>
      </c>
      <c r="AL131" s="267"/>
      <c r="AM131" s="267"/>
      <c r="AN131" s="75"/>
    </row>
    <row r="132" spans="1:40" s="6" customFormat="1" ht="11.25" x14ac:dyDescent="0.2">
      <c r="A132" s="56">
        <f t="shared" si="46"/>
        <v>45775</v>
      </c>
      <c r="B132" s="413">
        <f>'2024'!Wh/'2024'!Env_an*'2025'!Env_an</f>
        <v>22.132024126250524</v>
      </c>
      <c r="C132" s="868"/>
      <c r="D132" s="395">
        <f t="shared" si="25"/>
        <v>23.437108944685736</v>
      </c>
      <c r="E132" s="387">
        <f t="shared" si="47"/>
        <v>25.704539066203186</v>
      </c>
      <c r="F132" s="387">
        <f t="shared" si="26"/>
        <v>25.704708788341424</v>
      </c>
      <c r="G132" s="110">
        <f t="shared" si="48"/>
        <v>0.42436522471228461</v>
      </c>
      <c r="H132" s="416" t="b">
        <f>Wh_hp&gt;='2024'!Maxi_hp</f>
        <v>0</v>
      </c>
      <c r="I132" s="392">
        <f>IF(H132,Wh_hp,'2024'!Maxi_hp)</f>
        <v>48.054004151723234</v>
      </c>
      <c r="J132" s="85">
        <f>IF(H132,An,'2024'!An_max)</f>
        <v>2019</v>
      </c>
      <c r="K132" s="199">
        <f t="shared" si="27"/>
        <v>45775</v>
      </c>
      <c r="L132" s="147">
        <f>IF(t&lt;Tvie,1-EXP((T0-t)*PertePVj)+'2024'!Pspv,1-EXP((T0-t)*PertePVj)+Pspv)</f>
        <v>5.5684548018075208E-2</v>
      </c>
      <c r="M132" s="872"/>
      <c r="N132" s="872"/>
      <c r="O132" s="48">
        <f>IF(t&lt;Tnet,'2024'!Resal+('2024'!Salim-'2024'!Resal)*(1-EXP(('2024'!Tnet-t)/('2024'!Tau_j))),Resal+(Salim-Resal)*(1-EXP((Tnet-t)/(Tau_j))))*Salcycl</f>
        <v>8.821127333493832E-2</v>
      </c>
      <c r="P132" s="171">
        <f>(INDEX(Models!$BJ132:$BT132,,T132)*(1-R132)+INDEX(Models!$BJ132:$BT132,,T132+1)*R132-ERP_i)*Q132*Ramure*Pc/MaxiM</f>
        <v>3.7160333620698257E-5</v>
      </c>
      <c r="Q132" s="307">
        <f t="shared" si="28"/>
        <v>0.9</v>
      </c>
      <c r="R132" s="179">
        <f t="shared" si="29"/>
        <v>0.26612429871659904</v>
      </c>
      <c r="S132" s="839">
        <f t="shared" si="30"/>
        <v>-3</v>
      </c>
      <c r="T132" s="178">
        <f t="shared" si="31"/>
        <v>3</v>
      </c>
      <c r="U132" s="253">
        <f t="shared" si="32"/>
        <v>-2.733875701283401</v>
      </c>
      <c r="V132" s="385">
        <f t="shared" si="33"/>
        <v>52.151652708895938</v>
      </c>
      <c r="W132" s="404">
        <f t="shared" si="34"/>
        <v>22.132024126250524</v>
      </c>
      <c r="X132" s="157">
        <f t="shared" si="35"/>
        <v>45775</v>
      </c>
      <c r="Y132" s="387">
        <f t="shared" si="36"/>
        <v>20.606576536137126</v>
      </c>
      <c r="Z132" s="387">
        <f t="shared" si="37"/>
        <v>21.821708511587037</v>
      </c>
      <c r="AA132" s="388">
        <f t="shared" si="38"/>
        <v>25.670140958244353</v>
      </c>
      <c r="AB132" s="199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0.14991863320568705</v>
      </c>
      <c r="AD132" s="233">
        <f>(INDEX(Models!$BJ132:$BT132,,AH132)*(1-AF132)+INDEX(Models!$BJ132:$BT132,,AH132+1)*AF132-ERP_i)*AE132*Ramure*Pc/MaxiM</f>
        <v>7.5685594836367555E-3</v>
      </c>
      <c r="AE132" s="307">
        <f t="shared" si="40"/>
        <v>0.9</v>
      </c>
      <c r="AF132" s="179">
        <f t="shared" si="41"/>
        <v>0.901779951023578</v>
      </c>
      <c r="AG132" s="839">
        <f t="shared" si="49"/>
        <v>1</v>
      </c>
      <c r="AH132" s="178">
        <f t="shared" si="42"/>
        <v>7</v>
      </c>
      <c r="AI132" s="227">
        <f t="shared" si="43"/>
        <v>1.901779951023578</v>
      </c>
      <c r="AJ132" s="267" t="b">
        <f t="shared" si="44"/>
        <v>0</v>
      </c>
      <c r="AK132" s="267" t="b">
        <f t="shared" si="45"/>
        <v>0</v>
      </c>
      <c r="AL132" s="267"/>
      <c r="AM132" s="267"/>
      <c r="AN132" s="75"/>
    </row>
    <row r="133" spans="1:40" s="6" customFormat="1" ht="11.25" x14ac:dyDescent="0.2">
      <c r="A133" s="56">
        <f t="shared" si="46"/>
        <v>45776</v>
      </c>
      <c r="B133" s="413">
        <f>'2024'!Wh/'2024'!Env_an*'2025'!Env_an</f>
        <v>41.578646438384517</v>
      </c>
      <c r="C133" s="868"/>
      <c r="D133" s="395">
        <f t="shared" si="25"/>
        <v>44.031487538915549</v>
      </c>
      <c r="E133" s="387">
        <f t="shared" si="47"/>
        <v>48.302332143381598</v>
      </c>
      <c r="F133" s="387">
        <f t="shared" si="26"/>
        <v>48.303580317689715</v>
      </c>
      <c r="G133" s="110">
        <f t="shared" si="48"/>
        <v>0.79438754999849526</v>
      </c>
      <c r="H133" s="416" t="b">
        <f>Wh_hp&gt;='2024'!Maxi_hp</f>
        <v>0</v>
      </c>
      <c r="I133" s="392">
        <f>IF(H133,Wh_hp,'2024'!Maxi_hp)</f>
        <v>54.78185076677125</v>
      </c>
      <c r="J133" s="85">
        <f>IF(H133,An,'2024'!An_max)</f>
        <v>2019</v>
      </c>
      <c r="K133" s="199">
        <f t="shared" si="27"/>
        <v>45776</v>
      </c>
      <c r="L133" s="147">
        <f>IF(t&lt;Tvie,1-EXP((T0-t)*PertePVj)+'2024'!Pspv,1-EXP((T0-t)*PertePVj)+Pspv)</f>
        <v>5.5706523618198944E-2</v>
      </c>
      <c r="M133" s="872"/>
      <c r="N133" s="872"/>
      <c r="O133" s="48">
        <f>IF(t&lt;Tnet,'2024'!Resal+('2024'!Salim-'2024'!Resal)*(1-EXP(('2024'!Tnet-t)/('2024'!Tau_j))),Resal+(Salim-Resal)*(1-EXP((Tnet-t)/(Tau_j))))*Salcycl</f>
        <v>8.841901446473413E-2</v>
      </c>
      <c r="P133" s="171">
        <f>(INDEX(Models!$BJ133:$BT133,,T133)*(1-R133)+INDEX(Models!$BJ133:$BT133,,T133+1)*R133-ERP_i)*Q133*Ramure*Pc/MaxiM</f>
        <v>3.658633713300066E-5</v>
      </c>
      <c r="Q133" s="307">
        <f t="shared" si="28"/>
        <v>0.9</v>
      </c>
      <c r="R133" s="179">
        <f t="shared" si="29"/>
        <v>0.26976775638218387</v>
      </c>
      <c r="S133" s="839">
        <f t="shared" si="30"/>
        <v>-3</v>
      </c>
      <c r="T133" s="178">
        <f t="shared" si="31"/>
        <v>3</v>
      </c>
      <c r="U133" s="253">
        <f t="shared" si="32"/>
        <v>-2.7302322436178161</v>
      </c>
      <c r="V133" s="385">
        <f t="shared" si="33"/>
        <v>52.339943667539231</v>
      </c>
      <c r="W133" s="404">
        <f t="shared" si="34"/>
        <v>41.578646438384517</v>
      </c>
      <c r="X133" s="157">
        <f t="shared" si="35"/>
        <v>45776</v>
      </c>
      <c r="Y133" s="387">
        <f t="shared" si="36"/>
        <v>38.567835077419993</v>
      </c>
      <c r="Z133" s="387">
        <f t="shared" si="37"/>
        <v>40.843059961822789</v>
      </c>
      <c r="AA133" s="388">
        <f t="shared" si="38"/>
        <v>48.05634876960395</v>
      </c>
      <c r="AB133" s="199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0.15010064211003113</v>
      </c>
      <c r="AD133" s="233">
        <f>(INDEX(Models!$BJ133:$BT133,,AH133)*(1-AF133)+INDEX(Models!$BJ133:$BT133,,AH133+1)*AF133-ERP_i)*AE133*Ramure*Pc/MaxiM</f>
        <v>7.2468217855112503E-3</v>
      </c>
      <c r="AE133" s="307">
        <f t="shared" si="40"/>
        <v>0.9</v>
      </c>
      <c r="AF133" s="179">
        <f t="shared" si="41"/>
        <v>0.90542340868916305</v>
      </c>
      <c r="AG133" s="839">
        <f t="shared" si="49"/>
        <v>1</v>
      </c>
      <c r="AH133" s="178">
        <f t="shared" si="42"/>
        <v>7</v>
      </c>
      <c r="AI133" s="227">
        <f t="shared" si="43"/>
        <v>1.905423408689163</v>
      </c>
      <c r="AJ133" s="267" t="b">
        <f t="shared" si="44"/>
        <v>0</v>
      </c>
      <c r="AK133" s="267" t="b">
        <f t="shared" si="45"/>
        <v>0</v>
      </c>
      <c r="AL133" s="267"/>
      <c r="AM133" s="267"/>
      <c r="AN133" s="75"/>
    </row>
    <row r="134" spans="1:40" s="6" customFormat="1" ht="11.25" x14ac:dyDescent="0.2">
      <c r="A134" s="56">
        <f t="shared" si="46"/>
        <v>45777</v>
      </c>
      <c r="B134" s="413">
        <f>'2024'!Wh/'2024'!Env_an*'2025'!Env_an</f>
        <v>43.416489213873348</v>
      </c>
      <c r="C134" s="868"/>
      <c r="D134" s="395">
        <f t="shared" si="25"/>
        <v>45.978819814448471</v>
      </c>
      <c r="E134" s="387">
        <f t="shared" si="47"/>
        <v>50.450139164802394</v>
      </c>
      <c r="F134" s="387">
        <f t="shared" si="26"/>
        <v>50.451499599906569</v>
      </c>
      <c r="G134" s="110">
        <f t="shared" si="48"/>
        <v>0.82666178823528347</v>
      </c>
      <c r="H134" s="416" t="b">
        <f>Wh_hp&gt;='2024'!Maxi_hp</f>
        <v>0</v>
      </c>
      <c r="I134" s="392">
        <f>IF(H134,Wh_hp,'2024'!Maxi_hp)</f>
        <v>60.84592314154898</v>
      </c>
      <c r="J134" s="85">
        <f>IF(H134,An,'2024'!An_max)</f>
        <v>2019</v>
      </c>
      <c r="K134" s="199">
        <f t="shared" si="27"/>
        <v>45777</v>
      </c>
      <c r="L134" s="147">
        <f>IF(t&lt;Tvie,1-EXP((T0-t)*PertePVj)+'2024'!Pspv,1-EXP((T0-t)*PertePVj)+Pspv)</f>
        <v>5.5728498706918317E-2</v>
      </c>
      <c r="M134" s="872"/>
      <c r="N134" s="872"/>
      <c r="O134" s="48">
        <f>IF(t&lt;Tnet,'2024'!Resal+('2024'!Salim-'2024'!Resal)*(1-EXP(('2024'!Tnet-t)/('2024'!Tau_j))),Resal+(Salim-Resal)*(1-EXP((Tnet-t)/(Tau_j))))*Salcycl</f>
        <v>8.8628483972021027E-2</v>
      </c>
      <c r="P134" s="171">
        <f>(INDEX(Models!$BJ134:$BT134,,T134)*(1-R134)+INDEX(Models!$BJ134:$BT134,,T134+1)*R134-ERP_i)*Q134*Ramure*Pc/MaxiM</f>
        <v>3.5839664136403872E-5</v>
      </c>
      <c r="Q134" s="307">
        <f t="shared" si="28"/>
        <v>0.9</v>
      </c>
      <c r="R134" s="179">
        <f t="shared" si="29"/>
        <v>0.27351720230237486</v>
      </c>
      <c r="S134" s="839">
        <f t="shared" si="30"/>
        <v>-3</v>
      </c>
      <c r="T134" s="178">
        <f t="shared" si="31"/>
        <v>3</v>
      </c>
      <c r="U134" s="253">
        <f t="shared" si="32"/>
        <v>-2.7264827976976251</v>
      </c>
      <c r="V134" s="385">
        <f t="shared" si="33"/>
        <v>52.51979046759989</v>
      </c>
      <c r="W134" s="404">
        <f t="shared" si="34"/>
        <v>43.416489213873348</v>
      </c>
      <c r="X134" s="157">
        <f t="shared" si="35"/>
        <v>45777</v>
      </c>
      <c r="Y134" s="387">
        <f t="shared" si="36"/>
        <v>40.269483219590903</v>
      </c>
      <c r="Z134" s="387">
        <f t="shared" si="37"/>
        <v>42.646085542607217</v>
      </c>
      <c r="AA134" s="388">
        <f t="shared" si="38"/>
        <v>50.188725052226467</v>
      </c>
      <c r="AB134" s="199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0.15028553727496294</v>
      </c>
      <c r="AD134" s="233">
        <f>(INDEX(Models!$BJ134:$BT134,,AH134)*(1-AF134)+INDEX(Models!$BJ134:$BT134,,AH134+1)*AF134-ERP_i)*AE134*Ramure*Pc/MaxiM</f>
        <v>6.9226025582162318E-3</v>
      </c>
      <c r="AE134" s="307">
        <f t="shared" si="40"/>
        <v>0.9</v>
      </c>
      <c r="AF134" s="179">
        <f t="shared" si="41"/>
        <v>0.90917285460935382</v>
      </c>
      <c r="AG134" s="839">
        <f t="shared" si="49"/>
        <v>1</v>
      </c>
      <c r="AH134" s="178">
        <f t="shared" si="42"/>
        <v>7</v>
      </c>
      <c r="AI134" s="227">
        <f t="shared" si="43"/>
        <v>1.9091728546093538</v>
      </c>
      <c r="AJ134" s="267" t="b">
        <f t="shared" si="44"/>
        <v>0</v>
      </c>
      <c r="AK134" s="267" t="b">
        <f t="shared" si="45"/>
        <v>0</v>
      </c>
      <c r="AL134" s="267"/>
      <c r="AM134" s="267"/>
      <c r="AN134" s="75"/>
    </row>
    <row r="135" spans="1:40" s="6" customFormat="1" ht="11.25" x14ac:dyDescent="0.2">
      <c r="A135" s="56">
        <f t="shared" si="46"/>
        <v>45778</v>
      </c>
      <c r="B135" s="413">
        <f>'2024'!Wh/'2024'!Env_an*'2025'!Env_an</f>
        <v>42.817473577259648</v>
      </c>
      <c r="C135" s="868"/>
      <c r="D135" s="395">
        <f t="shared" si="25"/>
        <v>45.345507057001569</v>
      </c>
      <c r="E135" s="387">
        <f t="shared" si="47"/>
        <v>49.766770585771916</v>
      </c>
      <c r="F135" s="387">
        <f t="shared" si="26"/>
        <v>49.768043086853183</v>
      </c>
      <c r="G135" s="110">
        <f t="shared" si="48"/>
        <v>0.81261007697038101</v>
      </c>
      <c r="H135" s="416" t="b">
        <f>Wh_hp&gt;='2024'!Maxi_hp</f>
        <v>0</v>
      </c>
      <c r="I135" s="392">
        <f>IF(H135,Wh_hp,'2024'!Maxi_hp)</f>
        <v>56.845620095734738</v>
      </c>
      <c r="J135" s="85">
        <f>IF(H135,An,'2024'!An_max)</f>
        <v>2019</v>
      </c>
      <c r="K135" s="199">
        <f t="shared" si="27"/>
        <v>45778</v>
      </c>
      <c r="L135" s="147">
        <f>IF(t&lt;Tvie,1-EXP((T0-t)*PertePVj)+'2024'!Pspv,1-EXP((T0-t)*PertePVj)+Pspv)</f>
        <v>5.5750473284245317E-2</v>
      </c>
      <c r="M135" s="872"/>
      <c r="N135" s="872"/>
      <c r="O135" s="48">
        <f>IF(t&lt;Tnet,'2024'!Resal+('2024'!Salim-'2024'!Resal)*(1-EXP(('2024'!Tnet-t)/('2024'!Tau_j))),Resal+(Salim-Resal)*(1-EXP((Tnet-t)/(Tau_j))))*Salcycl</f>
        <v>8.883967106425765E-2</v>
      </c>
      <c r="P135" s="171">
        <f>(INDEX(Models!$BJ135:$BT135,,T135)*(1-R135)+INDEX(Models!$BJ135:$BT135,,T135+1)*R135-ERP_i)*Q135*Ramure*Pc/MaxiM</f>
        <v>3.491500122209194E-5</v>
      </c>
      <c r="Q135" s="307">
        <f t="shared" si="28"/>
        <v>0.9</v>
      </c>
      <c r="R135" s="179">
        <f t="shared" si="29"/>
        <v>0.27737402416365864</v>
      </c>
      <c r="S135" s="839">
        <f t="shared" si="30"/>
        <v>-3</v>
      </c>
      <c r="T135" s="178">
        <f t="shared" si="31"/>
        <v>3</v>
      </c>
      <c r="U135" s="253">
        <f t="shared" si="32"/>
        <v>-2.7226259758363414</v>
      </c>
      <c r="V135" s="385">
        <f t="shared" si="33"/>
        <v>52.690797951956206</v>
      </c>
      <c r="W135" s="404">
        <f t="shared" si="34"/>
        <v>42.817473577259648</v>
      </c>
      <c r="X135" s="157">
        <f t="shared" si="35"/>
        <v>45778</v>
      </c>
      <c r="Y135" s="387">
        <f t="shared" si="36"/>
        <v>39.729361517461221</v>
      </c>
      <c r="Z135" s="387">
        <f t="shared" si="37"/>
        <v>42.075066381707451</v>
      </c>
      <c r="AA135" s="388">
        <f t="shared" si="38"/>
        <v>49.527655728496974</v>
      </c>
      <c r="AB135" s="199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0.15047329087497052</v>
      </c>
      <c r="AD135" s="233">
        <f>(INDEX(Models!$BJ135:$BT135,,AH135)*(1-AF135)+INDEX(Models!$BJ135:$BT135,,AH135+1)*AF135-ERP_i)*AE135*Ramure*Pc/MaxiM</f>
        <v>6.5957703567735854E-3</v>
      </c>
      <c r="AE135" s="307">
        <f t="shared" si="40"/>
        <v>0.9</v>
      </c>
      <c r="AF135" s="179">
        <f t="shared" si="41"/>
        <v>0.91302967647063782</v>
      </c>
      <c r="AG135" s="839">
        <f t="shared" si="49"/>
        <v>1</v>
      </c>
      <c r="AH135" s="178">
        <f t="shared" si="42"/>
        <v>7</v>
      </c>
      <c r="AI135" s="227">
        <f t="shared" si="43"/>
        <v>1.9130296764706378</v>
      </c>
      <c r="AJ135" s="267" t="b">
        <f t="shared" si="44"/>
        <v>0</v>
      </c>
      <c r="AK135" s="267" t="b">
        <f t="shared" si="45"/>
        <v>0</v>
      </c>
      <c r="AL135" s="267"/>
      <c r="AM135" s="267"/>
      <c r="AN135" s="75"/>
    </row>
    <row r="136" spans="1:40" s="6" customFormat="1" ht="11.25" x14ac:dyDescent="0.2">
      <c r="A136" s="56">
        <f t="shared" si="46"/>
        <v>45779</v>
      </c>
      <c r="B136" s="413">
        <f>'2024'!Wh/'2024'!Env_an*'2025'!Env_an</f>
        <v>26.170640234248722</v>
      </c>
      <c r="C136" s="868"/>
      <c r="D136" s="395">
        <f t="shared" si="25"/>
        <v>27.716454747381</v>
      </c>
      <c r="E136" s="387">
        <f t="shared" si="47"/>
        <v>30.425964842738551</v>
      </c>
      <c r="F136" s="387">
        <f t="shared" si="26"/>
        <v>30.426252417544664</v>
      </c>
      <c r="G136" s="110">
        <f t="shared" si="48"/>
        <v>0.49514677327207002</v>
      </c>
      <c r="H136" s="416" t="b">
        <f>Wh_hp&gt;='2024'!Maxi_hp</f>
        <v>0</v>
      </c>
      <c r="I136" s="392">
        <f>IF(H136,Wh_hp,'2024'!Maxi_hp)</f>
        <v>39.747246661532351</v>
      </c>
      <c r="J136" s="85">
        <f>IF(H136,An,'2024'!An_max)</f>
        <v>2021</v>
      </c>
      <c r="K136" s="199">
        <f t="shared" si="27"/>
        <v>45779</v>
      </c>
      <c r="L136" s="147">
        <f>IF(t&lt;Tvie,1-EXP((T0-t)*PertePVj)+'2024'!Pspv,1-EXP((T0-t)*PertePVj)+Pspv)</f>
        <v>5.5772447350191712E-2</v>
      </c>
      <c r="M136" s="872"/>
      <c r="N136" s="872"/>
      <c r="O136" s="48">
        <f>IF(t&lt;Tnet,'2024'!Resal+('2024'!Salim-'2024'!Resal)*(1-EXP(('2024'!Tnet-t)/('2024'!Tau_j))),Resal+(Salim-Resal)*(1-EXP((Tnet-t)/(Tau_j))))*Salcycl</f>
        <v>8.9052561171423322E-2</v>
      </c>
      <c r="P136" s="171">
        <f>(INDEX(Models!$BJ136:$BT136,,T136)*(1-R136)+INDEX(Models!$BJ136:$BT136,,T136+1)*R136-ERP_i)*Q136*Ramure*Pc/MaxiM</f>
        <v>3.3900967702545941E-5</v>
      </c>
      <c r="Q136" s="307">
        <f t="shared" si="28"/>
        <v>0.9</v>
      </c>
      <c r="R136" s="179">
        <f t="shared" si="29"/>
        <v>0.281339503773268</v>
      </c>
      <c r="S136" s="839">
        <f t="shared" si="30"/>
        <v>-3</v>
      </c>
      <c r="T136" s="178">
        <f t="shared" si="31"/>
        <v>3</v>
      </c>
      <c r="U136" s="253">
        <f t="shared" si="32"/>
        <v>-2.718660496226732</v>
      </c>
      <c r="V136" s="385">
        <f t="shared" si="33"/>
        <v>52.85301608242186</v>
      </c>
      <c r="W136" s="404">
        <f t="shared" si="34"/>
        <v>26.170640234248722</v>
      </c>
      <c r="X136" s="157">
        <f t="shared" si="35"/>
        <v>45779</v>
      </c>
      <c r="Y136" s="387">
        <f t="shared" si="36"/>
        <v>24.358190532579389</v>
      </c>
      <c r="Z136" s="387">
        <f t="shared" si="37"/>
        <v>25.796949542747846</v>
      </c>
      <c r="AA136" s="388">
        <f t="shared" si="38"/>
        <v>30.373074448311151</v>
      </c>
      <c r="AB136" s="199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0.15066386886026134</v>
      </c>
      <c r="AD136" s="233">
        <f>(INDEX(Models!$BJ136:$BT136,,AH136)*(1-AF136)+INDEX(Models!$BJ136:$BT136,,AH136+1)*AF136-ERP_i)*AE136*Ramure*Pc/MaxiM</f>
        <v>6.2689240473972948E-3</v>
      </c>
      <c r="AE136" s="307">
        <f t="shared" si="40"/>
        <v>0.9</v>
      </c>
      <c r="AF136" s="179">
        <f t="shared" si="41"/>
        <v>0.91699515608024695</v>
      </c>
      <c r="AG136" s="839">
        <f t="shared" si="49"/>
        <v>1</v>
      </c>
      <c r="AH136" s="178">
        <f t="shared" si="42"/>
        <v>7</v>
      </c>
      <c r="AI136" s="227">
        <f t="shared" si="43"/>
        <v>1.916995156080247</v>
      </c>
      <c r="AJ136" s="267" t="b">
        <f t="shared" si="44"/>
        <v>0</v>
      </c>
      <c r="AK136" s="267" t="b">
        <f t="shared" si="45"/>
        <v>0</v>
      </c>
      <c r="AL136" s="267"/>
      <c r="AM136" s="267"/>
      <c r="AN136" s="75"/>
    </row>
    <row r="137" spans="1:40" s="6" customFormat="1" ht="11.25" x14ac:dyDescent="0.2">
      <c r="A137" s="56">
        <f t="shared" si="46"/>
        <v>45780</v>
      </c>
      <c r="B137" s="413">
        <f>'2024'!Wh/'2024'!Env_an*'2025'!Env_an</f>
        <v>30.923660640322066</v>
      </c>
      <c r="C137" s="868"/>
      <c r="D137" s="395">
        <f t="shared" si="25"/>
        <v>32.750982757329353</v>
      </c>
      <c r="E137" s="387">
        <f t="shared" si="47"/>
        <v>35.961129817010537</v>
      </c>
      <c r="F137" s="387">
        <f t="shared" si="26"/>
        <v>35.961607675128718</v>
      </c>
      <c r="G137" s="110">
        <f t="shared" si="48"/>
        <v>0.58337865947911483</v>
      </c>
      <c r="H137" s="416" t="b">
        <f>Wh_hp&gt;='2024'!Maxi_hp</f>
        <v>0</v>
      </c>
      <c r="I137" s="392">
        <f>IF(H137,Wh_hp,'2024'!Maxi_hp)</f>
        <v>59.744764721426584</v>
      </c>
      <c r="J137" s="85">
        <f>IF(H137,An,'2024'!An_max)</f>
        <v>2021</v>
      </c>
      <c r="K137" s="199">
        <f t="shared" si="27"/>
        <v>45780</v>
      </c>
      <c r="L137" s="147">
        <f>IF(t&lt;Tvie,1-EXP((T0-t)*PertePVj)+'2024'!Pspv,1-EXP((T0-t)*PertePVj)+Pspv)</f>
        <v>5.5794420904769604E-2</v>
      </c>
      <c r="M137" s="872"/>
      <c r="N137" s="872"/>
      <c r="O137" s="48">
        <f>IF(t&lt;Tnet,'2024'!Resal+('2024'!Salim-'2024'!Resal)*(1-EXP(('2024'!Tnet-t)/('2024'!Tau_j))),Resal+(Salim-Resal)*(1-EXP((Tnet-t)/(Tau_j))))*Salcycl</f>
        <v>8.9267135821819998E-2</v>
      </c>
      <c r="P137" s="171">
        <f>(INDEX(Models!$BJ137:$BT137,,T137)*(1-R137)+INDEX(Models!$BJ137:$BT137,,T137+1)*R137-ERP_i)*Q137*Ramure*Pc/MaxiM</f>
        <v>3.2822624385972713E-5</v>
      </c>
      <c r="Q137" s="307">
        <f t="shared" si="28"/>
        <v>0.9</v>
      </c>
      <c r="R137" s="179">
        <f t="shared" si="29"/>
        <v>0.28541480754505733</v>
      </c>
      <c r="S137" s="839">
        <f t="shared" si="30"/>
        <v>-3</v>
      </c>
      <c r="T137" s="178">
        <f t="shared" si="31"/>
        <v>3</v>
      </c>
      <c r="U137" s="253">
        <f t="shared" si="32"/>
        <v>-2.7145851924549427</v>
      </c>
      <c r="V137" s="385">
        <f t="shared" si="33"/>
        <v>53.006835351239893</v>
      </c>
      <c r="W137" s="404">
        <f t="shared" si="34"/>
        <v>30.923660640322066</v>
      </c>
      <c r="X137" s="157">
        <f t="shared" si="35"/>
        <v>45780</v>
      </c>
      <c r="Y137" s="387">
        <f t="shared" si="36"/>
        <v>28.763356259819016</v>
      </c>
      <c r="Z137" s="387">
        <f t="shared" si="37"/>
        <v>30.463022986351163</v>
      </c>
      <c r="AA137" s="388">
        <f t="shared" si="38"/>
        <v>35.875030784714845</v>
      </c>
      <c r="AB137" s="199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0.15085723078095742</v>
      </c>
      <c r="AD137" s="233">
        <f>(INDEX(Models!$BJ137:$BT137,,AH137)*(1-AF137)+INDEX(Models!$BJ137:$BT137,,AH137+1)*AF137-ERP_i)*AE137*Ramure*Pc/MaxiM</f>
        <v>5.9467039408832084E-3</v>
      </c>
      <c r="AE137" s="307">
        <f t="shared" si="40"/>
        <v>0.9</v>
      </c>
      <c r="AF137" s="179">
        <f t="shared" si="41"/>
        <v>0.92107045985203606</v>
      </c>
      <c r="AG137" s="839">
        <f t="shared" si="49"/>
        <v>1</v>
      </c>
      <c r="AH137" s="178">
        <f t="shared" si="42"/>
        <v>7</v>
      </c>
      <c r="AI137" s="227">
        <f t="shared" si="43"/>
        <v>1.9210704598520361</v>
      </c>
      <c r="AJ137" s="267" t="b">
        <f t="shared" si="44"/>
        <v>0</v>
      </c>
      <c r="AK137" s="267" t="b">
        <f t="shared" si="45"/>
        <v>0</v>
      </c>
      <c r="AL137" s="267"/>
      <c r="AM137" s="267"/>
      <c r="AN137" s="75"/>
    </row>
    <row r="138" spans="1:40" s="6" customFormat="1" ht="11.25" x14ac:dyDescent="0.2">
      <c r="A138" s="56">
        <f t="shared" si="46"/>
        <v>45781</v>
      </c>
      <c r="B138" s="413">
        <f>'2024'!Wh/'2024'!Env_an*'2025'!Env_an</f>
        <v>0.78495355087770857</v>
      </c>
      <c r="C138" s="868"/>
      <c r="D138" s="395">
        <f t="shared" si="25"/>
        <v>0.8313568948309723</v>
      </c>
      <c r="E138" s="387">
        <f t="shared" si="47"/>
        <v>0.91306064023875178</v>
      </c>
      <c r="F138" s="387">
        <f t="shared" si="26"/>
        <v>0.91306064023875178</v>
      </c>
      <c r="G138" s="110">
        <f t="shared" si="48"/>
        <v>1.4767442832822523E-2</v>
      </c>
      <c r="H138" s="416" t="b">
        <f>Wh_hp&gt;='2024'!Maxi_hp</f>
        <v>0</v>
      </c>
      <c r="I138" s="392">
        <f>IF(H138,Wh_hp,'2024'!Maxi_hp)</f>
        <v>56.648586728820725</v>
      </c>
      <c r="J138" s="85">
        <f>IF(H138,An,'2024'!An_max)</f>
        <v>2020</v>
      </c>
      <c r="K138" s="199">
        <f t="shared" si="27"/>
        <v>45781</v>
      </c>
      <c r="L138" s="147">
        <f>IF(t&lt;Tvie,1-EXP((T0-t)*PertePVj)+'2024'!Pspv,1-EXP((T0-t)*PertePVj)+Pspv)</f>
        <v>5.581639394799065E-2</v>
      </c>
      <c r="M138" s="872"/>
      <c r="N138" s="872"/>
      <c r="O138" s="48">
        <f>IF(t&lt;Tnet,'2024'!Resal+('2024'!Salim-'2024'!Resal)*(1-EXP(('2024'!Tnet-t)/('2024'!Tau_j))),Resal+(Salim-Resal)*(1-EXP((Tnet-t)/(Tau_j))))*Salcycl</f>
        <v>8.9483372524321231E-2</v>
      </c>
      <c r="P138" s="171">
        <f>(INDEX(Models!$BJ138:$BT138,,T138)*(1-R138)+INDEX(Models!$BJ138:$BT138,,T138+1)*R138-ERP_i)*Q138*Ramure*Pc/MaxiM</f>
        <v>3.1690070550491633E-5</v>
      </c>
      <c r="Q138" s="307">
        <f t="shared" si="28"/>
        <v>0.9</v>
      </c>
      <c r="R138" s="179">
        <f t="shared" si="29"/>
        <v>0.28960097682786357</v>
      </c>
      <c r="S138" s="839">
        <f t="shared" si="30"/>
        <v>-3</v>
      </c>
      <c r="T138" s="178">
        <f t="shared" si="31"/>
        <v>3</v>
      </c>
      <c r="U138" s="253">
        <f t="shared" si="32"/>
        <v>-2.7103990231721364</v>
      </c>
      <c r="V138" s="385">
        <f t="shared" si="33"/>
        <v>53.152646976882032</v>
      </c>
      <c r="W138" s="404">
        <f t="shared" si="34"/>
        <v>0.78495355087770857</v>
      </c>
      <c r="X138" s="157">
        <f t="shared" si="35"/>
        <v>45781</v>
      </c>
      <c r="Y138" s="387">
        <f t="shared" si="36"/>
        <v>0.73187428247808561</v>
      </c>
      <c r="Z138" s="387">
        <f t="shared" si="37"/>
        <v>0.77513979038285807</v>
      </c>
      <c r="AA138" s="388">
        <f t="shared" si="38"/>
        <v>0.91306064023875178</v>
      </c>
      <c r="AB138" s="199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0.15105332962313375</v>
      </c>
      <c r="AD138" s="233">
        <f>(INDEX(Models!$BJ138:$BT138,,AH138)*(1-AF138)+INDEX(Models!$BJ138:$BT138,,AH138+1)*AF138-ERP_i)*AE138*Ramure*Pc/MaxiM</f>
        <v>5.628799396928741E-3</v>
      </c>
      <c r="AE138" s="307">
        <f t="shared" si="40"/>
        <v>0.9</v>
      </c>
      <c r="AF138" s="179">
        <f t="shared" si="41"/>
        <v>0.92525662913484275</v>
      </c>
      <c r="AG138" s="839">
        <f t="shared" si="49"/>
        <v>1</v>
      </c>
      <c r="AH138" s="178">
        <f t="shared" si="42"/>
        <v>7</v>
      </c>
      <c r="AI138" s="227">
        <f t="shared" si="43"/>
        <v>1.9252566291348427</v>
      </c>
      <c r="AJ138" s="267" t="b">
        <f t="shared" si="44"/>
        <v>0</v>
      </c>
      <c r="AK138" s="267" t="b">
        <f t="shared" si="45"/>
        <v>0</v>
      </c>
      <c r="AL138" s="267"/>
      <c r="AM138" s="267"/>
      <c r="AN138" s="75"/>
    </row>
    <row r="139" spans="1:40" s="6" customFormat="1" ht="11.25" x14ac:dyDescent="0.2">
      <c r="A139" s="56">
        <f t="shared" si="46"/>
        <v>45782</v>
      </c>
      <c r="B139" s="413">
        <f>'2024'!Wh/'2024'!Env_an*'2025'!Env_an</f>
        <v>36.06821275727998</v>
      </c>
      <c r="C139" s="868"/>
      <c r="D139" s="395">
        <f t="shared" si="25"/>
        <v>38.201311594081915</v>
      </c>
      <c r="E139" s="387">
        <f t="shared" si="47"/>
        <v>41.965685847558525</v>
      </c>
      <c r="F139" s="387">
        <f t="shared" si="26"/>
        <v>41.966375192984088</v>
      </c>
      <c r="G139" s="110">
        <f t="shared" si="48"/>
        <v>0.67680868275404571</v>
      </c>
      <c r="H139" s="416" t="b">
        <f>Wh_hp&gt;='2024'!Maxi_hp</f>
        <v>0</v>
      </c>
      <c r="I139" s="392">
        <f>IF(H139,Wh_hp,'2024'!Maxi_hp)</f>
        <v>58.989313810464012</v>
      </c>
      <c r="J139" s="85">
        <f>IF(H139,An,'2024'!An_max)</f>
        <v>2020</v>
      </c>
      <c r="K139" s="199">
        <f t="shared" si="27"/>
        <v>45782</v>
      </c>
      <c r="L139" s="147">
        <f>IF(t&lt;Tvie,1-EXP((T0-t)*PertePVj)+'2024'!Pspv,1-EXP((T0-t)*PertePVj)+Pspv)</f>
        <v>5.5838366479866952E-2</v>
      </c>
      <c r="M139" s="872"/>
      <c r="N139" s="872"/>
      <c r="O139" s="48">
        <f>IF(t&lt;Tnet,'2024'!Resal+('2024'!Salim-'2024'!Resal)*(1-EXP(('2024'!Tnet-t)/('2024'!Tau_j))),Resal+(Salim-Resal)*(1-EXP((Tnet-t)/(Tau_j))))*Salcycl</f>
        <v>8.9701244658571724E-2</v>
      </c>
      <c r="P139" s="171">
        <f>(INDEX(Models!$BJ139:$BT139,,T139)*(1-R139)+INDEX(Models!$BJ139:$BT139,,T139+1)*R139-ERP_i)*Q139*Ramure*Pc/MaxiM</f>
        <v>3.0514171837823033E-5</v>
      </c>
      <c r="Q139" s="307">
        <f t="shared" si="28"/>
        <v>0.9</v>
      </c>
      <c r="R139" s="179">
        <f t="shared" si="29"/>
        <v>0.29389891812107072</v>
      </c>
      <c r="S139" s="839">
        <f t="shared" si="30"/>
        <v>-3</v>
      </c>
      <c r="T139" s="178">
        <f t="shared" si="31"/>
        <v>3</v>
      </c>
      <c r="U139" s="253">
        <f t="shared" si="32"/>
        <v>-2.7061010818789293</v>
      </c>
      <c r="V139" s="385">
        <f t="shared" si="33"/>
        <v>53.290842061788538</v>
      </c>
      <c r="W139" s="404">
        <f t="shared" si="34"/>
        <v>36.06821275727998</v>
      </c>
      <c r="X139" s="157">
        <f t="shared" si="35"/>
        <v>45782</v>
      </c>
      <c r="Y139" s="387">
        <f t="shared" si="36"/>
        <v>33.533754627206292</v>
      </c>
      <c r="Z139" s="387">
        <f t="shared" si="37"/>
        <v>35.516963872151692</v>
      </c>
      <c r="AA139" s="388">
        <f t="shared" si="38"/>
        <v>41.846306023312067</v>
      </c>
      <c r="AB139" s="199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0.15125211165913605</v>
      </c>
      <c r="AD139" s="233">
        <f>(INDEX(Models!$BJ139:$BT139,,AH139)*(1-AF139)+INDEX(Models!$BJ139:$BT139,,AH139+1)*AF139-ERP_i)*AE139*Ramure*Pc/MaxiM</f>
        <v>5.3149134525742082E-3</v>
      </c>
      <c r="AE139" s="307">
        <f t="shared" si="40"/>
        <v>0.9</v>
      </c>
      <c r="AF139" s="179">
        <f t="shared" si="41"/>
        <v>0.92955457042804968</v>
      </c>
      <c r="AG139" s="839">
        <f t="shared" si="49"/>
        <v>1</v>
      </c>
      <c r="AH139" s="178">
        <f t="shared" si="42"/>
        <v>7</v>
      </c>
      <c r="AI139" s="227">
        <f t="shared" si="43"/>
        <v>1.9295545704280497</v>
      </c>
      <c r="AJ139" s="267" t="b">
        <f t="shared" si="44"/>
        <v>0</v>
      </c>
      <c r="AK139" s="267" t="b">
        <f t="shared" si="45"/>
        <v>0</v>
      </c>
      <c r="AL139" s="267"/>
      <c r="AM139" s="267"/>
      <c r="AN139" s="75"/>
    </row>
    <row r="140" spans="1:40" s="6" customFormat="1" ht="11.25" x14ac:dyDescent="0.2">
      <c r="A140" s="56">
        <f t="shared" si="46"/>
        <v>45783</v>
      </c>
      <c r="B140" s="413">
        <f>'2024'!Wh/'2024'!Env_an*'2025'!Env_an</f>
        <v>33.429583623236994</v>
      </c>
      <c r="C140" s="868"/>
      <c r="D140" s="395">
        <f t="shared" si="25"/>
        <v>35.407456106801341</v>
      </c>
      <c r="E140" s="387">
        <f t="shared" si="47"/>
        <v>38.905902967359715</v>
      </c>
      <c r="F140" s="387">
        <f t="shared" si="26"/>
        <v>38.906433601623618</v>
      </c>
      <c r="G140" s="110">
        <f t="shared" si="48"/>
        <v>0.62575676185695983</v>
      </c>
      <c r="H140" s="416" t="b">
        <f>Wh_hp&gt;='2024'!Maxi_hp</f>
        <v>0</v>
      </c>
      <c r="I140" s="392">
        <f>IF(H140,Wh_hp,'2024'!Maxi_hp)</f>
        <v>64.322746160656237</v>
      </c>
      <c r="J140" s="85">
        <f>IF(H140,An,'2024'!An_max)</f>
        <v>2019</v>
      </c>
      <c r="K140" s="199">
        <f t="shared" si="27"/>
        <v>45783</v>
      </c>
      <c r="L140" s="147">
        <f>IF(t&lt;Tvie,1-EXP((T0-t)*PertePVj)+'2024'!Pspv,1-EXP((T0-t)*PertePVj)+Pspv)</f>
        <v>5.5860338500410389E-2</v>
      </c>
      <c r="M140" s="872"/>
      <c r="N140" s="872"/>
      <c r="O140" s="48">
        <f>IF(t&lt;Tnet,'2024'!Resal+('2024'!Salim-'2024'!Resal)*(1-EXP(('2024'!Tnet-t)/('2024'!Tau_j))),Resal+(Salim-Resal)*(1-EXP((Tnet-t)/(Tau_j))))*Salcycl</f>
        <v>8.9920721374682266E-2</v>
      </c>
      <c r="P140" s="171">
        <f>(INDEX(Models!$BJ140:$BT140,,T140)*(1-R140)+INDEX(Models!$BJ140:$BT140,,T140+1)*R140-ERP_i)*Q140*Ramure*Pc/MaxiM</f>
        <v>2.9306597294616999E-5</v>
      </c>
      <c r="Q140" s="307">
        <f t="shared" si="28"/>
        <v>0.9</v>
      </c>
      <c r="R140" s="179">
        <f t="shared" si="29"/>
        <v>0.29830939322694849</v>
      </c>
      <c r="S140" s="839">
        <f t="shared" si="30"/>
        <v>-3</v>
      </c>
      <c r="T140" s="178">
        <f t="shared" si="31"/>
        <v>3</v>
      </c>
      <c r="U140" s="253">
        <f t="shared" si="32"/>
        <v>-2.7016906067730515</v>
      </c>
      <c r="V140" s="385">
        <f t="shared" si="33"/>
        <v>53.421811610222413</v>
      </c>
      <c r="W140" s="404">
        <f t="shared" si="34"/>
        <v>33.429583623236994</v>
      </c>
      <c r="X140" s="157">
        <f t="shared" si="35"/>
        <v>45783</v>
      </c>
      <c r="Y140" s="387">
        <f t="shared" si="36"/>
        <v>31.097150732845879</v>
      </c>
      <c r="Z140" s="387">
        <f t="shared" si="37"/>
        <v>32.937024045207316</v>
      </c>
      <c r="AA140" s="388">
        <f t="shared" si="38"/>
        <v>38.815815843296967</v>
      </c>
      <c r="AB140" s="199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0.15145351631466097</v>
      </c>
      <c r="AD140" s="233">
        <f>(INDEX(Models!$BJ140:$BT140,,AH140)*(1-AF140)+INDEX(Models!$BJ140:$BT140,,AH140+1)*AF140-ERP_i)*AE140*Ramure*Pc/MaxiM</f>
        <v>5.0047619079188789E-3</v>
      </c>
      <c r="AE140" s="307">
        <f t="shared" si="40"/>
        <v>0.9</v>
      </c>
      <c r="AF140" s="179">
        <f t="shared" si="41"/>
        <v>0.93396504553392767</v>
      </c>
      <c r="AG140" s="839">
        <f t="shared" si="49"/>
        <v>1</v>
      </c>
      <c r="AH140" s="178">
        <f t="shared" si="42"/>
        <v>7</v>
      </c>
      <c r="AI140" s="227">
        <f t="shared" si="43"/>
        <v>1.9339650455339277</v>
      </c>
      <c r="AJ140" s="267" t="b">
        <f t="shared" si="44"/>
        <v>0</v>
      </c>
      <c r="AK140" s="267" t="b">
        <f t="shared" si="45"/>
        <v>0</v>
      </c>
      <c r="AL140" s="267"/>
      <c r="AM140" s="267"/>
      <c r="AN140" s="75"/>
    </row>
    <row r="141" spans="1:40" s="6" customFormat="1" ht="11.25" x14ac:dyDescent="0.2">
      <c r="A141" s="56">
        <f t="shared" si="46"/>
        <v>45784</v>
      </c>
      <c r="B141" s="413">
        <f>'2024'!Wh/'2024'!Env_an*'2025'!Env_an</f>
        <v>45.916340425719419</v>
      </c>
      <c r="C141" s="868"/>
      <c r="D141" s="395">
        <f t="shared" si="25"/>
        <v>48.63412783441003</v>
      </c>
      <c r="E141" s="387">
        <f t="shared" si="47"/>
        <v>53.452423792432086</v>
      </c>
      <c r="F141" s="387">
        <f t="shared" si="26"/>
        <v>53.453619235358254</v>
      </c>
      <c r="G141" s="110">
        <f t="shared" si="48"/>
        <v>0.85750800876621891</v>
      </c>
      <c r="H141" s="416" t="b">
        <f>Wh_hp&gt;='2024'!Maxi_hp</f>
        <v>0</v>
      </c>
      <c r="I141" s="392">
        <f>IF(H141,Wh_hp,'2024'!Maxi_hp)</f>
        <v>59.596399989587596</v>
      </c>
      <c r="J141" s="85">
        <f>IF(H141,An,'2024'!An_max)</f>
        <v>2020</v>
      </c>
      <c r="K141" s="199">
        <f t="shared" si="27"/>
        <v>45784</v>
      </c>
      <c r="L141" s="147">
        <f>IF(t&lt;Tvie,1-EXP((T0-t)*PertePVj)+'2024'!Pspv,1-EXP((T0-t)*PertePVj)+Pspv)</f>
        <v>5.588231000963273E-2</v>
      </c>
      <c r="M141" s="872"/>
      <c r="N141" s="872"/>
      <c r="O141" s="48">
        <f>IF(t&lt;Tnet,'2024'!Resal+('2024'!Salim-'2024'!Resal)*(1-EXP(('2024'!Tnet-t)/('2024'!Tau_j))),Resal+(Salim-Resal)*(1-EXP((Tnet-t)/(Tau_j))))*Salcycl</f>
        <v>9.0141767503988113E-2</v>
      </c>
      <c r="P141" s="171">
        <f>(INDEX(Models!$BJ141:$BT141,,T141)*(1-R141)+INDEX(Models!$BJ141:$BT141,,T141+1)*R141-ERP_i)*Q141*Ramure*Pc/MaxiM</f>
        <v>2.8079853787862837E-5</v>
      </c>
      <c r="Q141" s="307">
        <f t="shared" si="28"/>
        <v>0.9</v>
      </c>
      <c r="R141" s="179">
        <f t="shared" si="29"/>
        <v>0.30283300939416202</v>
      </c>
      <c r="S141" s="839">
        <f t="shared" si="30"/>
        <v>-3</v>
      </c>
      <c r="T141" s="178">
        <f t="shared" si="31"/>
        <v>3</v>
      </c>
      <c r="U141" s="253">
        <f t="shared" si="32"/>
        <v>-2.697166990605838</v>
      </c>
      <c r="V141" s="385">
        <f t="shared" si="33"/>
        <v>53.545946515577072</v>
      </c>
      <c r="W141" s="404">
        <f t="shared" si="34"/>
        <v>45.916340425719419</v>
      </c>
      <c r="X141" s="157">
        <f t="shared" si="35"/>
        <v>45784</v>
      </c>
      <c r="Y141" s="387">
        <f t="shared" si="36"/>
        <v>42.652688571475245</v>
      </c>
      <c r="Z141" s="387">
        <f t="shared" si="37"/>
        <v>45.177300482432891</v>
      </c>
      <c r="AA141" s="388">
        <f t="shared" si="38"/>
        <v>53.253608309474842</v>
      </c>
      <c r="AB141" s="199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0.15165747605510185</v>
      </c>
      <c r="AD141" s="233">
        <f>(INDEX(Models!$BJ141:$BT141,,AH141)*(1-AF141)+INDEX(Models!$BJ141:$BT141,,AH141+1)*AF141-ERP_i)*AE141*Ramure*Pc/MaxiM</f>
        <v>4.6980725150943025E-3</v>
      </c>
      <c r="AE141" s="307">
        <f t="shared" si="40"/>
        <v>0.9</v>
      </c>
      <c r="AF141" s="179">
        <f t="shared" si="41"/>
        <v>0.93848866170114076</v>
      </c>
      <c r="AG141" s="839">
        <f t="shared" si="49"/>
        <v>1</v>
      </c>
      <c r="AH141" s="178">
        <f t="shared" si="42"/>
        <v>7</v>
      </c>
      <c r="AI141" s="227">
        <f t="shared" si="43"/>
        <v>1.9384886617011408</v>
      </c>
      <c r="AJ141" s="267" t="b">
        <f t="shared" si="44"/>
        <v>0</v>
      </c>
      <c r="AK141" s="267" t="b">
        <f t="shared" si="45"/>
        <v>0</v>
      </c>
      <c r="AL141" s="267"/>
      <c r="AM141" s="267"/>
      <c r="AN141" s="75"/>
    </row>
    <row r="142" spans="1:40" s="6" customFormat="1" ht="11.25" x14ac:dyDescent="0.2">
      <c r="A142" s="56">
        <f t="shared" si="46"/>
        <v>45785</v>
      </c>
      <c r="B142" s="413">
        <f>'2024'!Wh/'2024'!Env_an*'2025'!Env_an</f>
        <v>46.701882574599125</v>
      </c>
      <c r="C142" s="868"/>
      <c r="D142" s="395">
        <f t="shared" si="25"/>
        <v>49.467317386461325</v>
      </c>
      <c r="E142" s="387">
        <f t="shared" si="47"/>
        <v>54.381462547149702</v>
      </c>
      <c r="F142" s="387">
        <f t="shared" si="26"/>
        <v>54.382653927243936</v>
      </c>
      <c r="G142" s="110">
        <f t="shared" si="48"/>
        <v>0.87026623588238183</v>
      </c>
      <c r="H142" s="416" t="b">
        <f>Wh_hp&gt;='2024'!Maxi_hp</f>
        <v>0</v>
      </c>
      <c r="I142" s="392">
        <f>IF(H142,Wh_hp,'2024'!Maxi_hp)</f>
        <v>57.502129764921655</v>
      </c>
      <c r="J142" s="85">
        <f>IF(H142,An,'2024'!An_max)</f>
        <v>2021</v>
      </c>
      <c r="K142" s="199">
        <f t="shared" si="27"/>
        <v>45785</v>
      </c>
      <c r="L142" s="147">
        <f>IF(t&lt;Tvie,1-EXP((T0-t)*PertePVj)+'2024'!Pspv,1-EXP((T0-t)*PertePVj)+Pspv)</f>
        <v>5.5904281007545964E-2</v>
      </c>
      <c r="M142" s="872"/>
      <c r="N142" s="872"/>
      <c r="O142" s="48">
        <f>IF(t&lt;Tnet,'2024'!Resal+('2024'!Salim-'2024'!Resal)*(1-EXP(('2024'!Tnet-t)/('2024'!Tau_j))),Resal+(Salim-Resal)*(1-EXP((Tnet-t)/(Tau_j))))*Salcycl</f>
        <v>9.0364343482445542E-2</v>
      </c>
      <c r="P142" s="171">
        <f>(INDEX(Models!$BJ142:$BT142,,T142)*(1-R142)+INDEX(Models!$BJ142:$BT142,,T142+1)*R142-ERP_i)*Q142*Ramure*Pc/MaxiM</f>
        <v>2.6891004164094966E-5</v>
      </c>
      <c r="Q142" s="307">
        <f t="shared" si="28"/>
        <v>0.9</v>
      </c>
      <c r="R142" s="179">
        <f t="shared" si="29"/>
        <v>0.30747020951154802</v>
      </c>
      <c r="S142" s="839">
        <f t="shared" si="30"/>
        <v>-3</v>
      </c>
      <c r="T142" s="178">
        <f t="shared" si="31"/>
        <v>3</v>
      </c>
      <c r="U142" s="253">
        <f t="shared" si="32"/>
        <v>-2.692529790488452</v>
      </c>
      <c r="V142" s="385">
        <f t="shared" si="33"/>
        <v>53.663635216573333</v>
      </c>
      <c r="W142" s="404">
        <f t="shared" si="34"/>
        <v>46.701882574599125</v>
      </c>
      <c r="X142" s="157">
        <f t="shared" si="35"/>
        <v>45785</v>
      </c>
      <c r="Y142" s="387">
        <f t="shared" si="36"/>
        <v>43.38915938009616</v>
      </c>
      <c r="Z142" s="387">
        <f t="shared" si="37"/>
        <v>45.958432505552928</v>
      </c>
      <c r="AA142" s="388">
        <f t="shared" si="38"/>
        <v>54.187568939072712</v>
      </c>
      <c r="AB142" s="199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0.15186391629365106</v>
      </c>
      <c r="AD142" s="233">
        <f>(INDEX(Models!$BJ142:$BT142,,AH142)*(1-AF142)+INDEX(Models!$BJ142:$BT142,,AH142+1)*AF142-ERP_i)*AE142*Ramure*Pc/MaxiM</f>
        <v>4.4033228813052348E-3</v>
      </c>
      <c r="AE142" s="307">
        <f t="shared" si="40"/>
        <v>0.9</v>
      </c>
      <c r="AF142" s="179">
        <f t="shared" si="41"/>
        <v>0.94312586181852698</v>
      </c>
      <c r="AG142" s="839">
        <f t="shared" si="49"/>
        <v>1</v>
      </c>
      <c r="AH142" s="178">
        <f t="shared" si="42"/>
        <v>7</v>
      </c>
      <c r="AI142" s="227">
        <f t="shared" si="43"/>
        <v>1.943125861818527</v>
      </c>
      <c r="AJ142" s="267" t="b">
        <f t="shared" si="44"/>
        <v>0</v>
      </c>
      <c r="AK142" s="267" t="b">
        <f t="shared" si="45"/>
        <v>0</v>
      </c>
      <c r="AL142" s="267"/>
      <c r="AM142" s="267"/>
      <c r="AN142" s="75"/>
    </row>
    <row r="143" spans="1:40" s="6" customFormat="1" ht="11.25" x14ac:dyDescent="0.2">
      <c r="A143" s="56">
        <f t="shared" si="46"/>
        <v>45786</v>
      </c>
      <c r="B143" s="413">
        <f>'2024'!Wh/'2024'!Env_an*'2025'!Env_an</f>
        <v>51.849704333524684</v>
      </c>
      <c r="C143" s="868"/>
      <c r="D143" s="395">
        <f t="shared" ref="D143:D206" si="50">Wh/(1-Ppv)</f>
        <v>54.921243616386874</v>
      </c>
      <c r="E143" s="387">
        <f t="shared" si="47"/>
        <v>60.392064424682822</v>
      </c>
      <c r="F143" s="387">
        <f t="shared" ref="F143:F206" si="51">Wh_sa/(1-Pvg*MEDIAN((-Sdif+Wh/Env_an)/Csdif,0,1))</f>
        <v>60.393537504802865</v>
      </c>
      <c r="G143" s="110">
        <f t="shared" si="48"/>
        <v>0.96419107213774957</v>
      </c>
      <c r="H143" s="416" t="b">
        <f>Wh_hp&gt;='2024'!Maxi_hp</f>
        <v>1</v>
      </c>
      <c r="I143" s="392">
        <f>IF(H143,Wh_hp,'2024'!Maxi_hp)</f>
        <v>60.393537504802865</v>
      </c>
      <c r="J143" s="85">
        <f>IF(H143,An,'2024'!An_max)</f>
        <v>2025</v>
      </c>
      <c r="K143" s="199">
        <f t="shared" ref="K143:K206" si="52">t</f>
        <v>45786</v>
      </c>
      <c r="L143" s="147">
        <f>IF(t&lt;Tvie,1-EXP((T0-t)*PertePVj)+'2024'!Pspv,1-EXP((T0-t)*PertePVj)+Pspv)</f>
        <v>5.5926251494161972E-2</v>
      </c>
      <c r="M143" s="872"/>
      <c r="N143" s="872"/>
      <c r="O143" s="48">
        <f>IF(t&lt;Tnet,'2024'!Resal+('2024'!Salim-'2024'!Resal)*(1-EXP(('2024'!Tnet-t)/('2024'!Tau_j))),Resal+(Salim-Resal)*(1-EXP((Tnet-t)/(Tau_j))))*Salcycl</f>
        <v>9.0588405288228077E-2</v>
      </c>
      <c r="P143" s="171">
        <f>(INDEX(Models!$BJ143:$BT143,,T143)*(1-R143)+INDEX(Models!$BJ143:$BT143,,T143+1)*R143-ERP_i)*Q143*Ramure*Pc/MaxiM</f>
        <v>2.5706329918234118E-5</v>
      </c>
      <c r="Q143" s="307">
        <f t="shared" ref="Q143:Q206" si="53">IF(OR(t&lt;Ttai,Notai),Dd+PousD*Croivg,Dens+PousD*(Croivg-Croi_tai))</f>
        <v>0.9</v>
      </c>
      <c r="R143" s="179">
        <f t="shared" ref="R143:R206" si="54">(Hp_vg-S143)/(INDEX(Echel_vg,T143+1)-S143)</f>
        <v>0.31222126241583137</v>
      </c>
      <c r="S143" s="839">
        <f t="shared" ref="S143:S206" si="55">INDEX(Echel_vg,T143)</f>
        <v>-3</v>
      </c>
      <c r="T143" s="178">
        <f t="shared" ref="T143:T206" si="56">MIN(MATCH(Hp_vg,Echel_vg),10)</f>
        <v>3</v>
      </c>
      <c r="U143" s="253">
        <f t="shared" ref="U143:U206" si="57">IF(OR(t&lt;Ttai,Notai),Hdd+PousH*Croivg,Hdtf+PousH*(Croivg-Croi_tai))</f>
        <v>-2.6877787375841686</v>
      </c>
      <c r="V143" s="385">
        <f t="shared" ref="V143:V206" si="58">MaxiM*(1-Ppv)*(1-Pvg)*(1-Psa)</f>
        <v>53.775270948903348</v>
      </c>
      <c r="W143" s="404">
        <f t="shared" ref="W143:W206" si="59">Wh*(A143&gt;Tmaj)</f>
        <v>51.849704333524684</v>
      </c>
      <c r="X143" s="157">
        <f t="shared" ref="X143:X206" si="60">t</f>
        <v>45786</v>
      </c>
      <c r="Y143" s="387">
        <f t="shared" ref="Y143:Y206" si="61">Wh_pvt_s*(1-Ppv)</f>
        <v>48.156332079203565</v>
      </c>
      <c r="Z143" s="387">
        <f t="shared" ref="Z143:Z206" si="62">Wh_sa_s*(1-Psa_s)</f>
        <v>51.00907863969249</v>
      </c>
      <c r="AA143" s="388">
        <f t="shared" ref="AA143:AA206" si="63">Wh_hp*(1-Pvg_s*MEDIAN((-Sdif+Wh/Env_an)/Csdif,0,1))</f>
        <v>60.157376661673382</v>
      </c>
      <c r="AB143" s="199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0.15207275532360992</v>
      </c>
      <c r="AD143" s="233">
        <f>(INDEX(Models!$BJ143:$BT143,,AH143)*(1-AF143)+INDEX(Models!$BJ143:$BT143,,AH143+1)*AF143-ERP_i)*AE143*Ramure*Pc/MaxiM</f>
        <v>4.1211801480860281E-3</v>
      </c>
      <c r="AE143" s="307">
        <f t="shared" ref="AE143:AE206" si="65">IF(OR(t&lt;Ttai,Notai),Dd_s+PousD*Croivg,Dens_s+PousD*(Croivg-Croi_tai))</f>
        <v>0.9</v>
      </c>
      <c r="AF143" s="179">
        <f t="shared" ref="AF143:AF206" si="66">(Hp_vg_s-AG143)/(INDEX(Echel_vg,AH143+1)-AG143)</f>
        <v>0.94787691472281055</v>
      </c>
      <c r="AG143" s="839">
        <f t="shared" si="49"/>
        <v>1</v>
      </c>
      <c r="AH143" s="178">
        <f t="shared" ref="AH143:AH206" si="67">MIN(MATCH(Hp_vg_s,Echel_vg),10)</f>
        <v>7</v>
      </c>
      <c r="AI143" s="227">
        <f t="shared" ref="AI143:AI206" si="68">IF(OR(t&lt;Ttai,Notai),Hdd_s+PousH*Croivg,Hdtai_s+PousH*(Croivg-Croi_tai))</f>
        <v>1.9478769147228105</v>
      </c>
      <c r="AJ143" s="267" t="b">
        <f t="shared" ref="AJ143:AJ206" si="69">t&lt;Tnet</f>
        <v>0</v>
      </c>
      <c r="AK143" s="267" t="b">
        <f t="shared" ref="AK143:AK206" si="70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71">A143+1</f>
        <v>45787</v>
      </c>
      <c r="B144" s="413">
        <f>'2024'!Wh/'2024'!Env_an*'2025'!Env_an</f>
        <v>47.591037217883347</v>
      </c>
      <c r="C144" s="868"/>
      <c r="D144" s="395">
        <f t="shared" si="50"/>
        <v>50.411469264919596</v>
      </c>
      <c r="E144" s="387">
        <f t="shared" ref="E144:E169" si="72">Wh_pvt/(1-Psa)</f>
        <v>55.446810623931974</v>
      </c>
      <c r="F144" s="387">
        <f t="shared" si="51"/>
        <v>55.447944396329738</v>
      </c>
      <c r="G144" s="110">
        <f t="shared" ref="G144:G169" si="73">+Wh_hp/MaxiM</f>
        <v>0.88325433176100498</v>
      </c>
      <c r="H144" s="416" t="b">
        <f>Wh_hp&gt;='2024'!Maxi_hp</f>
        <v>1</v>
      </c>
      <c r="I144" s="392">
        <f>IF(H144,Wh_hp,'2024'!Maxi_hp)</f>
        <v>55.447944396329738</v>
      </c>
      <c r="J144" s="85">
        <f>IF(H144,An,'2024'!An_max)</f>
        <v>2025</v>
      </c>
      <c r="K144" s="199">
        <f t="shared" si="52"/>
        <v>45787</v>
      </c>
      <c r="L144" s="147">
        <f>IF(t&lt;Tvie,1-EXP((T0-t)*PertePVj)+'2024'!Pspv,1-EXP((T0-t)*PertePVj)+Pspv)</f>
        <v>5.5948221469492743E-2</v>
      </c>
      <c r="M144" s="872"/>
      <c r="N144" s="872"/>
      <c r="O144" s="48">
        <f>IF(t&lt;Tnet,'2024'!Resal+('2024'!Salim-'2024'!Resal)*(1-EXP(('2024'!Tnet-t)/('2024'!Tau_j))),Resal+(Salim-Resal)*(1-EXP((Tnet-t)/(Tau_j))))*Salcycl</f>
        <v>9.0813904395053213E-2</v>
      </c>
      <c r="P144" s="171">
        <f>(INDEX(Models!$BJ144:$BT144,,T144)*(1-R144)+INDEX(Models!$BJ144:$BT144,,T144+1)*R144-ERP_i)*Q144*Ramure*Pc/MaxiM</f>
        <v>2.4540183436112422E-5</v>
      </c>
      <c r="Q144" s="307">
        <f t="shared" si="53"/>
        <v>0.9</v>
      </c>
      <c r="R144" s="179">
        <f t="shared" si="54"/>
        <v>0.31708625338123708</v>
      </c>
      <c r="S144" s="839">
        <f t="shared" si="55"/>
        <v>-3</v>
      </c>
      <c r="T144" s="178">
        <f t="shared" si="56"/>
        <v>3</v>
      </c>
      <c r="U144" s="253">
        <f t="shared" si="57"/>
        <v>-2.6829137466187629</v>
      </c>
      <c r="V144" s="385">
        <f t="shared" si="58"/>
        <v>53.881244312090558</v>
      </c>
      <c r="W144" s="404">
        <f t="shared" si="59"/>
        <v>47.591037217883347</v>
      </c>
      <c r="X144" s="157">
        <f t="shared" si="60"/>
        <v>45787</v>
      </c>
      <c r="Y144" s="387">
        <f t="shared" si="61"/>
        <v>44.231916428109798</v>
      </c>
      <c r="Z144" s="387">
        <f t="shared" si="62"/>
        <v>46.853273765301672</v>
      </c>
      <c r="AA144" s="388">
        <f t="shared" si="63"/>
        <v>55.270006080699829</v>
      </c>
      <c r="AB144" s="199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0.15228390427728333</v>
      </c>
      <c r="AD144" s="233">
        <f>(INDEX(Models!$BJ144:$BT144,,AH144)*(1-AF144)+INDEX(Models!$BJ144:$BT144,,AH144+1)*AF144-ERP_i)*AE144*Ramure*Pc/MaxiM</f>
        <v>3.8514246020281535E-3</v>
      </c>
      <c r="AE144" s="307">
        <f t="shared" si="65"/>
        <v>0.9</v>
      </c>
      <c r="AF144" s="179">
        <f t="shared" si="66"/>
        <v>0.95274190568821604</v>
      </c>
      <c r="AG144" s="839">
        <f t="shared" ref="AG144:AG207" si="74">INDEX(Echel_vg,AH144)</f>
        <v>1</v>
      </c>
      <c r="AH144" s="178">
        <f t="shared" si="67"/>
        <v>7</v>
      </c>
      <c r="AI144" s="227">
        <f t="shared" si="68"/>
        <v>1.952741905688216</v>
      </c>
      <c r="AJ144" s="267" t="b">
        <f t="shared" si="69"/>
        <v>0</v>
      </c>
      <c r="AK144" s="267" t="b">
        <f t="shared" si="70"/>
        <v>0</v>
      </c>
      <c r="AL144" s="267"/>
      <c r="AM144" s="267"/>
      <c r="AN144" s="75"/>
    </row>
    <row r="145" spans="1:40" s="6" customFormat="1" ht="11.25" x14ac:dyDescent="0.2">
      <c r="A145" s="56">
        <f t="shared" si="71"/>
        <v>45788</v>
      </c>
      <c r="B145" s="413">
        <f>'2024'!Wh/'2024'!Env_an*'2025'!Env_an</f>
        <v>52.148365063500663</v>
      </c>
      <c r="C145" s="868"/>
      <c r="D145" s="395">
        <f t="shared" si="50"/>
        <v>55.24016780261433</v>
      </c>
      <c r="E145" s="387">
        <f t="shared" si="72"/>
        <v>60.772988554054884</v>
      </c>
      <c r="F145" s="387">
        <f t="shared" si="51"/>
        <v>60.774342119128853</v>
      </c>
      <c r="G145" s="110">
        <f t="shared" si="73"/>
        <v>0.96603234791728598</v>
      </c>
      <c r="H145" s="416" t="b">
        <f>Wh_hp&gt;='2024'!Maxi_hp</f>
        <v>1</v>
      </c>
      <c r="I145" s="392">
        <f>IF(H145,Wh_hp,'2024'!Maxi_hp)</f>
        <v>60.774342119128853</v>
      </c>
      <c r="J145" s="85">
        <f>IF(H145,An,'2024'!An_max)</f>
        <v>2025</v>
      </c>
      <c r="K145" s="199">
        <f t="shared" si="52"/>
        <v>45788</v>
      </c>
      <c r="L145" s="147">
        <f>IF(t&lt;Tvie,1-EXP((T0-t)*PertePVj)+'2024'!Pspv,1-EXP((T0-t)*PertePVj)+Pspv)</f>
        <v>5.5970190933550046E-2</v>
      </c>
      <c r="M145" s="872"/>
      <c r="N145" s="872"/>
      <c r="O145" s="48">
        <f>IF(t&lt;Tnet,'2024'!Resal+('2024'!Salim-'2024'!Resal)*(1-EXP(('2024'!Tnet-t)/('2024'!Tau_j))),Resal+(Salim-Resal)*(1-EXP((Tnet-t)/(Tau_j))))*Salcycl</f>
        <v>9.1040787742721466E-2</v>
      </c>
      <c r="P145" s="171">
        <f>(INDEX(Models!$BJ145:$BT145,,T145)*(1-R145)+INDEX(Models!$BJ145:$BT145,,T145+1)*R145-ERP_i)*Q145*Ramure*Pc/MaxiM</f>
        <v>2.3407814946075275E-5</v>
      </c>
      <c r="Q145" s="307">
        <f t="shared" si="53"/>
        <v>0.9</v>
      </c>
      <c r="R145" s="179">
        <f t="shared" si="54"/>
        <v>0.32206507486294722</v>
      </c>
      <c r="S145" s="839">
        <f t="shared" si="55"/>
        <v>-3</v>
      </c>
      <c r="T145" s="178">
        <f t="shared" si="56"/>
        <v>3</v>
      </c>
      <c r="U145" s="253">
        <f t="shared" si="57"/>
        <v>-2.6779349251370528</v>
      </c>
      <c r="V145" s="385">
        <f t="shared" si="58"/>
        <v>53.981945783489145</v>
      </c>
      <c r="W145" s="404">
        <f t="shared" si="59"/>
        <v>52.148365063500663</v>
      </c>
      <c r="X145" s="157">
        <f t="shared" si="60"/>
        <v>45788</v>
      </c>
      <c r="Y145" s="387">
        <f t="shared" si="61"/>
        <v>48.45732998946756</v>
      </c>
      <c r="Z145" s="387">
        <f t="shared" si="62"/>
        <v>51.33029648437369</v>
      </c>
      <c r="AA145" s="388">
        <f t="shared" si="63"/>
        <v>60.566526209965936</v>
      </c>
      <c r="AB145" s="199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0.15249726711373571</v>
      </c>
      <c r="AD145" s="233">
        <f>(INDEX(Models!$BJ145:$BT145,,AH145)*(1-AF145)+INDEX(Models!$BJ145:$BT145,,AH145+1)*AF145-ERP_i)*AE145*Ramure*Pc/MaxiM</f>
        <v>3.5938548046862751E-3</v>
      </c>
      <c r="AE145" s="307">
        <f t="shared" si="65"/>
        <v>0.9</v>
      </c>
      <c r="AF145" s="179">
        <f t="shared" si="66"/>
        <v>0.95772072716992596</v>
      </c>
      <c r="AG145" s="839">
        <f t="shared" si="74"/>
        <v>1</v>
      </c>
      <c r="AH145" s="178">
        <f t="shared" si="67"/>
        <v>7</v>
      </c>
      <c r="AI145" s="227">
        <f t="shared" si="68"/>
        <v>1.957720727169926</v>
      </c>
      <c r="AJ145" s="267" t="b">
        <f t="shared" si="69"/>
        <v>0</v>
      </c>
      <c r="AK145" s="267" t="b">
        <f t="shared" si="70"/>
        <v>0</v>
      </c>
      <c r="AL145" s="267"/>
      <c r="AM145" s="267"/>
      <c r="AN145" s="75"/>
    </row>
    <row r="146" spans="1:40" s="6" customFormat="1" ht="11.25" x14ac:dyDescent="0.2">
      <c r="A146" s="56">
        <f t="shared" si="71"/>
        <v>45789</v>
      </c>
      <c r="B146" s="413">
        <f>'2024'!Wh/'2024'!Env_an*'2025'!Env_an</f>
        <v>40.670204100838113</v>
      </c>
      <c r="C146" s="868"/>
      <c r="D146" s="395">
        <f t="shared" si="50"/>
        <v>43.082485518278752</v>
      </c>
      <c r="E146" s="387">
        <f t="shared" si="72"/>
        <v>47.409503373916714</v>
      </c>
      <c r="F146" s="387">
        <f t="shared" si="51"/>
        <v>47.410186934852092</v>
      </c>
      <c r="G146" s="110">
        <f t="shared" si="73"/>
        <v>0.75206292208287939</v>
      </c>
      <c r="H146" s="416" t="b">
        <f>Wh_hp&gt;='2024'!Maxi_hp</f>
        <v>0</v>
      </c>
      <c r="I146" s="392">
        <f>IF(H146,Wh_hp,'2024'!Maxi_hp)</f>
        <v>58.685038325386628</v>
      </c>
      <c r="J146" s="85">
        <f>IF(H146,An,'2024'!An_max)</f>
        <v>2019</v>
      </c>
      <c r="K146" s="199">
        <f t="shared" si="52"/>
        <v>45789</v>
      </c>
      <c r="L146" s="147">
        <f>IF(t&lt;Tvie,1-EXP((T0-t)*PertePVj)+'2024'!Pspv,1-EXP((T0-t)*PertePVj)+Pspv)</f>
        <v>5.599215988634576E-2</v>
      </c>
      <c r="M146" s="872"/>
      <c r="N146" s="872"/>
      <c r="O146" s="48">
        <f>IF(t&lt;Tnet,'2024'!Resal+('2024'!Salim-'2024'!Resal)*(1-EXP(('2024'!Tnet-t)/('2024'!Tau_j))),Resal+(Salim-Resal)*(1-EXP((Tnet-t)/(Tau_j))))*Salcycl</f>
        <v>9.1268997726277709E-2</v>
      </c>
      <c r="P146" s="171">
        <f>(INDEX(Models!$BJ146:$BT146,,T146)*(1-R146)+INDEX(Models!$BJ146:$BT146,,T146+1)*R146-ERP_i)*Q146*Ramure*Pc/MaxiM</f>
        <v>2.2325387547746455E-5</v>
      </c>
      <c r="Q146" s="307">
        <f t="shared" si="53"/>
        <v>0.9</v>
      </c>
      <c r="R146" s="179">
        <f t="shared" si="54"/>
        <v>0.32715741756990724</v>
      </c>
      <c r="S146" s="839">
        <f t="shared" si="55"/>
        <v>-3</v>
      </c>
      <c r="T146" s="178">
        <f t="shared" si="56"/>
        <v>3</v>
      </c>
      <c r="U146" s="253">
        <f t="shared" si="57"/>
        <v>-2.6728425824300928</v>
      </c>
      <c r="V146" s="385">
        <f t="shared" si="58"/>
        <v>54.077765713055278</v>
      </c>
      <c r="W146" s="404">
        <f t="shared" si="59"/>
        <v>40.670204100838113</v>
      </c>
      <c r="X146" s="157">
        <f t="shared" si="60"/>
        <v>45789</v>
      </c>
      <c r="Y146" s="387">
        <f t="shared" si="61"/>
        <v>37.838840914283409</v>
      </c>
      <c r="Z146" s="387">
        <f t="shared" si="62"/>
        <v>40.083185018598769</v>
      </c>
      <c r="AA146" s="388">
        <f t="shared" si="63"/>
        <v>47.307668769573667</v>
      </c>
      <c r="AB146" s="199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0.15271274063754728</v>
      </c>
      <c r="AD146" s="233">
        <f>(INDEX(Models!$BJ146:$BT146,,AH146)*(1-AF146)+INDEX(Models!$BJ146:$BT146,,AH146+1)*AF146-ERP_i)*AE146*Ramure*Pc/MaxiM</f>
        <v>3.3482863810228441E-3</v>
      </c>
      <c r="AE146" s="307">
        <f t="shared" si="65"/>
        <v>0.9</v>
      </c>
      <c r="AF146" s="179">
        <f t="shared" si="66"/>
        <v>0.9628130698768862</v>
      </c>
      <c r="AG146" s="839">
        <f t="shared" si="74"/>
        <v>1</v>
      </c>
      <c r="AH146" s="178">
        <f t="shared" si="67"/>
        <v>7</v>
      </c>
      <c r="AI146" s="227">
        <f t="shared" si="68"/>
        <v>1.9628130698768862</v>
      </c>
      <c r="AJ146" s="267" t="b">
        <f t="shared" si="69"/>
        <v>0</v>
      </c>
      <c r="AK146" s="267" t="b">
        <f t="shared" si="70"/>
        <v>0</v>
      </c>
      <c r="AL146" s="267"/>
      <c r="AM146" s="267"/>
      <c r="AN146" s="75"/>
    </row>
    <row r="147" spans="1:40" s="6" customFormat="1" ht="11.25" x14ac:dyDescent="0.2">
      <c r="A147" s="56">
        <f t="shared" si="71"/>
        <v>45790</v>
      </c>
      <c r="B147" s="413">
        <f>'2024'!Wh/'2024'!Env_an*'2025'!Env_an</f>
        <v>43.39612757805871</v>
      </c>
      <c r="C147" s="868"/>
      <c r="D147" s="395">
        <f t="shared" si="50"/>
        <v>45.971162154355085</v>
      </c>
      <c r="E147" s="387">
        <f t="shared" si="72"/>
        <v>50.601084035528828</v>
      </c>
      <c r="F147" s="387">
        <f t="shared" si="51"/>
        <v>50.601855998123021</v>
      </c>
      <c r="G147" s="110">
        <f t="shared" si="73"/>
        <v>0.80111852308561948</v>
      </c>
      <c r="H147" s="416" t="b">
        <f>Wh_hp&gt;='2024'!Maxi_hp</f>
        <v>0</v>
      </c>
      <c r="I147" s="392">
        <f>IF(H147,Wh_hp,'2024'!Maxi_hp)</f>
        <v>65.198747930481261</v>
      </c>
      <c r="J147" s="85">
        <f>IF(H147,An,'2024'!An_max)</f>
        <v>2019</v>
      </c>
      <c r="K147" s="199">
        <f t="shared" si="52"/>
        <v>45790</v>
      </c>
      <c r="L147" s="147">
        <f>IF(t&lt;Tvie,1-EXP((T0-t)*PertePVj)+'2024'!Pspv,1-EXP((T0-t)*PertePVj)+Pspv)</f>
        <v>5.6014128327891877E-2</v>
      </c>
      <c r="M147" s="872"/>
      <c r="N147" s="872"/>
      <c r="O147" s="48">
        <f>IF(t&lt;Tnet,'2024'!Resal+('2024'!Salim-'2024'!Resal)*(1-EXP(('2024'!Tnet-t)/('2024'!Tau_j))),Resal+(Salim-Resal)*(1-EXP((Tnet-t)/(Tau_j))))*Salcycl</f>
        <v>9.1498472205119322E-2</v>
      </c>
      <c r="P147" s="171">
        <f>(INDEX(Models!$BJ147:$BT147,,T147)*(1-R147)+INDEX(Models!$BJ147:$BT147,,T147+1)*R147-ERP_i)*Q147*Ramure*Pc/MaxiM</f>
        <v>2.1309987300563253E-5</v>
      </c>
      <c r="Q147" s="307">
        <f t="shared" si="53"/>
        <v>0.9</v>
      </c>
      <c r="R147" s="179">
        <f t="shared" si="54"/>
        <v>0.33236276194554026</v>
      </c>
      <c r="S147" s="839">
        <f t="shared" si="55"/>
        <v>-3</v>
      </c>
      <c r="T147" s="178">
        <f t="shared" si="56"/>
        <v>3</v>
      </c>
      <c r="U147" s="253">
        <f t="shared" si="57"/>
        <v>-2.6676372380544597</v>
      </c>
      <c r="V147" s="385">
        <f t="shared" si="58"/>
        <v>54.169094319190599</v>
      </c>
      <c r="W147" s="404">
        <f t="shared" si="59"/>
        <v>43.39612757805871</v>
      </c>
      <c r="X147" s="157">
        <f t="shared" si="60"/>
        <v>45790</v>
      </c>
      <c r="Y147" s="387">
        <f t="shared" si="61"/>
        <v>40.372134734891439</v>
      </c>
      <c r="Z147" s="387">
        <f t="shared" si="62"/>
        <v>42.767731961262477</v>
      </c>
      <c r="AA147" s="388">
        <f t="shared" si="63"/>
        <v>50.489030178983583</v>
      </c>
      <c r="AB147" s="199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0.15293021455054909</v>
      </c>
      <c r="AD147" s="233">
        <f>(INDEX(Models!$BJ147:$BT147,,AH147)*(1-AF147)+INDEX(Models!$BJ147:$BT147,,AH147+1)*AF147-ERP_i)*AE147*Ramure*Pc/MaxiM</f>
        <v>3.1145508747917735E-3</v>
      </c>
      <c r="AE147" s="307">
        <f t="shared" si="65"/>
        <v>0.9</v>
      </c>
      <c r="AF147" s="179">
        <f t="shared" si="66"/>
        <v>0.96801841425251922</v>
      </c>
      <c r="AG147" s="839">
        <f t="shared" si="74"/>
        <v>1</v>
      </c>
      <c r="AH147" s="178">
        <f t="shared" si="67"/>
        <v>7</v>
      </c>
      <c r="AI147" s="227">
        <f t="shared" si="68"/>
        <v>1.9680184142525192</v>
      </c>
      <c r="AJ147" s="267" t="b">
        <f t="shared" si="69"/>
        <v>0</v>
      </c>
      <c r="AK147" s="267" t="b">
        <f t="shared" si="70"/>
        <v>0</v>
      </c>
      <c r="AL147" s="267"/>
      <c r="AM147" s="267"/>
      <c r="AN147" s="75"/>
    </row>
    <row r="148" spans="1:40" s="6" customFormat="1" ht="11.25" x14ac:dyDescent="0.2">
      <c r="A148" s="56">
        <f t="shared" si="71"/>
        <v>45791</v>
      </c>
      <c r="B148" s="413">
        <f>'2024'!Wh/'2024'!Env_an*'2025'!Env_an</f>
        <v>44.726019595410207</v>
      </c>
      <c r="C148" s="868"/>
      <c r="D148" s="395">
        <f t="shared" si="50"/>
        <v>47.381069782562385</v>
      </c>
      <c r="E148" s="387">
        <f t="shared" si="72"/>
        <v>52.166233780797334</v>
      </c>
      <c r="F148" s="387">
        <f t="shared" si="51"/>
        <v>52.167030147074435</v>
      </c>
      <c r="G148" s="110">
        <f t="shared" si="73"/>
        <v>0.82434248186115888</v>
      </c>
      <c r="H148" s="416" t="b">
        <f>Wh_hp&gt;='2024'!Maxi_hp</f>
        <v>0</v>
      </c>
      <c r="I148" s="392">
        <f>IF(H148,Wh_hp,'2024'!Maxi_hp)</f>
        <v>63.557422198043149</v>
      </c>
      <c r="J148" s="85">
        <f>IF(H148,An,'2024'!An_max)</f>
        <v>2019</v>
      </c>
      <c r="K148" s="199">
        <f t="shared" si="52"/>
        <v>45791</v>
      </c>
      <c r="L148" s="147">
        <f>IF(t&lt;Tvie,1-EXP((T0-t)*PertePVj)+'2024'!Pspv,1-EXP((T0-t)*PertePVj)+Pspv)</f>
        <v>5.6036096258200385E-2</v>
      </c>
      <c r="M148" s="872"/>
      <c r="N148" s="872"/>
      <c r="O148" s="48">
        <f>IF(t&lt;Tnet,'2024'!Resal+('2024'!Salim-'2024'!Resal)*(1-EXP(('2024'!Tnet-t)/('2024'!Tau_j))),Resal+(Salim-Resal)*(1-EXP((Tnet-t)/(Tau_j))))*Salcycl</f>
        <v>9.1729144533266999E-2</v>
      </c>
      <c r="P148" s="171">
        <f>(INDEX(Models!$BJ148:$BT148,,T148)*(1-R148)+INDEX(Models!$BJ148:$BT148,,T148+1)*R148-ERP_i)*Q148*Ramure*Pc/MaxiM</f>
        <v>2.0379627931440053E-5</v>
      </c>
      <c r="Q148" s="307">
        <f t="shared" si="53"/>
        <v>0.9</v>
      </c>
      <c r="R148" s="179">
        <f t="shared" si="54"/>
        <v>0.33768037013738361</v>
      </c>
      <c r="S148" s="839">
        <f t="shared" si="55"/>
        <v>-3</v>
      </c>
      <c r="T148" s="178">
        <f t="shared" si="56"/>
        <v>3</v>
      </c>
      <c r="U148" s="253">
        <f t="shared" si="57"/>
        <v>-2.6623196298626164</v>
      </c>
      <c r="V148" s="385">
        <f t="shared" si="58"/>
        <v>54.256321675108339</v>
      </c>
      <c r="W148" s="404">
        <f t="shared" si="59"/>
        <v>44.726019595410207</v>
      </c>
      <c r="X148" s="157">
        <f t="shared" si="60"/>
        <v>45791</v>
      </c>
      <c r="Y148" s="387">
        <f t="shared" si="61"/>
        <v>41.611772750641947</v>
      </c>
      <c r="Z148" s="387">
        <f t="shared" si="62"/>
        <v>44.081953330732361</v>
      </c>
      <c r="AA148" s="388">
        <f t="shared" si="63"/>
        <v>52.054001331507898</v>
      </c>
      <c r="AB148" s="199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0.15314957153831932</v>
      </c>
      <c r="AD148" s="233">
        <f>(INDEX(Models!$BJ148:$BT148,,AH148)*(1-AF148)+INDEX(Models!$BJ148:$BT148,,AH148+1)*AF148-ERP_i)*AE148*Ramure*Pc/MaxiM</f>
        <v>2.8924946635841822E-3</v>
      </c>
      <c r="AE148" s="307">
        <f t="shared" si="65"/>
        <v>0.9</v>
      </c>
      <c r="AF148" s="179">
        <f t="shared" si="66"/>
        <v>0.97333602244436257</v>
      </c>
      <c r="AG148" s="839">
        <f t="shared" si="74"/>
        <v>1</v>
      </c>
      <c r="AH148" s="178">
        <f t="shared" si="67"/>
        <v>7</v>
      </c>
      <c r="AI148" s="227">
        <f t="shared" si="68"/>
        <v>1.9733360224443626</v>
      </c>
      <c r="AJ148" s="267" t="b">
        <f t="shared" si="69"/>
        <v>0</v>
      </c>
      <c r="AK148" s="267" t="b">
        <f t="shared" si="70"/>
        <v>0</v>
      </c>
      <c r="AL148" s="267"/>
      <c r="AM148" s="267"/>
      <c r="AN148" s="75"/>
    </row>
    <row r="149" spans="1:40" s="6" customFormat="1" ht="11.25" x14ac:dyDescent="0.2">
      <c r="A149" s="56">
        <f t="shared" si="71"/>
        <v>45792</v>
      </c>
      <c r="B149" s="413">
        <f>'2024'!Wh/'2024'!Env_an*'2025'!Env_an</f>
        <v>48.382135799117719</v>
      </c>
      <c r="C149" s="868"/>
      <c r="D149" s="395">
        <f t="shared" si="50"/>
        <v>51.255415123941184</v>
      </c>
      <c r="E149" s="387">
        <f t="shared" si="72"/>
        <v>56.44626711082114</v>
      </c>
      <c r="F149" s="387">
        <f t="shared" si="51"/>
        <v>56.447198033380154</v>
      </c>
      <c r="G149" s="110">
        <f t="shared" si="73"/>
        <v>0.89038538695867553</v>
      </c>
      <c r="H149" s="416" t="b">
        <f>Wh_hp&gt;='2024'!Maxi_hp</f>
        <v>0</v>
      </c>
      <c r="I149" s="392">
        <f>IF(H149,Wh_hp,'2024'!Maxi_hp)</f>
        <v>64.50696341655771</v>
      </c>
      <c r="J149" s="85">
        <f>IF(H149,An,'2024'!An_max)</f>
        <v>2019</v>
      </c>
      <c r="K149" s="199">
        <f t="shared" si="52"/>
        <v>45792</v>
      </c>
      <c r="L149" s="147">
        <f>IF(t&lt;Tvie,1-EXP((T0-t)*PertePVj)+'2024'!Pspv,1-EXP((T0-t)*PertePVj)+Pspv)</f>
        <v>5.6058063677282943E-2</v>
      </c>
      <c r="M149" s="872"/>
      <c r="N149" s="872"/>
      <c r="O149" s="48">
        <f>IF(t&lt;Tnet,'2024'!Resal+('2024'!Salim-'2024'!Resal)*(1-EXP(('2024'!Tnet-t)/('2024'!Tau_j))),Resal+(Salim-Resal)*(1-EXP((Tnet-t)/(Tau_j))))*Salcycl</f>
        <v>9.1960943611890847E-2</v>
      </c>
      <c r="P149" s="171">
        <f>(INDEX(Models!$BJ149:$BT149,,T149)*(1-R149)+INDEX(Models!$BJ149:$BT149,,T149+1)*R149-ERP_i)*Q149*Ramure*Pc/MaxiM</f>
        <v>1.9553819448567833E-5</v>
      </c>
      <c r="Q149" s="307">
        <f t="shared" si="53"/>
        <v>0.9</v>
      </c>
      <c r="R149" s="179">
        <f t="shared" si="54"/>
        <v>0.34310927853843909</v>
      </c>
      <c r="S149" s="839">
        <f t="shared" si="55"/>
        <v>-3</v>
      </c>
      <c r="T149" s="178">
        <f t="shared" si="56"/>
        <v>3</v>
      </c>
      <c r="U149" s="253">
        <f t="shared" si="57"/>
        <v>-2.6568907214615609</v>
      </c>
      <c r="V149" s="385">
        <f t="shared" si="58"/>
        <v>54.338254382859056</v>
      </c>
      <c r="W149" s="404">
        <f t="shared" si="59"/>
        <v>48.382135799117719</v>
      </c>
      <c r="X149" s="157">
        <f t="shared" si="60"/>
        <v>45792</v>
      </c>
      <c r="Y149" s="387">
        <f t="shared" si="61"/>
        <v>45.008801661828898</v>
      </c>
      <c r="Z149" s="387">
        <f t="shared" si="62"/>
        <v>47.681748135026375</v>
      </c>
      <c r="AA149" s="388">
        <f t="shared" si="63"/>
        <v>56.319510115001364</v>
      </c>
      <c r="AB149" s="199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0.15337068739300375</v>
      </c>
      <c r="AD149" s="233">
        <f>(INDEX(Models!$BJ149:$BT149,,AH149)*(1-AF149)+INDEX(Models!$BJ149:$BT149,,AH149+1)*AF149-ERP_i)*AE149*Ramure*Pc/MaxiM</f>
        <v>2.6820560717500533E-3</v>
      </c>
      <c r="AE149" s="307">
        <f t="shared" si="65"/>
        <v>0.9</v>
      </c>
      <c r="AF149" s="179">
        <f t="shared" si="66"/>
        <v>0.97876493084541805</v>
      </c>
      <c r="AG149" s="839">
        <f t="shared" si="74"/>
        <v>1</v>
      </c>
      <c r="AH149" s="178">
        <f t="shared" si="67"/>
        <v>7</v>
      </c>
      <c r="AI149" s="227">
        <f t="shared" si="68"/>
        <v>1.978764930845418</v>
      </c>
      <c r="AJ149" s="267" t="b">
        <f t="shared" si="69"/>
        <v>0</v>
      </c>
      <c r="AK149" s="267" t="b">
        <f t="shared" si="70"/>
        <v>0</v>
      </c>
      <c r="AL149" s="267"/>
      <c r="AM149" s="267"/>
      <c r="AN149" s="75"/>
    </row>
    <row r="150" spans="1:40" s="6" customFormat="1" ht="11.25" x14ac:dyDescent="0.2">
      <c r="A150" s="56">
        <f t="shared" si="71"/>
        <v>45793</v>
      </c>
      <c r="B150" s="413">
        <f>'2024'!Wh/'2024'!Env_an*'2025'!Env_an</f>
        <v>47.158924112318971</v>
      </c>
      <c r="C150" s="868"/>
      <c r="D150" s="395">
        <f t="shared" si="50"/>
        <v>49.960722985396281</v>
      </c>
      <c r="E150" s="387">
        <f t="shared" si="72"/>
        <v>55.034568670344981</v>
      </c>
      <c r="F150" s="387">
        <f t="shared" si="51"/>
        <v>55.035409595342863</v>
      </c>
      <c r="G150" s="110">
        <f t="shared" si="73"/>
        <v>0.86667163721231977</v>
      </c>
      <c r="H150" s="416" t="b">
        <f>Wh_hp&gt;='2024'!Maxi_hp</f>
        <v>1</v>
      </c>
      <c r="I150" s="392">
        <f>IF(H150,Wh_hp,'2024'!Maxi_hp)</f>
        <v>55.035409595342863</v>
      </c>
      <c r="J150" s="85">
        <f>IF(H150,An,'2024'!An_max)</f>
        <v>2025</v>
      </c>
      <c r="K150" s="199">
        <f t="shared" si="52"/>
        <v>45793</v>
      </c>
      <c r="L150" s="147">
        <f>IF(t&lt;Tvie,1-EXP((T0-t)*PertePVj)+'2024'!Pspv,1-EXP((T0-t)*PertePVj)+Pspv)</f>
        <v>5.6080030585151541E-2</v>
      </c>
      <c r="M150" s="872"/>
      <c r="N150" s="872"/>
      <c r="O150" s="48">
        <f>IF(t&lt;Tnet,'2024'!Resal+('2024'!Salim-'2024'!Resal)*(1-EXP(('2024'!Tnet-t)/('2024'!Tau_j))),Resal+(Salim-Resal)*(1-EXP((Tnet-t)/(Tau_j))))*Salcycl</f>
        <v>9.2193793965041265E-2</v>
      </c>
      <c r="P150" s="171">
        <f>(INDEX(Models!$BJ150:$BT150,,T150)*(1-R150)+INDEX(Models!$BJ150:$BT150,,T150+1)*R150-ERP_i)*Q150*Ramure*Pc/MaxiM</f>
        <v>1.8874664288546899E-5</v>
      </c>
      <c r="Q150" s="307">
        <f t="shared" si="53"/>
        <v>0.9</v>
      </c>
      <c r="R150" s="179">
        <f t="shared" si="54"/>
        <v>0.3486482909840154</v>
      </c>
      <c r="S150" s="839">
        <f t="shared" si="55"/>
        <v>-3</v>
      </c>
      <c r="T150" s="178">
        <f t="shared" si="56"/>
        <v>3</v>
      </c>
      <c r="U150" s="253">
        <f t="shared" si="57"/>
        <v>-2.6513517090159846</v>
      </c>
      <c r="V150" s="385">
        <f t="shared" si="58"/>
        <v>54.413635511545927</v>
      </c>
      <c r="W150" s="404">
        <f t="shared" si="59"/>
        <v>47.158924112318971</v>
      </c>
      <c r="X150" s="157">
        <f t="shared" si="60"/>
        <v>45793</v>
      </c>
      <c r="Y150" s="387">
        <f t="shared" si="61"/>
        <v>43.881419256614592</v>
      </c>
      <c r="Z150" s="387">
        <f t="shared" si="62"/>
        <v>46.488495506475417</v>
      </c>
      <c r="AA150" s="388">
        <f t="shared" si="63"/>
        <v>54.924544797595907</v>
      </c>
      <c r="AB150" s="199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0.15359343117377533</v>
      </c>
      <c r="AD150" s="233">
        <f>(INDEX(Models!$BJ150:$BT150,,AH150)*(1-AF150)+INDEX(Models!$BJ150:$BT150,,AH150+1)*AF150-ERP_i)*AE150*Ramure*Pc/MaxiM</f>
        <v>2.4883739265347633E-3</v>
      </c>
      <c r="AE150" s="307">
        <f t="shared" si="65"/>
        <v>0.9</v>
      </c>
      <c r="AF150" s="179">
        <f t="shared" si="66"/>
        <v>0.98430394329099458</v>
      </c>
      <c r="AG150" s="839">
        <f t="shared" si="74"/>
        <v>1</v>
      </c>
      <c r="AH150" s="178">
        <f t="shared" si="67"/>
        <v>7</v>
      </c>
      <c r="AI150" s="227">
        <f t="shared" si="68"/>
        <v>1.9843039432909946</v>
      </c>
      <c r="AJ150" s="267" t="b">
        <f t="shared" si="69"/>
        <v>0</v>
      </c>
      <c r="AK150" s="267" t="b">
        <f t="shared" si="70"/>
        <v>0</v>
      </c>
      <c r="AL150" s="267"/>
      <c r="AM150" s="267"/>
      <c r="AN150" s="75"/>
    </row>
    <row r="151" spans="1:40" s="6" customFormat="1" ht="11.25" x14ac:dyDescent="0.2">
      <c r="A151" s="56">
        <f t="shared" si="71"/>
        <v>45794</v>
      </c>
      <c r="B151" s="413">
        <f>'2024'!Wh/'2024'!Env_an*'2025'!Env_an</f>
        <v>50.843576038912133</v>
      </c>
      <c r="C151" s="868"/>
      <c r="D151" s="395">
        <f t="shared" si="50"/>
        <v>53.865540425274908</v>
      </c>
      <c r="E151" s="387">
        <f t="shared" si="72"/>
        <v>59.351233428166772</v>
      </c>
      <c r="F151" s="387">
        <f t="shared" si="51"/>
        <v>59.352210201116705</v>
      </c>
      <c r="G151" s="110">
        <f t="shared" si="73"/>
        <v>0.93320304943024546</v>
      </c>
      <c r="H151" s="416" t="b">
        <f>Wh_hp&gt;='2024'!Maxi_hp</f>
        <v>1</v>
      </c>
      <c r="I151" s="392">
        <f>IF(H151,Wh_hp,'2024'!Maxi_hp)</f>
        <v>59.352210201116705</v>
      </c>
      <c r="J151" s="85">
        <f>IF(H151,An,'2024'!An_max)</f>
        <v>2025</v>
      </c>
      <c r="K151" s="199">
        <f t="shared" si="52"/>
        <v>45794</v>
      </c>
      <c r="L151" s="147">
        <f>IF(t&lt;Tvie,1-EXP((T0-t)*PertePVj)+'2024'!Pspv,1-EXP((T0-t)*PertePVj)+Pspv)</f>
        <v>5.610199698181817E-2</v>
      </c>
      <c r="M151" s="872"/>
      <c r="N151" s="872"/>
      <c r="O151" s="48">
        <f>IF(t&lt;Tnet,'2024'!Resal+('2024'!Salim-'2024'!Resal)*(1-EXP(('2024'!Tnet-t)/('2024'!Tau_j))),Resal+(Salim-Resal)*(1-EXP((Tnet-t)/(Tau_j))))*Salcycl</f>
        <v>9.242761583937828E-2</v>
      </c>
      <c r="P151" s="171">
        <f>(INDEX(Models!$BJ151:$BT151,,T151)*(1-R151)+INDEX(Models!$BJ151:$BT151,,T151+1)*R151-ERP_i)*Q151*Ramure*Pc/MaxiM</f>
        <v>1.8193265569595266E-5</v>
      </c>
      <c r="Q151" s="307">
        <f t="shared" si="53"/>
        <v>0.9</v>
      </c>
      <c r="R151" s="179">
        <f t="shared" si="54"/>
        <v>0.35429597268797908</v>
      </c>
      <c r="S151" s="839">
        <f t="shared" si="55"/>
        <v>-3</v>
      </c>
      <c r="T151" s="178">
        <f t="shared" si="56"/>
        <v>3</v>
      </c>
      <c r="U151" s="253">
        <f t="shared" si="57"/>
        <v>-2.6457040273120209</v>
      </c>
      <c r="V151" s="385">
        <f t="shared" si="58"/>
        <v>54.482770713430412</v>
      </c>
      <c r="W151" s="404">
        <f t="shared" si="59"/>
        <v>50.843576038912133</v>
      </c>
      <c r="X151" s="157">
        <f t="shared" si="60"/>
        <v>45794</v>
      </c>
      <c r="Y151" s="387">
        <f t="shared" si="61"/>
        <v>47.306188041154847</v>
      </c>
      <c r="Z151" s="387">
        <f t="shared" si="62"/>
        <v>50.117902453326423</v>
      </c>
      <c r="AA151" s="388">
        <f t="shared" si="63"/>
        <v>59.228254247793657</v>
      </c>
      <c r="AB151" s="199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0.15381766540597655</v>
      </c>
      <c r="AD151" s="233">
        <f>(INDEX(Models!$BJ151:$BT151,,AH151)*(1-AF151)+INDEX(Models!$BJ151:$BT151,,AH151+1)*AF151-ERP_i)*AE151*Ramure*Pc/MaxiM</f>
        <v>2.3087899576836415E-3</v>
      </c>
      <c r="AE151" s="307">
        <f t="shared" si="65"/>
        <v>0.9</v>
      </c>
      <c r="AF151" s="179">
        <f t="shared" si="66"/>
        <v>0.98995162499495781</v>
      </c>
      <c r="AG151" s="839">
        <f t="shared" si="74"/>
        <v>1</v>
      </c>
      <c r="AH151" s="178">
        <f t="shared" si="67"/>
        <v>7</v>
      </c>
      <c r="AI151" s="227">
        <f t="shared" si="68"/>
        <v>1.9899516249949578</v>
      </c>
      <c r="AJ151" s="267" t="b">
        <f t="shared" si="69"/>
        <v>0</v>
      </c>
      <c r="AK151" s="267" t="b">
        <f t="shared" si="70"/>
        <v>0</v>
      </c>
      <c r="AL151" s="267"/>
      <c r="AM151" s="267"/>
      <c r="AN151" s="75"/>
    </row>
    <row r="152" spans="1:40" s="6" customFormat="1" ht="11.25" x14ac:dyDescent="0.2">
      <c r="A152" s="56">
        <f t="shared" si="71"/>
        <v>45795</v>
      </c>
      <c r="B152" s="413">
        <f>'2024'!Wh/'2024'!Env_an*'2025'!Env_an</f>
        <v>49.474106469041814</v>
      </c>
      <c r="C152" s="868"/>
      <c r="D152" s="395">
        <f t="shared" si="50"/>
        <v>52.4158941669222</v>
      </c>
      <c r="E152" s="387">
        <f t="shared" si="72"/>
        <v>57.768894238741233</v>
      </c>
      <c r="F152" s="387">
        <f t="shared" si="51"/>
        <v>57.769771694551565</v>
      </c>
      <c r="G152" s="110">
        <f t="shared" si="73"/>
        <v>0.90701481579181564</v>
      </c>
      <c r="H152" s="416" t="b">
        <f>Wh_hp&gt;='2024'!Maxi_hp</f>
        <v>0</v>
      </c>
      <c r="I152" s="392">
        <f>IF(H152,Wh_hp,'2024'!Maxi_hp)</f>
        <v>64.728321842872035</v>
      </c>
      <c r="J152" s="85">
        <f>IF(H152,An,'2024'!An_max)</f>
        <v>2020</v>
      </c>
      <c r="K152" s="199">
        <f t="shared" si="52"/>
        <v>45795</v>
      </c>
      <c r="L152" s="147">
        <f>IF(t&lt;Tvie,1-EXP((T0-t)*PertePVj)+'2024'!Pspv,1-EXP((T0-t)*PertePVj)+Pspv)</f>
        <v>5.6123962867294597E-2</v>
      </c>
      <c r="M152" s="872"/>
      <c r="N152" s="872"/>
      <c r="O152" s="48">
        <f>IF(t&lt;Tnet,'2024'!Resal+('2024'!Salim-'2024'!Resal)*(1-EXP(('2024'!Tnet-t)/('2024'!Tau_j))),Resal+(Salim-Resal)*(1-EXP((Tnet-t)/(Tau_j))))*Salcycl</f>
        <v>9.2662325328518702E-2</v>
      </c>
      <c r="P152" s="171">
        <f>(INDEX(Models!$BJ152:$BT152,,T152)*(1-R152)+INDEX(Models!$BJ152:$BT152,,T152+1)*R152-ERP_i)*Q152*Ramure*Pc/MaxiM</f>
        <v>1.7515471869496657E-5</v>
      </c>
      <c r="Q152" s="307">
        <f t="shared" si="53"/>
        <v>0.9</v>
      </c>
      <c r="R152" s="179">
        <f t="shared" si="54"/>
        <v>0.36005064500151907</v>
      </c>
      <c r="S152" s="839">
        <f t="shared" si="55"/>
        <v>-3</v>
      </c>
      <c r="T152" s="178">
        <f t="shared" si="56"/>
        <v>3</v>
      </c>
      <c r="U152" s="253">
        <f t="shared" si="57"/>
        <v>-2.6399493549984809</v>
      </c>
      <c r="V152" s="385">
        <f t="shared" si="58"/>
        <v>54.545957241131447</v>
      </c>
      <c r="W152" s="404">
        <f t="shared" si="59"/>
        <v>49.474106469041814</v>
      </c>
      <c r="X152" s="157">
        <f t="shared" si="60"/>
        <v>45795</v>
      </c>
      <c r="Y152" s="387">
        <f t="shared" si="61"/>
        <v>46.042177995510237</v>
      </c>
      <c r="Z152" s="387">
        <f t="shared" si="62"/>
        <v>48.779899249669036</v>
      </c>
      <c r="AA152" s="388">
        <f t="shared" si="63"/>
        <v>57.662402998089263</v>
      </c>
      <c r="AB152" s="199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0.15404324631969576</v>
      </c>
      <c r="AD152" s="233">
        <f>(INDEX(Models!$BJ152:$BT152,,AH152)*(1-AF152)+INDEX(Models!$BJ152:$BT152,,AH152+1)*AF152-ERP_i)*AE152*Ramure*Pc/MaxiM</f>
        <v>2.1432570853127187E-3</v>
      </c>
      <c r="AE152" s="307">
        <f t="shared" si="65"/>
        <v>0.9</v>
      </c>
      <c r="AF152" s="179">
        <f t="shared" si="66"/>
        <v>0.9957062973084978</v>
      </c>
      <c r="AG152" s="839">
        <f t="shared" si="74"/>
        <v>1</v>
      </c>
      <c r="AH152" s="178">
        <f t="shared" si="67"/>
        <v>7</v>
      </c>
      <c r="AI152" s="227">
        <f t="shared" si="68"/>
        <v>1.9957062973084978</v>
      </c>
      <c r="AJ152" s="267" t="b">
        <f t="shared" si="69"/>
        <v>0</v>
      </c>
      <c r="AK152" s="267" t="b">
        <f t="shared" si="70"/>
        <v>0</v>
      </c>
      <c r="AL152" s="267"/>
      <c r="AM152" s="267"/>
      <c r="AN152" s="75"/>
    </row>
    <row r="153" spans="1:40" s="6" customFormat="1" ht="11.25" x14ac:dyDescent="0.2">
      <c r="A153" s="56">
        <f t="shared" si="71"/>
        <v>45796</v>
      </c>
      <c r="B153" s="413">
        <f>'2024'!Wh/'2024'!Env_an*'2025'!Env_an</f>
        <v>51.274756100218511</v>
      </c>
      <c r="C153" s="868"/>
      <c r="D153" s="395">
        <f t="shared" si="50"/>
        <v>54.324876730884107</v>
      </c>
      <c r="E153" s="387">
        <f t="shared" si="72"/>
        <v>59.88837729461666</v>
      </c>
      <c r="F153" s="387">
        <f t="shared" si="51"/>
        <v>59.889298407682794</v>
      </c>
      <c r="G153" s="110">
        <f t="shared" si="73"/>
        <v>0.93903665682645665</v>
      </c>
      <c r="H153" s="416" t="b">
        <f>Wh_hp&gt;='2024'!Maxi_hp</f>
        <v>0</v>
      </c>
      <c r="I153" s="392">
        <f>IF(H153,Wh_hp,'2024'!Maxi_hp)</f>
        <v>63.647951946144374</v>
      </c>
      <c r="J153" s="85">
        <f>IF(H153,An,'2024'!An_max)</f>
        <v>2020</v>
      </c>
      <c r="K153" s="199">
        <f t="shared" si="52"/>
        <v>45796</v>
      </c>
      <c r="L153" s="147">
        <f>IF(t&lt;Tvie,1-EXP((T0-t)*PertePVj)+'2024'!Pspv,1-EXP((T0-t)*PertePVj)+Pspv)</f>
        <v>5.6145928241592813E-2</v>
      </c>
      <c r="M153" s="872"/>
      <c r="N153" s="872"/>
      <c r="O153" s="48">
        <f>IF(t&lt;Tnet,'2024'!Resal+('2024'!Salim-'2024'!Resal)*(1-EXP(('2024'!Tnet-t)/('2024'!Tau_j))),Resal+(Salim-Resal)*(1-EXP((Tnet-t)/(Tau_j))))*Salcycl</f>
        <v>9.289783452243669E-2</v>
      </c>
      <c r="P153" s="171">
        <f>(INDEX(Models!$BJ153:$BT153,,T153)*(1-R153)+INDEX(Models!$BJ153:$BT153,,T153+1)*R153-ERP_i)*Q153*Ramure*Pc/MaxiM</f>
        <v>1.6847483897562844E-5</v>
      </c>
      <c r="Q153" s="307">
        <f t="shared" si="53"/>
        <v>0.9</v>
      </c>
      <c r="R153" s="179">
        <f t="shared" si="54"/>
        <v>0.36591038107573404</v>
      </c>
      <c r="S153" s="839">
        <f t="shared" si="55"/>
        <v>-3</v>
      </c>
      <c r="T153" s="178">
        <f t="shared" si="56"/>
        <v>3</v>
      </c>
      <c r="U153" s="253">
        <f t="shared" si="57"/>
        <v>-2.634089618924266</v>
      </c>
      <c r="V153" s="385">
        <f t="shared" si="58"/>
        <v>54.603492307609798</v>
      </c>
      <c r="W153" s="404">
        <f t="shared" si="59"/>
        <v>51.274756100218511</v>
      </c>
      <c r="X153" s="157">
        <f t="shared" si="60"/>
        <v>45796</v>
      </c>
      <c r="Y153" s="387">
        <f t="shared" si="61"/>
        <v>47.719416897554801</v>
      </c>
      <c r="Z153" s="387">
        <f t="shared" si="62"/>
        <v>50.558045279873795</v>
      </c>
      <c r="AA153" s="388">
        <f t="shared" si="63"/>
        <v>59.780363381064021</v>
      </c>
      <c r="AB153" s="199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0.15427002412821533</v>
      </c>
      <c r="AD153" s="233">
        <f>(INDEX(Models!$BJ153:$BT153,,AH153)*(1-AF153)+INDEX(Models!$BJ153:$BT153,,AH153+1)*AF153-ERP_i)*AE153*Ramure*Pc/MaxiM</f>
        <v>1.9924601813951157E-3</v>
      </c>
      <c r="AE153" s="307">
        <f t="shared" si="65"/>
        <v>0.9</v>
      </c>
      <c r="AF153" s="179">
        <f t="shared" si="66"/>
        <v>1.5660333827129946E-3</v>
      </c>
      <c r="AG153" s="839">
        <f t="shared" si="74"/>
        <v>2</v>
      </c>
      <c r="AH153" s="178">
        <f t="shared" si="67"/>
        <v>8</v>
      </c>
      <c r="AI153" s="227">
        <f t="shared" si="68"/>
        <v>2.001566033382713</v>
      </c>
      <c r="AJ153" s="267" t="b">
        <f t="shared" si="69"/>
        <v>0</v>
      </c>
      <c r="AK153" s="267" t="b">
        <f t="shared" si="70"/>
        <v>0</v>
      </c>
      <c r="AL153" s="267"/>
      <c r="AM153" s="267"/>
      <c r="AN153" s="75"/>
    </row>
    <row r="154" spans="1:40" s="6" customFormat="1" ht="11.25" x14ac:dyDescent="0.2">
      <c r="A154" s="56">
        <f t="shared" si="71"/>
        <v>45797</v>
      </c>
      <c r="B154" s="413">
        <f>'2024'!Wh/'2024'!Env_an*'2025'!Env_an</f>
        <v>44.655490536972906</v>
      </c>
      <c r="C154" s="868"/>
      <c r="D154" s="395">
        <f t="shared" si="50"/>
        <v>47.312959805814003</v>
      </c>
      <c r="E154" s="387">
        <f t="shared" si="72"/>
        <v>52.171944369038506</v>
      </c>
      <c r="F154" s="387">
        <f t="shared" si="51"/>
        <v>52.172568486570036</v>
      </c>
      <c r="G154" s="110">
        <f t="shared" si="73"/>
        <v>0.81702957782448327</v>
      </c>
      <c r="H154" s="416" t="b">
        <f>Wh_hp&gt;='2024'!Maxi_hp</f>
        <v>0</v>
      </c>
      <c r="I154" s="392">
        <f>IF(H154,Wh_hp,'2024'!Maxi_hp)</f>
        <v>63.420462429144116</v>
      </c>
      <c r="J154" s="85">
        <f>IF(H154,An,'2024'!An_max)</f>
        <v>2021</v>
      </c>
      <c r="K154" s="199">
        <f t="shared" si="52"/>
        <v>45797</v>
      </c>
      <c r="L154" s="147">
        <f>IF(t&lt;Tvie,1-EXP((T0-t)*PertePVj)+'2024'!Pspv,1-EXP((T0-t)*PertePVj)+Pspv)</f>
        <v>5.6167893104724698E-2</v>
      </c>
      <c r="M154" s="872"/>
      <c r="N154" s="872"/>
      <c r="O154" s="48">
        <f>IF(t&lt;Tnet,'2024'!Resal+('2024'!Salim-'2024'!Resal)*(1-EXP(('2024'!Tnet-t)/('2024'!Tau_j))),Resal+(Salim-Resal)*(1-EXP((Tnet-t)/(Tau_j))))*Salcycl</f>
        <v>9.3134051682154162E-2</v>
      </c>
      <c r="P154" s="171">
        <f>(INDEX(Models!$BJ154:$BT154,,T154)*(1-R154)+INDEX(Models!$BJ154:$BT154,,T154+1)*R154-ERP_i)*Q154*Ramure*Pc/MaxiM</f>
        <v>1.6195856138240529E-5</v>
      </c>
      <c r="Q154" s="307">
        <f t="shared" si="53"/>
        <v>0.9</v>
      </c>
      <c r="R154" s="179">
        <f t="shared" si="54"/>
        <v>0.37187300250645894</v>
      </c>
      <c r="S154" s="839">
        <f t="shared" si="55"/>
        <v>-3</v>
      </c>
      <c r="T154" s="178">
        <f t="shared" si="56"/>
        <v>3</v>
      </c>
      <c r="U154" s="253">
        <f t="shared" si="57"/>
        <v>-2.6281269974935411</v>
      </c>
      <c r="V154" s="385">
        <f t="shared" si="58"/>
        <v>54.655673070910751</v>
      </c>
      <c r="W154" s="404">
        <f t="shared" si="59"/>
        <v>44.655490536972906</v>
      </c>
      <c r="X154" s="157">
        <f t="shared" si="60"/>
        <v>45797</v>
      </c>
      <c r="Y154" s="387">
        <f t="shared" si="61"/>
        <v>41.577217434583552</v>
      </c>
      <c r="Z154" s="387">
        <f t="shared" si="62"/>
        <v>44.051497221631209</v>
      </c>
      <c r="AA154" s="388">
        <f t="shared" si="63"/>
        <v>52.100987413188996</v>
      </c>
      <c r="AB154" s="199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0.15449784334644132</v>
      </c>
      <c r="AD154" s="233">
        <f>(INDEX(Models!$BJ154:$BT154,,AH154)*(1-AF154)+INDEX(Models!$BJ154:$BT154,,AH154+1)*AF154-ERP_i)*AE154*Ramure*Pc/MaxiM</f>
        <v>1.857529564762321E-3</v>
      </c>
      <c r="AE154" s="307">
        <f t="shared" si="65"/>
        <v>0.9</v>
      </c>
      <c r="AF154" s="179">
        <f t="shared" si="66"/>
        <v>7.5286548134378961E-3</v>
      </c>
      <c r="AG154" s="839">
        <f t="shared" si="74"/>
        <v>2</v>
      </c>
      <c r="AH154" s="178">
        <f t="shared" si="67"/>
        <v>8</v>
      </c>
      <c r="AI154" s="227">
        <f t="shared" si="68"/>
        <v>2.0075286548134379</v>
      </c>
      <c r="AJ154" s="267" t="b">
        <f t="shared" si="69"/>
        <v>0</v>
      </c>
      <c r="AK154" s="267" t="b">
        <f t="shared" si="70"/>
        <v>0</v>
      </c>
      <c r="AL154" s="267"/>
      <c r="AM154" s="267"/>
      <c r="AN154" s="75"/>
    </row>
    <row r="155" spans="1:40" s="6" customFormat="1" ht="11.25" x14ac:dyDescent="0.2">
      <c r="A155" s="56">
        <f t="shared" si="71"/>
        <v>45798</v>
      </c>
      <c r="B155" s="413">
        <f>'2024'!Wh/'2024'!Env_an*'2025'!Env_an</f>
        <v>45.304132538394725</v>
      </c>
      <c r="C155" s="868"/>
      <c r="D155" s="395">
        <f t="shared" si="50"/>
        <v>48.001319859005825</v>
      </c>
      <c r="E155" s="387">
        <f t="shared" si="72"/>
        <v>52.944824820135111</v>
      </c>
      <c r="F155" s="387">
        <f t="shared" si="51"/>
        <v>52.945446743500995</v>
      </c>
      <c r="G155" s="110">
        <f t="shared" si="73"/>
        <v>0.82818360733033003</v>
      </c>
      <c r="H155" s="416" t="b">
        <f>Wh_hp&gt;='2024'!Maxi_hp</f>
        <v>0</v>
      </c>
      <c r="I155" s="392">
        <f>IF(H155,Wh_hp,'2024'!Maxi_hp)</f>
        <v>62.068839464913452</v>
      </c>
      <c r="J155" s="85">
        <f>IF(H155,An,'2024'!An_max)</f>
        <v>2020</v>
      </c>
      <c r="K155" s="199">
        <f t="shared" si="52"/>
        <v>45798</v>
      </c>
      <c r="L155" s="147">
        <f>IF(t&lt;Tvie,1-EXP((T0-t)*PertePVj)+'2024'!Pspv,1-EXP((T0-t)*PertePVj)+Pspv)</f>
        <v>5.618985745670213E-2</v>
      </c>
      <c r="M155" s="872"/>
      <c r="N155" s="872"/>
      <c r="O155" s="48">
        <f>IF(t&lt;Tnet,'2024'!Resal+('2024'!Salim-'2024'!Resal)*(1-EXP(('2024'!Tnet-t)/('2024'!Tau_j))),Resal+(Salim-Resal)*(1-EXP((Tnet-t)/(Tau_j))))*Salcycl</f>
        <v>9.3370881439752251E-2</v>
      </c>
      <c r="P155" s="171">
        <f>(INDEX(Models!$BJ155:$BT155,,T155)*(1-R155)+INDEX(Models!$BJ155:$BT155,,T155+1)*R155-ERP_i)*Q155*Ramure*Pc/MaxiM</f>
        <v>1.556749648113554E-5</v>
      </c>
      <c r="Q155" s="307">
        <f t="shared" si="53"/>
        <v>0.9</v>
      </c>
      <c r="R155" s="179">
        <f t="shared" si="54"/>
        <v>0.37793607703577869</v>
      </c>
      <c r="S155" s="839">
        <f t="shared" si="55"/>
        <v>-3</v>
      </c>
      <c r="T155" s="178">
        <f t="shared" si="56"/>
        <v>3</v>
      </c>
      <c r="U155" s="253">
        <f t="shared" si="57"/>
        <v>-2.6220639229642213</v>
      </c>
      <c r="V155" s="385">
        <f t="shared" si="58"/>
        <v>54.70279661196291</v>
      </c>
      <c r="W155" s="404">
        <f t="shared" si="59"/>
        <v>45.304132538394725</v>
      </c>
      <c r="X155" s="157">
        <f t="shared" si="60"/>
        <v>45798</v>
      </c>
      <c r="Y155" s="387">
        <f t="shared" si="61"/>
        <v>42.183352977097691</v>
      </c>
      <c r="Z155" s="387">
        <f t="shared" si="62"/>
        <v>44.694744287686547</v>
      </c>
      <c r="AA155" s="388">
        <f t="shared" si="63"/>
        <v>52.876076878360436</v>
      </c>
      <c r="AB155" s="199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0.15472654314908343</v>
      </c>
      <c r="AD155" s="233">
        <f>(INDEX(Models!$BJ155:$BT155,,AH155)*(1-AF155)+INDEX(Models!$BJ155:$BT155,,AH155+1)*AF155-ERP_i)*AE155*Ramure*Pc/MaxiM</f>
        <v>1.7364118968950233E-3</v>
      </c>
      <c r="AE155" s="307">
        <f t="shared" si="65"/>
        <v>0.9</v>
      </c>
      <c r="AF155" s="179">
        <f t="shared" si="66"/>
        <v>1.3591729342757652E-2</v>
      </c>
      <c r="AG155" s="839">
        <f t="shared" si="74"/>
        <v>2</v>
      </c>
      <c r="AH155" s="178">
        <f t="shared" si="67"/>
        <v>8</v>
      </c>
      <c r="AI155" s="227">
        <f t="shared" si="68"/>
        <v>2.0135917293427577</v>
      </c>
      <c r="AJ155" s="267" t="b">
        <f t="shared" si="69"/>
        <v>0</v>
      </c>
      <c r="AK155" s="267" t="b">
        <f t="shared" si="70"/>
        <v>0</v>
      </c>
      <c r="AL155" s="267"/>
      <c r="AM155" s="267"/>
      <c r="AN155" s="75"/>
    </row>
    <row r="156" spans="1:40" s="18" customFormat="1" ht="11.25" x14ac:dyDescent="0.2">
      <c r="A156" s="56">
        <f t="shared" si="71"/>
        <v>45799</v>
      </c>
      <c r="B156" s="413">
        <f>'2024'!Wh/'2024'!Env_an*'2025'!Env_an</f>
        <v>32.191926055648899</v>
      </c>
      <c r="C156" s="868"/>
      <c r="D156" s="395">
        <f t="shared" si="50"/>
        <v>34.109270260098974</v>
      </c>
      <c r="E156" s="387">
        <f t="shared" si="72"/>
        <v>37.631928269631537</v>
      </c>
      <c r="F156" s="387">
        <f t="shared" si="51"/>
        <v>37.632160696952873</v>
      </c>
      <c r="G156" s="110">
        <f t="shared" si="73"/>
        <v>0.58802719774559986</v>
      </c>
      <c r="H156" s="416" t="b">
        <f>Wh_hp&gt;='2024'!Maxi_hp</f>
        <v>0</v>
      </c>
      <c r="I156" s="392">
        <f>IF(H156,Wh_hp,'2024'!Maxi_hp)</f>
        <v>63.02960296513583</v>
      </c>
      <c r="J156" s="85">
        <f>IF(H156,An,'2024'!An_max)</f>
        <v>2019</v>
      </c>
      <c r="K156" s="199">
        <f t="shared" si="52"/>
        <v>45799</v>
      </c>
      <c r="L156" s="147">
        <f>IF(t&lt;Tvie,1-EXP((T0-t)*PertePVj)+'2024'!Pspv,1-EXP((T0-t)*PertePVj)+Pspv)</f>
        <v>5.621182129753699E-2</v>
      </c>
      <c r="M156" s="872"/>
      <c r="N156" s="872"/>
      <c r="O156" s="48">
        <f>IF(t&lt;Tnet,'2024'!Resal+('2024'!Salim-'2024'!Resal)*(1-EXP(('2024'!Tnet-t)/('2024'!Tau_j))),Resal+(Salim-Resal)*(1-EXP((Tnet-t)/(Tau_j))))*Salcycl</f>
        <v>9.3608225023518191E-2</v>
      </c>
      <c r="P156" s="171">
        <f>(INDEX(Models!$BJ156:$BT156,,T156)*(1-R156)+INDEX(Models!$BJ156:$BT156,,T156+1)*R156-ERP_i)*Q156*Ramure*Pc/MaxiM</f>
        <v>1.5010139584242138E-5</v>
      </c>
      <c r="Q156" s="307">
        <f t="shared" si="53"/>
        <v>0.9</v>
      </c>
      <c r="R156" s="179">
        <f t="shared" si="54"/>
        <v>0.38409691737955676</v>
      </c>
      <c r="S156" s="839">
        <f t="shared" si="55"/>
        <v>-3</v>
      </c>
      <c r="T156" s="178">
        <f t="shared" si="56"/>
        <v>3</v>
      </c>
      <c r="U156" s="253">
        <f t="shared" si="57"/>
        <v>-2.6159030826204432</v>
      </c>
      <c r="V156" s="385">
        <f t="shared" si="58"/>
        <v>54.745157705008168</v>
      </c>
      <c r="W156" s="404">
        <f t="shared" si="59"/>
        <v>32.191926055648899</v>
      </c>
      <c r="X156" s="157">
        <f t="shared" si="60"/>
        <v>45799</v>
      </c>
      <c r="Y156" s="387">
        <f t="shared" si="61"/>
        <v>29.99312227169132</v>
      </c>
      <c r="Z156" s="387">
        <f t="shared" si="62"/>
        <v>31.779506194839612</v>
      </c>
      <c r="AA156" s="388">
        <f t="shared" si="63"/>
        <v>37.606922960963054</v>
      </c>
      <c r="AB156" s="199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0.15495595776800056</v>
      </c>
      <c r="AD156" s="233">
        <f>(INDEX(Models!$BJ156:$BT156,,AH156)*(1-AF156)+INDEX(Models!$BJ156:$BT156,,AH156+1)*AF156-ERP_i)*AE156*Ramure*Pc/MaxiM</f>
        <v>1.6298511630087247E-3</v>
      </c>
      <c r="AE156" s="307">
        <f t="shared" si="65"/>
        <v>0.9</v>
      </c>
      <c r="AF156" s="179">
        <f t="shared" si="66"/>
        <v>1.9752569686535715E-2</v>
      </c>
      <c r="AG156" s="839">
        <f t="shared" si="74"/>
        <v>2</v>
      </c>
      <c r="AH156" s="178">
        <f t="shared" si="67"/>
        <v>8</v>
      </c>
      <c r="AI156" s="227">
        <f t="shared" si="68"/>
        <v>2.0197525696865357</v>
      </c>
      <c r="AJ156" s="267" t="b">
        <f t="shared" si="69"/>
        <v>0</v>
      </c>
      <c r="AK156" s="267" t="b">
        <f t="shared" si="70"/>
        <v>0</v>
      </c>
      <c r="AL156" s="267"/>
      <c r="AM156" s="267"/>
      <c r="AN156" s="267"/>
    </row>
    <row r="157" spans="1:40" s="18" customFormat="1" ht="11.25" x14ac:dyDescent="0.2">
      <c r="A157" s="56">
        <f t="shared" si="71"/>
        <v>45800</v>
      </c>
      <c r="B157" s="413">
        <f>'2024'!Wh/'2024'!Env_an*'2025'!Env_an</f>
        <v>16.612460580081045</v>
      </c>
      <c r="C157" s="868"/>
      <c r="D157" s="395">
        <f t="shared" si="50"/>
        <v>17.602304796977322</v>
      </c>
      <c r="E157" s="387">
        <f t="shared" si="72"/>
        <v>19.425290202698562</v>
      </c>
      <c r="F157" s="387">
        <f t="shared" si="51"/>
        <v>19.42529150317943</v>
      </c>
      <c r="G157" s="110">
        <f t="shared" si="73"/>
        <v>0.3032364812332482</v>
      </c>
      <c r="H157" s="416" t="b">
        <f>Wh_hp&gt;='2024'!Maxi_hp</f>
        <v>0</v>
      </c>
      <c r="I157" s="392">
        <f>IF(H157,Wh_hp,'2024'!Maxi_hp)</f>
        <v>57.069920377095102</v>
      </c>
      <c r="J157" s="85">
        <f>IF(H157,An,'2024'!An_max)</f>
        <v>2020</v>
      </c>
      <c r="K157" s="199">
        <f t="shared" si="52"/>
        <v>45800</v>
      </c>
      <c r="L157" s="147">
        <f>IF(t&lt;Tvie,1-EXP((T0-t)*PertePVj)+'2024'!Pspv,1-EXP((T0-t)*PertePVj)+Pspv)</f>
        <v>5.6233784627241157E-2</v>
      </c>
      <c r="M157" s="872"/>
      <c r="N157" s="872"/>
      <c r="O157" s="48">
        <f>IF(t&lt;Tnet,'2024'!Resal+('2024'!Salim-'2024'!Resal)*(1-EXP(('2024'!Tnet-t)/('2024'!Tau_j))),Resal+(Salim-Resal)*(1-EXP((Tnet-t)/(Tau_j))))*Salcycl</f>
        <v>9.3845980507822377E-2</v>
      </c>
      <c r="P157" s="171">
        <f>(INDEX(Models!$BJ157:$BT157,,T157)*(1-R157)+INDEX(Models!$BJ157:$BT157,,T157+1)*R157-ERP_i)*Q157*Ramure*Pc/MaxiM</f>
        <v>1.4460259455498212E-5</v>
      </c>
      <c r="Q157" s="307">
        <f t="shared" si="53"/>
        <v>0.9</v>
      </c>
      <c r="R157" s="179">
        <f t="shared" si="54"/>
        <v>0.39035258124403782</v>
      </c>
      <c r="S157" s="839">
        <f t="shared" si="55"/>
        <v>-3</v>
      </c>
      <c r="T157" s="178">
        <f t="shared" si="56"/>
        <v>3</v>
      </c>
      <c r="U157" s="253">
        <f t="shared" si="57"/>
        <v>-2.6096474187559622</v>
      </c>
      <c r="V157" s="385">
        <f t="shared" si="58"/>
        <v>54.78305711826534</v>
      </c>
      <c r="W157" s="404">
        <f t="shared" si="59"/>
        <v>16.612460580081045</v>
      </c>
      <c r="X157" s="157">
        <f t="shared" si="60"/>
        <v>45800</v>
      </c>
      <c r="Y157" s="387">
        <f t="shared" si="61"/>
        <v>15.487811051952759</v>
      </c>
      <c r="Z157" s="387">
        <f t="shared" si="62"/>
        <v>16.410643652713873</v>
      </c>
      <c r="AA157" s="388">
        <f t="shared" si="63"/>
        <v>19.425153985401561</v>
      </c>
      <c r="AB157" s="199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0.1551859169277712</v>
      </c>
      <c r="AD157" s="233">
        <f>(INDEX(Models!$BJ157:$BT157,,AH157)*(1-AF157)+INDEX(Models!$BJ157:$BT157,,AH157+1)*AF157-ERP_i)*AE157*Ramure*Pc/MaxiM</f>
        <v>1.5290826613590179E-3</v>
      </c>
      <c r="AE157" s="307">
        <f t="shared" si="65"/>
        <v>0.9</v>
      </c>
      <c r="AF157" s="179">
        <f t="shared" si="66"/>
        <v>2.6008233551016779E-2</v>
      </c>
      <c r="AG157" s="839">
        <f t="shared" si="74"/>
        <v>2</v>
      </c>
      <c r="AH157" s="178">
        <f t="shared" si="67"/>
        <v>8</v>
      </c>
      <c r="AI157" s="227">
        <f t="shared" si="68"/>
        <v>2.0260082335510168</v>
      </c>
      <c r="AJ157" s="267" t="b">
        <f t="shared" si="69"/>
        <v>0</v>
      </c>
      <c r="AK157" s="267" t="b">
        <f t="shared" si="70"/>
        <v>0</v>
      </c>
      <c r="AL157" s="267"/>
      <c r="AM157" s="267"/>
      <c r="AN157" s="267"/>
    </row>
    <row r="158" spans="1:40" s="6" customFormat="1" ht="11.25" x14ac:dyDescent="0.2">
      <c r="A158" s="56">
        <f t="shared" si="71"/>
        <v>45801</v>
      </c>
      <c r="B158" s="413">
        <f>'2024'!Wh/'2024'!Env_an*'2025'!Env_an</f>
        <v>13.840855187643863</v>
      </c>
      <c r="C158" s="868"/>
      <c r="D158" s="395">
        <f t="shared" si="50"/>
        <v>14.66589613678136</v>
      </c>
      <c r="E158" s="387">
        <f t="shared" si="72"/>
        <v>16.189025068902001</v>
      </c>
      <c r="F158" s="387">
        <f t="shared" si="51"/>
        <v>16.189025068902001</v>
      </c>
      <c r="G158" s="110">
        <f t="shared" si="73"/>
        <v>0.25248946609102002</v>
      </c>
      <c r="H158" s="416" t="b">
        <f>Wh_hp&gt;='2024'!Maxi_hp</f>
        <v>0</v>
      </c>
      <c r="I158" s="392">
        <f>IF(H158,Wh_hp,'2024'!Maxi_hp)</f>
        <v>28.542221114543629</v>
      </c>
      <c r="J158" s="85">
        <f>IF(H158,An,'2024'!An_max)</f>
        <v>2021</v>
      </c>
      <c r="K158" s="199">
        <f t="shared" si="52"/>
        <v>45801</v>
      </c>
      <c r="L158" s="147">
        <f>IF(t&lt;Tvie,1-EXP((T0-t)*PertePVj)+'2024'!Pspv,1-EXP((T0-t)*PertePVj)+Pspv)</f>
        <v>5.625574744582662E-2</v>
      </c>
      <c r="M158" s="872"/>
      <c r="N158" s="872"/>
      <c r="O158" s="48">
        <f>IF(t&lt;Tnet,'2024'!Resal+('2024'!Salim-'2024'!Resal)*(1-EXP(('2024'!Tnet-t)/('2024'!Tau_j))),Resal+(Salim-Resal)*(1-EXP((Tnet-t)/(Tau_j))))*Salcycl</f>
        <v>9.4084043087095323E-2</v>
      </c>
      <c r="P158" s="171">
        <f>(INDEX(Models!$BJ158:$BT158,,T158)*(1-R158)+INDEX(Models!$BJ158:$BT158,,T158+1)*R158-ERP_i)*Q158*Ramure*Pc/MaxiM</f>
        <v>1.392262566336631E-5</v>
      </c>
      <c r="Q158" s="307">
        <f t="shared" si="53"/>
        <v>0.9</v>
      </c>
      <c r="R158" s="179">
        <f t="shared" si="54"/>
        <v>0.3966998725871993</v>
      </c>
      <c r="S158" s="839">
        <f t="shared" si="55"/>
        <v>-3</v>
      </c>
      <c r="T158" s="178">
        <f t="shared" si="56"/>
        <v>3</v>
      </c>
      <c r="U158" s="253">
        <f t="shared" si="57"/>
        <v>-2.6033001274128007</v>
      </c>
      <c r="V158" s="385">
        <f t="shared" si="58"/>
        <v>54.816791769082364</v>
      </c>
      <c r="W158" s="404">
        <f t="shared" si="59"/>
        <v>13.840855187643863</v>
      </c>
      <c r="X158" s="157">
        <f t="shared" si="60"/>
        <v>45801</v>
      </c>
      <c r="Y158" s="387">
        <f t="shared" si="61"/>
        <v>12.903803426072695</v>
      </c>
      <c r="Z158" s="387">
        <f t="shared" si="62"/>
        <v>13.672987561142243</v>
      </c>
      <c r="AA158" s="388">
        <f t="shared" si="63"/>
        <v>16.189025068902001</v>
      </c>
      <c r="AB158" s="199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0.1554162463181859</v>
      </c>
      <c r="AD158" s="233">
        <f>(INDEX(Models!$BJ158:$BT158,,AH158)*(1-AF158)+INDEX(Models!$BJ158:$BT158,,AH158+1)*AF158-ERP_i)*AE158*Ramure*Pc/MaxiM</f>
        <v>1.4341173109693576E-3</v>
      </c>
      <c r="AE158" s="307">
        <f t="shared" si="65"/>
        <v>0.9</v>
      </c>
      <c r="AF158" s="179">
        <f t="shared" si="66"/>
        <v>3.2355524894178256E-2</v>
      </c>
      <c r="AG158" s="839">
        <f t="shared" si="74"/>
        <v>2</v>
      </c>
      <c r="AH158" s="178">
        <f t="shared" si="67"/>
        <v>8</v>
      </c>
      <c r="AI158" s="227">
        <f t="shared" si="68"/>
        <v>2.0323555248941783</v>
      </c>
      <c r="AJ158" s="267" t="b">
        <f t="shared" si="69"/>
        <v>0</v>
      </c>
      <c r="AK158" s="267" t="b">
        <f t="shared" si="70"/>
        <v>0</v>
      </c>
      <c r="AL158" s="267"/>
      <c r="AM158" s="267"/>
      <c r="AN158" s="75"/>
    </row>
    <row r="159" spans="1:40" s="6" customFormat="1" ht="11.25" x14ac:dyDescent="0.2">
      <c r="A159" s="56">
        <f t="shared" si="71"/>
        <v>45802</v>
      </c>
      <c r="B159" s="413">
        <f>'2024'!Wh/'2024'!Env_an*'2025'!Env_an</f>
        <v>38.505390894478467</v>
      </c>
      <c r="C159" s="868"/>
      <c r="D159" s="395">
        <f t="shared" si="50"/>
        <v>40.801612182343305</v>
      </c>
      <c r="E159" s="387">
        <f t="shared" si="72"/>
        <v>45.050918692603396</v>
      </c>
      <c r="F159" s="387">
        <f t="shared" si="51"/>
        <v>45.051265489610699</v>
      </c>
      <c r="G159" s="110">
        <f t="shared" si="73"/>
        <v>0.70205136192773898</v>
      </c>
      <c r="H159" s="416" t="b">
        <f>Wh_hp&gt;='2024'!Maxi_hp</f>
        <v>0</v>
      </c>
      <c r="I159" s="392">
        <f>IF(H159,Wh_hp,'2024'!Maxi_hp)</f>
        <v>59.272001912813224</v>
      </c>
      <c r="J159" s="85">
        <f>IF(H159,An,'2024'!An_max)</f>
        <v>2020</v>
      </c>
      <c r="K159" s="199">
        <f t="shared" si="52"/>
        <v>45802</v>
      </c>
      <c r="L159" s="147">
        <f>IF(t&lt;Tvie,1-EXP((T0-t)*PertePVj)+'2024'!Pspv,1-EXP((T0-t)*PertePVj)+Pspv)</f>
        <v>5.627770975330515E-2</v>
      </c>
      <c r="M159" s="872"/>
      <c r="N159" s="872"/>
      <c r="O159" s="48">
        <f>IF(t&lt;Tnet,'2024'!Resal+('2024'!Salim-'2024'!Resal)*(1-EXP(('2024'!Tnet-t)/('2024'!Tau_j))),Resal+(Salim-Resal)*(1-EXP((Tnet-t)/(Tau_j))))*Salcycl</f>
        <v>9.4322305373047893E-2</v>
      </c>
      <c r="P159" s="171">
        <f>(INDEX(Models!$BJ159:$BT159,,T159)*(1-R159)+INDEX(Models!$BJ159:$BT159,,T159+1)*R159-ERP_i)*Q159*Ramure*Pc/MaxiM</f>
        <v>1.3402336647586453E-5</v>
      </c>
      <c r="Q159" s="307">
        <f t="shared" si="53"/>
        <v>0.9</v>
      </c>
      <c r="R159" s="179">
        <f t="shared" si="54"/>
        <v>0.40313534417200314</v>
      </c>
      <c r="S159" s="839">
        <f t="shared" si="55"/>
        <v>-3</v>
      </c>
      <c r="T159" s="178">
        <f t="shared" si="56"/>
        <v>3</v>
      </c>
      <c r="U159" s="253">
        <f t="shared" si="57"/>
        <v>-2.5968646558279969</v>
      </c>
      <c r="V159" s="385">
        <f t="shared" si="58"/>
        <v>54.846658416586472</v>
      </c>
      <c r="W159" s="404">
        <f t="shared" si="59"/>
        <v>38.505390894478467</v>
      </c>
      <c r="X159" s="157">
        <f t="shared" si="60"/>
        <v>45802</v>
      </c>
      <c r="Y159" s="387">
        <f t="shared" si="61"/>
        <v>35.870691675308983</v>
      </c>
      <c r="Z159" s="387">
        <f t="shared" si="62"/>
        <v>38.009795938943185</v>
      </c>
      <c r="AA159" s="388">
        <f t="shared" si="63"/>
        <v>45.01646290084296</v>
      </c>
      <c r="AB159" s="199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0.15564676810199973</v>
      </c>
      <c r="AD159" s="233">
        <f>(INDEX(Models!$BJ159:$BT159,,AH159)*(1-AF159)+INDEX(Models!$BJ159:$BT159,,AH159+1)*AF159-ERP_i)*AE159*Ramure*Pc/MaxiM</f>
        <v>1.3449828027441249E-3</v>
      </c>
      <c r="AE159" s="307">
        <f t="shared" si="65"/>
        <v>0.9</v>
      </c>
      <c r="AF159" s="179">
        <f t="shared" si="66"/>
        <v>3.8790996478982098E-2</v>
      </c>
      <c r="AG159" s="839">
        <f t="shared" si="74"/>
        <v>2</v>
      </c>
      <c r="AH159" s="178">
        <f t="shared" si="67"/>
        <v>8</v>
      </c>
      <c r="AI159" s="227">
        <f t="shared" si="68"/>
        <v>2.0387909964789821</v>
      </c>
      <c r="AJ159" s="267" t="b">
        <f t="shared" si="69"/>
        <v>0</v>
      </c>
      <c r="AK159" s="267" t="b">
        <f t="shared" si="70"/>
        <v>0</v>
      </c>
      <c r="AL159" s="267"/>
      <c r="AM159" s="267"/>
      <c r="AN159" s="75"/>
    </row>
    <row r="160" spans="1:40" s="6" customFormat="1" ht="11.25" x14ac:dyDescent="0.2">
      <c r="A160" s="56">
        <f t="shared" si="71"/>
        <v>45803</v>
      </c>
      <c r="B160" s="413">
        <f>'2024'!Wh/'2024'!Env_an*'2025'!Env_an</f>
        <v>20.222107956213993</v>
      </c>
      <c r="C160" s="868"/>
      <c r="D160" s="395">
        <f t="shared" si="50"/>
        <v>21.428526987398151</v>
      </c>
      <c r="E160" s="387">
        <f t="shared" si="72"/>
        <v>23.666441236469733</v>
      </c>
      <c r="F160" s="387">
        <f t="shared" si="51"/>
        <v>23.666471134267439</v>
      </c>
      <c r="G160" s="110">
        <f t="shared" si="73"/>
        <v>0.36852167050221202</v>
      </c>
      <c r="H160" s="416" t="b">
        <f>Wh_hp&gt;='2024'!Maxi_hp</f>
        <v>0</v>
      </c>
      <c r="I160" s="392">
        <f>IF(H160,Wh_hp,'2024'!Maxi_hp)</f>
        <v>63.227502087912768</v>
      </c>
      <c r="J160" s="85">
        <f>IF(H160,An,'2024'!An_max)</f>
        <v>2020</v>
      </c>
      <c r="K160" s="199">
        <f t="shared" si="52"/>
        <v>45803</v>
      </c>
      <c r="L160" s="147">
        <f>IF(t&lt;Tvie,1-EXP((T0-t)*PertePVj)+'2024'!Pspv,1-EXP((T0-t)*PertePVj)+Pspv)</f>
        <v>5.6299671549688735E-2</v>
      </c>
      <c r="M160" s="872"/>
      <c r="N160" s="872"/>
      <c r="O160" s="48">
        <f>IF(t&lt;Tnet,'2024'!Resal+('2024'!Salim-'2024'!Resal)*(1-EXP(('2024'!Tnet-t)/('2024'!Tau_j))),Resal+(Salim-Resal)*(1-EXP((Tnet-t)/(Tau_j))))*Salcycl</f>
        <v>9.4560657714053878E-2</v>
      </c>
      <c r="P160" s="171">
        <f>(INDEX(Models!$BJ160:$BT160,,T160)*(1-R160)+INDEX(Models!$BJ160:$BT160,,T160+1)*R160-ERP_i)*Q160*Ramure*Pc/MaxiM</f>
        <v>1.2904720433735459E-5</v>
      </c>
      <c r="Q160" s="307">
        <f t="shared" si="53"/>
        <v>0.9</v>
      </c>
      <c r="R160" s="179">
        <f t="shared" si="54"/>
        <v>0.40965530144916862</v>
      </c>
      <c r="S160" s="839">
        <f t="shared" si="55"/>
        <v>-3</v>
      </c>
      <c r="T160" s="178">
        <f t="shared" si="56"/>
        <v>3</v>
      </c>
      <c r="U160" s="253">
        <f t="shared" si="57"/>
        <v>-2.5903446985508314</v>
      </c>
      <c r="V160" s="385">
        <f t="shared" si="58"/>
        <v>54.872953642728064</v>
      </c>
      <c r="W160" s="404">
        <f t="shared" si="59"/>
        <v>20.222107956213993</v>
      </c>
      <c r="X160" s="157">
        <f t="shared" si="60"/>
        <v>45803</v>
      </c>
      <c r="Y160" s="387">
        <f t="shared" si="61"/>
        <v>18.850355534001004</v>
      </c>
      <c r="Z160" s="387">
        <f t="shared" si="62"/>
        <v>19.974937981589918</v>
      </c>
      <c r="AA160" s="388">
        <f t="shared" si="63"/>
        <v>23.663547984247227</v>
      </c>
      <c r="AB160" s="199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0.15587730145592746</v>
      </c>
      <c r="AD160" s="233">
        <f>(INDEX(Models!$BJ160:$BT160,,AH160)*(1-AF160)+INDEX(Models!$BJ160:$BT160,,AH160+1)*AF160-ERP_i)*AE160*Ramure*Pc/MaxiM</f>
        <v>1.261712791353554E-3</v>
      </c>
      <c r="AE160" s="307">
        <f t="shared" si="65"/>
        <v>0.9</v>
      </c>
      <c r="AF160" s="179">
        <f t="shared" si="66"/>
        <v>4.5310953756147576E-2</v>
      </c>
      <c r="AG160" s="839">
        <f t="shared" si="74"/>
        <v>2</v>
      </c>
      <c r="AH160" s="178">
        <f t="shared" si="67"/>
        <v>8</v>
      </c>
      <c r="AI160" s="227">
        <f t="shared" si="68"/>
        <v>2.0453109537561476</v>
      </c>
      <c r="AJ160" s="267" t="b">
        <f t="shared" si="69"/>
        <v>0</v>
      </c>
      <c r="AK160" s="267" t="b">
        <f t="shared" si="70"/>
        <v>0</v>
      </c>
      <c r="AL160" s="267"/>
      <c r="AM160" s="267"/>
      <c r="AN160" s="75"/>
    </row>
    <row r="161" spans="1:40" s="6" customFormat="1" ht="11.25" x14ac:dyDescent="0.2">
      <c r="A161" s="56">
        <f t="shared" si="71"/>
        <v>45804</v>
      </c>
      <c r="B161" s="413">
        <f>'2024'!Wh/'2024'!Env_an*'2025'!Env_an</f>
        <v>38.330781953471366</v>
      </c>
      <c r="C161" s="868"/>
      <c r="D161" s="395">
        <f t="shared" si="50"/>
        <v>40.618481134228311</v>
      </c>
      <c r="E161" s="387">
        <f t="shared" si="72"/>
        <v>44.87233290703896</v>
      </c>
      <c r="F161" s="387">
        <f t="shared" si="51"/>
        <v>44.872650367836798</v>
      </c>
      <c r="G161" s="110">
        <f t="shared" si="73"/>
        <v>0.69824021328499908</v>
      </c>
      <c r="H161" s="416" t="b">
        <f>Wh_hp&gt;='2024'!Maxi_hp</f>
        <v>0</v>
      </c>
      <c r="I161" s="392">
        <f>IF(H161,Wh_hp,'2024'!Maxi_hp)</f>
        <v>62.760133675554769</v>
      </c>
      <c r="J161" s="85">
        <f>IF(H161,An,'2024'!An_max)</f>
        <v>2020</v>
      </c>
      <c r="K161" s="199">
        <f t="shared" si="52"/>
        <v>45804</v>
      </c>
      <c r="L161" s="147">
        <f>IF(t&lt;Tvie,1-EXP((T0-t)*PertePVj)+'2024'!Pspv,1-EXP((T0-t)*PertePVj)+Pspv)</f>
        <v>5.6321632834989255E-2</v>
      </c>
      <c r="M161" s="872"/>
      <c r="N161" s="872"/>
      <c r="O161" s="48">
        <f>IF(t&lt;Tnet,'2024'!Resal+('2024'!Salim-'2024'!Resal)*(1-EXP(('2024'!Tnet-t)/('2024'!Tau_j))),Resal+(Salim-Resal)*(1-EXP((Tnet-t)/(Tau_j))))*Salcycl</f>
        <v>9.4798988535391301E-2</v>
      </c>
      <c r="P161" s="171">
        <f>(INDEX(Models!$BJ161:$BT161,,T161)*(1-R161)+INDEX(Models!$BJ161:$BT161,,T161+1)*R161-ERP_i)*Q161*Ramure*Pc/MaxiM</f>
        <v>1.2435327518194054E-5</v>
      </c>
      <c r="Q161" s="307">
        <f t="shared" si="53"/>
        <v>0.9</v>
      </c>
      <c r="R161" s="179">
        <f t="shared" si="54"/>
        <v>0.41625580779653459</v>
      </c>
      <c r="S161" s="839">
        <f t="shared" si="55"/>
        <v>-3</v>
      </c>
      <c r="T161" s="178">
        <f t="shared" si="56"/>
        <v>3</v>
      </c>
      <c r="U161" s="253">
        <f t="shared" si="57"/>
        <v>-2.5837441922034654</v>
      </c>
      <c r="V161" s="385">
        <f t="shared" si="58"/>
        <v>54.895973829494217</v>
      </c>
      <c r="W161" s="404">
        <f t="shared" si="59"/>
        <v>38.330781953471366</v>
      </c>
      <c r="X161" s="157">
        <f t="shared" si="60"/>
        <v>45804</v>
      </c>
      <c r="Y161" s="387">
        <f t="shared" si="61"/>
        <v>35.710837757571326</v>
      </c>
      <c r="Z161" s="387">
        <f t="shared" si="62"/>
        <v>37.842170595531897</v>
      </c>
      <c r="AA161" s="388">
        <f t="shared" si="63"/>
        <v>44.842415249852827</v>
      </c>
      <c r="AB161" s="199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0.15610766314251781</v>
      </c>
      <c r="AD161" s="233">
        <f>(INDEX(Models!$BJ161:$BT161,,AH161)*(1-AF161)+INDEX(Models!$BJ161:$BT161,,AH161+1)*AF161-ERP_i)*AE161*Ramure*Pc/MaxiM</f>
        <v>1.184346531096427E-3</v>
      </c>
      <c r="AE161" s="307">
        <f t="shared" si="65"/>
        <v>0.9</v>
      </c>
      <c r="AF161" s="179">
        <f t="shared" si="66"/>
        <v>5.1911460103513551E-2</v>
      </c>
      <c r="AG161" s="839">
        <f t="shared" si="74"/>
        <v>2</v>
      </c>
      <c r="AH161" s="178">
        <f t="shared" si="67"/>
        <v>8</v>
      </c>
      <c r="AI161" s="227">
        <f t="shared" si="68"/>
        <v>2.0519114601035136</v>
      </c>
      <c r="AJ161" s="267" t="b">
        <f t="shared" si="69"/>
        <v>0</v>
      </c>
      <c r="AK161" s="267" t="b">
        <f t="shared" si="70"/>
        <v>0</v>
      </c>
      <c r="AL161" s="267"/>
      <c r="AM161" s="267"/>
      <c r="AN161" s="75"/>
    </row>
    <row r="162" spans="1:40" s="6" customFormat="1" ht="11.25" x14ac:dyDescent="0.2">
      <c r="A162" s="56">
        <f t="shared" si="71"/>
        <v>45805</v>
      </c>
      <c r="B162" s="413">
        <f>'2024'!Wh/'2024'!Env_an*'2025'!Env_an</f>
        <v>51.177383399317293</v>
      </c>
      <c r="C162" s="868"/>
      <c r="D162" s="395">
        <f t="shared" si="50"/>
        <v>54.233069423071356</v>
      </c>
      <c r="E162" s="387">
        <f t="shared" si="72"/>
        <v>59.928505907750811</v>
      </c>
      <c r="F162" s="387">
        <f t="shared" si="51"/>
        <v>59.929155111886587</v>
      </c>
      <c r="G162" s="110">
        <f t="shared" si="73"/>
        <v>0.93191983341649287</v>
      </c>
      <c r="H162" s="416" t="b">
        <f>Wh_hp&gt;='2024'!Maxi_hp</f>
        <v>0</v>
      </c>
      <c r="I162" s="392">
        <f>IF(H162,Wh_hp,'2024'!Maxi_hp)</f>
        <v>61.94834261618918</v>
      </c>
      <c r="J162" s="85">
        <f>IF(H162,An,'2024'!An_max)</f>
        <v>2020</v>
      </c>
      <c r="K162" s="199">
        <f t="shared" si="52"/>
        <v>45805</v>
      </c>
      <c r="L162" s="147">
        <f>IF(t&lt;Tvie,1-EXP((T0-t)*PertePVj)+'2024'!Pspv,1-EXP((T0-t)*PertePVj)+Pspv)</f>
        <v>5.6343593609218479E-2</v>
      </c>
      <c r="M162" s="872"/>
      <c r="N162" s="872"/>
      <c r="O162" s="48">
        <f>IF(t&lt;Tnet,'2024'!Resal+('2024'!Salim-'2024'!Resal)*(1-EXP(('2024'!Tnet-t)/('2024'!Tau_j))),Resal+(Salim-Resal)*(1-EXP((Tnet-t)/(Tau_j))))*Salcycl</f>
        <v>9.5037184698823648E-2</v>
      </c>
      <c r="P162" s="171">
        <f>(INDEX(Models!$BJ162:$BT162,,T162)*(1-R162)+INDEX(Models!$BJ162:$BT162,,T162+1)*R162-ERP_i)*Q162*Ramure*Pc/MaxiM</f>
        <v>1.1999922163632984E-5</v>
      </c>
      <c r="Q162" s="307">
        <f t="shared" si="53"/>
        <v>0.9</v>
      </c>
      <c r="R162" s="179">
        <f t="shared" si="54"/>
        <v>0.42293269113069387</v>
      </c>
      <c r="S162" s="839">
        <f t="shared" si="55"/>
        <v>-3</v>
      </c>
      <c r="T162" s="178">
        <f t="shared" si="56"/>
        <v>3</v>
      </c>
      <c r="U162" s="253">
        <f t="shared" si="57"/>
        <v>-2.5770673088693061</v>
      </c>
      <c r="V162" s="385">
        <f t="shared" si="58"/>
        <v>54.916015129598108</v>
      </c>
      <c r="W162" s="404">
        <f t="shared" si="59"/>
        <v>51.177383399317293</v>
      </c>
      <c r="X162" s="157">
        <f t="shared" si="60"/>
        <v>45805</v>
      </c>
      <c r="Y162" s="387">
        <f t="shared" si="61"/>
        <v>47.663305312497656</v>
      </c>
      <c r="Z162" s="387">
        <f t="shared" si="62"/>
        <v>50.509173667136217</v>
      </c>
      <c r="AA162" s="388">
        <f t="shared" si="63"/>
        <v>59.868944905951203</v>
      </c>
      <c r="AB162" s="199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0.15633766811020899</v>
      </c>
      <c r="AD162" s="233">
        <f>(INDEX(Models!$BJ162:$BT162,,AH162)*(1-AF162)+INDEX(Models!$BJ162:$BT162,,AH162+1)*AF162-ERP_i)*AE162*Ramure*Pc/MaxiM</f>
        <v>1.1129284994737193E-3</v>
      </c>
      <c r="AE162" s="307">
        <f t="shared" si="65"/>
        <v>0.9</v>
      </c>
      <c r="AF162" s="179">
        <f t="shared" si="66"/>
        <v>5.858834343767283E-2</v>
      </c>
      <c r="AG162" s="839">
        <f t="shared" si="74"/>
        <v>2</v>
      </c>
      <c r="AH162" s="178">
        <f t="shared" si="67"/>
        <v>8</v>
      </c>
      <c r="AI162" s="227">
        <f t="shared" si="68"/>
        <v>2.0585883434376728</v>
      </c>
      <c r="AJ162" s="267" t="b">
        <f t="shared" si="69"/>
        <v>0</v>
      </c>
      <c r="AK162" s="267" t="b">
        <f t="shared" si="70"/>
        <v>0</v>
      </c>
      <c r="AL162" s="267"/>
      <c r="AM162" s="267"/>
      <c r="AN162" s="75"/>
    </row>
    <row r="163" spans="1:40" s="6" customFormat="1" ht="11.25" x14ac:dyDescent="0.2">
      <c r="A163" s="56">
        <f t="shared" si="71"/>
        <v>45806</v>
      </c>
      <c r="B163" s="413">
        <f>'2024'!Wh/'2024'!Env_an*'2025'!Env_an</f>
        <v>55.855772381524297</v>
      </c>
      <c r="C163" s="868"/>
      <c r="D163" s="395">
        <f t="shared" si="50"/>
        <v>59.192171937702554</v>
      </c>
      <c r="E163" s="387">
        <f t="shared" si="72"/>
        <v>65.4256050910694</v>
      </c>
      <c r="F163" s="387">
        <f t="shared" si="51"/>
        <v>65.426364345119993</v>
      </c>
      <c r="G163" s="110">
        <f t="shared" si="73"/>
        <v>1.0168121653183677</v>
      </c>
      <c r="H163" s="416" t="b">
        <f>Wh_hp&gt;='2024'!Maxi_hp</f>
        <v>1</v>
      </c>
      <c r="I163" s="392">
        <f>IF(H163,Wh_hp,'2024'!Maxi_hp)</f>
        <v>65.426364345119993</v>
      </c>
      <c r="J163" s="85">
        <f>IF(H163,An,'2024'!An_max)</f>
        <v>2025</v>
      </c>
      <c r="K163" s="199">
        <f t="shared" si="52"/>
        <v>45806</v>
      </c>
      <c r="L163" s="147">
        <f>IF(t&lt;Tvie,1-EXP((T0-t)*PertePVj)+'2024'!Pspv,1-EXP((T0-t)*PertePVj)+Pspv)</f>
        <v>5.6365553872388507E-2</v>
      </c>
      <c r="M163" s="872"/>
      <c r="N163" s="872"/>
      <c r="O163" s="48">
        <f>IF(t&lt;Tnet,'2024'!Resal+('2024'!Salim-'2024'!Resal)*(1-EXP(('2024'!Tnet-t)/('2024'!Tau_j))),Resal+(Salim-Resal)*(1-EXP((Tnet-t)/(Tau_j))))*Salcycl</f>
        <v>9.5275131879792224E-2</v>
      </c>
      <c r="P163" s="171">
        <f>(INDEX(Models!$BJ163:$BT163,,T163)*(1-R163)+INDEX(Models!$BJ163:$BT163,,T163+1)*R163-ERP_i)*Q163*Ramure*Pc/MaxiM</f>
        <v>1.1604711008972477E-5</v>
      </c>
      <c r="Q163" s="307">
        <f t="shared" si="53"/>
        <v>0.9</v>
      </c>
      <c r="R163" s="179">
        <f t="shared" si="54"/>
        <v>0.42968155189440482</v>
      </c>
      <c r="S163" s="839">
        <f t="shared" si="55"/>
        <v>-3</v>
      </c>
      <c r="T163" s="178">
        <f t="shared" si="56"/>
        <v>3</v>
      </c>
      <c r="U163" s="253">
        <f t="shared" si="57"/>
        <v>-2.5703184481055952</v>
      </c>
      <c r="V163" s="385">
        <f t="shared" si="58"/>
        <v>54.932242440309167</v>
      </c>
      <c r="W163" s="404">
        <f t="shared" si="59"/>
        <v>55.855772381524297</v>
      </c>
      <c r="X163" s="157">
        <f t="shared" si="60"/>
        <v>45806</v>
      </c>
      <c r="Y163" s="387">
        <f t="shared" si="61"/>
        <v>52.017792872844531</v>
      </c>
      <c r="Z163" s="387">
        <f t="shared" si="62"/>
        <v>55.12494068684088</v>
      </c>
      <c r="AA163" s="388">
        <f t="shared" si="63"/>
        <v>65.357828293541544</v>
      </c>
      <c r="AB163" s="199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0.15656713011854839</v>
      </c>
      <c r="AD163" s="233">
        <f>(INDEX(Models!$BJ163:$BT163,,AH163)*(1-AF163)+INDEX(Models!$BJ163:$BT163,,AH163+1)*AF163-ERP_i)*AE163*Ramure*Pc/MaxiM</f>
        <v>1.0475295741166663E-3</v>
      </c>
      <c r="AE163" s="307">
        <f t="shared" si="65"/>
        <v>0.9</v>
      </c>
      <c r="AF163" s="179">
        <f t="shared" si="66"/>
        <v>6.5337204201383781E-2</v>
      </c>
      <c r="AG163" s="839">
        <f t="shared" si="74"/>
        <v>2</v>
      </c>
      <c r="AH163" s="178">
        <f t="shared" si="67"/>
        <v>8</v>
      </c>
      <c r="AI163" s="227">
        <f t="shared" si="68"/>
        <v>2.0653372042013838</v>
      </c>
      <c r="AJ163" s="267" t="b">
        <f t="shared" si="69"/>
        <v>0</v>
      </c>
      <c r="AK163" s="267" t="b">
        <f t="shared" si="70"/>
        <v>0</v>
      </c>
      <c r="AL163" s="267"/>
      <c r="AM163" s="267"/>
      <c r="AN163" s="75"/>
    </row>
    <row r="164" spans="1:40" s="6" customFormat="1" ht="11.25" x14ac:dyDescent="0.2">
      <c r="A164" s="56">
        <f t="shared" si="71"/>
        <v>45807</v>
      </c>
      <c r="B164" s="413">
        <f>'2024'!Wh/'2024'!Env_an*'2025'!Env_an</f>
        <v>47.755482042554448</v>
      </c>
      <c r="C164" s="868"/>
      <c r="D164" s="395">
        <f t="shared" si="50"/>
        <v>50.609209534719163</v>
      </c>
      <c r="E164" s="387">
        <f t="shared" si="72"/>
        <v>55.953478143694987</v>
      </c>
      <c r="F164" s="387">
        <f t="shared" si="51"/>
        <v>55.953991359141668</v>
      </c>
      <c r="G164" s="110">
        <f t="shared" si="73"/>
        <v>0.86916847847655543</v>
      </c>
      <c r="H164" s="416" t="b">
        <f>Wh_hp&gt;='2024'!Maxi_hp</f>
        <v>0</v>
      </c>
      <c r="I164" s="392">
        <f>IF(H164,Wh_hp,'2024'!Maxi_hp)</f>
        <v>63.612298063151371</v>
      </c>
      <c r="J164" s="85">
        <f>IF(H164,An,'2024'!An_max)</f>
        <v>2019</v>
      </c>
      <c r="K164" s="199">
        <f t="shared" si="52"/>
        <v>45807</v>
      </c>
      <c r="L164" s="147">
        <f>IF(t&lt;Tvie,1-EXP((T0-t)*PertePVj)+'2024'!Pspv,1-EXP((T0-t)*PertePVj)+Pspv)</f>
        <v>5.638751362451111E-2</v>
      </c>
      <c r="M164" s="872"/>
      <c r="N164" s="872"/>
      <c r="O164" s="48">
        <f>IF(t&lt;Tnet,'2024'!Resal+('2024'!Salim-'2024'!Resal)*(1-EXP(('2024'!Tnet-t)/('2024'!Tau_j))),Resal+(Salim-Resal)*(1-EXP((Tnet-t)/(Tau_j))))*Salcycl</f>
        <v>9.5512714960294731E-2</v>
      </c>
      <c r="P164" s="171">
        <f>(INDEX(Models!$BJ164:$BT164,,T164)*(1-R164)+INDEX(Models!$BJ164:$BT164,,T164+1)*R164-ERP_i)*Q164*Ramure*Pc/MaxiM</f>
        <v>1.1280398689643982E-5</v>
      </c>
      <c r="Q164" s="307">
        <f t="shared" si="53"/>
        <v>0.9</v>
      </c>
      <c r="R164" s="179">
        <f t="shared" si="54"/>
        <v>0.43649777241052723</v>
      </c>
      <c r="S164" s="839">
        <f t="shared" si="55"/>
        <v>-3</v>
      </c>
      <c r="T164" s="178">
        <f t="shared" si="56"/>
        <v>3</v>
      </c>
      <c r="U164" s="253">
        <f t="shared" si="57"/>
        <v>-2.5635022275894728</v>
      </c>
      <c r="V164" s="385">
        <f t="shared" si="58"/>
        <v>54.943756637815639</v>
      </c>
      <c r="W164" s="404">
        <f t="shared" si="59"/>
        <v>47.755482042554448</v>
      </c>
      <c r="X164" s="157">
        <f t="shared" si="60"/>
        <v>45807</v>
      </c>
      <c r="Y164" s="387">
        <f t="shared" si="61"/>
        <v>44.484398891493711</v>
      </c>
      <c r="Z164" s="387">
        <f t="shared" si="62"/>
        <v>47.142656051916809</v>
      </c>
      <c r="AA164" s="388">
        <f t="shared" si="63"/>
        <v>55.908947725605692</v>
      </c>
      <c r="AB164" s="199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0.15679586238526214</v>
      </c>
      <c r="AD164" s="233">
        <f>(INDEX(Models!$BJ164:$BT164,,AH164)*(1-AF164)+INDEX(Models!$BJ164:$BT164,,AH164+1)*AF164-ERP_i)*AE164*Ramure*Pc/MaxiM</f>
        <v>9.9005232209500274E-4</v>
      </c>
      <c r="AE164" s="307">
        <f t="shared" si="65"/>
        <v>0.9</v>
      </c>
      <c r="AF164" s="179">
        <f t="shared" si="66"/>
        <v>7.2153424717506187E-2</v>
      </c>
      <c r="AG164" s="839">
        <f t="shared" si="74"/>
        <v>2</v>
      </c>
      <c r="AH164" s="178">
        <f t="shared" si="67"/>
        <v>8</v>
      </c>
      <c r="AI164" s="227">
        <f t="shared" si="68"/>
        <v>2.0721534247175062</v>
      </c>
      <c r="AJ164" s="267" t="b">
        <f t="shared" si="69"/>
        <v>0</v>
      </c>
      <c r="AK164" s="267" t="b">
        <f t="shared" si="70"/>
        <v>0</v>
      </c>
      <c r="AL164" s="267"/>
      <c r="AM164" s="267"/>
      <c r="AN164" s="75"/>
    </row>
    <row r="165" spans="1:40" s="6" customFormat="1" ht="11.25" x14ac:dyDescent="0.2">
      <c r="A165" s="56">
        <f t="shared" si="71"/>
        <v>45808</v>
      </c>
      <c r="B165" s="413">
        <f>'2024'!Wh/'2024'!Env_an*'2025'!Env_an</f>
        <v>51.189757337283694</v>
      </c>
      <c r="C165" s="868"/>
      <c r="D165" s="395">
        <f t="shared" si="50"/>
        <v>54.249969520934371</v>
      </c>
      <c r="E165" s="387">
        <f t="shared" si="72"/>
        <v>59.994424802949311</v>
      </c>
      <c r="F165" s="387">
        <f t="shared" si="51"/>
        <v>59.995020250171557</v>
      </c>
      <c r="G165" s="110">
        <f t="shared" si="73"/>
        <v>0.9315558339743395</v>
      </c>
      <c r="H165" s="416" t="b">
        <f>Wh_hp&gt;='2024'!Maxi_hp</f>
        <v>0</v>
      </c>
      <c r="I165" s="392">
        <f>IF(H165,Wh_hp,'2024'!Maxi_hp)</f>
        <v>64.631023417183059</v>
      </c>
      <c r="J165" s="85">
        <f>IF(H165,An,'2024'!An_max)</f>
        <v>2019</v>
      </c>
      <c r="K165" s="199">
        <f t="shared" si="52"/>
        <v>45808</v>
      </c>
      <c r="L165" s="147">
        <f>IF(t&lt;Tvie,1-EXP((T0-t)*PertePVj)+'2024'!Pspv,1-EXP((T0-t)*PertePVj)+Pspv)</f>
        <v>5.6409472865598165E-2</v>
      </c>
      <c r="M165" s="872"/>
      <c r="N165" s="872"/>
      <c r="O165" s="48">
        <f>IF(t&lt;Tnet,'2024'!Resal+('2024'!Salim-'2024'!Resal)*(1-EXP(('2024'!Tnet-t)/('2024'!Tau_j))),Resal+(Salim-Resal)*(1-EXP((Tnet-t)/(Tau_j))))*Salcycl</f>
        <v>9.5749818435338058E-2</v>
      </c>
      <c r="P165" s="171">
        <f>(INDEX(Models!$BJ165:$BT165,,T165)*(1-R165)+INDEX(Models!$BJ165:$BT165,,T165+1)*R165-ERP_i)*Q165*Ramure*Pc/MaxiM</f>
        <v>1.1000531503024533E-5</v>
      </c>
      <c r="Q165" s="307">
        <f t="shared" si="53"/>
        <v>0.9</v>
      </c>
      <c r="R165" s="179">
        <f t="shared" si="54"/>
        <v>0.44337652758000479</v>
      </c>
      <c r="S165" s="839">
        <f t="shared" si="55"/>
        <v>-3</v>
      </c>
      <c r="T165" s="178">
        <f t="shared" si="56"/>
        <v>3</v>
      </c>
      <c r="U165" s="253">
        <f t="shared" si="57"/>
        <v>-2.5566234724199952</v>
      </c>
      <c r="V165" s="385">
        <f t="shared" si="58"/>
        <v>54.95076130787146</v>
      </c>
      <c r="W165" s="404">
        <f t="shared" si="59"/>
        <v>51.189757337283694</v>
      </c>
      <c r="X165" s="157">
        <f t="shared" si="60"/>
        <v>45808</v>
      </c>
      <c r="Y165" s="387">
        <f t="shared" si="61"/>
        <v>47.681249264295111</v>
      </c>
      <c r="Z165" s="387">
        <f t="shared" si="62"/>
        <v>50.531716770301529</v>
      </c>
      <c r="AA165" s="388">
        <f t="shared" si="63"/>
        <v>59.944408243275106</v>
      </c>
      <c r="AB165" s="199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0.15702367825158317</v>
      </c>
      <c r="AD165" s="233">
        <f>(INDEX(Models!$BJ165:$BT165,,AH165)*(1-AF165)+INDEX(Models!$BJ165:$BT165,,AH165+1)*AF165-ERP_i)*AE165*Ramure*Pc/MaxiM</f>
        <v>9.3502657412929905E-4</v>
      </c>
      <c r="AE165" s="307">
        <f t="shared" si="65"/>
        <v>0.9</v>
      </c>
      <c r="AF165" s="179">
        <f t="shared" si="66"/>
        <v>7.9032179886983744E-2</v>
      </c>
      <c r="AG165" s="839">
        <f t="shared" si="74"/>
        <v>2</v>
      </c>
      <c r="AH165" s="178">
        <f t="shared" si="67"/>
        <v>8</v>
      </c>
      <c r="AI165" s="227">
        <f t="shared" si="68"/>
        <v>2.0790321798869837</v>
      </c>
      <c r="AJ165" s="267" t="b">
        <f t="shared" si="69"/>
        <v>0</v>
      </c>
      <c r="AK165" s="267" t="b">
        <f t="shared" si="70"/>
        <v>0</v>
      </c>
      <c r="AL165" s="267"/>
      <c r="AM165" s="267"/>
      <c r="AN165" s="75"/>
    </row>
    <row r="166" spans="1:40" s="6" customFormat="1" ht="11.25" x14ac:dyDescent="0.2">
      <c r="A166" s="56">
        <f t="shared" si="71"/>
        <v>45809</v>
      </c>
      <c r="B166" s="413">
        <f>'2024'!Wh/'2024'!Env_an*'2025'!Env_an</f>
        <v>52.646948791944048</v>
      </c>
      <c r="C166" s="868"/>
      <c r="D166" s="395">
        <f t="shared" si="50"/>
        <v>55.795572844244809</v>
      </c>
      <c r="E166" s="387">
        <f t="shared" si="72"/>
        <v>61.719832896592258</v>
      </c>
      <c r="F166" s="387">
        <f t="shared" si="51"/>
        <v>61.720457816063671</v>
      </c>
      <c r="G166" s="110">
        <f t="shared" si="73"/>
        <v>0.95802733184780553</v>
      </c>
      <c r="H166" s="416" t="b">
        <f>Wh_hp&gt;='2024'!Maxi_hp</f>
        <v>0</v>
      </c>
      <c r="I166" s="392">
        <f>IF(H166,Wh_hp,'2024'!Maxi_hp)</f>
        <v>65.060642777484958</v>
      </c>
      <c r="J166" s="85">
        <f>IF(H166,An,'2024'!An_max)</f>
        <v>2019</v>
      </c>
      <c r="K166" s="199">
        <f t="shared" si="52"/>
        <v>45809</v>
      </c>
      <c r="L166" s="147">
        <f>IF(t&lt;Tvie,1-EXP((T0-t)*PertePVj)+'2024'!Pspv,1-EXP((T0-t)*PertePVj)+Pspv)</f>
        <v>5.6431431595661663E-2</v>
      </c>
      <c r="M166" s="872"/>
      <c r="N166" s="872"/>
      <c r="O166" s="48">
        <f>IF(t&lt;Tnet,'2024'!Resal+('2024'!Salim-'2024'!Resal)*(1-EXP(('2024'!Tnet-t)/('2024'!Tau_j))),Resal+(Salim-Resal)*(1-EXP((Tnet-t)/(Tau_j))))*Salcycl</f>
        <v>9.5986326830683047E-2</v>
      </c>
      <c r="P166" s="171">
        <f>(INDEX(Models!$BJ166:$BT166,,T166)*(1-R166)+INDEX(Models!$BJ166:$BT166,,T166+1)*R166-ERP_i)*Q166*Ramure*Pc/MaxiM</f>
        <v>1.0770816246115188E-5</v>
      </c>
      <c r="Q166" s="307">
        <f t="shared" si="53"/>
        <v>0.9</v>
      </c>
      <c r="R166" s="179">
        <f t="shared" si="54"/>
        <v>0.45031279688791992</v>
      </c>
      <c r="S166" s="839">
        <f t="shared" si="55"/>
        <v>-3</v>
      </c>
      <c r="T166" s="178">
        <f t="shared" si="56"/>
        <v>3</v>
      </c>
      <c r="U166" s="253">
        <f t="shared" si="57"/>
        <v>-2.5496872031120801</v>
      </c>
      <c r="V166" s="385">
        <f t="shared" si="58"/>
        <v>54.953458049742466</v>
      </c>
      <c r="W166" s="404">
        <f t="shared" si="59"/>
        <v>52.646948791944048</v>
      </c>
      <c r="X166" s="157">
        <f t="shared" si="60"/>
        <v>45809</v>
      </c>
      <c r="Y166" s="387">
        <f t="shared" si="61"/>
        <v>49.038904923527497</v>
      </c>
      <c r="Z166" s="387">
        <f t="shared" si="62"/>
        <v>51.971744890206352</v>
      </c>
      <c r="AA166" s="388">
        <f t="shared" si="63"/>
        <v>61.669260226693332</v>
      </c>
      <c r="AB166" s="199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0.15725039186199674</v>
      </c>
      <c r="AD166" s="233">
        <f>(INDEX(Models!$BJ166:$BT166,,AH166)*(1-AF166)+INDEX(Models!$BJ166:$BT166,,AH166+1)*AF166-ERP_i)*AE166*Ramure*Pc/MaxiM</f>
        <v>8.8241741947886433E-4</v>
      </c>
      <c r="AE166" s="307">
        <f t="shared" si="65"/>
        <v>0.9</v>
      </c>
      <c r="AF166" s="179">
        <f t="shared" si="66"/>
        <v>8.5968449194898877E-2</v>
      </c>
      <c r="AG166" s="839">
        <f t="shared" si="74"/>
        <v>2</v>
      </c>
      <c r="AH166" s="178">
        <f t="shared" si="67"/>
        <v>8</v>
      </c>
      <c r="AI166" s="227">
        <f t="shared" si="68"/>
        <v>2.0859684491948989</v>
      </c>
      <c r="AJ166" s="267" t="b">
        <f t="shared" si="69"/>
        <v>0</v>
      </c>
      <c r="AK166" s="267" t="b">
        <f t="shared" si="70"/>
        <v>0</v>
      </c>
      <c r="AL166" s="267"/>
      <c r="AM166" s="267"/>
      <c r="AN166" s="75"/>
    </row>
    <row r="167" spans="1:40" s="6" customFormat="1" ht="11.25" x14ac:dyDescent="0.2">
      <c r="A167" s="56">
        <f t="shared" si="71"/>
        <v>45810</v>
      </c>
      <c r="B167" s="413">
        <f>'2024'!Wh/'2024'!Env_an*'2025'!Env_an</f>
        <v>41.347187959462211</v>
      </c>
      <c r="C167" s="868"/>
      <c r="D167" s="395">
        <f t="shared" si="50"/>
        <v>43.821033866406196</v>
      </c>
      <c r="E167" s="387">
        <f t="shared" si="72"/>
        <v>48.48650878146632</v>
      </c>
      <c r="F167" s="387">
        <f t="shared" si="51"/>
        <v>48.486840873118254</v>
      </c>
      <c r="G167" s="110">
        <f t="shared" si="73"/>
        <v>0.75242023439962846</v>
      </c>
      <c r="H167" s="416" t="b">
        <f>Wh_hp&gt;='2024'!Maxi_hp</f>
        <v>0</v>
      </c>
      <c r="I167" s="392">
        <f>IF(H167,Wh_hp,'2024'!Maxi_hp)</f>
        <v>63.821113384817394</v>
      </c>
      <c r="J167" s="85">
        <f>IF(H167,An,'2024'!An_max)</f>
        <v>2019</v>
      </c>
      <c r="K167" s="199">
        <f t="shared" si="52"/>
        <v>45810</v>
      </c>
      <c r="L167" s="147">
        <f>IF(t&lt;Tvie,1-EXP((T0-t)*PertePVj)+'2024'!Pspv,1-EXP((T0-t)*PertePVj)+Pspv)</f>
        <v>5.6453389814713373E-2</v>
      </c>
      <c r="M167" s="872"/>
      <c r="N167" s="872"/>
      <c r="O167" s="48">
        <f>IF(t&lt;Tnet,'2024'!Resal+('2024'!Salim-'2024'!Resal)*(1-EXP(('2024'!Tnet-t)/('2024'!Tau_j))),Resal+(Salim-Resal)*(1-EXP((Tnet-t)/(Tau_j))))*Salcycl</f>
        <v>9.6222125129443781E-2</v>
      </c>
      <c r="P167" s="171">
        <f>(INDEX(Models!$BJ167:$BT167,,T167)*(1-R167)+INDEX(Models!$BJ167:$BT167,,T167+1)*R167-ERP_i)*Q167*Ramure*Pc/MaxiM</f>
        <v>1.059710852872477E-5</v>
      </c>
      <c r="Q167" s="307">
        <f t="shared" si="53"/>
        <v>0.9</v>
      </c>
      <c r="R167" s="179">
        <f t="shared" si="54"/>
        <v>0.45730137766809742</v>
      </c>
      <c r="S167" s="839">
        <f t="shared" si="55"/>
        <v>-3</v>
      </c>
      <c r="T167" s="178">
        <f t="shared" si="56"/>
        <v>3</v>
      </c>
      <c r="U167" s="253">
        <f t="shared" si="57"/>
        <v>-2.5426986223319026</v>
      </c>
      <c r="V167" s="385">
        <f t="shared" si="58"/>
        <v>54.952048202353453</v>
      </c>
      <c r="W167" s="404">
        <f t="shared" si="59"/>
        <v>41.347187959462211</v>
      </c>
      <c r="X167" s="157">
        <f t="shared" si="60"/>
        <v>45810</v>
      </c>
      <c r="Y167" s="387">
        <f t="shared" si="61"/>
        <v>38.524407582517902</v>
      </c>
      <c r="Z167" s="387">
        <f t="shared" si="62"/>
        <v>40.829363559424763</v>
      </c>
      <c r="AA167" s="388">
        <f t="shared" si="63"/>
        <v>48.460761688650102</v>
      </c>
      <c r="AB167" s="199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0.15747581885434275</v>
      </c>
      <c r="AD167" s="233">
        <f>(INDEX(Models!$BJ167:$BT167,,AH167)*(1-AF167)+INDEX(Models!$BJ167:$BT167,,AH167+1)*AF167-ERP_i)*AE167*Ramure*Pc/MaxiM</f>
        <v>8.3219179567237535E-4</v>
      </c>
      <c r="AE167" s="307">
        <f t="shared" si="65"/>
        <v>0.9</v>
      </c>
      <c r="AF167" s="179">
        <f t="shared" si="66"/>
        <v>9.2957029975076377E-2</v>
      </c>
      <c r="AG167" s="839">
        <f t="shared" si="74"/>
        <v>2</v>
      </c>
      <c r="AH167" s="178">
        <f t="shared" si="67"/>
        <v>8</v>
      </c>
      <c r="AI167" s="227">
        <f t="shared" si="68"/>
        <v>2.0929570299750764</v>
      </c>
      <c r="AJ167" s="267" t="b">
        <f t="shared" si="69"/>
        <v>0</v>
      </c>
      <c r="AK167" s="267" t="b">
        <f t="shared" si="70"/>
        <v>0</v>
      </c>
      <c r="AL167" s="267"/>
      <c r="AM167" s="267"/>
      <c r="AN167" s="75"/>
    </row>
    <row r="168" spans="1:40" s="6" customFormat="1" ht="11.25" x14ac:dyDescent="0.2">
      <c r="A168" s="56">
        <f t="shared" si="71"/>
        <v>45811</v>
      </c>
      <c r="B168" s="413">
        <f>'2024'!Wh/'2024'!Env_an*'2025'!Env_an</f>
        <v>50.108971025892032</v>
      </c>
      <c r="C168" s="868"/>
      <c r="D168" s="395">
        <f t="shared" si="50"/>
        <v>53.108279571000459</v>
      </c>
      <c r="E168" s="387">
        <f t="shared" si="72"/>
        <v>58.777817328065218</v>
      </c>
      <c r="F168" s="387">
        <f t="shared" si="51"/>
        <v>58.778356123885779</v>
      </c>
      <c r="G168" s="110">
        <f t="shared" si="73"/>
        <v>0.91195422138914128</v>
      </c>
      <c r="H168" s="416" t="b">
        <f>Wh_hp&gt;='2024'!Maxi_hp</f>
        <v>0</v>
      </c>
      <c r="I168" s="392">
        <f>IF(H168,Wh_hp,'2024'!Maxi_hp)</f>
        <v>59.795155783954719</v>
      </c>
      <c r="J168" s="85">
        <f>IF(H168,An,'2024'!An_max)</f>
        <v>2020</v>
      </c>
      <c r="K168" s="199">
        <f t="shared" si="52"/>
        <v>45811</v>
      </c>
      <c r="L168" s="147">
        <f>IF(t&lt;Tvie,1-EXP((T0-t)*PertePVj)+'2024'!Pspv,1-EXP((T0-t)*PertePVj)+Pspv)</f>
        <v>5.6475347522765285E-2</v>
      </c>
      <c r="M168" s="872"/>
      <c r="N168" s="872"/>
      <c r="O168" s="48">
        <f>IF(t&lt;Tnet,'2024'!Resal+('2024'!Salim-'2024'!Resal)*(1-EXP(('2024'!Tnet-t)/('2024'!Tau_j))),Resal+(Salim-Resal)*(1-EXP((Tnet-t)/(Tau_j))))*Salcycl</f>
        <v>9.6457099204969476E-2</v>
      </c>
      <c r="P168" s="171">
        <f>(INDEX(Models!$BJ168:$BT168,,T168)*(1-R168)+INDEX(Models!$BJ168:$BT168,,T168+1)*R168-ERP_i)*Q168*Ramure*Pc/MaxiM</f>
        <v>1.0485400752582607E-5</v>
      </c>
      <c r="Q168" s="307">
        <f t="shared" si="53"/>
        <v>0.9</v>
      </c>
      <c r="R168" s="179">
        <f t="shared" si="54"/>
        <v>0.46433689956327839</v>
      </c>
      <c r="S168" s="839">
        <f t="shared" si="55"/>
        <v>-3</v>
      </c>
      <c r="T168" s="178">
        <f t="shared" si="56"/>
        <v>3</v>
      </c>
      <c r="U168" s="253">
        <f t="shared" si="57"/>
        <v>-2.5356631004367216</v>
      </c>
      <c r="V168" s="385">
        <f t="shared" si="58"/>
        <v>54.94673281255745</v>
      </c>
      <c r="W168" s="404">
        <f t="shared" si="59"/>
        <v>50.108971025892032</v>
      </c>
      <c r="X168" s="157">
        <f t="shared" si="60"/>
        <v>45811</v>
      </c>
      <c r="Y168" s="387">
        <f t="shared" si="61"/>
        <v>46.68095359806685</v>
      </c>
      <c r="Z168" s="387">
        <f t="shared" si="62"/>
        <v>49.475075691457</v>
      </c>
      <c r="AA168" s="388">
        <f t="shared" si="63"/>
        <v>58.738053658033763</v>
      </c>
      <c r="AB168" s="199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0.15769977705602511</v>
      </c>
      <c r="AD168" s="233">
        <f>(INDEX(Models!$BJ168:$BT168,,AH168)*(1-AF168)+INDEX(Models!$BJ168:$BT168,,AH168+1)*AF168-ERP_i)*AE168*Ramure*Pc/MaxiM</f>
        <v>7.8431845544197471E-4</v>
      </c>
      <c r="AE168" s="307">
        <f t="shared" si="65"/>
        <v>0.9</v>
      </c>
      <c r="AF168" s="179">
        <f t="shared" si="66"/>
        <v>9.9992551870257351E-2</v>
      </c>
      <c r="AG168" s="839">
        <f t="shared" si="74"/>
        <v>2</v>
      </c>
      <c r="AH168" s="178">
        <f t="shared" si="67"/>
        <v>8</v>
      </c>
      <c r="AI168" s="227">
        <f t="shared" si="68"/>
        <v>2.0999925518702574</v>
      </c>
      <c r="AJ168" s="267" t="b">
        <f t="shared" si="69"/>
        <v>0</v>
      </c>
      <c r="AK168" s="267" t="b">
        <f t="shared" si="70"/>
        <v>0</v>
      </c>
      <c r="AL168" s="267"/>
      <c r="AM168" s="267"/>
      <c r="AN168" s="75"/>
    </row>
    <row r="169" spans="1:40" s="18" customFormat="1" ht="11.25" x14ac:dyDescent="0.2">
      <c r="A169" s="56">
        <f t="shared" si="71"/>
        <v>45812</v>
      </c>
      <c r="B169" s="413">
        <f>'2024'!Wh/'2024'!Env_an*'2025'!Env_an</f>
        <v>28.454458418869379</v>
      </c>
      <c r="C169" s="868"/>
      <c r="D169" s="395">
        <f t="shared" si="50"/>
        <v>30.158322346307553</v>
      </c>
      <c r="E169" s="387">
        <f t="shared" si="72"/>
        <v>33.38650107046724</v>
      </c>
      <c r="F169" s="387">
        <f t="shared" si="51"/>
        <v>33.386609609934233</v>
      </c>
      <c r="G169" s="110">
        <f t="shared" si="73"/>
        <v>0.51793663140682611</v>
      </c>
      <c r="H169" s="416" t="b">
        <f>Wh_hp&gt;='2024'!Maxi_hp</f>
        <v>0</v>
      </c>
      <c r="I169" s="392">
        <f>IF(H169,Wh_hp,'2024'!Maxi_hp)</f>
        <v>57.885419490334492</v>
      </c>
      <c r="J169" s="85">
        <f>IF(H169,An,'2024'!An_max)</f>
        <v>2019</v>
      </c>
      <c r="K169" s="199">
        <f t="shared" si="52"/>
        <v>45812</v>
      </c>
      <c r="L169" s="147">
        <f>IF(t&lt;Tvie,1-EXP((T0-t)*PertePVj)+'2024'!Pspv,1-EXP((T0-t)*PertePVj)+Pspv)</f>
        <v>5.6497304719829278E-2</v>
      </c>
      <c r="M169" s="872"/>
      <c r="N169" s="872"/>
      <c r="O169" s="48">
        <f>IF(t&lt;Tnet,'2024'!Resal+('2024'!Salim-'2024'!Resal)*(1-EXP(('2024'!Tnet-t)/('2024'!Tau_j))),Resal+(Salim-Resal)*(1-EXP((Tnet-t)/(Tau_j))))*Salcycl</f>
        <v>9.6691136257319399E-2</v>
      </c>
      <c r="P169" s="171">
        <f>(INDEX(Models!$BJ169:$BT169,,T169)*(1-R169)+INDEX(Models!$BJ169:$BT169,,T169+1)*R169-ERP_i)*Q169*Ramure*Pc/MaxiM</f>
        <v>1.0441809122231186E-5</v>
      </c>
      <c r="Q169" s="307">
        <f t="shared" si="53"/>
        <v>0.9</v>
      </c>
      <c r="R169" s="179">
        <f t="shared" si="54"/>
        <v>0.47141384010480181</v>
      </c>
      <c r="S169" s="839">
        <f t="shared" si="55"/>
        <v>-3</v>
      </c>
      <c r="T169" s="178">
        <f t="shared" si="56"/>
        <v>3</v>
      </c>
      <c r="U169" s="253">
        <f t="shared" si="57"/>
        <v>-2.5285861598951982</v>
      </c>
      <c r="V169" s="385">
        <f t="shared" si="58"/>
        <v>54.937712611667536</v>
      </c>
      <c r="W169" s="404">
        <f t="shared" si="59"/>
        <v>28.454458418869379</v>
      </c>
      <c r="X169" s="157">
        <f t="shared" si="60"/>
        <v>45812</v>
      </c>
      <c r="Y169" s="387">
        <f t="shared" si="61"/>
        <v>26.519652960684205</v>
      </c>
      <c r="Z169" s="387">
        <f t="shared" si="62"/>
        <v>28.107659992226374</v>
      </c>
      <c r="AA169" s="388">
        <f t="shared" si="63"/>
        <v>33.378930339310294</v>
      </c>
      <c r="AB169" s="199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0.15792208718192374</v>
      </c>
      <c r="AD169" s="233">
        <f>(INDEX(Models!$BJ169:$BT169,,AH169)*(1-AF169)+INDEX(Models!$BJ169:$BT169,,AH169+1)*AF169-ERP_i)*AE169*Ramure*Pc/MaxiM</f>
        <v>7.3876793642511809E-4</v>
      </c>
      <c r="AE169" s="307">
        <f t="shared" si="65"/>
        <v>0.9</v>
      </c>
      <c r="AF169" s="179">
        <f t="shared" si="66"/>
        <v>0.10706949241178076</v>
      </c>
      <c r="AG169" s="839">
        <f t="shared" si="74"/>
        <v>2</v>
      </c>
      <c r="AH169" s="178">
        <f t="shared" si="67"/>
        <v>8</v>
      </c>
      <c r="AI169" s="227">
        <f t="shared" si="68"/>
        <v>2.1070694924117808</v>
      </c>
      <c r="AJ169" s="267" t="b">
        <f t="shared" si="69"/>
        <v>0</v>
      </c>
      <c r="AK169" s="267" t="b">
        <f t="shared" si="70"/>
        <v>0</v>
      </c>
      <c r="AL169" s="267"/>
      <c r="AM169" s="267"/>
      <c r="AN169" s="267"/>
    </row>
    <row r="170" spans="1:40" s="18" customFormat="1" ht="11.25" x14ac:dyDescent="0.2">
      <c r="A170" s="56">
        <f t="shared" si="71"/>
        <v>45813</v>
      </c>
      <c r="B170" s="413">
        <f>'2024'!Wh/'2024'!Env_an*'2025'!Env_an</f>
        <v>29.723586192817063</v>
      </c>
      <c r="C170" s="868"/>
      <c r="D170" s="395">
        <f t="shared" si="50"/>
        <v>31.504179128351183</v>
      </c>
      <c r="E170" s="387">
        <f t="shared" ref="E170:E232" si="75">Wh_pvt/(1-Psa)</f>
        <v>34.885417725384038</v>
      </c>
      <c r="F170" s="387">
        <f t="shared" si="51"/>
        <v>34.885543714847721</v>
      </c>
      <c r="G170" s="110">
        <f t="shared" ref="G170:G232" si="76">+Wh_hp/MaxiM</f>
        <v>0.54116122946650491</v>
      </c>
      <c r="H170" s="416" t="b">
        <f>Wh_hp&gt;='2024'!Maxi_hp</f>
        <v>0</v>
      </c>
      <c r="I170" s="392">
        <f>IF(H170,Wh_hp,'2024'!Maxi_hp)</f>
        <v>47.550981784469194</v>
      </c>
      <c r="J170" s="85">
        <f>IF(H170,An,'2024'!An_max)</f>
        <v>2021</v>
      </c>
      <c r="K170" s="199">
        <f t="shared" si="52"/>
        <v>45813</v>
      </c>
      <c r="L170" s="147">
        <f>IF(t&lt;Tvie,1-EXP((T0-t)*PertePVj)+'2024'!Pspv,1-EXP((T0-t)*PertePVj)+Pspv)</f>
        <v>5.6519261405917121E-2</v>
      </c>
      <c r="M170" s="872"/>
      <c r="N170" s="872"/>
      <c r="O170" s="48">
        <f>IF(t&lt;Tnet,'2024'!Resal+('2024'!Salim-'2024'!Resal)*(1-EXP(('2024'!Tnet-t)/('2024'!Tau_j))),Resal+(Salim-Resal)*(1-EXP((Tnet-t)/(Tau_j))))*Salcycl</f>
        <v>9.6924125250549234E-2</v>
      </c>
      <c r="P170" s="171">
        <f>(INDEX(Models!$BJ170:$BT170,,T170)*(1-R170)+INDEX(Models!$BJ170:$BT170,,T170+1)*R170-ERP_i)*Q170*Ramure*Pc/MaxiM</f>
        <v>1.0482686203239024E-5</v>
      </c>
      <c r="Q170" s="307">
        <f t="shared" si="53"/>
        <v>0.9</v>
      </c>
      <c r="R170" s="179">
        <f t="shared" si="54"/>
        <v>0.47852654132318273</v>
      </c>
      <c r="S170" s="839">
        <f t="shared" si="55"/>
        <v>-3</v>
      </c>
      <c r="T170" s="178">
        <f t="shared" si="56"/>
        <v>3</v>
      </c>
      <c r="U170" s="253">
        <f t="shared" si="57"/>
        <v>-2.5214734586768173</v>
      </c>
      <c r="V170" s="385">
        <f t="shared" si="58"/>
        <v>54.925187425864287</v>
      </c>
      <c r="W170" s="404">
        <f t="shared" si="59"/>
        <v>29.723586192817063</v>
      </c>
      <c r="X170" s="157">
        <f t="shared" si="60"/>
        <v>45813</v>
      </c>
      <c r="Y170" s="387">
        <f t="shared" si="61"/>
        <v>27.702107268472677</v>
      </c>
      <c r="Z170" s="387">
        <f t="shared" si="62"/>
        <v>29.361603406713588</v>
      </c>
      <c r="AA170" s="388">
        <f t="shared" si="63"/>
        <v>34.877168607767906</v>
      </c>
      <c r="AB170" s="199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0.15814257352948891</v>
      </c>
      <c r="AD170" s="233">
        <f>(INDEX(Models!$BJ170:$BT170,,AH170)*(1-AF170)+INDEX(Models!$BJ170:$BT170,,AH170+1)*AF170-ERP_i)*AE170*Ramure*Pc/MaxiM</f>
        <v>6.9683302770721847E-4</v>
      </c>
      <c r="AE170" s="307">
        <f t="shared" si="65"/>
        <v>0.9</v>
      </c>
      <c r="AF170" s="179">
        <f t="shared" si="66"/>
        <v>0.11418219363016169</v>
      </c>
      <c r="AG170" s="839">
        <f t="shared" si="74"/>
        <v>2</v>
      </c>
      <c r="AH170" s="178">
        <f t="shared" si="67"/>
        <v>8</v>
      </c>
      <c r="AI170" s="227">
        <f t="shared" si="68"/>
        <v>2.1141821936301617</v>
      </c>
      <c r="AJ170" s="267" t="b">
        <f t="shared" si="69"/>
        <v>0</v>
      </c>
      <c r="AK170" s="267" t="b">
        <f t="shared" si="70"/>
        <v>0</v>
      </c>
      <c r="AL170" s="267"/>
      <c r="AM170" s="267"/>
      <c r="AN170" s="267"/>
    </row>
    <row r="171" spans="1:40" s="6" customFormat="1" ht="11.25" x14ac:dyDescent="0.2">
      <c r="A171" s="56">
        <f t="shared" si="71"/>
        <v>45814</v>
      </c>
      <c r="B171" s="413">
        <f>'2024'!Wh/'2024'!Env_an*'2025'!Env_an</f>
        <v>39.659379193195591</v>
      </c>
      <c r="C171" s="868"/>
      <c r="D171" s="395">
        <f t="shared" si="50"/>
        <v>42.036154554109771</v>
      </c>
      <c r="E171" s="387">
        <f t="shared" si="75"/>
        <v>46.559707511201275</v>
      </c>
      <c r="F171" s="387">
        <f t="shared" si="51"/>
        <v>46.560003921780066</v>
      </c>
      <c r="G171" s="110">
        <f t="shared" si="76"/>
        <v>0.7222668902105438</v>
      </c>
      <c r="H171" s="416" t="b">
        <f>Wh_hp&gt;='2024'!Maxi_hp</f>
        <v>0</v>
      </c>
      <c r="I171" s="392">
        <f>IF(H171,Wh_hp,'2024'!Maxi_hp)</f>
        <v>63.625581606461907</v>
      </c>
      <c r="J171" s="85">
        <f>IF(H171,An,'2024'!An_max)</f>
        <v>2019</v>
      </c>
      <c r="K171" s="199">
        <f t="shared" si="52"/>
        <v>45814</v>
      </c>
      <c r="L171" s="147">
        <f>IF(t&lt;Tvie,1-EXP((T0-t)*PertePVj)+'2024'!Pspv,1-EXP((T0-t)*PertePVj)+Pspv)</f>
        <v>5.6541217581040804E-2</v>
      </c>
      <c r="M171" s="872"/>
      <c r="N171" s="872"/>
      <c r="O171" s="48">
        <f>IF(t&lt;Tnet,'2024'!Resal+('2024'!Salim-'2024'!Resal)*(1-EXP(('2024'!Tnet-t)/('2024'!Tau_j))),Resal+(Salim-Resal)*(1-EXP((Tnet-t)/(Tau_j))))*Salcycl</f>
        <v>9.7155957347954472E-2</v>
      </c>
      <c r="P171" s="171">
        <f>(INDEX(Models!$BJ171:$BT171,,T171)*(1-R171)+INDEX(Models!$BJ171:$BT171,,T171+1)*R171-ERP_i)*Q171*Ramure*Pc/MaxiM</f>
        <v>1.0553307456941663E-5</v>
      </c>
      <c r="Q171" s="307">
        <f t="shared" si="53"/>
        <v>0.9</v>
      </c>
      <c r="R171" s="179">
        <f t="shared" si="54"/>
        <v>0.48566922728917872</v>
      </c>
      <c r="S171" s="839">
        <f t="shared" si="55"/>
        <v>-3</v>
      </c>
      <c r="T171" s="178">
        <f t="shared" si="56"/>
        <v>3</v>
      </c>
      <c r="U171" s="253">
        <f t="shared" si="57"/>
        <v>-2.5143307727108213</v>
      </c>
      <c r="V171" s="385">
        <f t="shared" si="58"/>
        <v>54.90936061423956</v>
      </c>
      <c r="W171" s="404">
        <f t="shared" si="59"/>
        <v>39.659379193195591</v>
      </c>
      <c r="X171" s="157">
        <f t="shared" si="60"/>
        <v>45814</v>
      </c>
      <c r="Y171" s="387">
        <f t="shared" si="61"/>
        <v>36.95637794955897</v>
      </c>
      <c r="Z171" s="387">
        <f t="shared" si="62"/>
        <v>39.17116321160902</v>
      </c>
      <c r="AA171" s="388">
        <f t="shared" si="63"/>
        <v>46.541529350805895</v>
      </c>
      <c r="AB171" s="199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0.15836106466641608</v>
      </c>
      <c r="AD171" s="233">
        <f>(INDEX(Models!$BJ171:$BT171,,AH171)*(1-AF171)+INDEX(Models!$BJ171:$BT171,,AH171+1)*AF171-ERP_i)*AE171*Ramure*Pc/MaxiM</f>
        <v>6.5776271691711866E-4</v>
      </c>
      <c r="AE171" s="307">
        <f t="shared" si="65"/>
        <v>0.9</v>
      </c>
      <c r="AF171" s="179">
        <f t="shared" si="66"/>
        <v>0.12132487959615768</v>
      </c>
      <c r="AG171" s="839">
        <f t="shared" si="74"/>
        <v>2</v>
      </c>
      <c r="AH171" s="178">
        <f t="shared" si="67"/>
        <v>8</v>
      </c>
      <c r="AI171" s="227">
        <f t="shared" si="68"/>
        <v>2.1213248795961577</v>
      </c>
      <c r="AJ171" s="267" t="b">
        <f t="shared" si="69"/>
        <v>0</v>
      </c>
      <c r="AK171" s="267" t="b">
        <f t="shared" si="70"/>
        <v>0</v>
      </c>
      <c r="AL171" s="267"/>
      <c r="AM171" s="267"/>
      <c r="AN171" s="75"/>
    </row>
    <row r="172" spans="1:40" s="6" customFormat="1" ht="11.25" x14ac:dyDescent="0.2">
      <c r="A172" s="56">
        <f t="shared" si="71"/>
        <v>45815</v>
      </c>
      <c r="B172" s="413">
        <f>'2024'!Wh/'2024'!Env_an*'2025'!Env_an</f>
        <v>29.846875608411253</v>
      </c>
      <c r="C172" s="868"/>
      <c r="D172" s="395">
        <f t="shared" si="50"/>
        <v>31.636326632571521</v>
      </c>
      <c r="E172" s="387">
        <f t="shared" si="75"/>
        <v>35.049694643237245</v>
      </c>
      <c r="F172" s="387">
        <f t="shared" si="51"/>
        <v>35.049824703748151</v>
      </c>
      <c r="G172" s="110">
        <f t="shared" si="76"/>
        <v>0.5437499255236895</v>
      </c>
      <c r="H172" s="416" t="b">
        <f>Wh_hp&gt;='2024'!Maxi_hp</f>
        <v>0</v>
      </c>
      <c r="I172" s="392">
        <f>IF(H172,Wh_hp,'2024'!Maxi_hp)</f>
        <v>57.342414657537475</v>
      </c>
      <c r="J172" s="85">
        <f>IF(H172,An,'2024'!An_max)</f>
        <v>2021</v>
      </c>
      <c r="K172" s="199">
        <f t="shared" si="52"/>
        <v>45815</v>
      </c>
      <c r="L172" s="147">
        <f>IF(t&lt;Tvie,1-EXP((T0-t)*PertePVj)+'2024'!Pspv,1-EXP((T0-t)*PertePVj)+Pspv)</f>
        <v>5.6563173245212317E-2</v>
      </c>
      <c r="M172" s="872"/>
      <c r="N172" s="872"/>
      <c r="O172" s="48">
        <f>IF(t&lt;Tnet,'2024'!Resal+('2024'!Salim-'2024'!Resal)*(1-EXP(('2024'!Tnet-t)/('2024'!Tau_j))),Resal+(Salim-Resal)*(1-EXP((Tnet-t)/(Tau_j))))*Salcycl</f>
        <v>9.7386526342372076E-2</v>
      </c>
      <c r="P172" s="171">
        <f>(INDEX(Models!$BJ172:$BT172,,T172)*(1-R172)+INDEX(Models!$BJ172:$BT172,,T172+1)*R172-ERP_i)*Q172*Ramure*Pc/MaxiM</f>
        <v>1.06562996659371E-5</v>
      </c>
      <c r="Q172" s="307">
        <f t="shared" si="53"/>
        <v>0.9</v>
      </c>
      <c r="R172" s="179">
        <f t="shared" si="54"/>
        <v>0.49283602247413505</v>
      </c>
      <c r="S172" s="839">
        <f t="shared" si="55"/>
        <v>-3</v>
      </c>
      <c r="T172" s="178">
        <f t="shared" si="56"/>
        <v>3</v>
      </c>
      <c r="U172" s="253">
        <f t="shared" si="57"/>
        <v>-2.507163977525865</v>
      </c>
      <c r="V172" s="385">
        <f t="shared" si="58"/>
        <v>54.890431985634535</v>
      </c>
      <c r="W172" s="404">
        <f t="shared" si="59"/>
        <v>29.846875608411253</v>
      </c>
      <c r="X172" s="157">
        <f t="shared" si="60"/>
        <v>45815</v>
      </c>
      <c r="Y172" s="387">
        <f t="shared" si="61"/>
        <v>27.817547813660052</v>
      </c>
      <c r="Z172" s="387">
        <f t="shared" si="62"/>
        <v>29.485331741125915</v>
      </c>
      <c r="AA172" s="388">
        <f t="shared" si="63"/>
        <v>35.042238626103163</v>
      </c>
      <c r="AB172" s="199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0.15857739410626229</v>
      </c>
      <c r="AD172" s="233">
        <f>(INDEX(Models!$BJ172:$BT172,,AH172)*(1-AF172)+INDEX(Models!$BJ172:$BT172,,AH172+1)*AF172-ERP_i)*AE172*Ramure*Pc/MaxiM</f>
        <v>6.2155312255947901E-4</v>
      </c>
      <c r="AE172" s="307">
        <f t="shared" si="65"/>
        <v>0.9</v>
      </c>
      <c r="AF172" s="179">
        <f t="shared" si="66"/>
        <v>0.12849167478111401</v>
      </c>
      <c r="AG172" s="839">
        <f t="shared" si="74"/>
        <v>2</v>
      </c>
      <c r="AH172" s="178">
        <f t="shared" si="67"/>
        <v>8</v>
      </c>
      <c r="AI172" s="227">
        <f t="shared" si="68"/>
        <v>2.128491674781114</v>
      </c>
      <c r="AJ172" s="267" t="b">
        <f t="shared" si="69"/>
        <v>0</v>
      </c>
      <c r="AK172" s="267" t="b">
        <f t="shared" si="70"/>
        <v>0</v>
      </c>
      <c r="AL172" s="267"/>
      <c r="AM172" s="267"/>
      <c r="AN172" s="75"/>
    </row>
    <row r="173" spans="1:40" s="6" customFormat="1" ht="11.25" x14ac:dyDescent="0.2">
      <c r="A173" s="56">
        <f t="shared" si="71"/>
        <v>45816</v>
      </c>
      <c r="B173" s="413">
        <f>'2024'!Wh/'2024'!Env_an*'2025'!Env_an</f>
        <v>20.99749480532946</v>
      </c>
      <c r="C173" s="868"/>
      <c r="D173" s="395">
        <f t="shared" si="50"/>
        <v>22.256904610464503</v>
      </c>
      <c r="E173" s="387">
        <f t="shared" si="75"/>
        <v>24.664552926813538</v>
      </c>
      <c r="F173" s="387">
        <f t="shared" si="51"/>
        <v>24.664584375893163</v>
      </c>
      <c r="G173" s="110">
        <f t="shared" si="76"/>
        <v>0.38268325731785463</v>
      </c>
      <c r="H173" s="416" t="b">
        <f>Wh_hp&gt;='2024'!Maxi_hp</f>
        <v>0</v>
      </c>
      <c r="I173" s="392">
        <f>IF(H173,Wh_hp,'2024'!Maxi_hp)</f>
        <v>65.985446784364868</v>
      </c>
      <c r="J173" s="85">
        <f>IF(H173,An,'2024'!An_max)</f>
        <v>2019</v>
      </c>
      <c r="K173" s="199">
        <f t="shared" si="52"/>
        <v>45816</v>
      </c>
      <c r="L173" s="147">
        <f>IF(t&lt;Tvie,1-EXP((T0-t)*PertePVj)+'2024'!Pspv,1-EXP((T0-t)*PertePVj)+Pspv)</f>
        <v>5.6585128398443429E-2</v>
      </c>
      <c r="M173" s="872"/>
      <c r="N173" s="872"/>
      <c r="O173" s="48">
        <f>IF(t&lt;Tnet,'2024'!Resal+('2024'!Salim-'2024'!Resal)*(1-EXP(('2024'!Tnet-t)/('2024'!Tau_j))),Resal+(Salim-Resal)*(1-EXP((Tnet-t)/(Tau_j))))*Salcycl</f>
        <v>9.7615729078616861E-2</v>
      </c>
      <c r="P173" s="171">
        <f>(INDEX(Models!$BJ173:$BT173,,T173)*(1-R173)+INDEX(Models!$BJ173:$BT173,,T173+1)*R173-ERP_i)*Q173*Ramure*Pc/MaxiM</f>
        <v>1.0794324438377807E-5</v>
      </c>
      <c r="Q173" s="307">
        <f t="shared" si="53"/>
        <v>0.9</v>
      </c>
      <c r="R173" s="179">
        <f t="shared" si="54"/>
        <v>0.50002097080870822</v>
      </c>
      <c r="S173" s="839">
        <f t="shared" si="55"/>
        <v>-3</v>
      </c>
      <c r="T173" s="178">
        <f t="shared" si="56"/>
        <v>3</v>
      </c>
      <c r="U173" s="253">
        <f t="shared" si="57"/>
        <v>-2.4999790291912918</v>
      </c>
      <c r="V173" s="385">
        <f t="shared" si="58"/>
        <v>54.868600920122226</v>
      </c>
      <c r="W173" s="404">
        <f t="shared" si="59"/>
        <v>20.99749480532946</v>
      </c>
      <c r="X173" s="157">
        <f t="shared" si="60"/>
        <v>45816</v>
      </c>
      <c r="Y173" s="387">
        <f t="shared" si="61"/>
        <v>19.572668782035905</v>
      </c>
      <c r="Z173" s="387">
        <f t="shared" si="62"/>
        <v>20.746618874906034</v>
      </c>
      <c r="AA173" s="388">
        <f t="shared" si="63"/>
        <v>24.662870658673736</v>
      </c>
      <c r="AB173" s="199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0.15879140096736424</v>
      </c>
      <c r="AD173" s="233">
        <f>(INDEX(Models!$BJ173:$BT173,,AH173)*(1-AF173)+INDEX(Models!$BJ173:$BT173,,AH173+1)*AF173-ERP_i)*AE173*Ramure*Pc/MaxiM</f>
        <v>5.8820225847465673E-4</v>
      </c>
      <c r="AE173" s="307">
        <f t="shared" si="65"/>
        <v>0.9</v>
      </c>
      <c r="AF173" s="179">
        <f t="shared" si="66"/>
        <v>0.13567662311568718</v>
      </c>
      <c r="AG173" s="839">
        <f t="shared" si="74"/>
        <v>2</v>
      </c>
      <c r="AH173" s="178">
        <f t="shared" si="67"/>
        <v>8</v>
      </c>
      <c r="AI173" s="227">
        <f t="shared" si="68"/>
        <v>2.1356766231156872</v>
      </c>
      <c r="AJ173" s="267" t="b">
        <f t="shared" si="69"/>
        <v>0</v>
      </c>
      <c r="AK173" s="267" t="b">
        <f t="shared" si="70"/>
        <v>0</v>
      </c>
      <c r="AL173" s="267"/>
      <c r="AM173" s="267"/>
      <c r="AN173" s="75"/>
    </row>
    <row r="174" spans="1:40" s="6" customFormat="1" ht="11.25" x14ac:dyDescent="0.2">
      <c r="A174" s="56">
        <f t="shared" si="71"/>
        <v>45817</v>
      </c>
      <c r="B174" s="413">
        <f>'2024'!Wh/'2024'!Env_an*'2025'!Env_an</f>
        <v>41.765209306645602</v>
      </c>
      <c r="C174" s="868"/>
      <c r="D174" s="395">
        <f t="shared" si="50"/>
        <v>44.271277169711333</v>
      </c>
      <c r="E174" s="387">
        <f t="shared" si="75"/>
        <v>49.072722409715674</v>
      </c>
      <c r="F174" s="387">
        <f t="shared" si="51"/>
        <v>49.073077346773331</v>
      </c>
      <c r="G174" s="110">
        <f t="shared" si="76"/>
        <v>0.76152364335273992</v>
      </c>
      <c r="H174" s="416" t="b">
        <f>Wh_hp&gt;='2024'!Maxi_hp</f>
        <v>0</v>
      </c>
      <c r="I174" s="392">
        <f>IF(H174,Wh_hp,'2024'!Maxi_hp)</f>
        <v>59.948298229793359</v>
      </c>
      <c r="J174" s="85">
        <f>IF(H174,An,'2024'!An_max)</f>
        <v>2021</v>
      </c>
      <c r="K174" s="199">
        <f t="shared" si="52"/>
        <v>45817</v>
      </c>
      <c r="L174" s="147">
        <f>IF(t&lt;Tvie,1-EXP((T0-t)*PertePVj)+'2024'!Pspv,1-EXP((T0-t)*PertePVj)+Pspv)</f>
        <v>5.660708304074602E-2</v>
      </c>
      <c r="M174" s="872"/>
      <c r="N174" s="872"/>
      <c r="O174" s="48">
        <f>IF(t&lt;Tnet,'2024'!Resal+('2024'!Salim-'2024'!Resal)*(1-EXP(('2024'!Tnet-t)/('2024'!Tau_j))),Resal+(Salim-Resal)*(1-EXP((Tnet-t)/(Tau_j))))*Salcycl</f>
        <v>9.7843465865136647E-2</v>
      </c>
      <c r="P174" s="171">
        <f>(INDEX(Models!$BJ174:$BT174,,T174)*(1-R174)+INDEX(Models!$BJ174:$BT174,,T174+1)*R174-ERP_i)*Q174*Ramure*Pc/MaxiM</f>
        <v>1.0970071523016039E-5</v>
      </c>
      <c r="Q174" s="307">
        <f t="shared" si="53"/>
        <v>0.9</v>
      </c>
      <c r="R174" s="179">
        <f t="shared" si="54"/>
        <v>0.50721805531073638</v>
      </c>
      <c r="S174" s="839">
        <f t="shared" si="55"/>
        <v>-3</v>
      </c>
      <c r="T174" s="178">
        <f t="shared" si="56"/>
        <v>3</v>
      </c>
      <c r="U174" s="253">
        <f t="shared" si="57"/>
        <v>-2.4927819446892636</v>
      </c>
      <c r="V174" s="385">
        <f t="shared" si="58"/>
        <v>54.844066344179431</v>
      </c>
      <c r="W174" s="404">
        <f t="shared" si="59"/>
        <v>41.765209306645602</v>
      </c>
      <c r="X174" s="157">
        <f t="shared" si="60"/>
        <v>45817</v>
      </c>
      <c r="Y174" s="387">
        <f t="shared" si="61"/>
        <v>38.91980561266918</v>
      </c>
      <c r="Z174" s="387">
        <f t="shared" si="62"/>
        <v>41.255138673412539</v>
      </c>
      <c r="AA174" s="388">
        <f t="shared" si="63"/>
        <v>49.055032621408309</v>
      </c>
      <c r="AB174" s="199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0.15900293061046264</v>
      </c>
      <c r="AD174" s="233">
        <f>(INDEX(Models!$BJ174:$BT174,,AH174)*(1-AF174)+INDEX(Models!$BJ174:$BT174,,AH174+1)*AF174-ERP_i)*AE174*Ramure*Pc/MaxiM</f>
        <v>5.5770994771317842E-4</v>
      </c>
      <c r="AE174" s="307">
        <f t="shared" si="65"/>
        <v>0.9</v>
      </c>
      <c r="AF174" s="179">
        <f t="shared" si="66"/>
        <v>0.14287370761771534</v>
      </c>
      <c r="AG174" s="839">
        <f t="shared" si="74"/>
        <v>2</v>
      </c>
      <c r="AH174" s="178">
        <f t="shared" si="67"/>
        <v>8</v>
      </c>
      <c r="AI174" s="227">
        <f t="shared" si="68"/>
        <v>2.1428737076177153</v>
      </c>
      <c r="AJ174" s="267" t="b">
        <f t="shared" si="69"/>
        <v>0</v>
      </c>
      <c r="AK174" s="267" t="b">
        <f t="shared" si="70"/>
        <v>0</v>
      </c>
      <c r="AL174" s="267"/>
      <c r="AM174" s="267"/>
      <c r="AN174" s="75"/>
    </row>
    <row r="175" spans="1:40" s="6" customFormat="1" ht="11.25" x14ac:dyDescent="0.2">
      <c r="A175" s="56">
        <f t="shared" si="71"/>
        <v>45818</v>
      </c>
      <c r="B175" s="413">
        <f>'2024'!Wh/'2024'!Env_an*'2025'!Env_an</f>
        <v>54.860257085449255</v>
      </c>
      <c r="C175" s="868"/>
      <c r="D175" s="395">
        <f t="shared" si="50"/>
        <v>58.153429824677907</v>
      </c>
      <c r="E175" s="387">
        <f t="shared" si="75"/>
        <v>64.476629748777185</v>
      </c>
      <c r="F175" s="387">
        <f t="shared" si="51"/>
        <v>64.477351008667043</v>
      </c>
      <c r="G175" s="110">
        <f t="shared" si="76"/>
        <v>1.0007886304760685</v>
      </c>
      <c r="H175" s="416" t="b">
        <f>Wh_hp&gt;='2024'!Maxi_hp</f>
        <v>1</v>
      </c>
      <c r="I175" s="392">
        <f>IF(H175,Wh_hp,'2024'!Maxi_hp)</f>
        <v>64.477351008667043</v>
      </c>
      <c r="J175" s="85">
        <f>IF(H175,An,'2024'!An_max)</f>
        <v>2025</v>
      </c>
      <c r="K175" s="199">
        <f t="shared" si="52"/>
        <v>45818</v>
      </c>
      <c r="L175" s="147">
        <f>IF(t&lt;Tvie,1-EXP((T0-t)*PertePVj)+'2024'!Pspv,1-EXP((T0-t)*PertePVj)+Pspv)</f>
        <v>5.6629037172131969E-2</v>
      </c>
      <c r="M175" s="872"/>
      <c r="N175" s="872"/>
      <c r="O175" s="48">
        <f>IF(t&lt;Tnet,'2024'!Resal+('2024'!Salim-'2024'!Resal)*(1-EXP(('2024'!Tnet-t)/('2024'!Tau_j))),Resal+(Salim-Resal)*(1-EXP((Tnet-t)/(Tau_j))))*Salcycl</f>
        <v>9.8069640871996822E-2</v>
      </c>
      <c r="P175" s="171">
        <f>(INDEX(Models!$BJ175:$BT175,,T175)*(1-R175)+INDEX(Models!$BJ175:$BT175,,T175+1)*R175-ERP_i)*Q175*Ramure*Pc/MaxiM</f>
        <v>1.1186251894229692E-5</v>
      </c>
      <c r="Q175" s="307">
        <f t="shared" si="53"/>
        <v>0.9</v>
      </c>
      <c r="R175" s="179">
        <f t="shared" si="54"/>
        <v>0.51442121814615227</v>
      </c>
      <c r="S175" s="839">
        <f t="shared" si="55"/>
        <v>-3</v>
      </c>
      <c r="T175" s="178">
        <f t="shared" si="56"/>
        <v>3</v>
      </c>
      <c r="U175" s="253">
        <f t="shared" si="57"/>
        <v>-2.4855787818538477</v>
      </c>
      <c r="V175" s="385">
        <f t="shared" si="58"/>
        <v>54.817026707580197</v>
      </c>
      <c r="W175" s="404">
        <f t="shared" si="59"/>
        <v>54.860257085449255</v>
      </c>
      <c r="X175" s="157">
        <f t="shared" si="60"/>
        <v>45818</v>
      </c>
      <c r="Y175" s="387">
        <f t="shared" si="61"/>
        <v>51.114722799828535</v>
      </c>
      <c r="Z175" s="387">
        <f t="shared" si="62"/>
        <v>54.183057157712383</v>
      </c>
      <c r="AA175" s="388">
        <f t="shared" si="63"/>
        <v>64.443173000486652</v>
      </c>
      <c r="AB175" s="199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0.15921183525052043</v>
      </c>
      <c r="AD175" s="233">
        <f>(INDEX(Models!$BJ175:$BT175,,AH175)*(1-AF175)+INDEX(Models!$BJ175:$BT175,,AH175+1)*AF175-ERP_i)*AE175*Ramure*Pc/MaxiM</f>
        <v>5.3007773498328062E-4</v>
      </c>
      <c r="AE175" s="307">
        <f t="shared" si="65"/>
        <v>0.9</v>
      </c>
      <c r="AF175" s="179">
        <f t="shared" si="66"/>
        <v>0.15007687045313123</v>
      </c>
      <c r="AG175" s="839">
        <f t="shared" si="74"/>
        <v>2</v>
      </c>
      <c r="AH175" s="178">
        <f t="shared" si="67"/>
        <v>8</v>
      </c>
      <c r="AI175" s="227">
        <f t="shared" si="68"/>
        <v>2.1500768704531312</v>
      </c>
      <c r="AJ175" s="267" t="b">
        <f t="shared" si="69"/>
        <v>0</v>
      </c>
      <c r="AK175" s="267" t="b">
        <f t="shared" si="70"/>
        <v>0</v>
      </c>
      <c r="AL175" s="267"/>
      <c r="AM175" s="267"/>
      <c r="AN175" s="75"/>
    </row>
    <row r="176" spans="1:40" s="6" customFormat="1" ht="11.25" x14ac:dyDescent="0.2">
      <c r="A176" s="56">
        <f t="shared" si="71"/>
        <v>45819</v>
      </c>
      <c r="B176" s="413">
        <f>'2024'!Wh/'2024'!Env_an*'2025'!Env_an</f>
        <v>51.469306922155205</v>
      </c>
      <c r="C176" s="868"/>
      <c r="D176" s="395">
        <f t="shared" si="50"/>
        <v>54.560196088402471</v>
      </c>
      <c r="E176" s="387">
        <f t="shared" si="75"/>
        <v>60.507755212520316</v>
      </c>
      <c r="F176" s="387">
        <f t="shared" si="51"/>
        <v>60.508387843137641</v>
      </c>
      <c r="G176" s="110">
        <f t="shared" si="76"/>
        <v>0.93943120034372807</v>
      </c>
      <c r="H176" s="416" t="b">
        <f>Wh_hp&gt;='2024'!Maxi_hp</f>
        <v>1</v>
      </c>
      <c r="I176" s="392">
        <f>IF(H176,Wh_hp,'2024'!Maxi_hp)</f>
        <v>60.508387843137641</v>
      </c>
      <c r="J176" s="85">
        <f>IF(H176,An,'2024'!An_max)</f>
        <v>2025</v>
      </c>
      <c r="K176" s="199">
        <f t="shared" si="52"/>
        <v>45819</v>
      </c>
      <c r="L176" s="147">
        <f>IF(t&lt;Tvie,1-EXP((T0-t)*PertePVj)+'2024'!Pspv,1-EXP((T0-t)*PertePVj)+Pspv)</f>
        <v>5.6650990792613265E-2</v>
      </c>
      <c r="M176" s="872"/>
      <c r="N176" s="872"/>
      <c r="O176" s="48">
        <f>IF(t&lt;Tnet,'2024'!Resal+('2024'!Salim-'2024'!Resal)*(1-EXP(('2024'!Tnet-t)/('2024'!Tau_j))),Resal+(Salim-Resal)*(1-EXP((Tnet-t)/(Tau_j))))*Salcycl</f>
        <v>9.8294162512364516E-2</v>
      </c>
      <c r="P176" s="171">
        <f>(INDEX(Models!$BJ176:$BT176,,T176)*(1-R176)+INDEX(Models!$BJ176:$BT176,,T176+1)*R176-ERP_i)*Q176*Ramure*Pc/MaxiM</f>
        <v>1.1445590649937693E-5</v>
      </c>
      <c r="Q176" s="307">
        <f t="shared" si="53"/>
        <v>0.9</v>
      </c>
      <c r="R176" s="179">
        <f t="shared" si="54"/>
        <v>0.5216243809815686</v>
      </c>
      <c r="S176" s="839">
        <f t="shared" si="55"/>
        <v>-3</v>
      </c>
      <c r="T176" s="178">
        <f t="shared" si="56"/>
        <v>3</v>
      </c>
      <c r="U176" s="253">
        <f t="shared" si="57"/>
        <v>-2.4783756190184314</v>
      </c>
      <c r="V176" s="385">
        <f t="shared" si="58"/>
        <v>54.787679960910985</v>
      </c>
      <c r="W176" s="404">
        <f t="shared" si="59"/>
        <v>51.469306922155205</v>
      </c>
      <c r="X176" s="157">
        <f t="shared" si="60"/>
        <v>45819</v>
      </c>
      <c r="Y176" s="387">
        <f t="shared" si="61"/>
        <v>47.958718276961243</v>
      </c>
      <c r="Z176" s="387">
        <f t="shared" si="62"/>
        <v>50.838785867021514</v>
      </c>
      <c r="AA176" s="388">
        <f t="shared" si="63"/>
        <v>60.480457976841308</v>
      </c>
      <c r="AB176" s="199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0.15941797453834922</v>
      </c>
      <c r="AD176" s="233">
        <f>(INDEX(Models!$BJ176:$BT176,,AH176)*(1-AF176)+INDEX(Models!$BJ176:$BT176,,AH176+1)*AF176-ERP_i)*AE176*Ramure*Pc/MaxiM</f>
        <v>5.0530879755652646E-4</v>
      </c>
      <c r="AE176" s="307">
        <f t="shared" si="65"/>
        <v>0.9</v>
      </c>
      <c r="AF176" s="179">
        <f t="shared" si="66"/>
        <v>0.15728003328854756</v>
      </c>
      <c r="AG176" s="839">
        <f t="shared" si="74"/>
        <v>2</v>
      </c>
      <c r="AH176" s="178">
        <f t="shared" si="67"/>
        <v>8</v>
      </c>
      <c r="AI176" s="227">
        <f t="shared" si="68"/>
        <v>2.1572800332885476</v>
      </c>
      <c r="AJ176" s="267" t="b">
        <f t="shared" si="69"/>
        <v>0</v>
      </c>
      <c r="AK176" s="267" t="b">
        <f t="shared" si="70"/>
        <v>0</v>
      </c>
      <c r="AL176" s="267"/>
      <c r="AM176" s="267"/>
      <c r="AN176" s="75"/>
    </row>
    <row r="177" spans="1:40" s="6" customFormat="1" ht="11.25" x14ac:dyDescent="0.2">
      <c r="A177" s="56">
        <f t="shared" si="71"/>
        <v>45820</v>
      </c>
      <c r="B177" s="413">
        <f>'2024'!Wh/'2024'!Env_an*'2025'!Env_an</f>
        <v>40.618912058501508</v>
      </c>
      <c r="C177" s="868"/>
      <c r="D177" s="395">
        <f t="shared" si="50"/>
        <v>43.059203905936087</v>
      </c>
      <c r="E177" s="387">
        <f t="shared" si="75"/>
        <v>47.764851052962669</v>
      </c>
      <c r="F177" s="387">
        <f t="shared" si="51"/>
        <v>47.765205327344461</v>
      </c>
      <c r="G177" s="110">
        <f t="shared" si="76"/>
        <v>0.74182243697062022</v>
      </c>
      <c r="H177" s="416" t="b">
        <f>Wh_hp&gt;='2024'!Maxi_hp</f>
        <v>0</v>
      </c>
      <c r="I177" s="392">
        <f>IF(H177,Wh_hp,'2024'!Maxi_hp)</f>
        <v>60.838298485220825</v>
      </c>
      <c r="J177" s="85">
        <f>IF(H177,An,'2024'!An_max)</f>
        <v>2019</v>
      </c>
      <c r="K177" s="199">
        <f t="shared" si="52"/>
        <v>45820</v>
      </c>
      <c r="L177" s="147">
        <f>IF(t&lt;Tvie,1-EXP((T0-t)*PertePVj)+'2024'!Pspv,1-EXP((T0-t)*PertePVj)+Pspv)</f>
        <v>5.6672943902201678E-2</v>
      </c>
      <c r="M177" s="872"/>
      <c r="N177" s="872"/>
      <c r="O177" s="48">
        <f>IF(t&lt;Tnet,'2024'!Resal+('2024'!Salim-'2024'!Resal)*(1-EXP(('2024'!Tnet-t)/('2024'!Tau_j))),Resal+(Salim-Resal)*(1-EXP((Tnet-t)/(Tau_j))))*Salcycl</f>
        <v>9.85169438047417E-2</v>
      </c>
      <c r="P177" s="171">
        <f>(INDEX(Models!$BJ177:$BT177,,T177)*(1-R177)+INDEX(Models!$BJ177:$BT177,,T177+1)*R177-ERP_i)*Q177*Ramure*Pc/MaxiM</f>
        <v>1.1751010459011715E-5</v>
      </c>
      <c r="Q177" s="307">
        <f t="shared" si="53"/>
        <v>0.9</v>
      </c>
      <c r="R177" s="179">
        <f t="shared" si="54"/>
        <v>0.52882146548359676</v>
      </c>
      <c r="S177" s="839">
        <f t="shared" si="55"/>
        <v>-3</v>
      </c>
      <c r="T177" s="178">
        <f t="shared" si="56"/>
        <v>3</v>
      </c>
      <c r="U177" s="253">
        <f t="shared" si="57"/>
        <v>-2.4711785345164032</v>
      </c>
      <c r="V177" s="385">
        <f t="shared" si="58"/>
        <v>54.755334956106935</v>
      </c>
      <c r="W177" s="404">
        <f t="shared" si="59"/>
        <v>40.618912058501508</v>
      </c>
      <c r="X177" s="157">
        <f t="shared" si="60"/>
        <v>45820</v>
      </c>
      <c r="Y177" s="387">
        <f t="shared" si="61"/>
        <v>37.854410423874022</v>
      </c>
      <c r="Z177" s="387">
        <f t="shared" si="62"/>
        <v>40.12861730104931</v>
      </c>
      <c r="AA177" s="388">
        <f t="shared" si="63"/>
        <v>47.750631108504905</v>
      </c>
      <c r="AB177" s="199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0.15962121610782293</v>
      </c>
      <c r="AD177" s="233">
        <f>(INDEX(Models!$BJ177:$BT177,,AH177)*(1-AF177)+INDEX(Models!$BJ177:$BT177,,AH177+1)*AF177-ERP_i)*AE177*Ramure*Pc/MaxiM</f>
        <v>4.8341569929113076E-4</v>
      </c>
      <c r="AE177" s="307">
        <f t="shared" si="65"/>
        <v>0.9</v>
      </c>
      <c r="AF177" s="179">
        <f t="shared" si="66"/>
        <v>0.16447711779057572</v>
      </c>
      <c r="AG177" s="839">
        <f t="shared" si="74"/>
        <v>2</v>
      </c>
      <c r="AH177" s="178">
        <f t="shared" si="67"/>
        <v>8</v>
      </c>
      <c r="AI177" s="227">
        <f t="shared" si="68"/>
        <v>2.1644771177905757</v>
      </c>
      <c r="AJ177" s="267" t="b">
        <f t="shared" si="69"/>
        <v>0</v>
      </c>
      <c r="AK177" s="267" t="b">
        <f t="shared" si="70"/>
        <v>0</v>
      </c>
      <c r="AL177" s="267"/>
      <c r="AM177" s="267"/>
      <c r="AN177" s="75"/>
    </row>
    <row r="178" spans="1:40" s="6" customFormat="1" ht="11.25" x14ac:dyDescent="0.2">
      <c r="A178" s="56">
        <f t="shared" si="71"/>
        <v>45821</v>
      </c>
      <c r="B178" s="413">
        <f>'2024'!Wh/'2024'!Env_an*'2025'!Env_an</f>
        <v>49.902046994911082</v>
      </c>
      <c r="C178" s="868"/>
      <c r="D178" s="395">
        <f t="shared" si="50"/>
        <v>52.901279564591242</v>
      </c>
      <c r="E178" s="387">
        <f t="shared" si="75"/>
        <v>58.696887091839265</v>
      </c>
      <c r="F178" s="387">
        <f t="shared" si="51"/>
        <v>58.697507693958102</v>
      </c>
      <c r="G178" s="110">
        <f t="shared" si="76"/>
        <v>0.91196286566145501</v>
      </c>
      <c r="H178" s="416" t="b">
        <f>Wh_hp&gt;='2024'!Maxi_hp</f>
        <v>0</v>
      </c>
      <c r="I178" s="392">
        <f>IF(H178,Wh_hp,'2024'!Maxi_hp)</f>
        <v>63.47863553055479</v>
      </c>
      <c r="J178" s="85">
        <f>IF(H178,An,'2024'!An_max)</f>
        <v>2019</v>
      </c>
      <c r="K178" s="199">
        <f t="shared" si="52"/>
        <v>45821</v>
      </c>
      <c r="L178" s="147">
        <f>IF(t&lt;Tvie,1-EXP((T0-t)*PertePVj)+'2024'!Pspv,1-EXP((T0-t)*PertePVj)+Pspv)</f>
        <v>5.6694896500909198E-2</v>
      </c>
      <c r="M178" s="872"/>
      <c r="N178" s="872"/>
      <c r="O178" s="48">
        <f>IF(t&lt;Tnet,'2024'!Resal+('2024'!Salim-'2024'!Resal)*(1-EXP(('2024'!Tnet-t)/('2024'!Tau_j))),Resal+(Salim-Resal)*(1-EXP((Tnet-t)/(Tau_j))))*Salcycl</f>
        <v>9.873790271330754E-2</v>
      </c>
      <c r="P178" s="171">
        <f>(INDEX(Models!$BJ178:$BT178,,T178)*(1-R178)+INDEX(Models!$BJ178:$BT178,,T178+1)*R178-ERP_i)*Q178*Ramure*Pc/MaxiM</f>
        <v>1.20938778694854E-5</v>
      </c>
      <c r="Q178" s="307">
        <f t="shared" si="53"/>
        <v>0.9</v>
      </c>
      <c r="R178" s="179">
        <f t="shared" si="54"/>
        <v>0.53600641381816994</v>
      </c>
      <c r="S178" s="839">
        <f t="shared" si="55"/>
        <v>-3</v>
      </c>
      <c r="T178" s="178">
        <f t="shared" si="56"/>
        <v>3</v>
      </c>
      <c r="U178" s="253">
        <f t="shared" si="57"/>
        <v>-2.4639935861818301</v>
      </c>
      <c r="V178" s="385">
        <f t="shared" si="58"/>
        <v>54.719301599368045</v>
      </c>
      <c r="W178" s="404">
        <f t="shared" si="59"/>
        <v>49.902046994911082</v>
      </c>
      <c r="X178" s="157">
        <f t="shared" si="60"/>
        <v>45821</v>
      </c>
      <c r="Y178" s="387">
        <f t="shared" si="61"/>
        <v>46.501476890301902</v>
      </c>
      <c r="Z178" s="387">
        <f t="shared" si="62"/>
        <v>49.29632705029325</v>
      </c>
      <c r="AA178" s="388">
        <f t="shared" si="63"/>
        <v>58.673631020251698</v>
      </c>
      <c r="AB178" s="199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0.15982143608466623</v>
      </c>
      <c r="AD178" s="233">
        <f>(INDEX(Models!$BJ178:$BT178,,AH178)*(1-AF178)+INDEX(Models!$BJ178:$BT178,,AH178+1)*AF178-ERP_i)*AE178*Ramure*Pc/MaxiM</f>
        <v>4.6529260370168469E-4</v>
      </c>
      <c r="AE178" s="307">
        <f t="shared" si="65"/>
        <v>0.9</v>
      </c>
      <c r="AF178" s="179">
        <f t="shared" si="66"/>
        <v>0.17166206612514889</v>
      </c>
      <c r="AG178" s="839">
        <f t="shared" si="74"/>
        <v>2</v>
      </c>
      <c r="AH178" s="178">
        <f t="shared" si="67"/>
        <v>8</v>
      </c>
      <c r="AI178" s="227">
        <f t="shared" si="68"/>
        <v>2.1716620661251489</v>
      </c>
      <c r="AJ178" s="267" t="b">
        <f t="shared" si="69"/>
        <v>0</v>
      </c>
      <c r="AK178" s="267" t="b">
        <f t="shared" si="70"/>
        <v>0</v>
      </c>
      <c r="AL178" s="267"/>
      <c r="AM178" s="267"/>
      <c r="AN178" s="75"/>
    </row>
    <row r="179" spans="1:40" s="6" customFormat="1" ht="11.25" x14ac:dyDescent="0.2">
      <c r="A179" s="56">
        <f t="shared" si="71"/>
        <v>45822</v>
      </c>
      <c r="B179" s="413">
        <f>'2024'!Wh/'2024'!Env_an*'2025'!Env_an</f>
        <v>42.858873093275001</v>
      </c>
      <c r="C179" s="868"/>
      <c r="D179" s="395">
        <f t="shared" si="50"/>
        <v>45.43585139748712</v>
      </c>
      <c r="E179" s="387">
        <f t="shared" si="75"/>
        <v>50.425839282582253</v>
      </c>
      <c r="F179" s="387">
        <f t="shared" si="51"/>
        <v>50.426272895986337</v>
      </c>
      <c r="G179" s="110">
        <f t="shared" si="76"/>
        <v>0.78381275007472262</v>
      </c>
      <c r="H179" s="416" t="b">
        <f>Wh_hp&gt;='2024'!Maxi_hp</f>
        <v>0</v>
      </c>
      <c r="I179" s="392">
        <f>IF(H179,Wh_hp,'2024'!Maxi_hp)</f>
        <v>54.493603449574607</v>
      </c>
      <c r="J179" s="85">
        <f>IF(H179,An,'2024'!An_max)</f>
        <v>2021</v>
      </c>
      <c r="K179" s="199">
        <f t="shared" si="52"/>
        <v>45822</v>
      </c>
      <c r="L179" s="147">
        <f>IF(t&lt;Tvie,1-EXP((T0-t)*PertePVj)+'2024'!Pspv,1-EXP((T0-t)*PertePVj)+Pspv)</f>
        <v>5.6716848588747704E-2</v>
      </c>
      <c r="M179" s="872"/>
      <c r="N179" s="872"/>
      <c r="O179" s="48">
        <f>IF(t&lt;Tnet,'2024'!Resal+('2024'!Salim-'2024'!Resal)*(1-EXP(('2024'!Tnet-t)/('2024'!Tau_j))),Resal+(Salim-Resal)*(1-EXP((Tnet-t)/(Tau_j))))*Salcycl</f>
        <v>9.895696246386014E-2</v>
      </c>
      <c r="P179" s="171">
        <f>(INDEX(Models!$BJ179:$BT179,,T179)*(1-R179)+INDEX(Models!$BJ179:$BT179,,T179+1)*R179-ERP_i)*Q179*Ramure*Pc/MaxiM</f>
        <v>1.2441245397021969E-5</v>
      </c>
      <c r="Q179" s="307">
        <f t="shared" si="53"/>
        <v>0.9</v>
      </c>
      <c r="R179" s="179">
        <f t="shared" si="54"/>
        <v>0.54317320900312627</v>
      </c>
      <c r="S179" s="839">
        <f t="shared" si="55"/>
        <v>-3</v>
      </c>
      <c r="T179" s="178">
        <f t="shared" si="56"/>
        <v>3</v>
      </c>
      <c r="U179" s="253">
        <f t="shared" si="57"/>
        <v>-2.4568267909968737</v>
      </c>
      <c r="V179" s="385">
        <f t="shared" si="58"/>
        <v>54.679779592340573</v>
      </c>
      <c r="W179" s="404">
        <f t="shared" si="59"/>
        <v>42.858873093275001</v>
      </c>
      <c r="X179" s="157">
        <f t="shared" si="60"/>
        <v>45822</v>
      </c>
      <c r="Y179" s="387">
        <f t="shared" si="61"/>
        <v>39.942367282967226</v>
      </c>
      <c r="Z179" s="387">
        <f t="shared" si="62"/>
        <v>42.343984648945735</v>
      </c>
      <c r="AA179" s="388">
        <f t="shared" si="63"/>
        <v>50.410616941714643</v>
      </c>
      <c r="AB179" s="199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0.16001851955304661</v>
      </c>
      <c r="AD179" s="233">
        <f>(INDEX(Models!$BJ179:$BT179,,AH179)*(1-AF179)+INDEX(Models!$BJ179:$BT179,,AH179+1)*AF179-ERP_i)*AE179*Ramure*Pc/MaxiM</f>
        <v>4.4920098683178764E-4</v>
      </c>
      <c r="AE179" s="307">
        <f t="shared" si="65"/>
        <v>0.9</v>
      </c>
      <c r="AF179" s="179">
        <f t="shared" si="66"/>
        <v>0.17882886131010522</v>
      </c>
      <c r="AG179" s="839">
        <f t="shared" si="74"/>
        <v>2</v>
      </c>
      <c r="AH179" s="178">
        <f t="shared" si="67"/>
        <v>8</v>
      </c>
      <c r="AI179" s="227">
        <f t="shared" si="68"/>
        <v>2.1788288613101052</v>
      </c>
      <c r="AJ179" s="267" t="b">
        <f t="shared" si="69"/>
        <v>0</v>
      </c>
      <c r="AK179" s="267" t="b">
        <f t="shared" si="70"/>
        <v>0</v>
      </c>
      <c r="AL179" s="267"/>
      <c r="AM179" s="267"/>
      <c r="AN179" s="75"/>
    </row>
    <row r="180" spans="1:40" s="6" customFormat="1" ht="11.25" x14ac:dyDescent="0.2">
      <c r="A180" s="56">
        <f t="shared" si="71"/>
        <v>45823</v>
      </c>
      <c r="B180" s="413">
        <f>'2024'!Wh/'2024'!Env_an*'2025'!Env_an</f>
        <v>50.622664753965836</v>
      </c>
      <c r="C180" s="868"/>
      <c r="D180" s="395">
        <f t="shared" si="50"/>
        <v>53.667706000056121</v>
      </c>
      <c r="E180" s="387">
        <f t="shared" si="75"/>
        <v>59.576110245558063</v>
      </c>
      <c r="F180" s="387">
        <f t="shared" si="51"/>
        <v>59.576792412508404</v>
      </c>
      <c r="G180" s="110">
        <f t="shared" si="76"/>
        <v>0.92652649405255705</v>
      </c>
      <c r="H180" s="416" t="b">
        <f>Wh_hp&gt;='2024'!Maxi_hp</f>
        <v>1</v>
      </c>
      <c r="I180" s="392">
        <f>IF(H180,Wh_hp,'2024'!Maxi_hp)</f>
        <v>59.576792412508404</v>
      </c>
      <c r="J180" s="85">
        <f>IF(H180,An,'2024'!An_max)</f>
        <v>2025</v>
      </c>
      <c r="K180" s="199">
        <f t="shared" si="52"/>
        <v>45823</v>
      </c>
      <c r="L180" s="147">
        <f>IF(t&lt;Tvie,1-EXP((T0-t)*PertePVj)+'2024'!Pspv,1-EXP((T0-t)*PertePVj)+Pspv)</f>
        <v>5.6738800165729075E-2</v>
      </c>
      <c r="M180" s="872"/>
      <c r="N180" s="872"/>
      <c r="O180" s="48">
        <f>IF(t&lt;Tnet,'2024'!Resal+('2024'!Salim-'2024'!Resal)*(1-EXP(('2024'!Tnet-t)/('2024'!Tau_j))),Resal+(Salim-Resal)*(1-EXP((Tnet-t)/(Tau_j))))*Salcycl</f>
        <v>9.9174051833007468E-2</v>
      </c>
      <c r="P180" s="171">
        <f>(INDEX(Models!$BJ180:$BT180,,T180)*(1-R180)+INDEX(Models!$BJ180:$BT180,,T180+1)*R180-ERP_i)*Q180*Ramure*Pc/MaxiM</f>
        <v>1.279296743500168E-5</v>
      </c>
      <c r="Q180" s="307">
        <f t="shared" si="53"/>
        <v>0.9</v>
      </c>
      <c r="R180" s="179">
        <f t="shared" si="54"/>
        <v>0.55031589496912225</v>
      </c>
      <c r="S180" s="839">
        <f t="shared" si="55"/>
        <v>-3</v>
      </c>
      <c r="T180" s="178">
        <f t="shared" si="56"/>
        <v>3</v>
      </c>
      <c r="U180" s="253">
        <f t="shared" si="57"/>
        <v>-2.4496841050308777</v>
      </c>
      <c r="V180" s="385">
        <f t="shared" si="58"/>
        <v>54.636966243620023</v>
      </c>
      <c r="W180" s="404">
        <f t="shared" si="59"/>
        <v>50.622664753965836</v>
      </c>
      <c r="X180" s="157">
        <f t="shared" si="60"/>
        <v>45823</v>
      </c>
      <c r="Y180" s="387">
        <f t="shared" si="61"/>
        <v>47.174724657654401</v>
      </c>
      <c r="Z180" s="387">
        <f t="shared" si="62"/>
        <v>50.012366315865535</v>
      </c>
      <c r="AA180" s="388">
        <f t="shared" si="63"/>
        <v>59.553587111639963</v>
      </c>
      <c r="AB180" s="199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0.16021236097648212</v>
      </c>
      <c r="AD180" s="233">
        <f>(INDEX(Models!$BJ180:$BT180,,AH180)*(1-AF180)+INDEX(Models!$BJ180:$BT180,,AH180+1)*AF180-ERP_i)*AE180*Ramure*Pc/MaxiM</f>
        <v>4.3517889305748824E-4</v>
      </c>
      <c r="AE180" s="307">
        <f t="shared" si="65"/>
        <v>0.9</v>
      </c>
      <c r="AF180" s="179">
        <f t="shared" si="66"/>
        <v>0.18597154727610121</v>
      </c>
      <c r="AG180" s="839">
        <f t="shared" si="74"/>
        <v>2</v>
      </c>
      <c r="AH180" s="178">
        <f t="shared" si="67"/>
        <v>8</v>
      </c>
      <c r="AI180" s="227">
        <f t="shared" si="68"/>
        <v>2.1859715472761012</v>
      </c>
      <c r="AJ180" s="267" t="b">
        <f t="shared" si="69"/>
        <v>0</v>
      </c>
      <c r="AK180" s="267" t="b">
        <f t="shared" si="70"/>
        <v>0</v>
      </c>
      <c r="AL180" s="267"/>
      <c r="AM180" s="267"/>
      <c r="AN180" s="75"/>
    </row>
    <row r="181" spans="1:40" s="6" customFormat="1" ht="11.25" x14ac:dyDescent="0.2">
      <c r="A181" s="56">
        <f t="shared" si="71"/>
        <v>45824</v>
      </c>
      <c r="B181" s="413">
        <f>'2024'!Wh/'2024'!Env_an*'2025'!Env_an</f>
        <v>46.994675849554739</v>
      </c>
      <c r="C181" s="868"/>
      <c r="D181" s="395">
        <f t="shared" si="50"/>
        <v>49.822646704883745</v>
      </c>
      <c r="E181" s="387">
        <f t="shared" si="75"/>
        <v>55.320946042384641</v>
      </c>
      <c r="F181" s="387">
        <f t="shared" si="51"/>
        <v>55.321528858503505</v>
      </c>
      <c r="G181" s="110">
        <f t="shared" si="76"/>
        <v>0.8608470785354958</v>
      </c>
      <c r="H181" s="416" t="b">
        <f>Wh_hp&gt;='2024'!Maxi_hp</f>
        <v>0</v>
      </c>
      <c r="I181" s="392">
        <f>IF(H181,Wh_hp,'2024'!Maxi_hp)</f>
        <v>65.039285563897309</v>
      </c>
      <c r="J181" s="85">
        <f>IF(H181,An,'2024'!An_max)</f>
        <v>2019</v>
      </c>
      <c r="K181" s="199">
        <f t="shared" si="52"/>
        <v>45824</v>
      </c>
      <c r="L181" s="147">
        <f>IF(t&lt;Tvie,1-EXP((T0-t)*PertePVj)+'2024'!Pspv,1-EXP((T0-t)*PertePVj)+Pspv)</f>
        <v>5.6760751231865081E-2</v>
      </c>
      <c r="M181" s="872"/>
      <c r="N181" s="872"/>
      <c r="O181" s="48">
        <f>IF(t&lt;Tnet,'2024'!Resal+('2024'!Salim-'2024'!Resal)*(1-EXP(('2024'!Tnet-t)/('2024'!Tau_j))),Resal+(Salim-Resal)*(1-EXP((Tnet-t)/(Tau_j))))*Salcycl</f>
        <v>9.938910540843468E-2</v>
      </c>
      <c r="P181" s="171">
        <f>(INDEX(Models!$BJ181:$BT181,,T181)*(1-R181)+INDEX(Models!$BJ181:$BT181,,T181+1)*R181-ERP_i)*Q181*Ramure*Pc/MaxiM</f>
        <v>1.3148893761145005E-5</v>
      </c>
      <c r="Q181" s="307">
        <f t="shared" si="53"/>
        <v>0.9</v>
      </c>
      <c r="R181" s="179">
        <f t="shared" si="54"/>
        <v>0.55742859618750273</v>
      </c>
      <c r="S181" s="839">
        <f t="shared" si="55"/>
        <v>-3</v>
      </c>
      <c r="T181" s="178">
        <f t="shared" si="56"/>
        <v>3</v>
      </c>
      <c r="U181" s="253">
        <f t="shared" si="57"/>
        <v>-2.4425714038124973</v>
      </c>
      <c r="V181" s="385">
        <f t="shared" si="58"/>
        <v>54.591058254339409</v>
      </c>
      <c r="W181" s="404">
        <f t="shared" si="59"/>
        <v>46.994675849554739</v>
      </c>
      <c r="X181" s="157">
        <f t="shared" si="60"/>
        <v>45824</v>
      </c>
      <c r="Y181" s="387">
        <f t="shared" si="61"/>
        <v>43.796527720746589</v>
      </c>
      <c r="Z181" s="387">
        <f t="shared" si="62"/>
        <v>46.432045504833056</v>
      </c>
      <c r="AA181" s="388">
        <f t="shared" si="63"/>
        <v>55.302767893612156</v>
      </c>
      <c r="AB181" s="199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0.16040286456988936</v>
      </c>
      <c r="AD181" s="233">
        <f>(INDEX(Models!$BJ181:$BT181,,AH181)*(1-AF181)+INDEX(Models!$BJ181:$BT181,,AH181+1)*AF181-ERP_i)*AE181*Ramure*Pc/MaxiM</f>
        <v>4.2326546268855179E-4</v>
      </c>
      <c r="AE181" s="307">
        <f t="shared" si="65"/>
        <v>0.9</v>
      </c>
      <c r="AF181" s="179">
        <f t="shared" si="66"/>
        <v>0.19308424849448169</v>
      </c>
      <c r="AG181" s="839">
        <f t="shared" si="74"/>
        <v>2</v>
      </c>
      <c r="AH181" s="178">
        <f t="shared" si="67"/>
        <v>8</v>
      </c>
      <c r="AI181" s="227">
        <f t="shared" si="68"/>
        <v>2.1930842484944817</v>
      </c>
      <c r="AJ181" s="267" t="b">
        <f t="shared" si="69"/>
        <v>0</v>
      </c>
      <c r="AK181" s="267" t="b">
        <f t="shared" si="70"/>
        <v>0</v>
      </c>
      <c r="AL181" s="267"/>
      <c r="AM181" s="267"/>
      <c r="AN181" s="75"/>
    </row>
    <row r="182" spans="1:40" s="6" customFormat="1" ht="11.25" x14ac:dyDescent="0.2">
      <c r="A182" s="56">
        <f t="shared" si="71"/>
        <v>45825</v>
      </c>
      <c r="B182" s="413">
        <f>'2024'!Wh/'2024'!Env_an*'2025'!Env_an</f>
        <v>48.481745953640662</v>
      </c>
      <c r="C182" s="868"/>
      <c r="D182" s="395">
        <f t="shared" si="50"/>
        <v>51.400399510803929</v>
      </c>
      <c r="E182" s="387">
        <f t="shared" si="75"/>
        <v>57.086314223214785</v>
      </c>
      <c r="F182" s="387">
        <f t="shared" si="51"/>
        <v>57.086962988834912</v>
      </c>
      <c r="G182" s="110">
        <f t="shared" si="76"/>
        <v>0.88888229717985234</v>
      </c>
      <c r="H182" s="416" t="b">
        <f>Wh_hp&gt;='2024'!Maxi_hp</f>
        <v>0</v>
      </c>
      <c r="I182" s="392">
        <f>IF(H182,Wh_hp,'2024'!Maxi_hp)</f>
        <v>64.172598180317252</v>
      </c>
      <c r="J182" s="85">
        <f>IF(H182,An,'2024'!An_max)</f>
        <v>2019</v>
      </c>
      <c r="K182" s="199">
        <f t="shared" si="52"/>
        <v>45825</v>
      </c>
      <c r="L182" s="147">
        <f>IF(t&lt;Tvie,1-EXP((T0-t)*PertePVj)+'2024'!Pspv,1-EXP((T0-t)*PertePVj)+Pspv)</f>
        <v>5.6782701787167822E-2</v>
      </c>
      <c r="M182" s="872"/>
      <c r="N182" s="872"/>
      <c r="O182" s="48">
        <f>IF(t&lt;Tnet,'2024'!Resal+('2024'!Salim-'2024'!Resal)*(1-EXP(('2024'!Tnet-t)/('2024'!Tau_j))),Resal+(Salim-Resal)*(1-EXP((Tnet-t)/(Tau_j))))*Salcycl</f>
        <v>9.960206381827702E-2</v>
      </c>
      <c r="P182" s="171">
        <f>(INDEX(Models!$BJ182:$BT182,,T182)*(1-R182)+INDEX(Models!$BJ182:$BT182,,T182+1)*R182-ERP_i)*Q182*Ramure*Pc/MaxiM</f>
        <v>1.3508870035454126E-5</v>
      </c>
      <c r="Q182" s="307">
        <f t="shared" si="53"/>
        <v>0.9</v>
      </c>
      <c r="R182" s="179">
        <f t="shared" si="54"/>
        <v>0.56450553672902659</v>
      </c>
      <c r="S182" s="839">
        <f t="shared" si="55"/>
        <v>-3</v>
      </c>
      <c r="T182" s="178">
        <f t="shared" si="56"/>
        <v>3</v>
      </c>
      <c r="U182" s="253">
        <f t="shared" si="57"/>
        <v>-2.4354944632709734</v>
      </c>
      <c r="V182" s="385">
        <f t="shared" si="58"/>
        <v>54.542251706640265</v>
      </c>
      <c r="W182" s="404">
        <f t="shared" si="59"/>
        <v>48.481745953640662</v>
      </c>
      <c r="X182" s="157">
        <f t="shared" si="60"/>
        <v>45825</v>
      </c>
      <c r="Y182" s="387">
        <f t="shared" si="61"/>
        <v>45.182656581024339</v>
      </c>
      <c r="Z182" s="387">
        <f t="shared" si="62"/>
        <v>47.902701388783377</v>
      </c>
      <c r="AA182" s="388">
        <f t="shared" si="63"/>
        <v>57.067104547722707</v>
      </c>
      <c r="AB182" s="199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0.16058994461994375</v>
      </c>
      <c r="AD182" s="233">
        <f>(INDEX(Models!$BJ182:$BT182,,AH182)*(1-AF182)+INDEX(Models!$BJ182:$BT182,,AH182+1)*AF182-ERP_i)*AE182*Ramure*Pc/MaxiM</f>
        <v>4.1350079561851776E-4</v>
      </c>
      <c r="AE182" s="307">
        <f t="shared" si="65"/>
        <v>0.9</v>
      </c>
      <c r="AF182" s="179">
        <f t="shared" si="66"/>
        <v>0.20016118903600555</v>
      </c>
      <c r="AG182" s="839">
        <f t="shared" si="74"/>
        <v>2</v>
      </c>
      <c r="AH182" s="178">
        <f t="shared" si="67"/>
        <v>8</v>
      </c>
      <c r="AI182" s="227">
        <f t="shared" si="68"/>
        <v>2.2001611890360055</v>
      </c>
      <c r="AJ182" s="267" t="b">
        <f t="shared" si="69"/>
        <v>0</v>
      </c>
      <c r="AK182" s="267" t="b">
        <f t="shared" si="70"/>
        <v>0</v>
      </c>
      <c r="AL182" s="267"/>
      <c r="AM182" s="267"/>
      <c r="AN182" s="75"/>
    </row>
    <row r="183" spans="1:40" s="6" customFormat="1" ht="11.25" x14ac:dyDescent="0.2">
      <c r="A183" s="56">
        <f t="shared" si="71"/>
        <v>45826</v>
      </c>
      <c r="B183" s="413">
        <f>'2024'!Wh/'2024'!Env_an*'2025'!Env_an</f>
        <v>50.401588507849297</v>
      </c>
      <c r="C183" s="868"/>
      <c r="D183" s="395">
        <f t="shared" si="50"/>
        <v>53.437062222292809</v>
      </c>
      <c r="E183" s="387">
        <f t="shared" si="75"/>
        <v>59.362171124861987</v>
      </c>
      <c r="F183" s="387">
        <f t="shared" si="51"/>
        <v>59.362906365300077</v>
      </c>
      <c r="G183" s="110">
        <f t="shared" si="76"/>
        <v>0.92495553645118489</v>
      </c>
      <c r="H183" s="416" t="b">
        <f>Wh_hp&gt;='2024'!Maxi_hp</f>
        <v>0</v>
      </c>
      <c r="I183" s="392">
        <f>IF(H183,Wh_hp,'2024'!Maxi_hp)</f>
        <v>62.517821200510539</v>
      </c>
      <c r="J183" s="85">
        <f>IF(H183,An,'2024'!An_max)</f>
        <v>2019</v>
      </c>
      <c r="K183" s="199">
        <f t="shared" si="52"/>
        <v>45826</v>
      </c>
      <c r="L183" s="147">
        <f>IF(t&lt;Tvie,1-EXP((T0-t)*PertePVj)+'2024'!Pspv,1-EXP((T0-t)*PertePVj)+Pspv)</f>
        <v>5.6804651831649067E-2</v>
      </c>
      <c r="M183" s="872"/>
      <c r="N183" s="872"/>
      <c r="O183" s="48">
        <f>IF(t&lt;Tnet,'2024'!Resal+('2024'!Salim-'2024'!Resal)*(1-EXP(('2024'!Tnet-t)/('2024'!Tau_j))),Resal+(Salim-Resal)*(1-EXP((Tnet-t)/(Tau_j))))*Salcycl</f>
        <v>9.9812873927847864E-2</v>
      </c>
      <c r="P183" s="171">
        <f>(INDEX(Models!$BJ183:$BT183,,T183)*(1-R183)+INDEX(Models!$BJ183:$BT183,,T183+1)*R183-ERP_i)*Q183*Ramure*Pc/MaxiM</f>
        <v>1.3872738306142255E-5</v>
      </c>
      <c r="Q183" s="307">
        <f t="shared" si="53"/>
        <v>0.9</v>
      </c>
      <c r="R183" s="179">
        <f t="shared" si="54"/>
        <v>0.57154105862420757</v>
      </c>
      <c r="S183" s="839">
        <f t="shared" si="55"/>
        <v>-3</v>
      </c>
      <c r="T183" s="178">
        <f t="shared" si="56"/>
        <v>3</v>
      </c>
      <c r="U183" s="253">
        <f t="shared" si="57"/>
        <v>-2.4284589413757924</v>
      </c>
      <c r="V183" s="385">
        <f t="shared" si="58"/>
        <v>54.490742054597931</v>
      </c>
      <c r="W183" s="404">
        <f t="shared" si="59"/>
        <v>50.401588507849297</v>
      </c>
      <c r="X183" s="157">
        <f t="shared" si="60"/>
        <v>45826</v>
      </c>
      <c r="Y183" s="387">
        <f t="shared" si="61"/>
        <v>46.971946839247465</v>
      </c>
      <c r="Z183" s="387">
        <f t="shared" si="62"/>
        <v>49.80086779527187</v>
      </c>
      <c r="AA183" s="388">
        <f t="shared" si="63"/>
        <v>59.34139272698097</v>
      </c>
      <c r="AB183" s="199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0.16077352575129705</v>
      </c>
      <c r="AD183" s="233">
        <f>(INDEX(Models!$BJ183:$BT183,,AH183)*(1-AF183)+INDEX(Models!$BJ183:$BT183,,AH183+1)*AF183-ERP_i)*AE183*Ramure*Pc/MaxiM</f>
        <v>4.059258154921809E-4</v>
      </c>
      <c r="AE183" s="307">
        <f t="shared" si="65"/>
        <v>0.9</v>
      </c>
      <c r="AF183" s="179">
        <f t="shared" si="66"/>
        <v>0.20719671093118652</v>
      </c>
      <c r="AG183" s="839">
        <f t="shared" si="74"/>
        <v>2</v>
      </c>
      <c r="AH183" s="178">
        <f t="shared" si="67"/>
        <v>8</v>
      </c>
      <c r="AI183" s="227">
        <f t="shared" si="68"/>
        <v>2.2071967109311865</v>
      </c>
      <c r="AJ183" s="267" t="b">
        <f t="shared" si="69"/>
        <v>0</v>
      </c>
      <c r="AK183" s="267" t="b">
        <f t="shared" si="70"/>
        <v>0</v>
      </c>
      <c r="AL183" s="267"/>
      <c r="AM183" s="267"/>
      <c r="AN183" s="75"/>
    </row>
    <row r="184" spans="1:40" s="6" customFormat="1" ht="11.25" x14ac:dyDescent="0.2">
      <c r="A184" s="56">
        <f t="shared" si="71"/>
        <v>45827</v>
      </c>
      <c r="B184" s="413">
        <f>'2024'!Wh/'2024'!Env_an*'2025'!Env_an</f>
        <v>51.653094943663966</v>
      </c>
      <c r="C184" s="868"/>
      <c r="D184" s="395">
        <f t="shared" si="50"/>
        <v>54.765216044511057</v>
      </c>
      <c r="E184" s="387">
        <f t="shared" si="75"/>
        <v>60.851692985195655</v>
      </c>
      <c r="F184" s="387">
        <f t="shared" si="51"/>
        <v>60.85249550709284</v>
      </c>
      <c r="G184" s="110">
        <f t="shared" si="76"/>
        <v>0.9488638675786264</v>
      </c>
      <c r="H184" s="416" t="b">
        <f>Wh_hp&gt;='2024'!Maxi_hp</f>
        <v>1</v>
      </c>
      <c r="I184" s="392">
        <f>IF(H184,Wh_hp,'2024'!Maxi_hp)</f>
        <v>60.85249550709284</v>
      </c>
      <c r="J184" s="85">
        <f>IF(H184,An,'2024'!An_max)</f>
        <v>2025</v>
      </c>
      <c r="K184" s="199">
        <f t="shared" si="52"/>
        <v>45827</v>
      </c>
      <c r="L184" s="147">
        <f>IF(t&lt;Tvie,1-EXP((T0-t)*PertePVj)+'2024'!Pspv,1-EXP((T0-t)*PertePVj)+Pspv)</f>
        <v>5.6826601365320584E-2</v>
      </c>
      <c r="M184" s="872"/>
      <c r="N184" s="872"/>
      <c r="O184" s="48">
        <f>IF(t&lt;Tnet,'2024'!Resal+('2024'!Salim-'2024'!Resal)*(1-EXP(('2024'!Tnet-t)/('2024'!Tau_j))),Resal+(Salim-Resal)*(1-EXP((Tnet-t)/(Tau_j))))*Salcycl</f>
        <v>0.10002148900220989</v>
      </c>
      <c r="P184" s="171">
        <f>(INDEX(Models!$BJ184:$BT184,,T184)*(1-R184)+INDEX(Models!$BJ184:$BT184,,T184+1)*R184-ERP_i)*Q184*Ramure*Pc/MaxiM</f>
        <v>1.4227293384827809E-5</v>
      </c>
      <c r="Q184" s="307">
        <f t="shared" si="53"/>
        <v>0.9</v>
      </c>
      <c r="R184" s="179">
        <f t="shared" si="54"/>
        <v>0.57852963940438507</v>
      </c>
      <c r="S184" s="839">
        <f t="shared" si="55"/>
        <v>-3</v>
      </c>
      <c r="T184" s="178">
        <f t="shared" si="56"/>
        <v>3</v>
      </c>
      <c r="U184" s="253">
        <f t="shared" si="57"/>
        <v>-2.4214703605956149</v>
      </c>
      <c r="V184" s="385">
        <f t="shared" si="58"/>
        <v>54.436724828986463</v>
      </c>
      <c r="W184" s="404">
        <f t="shared" si="59"/>
        <v>51.653094943663966</v>
      </c>
      <c r="X184" s="157">
        <f t="shared" si="60"/>
        <v>45827</v>
      </c>
      <c r="Y184" s="387">
        <f t="shared" si="61"/>
        <v>48.138691558328993</v>
      </c>
      <c r="Z184" s="387">
        <f t="shared" si="62"/>
        <v>51.039068349482378</v>
      </c>
      <c r="AA184" s="388">
        <f t="shared" si="63"/>
        <v>60.829847896958121</v>
      </c>
      <c r="AB184" s="199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0.1609535431365981</v>
      </c>
      <c r="AD184" s="233">
        <f>(INDEX(Models!$BJ184:$BT184,,AH184)*(1-AF184)+INDEX(Models!$BJ184:$BT184,,AH184+1)*AF184-ERP_i)*AE184*Ramure*Pc/MaxiM</f>
        <v>4.0150205867348321E-4</v>
      </c>
      <c r="AE184" s="307">
        <f t="shared" si="65"/>
        <v>0.9</v>
      </c>
      <c r="AF184" s="179">
        <f t="shared" si="66"/>
        <v>0.21418529171136402</v>
      </c>
      <c r="AG184" s="839">
        <f t="shared" si="74"/>
        <v>2</v>
      </c>
      <c r="AH184" s="178">
        <f t="shared" si="67"/>
        <v>8</v>
      </c>
      <c r="AI184" s="227">
        <f t="shared" si="68"/>
        <v>2.214185291711364</v>
      </c>
      <c r="AJ184" s="267" t="b">
        <f t="shared" si="69"/>
        <v>0</v>
      </c>
      <c r="AK184" s="267" t="b">
        <f t="shared" si="70"/>
        <v>0</v>
      </c>
      <c r="AL184" s="267"/>
      <c r="AM184" s="267"/>
      <c r="AN184" s="75"/>
    </row>
    <row r="185" spans="1:40" s="6" customFormat="1" ht="11.25" x14ac:dyDescent="0.2">
      <c r="A185" s="56">
        <f t="shared" si="71"/>
        <v>45828</v>
      </c>
      <c r="B185" s="413">
        <f>'2024'!Wh/'2024'!Env_an*'2025'!Env_an</f>
        <v>30.67436958076398</v>
      </c>
      <c r="C185" s="868"/>
      <c r="D185" s="395">
        <f t="shared" si="50"/>
        <v>32.523270354288627</v>
      </c>
      <c r="E185" s="387">
        <f t="shared" si="75"/>
        <v>36.14611880912345</v>
      </c>
      <c r="F185" s="387">
        <f t="shared" si="51"/>
        <v>36.146317317039703</v>
      </c>
      <c r="G185" s="110">
        <f t="shared" si="76"/>
        <v>0.56406525703213395</v>
      </c>
      <c r="H185" s="416" t="b">
        <f>Wh_hp&gt;='2024'!Maxi_hp</f>
        <v>0</v>
      </c>
      <c r="I185" s="392">
        <f>IF(H185,Wh_hp,'2024'!Maxi_hp)</f>
        <v>61.778509370898874</v>
      </c>
      <c r="J185" s="85">
        <f>IF(H185,An,'2024'!An_max)</f>
        <v>2020</v>
      </c>
      <c r="K185" s="199">
        <f t="shared" si="52"/>
        <v>45828</v>
      </c>
      <c r="L185" s="147">
        <f>IF(t&lt;Tvie,1-EXP((T0-t)*PertePVj)+'2024'!Pspv,1-EXP((T0-t)*PertePVj)+Pspv)</f>
        <v>5.6848550388194474E-2</v>
      </c>
      <c r="M185" s="872"/>
      <c r="N185" s="872"/>
      <c r="O185" s="48">
        <f>IF(t&lt;Tnet,'2024'!Resal+('2024'!Salim-'2024'!Resal)*(1-EXP(('2024'!Tnet-t)/('2024'!Tau_j))),Resal+(Salim-Resal)*(1-EXP((Tnet-t)/(Tau_j))))*Salcycl</f>
        <v>0.10022786883333104</v>
      </c>
      <c r="P185" s="171">
        <f>(INDEX(Models!$BJ185:$BT185,,T185)*(1-R185)+INDEX(Models!$BJ185:$BT185,,T185+1)*R185-ERP_i)*Q185*Ramure*Pc/MaxiM</f>
        <v>1.4557678985031165E-5</v>
      </c>
      <c r="Q185" s="307">
        <f t="shared" si="53"/>
        <v>0.9</v>
      </c>
      <c r="R185" s="179">
        <f t="shared" si="54"/>
        <v>0.5854659087123002</v>
      </c>
      <c r="S185" s="839">
        <f t="shared" si="55"/>
        <v>-3</v>
      </c>
      <c r="T185" s="178">
        <f t="shared" si="56"/>
        <v>3</v>
      </c>
      <c r="U185" s="253">
        <f t="shared" si="57"/>
        <v>-2.4145340912876998</v>
      </c>
      <c r="V185" s="385">
        <f t="shared" si="58"/>
        <v>54.380395009867655</v>
      </c>
      <c r="W185" s="404">
        <f t="shared" si="59"/>
        <v>30.67436958076398</v>
      </c>
      <c r="X185" s="157">
        <f t="shared" si="60"/>
        <v>45828</v>
      </c>
      <c r="Y185" s="387">
        <f t="shared" si="61"/>
        <v>28.593994924156817</v>
      </c>
      <c r="Z185" s="387">
        <f t="shared" si="62"/>
        <v>30.317500901817947</v>
      </c>
      <c r="AA185" s="388">
        <f t="shared" si="63"/>
        <v>36.14087859750731</v>
      </c>
      <c r="AB185" s="199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0.16112994264868286</v>
      </c>
      <c r="AD185" s="233">
        <f>(INDEX(Models!$BJ185:$BT185,,AH185)*(1-AF185)+INDEX(Models!$BJ185:$BT185,,AH185+1)*AF185-ERP_i)*AE185*Ramure*Pc/MaxiM</f>
        <v>3.988512626430934E-4</v>
      </c>
      <c r="AE185" s="307">
        <f t="shared" si="65"/>
        <v>0.9</v>
      </c>
      <c r="AF185" s="179">
        <f t="shared" si="66"/>
        <v>0.22112156101927916</v>
      </c>
      <c r="AG185" s="839">
        <f t="shared" si="74"/>
        <v>2</v>
      </c>
      <c r="AH185" s="178">
        <f t="shared" si="67"/>
        <v>8</v>
      </c>
      <c r="AI185" s="227">
        <f t="shared" si="68"/>
        <v>2.2211215610192792</v>
      </c>
      <c r="AJ185" s="267" t="b">
        <f t="shared" si="69"/>
        <v>0</v>
      </c>
      <c r="AK185" s="267" t="b">
        <f t="shared" si="70"/>
        <v>0</v>
      </c>
      <c r="AL185" s="267"/>
      <c r="AM185" s="267"/>
      <c r="AN185" s="75"/>
    </row>
    <row r="186" spans="1:40" s="6" customFormat="1" ht="11.25" x14ac:dyDescent="0.2">
      <c r="A186" s="56">
        <f t="shared" si="71"/>
        <v>45829</v>
      </c>
      <c r="B186" s="413">
        <f>'2024'!Wh/'2024'!Env_an*'2025'!Env_an</f>
        <v>18.212126466200584</v>
      </c>
      <c r="C186" s="868"/>
      <c r="D186" s="395">
        <f t="shared" si="50"/>
        <v>19.310313636637062</v>
      </c>
      <c r="E186" s="387">
        <f t="shared" si="75"/>
        <v>21.466207339168996</v>
      </c>
      <c r="F186" s="387">
        <f t="shared" si="51"/>
        <v>21.466223410752168</v>
      </c>
      <c r="G186" s="110">
        <f t="shared" si="76"/>
        <v>0.33525804385739072</v>
      </c>
      <c r="H186" s="416" t="b">
        <f>Wh_hp&gt;='2024'!Maxi_hp</f>
        <v>0</v>
      </c>
      <c r="I186" s="392">
        <f>IF(H186,Wh_hp,'2024'!Maxi_hp)</f>
        <v>55.37097904522787</v>
      </c>
      <c r="J186" s="85">
        <f>IF(H186,An,'2024'!An_max)</f>
        <v>2020</v>
      </c>
      <c r="K186" s="199">
        <f t="shared" si="52"/>
        <v>45829</v>
      </c>
      <c r="L186" s="147">
        <f>IF(t&lt;Tvie,1-EXP((T0-t)*PertePVj)+'2024'!Pspv,1-EXP((T0-t)*PertePVj)+Pspv)</f>
        <v>5.6870498900282507E-2</v>
      </c>
      <c r="M186" s="872"/>
      <c r="N186" s="872"/>
      <c r="O186" s="48">
        <f>IF(t&lt;Tnet,'2024'!Resal+('2024'!Salim-'2024'!Resal)*(1-EXP(('2024'!Tnet-t)/('2024'!Tau_j))),Resal+(Salim-Resal)*(1-EXP((Tnet-t)/(Tau_j))))*Salcycl</f>
        <v>0.10043197983083459</v>
      </c>
      <c r="P186" s="171">
        <f>(INDEX(Models!$BJ186:$BT186,,T186)*(1-R186)+INDEX(Models!$BJ186:$BT186,,T186+1)*R186-ERP_i)*Q186*Ramure*Pc/MaxiM</f>
        <v>1.4862249974983031E-5</v>
      </c>
      <c r="Q186" s="307">
        <f t="shared" si="53"/>
        <v>0.9</v>
      </c>
      <c r="R186" s="179">
        <f t="shared" si="54"/>
        <v>0.59234466388177731</v>
      </c>
      <c r="S186" s="839">
        <f t="shared" si="55"/>
        <v>-3</v>
      </c>
      <c r="T186" s="178">
        <f t="shared" si="56"/>
        <v>3</v>
      </c>
      <c r="U186" s="253">
        <f t="shared" si="57"/>
        <v>-2.4076553361182227</v>
      </c>
      <c r="V186" s="385">
        <f t="shared" si="58"/>
        <v>54.321946219571259</v>
      </c>
      <c r="W186" s="404">
        <f t="shared" si="59"/>
        <v>18.212126466200584</v>
      </c>
      <c r="X186" s="157">
        <f t="shared" si="60"/>
        <v>45829</v>
      </c>
      <c r="Y186" s="387">
        <f t="shared" si="61"/>
        <v>16.979446225978183</v>
      </c>
      <c r="Z186" s="387">
        <f t="shared" si="62"/>
        <v>18.003303052422424</v>
      </c>
      <c r="AA186" s="388">
        <f t="shared" si="63"/>
        <v>21.465793014451474</v>
      </c>
      <c r="AB186" s="199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0.16130268095373831</v>
      </c>
      <c r="AD186" s="233">
        <f>(INDEX(Models!$BJ186:$BT186,,AH186)*(1-AF186)+INDEX(Models!$BJ186:$BT186,,AH186+1)*AF186-ERP_i)*AE186*Ramure*Pc/MaxiM</f>
        <v>3.9801041005122802E-4</v>
      </c>
      <c r="AE186" s="307">
        <f t="shared" si="65"/>
        <v>0.9</v>
      </c>
      <c r="AF186" s="179">
        <f t="shared" si="66"/>
        <v>0.22800031618875627</v>
      </c>
      <c r="AG186" s="839">
        <f t="shared" si="74"/>
        <v>2</v>
      </c>
      <c r="AH186" s="178">
        <f t="shared" si="67"/>
        <v>8</v>
      </c>
      <c r="AI186" s="227">
        <f t="shared" si="68"/>
        <v>2.2280003161887563</v>
      </c>
      <c r="AJ186" s="267" t="b">
        <f t="shared" si="69"/>
        <v>0</v>
      </c>
      <c r="AK186" s="267" t="b">
        <f t="shared" si="70"/>
        <v>0</v>
      </c>
      <c r="AL186" s="267"/>
      <c r="AM186" s="267"/>
      <c r="AN186" s="75"/>
    </row>
    <row r="187" spans="1:40" s="6" customFormat="1" ht="11.25" x14ac:dyDescent="0.2">
      <c r="A187" s="56">
        <f t="shared" si="71"/>
        <v>45830</v>
      </c>
      <c r="B187" s="413">
        <f>'2024'!Wh/'2024'!Env_an*'2025'!Env_an</f>
        <v>43.985266623622337</v>
      </c>
      <c r="C187" s="868"/>
      <c r="D187" s="395">
        <f t="shared" si="50"/>
        <v>46.638653755997368</v>
      </c>
      <c r="E187" s="387">
        <f t="shared" si="75"/>
        <v>51.857245136222787</v>
      </c>
      <c r="F187" s="387">
        <f t="shared" si="51"/>
        <v>51.857817824224085</v>
      </c>
      <c r="G187" s="110">
        <f t="shared" si="76"/>
        <v>0.8106121015524318</v>
      </c>
      <c r="H187" s="416" t="b">
        <f>Wh_hp&gt;='2024'!Maxi_hp</f>
        <v>0</v>
      </c>
      <c r="I187" s="392">
        <f>IF(H187,Wh_hp,'2024'!Maxi_hp)</f>
        <v>63.646514520182144</v>
      </c>
      <c r="J187" s="85">
        <f>IF(H187,An,'2024'!An_max)</f>
        <v>2020</v>
      </c>
      <c r="K187" s="199">
        <f t="shared" si="52"/>
        <v>45830</v>
      </c>
      <c r="L187" s="147">
        <f>IF(t&lt;Tvie,1-EXP((T0-t)*PertePVj)+'2024'!Pspv,1-EXP((T0-t)*PertePVj)+Pspv)</f>
        <v>5.6892446901596672E-2</v>
      </c>
      <c r="M187" s="872"/>
      <c r="N187" s="872"/>
      <c r="O187" s="48">
        <f>IF(t&lt;Tnet,'2024'!Resal+('2024'!Salim-'2024'!Resal)*(1-EXP(('2024'!Tnet-t)/('2024'!Tau_j))),Resal+(Salim-Resal)*(1-EXP((Tnet-t)/(Tau_j))))*Salcycl</f>
        <v>0.10063379507563117</v>
      </c>
      <c r="P187" s="171">
        <f>(INDEX(Models!$BJ187:$BT187,,T187)*(1-R187)+INDEX(Models!$BJ187:$BT187,,T187+1)*R187-ERP_i)*Q187*Ramure*Pc/MaxiM</f>
        <v>1.513937543323984E-5</v>
      </c>
      <c r="Q187" s="307">
        <f t="shared" si="53"/>
        <v>0.9</v>
      </c>
      <c r="R187" s="179">
        <f t="shared" si="54"/>
        <v>0.59916088439790016</v>
      </c>
      <c r="S187" s="839">
        <f t="shared" si="55"/>
        <v>-3</v>
      </c>
      <c r="T187" s="178">
        <f t="shared" si="56"/>
        <v>3</v>
      </c>
      <c r="U187" s="253">
        <f t="shared" si="57"/>
        <v>-2.4008391156020998</v>
      </c>
      <c r="V187" s="385">
        <f t="shared" si="58"/>
        <v>54.261571442112533</v>
      </c>
      <c r="W187" s="404">
        <f t="shared" si="59"/>
        <v>43.985266623622337</v>
      </c>
      <c r="X187" s="157">
        <f t="shared" si="60"/>
        <v>45830</v>
      </c>
      <c r="Y187" s="387">
        <f t="shared" si="61"/>
        <v>40.998384727176507</v>
      </c>
      <c r="Z187" s="387">
        <f t="shared" si="62"/>
        <v>43.471589844110554</v>
      </c>
      <c r="AA187" s="388">
        <f t="shared" si="63"/>
        <v>51.842723934800233</v>
      </c>
      <c r="AB187" s="199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0.16147172554469938</v>
      </c>
      <c r="AD187" s="233">
        <f>(INDEX(Models!$BJ187:$BT187,,AH187)*(1-AF187)+INDEX(Models!$BJ187:$BT187,,AH187+1)*AF187-ERP_i)*AE187*Ramure*Pc/MaxiM</f>
        <v>3.9901666914003025E-4</v>
      </c>
      <c r="AE187" s="307">
        <f t="shared" si="65"/>
        <v>0.9</v>
      </c>
      <c r="AF187" s="179">
        <f t="shared" si="66"/>
        <v>0.23481653670487912</v>
      </c>
      <c r="AG187" s="839">
        <f t="shared" si="74"/>
        <v>2</v>
      </c>
      <c r="AH187" s="178">
        <f t="shared" si="67"/>
        <v>8</v>
      </c>
      <c r="AI187" s="227">
        <f t="shared" si="68"/>
        <v>2.2348165367048791</v>
      </c>
      <c r="AJ187" s="267" t="b">
        <f t="shared" si="69"/>
        <v>0</v>
      </c>
      <c r="AK187" s="267" t="b">
        <f t="shared" si="70"/>
        <v>0</v>
      </c>
      <c r="AL187" s="267"/>
      <c r="AM187" s="267"/>
      <c r="AN187" s="75"/>
    </row>
    <row r="188" spans="1:40" s="6" customFormat="1" ht="11.25" x14ac:dyDescent="0.2">
      <c r="A188" s="56">
        <f t="shared" si="71"/>
        <v>45831</v>
      </c>
      <c r="B188" s="413">
        <f>'2024'!Wh/'2024'!Env_an*'2025'!Env_an</f>
        <v>38.981369031653223</v>
      </c>
      <c r="C188" s="868"/>
      <c r="D188" s="395">
        <f t="shared" si="50"/>
        <v>41.333860680153613</v>
      </c>
      <c r="E188" s="387">
        <f t="shared" si="75"/>
        <v>45.969073832232773</v>
      </c>
      <c r="F188" s="387">
        <f t="shared" si="51"/>
        <v>45.96949745208353</v>
      </c>
      <c r="G188" s="110">
        <f t="shared" si="76"/>
        <v>0.7192161369762381</v>
      </c>
      <c r="H188" s="416" t="b">
        <f>Wh_hp&gt;='2024'!Maxi_hp</f>
        <v>0</v>
      </c>
      <c r="I188" s="392">
        <f>IF(H188,Wh_hp,'2024'!Maxi_hp)</f>
        <v>56.737228376806002</v>
      </c>
      <c r="J188" s="85">
        <f>IF(H188,An,'2024'!An_max)</f>
        <v>2020</v>
      </c>
      <c r="K188" s="199">
        <f t="shared" si="52"/>
        <v>45831</v>
      </c>
      <c r="L188" s="147">
        <f>IF(t&lt;Tvie,1-EXP((T0-t)*PertePVj)+'2024'!Pspv,1-EXP((T0-t)*PertePVj)+Pspv)</f>
        <v>5.6914394392148737E-2</v>
      </c>
      <c r="M188" s="872"/>
      <c r="N188" s="872"/>
      <c r="O188" s="48">
        <f>IF(t&lt;Tnet,'2024'!Resal+('2024'!Salim-'2024'!Resal)*(1-EXP(('2024'!Tnet-t)/('2024'!Tau_j))),Resal+(Salim-Resal)*(1-EXP((Tnet-t)/(Tau_j))))*Salcycl</f>
        <v>0.10083329433600693</v>
      </c>
      <c r="P188" s="171">
        <f>(INDEX(Models!$BJ188:$BT188,,T188)*(1-R188)+INDEX(Models!$BJ188:$BT188,,T188+1)*R188-ERP_i)*Q188*Ramure*Pc/MaxiM</f>
        <v>1.5387284954251161E-5</v>
      </c>
      <c r="Q188" s="307">
        <f t="shared" si="53"/>
        <v>0.9</v>
      </c>
      <c r="R188" s="179">
        <f t="shared" si="54"/>
        <v>0.60590974516161067</v>
      </c>
      <c r="S188" s="839">
        <f t="shared" si="55"/>
        <v>-3</v>
      </c>
      <c r="T188" s="178">
        <f t="shared" si="56"/>
        <v>3</v>
      </c>
      <c r="U188" s="253">
        <f t="shared" si="57"/>
        <v>-2.3940902548383893</v>
      </c>
      <c r="V188" s="385">
        <f t="shared" si="58"/>
        <v>54.199463041075099</v>
      </c>
      <c r="W188" s="404">
        <f t="shared" si="59"/>
        <v>38.981369031653223</v>
      </c>
      <c r="X188" s="157">
        <f t="shared" si="60"/>
        <v>45831</v>
      </c>
      <c r="Y188" s="387">
        <f t="shared" si="61"/>
        <v>36.336944210771428</v>
      </c>
      <c r="Z188" s="387">
        <f t="shared" si="62"/>
        <v>38.529847125967969</v>
      </c>
      <c r="AA188" s="388">
        <f t="shared" si="63"/>
        <v>45.958432851360435</v>
      </c>
      <c r="AB188" s="199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0.16163705471459661</v>
      </c>
      <c r="AD188" s="233">
        <f>(INDEX(Models!$BJ188:$BT188,,AH188)*(1-AF188)+INDEX(Models!$BJ188:$BT188,,AH188+1)*AF188-ERP_i)*AE188*Ramure*Pc/MaxiM</f>
        <v>4.0190317788084228E-4</v>
      </c>
      <c r="AE188" s="307">
        <f t="shared" si="65"/>
        <v>0.9</v>
      </c>
      <c r="AF188" s="179">
        <f t="shared" si="66"/>
        <v>0.24156539746858963</v>
      </c>
      <c r="AG188" s="839">
        <f t="shared" si="74"/>
        <v>2</v>
      </c>
      <c r="AH188" s="178">
        <f t="shared" si="67"/>
        <v>8</v>
      </c>
      <c r="AI188" s="227">
        <f t="shared" si="68"/>
        <v>2.2415653974685896</v>
      </c>
      <c r="AJ188" s="267" t="b">
        <f t="shared" si="69"/>
        <v>0</v>
      </c>
      <c r="AK188" s="267" t="b">
        <f t="shared" si="70"/>
        <v>0</v>
      </c>
      <c r="AL188" s="267"/>
      <c r="AM188" s="267"/>
      <c r="AN188" s="75"/>
    </row>
    <row r="189" spans="1:40" s="6" customFormat="1" ht="11.25" x14ac:dyDescent="0.2">
      <c r="A189" s="56">
        <f t="shared" si="71"/>
        <v>45832</v>
      </c>
      <c r="B189" s="413">
        <f>'2024'!Wh/'2024'!Env_an*'2025'!Env_an</f>
        <v>41.223592352386973</v>
      </c>
      <c r="C189" s="868"/>
      <c r="D189" s="395">
        <f t="shared" si="50"/>
        <v>43.712417475993348</v>
      </c>
      <c r="E189" s="387">
        <f t="shared" si="75"/>
        <v>48.625026463890983</v>
      </c>
      <c r="F189" s="387">
        <f t="shared" si="51"/>
        <v>48.625526688920765</v>
      </c>
      <c r="G189" s="110">
        <f t="shared" si="76"/>
        <v>0.76148063676613242</v>
      </c>
      <c r="H189" s="416" t="b">
        <f>Wh_hp&gt;='2024'!Maxi_hp</f>
        <v>0</v>
      </c>
      <c r="I189" s="392">
        <f>IF(H189,Wh_hp,'2024'!Maxi_hp)</f>
        <v>62.884228215867878</v>
      </c>
      <c r="J189" s="85">
        <f>IF(H189,An,'2024'!An_max)</f>
        <v>2020</v>
      </c>
      <c r="K189" s="199">
        <f t="shared" si="52"/>
        <v>45832</v>
      </c>
      <c r="L189" s="147">
        <f>IF(t&lt;Tvie,1-EXP((T0-t)*PertePVj)+'2024'!Pspv,1-EXP((T0-t)*PertePVj)+Pspv)</f>
        <v>5.6936341371950583E-2</v>
      </c>
      <c r="M189" s="872"/>
      <c r="N189" s="872"/>
      <c r="O189" s="48">
        <f>IF(t&lt;Tnet,'2024'!Resal+('2024'!Salim-'2024'!Resal)*(1-EXP(('2024'!Tnet-t)/('2024'!Tau_j))),Resal+(Salim-Resal)*(1-EXP((Tnet-t)/(Tau_j))))*Salcycl</f>
        <v>0.10103046404603488</v>
      </c>
      <c r="P189" s="171">
        <f>(INDEX(Models!$BJ189:$BT189,,T189)*(1-R189)+INDEX(Models!$BJ189:$BT189,,T189+1)*R189-ERP_i)*Q189*Ramure*Pc/MaxiM</f>
        <v>1.5604212173226306E-5</v>
      </c>
      <c r="Q189" s="307">
        <f t="shared" si="53"/>
        <v>0.9</v>
      </c>
      <c r="R189" s="179">
        <f t="shared" si="54"/>
        <v>0.61258662849577039</v>
      </c>
      <c r="S189" s="839">
        <f t="shared" si="55"/>
        <v>-3</v>
      </c>
      <c r="T189" s="178">
        <f t="shared" si="56"/>
        <v>3</v>
      </c>
      <c r="U189" s="253">
        <f t="shared" si="57"/>
        <v>-2.3874133715042296</v>
      </c>
      <c r="V189" s="385">
        <f t="shared" si="58"/>
        <v>54.135812753798568</v>
      </c>
      <c r="W189" s="404">
        <f t="shared" si="59"/>
        <v>41.223592352386973</v>
      </c>
      <c r="X189" s="157">
        <f t="shared" si="60"/>
        <v>45832</v>
      </c>
      <c r="Y189" s="387">
        <f t="shared" si="61"/>
        <v>38.427065394435445</v>
      </c>
      <c r="Z189" s="387">
        <f t="shared" si="62"/>
        <v>40.747053544973184</v>
      </c>
      <c r="AA189" s="388">
        <f t="shared" si="63"/>
        <v>48.612489001730438</v>
      </c>
      <c r="AB189" s="199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0.16179865747004371</v>
      </c>
      <c r="AD189" s="233">
        <f>(INDEX(Models!$BJ189:$BT189,,AH189)*(1-AF189)+INDEX(Models!$BJ189:$BT189,,AH189+1)*AF189-ERP_i)*AE189*Ramure*Pc/MaxiM</f>
        <v>4.0670263392179532E-4</v>
      </c>
      <c r="AE189" s="307">
        <f t="shared" si="65"/>
        <v>0.9</v>
      </c>
      <c r="AF189" s="179">
        <f t="shared" si="66"/>
        <v>0.24824228080274935</v>
      </c>
      <c r="AG189" s="839">
        <f t="shared" si="74"/>
        <v>2</v>
      </c>
      <c r="AH189" s="178">
        <f t="shared" si="67"/>
        <v>8</v>
      </c>
      <c r="AI189" s="227">
        <f t="shared" si="68"/>
        <v>2.2482422808027493</v>
      </c>
      <c r="AJ189" s="267" t="b">
        <f t="shared" si="69"/>
        <v>0</v>
      </c>
      <c r="AK189" s="267" t="b">
        <f t="shared" si="70"/>
        <v>0</v>
      </c>
      <c r="AL189" s="267"/>
      <c r="AM189" s="267"/>
      <c r="AN189" s="75"/>
    </row>
    <row r="190" spans="1:40" s="6" customFormat="1" ht="11.25" x14ac:dyDescent="0.2">
      <c r="A190" s="56">
        <f t="shared" si="71"/>
        <v>45833</v>
      </c>
      <c r="B190" s="413">
        <f>'2024'!Wh/'2024'!Env_an*'2025'!Env_an</f>
        <v>28.875083804274752</v>
      </c>
      <c r="C190" s="868"/>
      <c r="D190" s="395">
        <f t="shared" si="50"/>
        <v>30.619095032571316</v>
      </c>
      <c r="E190" s="387">
        <f t="shared" si="75"/>
        <v>34.067597740307136</v>
      </c>
      <c r="F190" s="387">
        <f t="shared" si="51"/>
        <v>34.067777564420545</v>
      </c>
      <c r="G190" s="110">
        <f t="shared" si="76"/>
        <v>0.53401788166574959</v>
      </c>
      <c r="H190" s="416" t="b">
        <f>Wh_hp&gt;='2024'!Maxi_hp</f>
        <v>0</v>
      </c>
      <c r="I190" s="392">
        <f>IF(H190,Wh_hp,'2024'!Maxi_hp)</f>
        <v>58.027223678853936</v>
      </c>
      <c r="J190" s="85">
        <f>IF(H190,An,'2024'!An_max)</f>
        <v>2021</v>
      </c>
      <c r="K190" s="199">
        <f t="shared" si="52"/>
        <v>45833</v>
      </c>
      <c r="L190" s="147">
        <f>IF(t&lt;Tvie,1-EXP((T0-t)*PertePVj)+'2024'!Pspv,1-EXP((T0-t)*PertePVj)+Pspv)</f>
        <v>5.6958287841014199E-2</v>
      </c>
      <c r="M190" s="872"/>
      <c r="N190" s="872"/>
      <c r="O190" s="48">
        <f>IF(t&lt;Tnet,'2024'!Resal+('2024'!Salim-'2024'!Resal)*(1-EXP(('2024'!Tnet-t)/('2024'!Tau_j))),Resal+(Salim-Resal)*(1-EXP((Tnet-t)/(Tau_j))))*Salcycl</f>
        <v>0.10122529724647182</v>
      </c>
      <c r="P190" s="171">
        <f>(INDEX(Models!$BJ190:$BT190,,T190)*(1-R190)+INDEX(Models!$BJ190:$BT190,,T190+1)*R190-ERP_i)*Q190*Ramure*Pc/MaxiM</f>
        <v>1.5788566657899066E-5</v>
      </c>
      <c r="Q190" s="307">
        <f t="shared" si="53"/>
        <v>0.9</v>
      </c>
      <c r="R190" s="179">
        <f t="shared" si="54"/>
        <v>0.61918713484313637</v>
      </c>
      <c r="S190" s="839">
        <f t="shared" si="55"/>
        <v>-3</v>
      </c>
      <c r="T190" s="178">
        <f t="shared" si="56"/>
        <v>3</v>
      </c>
      <c r="U190" s="253">
        <f t="shared" si="57"/>
        <v>-2.3808128651568636</v>
      </c>
      <c r="V190" s="385">
        <f t="shared" si="58"/>
        <v>54.07081169511104</v>
      </c>
      <c r="W190" s="404">
        <f t="shared" si="59"/>
        <v>28.875083804274752</v>
      </c>
      <c r="X190" s="157">
        <f t="shared" si="60"/>
        <v>45833</v>
      </c>
      <c r="Y190" s="387">
        <f t="shared" si="61"/>
        <v>26.920381856977798</v>
      </c>
      <c r="Z190" s="387">
        <f t="shared" si="62"/>
        <v>28.546332054969948</v>
      </c>
      <c r="AA190" s="388">
        <f t="shared" si="63"/>
        <v>34.063068554535832</v>
      </c>
      <c r="AB190" s="199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0.16195653338551846</v>
      </c>
      <c r="AD190" s="233">
        <f>(INDEX(Models!$BJ190:$BT190,,AH190)*(1-AF190)+INDEX(Models!$BJ190:$BT190,,AH190+1)*AF190-ERP_i)*AE190*Ramure*Pc/MaxiM</f>
        <v>4.1345131666333326E-4</v>
      </c>
      <c r="AE190" s="307">
        <f t="shared" si="65"/>
        <v>0.9</v>
      </c>
      <c r="AF190" s="179">
        <f t="shared" si="66"/>
        <v>0.25484278715011532</v>
      </c>
      <c r="AG190" s="839">
        <f t="shared" si="74"/>
        <v>2</v>
      </c>
      <c r="AH190" s="178">
        <f t="shared" si="67"/>
        <v>8</v>
      </c>
      <c r="AI190" s="227">
        <f t="shared" si="68"/>
        <v>2.2548427871501153</v>
      </c>
      <c r="AJ190" s="267" t="b">
        <f t="shared" si="69"/>
        <v>0</v>
      </c>
      <c r="AK190" s="267" t="b">
        <f t="shared" si="70"/>
        <v>0</v>
      </c>
      <c r="AL190" s="267"/>
      <c r="AM190" s="267"/>
      <c r="AN190" s="75"/>
    </row>
    <row r="191" spans="1:40" s="6" customFormat="1" ht="11.25" x14ac:dyDescent="0.2">
      <c r="A191" s="56">
        <f t="shared" si="71"/>
        <v>45834</v>
      </c>
      <c r="B191" s="413">
        <f>'2024'!Wh/'2024'!Env_an*'2025'!Env_an</f>
        <v>11.034409311588329</v>
      </c>
      <c r="C191" s="868"/>
      <c r="D191" s="395">
        <f t="shared" si="50"/>
        <v>11.701143186049094</v>
      </c>
      <c r="E191" s="387">
        <f t="shared" si="75"/>
        <v>13.021783762530616</v>
      </c>
      <c r="F191" s="387">
        <f t="shared" si="51"/>
        <v>13.021783762530616</v>
      </c>
      <c r="G191" s="110">
        <f t="shared" si="76"/>
        <v>0.20432029984385525</v>
      </c>
      <c r="H191" s="416" t="b">
        <f>Wh_hp&gt;='2024'!Maxi_hp</f>
        <v>0</v>
      </c>
      <c r="I191" s="392">
        <f>IF(H191,Wh_hp,'2024'!Maxi_hp)</f>
        <v>61.058572386734099</v>
      </c>
      <c r="J191" s="85">
        <f>IF(H191,An,'2024'!An_max)</f>
        <v>2019</v>
      </c>
      <c r="K191" s="199">
        <f t="shared" si="52"/>
        <v>45834</v>
      </c>
      <c r="L191" s="147">
        <f>IF(t&lt;Tvie,1-EXP((T0-t)*PertePVj)+'2024'!Pspv,1-EXP((T0-t)*PertePVj)+Pspv)</f>
        <v>5.6980233799351465E-2</v>
      </c>
      <c r="M191" s="872"/>
      <c r="N191" s="872"/>
      <c r="O191" s="48">
        <f>IF(t&lt;Tnet,'2024'!Resal+('2024'!Salim-'2024'!Resal)*(1-EXP(('2024'!Tnet-t)/('2024'!Tau_j))),Resal+(Salim-Resal)*(1-EXP((Tnet-t)/(Tau_j))))*Salcycl</f>
        <v>0.10141779348859893</v>
      </c>
      <c r="P191" s="171">
        <f>(INDEX(Models!$BJ191:$BT191,,T191)*(1-R191)+INDEX(Models!$BJ191:$BT191,,T191+1)*R191-ERP_i)*Q191*Ramure*Pc/MaxiM</f>
        <v>1.5938808374102576E-5</v>
      </c>
      <c r="Q191" s="307">
        <f t="shared" si="53"/>
        <v>0.9</v>
      </c>
      <c r="R191" s="179">
        <f t="shared" si="54"/>
        <v>0.6257070921203014</v>
      </c>
      <c r="S191" s="839">
        <f t="shared" si="55"/>
        <v>-3</v>
      </c>
      <c r="T191" s="178">
        <f t="shared" si="56"/>
        <v>3</v>
      </c>
      <c r="U191" s="253">
        <f t="shared" si="57"/>
        <v>-2.3742929078796986</v>
      </c>
      <c r="V191" s="385">
        <f t="shared" si="58"/>
        <v>54.004587134441969</v>
      </c>
      <c r="W191" s="404">
        <f t="shared" si="59"/>
        <v>11.034409311588329</v>
      </c>
      <c r="X191" s="157">
        <f t="shared" si="60"/>
        <v>45834</v>
      </c>
      <c r="Y191" s="387">
        <f t="shared" si="61"/>
        <v>10.289112683146945</v>
      </c>
      <c r="Z191" s="387">
        <f t="shared" si="62"/>
        <v>10.910813380509467</v>
      </c>
      <c r="AA191" s="388">
        <f t="shared" si="63"/>
        <v>13.021783762530616</v>
      </c>
      <c r="AB191" s="199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0.16211069239955719</v>
      </c>
      <c r="AD191" s="233">
        <f>(INDEX(Models!$BJ191:$BT191,,AH191)*(1-AF191)+INDEX(Models!$BJ191:$BT191,,AH191+1)*AF191-ERP_i)*AE191*Ramure*Pc/MaxiM</f>
        <v>4.2218549948991346E-4</v>
      </c>
      <c r="AE191" s="307">
        <f t="shared" si="65"/>
        <v>0.9</v>
      </c>
      <c r="AF191" s="179">
        <f t="shared" si="66"/>
        <v>0.26136274442728036</v>
      </c>
      <c r="AG191" s="839">
        <f t="shared" si="74"/>
        <v>2</v>
      </c>
      <c r="AH191" s="178">
        <f t="shared" si="67"/>
        <v>8</v>
      </c>
      <c r="AI191" s="227">
        <f t="shared" si="68"/>
        <v>2.2613627444272804</v>
      </c>
      <c r="AJ191" s="267" t="b">
        <f t="shared" si="69"/>
        <v>0</v>
      </c>
      <c r="AK191" s="267" t="b">
        <f t="shared" si="70"/>
        <v>0</v>
      </c>
      <c r="AL191" s="267"/>
      <c r="AM191" s="267"/>
      <c r="AN191" s="75"/>
    </row>
    <row r="192" spans="1:40" s="6" customFormat="1" ht="11.25" x14ac:dyDescent="0.2">
      <c r="A192" s="56">
        <f t="shared" si="71"/>
        <v>45835</v>
      </c>
      <c r="B192" s="413">
        <f>'2024'!Wh/'2024'!Env_an*'2025'!Env_an</f>
        <v>16.383880831227362</v>
      </c>
      <c r="C192" s="868"/>
      <c r="D192" s="395">
        <f t="shared" si="50"/>
        <v>17.374251001072412</v>
      </c>
      <c r="E192" s="387">
        <f t="shared" si="75"/>
        <v>19.339275285615109</v>
      </c>
      <c r="F192" s="387">
        <f t="shared" si="51"/>
        <v>19.33927695466388</v>
      </c>
      <c r="G192" s="110">
        <f t="shared" si="76"/>
        <v>0.3037546639732584</v>
      </c>
      <c r="H192" s="416" t="b">
        <f>Wh_hp&gt;='2024'!Maxi_hp</f>
        <v>0</v>
      </c>
      <c r="I192" s="392">
        <f>IF(H192,Wh_hp,'2024'!Maxi_hp)</f>
        <v>60.869890690098934</v>
      </c>
      <c r="J192" s="85">
        <f>IF(H192,An,'2024'!An_max)</f>
        <v>2019</v>
      </c>
      <c r="K192" s="199">
        <f t="shared" si="52"/>
        <v>45835</v>
      </c>
      <c r="L192" s="147">
        <f>IF(t&lt;Tvie,1-EXP((T0-t)*PertePVj)+'2024'!Pspv,1-EXP((T0-t)*PertePVj)+Pspv)</f>
        <v>5.700217924697415E-2</v>
      </c>
      <c r="M192" s="872"/>
      <c r="N192" s="872"/>
      <c r="O192" s="48">
        <f>IF(t&lt;Tnet,'2024'!Resal+('2024'!Salim-'2024'!Resal)*(1-EXP(('2024'!Tnet-t)/('2024'!Tau_j))),Resal+(Salim-Resal)*(1-EXP((Tnet-t)/(Tau_j))))*Salcycl</f>
        <v>0.10160795870175741</v>
      </c>
      <c r="P192" s="171">
        <f>(INDEX(Models!$BJ192:$BT192,,T192)*(1-R192)+INDEX(Models!$BJ192:$BT192,,T192+1)*R192-ERP_i)*Q192*Ramure*Pc/MaxiM</f>
        <v>1.6069211167131424E-5</v>
      </c>
      <c r="Q192" s="307">
        <f t="shared" si="53"/>
        <v>0.9</v>
      </c>
      <c r="R192" s="179">
        <f t="shared" si="54"/>
        <v>0.63214256370510569</v>
      </c>
      <c r="S192" s="839">
        <f t="shared" si="55"/>
        <v>-3</v>
      </c>
      <c r="T192" s="178">
        <f t="shared" si="56"/>
        <v>3</v>
      </c>
      <c r="U192" s="253">
        <f t="shared" si="57"/>
        <v>-2.3678574362948943</v>
      </c>
      <c r="V192" s="385">
        <f t="shared" si="58"/>
        <v>53.937012044015312</v>
      </c>
      <c r="W192" s="404">
        <f t="shared" si="59"/>
        <v>16.383880831227362</v>
      </c>
      <c r="X192" s="157">
        <f t="shared" si="60"/>
        <v>45835</v>
      </c>
      <c r="Y192" s="387">
        <f t="shared" si="61"/>
        <v>15.277720571827098</v>
      </c>
      <c r="Z192" s="387">
        <f t="shared" si="62"/>
        <v>16.201225745810479</v>
      </c>
      <c r="AA192" s="388">
        <f t="shared" si="63"/>
        <v>19.339231830886</v>
      </c>
      <c r="AB192" s="199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0.16226115455443907</v>
      </c>
      <c r="AD192" s="233">
        <f>(INDEX(Models!$BJ192:$BT192,,AH192)*(1-AF192)+INDEX(Models!$BJ192:$BT192,,AH192+1)*AF192-ERP_i)*AE192*Ramure*Pc/MaxiM</f>
        <v>4.3444117886059597E-4</v>
      </c>
      <c r="AE192" s="307">
        <f t="shared" si="65"/>
        <v>0.9</v>
      </c>
      <c r="AF192" s="179">
        <f t="shared" si="66"/>
        <v>0.26779821601208464</v>
      </c>
      <c r="AG192" s="839">
        <f t="shared" si="74"/>
        <v>2</v>
      </c>
      <c r="AH192" s="178">
        <f t="shared" si="67"/>
        <v>8</v>
      </c>
      <c r="AI192" s="227">
        <f t="shared" si="68"/>
        <v>2.2677982160120846</v>
      </c>
      <c r="AJ192" s="267" t="b">
        <f t="shared" si="69"/>
        <v>0</v>
      </c>
      <c r="AK192" s="267" t="b">
        <f t="shared" si="70"/>
        <v>0</v>
      </c>
      <c r="AL192" s="267"/>
      <c r="AM192" s="267"/>
      <c r="AN192" s="75"/>
    </row>
    <row r="193" spans="1:40" s="6" customFormat="1" ht="11.25" x14ac:dyDescent="0.2">
      <c r="A193" s="56">
        <f t="shared" si="71"/>
        <v>45836</v>
      </c>
      <c r="B193" s="413">
        <f>'2024'!Wh/'2024'!Env_an*'2025'!Env_an</f>
        <v>55.904000590177944</v>
      </c>
      <c r="C193" s="868"/>
      <c r="D193" s="395">
        <f t="shared" si="50"/>
        <v>59.284656186771898</v>
      </c>
      <c r="E193" s="387">
        <f t="shared" si="75"/>
        <v>66.003539638848778</v>
      </c>
      <c r="F193" s="387">
        <f t="shared" si="51"/>
        <v>66.004608536540786</v>
      </c>
      <c r="G193" s="110">
        <f t="shared" si="76"/>
        <v>1.0377981106491905</v>
      </c>
      <c r="H193" s="416" t="b">
        <f>Wh_hp&gt;='2024'!Maxi_hp</f>
        <v>1</v>
      </c>
      <c r="I193" s="392">
        <f>IF(H193,Wh_hp,'2024'!Maxi_hp)</f>
        <v>66.004608536540786</v>
      </c>
      <c r="J193" s="85">
        <f>IF(H193,An,'2024'!An_max)</f>
        <v>2025</v>
      </c>
      <c r="K193" s="199">
        <f t="shared" si="52"/>
        <v>45836</v>
      </c>
      <c r="L193" s="147">
        <f>IF(t&lt;Tvie,1-EXP((T0-t)*PertePVj)+'2024'!Pspv,1-EXP((T0-t)*PertePVj)+Pspv)</f>
        <v>5.7024124183894243E-2</v>
      </c>
      <c r="M193" s="872"/>
      <c r="N193" s="872"/>
      <c r="O193" s="48">
        <f>IF(t&lt;Tnet,'2024'!Resal+('2024'!Salim-'2024'!Resal)*(1-EXP(('2024'!Tnet-t)/('2024'!Tau_j))),Resal+(Salim-Resal)*(1-EXP((Tnet-t)/(Tau_j))))*Salcycl</f>
        <v>0.10179580502561765</v>
      </c>
      <c r="P193" s="171">
        <f>(INDEX(Models!$BJ193:$BT193,,T193)*(1-R193)+INDEX(Models!$BJ193:$BT193,,T193+1)*R193-ERP_i)*Q193*Ramure*Pc/MaxiM</f>
        <v>1.619428878843415E-5</v>
      </c>
      <c r="Q193" s="307">
        <f t="shared" si="53"/>
        <v>0.9</v>
      </c>
      <c r="R193" s="179">
        <f t="shared" si="54"/>
        <v>0.63848985504826672</v>
      </c>
      <c r="S193" s="839">
        <f t="shared" si="55"/>
        <v>-3</v>
      </c>
      <c r="T193" s="178">
        <f t="shared" si="56"/>
        <v>3</v>
      </c>
      <c r="U193" s="253">
        <f t="shared" si="57"/>
        <v>-2.3615101449517333</v>
      </c>
      <c r="V193" s="385">
        <f t="shared" si="58"/>
        <v>53.86789590049208</v>
      </c>
      <c r="W193" s="404">
        <f t="shared" si="59"/>
        <v>55.904000590177944</v>
      </c>
      <c r="X193" s="157">
        <f t="shared" si="60"/>
        <v>45836</v>
      </c>
      <c r="Y193" s="387">
        <f t="shared" si="61"/>
        <v>52.108937149838248</v>
      </c>
      <c r="Z193" s="387">
        <f t="shared" si="62"/>
        <v>55.26009571002033</v>
      </c>
      <c r="AA193" s="388">
        <f t="shared" si="63"/>
        <v>65.974952471193205</v>
      </c>
      <c r="AB193" s="199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0.16240794968137842</v>
      </c>
      <c r="AD193" s="233">
        <f>(INDEX(Models!$BJ193:$BT193,,AH193)*(1-AF193)+INDEX(Models!$BJ193:$BT193,,AH193+1)*AF193-ERP_i)*AE193*Ramure*Pc/MaxiM</f>
        <v>4.4930295028058128E-4</v>
      </c>
      <c r="AE193" s="307">
        <f t="shared" si="65"/>
        <v>0.9</v>
      </c>
      <c r="AF193" s="179">
        <f t="shared" si="66"/>
        <v>0.27414550735524568</v>
      </c>
      <c r="AG193" s="839">
        <f t="shared" si="74"/>
        <v>2</v>
      </c>
      <c r="AH193" s="178">
        <f t="shared" si="67"/>
        <v>8</v>
      </c>
      <c r="AI193" s="227">
        <f t="shared" si="68"/>
        <v>2.2741455073552457</v>
      </c>
      <c r="AJ193" s="267" t="b">
        <f t="shared" si="69"/>
        <v>0</v>
      </c>
      <c r="AK193" s="267" t="b">
        <f t="shared" si="70"/>
        <v>0</v>
      </c>
      <c r="AL193" s="267"/>
      <c r="AM193" s="267"/>
      <c r="AN193" s="75"/>
    </row>
    <row r="194" spans="1:40" s="6" customFormat="1" ht="11.25" x14ac:dyDescent="0.2">
      <c r="A194" s="56">
        <f t="shared" si="71"/>
        <v>45837</v>
      </c>
      <c r="B194" s="413">
        <f>'2024'!Wh/'2024'!Env_an*'2025'!Env_an</f>
        <v>51.91401590086398</v>
      </c>
      <c r="C194" s="868"/>
      <c r="D194" s="395">
        <f t="shared" si="50"/>
        <v>55.054668285167217</v>
      </c>
      <c r="E194" s="387">
        <f t="shared" si="75"/>
        <v>61.306820657313132</v>
      </c>
      <c r="F194" s="387">
        <f t="shared" si="51"/>
        <v>61.307770825327616</v>
      </c>
      <c r="G194" s="110">
        <f t="shared" si="76"/>
        <v>0.96499668203500943</v>
      </c>
      <c r="H194" s="416" t="b">
        <f>Wh_hp&gt;='2024'!Maxi_hp</f>
        <v>1</v>
      </c>
      <c r="I194" s="392">
        <f>IF(H194,Wh_hp,'2024'!Maxi_hp)</f>
        <v>61.307770825327616</v>
      </c>
      <c r="J194" s="85">
        <f>IF(H194,An,'2024'!An_max)</f>
        <v>2025</v>
      </c>
      <c r="K194" s="199">
        <f t="shared" si="52"/>
        <v>45837</v>
      </c>
      <c r="L194" s="147">
        <f>IF(t&lt;Tvie,1-EXP((T0-t)*PertePVj)+'2024'!Pspv,1-EXP((T0-t)*PertePVj)+Pspv)</f>
        <v>5.7046068610123513E-2</v>
      </c>
      <c r="M194" s="872"/>
      <c r="N194" s="872"/>
      <c r="O194" s="48">
        <f>IF(t&lt;Tnet,'2024'!Resal+('2024'!Salim-'2024'!Resal)*(1-EXP(('2024'!Tnet-t)/('2024'!Tau_j))),Resal+(Salim-Resal)*(1-EXP((Tnet-t)/(Tau_j))))*Salcycl</f>
        <v>0.10198135060850057</v>
      </c>
      <c r="P194" s="171">
        <f>(INDEX(Models!$BJ194:$BT194,,T194)*(1-R194)+INDEX(Models!$BJ194:$BT194,,T194+1)*R194-ERP_i)*Q194*Ramure*Pc/MaxiM</f>
        <v>1.6314092817336641E-5</v>
      </c>
      <c r="Q194" s="307">
        <f t="shared" si="53"/>
        <v>0.9</v>
      </c>
      <c r="R194" s="179">
        <f t="shared" si="54"/>
        <v>0.64474551891274823</v>
      </c>
      <c r="S194" s="839">
        <f t="shared" si="55"/>
        <v>-3</v>
      </c>
      <c r="T194" s="178">
        <f t="shared" si="56"/>
        <v>3</v>
      </c>
      <c r="U194" s="253">
        <f t="shared" si="57"/>
        <v>-2.3552544810872518</v>
      </c>
      <c r="V194" s="385">
        <f t="shared" si="58"/>
        <v>53.797048753747497</v>
      </c>
      <c r="W194" s="404">
        <f t="shared" si="59"/>
        <v>51.91401590086398</v>
      </c>
      <c r="X194" s="157">
        <f t="shared" si="60"/>
        <v>45837</v>
      </c>
      <c r="Y194" s="387">
        <f t="shared" si="61"/>
        <v>48.391787954816145</v>
      </c>
      <c r="Z194" s="387">
        <f t="shared" si="62"/>
        <v>51.319355425443298</v>
      </c>
      <c r="AA194" s="388">
        <f t="shared" si="63"/>
        <v>61.280582575577782</v>
      </c>
      <c r="AB194" s="199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0.16255111703367431</v>
      </c>
      <c r="AD194" s="233">
        <f>(INDEX(Models!$BJ194:$BT194,,AH194)*(1-AF194)+INDEX(Models!$BJ194:$BT194,,AH194+1)*AF194-ERP_i)*AE194*Ramure*Pc/MaxiM</f>
        <v>4.6681389311994704E-4</v>
      </c>
      <c r="AE194" s="307">
        <f t="shared" si="65"/>
        <v>0.9</v>
      </c>
      <c r="AF194" s="179">
        <f t="shared" si="66"/>
        <v>0.28040117121972719</v>
      </c>
      <c r="AG194" s="839">
        <f t="shared" si="74"/>
        <v>2</v>
      </c>
      <c r="AH194" s="178">
        <f t="shared" si="67"/>
        <v>8</v>
      </c>
      <c r="AI194" s="227">
        <f t="shared" si="68"/>
        <v>2.2804011712197272</v>
      </c>
      <c r="AJ194" s="267" t="b">
        <f t="shared" si="69"/>
        <v>0</v>
      </c>
      <c r="AK194" s="267" t="b">
        <f t="shared" si="70"/>
        <v>0</v>
      </c>
      <c r="AL194" s="267"/>
      <c r="AM194" s="267"/>
      <c r="AN194" s="75"/>
    </row>
    <row r="195" spans="1:40" s="6" customFormat="1" ht="11.25" x14ac:dyDescent="0.2">
      <c r="A195" s="56">
        <f t="shared" si="71"/>
        <v>45838</v>
      </c>
      <c r="B195" s="413">
        <f>'2024'!Wh/'2024'!Env_an*'2025'!Env_an</f>
        <v>12.574841380039722</v>
      </c>
      <c r="C195" s="868"/>
      <c r="D195" s="395">
        <f t="shared" si="50"/>
        <v>13.335894366805652</v>
      </c>
      <c r="E195" s="387">
        <f t="shared" si="75"/>
        <v>14.853384768037976</v>
      </c>
      <c r="F195" s="387">
        <f t="shared" si="51"/>
        <v>14.853384768037976</v>
      </c>
      <c r="G195" s="110">
        <f t="shared" si="76"/>
        <v>0.2340586916078897</v>
      </c>
      <c r="H195" s="416" t="b">
        <f>Wh_hp&gt;='2024'!Maxi_hp</f>
        <v>0</v>
      </c>
      <c r="I195" s="392">
        <f>IF(H195,Wh_hp,'2024'!Maxi_hp)</f>
        <v>57.379355434694759</v>
      </c>
      <c r="J195" s="85">
        <f>IF(H195,An,'2024'!An_max)</f>
        <v>2019</v>
      </c>
      <c r="K195" s="199">
        <f t="shared" si="52"/>
        <v>45838</v>
      </c>
      <c r="L195" s="147">
        <f>IF(t&lt;Tvie,1-EXP((T0-t)*PertePVj)+'2024'!Pspv,1-EXP((T0-t)*PertePVj)+Pspv)</f>
        <v>5.7068012525674061E-2</v>
      </c>
      <c r="M195" s="872"/>
      <c r="N195" s="872"/>
      <c r="O195" s="48">
        <f>IF(t&lt;Tnet,'2024'!Resal+('2024'!Salim-'2024'!Resal)*(1-EXP(('2024'!Tnet-t)/('2024'!Tau_j))),Resal+(Salim-Resal)*(1-EXP((Tnet-t)/(Tau_j))))*Salcycl</f>
        <v>0.10216461937333726</v>
      </c>
      <c r="P195" s="171">
        <f>(INDEX(Models!$BJ195:$BT195,,T195)*(1-R195)+INDEX(Models!$BJ195:$BT195,,T195+1)*R195-ERP_i)*Q195*Ramure*Pc/MaxiM</f>
        <v>1.6428687806296932E-5</v>
      </c>
      <c r="Q195" s="307">
        <f t="shared" si="53"/>
        <v>0.9</v>
      </c>
      <c r="R195" s="179">
        <f t="shared" si="54"/>
        <v>0.65090635925652585</v>
      </c>
      <c r="S195" s="839">
        <f t="shared" si="55"/>
        <v>-3</v>
      </c>
      <c r="T195" s="178">
        <f t="shared" si="56"/>
        <v>3</v>
      </c>
      <c r="U195" s="253">
        <f t="shared" si="57"/>
        <v>-2.3490936407434742</v>
      </c>
      <c r="V195" s="385">
        <f t="shared" si="58"/>
        <v>53.724280459374341</v>
      </c>
      <c r="W195" s="404">
        <f t="shared" si="59"/>
        <v>12.574841380039722</v>
      </c>
      <c r="X195" s="157">
        <f t="shared" si="60"/>
        <v>45838</v>
      </c>
      <c r="Y195" s="387">
        <f t="shared" si="61"/>
        <v>11.727129270552094</v>
      </c>
      <c r="Z195" s="387">
        <f t="shared" si="62"/>
        <v>12.436877130410638</v>
      </c>
      <c r="AA195" s="388">
        <f t="shared" si="63"/>
        <v>14.853384768037976</v>
      </c>
      <c r="AB195" s="199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0.16269070487066781</v>
      </c>
      <c r="AD195" s="233">
        <f>(INDEX(Models!$BJ195:$BT195,,AH195)*(1-AF195)+INDEX(Models!$BJ195:$BT195,,AH195+1)*AF195-ERP_i)*AE195*Ramure*Pc/MaxiM</f>
        <v>4.8701684168206752E-4</v>
      </c>
      <c r="AE195" s="307">
        <f t="shared" si="65"/>
        <v>0.9</v>
      </c>
      <c r="AF195" s="179">
        <f t="shared" si="66"/>
        <v>0.2865620115635048</v>
      </c>
      <c r="AG195" s="839">
        <f t="shared" si="74"/>
        <v>2</v>
      </c>
      <c r="AH195" s="178">
        <f t="shared" si="67"/>
        <v>8</v>
      </c>
      <c r="AI195" s="227">
        <f t="shared" si="68"/>
        <v>2.2865620115635048</v>
      </c>
      <c r="AJ195" s="267" t="b">
        <f t="shared" si="69"/>
        <v>0</v>
      </c>
      <c r="AK195" s="267" t="b">
        <f t="shared" si="70"/>
        <v>0</v>
      </c>
      <c r="AL195" s="267"/>
      <c r="AM195" s="267"/>
      <c r="AN195" s="75"/>
    </row>
    <row r="196" spans="1:40" s="6" customFormat="1" ht="11.25" x14ac:dyDescent="0.2">
      <c r="A196" s="56">
        <f t="shared" si="71"/>
        <v>45839</v>
      </c>
      <c r="B196" s="413">
        <f>'2024'!Wh/'2024'!Env_an*'2025'!Env_an</f>
        <v>51.296728958844426</v>
      </c>
      <c r="C196" s="868"/>
      <c r="D196" s="395">
        <f t="shared" si="50"/>
        <v>54.402569239220639</v>
      </c>
      <c r="E196" s="387">
        <f t="shared" si="75"/>
        <v>60.605252655223531</v>
      </c>
      <c r="F196" s="387">
        <f t="shared" si="51"/>
        <v>60.60619217785225</v>
      </c>
      <c r="G196" s="110">
        <f t="shared" si="76"/>
        <v>0.95614629707283272</v>
      </c>
      <c r="H196" s="416" t="b">
        <f>Wh_hp&gt;='2024'!Maxi_hp</f>
        <v>1</v>
      </c>
      <c r="I196" s="392">
        <f>IF(H196,Wh_hp,'2024'!Maxi_hp)</f>
        <v>60.60619217785225</v>
      </c>
      <c r="J196" s="85">
        <f>IF(H196,An,'2024'!An_max)</f>
        <v>2025</v>
      </c>
      <c r="K196" s="199">
        <f t="shared" si="52"/>
        <v>45839</v>
      </c>
      <c r="L196" s="147">
        <f>IF(t&lt;Tvie,1-EXP((T0-t)*PertePVj)+'2024'!Pspv,1-EXP((T0-t)*PertePVj)+Pspv)</f>
        <v>5.7089955930557545E-2</v>
      </c>
      <c r="M196" s="872"/>
      <c r="N196" s="872"/>
      <c r="O196" s="48">
        <f>IF(t&lt;Tnet,'2024'!Resal+('2024'!Salim-'2024'!Resal)*(1-EXP(('2024'!Tnet-t)/('2024'!Tau_j))),Resal+(Salim-Resal)*(1-EXP((Tnet-t)/(Tau_j))))*Salcycl</f>
        <v>0.10234564075310863</v>
      </c>
      <c r="P196" s="171">
        <f>(INDEX(Models!$BJ196:$BT196,,T196)*(1-R196)+INDEX(Models!$BJ196:$BT196,,T196+1)*R196-ERP_i)*Q196*Ramure*Pc/MaxiM</f>
        <v>1.653815081937286E-5</v>
      </c>
      <c r="Q196" s="307">
        <f t="shared" si="53"/>
        <v>0.9</v>
      </c>
      <c r="R196" s="179">
        <f t="shared" si="54"/>
        <v>0.65696943378584605</v>
      </c>
      <c r="S196" s="839">
        <f t="shared" si="55"/>
        <v>-3</v>
      </c>
      <c r="T196" s="178">
        <f t="shared" si="56"/>
        <v>3</v>
      </c>
      <c r="U196" s="253">
        <f t="shared" si="57"/>
        <v>-2.343030566214154</v>
      </c>
      <c r="V196" s="385">
        <f t="shared" si="58"/>
        <v>53.649400691626262</v>
      </c>
      <c r="W196" s="404">
        <f t="shared" si="59"/>
        <v>51.296728958844426</v>
      </c>
      <c r="X196" s="157">
        <f t="shared" si="60"/>
        <v>45839</v>
      </c>
      <c r="Y196" s="387">
        <f t="shared" si="61"/>
        <v>47.818389756084713</v>
      </c>
      <c r="Z196" s="387">
        <f t="shared" si="62"/>
        <v>50.713628576601558</v>
      </c>
      <c r="AA196" s="388">
        <f t="shared" si="63"/>
        <v>60.57722196437615</v>
      </c>
      <c r="AB196" s="199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0.1628267699957438</v>
      </c>
      <c r="AD196" s="233">
        <f>(INDEX(Models!$BJ196:$BT196,,AH196)*(1-AF196)+INDEX(Models!$BJ196:$BT196,,AH196+1)*AF196-ERP_i)*AE196*Ramure*Pc/MaxiM</f>
        <v>5.099544652664744E-4</v>
      </c>
      <c r="AE196" s="307">
        <f t="shared" si="65"/>
        <v>0.9</v>
      </c>
      <c r="AF196" s="179">
        <f t="shared" si="66"/>
        <v>0.292625086092825</v>
      </c>
      <c r="AG196" s="839">
        <f t="shared" si="74"/>
        <v>2</v>
      </c>
      <c r="AH196" s="178">
        <f t="shared" si="67"/>
        <v>8</v>
      </c>
      <c r="AI196" s="227">
        <f t="shared" si="68"/>
        <v>2.292625086092825</v>
      </c>
      <c r="AJ196" s="267" t="b">
        <f t="shared" si="69"/>
        <v>0</v>
      </c>
      <c r="AK196" s="267" t="b">
        <f t="shared" si="70"/>
        <v>0</v>
      </c>
      <c r="AL196" s="267"/>
      <c r="AM196" s="267"/>
      <c r="AN196" s="75"/>
    </row>
    <row r="197" spans="1:40" s="6" customFormat="1" ht="11.25" x14ac:dyDescent="0.2">
      <c r="A197" s="56">
        <f t="shared" si="71"/>
        <v>45840</v>
      </c>
      <c r="B197" s="413">
        <f>'2024'!Wh/'2024'!Env_an*'2025'!Env_an</f>
        <v>47.768702680072757</v>
      </c>
      <c r="C197" s="868"/>
      <c r="D197" s="395">
        <f t="shared" si="50"/>
        <v>50.662112100612923</v>
      </c>
      <c r="E197" s="387">
        <f t="shared" si="75"/>
        <v>56.449573547292232</v>
      </c>
      <c r="F197" s="387">
        <f t="shared" si="51"/>
        <v>56.450367634469011</v>
      </c>
      <c r="G197" s="110">
        <f t="shared" si="76"/>
        <v>0.89166699787669124</v>
      </c>
      <c r="H197" s="416" t="b">
        <f>Wh_hp&gt;='2024'!Maxi_hp</f>
        <v>0</v>
      </c>
      <c r="I197" s="392">
        <f>IF(H197,Wh_hp,'2024'!Maxi_hp)</f>
        <v>56.741115224464892</v>
      </c>
      <c r="J197" s="85">
        <f>IF(H197,An,'2024'!An_max)</f>
        <v>2021</v>
      </c>
      <c r="K197" s="199">
        <f t="shared" si="52"/>
        <v>45840</v>
      </c>
      <c r="L197" s="147">
        <f>IF(t&lt;Tvie,1-EXP((T0-t)*PertePVj)+'2024'!Pspv,1-EXP((T0-t)*PertePVj)+Pspv)</f>
        <v>5.7111898824785956E-2</v>
      </c>
      <c r="M197" s="872"/>
      <c r="N197" s="872"/>
      <c r="O197" s="48">
        <f>IF(t&lt;Tnet,'2024'!Resal+('2024'!Salim-'2024'!Resal)*(1-EXP(('2024'!Tnet-t)/('2024'!Tau_j))),Resal+(Salim-Resal)*(1-EXP((Tnet-t)/(Tau_j))))*Salcycl</f>
        <v>0.10252444939784536</v>
      </c>
      <c r="P197" s="171">
        <f>(INDEX(Models!$BJ197:$BT197,,T197)*(1-R197)+INDEX(Models!$BJ197:$BT197,,T197+1)*R197-ERP_i)*Q197*Ramure*Pc/MaxiM</f>
        <v>1.6642570938240174E-5</v>
      </c>
      <c r="Q197" s="307">
        <f t="shared" si="53"/>
        <v>0.9</v>
      </c>
      <c r="R197" s="179">
        <f t="shared" si="54"/>
        <v>0.66293205521657095</v>
      </c>
      <c r="S197" s="839">
        <f t="shared" si="55"/>
        <v>-3</v>
      </c>
      <c r="T197" s="178">
        <f t="shared" si="56"/>
        <v>3</v>
      </c>
      <c r="U197" s="253">
        <f t="shared" si="57"/>
        <v>-2.3370679447834291</v>
      </c>
      <c r="V197" s="385">
        <f t="shared" si="58"/>
        <v>53.572218956502311</v>
      </c>
      <c r="W197" s="404">
        <f t="shared" si="59"/>
        <v>47.768702680072757</v>
      </c>
      <c r="X197" s="157">
        <f t="shared" si="60"/>
        <v>45840</v>
      </c>
      <c r="Y197" s="387">
        <f t="shared" si="61"/>
        <v>44.532470112600052</v>
      </c>
      <c r="Z197" s="387">
        <f t="shared" si="62"/>
        <v>47.229856922677101</v>
      </c>
      <c r="AA197" s="388">
        <f t="shared" si="63"/>
        <v>56.42480859246669</v>
      </c>
      <c r="AB197" s="199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0.16295937725196305</v>
      </c>
      <c r="AD197" s="233">
        <f>(INDEX(Models!$BJ197:$BT197,,AH197)*(1-AF197)+INDEX(Models!$BJ197:$BT197,,AH197+1)*AF197-ERP_i)*AE197*Ramure*Pc/MaxiM</f>
        <v>5.35669359837096E-4</v>
      </c>
      <c r="AE197" s="307">
        <f t="shared" si="65"/>
        <v>0.9</v>
      </c>
      <c r="AF197" s="179">
        <f t="shared" si="66"/>
        <v>0.29858770752354991</v>
      </c>
      <c r="AG197" s="839">
        <f t="shared" si="74"/>
        <v>2</v>
      </c>
      <c r="AH197" s="178">
        <f t="shared" si="67"/>
        <v>8</v>
      </c>
      <c r="AI197" s="227">
        <f t="shared" si="68"/>
        <v>2.2985877075235499</v>
      </c>
      <c r="AJ197" s="267" t="b">
        <f t="shared" si="69"/>
        <v>0</v>
      </c>
      <c r="AK197" s="267" t="b">
        <f t="shared" si="70"/>
        <v>0</v>
      </c>
      <c r="AL197" s="267"/>
      <c r="AM197" s="267"/>
      <c r="AN197" s="75"/>
    </row>
    <row r="198" spans="1:40" s="6" customFormat="1" ht="11.25" x14ac:dyDescent="0.2">
      <c r="A198" s="56">
        <f t="shared" si="71"/>
        <v>45841</v>
      </c>
      <c r="B198" s="413">
        <f>'2024'!Wh/'2024'!Env_an*'2025'!Env_an</f>
        <v>40.421133891889305</v>
      </c>
      <c r="C198" s="868"/>
      <c r="D198" s="395">
        <f t="shared" si="50"/>
        <v>42.870489639476261</v>
      </c>
      <c r="E198" s="387">
        <f t="shared" si="75"/>
        <v>47.777266767977643</v>
      </c>
      <c r="F198" s="387">
        <f t="shared" si="51"/>
        <v>47.777788930383828</v>
      </c>
      <c r="G198" s="110">
        <f t="shared" si="76"/>
        <v>0.75563612107886335</v>
      </c>
      <c r="H198" s="416" t="b">
        <f>Wh_hp&gt;='2024'!Maxi_hp</f>
        <v>0</v>
      </c>
      <c r="I198" s="392">
        <f>IF(H198,Wh_hp,'2024'!Maxi_hp)</f>
        <v>51.509935845707219</v>
      </c>
      <c r="J198" s="85">
        <f>IF(H198,An,'2024'!An_max)</f>
        <v>2019</v>
      </c>
      <c r="K198" s="199">
        <f t="shared" si="52"/>
        <v>45841</v>
      </c>
      <c r="L198" s="147">
        <f>IF(t&lt;Tvie,1-EXP((T0-t)*PertePVj)+'2024'!Pspv,1-EXP((T0-t)*PertePVj)+Pspv)</f>
        <v>5.7133841208371172E-2</v>
      </c>
      <c r="M198" s="872"/>
      <c r="N198" s="872"/>
      <c r="O198" s="48">
        <f>IF(t&lt;Tnet,'2024'!Resal+('2024'!Salim-'2024'!Resal)*(1-EXP(('2024'!Tnet-t)/('2024'!Tau_j))),Resal+(Salim-Resal)*(1-EXP((Tnet-t)/(Tau_j))))*Salcycl</f>
        <v>0.10270108485548846</v>
      </c>
      <c r="P198" s="171">
        <f>(INDEX(Models!$BJ198:$BT198,,T198)*(1-R198)+INDEX(Models!$BJ198:$BT198,,T198+1)*R198-ERP_i)*Q198*Ramure*Pc/MaxiM</f>
        <v>1.6790175125893588E-5</v>
      </c>
      <c r="Q198" s="307">
        <f t="shared" si="53"/>
        <v>0.9</v>
      </c>
      <c r="R198" s="179">
        <f t="shared" si="54"/>
        <v>0.66879179129078592</v>
      </c>
      <c r="S198" s="839">
        <f t="shared" si="55"/>
        <v>-3</v>
      </c>
      <c r="T198" s="178">
        <f t="shared" si="56"/>
        <v>3</v>
      </c>
      <c r="U198" s="253">
        <f t="shared" si="57"/>
        <v>-2.3312082087092141</v>
      </c>
      <c r="V198" s="385">
        <f t="shared" si="58"/>
        <v>53.492542039092626</v>
      </c>
      <c r="W198" s="404">
        <f t="shared" si="59"/>
        <v>40.421133891889305</v>
      </c>
      <c r="X198" s="157">
        <f t="shared" si="60"/>
        <v>45841</v>
      </c>
      <c r="Y198" s="387">
        <f t="shared" si="61"/>
        <v>37.687347440729589</v>
      </c>
      <c r="Z198" s="387">
        <f t="shared" si="62"/>
        <v>39.971046886473736</v>
      </c>
      <c r="AA198" s="388">
        <f t="shared" si="63"/>
        <v>47.760189235947507</v>
      </c>
      <c r="AB198" s="199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0.163088598979234</v>
      </c>
      <c r="AD198" s="233">
        <f>(INDEX(Models!$BJ198:$BT198,,AH198)*(1-AF198)+INDEX(Models!$BJ198:$BT198,,AH198+1)*AF198-ERP_i)*AE198*Ramure*Pc/MaxiM</f>
        <v>5.659196224177467E-4</v>
      </c>
      <c r="AE198" s="307">
        <f t="shared" si="65"/>
        <v>0.9</v>
      </c>
      <c r="AF198" s="179">
        <f t="shared" si="66"/>
        <v>0.30444744359776488</v>
      </c>
      <c r="AG198" s="839">
        <f t="shared" si="74"/>
        <v>2</v>
      </c>
      <c r="AH198" s="178">
        <f t="shared" si="67"/>
        <v>8</v>
      </c>
      <c r="AI198" s="227">
        <f t="shared" si="68"/>
        <v>2.3044474435977649</v>
      </c>
      <c r="AJ198" s="267" t="b">
        <f t="shared" si="69"/>
        <v>0</v>
      </c>
      <c r="AK198" s="267" t="b">
        <f t="shared" si="70"/>
        <v>0</v>
      </c>
      <c r="AL198" s="267"/>
      <c r="AM198" s="267"/>
      <c r="AN198" s="75"/>
    </row>
    <row r="199" spans="1:40" s="6" customFormat="1" ht="11.25" x14ac:dyDescent="0.2">
      <c r="A199" s="56">
        <f t="shared" si="71"/>
        <v>45842</v>
      </c>
      <c r="B199" s="413">
        <f>'2024'!Wh/'2024'!Env_an*'2025'!Env_an</f>
        <v>42.41660059429077</v>
      </c>
      <c r="C199" s="868"/>
      <c r="D199" s="395">
        <f t="shared" si="50"/>
        <v>44.987920414798936</v>
      </c>
      <c r="E199" s="387">
        <f t="shared" si="75"/>
        <v>50.146802355355497</v>
      </c>
      <c r="F199" s="387">
        <f t="shared" si="51"/>
        <v>50.147404164883611</v>
      </c>
      <c r="G199" s="110">
        <f t="shared" si="76"/>
        <v>0.79416302283135165</v>
      </c>
      <c r="H199" s="416" t="b">
        <f>Wh_hp&gt;='2024'!Maxi_hp</f>
        <v>0</v>
      </c>
      <c r="I199" s="392">
        <f>IF(H199,Wh_hp,'2024'!Maxi_hp)</f>
        <v>59.188715550013768</v>
      </c>
      <c r="J199" s="85">
        <f>IF(H199,An,'2024'!An_max)</f>
        <v>2019</v>
      </c>
      <c r="K199" s="199">
        <f t="shared" si="52"/>
        <v>45842</v>
      </c>
      <c r="L199" s="147">
        <f>IF(t&lt;Tvie,1-EXP((T0-t)*PertePVj)+'2024'!Pspv,1-EXP((T0-t)*PertePVj)+Pspv)</f>
        <v>5.7155783081325073E-2</v>
      </c>
      <c r="M199" s="872"/>
      <c r="N199" s="872"/>
      <c r="O199" s="48">
        <f>IF(t&lt;Tnet,'2024'!Resal+('2024'!Salim-'2024'!Resal)*(1-EXP(('2024'!Tnet-t)/('2024'!Tau_j))),Resal+(Salim-Resal)*(1-EXP((Tnet-t)/(Tau_j))))*Salcycl</f>
        <v>0.10287559122911086</v>
      </c>
      <c r="P199" s="171">
        <f>(INDEX(Models!$BJ199:$BT199,,T199)*(1-R199)+INDEX(Models!$BJ199:$BT199,,T199+1)*R199-ERP_i)*Q199*Ramure*Pc/MaxiM</f>
        <v>1.6999451491231128E-5</v>
      </c>
      <c r="Q199" s="307">
        <f t="shared" si="53"/>
        <v>0.9</v>
      </c>
      <c r="R199" s="179">
        <f t="shared" si="54"/>
        <v>0.67454646360432591</v>
      </c>
      <c r="S199" s="839">
        <f t="shared" si="55"/>
        <v>-3</v>
      </c>
      <c r="T199" s="178">
        <f t="shared" si="56"/>
        <v>3</v>
      </c>
      <c r="U199" s="253">
        <f t="shared" si="57"/>
        <v>-2.3254535363956741</v>
      </c>
      <c r="V199" s="385">
        <f t="shared" si="58"/>
        <v>53.410178196402676</v>
      </c>
      <c r="W199" s="404">
        <f t="shared" si="59"/>
        <v>42.41660059429077</v>
      </c>
      <c r="X199" s="157">
        <f t="shared" si="60"/>
        <v>45842</v>
      </c>
      <c r="Y199" s="387">
        <f t="shared" si="61"/>
        <v>39.547462826546557</v>
      </c>
      <c r="Z199" s="387">
        <f t="shared" si="62"/>
        <v>41.944853791215145</v>
      </c>
      <c r="AA199" s="388">
        <f t="shared" si="63"/>
        <v>50.126172734706337</v>
      </c>
      <c r="AB199" s="199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0.16321451443721771</v>
      </c>
      <c r="AD199" s="233">
        <f>(INDEX(Models!$BJ199:$BT199,,AH199)*(1-AF199)+INDEX(Models!$BJ199:$BT199,,AH199+1)*AF199-ERP_i)*AE199*Ramure*Pc/MaxiM</f>
        <v>5.9972906796918911E-4</v>
      </c>
      <c r="AE199" s="307">
        <f t="shared" si="65"/>
        <v>0.9</v>
      </c>
      <c r="AF199" s="179">
        <f t="shared" si="66"/>
        <v>0.31020211591130487</v>
      </c>
      <c r="AG199" s="839">
        <f t="shared" si="74"/>
        <v>2</v>
      </c>
      <c r="AH199" s="178">
        <f t="shared" si="67"/>
        <v>8</v>
      </c>
      <c r="AI199" s="227">
        <f t="shared" si="68"/>
        <v>2.3102021159113049</v>
      </c>
      <c r="AJ199" s="267" t="b">
        <f t="shared" si="69"/>
        <v>0</v>
      </c>
      <c r="AK199" s="267" t="b">
        <f t="shared" si="70"/>
        <v>0</v>
      </c>
      <c r="AL199" s="267"/>
      <c r="AM199" s="267"/>
      <c r="AN199" s="75"/>
    </row>
    <row r="200" spans="1:40" s="6" customFormat="1" ht="11.25" x14ac:dyDescent="0.2">
      <c r="A200" s="56">
        <f t="shared" si="71"/>
        <v>45843</v>
      </c>
      <c r="B200" s="413">
        <f>'2024'!Wh/'2024'!Env_an*'2025'!Env_an</f>
        <v>51.137083418524668</v>
      </c>
      <c r="C200" s="868"/>
      <c r="D200" s="395">
        <f t="shared" si="50"/>
        <v>54.238306353495631</v>
      </c>
      <c r="E200" s="387">
        <f t="shared" si="75"/>
        <v>60.469576265152803</v>
      </c>
      <c r="F200" s="387">
        <f t="shared" si="51"/>
        <v>60.470559552544451</v>
      </c>
      <c r="G200" s="110">
        <f t="shared" si="76"/>
        <v>0.95897032552911321</v>
      </c>
      <c r="H200" s="416" t="b">
        <f>Wh_hp&gt;='2024'!Maxi_hp</f>
        <v>0</v>
      </c>
      <c r="I200" s="392">
        <f>IF(H200,Wh_hp,'2024'!Maxi_hp)</f>
        <v>62.028584740771763</v>
      </c>
      <c r="J200" s="85">
        <f>IF(H200,An,'2024'!An_max)</f>
        <v>2021</v>
      </c>
      <c r="K200" s="199">
        <f t="shared" si="52"/>
        <v>45843</v>
      </c>
      <c r="L200" s="147">
        <f>IF(t&lt;Tvie,1-EXP((T0-t)*PertePVj)+'2024'!Pspv,1-EXP((T0-t)*PertePVj)+Pspv)</f>
        <v>5.7177724443659539E-2</v>
      </c>
      <c r="M200" s="872"/>
      <c r="N200" s="872"/>
      <c r="O200" s="48">
        <f>IF(t&lt;Tnet,'2024'!Resal+('2024'!Salim-'2024'!Resal)*(1-EXP(('2024'!Tnet-t)/('2024'!Tau_j))),Resal+(Salim-Resal)*(1-EXP((Tnet-t)/(Tau_j))))*Salcycl</f>
        <v>0.10304801681317728</v>
      </c>
      <c r="P200" s="171">
        <f>(INDEX(Models!$BJ200:$BT200,,T200)*(1-R200)+INDEX(Models!$BJ200:$BT200,,T200+1)*R200-ERP_i)*Q200*Ramure*Pc/MaxiM</f>
        <v>1.7273010029172621E-5</v>
      </c>
      <c r="Q200" s="307">
        <f t="shared" si="53"/>
        <v>0.9</v>
      </c>
      <c r="R200" s="179">
        <f t="shared" si="54"/>
        <v>0.68019414530828914</v>
      </c>
      <c r="S200" s="839">
        <f t="shared" si="55"/>
        <v>-3</v>
      </c>
      <c r="T200" s="178">
        <f t="shared" si="56"/>
        <v>3</v>
      </c>
      <c r="U200" s="253">
        <f t="shared" si="57"/>
        <v>-2.3198058546917109</v>
      </c>
      <c r="V200" s="385">
        <f t="shared" si="58"/>
        <v>53.324936428676175</v>
      </c>
      <c r="W200" s="404">
        <f t="shared" si="59"/>
        <v>51.137083418524668</v>
      </c>
      <c r="X200" s="157">
        <f t="shared" si="60"/>
        <v>45843</v>
      </c>
      <c r="Y200" s="387">
        <f t="shared" si="61"/>
        <v>47.67203807872739</v>
      </c>
      <c r="Z200" s="387">
        <f t="shared" si="62"/>
        <v>50.563122355798264</v>
      </c>
      <c r="AA200" s="388">
        <f t="shared" si="63"/>
        <v>60.43429074616148</v>
      </c>
      <c r="AB200" s="199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0.16333720919840844</v>
      </c>
      <c r="AD200" s="233">
        <f>(INDEX(Models!$BJ200:$BT200,,AH200)*(1-AF200)+INDEX(Models!$BJ200:$BT200,,AH200+1)*AF200-ERP_i)*AE200*Ramure*Pc/MaxiM</f>
        <v>6.3711938312377913E-4</v>
      </c>
      <c r="AE200" s="307">
        <f t="shared" si="65"/>
        <v>0.9</v>
      </c>
      <c r="AF200" s="179">
        <f t="shared" si="66"/>
        <v>0.3158497976152681</v>
      </c>
      <c r="AG200" s="839">
        <f t="shared" si="74"/>
        <v>2</v>
      </c>
      <c r="AH200" s="178">
        <f t="shared" si="67"/>
        <v>8</v>
      </c>
      <c r="AI200" s="227">
        <f t="shared" si="68"/>
        <v>2.3158497976152681</v>
      </c>
      <c r="AJ200" s="267" t="b">
        <f t="shared" si="69"/>
        <v>0</v>
      </c>
      <c r="AK200" s="267" t="b">
        <f t="shared" si="70"/>
        <v>0</v>
      </c>
      <c r="AL200" s="267"/>
      <c r="AM200" s="267"/>
      <c r="AN200" s="75"/>
    </row>
    <row r="201" spans="1:40" s="6" customFormat="1" ht="11.25" x14ac:dyDescent="0.2">
      <c r="A201" s="56">
        <f t="shared" si="71"/>
        <v>45844</v>
      </c>
      <c r="B201" s="413">
        <f>'2024'!Wh/'2024'!Env_an*'2025'!Env_an</f>
        <v>39.619957951336119</v>
      </c>
      <c r="C201" s="868"/>
      <c r="D201" s="395">
        <f t="shared" si="50"/>
        <v>42.023699497040745</v>
      </c>
      <c r="E201" s="387">
        <f t="shared" si="75"/>
        <v>46.860573566158777</v>
      </c>
      <c r="F201" s="387">
        <f t="shared" si="51"/>
        <v>46.861097359250962</v>
      </c>
      <c r="G201" s="110">
        <f t="shared" si="76"/>
        <v>0.7442188995647494</v>
      </c>
      <c r="H201" s="416" t="b">
        <f>Wh_hp&gt;='2024'!Maxi_hp</f>
        <v>0</v>
      </c>
      <c r="I201" s="392">
        <f>IF(H201,Wh_hp,'2024'!Maxi_hp)</f>
        <v>61.321046316933298</v>
      </c>
      <c r="J201" s="85">
        <f>IF(H201,An,'2024'!An_max)</f>
        <v>2020</v>
      </c>
      <c r="K201" s="199">
        <f t="shared" si="52"/>
        <v>45844</v>
      </c>
      <c r="L201" s="147">
        <f>IF(t&lt;Tvie,1-EXP((T0-t)*PertePVj)+'2024'!Pspv,1-EXP((T0-t)*PertePVj)+Pspv)</f>
        <v>5.7199665295386337E-2</v>
      </c>
      <c r="M201" s="872"/>
      <c r="N201" s="872"/>
      <c r="O201" s="48">
        <f>IF(t&lt;Tnet,'2024'!Resal+('2024'!Salim-'2024'!Resal)*(1-EXP(('2024'!Tnet-t)/('2024'!Tau_j))),Resal+(Salim-Resal)*(1-EXP((Tnet-t)/(Tau_j))))*Salcycl</f>
        <v>0.10321841371167234</v>
      </c>
      <c r="P201" s="171">
        <f>(INDEX(Models!$BJ201:$BT201,,T201)*(1-R201)+INDEX(Models!$BJ201:$BT201,,T201+1)*R201-ERP_i)*Q201*Ramure*Pc/MaxiM</f>
        <v>1.7613417827607361E-5</v>
      </c>
      <c r="Q201" s="307">
        <f t="shared" si="53"/>
        <v>0.9</v>
      </c>
      <c r="R201" s="179">
        <f t="shared" si="54"/>
        <v>0.6857331577538659</v>
      </c>
      <c r="S201" s="839">
        <f t="shared" si="55"/>
        <v>-3</v>
      </c>
      <c r="T201" s="178">
        <f t="shared" si="56"/>
        <v>3</v>
      </c>
      <c r="U201" s="253">
        <f t="shared" si="57"/>
        <v>-2.3142668422461341</v>
      </c>
      <c r="V201" s="385">
        <f t="shared" si="58"/>
        <v>53.23662565348598</v>
      </c>
      <c r="W201" s="404">
        <f t="shared" si="59"/>
        <v>39.619957951336119</v>
      </c>
      <c r="X201" s="157">
        <f t="shared" si="60"/>
        <v>45844</v>
      </c>
      <c r="Y201" s="387">
        <f t="shared" si="61"/>
        <v>36.943125627801479</v>
      </c>
      <c r="Z201" s="387">
        <f t="shared" si="62"/>
        <v>39.184463844485201</v>
      </c>
      <c r="AA201" s="388">
        <f t="shared" si="63"/>
        <v>46.840931407717747</v>
      </c>
      <c r="AB201" s="199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0.16345677451603841</v>
      </c>
      <c r="AD201" s="233">
        <f>(INDEX(Models!$BJ201:$BT201,,AH201)*(1-AF201)+INDEX(Models!$BJ201:$BT201,,AH201+1)*AF201-ERP_i)*AE201*Ramure*Pc/MaxiM</f>
        <v>6.7811381162691763E-4</v>
      </c>
      <c r="AE201" s="307">
        <f t="shared" si="65"/>
        <v>0.9</v>
      </c>
      <c r="AF201" s="179">
        <f t="shared" si="66"/>
        <v>0.32138881006084485</v>
      </c>
      <c r="AG201" s="839">
        <f t="shared" si="74"/>
        <v>2</v>
      </c>
      <c r="AH201" s="178">
        <f t="shared" si="67"/>
        <v>8</v>
      </c>
      <c r="AI201" s="227">
        <f t="shared" si="68"/>
        <v>2.3213888100608449</v>
      </c>
      <c r="AJ201" s="267" t="b">
        <f t="shared" si="69"/>
        <v>0</v>
      </c>
      <c r="AK201" s="267" t="b">
        <f t="shared" si="70"/>
        <v>0</v>
      </c>
      <c r="AL201" s="267"/>
      <c r="AM201" s="267"/>
      <c r="AN201" s="75"/>
    </row>
    <row r="202" spans="1:40" s="6" customFormat="1" ht="11.25" x14ac:dyDescent="0.2">
      <c r="A202" s="56">
        <f t="shared" si="71"/>
        <v>45845</v>
      </c>
      <c r="B202" s="413">
        <f>'2024'!Wh/'2024'!Env_an*'2025'!Env_an</f>
        <v>49.203220856527039</v>
      </c>
      <c r="C202" s="868"/>
      <c r="D202" s="395">
        <f t="shared" si="50"/>
        <v>52.189593175548566</v>
      </c>
      <c r="E202" s="387">
        <f t="shared" si="75"/>
        <v>58.207480499838702</v>
      </c>
      <c r="F202" s="387">
        <f t="shared" si="51"/>
        <v>58.208418440171876</v>
      </c>
      <c r="G202" s="110">
        <f t="shared" si="76"/>
        <v>0.92582700578742283</v>
      </c>
      <c r="H202" s="416" t="b">
        <f>Wh_hp&gt;='2024'!Maxi_hp</f>
        <v>1</v>
      </c>
      <c r="I202" s="392">
        <f>IF(H202,Wh_hp,'2024'!Maxi_hp)</f>
        <v>58.208418440171876</v>
      </c>
      <c r="J202" s="85">
        <f>IF(H202,An,'2024'!An_max)</f>
        <v>2025</v>
      </c>
      <c r="K202" s="199">
        <f t="shared" si="52"/>
        <v>45845</v>
      </c>
      <c r="L202" s="147">
        <f>IF(t&lt;Tvie,1-EXP((T0-t)*PertePVj)+'2024'!Pspv,1-EXP((T0-t)*PertePVj)+Pspv)</f>
        <v>5.722160563651757E-2</v>
      </c>
      <c r="M202" s="872"/>
      <c r="N202" s="872"/>
      <c r="O202" s="48">
        <f>IF(t&lt;Tnet,'2024'!Resal+('2024'!Salim-'2024'!Resal)*(1-EXP(('2024'!Tnet-t)/('2024'!Tau_j))),Resal+(Salim-Resal)*(1-EXP((Tnet-t)/(Tau_j))))*Salcycl</f>
        <v>0.10338683744105387</v>
      </c>
      <c r="P202" s="171">
        <f>(INDEX(Models!$BJ202:$BT202,,T202)*(1-R202)+INDEX(Models!$BJ202:$BT202,,T202+1)*R202-ERP_i)*Q202*Ramure*Pc/MaxiM</f>
        <v>1.8023200971402409E-5</v>
      </c>
      <c r="Q202" s="307">
        <f t="shared" si="53"/>
        <v>0.9</v>
      </c>
      <c r="R202" s="179">
        <f t="shared" si="54"/>
        <v>0.69116206615492137</v>
      </c>
      <c r="S202" s="839">
        <f t="shared" si="55"/>
        <v>-3</v>
      </c>
      <c r="T202" s="178">
        <f t="shared" si="56"/>
        <v>3</v>
      </c>
      <c r="U202" s="253">
        <f t="shared" si="57"/>
        <v>-2.3088379338450786</v>
      </c>
      <c r="V202" s="385">
        <f t="shared" si="58"/>
        <v>53.145054727439771</v>
      </c>
      <c r="W202" s="404">
        <f t="shared" si="59"/>
        <v>49.203220856527039</v>
      </c>
      <c r="X202" s="157">
        <f t="shared" si="60"/>
        <v>45845</v>
      </c>
      <c r="Y202" s="387">
        <f t="shared" si="61"/>
        <v>45.871463030206762</v>
      </c>
      <c r="Z202" s="387">
        <f t="shared" si="62"/>
        <v>48.65561547067157</v>
      </c>
      <c r="AA202" s="388">
        <f t="shared" si="63"/>
        <v>58.170806669329465</v>
      </c>
      <c r="AB202" s="199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0.16357330667162254</v>
      </c>
      <c r="AD202" s="233">
        <f>(INDEX(Models!$BJ202:$BT202,,AH202)*(1-AF202)+INDEX(Models!$BJ202:$BT202,,AH202+1)*AF202-ERP_i)*AE202*Ramure*Pc/MaxiM</f>
        <v>7.2273734352412949E-4</v>
      </c>
      <c r="AE202" s="307">
        <f t="shared" si="65"/>
        <v>0.9</v>
      </c>
      <c r="AF202" s="179">
        <f t="shared" si="66"/>
        <v>0.32681771846190033</v>
      </c>
      <c r="AG202" s="839">
        <f t="shared" si="74"/>
        <v>2</v>
      </c>
      <c r="AH202" s="178">
        <f t="shared" si="67"/>
        <v>8</v>
      </c>
      <c r="AI202" s="227">
        <f t="shared" si="68"/>
        <v>2.3268177184619003</v>
      </c>
      <c r="AJ202" s="267" t="b">
        <f t="shared" si="69"/>
        <v>0</v>
      </c>
      <c r="AK202" s="267" t="b">
        <f t="shared" si="70"/>
        <v>0</v>
      </c>
      <c r="AL202" s="267"/>
      <c r="AM202" s="267"/>
      <c r="AN202" s="75"/>
    </row>
    <row r="203" spans="1:40" s="6" customFormat="1" ht="11.25" x14ac:dyDescent="0.2">
      <c r="A203" s="56">
        <f t="shared" si="71"/>
        <v>45846</v>
      </c>
      <c r="B203" s="413">
        <f>'2024'!Wh/'2024'!Env_an*'2025'!Env_an</f>
        <v>54.00323081001121</v>
      </c>
      <c r="C203" s="868"/>
      <c r="D203" s="395">
        <f t="shared" si="50"/>
        <v>57.282271100191785</v>
      </c>
      <c r="E203" s="387">
        <f t="shared" si="75"/>
        <v>63.899252541009425</v>
      </c>
      <c r="F203" s="387">
        <f t="shared" si="51"/>
        <v>63.900435008789181</v>
      </c>
      <c r="G203" s="110">
        <f t="shared" si="76"/>
        <v>1.0179679125142835</v>
      </c>
      <c r="H203" s="416" t="b">
        <f>Wh_hp&gt;='2024'!Maxi_hp</f>
        <v>1</v>
      </c>
      <c r="I203" s="392">
        <f>IF(H203,Wh_hp,'2024'!Maxi_hp)</f>
        <v>63.900435008789181</v>
      </c>
      <c r="J203" s="85">
        <f>IF(H203,An,'2024'!An_max)</f>
        <v>2025</v>
      </c>
      <c r="K203" s="199">
        <f t="shared" si="52"/>
        <v>45846</v>
      </c>
      <c r="L203" s="147">
        <f>IF(t&lt;Tvie,1-EXP((T0-t)*PertePVj)+'2024'!Pspv,1-EXP((T0-t)*PertePVj)+Pspv)</f>
        <v>5.7243545467065005E-2</v>
      </c>
      <c r="M203" s="872"/>
      <c r="N203" s="872"/>
      <c r="O203" s="48">
        <f>IF(t&lt;Tnet,'2024'!Resal+('2024'!Salim-'2024'!Resal)*(1-EXP(('2024'!Tnet-t)/('2024'!Tau_j))),Resal+(Salim-Resal)*(1-EXP((Tnet-t)/(Tau_j))))*Salcycl</f>
        <v>0.10355334652108764</v>
      </c>
      <c r="P203" s="171">
        <f>(INDEX(Models!$BJ203:$BT203,,T203)*(1-R203)+INDEX(Models!$BJ203:$BT203,,T203+1)*R203-ERP_i)*Q203*Ramure*Pc/MaxiM</f>
        <v>1.8504847104674015E-5</v>
      </c>
      <c r="Q203" s="307">
        <f t="shared" si="53"/>
        <v>0.9</v>
      </c>
      <c r="R203" s="179">
        <f t="shared" si="54"/>
        <v>0.69647967434676472</v>
      </c>
      <c r="S203" s="839">
        <f t="shared" si="55"/>
        <v>-3</v>
      </c>
      <c r="T203" s="178">
        <f t="shared" si="56"/>
        <v>3</v>
      </c>
      <c r="U203" s="253">
        <f t="shared" si="57"/>
        <v>-2.3035203256532353</v>
      </c>
      <c r="V203" s="385">
        <f t="shared" si="58"/>
        <v>53.050032467750775</v>
      </c>
      <c r="W203" s="404">
        <f t="shared" si="59"/>
        <v>54.00323081001121</v>
      </c>
      <c r="X203" s="157">
        <f t="shared" si="60"/>
        <v>45846</v>
      </c>
      <c r="Y203" s="387">
        <f t="shared" si="61"/>
        <v>50.342786225423509</v>
      </c>
      <c r="Z203" s="387">
        <f t="shared" si="62"/>
        <v>53.399566752756499</v>
      </c>
      <c r="AA203" s="388">
        <f t="shared" si="63"/>
        <v>63.851166692798124</v>
      </c>
      <c r="AB203" s="199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0.16368690630707733</v>
      </c>
      <c r="AD203" s="233">
        <f>(INDEX(Models!$BJ203:$BT203,,AH203)*(1-AF203)+INDEX(Models!$BJ203:$BT203,,AH203+1)*AF203-ERP_i)*AE203*Ramure*Pc/MaxiM</f>
        <v>7.7101691067172165E-4</v>
      </c>
      <c r="AE203" s="307">
        <f t="shared" si="65"/>
        <v>0.9</v>
      </c>
      <c r="AF203" s="179">
        <f t="shared" si="66"/>
        <v>0.33213532665374368</v>
      </c>
      <c r="AG203" s="839">
        <f t="shared" si="74"/>
        <v>2</v>
      </c>
      <c r="AH203" s="178">
        <f t="shared" si="67"/>
        <v>8</v>
      </c>
      <c r="AI203" s="227">
        <f t="shared" si="68"/>
        <v>2.3321353266537437</v>
      </c>
      <c r="AJ203" s="267" t="b">
        <f t="shared" si="69"/>
        <v>0</v>
      </c>
      <c r="AK203" s="267" t="b">
        <f t="shared" si="70"/>
        <v>0</v>
      </c>
      <c r="AL203" s="267"/>
      <c r="AM203" s="267"/>
      <c r="AN203" s="75"/>
    </row>
    <row r="204" spans="1:40" s="6" customFormat="1" ht="11.25" x14ac:dyDescent="0.2">
      <c r="A204" s="56">
        <f t="shared" si="71"/>
        <v>45847</v>
      </c>
      <c r="B204" s="413">
        <f>'2024'!Wh/'2024'!Env_an*'2025'!Env_an</f>
        <v>53.049030415739161</v>
      </c>
      <c r="C204" s="868"/>
      <c r="D204" s="395">
        <f t="shared" si="50"/>
        <v>56.271441810694313</v>
      </c>
      <c r="E204" s="387">
        <f t="shared" si="75"/>
        <v>62.783188706032213</v>
      </c>
      <c r="F204" s="387">
        <f t="shared" si="51"/>
        <v>62.784385427188184</v>
      </c>
      <c r="G204" s="110">
        <f t="shared" si="76"/>
        <v>1.0018443855288932</v>
      </c>
      <c r="H204" s="416" t="b">
        <f>Wh_hp&gt;='2024'!Maxi_hp</f>
        <v>1</v>
      </c>
      <c r="I204" s="392">
        <f>IF(H204,Wh_hp,'2024'!Maxi_hp)</f>
        <v>62.784385427188184</v>
      </c>
      <c r="J204" s="85">
        <f>IF(H204,An,'2024'!An_max)</f>
        <v>2025</v>
      </c>
      <c r="K204" s="199">
        <f t="shared" si="52"/>
        <v>45847</v>
      </c>
      <c r="L204" s="147">
        <f>IF(t&lt;Tvie,1-EXP((T0-t)*PertePVj)+'2024'!Pspv,1-EXP((T0-t)*PertePVj)+Pspv)</f>
        <v>5.7265484787040521E-2</v>
      </c>
      <c r="M204" s="872"/>
      <c r="N204" s="872"/>
      <c r="O204" s="48">
        <f>IF(t&lt;Tnet,'2024'!Resal+('2024'!Salim-'2024'!Resal)*(1-EXP(('2024'!Tnet-t)/('2024'!Tau_j))),Resal+(Salim-Resal)*(1-EXP((Tnet-t)/(Tau_j))))*Salcycl</f>
        <v>0.10371800205669141</v>
      </c>
      <c r="P204" s="171">
        <f>(INDEX(Models!$BJ204:$BT204,,T204)*(1-R204)+INDEX(Models!$BJ204:$BT204,,T204+1)*R204-ERP_i)*Q204*Ramure*Pc/MaxiM</f>
        <v>1.9060808636223612E-5</v>
      </c>
      <c r="Q204" s="307">
        <f t="shared" si="53"/>
        <v>0.9</v>
      </c>
      <c r="R204" s="179">
        <f t="shared" si="54"/>
        <v>0.7016850187223973</v>
      </c>
      <c r="S204" s="839">
        <f t="shared" si="55"/>
        <v>-3</v>
      </c>
      <c r="T204" s="178">
        <f t="shared" si="56"/>
        <v>3</v>
      </c>
      <c r="U204" s="253">
        <f t="shared" si="57"/>
        <v>-2.2983149812776027</v>
      </c>
      <c r="V204" s="385">
        <f t="shared" si="58"/>
        <v>52.951367679456069</v>
      </c>
      <c r="W204" s="404">
        <f t="shared" si="59"/>
        <v>53.049030415739161</v>
      </c>
      <c r="X204" s="157">
        <f t="shared" si="60"/>
        <v>45847</v>
      </c>
      <c r="Y204" s="387">
        <f t="shared" si="61"/>
        <v>49.453252599333283</v>
      </c>
      <c r="Z204" s="387">
        <f t="shared" si="62"/>
        <v>52.457241992632483</v>
      </c>
      <c r="AA204" s="388">
        <f t="shared" si="63"/>
        <v>62.732715033916314</v>
      </c>
      <c r="AB204" s="199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0.16379767774642648</v>
      </c>
      <c r="AD204" s="233">
        <f>(INDEX(Models!$BJ204:$BT204,,AH204)*(1-AF204)+INDEX(Models!$BJ204:$BT204,,AH204+1)*AF204-ERP_i)*AE204*Ramure*Pc/MaxiM</f>
        <v>8.229815888186428E-4</v>
      </c>
      <c r="AE204" s="307">
        <f t="shared" si="65"/>
        <v>0.9</v>
      </c>
      <c r="AF204" s="179">
        <f t="shared" si="66"/>
        <v>0.33734067102937626</v>
      </c>
      <c r="AG204" s="839">
        <f t="shared" si="74"/>
        <v>2</v>
      </c>
      <c r="AH204" s="178">
        <f t="shared" si="67"/>
        <v>8</v>
      </c>
      <c r="AI204" s="227">
        <f t="shared" si="68"/>
        <v>2.3373406710293763</v>
      </c>
      <c r="AJ204" s="267" t="b">
        <f t="shared" si="69"/>
        <v>0</v>
      </c>
      <c r="AK204" s="267" t="b">
        <f t="shared" si="70"/>
        <v>0</v>
      </c>
      <c r="AL204" s="267"/>
      <c r="AM204" s="267"/>
      <c r="AN204" s="75"/>
    </row>
    <row r="205" spans="1:40" s="6" customFormat="1" ht="11.25" x14ac:dyDescent="0.2">
      <c r="A205" s="56">
        <f t="shared" si="71"/>
        <v>45848</v>
      </c>
      <c r="B205" s="413">
        <f>'2024'!Wh/'2024'!Env_an*'2025'!Env_an</f>
        <v>52.518591563548107</v>
      </c>
      <c r="C205" s="868"/>
      <c r="D205" s="395">
        <f t="shared" si="50"/>
        <v>55.710078424865138</v>
      </c>
      <c r="E205" s="387">
        <f t="shared" si="75"/>
        <v>62.168160898293628</v>
      </c>
      <c r="F205" s="387">
        <f t="shared" si="51"/>
        <v>62.169374297130261</v>
      </c>
      <c r="G205" s="110">
        <f t="shared" si="76"/>
        <v>0.99374916601875252</v>
      </c>
      <c r="H205" s="416" t="b">
        <f>Wh_hp&gt;='2024'!Maxi_hp</f>
        <v>0</v>
      </c>
      <c r="I205" s="392">
        <f>IF(H205,Wh_hp,'2024'!Maxi_hp)</f>
        <v>62.966191858436069</v>
      </c>
      <c r="J205" s="85">
        <f>IF(H205,An,'2024'!An_max)</f>
        <v>2019</v>
      </c>
      <c r="K205" s="199">
        <f t="shared" si="52"/>
        <v>45848</v>
      </c>
      <c r="L205" s="147">
        <f>IF(t&lt;Tvie,1-EXP((T0-t)*PertePVj)+'2024'!Pspv,1-EXP((T0-t)*PertePVj)+Pspv)</f>
        <v>5.7287423596456E-2</v>
      </c>
      <c r="M205" s="872"/>
      <c r="N205" s="872"/>
      <c r="O205" s="48">
        <f>IF(t&lt;Tnet,'2024'!Resal+('2024'!Salim-'2024'!Resal)*(1-EXP(('2024'!Tnet-t)/('2024'!Tau_j))),Resal+(Salim-Resal)*(1-EXP((Tnet-t)/(Tau_j))))*Salcycl</f>
        <v>0.103880867313959</v>
      </c>
      <c r="P205" s="171">
        <f>(INDEX(Models!$BJ205:$BT205,,T205)*(1-R205)+INDEX(Models!$BJ205:$BT205,,T205+1)*R205-ERP_i)*Q205*Ramure*Pc/MaxiM</f>
        <v>1.9693483084377028E-5</v>
      </c>
      <c r="Q205" s="307">
        <f t="shared" si="53"/>
        <v>0.9</v>
      </c>
      <c r="R205" s="179">
        <f t="shared" si="54"/>
        <v>0.70677736142935776</v>
      </c>
      <c r="S205" s="839">
        <f t="shared" si="55"/>
        <v>-3</v>
      </c>
      <c r="T205" s="178">
        <f t="shared" si="56"/>
        <v>3</v>
      </c>
      <c r="U205" s="253">
        <f t="shared" si="57"/>
        <v>-2.2932226385706422</v>
      </c>
      <c r="V205" s="385">
        <f t="shared" si="58"/>
        <v>52.848932229255858</v>
      </c>
      <c r="W205" s="404">
        <f t="shared" si="59"/>
        <v>52.518591563548107</v>
      </c>
      <c r="X205" s="157">
        <f t="shared" si="60"/>
        <v>45848</v>
      </c>
      <c r="Y205" s="387">
        <f t="shared" si="61"/>
        <v>48.959017069798577</v>
      </c>
      <c r="Z205" s="387">
        <f t="shared" si="62"/>
        <v>51.934193194470382</v>
      </c>
      <c r="AA205" s="388">
        <f t="shared" si="63"/>
        <v>62.115236227642399</v>
      </c>
      <c r="AB205" s="199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0.16390572831213454</v>
      </c>
      <c r="AD205" s="233">
        <f>(INDEX(Models!$BJ205:$BT205,,AH205)*(1-AF205)+INDEX(Models!$BJ205:$BT205,,AH205+1)*AF205-ERP_i)*AE205*Ramure*Pc/MaxiM</f>
        <v>8.7866175859834493E-4</v>
      </c>
      <c r="AE205" s="307">
        <f t="shared" si="65"/>
        <v>0.9</v>
      </c>
      <c r="AF205" s="179">
        <f t="shared" si="66"/>
        <v>0.34243301373633672</v>
      </c>
      <c r="AG205" s="839">
        <f t="shared" si="74"/>
        <v>2</v>
      </c>
      <c r="AH205" s="178">
        <f t="shared" si="67"/>
        <v>8</v>
      </c>
      <c r="AI205" s="227">
        <f t="shared" si="68"/>
        <v>2.3424330137363367</v>
      </c>
      <c r="AJ205" s="267" t="b">
        <f t="shared" si="69"/>
        <v>0</v>
      </c>
      <c r="AK205" s="267" t="b">
        <f t="shared" si="70"/>
        <v>0</v>
      </c>
      <c r="AL205" s="267"/>
      <c r="AM205" s="267"/>
      <c r="AN205" s="75"/>
    </row>
    <row r="206" spans="1:40" s="6" customFormat="1" ht="11.25" x14ac:dyDescent="0.2">
      <c r="A206" s="56">
        <f t="shared" si="71"/>
        <v>45849</v>
      </c>
      <c r="B206" s="413">
        <f>'2024'!Wh/'2024'!Env_an*'2025'!Env_an</f>
        <v>50.712943550626036</v>
      </c>
      <c r="C206" s="868"/>
      <c r="D206" s="395">
        <f t="shared" si="50"/>
        <v>53.795955428799815</v>
      </c>
      <c r="E206" s="387">
        <f t="shared" si="75"/>
        <v>60.04294382853422</v>
      </c>
      <c r="F206" s="387">
        <f t="shared" si="51"/>
        <v>60.044108036903907</v>
      </c>
      <c r="G206" s="110">
        <f t="shared" si="76"/>
        <v>0.96151216539066287</v>
      </c>
      <c r="H206" s="416" t="b">
        <f>Wh_hp&gt;='2024'!Maxi_hp</f>
        <v>0</v>
      </c>
      <c r="I206" s="392">
        <f>IF(H206,Wh_hp,'2024'!Maxi_hp)</f>
        <v>62.533277298191116</v>
      </c>
      <c r="J206" s="85">
        <f>IF(H206,An,'2024'!An_max)</f>
        <v>2019</v>
      </c>
      <c r="K206" s="199">
        <f t="shared" si="52"/>
        <v>45849</v>
      </c>
      <c r="L206" s="147">
        <f>IF(t&lt;Tvie,1-EXP((T0-t)*PertePVj)+'2024'!Pspv,1-EXP((T0-t)*PertePVj)+Pspv)</f>
        <v>5.730936189532343E-2</v>
      </c>
      <c r="M206" s="872"/>
      <c r="N206" s="872"/>
      <c r="O206" s="48">
        <f>IF(t&lt;Tnet,'2024'!Resal+('2024'!Salim-'2024'!Resal)*(1-EXP(('2024'!Tnet-t)/('2024'!Tau_j))),Resal+(Salim-Resal)*(1-EXP((Tnet-t)/(Tau_j))))*Salcycl</f>
        <v>0.10404200729354733</v>
      </c>
      <c r="P206" s="171">
        <f>(INDEX(Models!$BJ206:$BT206,,T206)*(1-R206)+INDEX(Models!$BJ206:$BT206,,T206+1)*R206-ERP_i)*Q206*Ramure*Pc/MaxiM</f>
        <v>2.0517281259624688E-5</v>
      </c>
      <c r="Q206" s="307">
        <f t="shared" si="53"/>
        <v>0.9</v>
      </c>
      <c r="R206" s="179">
        <f t="shared" si="54"/>
        <v>0.7117561829110679</v>
      </c>
      <c r="S206" s="839">
        <f t="shared" si="55"/>
        <v>-3</v>
      </c>
      <c r="T206" s="178">
        <f t="shared" si="56"/>
        <v>3</v>
      </c>
      <c r="U206" s="253">
        <f t="shared" si="57"/>
        <v>-2.2882438170889321</v>
      </c>
      <c r="V206" s="385">
        <f t="shared" si="58"/>
        <v>52.742844206825296</v>
      </c>
      <c r="W206" s="404">
        <f t="shared" si="59"/>
        <v>50.712943550626036</v>
      </c>
      <c r="X206" s="157">
        <f t="shared" si="60"/>
        <v>45849</v>
      </c>
      <c r="Y206" s="387">
        <f t="shared" si="61"/>
        <v>47.277506543603707</v>
      </c>
      <c r="Z206" s="387">
        <f t="shared" si="62"/>
        <v>50.151666551666764</v>
      </c>
      <c r="AA206" s="388">
        <f t="shared" si="63"/>
        <v>59.990833143253845</v>
      </c>
      <c r="AB206" s="199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0.16401116764109352</v>
      </c>
      <c r="AD206" s="233">
        <f>(INDEX(Models!$BJ206:$BT206,,AH206)*(1-AF206)+INDEX(Models!$BJ206:$BT206,,AH206+1)*AF206-ERP_i)*AE206*Ramure*Pc/MaxiM</f>
        <v>9.388834555355734E-4</v>
      </c>
      <c r="AE206" s="307">
        <f t="shared" si="65"/>
        <v>0.9</v>
      </c>
      <c r="AF206" s="179">
        <f t="shared" si="66"/>
        <v>0.34741183521804686</v>
      </c>
      <c r="AG206" s="839">
        <f t="shared" si="74"/>
        <v>2</v>
      </c>
      <c r="AH206" s="178">
        <f t="shared" si="67"/>
        <v>8</v>
      </c>
      <c r="AI206" s="227">
        <f t="shared" si="68"/>
        <v>2.3474118352180469</v>
      </c>
      <c r="AJ206" s="267" t="b">
        <f t="shared" si="69"/>
        <v>0</v>
      </c>
      <c r="AK206" s="267" t="b">
        <f t="shared" si="70"/>
        <v>0</v>
      </c>
      <c r="AL206" s="267"/>
      <c r="AM206" s="267"/>
      <c r="AN206" s="75"/>
    </row>
    <row r="207" spans="1:40" s="6" customFormat="1" ht="11.25" x14ac:dyDescent="0.2">
      <c r="A207" s="56">
        <f t="shared" si="71"/>
        <v>45850</v>
      </c>
      <c r="B207" s="413">
        <f>'2024'!Wh/'2024'!Env_an*'2025'!Env_an</f>
        <v>50.817738388567534</v>
      </c>
      <c r="C207" s="868"/>
      <c r="D207" s="395">
        <f t="shared" ref="D207:D270" si="77">Wh/(1-Ppv)</f>
        <v>53.90837562710405</v>
      </c>
      <c r="E207" s="387">
        <f t="shared" si="75"/>
        <v>60.179130600558821</v>
      </c>
      <c r="F207" s="387">
        <f t="shared" ref="F207:F270" si="78">Wh_sa/(1-Pvg*MEDIAN((-Sdif+Wh/Env_an)/Csdif,0,1))</f>
        <v>60.180361809507957</v>
      </c>
      <c r="G207" s="110">
        <f t="shared" si="76"/>
        <v>0.96550459320290472</v>
      </c>
      <c r="H207" s="416" t="b">
        <f>Wh_hp&gt;='2024'!Maxi_hp</f>
        <v>0</v>
      </c>
      <c r="I207" s="392">
        <f>IF(H207,Wh_hp,'2024'!Maxi_hp)</f>
        <v>63.366086116985848</v>
      </c>
      <c r="J207" s="85">
        <f>IF(H207,An,'2024'!An_max)</f>
        <v>2019</v>
      </c>
      <c r="K207" s="199">
        <f t="shared" ref="K207:K270" si="79">t</f>
        <v>45850</v>
      </c>
      <c r="L207" s="147">
        <f>IF(t&lt;Tvie,1-EXP((T0-t)*PertePVj)+'2024'!Pspv,1-EXP((T0-t)*PertePVj)+Pspv)</f>
        <v>5.7331299683654469E-2</v>
      </c>
      <c r="M207" s="872"/>
      <c r="N207" s="872"/>
      <c r="O207" s="48">
        <f>IF(t&lt;Tnet,'2024'!Resal+('2024'!Salim-'2024'!Resal)*(1-EXP(('2024'!Tnet-t)/('2024'!Tau_j))),Resal+(Salim-Resal)*(1-EXP((Tnet-t)/(Tau_j))))*Salcycl</f>
        <v>0.10420148830459405</v>
      </c>
      <c r="P207" s="171">
        <f>(INDEX(Models!$BJ207:$BT207,,T207)*(1-R207)+INDEX(Models!$BJ207:$BT207,,T207+1)*R207-ERP_i)*Q207*Ramure*Pc/MaxiM</f>
        <v>2.1519059368898424E-5</v>
      </c>
      <c r="Q207" s="307">
        <f t="shared" ref="Q207:Q270" si="80">IF(OR(t&lt;Ttai,Notai),Dd+PousD*Croivg,Dens+PousD*(Croivg-Croi_tai))</f>
        <v>0.9</v>
      </c>
      <c r="R207" s="179">
        <f t="shared" ref="R207:R270" si="81">(Hp_vg-S207)/(INDEX(Echel_vg,T207+1)-S207)</f>
        <v>0.71662117387647317</v>
      </c>
      <c r="S207" s="839">
        <f t="shared" ref="S207:S270" si="82">INDEX(Echel_vg,T207)</f>
        <v>-3</v>
      </c>
      <c r="T207" s="178">
        <f t="shared" ref="T207:T270" si="83">MIN(MATCH(Hp_vg,Echel_vg),10)</f>
        <v>3</v>
      </c>
      <c r="U207" s="253">
        <f t="shared" ref="U207:U270" si="84">IF(OR(t&lt;Ttai,Notai),Hdd+PousH*Croivg,Hdtf+PousH*(Croivg-Croi_tai))</f>
        <v>-2.2833788261235268</v>
      </c>
      <c r="V207" s="385">
        <f t="shared" ref="V207:V270" si="85">MaxiM*(1-Ppv)*(1-Pvg)*(1-Psa)</f>
        <v>52.633291294111089</v>
      </c>
      <c r="W207" s="404">
        <f t="shared" ref="W207:W270" si="86">Wh*(A207&gt;Tmaj)</f>
        <v>50.817738388567534</v>
      </c>
      <c r="X207" s="157">
        <f t="shared" ref="X207:X270" si="87">t</f>
        <v>45850</v>
      </c>
      <c r="Y207" s="387">
        <f t="shared" ref="Y207:Y270" si="88">Wh_pvt_s*(1-Ppv)</f>
        <v>47.374750479221802</v>
      </c>
      <c r="Z207" s="387">
        <f t="shared" ref="Z207:Z270" si="89">Wh_sa_s*(1-Psa_s)</f>
        <v>50.255991806372208</v>
      </c>
      <c r="AA207" s="388">
        <f t="shared" ref="AA207:AA270" si="90">Wh_hp*(1-Pvg_s*MEDIAN((-Sdif+Wh/Env_an)/Csdif,0,1))</f>
        <v>60.123029025310316</v>
      </c>
      <c r="AB207" s="199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0.16411410700522627</v>
      </c>
      <c r="AD207" s="233">
        <f>(INDEX(Models!$BJ207:$BT207,,AH207)*(1-AF207)+INDEX(Models!$BJ207:$BT207,,AH207+1)*AF207-ERP_i)*AE207*Ramure*Pc/MaxiM</f>
        <v>1.0020619065475649E-3</v>
      </c>
      <c r="AE207" s="307">
        <f t="shared" ref="AE207:AE270" si="92">IF(OR(t&lt;Ttai,Notai),Dd_s+PousD*Croivg,Dens_s+PousD*(Croivg-Croi_tai))</f>
        <v>0.9</v>
      </c>
      <c r="AF207" s="179">
        <f t="shared" ref="AF207:AF270" si="93">(Hp_vg_s-AG207)/(INDEX(Echel_vg,AH207+1)-AG207)</f>
        <v>0.35227682618345213</v>
      </c>
      <c r="AG207" s="839">
        <f t="shared" si="74"/>
        <v>2</v>
      </c>
      <c r="AH207" s="178">
        <f t="shared" ref="AH207:AH270" si="94">MIN(MATCH(Hp_vg_s,Echel_vg),10)</f>
        <v>8</v>
      </c>
      <c r="AI207" s="227">
        <f t="shared" ref="AI207:AI270" si="95">IF(OR(t&lt;Ttai,Notai),Hdd_s+PousH*Croivg,Hdtai_s+PousH*(Croivg-Croi_tai))</f>
        <v>2.3522768261834521</v>
      </c>
      <c r="AJ207" s="267" t="b">
        <f t="shared" ref="AJ207:AJ270" si="96">t&lt;Tnet</f>
        <v>0</v>
      </c>
      <c r="AK207" s="267" t="b">
        <f t="shared" ref="AK207:AK270" si="97">t&lt;Ttai</f>
        <v>0</v>
      </c>
      <c r="AL207" s="267"/>
      <c r="AM207" s="267"/>
      <c r="AN207" s="75"/>
    </row>
    <row r="208" spans="1:40" s="6" customFormat="1" ht="11.25" x14ac:dyDescent="0.2">
      <c r="A208" s="56">
        <f t="shared" ref="A208:A271" si="98">A207+1</f>
        <v>45851</v>
      </c>
      <c r="B208" s="413">
        <f>'2024'!Wh/'2024'!Env_an*'2025'!Env_an</f>
        <v>50.50896198897459</v>
      </c>
      <c r="C208" s="868"/>
      <c r="D208" s="395">
        <f t="shared" si="77"/>
        <v>53.58206697295963</v>
      </c>
      <c r="E208" s="387">
        <f t="shared" si="75"/>
        <v>59.825409466048967</v>
      </c>
      <c r="F208" s="387">
        <f t="shared" si="78"/>
        <v>59.826693452621264</v>
      </c>
      <c r="G208" s="110">
        <f t="shared" si="76"/>
        <v>0.9616994834601208</v>
      </c>
      <c r="H208" s="416" t="b">
        <f>Wh_hp&gt;='2024'!Maxi_hp</f>
        <v>1</v>
      </c>
      <c r="I208" s="392">
        <f>IF(H208,Wh_hp,'2024'!Maxi_hp)</f>
        <v>59.826693452621264</v>
      </c>
      <c r="J208" s="85">
        <f>IF(H208,An,'2024'!An_max)</f>
        <v>2025</v>
      </c>
      <c r="K208" s="199">
        <f t="shared" si="79"/>
        <v>45851</v>
      </c>
      <c r="L208" s="147">
        <f>IF(t&lt;Tvie,1-EXP((T0-t)*PertePVj)+'2024'!Pspv,1-EXP((T0-t)*PertePVj)+Pspv)</f>
        <v>5.7353236961461218E-2</v>
      </c>
      <c r="M208" s="872"/>
      <c r="N208" s="872"/>
      <c r="O208" s="48">
        <f>IF(t&lt;Tnet,'2024'!Resal+('2024'!Salim-'2024'!Resal)*(1-EXP(('2024'!Tnet-t)/('2024'!Tau_j))),Resal+(Salim-Resal)*(1-EXP((Tnet-t)/(Tau_j))))*Salcycl</f>
        <v>0.1043593775422874</v>
      </c>
      <c r="P208" s="171">
        <f>(INDEX(Models!$BJ208:$BT208,,T208)*(1-R208)+INDEX(Models!$BJ208:$BT208,,T208+1)*R208-ERP_i)*Q208*Ramure*Pc/MaxiM</f>
        <v>2.270397718501789E-5</v>
      </c>
      <c r="Q208" s="307">
        <f t="shared" si="80"/>
        <v>0.9</v>
      </c>
      <c r="R208" s="179">
        <f t="shared" si="81"/>
        <v>0.72137222678075696</v>
      </c>
      <c r="S208" s="839">
        <f t="shared" si="82"/>
        <v>-3</v>
      </c>
      <c r="T208" s="178">
        <f t="shared" si="83"/>
        <v>3</v>
      </c>
      <c r="U208" s="253">
        <f t="shared" si="84"/>
        <v>-2.278627773219243</v>
      </c>
      <c r="V208" s="385">
        <f t="shared" si="85"/>
        <v>52.52045999148114</v>
      </c>
      <c r="W208" s="404">
        <f t="shared" si="86"/>
        <v>50.50896198897459</v>
      </c>
      <c r="X208" s="157">
        <f t="shared" si="87"/>
        <v>45851</v>
      </c>
      <c r="Y208" s="387">
        <f t="shared" si="88"/>
        <v>47.086886516045361</v>
      </c>
      <c r="Z208" s="387">
        <f t="shared" si="89"/>
        <v>49.951782960846259</v>
      </c>
      <c r="AA208" s="388">
        <f t="shared" si="90"/>
        <v>59.76628266733838</v>
      </c>
      <c r="AB208" s="199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0.16421465864156284</v>
      </c>
      <c r="AD208" s="233">
        <f>(INDEX(Models!$BJ208:$BT208,,AH208)*(1-AF208)+INDEX(Models!$BJ208:$BT208,,AH208+1)*AF208-ERP_i)*AE208*Ramure*Pc/MaxiM</f>
        <v>1.068208282222852E-3</v>
      </c>
      <c r="AE208" s="307">
        <f t="shared" si="92"/>
        <v>0.9</v>
      </c>
      <c r="AF208" s="179">
        <f t="shared" si="93"/>
        <v>0.35702787908773592</v>
      </c>
      <c r="AG208" s="839">
        <f t="shared" ref="AG208:AG271" si="99">INDEX(Echel_vg,AH208)</f>
        <v>2</v>
      </c>
      <c r="AH208" s="178">
        <f t="shared" si="94"/>
        <v>8</v>
      </c>
      <c r="AI208" s="227">
        <f t="shared" si="95"/>
        <v>2.3570278790877359</v>
      </c>
      <c r="AJ208" s="267" t="b">
        <f t="shared" si="96"/>
        <v>0</v>
      </c>
      <c r="AK208" s="267" t="b">
        <f t="shared" si="97"/>
        <v>0</v>
      </c>
      <c r="AL208" s="267"/>
      <c r="AM208" s="267"/>
      <c r="AN208" s="75"/>
    </row>
    <row r="209" spans="1:40" s="6" customFormat="1" ht="11.25" x14ac:dyDescent="0.2">
      <c r="A209" s="56">
        <f t="shared" si="98"/>
        <v>45852</v>
      </c>
      <c r="B209" s="413">
        <f>'2024'!Wh/'2024'!Env_an*'2025'!Env_an</f>
        <v>49.874587415921624</v>
      </c>
      <c r="C209" s="868"/>
      <c r="D209" s="395">
        <f t="shared" si="77"/>
        <v>52.910326596437407</v>
      </c>
      <c r="E209" s="387">
        <f t="shared" si="75"/>
        <v>59.085713862042049</v>
      </c>
      <c r="F209" s="387">
        <f t="shared" si="78"/>
        <v>59.087038389345466</v>
      </c>
      <c r="G209" s="110">
        <f t="shared" si="76"/>
        <v>0.95172112575139078</v>
      </c>
      <c r="H209" s="416" t="b">
        <f>Wh_hp&gt;='2024'!Maxi_hp</f>
        <v>0</v>
      </c>
      <c r="I209" s="392">
        <f>IF(H209,Wh_hp,'2024'!Maxi_hp)</f>
        <v>62.288044884961785</v>
      </c>
      <c r="J209" s="85">
        <f>IF(H209,An,'2024'!An_max)</f>
        <v>2019</v>
      </c>
      <c r="K209" s="199">
        <f t="shared" si="79"/>
        <v>45852</v>
      </c>
      <c r="L209" s="147">
        <f>IF(t&lt;Tvie,1-EXP((T0-t)*PertePVj)+'2024'!Pspv,1-EXP((T0-t)*PertePVj)+Pspv)</f>
        <v>5.7375173728755335E-2</v>
      </c>
      <c r="M209" s="872"/>
      <c r="N209" s="872"/>
      <c r="O209" s="48">
        <f>IF(t&lt;Tnet,'2024'!Resal+('2024'!Salim-'2024'!Resal)*(1-EXP(('2024'!Tnet-t)/('2024'!Tau_j))),Resal+(Salim-Resal)*(1-EXP((Tnet-t)/(Tau_j))))*Salcycl</f>
        <v>0.10451574267213588</v>
      </c>
      <c r="P209" s="171">
        <f>(INDEX(Models!$BJ209:$BT209,,T209)*(1-R209)+INDEX(Models!$BJ209:$BT209,,T209+1)*R209-ERP_i)*Q209*Ramure*Pc/MaxiM</f>
        <v>2.4077083590445231E-5</v>
      </c>
      <c r="Q209" s="307">
        <f t="shared" si="80"/>
        <v>0.9</v>
      </c>
      <c r="R209" s="179">
        <f t="shared" si="81"/>
        <v>0.72600942689814296</v>
      </c>
      <c r="S209" s="839">
        <f t="shared" si="82"/>
        <v>-3</v>
      </c>
      <c r="T209" s="178">
        <f t="shared" si="83"/>
        <v>3</v>
      </c>
      <c r="U209" s="253">
        <f t="shared" si="84"/>
        <v>-2.273990573101857</v>
      </c>
      <c r="V209" s="385">
        <f t="shared" si="85"/>
        <v>52.404536629417152</v>
      </c>
      <c r="W209" s="404">
        <f t="shared" si="86"/>
        <v>49.874587415921624</v>
      </c>
      <c r="X209" s="157">
        <f t="shared" si="87"/>
        <v>45852</v>
      </c>
      <c r="Y209" s="387">
        <f t="shared" si="88"/>
        <v>46.495900163773214</v>
      </c>
      <c r="Z209" s="387">
        <f t="shared" si="89"/>
        <v>49.325987251680772</v>
      </c>
      <c r="AA209" s="388">
        <f t="shared" si="90"/>
        <v>59.02447138795462</v>
      </c>
      <c r="AB209" s="199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0.16431293509649395</v>
      </c>
      <c r="AD209" s="233">
        <f>(INDEX(Models!$BJ209:$BT209,,AH209)*(1-AF209)+INDEX(Models!$BJ209:$BT209,,AH209+1)*AF209-ERP_i)*AE209*Ramure*Pc/MaxiM</f>
        <v>1.1373347447058355E-3</v>
      </c>
      <c r="AE209" s="307">
        <f t="shared" si="92"/>
        <v>0.9</v>
      </c>
      <c r="AF209" s="179">
        <f t="shared" si="93"/>
        <v>0.36166507920512192</v>
      </c>
      <c r="AG209" s="839">
        <f t="shared" si="99"/>
        <v>2</v>
      </c>
      <c r="AH209" s="178">
        <f t="shared" si="94"/>
        <v>8</v>
      </c>
      <c r="AI209" s="227">
        <f t="shared" si="95"/>
        <v>2.3616650792051219</v>
      </c>
      <c r="AJ209" s="267" t="b">
        <f t="shared" si="96"/>
        <v>0</v>
      </c>
      <c r="AK209" s="267" t="b">
        <f t="shared" si="97"/>
        <v>0</v>
      </c>
      <c r="AL209" s="267"/>
      <c r="AM209" s="267"/>
      <c r="AN209" s="75"/>
    </row>
    <row r="210" spans="1:40" s="6" customFormat="1" ht="11.25" x14ac:dyDescent="0.2">
      <c r="A210" s="56">
        <f t="shared" si="98"/>
        <v>45853</v>
      </c>
      <c r="B210" s="413">
        <f>'2024'!Wh/'2024'!Env_an*'2025'!Env_an</f>
        <v>48.192471019327542</v>
      </c>
      <c r="C210" s="868"/>
      <c r="D210" s="395">
        <f t="shared" si="77"/>
        <v>51.127013856905002</v>
      </c>
      <c r="E210" s="387">
        <f t="shared" si="75"/>
        <v>57.104141552172457</v>
      </c>
      <c r="F210" s="387">
        <f t="shared" si="78"/>
        <v>57.105442153866953</v>
      </c>
      <c r="G210" s="110">
        <f t="shared" si="76"/>
        <v>0.92171140473746105</v>
      </c>
      <c r="H210" s="416" t="b">
        <f>Wh_hp&gt;='2024'!Maxi_hp</f>
        <v>0</v>
      </c>
      <c r="I210" s="392">
        <f>IF(H210,Wh_hp,'2024'!Maxi_hp)</f>
        <v>63.922354684310292</v>
      </c>
      <c r="J210" s="85">
        <f>IF(H210,An,'2024'!An_max)</f>
        <v>2019</v>
      </c>
      <c r="K210" s="199">
        <f t="shared" si="79"/>
        <v>45853</v>
      </c>
      <c r="L210" s="147">
        <f>IF(t&lt;Tvie,1-EXP((T0-t)*PertePVj)+'2024'!Pspv,1-EXP((T0-t)*PertePVj)+Pspv)</f>
        <v>5.7397109985548922E-2</v>
      </c>
      <c r="M210" s="872"/>
      <c r="N210" s="872"/>
      <c r="O210" s="48">
        <f>IF(t&lt;Tnet,'2024'!Resal+('2024'!Salim-'2024'!Resal)*(1-EXP(('2024'!Tnet-t)/('2024'!Tau_j))),Resal+(Salim-Resal)*(1-EXP((Tnet-t)/(Tau_j))))*Salcycl</f>
        <v>0.10467065142388184</v>
      </c>
      <c r="P210" s="171">
        <f>(INDEX(Models!$BJ210:$BT210,,T210)*(1-R210)+INDEX(Models!$BJ210:$BT210,,T210+1)*R210-ERP_i)*Q210*Ramure*Pc/MaxiM</f>
        <v>2.564331553311981E-5</v>
      </c>
      <c r="Q210" s="307">
        <f t="shared" si="80"/>
        <v>0.9</v>
      </c>
      <c r="R210" s="179">
        <f t="shared" si="81"/>
        <v>0.73053304306535605</v>
      </c>
      <c r="S210" s="839">
        <f t="shared" si="82"/>
        <v>-3</v>
      </c>
      <c r="T210" s="178">
        <f t="shared" si="83"/>
        <v>3</v>
      </c>
      <c r="U210" s="253">
        <f t="shared" si="84"/>
        <v>-2.269466956934644</v>
      </c>
      <c r="V210" s="385">
        <f t="shared" si="85"/>
        <v>52.285707390158684</v>
      </c>
      <c r="W210" s="404">
        <f t="shared" si="86"/>
        <v>48.192471019327542</v>
      </c>
      <c r="X210" s="157">
        <f t="shared" si="87"/>
        <v>45853</v>
      </c>
      <c r="Y210" s="387">
        <f t="shared" si="88"/>
        <v>44.929669837585656</v>
      </c>
      <c r="Z210" s="387">
        <f t="shared" si="89"/>
        <v>47.665533718973464</v>
      </c>
      <c r="AA210" s="388">
        <f t="shared" si="90"/>
        <v>57.044099913322242</v>
      </c>
      <c r="AB210" s="199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0.16440904858871278</v>
      </c>
      <c r="AD210" s="233">
        <f>(INDEX(Models!$BJ210:$BT210,,AH210)*(1-AF210)+INDEX(Models!$BJ210:$BT210,,AH210+1)*AF210-ERP_i)*AE210*Ramure*Pc/MaxiM</f>
        <v>1.2094543905784554E-3</v>
      </c>
      <c r="AE210" s="307">
        <f t="shared" si="92"/>
        <v>0.9</v>
      </c>
      <c r="AF210" s="179">
        <f t="shared" si="93"/>
        <v>0.366188695372335</v>
      </c>
      <c r="AG210" s="839">
        <f t="shared" si="99"/>
        <v>2</v>
      </c>
      <c r="AH210" s="178">
        <f t="shared" si="94"/>
        <v>8</v>
      </c>
      <c r="AI210" s="227">
        <f t="shared" si="95"/>
        <v>2.366188695372335</v>
      </c>
      <c r="AJ210" s="267" t="b">
        <f t="shared" si="96"/>
        <v>0</v>
      </c>
      <c r="AK210" s="267" t="b">
        <f t="shared" si="97"/>
        <v>0</v>
      </c>
      <c r="AL210" s="267"/>
      <c r="AM210" s="267"/>
      <c r="AN210" s="75"/>
    </row>
    <row r="211" spans="1:40" s="6" customFormat="1" ht="11.25" x14ac:dyDescent="0.2">
      <c r="A211" s="56">
        <f t="shared" si="98"/>
        <v>45854</v>
      </c>
      <c r="B211" s="413">
        <f>'2024'!Wh/'2024'!Env_an*'2025'!Env_an</f>
        <v>49.634592002928507</v>
      </c>
      <c r="C211" s="868"/>
      <c r="D211" s="395">
        <f t="shared" si="77"/>
        <v>52.658174110325184</v>
      </c>
      <c r="E211" s="387">
        <f t="shared" si="75"/>
        <v>58.824392276978102</v>
      </c>
      <c r="F211" s="387">
        <f t="shared" si="78"/>
        <v>58.82589285761901</v>
      </c>
      <c r="G211" s="110">
        <f t="shared" si="76"/>
        <v>0.95150577216177268</v>
      </c>
      <c r="H211" s="416" t="b">
        <f>Wh_hp&gt;='2024'!Maxi_hp</f>
        <v>0</v>
      </c>
      <c r="I211" s="392">
        <f>IF(H211,Wh_hp,'2024'!Maxi_hp)</f>
        <v>61.80609820864801</v>
      </c>
      <c r="J211" s="85">
        <f>IF(H211,An,'2024'!An_max)</f>
        <v>2019</v>
      </c>
      <c r="K211" s="199">
        <f t="shared" si="79"/>
        <v>45854</v>
      </c>
      <c r="L211" s="147">
        <f>IF(t&lt;Tvie,1-EXP((T0-t)*PertePVj)+'2024'!Pspv,1-EXP((T0-t)*PertePVj)+Pspv)</f>
        <v>5.7419045731853746E-2</v>
      </c>
      <c r="M211" s="872"/>
      <c r="N211" s="872"/>
      <c r="O211" s="48">
        <f>IF(t&lt;Tnet,'2024'!Resal+('2024'!Salim-'2024'!Resal)*(1-EXP(('2024'!Tnet-t)/('2024'!Tau_j))),Resal+(Salim-Resal)*(1-EXP((Tnet-t)/(Tau_j))))*Salcycl</f>
        <v>0.10482417119787513</v>
      </c>
      <c r="P211" s="171">
        <f>(INDEX(Models!$BJ211:$BT211,,T211)*(1-R211)+INDEX(Models!$BJ211:$BT211,,T211+1)*R211-ERP_i)*Q211*Ramure*Pc/MaxiM</f>
        <v>2.7407497275139022E-5</v>
      </c>
      <c r="Q211" s="307">
        <f t="shared" si="80"/>
        <v>0.9</v>
      </c>
      <c r="R211" s="179">
        <f t="shared" si="81"/>
        <v>0.73494351817123427</v>
      </c>
      <c r="S211" s="839">
        <f t="shared" si="82"/>
        <v>-3</v>
      </c>
      <c r="T211" s="178">
        <f t="shared" si="83"/>
        <v>3</v>
      </c>
      <c r="U211" s="253">
        <f t="shared" si="84"/>
        <v>-2.2650564818287657</v>
      </c>
      <c r="V211" s="385">
        <f t="shared" si="85"/>
        <v>52.164158341336581</v>
      </c>
      <c r="W211" s="404">
        <f t="shared" si="86"/>
        <v>49.634592002928507</v>
      </c>
      <c r="X211" s="157">
        <f t="shared" si="87"/>
        <v>45854</v>
      </c>
      <c r="Y211" s="387">
        <f t="shared" si="88"/>
        <v>46.27138250079534</v>
      </c>
      <c r="Z211" s="387">
        <f t="shared" si="89"/>
        <v>49.090088539633292</v>
      </c>
      <c r="AA211" s="388">
        <f t="shared" si="90"/>
        <v>58.755561092332513</v>
      </c>
      <c r="AB211" s="199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0.1645031103951205</v>
      </c>
      <c r="AD211" s="233">
        <f>(INDEX(Models!$BJ211:$BT211,,AH211)*(1-AF211)+INDEX(Models!$BJ211:$BT211,,AH211+1)*AF211-ERP_i)*AE211*Ramure*Pc/MaxiM</f>
        <v>1.2845811900361684E-3</v>
      </c>
      <c r="AE211" s="307">
        <f t="shared" si="92"/>
        <v>0.9</v>
      </c>
      <c r="AF211" s="179">
        <f t="shared" si="93"/>
        <v>0.37059917047821322</v>
      </c>
      <c r="AG211" s="839">
        <f t="shared" si="99"/>
        <v>2</v>
      </c>
      <c r="AH211" s="178">
        <f t="shared" si="94"/>
        <v>8</v>
      </c>
      <c r="AI211" s="227">
        <f t="shared" si="95"/>
        <v>2.3705991704782132</v>
      </c>
      <c r="AJ211" s="267" t="b">
        <f t="shared" si="96"/>
        <v>0</v>
      </c>
      <c r="AK211" s="267" t="b">
        <f t="shared" si="97"/>
        <v>0</v>
      </c>
      <c r="AL211" s="267"/>
      <c r="AM211" s="267"/>
      <c r="AN211" s="75"/>
    </row>
    <row r="212" spans="1:40" s="6" customFormat="1" ht="11.25" x14ac:dyDescent="0.2">
      <c r="A212" s="56">
        <f t="shared" si="98"/>
        <v>45855</v>
      </c>
      <c r="B212" s="413">
        <f>'2024'!Wh/'2024'!Env_an*'2025'!Env_an</f>
        <v>48.792091176325016</v>
      </c>
      <c r="C212" s="868"/>
      <c r="D212" s="395">
        <f t="shared" si="77"/>
        <v>51.765555462423556</v>
      </c>
      <c r="E212" s="387">
        <f t="shared" si="75"/>
        <v>57.837082342125889</v>
      </c>
      <c r="F212" s="387">
        <f t="shared" si="78"/>
        <v>57.838633968712053</v>
      </c>
      <c r="G212" s="110">
        <f t="shared" si="76"/>
        <v>0.93758447584040117</v>
      </c>
      <c r="H212" s="416" t="b">
        <f>Wh_hp&gt;='2024'!Maxi_hp</f>
        <v>0</v>
      </c>
      <c r="I212" s="392">
        <f>IF(H212,Wh_hp,'2024'!Maxi_hp)</f>
        <v>61.03216766608417</v>
      </c>
      <c r="J212" s="85">
        <f>IF(H212,An,'2024'!An_max)</f>
        <v>2021</v>
      </c>
      <c r="K212" s="199">
        <f t="shared" si="79"/>
        <v>45855</v>
      </c>
      <c r="L212" s="147">
        <f>IF(t&lt;Tvie,1-EXP((T0-t)*PertePVj)+'2024'!Pspv,1-EXP((T0-t)*PertePVj)+Pspv)</f>
        <v>5.7440980967681687E-2</v>
      </c>
      <c r="M212" s="872"/>
      <c r="N212" s="872"/>
      <c r="O212" s="48">
        <f>IF(t&lt;Tnet,'2024'!Resal+('2024'!Salim-'2024'!Resal)*(1-EXP(('2024'!Tnet-t)/('2024'!Tau_j))),Resal+(Salim-Resal)*(1-EXP((Tnet-t)/(Tau_j))))*Salcycl</f>
        <v>0.10497636868656691</v>
      </c>
      <c r="P212" s="171">
        <f>(INDEX(Models!$BJ212:$BT212,,T212)*(1-R212)+INDEX(Models!$BJ212:$BT212,,T212+1)*R212-ERP_i)*Q212*Ramure*Pc/MaxiM</f>
        <v>2.9452883110823467E-5</v>
      </c>
      <c r="Q212" s="307">
        <f t="shared" si="80"/>
        <v>0.9</v>
      </c>
      <c r="R212" s="179">
        <f t="shared" si="81"/>
        <v>0.73924145946444098</v>
      </c>
      <c r="S212" s="839">
        <f t="shared" si="82"/>
        <v>-3</v>
      </c>
      <c r="T212" s="178">
        <f t="shared" si="83"/>
        <v>3</v>
      </c>
      <c r="U212" s="253">
        <f t="shared" si="84"/>
        <v>-2.260758540535559</v>
      </c>
      <c r="V212" s="385">
        <f t="shared" si="85"/>
        <v>52.040071373847802</v>
      </c>
      <c r="W212" s="404">
        <f t="shared" si="86"/>
        <v>48.792091176325016</v>
      </c>
      <c r="X212" s="157">
        <f t="shared" si="87"/>
        <v>45855</v>
      </c>
      <c r="Y212" s="387">
        <f t="shared" si="88"/>
        <v>45.486380684257668</v>
      </c>
      <c r="Z212" s="387">
        <f t="shared" si="89"/>
        <v>48.258389942474295</v>
      </c>
      <c r="AA212" s="388">
        <f t="shared" si="90"/>
        <v>57.766476432385389</v>
      </c>
      <c r="AB212" s="199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0.16459523026370035</v>
      </c>
      <c r="AD212" s="233">
        <f>(INDEX(Models!$BJ212:$BT212,,AH212)*(1-AF212)+INDEX(Models!$BJ212:$BT212,,AH212+1)*AF212-ERP_i)*AE212*Ramure*Pc/MaxiM</f>
        <v>1.3696900413697488E-3</v>
      </c>
      <c r="AE212" s="307">
        <f t="shared" si="92"/>
        <v>0.9</v>
      </c>
      <c r="AF212" s="179">
        <f t="shared" si="93"/>
        <v>0.37489711177141993</v>
      </c>
      <c r="AG212" s="839">
        <f t="shared" si="99"/>
        <v>2</v>
      </c>
      <c r="AH212" s="178">
        <f t="shared" si="94"/>
        <v>8</v>
      </c>
      <c r="AI212" s="227">
        <f t="shared" si="95"/>
        <v>2.3748971117714199</v>
      </c>
      <c r="AJ212" s="267" t="b">
        <f t="shared" si="96"/>
        <v>0</v>
      </c>
      <c r="AK212" s="267" t="b">
        <f t="shared" si="97"/>
        <v>0</v>
      </c>
      <c r="AL212" s="267"/>
      <c r="AM212" s="267"/>
      <c r="AN212" s="75"/>
    </row>
    <row r="213" spans="1:40" s="6" customFormat="1" ht="11.25" x14ac:dyDescent="0.2">
      <c r="A213" s="56">
        <f t="shared" si="98"/>
        <v>45856</v>
      </c>
      <c r="B213" s="413">
        <f>'2024'!Wh/'2024'!Env_an*'2025'!Env_an</f>
        <v>49.061205165529529</v>
      </c>
      <c r="C213" s="868"/>
      <c r="D213" s="395">
        <f t="shared" si="77"/>
        <v>52.052281000279251</v>
      </c>
      <c r="E213" s="387">
        <f t="shared" si="75"/>
        <v>58.167247200254756</v>
      </c>
      <c r="F213" s="387">
        <f t="shared" si="78"/>
        <v>58.168947992862748</v>
      </c>
      <c r="G213" s="110">
        <f t="shared" si="76"/>
        <v>0.94505196405683289</v>
      </c>
      <c r="H213" s="416" t="b">
        <f>Wh_hp&gt;='2024'!Maxi_hp</f>
        <v>1</v>
      </c>
      <c r="I213" s="392">
        <f>IF(H213,Wh_hp,'2024'!Maxi_hp)</f>
        <v>58.168947992862748</v>
      </c>
      <c r="J213" s="85">
        <f>IF(H213,An,'2024'!An_max)</f>
        <v>2025</v>
      </c>
      <c r="K213" s="199">
        <f t="shared" si="79"/>
        <v>45856</v>
      </c>
      <c r="L213" s="147">
        <f>IF(t&lt;Tvie,1-EXP((T0-t)*PertePVj)+'2024'!Pspv,1-EXP((T0-t)*PertePVj)+Pspv)</f>
        <v>5.7462915693044736E-2</v>
      </c>
      <c r="M213" s="872"/>
      <c r="N213" s="872"/>
      <c r="O213" s="48">
        <f>IF(t&lt;Tnet,'2024'!Resal+('2024'!Salim-'2024'!Resal)*(1-EXP(('2024'!Tnet-t)/('2024'!Tau_j))),Resal+(Salim-Resal)*(1-EXP((Tnet-t)/(Tau_j))))*Salcycl</f>
        <v>0.10512730951360416</v>
      </c>
      <c r="P213" s="171">
        <f>(INDEX(Models!$BJ213:$BT213,,T213)*(1-R213)+INDEX(Models!$BJ213:$BT213,,T213+1)*R213-ERP_i)*Q213*Ramure*Pc/MaxiM</f>
        <v>3.1729403201072675E-5</v>
      </c>
      <c r="Q213" s="307">
        <f t="shared" si="80"/>
        <v>0.9</v>
      </c>
      <c r="R213" s="179">
        <f t="shared" si="81"/>
        <v>0.74342762874724766</v>
      </c>
      <c r="S213" s="839">
        <f t="shared" si="82"/>
        <v>-3</v>
      </c>
      <c r="T213" s="178">
        <f t="shared" si="83"/>
        <v>3</v>
      </c>
      <c r="U213" s="253">
        <f t="shared" si="84"/>
        <v>-2.2565723712527523</v>
      </c>
      <c r="V213" s="385">
        <f t="shared" si="85"/>
        <v>51.913635268644136</v>
      </c>
      <c r="W213" s="404">
        <f t="shared" si="86"/>
        <v>49.061205165529529</v>
      </c>
      <c r="X213" s="157">
        <f t="shared" si="87"/>
        <v>45856</v>
      </c>
      <c r="Y213" s="387">
        <f t="shared" si="88"/>
        <v>45.735528419296166</v>
      </c>
      <c r="Z213" s="387">
        <f t="shared" si="89"/>
        <v>48.523850340515104</v>
      </c>
      <c r="AA213" s="388">
        <f t="shared" si="90"/>
        <v>58.090517118593802</v>
      </c>
      <c r="AB213" s="199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0.1646855158570549</v>
      </c>
      <c r="AD213" s="233">
        <f>(INDEX(Models!$BJ213:$BT213,,AH213)*(1-AF213)+INDEX(Models!$BJ213:$BT213,,AH213+1)*AF213-ERP_i)*AE213*Ramure*Pc/MaxiM</f>
        <v>1.4631794737354736E-3</v>
      </c>
      <c r="AE213" s="307">
        <f t="shared" si="92"/>
        <v>0.9</v>
      </c>
      <c r="AF213" s="179">
        <f t="shared" si="93"/>
        <v>0.37908328105422662</v>
      </c>
      <c r="AG213" s="839">
        <f t="shared" si="99"/>
        <v>2</v>
      </c>
      <c r="AH213" s="178">
        <f t="shared" si="94"/>
        <v>8</v>
      </c>
      <c r="AI213" s="227">
        <f t="shared" si="95"/>
        <v>2.3790832810542266</v>
      </c>
      <c r="AJ213" s="267" t="b">
        <f t="shared" si="96"/>
        <v>0</v>
      </c>
      <c r="AK213" s="267" t="b">
        <f t="shared" si="97"/>
        <v>0</v>
      </c>
      <c r="AL213" s="267"/>
      <c r="AM213" s="267"/>
      <c r="AN213" s="75"/>
    </row>
    <row r="214" spans="1:40" s="6" customFormat="1" ht="11.25" x14ac:dyDescent="0.2">
      <c r="A214" s="56">
        <f t="shared" si="98"/>
        <v>45857</v>
      </c>
      <c r="B214" s="413">
        <f>'2024'!Wh/'2024'!Env_an*'2025'!Env_an</f>
        <v>39.681993114179079</v>
      </c>
      <c r="C214" s="868"/>
      <c r="D214" s="395">
        <f t="shared" si="77"/>
        <v>42.102233699165218</v>
      </c>
      <c r="E214" s="387">
        <f t="shared" si="75"/>
        <v>47.056168695092055</v>
      </c>
      <c r="F214" s="387">
        <f t="shared" si="78"/>
        <v>47.057242039412181</v>
      </c>
      <c r="G214" s="110">
        <f t="shared" si="76"/>
        <v>0.76627424804959032</v>
      </c>
      <c r="H214" s="416" t="b">
        <f>Wh_hp&gt;='2024'!Maxi_hp</f>
        <v>0</v>
      </c>
      <c r="I214" s="392">
        <f>IF(H214,Wh_hp,'2024'!Maxi_hp)</f>
        <v>60.668630393036239</v>
      </c>
      <c r="J214" s="85">
        <f>IF(H214,An,'2024'!An_max)</f>
        <v>2020</v>
      </c>
      <c r="K214" s="199">
        <f t="shared" si="79"/>
        <v>45857</v>
      </c>
      <c r="L214" s="147">
        <f>IF(t&lt;Tvie,1-EXP((T0-t)*PertePVj)+'2024'!Pspv,1-EXP((T0-t)*PertePVj)+Pspv)</f>
        <v>5.7484849907954549E-2</v>
      </c>
      <c r="M214" s="872"/>
      <c r="N214" s="872"/>
      <c r="O214" s="48">
        <f>IF(t&lt;Tnet,'2024'!Resal+('2024'!Salim-'2024'!Resal)*(1-EXP(('2024'!Tnet-t)/('2024'!Tau_j))),Resal+(Salim-Resal)*(1-EXP((Tnet-t)/(Tau_j))))*Salcycl</f>
        <v>0.10527705789280563</v>
      </c>
      <c r="P214" s="171">
        <f>(INDEX(Models!$BJ214:$BT214,,T214)*(1-R214)+INDEX(Models!$BJ214:$BT214,,T214+1)*R214-ERP_i)*Q214*Ramure*Pc/MaxiM</f>
        <v>3.4242151300358508E-5</v>
      </c>
      <c r="Q214" s="307">
        <f t="shared" si="80"/>
        <v>0.9</v>
      </c>
      <c r="R214" s="179">
        <f t="shared" si="81"/>
        <v>0.74750293251903699</v>
      </c>
      <c r="S214" s="839">
        <f t="shared" si="82"/>
        <v>-3</v>
      </c>
      <c r="T214" s="178">
        <f t="shared" si="83"/>
        <v>3</v>
      </c>
      <c r="U214" s="253">
        <f t="shared" si="84"/>
        <v>-2.252497067480963</v>
      </c>
      <c r="V214" s="385">
        <f t="shared" si="85"/>
        <v>51.785035876945578</v>
      </c>
      <c r="W214" s="404">
        <f t="shared" si="86"/>
        <v>39.681993114179079</v>
      </c>
      <c r="X214" s="157">
        <f t="shared" si="87"/>
        <v>45857</v>
      </c>
      <c r="Y214" s="387">
        <f t="shared" si="88"/>
        <v>37.005455475544601</v>
      </c>
      <c r="Z214" s="387">
        <f t="shared" si="89"/>
        <v>39.262451613568942</v>
      </c>
      <c r="AA214" s="388">
        <f t="shared" si="90"/>
        <v>47.008181030006419</v>
      </c>
      <c r="AB214" s="199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0.16477407222996346</v>
      </c>
      <c r="AD214" s="233">
        <f>(INDEX(Models!$BJ214:$BT214,,AH214)*(1-AF214)+INDEX(Models!$BJ214:$BT214,,AH214+1)*AF214-ERP_i)*AE214*Ramure*Pc/MaxiM</f>
        <v>1.5651589853507546E-3</v>
      </c>
      <c r="AE214" s="307">
        <f t="shared" si="92"/>
        <v>0.9</v>
      </c>
      <c r="AF214" s="179">
        <f t="shared" si="93"/>
        <v>0.38315858482601595</v>
      </c>
      <c r="AG214" s="839">
        <f t="shared" si="99"/>
        <v>2</v>
      </c>
      <c r="AH214" s="178">
        <f t="shared" si="94"/>
        <v>8</v>
      </c>
      <c r="AI214" s="227">
        <f t="shared" si="95"/>
        <v>2.3831585848260159</v>
      </c>
      <c r="AJ214" s="267" t="b">
        <f t="shared" si="96"/>
        <v>0</v>
      </c>
      <c r="AK214" s="267" t="b">
        <f t="shared" si="97"/>
        <v>0</v>
      </c>
      <c r="AL214" s="267"/>
      <c r="AM214" s="267"/>
      <c r="AN214" s="75"/>
    </row>
    <row r="215" spans="1:40" s="6" customFormat="1" ht="11.25" x14ac:dyDescent="0.2">
      <c r="A215" s="56">
        <f t="shared" si="98"/>
        <v>45858</v>
      </c>
      <c r="B215" s="413">
        <f>'2024'!Wh/'2024'!Env_an*'2025'!Env_an</f>
        <v>38.065613107272178</v>
      </c>
      <c r="C215" s="868"/>
      <c r="D215" s="395">
        <f t="shared" si="77"/>
        <v>40.388209108996541</v>
      </c>
      <c r="E215" s="387">
        <f t="shared" si="75"/>
        <v>45.147963717937785</v>
      </c>
      <c r="F215" s="387">
        <f t="shared" si="78"/>
        <v>45.149006313365376</v>
      </c>
      <c r="G215" s="110">
        <f t="shared" si="76"/>
        <v>0.73691767476007997</v>
      </c>
      <c r="H215" s="416" t="b">
        <f>Wh_hp&gt;='2024'!Maxi_hp</f>
        <v>0</v>
      </c>
      <c r="I215" s="392">
        <f>IF(H215,Wh_hp,'2024'!Maxi_hp)</f>
        <v>59.226165984778646</v>
      </c>
      <c r="J215" s="85">
        <f>IF(H215,An,'2024'!An_max)</f>
        <v>2020</v>
      </c>
      <c r="K215" s="199">
        <f t="shared" si="79"/>
        <v>45858</v>
      </c>
      <c r="L215" s="147">
        <f>IF(t&lt;Tvie,1-EXP((T0-t)*PertePVj)+'2024'!Pspv,1-EXP((T0-t)*PertePVj)+Pspv)</f>
        <v>5.7506783612423229E-2</v>
      </c>
      <c r="M215" s="872"/>
      <c r="N215" s="872"/>
      <c r="O215" s="48">
        <f>IF(t&lt;Tnet,'2024'!Resal+('2024'!Salim-'2024'!Resal)*(1-EXP(('2024'!Tnet-t)/('2024'!Tau_j))),Resal+(Salim-Resal)*(1-EXP((Tnet-t)/(Tau_j))))*Salcycl</f>
        <v>0.10542567630907665</v>
      </c>
      <c r="P215" s="171">
        <f>(INDEX(Models!$BJ215:$BT215,,T215)*(1-R215)+INDEX(Models!$BJ215:$BT215,,T215+1)*R215-ERP_i)*Q215*Ramure*Pc/MaxiM</f>
        <v>3.6996092892511882E-5</v>
      </c>
      <c r="Q215" s="307">
        <f t="shared" si="80"/>
        <v>0.9</v>
      </c>
      <c r="R215" s="179">
        <f t="shared" si="81"/>
        <v>0.7514684121286459</v>
      </c>
      <c r="S215" s="839">
        <f t="shared" si="82"/>
        <v>-3</v>
      </c>
      <c r="T215" s="178">
        <f t="shared" si="83"/>
        <v>3</v>
      </c>
      <c r="U215" s="253">
        <f t="shared" si="84"/>
        <v>-2.2485315878713541</v>
      </c>
      <c r="V215" s="385">
        <f t="shared" si="85"/>
        <v>51.65445903018918</v>
      </c>
      <c r="W215" s="404">
        <f t="shared" si="86"/>
        <v>38.065613107272178</v>
      </c>
      <c r="X215" s="157">
        <f t="shared" si="87"/>
        <v>45858</v>
      </c>
      <c r="Y215" s="387">
        <f t="shared" si="88"/>
        <v>35.500191731026788</v>
      </c>
      <c r="Z215" s="387">
        <f t="shared" si="89"/>
        <v>37.666257023146805</v>
      </c>
      <c r="AA215" s="388">
        <f t="shared" si="90"/>
        <v>45.101781959363898</v>
      </c>
      <c r="AB215" s="199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0.16486100134394688</v>
      </c>
      <c r="AD215" s="233">
        <f>(INDEX(Models!$BJ215:$BT215,,AH215)*(1-AF215)+INDEX(Models!$BJ215:$BT215,,AH215+1)*AF215-ERP_i)*AE215*Ramure*Pc/MaxiM</f>
        <v>1.6757378185228075E-3</v>
      </c>
      <c r="AE215" s="307">
        <f t="shared" si="92"/>
        <v>0.9</v>
      </c>
      <c r="AF215" s="179">
        <f t="shared" si="93"/>
        <v>0.38712406443562486</v>
      </c>
      <c r="AG215" s="839">
        <f t="shared" si="99"/>
        <v>2</v>
      </c>
      <c r="AH215" s="178">
        <f t="shared" si="94"/>
        <v>8</v>
      </c>
      <c r="AI215" s="227">
        <f t="shared" si="95"/>
        <v>2.3871240644356249</v>
      </c>
      <c r="AJ215" s="267" t="b">
        <f t="shared" si="96"/>
        <v>0</v>
      </c>
      <c r="AK215" s="267" t="b">
        <f t="shared" si="97"/>
        <v>0</v>
      </c>
      <c r="AL215" s="267"/>
      <c r="AM215" s="267"/>
      <c r="AN215" s="75"/>
    </row>
    <row r="216" spans="1:40" s="6" customFormat="1" ht="11.25" x14ac:dyDescent="0.2">
      <c r="A216" s="56">
        <f t="shared" si="98"/>
        <v>45859</v>
      </c>
      <c r="B216" s="413">
        <f>'2024'!Wh/'2024'!Env_an*'2025'!Env_an</f>
        <v>48.154551519119899</v>
      </c>
      <c r="C216" s="868"/>
      <c r="D216" s="395">
        <f t="shared" si="77"/>
        <v>51.093919122871895</v>
      </c>
      <c r="E216" s="387">
        <f t="shared" si="75"/>
        <v>57.124764780901593</v>
      </c>
      <c r="F216" s="387">
        <f t="shared" si="78"/>
        <v>57.12683628648557</v>
      </c>
      <c r="G216" s="110">
        <f t="shared" si="76"/>
        <v>0.93463543794945125</v>
      </c>
      <c r="H216" s="416" t="b">
        <f>Wh_hp&gt;='2024'!Maxi_hp</f>
        <v>1</v>
      </c>
      <c r="I216" s="392">
        <f>IF(H216,Wh_hp,'2024'!Maxi_hp)</f>
        <v>57.12683628648557</v>
      </c>
      <c r="J216" s="85">
        <f>IF(H216,An,'2024'!An_max)</f>
        <v>2025</v>
      </c>
      <c r="K216" s="199">
        <f t="shared" si="79"/>
        <v>45859</v>
      </c>
      <c r="L216" s="147">
        <f>IF(t&lt;Tvie,1-EXP((T0-t)*PertePVj)+'2024'!Pspv,1-EXP((T0-t)*PertePVj)+Pspv)</f>
        <v>5.7528716806462543E-2</v>
      </c>
      <c r="M216" s="872"/>
      <c r="N216" s="872"/>
      <c r="O216" s="48">
        <f>IF(t&lt;Tnet,'2024'!Resal+('2024'!Salim-'2024'!Resal)*(1-EXP(('2024'!Tnet-t)/('2024'!Tau_j))),Resal+(Salim-Resal)*(1-EXP((Tnet-t)/(Tau_j))))*Salcycl</f>
        <v>0.10557322522308185</v>
      </c>
      <c r="P216" s="171">
        <f>(INDEX(Models!$BJ216:$BT216,,T216)*(1-R216)+INDEX(Models!$BJ216:$BT216,,T216+1)*R216-ERP_i)*Q216*Ramure*Pc/MaxiM</f>
        <v>3.9996065138470343E-5</v>
      </c>
      <c r="Q216" s="307">
        <f t="shared" si="80"/>
        <v>0.9</v>
      </c>
      <c r="R216" s="179">
        <f t="shared" si="81"/>
        <v>0.75532523398993012</v>
      </c>
      <c r="S216" s="839">
        <f t="shared" si="82"/>
        <v>-3</v>
      </c>
      <c r="T216" s="178">
        <f t="shared" si="83"/>
        <v>3</v>
      </c>
      <c r="U216" s="253">
        <f t="shared" si="84"/>
        <v>-2.2446747660100699</v>
      </c>
      <c r="V216" s="385">
        <f t="shared" si="85"/>
        <v>51.522090562519764</v>
      </c>
      <c r="W216" s="404">
        <f t="shared" si="86"/>
        <v>48.154551519119899</v>
      </c>
      <c r="X216" s="157">
        <f t="shared" si="87"/>
        <v>45859</v>
      </c>
      <c r="Y216" s="387">
        <f t="shared" si="88"/>
        <v>44.886453912710252</v>
      </c>
      <c r="Z216" s="387">
        <f t="shared" si="89"/>
        <v>47.626335903428021</v>
      </c>
      <c r="AA216" s="388">
        <f t="shared" si="90"/>
        <v>57.033867042672121</v>
      </c>
      <c r="AB216" s="199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0.16494640162143454</v>
      </c>
      <c r="AD216" s="233">
        <f>(INDEX(Models!$BJ216:$BT216,,AH216)*(1-AF216)+INDEX(Models!$BJ216:$BT216,,AH216+1)*AF216-ERP_i)*AE216*Ramure*Pc/MaxiM</f>
        <v>1.7950248168259358E-3</v>
      </c>
      <c r="AE216" s="307">
        <f t="shared" si="92"/>
        <v>0.9</v>
      </c>
      <c r="AF216" s="179">
        <f t="shared" si="93"/>
        <v>0.39098088629690908</v>
      </c>
      <c r="AG216" s="839">
        <f t="shared" si="99"/>
        <v>2</v>
      </c>
      <c r="AH216" s="178">
        <f t="shared" si="94"/>
        <v>8</v>
      </c>
      <c r="AI216" s="227">
        <f t="shared" si="95"/>
        <v>2.3909808862969091</v>
      </c>
      <c r="AJ216" s="267" t="b">
        <f t="shared" si="96"/>
        <v>0</v>
      </c>
      <c r="AK216" s="267" t="b">
        <f t="shared" si="97"/>
        <v>0</v>
      </c>
      <c r="AL216" s="267"/>
      <c r="AM216" s="267"/>
      <c r="AN216" s="75"/>
    </row>
    <row r="217" spans="1:40" s="6" customFormat="1" ht="11.25" x14ac:dyDescent="0.2">
      <c r="A217" s="56">
        <f t="shared" si="98"/>
        <v>45860</v>
      </c>
      <c r="B217" s="413">
        <f>'2024'!Wh/'2024'!Env_an*'2025'!Env_an</f>
        <v>36.273228199128276</v>
      </c>
      <c r="C217" s="868"/>
      <c r="D217" s="395">
        <f t="shared" si="77"/>
        <v>38.488252105540226</v>
      </c>
      <c r="E217" s="387">
        <f t="shared" si="75"/>
        <v>43.038245177038384</v>
      </c>
      <c r="F217" s="387">
        <f t="shared" si="78"/>
        <v>43.03932438710833</v>
      </c>
      <c r="G217" s="110">
        <f t="shared" si="76"/>
        <v>0.70585519819298859</v>
      </c>
      <c r="H217" s="416" t="b">
        <f>Wh_hp&gt;='2024'!Maxi_hp</f>
        <v>0</v>
      </c>
      <c r="I217" s="392">
        <f>IF(H217,Wh_hp,'2024'!Maxi_hp)</f>
        <v>55.801996612148457</v>
      </c>
      <c r="J217" s="85">
        <f>IF(H217,An,'2024'!An_max)</f>
        <v>2021</v>
      </c>
      <c r="K217" s="199">
        <f t="shared" si="79"/>
        <v>45860</v>
      </c>
      <c r="L217" s="147">
        <f>IF(t&lt;Tvie,1-EXP((T0-t)*PertePVj)+'2024'!Pspv,1-EXP((T0-t)*PertePVj)+Pspv)</f>
        <v>5.7550649490084371E-2</v>
      </c>
      <c r="M217" s="872"/>
      <c r="N217" s="872"/>
      <c r="O217" s="48">
        <f>IF(t&lt;Tnet,'2024'!Resal+('2024'!Salim-'2024'!Resal)*(1-EXP(('2024'!Tnet-t)/('2024'!Tau_j))),Resal+(Salim-Resal)*(1-EXP((Tnet-t)/(Tau_j))))*Salcycl</f>
        <v>0.10571976280124105</v>
      </c>
      <c r="P217" s="171">
        <f>(INDEX(Models!$BJ217:$BT217,,T217)*(1-R217)+INDEX(Models!$BJ217:$BT217,,T217+1)*R217-ERP_i)*Q217*Ramure*Pc/MaxiM</f>
        <v>4.324677682156752E-5</v>
      </c>
      <c r="Q217" s="307">
        <f t="shared" si="80"/>
        <v>0.9</v>
      </c>
      <c r="R217" s="179">
        <f t="shared" si="81"/>
        <v>0.75907467991012068</v>
      </c>
      <c r="S217" s="839">
        <f t="shared" si="82"/>
        <v>-3</v>
      </c>
      <c r="T217" s="178">
        <f t="shared" si="83"/>
        <v>3</v>
      </c>
      <c r="U217" s="253">
        <f t="shared" si="84"/>
        <v>-2.2409253200898793</v>
      </c>
      <c r="V217" s="385">
        <f t="shared" si="85"/>
        <v>51.388116324166212</v>
      </c>
      <c r="W217" s="404">
        <f t="shared" si="86"/>
        <v>36.273228199128276</v>
      </c>
      <c r="X217" s="157">
        <f t="shared" si="87"/>
        <v>45860</v>
      </c>
      <c r="Y217" s="387">
        <f t="shared" si="88"/>
        <v>33.830593313473486</v>
      </c>
      <c r="Z217" s="387">
        <f t="shared" si="89"/>
        <v>35.89645777268489</v>
      </c>
      <c r="AA217" s="388">
        <f t="shared" si="90"/>
        <v>42.991333309931193</v>
      </c>
      <c r="AB217" s="199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0.1650303675417146</v>
      </c>
      <c r="AD217" s="233">
        <f>(INDEX(Models!$BJ217:$BT217,,AH217)*(1-AF217)+INDEX(Models!$BJ217:$BT217,,AH217+1)*AF217-ERP_i)*AE217*Ramure*Pc/MaxiM</f>
        <v>1.923128278632449E-3</v>
      </c>
      <c r="AE217" s="307">
        <f t="shared" si="92"/>
        <v>0.9</v>
      </c>
      <c r="AF217" s="179">
        <f t="shared" si="93"/>
        <v>0.39473033221709963</v>
      </c>
      <c r="AG217" s="839">
        <f t="shared" si="99"/>
        <v>2</v>
      </c>
      <c r="AH217" s="178">
        <f t="shared" si="94"/>
        <v>8</v>
      </c>
      <c r="AI217" s="227">
        <f t="shared" si="95"/>
        <v>2.3947303322170996</v>
      </c>
      <c r="AJ217" s="267" t="b">
        <f t="shared" si="96"/>
        <v>0</v>
      </c>
      <c r="AK217" s="267" t="b">
        <f t="shared" si="97"/>
        <v>0</v>
      </c>
      <c r="AL217" s="267"/>
      <c r="AM217" s="267"/>
      <c r="AN217" s="75"/>
    </row>
    <row r="218" spans="1:40" s="6" customFormat="1" ht="11.25" x14ac:dyDescent="0.2">
      <c r="A218" s="56">
        <f t="shared" si="98"/>
        <v>45861</v>
      </c>
      <c r="B218" s="413">
        <f>'2024'!Wh/'2024'!Env_an*'2025'!Env_an</f>
        <v>45.300672092346517</v>
      </c>
      <c r="C218" s="868"/>
      <c r="D218" s="395">
        <f t="shared" si="77"/>
        <v>48.068075281912087</v>
      </c>
      <c r="E218" s="387">
        <f t="shared" si="75"/>
        <v>53.759324723072616</v>
      </c>
      <c r="F218" s="387">
        <f t="shared" si="78"/>
        <v>53.761421226259834</v>
      </c>
      <c r="G218" s="110">
        <f t="shared" si="76"/>
        <v>0.88386174944154172</v>
      </c>
      <c r="H218" s="416" t="b">
        <f>Wh_hp&gt;='2024'!Maxi_hp</f>
        <v>0</v>
      </c>
      <c r="I218" s="392">
        <f>IF(H218,Wh_hp,'2024'!Maxi_hp)</f>
        <v>56.868046767934125</v>
      </c>
      <c r="J218" s="85">
        <f>IF(H218,An,'2024'!An_max)</f>
        <v>2019</v>
      </c>
      <c r="K218" s="199">
        <f t="shared" si="79"/>
        <v>45861</v>
      </c>
      <c r="L218" s="147">
        <f>IF(t&lt;Tvie,1-EXP((T0-t)*PertePVj)+'2024'!Pspv,1-EXP((T0-t)*PertePVj)+Pspv)</f>
        <v>5.7572581663300704E-2</v>
      </c>
      <c r="M218" s="872"/>
      <c r="N218" s="872"/>
      <c r="O218" s="48">
        <f>IF(t&lt;Tnet,'2024'!Resal+('2024'!Salim-'2024'!Resal)*(1-EXP(('2024'!Tnet-t)/('2024'!Tau_j))),Resal+(Salim-Resal)*(1-EXP((Tnet-t)/(Tau_j))))*Salcycl</f>
        <v>0.10586534467234363</v>
      </c>
      <c r="P218" s="171">
        <f>(INDEX(Models!$BJ218:$BT218,,T218)*(1-R218)+INDEX(Models!$BJ218:$BT218,,T218+1)*R218-ERP_i)*Q218*Ramure*Pc/MaxiM</f>
        <v>4.6752808224133096E-5</v>
      </c>
      <c r="Q218" s="307">
        <f t="shared" si="80"/>
        <v>0.9</v>
      </c>
      <c r="R218" s="179">
        <f t="shared" si="81"/>
        <v>0.76271813757570595</v>
      </c>
      <c r="S218" s="839">
        <f t="shared" si="82"/>
        <v>-3</v>
      </c>
      <c r="T218" s="178">
        <f t="shared" si="83"/>
        <v>3</v>
      </c>
      <c r="U218" s="253">
        <f t="shared" si="84"/>
        <v>-2.2372818624242941</v>
      </c>
      <c r="V218" s="385">
        <f t="shared" si="85"/>
        <v>51.252722202150515</v>
      </c>
      <c r="W218" s="404">
        <f t="shared" si="86"/>
        <v>45.300672092346517</v>
      </c>
      <c r="X218" s="157">
        <f t="shared" si="87"/>
        <v>45861</v>
      </c>
      <c r="Y218" s="387">
        <f t="shared" si="88"/>
        <v>42.227895365592182</v>
      </c>
      <c r="Z218" s="387">
        <f t="shared" si="89"/>
        <v>44.807583633465022</v>
      </c>
      <c r="AA218" s="388">
        <f t="shared" si="90"/>
        <v>53.669039113263665</v>
      </c>
      <c r="AB218" s="199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0.16511298928041807</v>
      </c>
      <c r="AD218" s="233">
        <f>(INDEX(Models!$BJ218:$BT218,,AH218)*(1-AF218)+INDEX(Models!$BJ218:$BT218,,AH218+1)*AF218-ERP_i)*AE218*Ramure*Pc/MaxiM</f>
        <v>2.0601558054334167E-3</v>
      </c>
      <c r="AE218" s="307">
        <f t="shared" si="92"/>
        <v>0.9</v>
      </c>
      <c r="AF218" s="179">
        <f t="shared" si="93"/>
        <v>0.3983737898826849</v>
      </c>
      <c r="AG218" s="839">
        <f t="shared" si="99"/>
        <v>2</v>
      </c>
      <c r="AH218" s="178">
        <f t="shared" si="94"/>
        <v>8</v>
      </c>
      <c r="AI218" s="227">
        <f t="shared" si="95"/>
        <v>2.3983737898826849</v>
      </c>
      <c r="AJ218" s="267" t="b">
        <f t="shared" si="96"/>
        <v>0</v>
      </c>
      <c r="AK218" s="267" t="b">
        <f t="shared" si="97"/>
        <v>0</v>
      </c>
      <c r="AL218" s="267"/>
      <c r="AM218" s="267"/>
      <c r="AN218" s="75"/>
    </row>
    <row r="219" spans="1:40" s="6" customFormat="1" ht="11.25" x14ac:dyDescent="0.2">
      <c r="A219" s="56">
        <f t="shared" si="98"/>
        <v>45862</v>
      </c>
      <c r="B219" s="413">
        <f>'2024'!Wh/'2024'!Env_an*'2025'!Env_an</f>
        <v>47.74314649119512</v>
      </c>
      <c r="C219" s="868"/>
      <c r="D219" s="395">
        <f t="shared" si="77"/>
        <v>50.660938594171007</v>
      </c>
      <c r="E219" s="387">
        <f t="shared" si="75"/>
        <v>56.668351925502343</v>
      </c>
      <c r="F219" s="387">
        <f t="shared" si="78"/>
        <v>56.670944989697738</v>
      </c>
      <c r="G219" s="110">
        <f t="shared" si="76"/>
        <v>0.93401068028071432</v>
      </c>
      <c r="H219" s="416" t="b">
        <f>Wh_hp&gt;='2024'!Maxi_hp</f>
        <v>0</v>
      </c>
      <c r="I219" s="392">
        <f>IF(H219,Wh_hp,'2024'!Maxi_hp)</f>
        <v>57.12402573643886</v>
      </c>
      <c r="J219" s="85">
        <f>IF(H219,An,'2024'!An_max)</f>
        <v>2019</v>
      </c>
      <c r="K219" s="199">
        <f t="shared" si="79"/>
        <v>45862</v>
      </c>
      <c r="L219" s="147">
        <f>IF(t&lt;Tvie,1-EXP((T0-t)*PertePVj)+'2024'!Pspv,1-EXP((T0-t)*PertePVj)+Pspv)</f>
        <v>5.7594513326123198E-2</v>
      </c>
      <c r="M219" s="872"/>
      <c r="N219" s="872"/>
      <c r="O219" s="48">
        <f>IF(t&lt;Tnet,'2024'!Resal+('2024'!Salim-'2024'!Resal)*(1-EXP(('2024'!Tnet-t)/('2024'!Tau_j))),Resal+(Salim-Resal)*(1-EXP((Tnet-t)/(Tau_j))))*Salcycl</f>
        <v>0.10601002371180354</v>
      </c>
      <c r="P219" s="171">
        <f>(INDEX(Models!$BJ219:$BT219,,T219)*(1-R219)+INDEX(Models!$BJ219:$BT219,,T219+1)*R219-ERP_i)*Q219*Ramure*Pc/MaxiM</f>
        <v>5.0518591457963138E-5</v>
      </c>
      <c r="Q219" s="307">
        <f t="shared" si="80"/>
        <v>0.9</v>
      </c>
      <c r="R219" s="179">
        <f t="shared" si="81"/>
        <v>0.76625709123573404</v>
      </c>
      <c r="S219" s="839">
        <f t="shared" si="82"/>
        <v>-3</v>
      </c>
      <c r="T219" s="178">
        <f t="shared" si="83"/>
        <v>3</v>
      </c>
      <c r="U219" s="253">
        <f t="shared" si="84"/>
        <v>-2.233742908764266</v>
      </c>
      <c r="V219" s="385">
        <f t="shared" si="85"/>
        <v>51.116031252766355</v>
      </c>
      <c r="W219" s="404">
        <f t="shared" si="86"/>
        <v>47.74314649119512</v>
      </c>
      <c r="X219" s="157">
        <f t="shared" si="87"/>
        <v>45862</v>
      </c>
      <c r="Y219" s="387">
        <f t="shared" si="88"/>
        <v>44.495382375775208</v>
      </c>
      <c r="Z219" s="387">
        <f t="shared" si="89"/>
        <v>47.214689435666465</v>
      </c>
      <c r="AA219" s="388">
        <f t="shared" si="90"/>
        <v>56.55770246770242</v>
      </c>
      <c r="AB219" s="199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0.16519435239384653</v>
      </c>
      <c r="AD219" s="233">
        <f>(INDEX(Models!$BJ219:$BT219,,AH219)*(1-AF219)+INDEX(Models!$BJ219:$BT219,,AH219+1)*AF219-ERP_i)*AE219*Ramure*Pc/MaxiM</f>
        <v>2.2062132956519181E-3</v>
      </c>
      <c r="AE219" s="307">
        <f t="shared" si="92"/>
        <v>0.9</v>
      </c>
      <c r="AF219" s="179">
        <f t="shared" si="93"/>
        <v>0.401912743542713</v>
      </c>
      <c r="AG219" s="839">
        <f t="shared" si="99"/>
        <v>2</v>
      </c>
      <c r="AH219" s="178">
        <f t="shared" si="94"/>
        <v>8</v>
      </c>
      <c r="AI219" s="227">
        <f t="shared" si="95"/>
        <v>2.401912743542713</v>
      </c>
      <c r="AJ219" s="267" t="b">
        <f t="shared" si="96"/>
        <v>0</v>
      </c>
      <c r="AK219" s="267" t="b">
        <f t="shared" si="97"/>
        <v>0</v>
      </c>
      <c r="AL219" s="267"/>
      <c r="AM219" s="267"/>
      <c r="AN219" s="75"/>
    </row>
    <row r="220" spans="1:40" s="6" customFormat="1" ht="11.25" x14ac:dyDescent="0.2">
      <c r="A220" s="56">
        <f t="shared" si="98"/>
        <v>45863</v>
      </c>
      <c r="B220" s="413">
        <f>'2024'!Wh/'2024'!Env_an*'2025'!Env_an</f>
        <v>28.84725157687906</v>
      </c>
      <c r="C220" s="868"/>
      <c r="D220" s="395">
        <f t="shared" si="77"/>
        <v>30.610945413746538</v>
      </c>
      <c r="E220" s="387">
        <f t="shared" si="75"/>
        <v>34.24632461498711</v>
      </c>
      <c r="F220" s="387">
        <f t="shared" si="78"/>
        <v>34.247037170513934</v>
      </c>
      <c r="G220" s="110">
        <f t="shared" si="76"/>
        <v>0.56585833476233749</v>
      </c>
      <c r="H220" s="416" t="b">
        <f>Wh_hp&gt;='2024'!Maxi_hp</f>
        <v>0</v>
      </c>
      <c r="I220" s="392">
        <f>IF(H220,Wh_hp,'2024'!Maxi_hp)</f>
        <v>58.709047096297212</v>
      </c>
      <c r="J220" s="85">
        <f>IF(H220,An,'2024'!An_max)</f>
        <v>2020</v>
      </c>
      <c r="K220" s="199">
        <f t="shared" si="79"/>
        <v>45863</v>
      </c>
      <c r="L220" s="147">
        <f>IF(t&lt;Tvie,1-EXP((T0-t)*PertePVj)+'2024'!Pspv,1-EXP((T0-t)*PertePVj)+Pspv)</f>
        <v>5.7616444478563955E-2</v>
      </c>
      <c r="M220" s="872"/>
      <c r="N220" s="872"/>
      <c r="O220" s="48">
        <f>IF(t&lt;Tnet,'2024'!Resal+('2024'!Salim-'2024'!Resal)*(1-EXP(('2024'!Tnet-t)/('2024'!Tau_j))),Resal+(Salim-Resal)*(1-EXP((Tnet-t)/(Tau_j))))*Salcycl</f>
        <v>0.1061538498542887</v>
      </c>
      <c r="P220" s="171">
        <f>(INDEX(Models!$BJ220:$BT220,,T220)*(1-R220)+INDEX(Models!$BJ220:$BT220,,T220+1)*R220-ERP_i)*Q220*Ramure*Pc/MaxiM</f>
        <v>5.477874324955907E-5</v>
      </c>
      <c r="Q220" s="307">
        <f t="shared" si="80"/>
        <v>0.9</v>
      </c>
      <c r="R220" s="179">
        <f t="shared" si="81"/>
        <v>0.76969311261772289</v>
      </c>
      <c r="S220" s="839">
        <f t="shared" si="82"/>
        <v>-3</v>
      </c>
      <c r="T220" s="178">
        <f t="shared" si="83"/>
        <v>3</v>
      </c>
      <c r="U220" s="253">
        <f t="shared" si="84"/>
        <v>-2.2303068873822771</v>
      </c>
      <c r="V220" s="385">
        <f t="shared" si="85"/>
        <v>50.977903432603256</v>
      </c>
      <c r="W220" s="404">
        <f t="shared" si="86"/>
        <v>28.84725157687906</v>
      </c>
      <c r="X220" s="157">
        <f t="shared" si="87"/>
        <v>45863</v>
      </c>
      <c r="Y220" s="387">
        <f t="shared" si="88"/>
        <v>26.91553459035546</v>
      </c>
      <c r="Z220" s="387">
        <f t="shared" si="89"/>
        <v>28.561125067025028</v>
      </c>
      <c r="AA220" s="388">
        <f t="shared" si="90"/>
        <v>34.216190055064608</v>
      </c>
      <c r="AB220" s="199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0.16527453754900245</v>
      </c>
      <c r="AD220" s="233">
        <f>(INDEX(Models!$BJ220:$BT220,,AH220)*(1-AF220)+INDEX(Models!$BJ220:$BT220,,AH220+1)*AF220-ERP_i)*AE220*Ramure*Pc/MaxiM</f>
        <v>2.3714168981725718E-3</v>
      </c>
      <c r="AE220" s="307">
        <f t="shared" si="92"/>
        <v>0.9</v>
      </c>
      <c r="AF220" s="179">
        <f t="shared" si="93"/>
        <v>0.40534876492470184</v>
      </c>
      <c r="AG220" s="839">
        <f t="shared" si="99"/>
        <v>2</v>
      </c>
      <c r="AH220" s="178">
        <f t="shared" si="94"/>
        <v>8</v>
      </c>
      <c r="AI220" s="227">
        <f t="shared" si="95"/>
        <v>2.4053487649247018</v>
      </c>
      <c r="AJ220" s="267" t="b">
        <f t="shared" si="96"/>
        <v>0</v>
      </c>
      <c r="AK220" s="267" t="b">
        <f t="shared" si="97"/>
        <v>0</v>
      </c>
      <c r="AL220" s="267"/>
      <c r="AM220" s="267"/>
      <c r="AN220" s="75"/>
    </row>
    <row r="221" spans="1:40" s="6" customFormat="1" ht="11.25" x14ac:dyDescent="0.2">
      <c r="A221" s="56">
        <f t="shared" si="98"/>
        <v>45864</v>
      </c>
      <c r="B221" s="413">
        <f>'2024'!Wh/'2024'!Env_an*'2025'!Env_an</f>
        <v>48.823307947115943</v>
      </c>
      <c r="C221" s="868"/>
      <c r="D221" s="395">
        <f t="shared" si="77"/>
        <v>51.809524770669611</v>
      </c>
      <c r="E221" s="387">
        <f t="shared" si="75"/>
        <v>57.971739191415303</v>
      </c>
      <c r="F221" s="387">
        <f t="shared" si="78"/>
        <v>57.974988711205874</v>
      </c>
      <c r="G221" s="110">
        <f t="shared" si="76"/>
        <v>0.96036420721013671</v>
      </c>
      <c r="H221" s="416" t="b">
        <f>Wh_hp&gt;='2024'!Maxi_hp</f>
        <v>0</v>
      </c>
      <c r="I221" s="392">
        <f>IF(H221,Wh_hp,'2024'!Maxi_hp)</f>
        <v>58.036306990108471</v>
      </c>
      <c r="J221" s="85">
        <f>IF(H221,An,'2024'!An_max)</f>
        <v>2020</v>
      </c>
      <c r="K221" s="199">
        <f t="shared" si="79"/>
        <v>45864</v>
      </c>
      <c r="L221" s="147">
        <f>IF(t&lt;Tvie,1-EXP((T0-t)*PertePVj)+'2024'!Pspv,1-EXP((T0-t)*PertePVj)+Pspv)</f>
        <v>5.7638375120634633E-2</v>
      </c>
      <c r="M221" s="872"/>
      <c r="N221" s="872"/>
      <c r="O221" s="48">
        <f>IF(t&lt;Tnet,'2024'!Resal+('2024'!Salim-'2024'!Resal)*(1-EXP(('2024'!Tnet-t)/('2024'!Tau_j))),Resal+(Salim-Resal)*(1-EXP((Tnet-t)/(Tau_j))))*Salcycl</f>
        <v>0.10629686993517379</v>
      </c>
      <c r="P221" s="171">
        <f>(INDEX(Models!$BJ221:$BT221,,T221)*(1-R221)+INDEX(Models!$BJ221:$BT221,,T221+1)*R221-ERP_i)*Q221*Ramure*Pc/MaxiM</f>
        <v>5.9414288819200636E-5</v>
      </c>
      <c r="Q221" s="307">
        <f t="shared" si="80"/>
        <v>0.9</v>
      </c>
      <c r="R221" s="179">
        <f t="shared" si="81"/>
        <v>0.77302785210672553</v>
      </c>
      <c r="S221" s="839">
        <f t="shared" si="82"/>
        <v>-3</v>
      </c>
      <c r="T221" s="178">
        <f t="shared" si="83"/>
        <v>3</v>
      </c>
      <c r="U221" s="253">
        <f t="shared" si="84"/>
        <v>-2.2269721478932745</v>
      </c>
      <c r="V221" s="385">
        <f t="shared" si="85"/>
        <v>50.838154248047587</v>
      </c>
      <c r="W221" s="404">
        <f t="shared" si="86"/>
        <v>48.823307947115943</v>
      </c>
      <c r="X221" s="157">
        <f t="shared" si="87"/>
        <v>45864</v>
      </c>
      <c r="Y221" s="387">
        <f t="shared" si="88"/>
        <v>45.489656197664296</v>
      </c>
      <c r="Z221" s="387">
        <f t="shared" si="89"/>
        <v>48.271974363862249</v>
      </c>
      <c r="AA221" s="388">
        <f t="shared" si="90"/>
        <v>57.83524081323786</v>
      </c>
      <c r="AB221" s="199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0.1653536202997305</v>
      </c>
      <c r="AD221" s="233">
        <f>(INDEX(Models!$BJ221:$BT221,,AH221)*(1-AF221)+INDEX(Models!$BJ221:$BT221,,AH221+1)*AF221-ERP_i)*AE221*Ramure*Pc/MaxiM</f>
        <v>2.5551535324806894E-3</v>
      </c>
      <c r="AE221" s="307">
        <f t="shared" si="92"/>
        <v>0.9</v>
      </c>
      <c r="AF221" s="179">
        <f t="shared" si="93"/>
        <v>0.40868350441370449</v>
      </c>
      <c r="AG221" s="839">
        <f t="shared" si="99"/>
        <v>2</v>
      </c>
      <c r="AH221" s="178">
        <f t="shared" si="94"/>
        <v>8</v>
      </c>
      <c r="AI221" s="227">
        <f t="shared" si="95"/>
        <v>2.4086835044137045</v>
      </c>
      <c r="AJ221" s="267" t="b">
        <f t="shared" si="96"/>
        <v>0</v>
      </c>
      <c r="AK221" s="267" t="b">
        <f t="shared" si="97"/>
        <v>0</v>
      </c>
      <c r="AL221" s="267"/>
      <c r="AM221" s="267"/>
      <c r="AN221" s="75"/>
    </row>
    <row r="222" spans="1:40" s="6" customFormat="1" ht="11.25" x14ac:dyDescent="0.2">
      <c r="A222" s="56">
        <f t="shared" si="98"/>
        <v>45865</v>
      </c>
      <c r="B222" s="413">
        <f>'2024'!Wh/'2024'!Env_an*'2025'!Env_an</f>
        <v>51.389263895979354</v>
      </c>
      <c r="C222" s="868"/>
      <c r="D222" s="395">
        <f t="shared" si="77"/>
        <v>54.533693298084813</v>
      </c>
      <c r="E222" s="387">
        <f t="shared" si="75"/>
        <v>61.029634331718214</v>
      </c>
      <c r="F222" s="387">
        <f t="shared" si="78"/>
        <v>61.033566863458468</v>
      </c>
      <c r="G222" s="110">
        <f t="shared" si="76"/>
        <v>1.0136630640953654</v>
      </c>
      <c r="H222" s="416" t="b">
        <f>Wh_hp&gt;='2024'!Maxi_hp</f>
        <v>1</v>
      </c>
      <c r="I222" s="392">
        <f>IF(H222,Wh_hp,'2024'!Maxi_hp)</f>
        <v>61.033566863458468</v>
      </c>
      <c r="J222" s="85">
        <f>IF(H222,An,'2024'!An_max)</f>
        <v>2025</v>
      </c>
      <c r="K222" s="199">
        <f t="shared" si="79"/>
        <v>45865</v>
      </c>
      <c r="L222" s="147">
        <f>IF(t&lt;Tvie,1-EXP((T0-t)*PertePVj)+'2024'!Pspv,1-EXP((T0-t)*PertePVj)+Pspv)</f>
        <v>5.7660305252347333E-2</v>
      </c>
      <c r="M222" s="872"/>
      <c r="N222" s="872"/>
      <c r="O222" s="48">
        <f>IF(t&lt;Tnet,'2024'!Resal+('2024'!Salim-'2024'!Resal)*(1-EXP(('2024'!Tnet-t)/('2024'!Tau_j))),Resal+(Salim-Resal)*(1-EXP((Tnet-t)/(Tau_j))))*Salcycl</f>
        <v>0.10643912756097469</v>
      </c>
      <c r="P222" s="171">
        <f>(INDEX(Models!$BJ222:$BT222,,T222)*(1-R222)+INDEX(Models!$BJ222:$BT222,,T222+1)*R222-ERP_i)*Q222*Ramure*Pc/MaxiM</f>
        <v>6.4432277881667596E-5</v>
      </c>
      <c r="Q222" s="307">
        <f t="shared" si="80"/>
        <v>0.9</v>
      </c>
      <c r="R222" s="179">
        <f t="shared" si="81"/>
        <v>0.77626303021367749</v>
      </c>
      <c r="S222" s="839">
        <f t="shared" si="82"/>
        <v>-3</v>
      </c>
      <c r="T222" s="178">
        <f t="shared" si="83"/>
        <v>3</v>
      </c>
      <c r="U222" s="253">
        <f t="shared" si="84"/>
        <v>-2.2237369697863225</v>
      </c>
      <c r="V222" s="385">
        <f t="shared" si="85"/>
        <v>50.696593095104284</v>
      </c>
      <c r="W222" s="404">
        <f t="shared" si="86"/>
        <v>51.389263895979354</v>
      </c>
      <c r="X222" s="157">
        <f t="shared" si="87"/>
        <v>45865</v>
      </c>
      <c r="Y222" s="387">
        <f t="shared" si="88"/>
        <v>47.867291459930108</v>
      </c>
      <c r="Z222" s="387">
        <f t="shared" si="89"/>
        <v>50.79621682789071</v>
      </c>
      <c r="AA222" s="388">
        <f t="shared" si="90"/>
        <v>60.865258190677906</v>
      </c>
      <c r="AB222" s="199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0.16543167090892849</v>
      </c>
      <c r="AD222" s="233">
        <f>(INDEX(Models!$BJ222:$BT222,,AH222)*(1-AF222)+INDEX(Models!$BJ222:$BT222,,AH222+1)*AF222-ERP_i)*AE222*Ramure*Pc/MaxiM</f>
        <v>2.7576411052150709E-3</v>
      </c>
      <c r="AE222" s="307">
        <f t="shared" si="92"/>
        <v>0.9</v>
      </c>
      <c r="AF222" s="179">
        <f t="shared" si="93"/>
        <v>0.41191868252065644</v>
      </c>
      <c r="AG222" s="839">
        <f t="shared" si="99"/>
        <v>2</v>
      </c>
      <c r="AH222" s="178">
        <f t="shared" si="94"/>
        <v>8</v>
      </c>
      <c r="AI222" s="227">
        <f t="shared" si="95"/>
        <v>2.4119186825206564</v>
      </c>
      <c r="AJ222" s="267" t="b">
        <f t="shared" si="96"/>
        <v>0</v>
      </c>
      <c r="AK222" s="267" t="b">
        <f t="shared" si="97"/>
        <v>0</v>
      </c>
      <c r="AL222" s="267"/>
      <c r="AM222" s="267"/>
      <c r="AN222" s="75"/>
    </row>
    <row r="223" spans="1:40" s="6" customFormat="1" ht="11.25" x14ac:dyDescent="0.2">
      <c r="A223" s="56">
        <f t="shared" si="98"/>
        <v>45866</v>
      </c>
      <c r="B223" s="413">
        <f>'2024'!Wh/'2024'!Env_an*'2025'!Env_an</f>
        <v>43.819579688302269</v>
      </c>
      <c r="C223" s="868"/>
      <c r="D223" s="395">
        <f t="shared" si="77"/>
        <v>46.501914014567816</v>
      </c>
      <c r="E223" s="387">
        <f t="shared" si="75"/>
        <v>52.049370423484923</v>
      </c>
      <c r="F223" s="387">
        <f t="shared" si="78"/>
        <v>52.052314015991684</v>
      </c>
      <c r="G223" s="110">
        <f t="shared" si="76"/>
        <v>0.86679270403183151</v>
      </c>
      <c r="H223" s="416" t="b">
        <f>Wh_hp&gt;='2024'!Maxi_hp</f>
        <v>0</v>
      </c>
      <c r="I223" s="392">
        <f>IF(H223,Wh_hp,'2024'!Maxi_hp)</f>
        <v>61.3460462503919</v>
      </c>
      <c r="J223" s="85">
        <f>IF(H223,An,'2024'!An_max)</f>
        <v>2019</v>
      </c>
      <c r="K223" s="199">
        <f t="shared" si="79"/>
        <v>45866</v>
      </c>
      <c r="L223" s="147">
        <f>IF(t&lt;Tvie,1-EXP((T0-t)*PertePVj)+'2024'!Pspv,1-EXP((T0-t)*PertePVj)+Pspv)</f>
        <v>5.7682234873713822E-2</v>
      </c>
      <c r="M223" s="872"/>
      <c r="N223" s="872"/>
      <c r="O223" s="48">
        <f>IF(t&lt;Tnet,'2024'!Resal+('2024'!Salim-'2024'!Resal)*(1-EXP(('2024'!Tnet-t)/('2024'!Tau_j))),Resal+(Salim-Resal)*(1-EXP((Tnet-t)/(Tau_j))))*Salcycl</f>
        <v>0.10658066300863595</v>
      </c>
      <c r="P223" s="171">
        <f>(INDEX(Models!$BJ223:$BT223,,T223)*(1-R223)+INDEX(Models!$BJ223:$BT223,,T223+1)*R223-ERP_i)*Q223*Ramure*Pc/MaxiM</f>
        <v>6.9839739334568983E-5</v>
      </c>
      <c r="Q223" s="307">
        <f t="shared" si="80"/>
        <v>0.9</v>
      </c>
      <c r="R223" s="179">
        <f t="shared" si="81"/>
        <v>0.77940042935489195</v>
      </c>
      <c r="S223" s="839">
        <f t="shared" si="82"/>
        <v>-3</v>
      </c>
      <c r="T223" s="178">
        <f t="shared" si="83"/>
        <v>3</v>
      </c>
      <c r="U223" s="253">
        <f t="shared" si="84"/>
        <v>-2.220599570645108</v>
      </c>
      <c r="V223" s="385">
        <f t="shared" si="85"/>
        <v>50.553029726144025</v>
      </c>
      <c r="W223" s="404">
        <f t="shared" si="86"/>
        <v>43.819579688302269</v>
      </c>
      <c r="X223" s="157">
        <f t="shared" si="87"/>
        <v>45866</v>
      </c>
      <c r="Y223" s="387">
        <f t="shared" si="88"/>
        <v>40.832908568917034</v>
      </c>
      <c r="Z223" s="387">
        <f t="shared" si="89"/>
        <v>43.332419360092132</v>
      </c>
      <c r="AA223" s="388">
        <f t="shared" si="90"/>
        <v>51.926751273944539</v>
      </c>
      <c r="AB223" s="199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0.16550875421634192</v>
      </c>
      <c r="AD223" s="233">
        <f>(INDEX(Models!$BJ223:$BT223,,AH223)*(1-AF223)+INDEX(Models!$BJ223:$BT223,,AH223+1)*AF223-ERP_i)*AE223*Ramure*Pc/MaxiM</f>
        <v>2.9791043273068641E-3</v>
      </c>
      <c r="AE223" s="307">
        <f t="shared" si="92"/>
        <v>0.9</v>
      </c>
      <c r="AF223" s="179">
        <f t="shared" si="93"/>
        <v>0.41505608166187091</v>
      </c>
      <c r="AG223" s="839">
        <f t="shared" si="99"/>
        <v>2</v>
      </c>
      <c r="AH223" s="178">
        <f t="shared" si="94"/>
        <v>8</v>
      </c>
      <c r="AI223" s="227">
        <f t="shared" si="95"/>
        <v>2.4150560816618709</v>
      </c>
      <c r="AJ223" s="267" t="b">
        <f t="shared" si="96"/>
        <v>0</v>
      </c>
      <c r="AK223" s="267" t="b">
        <f t="shared" si="97"/>
        <v>0</v>
      </c>
      <c r="AL223" s="267"/>
      <c r="AM223" s="267"/>
      <c r="AN223" s="75"/>
    </row>
    <row r="224" spans="1:40" s="6" customFormat="1" ht="11.25" x14ac:dyDescent="0.2">
      <c r="A224" s="56">
        <f t="shared" si="98"/>
        <v>45867</v>
      </c>
      <c r="B224" s="413">
        <f>'2024'!Wh/'2024'!Env_an*'2025'!Env_an</f>
        <v>25.394243912192575</v>
      </c>
      <c r="C224" s="868"/>
      <c r="D224" s="395">
        <f t="shared" si="77"/>
        <v>26.949332621036319</v>
      </c>
      <c r="E224" s="387">
        <f t="shared" si="75"/>
        <v>30.169015618149604</v>
      </c>
      <c r="F224" s="387">
        <f t="shared" si="78"/>
        <v>30.169679987949319</v>
      </c>
      <c r="G224" s="110">
        <f t="shared" si="76"/>
        <v>0.50375432028163847</v>
      </c>
      <c r="H224" s="416" t="b">
        <f>Wh_hp&gt;='2024'!Maxi_hp</f>
        <v>0</v>
      </c>
      <c r="I224" s="392">
        <f>IF(H224,Wh_hp,'2024'!Maxi_hp)</f>
        <v>60.078998480863916</v>
      </c>
      <c r="J224" s="85">
        <f>IF(H224,An,'2024'!An_max)</f>
        <v>2019</v>
      </c>
      <c r="K224" s="199">
        <f t="shared" si="79"/>
        <v>45867</v>
      </c>
      <c r="L224" s="147">
        <f>IF(t&lt;Tvie,1-EXP((T0-t)*PertePVj)+'2024'!Pspv,1-EXP((T0-t)*PertePVj)+Pspv)</f>
        <v>5.7704163984745982E-2</v>
      </c>
      <c r="M224" s="872"/>
      <c r="N224" s="872"/>
      <c r="O224" s="48">
        <f>IF(t&lt;Tnet,'2024'!Resal+('2024'!Salim-'2024'!Resal)*(1-EXP(('2024'!Tnet-t)/('2024'!Tau_j))),Resal+(Salim-Resal)*(1-EXP((Tnet-t)/(Tau_j))))*Salcycl</f>
        <v>0.10672151315326085</v>
      </c>
      <c r="P224" s="171">
        <f>(INDEX(Models!$BJ224:$BT224,,T224)*(1-R224)+INDEX(Models!$BJ224:$BT224,,T224+1)*R224-ERP_i)*Q224*Ramure*Pc/MaxiM</f>
        <v>7.5643709129306376E-5</v>
      </c>
      <c r="Q224" s="307">
        <f t="shared" si="80"/>
        <v>0.9</v>
      </c>
      <c r="R224" s="179">
        <f t="shared" si="81"/>
        <v>0.78244188596053865</v>
      </c>
      <c r="S224" s="839">
        <f t="shared" si="82"/>
        <v>-3</v>
      </c>
      <c r="T224" s="178">
        <f t="shared" si="83"/>
        <v>3</v>
      </c>
      <c r="U224" s="253">
        <f t="shared" si="84"/>
        <v>-2.2175581140394613</v>
      </c>
      <c r="V224" s="385">
        <f t="shared" si="85"/>
        <v>50.407274249503615</v>
      </c>
      <c r="W224" s="404">
        <f t="shared" si="86"/>
        <v>25.394243912192575</v>
      </c>
      <c r="X224" s="157">
        <f t="shared" si="87"/>
        <v>45867</v>
      </c>
      <c r="Y224" s="387">
        <f t="shared" si="88"/>
        <v>23.699154229046425</v>
      </c>
      <c r="Z224" s="387">
        <f t="shared" si="89"/>
        <v>25.15043930286749</v>
      </c>
      <c r="AA224" s="388">
        <f t="shared" si="90"/>
        <v>30.141401076726467</v>
      </c>
      <c r="AB224" s="199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0.16558492955102619</v>
      </c>
      <c r="AD224" s="233">
        <f>(INDEX(Models!$BJ224:$BT224,,AH224)*(1-AF224)+INDEX(Models!$BJ224:$BT224,,AH224+1)*AF224-ERP_i)*AE224*Ramure*Pc/MaxiM</f>
        <v>3.2197756971417287E-3</v>
      </c>
      <c r="AE224" s="307">
        <f t="shared" si="92"/>
        <v>0.9</v>
      </c>
      <c r="AF224" s="179">
        <f t="shared" si="93"/>
        <v>0.41809753826751761</v>
      </c>
      <c r="AG224" s="839">
        <f t="shared" si="99"/>
        <v>2</v>
      </c>
      <c r="AH224" s="178">
        <f t="shared" si="94"/>
        <v>8</v>
      </c>
      <c r="AI224" s="227">
        <f t="shared" si="95"/>
        <v>2.4180975382675176</v>
      </c>
      <c r="AJ224" s="267" t="b">
        <f t="shared" si="96"/>
        <v>0</v>
      </c>
      <c r="AK224" s="267" t="b">
        <f t="shared" si="97"/>
        <v>0</v>
      </c>
      <c r="AL224" s="267"/>
      <c r="AM224" s="267"/>
      <c r="AN224" s="75"/>
    </row>
    <row r="225" spans="1:40" s="6" customFormat="1" ht="11.25" x14ac:dyDescent="0.2">
      <c r="A225" s="56">
        <f t="shared" si="98"/>
        <v>45868</v>
      </c>
      <c r="B225" s="413">
        <f>'2024'!Wh/'2024'!Env_an*'2025'!Env_an</f>
        <v>43.096944694853114</v>
      </c>
      <c r="C225" s="868"/>
      <c r="D225" s="395">
        <f t="shared" si="77"/>
        <v>45.737172976703292</v>
      </c>
      <c r="E225" s="387">
        <f t="shared" si="75"/>
        <v>51.209508719646486</v>
      </c>
      <c r="F225" s="387">
        <f t="shared" si="78"/>
        <v>51.212847186003749</v>
      </c>
      <c r="G225" s="110">
        <f t="shared" si="76"/>
        <v>0.85748043001150775</v>
      </c>
      <c r="H225" s="416" t="b">
        <f>Wh_hp&gt;='2024'!Maxi_hp</f>
        <v>0</v>
      </c>
      <c r="I225" s="392">
        <f>IF(H225,Wh_hp,'2024'!Maxi_hp)</f>
        <v>51.973078310921963</v>
      </c>
      <c r="J225" s="85">
        <f>IF(H225,An,'2024'!An_max)</f>
        <v>2020</v>
      </c>
      <c r="K225" s="199">
        <f t="shared" si="79"/>
        <v>45868</v>
      </c>
      <c r="L225" s="147">
        <f>IF(t&lt;Tvie,1-EXP((T0-t)*PertePVj)+'2024'!Pspv,1-EXP((T0-t)*PertePVj)+Pspv)</f>
        <v>5.7726092585455691E-2</v>
      </c>
      <c r="M225" s="872"/>
      <c r="N225" s="872"/>
      <c r="O225" s="48">
        <f>IF(t&lt;Tnet,'2024'!Resal+('2024'!Salim-'2024'!Resal)*(1-EXP(('2024'!Tnet-t)/('2024'!Tau_j))),Resal+(Salim-Resal)*(1-EXP((Tnet-t)/(Tau_j))))*Salcycl</f>
        <v>0.10686171142360013</v>
      </c>
      <c r="P225" s="171">
        <f>(INDEX(Models!$BJ225:$BT225,,T225)*(1-R225)+INDEX(Models!$BJ225:$BT225,,T225+1)*R225-ERP_i)*Q225*Ramure*Pc/MaxiM</f>
        <v>8.1851259147484667E-5</v>
      </c>
      <c r="Q225" s="307">
        <f t="shared" si="80"/>
        <v>0.9</v>
      </c>
      <c r="R225" s="179">
        <f t="shared" si="81"/>
        <v>0.78538928292617394</v>
      </c>
      <c r="S225" s="839">
        <f t="shared" si="82"/>
        <v>-3</v>
      </c>
      <c r="T225" s="178">
        <f t="shared" si="83"/>
        <v>3</v>
      </c>
      <c r="U225" s="253">
        <f t="shared" si="84"/>
        <v>-2.2146107170738261</v>
      </c>
      <c r="V225" s="385">
        <f t="shared" si="85"/>
        <v>50.259137126495126</v>
      </c>
      <c r="W225" s="404">
        <f t="shared" si="86"/>
        <v>43.096944694853114</v>
      </c>
      <c r="X225" s="157">
        <f t="shared" si="87"/>
        <v>45868</v>
      </c>
      <c r="Y225" s="387">
        <f t="shared" si="88"/>
        <v>40.150755253879332</v>
      </c>
      <c r="Z225" s="387">
        <f t="shared" si="89"/>
        <v>42.610492488375137</v>
      </c>
      <c r="AA225" s="388">
        <f t="shared" si="90"/>
        <v>51.0709126869098</v>
      </c>
      <c r="AB225" s="199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0.16566025068714288</v>
      </c>
      <c r="AD225" s="233">
        <f>(INDEX(Models!$BJ225:$BT225,,AH225)*(1-AF225)+INDEX(Models!$BJ225:$BT225,,AH225+1)*AF225-ERP_i)*AE225*Ramure*Pc/MaxiM</f>
        <v>3.4798965225546776E-3</v>
      </c>
      <c r="AE225" s="307">
        <f t="shared" si="92"/>
        <v>0.9</v>
      </c>
      <c r="AF225" s="179">
        <f t="shared" si="93"/>
        <v>0.42104493523315289</v>
      </c>
      <c r="AG225" s="839">
        <f t="shared" si="99"/>
        <v>2</v>
      </c>
      <c r="AH225" s="178">
        <f t="shared" si="94"/>
        <v>8</v>
      </c>
      <c r="AI225" s="227">
        <f t="shared" si="95"/>
        <v>2.4210449352331529</v>
      </c>
      <c r="AJ225" s="267" t="b">
        <f t="shared" si="96"/>
        <v>0</v>
      </c>
      <c r="AK225" s="267" t="b">
        <f t="shared" si="97"/>
        <v>0</v>
      </c>
      <c r="AL225" s="267"/>
      <c r="AM225" s="267"/>
      <c r="AN225" s="75"/>
    </row>
    <row r="226" spans="1:40" s="6" customFormat="1" ht="11.25" x14ac:dyDescent="0.2">
      <c r="A226" s="56">
        <f t="shared" si="98"/>
        <v>45869</v>
      </c>
      <c r="B226" s="413">
        <f>'2024'!Wh/'2024'!Env_an*'2025'!Env_an</f>
        <v>47.58079912337837</v>
      </c>
      <c r="C226" s="868"/>
      <c r="D226" s="395">
        <f t="shared" si="77"/>
        <v>50.496894851318785</v>
      </c>
      <c r="E226" s="387">
        <f t="shared" si="75"/>
        <v>56.547556184072505</v>
      </c>
      <c r="F226" s="387">
        <f t="shared" si="78"/>
        <v>56.552234243636178</v>
      </c>
      <c r="G226" s="110">
        <f t="shared" si="76"/>
        <v>0.94955133038236228</v>
      </c>
      <c r="H226" s="416" t="b">
        <f>Wh_hp&gt;='2024'!Maxi_hp</f>
        <v>1</v>
      </c>
      <c r="I226" s="392">
        <f>IF(H226,Wh_hp,'2024'!Maxi_hp)</f>
        <v>56.552234243636178</v>
      </c>
      <c r="J226" s="85">
        <f>IF(H226,An,'2024'!An_max)</f>
        <v>2025</v>
      </c>
      <c r="K226" s="199">
        <f t="shared" si="79"/>
        <v>45869</v>
      </c>
      <c r="L226" s="147">
        <f>IF(t&lt;Tvie,1-EXP((T0-t)*PertePVj)+'2024'!Pspv,1-EXP((T0-t)*PertePVj)+Pspv)</f>
        <v>5.7748020675854717E-2</v>
      </c>
      <c r="M226" s="872"/>
      <c r="N226" s="872"/>
      <c r="O226" s="48">
        <f>IF(t&lt;Tnet,'2024'!Resal+('2024'!Salim-'2024'!Resal)*(1-EXP(('2024'!Tnet-t)/('2024'!Tau_j))),Resal+(Salim-Resal)*(1-EXP((Tnet-t)/(Tau_j))))*Salcycl</f>
        <v>0.10700128778435133</v>
      </c>
      <c r="P226" s="171">
        <f>(INDEX(Models!$BJ226:$BT226,,T226)*(1-R226)+INDEX(Models!$BJ226:$BT226,,T226+1)*R226-ERP_i)*Q226*Ramure*Pc/MaxiM</f>
        <v>8.9144892245107075E-5</v>
      </c>
      <c r="Q226" s="307">
        <f t="shared" si="80"/>
        <v>0.9</v>
      </c>
      <c r="R226" s="179">
        <f t="shared" si="81"/>
        <v>0.78824454241783615</v>
      </c>
      <c r="S226" s="839">
        <f t="shared" si="82"/>
        <v>-3</v>
      </c>
      <c r="T226" s="178">
        <f t="shared" si="83"/>
        <v>3</v>
      </c>
      <c r="U226" s="253">
        <f t="shared" si="84"/>
        <v>-2.2117554575821639</v>
      </c>
      <c r="V226" s="385">
        <f t="shared" si="85"/>
        <v>50.108395326930854</v>
      </c>
      <c r="W226" s="404">
        <f t="shared" si="86"/>
        <v>47.58079912337837</v>
      </c>
      <c r="X226" s="157">
        <f t="shared" si="87"/>
        <v>45869</v>
      </c>
      <c r="Y226" s="387">
        <f t="shared" si="88"/>
        <v>44.299862814593652</v>
      </c>
      <c r="Z226" s="387">
        <f t="shared" si="89"/>
        <v>47.014879020332629</v>
      </c>
      <c r="AA226" s="388">
        <f t="shared" si="90"/>
        <v>56.354834284503539</v>
      </c>
      <c r="AB226" s="199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0.16573476584136126</v>
      </c>
      <c r="AD226" s="233">
        <f>(INDEX(Models!$BJ226:$BT226,,AH226)*(1-AF226)+INDEX(Models!$BJ226:$BT226,,AH226+1)*AF226-ERP_i)*AE226*Ramure*Pc/MaxiM</f>
        <v>3.7616447260975169E-3</v>
      </c>
      <c r="AE226" s="307">
        <f t="shared" si="92"/>
        <v>0.9</v>
      </c>
      <c r="AF226" s="179">
        <f t="shared" si="93"/>
        <v>0.4239001947248151</v>
      </c>
      <c r="AG226" s="839">
        <f t="shared" si="99"/>
        <v>2</v>
      </c>
      <c r="AH226" s="178">
        <f t="shared" si="94"/>
        <v>8</v>
      </c>
      <c r="AI226" s="227">
        <f t="shared" si="95"/>
        <v>2.4239001947248151</v>
      </c>
      <c r="AJ226" s="267" t="b">
        <f t="shared" si="96"/>
        <v>0</v>
      </c>
      <c r="AK226" s="267" t="b">
        <f t="shared" si="97"/>
        <v>0</v>
      </c>
      <c r="AL226" s="267"/>
      <c r="AM226" s="267"/>
      <c r="AN226" s="75"/>
    </row>
    <row r="227" spans="1:40" s="6" customFormat="1" ht="11.25" x14ac:dyDescent="0.2">
      <c r="A227" s="56">
        <f t="shared" si="98"/>
        <v>45870</v>
      </c>
      <c r="B227" s="413">
        <f>'2024'!Wh/'2024'!Env_an*'2025'!Env_an</f>
        <v>49.40291217894201</v>
      </c>
      <c r="C227" s="868"/>
      <c r="D227" s="395">
        <f t="shared" si="77"/>
        <v>52.431900349069132</v>
      </c>
      <c r="E227" s="387">
        <f t="shared" si="75"/>
        <v>58.723558150972465</v>
      </c>
      <c r="F227" s="387">
        <f t="shared" si="78"/>
        <v>58.729191428163915</v>
      </c>
      <c r="G227" s="110">
        <f t="shared" si="76"/>
        <v>0.98894946757980284</v>
      </c>
      <c r="H227" s="416" t="b">
        <f>Wh_hp&gt;='2024'!Maxi_hp</f>
        <v>1</v>
      </c>
      <c r="I227" s="392">
        <f>IF(H227,Wh_hp,'2024'!Maxi_hp)</f>
        <v>58.729191428163915</v>
      </c>
      <c r="J227" s="85">
        <f>IF(H227,An,'2024'!An_max)</f>
        <v>2025</v>
      </c>
      <c r="K227" s="199">
        <f t="shared" si="79"/>
        <v>45870</v>
      </c>
      <c r="L227" s="147">
        <f>IF(t&lt;Tvie,1-EXP((T0-t)*PertePVj)+'2024'!Pspv,1-EXP((T0-t)*PertePVj)+Pspv)</f>
        <v>5.7769948255955161E-2</v>
      </c>
      <c r="M227" s="872"/>
      <c r="N227" s="872"/>
      <c r="O227" s="48">
        <f>IF(t&lt;Tnet,'2024'!Resal+('2024'!Salim-'2024'!Resal)*(1-EXP(('2024'!Tnet-t)/('2024'!Tau_j))),Resal+(Salim-Resal)*(1-EXP((Tnet-t)/(Tau_j))))*Salcycl</f>
        <v>0.10714026874407218</v>
      </c>
      <c r="P227" s="171">
        <f>(INDEX(Models!$BJ227:$BT227,,T227)*(1-R227)+INDEX(Models!$BJ227:$BT227,,T227+1)*R227-ERP_i)*Q227*Ramure*Pc/MaxiM</f>
        <v>9.7457846837428657E-5</v>
      </c>
      <c r="Q227" s="307">
        <f t="shared" si="80"/>
        <v>0.9</v>
      </c>
      <c r="R227" s="179">
        <f t="shared" si="81"/>
        <v>0.79100961903797318</v>
      </c>
      <c r="S227" s="839">
        <f t="shared" si="82"/>
        <v>-3</v>
      </c>
      <c r="T227" s="178">
        <f t="shared" si="83"/>
        <v>3</v>
      </c>
      <c r="U227" s="253">
        <f t="shared" si="84"/>
        <v>-2.2089903809620268</v>
      </c>
      <c r="V227" s="385">
        <f t="shared" si="85"/>
        <v>49.954864019345329</v>
      </c>
      <c r="W227" s="404">
        <f t="shared" si="86"/>
        <v>49.40291217894201</v>
      </c>
      <c r="X227" s="157">
        <f t="shared" si="87"/>
        <v>45870</v>
      </c>
      <c r="Y227" s="387">
        <f t="shared" si="88"/>
        <v>45.976803325618619</v>
      </c>
      <c r="Z227" s="387">
        <f t="shared" si="89"/>
        <v>48.795730130361136</v>
      </c>
      <c r="AA227" s="388">
        <f t="shared" si="90"/>
        <v>58.49463961966454</v>
      </c>
      <c r="AB227" s="199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0.16580851770976388</v>
      </c>
      <c r="AD227" s="233">
        <f>(INDEX(Models!$BJ227:$BT227,,AH227)*(1-AF227)+INDEX(Models!$BJ227:$BT227,,AH227+1)*AF227-ERP_i)*AE227*Ramure*Pc/MaxiM</f>
        <v>4.0578358655739138E-3</v>
      </c>
      <c r="AE227" s="307">
        <f t="shared" si="92"/>
        <v>0.9</v>
      </c>
      <c r="AF227" s="179">
        <f t="shared" si="93"/>
        <v>0.42666527134495214</v>
      </c>
      <c r="AG227" s="839">
        <f t="shared" si="99"/>
        <v>2</v>
      </c>
      <c r="AH227" s="178">
        <f t="shared" si="94"/>
        <v>8</v>
      </c>
      <c r="AI227" s="227">
        <f t="shared" si="95"/>
        <v>2.4266652713449521</v>
      </c>
      <c r="AJ227" s="267" t="b">
        <f t="shared" si="96"/>
        <v>0</v>
      </c>
      <c r="AK227" s="267" t="b">
        <f t="shared" si="97"/>
        <v>0</v>
      </c>
      <c r="AL227" s="267"/>
      <c r="AM227" s="267"/>
      <c r="AN227" s="75"/>
    </row>
    <row r="228" spans="1:40" s="6" customFormat="1" ht="11.25" x14ac:dyDescent="0.2">
      <c r="A228" s="56">
        <f t="shared" si="98"/>
        <v>45871</v>
      </c>
      <c r="B228" s="413">
        <f>'2024'!Wh/'2024'!Env_an*'2025'!Env_an</f>
        <v>47.654867601918099</v>
      </c>
      <c r="C228" s="868"/>
      <c r="D228" s="395">
        <f t="shared" si="77"/>
        <v>50.577856796124301</v>
      </c>
      <c r="E228" s="387">
        <f t="shared" si="75"/>
        <v>56.655818019556698</v>
      </c>
      <c r="F228" s="387">
        <f t="shared" si="78"/>
        <v>56.661497918561892</v>
      </c>
      <c r="G228" s="110">
        <f t="shared" si="76"/>
        <v>0.9569503893998651</v>
      </c>
      <c r="H228" s="416" t="b">
        <f>Wh_hp&gt;='2024'!Maxi_hp</f>
        <v>0</v>
      </c>
      <c r="I228" s="392">
        <f>IF(H228,Wh_hp,'2024'!Maxi_hp)</f>
        <v>57.016794472934762</v>
      </c>
      <c r="J228" s="85">
        <f>IF(H228,An,'2024'!An_max)</f>
        <v>2019</v>
      </c>
      <c r="K228" s="199">
        <f t="shared" si="79"/>
        <v>45871</v>
      </c>
      <c r="L228" s="147">
        <f>IF(t&lt;Tvie,1-EXP((T0-t)*PertePVj)+'2024'!Pspv,1-EXP((T0-t)*PertePVj)+Pspv)</f>
        <v>5.7791875325768793E-2</v>
      </c>
      <c r="M228" s="872"/>
      <c r="N228" s="872"/>
      <c r="O228" s="48">
        <f>IF(t&lt;Tnet,'2024'!Resal+('2024'!Salim-'2024'!Resal)*(1-EXP(('2024'!Tnet-t)/('2024'!Tau_j))),Resal+(Salim-Resal)*(1-EXP((Tnet-t)/(Tau_j))))*Salcycl</f>
        <v>0.10727867738727864</v>
      </c>
      <c r="P228" s="171">
        <f>(INDEX(Models!$BJ228:$BT228,,T228)*(1-R228)+INDEX(Models!$BJ228:$BT228,,T228+1)*R228-ERP_i)*Q228*Ramure*Pc/MaxiM</f>
        <v>1.0681048137670667E-4</v>
      </c>
      <c r="Q228" s="307">
        <f t="shared" si="80"/>
        <v>0.9</v>
      </c>
      <c r="R228" s="179">
        <f t="shared" si="81"/>
        <v>0.79368649335646468</v>
      </c>
      <c r="S228" s="839">
        <f t="shared" si="82"/>
        <v>-3</v>
      </c>
      <c r="T228" s="178">
        <f t="shared" si="83"/>
        <v>3</v>
      </c>
      <c r="U228" s="253">
        <f t="shared" si="84"/>
        <v>-2.2063135066435353</v>
      </c>
      <c r="V228" s="385">
        <f t="shared" si="85"/>
        <v>49.798354344726491</v>
      </c>
      <c r="W228" s="404">
        <f t="shared" si="86"/>
        <v>47.654867601918099</v>
      </c>
      <c r="X228" s="157">
        <f t="shared" si="87"/>
        <v>45871</v>
      </c>
      <c r="Y228" s="387">
        <f t="shared" si="88"/>
        <v>44.348440446718513</v>
      </c>
      <c r="Z228" s="387">
        <f t="shared" si="89"/>
        <v>47.068624527146802</v>
      </c>
      <c r="AA228" s="388">
        <f t="shared" si="90"/>
        <v>56.429184803089349</v>
      </c>
      <c r="AB228" s="199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0.1658815435418107</v>
      </c>
      <c r="AD228" s="233">
        <f>(INDEX(Models!$BJ228:$BT228,,AH228)*(1-AF228)+INDEX(Models!$BJ228:$BT228,,AH228+1)*AF228-ERP_i)*AE228*Ramure*Pc/MaxiM</f>
        <v>4.3686473423302698E-3</v>
      </c>
      <c r="AE228" s="307">
        <f t="shared" si="92"/>
        <v>0.9</v>
      </c>
      <c r="AF228" s="179">
        <f t="shared" si="93"/>
        <v>0.42934214566344364</v>
      </c>
      <c r="AG228" s="839">
        <f t="shared" si="99"/>
        <v>2</v>
      </c>
      <c r="AH228" s="178">
        <f t="shared" si="94"/>
        <v>8</v>
      </c>
      <c r="AI228" s="227">
        <f t="shared" si="95"/>
        <v>2.4293421456634436</v>
      </c>
      <c r="AJ228" s="267" t="b">
        <f t="shared" si="96"/>
        <v>0</v>
      </c>
      <c r="AK228" s="267" t="b">
        <f t="shared" si="97"/>
        <v>0</v>
      </c>
      <c r="AL228" s="267"/>
      <c r="AM228" s="267"/>
      <c r="AN228" s="75"/>
    </row>
    <row r="229" spans="1:40" s="6" customFormat="1" ht="11.25" x14ac:dyDescent="0.2">
      <c r="A229" s="56">
        <f t="shared" si="98"/>
        <v>45872</v>
      </c>
      <c r="B229" s="413">
        <f>'2024'!Wh/'2024'!Env_an*'2025'!Env_an</f>
        <v>45.902815040687251</v>
      </c>
      <c r="C229" s="868"/>
      <c r="D229" s="395">
        <f t="shared" si="77"/>
        <v>48.719473000706692</v>
      </c>
      <c r="E229" s="387">
        <f t="shared" si="75"/>
        <v>54.582540261332348</v>
      </c>
      <c r="F229" s="387">
        <f t="shared" si="78"/>
        <v>54.588251277654926</v>
      </c>
      <c r="G229" s="110">
        <f t="shared" si="76"/>
        <v>0.92472721833030447</v>
      </c>
      <c r="H229" s="416" t="b">
        <f>Wh_hp&gt;='2024'!Maxi_hp</f>
        <v>0</v>
      </c>
      <c r="I229" s="392">
        <f>IF(H229,Wh_hp,'2024'!Maxi_hp)</f>
        <v>57.318775039173993</v>
      </c>
      <c r="J229" s="85">
        <f>IF(H229,An,'2024'!An_max)</f>
        <v>2019</v>
      </c>
      <c r="K229" s="199">
        <f t="shared" si="79"/>
        <v>45872</v>
      </c>
      <c r="L229" s="147">
        <f>IF(t&lt;Tvie,1-EXP((T0-t)*PertePVj)+'2024'!Pspv,1-EXP((T0-t)*PertePVj)+Pspv)</f>
        <v>5.7813801885307381E-2</v>
      </c>
      <c r="M229" s="872"/>
      <c r="N229" s="872"/>
      <c r="O229" s="48">
        <f>IF(t&lt;Tnet,'2024'!Resal+('2024'!Salim-'2024'!Resal)*(1-EXP(('2024'!Tnet-t)/('2024'!Tau_j))),Resal+(Salim-Resal)*(1-EXP((Tnet-t)/(Tau_j))))*Salcycl</f>
        <v>0.1074165334290826</v>
      </c>
      <c r="P229" s="171">
        <f>(INDEX(Models!$BJ229:$BT229,,T229)*(1-R229)+INDEX(Models!$BJ229:$BT229,,T229+1)*R229-ERP_i)*Q229*Ramure*Pc/MaxiM</f>
        <v>1.1722324209173781E-4</v>
      </c>
      <c r="Q229" s="307">
        <f t="shared" si="80"/>
        <v>0.9</v>
      </c>
      <c r="R229" s="179">
        <f t="shared" si="81"/>
        <v>0.79627716580827679</v>
      </c>
      <c r="S229" s="839">
        <f t="shared" si="82"/>
        <v>-3</v>
      </c>
      <c r="T229" s="178">
        <f t="shared" si="83"/>
        <v>3</v>
      </c>
      <c r="U229" s="253">
        <f t="shared" si="84"/>
        <v>-2.2037228341917232</v>
      </c>
      <c r="V229" s="385">
        <f t="shared" si="85"/>
        <v>49.638677807341175</v>
      </c>
      <c r="W229" s="404">
        <f t="shared" si="86"/>
        <v>45.902815040687251</v>
      </c>
      <c r="X229" s="157">
        <f t="shared" si="87"/>
        <v>45872</v>
      </c>
      <c r="Y229" s="387">
        <f t="shared" si="88"/>
        <v>42.717188734287667</v>
      </c>
      <c r="Z229" s="387">
        <f t="shared" si="89"/>
        <v>45.338372414884063</v>
      </c>
      <c r="AA229" s="388">
        <f t="shared" si="90"/>
        <v>54.359550472580985</v>
      </c>
      <c r="AB229" s="199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0.16595387524860444</v>
      </c>
      <c r="AD229" s="233">
        <f>(INDEX(Models!$BJ229:$BT229,,AH229)*(1-AF229)+INDEX(Models!$BJ229:$BT229,,AH229+1)*AF229-ERP_i)*AE229*Ramure*Pc/MaxiM</f>
        <v>4.694269517977934E-3</v>
      </c>
      <c r="AE229" s="307">
        <f t="shared" si="92"/>
        <v>0.9</v>
      </c>
      <c r="AF229" s="179">
        <f t="shared" si="93"/>
        <v>0.43193281811525575</v>
      </c>
      <c r="AG229" s="839">
        <f t="shared" si="99"/>
        <v>2</v>
      </c>
      <c r="AH229" s="178">
        <f t="shared" si="94"/>
        <v>8</v>
      </c>
      <c r="AI229" s="227">
        <f t="shared" si="95"/>
        <v>2.4319328181152557</v>
      </c>
      <c r="AJ229" s="267" t="b">
        <f t="shared" si="96"/>
        <v>0</v>
      </c>
      <c r="AK229" s="267" t="b">
        <f t="shared" si="97"/>
        <v>0</v>
      </c>
      <c r="AL229" s="267"/>
      <c r="AM229" s="267"/>
      <c r="AN229" s="75"/>
    </row>
    <row r="230" spans="1:40" s="6" customFormat="1" ht="11.25" x14ac:dyDescent="0.2">
      <c r="A230" s="56">
        <f t="shared" si="98"/>
        <v>45873</v>
      </c>
      <c r="B230" s="413">
        <f>'2024'!Wh/'2024'!Env_an*'2025'!Env_an</f>
        <v>42.641420644471815</v>
      </c>
      <c r="C230" s="868"/>
      <c r="D230" s="395">
        <f t="shared" si="77"/>
        <v>45.259008337254279</v>
      </c>
      <c r="E230" s="387">
        <f t="shared" si="75"/>
        <v>50.713433526637409</v>
      </c>
      <c r="F230" s="387">
        <f t="shared" si="78"/>
        <v>50.71867361165193</v>
      </c>
      <c r="G230" s="110">
        <f t="shared" si="76"/>
        <v>0.86184498160558221</v>
      </c>
      <c r="H230" s="416" t="b">
        <f>Wh_hp&gt;='2024'!Maxi_hp</f>
        <v>0</v>
      </c>
      <c r="I230" s="392">
        <f>IF(H230,Wh_hp,'2024'!Maxi_hp)</f>
        <v>52.926175209989978</v>
      </c>
      <c r="J230" s="85">
        <f>IF(H230,An,'2024'!An_max)</f>
        <v>2019</v>
      </c>
      <c r="K230" s="199">
        <f t="shared" si="79"/>
        <v>45873</v>
      </c>
      <c r="L230" s="147">
        <f>IF(t&lt;Tvie,1-EXP((T0-t)*PertePVj)+'2024'!Pspv,1-EXP((T0-t)*PertePVj)+Pspv)</f>
        <v>5.7835727934583026E-2</v>
      </c>
      <c r="M230" s="872"/>
      <c r="N230" s="872"/>
      <c r="O230" s="48">
        <f>IF(t&lt;Tnet,'2024'!Resal+('2024'!Salim-'2024'!Resal)*(1-EXP(('2024'!Tnet-t)/('2024'!Tau_j))),Resal+(Salim-Resal)*(1-EXP((Tnet-t)/(Tau_j))))*Salcycl</f>
        <v>0.10755385329053242</v>
      </c>
      <c r="P230" s="171">
        <f>(INDEX(Models!$BJ230:$BT230,,T230)*(1-R230)+INDEX(Models!$BJ230:$BT230,,T230+1)*R230-ERP_i)*Q230*Ramure*Pc/MaxiM</f>
        <v>1.2871674726994812E-4</v>
      </c>
      <c r="Q230" s="307">
        <f t="shared" si="80"/>
        <v>0.9</v>
      </c>
      <c r="R230" s="179">
        <f t="shared" si="81"/>
        <v>0.79878365095682424</v>
      </c>
      <c r="S230" s="839">
        <f t="shared" si="82"/>
        <v>-3</v>
      </c>
      <c r="T230" s="178">
        <f t="shared" si="83"/>
        <v>3</v>
      </c>
      <c r="U230" s="253">
        <f t="shared" si="84"/>
        <v>-2.2012163490431758</v>
      </c>
      <c r="V230" s="385">
        <f t="shared" si="85"/>
        <v>49.475646256249618</v>
      </c>
      <c r="W230" s="404">
        <f t="shared" si="86"/>
        <v>42.641420644471815</v>
      </c>
      <c r="X230" s="157">
        <f t="shared" si="87"/>
        <v>45873</v>
      </c>
      <c r="Y230" s="387">
        <f t="shared" si="88"/>
        <v>39.690683353438452</v>
      </c>
      <c r="Z230" s="387">
        <f t="shared" si="89"/>
        <v>42.12713698687422</v>
      </c>
      <c r="AA230" s="388">
        <f t="shared" si="90"/>
        <v>50.513701539205648</v>
      </c>
      <c r="AB230" s="199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0.16602553954242083</v>
      </c>
      <c r="AD230" s="233">
        <f>(INDEX(Models!$BJ230:$BT230,,AH230)*(1-AF230)+INDEX(Models!$BJ230:$BT230,,AH230+1)*AF230-ERP_i)*AE230*Ramure*Pc/MaxiM</f>
        <v>5.0349065660869573E-3</v>
      </c>
      <c r="AE230" s="307">
        <f t="shared" si="92"/>
        <v>0.9</v>
      </c>
      <c r="AF230" s="179">
        <f t="shared" si="93"/>
        <v>0.4344393032638032</v>
      </c>
      <c r="AG230" s="839">
        <f t="shared" si="99"/>
        <v>2</v>
      </c>
      <c r="AH230" s="178">
        <f t="shared" si="94"/>
        <v>8</v>
      </c>
      <c r="AI230" s="227">
        <f t="shared" si="95"/>
        <v>2.4344393032638032</v>
      </c>
      <c r="AJ230" s="267" t="b">
        <f t="shared" si="96"/>
        <v>0</v>
      </c>
      <c r="AK230" s="267" t="b">
        <f t="shared" si="97"/>
        <v>0</v>
      </c>
      <c r="AL230" s="267"/>
      <c r="AM230" s="267"/>
      <c r="AN230" s="75"/>
    </row>
    <row r="231" spans="1:40" s="6" customFormat="1" ht="11.25" x14ac:dyDescent="0.2">
      <c r="A231" s="56">
        <f t="shared" si="98"/>
        <v>45874</v>
      </c>
      <c r="B231" s="413">
        <f>'2024'!Wh/'2024'!Env_an*'2025'!Env_an</f>
        <v>41.738611507514591</v>
      </c>
      <c r="C231" s="868"/>
      <c r="D231" s="395">
        <f t="shared" si="77"/>
        <v>44.301810295866318</v>
      </c>
      <c r="E231" s="387">
        <f t="shared" si="75"/>
        <v>49.64848827980007</v>
      </c>
      <c r="F231" s="387">
        <f t="shared" si="78"/>
        <v>49.653966005276452</v>
      </c>
      <c r="G231" s="110">
        <f t="shared" si="76"/>
        <v>0.84644297950273717</v>
      </c>
      <c r="H231" s="416" t="b">
        <f>Wh_hp&gt;='2024'!Maxi_hp</f>
        <v>0</v>
      </c>
      <c r="I231" s="392">
        <f>IF(H231,Wh_hp,'2024'!Maxi_hp)</f>
        <v>57.776003242992068</v>
      </c>
      <c r="J231" s="85">
        <f>IF(H231,An,'2024'!An_max)</f>
        <v>2020</v>
      </c>
      <c r="K231" s="199">
        <f t="shared" si="79"/>
        <v>45874</v>
      </c>
      <c r="L231" s="147">
        <f>IF(t&lt;Tvie,1-EXP((T0-t)*PertePVj)+'2024'!Pspv,1-EXP((T0-t)*PertePVj)+Pspv)</f>
        <v>5.7857653473607384E-2</v>
      </c>
      <c r="M231" s="872"/>
      <c r="N231" s="872"/>
      <c r="O231" s="48">
        <f>IF(t&lt;Tnet,'2024'!Resal+('2024'!Salim-'2024'!Resal)*(1-EXP(('2024'!Tnet-t)/('2024'!Tau_j))),Resal+(Salim-Resal)*(1-EXP((Tnet-t)/(Tau_j))))*Salcycl</f>
        <v>0.10769065019264834</v>
      </c>
      <c r="P231" s="171">
        <f>(INDEX(Models!$BJ231:$BT231,,T231)*(1-R231)+INDEX(Models!$BJ231:$BT231,,T231+1)*R231-ERP_i)*Q231*Ramure*Pc/MaxiM</f>
        <v>1.413118744490048E-4</v>
      </c>
      <c r="Q231" s="307">
        <f t="shared" si="80"/>
        <v>0.9</v>
      </c>
      <c r="R231" s="179">
        <f t="shared" si="81"/>
        <v>0.80120797211992345</v>
      </c>
      <c r="S231" s="839">
        <f t="shared" si="82"/>
        <v>-3</v>
      </c>
      <c r="T231" s="178">
        <f t="shared" si="83"/>
        <v>3</v>
      </c>
      <c r="U231" s="253">
        <f t="shared" si="84"/>
        <v>-2.1987920278800765</v>
      </c>
      <c r="V231" s="385">
        <f t="shared" si="85"/>
        <v>49.309071885025432</v>
      </c>
      <c r="W231" s="404">
        <f t="shared" si="86"/>
        <v>41.738611507514591</v>
      </c>
      <c r="X231" s="157">
        <f t="shared" si="87"/>
        <v>45874</v>
      </c>
      <c r="Y231" s="387">
        <f t="shared" si="88"/>
        <v>38.846749334864484</v>
      </c>
      <c r="Z231" s="387">
        <f t="shared" si="89"/>
        <v>41.232356743213487</v>
      </c>
      <c r="AA231" s="388">
        <f t="shared" si="90"/>
        <v>49.445001269543901</v>
      </c>
      <c r="AB231" s="199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0.16609655810422772</v>
      </c>
      <c r="AD231" s="233">
        <f>(INDEX(Models!$BJ231:$BT231,,AH231)*(1-AF231)+INDEX(Models!$BJ231:$BT231,,AH231+1)*AF231-ERP_i)*AE231*Ramure*Pc/MaxiM</f>
        <v>5.390777363236344E-3</v>
      </c>
      <c r="AE231" s="307">
        <f t="shared" si="92"/>
        <v>0.9</v>
      </c>
      <c r="AF231" s="179">
        <f t="shared" si="93"/>
        <v>0.43686362442690241</v>
      </c>
      <c r="AG231" s="839">
        <f t="shared" si="99"/>
        <v>2</v>
      </c>
      <c r="AH231" s="178">
        <f t="shared" si="94"/>
        <v>8</v>
      </c>
      <c r="AI231" s="227">
        <f t="shared" si="95"/>
        <v>2.4368636244269024</v>
      </c>
      <c r="AJ231" s="267" t="b">
        <f t="shared" si="96"/>
        <v>0</v>
      </c>
      <c r="AK231" s="267" t="b">
        <f t="shared" si="97"/>
        <v>0</v>
      </c>
      <c r="AL231" s="267"/>
      <c r="AM231" s="267"/>
      <c r="AN231" s="75"/>
    </row>
    <row r="232" spans="1:40" s="6" customFormat="1" ht="11.25" x14ac:dyDescent="0.2">
      <c r="A232" s="56">
        <f t="shared" si="98"/>
        <v>45875</v>
      </c>
      <c r="B232" s="413">
        <f>'2024'!Wh/'2024'!Env_an*'2025'!Env_an</f>
        <v>44.250133670544635</v>
      </c>
      <c r="C232" s="868"/>
      <c r="D232" s="395">
        <f t="shared" si="77"/>
        <v>46.968659908893613</v>
      </c>
      <c r="E232" s="387">
        <f t="shared" si="75"/>
        <v>52.645234106349797</v>
      </c>
      <c r="F232" s="387">
        <f t="shared" si="78"/>
        <v>52.652236669629517</v>
      </c>
      <c r="G232" s="110">
        <f t="shared" si="76"/>
        <v>0.90049386816751908</v>
      </c>
      <c r="H232" s="416" t="b">
        <f>Wh_hp&gt;='2024'!Maxi_hp</f>
        <v>0</v>
      </c>
      <c r="I232" s="392">
        <f>IF(H232,Wh_hp,'2024'!Maxi_hp)</f>
        <v>56.847097363544755</v>
      </c>
      <c r="J232" s="85">
        <f>IF(H232,An,'2024'!An_max)</f>
        <v>2020</v>
      </c>
      <c r="K232" s="199">
        <f t="shared" si="79"/>
        <v>45875</v>
      </c>
      <c r="L232" s="147">
        <f>IF(t&lt;Tvie,1-EXP((T0-t)*PertePVj)+'2024'!Pspv,1-EXP((T0-t)*PertePVj)+Pspv)</f>
        <v>5.7879578502392448E-2</v>
      </c>
      <c r="M232" s="872"/>
      <c r="N232" s="872"/>
      <c r="O232" s="48">
        <f>IF(t&lt;Tnet,'2024'!Resal+('2024'!Salim-'2024'!Resal)*(1-EXP(('2024'!Tnet-t)/('2024'!Tau_j))),Resal+(Salim-Resal)*(1-EXP((Tnet-t)/(Tau_j))))*Salcycl</f>
        <v>0.1078269342669996</v>
      </c>
      <c r="P232" s="171">
        <f>(INDEX(Models!$BJ232:$BT232,,T232)*(1-R232)+INDEX(Models!$BJ232:$BT232,,T232+1)*R232-ERP_i)*Q232*Ramure*Pc/MaxiM</f>
        <v>1.550298507004217E-4</v>
      </c>
      <c r="Q232" s="307">
        <f t="shared" si="80"/>
        <v>0.9</v>
      </c>
      <c r="R232" s="179">
        <f t="shared" si="81"/>
        <v>0.80355215635326793</v>
      </c>
      <c r="S232" s="839">
        <f t="shared" si="82"/>
        <v>-3</v>
      </c>
      <c r="T232" s="178">
        <f t="shared" si="83"/>
        <v>3</v>
      </c>
      <c r="U232" s="253">
        <f t="shared" si="84"/>
        <v>-2.1964478436467321</v>
      </c>
      <c r="V232" s="385">
        <f t="shared" si="85"/>
        <v>49.138767210333846</v>
      </c>
      <c r="W232" s="404">
        <f t="shared" si="86"/>
        <v>44.250133670544635</v>
      </c>
      <c r="X232" s="157">
        <f t="shared" si="87"/>
        <v>45875</v>
      </c>
      <c r="Y232" s="387">
        <f t="shared" si="88"/>
        <v>41.15761750432749</v>
      </c>
      <c r="Z232" s="387">
        <f t="shared" si="89"/>
        <v>43.686153664839125</v>
      </c>
      <c r="AA232" s="388">
        <f t="shared" si="90"/>
        <v>52.391966891099479</v>
      </c>
      <c r="AB232" s="199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0.16616694777571578</v>
      </c>
      <c r="AD232" s="233">
        <f>(INDEX(Models!$BJ232:$BT232,,AH232)*(1-AF232)+INDEX(Models!$BJ232:$BT232,,AH232+1)*AF232-ERP_i)*AE232*Ramure*Pc/MaxiM</f>
        <v>5.762116427306902E-3</v>
      </c>
      <c r="AE232" s="307">
        <f t="shared" si="92"/>
        <v>0.9</v>
      </c>
      <c r="AF232" s="179">
        <f t="shared" si="93"/>
        <v>0.43920780866024689</v>
      </c>
      <c r="AG232" s="839">
        <f t="shared" si="99"/>
        <v>2</v>
      </c>
      <c r="AH232" s="178">
        <f t="shared" si="94"/>
        <v>8</v>
      </c>
      <c r="AI232" s="227">
        <f t="shared" si="95"/>
        <v>2.4392078086602469</v>
      </c>
      <c r="AJ232" s="267" t="b">
        <f t="shared" si="96"/>
        <v>0</v>
      </c>
      <c r="AK232" s="267" t="b">
        <f t="shared" si="97"/>
        <v>0</v>
      </c>
      <c r="AL232" s="267"/>
      <c r="AM232" s="267"/>
      <c r="AN232" s="75"/>
    </row>
    <row r="233" spans="1:40" s="6" customFormat="1" ht="11.25" x14ac:dyDescent="0.2">
      <c r="A233" s="56">
        <f t="shared" si="98"/>
        <v>45876</v>
      </c>
      <c r="B233" s="413">
        <f>'2024'!Wh/'2024'!Env_an*'2025'!Env_an</f>
        <v>47.121018895773041</v>
      </c>
      <c r="C233" s="868"/>
      <c r="D233" s="395">
        <f t="shared" si="77"/>
        <v>50.017083189148636</v>
      </c>
      <c r="E233" s="387">
        <f t="shared" ref="E233:E296" si="100">Wh_pvt/(1-Psa)</f>
        <v>56.07061935656165</v>
      </c>
      <c r="F233" s="387">
        <f t="shared" si="78"/>
        <v>56.079633829988339</v>
      </c>
      <c r="G233" s="110">
        <f t="shared" ref="G233:G296" si="101">+Wh_hp/MaxiM</f>
        <v>0.96231570285101797</v>
      </c>
      <c r="H233" s="416" t="b">
        <f>Wh_hp&gt;='2024'!Maxi_hp</f>
        <v>1</v>
      </c>
      <c r="I233" s="392">
        <f>IF(H233,Wh_hp,'2024'!Maxi_hp)</f>
        <v>56.079633829988339</v>
      </c>
      <c r="J233" s="85">
        <f>IF(H233,An,'2024'!An_max)</f>
        <v>2025</v>
      </c>
      <c r="K233" s="199">
        <f t="shared" si="79"/>
        <v>45876</v>
      </c>
      <c r="L233" s="147">
        <f>IF(t&lt;Tvie,1-EXP((T0-t)*PertePVj)+'2024'!Pspv,1-EXP((T0-t)*PertePVj)+Pspv)</f>
        <v>5.7901503020949985E-2</v>
      </c>
      <c r="M233" s="872"/>
      <c r="N233" s="872"/>
      <c r="O233" s="48">
        <f>IF(t&lt;Tnet,'2024'!Resal+('2024'!Salim-'2024'!Resal)*(1-EXP(('2024'!Tnet-t)/('2024'!Tau_j))),Resal+(Salim-Resal)*(1-EXP((Tnet-t)/(Tau_j))))*Salcycl</f>
        <v>0.10796271268055108</v>
      </c>
      <c r="P233" s="171">
        <f>(INDEX(Models!$BJ233:$BT233,,T233)*(1-R233)+INDEX(Models!$BJ233:$BT233,,T233+1)*R233-ERP_i)*Q233*Ramure*Pc/MaxiM</f>
        <v>1.6988788551345431E-4</v>
      </c>
      <c r="Q233" s="307">
        <f t="shared" si="80"/>
        <v>0.9</v>
      </c>
      <c r="R233" s="179">
        <f t="shared" si="81"/>
        <v>0.80581822978465656</v>
      </c>
      <c r="S233" s="839">
        <f t="shared" si="82"/>
        <v>-3</v>
      </c>
      <c r="T233" s="178">
        <f t="shared" si="83"/>
        <v>3</v>
      </c>
      <c r="U233" s="253">
        <f t="shared" si="84"/>
        <v>-2.1941817702153434</v>
      </c>
      <c r="V233" s="385">
        <f t="shared" si="85"/>
        <v>48.965830885919019</v>
      </c>
      <c r="W233" s="404">
        <f t="shared" si="86"/>
        <v>47.121018895773041</v>
      </c>
      <c r="X233" s="157">
        <f t="shared" si="87"/>
        <v>45876</v>
      </c>
      <c r="Y233" s="387">
        <f t="shared" si="88"/>
        <v>43.793546175529961</v>
      </c>
      <c r="Z233" s="387">
        <f t="shared" si="89"/>
        <v>46.485103538493199</v>
      </c>
      <c r="AA233" s="388">
        <f t="shared" si="90"/>
        <v>55.753359132757964</v>
      </c>
      <c r="AB233" s="199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0.1662367207722053</v>
      </c>
      <c r="AD233" s="233">
        <f>(INDEX(Models!$BJ233:$BT233,,AH233)*(1-AF233)+INDEX(Models!$BJ233:$BT233,,AH233+1)*AF233-ERP_i)*AE233*Ramure*Pc/MaxiM</f>
        <v>6.1490134570586245E-3</v>
      </c>
      <c r="AE233" s="307">
        <f t="shared" si="92"/>
        <v>0.9</v>
      </c>
      <c r="AF233" s="179">
        <f t="shared" si="93"/>
        <v>0.44147388209163552</v>
      </c>
      <c r="AG233" s="839">
        <f t="shared" si="99"/>
        <v>2</v>
      </c>
      <c r="AH233" s="178">
        <f t="shared" si="94"/>
        <v>8</v>
      </c>
      <c r="AI233" s="227">
        <f t="shared" si="95"/>
        <v>2.4414738820916355</v>
      </c>
      <c r="AJ233" s="267" t="b">
        <f t="shared" si="96"/>
        <v>0</v>
      </c>
      <c r="AK233" s="267" t="b">
        <f t="shared" si="97"/>
        <v>0</v>
      </c>
      <c r="AL233" s="267"/>
      <c r="AM233" s="267"/>
      <c r="AN233" s="75"/>
    </row>
    <row r="234" spans="1:40" s="6" customFormat="1" ht="11.25" x14ac:dyDescent="0.2">
      <c r="A234" s="56">
        <f t="shared" si="98"/>
        <v>45877</v>
      </c>
      <c r="B234" s="413">
        <f>'2024'!Wh/'2024'!Env_an*'2025'!Env_an</f>
        <v>47.784167280239906</v>
      </c>
      <c r="C234" s="868"/>
      <c r="D234" s="395">
        <f t="shared" si="77"/>
        <v>50.722169143384129</v>
      </c>
      <c r="E234" s="387">
        <f t="shared" si="100"/>
        <v>56.869665682714931</v>
      </c>
      <c r="F234" s="387">
        <f t="shared" si="78"/>
        <v>56.879944569881722</v>
      </c>
      <c r="G234" s="110">
        <f t="shared" si="101"/>
        <v>0.9793545639523964</v>
      </c>
      <c r="H234" s="416" t="b">
        <f>Wh_hp&gt;='2024'!Maxi_hp</f>
        <v>1</v>
      </c>
      <c r="I234" s="392">
        <f>IF(H234,Wh_hp,'2024'!Maxi_hp)</f>
        <v>56.879944569881722</v>
      </c>
      <c r="J234" s="85">
        <f>IF(H234,An,'2024'!An_max)</f>
        <v>2025</v>
      </c>
      <c r="K234" s="199">
        <f t="shared" si="79"/>
        <v>45877</v>
      </c>
      <c r="L234" s="147">
        <f>IF(t&lt;Tvie,1-EXP((T0-t)*PertePVj)+'2024'!Pspv,1-EXP((T0-t)*PertePVj)+Pspv)</f>
        <v>5.7923427029292096E-2</v>
      </c>
      <c r="M234" s="872"/>
      <c r="N234" s="872"/>
      <c r="O234" s="48">
        <f>IF(t&lt;Tnet,'2024'!Resal+('2024'!Salim-'2024'!Resal)*(1-EXP(('2024'!Tnet-t)/('2024'!Tau_j))),Resal+(Salim-Resal)*(1-EXP((Tnet-t)/(Tau_j))))*Salcycl</f>
        <v>0.10809798977241532</v>
      </c>
      <c r="P234" s="171">
        <f>(INDEX(Models!$BJ234:$BT234,,T234)*(1-R234)+INDEX(Models!$BJ234:$BT234,,T234+1)*R234-ERP_i)*Q234*Ramure*Pc/MaxiM</f>
        <v>1.8620229903956197E-4</v>
      </c>
      <c r="Q234" s="307">
        <f t="shared" si="80"/>
        <v>0.9</v>
      </c>
      <c r="R234" s="179">
        <f t="shared" si="81"/>
        <v>0.8080082132907469</v>
      </c>
      <c r="S234" s="839">
        <f t="shared" si="82"/>
        <v>-3</v>
      </c>
      <c r="T234" s="178">
        <f t="shared" si="83"/>
        <v>3</v>
      </c>
      <c r="U234" s="253">
        <f t="shared" si="84"/>
        <v>-2.1919917867092531</v>
      </c>
      <c r="V234" s="385">
        <f t="shared" si="85"/>
        <v>48.791220913348539</v>
      </c>
      <c r="W234" s="404">
        <f t="shared" si="86"/>
        <v>47.784167280239906</v>
      </c>
      <c r="X234" s="157">
        <f t="shared" si="87"/>
        <v>45877</v>
      </c>
      <c r="Y234" s="387">
        <f t="shared" si="88"/>
        <v>44.389758455219116</v>
      </c>
      <c r="Z234" s="387">
        <f t="shared" si="89"/>
        <v>47.119055636042582</v>
      </c>
      <c r="AA234" s="388">
        <f t="shared" si="90"/>
        <v>56.51839779522404</v>
      </c>
      <c r="AB234" s="199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0.16630588491267745</v>
      </c>
      <c r="AD234" s="233">
        <f>(INDEX(Models!$BJ234:$BT234,,AH234)*(1-AF234)+INDEX(Models!$BJ234:$BT234,,AH234+1)*AF234-ERP_i)*AE234*Ramure*Pc/MaxiM</f>
        <v>6.549428898205696E-3</v>
      </c>
      <c r="AE234" s="307">
        <f t="shared" si="92"/>
        <v>0.9</v>
      </c>
      <c r="AF234" s="179">
        <f t="shared" si="93"/>
        <v>0.44366386559772586</v>
      </c>
      <c r="AG234" s="839">
        <f t="shared" si="99"/>
        <v>2</v>
      </c>
      <c r="AH234" s="178">
        <f t="shared" si="94"/>
        <v>8</v>
      </c>
      <c r="AI234" s="227">
        <f t="shared" si="95"/>
        <v>2.4436638655977259</v>
      </c>
      <c r="AJ234" s="267" t="b">
        <f t="shared" si="96"/>
        <v>0</v>
      </c>
      <c r="AK234" s="267" t="b">
        <f t="shared" si="97"/>
        <v>0</v>
      </c>
      <c r="AL234" s="267"/>
      <c r="AM234" s="267"/>
      <c r="AN234" s="75"/>
    </row>
    <row r="235" spans="1:40" s="6" customFormat="1" ht="11.25" x14ac:dyDescent="0.2">
      <c r="A235" s="56">
        <f t="shared" si="98"/>
        <v>45878</v>
      </c>
      <c r="B235" s="413">
        <f>'2024'!Wh/'2024'!Env_an*'2025'!Env_an</f>
        <v>45.960077744752816</v>
      </c>
      <c r="C235" s="868"/>
      <c r="D235" s="395">
        <f t="shared" si="77"/>
        <v>48.787061101481314</v>
      </c>
      <c r="E235" s="387">
        <f t="shared" si="100"/>
        <v>54.708290803983324</v>
      </c>
      <c r="F235" s="387">
        <f t="shared" si="78"/>
        <v>54.718569696877893</v>
      </c>
      <c r="G235" s="110">
        <f t="shared" si="101"/>
        <v>0.94538208751580699</v>
      </c>
      <c r="H235" s="416" t="b">
        <f>Wh_hp&gt;='2024'!Maxi_hp</f>
        <v>0</v>
      </c>
      <c r="I235" s="392">
        <f>IF(H235,Wh_hp,'2024'!Maxi_hp)</f>
        <v>56.037140301395539</v>
      </c>
      <c r="J235" s="85">
        <f>IF(H235,An,'2024'!An_max)</f>
        <v>2021</v>
      </c>
      <c r="K235" s="199">
        <f t="shared" si="79"/>
        <v>45878</v>
      </c>
      <c r="L235" s="147">
        <f>IF(t&lt;Tvie,1-EXP((T0-t)*PertePVj)+'2024'!Pspv,1-EXP((T0-t)*PertePVj)+Pspv)</f>
        <v>5.7945350527430328E-2</v>
      </c>
      <c r="M235" s="872"/>
      <c r="N235" s="872"/>
      <c r="O235" s="48">
        <f>IF(t&lt;Tnet,'2024'!Resal+('2024'!Salim-'2024'!Resal)*(1-EXP(('2024'!Tnet-t)/('2024'!Tau_j))),Resal+(Salim-Resal)*(1-EXP((Tnet-t)/(Tau_j))))*Salcycl</f>
        <v>0.10823276720008373</v>
      </c>
      <c r="P235" s="171">
        <f>(INDEX(Models!$BJ235:$BT235,,T235)*(1-R235)+INDEX(Models!$BJ235:$BT235,,T235+1)*R235-ERP_i)*Q235*Ramure*Pc/MaxiM</f>
        <v>2.0374296598366085E-4</v>
      </c>
      <c r="Q235" s="307">
        <f t="shared" si="80"/>
        <v>0.9</v>
      </c>
      <c r="R235" s="179">
        <f t="shared" si="81"/>
        <v>0.81012411850682664</v>
      </c>
      <c r="S235" s="839">
        <f t="shared" si="82"/>
        <v>-3</v>
      </c>
      <c r="T235" s="178">
        <f t="shared" si="83"/>
        <v>3</v>
      </c>
      <c r="U235" s="253">
        <f t="shared" si="84"/>
        <v>-2.1898758814931734</v>
      </c>
      <c r="V235" s="385">
        <f t="shared" si="85"/>
        <v>48.614573705722258</v>
      </c>
      <c r="W235" s="404">
        <f t="shared" si="86"/>
        <v>45.960077744752816</v>
      </c>
      <c r="X235" s="157">
        <f t="shared" si="87"/>
        <v>45878</v>
      </c>
      <c r="Y235" s="387">
        <f t="shared" si="88"/>
        <v>42.696156128675369</v>
      </c>
      <c r="Z235" s="387">
        <f t="shared" si="89"/>
        <v>45.322377159944772</v>
      </c>
      <c r="AA235" s="388">
        <f t="shared" si="90"/>
        <v>54.367787583160734</v>
      </c>
      <c r="AB235" s="199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0.16637444386310807</v>
      </c>
      <c r="AD235" s="233">
        <f>(INDEX(Models!$BJ235:$BT235,,AH235)*(1-AF235)+INDEX(Models!$BJ235:$BT235,,AH235+1)*AF235-ERP_i)*AE235*Ramure*Pc/MaxiM</f>
        <v>6.9530239293080949E-3</v>
      </c>
      <c r="AE235" s="307">
        <f t="shared" si="92"/>
        <v>0.9</v>
      </c>
      <c r="AF235" s="179">
        <f t="shared" si="93"/>
        <v>0.4457797708138056</v>
      </c>
      <c r="AG235" s="839">
        <f t="shared" si="99"/>
        <v>2</v>
      </c>
      <c r="AH235" s="178">
        <f t="shared" si="94"/>
        <v>8</v>
      </c>
      <c r="AI235" s="227">
        <f t="shared" si="95"/>
        <v>2.4457797708138056</v>
      </c>
      <c r="AJ235" s="267" t="b">
        <f t="shared" si="96"/>
        <v>0</v>
      </c>
      <c r="AK235" s="267" t="b">
        <f t="shared" si="97"/>
        <v>0</v>
      </c>
      <c r="AL235" s="267"/>
      <c r="AM235" s="267"/>
      <c r="AN235" s="75"/>
    </row>
    <row r="236" spans="1:40" s="6" customFormat="1" ht="11.25" x14ac:dyDescent="0.2">
      <c r="A236" s="56">
        <f t="shared" si="98"/>
        <v>45879</v>
      </c>
      <c r="B236" s="413">
        <f>'2024'!Wh/'2024'!Env_an*'2025'!Env_an</f>
        <v>44.261375522990633</v>
      </c>
      <c r="C236" s="868"/>
      <c r="D236" s="395">
        <f t="shared" si="77"/>
        <v>46.984965891960563</v>
      </c>
      <c r="E236" s="387">
        <f t="shared" si="100"/>
        <v>52.695411918852521</v>
      </c>
      <c r="F236" s="387">
        <f t="shared" si="78"/>
        <v>52.705696675756691</v>
      </c>
      <c r="G236" s="110">
        <f t="shared" si="101"/>
        <v>0.9137956692179483</v>
      </c>
      <c r="H236" s="416" t="b">
        <f>Wh_hp&gt;='2024'!Maxi_hp</f>
        <v>1</v>
      </c>
      <c r="I236" s="392">
        <f>IF(H236,Wh_hp,'2024'!Maxi_hp)</f>
        <v>52.705696675756691</v>
      </c>
      <c r="J236" s="85">
        <f>IF(H236,An,'2024'!An_max)</f>
        <v>2025</v>
      </c>
      <c r="K236" s="199">
        <f t="shared" si="79"/>
        <v>45879</v>
      </c>
      <c r="L236" s="147">
        <f>IF(t&lt;Tvie,1-EXP((T0-t)*PertePVj)+'2024'!Pspv,1-EXP((T0-t)*PertePVj)+Pspv)</f>
        <v>5.7967273515376894E-2</v>
      </c>
      <c r="M236" s="872"/>
      <c r="N236" s="872"/>
      <c r="O236" s="48">
        <f>IF(t&lt;Tnet,'2024'!Resal+('2024'!Salim-'2024'!Resal)*(1-EXP(('2024'!Tnet-t)/('2024'!Tau_j))),Resal+(Salim-Resal)*(1-EXP((Tnet-t)/(Tau_j))))*Salcycl</f>
        <v>0.10836704409267499</v>
      </c>
      <c r="P236" s="171">
        <f>(INDEX(Models!$BJ236:$BT236,,T236)*(1-R236)+INDEX(Models!$BJ236:$BT236,,T236+1)*R236-ERP_i)*Q236*Ramure*Pc/MaxiM</f>
        <v>2.2253225847962578E-4</v>
      </c>
      <c r="Q236" s="307">
        <f t="shared" si="80"/>
        <v>0.9</v>
      </c>
      <c r="R236" s="179">
        <f t="shared" si="81"/>
        <v>0.81216794415908256</v>
      </c>
      <c r="S236" s="839">
        <f t="shared" si="82"/>
        <v>-3</v>
      </c>
      <c r="T236" s="178">
        <f t="shared" si="83"/>
        <v>3</v>
      </c>
      <c r="U236" s="253">
        <f t="shared" si="84"/>
        <v>-2.1878320558409174</v>
      </c>
      <c r="V236" s="385">
        <f t="shared" si="85"/>
        <v>48.435513717968007</v>
      </c>
      <c r="W236" s="404">
        <f t="shared" si="86"/>
        <v>44.261375522990633</v>
      </c>
      <c r="X236" s="157">
        <f t="shared" si="87"/>
        <v>45879</v>
      </c>
      <c r="Y236" s="387">
        <f t="shared" si="88"/>
        <v>41.11944384116692</v>
      </c>
      <c r="Z236" s="387">
        <f t="shared" si="89"/>
        <v>43.649697813166277</v>
      </c>
      <c r="AA236" s="388">
        <f t="shared" si="90"/>
        <v>52.365544596382094</v>
      </c>
      <c r="AB236" s="199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0.16644239738925559</v>
      </c>
      <c r="AD236" s="233">
        <f>(INDEX(Models!$BJ236:$BT236,,AH236)*(1-AF236)+INDEX(Models!$BJ236:$BT236,,AH236+1)*AF236-ERP_i)*AE236*Ramure*Pc/MaxiM</f>
        <v>7.3599027332415506E-3</v>
      </c>
      <c r="AE236" s="307">
        <f t="shared" si="92"/>
        <v>0.9</v>
      </c>
      <c r="AF236" s="179">
        <f t="shared" si="93"/>
        <v>0.44782359646606151</v>
      </c>
      <c r="AG236" s="839">
        <f t="shared" si="99"/>
        <v>2</v>
      </c>
      <c r="AH236" s="178">
        <f t="shared" si="94"/>
        <v>8</v>
      </c>
      <c r="AI236" s="227">
        <f t="shared" si="95"/>
        <v>2.4478235964660615</v>
      </c>
      <c r="AJ236" s="267" t="b">
        <f t="shared" si="96"/>
        <v>0</v>
      </c>
      <c r="AK236" s="267" t="b">
        <f t="shared" si="97"/>
        <v>0</v>
      </c>
      <c r="AL236" s="267"/>
      <c r="AM236" s="267"/>
      <c r="AN236" s="75"/>
    </row>
    <row r="237" spans="1:40" s="6" customFormat="1" ht="11.25" x14ac:dyDescent="0.2">
      <c r="A237" s="56">
        <f t="shared" si="98"/>
        <v>45880</v>
      </c>
      <c r="B237" s="413">
        <f>'2024'!Wh/'2024'!Env_an*'2025'!Env_an</f>
        <v>40.100439298283867</v>
      </c>
      <c r="C237" s="868"/>
      <c r="D237" s="395">
        <f t="shared" si="77"/>
        <v>42.568980236443224</v>
      </c>
      <c r="E237" s="387">
        <f t="shared" si="100"/>
        <v>47.749881388741983</v>
      </c>
      <c r="F237" s="387">
        <f t="shared" si="78"/>
        <v>47.758670711630707</v>
      </c>
      <c r="G237" s="110">
        <f t="shared" si="101"/>
        <v>0.83098537752129431</v>
      </c>
      <c r="H237" s="416" t="b">
        <f>Wh_hp&gt;='2024'!Maxi_hp</f>
        <v>0</v>
      </c>
      <c r="I237" s="392">
        <f>IF(H237,Wh_hp,'2024'!Maxi_hp)</f>
        <v>51.041583493059605</v>
      </c>
      <c r="J237" s="85">
        <f>IF(H237,An,'2024'!An_max)</f>
        <v>2021</v>
      </c>
      <c r="K237" s="199">
        <f t="shared" si="79"/>
        <v>45880</v>
      </c>
      <c r="L237" s="147">
        <f>IF(t&lt;Tvie,1-EXP((T0-t)*PertePVj)+'2024'!Pspv,1-EXP((T0-t)*PertePVj)+Pspv)</f>
        <v>5.798919599314345E-2</v>
      </c>
      <c r="M237" s="872"/>
      <c r="N237" s="872"/>
      <c r="O237" s="48">
        <f>IF(t&lt;Tnet,'2024'!Resal+('2024'!Salim-'2024'!Resal)*(1-EXP(('2024'!Tnet-t)/('2024'!Tau_j))),Resal+(Salim-Resal)*(1-EXP((Tnet-t)/(Tau_j))))*Salcycl</f>
        <v>0.10850081720873683</v>
      </c>
      <c r="P237" s="171">
        <f>(INDEX(Models!$BJ237:$BT237,,T237)*(1-R237)+INDEX(Models!$BJ237:$BT237,,T237+1)*R237-ERP_i)*Q237*Ramure*Pc/MaxiM</f>
        <v>2.4259333240795312E-4</v>
      </c>
      <c r="Q237" s="307">
        <f t="shared" si="80"/>
        <v>0.9</v>
      </c>
      <c r="R237" s="179">
        <f t="shared" si="81"/>
        <v>0.81414167270796201</v>
      </c>
      <c r="S237" s="839">
        <f t="shared" si="82"/>
        <v>-3</v>
      </c>
      <c r="T237" s="178">
        <f t="shared" si="83"/>
        <v>3</v>
      </c>
      <c r="U237" s="253">
        <f t="shared" si="84"/>
        <v>-2.185858327292038</v>
      </c>
      <c r="V237" s="385">
        <f t="shared" si="85"/>
        <v>48.253665807893867</v>
      </c>
      <c r="W237" s="404">
        <f t="shared" si="86"/>
        <v>40.100439298283867</v>
      </c>
      <c r="X237" s="157">
        <f t="shared" si="87"/>
        <v>45880</v>
      </c>
      <c r="Y237" s="387">
        <f t="shared" si="88"/>
        <v>37.277009705450695</v>
      </c>
      <c r="Z237" s="387">
        <f t="shared" si="89"/>
        <v>39.57174328244686</v>
      </c>
      <c r="AA237" s="388">
        <f t="shared" si="90"/>
        <v>47.477151513595352</v>
      </c>
      <c r="AB237" s="199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0.16650974161507426</v>
      </c>
      <c r="AD237" s="233">
        <f>(INDEX(Models!$BJ237:$BT237,,AH237)*(1-AF237)+INDEX(Models!$BJ237:$BT237,,AH237+1)*AF237-ERP_i)*AE237*Ramure*Pc/MaxiM</f>
        <v>7.7701867655645754E-3</v>
      </c>
      <c r="AE237" s="307">
        <f t="shared" si="92"/>
        <v>0.9</v>
      </c>
      <c r="AF237" s="179">
        <f t="shared" si="93"/>
        <v>0.44979732501494096</v>
      </c>
      <c r="AG237" s="839">
        <f t="shared" si="99"/>
        <v>2</v>
      </c>
      <c r="AH237" s="178">
        <f t="shared" si="94"/>
        <v>8</v>
      </c>
      <c r="AI237" s="227">
        <f t="shared" si="95"/>
        <v>2.449797325014941</v>
      </c>
      <c r="AJ237" s="267" t="b">
        <f t="shared" si="96"/>
        <v>0</v>
      </c>
      <c r="AK237" s="267" t="b">
        <f t="shared" si="97"/>
        <v>0</v>
      </c>
      <c r="AL237" s="267"/>
      <c r="AM237" s="267"/>
      <c r="AN237" s="75"/>
    </row>
    <row r="238" spans="1:40" s="6" customFormat="1" ht="11.25" x14ac:dyDescent="0.2">
      <c r="A238" s="56">
        <f t="shared" si="98"/>
        <v>45881</v>
      </c>
      <c r="B238" s="413">
        <f>'2024'!Wh/'2024'!Env_an*'2025'!Env_an</f>
        <v>42.640657158053841</v>
      </c>
      <c r="C238" s="868"/>
      <c r="D238" s="395">
        <f t="shared" si="77"/>
        <v>45.266624660944522</v>
      </c>
      <c r="E238" s="387">
        <f t="shared" si="100"/>
        <v>50.783436634655345</v>
      </c>
      <c r="F238" s="387">
        <f t="shared" si="78"/>
        <v>50.79468108662175</v>
      </c>
      <c r="G238" s="110">
        <f t="shared" si="101"/>
        <v>0.88704044110691427</v>
      </c>
      <c r="H238" s="416" t="b">
        <f>Wh_hp&gt;='2024'!Maxi_hp</f>
        <v>1</v>
      </c>
      <c r="I238" s="392">
        <f>IF(H238,Wh_hp,'2024'!Maxi_hp)</f>
        <v>50.79468108662175</v>
      </c>
      <c r="J238" s="85">
        <f>IF(H238,An,'2024'!An_max)</f>
        <v>2025</v>
      </c>
      <c r="K238" s="199">
        <f t="shared" si="79"/>
        <v>45881</v>
      </c>
      <c r="L238" s="147">
        <f>IF(t&lt;Tvie,1-EXP((T0-t)*PertePVj)+'2024'!Pspv,1-EXP((T0-t)*PertePVj)+Pspv)</f>
        <v>5.8011117960741876E-2</v>
      </c>
      <c r="M238" s="872"/>
      <c r="N238" s="872"/>
      <c r="O238" s="48">
        <f>IF(t&lt;Tnet,'2024'!Resal+('2024'!Salim-'2024'!Resal)*(1-EXP(('2024'!Tnet-t)/('2024'!Tau_j))),Resal+(Salim-Resal)*(1-EXP((Tnet-t)/(Tau_j))))*Salcycl</f>
        <v>0.10863408109615949</v>
      </c>
      <c r="P238" s="171">
        <f>(INDEX(Models!$BJ238:$BT238,,T238)*(1-R238)+INDEX(Models!$BJ238:$BT238,,T238+1)*R238-ERP_i)*Q238*Ramure*Pc/MaxiM</f>
        <v>2.63950279464826E-4</v>
      </c>
      <c r="Q238" s="307">
        <f t="shared" si="80"/>
        <v>0.9</v>
      </c>
      <c r="R238" s="179">
        <f t="shared" si="81"/>
        <v>0.81604726729055432</v>
      </c>
      <c r="S238" s="839">
        <f t="shared" si="82"/>
        <v>-3</v>
      </c>
      <c r="T238" s="178">
        <f t="shared" si="83"/>
        <v>3</v>
      </c>
      <c r="U238" s="253">
        <f t="shared" si="84"/>
        <v>-2.1839527327094457</v>
      </c>
      <c r="V238" s="385">
        <f t="shared" si="85"/>
        <v>48.068655223636981</v>
      </c>
      <c r="W238" s="404">
        <f t="shared" si="86"/>
        <v>42.640657158053841</v>
      </c>
      <c r="X238" s="157">
        <f t="shared" si="87"/>
        <v>45881</v>
      </c>
      <c r="Y238" s="387">
        <f t="shared" si="88"/>
        <v>39.603957621926924</v>
      </c>
      <c r="Z238" s="387">
        <f t="shared" si="89"/>
        <v>42.042914069421464</v>
      </c>
      <c r="AA238" s="388">
        <f t="shared" si="90"/>
        <v>50.446036762666168</v>
      </c>
      <c r="AB238" s="199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0.16657646928298717</v>
      </c>
      <c r="AD238" s="233">
        <f>(INDEX(Models!$BJ238:$BT238,,AH238)*(1-AF238)+INDEX(Models!$BJ238:$BT238,,AH238+1)*AF238-ERP_i)*AE238*Ramure*Pc/MaxiM</f>
        <v>8.1840152829889459E-3</v>
      </c>
      <c r="AE238" s="307">
        <f t="shared" si="92"/>
        <v>0.9</v>
      </c>
      <c r="AF238" s="179">
        <f t="shared" si="93"/>
        <v>0.45170291959753328</v>
      </c>
      <c r="AG238" s="839">
        <f t="shared" si="99"/>
        <v>2</v>
      </c>
      <c r="AH238" s="178">
        <f t="shared" si="94"/>
        <v>8</v>
      </c>
      <c r="AI238" s="227">
        <f t="shared" si="95"/>
        <v>2.4517029195975333</v>
      </c>
      <c r="AJ238" s="267" t="b">
        <f t="shared" si="96"/>
        <v>0</v>
      </c>
      <c r="AK238" s="267" t="b">
        <f t="shared" si="97"/>
        <v>0</v>
      </c>
      <c r="AL238" s="267"/>
      <c r="AM238" s="267"/>
      <c r="AN238" s="75"/>
    </row>
    <row r="239" spans="1:40" s="6" customFormat="1" ht="11.25" x14ac:dyDescent="0.2">
      <c r="A239" s="56">
        <f t="shared" si="98"/>
        <v>45882</v>
      </c>
      <c r="B239" s="413">
        <f>'2024'!Wh/'2024'!Env_an*'2025'!Env_an</f>
        <v>28.764548570384726</v>
      </c>
      <c r="C239" s="868"/>
      <c r="D239" s="395">
        <f t="shared" si="77"/>
        <v>30.536685227917118</v>
      </c>
      <c r="E239" s="387">
        <f t="shared" si="100"/>
        <v>34.263407372975522</v>
      </c>
      <c r="F239" s="387">
        <f t="shared" si="78"/>
        <v>34.267627523966013</v>
      </c>
      <c r="G239" s="110">
        <f t="shared" si="101"/>
        <v>0.60066376494231211</v>
      </c>
      <c r="H239" s="416" t="b">
        <f>Wh_hp&gt;='2024'!Maxi_hp</f>
        <v>0</v>
      </c>
      <c r="I239" s="392">
        <f>IF(H239,Wh_hp,'2024'!Maxi_hp)</f>
        <v>52.03553309327885</v>
      </c>
      <c r="J239" s="85">
        <f>IF(H239,An,'2024'!An_max)</f>
        <v>2019</v>
      </c>
      <c r="K239" s="199">
        <f t="shared" si="79"/>
        <v>45882</v>
      </c>
      <c r="L239" s="147">
        <f>IF(t&lt;Tvie,1-EXP((T0-t)*PertePVj)+'2024'!Pspv,1-EXP((T0-t)*PertePVj)+Pspv)</f>
        <v>5.8033039418184051E-2</v>
      </c>
      <c r="M239" s="872"/>
      <c r="N239" s="872"/>
      <c r="O239" s="48">
        <f>IF(t&lt;Tnet,'2024'!Resal+('2024'!Salim-'2024'!Resal)*(1-EXP(('2024'!Tnet-t)/('2024'!Tau_j))),Resal+(Salim-Resal)*(1-EXP((Tnet-t)/(Tau_j))))*Salcycl</f>
        <v>0.108766828251815</v>
      </c>
      <c r="P239" s="171">
        <f>(INDEX(Models!$BJ239:$BT239,,T239)*(1-R239)+INDEX(Models!$BJ239:$BT239,,T239+1)*R239-ERP_i)*Q239*Ramure*Pc/MaxiM</f>
        <v>2.8662828603649932E-4</v>
      </c>
      <c r="Q239" s="307">
        <f t="shared" si="80"/>
        <v>0.9</v>
      </c>
      <c r="R239" s="179">
        <f t="shared" si="81"/>
        <v>0.81788666894939555</v>
      </c>
      <c r="S239" s="839">
        <f t="shared" si="82"/>
        <v>-3</v>
      </c>
      <c r="T239" s="178">
        <f t="shared" si="83"/>
        <v>3</v>
      </c>
      <c r="U239" s="253">
        <f t="shared" si="84"/>
        <v>-2.1821133310506045</v>
      </c>
      <c r="V239" s="385">
        <f t="shared" si="85"/>
        <v>47.880107588404087</v>
      </c>
      <c r="W239" s="404">
        <f t="shared" si="86"/>
        <v>28.764548570384726</v>
      </c>
      <c r="X239" s="157">
        <f t="shared" si="87"/>
        <v>45882</v>
      </c>
      <c r="Y239" s="387">
        <f t="shared" si="88"/>
        <v>26.800506817063987</v>
      </c>
      <c r="Z239" s="387">
        <f t="shared" si="89"/>
        <v>28.451642083614448</v>
      </c>
      <c r="AA239" s="388">
        <f t="shared" si="90"/>
        <v>34.140983280171277</v>
      </c>
      <c r="AB239" s="199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0.1666425700123621</v>
      </c>
      <c r="AD239" s="233">
        <f>(INDEX(Models!$BJ239:$BT239,,AH239)*(1-AF239)+INDEX(Models!$BJ239:$BT239,,AH239+1)*AF239-ERP_i)*AE239*Ramure*Pc/MaxiM</f>
        <v>8.6015459202869529E-3</v>
      </c>
      <c r="AE239" s="307">
        <f t="shared" si="92"/>
        <v>0.9</v>
      </c>
      <c r="AF239" s="179">
        <f t="shared" si="93"/>
        <v>0.4535423212563745</v>
      </c>
      <c r="AG239" s="839">
        <f t="shared" si="99"/>
        <v>2</v>
      </c>
      <c r="AH239" s="178">
        <f t="shared" si="94"/>
        <v>8</v>
      </c>
      <c r="AI239" s="227">
        <f t="shared" si="95"/>
        <v>2.4535423212563745</v>
      </c>
      <c r="AJ239" s="267" t="b">
        <f t="shared" si="96"/>
        <v>0</v>
      </c>
      <c r="AK239" s="267" t="b">
        <f t="shared" si="97"/>
        <v>0</v>
      </c>
      <c r="AL239" s="267"/>
      <c r="AM239" s="267"/>
      <c r="AN239" s="75"/>
    </row>
    <row r="240" spans="1:40" s="6" customFormat="1" ht="11.25" x14ac:dyDescent="0.2">
      <c r="A240" s="56">
        <f t="shared" si="98"/>
        <v>45883</v>
      </c>
      <c r="B240" s="413">
        <f>'2024'!Wh/'2024'!Env_an*'2025'!Env_an</f>
        <v>30.954459708469244</v>
      </c>
      <c r="C240" s="868"/>
      <c r="D240" s="395">
        <f t="shared" si="77"/>
        <v>32.862277952522383</v>
      </c>
      <c r="E240" s="387">
        <f t="shared" si="100"/>
        <v>36.878288510318676</v>
      </c>
      <c r="F240" s="387">
        <f t="shared" si="78"/>
        <v>36.884000493669312</v>
      </c>
      <c r="G240" s="110">
        <f t="shared" si="101"/>
        <v>0.64900739031052135</v>
      </c>
      <c r="H240" s="416" t="b">
        <f>Wh_hp&gt;='2024'!Maxi_hp</f>
        <v>0</v>
      </c>
      <c r="I240" s="392">
        <f>IF(H240,Wh_hp,'2024'!Maxi_hp)</f>
        <v>56.382758921997223</v>
      </c>
      <c r="J240" s="85">
        <f>IF(H240,An,'2024'!An_max)</f>
        <v>2019</v>
      </c>
      <c r="K240" s="199">
        <f t="shared" si="79"/>
        <v>45883</v>
      </c>
      <c r="L240" s="147">
        <f>IF(t&lt;Tvie,1-EXP((T0-t)*PertePVj)+'2024'!Pspv,1-EXP((T0-t)*PertePVj)+Pspv)</f>
        <v>5.8054960365481967E-2</v>
      </c>
      <c r="M240" s="872"/>
      <c r="N240" s="872"/>
      <c r="O240" s="48">
        <f>IF(t&lt;Tnet,'2024'!Resal+('2024'!Salim-'2024'!Resal)*(1-EXP(('2024'!Tnet-t)/('2024'!Tau_j))),Resal+(Salim-Resal)*(1-EXP((Tnet-t)/(Tau_j))))*Salcycl</f>
        <v>0.10889904927861827</v>
      </c>
      <c r="P240" s="171">
        <f>(INDEX(Models!$BJ240:$BT240,,T240)*(1-R240)+INDEX(Models!$BJ240:$BT240,,T240+1)*R240-ERP_i)*Q240*Ramure*Pc/MaxiM</f>
        <v>3.1051787264713046E-4</v>
      </c>
      <c r="Q240" s="307">
        <f t="shared" si="80"/>
        <v>0.9</v>
      </c>
      <c r="R240" s="179">
        <f t="shared" si="81"/>
        <v>0.81966179413472418</v>
      </c>
      <c r="S240" s="839">
        <f t="shared" si="82"/>
        <v>-3</v>
      </c>
      <c r="T240" s="178">
        <f t="shared" si="83"/>
        <v>3</v>
      </c>
      <c r="U240" s="253">
        <f t="shared" si="84"/>
        <v>-2.1803382058652758</v>
      </c>
      <c r="V240" s="385">
        <f t="shared" si="85"/>
        <v>47.68765537268775</v>
      </c>
      <c r="W240" s="404">
        <f t="shared" si="86"/>
        <v>30.954459708469244</v>
      </c>
      <c r="X240" s="157">
        <f t="shared" si="87"/>
        <v>45883</v>
      </c>
      <c r="Y240" s="387">
        <f t="shared" si="88"/>
        <v>28.820636971779898</v>
      </c>
      <c r="Z240" s="387">
        <f t="shared" si="89"/>
        <v>30.596941179246009</v>
      </c>
      <c r="AA240" s="388">
        <f t="shared" si="90"/>
        <v>36.718151981639153</v>
      </c>
      <c r="AB240" s="199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0.1667080305526826</v>
      </c>
      <c r="AD240" s="233">
        <f>(INDEX(Models!$BJ240:$BT240,,AH240)*(1-AF240)+INDEX(Models!$BJ240:$BT240,,AH240+1)*AF240-ERP_i)*AE240*Ramure*Pc/MaxiM</f>
        <v>9.0159448961911505E-3</v>
      </c>
      <c r="AE240" s="307">
        <f t="shared" si="92"/>
        <v>0.9</v>
      </c>
      <c r="AF240" s="179">
        <f t="shared" si="93"/>
        <v>0.45531744644170313</v>
      </c>
      <c r="AG240" s="839">
        <f t="shared" si="99"/>
        <v>2</v>
      </c>
      <c r="AH240" s="178">
        <f t="shared" si="94"/>
        <v>8</v>
      </c>
      <c r="AI240" s="227">
        <f t="shared" si="95"/>
        <v>2.4553174464417031</v>
      </c>
      <c r="AJ240" s="267" t="b">
        <f t="shared" si="96"/>
        <v>0</v>
      </c>
      <c r="AK240" s="267" t="b">
        <f t="shared" si="97"/>
        <v>0</v>
      </c>
      <c r="AL240" s="267"/>
      <c r="AM240" s="267"/>
      <c r="AN240" s="75"/>
    </row>
    <row r="241" spans="1:40" s="6" customFormat="1" ht="11.25" x14ac:dyDescent="0.2">
      <c r="A241" s="56">
        <f t="shared" si="98"/>
        <v>45884</v>
      </c>
      <c r="B241" s="413">
        <f>'2024'!Wh/'2024'!Env_an*'2025'!Env_an</f>
        <v>36.309134801832791</v>
      </c>
      <c r="C241" s="868"/>
      <c r="D241" s="395">
        <f t="shared" si="77"/>
        <v>38.547875152245062</v>
      </c>
      <c r="E241" s="387">
        <f t="shared" si="100"/>
        <v>43.265100808332555</v>
      </c>
      <c r="F241" s="387">
        <f t="shared" si="78"/>
        <v>43.274718591554972</v>
      </c>
      <c r="G241" s="110">
        <f t="shared" si="101"/>
        <v>0.7644621926077505</v>
      </c>
      <c r="H241" s="416" t="b">
        <f>Wh_hp&gt;='2024'!Maxi_hp</f>
        <v>0</v>
      </c>
      <c r="I241" s="392">
        <f>IF(H241,Wh_hp,'2024'!Maxi_hp)</f>
        <v>51.37885714144074</v>
      </c>
      <c r="J241" s="85">
        <f>IF(H241,An,'2024'!An_max)</f>
        <v>2020</v>
      </c>
      <c r="K241" s="199">
        <f t="shared" si="79"/>
        <v>45884</v>
      </c>
      <c r="L241" s="147">
        <f>IF(t&lt;Tvie,1-EXP((T0-t)*PertePVj)+'2024'!Pspv,1-EXP((T0-t)*PertePVj)+Pspv)</f>
        <v>5.807688080264739E-2</v>
      </c>
      <c r="M241" s="872"/>
      <c r="N241" s="872"/>
      <c r="O241" s="48">
        <f>IF(t&lt;Tnet,'2024'!Resal+('2024'!Salim-'2024'!Resal)*(1-EXP(('2024'!Tnet-t)/('2024'!Tau_j))),Resal+(Salim-Resal)*(1-EXP((Tnet-t)/(Tau_j))))*Salcycl</f>
        <v>0.10903073303781574</v>
      </c>
      <c r="P241" s="171">
        <f>(INDEX(Models!$BJ241:$BT241,,T241)*(1-R241)+INDEX(Models!$BJ241:$BT241,,T241+1)*R241-ERP_i)*Q241*Ramure*Pc/MaxiM</f>
        <v>3.348943839489768E-4</v>
      </c>
      <c r="Q241" s="307">
        <f t="shared" si="80"/>
        <v>0.9</v>
      </c>
      <c r="R241" s="179">
        <f t="shared" si="81"/>
        <v>0.82137453246698033</v>
      </c>
      <c r="S241" s="839">
        <f t="shared" si="82"/>
        <v>-3</v>
      </c>
      <c r="T241" s="178">
        <f t="shared" si="83"/>
        <v>3</v>
      </c>
      <c r="U241" s="253">
        <f t="shared" si="84"/>
        <v>-2.1786254675330197</v>
      </c>
      <c r="V241" s="385">
        <f t="shared" si="85"/>
        <v>47.490960578927613</v>
      </c>
      <c r="W241" s="404">
        <f t="shared" si="86"/>
        <v>36.309134801832791</v>
      </c>
      <c r="X241" s="157">
        <f t="shared" si="87"/>
        <v>45884</v>
      </c>
      <c r="Y241" s="387">
        <f t="shared" si="88"/>
        <v>33.751110811560785</v>
      </c>
      <c r="Z241" s="387">
        <f t="shared" si="89"/>
        <v>35.832129102342613</v>
      </c>
      <c r="AA241" s="388">
        <f t="shared" si="90"/>
        <v>43.004033724165666</v>
      </c>
      <c r="AB241" s="199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0.16677283502809812</v>
      </c>
      <c r="AD241" s="233">
        <f>(INDEX(Models!$BJ241:$BT241,,AH241)*(1-AF241)+INDEX(Models!$BJ241:$BT241,,AH241+1)*AF241-ERP_i)*AE241*Ramure*Pc/MaxiM</f>
        <v>9.4253363599801545E-3</v>
      </c>
      <c r="AE241" s="307">
        <f t="shared" si="92"/>
        <v>0.9</v>
      </c>
      <c r="AF241" s="179">
        <f t="shared" si="93"/>
        <v>0.45703018477395929</v>
      </c>
      <c r="AG241" s="839">
        <f t="shared" si="99"/>
        <v>2</v>
      </c>
      <c r="AH241" s="178">
        <f t="shared" si="94"/>
        <v>8</v>
      </c>
      <c r="AI241" s="227">
        <f t="shared" si="95"/>
        <v>2.4570301847739593</v>
      </c>
      <c r="AJ241" s="267" t="b">
        <f t="shared" si="96"/>
        <v>0</v>
      </c>
      <c r="AK241" s="267" t="b">
        <f t="shared" si="97"/>
        <v>0</v>
      </c>
      <c r="AL241" s="267"/>
      <c r="AM241" s="267"/>
      <c r="AN241" s="75"/>
    </row>
    <row r="242" spans="1:40" s="6" customFormat="1" ht="11.25" x14ac:dyDescent="0.2">
      <c r="A242" s="56">
        <f t="shared" si="98"/>
        <v>45885</v>
      </c>
      <c r="B242" s="413">
        <f>'2024'!Wh/'2024'!Env_an*'2025'!Env_an</f>
        <v>28.972806073567789</v>
      </c>
      <c r="C242" s="868"/>
      <c r="D242" s="395">
        <f t="shared" si="77"/>
        <v>30.759920569177602</v>
      </c>
      <c r="E242" s="387">
        <f t="shared" si="100"/>
        <v>34.529191581070194</v>
      </c>
      <c r="F242" s="387">
        <f t="shared" si="78"/>
        <v>34.534741215217558</v>
      </c>
      <c r="G242" s="110">
        <f t="shared" si="101"/>
        <v>0.61254497234683536</v>
      </c>
      <c r="H242" s="416" t="b">
        <f>Wh_hp&gt;='2024'!Maxi_hp</f>
        <v>0</v>
      </c>
      <c r="I242" s="392">
        <f>IF(H242,Wh_hp,'2024'!Maxi_hp)</f>
        <v>55.398390259601427</v>
      </c>
      <c r="J242" s="85">
        <f>IF(H242,An,'2024'!An_max)</f>
        <v>2019</v>
      </c>
      <c r="K242" s="199">
        <f t="shared" si="79"/>
        <v>45885</v>
      </c>
      <c r="L242" s="147">
        <f>IF(t&lt;Tvie,1-EXP((T0-t)*PertePVj)+'2024'!Pspv,1-EXP((T0-t)*PertePVj)+Pspv)</f>
        <v>5.8098800729692313E-2</v>
      </c>
      <c r="M242" s="872"/>
      <c r="N242" s="872"/>
      <c r="O242" s="48">
        <f>IF(t&lt;Tnet,'2024'!Resal+('2024'!Salim-'2024'!Resal)*(1-EXP(('2024'!Tnet-t)/('2024'!Tau_j))),Resal+(Salim-Resal)*(1-EXP((Tnet-t)/(Tau_j))))*Salcycl</f>
        <v>0.10916186679444323</v>
      </c>
      <c r="P242" s="171">
        <f>(INDEX(Models!$BJ242:$BT242,,T242)*(1-R242)+INDEX(Models!$BJ242:$BT242,,T242+1)*R242-ERP_i)*Q242*Ramure*Pc/MaxiM</f>
        <v>3.5976938264448708E-4</v>
      </c>
      <c r="Q242" s="307">
        <f t="shared" si="80"/>
        <v>0.9</v>
      </c>
      <c r="R242" s="179">
        <f t="shared" si="81"/>
        <v>0.82302674474620652</v>
      </c>
      <c r="S242" s="839">
        <f t="shared" si="82"/>
        <v>-3</v>
      </c>
      <c r="T242" s="178">
        <f t="shared" si="83"/>
        <v>3</v>
      </c>
      <c r="U242" s="253">
        <f t="shared" si="84"/>
        <v>-2.1769732552537935</v>
      </c>
      <c r="V242" s="385">
        <f t="shared" si="85"/>
        <v>47.289650185373318</v>
      </c>
      <c r="W242" s="404">
        <f t="shared" si="86"/>
        <v>28.972806073567789</v>
      </c>
      <c r="X242" s="157">
        <f t="shared" si="87"/>
        <v>45885</v>
      </c>
      <c r="Y242" s="387">
        <f t="shared" si="88"/>
        <v>26.982396118301807</v>
      </c>
      <c r="Z242" s="387">
        <f t="shared" si="89"/>
        <v>28.646737194097547</v>
      </c>
      <c r="AA242" s="388">
        <f t="shared" si="90"/>
        <v>34.383111103761117</v>
      </c>
      <c r="AB242" s="199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0.16683696517026567</v>
      </c>
      <c r="AD242" s="233">
        <f>(INDEX(Models!$BJ242:$BT242,,AH242)*(1-AF242)+INDEX(Models!$BJ242:$BT242,,AH242+1)*AF242-ERP_i)*AE242*Ramure*Pc/MaxiM</f>
        <v>9.8298140274593031E-3</v>
      </c>
      <c r="AE242" s="307">
        <f t="shared" si="92"/>
        <v>0.9</v>
      </c>
      <c r="AF242" s="179">
        <f t="shared" si="93"/>
        <v>0.45868239705318548</v>
      </c>
      <c r="AG242" s="839">
        <f t="shared" si="99"/>
        <v>2</v>
      </c>
      <c r="AH242" s="178">
        <f t="shared" si="94"/>
        <v>8</v>
      </c>
      <c r="AI242" s="227">
        <f t="shared" si="95"/>
        <v>2.4586823970531855</v>
      </c>
      <c r="AJ242" s="267" t="b">
        <f t="shared" si="96"/>
        <v>0</v>
      </c>
      <c r="AK242" s="267" t="b">
        <f t="shared" si="97"/>
        <v>0</v>
      </c>
      <c r="AL242" s="267"/>
      <c r="AM242" s="267"/>
      <c r="AN242" s="75"/>
    </row>
    <row r="243" spans="1:40" s="6" customFormat="1" ht="11.25" x14ac:dyDescent="0.2">
      <c r="A243" s="56">
        <f t="shared" si="98"/>
        <v>45886</v>
      </c>
      <c r="B243" s="413">
        <f>'2024'!Wh/'2024'!Env_an*'2025'!Env_an</f>
        <v>20.998322560957345</v>
      </c>
      <c r="C243" s="868"/>
      <c r="D243" s="395">
        <f t="shared" si="77"/>
        <v>22.294069962157241</v>
      </c>
      <c r="E243" s="387">
        <f t="shared" si="100"/>
        <v>25.029617881429722</v>
      </c>
      <c r="F243" s="387">
        <f t="shared" si="78"/>
        <v>25.031628485487701</v>
      </c>
      <c r="G243" s="110">
        <f t="shared" si="101"/>
        <v>0.44584593922752591</v>
      </c>
      <c r="H243" s="416" t="b">
        <f>Wh_hp&gt;='2024'!Maxi_hp</f>
        <v>0</v>
      </c>
      <c r="I243" s="392">
        <f>IF(H243,Wh_hp,'2024'!Maxi_hp)</f>
        <v>54.145647175100791</v>
      </c>
      <c r="J243" s="85">
        <f>IF(H243,An,'2024'!An_max)</f>
        <v>2019</v>
      </c>
      <c r="K243" s="199">
        <f t="shared" si="79"/>
        <v>45886</v>
      </c>
      <c r="L243" s="147">
        <f>IF(t&lt;Tvie,1-EXP((T0-t)*PertePVj)+'2024'!Pspv,1-EXP((T0-t)*PertePVj)+Pspv)</f>
        <v>5.8120720146628391E-2</v>
      </c>
      <c r="M243" s="872"/>
      <c r="N243" s="872"/>
      <c r="O243" s="48">
        <f>IF(t&lt;Tnet,'2024'!Resal+('2024'!Salim-'2024'!Resal)*(1-EXP(('2024'!Tnet-t)/('2024'!Tau_j))),Resal+(Salim-Resal)*(1-EXP((Tnet-t)/(Tau_j))))*Salcycl</f>
        <v>0.10929243635405524</v>
      </c>
      <c r="P243" s="171">
        <f>(INDEX(Models!$BJ243:$BT243,,T243)*(1-R243)+INDEX(Models!$BJ243:$BT243,,T243+1)*R243-ERP_i)*Q243*Ramure*Pc/MaxiM</f>
        <v>3.8515583141257803E-4</v>
      </c>
      <c r="Q243" s="307">
        <f t="shared" si="80"/>
        <v>0.9</v>
      </c>
      <c r="R243" s="179">
        <f t="shared" si="81"/>
        <v>0.8246202611950002</v>
      </c>
      <c r="S243" s="839">
        <f t="shared" si="82"/>
        <v>-3</v>
      </c>
      <c r="T243" s="178">
        <f t="shared" si="83"/>
        <v>3</v>
      </c>
      <c r="U243" s="253">
        <f t="shared" si="84"/>
        <v>-2.1753797388049998</v>
      </c>
      <c r="V243" s="385">
        <f t="shared" si="85"/>
        <v>47.083351472097903</v>
      </c>
      <c r="W243" s="404">
        <f t="shared" si="86"/>
        <v>20.998322560957345</v>
      </c>
      <c r="X243" s="157">
        <f t="shared" si="87"/>
        <v>45886</v>
      </c>
      <c r="Y243" s="387">
        <f t="shared" si="88"/>
        <v>19.59989736355676</v>
      </c>
      <c r="Z243" s="387">
        <f t="shared" si="89"/>
        <v>20.80935188064441</v>
      </c>
      <c r="AA243" s="388">
        <f t="shared" si="90"/>
        <v>24.978228166295189</v>
      </c>
      <c r="AB243" s="199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0.16690040053666111</v>
      </c>
      <c r="AD243" s="233">
        <f>(INDEX(Models!$BJ243:$BT243,,AH243)*(1-AF243)+INDEX(Models!$BJ243:$BT243,,AH243+1)*AF243-ERP_i)*AE243*Ramure*Pc/MaxiM</f>
        <v>1.0229485141372802E-2</v>
      </c>
      <c r="AE243" s="307">
        <f t="shared" si="92"/>
        <v>0.9</v>
      </c>
      <c r="AF243" s="179">
        <f t="shared" si="93"/>
        <v>0.46027591350197916</v>
      </c>
      <c r="AG243" s="839">
        <f t="shared" si="99"/>
        <v>2</v>
      </c>
      <c r="AH243" s="178">
        <f t="shared" si="94"/>
        <v>8</v>
      </c>
      <c r="AI243" s="227">
        <f t="shared" si="95"/>
        <v>2.4602759135019792</v>
      </c>
      <c r="AJ243" s="267" t="b">
        <f t="shared" si="96"/>
        <v>0</v>
      </c>
      <c r="AK243" s="267" t="b">
        <f t="shared" si="97"/>
        <v>0</v>
      </c>
      <c r="AL243" s="267"/>
      <c r="AM243" s="267"/>
      <c r="AN243" s="75"/>
    </row>
    <row r="244" spans="1:40" s="6" customFormat="1" ht="11.25" x14ac:dyDescent="0.2">
      <c r="A244" s="56">
        <f t="shared" si="98"/>
        <v>45887</v>
      </c>
      <c r="B244" s="413">
        <f>'2024'!Wh/'2024'!Env_an*'2025'!Env_an</f>
        <v>35.407479447384546</v>
      </c>
      <c r="C244" s="868"/>
      <c r="D244" s="395">
        <f t="shared" si="77"/>
        <v>37.593250226129058</v>
      </c>
      <c r="E244" s="387">
        <f t="shared" si="100"/>
        <v>42.212212985847827</v>
      </c>
      <c r="F244" s="387">
        <f t="shared" si="78"/>
        <v>42.223505103557443</v>
      </c>
      <c r="G244" s="110">
        <f t="shared" si="101"/>
        <v>0.75530434143551861</v>
      </c>
      <c r="H244" s="416" t="b">
        <f>Wh_hp&gt;='2024'!Maxi_hp</f>
        <v>0</v>
      </c>
      <c r="I244" s="392">
        <f>IF(H244,Wh_hp,'2024'!Maxi_hp)</f>
        <v>53.373753498683605</v>
      </c>
      <c r="J244" s="85">
        <f>IF(H244,An,'2024'!An_max)</f>
        <v>2021</v>
      </c>
      <c r="K244" s="199">
        <f t="shared" si="79"/>
        <v>45887</v>
      </c>
      <c r="L244" s="147">
        <f>IF(t&lt;Tvie,1-EXP((T0-t)*PertePVj)+'2024'!Pspv,1-EXP((T0-t)*PertePVj)+Pspv)</f>
        <v>5.8142639053467615E-2</v>
      </c>
      <c r="M244" s="872"/>
      <c r="N244" s="872"/>
      <c r="O244" s="48">
        <f>IF(t&lt;Tnet,'2024'!Resal+('2024'!Salim-'2024'!Resal)*(1-EXP(('2024'!Tnet-t)/('2024'!Tau_j))),Resal+(Salim-Resal)*(1-EXP((Tnet-t)/(Tau_j))))*Salcycl</f>
        <v>0.10942242618901156</v>
      </c>
      <c r="P244" s="171">
        <f>(INDEX(Models!$BJ244:$BT244,,T244)*(1-R244)+INDEX(Models!$BJ244:$BT244,,T244+1)*R244-ERP_i)*Q244*Ramure*Pc/MaxiM</f>
        <v>4.1106817318332283E-4</v>
      </c>
      <c r="Q244" s="307">
        <f t="shared" si="80"/>
        <v>0.9</v>
      </c>
      <c r="R244" s="179">
        <f t="shared" si="81"/>
        <v>0.82615687992173914</v>
      </c>
      <c r="S244" s="839">
        <f t="shared" si="82"/>
        <v>-3</v>
      </c>
      <c r="T244" s="178">
        <f t="shared" si="83"/>
        <v>3</v>
      </c>
      <c r="U244" s="253">
        <f t="shared" si="84"/>
        <v>-2.1738431200782609</v>
      </c>
      <c r="V244" s="385">
        <f t="shared" si="85"/>
        <v>46.871692003783352</v>
      </c>
      <c r="W244" s="404">
        <f t="shared" si="86"/>
        <v>35.407479447384546</v>
      </c>
      <c r="X244" s="157">
        <f t="shared" si="87"/>
        <v>45887</v>
      </c>
      <c r="Y244" s="387">
        <f t="shared" si="88"/>
        <v>32.899652226771835</v>
      </c>
      <c r="Z244" s="387">
        <f t="shared" si="89"/>
        <v>34.930610080605923</v>
      </c>
      <c r="AA244" s="388">
        <f t="shared" si="90"/>
        <v>41.93164896443843</v>
      </c>
      <c r="AB244" s="199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0.16696311871183445</v>
      </c>
      <c r="AD244" s="233">
        <f>(INDEX(Models!$BJ244:$BT244,,AH244)*(1-AF244)+INDEX(Models!$BJ244:$BT244,,AH244+1)*AF244-ERP_i)*AE244*Ramure*Pc/MaxiM</f>
        <v>1.0624470362884959E-2</v>
      </c>
      <c r="AE244" s="307">
        <f t="shared" si="92"/>
        <v>0.9</v>
      </c>
      <c r="AF244" s="179">
        <f t="shared" si="93"/>
        <v>0.4618125322287181</v>
      </c>
      <c r="AG244" s="839">
        <f t="shared" si="99"/>
        <v>2</v>
      </c>
      <c r="AH244" s="178">
        <f t="shared" si="94"/>
        <v>8</v>
      </c>
      <c r="AI244" s="227">
        <f t="shared" si="95"/>
        <v>2.4618125322287181</v>
      </c>
      <c r="AJ244" s="267" t="b">
        <f t="shared" si="96"/>
        <v>0</v>
      </c>
      <c r="AK244" s="267" t="b">
        <f t="shared" si="97"/>
        <v>0</v>
      </c>
      <c r="AL244" s="267"/>
      <c r="AM244" s="267"/>
      <c r="AN244" s="75"/>
    </row>
    <row r="245" spans="1:40" s="6" customFormat="1" ht="11.25" x14ac:dyDescent="0.2">
      <c r="A245" s="56">
        <f t="shared" si="98"/>
        <v>45888</v>
      </c>
      <c r="B245" s="413">
        <f>'2024'!Wh/'2024'!Env_an*'2025'!Env_an</f>
        <v>36.663960183225235</v>
      </c>
      <c r="C245" s="868"/>
      <c r="D245" s="395">
        <f t="shared" si="77"/>
        <v>38.928201814073759</v>
      </c>
      <c r="E245" s="387">
        <f t="shared" si="100"/>
        <v>43.717537605078526</v>
      </c>
      <c r="F245" s="387">
        <f t="shared" si="78"/>
        <v>43.730817819353334</v>
      </c>
      <c r="G245" s="110">
        <f t="shared" si="101"/>
        <v>0.78575933679464727</v>
      </c>
      <c r="H245" s="416" t="b">
        <f>Wh_hp&gt;='2024'!Maxi_hp</f>
        <v>0</v>
      </c>
      <c r="I245" s="392">
        <f>IF(H245,Wh_hp,'2024'!Maxi_hp)</f>
        <v>48.36638609373653</v>
      </c>
      <c r="J245" s="85">
        <f>IF(H245,An,'2024'!An_max)</f>
        <v>2021</v>
      </c>
      <c r="K245" s="199">
        <f t="shared" si="79"/>
        <v>45888</v>
      </c>
      <c r="L245" s="147">
        <f>IF(t&lt;Tvie,1-EXP((T0-t)*PertePVj)+'2024'!Pspv,1-EXP((T0-t)*PertePVj)+Pspv)</f>
        <v>5.8164557450221865E-2</v>
      </c>
      <c r="M245" s="872"/>
      <c r="N245" s="872"/>
      <c r="O245" s="48">
        <f>IF(t&lt;Tnet,'2024'!Resal+('2024'!Salim-'2024'!Resal)*(1-EXP(('2024'!Tnet-t)/('2024'!Tau_j))),Resal+(Salim-Resal)*(1-EXP((Tnet-t)/(Tau_j))))*Salcycl</f>
        <v>0.10955181955281047</v>
      </c>
      <c r="P245" s="171">
        <f>(INDEX(Models!$BJ245:$BT245,,T245)*(1-R245)+INDEX(Models!$BJ245:$BT245,,T245+1)*R245-ERP_i)*Q245*Ramure*Pc/MaxiM</f>
        <v>4.3752241765255049E-4</v>
      </c>
      <c r="Q245" s="307">
        <f t="shared" si="80"/>
        <v>0.9</v>
      </c>
      <c r="R245" s="179">
        <f t="shared" si="81"/>
        <v>0.82763836559095427</v>
      </c>
      <c r="S245" s="839">
        <f t="shared" si="82"/>
        <v>-3</v>
      </c>
      <c r="T245" s="178">
        <f t="shared" si="83"/>
        <v>3</v>
      </c>
      <c r="U245" s="253">
        <f t="shared" si="84"/>
        <v>-2.1723616344090457</v>
      </c>
      <c r="V245" s="385">
        <f t="shared" si="85"/>
        <v>46.654299625845688</v>
      </c>
      <c r="W245" s="404">
        <f t="shared" si="86"/>
        <v>36.663960183225235</v>
      </c>
      <c r="X245" s="157">
        <f t="shared" si="87"/>
        <v>45888</v>
      </c>
      <c r="Y245" s="387">
        <f t="shared" si="88"/>
        <v>34.045635979812438</v>
      </c>
      <c r="Z245" s="387">
        <f t="shared" si="89"/>
        <v>36.148178802490804</v>
      </c>
      <c r="AA245" s="388">
        <f t="shared" si="90"/>
        <v>43.396480022083658</v>
      </c>
      <c r="AB245" s="199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0.16702509548941119</v>
      </c>
      <c r="AD245" s="233">
        <f>(INDEX(Models!$BJ245:$BT245,,AH245)*(1-AF245)+INDEX(Models!$BJ245:$BT245,,AH245+1)*AF245-ERP_i)*AE245*Ramure*Pc/MaxiM</f>
        <v>1.1014903701629233E-2</v>
      </c>
      <c r="AE245" s="307">
        <f t="shared" si="92"/>
        <v>0.9</v>
      </c>
      <c r="AF245" s="179">
        <f t="shared" si="93"/>
        <v>0.46329401789793323</v>
      </c>
      <c r="AG245" s="839">
        <f t="shared" si="99"/>
        <v>2</v>
      </c>
      <c r="AH245" s="178">
        <f t="shared" si="94"/>
        <v>8</v>
      </c>
      <c r="AI245" s="227">
        <f t="shared" si="95"/>
        <v>2.4632940178979332</v>
      </c>
      <c r="AJ245" s="267" t="b">
        <f t="shared" si="96"/>
        <v>0</v>
      </c>
      <c r="AK245" s="267" t="b">
        <f t="shared" si="97"/>
        <v>0</v>
      </c>
      <c r="AL245" s="267"/>
      <c r="AM245" s="267"/>
      <c r="AN245" s="75"/>
    </row>
    <row r="246" spans="1:40" s="6" customFormat="1" ht="11.25" x14ac:dyDescent="0.2">
      <c r="A246" s="56">
        <f t="shared" si="98"/>
        <v>45889</v>
      </c>
      <c r="B246" s="413">
        <f>'2024'!Wh/'2024'!Env_an*'2025'!Env_an</f>
        <v>43.21914930265185</v>
      </c>
      <c r="C246" s="868"/>
      <c r="D246" s="395">
        <f t="shared" si="77"/>
        <v>45.889285055777989</v>
      </c>
      <c r="E246" s="387">
        <f t="shared" si="100"/>
        <v>51.54249697653276</v>
      </c>
      <c r="F246" s="387">
        <f t="shared" si="78"/>
        <v>51.564083399601024</v>
      </c>
      <c r="G246" s="110">
        <f t="shared" si="101"/>
        <v>0.93078651007691793</v>
      </c>
      <c r="H246" s="416" t="b">
        <f>Wh_hp&gt;='2024'!Maxi_hp</f>
        <v>0</v>
      </c>
      <c r="I246" s="392">
        <f>IF(H246,Wh_hp,'2024'!Maxi_hp)</f>
        <v>52.08934331759658</v>
      </c>
      <c r="J246" s="85">
        <f>IF(H246,An,'2024'!An_max)</f>
        <v>2021</v>
      </c>
      <c r="K246" s="199">
        <f t="shared" si="79"/>
        <v>45889</v>
      </c>
      <c r="L246" s="147">
        <f>IF(t&lt;Tvie,1-EXP((T0-t)*PertePVj)+'2024'!Pspv,1-EXP((T0-t)*PertePVj)+Pspv)</f>
        <v>5.8186475336903021E-2</v>
      </c>
      <c r="M246" s="872"/>
      <c r="N246" s="872"/>
      <c r="O246" s="48">
        <f>IF(t&lt;Tnet,'2024'!Resal+('2024'!Salim-'2024'!Resal)*(1-EXP(('2024'!Tnet-t)/('2024'!Tau_j))),Resal+(Salim-Resal)*(1-EXP((Tnet-t)/(Tau_j))))*Salcycl</f>
        <v>0.10968059858118001</v>
      </c>
      <c r="P246" s="171">
        <f>(INDEX(Models!$BJ246:$BT246,,T246)*(1-R246)+INDEX(Models!$BJ246:$BT246,,T246+1)*R246-ERP_i)*Q246*Ramure*Pc/MaxiM</f>
        <v>4.6453623510848367E-4</v>
      </c>
      <c r="Q246" s="307">
        <f t="shared" si="80"/>
        <v>0.9</v>
      </c>
      <c r="R246" s="179">
        <f t="shared" si="81"/>
        <v>0.82906644828795395</v>
      </c>
      <c r="S246" s="839">
        <f t="shared" si="82"/>
        <v>-3</v>
      </c>
      <c r="T246" s="178">
        <f t="shared" si="83"/>
        <v>3</v>
      </c>
      <c r="U246" s="253">
        <f t="shared" si="84"/>
        <v>-2.1709335517120461</v>
      </c>
      <c r="V246" s="385">
        <f t="shared" si="85"/>
        <v>46.430802447062817</v>
      </c>
      <c r="W246" s="404">
        <f t="shared" si="86"/>
        <v>43.21914930265185</v>
      </c>
      <c r="X246" s="157">
        <f t="shared" si="87"/>
        <v>45889</v>
      </c>
      <c r="Y246" s="387">
        <f t="shared" si="88"/>
        <v>40.033822153715491</v>
      </c>
      <c r="Z246" s="387">
        <f t="shared" si="89"/>
        <v>42.507164216012171</v>
      </c>
      <c r="AA246" s="388">
        <f t="shared" si="90"/>
        <v>51.034296197634177</v>
      </c>
      <c r="AB246" s="199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0.16708630503299274</v>
      </c>
      <c r="AD246" s="233">
        <f>(INDEX(Models!$BJ246:$BT246,,AH246)*(1-AF246)+INDEX(Models!$BJ246:$BT246,,AH246+1)*AF246-ERP_i)*AE246*Ramure*Pc/MaxiM</f>
        <v>1.140093249502715E-2</v>
      </c>
      <c r="AE246" s="307">
        <f t="shared" si="92"/>
        <v>0.9</v>
      </c>
      <c r="AF246" s="179">
        <f t="shared" si="93"/>
        <v>0.46472210059493291</v>
      </c>
      <c r="AG246" s="839">
        <f t="shared" si="99"/>
        <v>2</v>
      </c>
      <c r="AH246" s="178">
        <f t="shared" si="94"/>
        <v>8</v>
      </c>
      <c r="AI246" s="227">
        <f t="shared" si="95"/>
        <v>2.4647221005949329</v>
      </c>
      <c r="AJ246" s="267" t="b">
        <f t="shared" si="96"/>
        <v>0</v>
      </c>
      <c r="AK246" s="267" t="b">
        <f t="shared" si="97"/>
        <v>0</v>
      </c>
      <c r="AL246" s="267"/>
      <c r="AM246" s="267"/>
      <c r="AN246" s="75"/>
    </row>
    <row r="247" spans="1:40" s="6" customFormat="1" ht="11.25" x14ac:dyDescent="0.2">
      <c r="A247" s="56">
        <f t="shared" si="98"/>
        <v>45890</v>
      </c>
      <c r="B247" s="413">
        <f>'2024'!Wh/'2024'!Env_an*'2025'!Env_an</f>
        <v>28.382102380191014</v>
      </c>
      <c r="C247" s="868"/>
      <c r="D247" s="395">
        <f t="shared" si="77"/>
        <v>30.13628722172044</v>
      </c>
      <c r="E247" s="387">
        <f t="shared" si="100"/>
        <v>33.853721918098501</v>
      </c>
      <c r="F247" s="387">
        <f t="shared" si="78"/>
        <v>33.861203928367836</v>
      </c>
      <c r="G247" s="110">
        <f t="shared" si="101"/>
        <v>0.61413570454371147</v>
      </c>
      <c r="H247" s="416" t="b">
        <f>Wh_hp&gt;='2024'!Maxi_hp</f>
        <v>0</v>
      </c>
      <c r="I247" s="392">
        <f>IF(H247,Wh_hp,'2024'!Maxi_hp)</f>
        <v>51.212941565413232</v>
      </c>
      <c r="J247" s="85">
        <f>IF(H247,An,'2024'!An_max)</f>
        <v>2020</v>
      </c>
      <c r="K247" s="199">
        <f t="shared" si="79"/>
        <v>45890</v>
      </c>
      <c r="L247" s="147">
        <f>IF(t&lt;Tvie,1-EXP((T0-t)*PertePVj)+'2024'!Pspv,1-EXP((T0-t)*PertePVj)+Pspv)</f>
        <v>5.8208392713522961E-2</v>
      </c>
      <c r="M247" s="872"/>
      <c r="N247" s="872"/>
      <c r="O247" s="48">
        <f>IF(t&lt;Tnet,'2024'!Resal+('2024'!Salim-'2024'!Resal)*(1-EXP(('2024'!Tnet-t)/('2024'!Tau_j))),Resal+(Salim-Resal)*(1-EXP((Tnet-t)/(Tau_j))))*Salcycl</f>
        <v>0.10980874437887692</v>
      </c>
      <c r="P247" s="171">
        <f>(INDEX(Models!$BJ247:$BT247,,T247)*(1-R247)+INDEX(Models!$BJ247:$BT247,,T247+1)*R247-ERP_i)*Q247*Ramure*Pc/MaxiM</f>
        <v>4.9211473557863271E-4</v>
      </c>
      <c r="Q247" s="307">
        <f t="shared" si="80"/>
        <v>0.9</v>
      </c>
      <c r="R247" s="179">
        <f t="shared" si="81"/>
        <v>0.83044282256508373</v>
      </c>
      <c r="S247" s="839">
        <f t="shared" si="82"/>
        <v>-3</v>
      </c>
      <c r="T247" s="178">
        <f t="shared" si="83"/>
        <v>3</v>
      </c>
      <c r="U247" s="253">
        <f t="shared" si="84"/>
        <v>-2.1695571774349163</v>
      </c>
      <c r="V247" s="385">
        <f t="shared" si="85"/>
        <v>46.202174145418304</v>
      </c>
      <c r="W247" s="404">
        <f t="shared" si="86"/>
        <v>28.382102380191014</v>
      </c>
      <c r="X247" s="157">
        <f t="shared" si="87"/>
        <v>45890</v>
      </c>
      <c r="Y247" s="387">
        <f t="shared" si="88"/>
        <v>26.419345460243449</v>
      </c>
      <c r="Z247" s="387">
        <f t="shared" si="89"/>
        <v>28.052220104576843</v>
      </c>
      <c r="AA247" s="388">
        <f t="shared" si="90"/>
        <v>33.682067152409644</v>
      </c>
      <c r="AB247" s="199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0.16714672001448219</v>
      </c>
      <c r="AD247" s="233">
        <f>(INDEX(Models!$BJ247:$BT247,,AH247)*(1-AF247)+INDEX(Models!$BJ247:$BT247,,AH247+1)*AF247-ERP_i)*AE247*Ramure*Pc/MaxiM</f>
        <v>1.1782374516959153E-2</v>
      </c>
      <c r="AE247" s="307">
        <f t="shared" si="92"/>
        <v>0.9</v>
      </c>
      <c r="AF247" s="179">
        <f t="shared" si="93"/>
        <v>0.46609847487206268</v>
      </c>
      <c r="AG247" s="839">
        <f t="shared" si="99"/>
        <v>2</v>
      </c>
      <c r="AH247" s="178">
        <f t="shared" si="94"/>
        <v>8</v>
      </c>
      <c r="AI247" s="227">
        <f t="shared" si="95"/>
        <v>2.4660984748720627</v>
      </c>
      <c r="AJ247" s="267" t="b">
        <f t="shared" si="96"/>
        <v>0</v>
      </c>
      <c r="AK247" s="267" t="b">
        <f t="shared" si="97"/>
        <v>0</v>
      </c>
      <c r="AL247" s="267"/>
      <c r="AM247" s="267"/>
      <c r="AN247" s="75"/>
    </row>
    <row r="248" spans="1:40" s="6" customFormat="1" ht="11.25" x14ac:dyDescent="0.2">
      <c r="A248" s="56">
        <f t="shared" si="98"/>
        <v>45891</v>
      </c>
      <c r="B248" s="413">
        <f>'2024'!Wh/'2024'!Env_an*'2025'!Env_an</f>
        <v>22.766957036850869</v>
      </c>
      <c r="C248" s="868"/>
      <c r="D248" s="395">
        <f t="shared" si="77"/>
        <v>24.174654661799295</v>
      </c>
      <c r="E248" s="387">
        <f t="shared" si="100"/>
        <v>27.160587442409543</v>
      </c>
      <c r="F248" s="387">
        <f t="shared" si="78"/>
        <v>27.164529796816524</v>
      </c>
      <c r="G248" s="110">
        <f t="shared" si="101"/>
        <v>0.49507627508579849</v>
      </c>
      <c r="H248" s="416" t="b">
        <f>Wh_hp&gt;='2024'!Maxi_hp</f>
        <v>0</v>
      </c>
      <c r="I248" s="392">
        <f>IF(H248,Wh_hp,'2024'!Maxi_hp)</f>
        <v>55.17534928654144</v>
      </c>
      <c r="J248" s="85">
        <f>IF(H248,An,'2024'!An_max)</f>
        <v>2019</v>
      </c>
      <c r="K248" s="199">
        <f t="shared" si="79"/>
        <v>45891</v>
      </c>
      <c r="L248" s="147">
        <f>IF(t&lt;Tvie,1-EXP((T0-t)*PertePVj)+'2024'!Pspv,1-EXP((T0-t)*PertePVj)+Pspv)</f>
        <v>5.8230309580093564E-2</v>
      </c>
      <c r="M248" s="872"/>
      <c r="N248" s="872"/>
      <c r="O248" s="48">
        <f>IF(t&lt;Tnet,'2024'!Resal+('2024'!Salim-'2024'!Resal)*(1-EXP(('2024'!Tnet-t)/('2024'!Tau_j))),Resal+(Salim-Resal)*(1-EXP((Tnet-t)/(Tau_j))))*Salcycl</f>
        <v>0.10993623709139311</v>
      </c>
      <c r="P248" s="171">
        <f>(INDEX(Models!$BJ248:$BT248,,T248)*(1-R248)+INDEX(Models!$BJ248:$BT248,,T248+1)*R248-ERP_i)*Q248*Ramure*Pc/MaxiM</f>
        <v>5.2027572131442177E-4</v>
      </c>
      <c r="Q248" s="307">
        <f t="shared" si="80"/>
        <v>0.9</v>
      </c>
      <c r="R248" s="179">
        <f t="shared" si="81"/>
        <v>0.83176914665734936</v>
      </c>
      <c r="S248" s="839">
        <f t="shared" si="82"/>
        <v>-3</v>
      </c>
      <c r="T248" s="178">
        <f t="shared" si="83"/>
        <v>3</v>
      </c>
      <c r="U248" s="253">
        <f t="shared" si="84"/>
        <v>-2.1682308533426506</v>
      </c>
      <c r="V248" s="385">
        <f t="shared" si="85"/>
        <v>45.969512149089937</v>
      </c>
      <c r="W248" s="404">
        <f t="shared" si="86"/>
        <v>22.766957036850869</v>
      </c>
      <c r="X248" s="157">
        <f t="shared" si="87"/>
        <v>45891</v>
      </c>
      <c r="Y248" s="387">
        <f t="shared" si="88"/>
        <v>21.232917570976337</v>
      </c>
      <c r="Z248" s="387">
        <f t="shared" si="89"/>
        <v>22.545764412432117</v>
      </c>
      <c r="AA248" s="388">
        <f t="shared" si="90"/>
        <v>27.072448710836948</v>
      </c>
      <c r="AB248" s="199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0.16720631172875122</v>
      </c>
      <c r="AD248" s="233">
        <f>(INDEX(Models!$BJ248:$BT248,,AH248)*(1-AF248)+INDEX(Models!$BJ248:$BT248,,AH248+1)*AF248-ERP_i)*AE248*Ramure*Pc/MaxiM</f>
        <v>1.2152015897558306E-2</v>
      </c>
      <c r="AE248" s="307">
        <f t="shared" si="92"/>
        <v>0.9</v>
      </c>
      <c r="AF248" s="179">
        <f t="shared" si="93"/>
        <v>0.46742479896432831</v>
      </c>
      <c r="AG248" s="839">
        <f t="shared" si="99"/>
        <v>2</v>
      </c>
      <c r="AH248" s="178">
        <f t="shared" si="94"/>
        <v>8</v>
      </c>
      <c r="AI248" s="227">
        <f t="shared" si="95"/>
        <v>2.4674247989643283</v>
      </c>
      <c r="AJ248" s="267" t="b">
        <f t="shared" si="96"/>
        <v>0</v>
      </c>
      <c r="AK248" s="267" t="b">
        <f t="shared" si="97"/>
        <v>0</v>
      </c>
      <c r="AL248" s="267"/>
      <c r="AM248" s="267"/>
      <c r="AN248" s="75"/>
    </row>
    <row r="249" spans="1:40" s="6" customFormat="1" ht="11.25" x14ac:dyDescent="0.2">
      <c r="A249" s="56">
        <f t="shared" si="98"/>
        <v>45892</v>
      </c>
      <c r="B249" s="413">
        <f>'2024'!Wh/'2024'!Env_an*'2025'!Env_an</f>
        <v>40.363043004659936</v>
      </c>
      <c r="C249" s="868"/>
      <c r="D249" s="395">
        <f t="shared" si="77"/>
        <v>42.859716918156231</v>
      </c>
      <c r="E249" s="387">
        <f t="shared" si="100"/>
        <v>48.160397436292357</v>
      </c>
      <c r="F249" s="387">
        <f t="shared" si="78"/>
        <v>48.182400758255881</v>
      </c>
      <c r="G249" s="110">
        <f t="shared" si="101"/>
        <v>0.88250581004489648</v>
      </c>
      <c r="H249" s="416" t="b">
        <f>Wh_hp&gt;='2024'!Maxi_hp</f>
        <v>0</v>
      </c>
      <c r="I249" s="392">
        <f>IF(H249,Wh_hp,'2024'!Maxi_hp)</f>
        <v>52.366514381661467</v>
      </c>
      <c r="J249" s="85">
        <f>IF(H249,An,'2024'!An_max)</f>
        <v>2019</v>
      </c>
      <c r="K249" s="199">
        <f t="shared" si="79"/>
        <v>45892</v>
      </c>
      <c r="L249" s="147">
        <f>IF(t&lt;Tvie,1-EXP((T0-t)*PertePVj)+'2024'!Pspv,1-EXP((T0-t)*PertePVj)+Pspv)</f>
        <v>5.82522259366266E-2</v>
      </c>
      <c r="M249" s="872"/>
      <c r="N249" s="872"/>
      <c r="O249" s="48">
        <f>IF(t&lt;Tnet,'2024'!Resal+('2024'!Salim-'2024'!Resal)*(1-EXP(('2024'!Tnet-t)/('2024'!Tau_j))),Resal+(Salim-Resal)*(1-EXP((Tnet-t)/(Tau_j))))*Salcycl</f>
        <v>0.11006305596103069</v>
      </c>
      <c r="P249" s="171">
        <f>(INDEX(Models!$BJ249:$BT249,,T249)*(1-R249)+INDEX(Models!$BJ249:$BT249,,T249+1)*R249-ERP_i)*Q249*Ramure*Pc/MaxiM</f>
        <v>5.4870259191073243E-4</v>
      </c>
      <c r="Q249" s="307">
        <f t="shared" si="80"/>
        <v>0.9</v>
      </c>
      <c r="R249" s="179">
        <f t="shared" si="81"/>
        <v>0.83304704185549028</v>
      </c>
      <c r="S249" s="839">
        <f t="shared" si="82"/>
        <v>-3</v>
      </c>
      <c r="T249" s="178">
        <f t="shared" si="83"/>
        <v>3</v>
      </c>
      <c r="U249" s="253">
        <f t="shared" si="84"/>
        <v>-2.1669529581445097</v>
      </c>
      <c r="V249" s="385">
        <f t="shared" si="85"/>
        <v>45.732646765059386</v>
      </c>
      <c r="W249" s="404">
        <f t="shared" si="86"/>
        <v>40.363043004659936</v>
      </c>
      <c r="X249" s="157">
        <f t="shared" si="87"/>
        <v>45892</v>
      </c>
      <c r="Y249" s="387">
        <f t="shared" si="88"/>
        <v>37.392424390389493</v>
      </c>
      <c r="Z249" s="387">
        <f t="shared" si="89"/>
        <v>39.705349372955595</v>
      </c>
      <c r="AA249" s="388">
        <f t="shared" si="90"/>
        <v>47.680656830516433</v>
      </c>
      <c r="AB249" s="199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0.16726505018396701</v>
      </c>
      <c r="AD249" s="233">
        <f>(INDEX(Models!$BJ249:$BT249,,AH249)*(1-AF249)+INDEX(Models!$BJ249:$BT249,,AH249+1)*AF249-ERP_i)*AE249*Ramure*Pc/MaxiM</f>
        <v>1.2512119491886823E-2</v>
      </c>
      <c r="AE249" s="307">
        <f t="shared" si="92"/>
        <v>0.9</v>
      </c>
      <c r="AF249" s="179">
        <f t="shared" si="93"/>
        <v>0.46870269416246924</v>
      </c>
      <c r="AG249" s="839">
        <f t="shared" si="99"/>
        <v>2</v>
      </c>
      <c r="AH249" s="178">
        <f t="shared" si="94"/>
        <v>8</v>
      </c>
      <c r="AI249" s="227">
        <f t="shared" si="95"/>
        <v>2.4687026941624692</v>
      </c>
      <c r="AJ249" s="267" t="b">
        <f t="shared" si="96"/>
        <v>0</v>
      </c>
      <c r="AK249" s="267" t="b">
        <f t="shared" si="97"/>
        <v>0</v>
      </c>
      <c r="AL249" s="267"/>
      <c r="AM249" s="267"/>
      <c r="AN249" s="75"/>
    </row>
    <row r="250" spans="1:40" s="6" customFormat="1" ht="11.25" x14ac:dyDescent="0.2">
      <c r="A250" s="56">
        <f t="shared" si="98"/>
        <v>45893</v>
      </c>
      <c r="B250" s="413">
        <f>'2024'!Wh/'2024'!Env_an*'2025'!Env_an</f>
        <v>40.761077509601719</v>
      </c>
      <c r="C250" s="868"/>
      <c r="D250" s="395">
        <f t="shared" si="77"/>
        <v>43.28337929127462</v>
      </c>
      <c r="E250" s="387">
        <f t="shared" si="100"/>
        <v>48.643350122992452</v>
      </c>
      <c r="F250" s="387">
        <f t="shared" si="78"/>
        <v>48.667276601393276</v>
      </c>
      <c r="G250" s="110">
        <f t="shared" si="101"/>
        <v>0.89594045594339211</v>
      </c>
      <c r="H250" s="416" t="b">
        <f>Wh_hp&gt;='2024'!Maxi_hp</f>
        <v>0</v>
      </c>
      <c r="I250" s="392">
        <f>IF(H250,Wh_hp,'2024'!Maxi_hp)</f>
        <v>52.23999379446547</v>
      </c>
      <c r="J250" s="85">
        <f>IF(H250,An,'2024'!An_max)</f>
        <v>2019</v>
      </c>
      <c r="K250" s="199">
        <f t="shared" si="79"/>
        <v>45893</v>
      </c>
      <c r="L250" s="147">
        <f>IF(t&lt;Tvie,1-EXP((T0-t)*PertePVj)+'2024'!Pspv,1-EXP((T0-t)*PertePVj)+Pspv)</f>
        <v>5.8274141783133948E-2</v>
      </c>
      <c r="M250" s="872"/>
      <c r="N250" s="872"/>
      <c r="O250" s="48">
        <f>IF(t&lt;Tnet,'2024'!Resal+('2024'!Salim-'2024'!Resal)*(1-EXP(('2024'!Tnet-t)/('2024'!Tau_j))),Resal+(Salim-Resal)*(1-EXP((Tnet-t)/(Tau_j))))*Salcycl</f>
        <v>0.11018917936707472</v>
      </c>
      <c r="P250" s="171">
        <f>(INDEX(Models!$BJ250:$BT250,,T250)*(1-R250)+INDEX(Models!$BJ250:$BT250,,T250+1)*R250-ERP_i)*Q250*Ramure*Pc/MaxiM</f>
        <v>5.7740544939887057E-4</v>
      </c>
      <c r="Q250" s="307">
        <f t="shared" si="80"/>
        <v>0.9</v>
      </c>
      <c r="R250" s="179">
        <f t="shared" si="81"/>
        <v>0.83427809202502035</v>
      </c>
      <c r="S250" s="839">
        <f t="shared" si="82"/>
        <v>-3</v>
      </c>
      <c r="T250" s="178">
        <f t="shared" si="83"/>
        <v>3</v>
      </c>
      <c r="U250" s="253">
        <f t="shared" si="84"/>
        <v>-2.1657219079749797</v>
      </c>
      <c r="V250" s="385">
        <f t="shared" si="85"/>
        <v>45.4913932895169</v>
      </c>
      <c r="W250" s="404">
        <f t="shared" si="86"/>
        <v>40.761077509601719</v>
      </c>
      <c r="X250" s="157">
        <f t="shared" si="87"/>
        <v>45893</v>
      </c>
      <c r="Y250" s="387">
        <f t="shared" si="88"/>
        <v>37.744661714471633</v>
      </c>
      <c r="Z250" s="387">
        <f t="shared" si="89"/>
        <v>40.080307220129001</v>
      </c>
      <c r="AA250" s="388">
        <f t="shared" si="90"/>
        <v>48.134273682702826</v>
      </c>
      <c r="AB250" s="199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0.16732290416730716</v>
      </c>
      <c r="AD250" s="233">
        <f>(INDEX(Models!$BJ250:$BT250,,AH250)*(1-AF250)+INDEX(Models!$BJ250:$BT250,,AH250+1)*AF250-ERP_i)*AE250*Ramure*Pc/MaxiM</f>
        <v>1.2862686461487076E-2</v>
      </c>
      <c r="AE250" s="307">
        <f t="shared" si="92"/>
        <v>0.9</v>
      </c>
      <c r="AF250" s="179">
        <f t="shared" si="93"/>
        <v>0.4699337443319993</v>
      </c>
      <c r="AG250" s="839">
        <f t="shared" si="99"/>
        <v>2</v>
      </c>
      <c r="AH250" s="178">
        <f t="shared" si="94"/>
        <v>8</v>
      </c>
      <c r="AI250" s="227">
        <f t="shared" si="95"/>
        <v>2.4699337443319993</v>
      </c>
      <c r="AJ250" s="267" t="b">
        <f t="shared" si="96"/>
        <v>0</v>
      </c>
      <c r="AK250" s="267" t="b">
        <f t="shared" si="97"/>
        <v>0</v>
      </c>
      <c r="AL250" s="267"/>
      <c r="AM250" s="267"/>
      <c r="AN250" s="75"/>
    </row>
    <row r="251" spans="1:40" s="6" customFormat="1" ht="11.25" x14ac:dyDescent="0.2">
      <c r="A251" s="56">
        <f t="shared" si="98"/>
        <v>45894</v>
      </c>
      <c r="B251" s="413">
        <f>'2024'!Wh/'2024'!Env_an*'2025'!Env_an</f>
        <v>31.060966884880276</v>
      </c>
      <c r="C251" s="868"/>
      <c r="D251" s="395">
        <f t="shared" si="77"/>
        <v>32.983791901597726</v>
      </c>
      <c r="E251" s="387">
        <f t="shared" si="100"/>
        <v>37.07354458096745</v>
      </c>
      <c r="F251" s="387">
        <f t="shared" si="78"/>
        <v>37.085961512887295</v>
      </c>
      <c r="G251" s="110">
        <f t="shared" si="101"/>
        <v>0.68631095757130356</v>
      </c>
      <c r="H251" s="416" t="b">
        <f>Wh_hp&gt;='2024'!Maxi_hp</f>
        <v>0</v>
      </c>
      <c r="I251" s="392">
        <f>IF(H251,Wh_hp,'2024'!Maxi_hp)</f>
        <v>48.806443569925385</v>
      </c>
      <c r="J251" s="85">
        <f>IF(H251,An,'2024'!An_max)</f>
        <v>2021</v>
      </c>
      <c r="K251" s="199">
        <f t="shared" si="79"/>
        <v>45894</v>
      </c>
      <c r="L251" s="147">
        <f>IF(t&lt;Tvie,1-EXP((T0-t)*PertePVj)+'2024'!Pspv,1-EXP((T0-t)*PertePVj)+Pspv)</f>
        <v>5.8296057119627598E-2</v>
      </c>
      <c r="M251" s="872"/>
      <c r="N251" s="872"/>
      <c r="O251" s="48">
        <f>IF(t&lt;Tnet,'2024'!Resal+('2024'!Salim-'2024'!Resal)*(1-EXP(('2024'!Tnet-t)/('2024'!Tau_j))),Resal+(Salim-Resal)*(1-EXP((Tnet-t)/(Tau_j))))*Salcycl</f>
        <v>0.11031458485006283</v>
      </c>
      <c r="P251" s="171">
        <f>(INDEX(Models!$BJ251:$BT251,,T251)*(1-R251)+INDEX(Models!$BJ251:$BT251,,T251+1)*R251-ERP_i)*Q251*Ramure*Pc/MaxiM</f>
        <v>6.0639575583269225E-4</v>
      </c>
      <c r="Q251" s="307">
        <f t="shared" si="80"/>
        <v>0.9</v>
      </c>
      <c r="R251" s="179">
        <f t="shared" si="81"/>
        <v>0.83546384326017087</v>
      </c>
      <c r="S251" s="839">
        <f t="shared" si="82"/>
        <v>-3</v>
      </c>
      <c r="T251" s="178">
        <f t="shared" si="83"/>
        <v>3</v>
      </c>
      <c r="U251" s="253">
        <f t="shared" si="84"/>
        <v>-2.1645361567398291</v>
      </c>
      <c r="V251" s="385">
        <f t="shared" si="85"/>
        <v>45.245567118756128</v>
      </c>
      <c r="W251" s="404">
        <f t="shared" si="86"/>
        <v>31.060966884880276</v>
      </c>
      <c r="X251" s="157">
        <f t="shared" si="87"/>
        <v>45894</v>
      </c>
      <c r="Y251" s="387">
        <f t="shared" si="88"/>
        <v>28.866432987797094</v>
      </c>
      <c r="Z251" s="387">
        <f t="shared" si="89"/>
        <v>30.653405675996076</v>
      </c>
      <c r="AA251" s="388">
        <f t="shared" si="90"/>
        <v>36.815593947843411</v>
      </c>
      <c r="AB251" s="199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0.16737984128620323</v>
      </c>
      <c r="AD251" s="233">
        <f>(INDEX(Models!$BJ251:$BT251,,AH251)*(1-AF251)+INDEX(Models!$BJ251:$BT251,,AH251+1)*AF251-ERP_i)*AE251*Ramure*Pc/MaxiM</f>
        <v>1.3203724157931749E-2</v>
      </c>
      <c r="AE251" s="307">
        <f t="shared" si="92"/>
        <v>0.9</v>
      </c>
      <c r="AF251" s="179">
        <f t="shared" si="93"/>
        <v>0.47111949556714983</v>
      </c>
      <c r="AG251" s="839">
        <f t="shared" si="99"/>
        <v>2</v>
      </c>
      <c r="AH251" s="178">
        <f t="shared" si="94"/>
        <v>8</v>
      </c>
      <c r="AI251" s="227">
        <f t="shared" si="95"/>
        <v>2.4711194955671498</v>
      </c>
      <c r="AJ251" s="267" t="b">
        <f t="shared" si="96"/>
        <v>0</v>
      </c>
      <c r="AK251" s="267" t="b">
        <f t="shared" si="97"/>
        <v>0</v>
      </c>
      <c r="AL251" s="267"/>
      <c r="AM251" s="267"/>
      <c r="AN251" s="75"/>
    </row>
    <row r="252" spans="1:40" s="6" customFormat="1" ht="11.25" x14ac:dyDescent="0.2">
      <c r="A252" s="56">
        <f t="shared" si="98"/>
        <v>45895</v>
      </c>
      <c r="B252" s="413">
        <f>'2024'!Wh/'2024'!Env_an*'2025'!Env_an</f>
        <v>37.627912694193</v>
      </c>
      <c r="C252" s="868"/>
      <c r="D252" s="395">
        <f t="shared" si="77"/>
        <v>39.958193501851589</v>
      </c>
      <c r="E252" s="387">
        <f t="shared" si="100"/>
        <v>44.919015887719837</v>
      </c>
      <c r="F252" s="387">
        <f t="shared" si="78"/>
        <v>44.940902018959449</v>
      </c>
      <c r="G252" s="110">
        <f t="shared" si="101"/>
        <v>0.83614465446612596</v>
      </c>
      <c r="H252" s="416" t="b">
        <f>Wh_hp&gt;='2024'!Maxi_hp</f>
        <v>0</v>
      </c>
      <c r="I252" s="392">
        <f>IF(H252,Wh_hp,'2024'!Maxi_hp)</f>
        <v>50.962123018222243</v>
      </c>
      <c r="J252" s="85">
        <f>IF(H252,An,'2024'!An_max)</f>
        <v>2021</v>
      </c>
      <c r="K252" s="199">
        <f t="shared" si="79"/>
        <v>45895</v>
      </c>
      <c r="L252" s="147">
        <f>IF(t&lt;Tvie,1-EXP((T0-t)*PertePVj)+'2024'!Pspv,1-EXP((T0-t)*PertePVj)+Pspv)</f>
        <v>5.8317971946119318E-2</v>
      </c>
      <c r="M252" s="872"/>
      <c r="N252" s="872"/>
      <c r="O252" s="48">
        <f>IF(t&lt;Tnet,'2024'!Resal+('2024'!Salim-'2024'!Resal)*(1-EXP(('2024'!Tnet-t)/('2024'!Tau_j))),Resal+(Salim-Resal)*(1-EXP((Tnet-t)/(Tau_j))))*Salcycl</f>
        <v>0.11043924912042559</v>
      </c>
      <c r="P252" s="171">
        <f>(INDEX(Models!$BJ252:$BT252,,T252)*(1-R252)+INDEX(Models!$BJ252:$BT252,,T252+1)*R252-ERP_i)*Q252*Ramure*Pc/MaxiM</f>
        <v>6.3568580645904384E-4</v>
      </c>
      <c r="Q252" s="307">
        <f t="shared" si="80"/>
        <v>0.9</v>
      </c>
      <c r="R252" s="179">
        <f t="shared" si="81"/>
        <v>0.83660580366213555</v>
      </c>
      <c r="S252" s="839">
        <f t="shared" si="82"/>
        <v>-3</v>
      </c>
      <c r="T252" s="178">
        <f t="shared" si="83"/>
        <v>3</v>
      </c>
      <c r="U252" s="253">
        <f t="shared" si="84"/>
        <v>-2.1633941963378645</v>
      </c>
      <c r="V252" s="385">
        <f t="shared" si="85"/>
        <v>44.994983771037077</v>
      </c>
      <c r="W252" s="404">
        <f t="shared" si="86"/>
        <v>37.627912694193</v>
      </c>
      <c r="X252" s="157">
        <f t="shared" si="87"/>
        <v>45895</v>
      </c>
      <c r="Y252" s="387">
        <f t="shared" si="88"/>
        <v>34.868794560184014</v>
      </c>
      <c r="Z252" s="387">
        <f t="shared" si="89"/>
        <v>37.028204342229316</v>
      </c>
      <c r="AA252" s="388">
        <f t="shared" si="90"/>
        <v>44.474895253589843</v>
      </c>
      <c r="AB252" s="199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0.16743582798566484</v>
      </c>
      <c r="AD252" s="233">
        <f>(INDEX(Models!$BJ252:$BT252,,AH252)*(1-AF252)+INDEX(Models!$BJ252:$BT252,,AH252+1)*AF252-ERP_i)*AE252*Ramure*Pc/MaxiM</f>
        <v>1.3535233030274131E-2</v>
      </c>
      <c r="AE252" s="307">
        <f t="shared" si="92"/>
        <v>0.9</v>
      </c>
      <c r="AF252" s="179">
        <f t="shared" si="93"/>
        <v>0.47226145596911451</v>
      </c>
      <c r="AG252" s="839">
        <f t="shared" si="99"/>
        <v>2</v>
      </c>
      <c r="AH252" s="178">
        <f t="shared" si="94"/>
        <v>8</v>
      </c>
      <c r="AI252" s="227">
        <f t="shared" si="95"/>
        <v>2.4722614559691145</v>
      </c>
      <c r="AJ252" s="267" t="b">
        <f t="shared" si="96"/>
        <v>0</v>
      </c>
      <c r="AK252" s="267" t="b">
        <f t="shared" si="97"/>
        <v>0</v>
      </c>
      <c r="AL252" s="267"/>
      <c r="AM252" s="267"/>
      <c r="AN252" s="75"/>
    </row>
    <row r="253" spans="1:40" s="6" customFormat="1" ht="11.25" x14ac:dyDescent="0.2">
      <c r="A253" s="56">
        <f t="shared" si="98"/>
        <v>45896</v>
      </c>
      <c r="B253" s="413">
        <f>'2024'!Wh/'2024'!Env_an*'2025'!Env_an</f>
        <v>43.785247874416868</v>
      </c>
      <c r="C253" s="868"/>
      <c r="D253" s="395">
        <f t="shared" si="77"/>
        <v>46.49793193494888</v>
      </c>
      <c r="E253" s="387">
        <f t="shared" si="100"/>
        <v>52.277946245552442</v>
      </c>
      <c r="F253" s="387">
        <f t="shared" si="78"/>
        <v>52.311688254107636</v>
      </c>
      <c r="G253" s="110">
        <f t="shared" si="101"/>
        <v>0.97865197432676865</v>
      </c>
      <c r="H253" s="416" t="b">
        <f>Wh_hp&gt;='2024'!Maxi_hp</f>
        <v>1</v>
      </c>
      <c r="I253" s="392">
        <f>IF(H253,Wh_hp,'2024'!Maxi_hp)</f>
        <v>52.311688254107636</v>
      </c>
      <c r="J253" s="85">
        <f>IF(H253,An,'2024'!An_max)</f>
        <v>2025</v>
      </c>
      <c r="K253" s="199">
        <f t="shared" si="79"/>
        <v>45896</v>
      </c>
      <c r="L253" s="147">
        <f>IF(t&lt;Tvie,1-EXP((T0-t)*PertePVj)+'2024'!Pspv,1-EXP((T0-t)*PertePVj)+Pspv)</f>
        <v>5.8339886262621099E-2</v>
      </c>
      <c r="M253" s="872"/>
      <c r="N253" s="872"/>
      <c r="O253" s="48">
        <f>IF(t&lt;Tnet,'2024'!Resal+('2024'!Salim-'2024'!Resal)*(1-EXP(('2024'!Tnet-t)/('2024'!Tau_j))),Resal+(Salim-Resal)*(1-EXP((Tnet-t)/(Tau_j))))*Salcycl</f>
        <v>0.11056314805203928</v>
      </c>
      <c r="P253" s="171">
        <f>(INDEX(Models!$BJ253:$BT253,,T253)*(1-R253)+INDEX(Models!$BJ253:$BT253,,T253+1)*R253-ERP_i)*Q253*Ramure*Pc/MaxiM</f>
        <v>6.6528911040317521E-4</v>
      </c>
      <c r="Q253" s="307">
        <f t="shared" si="80"/>
        <v>0.9</v>
      </c>
      <c r="R253" s="179">
        <f t="shared" si="81"/>
        <v>0.83770544323148188</v>
      </c>
      <c r="S253" s="839">
        <f t="shared" si="82"/>
        <v>-3</v>
      </c>
      <c r="T253" s="178">
        <f t="shared" si="83"/>
        <v>3</v>
      </c>
      <c r="U253" s="253">
        <f t="shared" si="84"/>
        <v>-2.1622945567685181</v>
      </c>
      <c r="V253" s="385">
        <f t="shared" si="85"/>
        <v>44.739458865895386</v>
      </c>
      <c r="W253" s="404">
        <f t="shared" si="86"/>
        <v>43.785247874416868</v>
      </c>
      <c r="X253" s="157">
        <f t="shared" si="87"/>
        <v>45896</v>
      </c>
      <c r="Y253" s="387">
        <f t="shared" si="88"/>
        <v>40.458301013846366</v>
      </c>
      <c r="Z253" s="387">
        <f t="shared" si="89"/>
        <v>42.964866434950061</v>
      </c>
      <c r="AA253" s="388">
        <f t="shared" si="90"/>
        <v>51.608880670162776</v>
      </c>
      <c r="AB253" s="199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0.16749082954264061</v>
      </c>
      <c r="AD253" s="233">
        <f>(INDEX(Models!$BJ253:$BT253,,AH253)*(1-AF253)+INDEX(Models!$BJ253:$BT253,,AH253+1)*AF253-ERP_i)*AE253*Ramure*Pc/MaxiM</f>
        <v>1.3857213969416818E-2</v>
      </c>
      <c r="AE253" s="307">
        <f t="shared" si="92"/>
        <v>0.9</v>
      </c>
      <c r="AF253" s="179">
        <f t="shared" si="93"/>
        <v>0.47336109553846084</v>
      </c>
      <c r="AG253" s="839">
        <f t="shared" si="99"/>
        <v>2</v>
      </c>
      <c r="AH253" s="178">
        <f t="shared" si="94"/>
        <v>8</v>
      </c>
      <c r="AI253" s="227">
        <f t="shared" si="95"/>
        <v>2.4733610955384608</v>
      </c>
      <c r="AJ253" s="267" t="b">
        <f t="shared" si="96"/>
        <v>0</v>
      </c>
      <c r="AK253" s="267" t="b">
        <f t="shared" si="97"/>
        <v>0</v>
      </c>
      <c r="AL253" s="267"/>
      <c r="AM253" s="267"/>
      <c r="AN253" s="75"/>
    </row>
    <row r="254" spans="1:40" s="6" customFormat="1" ht="11.25" x14ac:dyDescent="0.2">
      <c r="A254" s="56">
        <f t="shared" si="98"/>
        <v>45897</v>
      </c>
      <c r="B254" s="413">
        <f>'2024'!Wh/'2024'!Env_an*'2025'!Env_an</f>
        <v>42.233897567294136</v>
      </c>
      <c r="C254" s="868"/>
      <c r="D254" s="395">
        <f t="shared" si="77"/>
        <v>44.851512577118662</v>
      </c>
      <c r="E254" s="387">
        <f t="shared" si="100"/>
        <v>50.433846224781284</v>
      </c>
      <c r="F254" s="387">
        <f t="shared" si="78"/>
        <v>50.466386245875384</v>
      </c>
      <c r="G254" s="110">
        <f t="shared" si="101"/>
        <v>0.94948061632951741</v>
      </c>
      <c r="H254" s="416" t="b">
        <f>Wh_hp&gt;='2024'!Maxi_hp</f>
        <v>0</v>
      </c>
      <c r="I254" s="392">
        <f>IF(H254,Wh_hp,'2024'!Maxi_hp)</f>
        <v>52.43587821164941</v>
      </c>
      <c r="J254" s="85">
        <f>IF(H254,An,'2024'!An_max)</f>
        <v>2021</v>
      </c>
      <c r="K254" s="199">
        <f t="shared" si="79"/>
        <v>45897</v>
      </c>
      <c r="L254" s="147">
        <f>IF(t&lt;Tvie,1-EXP((T0-t)*PertePVj)+'2024'!Pspv,1-EXP((T0-t)*PertePVj)+Pspv)</f>
        <v>5.8361800069144598E-2</v>
      </c>
      <c r="M254" s="872"/>
      <c r="N254" s="872"/>
      <c r="O254" s="48">
        <f>IF(t&lt;Tnet,'2024'!Resal+('2024'!Salim-'2024'!Resal)*(1-EXP(('2024'!Tnet-t)/('2024'!Tau_j))),Resal+(Salim-Resal)*(1-EXP((Tnet-t)/(Tau_j))))*Salcycl</f>
        <v>0.1106862566614972</v>
      </c>
      <c r="P254" s="171">
        <f>(INDEX(Models!$BJ254:$BT254,,T254)*(1-R254)+INDEX(Models!$BJ254:$BT254,,T254+1)*R254-ERP_i)*Q254*Ramure*Pc/MaxiM</f>
        <v>6.9488932064101165E-4</v>
      </c>
      <c r="Q254" s="307">
        <f t="shared" si="80"/>
        <v>0.9</v>
      </c>
      <c r="R254" s="179">
        <f t="shared" si="81"/>
        <v>0.83876419386506562</v>
      </c>
      <c r="S254" s="839">
        <f t="shared" si="82"/>
        <v>-3</v>
      </c>
      <c r="T254" s="178">
        <f t="shared" si="83"/>
        <v>3</v>
      </c>
      <c r="U254" s="253">
        <f t="shared" si="84"/>
        <v>-2.1612358061349344</v>
      </c>
      <c r="V254" s="385">
        <f t="shared" si="85"/>
        <v>44.478822862377001</v>
      </c>
      <c r="W254" s="404">
        <f t="shared" si="86"/>
        <v>42.233897567294136</v>
      </c>
      <c r="X254" s="157">
        <f t="shared" si="87"/>
        <v>45897</v>
      </c>
      <c r="Y254" s="387">
        <f t="shared" si="88"/>
        <v>39.039085655337352</v>
      </c>
      <c r="Z254" s="387">
        <f t="shared" si="89"/>
        <v>41.458689397057171</v>
      </c>
      <c r="AA254" s="388">
        <f t="shared" si="90"/>
        <v>49.802908188953353</v>
      </c>
      <c r="AB254" s="199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0.1675448100387637</v>
      </c>
      <c r="AD254" s="233">
        <f>(INDEX(Models!$BJ254:$BT254,,AH254)*(1-AF254)+INDEX(Models!$BJ254:$BT254,,AH254+1)*AF254-ERP_i)*AE254*Ramure*Pc/MaxiM</f>
        <v>1.4168516206597349E-2</v>
      </c>
      <c r="AE254" s="307">
        <f t="shared" si="92"/>
        <v>0.9</v>
      </c>
      <c r="AF254" s="179">
        <f t="shared" si="93"/>
        <v>0.47441984617204458</v>
      </c>
      <c r="AG254" s="839">
        <f t="shared" si="99"/>
        <v>2</v>
      </c>
      <c r="AH254" s="178">
        <f t="shared" si="94"/>
        <v>8</v>
      </c>
      <c r="AI254" s="227">
        <f t="shared" si="95"/>
        <v>2.4744198461720446</v>
      </c>
      <c r="AJ254" s="267" t="b">
        <f t="shared" si="96"/>
        <v>0</v>
      </c>
      <c r="AK254" s="267" t="b">
        <f t="shared" si="97"/>
        <v>0</v>
      </c>
      <c r="AL254" s="267"/>
      <c r="AM254" s="267"/>
      <c r="AN254" s="75"/>
    </row>
    <row r="255" spans="1:40" s="6" customFormat="1" ht="11.25" x14ac:dyDescent="0.2">
      <c r="A255" s="56">
        <f t="shared" si="98"/>
        <v>45898</v>
      </c>
      <c r="B255" s="413">
        <f>'2024'!Wh/'2024'!Env_an*'2025'!Env_an</f>
        <v>29.681181260513235</v>
      </c>
      <c r="C255" s="868"/>
      <c r="D255" s="395">
        <f t="shared" si="77"/>
        <v>31.52152493730253</v>
      </c>
      <c r="E255" s="387">
        <f t="shared" si="100"/>
        <v>35.449649121662041</v>
      </c>
      <c r="F255" s="387">
        <f t="shared" si="78"/>
        <v>35.463281138838127</v>
      </c>
      <c r="G255" s="110">
        <f t="shared" si="101"/>
        <v>0.67109573231996444</v>
      </c>
      <c r="H255" s="416" t="b">
        <f>Wh_hp&gt;='2024'!Maxi_hp</f>
        <v>0</v>
      </c>
      <c r="I255" s="392">
        <f>IF(H255,Wh_hp,'2024'!Maxi_hp)</f>
        <v>51.701518118132348</v>
      </c>
      <c r="J255" s="85">
        <f>IF(H255,An,'2024'!An_max)</f>
        <v>2021</v>
      </c>
      <c r="K255" s="199">
        <f t="shared" si="79"/>
        <v>45898</v>
      </c>
      <c r="L255" s="147">
        <f>IF(t&lt;Tvie,1-EXP((T0-t)*PertePVj)+'2024'!Pspv,1-EXP((T0-t)*PertePVj)+Pspv)</f>
        <v>5.8383713365701917E-2</v>
      </c>
      <c r="M255" s="872"/>
      <c r="N255" s="872"/>
      <c r="O255" s="48">
        <f>IF(t&lt;Tnet,'2024'!Resal+('2024'!Salim-'2024'!Resal)*(1-EXP(('2024'!Tnet-t)/('2024'!Tau_j))),Resal+(Salim-Resal)*(1-EXP((Tnet-t)/(Tau_j))))*Salcycl</f>
        <v>0.11080854907416206</v>
      </c>
      <c r="P255" s="171">
        <f>(INDEX(Models!$BJ255:$BT255,,T255)*(1-R255)+INDEX(Models!$BJ255:$BT255,,T255+1)*R255-ERP_i)*Q255*Ramure*Pc/MaxiM</f>
        <v>7.2464608873878879E-4</v>
      </c>
      <c r="Q255" s="307">
        <f t="shared" si="80"/>
        <v>0.9</v>
      </c>
      <c r="R255" s="179">
        <f t="shared" si="81"/>
        <v>0.83978344944827832</v>
      </c>
      <c r="S255" s="839">
        <f t="shared" si="82"/>
        <v>-3</v>
      </c>
      <c r="T255" s="178">
        <f t="shared" si="83"/>
        <v>3</v>
      </c>
      <c r="U255" s="253">
        <f t="shared" si="84"/>
        <v>-2.1602165505517217</v>
      </c>
      <c r="V255" s="385">
        <f t="shared" si="85"/>
        <v>44.21288496590757</v>
      </c>
      <c r="W255" s="404">
        <f t="shared" si="86"/>
        <v>29.681181260513235</v>
      </c>
      <c r="X255" s="157">
        <f t="shared" si="87"/>
        <v>45898</v>
      </c>
      <c r="Y255" s="387">
        <f t="shared" si="88"/>
        <v>27.582786787543508</v>
      </c>
      <c r="Z255" s="387">
        <f t="shared" si="89"/>
        <v>29.293022199239022</v>
      </c>
      <c r="AA255" s="388">
        <f t="shared" si="90"/>
        <v>35.190944734740995</v>
      </c>
      <c r="AB255" s="199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0.16759773231320677</v>
      </c>
      <c r="AD255" s="233">
        <f>(INDEX(Models!$BJ255:$BT255,,AH255)*(1-AF255)+INDEX(Models!$BJ255:$BT255,,AH255+1)*AF255-ERP_i)*AE255*Ramure*Pc/MaxiM</f>
        <v>1.4476765067196886E-2</v>
      </c>
      <c r="AE255" s="307">
        <f t="shared" si="92"/>
        <v>0.9</v>
      </c>
      <c r="AF255" s="179">
        <f t="shared" si="93"/>
        <v>0.47543910175525728</v>
      </c>
      <c r="AG255" s="839">
        <f t="shared" si="99"/>
        <v>2</v>
      </c>
      <c r="AH255" s="178">
        <f t="shared" si="94"/>
        <v>8</v>
      </c>
      <c r="AI255" s="227">
        <f t="shared" si="95"/>
        <v>2.4754391017552573</v>
      </c>
      <c r="AJ255" s="267" t="b">
        <f t="shared" si="96"/>
        <v>0</v>
      </c>
      <c r="AK255" s="267" t="b">
        <f t="shared" si="97"/>
        <v>0</v>
      </c>
      <c r="AL255" s="267"/>
      <c r="AM255" s="267"/>
      <c r="AN255" s="75"/>
    </row>
    <row r="256" spans="1:40" s="6" customFormat="1" ht="11.25" x14ac:dyDescent="0.2">
      <c r="A256" s="56">
        <f t="shared" si="98"/>
        <v>45899</v>
      </c>
      <c r="B256" s="413">
        <f>'2024'!Wh/'2024'!Env_an*'2025'!Env_an</f>
        <v>41.333352655933609</v>
      </c>
      <c r="C256" s="868"/>
      <c r="D256" s="395">
        <f t="shared" si="77"/>
        <v>43.897195866868422</v>
      </c>
      <c r="E256" s="387">
        <f t="shared" si="100"/>
        <v>49.374285255081922</v>
      </c>
      <c r="F256" s="387">
        <f t="shared" si="78"/>
        <v>49.408406260240781</v>
      </c>
      <c r="G256" s="110">
        <f t="shared" si="101"/>
        <v>0.94058561553678288</v>
      </c>
      <c r="H256" s="416" t="b">
        <f>Wh_hp&gt;='2024'!Maxi_hp</f>
        <v>0</v>
      </c>
      <c r="I256" s="392">
        <f>IF(H256,Wh_hp,'2024'!Maxi_hp)</f>
        <v>49.974130891350057</v>
      </c>
      <c r="J256" s="85">
        <f>IF(H256,An,'2024'!An_max)</f>
        <v>2021</v>
      </c>
      <c r="K256" s="199">
        <f t="shared" si="79"/>
        <v>45899</v>
      </c>
      <c r="L256" s="147">
        <f>IF(t&lt;Tvie,1-EXP((T0-t)*PertePVj)+'2024'!Pspv,1-EXP((T0-t)*PertePVj)+Pspv)</f>
        <v>5.8405626152304713E-2</v>
      </c>
      <c r="M256" s="872"/>
      <c r="N256" s="872"/>
      <c r="O256" s="48">
        <f>IF(t&lt;Tnet,'2024'!Resal+('2024'!Salim-'2024'!Resal)*(1-EXP(('2024'!Tnet-t)/('2024'!Tau_j))),Resal+(Salim-Resal)*(1-EXP((Tnet-t)/(Tau_j))))*Salcycl</f>
        <v>0.11092999847830234</v>
      </c>
      <c r="P256" s="171">
        <f>(INDEX(Models!$BJ256:$BT256,,T256)*(1-R256)+INDEX(Models!$BJ256:$BT256,,T256+1)*R256-ERP_i)*Q256*Ramure*Pc/MaxiM</f>
        <v>7.5457254600769339E-4</v>
      </c>
      <c r="Q256" s="307">
        <f t="shared" si="80"/>
        <v>0.9</v>
      </c>
      <c r="R256" s="179">
        <f t="shared" si="81"/>
        <v>0.84076456603392291</v>
      </c>
      <c r="S256" s="839">
        <f t="shared" si="82"/>
        <v>-3</v>
      </c>
      <c r="T256" s="178">
        <f t="shared" si="83"/>
        <v>3</v>
      </c>
      <c r="U256" s="253">
        <f t="shared" si="84"/>
        <v>-2.1592354339660771</v>
      </c>
      <c r="V256" s="385">
        <f t="shared" si="85"/>
        <v>43.941461125476778</v>
      </c>
      <c r="W256" s="404">
        <f t="shared" si="86"/>
        <v>41.333352655933609</v>
      </c>
      <c r="X256" s="157">
        <f t="shared" si="87"/>
        <v>45899</v>
      </c>
      <c r="Y256" s="387">
        <f t="shared" si="88"/>
        <v>38.199296617494731</v>
      </c>
      <c r="Z256" s="387">
        <f t="shared" si="89"/>
        <v>40.568739234707387</v>
      </c>
      <c r="AA256" s="388">
        <f t="shared" si="90"/>
        <v>48.73997439376933</v>
      </c>
      <c r="AB256" s="199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0.16764955789772656</v>
      </c>
      <c r="AD256" s="233">
        <f>(INDEX(Models!$BJ256:$BT256,,AH256)*(1-AF256)+INDEX(Models!$BJ256:$BT256,,AH256+1)*AF256-ERP_i)*AE256*Ramure*Pc/MaxiM</f>
        <v>1.4782106592926765E-2</v>
      </c>
      <c r="AE256" s="307">
        <f t="shared" si="92"/>
        <v>0.9</v>
      </c>
      <c r="AF256" s="179">
        <f t="shared" si="93"/>
        <v>0.47642021834090187</v>
      </c>
      <c r="AG256" s="839">
        <f t="shared" si="99"/>
        <v>2</v>
      </c>
      <c r="AH256" s="178">
        <f t="shared" si="94"/>
        <v>8</v>
      </c>
      <c r="AI256" s="227">
        <f t="shared" si="95"/>
        <v>2.4764202183409019</v>
      </c>
      <c r="AJ256" s="267" t="b">
        <f t="shared" si="96"/>
        <v>0</v>
      </c>
      <c r="AK256" s="267" t="b">
        <f t="shared" si="97"/>
        <v>0</v>
      </c>
      <c r="AL256" s="267"/>
      <c r="AM256" s="267"/>
      <c r="AN256" s="75"/>
    </row>
    <row r="257" spans="1:40" s="6" customFormat="1" ht="11.25" x14ac:dyDescent="0.2">
      <c r="A257" s="56">
        <f t="shared" si="98"/>
        <v>45900</v>
      </c>
      <c r="B257" s="413">
        <f>'2024'!Wh/'2024'!Env_an*'2025'!Env_an</f>
        <v>19.41266962449172</v>
      </c>
      <c r="C257" s="868"/>
      <c r="D257" s="395">
        <f t="shared" si="77"/>
        <v>20.617286950067804</v>
      </c>
      <c r="E257" s="387">
        <f t="shared" si="100"/>
        <v>23.192868365993146</v>
      </c>
      <c r="F257" s="387">
        <f t="shared" si="78"/>
        <v>23.196628076779028</v>
      </c>
      <c r="G257" s="110">
        <f t="shared" si="101"/>
        <v>0.44431151625951598</v>
      </c>
      <c r="H257" s="416" t="b">
        <f>Wh_hp&gt;='2024'!Maxi_hp</f>
        <v>0</v>
      </c>
      <c r="I257" s="392">
        <f>IF(H257,Wh_hp,'2024'!Maxi_hp)</f>
        <v>49.874216739239351</v>
      </c>
      <c r="J257" s="85">
        <f>IF(H257,An,'2024'!An_max)</f>
        <v>2021</v>
      </c>
      <c r="K257" s="199">
        <f t="shared" si="79"/>
        <v>45900</v>
      </c>
      <c r="L257" s="147">
        <f>IF(t&lt;Tvie,1-EXP((T0-t)*PertePVj)+'2024'!Pspv,1-EXP((T0-t)*PertePVj)+Pspv)</f>
        <v>5.8427538428964976E-2</v>
      </c>
      <c r="M257" s="872"/>
      <c r="N257" s="872"/>
      <c r="O257" s="48">
        <f>IF(t&lt;Tnet,'2024'!Resal+('2024'!Salim-'2024'!Resal)*(1-EXP(('2024'!Tnet-t)/('2024'!Tau_j))),Resal+(Salim-Resal)*(1-EXP((Tnet-t)/(Tau_j))))*Salcycl</f>
        <v>0.11105057706884693</v>
      </c>
      <c r="P257" s="171">
        <f>(INDEX(Models!$BJ257:$BT257,,T257)*(1-R257)+INDEX(Models!$BJ257:$BT257,,T257+1)*R257-ERP_i)*Q257*Ramure*Pc/MaxiM</f>
        <v>7.8468306128122445E-4</v>
      </c>
      <c r="Q257" s="307">
        <f t="shared" si="80"/>
        <v>0.9</v>
      </c>
      <c r="R257" s="179">
        <f t="shared" si="81"/>
        <v>0.84170886209950302</v>
      </c>
      <c r="S257" s="839">
        <f t="shared" si="82"/>
        <v>-3</v>
      </c>
      <c r="T257" s="178">
        <f t="shared" si="83"/>
        <v>3</v>
      </c>
      <c r="U257" s="253">
        <f t="shared" si="84"/>
        <v>-2.158291137900497</v>
      </c>
      <c r="V257" s="385">
        <f t="shared" si="85"/>
        <v>43.664367383712992</v>
      </c>
      <c r="W257" s="404">
        <f t="shared" si="86"/>
        <v>19.41266962449172</v>
      </c>
      <c r="X257" s="157">
        <f t="shared" si="87"/>
        <v>45900</v>
      </c>
      <c r="Y257" s="387">
        <f t="shared" si="88"/>
        <v>18.121872858535944</v>
      </c>
      <c r="Z257" s="387">
        <f t="shared" si="89"/>
        <v>19.246392177081294</v>
      </c>
      <c r="AA257" s="388">
        <f t="shared" si="90"/>
        <v>23.124351660847456</v>
      </c>
      <c r="AB257" s="199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0.16770024693630897</v>
      </c>
      <c r="AD257" s="233">
        <f>(INDEX(Models!$BJ257:$BT257,,AH257)*(1-AF257)+INDEX(Models!$BJ257:$BT257,,AH257+1)*AF257-ERP_i)*AE257*Ramure*Pc/MaxiM</f>
        <v>1.508469202592874E-2</v>
      </c>
      <c r="AE257" s="307">
        <f t="shared" si="92"/>
        <v>0.9</v>
      </c>
      <c r="AF257" s="179">
        <f t="shared" si="93"/>
        <v>0.47736451440648198</v>
      </c>
      <c r="AG257" s="839">
        <f t="shared" si="99"/>
        <v>2</v>
      </c>
      <c r="AH257" s="178">
        <f t="shared" si="94"/>
        <v>8</v>
      </c>
      <c r="AI257" s="227">
        <f t="shared" si="95"/>
        <v>2.477364514406482</v>
      </c>
      <c r="AJ257" s="267" t="b">
        <f t="shared" si="96"/>
        <v>0</v>
      </c>
      <c r="AK257" s="267" t="b">
        <f t="shared" si="97"/>
        <v>0</v>
      </c>
      <c r="AL257" s="267"/>
      <c r="AM257" s="267"/>
      <c r="AN257" s="75"/>
    </row>
    <row r="258" spans="1:40" s="6" customFormat="1" ht="11.25" x14ac:dyDescent="0.2">
      <c r="A258" s="56">
        <f t="shared" si="98"/>
        <v>45901</v>
      </c>
      <c r="B258" s="413">
        <f>'2024'!Wh/'2024'!Env_an*'2025'!Env_an</f>
        <v>39.120621055274221</v>
      </c>
      <c r="C258" s="868"/>
      <c r="D258" s="395">
        <f t="shared" si="77"/>
        <v>41.549145782353548</v>
      </c>
      <c r="E258" s="387">
        <f t="shared" si="100"/>
        <v>46.745899382880516</v>
      </c>
      <c r="F258" s="387">
        <f t="shared" si="78"/>
        <v>46.778674459955361</v>
      </c>
      <c r="G258" s="110">
        <f t="shared" si="101"/>
        <v>0.90167967105875924</v>
      </c>
      <c r="H258" s="416" t="b">
        <f>Wh_hp&gt;='2024'!Maxi_hp</f>
        <v>1</v>
      </c>
      <c r="I258" s="392">
        <f>IF(H258,Wh_hp,'2024'!Maxi_hp)</f>
        <v>46.778674459955361</v>
      </c>
      <c r="J258" s="85">
        <f>IF(H258,An,'2024'!An_max)</f>
        <v>2025</v>
      </c>
      <c r="K258" s="199">
        <f t="shared" si="79"/>
        <v>45901</v>
      </c>
      <c r="L258" s="147">
        <f>IF(t&lt;Tvie,1-EXP((T0-t)*PertePVj)+'2024'!Pspv,1-EXP((T0-t)*PertePVj)+Pspv)</f>
        <v>5.8449450195694586E-2</v>
      </c>
      <c r="M258" s="872"/>
      <c r="N258" s="872"/>
      <c r="O258" s="48">
        <f>IF(t&lt;Tnet,'2024'!Resal+('2024'!Salim-'2024'!Resal)*(1-EXP(('2024'!Tnet-t)/('2024'!Tau_j))),Resal+(Salim-Resal)*(1-EXP((Tnet-t)/(Tau_j))))*Salcycl</f>
        <v>0.11117025598249895</v>
      </c>
      <c r="P258" s="171">
        <f>(INDEX(Models!$BJ258:$BT258,,T258)*(1-R258)+INDEX(Models!$BJ258:$BT258,,T258+1)*R258-ERP_i)*Q258*Ramure*Pc/MaxiM</f>
        <v>8.1499329082964094E-4</v>
      </c>
      <c r="Q258" s="307">
        <f t="shared" si="80"/>
        <v>0.9</v>
      </c>
      <c r="R258" s="179">
        <f t="shared" si="81"/>
        <v>0.84261761887517306</v>
      </c>
      <c r="S258" s="839">
        <f t="shared" si="82"/>
        <v>-3</v>
      </c>
      <c r="T258" s="178">
        <f t="shared" si="83"/>
        <v>3</v>
      </c>
      <c r="U258" s="253">
        <f t="shared" si="84"/>
        <v>-2.1573823811248269</v>
      </c>
      <c r="V258" s="385">
        <f t="shared" si="85"/>
        <v>43.38141987470626</v>
      </c>
      <c r="W258" s="404">
        <f t="shared" si="86"/>
        <v>39.120621055274221</v>
      </c>
      <c r="X258" s="157">
        <f t="shared" si="87"/>
        <v>45901</v>
      </c>
      <c r="Y258" s="387">
        <f t="shared" si="88"/>
        <v>36.171220094019169</v>
      </c>
      <c r="Z258" s="387">
        <f t="shared" si="89"/>
        <v>38.416652299270709</v>
      </c>
      <c r="AA258" s="388">
        <f t="shared" si="90"/>
        <v>46.15997732989937</v>
      </c>
      <c r="AB258" s="199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0.16774975809212642</v>
      </c>
      <c r="AD258" s="233">
        <f>(INDEX(Models!$BJ258:$BT258,,AH258)*(1-AF258)+INDEX(Models!$BJ258:$BT258,,AH258+1)*AF258-ERP_i)*AE258*Ramure*Pc/MaxiM</f>
        <v>1.5384678086330948E-2</v>
      </c>
      <c r="AE258" s="307">
        <f t="shared" si="92"/>
        <v>0.9</v>
      </c>
      <c r="AF258" s="179">
        <f t="shared" si="93"/>
        <v>0.47827327118215202</v>
      </c>
      <c r="AG258" s="839">
        <f t="shared" si="99"/>
        <v>2</v>
      </c>
      <c r="AH258" s="178">
        <f t="shared" si="94"/>
        <v>8</v>
      </c>
      <c r="AI258" s="227">
        <f t="shared" si="95"/>
        <v>2.478273271182152</v>
      </c>
      <c r="AJ258" s="267" t="b">
        <f t="shared" si="96"/>
        <v>0</v>
      </c>
      <c r="AK258" s="267" t="b">
        <f t="shared" si="97"/>
        <v>0</v>
      </c>
      <c r="AL258" s="267"/>
      <c r="AM258" s="267"/>
      <c r="AN258" s="75"/>
    </row>
    <row r="259" spans="1:40" s="6" customFormat="1" ht="11.25" x14ac:dyDescent="0.2">
      <c r="A259" s="56">
        <f t="shared" si="98"/>
        <v>45902</v>
      </c>
      <c r="B259" s="413">
        <f>'2024'!Wh/'2024'!Env_an*'2025'!Env_an</f>
        <v>34.00932831661185</v>
      </c>
      <c r="C259" s="868"/>
      <c r="D259" s="395">
        <f t="shared" si="77"/>
        <v>36.121395488381928</v>
      </c>
      <c r="E259" s="387">
        <f t="shared" si="100"/>
        <v>40.644704184821592</v>
      </c>
      <c r="F259" s="387">
        <f t="shared" si="78"/>
        <v>40.668736141526352</v>
      </c>
      <c r="G259" s="110">
        <f t="shared" si="101"/>
        <v>0.78901701757035292</v>
      </c>
      <c r="H259" s="416" t="b">
        <f>Wh_hp&gt;='2024'!Maxi_hp</f>
        <v>0</v>
      </c>
      <c r="I259" s="392">
        <f>IF(H259,Wh_hp,'2024'!Maxi_hp)</f>
        <v>49.068004680732784</v>
      </c>
      <c r="J259" s="85">
        <f>IF(H259,An,'2024'!An_max)</f>
        <v>2019</v>
      </c>
      <c r="K259" s="199">
        <f t="shared" si="79"/>
        <v>45902</v>
      </c>
      <c r="L259" s="147">
        <f>IF(t&lt;Tvie,1-EXP((T0-t)*PertePVj)+'2024'!Pspv,1-EXP((T0-t)*PertePVj)+Pspv)</f>
        <v>5.8471361452505421E-2</v>
      </c>
      <c r="M259" s="872"/>
      <c r="N259" s="872"/>
      <c r="O259" s="48">
        <f>IF(t&lt;Tnet,'2024'!Resal+('2024'!Salim-'2024'!Resal)*(1-EXP(('2024'!Tnet-t)/('2024'!Tau_j))),Resal+(Salim-Resal)*(1-EXP((Tnet-t)/(Tau_j))))*Salcycl</f>
        <v>0.11128900522614342</v>
      </c>
      <c r="P259" s="171">
        <f>(INDEX(Models!$BJ259:$BT259,,T259)*(1-R259)+INDEX(Models!$BJ259:$BT259,,T259+1)*R259-ERP_i)*Q259*Ramure*Pc/MaxiM</f>
        <v>8.4552023447230376E-4</v>
      </c>
      <c r="Q259" s="307">
        <f t="shared" si="80"/>
        <v>0.9</v>
      </c>
      <c r="R259" s="179">
        <f t="shared" si="81"/>
        <v>0.84349208073506254</v>
      </c>
      <c r="S259" s="839">
        <f t="shared" si="82"/>
        <v>-3</v>
      </c>
      <c r="T259" s="178">
        <f t="shared" si="83"/>
        <v>3</v>
      </c>
      <c r="U259" s="253">
        <f t="shared" si="84"/>
        <v>-2.1565079192649375</v>
      </c>
      <c r="V259" s="385">
        <f t="shared" si="85"/>
        <v>43.092434822153507</v>
      </c>
      <c r="W259" s="404">
        <f t="shared" si="86"/>
        <v>34.00932831661185</v>
      </c>
      <c r="X259" s="157">
        <f t="shared" si="87"/>
        <v>45902</v>
      </c>
      <c r="Y259" s="387">
        <f t="shared" si="88"/>
        <v>31.516412680351149</v>
      </c>
      <c r="Z259" s="387">
        <f t="shared" si="89"/>
        <v>33.473663349180569</v>
      </c>
      <c r="AA259" s="388">
        <f t="shared" si="90"/>
        <v>40.223005109066712</v>
      </c>
      <c r="AB259" s="199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0.16779804844478827</v>
      </c>
      <c r="AD259" s="233">
        <f>(INDEX(Models!$BJ259:$BT259,,AH259)*(1-AF259)+INDEX(Models!$BJ259:$BT259,,AH259+1)*AF259-ERP_i)*AE259*Ramure*Pc/MaxiM</f>
        <v>1.5682227282067793E-2</v>
      </c>
      <c r="AE259" s="307">
        <f t="shared" si="92"/>
        <v>0.9</v>
      </c>
      <c r="AF259" s="179">
        <f t="shared" si="93"/>
        <v>0.4791477330420415</v>
      </c>
      <c r="AG259" s="839">
        <f t="shared" si="99"/>
        <v>2</v>
      </c>
      <c r="AH259" s="178">
        <f t="shared" si="94"/>
        <v>8</v>
      </c>
      <c r="AI259" s="227">
        <f t="shared" si="95"/>
        <v>2.4791477330420415</v>
      </c>
      <c r="AJ259" s="267" t="b">
        <f t="shared" si="96"/>
        <v>0</v>
      </c>
      <c r="AK259" s="267" t="b">
        <f t="shared" si="97"/>
        <v>0</v>
      </c>
      <c r="AL259" s="267"/>
      <c r="AM259" s="267"/>
      <c r="AN259" s="75"/>
    </row>
    <row r="260" spans="1:40" s="6" customFormat="1" ht="11.25" x14ac:dyDescent="0.2">
      <c r="A260" s="56">
        <f t="shared" si="98"/>
        <v>45903</v>
      </c>
      <c r="B260" s="413">
        <f>'2024'!Wh/'2024'!Env_an*'2025'!Env_an</f>
        <v>27.993024224991544</v>
      </c>
      <c r="C260" s="868"/>
      <c r="D260" s="395">
        <f t="shared" si="77"/>
        <v>29.732155276664585</v>
      </c>
      <c r="E260" s="387">
        <f t="shared" si="100"/>
        <v>33.459804849444559</v>
      </c>
      <c r="F260" s="387">
        <f t="shared" si="78"/>
        <v>33.474642647249524</v>
      </c>
      <c r="G260" s="110">
        <f t="shared" si="101"/>
        <v>0.65380161417555016</v>
      </c>
      <c r="H260" s="416" t="b">
        <f>Wh_hp&gt;='2024'!Maxi_hp</f>
        <v>0</v>
      </c>
      <c r="I260" s="392">
        <f>IF(H260,Wh_hp,'2024'!Maxi_hp)</f>
        <v>51.035952311623831</v>
      </c>
      <c r="J260" s="85">
        <f>IF(H260,An,'2024'!An_max)</f>
        <v>2019</v>
      </c>
      <c r="K260" s="199">
        <f t="shared" si="79"/>
        <v>45903</v>
      </c>
      <c r="L260" s="147">
        <f>IF(t&lt;Tvie,1-EXP((T0-t)*PertePVj)+'2024'!Pspv,1-EXP((T0-t)*PertePVj)+Pspv)</f>
        <v>5.8493272199409141E-2</v>
      </c>
      <c r="M260" s="872"/>
      <c r="N260" s="872"/>
      <c r="O260" s="48">
        <f>IF(t&lt;Tnet,'2024'!Resal+('2024'!Salim-'2024'!Resal)*(1-EXP(('2024'!Tnet-t)/('2024'!Tau_j))),Resal+(Salim-Resal)*(1-EXP((Tnet-t)/(Tau_j))))*Salcycl</f>
        <v>0.11140679360064634</v>
      </c>
      <c r="P260" s="171">
        <f>(INDEX(Models!$BJ260:$BT260,,T260)*(1-R260)+INDEX(Models!$BJ260:$BT260,,T260+1)*R260-ERP_i)*Q260*Ramure*Pc/MaxiM</f>
        <v>8.7628229846981563E-4</v>
      </c>
      <c r="Q260" s="307">
        <f t="shared" si="80"/>
        <v>0.9</v>
      </c>
      <c r="R260" s="179">
        <f t="shared" si="81"/>
        <v>0.84433345564513784</v>
      </c>
      <c r="S260" s="839">
        <f t="shared" si="82"/>
        <v>-3</v>
      </c>
      <c r="T260" s="178">
        <f t="shared" si="83"/>
        <v>3</v>
      </c>
      <c r="U260" s="253">
        <f t="shared" si="84"/>
        <v>-2.1556665443548622</v>
      </c>
      <c r="V260" s="385">
        <f t="shared" si="85"/>
        <v>42.797228540185948</v>
      </c>
      <c r="W260" s="404">
        <f t="shared" si="86"/>
        <v>27.993024224991544</v>
      </c>
      <c r="X260" s="157">
        <f t="shared" si="87"/>
        <v>45903</v>
      </c>
      <c r="Y260" s="387">
        <f t="shared" si="88"/>
        <v>26.014731025847912</v>
      </c>
      <c r="Z260" s="387">
        <f t="shared" si="89"/>
        <v>27.630956059782694</v>
      </c>
      <c r="AA260" s="388">
        <f t="shared" si="90"/>
        <v>33.20410079412617</v>
      </c>
      <c r="AB260" s="199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0.16784507338109791</v>
      </c>
      <c r="AD260" s="233">
        <f>(INDEX(Models!$BJ260:$BT260,,AH260)*(1-AF260)+INDEX(Models!$BJ260:$BT260,,AH260+1)*AF260-ERP_i)*AE260*Ramure*Pc/MaxiM</f>
        <v>1.5977508253132953E-2</v>
      </c>
      <c r="AE260" s="307">
        <f t="shared" si="92"/>
        <v>0.9</v>
      </c>
      <c r="AF260" s="179">
        <f t="shared" si="93"/>
        <v>0.4799891079521168</v>
      </c>
      <c r="AG260" s="839">
        <f t="shared" si="99"/>
        <v>2</v>
      </c>
      <c r="AH260" s="178">
        <f t="shared" si="94"/>
        <v>8</v>
      </c>
      <c r="AI260" s="227">
        <f t="shared" si="95"/>
        <v>2.4799891079521168</v>
      </c>
      <c r="AJ260" s="267" t="b">
        <f t="shared" si="96"/>
        <v>0</v>
      </c>
      <c r="AK260" s="267" t="b">
        <f t="shared" si="97"/>
        <v>0</v>
      </c>
      <c r="AL260" s="267"/>
      <c r="AM260" s="267"/>
      <c r="AN260" s="75"/>
    </row>
    <row r="261" spans="1:40" s="6" customFormat="1" ht="11.25" x14ac:dyDescent="0.2">
      <c r="A261" s="56">
        <f t="shared" si="98"/>
        <v>45904</v>
      </c>
      <c r="B261" s="413">
        <f>'2024'!Wh/'2024'!Env_an*'2025'!Env_an</f>
        <v>40.746061884268009</v>
      </c>
      <c r="C261" s="868"/>
      <c r="D261" s="395">
        <f t="shared" si="77"/>
        <v>43.278511903901489</v>
      </c>
      <c r="E261" s="387">
        <f t="shared" si="100"/>
        <v>48.710929575262277</v>
      </c>
      <c r="F261" s="387">
        <f t="shared" si="78"/>
        <v>48.752562499332619</v>
      </c>
      <c r="G261" s="110">
        <f t="shared" si="101"/>
        <v>0.95879087238292271</v>
      </c>
      <c r="H261" s="416" t="b">
        <f>Wh_hp&gt;='2024'!Maxi_hp</f>
        <v>0</v>
      </c>
      <c r="I261" s="392">
        <f>IF(H261,Wh_hp,'2024'!Maxi_hp)</f>
        <v>50.502994047654042</v>
      </c>
      <c r="J261" s="85">
        <f>IF(H261,An,'2024'!An_max)</f>
        <v>2019</v>
      </c>
      <c r="K261" s="199">
        <f t="shared" si="79"/>
        <v>45904</v>
      </c>
      <c r="L261" s="147">
        <f>IF(t&lt;Tvie,1-EXP((T0-t)*PertePVj)+'2024'!Pspv,1-EXP((T0-t)*PertePVj)+Pspv)</f>
        <v>5.8515182436417956E-2</v>
      </c>
      <c r="M261" s="872"/>
      <c r="N261" s="872"/>
      <c r="O261" s="48">
        <f>IF(t&lt;Tnet,'2024'!Resal+('2024'!Salim-'2024'!Resal)*(1-EXP(('2024'!Tnet-t)/('2024'!Tau_j))),Resal+(Salim-Resal)*(1-EXP((Tnet-t)/(Tau_j))))*Salcycl</f>
        <v>0.11152358862228799</v>
      </c>
      <c r="P261" s="171">
        <f>(INDEX(Models!$BJ261:$BT261,,T261)*(1-R261)+INDEX(Models!$BJ261:$BT261,,T261+1)*R261-ERP_i)*Q261*Ramure*Pc/MaxiM</f>
        <v>9.0731101896319229E-4</v>
      </c>
      <c r="Q261" s="307">
        <f t="shared" si="80"/>
        <v>0.9</v>
      </c>
      <c r="R261" s="179">
        <f t="shared" si="81"/>
        <v>0.84514291566120781</v>
      </c>
      <c r="S261" s="839">
        <f t="shared" si="82"/>
        <v>-3</v>
      </c>
      <c r="T261" s="178">
        <f t="shared" si="83"/>
        <v>3</v>
      </c>
      <c r="U261" s="253">
        <f t="shared" si="84"/>
        <v>-2.1548570843387922</v>
      </c>
      <c r="V261" s="385">
        <f t="shared" si="85"/>
        <v>42.495071147822422</v>
      </c>
      <c r="W261" s="404">
        <f t="shared" si="86"/>
        <v>40.746061884268009</v>
      </c>
      <c r="X261" s="157">
        <f t="shared" si="87"/>
        <v>45904</v>
      </c>
      <c r="Y261" s="387">
        <f t="shared" si="88"/>
        <v>37.608738300452437</v>
      </c>
      <c r="Z261" s="387">
        <f t="shared" si="89"/>
        <v>39.946197324538986</v>
      </c>
      <c r="AA261" s="388">
        <f t="shared" si="90"/>
        <v>48.005954838174041</v>
      </c>
      <c r="AB261" s="199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0.16789078648272168</v>
      </c>
      <c r="AD261" s="233">
        <f>(INDEX(Models!$BJ261:$BT261,,AH261)*(1-AF261)+INDEX(Models!$BJ261:$BT261,,AH261+1)*AF261-ERP_i)*AE261*Ramure*Pc/MaxiM</f>
        <v>1.6270905129483475E-2</v>
      </c>
      <c r="AE261" s="307">
        <f t="shared" si="92"/>
        <v>0.9</v>
      </c>
      <c r="AF261" s="179">
        <f t="shared" si="93"/>
        <v>0.48079856796818676</v>
      </c>
      <c r="AG261" s="839">
        <f t="shared" si="99"/>
        <v>2</v>
      </c>
      <c r="AH261" s="178">
        <f t="shared" si="94"/>
        <v>8</v>
      </c>
      <c r="AI261" s="227">
        <f t="shared" si="95"/>
        <v>2.4807985679681868</v>
      </c>
      <c r="AJ261" s="267" t="b">
        <f t="shared" si="96"/>
        <v>0</v>
      </c>
      <c r="AK261" s="267" t="b">
        <f t="shared" si="97"/>
        <v>0</v>
      </c>
      <c r="AL261" s="267"/>
      <c r="AM261" s="267"/>
      <c r="AN261" s="75"/>
    </row>
    <row r="262" spans="1:40" s="6" customFormat="1" ht="11.25" x14ac:dyDescent="0.2">
      <c r="A262" s="56">
        <f t="shared" si="98"/>
        <v>45905</v>
      </c>
      <c r="B262" s="413">
        <f>'2024'!Wh/'2024'!Env_an*'2025'!Env_an</f>
        <v>35.185378116188204</v>
      </c>
      <c r="C262" s="868"/>
      <c r="D262" s="395">
        <f t="shared" si="77"/>
        <v>37.373090138034762</v>
      </c>
      <c r="E262" s="387">
        <f t="shared" si="100"/>
        <v>42.069727434617775</v>
      </c>
      <c r="F262" s="387">
        <f t="shared" si="78"/>
        <v>42.099862334994896</v>
      </c>
      <c r="G262" s="110">
        <f t="shared" si="101"/>
        <v>0.83387396259945579</v>
      </c>
      <c r="H262" s="416" t="b">
        <f>Wh_hp&gt;='2024'!Maxi_hp</f>
        <v>0</v>
      </c>
      <c r="I262" s="392">
        <f>IF(H262,Wh_hp,'2024'!Maxi_hp)</f>
        <v>48.405506175605858</v>
      </c>
      <c r="J262" s="85">
        <f>IF(H262,An,'2024'!An_max)</f>
        <v>2020</v>
      </c>
      <c r="K262" s="199">
        <f t="shared" si="79"/>
        <v>45905</v>
      </c>
      <c r="L262" s="147">
        <f>IF(t&lt;Tvie,1-EXP((T0-t)*PertePVj)+'2024'!Pspv,1-EXP((T0-t)*PertePVj)+Pspv)</f>
        <v>5.8537092163543414E-2</v>
      </c>
      <c r="M262" s="872"/>
      <c r="N262" s="872"/>
      <c r="O262" s="48">
        <f>IF(t&lt;Tnet,'2024'!Resal+('2024'!Salim-'2024'!Resal)*(1-EXP(('2024'!Tnet-t)/('2024'!Tau_j))),Resal+(Salim-Resal)*(1-EXP((Tnet-t)/(Tau_j))))*Salcycl</f>
        <v>0.1116393564441852</v>
      </c>
      <c r="P262" s="171">
        <f>(INDEX(Models!$BJ262:$BT262,,T262)*(1-R262)+INDEX(Models!$BJ262:$BT262,,T262+1)*R262-ERP_i)*Q262*Ramure*Pc/MaxiM</f>
        <v>9.3820425940132723E-4</v>
      </c>
      <c r="Q262" s="307">
        <f t="shared" si="80"/>
        <v>0.9</v>
      </c>
      <c r="R262" s="179">
        <f t="shared" si="81"/>
        <v>0.8459215974710883</v>
      </c>
      <c r="S262" s="839">
        <f t="shared" si="82"/>
        <v>-3</v>
      </c>
      <c r="T262" s="178">
        <f t="shared" si="83"/>
        <v>3</v>
      </c>
      <c r="U262" s="253">
        <f t="shared" si="84"/>
        <v>-2.1540784025289117</v>
      </c>
      <c r="V262" s="385">
        <f t="shared" si="85"/>
        <v>42.185688196490489</v>
      </c>
      <c r="W262" s="404">
        <f t="shared" si="86"/>
        <v>35.185378116188204</v>
      </c>
      <c r="X262" s="157">
        <f t="shared" si="87"/>
        <v>45905</v>
      </c>
      <c r="Y262" s="387">
        <f t="shared" si="88"/>
        <v>32.562355566752657</v>
      </c>
      <c r="Z262" s="387">
        <f t="shared" si="89"/>
        <v>34.586976603871825</v>
      </c>
      <c r="AA262" s="388">
        <f t="shared" si="90"/>
        <v>41.56764483423423</v>
      </c>
      <c r="AB262" s="199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0.16793513941432811</v>
      </c>
      <c r="AD262" s="233">
        <f>(INDEX(Models!$BJ262:$BT262,,AH262)*(1-AF262)+INDEX(Models!$BJ262:$BT262,,AH262+1)*AF262-ERP_i)*AE262*Ramure*Pc/MaxiM</f>
        <v>1.6569781877249112E-2</v>
      </c>
      <c r="AE262" s="307">
        <f t="shared" si="92"/>
        <v>0.9</v>
      </c>
      <c r="AF262" s="179">
        <f t="shared" si="93"/>
        <v>0.48157724977806726</v>
      </c>
      <c r="AG262" s="839">
        <f t="shared" si="99"/>
        <v>2</v>
      </c>
      <c r="AH262" s="178">
        <f t="shared" si="94"/>
        <v>8</v>
      </c>
      <c r="AI262" s="227">
        <f t="shared" si="95"/>
        <v>2.4815772497780673</v>
      </c>
      <c r="AJ262" s="267" t="b">
        <f t="shared" si="96"/>
        <v>0</v>
      </c>
      <c r="AK262" s="267" t="b">
        <f t="shared" si="97"/>
        <v>0</v>
      </c>
      <c r="AL262" s="267"/>
      <c r="AM262" s="267"/>
      <c r="AN262" s="75"/>
    </row>
    <row r="263" spans="1:40" s="6" customFormat="1" ht="11.25" x14ac:dyDescent="0.2">
      <c r="A263" s="56">
        <f t="shared" si="98"/>
        <v>45906</v>
      </c>
      <c r="B263" s="413">
        <f>'2024'!Wh/'2024'!Env_an*'2025'!Env_an</f>
        <v>39.474948718683258</v>
      </c>
      <c r="C263" s="868"/>
      <c r="D263" s="395">
        <f t="shared" si="77"/>
        <v>41.930348026674615</v>
      </c>
      <c r="E263" s="387">
        <f t="shared" si="100"/>
        <v>47.20578639594769</v>
      </c>
      <c r="F263" s="387">
        <f t="shared" si="78"/>
        <v>47.247826447367629</v>
      </c>
      <c r="G263" s="110">
        <f t="shared" si="101"/>
        <v>0.9427332835038329</v>
      </c>
      <c r="H263" s="416" t="b">
        <f>Wh_hp&gt;='2024'!Maxi_hp</f>
        <v>0</v>
      </c>
      <c r="I263" s="392">
        <f>IF(H263,Wh_hp,'2024'!Maxi_hp)</f>
        <v>51.846079488865243</v>
      </c>
      <c r="J263" s="85">
        <f>IF(H263,An,'2024'!An_max)</f>
        <v>2019</v>
      </c>
      <c r="K263" s="199">
        <f t="shared" si="79"/>
        <v>45906</v>
      </c>
      <c r="L263" s="147">
        <f>IF(t&lt;Tvie,1-EXP((T0-t)*PertePVj)+'2024'!Pspv,1-EXP((T0-t)*PertePVj)+Pspv)</f>
        <v>5.8559001380797504E-2</v>
      </c>
      <c r="M263" s="872"/>
      <c r="N263" s="872"/>
      <c r="O263" s="48">
        <f>IF(t&lt;Tnet,'2024'!Resal+('2024'!Salim-'2024'!Resal)*(1-EXP(('2024'!Tnet-t)/('2024'!Tau_j))),Resal+(Salim-Resal)*(1-EXP((Tnet-t)/(Tau_j))))*Salcycl</f>
        <v>0.11175406178014509</v>
      </c>
      <c r="P263" s="171">
        <f>(INDEX(Models!$BJ263:$BT263,,T263)*(1-R263)+INDEX(Models!$BJ263:$BT263,,T263+1)*R263-ERP_i)*Q263*Ramure*Pc/MaxiM</f>
        <v>9.6894288804156225E-4</v>
      </c>
      <c r="Q263" s="307">
        <f t="shared" si="80"/>
        <v>0.9</v>
      </c>
      <c r="R263" s="179">
        <f t="shared" si="81"/>
        <v>0.84667060297537278</v>
      </c>
      <c r="S263" s="839">
        <f t="shared" si="82"/>
        <v>-3</v>
      </c>
      <c r="T263" s="178">
        <f t="shared" si="83"/>
        <v>3</v>
      </c>
      <c r="U263" s="253">
        <f t="shared" si="84"/>
        <v>-2.1533293970246272</v>
      </c>
      <c r="V263" s="385">
        <f t="shared" si="85"/>
        <v>41.869552688365964</v>
      </c>
      <c r="W263" s="404">
        <f t="shared" si="86"/>
        <v>39.474948718683258</v>
      </c>
      <c r="X263" s="157">
        <f t="shared" si="87"/>
        <v>45906</v>
      </c>
      <c r="Y263" s="387">
        <f t="shared" si="88"/>
        <v>36.435460460034413</v>
      </c>
      <c r="Z263" s="387">
        <f t="shared" si="89"/>
        <v>38.701799171136336</v>
      </c>
      <c r="AA263" s="388">
        <f t="shared" si="90"/>
        <v>46.515360142917565</v>
      </c>
      <c r="AB263" s="199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0.16797808181586063</v>
      </c>
      <c r="AD263" s="233">
        <f>(INDEX(Models!$BJ263:$BT263,,AH263)*(1-AF263)+INDEX(Models!$BJ263:$BT263,,AH263+1)*AF263-ERP_i)*AE263*Ramure*Pc/MaxiM</f>
        <v>1.6881949294915335E-2</v>
      </c>
      <c r="AE263" s="307">
        <f t="shared" si="92"/>
        <v>0.9</v>
      </c>
      <c r="AF263" s="179">
        <f t="shared" si="93"/>
        <v>0.48232625528235173</v>
      </c>
      <c r="AG263" s="839">
        <f t="shared" si="99"/>
        <v>2</v>
      </c>
      <c r="AH263" s="178">
        <f t="shared" si="94"/>
        <v>8</v>
      </c>
      <c r="AI263" s="227">
        <f t="shared" si="95"/>
        <v>2.4823262552823517</v>
      </c>
      <c r="AJ263" s="267" t="b">
        <f t="shared" si="96"/>
        <v>0</v>
      </c>
      <c r="AK263" s="267" t="b">
        <f t="shared" si="97"/>
        <v>0</v>
      </c>
      <c r="AL263" s="267"/>
      <c r="AM263" s="267"/>
      <c r="AN263" s="75"/>
    </row>
    <row r="264" spans="1:40" s="6" customFormat="1" ht="11.25" x14ac:dyDescent="0.2">
      <c r="A264" s="56">
        <f t="shared" si="98"/>
        <v>45907</v>
      </c>
      <c r="B264" s="413">
        <f>'2024'!Wh/'2024'!Env_an*'2025'!Env_an</f>
        <v>31.835188664600274</v>
      </c>
      <c r="C264" s="868"/>
      <c r="D264" s="395">
        <f t="shared" si="77"/>
        <v>33.816170721142477</v>
      </c>
      <c r="E264" s="387">
        <f t="shared" si="100"/>
        <v>38.075599205638291</v>
      </c>
      <c r="F264" s="387">
        <f t="shared" si="78"/>
        <v>38.100964684937388</v>
      </c>
      <c r="G264" s="110">
        <f t="shared" si="101"/>
        <v>0.76598673875396173</v>
      </c>
      <c r="H264" s="416" t="b">
        <f>Wh_hp&gt;='2024'!Maxi_hp</f>
        <v>0</v>
      </c>
      <c r="I264" s="392">
        <f>IF(H264,Wh_hp,'2024'!Maxi_hp)</f>
        <v>50.605106354797776</v>
      </c>
      <c r="J264" s="85">
        <f>IF(H264,An,'2024'!An_max)</f>
        <v>2019</v>
      </c>
      <c r="K264" s="199">
        <f t="shared" si="79"/>
        <v>45907</v>
      </c>
      <c r="L264" s="147">
        <f>IF(t&lt;Tvie,1-EXP((T0-t)*PertePVj)+'2024'!Pspv,1-EXP((T0-t)*PertePVj)+Pspv)</f>
        <v>5.8580910088192217E-2</v>
      </c>
      <c r="M264" s="872"/>
      <c r="N264" s="872"/>
      <c r="O264" s="48">
        <f>IF(t&lt;Tnet,'2024'!Resal+('2024'!Salim-'2024'!Resal)*(1-EXP(('2024'!Tnet-t)/('2024'!Tau_j))),Resal+(Salim-Resal)*(1-EXP((Tnet-t)/(Tau_j))))*Salcycl</f>
        <v>0.11186766783344737</v>
      </c>
      <c r="P264" s="171">
        <f>(INDEX(Models!$BJ264:$BT264,,T264)*(1-R264)+INDEX(Models!$BJ264:$BT264,,T264+1)*R264-ERP_i)*Q264*Ramure*Pc/MaxiM</f>
        <v>9.9952377349462251E-4</v>
      </c>
      <c r="Q264" s="307">
        <f t="shared" si="80"/>
        <v>0.9</v>
      </c>
      <c r="R264" s="179">
        <f t="shared" si="81"/>
        <v>0.84739099990162536</v>
      </c>
      <c r="S264" s="839">
        <f t="shared" si="82"/>
        <v>-3</v>
      </c>
      <c r="T264" s="178">
        <f t="shared" si="83"/>
        <v>3</v>
      </c>
      <c r="U264" s="253">
        <f t="shared" si="84"/>
        <v>-2.1526090000983746</v>
      </c>
      <c r="V264" s="385">
        <f t="shared" si="85"/>
        <v>41.547136557006695</v>
      </c>
      <c r="W264" s="404">
        <f t="shared" si="86"/>
        <v>31.835188664600274</v>
      </c>
      <c r="X264" s="157">
        <f t="shared" si="87"/>
        <v>45907</v>
      </c>
      <c r="Y264" s="387">
        <f t="shared" si="88"/>
        <v>29.500251538810204</v>
      </c>
      <c r="Z264" s="387">
        <f t="shared" si="89"/>
        <v>31.335939386542279</v>
      </c>
      <c r="AA264" s="388">
        <f t="shared" si="90"/>
        <v>37.66427421279279</v>
      </c>
      <c r="AB264" s="199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0.16801956120267067</v>
      </c>
      <c r="AD264" s="233">
        <f>(INDEX(Models!$BJ264:$BT264,,AH264)*(1-AF264)+INDEX(Models!$BJ264:$BT264,,AH264+1)*AF264-ERP_i)*AE264*Ramure*Pc/MaxiM</f>
        <v>1.7207737469508978E-2</v>
      </c>
      <c r="AE264" s="307">
        <f t="shared" si="92"/>
        <v>0.9</v>
      </c>
      <c r="AF264" s="179">
        <f t="shared" si="93"/>
        <v>0.48304665220860432</v>
      </c>
      <c r="AG264" s="839">
        <f t="shared" si="99"/>
        <v>2</v>
      </c>
      <c r="AH264" s="178">
        <f t="shared" si="94"/>
        <v>8</v>
      </c>
      <c r="AI264" s="227">
        <f t="shared" si="95"/>
        <v>2.4830466522086043</v>
      </c>
      <c r="AJ264" s="267" t="b">
        <f t="shared" si="96"/>
        <v>0</v>
      </c>
      <c r="AK264" s="267" t="b">
        <f t="shared" si="97"/>
        <v>0</v>
      </c>
      <c r="AL264" s="267"/>
      <c r="AM264" s="267"/>
      <c r="AN264" s="75"/>
    </row>
    <row r="265" spans="1:40" s="6" customFormat="1" ht="11.25" x14ac:dyDescent="0.2">
      <c r="A265" s="56">
        <f t="shared" si="98"/>
        <v>45908</v>
      </c>
      <c r="B265" s="413">
        <f>'2024'!Wh/'2024'!Env_an*'2025'!Env_an</f>
        <v>34.268930815730528</v>
      </c>
      <c r="C265" s="868"/>
      <c r="D265" s="395">
        <f t="shared" si="77"/>
        <v>36.402202472422594</v>
      </c>
      <c r="E265" s="387">
        <f t="shared" si="100"/>
        <v>40.992554285899487</v>
      </c>
      <c r="F265" s="387">
        <f t="shared" si="78"/>
        <v>41.024629662777279</v>
      </c>
      <c r="G265" s="110">
        <f t="shared" si="101"/>
        <v>0.83118212852711026</v>
      </c>
      <c r="H265" s="416" t="b">
        <f>Wh_hp&gt;='2024'!Maxi_hp</f>
        <v>0</v>
      </c>
      <c r="I265" s="392">
        <f>IF(H265,Wh_hp,'2024'!Maxi_hp)</f>
        <v>44.460234506845794</v>
      </c>
      <c r="J265" s="85">
        <f>IF(H265,An,'2024'!An_max)</f>
        <v>2019</v>
      </c>
      <c r="K265" s="199">
        <f t="shared" si="79"/>
        <v>45908</v>
      </c>
      <c r="L265" s="147">
        <f>IF(t&lt;Tvie,1-EXP((T0-t)*PertePVj)+'2024'!Pspv,1-EXP((T0-t)*PertePVj)+Pspv)</f>
        <v>5.8602818285739211E-2</v>
      </c>
      <c r="M265" s="872"/>
      <c r="N265" s="872"/>
      <c r="O265" s="48">
        <f>IF(t&lt;Tnet,'2024'!Resal+('2024'!Salim-'2024'!Resal)*(1-EXP(('2024'!Tnet-t)/('2024'!Tau_j))),Resal+(Salim-Resal)*(1-EXP((Tnet-t)/(Tau_j))))*Salcycl</f>
        <v>0.11198013623307851</v>
      </c>
      <c r="P265" s="171">
        <f>(INDEX(Models!$BJ265:$BT265,,T265)*(1-R265)+INDEX(Models!$BJ265:$BT265,,T265+1)*R265-ERP_i)*Q265*Ramure*Pc/MaxiM</f>
        <v>1.0299424300282513E-3</v>
      </c>
      <c r="Q265" s="307">
        <f t="shared" si="80"/>
        <v>0.9</v>
      </c>
      <c r="R265" s="179">
        <f t="shared" si="81"/>
        <v>0.84808382244720981</v>
      </c>
      <c r="S265" s="839">
        <f t="shared" si="82"/>
        <v>-3</v>
      </c>
      <c r="T265" s="178">
        <f t="shared" si="83"/>
        <v>3</v>
      </c>
      <c r="U265" s="253">
        <f t="shared" si="84"/>
        <v>-2.1519161775527902</v>
      </c>
      <c r="V265" s="385">
        <f t="shared" si="85"/>
        <v>41.218911416615903</v>
      </c>
      <c r="W265" s="404">
        <f t="shared" si="86"/>
        <v>34.268930815730528</v>
      </c>
      <c r="X265" s="157">
        <f t="shared" si="87"/>
        <v>45908</v>
      </c>
      <c r="Y265" s="387">
        <f t="shared" si="88"/>
        <v>31.70193781678913</v>
      </c>
      <c r="Z265" s="387">
        <f t="shared" si="89"/>
        <v>33.675411858638341</v>
      </c>
      <c r="AA265" s="388">
        <f t="shared" si="90"/>
        <v>40.478150522383672</v>
      </c>
      <c r="AB265" s="199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0.16805952287725051</v>
      </c>
      <c r="AD265" s="233">
        <f>(INDEX(Models!$BJ265:$BT265,,AH265)*(1-AF265)+INDEX(Models!$BJ265:$BT265,,AH265+1)*AF265-ERP_i)*AE265*Ramure*Pc/MaxiM</f>
        <v>1.7547480609851389E-2</v>
      </c>
      <c r="AE265" s="307">
        <f t="shared" si="92"/>
        <v>0.9</v>
      </c>
      <c r="AF265" s="179">
        <f t="shared" si="93"/>
        <v>0.48373947475418877</v>
      </c>
      <c r="AG265" s="839">
        <f t="shared" si="99"/>
        <v>2</v>
      </c>
      <c r="AH265" s="178">
        <f t="shared" si="94"/>
        <v>8</v>
      </c>
      <c r="AI265" s="227">
        <f t="shared" si="95"/>
        <v>2.4837394747541888</v>
      </c>
      <c r="AJ265" s="267" t="b">
        <f t="shared" si="96"/>
        <v>0</v>
      </c>
      <c r="AK265" s="267" t="b">
        <f t="shared" si="97"/>
        <v>0</v>
      </c>
      <c r="AL265" s="267"/>
      <c r="AM265" s="267"/>
      <c r="AN265" s="75"/>
    </row>
    <row r="266" spans="1:40" s="6" customFormat="1" ht="11.25" x14ac:dyDescent="0.2">
      <c r="A266" s="56">
        <f t="shared" si="98"/>
        <v>45909</v>
      </c>
      <c r="B266" s="413">
        <f>'2024'!Wh/'2024'!Env_an*'2025'!Env_an</f>
        <v>19.490725738782785</v>
      </c>
      <c r="C266" s="868"/>
      <c r="D266" s="395">
        <f t="shared" si="77"/>
        <v>20.704522709009552</v>
      </c>
      <c r="E266" s="387">
        <f t="shared" si="100"/>
        <v>23.3183047648551</v>
      </c>
      <c r="F266" s="387">
        <f t="shared" si="78"/>
        <v>23.324547537712483</v>
      </c>
      <c r="G266" s="110">
        <f t="shared" si="101"/>
        <v>0.47633871342823864</v>
      </c>
      <c r="H266" s="416" t="b">
        <f>Wh_hp&gt;='2024'!Maxi_hp</f>
        <v>0</v>
      </c>
      <c r="I266" s="392">
        <f>IF(H266,Wh_hp,'2024'!Maxi_hp)</f>
        <v>45.722632872468637</v>
      </c>
      <c r="J266" s="85">
        <f>IF(H266,An,'2024'!An_max)</f>
        <v>2020</v>
      </c>
      <c r="K266" s="199">
        <f t="shared" si="79"/>
        <v>45909</v>
      </c>
      <c r="L266" s="147">
        <f>IF(t&lt;Tvie,1-EXP((T0-t)*PertePVj)+'2024'!Pspv,1-EXP((T0-t)*PertePVj)+Pspv)</f>
        <v>5.8624725973450476E-2</v>
      </c>
      <c r="M266" s="872"/>
      <c r="N266" s="872"/>
      <c r="O266" s="48">
        <f>IF(t&lt;Tnet,'2024'!Resal+('2024'!Salim-'2024'!Resal)*(1-EXP(('2024'!Tnet-t)/('2024'!Tau_j))),Resal+(Salim-Resal)*(1-EXP((Tnet-t)/(Tau_j))))*Salcycl</f>
        <v>0.11209142697993167</v>
      </c>
      <c r="P266" s="171">
        <f>(INDEX(Models!$BJ266:$BT266,,T266)*(1-R266)+INDEX(Models!$BJ266:$BT266,,T266+1)*R266-ERP_i)*Q266*Ramure*Pc/MaxiM</f>
        <v>1.0601929580942872E-3</v>
      </c>
      <c r="Q266" s="307">
        <f t="shared" si="80"/>
        <v>0.9</v>
      </c>
      <c r="R266" s="179">
        <f t="shared" si="81"/>
        <v>0.84875007194630703</v>
      </c>
      <c r="S266" s="839">
        <f t="shared" si="82"/>
        <v>-3</v>
      </c>
      <c r="T266" s="178">
        <f t="shared" si="83"/>
        <v>3</v>
      </c>
      <c r="U266" s="253">
        <f t="shared" si="84"/>
        <v>-2.151249928053693</v>
      </c>
      <c r="V266" s="385">
        <f t="shared" si="85"/>
        <v>40.885348558601194</v>
      </c>
      <c r="W266" s="404">
        <f t="shared" si="86"/>
        <v>19.490725738782785</v>
      </c>
      <c r="X266" s="157">
        <f t="shared" si="87"/>
        <v>45909</v>
      </c>
      <c r="Y266" s="387">
        <f t="shared" si="88"/>
        <v>18.183650847488952</v>
      </c>
      <c r="Z266" s="387">
        <f t="shared" si="89"/>
        <v>19.316048922457803</v>
      </c>
      <c r="AA266" s="388">
        <f t="shared" si="90"/>
        <v>23.219137385651479</v>
      </c>
      <c r="AB266" s="199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0.16809790985627354</v>
      </c>
      <c r="AD266" s="233">
        <f>(INDEX(Models!$BJ266:$BT266,,AH266)*(1-AF266)+INDEX(Models!$BJ266:$BT266,,AH266+1)*AF266-ERP_i)*AE266*Ramure*Pc/MaxiM</f>
        <v>1.7901516438247549E-2</v>
      </c>
      <c r="AE266" s="307">
        <f t="shared" si="92"/>
        <v>0.9</v>
      </c>
      <c r="AF266" s="179">
        <f t="shared" si="93"/>
        <v>0.48440572425328599</v>
      </c>
      <c r="AG266" s="839">
        <f t="shared" si="99"/>
        <v>2</v>
      </c>
      <c r="AH266" s="178">
        <f t="shared" si="94"/>
        <v>8</v>
      </c>
      <c r="AI266" s="227">
        <f t="shared" si="95"/>
        <v>2.484405724253286</v>
      </c>
      <c r="AJ266" s="267" t="b">
        <f t="shared" si="96"/>
        <v>0</v>
      </c>
      <c r="AK266" s="267" t="b">
        <f t="shared" si="97"/>
        <v>0</v>
      </c>
      <c r="AL266" s="267"/>
      <c r="AM266" s="267"/>
      <c r="AN266" s="75"/>
    </row>
    <row r="267" spans="1:40" s="6" customFormat="1" ht="11.25" x14ac:dyDescent="0.2">
      <c r="A267" s="56">
        <f t="shared" si="98"/>
        <v>45910</v>
      </c>
      <c r="B267" s="413">
        <f>'2024'!Wh/'2024'!Env_an*'2025'!Env_an</f>
        <v>38.337890651627035</v>
      </c>
      <c r="C267" s="868"/>
      <c r="D267" s="395">
        <f t="shared" si="77"/>
        <v>40.726354206358806</v>
      </c>
      <c r="E267" s="387">
        <f t="shared" si="100"/>
        <v>45.873420751681053</v>
      </c>
      <c r="F267" s="387">
        <f t="shared" si="78"/>
        <v>45.919588891622695</v>
      </c>
      <c r="G267" s="110">
        <f t="shared" si="101"/>
        <v>0.94543889369899947</v>
      </c>
      <c r="H267" s="416" t="b">
        <f>Wh_hp&gt;='2024'!Maxi_hp</f>
        <v>1</v>
      </c>
      <c r="I267" s="392">
        <f>IF(H267,Wh_hp,'2024'!Maxi_hp)</f>
        <v>45.919588891622695</v>
      </c>
      <c r="J267" s="85">
        <f>IF(H267,An,'2024'!An_max)</f>
        <v>2025</v>
      </c>
      <c r="K267" s="199">
        <f t="shared" si="79"/>
        <v>45910</v>
      </c>
      <c r="L267" s="147">
        <f>IF(t&lt;Tvie,1-EXP((T0-t)*PertePVj)+'2024'!Pspv,1-EXP((T0-t)*PertePVj)+Pspv)</f>
        <v>5.864663315133789E-2</v>
      </c>
      <c r="M267" s="872"/>
      <c r="N267" s="872"/>
      <c r="O267" s="48">
        <f>IF(t&lt;Tnet,'2024'!Resal+('2024'!Salim-'2024'!Resal)*(1-EXP(('2024'!Tnet-t)/('2024'!Tau_j))),Resal+(Salim-Resal)*(1-EXP((Tnet-t)/(Tau_j))))*Salcycl</f>
        <v>0.11220149840544938</v>
      </c>
      <c r="P267" s="171">
        <f>(INDEX(Models!$BJ267:$BT267,,T267)*(1-R267)+INDEX(Models!$BJ267:$BT267,,T267+1)*R267-ERP_i)*Q267*Ramure*Pc/MaxiM</f>
        <v>1.0902679805228281E-3</v>
      </c>
      <c r="Q267" s="307">
        <f t="shared" si="80"/>
        <v>0.9</v>
      </c>
      <c r="R267" s="179">
        <f t="shared" si="81"/>
        <v>0.84939071755703788</v>
      </c>
      <c r="S267" s="839">
        <f t="shared" si="82"/>
        <v>-3</v>
      </c>
      <c r="T267" s="178">
        <f t="shared" si="83"/>
        <v>3</v>
      </c>
      <c r="U267" s="253">
        <f t="shared" si="84"/>
        <v>-2.1506092824429621</v>
      </c>
      <c r="V267" s="385">
        <f t="shared" si="85"/>
        <v>40.546918962528558</v>
      </c>
      <c r="W267" s="404">
        <f t="shared" si="86"/>
        <v>38.337890651627035</v>
      </c>
      <c r="X267" s="157">
        <f t="shared" si="87"/>
        <v>45910</v>
      </c>
      <c r="Y267" s="387">
        <f t="shared" si="88"/>
        <v>35.352836805597562</v>
      </c>
      <c r="Z267" s="387">
        <f t="shared" si="89"/>
        <v>37.555330496078319</v>
      </c>
      <c r="AA267" s="388">
        <f t="shared" si="90"/>
        <v>45.145925448985331</v>
      </c>
      <c r="AB267" s="199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0.16813466281656672</v>
      </c>
      <c r="AD267" s="233">
        <f>(INDEX(Models!$BJ267:$BT267,,AH267)*(1-AF267)+INDEX(Models!$BJ267:$BT267,,AH267+1)*AF267-ERP_i)*AE267*Ramure*Pc/MaxiM</f>
        <v>1.8270185462847473E-2</v>
      </c>
      <c r="AE267" s="307">
        <f t="shared" si="92"/>
        <v>0.9</v>
      </c>
      <c r="AF267" s="179">
        <f t="shared" si="93"/>
        <v>0.48504636986401684</v>
      </c>
      <c r="AG267" s="839">
        <f t="shared" si="99"/>
        <v>2</v>
      </c>
      <c r="AH267" s="178">
        <f t="shared" si="94"/>
        <v>8</v>
      </c>
      <c r="AI267" s="227">
        <f t="shared" si="95"/>
        <v>2.4850463698640168</v>
      </c>
      <c r="AJ267" s="267" t="b">
        <f t="shared" si="96"/>
        <v>0</v>
      </c>
      <c r="AK267" s="267" t="b">
        <f t="shared" si="97"/>
        <v>0</v>
      </c>
      <c r="AL267" s="267"/>
      <c r="AM267" s="267"/>
      <c r="AN267" s="75"/>
    </row>
    <row r="268" spans="1:40" s="6" customFormat="1" ht="11.25" x14ac:dyDescent="0.2">
      <c r="A268" s="56">
        <f t="shared" si="98"/>
        <v>45911</v>
      </c>
      <c r="B268" s="413">
        <f>'2024'!Wh/'2024'!Env_an*'2025'!Env_an</f>
        <v>38.200641793297166</v>
      </c>
      <c r="C268" s="868"/>
      <c r="D268" s="395">
        <f t="shared" si="77"/>
        <v>40.581499088502454</v>
      </c>
      <c r="E268" s="387">
        <f t="shared" si="100"/>
        <v>45.715861539395377</v>
      </c>
      <c r="F268" s="387">
        <f t="shared" si="78"/>
        <v>45.763447540652763</v>
      </c>
      <c r="G268" s="110">
        <f t="shared" si="101"/>
        <v>0.95009156271062689</v>
      </c>
      <c r="H268" s="416" t="b">
        <f>Wh_hp&gt;='2024'!Maxi_hp</f>
        <v>1</v>
      </c>
      <c r="I268" s="392">
        <f>IF(H268,Wh_hp,'2024'!Maxi_hp)</f>
        <v>45.763447540652763</v>
      </c>
      <c r="J268" s="85">
        <f>IF(H268,An,'2024'!An_max)</f>
        <v>2025</v>
      </c>
      <c r="K268" s="199">
        <f t="shared" si="79"/>
        <v>45911</v>
      </c>
      <c r="L268" s="147">
        <f>IF(t&lt;Tvie,1-EXP((T0-t)*PertePVj)+'2024'!Pspv,1-EXP((T0-t)*PertePVj)+Pspv)</f>
        <v>5.8668539819413223E-2</v>
      </c>
      <c r="M268" s="872"/>
      <c r="N268" s="872"/>
      <c r="O268" s="48">
        <f>IF(t&lt;Tnet,'2024'!Resal+('2024'!Salim-'2024'!Resal)*(1-EXP(('2024'!Tnet-t)/('2024'!Tau_j))),Resal+(Salim-Resal)*(1-EXP((Tnet-t)/(Tau_j))))*Salcycl</f>
        <v>0.11231030714511238</v>
      </c>
      <c r="P268" s="171">
        <f>(INDEX(Models!$BJ268:$BT268,,T268)*(1-R268)+INDEX(Models!$BJ268:$BT268,,T268+1)*R268-ERP_i)*Q268*Ramure*Pc/MaxiM</f>
        <v>1.1195238472823175E-3</v>
      </c>
      <c r="Q268" s="307">
        <f t="shared" si="80"/>
        <v>0.9</v>
      </c>
      <c r="R268" s="179">
        <f t="shared" si="81"/>
        <v>0.85000669696490938</v>
      </c>
      <c r="S268" s="839">
        <f t="shared" si="82"/>
        <v>-3</v>
      </c>
      <c r="T268" s="178">
        <f t="shared" si="83"/>
        <v>3</v>
      </c>
      <c r="U268" s="253">
        <f t="shared" si="84"/>
        <v>-2.1499933030350906</v>
      </c>
      <c r="V268" s="385">
        <f t="shared" si="85"/>
        <v>40.20411884146575</v>
      </c>
      <c r="W268" s="404">
        <f t="shared" si="86"/>
        <v>38.200641793297166</v>
      </c>
      <c r="X268" s="157">
        <f t="shared" si="87"/>
        <v>45911</v>
      </c>
      <c r="Y268" s="387">
        <f t="shared" si="88"/>
        <v>35.212355181091461</v>
      </c>
      <c r="Z268" s="387">
        <f t="shared" si="89"/>
        <v>37.406967333627897</v>
      </c>
      <c r="AA268" s="388">
        <f t="shared" si="90"/>
        <v>44.969470619035505</v>
      </c>
      <c r="AB268" s="199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0.16816972006351383</v>
      </c>
      <c r="AD268" s="233">
        <f>(INDEX(Models!$BJ268:$BT268,,AH268)*(1-AF268)+INDEX(Models!$BJ268:$BT268,,AH268+1)*AF268-ERP_i)*AE268*Ramure*Pc/MaxiM</f>
        <v>1.8679361040120315E-2</v>
      </c>
      <c r="AE268" s="307">
        <f t="shared" si="92"/>
        <v>0.9</v>
      </c>
      <c r="AF268" s="179">
        <f t="shared" si="93"/>
        <v>0.48566234927188834</v>
      </c>
      <c r="AG268" s="839">
        <f t="shared" si="99"/>
        <v>2</v>
      </c>
      <c r="AH268" s="178">
        <f t="shared" si="94"/>
        <v>8</v>
      </c>
      <c r="AI268" s="227">
        <f t="shared" si="95"/>
        <v>2.4856623492718883</v>
      </c>
      <c r="AJ268" s="267" t="b">
        <f t="shared" si="96"/>
        <v>0</v>
      </c>
      <c r="AK268" s="267" t="b">
        <f t="shared" si="97"/>
        <v>0</v>
      </c>
      <c r="AL268" s="267"/>
      <c r="AM268" s="267"/>
      <c r="AN268" s="75"/>
    </row>
    <row r="269" spans="1:40" s="6" customFormat="1" ht="11.25" x14ac:dyDescent="0.2">
      <c r="A269" s="56">
        <f t="shared" si="98"/>
        <v>45912</v>
      </c>
      <c r="B269" s="413">
        <f>'2024'!Wh/'2024'!Env_an*'2025'!Env_an</f>
        <v>26.558423796130334</v>
      </c>
      <c r="C269" s="868"/>
      <c r="D269" s="395">
        <f t="shared" si="77"/>
        <v>28.214335743904311</v>
      </c>
      <c r="E269" s="387">
        <f t="shared" si="100"/>
        <v>31.787856947007533</v>
      </c>
      <c r="F269" s="387">
        <f t="shared" si="78"/>
        <v>31.806971414984666</v>
      </c>
      <c r="G269" s="110">
        <f t="shared" si="101"/>
        <v>0.66597108055502363</v>
      </c>
      <c r="H269" s="416" t="b">
        <f>Wh_hp&gt;='2024'!Maxi_hp</f>
        <v>0</v>
      </c>
      <c r="I269" s="392">
        <f>IF(H269,Wh_hp,'2024'!Maxi_hp)</f>
        <v>47.211932330727613</v>
      </c>
      <c r="J269" s="85">
        <f>IF(H269,An,'2024'!An_max)</f>
        <v>2019</v>
      </c>
      <c r="K269" s="199">
        <f t="shared" si="79"/>
        <v>45912</v>
      </c>
      <c r="L269" s="147">
        <f>IF(t&lt;Tvie,1-EXP((T0-t)*PertePVj)+'2024'!Pspv,1-EXP((T0-t)*PertePVj)+Pspv)</f>
        <v>5.8690445977688355E-2</v>
      </c>
      <c r="M269" s="872"/>
      <c r="N269" s="872"/>
      <c r="O269" s="48">
        <f>IF(t&lt;Tnet,'2024'!Resal+('2024'!Salim-'2024'!Resal)*(1-EXP(('2024'!Tnet-t)/('2024'!Tau_j))),Resal+(Salim-Resal)*(1-EXP((Tnet-t)/(Tau_j))))*Salcycl</f>
        <v>0.11241780812907644</v>
      </c>
      <c r="P269" s="171">
        <f>(INDEX(Models!$BJ269:$BT269,,T269)*(1-R269)+INDEX(Models!$BJ269:$BT269,,T269+1)*R269-ERP_i)*Q269*Ramure*Pc/MaxiM</f>
        <v>1.1483077875116135E-3</v>
      </c>
      <c r="Q269" s="307">
        <f t="shared" si="80"/>
        <v>0.9</v>
      </c>
      <c r="R269" s="179">
        <f t="shared" si="81"/>
        <v>0.85059891709913105</v>
      </c>
      <c r="S269" s="839">
        <f t="shared" si="82"/>
        <v>-3</v>
      </c>
      <c r="T269" s="178">
        <f t="shared" si="83"/>
        <v>3</v>
      </c>
      <c r="U269" s="253">
        <f t="shared" si="84"/>
        <v>-2.149401082900869</v>
      </c>
      <c r="V269" s="385">
        <f t="shared" si="85"/>
        <v>39.857403612608209</v>
      </c>
      <c r="W269" s="404">
        <f t="shared" si="86"/>
        <v>26.558423796130334</v>
      </c>
      <c r="X269" s="157">
        <f t="shared" si="87"/>
        <v>45912</v>
      </c>
      <c r="Y269" s="387">
        <f t="shared" si="88"/>
        <v>24.654829673905784</v>
      </c>
      <c r="Z269" s="387">
        <f t="shared" si="89"/>
        <v>26.192052942151903</v>
      </c>
      <c r="AA269" s="388">
        <f t="shared" si="90"/>
        <v>31.488516421668738</v>
      </c>
      <c r="AB269" s="199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0.16820301752521083</v>
      </c>
      <c r="AD269" s="233">
        <f>(INDEX(Models!$BJ269:$BT269,,AH269)*(1-AF269)+INDEX(Models!$BJ269:$BT269,,AH269+1)*AF269-ERP_i)*AE269*Ramure*Pc/MaxiM</f>
        <v>1.9131285748264757E-2</v>
      </c>
      <c r="AE269" s="307">
        <f t="shared" si="92"/>
        <v>0.9</v>
      </c>
      <c r="AF269" s="179">
        <f t="shared" si="93"/>
        <v>0.48625456940611</v>
      </c>
      <c r="AG269" s="839">
        <f t="shared" si="99"/>
        <v>2</v>
      </c>
      <c r="AH269" s="178">
        <f t="shared" si="94"/>
        <v>8</v>
      </c>
      <c r="AI269" s="227">
        <f t="shared" si="95"/>
        <v>2.48625456940611</v>
      </c>
      <c r="AJ269" s="267" t="b">
        <f t="shared" si="96"/>
        <v>0</v>
      </c>
      <c r="AK269" s="267" t="b">
        <f t="shared" si="97"/>
        <v>0</v>
      </c>
      <c r="AL269" s="267"/>
      <c r="AM269" s="267"/>
      <c r="AN269" s="75"/>
    </row>
    <row r="270" spans="1:40" s="6" customFormat="1" ht="11.25" x14ac:dyDescent="0.2">
      <c r="A270" s="56">
        <f t="shared" si="98"/>
        <v>45913</v>
      </c>
      <c r="B270" s="413">
        <f>'2024'!Wh/'2024'!Env_an*'2025'!Env_an</f>
        <v>11.028535372834611</v>
      </c>
      <c r="C270" s="868"/>
      <c r="D270" s="395">
        <f t="shared" si="77"/>
        <v>11.716434813404367</v>
      </c>
      <c r="E270" s="387">
        <f t="shared" si="100"/>
        <v>13.201973026798234</v>
      </c>
      <c r="F270" s="387">
        <f t="shared" si="78"/>
        <v>13.201973026798234</v>
      </c>
      <c r="G270" s="110">
        <f t="shared" si="101"/>
        <v>0.27882378699981269</v>
      </c>
      <c r="H270" s="416" t="b">
        <f>Wh_hp&gt;='2024'!Maxi_hp</f>
        <v>0</v>
      </c>
      <c r="I270" s="392">
        <f>IF(H270,Wh_hp,'2024'!Maxi_hp)</f>
        <v>44.152198897789638</v>
      </c>
      <c r="J270" s="85">
        <f>IF(H270,An,'2024'!An_max)</f>
        <v>2020</v>
      </c>
      <c r="K270" s="199">
        <f t="shared" si="79"/>
        <v>45913</v>
      </c>
      <c r="L270" s="147">
        <f>IF(t&lt;Tvie,1-EXP((T0-t)*PertePVj)+'2024'!Pspv,1-EXP((T0-t)*PertePVj)+Pspv)</f>
        <v>5.8712351626175163E-2</v>
      </c>
      <c r="M270" s="872"/>
      <c r="N270" s="872"/>
      <c r="O270" s="48">
        <f>IF(t&lt;Tnet,'2024'!Resal+('2024'!Salim-'2024'!Resal)*(1-EXP(('2024'!Tnet-t)/('2024'!Tau_j))),Resal+(Salim-Resal)*(1-EXP((Tnet-t)/(Tau_j))))*Salcycl</f>
        <v>0.11252395459212218</v>
      </c>
      <c r="P270" s="171">
        <f>(INDEX(Models!$BJ270:$BT270,,T270)*(1-R270)+INDEX(Models!$BJ270:$BT270,,T270+1)*R270-ERP_i)*Q270*Ramure*Pc/MaxiM</f>
        <v>1.176599347722937E-3</v>
      </c>
      <c r="Q270" s="307">
        <f t="shared" si="80"/>
        <v>0.9</v>
      </c>
      <c r="R270" s="179">
        <f t="shared" si="81"/>
        <v>0.85116825485862524</v>
      </c>
      <c r="S270" s="839">
        <f t="shared" si="82"/>
        <v>-3</v>
      </c>
      <c r="T270" s="178">
        <f t="shared" si="83"/>
        <v>3</v>
      </c>
      <c r="U270" s="253">
        <f t="shared" si="84"/>
        <v>-2.1488317451413748</v>
      </c>
      <c r="V270" s="385">
        <f t="shared" si="85"/>
        <v>39.507243351931066</v>
      </c>
      <c r="W270" s="404">
        <f t="shared" si="86"/>
        <v>11.028535372834611</v>
      </c>
      <c r="X270" s="157">
        <f t="shared" si="87"/>
        <v>45913</v>
      </c>
      <c r="Y270" s="387">
        <f t="shared" si="88"/>
        <v>10.336228690237629</v>
      </c>
      <c r="Z270" s="387">
        <f t="shared" si="89"/>
        <v>10.980945843807225</v>
      </c>
      <c r="AA270" s="388">
        <f t="shared" si="90"/>
        <v>13.201973026798234</v>
      </c>
      <c r="AB270" s="199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0.16823448877547476</v>
      </c>
      <c r="AD270" s="233">
        <f>(INDEX(Models!$BJ270:$BT270,,AH270)*(1-AF270)+INDEX(Models!$BJ270:$BT270,,AH270+1)*AF270-ERP_i)*AE270*Ramure*Pc/MaxiM</f>
        <v>1.9627054751139995E-2</v>
      </c>
      <c r="AE270" s="307">
        <f t="shared" si="92"/>
        <v>0.9</v>
      </c>
      <c r="AF270" s="179">
        <f t="shared" si="93"/>
        <v>0.4868239071656042</v>
      </c>
      <c r="AG270" s="839">
        <f t="shared" si="99"/>
        <v>2</v>
      </c>
      <c r="AH270" s="178">
        <f t="shared" si="94"/>
        <v>8</v>
      </c>
      <c r="AI270" s="227">
        <f t="shared" si="95"/>
        <v>2.4868239071656042</v>
      </c>
      <c r="AJ270" s="267" t="b">
        <f t="shared" si="96"/>
        <v>0</v>
      </c>
      <c r="AK270" s="267" t="b">
        <f t="shared" si="97"/>
        <v>0</v>
      </c>
      <c r="AL270" s="267"/>
      <c r="AM270" s="267"/>
      <c r="AN270" s="75"/>
    </row>
    <row r="271" spans="1:40" s="6" customFormat="1" ht="11.25" x14ac:dyDescent="0.2">
      <c r="A271" s="56">
        <f t="shared" si="98"/>
        <v>45914</v>
      </c>
      <c r="B271" s="413">
        <f>'2024'!Wh/'2024'!Env_an*'2025'!Env_an</f>
        <v>32.250605949875393</v>
      </c>
      <c r="C271" s="868"/>
      <c r="D271" s="395">
        <f t="shared" ref="D271:D334" si="102">Wh/(1-Ppv)</f>
        <v>34.263018899456185</v>
      </c>
      <c r="E271" s="387">
        <f t="shared" si="100"/>
        <v>38.611817653200788</v>
      </c>
      <c r="F271" s="387">
        <f t="shared" ref="F271:F334" si="103">Wh_sa/(1-Pvg*MEDIAN((-Sdif+Wh/Env_an)/Csdif,0,1))</f>
        <v>38.646638949659014</v>
      </c>
      <c r="G271" s="110">
        <f t="shared" si="101"/>
        <v>0.82343374489309717</v>
      </c>
      <c r="H271" s="416" t="b">
        <f>Wh_hp&gt;='2024'!Maxi_hp</f>
        <v>0</v>
      </c>
      <c r="I271" s="392">
        <f>IF(H271,Wh_hp,'2024'!Maxi_hp)</f>
        <v>43.575578607161226</v>
      </c>
      <c r="J271" s="85">
        <f>IF(H271,An,'2024'!An_max)</f>
        <v>2020</v>
      </c>
      <c r="K271" s="199">
        <f t="shared" ref="K271:K334" si="104">t</f>
        <v>45914</v>
      </c>
      <c r="L271" s="147">
        <f>IF(t&lt;Tvie,1-EXP((T0-t)*PertePVj)+'2024'!Pspv,1-EXP((T0-t)*PertePVj)+Pspv)</f>
        <v>5.873425676488564E-2</v>
      </c>
      <c r="M271" s="872"/>
      <c r="N271" s="872"/>
      <c r="O271" s="48">
        <f>IF(t&lt;Tnet,'2024'!Resal+('2024'!Salim-'2024'!Resal)*(1-EXP(('2024'!Tnet-t)/('2024'!Tau_j))),Resal+(Salim-Resal)*(1-EXP((Tnet-t)/(Tau_j))))*Salcycl</f>
        <v>0.11262869810492079</v>
      </c>
      <c r="P271" s="171">
        <f>(INDEX(Models!$BJ271:$BT271,,T271)*(1-R271)+INDEX(Models!$BJ271:$BT271,,T271+1)*R271-ERP_i)*Q271*Ramure*Pc/MaxiM</f>
        <v>1.2043759452799625E-3</v>
      </c>
      <c r="Q271" s="307">
        <f t="shared" ref="Q271:Q334" si="105">IF(OR(t&lt;Ttai,Notai),Dd+PousD*Croivg,Dens+PousD*(Croivg-Croi_tai))</f>
        <v>0.9</v>
      </c>
      <c r="R271" s="179">
        <f t="shared" ref="R271:R334" si="106">(Hp_vg-S271)/(INDEX(Echel_vg,T271+1)-S271)</f>
        <v>0.85171555784483477</v>
      </c>
      <c r="S271" s="839">
        <f t="shared" ref="S271:S334" si="107">INDEX(Echel_vg,T271)</f>
        <v>-3</v>
      </c>
      <c r="T271" s="178">
        <f t="shared" ref="T271:T334" si="108">MIN(MATCH(Hp_vg,Echel_vg),10)</f>
        <v>3</v>
      </c>
      <c r="U271" s="253">
        <f t="shared" ref="U271:U334" si="109">IF(OR(t&lt;Ttai,Notai),Hdd+PousH*Croivg,Hdtf+PousH*(Croivg-Croi_tai))</f>
        <v>-2.1482844421551652</v>
      </c>
      <c r="V271" s="385">
        <f t="shared" ref="V271:V334" si="110">MaxiM*(1-Ppv)*(1-Pvg)*(1-Psa)</f>
        <v>39.154107822040338</v>
      </c>
      <c r="W271" s="404">
        <f t="shared" ref="W271:W334" si="111">Wh*(A271&gt;Tmaj)</f>
        <v>32.250605949875393</v>
      </c>
      <c r="X271" s="157">
        <f t="shared" ref="X271:X334" si="112">t</f>
        <v>45914</v>
      </c>
      <c r="Y271" s="387">
        <f t="shared" ref="Y271:Y334" si="113">Wh_pvt_s*(1-Ppv)</f>
        <v>29.799357999399817</v>
      </c>
      <c r="Z271" s="387">
        <f t="shared" ref="Z271:Z334" si="114">Wh_sa_s*(1-Psa_s)</f>
        <v>31.65881496651512</v>
      </c>
      <c r="AA271" s="388">
        <f t="shared" ref="AA271:AA334" si="115">Wh_hp*(1-Pvg_s*MEDIAN((-Sdif+Wh/Env_an)/Csdif,0,1))</f>
        <v>38.063541128453807</v>
      </c>
      <c r="AB271" s="199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0.16826406508854563</v>
      </c>
      <c r="AD271" s="233">
        <f>(INDEX(Models!$BJ271:$BT271,,AH271)*(1-AF271)+INDEX(Models!$BJ271:$BT271,,AH271+1)*AF271-ERP_i)*AE271*Ramure*Pc/MaxiM</f>
        <v>2.0167801346716509E-2</v>
      </c>
      <c r="AE271" s="307">
        <f t="shared" ref="AE271:AE334" si="117">IF(OR(t&lt;Ttai,Notai),Dd_s+PousD*Croivg,Dens_s+PousD*(Croivg-Croi_tai))</f>
        <v>0.9</v>
      </c>
      <c r="AF271" s="179">
        <f t="shared" ref="AF271:AF334" si="118">(Hp_vg_s-AG271)/(INDEX(Echel_vg,AH271+1)-AG271)</f>
        <v>0.48737121015181373</v>
      </c>
      <c r="AG271" s="839">
        <f t="shared" si="99"/>
        <v>2</v>
      </c>
      <c r="AH271" s="178">
        <f t="shared" ref="AH271:AH334" si="119">MIN(MATCH(Hp_vg_s,Echel_vg),10)</f>
        <v>8</v>
      </c>
      <c r="AI271" s="227">
        <f t="shared" ref="AI271:AI334" si="120">IF(OR(t&lt;Ttai,Notai),Hdd_s+PousH*Croivg,Hdtai_s+PousH*(Croivg-Croi_tai))</f>
        <v>2.4873712101518137</v>
      </c>
      <c r="AJ271" s="267" t="b">
        <f t="shared" ref="AJ271:AJ334" si="121">t&lt;Tnet</f>
        <v>0</v>
      </c>
      <c r="AK271" s="267" t="b">
        <f t="shared" ref="AK271:AK334" si="122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23">A271+1</f>
        <v>45915</v>
      </c>
      <c r="B272" s="413">
        <f>'2024'!Wh/'2024'!Env_an*'2025'!Env_an</f>
        <v>35.199973690631765</v>
      </c>
      <c r="C272" s="868"/>
      <c r="D272" s="395">
        <f t="shared" si="102"/>
        <v>37.397295203288969</v>
      </c>
      <c r="E272" s="387">
        <f t="shared" si="100"/>
        <v>42.148814928511435</v>
      </c>
      <c r="F272" s="387">
        <f t="shared" si="103"/>
        <v>42.193896028243344</v>
      </c>
      <c r="G272" s="110">
        <f t="shared" si="101"/>
        <v>0.90710346585421797</v>
      </c>
      <c r="H272" s="416" t="b">
        <f>Wh_hp&gt;='2024'!Maxi_hp</f>
        <v>0</v>
      </c>
      <c r="I272" s="392">
        <f>IF(H272,Wh_hp,'2024'!Maxi_hp)</f>
        <v>44.117844760090314</v>
      </c>
      <c r="J272" s="85">
        <f>IF(H272,An,'2024'!An_max)</f>
        <v>2020</v>
      </c>
      <c r="K272" s="199">
        <f t="shared" si="104"/>
        <v>45915</v>
      </c>
      <c r="L272" s="147">
        <f>IF(t&lt;Tvie,1-EXP((T0-t)*PertePVj)+'2024'!Pspv,1-EXP((T0-t)*PertePVj)+Pspv)</f>
        <v>5.8756161393831441E-2</v>
      </c>
      <c r="M272" s="872"/>
      <c r="N272" s="872"/>
      <c r="O272" s="48">
        <f>IF(t&lt;Tnet,'2024'!Resal+('2024'!Salim-'2024'!Resal)*(1-EXP(('2024'!Tnet-t)/('2024'!Tau_j))),Resal+(Salim-Resal)*(1-EXP((Tnet-t)/(Tau_j))))*Salcycl</f>
        <v>0.11273198862842321</v>
      </c>
      <c r="P272" s="171">
        <f>(INDEX(Models!$BJ272:$BT272,,T272)*(1-R272)+INDEX(Models!$BJ272:$BT272,,T272+1)*R272-ERP_i)*Q272*Ramure*Pc/MaxiM</f>
        <v>1.2316127957331768E-3</v>
      </c>
      <c r="Q272" s="307">
        <f t="shared" si="105"/>
        <v>0.9</v>
      </c>
      <c r="R272" s="179">
        <f t="shared" si="106"/>
        <v>0.85224164509869205</v>
      </c>
      <c r="S272" s="839">
        <f t="shared" si="107"/>
        <v>-3</v>
      </c>
      <c r="T272" s="178">
        <f t="shared" si="108"/>
        <v>3</v>
      </c>
      <c r="U272" s="253">
        <f t="shared" si="109"/>
        <v>-2.147758354901308</v>
      </c>
      <c r="V272" s="385">
        <f t="shared" si="110"/>
        <v>38.7984664788735</v>
      </c>
      <c r="W272" s="404">
        <f t="shared" si="111"/>
        <v>35.199973690631765</v>
      </c>
      <c r="X272" s="157">
        <f t="shared" si="112"/>
        <v>45915</v>
      </c>
      <c r="Y272" s="387">
        <f t="shared" si="113"/>
        <v>32.436367426556572</v>
      </c>
      <c r="Z272" s="387">
        <f t="shared" si="114"/>
        <v>34.46117371093726</v>
      </c>
      <c r="AA272" s="388">
        <f t="shared" si="115"/>
        <v>41.434205594629681</v>
      </c>
      <c r="AB272" s="199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0.16829167552801352</v>
      </c>
      <c r="AD272" s="233">
        <f>(INDEX(Models!$BJ272:$BT272,,AH272)*(1-AF272)+INDEX(Models!$BJ272:$BT272,,AH272+1)*AF272-ERP_i)*AE272*Ramure*Pc/MaxiM</f>
        <v>2.0754694636973423E-2</v>
      </c>
      <c r="AE272" s="307">
        <f t="shared" si="117"/>
        <v>0.9</v>
      </c>
      <c r="AF272" s="179">
        <f t="shared" si="118"/>
        <v>0.487897297405671</v>
      </c>
      <c r="AG272" s="839">
        <f t="shared" ref="AG272:AG335" si="124">INDEX(Echel_vg,AH272)</f>
        <v>2</v>
      </c>
      <c r="AH272" s="178">
        <f t="shared" si="119"/>
        <v>8</v>
      </c>
      <c r="AI272" s="227">
        <f t="shared" si="120"/>
        <v>2.487897297405671</v>
      </c>
      <c r="AJ272" s="267" t="b">
        <f t="shared" si="121"/>
        <v>0</v>
      </c>
      <c r="AK272" s="267" t="b">
        <f t="shared" si="122"/>
        <v>0</v>
      </c>
      <c r="AL272" s="267"/>
      <c r="AM272" s="267"/>
      <c r="AN272" s="75"/>
    </row>
    <row r="273" spans="1:40" s="6" customFormat="1" ht="11.25" x14ac:dyDescent="0.2">
      <c r="A273" s="56">
        <f t="shared" si="123"/>
        <v>45916</v>
      </c>
      <c r="B273" s="413">
        <f>'2024'!Wh/'2024'!Env_an*'2025'!Env_an</f>
        <v>24.299714474852351</v>
      </c>
      <c r="C273" s="868"/>
      <c r="D273" s="395">
        <f t="shared" si="102"/>
        <v>25.817199519576867</v>
      </c>
      <c r="E273" s="387">
        <f t="shared" si="100"/>
        <v>29.100746602173352</v>
      </c>
      <c r="F273" s="387">
        <f t="shared" si="103"/>
        <v>29.118130876099496</v>
      </c>
      <c r="G273" s="110">
        <f t="shared" si="101"/>
        <v>0.63171535973296444</v>
      </c>
      <c r="H273" s="416" t="b">
        <f>Wh_hp&gt;='2024'!Maxi_hp</f>
        <v>0</v>
      </c>
      <c r="I273" s="392">
        <f>IF(H273,Wh_hp,'2024'!Maxi_hp)</f>
        <v>41.206187812934779</v>
      </c>
      <c r="J273" s="85">
        <f>IF(H273,An,'2024'!An_max)</f>
        <v>2019</v>
      </c>
      <c r="K273" s="199">
        <f t="shared" si="104"/>
        <v>45916</v>
      </c>
      <c r="L273" s="147">
        <f>IF(t&lt;Tvie,1-EXP((T0-t)*PertePVj)+'2024'!Pspv,1-EXP((T0-t)*PertePVj)+Pspv)</f>
        <v>5.8778065513024558E-2</v>
      </c>
      <c r="M273" s="872"/>
      <c r="N273" s="872"/>
      <c r="O273" s="48">
        <f>IF(t&lt;Tnet,'2024'!Resal+('2024'!Salim-'2024'!Resal)*(1-EXP(('2024'!Tnet-t)/('2024'!Tau_j))),Resal+(Salim-Resal)*(1-EXP((Tnet-t)/(Tau_j))))*Salcycl</f>
        <v>0.11283377459296041</v>
      </c>
      <c r="P273" s="171">
        <f>(INDEX(Models!$BJ273:$BT273,,T273)*(1-R273)+INDEX(Models!$BJ273:$BT273,,T273+1)*R273-ERP_i)*Q273*Ramure*Pc/MaxiM</f>
        <v>1.2582828403574445E-3</v>
      </c>
      <c r="Q273" s="307">
        <f t="shared" si="105"/>
        <v>0.9</v>
      </c>
      <c r="R273" s="179">
        <f t="shared" si="106"/>
        <v>0.85274730783934594</v>
      </c>
      <c r="S273" s="839">
        <f t="shared" si="107"/>
        <v>-3</v>
      </c>
      <c r="T273" s="178">
        <f t="shared" si="108"/>
        <v>3</v>
      </c>
      <c r="U273" s="253">
        <f t="shared" si="109"/>
        <v>-2.1472526921606541</v>
      </c>
      <c r="V273" s="385">
        <f t="shared" si="110"/>
        <v>38.440788471050773</v>
      </c>
      <c r="W273" s="404">
        <f t="shared" si="111"/>
        <v>24.299714474852351</v>
      </c>
      <c r="X273" s="157">
        <f t="shared" si="112"/>
        <v>45916</v>
      </c>
      <c r="Y273" s="387">
        <f t="shared" si="113"/>
        <v>22.562293910143975</v>
      </c>
      <c r="Z273" s="387">
        <f t="shared" si="114"/>
        <v>23.971279337472971</v>
      </c>
      <c r="AA273" s="388">
        <f t="shared" si="115"/>
        <v>28.822624075207781</v>
      </c>
      <c r="AB273" s="199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0.16831724707216253</v>
      </c>
      <c r="AD273" s="233">
        <f>(INDEX(Models!$BJ273:$BT273,,AH273)*(1-AF273)+INDEX(Models!$BJ273:$BT273,,AH273+1)*AF273-ERP_i)*AE273*Ramure*Pc/MaxiM</f>
        <v>2.1388936825931404E-2</v>
      </c>
      <c r="AE273" s="307">
        <f t="shared" si="117"/>
        <v>0.9</v>
      </c>
      <c r="AF273" s="179">
        <f t="shared" si="118"/>
        <v>0.48840296014632489</v>
      </c>
      <c r="AG273" s="839">
        <f t="shared" si="124"/>
        <v>2</v>
      </c>
      <c r="AH273" s="178">
        <f t="shared" si="119"/>
        <v>8</v>
      </c>
      <c r="AI273" s="227">
        <f t="shared" si="120"/>
        <v>2.4884029601463249</v>
      </c>
      <c r="AJ273" s="267" t="b">
        <f t="shared" si="121"/>
        <v>0</v>
      </c>
      <c r="AK273" s="267" t="b">
        <f t="shared" si="122"/>
        <v>0</v>
      </c>
      <c r="AL273" s="267"/>
      <c r="AM273" s="267"/>
      <c r="AN273" s="75"/>
    </row>
    <row r="274" spans="1:40" s="6" customFormat="1" ht="11.25" x14ac:dyDescent="0.2">
      <c r="A274" s="56">
        <f t="shared" si="123"/>
        <v>45917</v>
      </c>
      <c r="B274" s="413">
        <f>'2024'!Wh/'2024'!Env_an*'2025'!Env_an</f>
        <v>38.153144873459205</v>
      </c>
      <c r="C274" s="868"/>
      <c r="D274" s="395">
        <f t="shared" si="102"/>
        <v>40.53670168060588</v>
      </c>
      <c r="E274" s="387">
        <f t="shared" si="100"/>
        <v>45.697503700799821</v>
      </c>
      <c r="F274" s="387">
        <f t="shared" si="103"/>
        <v>45.756271072960018</v>
      </c>
      <c r="G274" s="110">
        <f t="shared" si="101"/>
        <v>1.0018802347220364</v>
      </c>
      <c r="H274" s="416" t="b">
        <f>Wh_hp&gt;='2024'!Maxi_hp</f>
        <v>1</v>
      </c>
      <c r="I274" s="392">
        <f>IF(H274,Wh_hp,'2024'!Maxi_hp)</f>
        <v>45.756271072960018</v>
      </c>
      <c r="J274" s="85">
        <f>IF(H274,An,'2024'!An_max)</f>
        <v>2025</v>
      </c>
      <c r="K274" s="199">
        <f t="shared" si="104"/>
        <v>45917</v>
      </c>
      <c r="L274" s="147">
        <f>IF(t&lt;Tvie,1-EXP((T0-t)*PertePVj)+'2024'!Pspv,1-EXP((T0-t)*PertePVj)+Pspv)</f>
        <v>5.8799969122476758E-2</v>
      </c>
      <c r="M274" s="872"/>
      <c r="N274" s="872"/>
      <c r="O274" s="48">
        <f>IF(t&lt;Tnet,'2024'!Resal+('2024'!Salim-'2024'!Resal)*(1-EXP(('2024'!Tnet-t)/('2024'!Tau_j))),Resal+(Salim-Resal)*(1-EXP((Tnet-t)/(Tau_j))))*Salcycl</f>
        <v>0.11293400300339856</v>
      </c>
      <c r="P274" s="171">
        <f>(INDEX(Models!$BJ274:$BT274,,T274)*(1-R274)+INDEX(Models!$BJ274:$BT274,,T274+1)*R274-ERP_i)*Q274*Ramure*Pc/MaxiM</f>
        <v>1.2843566746619842E-3</v>
      </c>
      <c r="Q274" s="307">
        <f t="shared" si="105"/>
        <v>0.9</v>
      </c>
      <c r="R274" s="179">
        <f t="shared" si="106"/>
        <v>0.85323331020248361</v>
      </c>
      <c r="S274" s="839">
        <f t="shared" si="107"/>
        <v>-3</v>
      </c>
      <c r="T274" s="178">
        <f t="shared" si="108"/>
        <v>3</v>
      </c>
      <c r="U274" s="253">
        <f t="shared" si="109"/>
        <v>-2.1467666897975164</v>
      </c>
      <c r="V274" s="385">
        <f t="shared" si="110"/>
        <v>38.081542634728677</v>
      </c>
      <c r="W274" s="404">
        <f t="shared" si="111"/>
        <v>38.153144873459205</v>
      </c>
      <c r="X274" s="157">
        <f t="shared" si="112"/>
        <v>45917</v>
      </c>
      <c r="Y274" s="387">
        <f t="shared" si="113"/>
        <v>35.025552155053063</v>
      </c>
      <c r="Z274" s="387">
        <f t="shared" si="114"/>
        <v>37.213717600919715</v>
      </c>
      <c r="AA274" s="388">
        <f t="shared" si="115"/>
        <v>44.746349634636935</v>
      </c>
      <c r="AB274" s="199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0.16834070477754495</v>
      </c>
      <c r="AD274" s="233">
        <f>(INDEX(Models!$BJ274:$BT274,,AH274)*(1-AF274)+INDEX(Models!$BJ274:$BT274,,AH274+1)*AF274-ERP_i)*AE274*Ramure*Pc/MaxiM</f>
        <v>2.2071760102844215E-2</v>
      </c>
      <c r="AE274" s="307">
        <f t="shared" si="117"/>
        <v>0.9</v>
      </c>
      <c r="AF274" s="179">
        <f t="shared" si="118"/>
        <v>0.48888896250946257</v>
      </c>
      <c r="AG274" s="839">
        <f t="shared" si="124"/>
        <v>2</v>
      </c>
      <c r="AH274" s="178">
        <f t="shared" si="119"/>
        <v>8</v>
      </c>
      <c r="AI274" s="227">
        <f t="shared" si="120"/>
        <v>2.4888889625094626</v>
      </c>
      <c r="AJ274" s="267" t="b">
        <f t="shared" si="121"/>
        <v>0</v>
      </c>
      <c r="AK274" s="267" t="b">
        <f t="shared" si="122"/>
        <v>0</v>
      </c>
      <c r="AL274" s="267"/>
      <c r="AM274" s="267"/>
      <c r="AN274" s="75"/>
    </row>
    <row r="275" spans="1:40" s="6" customFormat="1" ht="11.25" x14ac:dyDescent="0.2">
      <c r="A275" s="56">
        <f t="shared" si="123"/>
        <v>45918</v>
      </c>
      <c r="B275" s="413">
        <f>'2024'!Wh/'2024'!Env_an*'2025'!Env_an</f>
        <v>38.459855175973971</v>
      </c>
      <c r="C275" s="868"/>
      <c r="D275" s="395">
        <f t="shared" si="102"/>
        <v>40.863524173453641</v>
      </c>
      <c r="E275" s="387">
        <f t="shared" si="100"/>
        <v>46.071056360278575</v>
      </c>
      <c r="F275" s="387">
        <f t="shared" si="103"/>
        <v>46.131484277355973</v>
      </c>
      <c r="G275" s="110">
        <f t="shared" si="101"/>
        <v>1.0196628736548778</v>
      </c>
      <c r="H275" s="416" t="b">
        <f>Wh_hp&gt;='2024'!Maxi_hp</f>
        <v>1</v>
      </c>
      <c r="I275" s="392">
        <f>IF(H275,Wh_hp,'2024'!Maxi_hp)</f>
        <v>46.131484277355973</v>
      </c>
      <c r="J275" s="85">
        <f>IF(H275,An,'2024'!An_max)</f>
        <v>2025</v>
      </c>
      <c r="K275" s="199">
        <f t="shared" si="104"/>
        <v>45918</v>
      </c>
      <c r="L275" s="147">
        <f>IF(t&lt;Tvie,1-EXP((T0-t)*PertePVj)+'2024'!Pspv,1-EXP((T0-t)*PertePVj)+Pspv)</f>
        <v>5.8821872222200033E-2</v>
      </c>
      <c r="M275" s="872"/>
      <c r="N275" s="872"/>
      <c r="O275" s="48">
        <f>IF(t&lt;Tnet,'2024'!Resal+('2024'!Salim-'2024'!Resal)*(1-EXP(('2024'!Tnet-t)/('2024'!Tau_j))),Resal+(Salim-Resal)*(1-EXP((Tnet-t)/(Tau_j))))*Salcycl</f>
        <v>0.11303261957142248</v>
      </c>
      <c r="P275" s="171">
        <f>(INDEX(Models!$BJ275:$BT275,,T275)*(1-R275)+INDEX(Models!$BJ275:$BT275,,T275+1)*R275-ERP_i)*Q275*Ramure*Pc/MaxiM</f>
        <v>1.3099061958225058E-3</v>
      </c>
      <c r="Q275" s="307">
        <f t="shared" si="105"/>
        <v>0.9</v>
      </c>
      <c r="R275" s="179">
        <f t="shared" si="106"/>
        <v>0.85370038997628495</v>
      </c>
      <c r="S275" s="839">
        <f t="shared" si="107"/>
        <v>-3</v>
      </c>
      <c r="T275" s="178">
        <f t="shared" si="108"/>
        <v>3</v>
      </c>
      <c r="U275" s="253">
        <f t="shared" si="109"/>
        <v>-2.1462996100237151</v>
      </c>
      <c r="V275" s="385">
        <f t="shared" si="110"/>
        <v>37.718206840382969</v>
      </c>
      <c r="W275" s="404">
        <f t="shared" si="111"/>
        <v>38.459855175973971</v>
      </c>
      <c r="X275" s="157">
        <f t="shared" si="112"/>
        <v>45918</v>
      </c>
      <c r="Y275" s="387">
        <f t="shared" si="113"/>
        <v>35.284525716870689</v>
      </c>
      <c r="Z275" s="387">
        <f t="shared" si="114"/>
        <v>37.489742563589317</v>
      </c>
      <c r="AA275" s="388">
        <f t="shared" si="115"/>
        <v>45.079399090185085</v>
      </c>
      <c r="AB275" s="199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0.16836197198219141</v>
      </c>
      <c r="AD275" s="233">
        <f>(INDEX(Models!$BJ275:$BT275,,AH275)*(1-AF275)+INDEX(Models!$BJ275:$BT275,,AH275+1)*AF275-ERP_i)*AE275*Ramure*Pc/MaxiM</f>
        <v>2.2806228840274223E-2</v>
      </c>
      <c r="AE275" s="307">
        <f t="shared" si="117"/>
        <v>0.9</v>
      </c>
      <c r="AF275" s="179">
        <f t="shared" si="118"/>
        <v>0.4893560422832639</v>
      </c>
      <c r="AG275" s="839">
        <f t="shared" si="124"/>
        <v>2</v>
      </c>
      <c r="AH275" s="178">
        <f t="shared" si="119"/>
        <v>8</v>
      </c>
      <c r="AI275" s="227">
        <f t="shared" si="120"/>
        <v>2.4893560422832639</v>
      </c>
      <c r="AJ275" s="267" t="b">
        <f t="shared" si="121"/>
        <v>0</v>
      </c>
      <c r="AK275" s="267" t="b">
        <f t="shared" si="122"/>
        <v>0</v>
      </c>
      <c r="AL275" s="267"/>
      <c r="AM275" s="267"/>
      <c r="AN275" s="75"/>
    </row>
    <row r="276" spans="1:40" s="6" customFormat="1" ht="11.25" x14ac:dyDescent="0.2">
      <c r="A276" s="56">
        <f t="shared" si="123"/>
        <v>45919</v>
      </c>
      <c r="B276" s="413">
        <f>'2024'!Wh/'2024'!Env_an*'2025'!Env_an</f>
        <v>36.883591312815902</v>
      </c>
      <c r="C276" s="868"/>
      <c r="D276" s="395">
        <f t="shared" si="102"/>
        <v>39.189658768347762</v>
      </c>
      <c r="E276" s="387">
        <f t="shared" si="100"/>
        <v>44.188708285908184</v>
      </c>
      <c r="F276" s="387">
        <f t="shared" si="103"/>
        <v>44.246682640165446</v>
      </c>
      <c r="G276" s="110">
        <f t="shared" si="101"/>
        <v>0.98752742175177832</v>
      </c>
      <c r="H276" s="416" t="b">
        <f>Wh_hp&gt;='2024'!Maxi_hp</f>
        <v>1</v>
      </c>
      <c r="I276" s="392">
        <f>IF(H276,Wh_hp,'2024'!Maxi_hp)</f>
        <v>44.246682640165446</v>
      </c>
      <c r="J276" s="85">
        <f>IF(H276,An,'2024'!An_max)</f>
        <v>2025</v>
      </c>
      <c r="K276" s="199">
        <f t="shared" si="104"/>
        <v>45919</v>
      </c>
      <c r="L276" s="147">
        <f>IF(t&lt;Tvie,1-EXP((T0-t)*PertePVj)+'2024'!Pspv,1-EXP((T0-t)*PertePVj)+Pspv)</f>
        <v>5.8843774812206262E-2</v>
      </c>
      <c r="M276" s="872"/>
      <c r="N276" s="872"/>
      <c r="O276" s="48">
        <f>IF(t&lt;Tnet,'2024'!Resal+('2024'!Salim-'2024'!Resal)*(1-EXP(('2024'!Tnet-t)/('2024'!Tau_j))),Resal+(Salim-Resal)*(1-EXP((Tnet-t)/(Tau_j))))*Salcycl</f>
        <v>0.11312956887573516</v>
      </c>
      <c r="P276" s="171">
        <f>(INDEX(Models!$BJ276:$BT276,,T276)*(1-R276)+INDEX(Models!$BJ276:$BT276,,T276+1)*R276-ERP_i)*Q276*Ramure*Pc/MaxiM</f>
        <v>1.3339771840559841E-3</v>
      </c>
      <c r="Q276" s="307">
        <f t="shared" si="105"/>
        <v>0.9</v>
      </c>
      <c r="R276" s="179">
        <f t="shared" si="106"/>
        <v>0.85414925933325092</v>
      </c>
      <c r="S276" s="839">
        <f t="shared" si="107"/>
        <v>-3</v>
      </c>
      <c r="T276" s="178">
        <f t="shared" si="108"/>
        <v>3</v>
      </c>
      <c r="U276" s="253">
        <f t="shared" si="109"/>
        <v>-2.1458507406667491</v>
      </c>
      <c r="V276" s="385">
        <f t="shared" si="110"/>
        <v>37.348547821513321</v>
      </c>
      <c r="W276" s="404">
        <f t="shared" si="111"/>
        <v>36.883591312815902</v>
      </c>
      <c r="X276" s="157">
        <f t="shared" si="112"/>
        <v>45919</v>
      </c>
      <c r="Y276" s="387">
        <f t="shared" si="113"/>
        <v>33.827655840390612</v>
      </c>
      <c r="Z276" s="387">
        <f t="shared" si="114"/>
        <v>35.942657483502067</v>
      </c>
      <c r="AA276" s="388">
        <f t="shared" si="115"/>
        <v>43.220099842169702</v>
      </c>
      <c r="AB276" s="199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0.16838097054942611</v>
      </c>
      <c r="AD276" s="233">
        <f>(INDEX(Models!$BJ276:$BT276,,AH276)*(1-AF276)+INDEX(Models!$BJ276:$BT276,,AH276+1)*AF276-ERP_i)*AE276*Ramure*Pc/MaxiM</f>
        <v>2.3621445165111454E-2</v>
      </c>
      <c r="AE276" s="307">
        <f t="shared" si="117"/>
        <v>0.9</v>
      </c>
      <c r="AF276" s="179">
        <f t="shared" si="118"/>
        <v>0.48980491164022988</v>
      </c>
      <c r="AG276" s="839">
        <f t="shared" si="124"/>
        <v>2</v>
      </c>
      <c r="AH276" s="178">
        <f t="shared" si="119"/>
        <v>8</v>
      </c>
      <c r="AI276" s="227">
        <f t="shared" si="120"/>
        <v>2.4898049116402299</v>
      </c>
      <c r="AJ276" s="267" t="b">
        <f t="shared" si="121"/>
        <v>0</v>
      </c>
      <c r="AK276" s="267" t="b">
        <f t="shared" si="122"/>
        <v>0</v>
      </c>
      <c r="AL276" s="267"/>
      <c r="AM276" s="267"/>
      <c r="AN276" s="75"/>
    </row>
    <row r="277" spans="1:40" s="6" customFormat="1" ht="11.25" x14ac:dyDescent="0.2">
      <c r="A277" s="56">
        <f t="shared" si="123"/>
        <v>45920</v>
      </c>
      <c r="B277" s="413">
        <f>'2024'!Wh/'2024'!Env_an*'2025'!Env_an</f>
        <v>37.818637435204352</v>
      </c>
      <c r="C277" s="868"/>
      <c r="D277" s="395">
        <f t="shared" si="102"/>
        <v>40.184101787226865</v>
      </c>
      <c r="E277" s="387">
        <f t="shared" si="100"/>
        <v>45.314868458534384</v>
      </c>
      <c r="F277" s="387">
        <f t="shared" si="103"/>
        <v>45.376444173129023</v>
      </c>
      <c r="G277" s="110">
        <f t="shared" si="101"/>
        <v>1.0228609327305083</v>
      </c>
      <c r="H277" s="416" t="b">
        <f>Wh_hp&gt;='2024'!Maxi_hp</f>
        <v>1</v>
      </c>
      <c r="I277" s="392">
        <f>IF(H277,Wh_hp,'2024'!Maxi_hp)</f>
        <v>45.376444173129023</v>
      </c>
      <c r="J277" s="85">
        <f>IF(H277,An,'2024'!An_max)</f>
        <v>2025</v>
      </c>
      <c r="K277" s="199">
        <f t="shared" si="104"/>
        <v>45920</v>
      </c>
      <c r="L277" s="147">
        <f>IF(t&lt;Tvie,1-EXP((T0-t)*PertePVj)+'2024'!Pspv,1-EXP((T0-t)*PertePVj)+Pspv)</f>
        <v>5.8865676892507102E-2</v>
      </c>
      <c r="M277" s="872"/>
      <c r="N277" s="872"/>
      <c r="O277" s="48">
        <f>IF(t&lt;Tnet,'2024'!Resal+('2024'!Salim-'2024'!Resal)*(1-EXP(('2024'!Tnet-t)/('2024'!Tau_j))),Resal+(Salim-Resal)*(1-EXP((Tnet-t)/(Tau_j))))*Salcycl</f>
        <v>0.11322479455065515</v>
      </c>
      <c r="P277" s="171">
        <f>(INDEX(Models!$BJ277:$BT277,,T277)*(1-R277)+INDEX(Models!$BJ277:$BT277,,T277+1)*R277-ERP_i)*Q277*Ramure*Pc/MaxiM</f>
        <v>1.3569973521879196E-3</v>
      </c>
      <c r="Q277" s="307">
        <f t="shared" si="105"/>
        <v>0.9</v>
      </c>
      <c r="R277" s="179">
        <f t="shared" si="106"/>
        <v>0.85458060555633342</v>
      </c>
      <c r="S277" s="839">
        <f t="shared" si="107"/>
        <v>-3</v>
      </c>
      <c r="T277" s="178">
        <f t="shared" si="108"/>
        <v>3</v>
      </c>
      <c r="U277" s="253">
        <f t="shared" si="109"/>
        <v>-2.1454193944436666</v>
      </c>
      <c r="V277" s="385">
        <f t="shared" si="110"/>
        <v>36.97339122557765</v>
      </c>
      <c r="W277" s="404">
        <f t="shared" si="111"/>
        <v>37.818637435204352</v>
      </c>
      <c r="X277" s="157">
        <f t="shared" si="112"/>
        <v>45920</v>
      </c>
      <c r="Y277" s="387">
        <f t="shared" si="113"/>
        <v>34.643359493909742</v>
      </c>
      <c r="Z277" s="387">
        <f t="shared" si="114"/>
        <v>36.810217886350429</v>
      </c>
      <c r="AA277" s="388">
        <f t="shared" si="115"/>
        <v>44.26420465196145</v>
      </c>
      <c r="AB277" s="199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0.16839762115280021</v>
      </c>
      <c r="AD277" s="233">
        <f>(INDEX(Models!$BJ277:$BT277,,AH277)*(1-AF277)+INDEX(Models!$BJ277:$BT277,,AH277+1)*AF277-ERP_i)*AE277*Ramure*Pc/MaxiM</f>
        <v>2.4511385619462388E-2</v>
      </c>
      <c r="AE277" s="307">
        <f t="shared" si="117"/>
        <v>0.9</v>
      </c>
      <c r="AF277" s="179">
        <f t="shared" si="118"/>
        <v>0.49023625786331237</v>
      </c>
      <c r="AG277" s="839">
        <f t="shared" si="124"/>
        <v>2</v>
      </c>
      <c r="AH277" s="178">
        <f t="shared" si="119"/>
        <v>8</v>
      </c>
      <c r="AI277" s="227">
        <f t="shared" si="120"/>
        <v>2.4902362578633124</v>
      </c>
      <c r="AJ277" s="267" t="b">
        <f t="shared" si="121"/>
        <v>0</v>
      </c>
      <c r="AK277" s="267" t="b">
        <f t="shared" si="122"/>
        <v>0</v>
      </c>
      <c r="AL277" s="267"/>
      <c r="AM277" s="267"/>
      <c r="AN277" s="75"/>
    </row>
    <row r="278" spans="1:40" s="6" customFormat="1" ht="11.25" x14ac:dyDescent="0.2">
      <c r="A278" s="56">
        <f t="shared" si="123"/>
        <v>45921</v>
      </c>
      <c r="B278" s="413">
        <f>'2024'!Wh/'2024'!Env_an*'2025'!Env_an</f>
        <v>36.736243995256153</v>
      </c>
      <c r="C278" s="868"/>
      <c r="D278" s="395">
        <f t="shared" si="102"/>
        <v>39.034915653609119</v>
      </c>
      <c r="E278" s="387">
        <f t="shared" si="100"/>
        <v>44.023591543984701</v>
      </c>
      <c r="F278" s="387">
        <f t="shared" si="103"/>
        <v>44.08437994879354</v>
      </c>
      <c r="G278" s="110">
        <f t="shared" si="101"/>
        <v>1.0038985965821807</v>
      </c>
      <c r="H278" s="416" t="b">
        <f>Wh_hp&gt;='2024'!Maxi_hp</f>
        <v>1</v>
      </c>
      <c r="I278" s="392">
        <f>IF(H278,Wh_hp,'2024'!Maxi_hp)</f>
        <v>44.08437994879354</v>
      </c>
      <c r="J278" s="85">
        <f>IF(H278,An,'2024'!An_max)</f>
        <v>2025</v>
      </c>
      <c r="K278" s="199">
        <f t="shared" si="104"/>
        <v>45921</v>
      </c>
      <c r="L278" s="147">
        <f>IF(t&lt;Tvie,1-EXP((T0-t)*PertePVj)+'2024'!Pspv,1-EXP((T0-t)*PertePVj)+Pspv)</f>
        <v>5.8887578463114543E-2</v>
      </c>
      <c r="M278" s="872"/>
      <c r="N278" s="872"/>
      <c r="O278" s="48">
        <f>IF(t&lt;Tnet,'2024'!Resal+('2024'!Salim-'2024'!Resal)*(1-EXP(('2024'!Tnet-t)/('2024'!Tau_j))),Resal+(Salim-Resal)*(1-EXP((Tnet-t)/(Tau_j))))*Salcycl</f>
        <v>0.11331823950327433</v>
      </c>
      <c r="P278" s="171">
        <f>(INDEX(Models!$BJ278:$BT278,,T278)*(1-R278)+INDEX(Models!$BJ278:$BT278,,T278+1)*R278-ERP_i)*Q278*Ramure*Pc/MaxiM</f>
        <v>1.3789102824956982E-3</v>
      </c>
      <c r="Q278" s="307">
        <f t="shared" si="105"/>
        <v>0.9</v>
      </c>
      <c r="R278" s="179">
        <f t="shared" si="106"/>
        <v>0.85499509175795607</v>
      </c>
      <c r="S278" s="839">
        <f t="shared" si="107"/>
        <v>-3</v>
      </c>
      <c r="T278" s="178">
        <f t="shared" si="108"/>
        <v>3</v>
      </c>
      <c r="U278" s="253">
        <f t="shared" si="109"/>
        <v>-2.1450049082420439</v>
      </c>
      <c r="V278" s="385">
        <f t="shared" si="110"/>
        <v>36.593580387826414</v>
      </c>
      <c r="W278" s="404">
        <f t="shared" si="111"/>
        <v>36.736243995256153</v>
      </c>
      <c r="X278" s="157">
        <f t="shared" si="112"/>
        <v>45921</v>
      </c>
      <c r="Y278" s="387">
        <f t="shared" si="113"/>
        <v>33.622198195702765</v>
      </c>
      <c r="Z278" s="387">
        <f t="shared" si="114"/>
        <v>35.726016814012475</v>
      </c>
      <c r="AA278" s="388">
        <f t="shared" si="115"/>
        <v>42.961190030370787</v>
      </c>
      <c r="AB278" s="199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0.16841184360217937</v>
      </c>
      <c r="AD278" s="233">
        <f>(INDEX(Models!$BJ278:$BT278,,AH278)*(1-AF278)+INDEX(Models!$BJ278:$BT278,,AH278+1)*AF278-ERP_i)*AE278*Ramure*Pc/MaxiM</f>
        <v>2.5478183422958496E-2</v>
      </c>
      <c r="AE278" s="307">
        <f t="shared" si="117"/>
        <v>0.9</v>
      </c>
      <c r="AF278" s="179">
        <f t="shared" si="118"/>
        <v>0.49065074406493503</v>
      </c>
      <c r="AG278" s="839">
        <f t="shared" si="124"/>
        <v>2</v>
      </c>
      <c r="AH278" s="178">
        <f t="shared" si="119"/>
        <v>8</v>
      </c>
      <c r="AI278" s="227">
        <f t="shared" si="120"/>
        <v>2.490650744064935</v>
      </c>
      <c r="AJ278" s="267" t="b">
        <f t="shared" si="121"/>
        <v>0</v>
      </c>
      <c r="AK278" s="267" t="b">
        <f t="shared" si="122"/>
        <v>0</v>
      </c>
      <c r="AL278" s="267"/>
      <c r="AM278" s="267"/>
      <c r="AN278" s="75"/>
    </row>
    <row r="279" spans="1:40" s="6" customFormat="1" ht="11.25" x14ac:dyDescent="0.2">
      <c r="A279" s="56">
        <f t="shared" si="123"/>
        <v>45922</v>
      </c>
      <c r="B279" s="413">
        <f>'2024'!Wh/'2024'!Env_an*'2025'!Env_an</f>
        <v>35.508279801711133</v>
      </c>
      <c r="C279" s="868"/>
      <c r="D279" s="395">
        <f t="shared" si="102"/>
        <v>37.730992958841732</v>
      </c>
      <c r="E279" s="387">
        <f t="shared" si="100"/>
        <v>42.557423850669977</v>
      </c>
      <c r="F279" s="387">
        <f t="shared" si="103"/>
        <v>42.615419513349103</v>
      </c>
      <c r="G279" s="110">
        <f t="shared" si="101"/>
        <v>0.98058390555823693</v>
      </c>
      <c r="H279" s="416" t="b">
        <f>Wh_hp&gt;='2024'!Maxi_hp</f>
        <v>1</v>
      </c>
      <c r="I279" s="392">
        <f>IF(H279,Wh_hp,'2024'!Maxi_hp)</f>
        <v>42.615419513349103</v>
      </c>
      <c r="J279" s="85">
        <f>IF(H279,An,'2024'!An_max)</f>
        <v>2025</v>
      </c>
      <c r="K279" s="199">
        <f t="shared" si="104"/>
        <v>45922</v>
      </c>
      <c r="L279" s="147">
        <f>IF(t&lt;Tvie,1-EXP((T0-t)*PertePVj)+'2024'!Pspv,1-EXP((T0-t)*PertePVj)+Pspv)</f>
        <v>5.8909479524040465E-2</v>
      </c>
      <c r="M279" s="872"/>
      <c r="N279" s="872"/>
      <c r="O279" s="48">
        <f>IF(t&lt;Tnet,'2024'!Resal+('2024'!Salim-'2024'!Resal)*(1-EXP(('2024'!Tnet-t)/('2024'!Tau_j))),Resal+(Salim-Resal)*(1-EXP((Tnet-t)/(Tau_j))))*Salcycl</f>
        <v>0.11340984615900949</v>
      </c>
      <c r="P279" s="171">
        <f>(INDEX(Models!$BJ279:$BT279,,T279)*(1-R279)+INDEX(Models!$BJ279:$BT279,,T279+1)*R279-ERP_i)*Q279*Ramure*Pc/MaxiM</f>
        <v>1.3996544661269228E-3</v>
      </c>
      <c r="Q279" s="307">
        <f t="shared" si="105"/>
        <v>0.9</v>
      </c>
      <c r="R279" s="179">
        <f t="shared" si="106"/>
        <v>0.85539335759069024</v>
      </c>
      <c r="S279" s="839">
        <f t="shared" si="107"/>
        <v>-3</v>
      </c>
      <c r="T279" s="178">
        <f t="shared" si="108"/>
        <v>3</v>
      </c>
      <c r="U279" s="253">
        <f t="shared" si="109"/>
        <v>-2.1446066424093098</v>
      </c>
      <c r="V279" s="385">
        <f t="shared" si="110"/>
        <v>36.209958069830897</v>
      </c>
      <c r="W279" s="404">
        <f t="shared" si="111"/>
        <v>35.508279801711133</v>
      </c>
      <c r="X279" s="157">
        <f t="shared" si="112"/>
        <v>45922</v>
      </c>
      <c r="Y279" s="387">
        <f t="shared" si="113"/>
        <v>32.490247977436624</v>
      </c>
      <c r="Z279" s="387">
        <f t="shared" si="114"/>
        <v>34.524041280327189</v>
      </c>
      <c r="AA279" s="388">
        <f t="shared" si="115"/>
        <v>41.516377213042084</v>
      </c>
      <c r="AB279" s="199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0.16842355721053368</v>
      </c>
      <c r="AD279" s="233">
        <f>(INDEX(Models!$BJ279:$BT279,,AH279)*(1-AF279)+INDEX(Models!$BJ279:$BT279,,AH279+1)*AF279-ERP_i)*AE279*Ramure*Pc/MaxiM</f>
        <v>2.6524043230575202E-2</v>
      </c>
      <c r="AE279" s="307">
        <f t="shared" si="117"/>
        <v>0.9</v>
      </c>
      <c r="AF279" s="179">
        <f t="shared" si="118"/>
        <v>0.4910490098976692</v>
      </c>
      <c r="AG279" s="839">
        <f t="shared" si="124"/>
        <v>2</v>
      </c>
      <c r="AH279" s="178">
        <f t="shared" si="119"/>
        <v>8</v>
      </c>
      <c r="AI279" s="227">
        <f t="shared" si="120"/>
        <v>2.4910490098976692</v>
      </c>
      <c r="AJ279" s="267" t="b">
        <f t="shared" si="121"/>
        <v>0</v>
      </c>
      <c r="AK279" s="267" t="b">
        <f t="shared" si="122"/>
        <v>0</v>
      </c>
      <c r="AL279" s="267"/>
      <c r="AM279" s="267"/>
      <c r="AN279" s="75"/>
    </row>
    <row r="280" spans="1:40" s="6" customFormat="1" ht="11.25" x14ac:dyDescent="0.2">
      <c r="A280" s="56">
        <f t="shared" si="123"/>
        <v>45923</v>
      </c>
      <c r="B280" s="413">
        <f>'2024'!Wh/'2024'!Env_an*'2025'!Env_an</f>
        <v>22.871181134124214</v>
      </c>
      <c r="C280" s="868"/>
      <c r="D280" s="395">
        <f t="shared" si="102"/>
        <v>24.303414915645771</v>
      </c>
      <c r="E280" s="387">
        <f t="shared" si="100"/>
        <v>27.415005937432991</v>
      </c>
      <c r="F280" s="387">
        <f t="shared" si="103"/>
        <v>27.433829799013953</v>
      </c>
      <c r="G280" s="110">
        <f t="shared" si="101"/>
        <v>0.63797479475064989</v>
      </c>
      <c r="H280" s="416" t="b">
        <f>Wh_hp&gt;='2024'!Maxi_hp</f>
        <v>0</v>
      </c>
      <c r="I280" s="392">
        <f>IF(H280,Wh_hp,'2024'!Maxi_hp)</f>
        <v>39.039212402737128</v>
      </c>
      <c r="J280" s="85">
        <f>IF(H280,An,'2024'!An_max)</f>
        <v>2019</v>
      </c>
      <c r="K280" s="199">
        <f t="shared" si="104"/>
        <v>45923</v>
      </c>
      <c r="L280" s="147">
        <f>IF(t&lt;Tvie,1-EXP((T0-t)*PertePVj)+'2024'!Pspv,1-EXP((T0-t)*PertePVj)+Pspv)</f>
        <v>5.8931380075296746E-2</v>
      </c>
      <c r="M280" s="872"/>
      <c r="N280" s="872"/>
      <c r="O280" s="48">
        <f>IF(t&lt;Tnet,'2024'!Resal+('2024'!Salim-'2024'!Resal)*(1-EXP(('2024'!Tnet-t)/('2024'!Tau_j))),Resal+(Salim-Resal)*(1-EXP((Tnet-t)/(Tau_j))))*Salcycl</f>
        <v>0.1134995567350431</v>
      </c>
      <c r="P280" s="171">
        <f>(INDEX(Models!$BJ280:$BT280,,T280)*(1-R280)+INDEX(Models!$BJ280:$BT280,,T280+1)*R280-ERP_i)*Q280*Ramure*Pc/MaxiM</f>
        <v>1.4191707454831641E-3</v>
      </c>
      <c r="Q280" s="307">
        <f t="shared" si="105"/>
        <v>0.9</v>
      </c>
      <c r="R280" s="179">
        <f t="shared" si="106"/>
        <v>0.85577601994848163</v>
      </c>
      <c r="S280" s="839">
        <f t="shared" si="107"/>
        <v>-3</v>
      </c>
      <c r="T280" s="178">
        <f t="shared" si="108"/>
        <v>3</v>
      </c>
      <c r="U280" s="253">
        <f t="shared" si="109"/>
        <v>-2.1442239800515184</v>
      </c>
      <c r="V280" s="385">
        <f t="shared" si="110"/>
        <v>35.823366184350988</v>
      </c>
      <c r="W280" s="404">
        <f t="shared" si="111"/>
        <v>22.871181134124214</v>
      </c>
      <c r="X280" s="157">
        <f t="shared" si="112"/>
        <v>45923</v>
      </c>
      <c r="Y280" s="387">
        <f t="shared" si="113"/>
        <v>21.181651959857213</v>
      </c>
      <c r="Z280" s="387">
        <f t="shared" si="114"/>
        <v>22.508084438679933</v>
      </c>
      <c r="AA280" s="388">
        <f t="shared" si="115"/>
        <v>27.067062316943208</v>
      </c>
      <c r="AB280" s="199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0.16843268120048199</v>
      </c>
      <c r="AD280" s="233">
        <f>(INDEX(Models!$BJ280:$BT280,,AH280)*(1-AF280)+INDEX(Models!$BJ280:$BT280,,AH280+1)*AF280-ERP_i)*AE280*Ramure*Pc/MaxiM</f>
        <v>2.7651376350735491E-2</v>
      </c>
      <c r="AE280" s="307">
        <f t="shared" si="117"/>
        <v>0.9</v>
      </c>
      <c r="AF280" s="179">
        <f t="shared" si="118"/>
        <v>0.49143167225546058</v>
      </c>
      <c r="AG280" s="839">
        <f t="shared" si="124"/>
        <v>2</v>
      </c>
      <c r="AH280" s="178">
        <f t="shared" si="119"/>
        <v>8</v>
      </c>
      <c r="AI280" s="227">
        <f t="shared" si="120"/>
        <v>2.4914316722554606</v>
      </c>
      <c r="AJ280" s="267" t="b">
        <f t="shared" si="121"/>
        <v>0</v>
      </c>
      <c r="AK280" s="267" t="b">
        <f t="shared" si="122"/>
        <v>0</v>
      </c>
      <c r="AL280" s="267"/>
      <c r="AM280" s="267"/>
      <c r="AN280" s="75"/>
    </row>
    <row r="281" spans="1:40" s="6" customFormat="1" ht="11.25" x14ac:dyDescent="0.2">
      <c r="A281" s="56">
        <f t="shared" si="123"/>
        <v>45924</v>
      </c>
      <c r="B281" s="413">
        <f>'2024'!Wh/'2024'!Env_an*'2025'!Env_an</f>
        <v>15.349993262019453</v>
      </c>
      <c r="C281" s="868"/>
      <c r="D281" s="395">
        <f t="shared" si="102"/>
        <v>16.31161656238088</v>
      </c>
      <c r="E281" s="387">
        <f t="shared" si="100"/>
        <v>18.401831123986096</v>
      </c>
      <c r="F281" s="387">
        <f t="shared" si="103"/>
        <v>18.406865362921625</v>
      </c>
      <c r="G281" s="110">
        <f t="shared" si="101"/>
        <v>0.43268733458161712</v>
      </c>
      <c r="H281" s="416" t="b">
        <f>Wh_hp&gt;='2024'!Maxi_hp</f>
        <v>0</v>
      </c>
      <c r="I281" s="392">
        <f>IF(H281,Wh_hp,'2024'!Maxi_hp)</f>
        <v>35.529783803479539</v>
      </c>
      <c r="J281" s="85">
        <f>IF(H281,An,'2024'!An_max)</f>
        <v>2021</v>
      </c>
      <c r="K281" s="199">
        <f t="shared" si="104"/>
        <v>45924</v>
      </c>
      <c r="L281" s="147">
        <f>IF(t&lt;Tvie,1-EXP((T0-t)*PertePVj)+'2024'!Pspv,1-EXP((T0-t)*PertePVj)+Pspv)</f>
        <v>5.8953280116895157E-2</v>
      </c>
      <c r="M281" s="872"/>
      <c r="N281" s="872"/>
      <c r="O281" s="48">
        <f>IF(t&lt;Tnet,'2024'!Resal+('2024'!Salim-'2024'!Resal)*(1-EXP(('2024'!Tnet-t)/('2024'!Tau_j))),Resal+(Salim-Resal)*(1-EXP((Tnet-t)/(Tau_j))))*Salcycl</f>
        <v>0.11358731354080844</v>
      </c>
      <c r="P281" s="171">
        <f>(INDEX(Models!$BJ281:$BT281,,T281)*(1-R281)+INDEX(Models!$BJ281:$BT281,,T281+1)*R281-ERP_i)*Q281*Ramure*Pc/MaxiM</f>
        <v>1.4373912351653762E-3</v>
      </c>
      <c r="Q281" s="307">
        <f t="shared" si="105"/>
        <v>0.9</v>
      </c>
      <c r="R281" s="179">
        <f t="shared" si="106"/>
        <v>0.8561436736574719</v>
      </c>
      <c r="S281" s="839">
        <f t="shared" si="107"/>
        <v>-3</v>
      </c>
      <c r="T281" s="178">
        <f t="shared" si="108"/>
        <v>3</v>
      </c>
      <c r="U281" s="253">
        <f t="shared" si="109"/>
        <v>-2.1438563263425281</v>
      </c>
      <c r="V281" s="385">
        <f t="shared" si="110"/>
        <v>35.43464620783665</v>
      </c>
      <c r="W281" s="404">
        <f t="shared" si="111"/>
        <v>15.349993262019453</v>
      </c>
      <c r="X281" s="157">
        <f t="shared" si="112"/>
        <v>45924</v>
      </c>
      <c r="Y281" s="387">
        <f t="shared" si="113"/>
        <v>14.324960527005894</v>
      </c>
      <c r="Z281" s="387">
        <f t="shared" si="114"/>
        <v>15.222369117640955</v>
      </c>
      <c r="AA281" s="388">
        <f t="shared" si="115"/>
        <v>18.305778639993061</v>
      </c>
      <c r="AB281" s="199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0.16843913514914405</v>
      </c>
      <c r="AD281" s="233">
        <f>(INDEX(Models!$BJ281:$BT281,,AH281)*(1-AF281)+INDEX(Models!$BJ281:$BT281,,AH281+1)*AF281-ERP_i)*AE281*Ramure*Pc/MaxiM</f>
        <v>2.8862589040749637E-2</v>
      </c>
      <c r="AE281" s="307">
        <f t="shared" si="117"/>
        <v>0.9</v>
      </c>
      <c r="AF281" s="179">
        <f t="shared" si="118"/>
        <v>0.49179932596445086</v>
      </c>
      <c r="AG281" s="839">
        <f t="shared" si="124"/>
        <v>2</v>
      </c>
      <c r="AH281" s="178">
        <f t="shared" si="119"/>
        <v>8</v>
      </c>
      <c r="AI281" s="227">
        <f t="shared" si="120"/>
        <v>2.4917993259644509</v>
      </c>
      <c r="AJ281" s="267" t="b">
        <f t="shared" si="121"/>
        <v>0</v>
      </c>
      <c r="AK281" s="267" t="b">
        <f t="shared" si="122"/>
        <v>0</v>
      </c>
      <c r="AL281" s="267"/>
      <c r="AM281" s="267"/>
      <c r="AN281" s="75"/>
    </row>
    <row r="282" spans="1:40" s="6" customFormat="1" ht="11.25" x14ac:dyDescent="0.2">
      <c r="A282" s="56">
        <f t="shared" si="123"/>
        <v>45925</v>
      </c>
      <c r="B282" s="413">
        <f>'2024'!Wh/'2024'!Env_an*'2025'!Env_an</f>
        <v>25.642027815263386</v>
      </c>
      <c r="C282" s="868"/>
      <c r="D282" s="395">
        <f t="shared" si="102"/>
        <v>27.249045148134158</v>
      </c>
      <c r="E282" s="387">
        <f t="shared" si="100"/>
        <v>30.74378527493106</v>
      </c>
      <c r="F282" s="387">
        <f t="shared" si="103"/>
        <v>30.771368796145119</v>
      </c>
      <c r="G282" s="110">
        <f t="shared" si="101"/>
        <v>0.73128762363837074</v>
      </c>
      <c r="H282" s="416" t="b">
        <f>Wh_hp&gt;='2024'!Maxi_hp</f>
        <v>1</v>
      </c>
      <c r="I282" s="392">
        <f>IF(H282,Wh_hp,'2024'!Maxi_hp)</f>
        <v>30.771368796145119</v>
      </c>
      <c r="J282" s="85">
        <f>IF(H282,An,'2024'!An_max)</f>
        <v>2025</v>
      </c>
      <c r="K282" s="199">
        <f t="shared" si="104"/>
        <v>45925</v>
      </c>
      <c r="L282" s="147">
        <f>IF(t&lt;Tvie,1-EXP((T0-t)*PertePVj)+'2024'!Pspv,1-EXP((T0-t)*PertePVj)+Pspv)</f>
        <v>5.8975179648847575E-2</v>
      </c>
      <c r="M282" s="872"/>
      <c r="N282" s="872"/>
      <c r="O282" s="48">
        <f>IF(t&lt;Tnet,'2024'!Resal+('2024'!Salim-'2024'!Resal)*(1-EXP(('2024'!Tnet-t)/('2024'!Tau_j))),Resal+(Salim-Resal)*(1-EXP((Tnet-t)/(Tau_j))))*Salcycl</f>
        <v>0.11367305930433245</v>
      </c>
      <c r="P282" s="171">
        <f>(INDEX(Models!$BJ282:$BT282,,T282)*(1-R282)+INDEX(Models!$BJ282:$BT282,,T282+1)*R282-ERP_i)*Q282*Ramure*Pc/MaxiM</f>
        <v>1.453527566069836E-3</v>
      </c>
      <c r="Q282" s="307">
        <f t="shared" si="105"/>
        <v>0.9</v>
      </c>
      <c r="R282" s="179">
        <f t="shared" si="106"/>
        <v>0.85649689215557778</v>
      </c>
      <c r="S282" s="839">
        <f t="shared" si="107"/>
        <v>-3</v>
      </c>
      <c r="T282" s="178">
        <f t="shared" si="108"/>
        <v>3</v>
      </c>
      <c r="U282" s="253">
        <f t="shared" si="109"/>
        <v>-2.1435031078444222</v>
      </c>
      <c r="V282" s="385">
        <f t="shared" si="110"/>
        <v>35.044664156989278</v>
      </c>
      <c r="W282" s="404">
        <f t="shared" si="111"/>
        <v>25.642027815263386</v>
      </c>
      <c r="X282" s="157">
        <f t="shared" si="112"/>
        <v>45925</v>
      </c>
      <c r="Y282" s="387">
        <f t="shared" si="113"/>
        <v>23.631227817095073</v>
      </c>
      <c r="Z282" s="387">
        <f t="shared" si="114"/>
        <v>25.112225847854742</v>
      </c>
      <c r="AA282" s="388">
        <f t="shared" si="115"/>
        <v>30.199037468247951</v>
      </c>
      <c r="AB282" s="199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0.16844283946935784</v>
      </c>
      <c r="AD282" s="233">
        <f>(INDEX(Models!$BJ282:$BT282,,AH282)*(1-AF282)+INDEX(Models!$BJ282:$BT282,,AH282+1)*AF282-ERP_i)*AE282*Ramure*Pc/MaxiM</f>
        <v>3.0159288060724276E-2</v>
      </c>
      <c r="AE282" s="307">
        <f t="shared" si="117"/>
        <v>0.9</v>
      </c>
      <c r="AF282" s="179">
        <f t="shared" si="118"/>
        <v>0.49215254446255674</v>
      </c>
      <c r="AG282" s="839">
        <f t="shared" si="124"/>
        <v>2</v>
      </c>
      <c r="AH282" s="178">
        <f t="shared" si="119"/>
        <v>8</v>
      </c>
      <c r="AI282" s="227">
        <f t="shared" si="120"/>
        <v>2.4921525444625567</v>
      </c>
      <c r="AJ282" s="267" t="b">
        <f t="shared" si="121"/>
        <v>0</v>
      </c>
      <c r="AK282" s="267" t="b">
        <f t="shared" si="122"/>
        <v>0</v>
      </c>
      <c r="AL282" s="267"/>
      <c r="AM282" s="267"/>
      <c r="AN282" s="75"/>
    </row>
    <row r="283" spans="1:40" s="6" customFormat="1" ht="11.25" x14ac:dyDescent="0.2">
      <c r="A283" s="56">
        <f t="shared" si="123"/>
        <v>45926</v>
      </c>
      <c r="B283" s="413">
        <f>'2024'!Wh/'2024'!Env_an*'2025'!Env_an</f>
        <v>27.53635430107073</v>
      </c>
      <c r="C283" s="868"/>
      <c r="D283" s="395">
        <f t="shared" si="102"/>
        <v>29.262772385642929</v>
      </c>
      <c r="E283" s="387">
        <f t="shared" si="100"/>
        <v>33.018894049306745</v>
      </c>
      <c r="F283" s="387">
        <f t="shared" si="103"/>
        <v>33.053183581550016</v>
      </c>
      <c r="G283" s="110">
        <f t="shared" si="101"/>
        <v>0.79426018819624356</v>
      </c>
      <c r="H283" s="416" t="b">
        <f>Wh_hp&gt;='2024'!Maxi_hp</f>
        <v>1</v>
      </c>
      <c r="I283" s="392">
        <f>IF(H283,Wh_hp,'2024'!Maxi_hp)</f>
        <v>33.053183581550016</v>
      </c>
      <c r="J283" s="85">
        <f>IF(H283,An,'2024'!An_max)</f>
        <v>2025</v>
      </c>
      <c r="K283" s="199">
        <f t="shared" si="104"/>
        <v>45926</v>
      </c>
      <c r="L283" s="147">
        <f>IF(t&lt;Tvie,1-EXP((T0-t)*PertePVj)+'2024'!Pspv,1-EXP((T0-t)*PertePVj)+Pspv)</f>
        <v>5.8997078671165992E-2</v>
      </c>
      <c r="M283" s="872"/>
      <c r="N283" s="872"/>
      <c r="O283" s="48">
        <f>IF(t&lt;Tnet,'2024'!Resal+('2024'!Salim-'2024'!Resal)*(1-EXP(('2024'!Tnet-t)/('2024'!Tau_j))),Resal+(Salim-Resal)*(1-EXP((Tnet-t)/(Tau_j))))*Salcycl</f>
        <v>0.11375673752291175</v>
      </c>
      <c r="P283" s="171">
        <f>(INDEX(Models!$BJ283:$BT283,,T283)*(1-R283)+INDEX(Models!$BJ283:$BT283,,T283+1)*R283-ERP_i)*Q283*Ramure*Pc/MaxiM</f>
        <v>1.4682150645472223E-3</v>
      </c>
      <c r="Q283" s="307">
        <f t="shared" si="105"/>
        <v>0.9</v>
      </c>
      <c r="R283" s="179">
        <f t="shared" si="106"/>
        <v>0.85683622816010674</v>
      </c>
      <c r="S283" s="839">
        <f t="shared" si="107"/>
        <v>-3</v>
      </c>
      <c r="T283" s="178">
        <f t="shared" si="108"/>
        <v>3</v>
      </c>
      <c r="U283" s="253">
        <f t="shared" si="109"/>
        <v>-2.1431637718398933</v>
      </c>
      <c r="V283" s="385">
        <f t="shared" si="110"/>
        <v>34.654234780199687</v>
      </c>
      <c r="W283" s="404">
        <f t="shared" si="111"/>
        <v>27.53635430107073</v>
      </c>
      <c r="X283" s="157">
        <f t="shared" si="112"/>
        <v>45926</v>
      </c>
      <c r="Y283" s="387">
        <f t="shared" si="113"/>
        <v>25.2880992864721</v>
      </c>
      <c r="Z283" s="387">
        <f t="shared" si="114"/>
        <v>26.873560871374977</v>
      </c>
      <c r="AA283" s="388">
        <f t="shared" si="115"/>
        <v>32.317188127876349</v>
      </c>
      <c r="AB283" s="199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0.16844371592483245</v>
      </c>
      <c r="AD283" s="233">
        <f>(INDEX(Models!$BJ283:$BT283,,AH283)*(1-AF283)+INDEX(Models!$BJ283:$BT283,,AH283+1)*AF283-ERP_i)*AE283*Ramure*Pc/MaxiM</f>
        <v>3.1513979393344743E-2</v>
      </c>
      <c r="AE283" s="307">
        <f t="shared" si="117"/>
        <v>0.9</v>
      </c>
      <c r="AF283" s="179">
        <f t="shared" si="118"/>
        <v>0.4924918804670857</v>
      </c>
      <c r="AG283" s="839">
        <f t="shared" si="124"/>
        <v>2</v>
      </c>
      <c r="AH283" s="178">
        <f t="shared" si="119"/>
        <v>8</v>
      </c>
      <c r="AI283" s="227">
        <f t="shared" si="120"/>
        <v>2.4924918804670857</v>
      </c>
      <c r="AJ283" s="267" t="b">
        <f t="shared" si="121"/>
        <v>0</v>
      </c>
      <c r="AK283" s="267" t="b">
        <f t="shared" si="122"/>
        <v>0</v>
      </c>
      <c r="AL283" s="267"/>
      <c r="AM283" s="267"/>
      <c r="AN283" s="75"/>
    </row>
    <row r="284" spans="1:40" s="6" customFormat="1" ht="11.25" x14ac:dyDescent="0.2">
      <c r="A284" s="56">
        <f t="shared" si="123"/>
        <v>45927</v>
      </c>
      <c r="B284" s="413">
        <f>'2024'!Wh/'2024'!Env_an*'2025'!Env_an</f>
        <v>13.454861629391067</v>
      </c>
      <c r="C284" s="868"/>
      <c r="D284" s="395">
        <f t="shared" si="102"/>
        <v>14.298759808273058</v>
      </c>
      <c r="E284" s="387">
        <f t="shared" si="100"/>
        <v>16.135610117974931</v>
      </c>
      <c r="F284" s="387">
        <f t="shared" si="103"/>
        <v>16.138775454131213</v>
      </c>
      <c r="G284" s="110">
        <f t="shared" si="101"/>
        <v>0.3921751090849504</v>
      </c>
      <c r="H284" s="416" t="b">
        <f>Wh_hp&gt;='2024'!Maxi_hp</f>
        <v>0</v>
      </c>
      <c r="I284" s="392">
        <f>IF(H284,Wh_hp,'2024'!Maxi_hp)</f>
        <v>32.432173480535852</v>
      </c>
      <c r="J284" s="85">
        <f>IF(H284,An,'2024'!An_max)</f>
        <v>2019</v>
      </c>
      <c r="K284" s="199">
        <f t="shared" si="104"/>
        <v>45927</v>
      </c>
      <c r="L284" s="147">
        <f>IF(t&lt;Tvie,1-EXP((T0-t)*PertePVj)+'2024'!Pspv,1-EXP((T0-t)*PertePVj)+Pspv)</f>
        <v>5.9018977183862065E-2</v>
      </c>
      <c r="M284" s="872"/>
      <c r="N284" s="872"/>
      <c r="O284" s="48">
        <f>IF(t&lt;Tnet,'2024'!Resal+('2024'!Salim-'2024'!Resal)*(1-EXP(('2024'!Tnet-t)/('2024'!Tau_j))),Resal+(Salim-Resal)*(1-EXP((Tnet-t)/(Tau_j))))*Salcycl</f>
        <v>0.11383829283626772</v>
      </c>
      <c r="P284" s="171">
        <f>(INDEX(Models!$BJ284:$BT284,,T284)*(1-R284)+INDEX(Models!$BJ284:$BT284,,T284+1)*R284-ERP_i)*Q284*Ramure*Pc/MaxiM</f>
        <v>1.4813639689442266E-3</v>
      </c>
      <c r="Q284" s="307">
        <f t="shared" si="105"/>
        <v>0.9</v>
      </c>
      <c r="R284" s="179">
        <f t="shared" si="106"/>
        <v>0.85716221432280371</v>
      </c>
      <c r="S284" s="839">
        <f t="shared" si="107"/>
        <v>-3</v>
      </c>
      <c r="T284" s="178">
        <f t="shared" si="108"/>
        <v>3</v>
      </c>
      <c r="U284" s="253">
        <f t="shared" si="109"/>
        <v>-2.1428377856771963</v>
      </c>
      <c r="V284" s="385">
        <f t="shared" si="110"/>
        <v>34.264198090007426</v>
      </c>
      <c r="W284" s="404">
        <f t="shared" si="111"/>
        <v>13.454861629391067</v>
      </c>
      <c r="X284" s="157">
        <f t="shared" si="112"/>
        <v>45927</v>
      </c>
      <c r="Y284" s="387">
        <f t="shared" si="113"/>
        <v>12.573223717260017</v>
      </c>
      <c r="Z284" s="387">
        <f t="shared" si="114"/>
        <v>13.361824959690765</v>
      </c>
      <c r="AA284" s="388">
        <f t="shared" si="115"/>
        <v>16.068416092657813</v>
      </c>
      <c r="AB284" s="199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0.16844168817633368</v>
      </c>
      <c r="AD284" s="233">
        <f>(INDEX(Models!$BJ284:$BT284,,AH284)*(1-AF284)+INDEX(Models!$BJ284:$BT284,,AH284+1)*AF284-ERP_i)*AE284*Ramure*Pc/MaxiM</f>
        <v>3.2927884375826333E-2</v>
      </c>
      <c r="AE284" s="307">
        <f t="shared" si="117"/>
        <v>0.9</v>
      </c>
      <c r="AF284" s="179">
        <f t="shared" si="118"/>
        <v>0.49281786662978266</v>
      </c>
      <c r="AG284" s="839">
        <f t="shared" si="124"/>
        <v>2</v>
      </c>
      <c r="AH284" s="178">
        <f t="shared" si="119"/>
        <v>8</v>
      </c>
      <c r="AI284" s="227">
        <f t="shared" si="120"/>
        <v>2.4928178666297827</v>
      </c>
      <c r="AJ284" s="267" t="b">
        <f t="shared" si="121"/>
        <v>0</v>
      </c>
      <c r="AK284" s="267" t="b">
        <f t="shared" si="122"/>
        <v>0</v>
      </c>
      <c r="AL284" s="267"/>
      <c r="AM284" s="267"/>
      <c r="AN284" s="75"/>
    </row>
    <row r="285" spans="1:40" s="6" customFormat="1" ht="11.25" x14ac:dyDescent="0.2">
      <c r="A285" s="56">
        <f t="shared" si="123"/>
        <v>45928</v>
      </c>
      <c r="B285" s="413">
        <f>'2024'!Wh/'2024'!Env_an*'2025'!Env_an</f>
        <v>15.833008427688622</v>
      </c>
      <c r="C285" s="868"/>
      <c r="D285" s="395">
        <f t="shared" si="102"/>
        <v>16.826457186261191</v>
      </c>
      <c r="E285" s="387">
        <f t="shared" si="100"/>
        <v>18.989722109938356</v>
      </c>
      <c r="F285" s="387">
        <f t="shared" si="103"/>
        <v>18.996503658543897</v>
      </c>
      <c r="G285" s="110">
        <f t="shared" si="101"/>
        <v>0.46685855991820918</v>
      </c>
      <c r="H285" s="416" t="b">
        <f>Wh_hp&gt;='2024'!Maxi_hp</f>
        <v>0</v>
      </c>
      <c r="I285" s="392">
        <f>IF(H285,Wh_hp,'2024'!Maxi_hp)</f>
        <v>28.532869501688754</v>
      </c>
      <c r="J285" s="85">
        <f>IF(H285,An,'2024'!An_max)</f>
        <v>2019</v>
      </c>
      <c r="K285" s="199">
        <f t="shared" si="104"/>
        <v>45928</v>
      </c>
      <c r="L285" s="147">
        <f>IF(t&lt;Tvie,1-EXP((T0-t)*PertePVj)+'2024'!Pspv,1-EXP((T0-t)*PertePVj)+Pspv)</f>
        <v>5.9040875186947783E-2</v>
      </c>
      <c r="M285" s="872"/>
      <c r="N285" s="872"/>
      <c r="O285" s="48">
        <f>IF(t&lt;Tnet,'2024'!Resal+('2024'!Salim-'2024'!Resal)*(1-EXP(('2024'!Tnet-t)/('2024'!Tau_j))),Resal+(Salim-Resal)*(1-EXP((Tnet-t)/(Tau_j))))*Salcycl</f>
        <v>0.11391767142000511</v>
      </c>
      <c r="P285" s="171">
        <f>(INDEX(Models!$BJ285:$BT285,,T285)*(1-R285)+INDEX(Models!$BJ285:$BT285,,T285+1)*R285-ERP_i)*Q285*Ramure*Pc/MaxiM</f>
        <v>1.4928790898155069E-3</v>
      </c>
      <c r="Q285" s="307">
        <f t="shared" si="105"/>
        <v>0.9</v>
      </c>
      <c r="R285" s="179">
        <f t="shared" si="106"/>
        <v>0.85747536387180467</v>
      </c>
      <c r="S285" s="839">
        <f t="shared" si="107"/>
        <v>-3</v>
      </c>
      <c r="T285" s="178">
        <f t="shared" si="108"/>
        <v>3</v>
      </c>
      <c r="U285" s="253">
        <f t="shared" si="109"/>
        <v>-2.1425246361281953</v>
      </c>
      <c r="V285" s="385">
        <f t="shared" si="110"/>
        <v>33.875393556691478</v>
      </c>
      <c r="W285" s="404">
        <f t="shared" si="111"/>
        <v>15.833008427688622</v>
      </c>
      <c r="X285" s="157">
        <f t="shared" si="112"/>
        <v>45928</v>
      </c>
      <c r="Y285" s="387">
        <f t="shared" si="113"/>
        <v>14.741858854440832</v>
      </c>
      <c r="Z285" s="387">
        <f t="shared" si="114"/>
        <v>15.666842975107674</v>
      </c>
      <c r="AA285" s="388">
        <f t="shared" si="115"/>
        <v>18.840228570310973</v>
      </c>
      <c r="AB285" s="199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0.16843668235554327</v>
      </c>
      <c r="AD285" s="233">
        <f>(INDEX(Models!$BJ285:$BT285,,AH285)*(1-AF285)+INDEX(Models!$BJ285:$BT285,,AH285+1)*AF285-ERP_i)*AE285*Ramure*Pc/MaxiM</f>
        <v>3.4402143972146471E-2</v>
      </c>
      <c r="AE285" s="307">
        <f t="shared" si="117"/>
        <v>0.9</v>
      </c>
      <c r="AF285" s="179">
        <f t="shared" si="118"/>
        <v>0.49313101617878363</v>
      </c>
      <c r="AG285" s="839">
        <f t="shared" si="124"/>
        <v>2</v>
      </c>
      <c r="AH285" s="178">
        <f t="shared" si="119"/>
        <v>8</v>
      </c>
      <c r="AI285" s="227">
        <f t="shared" si="120"/>
        <v>2.4931310161787836</v>
      </c>
      <c r="AJ285" s="267" t="b">
        <f t="shared" si="121"/>
        <v>0</v>
      </c>
      <c r="AK285" s="267" t="b">
        <f t="shared" si="122"/>
        <v>0</v>
      </c>
      <c r="AL285" s="267"/>
      <c r="AM285" s="267"/>
      <c r="AN285" s="75"/>
    </row>
    <row r="286" spans="1:40" s="6" customFormat="1" ht="11.25" x14ac:dyDescent="0.2">
      <c r="A286" s="56">
        <f t="shared" si="123"/>
        <v>45929</v>
      </c>
      <c r="B286" s="413">
        <f>'2024'!Wh/'2024'!Env_an*'2025'!Env_an</f>
        <v>21.171647990603393</v>
      </c>
      <c r="C286" s="868"/>
      <c r="D286" s="395">
        <f t="shared" si="102"/>
        <v>22.500595550794369</v>
      </c>
      <c r="E286" s="387">
        <f t="shared" si="100"/>
        <v>25.395557604154511</v>
      </c>
      <c r="F286" s="387">
        <f t="shared" si="103"/>
        <v>25.413680785307559</v>
      </c>
      <c r="G286" s="110">
        <f t="shared" si="101"/>
        <v>0.63170399396866428</v>
      </c>
      <c r="H286" s="416" t="b">
        <f>Wh_hp&gt;='2024'!Maxi_hp</f>
        <v>0</v>
      </c>
      <c r="I286" s="392">
        <f>IF(H286,Wh_hp,'2024'!Maxi_hp)</f>
        <v>39.545102096867112</v>
      </c>
      <c r="J286" s="85">
        <f>IF(H286,An,'2024'!An_max)</f>
        <v>2019</v>
      </c>
      <c r="K286" s="199">
        <f t="shared" si="104"/>
        <v>45929</v>
      </c>
      <c r="L286" s="147">
        <f>IF(t&lt;Tvie,1-EXP((T0-t)*PertePVj)+'2024'!Pspv,1-EXP((T0-t)*PertePVj)+Pspv)</f>
        <v>5.9062772680435027E-2</v>
      </c>
      <c r="M286" s="872"/>
      <c r="N286" s="872"/>
      <c r="O286" s="48">
        <f>IF(t&lt;Tnet,'2024'!Resal+('2024'!Salim-'2024'!Resal)*(1-EXP(('2024'!Tnet-t)/('2024'!Tau_j))),Resal+(Salim-Resal)*(1-EXP((Tnet-t)/(Tau_j))))*Salcycl</f>
        <v>0.11399482139689464</v>
      </c>
      <c r="P286" s="171">
        <f>(INDEX(Models!$BJ286:$BT286,,T286)*(1-R286)+INDEX(Models!$BJ286:$BT286,,T286+1)*R286-ERP_i)*Q286*Ramure*Pc/MaxiM</f>
        <v>1.5026599205146909E-3</v>
      </c>
      <c r="Q286" s="307">
        <f t="shared" si="105"/>
        <v>0.9</v>
      </c>
      <c r="R286" s="179">
        <f t="shared" si="106"/>
        <v>0.85777617124007932</v>
      </c>
      <c r="S286" s="839">
        <f t="shared" si="107"/>
        <v>-3</v>
      </c>
      <c r="T286" s="178">
        <f t="shared" si="108"/>
        <v>3</v>
      </c>
      <c r="U286" s="253">
        <f t="shared" si="109"/>
        <v>-2.1422238287599207</v>
      </c>
      <c r="V286" s="385">
        <f t="shared" si="110"/>
        <v>33.488660116016504</v>
      </c>
      <c r="W286" s="404">
        <f t="shared" si="111"/>
        <v>21.171647990603393</v>
      </c>
      <c r="X286" s="157">
        <f t="shared" si="112"/>
        <v>45929</v>
      </c>
      <c r="Y286" s="387">
        <f t="shared" si="113"/>
        <v>19.545953770490168</v>
      </c>
      <c r="Z286" s="387">
        <f t="shared" si="114"/>
        <v>20.772856257553396</v>
      </c>
      <c r="AA286" s="388">
        <f t="shared" si="115"/>
        <v>24.980244568989512</v>
      </c>
      <c r="AB286" s="199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0.16842862766280392</v>
      </c>
      <c r="AD286" s="233">
        <f>(INDEX(Models!$BJ286:$BT286,,AH286)*(1-AF286)+INDEX(Models!$BJ286:$BT286,,AH286+1)*AF286-ERP_i)*AE286*Ramure*Pc/MaxiM</f>
        <v>3.593779838431474E-2</v>
      </c>
      <c r="AE286" s="307">
        <f t="shared" si="117"/>
        <v>0.9</v>
      </c>
      <c r="AF286" s="179">
        <f t="shared" si="118"/>
        <v>0.49343182354705828</v>
      </c>
      <c r="AG286" s="839">
        <f t="shared" si="124"/>
        <v>2</v>
      </c>
      <c r="AH286" s="178">
        <f t="shared" si="119"/>
        <v>8</v>
      </c>
      <c r="AI286" s="227">
        <f t="shared" si="120"/>
        <v>2.4934318235470583</v>
      </c>
      <c r="AJ286" s="267" t="b">
        <f t="shared" si="121"/>
        <v>0</v>
      </c>
      <c r="AK286" s="267" t="b">
        <f t="shared" si="122"/>
        <v>0</v>
      </c>
      <c r="AL286" s="267"/>
      <c r="AM286" s="267"/>
      <c r="AN286" s="75"/>
    </row>
    <row r="287" spans="1:40" s="6" customFormat="1" ht="11.25" x14ac:dyDescent="0.2">
      <c r="A287" s="56">
        <f t="shared" si="123"/>
        <v>45930</v>
      </c>
      <c r="B287" s="413">
        <f>'2024'!Wh/'2024'!Env_an*'2025'!Env_an</f>
        <v>24.461557499499907</v>
      </c>
      <c r="C287" s="868"/>
      <c r="D287" s="395">
        <f t="shared" si="102"/>
        <v>25.997618181833037</v>
      </c>
      <c r="E287" s="387">
        <f t="shared" si="100"/>
        <v>29.344992471915738</v>
      </c>
      <c r="F287" s="387">
        <f t="shared" si="103"/>
        <v>29.372813590069473</v>
      </c>
      <c r="G287" s="110">
        <f t="shared" si="101"/>
        <v>0.73849518436072781</v>
      </c>
      <c r="H287" s="416" t="b">
        <f>Wh_hp&gt;='2024'!Maxi_hp</f>
        <v>0</v>
      </c>
      <c r="I287" s="392">
        <f>IF(H287,Wh_hp,'2024'!Maxi_hp)</f>
        <v>31.942652402822652</v>
      </c>
      <c r="J287" s="85">
        <f>IF(H287,An,'2024'!An_max)</f>
        <v>2020</v>
      </c>
      <c r="K287" s="199">
        <f t="shared" si="104"/>
        <v>45930</v>
      </c>
      <c r="L287" s="147">
        <f>IF(t&lt;Tvie,1-EXP((T0-t)*PertePVj)+'2024'!Pspv,1-EXP((T0-t)*PertePVj)+Pspv)</f>
        <v>5.9084669664335565E-2</v>
      </c>
      <c r="M287" s="872"/>
      <c r="N287" s="872"/>
      <c r="O287" s="48">
        <f>IF(t&lt;Tnet,'2024'!Resal+('2024'!Salim-'2024'!Resal)*(1-EXP(('2024'!Tnet-t)/('2024'!Tau_j))),Resal+(Salim-Resal)*(1-EXP((Tnet-t)/(Tau_j))))*Salcycl</f>
        <v>0.11406969326321222</v>
      </c>
      <c r="P287" s="171">
        <f>(INDEX(Models!$BJ287:$BT287,,T287)*(1-R287)+INDEX(Models!$BJ287:$BT287,,T287+1)*R287-ERP_i)*Q287*Ramure*Pc/MaxiM</f>
        <v>1.5106008083165998E-3</v>
      </c>
      <c r="Q287" s="307">
        <f t="shared" si="105"/>
        <v>0.9</v>
      </c>
      <c r="R287" s="179">
        <f t="shared" si="106"/>
        <v>0.85806511268001184</v>
      </c>
      <c r="S287" s="839">
        <f t="shared" si="107"/>
        <v>-3</v>
      </c>
      <c r="T287" s="178">
        <f t="shared" si="108"/>
        <v>3</v>
      </c>
      <c r="U287" s="253">
        <f t="shared" si="109"/>
        <v>-2.1419348873199882</v>
      </c>
      <c r="V287" s="385">
        <f t="shared" si="110"/>
        <v>33.1048361777382</v>
      </c>
      <c r="W287" s="404">
        <f t="shared" si="111"/>
        <v>24.461557499499907</v>
      </c>
      <c r="X287" s="157">
        <f t="shared" si="112"/>
        <v>45930</v>
      </c>
      <c r="Y287" s="387">
        <f t="shared" si="113"/>
        <v>22.441810375733453</v>
      </c>
      <c r="Z287" s="387">
        <f t="shared" si="114"/>
        <v>23.851041270342048</v>
      </c>
      <c r="AA287" s="388">
        <f t="shared" si="115"/>
        <v>28.681507891994293</v>
      </c>
      <c r="AB287" s="199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0.16841745698455923</v>
      </c>
      <c r="AD287" s="233">
        <f>(INDEX(Models!$BJ287:$BT287,,AH287)*(1-AF287)+INDEX(Models!$BJ287:$BT287,,AH287+1)*AF287-ERP_i)*AE287*Ramure*Pc/MaxiM</f>
        <v>3.7535764757396228E-2</v>
      </c>
      <c r="AE287" s="307">
        <f t="shared" si="117"/>
        <v>0.9</v>
      </c>
      <c r="AF287" s="179">
        <f t="shared" si="118"/>
        <v>0.4937207649869908</v>
      </c>
      <c r="AG287" s="839">
        <f t="shared" si="124"/>
        <v>2</v>
      </c>
      <c r="AH287" s="178">
        <f t="shared" si="119"/>
        <v>8</v>
      </c>
      <c r="AI287" s="227">
        <f t="shared" si="120"/>
        <v>2.4937207649869908</v>
      </c>
      <c r="AJ287" s="267" t="b">
        <f t="shared" si="121"/>
        <v>0</v>
      </c>
      <c r="AK287" s="267" t="b">
        <f t="shared" si="122"/>
        <v>0</v>
      </c>
      <c r="AL287" s="267"/>
      <c r="AM287" s="267"/>
      <c r="AN287" s="75"/>
    </row>
    <row r="288" spans="1:40" s="6" customFormat="1" ht="11.25" x14ac:dyDescent="0.2">
      <c r="A288" s="56">
        <f t="shared" si="123"/>
        <v>45931</v>
      </c>
      <c r="B288" s="413">
        <f>'2024'!Wh/'2024'!Env_an*'2025'!Env_an</f>
        <v>29.442188434520105</v>
      </c>
      <c r="C288" s="868"/>
      <c r="D288" s="395">
        <f t="shared" si="102"/>
        <v>31.291735466462036</v>
      </c>
      <c r="E288" s="387">
        <f t="shared" si="100"/>
        <v>35.323656788891739</v>
      </c>
      <c r="F288" s="387">
        <f t="shared" si="103"/>
        <v>35.369611355958313</v>
      </c>
      <c r="G288" s="110">
        <f t="shared" si="101"/>
        <v>0.89949573150099249</v>
      </c>
      <c r="H288" s="416" t="b">
        <f>Wh_hp&gt;='2024'!Maxi_hp</f>
        <v>0</v>
      </c>
      <c r="I288" s="392">
        <f>IF(H288,Wh_hp,'2024'!Maxi_hp)</f>
        <v>37.95557881687494</v>
      </c>
      <c r="J288" s="85">
        <f>IF(H288,An,'2024'!An_max)</f>
        <v>2020</v>
      </c>
      <c r="K288" s="199">
        <f t="shared" si="104"/>
        <v>45931</v>
      </c>
      <c r="L288" s="147">
        <f>IF(t&lt;Tvie,1-EXP((T0-t)*PertePVj)+'2024'!Pspv,1-EXP((T0-t)*PertePVj)+Pspv)</f>
        <v>5.9106566138661276E-2</v>
      </c>
      <c r="M288" s="872"/>
      <c r="N288" s="872"/>
      <c r="O288" s="48">
        <f>IF(t&lt;Tnet,'2024'!Resal+('2024'!Salim-'2024'!Resal)*(1-EXP(('2024'!Tnet-t)/('2024'!Tau_j))),Resal+(Salim-Resal)*(1-EXP((Tnet-t)/(Tau_j))))*Salcycl</f>
        <v>0.11414224032710063</v>
      </c>
      <c r="P288" s="171">
        <f>(INDEX(Models!$BJ288:$BT288,,T288)*(1-R288)+INDEX(Models!$BJ288:$BT288,,T288+1)*R288-ERP_i)*Q288*Ramure*Pc/MaxiM</f>
        <v>1.5165911953046024E-3</v>
      </c>
      <c r="Q288" s="307">
        <f t="shared" si="105"/>
        <v>0.9</v>
      </c>
      <c r="R288" s="179">
        <f t="shared" si="106"/>
        <v>0.8583426468638593</v>
      </c>
      <c r="S288" s="839">
        <f t="shared" si="107"/>
        <v>-3</v>
      </c>
      <c r="T288" s="178">
        <f t="shared" si="108"/>
        <v>3</v>
      </c>
      <c r="U288" s="253">
        <f t="shared" si="109"/>
        <v>-2.1416573531361407</v>
      </c>
      <c r="V288" s="385">
        <f t="shared" si="110"/>
        <v>32.724759638203068</v>
      </c>
      <c r="W288" s="404">
        <f t="shared" si="111"/>
        <v>29.442188434520105</v>
      </c>
      <c r="X288" s="157">
        <f t="shared" si="112"/>
        <v>45931</v>
      </c>
      <c r="Y288" s="387">
        <f t="shared" si="113"/>
        <v>26.745424477493437</v>
      </c>
      <c r="Z288" s="387">
        <f t="shared" si="114"/>
        <v>28.425561827690426</v>
      </c>
      <c r="AA288" s="388">
        <f t="shared" si="115"/>
        <v>34.18190001061938</v>
      </c>
      <c r="AB288" s="199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0.16840310752593091</v>
      </c>
      <c r="AD288" s="233">
        <f>(INDEX(Models!$BJ288:$BT288,,AH288)*(1-AF288)+INDEX(Models!$BJ288:$BT288,,AH288+1)*AF288-ERP_i)*AE288*Ramure*Pc/MaxiM</f>
        <v>3.9196812936893477E-2</v>
      </c>
      <c r="AE288" s="307">
        <f t="shared" si="117"/>
        <v>0.9</v>
      </c>
      <c r="AF288" s="179">
        <f t="shared" si="118"/>
        <v>0.49399829917083826</v>
      </c>
      <c r="AG288" s="839">
        <f t="shared" si="124"/>
        <v>2</v>
      </c>
      <c r="AH288" s="178">
        <f t="shared" si="119"/>
        <v>8</v>
      </c>
      <c r="AI288" s="227">
        <f t="shared" si="120"/>
        <v>2.4939982991708383</v>
      </c>
      <c r="AJ288" s="267" t="b">
        <f t="shared" si="121"/>
        <v>0</v>
      </c>
      <c r="AK288" s="267" t="b">
        <f t="shared" si="122"/>
        <v>0</v>
      </c>
      <c r="AL288" s="267"/>
      <c r="AM288" s="267"/>
      <c r="AN288" s="75"/>
    </row>
    <row r="289" spans="1:40" s="6" customFormat="1" ht="11.25" x14ac:dyDescent="0.2">
      <c r="A289" s="56">
        <f t="shared" si="123"/>
        <v>45932</v>
      </c>
      <c r="B289" s="413">
        <f>'2024'!Wh/'2024'!Env_an*'2025'!Env_an</f>
        <v>31.109565356715965</v>
      </c>
      <c r="C289" s="868"/>
      <c r="D289" s="395">
        <f t="shared" si="102"/>
        <v>33.064625832199042</v>
      </c>
      <c r="E289" s="387">
        <f t="shared" si="100"/>
        <v>37.327940182546065</v>
      </c>
      <c r="F289" s="387">
        <f t="shared" si="103"/>
        <v>37.381684663507535</v>
      </c>
      <c r="G289" s="110">
        <f t="shared" si="101"/>
        <v>0.96172016007418026</v>
      </c>
      <c r="H289" s="416" t="b">
        <f>Wh_hp&gt;='2024'!Maxi_hp</f>
        <v>1</v>
      </c>
      <c r="I289" s="392">
        <f>IF(H289,Wh_hp,'2024'!Maxi_hp)</f>
        <v>37.381684663507535</v>
      </c>
      <c r="J289" s="85">
        <f>IF(H289,An,'2024'!An_max)</f>
        <v>2025</v>
      </c>
      <c r="K289" s="199">
        <f t="shared" si="104"/>
        <v>45932</v>
      </c>
      <c r="L289" s="147">
        <f>IF(t&lt;Tvie,1-EXP((T0-t)*PertePVj)+'2024'!Pspv,1-EXP((T0-t)*PertePVj)+Pspv)</f>
        <v>5.912846210342404E-2</v>
      </c>
      <c r="M289" s="872"/>
      <c r="N289" s="872"/>
      <c r="O289" s="48">
        <f>IF(t&lt;Tnet,'2024'!Resal+('2024'!Salim-'2024'!Resal)*(1-EXP(('2024'!Tnet-t)/('2024'!Tau_j))),Resal+(Salim-Resal)*(1-EXP((Tnet-t)/(Tau_j))))*Salcycl</f>
        <v>0.11421241915567795</v>
      </c>
      <c r="P289" s="171">
        <f>(INDEX(Models!$BJ289:$BT289,,T289)*(1-R289)+INDEX(Models!$BJ289:$BT289,,T289+1)*R289-ERP_i)*Q289*Ramure*Pc/MaxiM</f>
        <v>1.5207093641469013E-3</v>
      </c>
      <c r="Q289" s="307">
        <f t="shared" si="105"/>
        <v>0.9</v>
      </c>
      <c r="R289" s="179">
        <f t="shared" si="106"/>
        <v>0.85860921546987834</v>
      </c>
      <c r="S289" s="839">
        <f t="shared" si="107"/>
        <v>-3</v>
      </c>
      <c r="T289" s="178">
        <f t="shared" si="108"/>
        <v>3</v>
      </c>
      <c r="U289" s="253">
        <f t="shared" si="109"/>
        <v>-2.1413907845301217</v>
      </c>
      <c r="V289" s="385">
        <f t="shared" si="110"/>
        <v>32.345146996965802</v>
      </c>
      <c r="W289" s="404">
        <f t="shared" si="111"/>
        <v>31.109565356715965</v>
      </c>
      <c r="X289" s="157">
        <f t="shared" si="112"/>
        <v>45932</v>
      </c>
      <c r="Y289" s="387">
        <f t="shared" si="113"/>
        <v>28.117273345124389</v>
      </c>
      <c r="Z289" s="387">
        <f t="shared" si="114"/>
        <v>29.884285168178977</v>
      </c>
      <c r="AA289" s="388">
        <f t="shared" si="115"/>
        <v>35.935263200819307</v>
      </c>
      <c r="AB289" s="199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0.16838552145354452</v>
      </c>
      <c r="AD289" s="233">
        <f>(INDEX(Models!$BJ289:$BT289,,AH289)*(1-AF289)+INDEX(Models!$BJ289:$BT289,,AH289+1)*AF289-ERP_i)*AE289*Ramure*Pc/MaxiM</f>
        <v>4.0926744913396332E-2</v>
      </c>
      <c r="AE289" s="307">
        <f t="shared" si="117"/>
        <v>0.9</v>
      </c>
      <c r="AF289" s="179">
        <f t="shared" si="118"/>
        <v>0.4942648677768573</v>
      </c>
      <c r="AG289" s="839">
        <f t="shared" si="124"/>
        <v>2</v>
      </c>
      <c r="AH289" s="178">
        <f t="shared" si="119"/>
        <v>8</v>
      </c>
      <c r="AI289" s="227">
        <f t="shared" si="120"/>
        <v>2.4942648677768573</v>
      </c>
      <c r="AJ289" s="267" t="b">
        <f t="shared" si="121"/>
        <v>0</v>
      </c>
      <c r="AK289" s="267" t="b">
        <f t="shared" si="122"/>
        <v>0</v>
      </c>
      <c r="AL289" s="267"/>
      <c r="AM289" s="267"/>
      <c r="AN289" s="75"/>
    </row>
    <row r="290" spans="1:40" s="6" customFormat="1" ht="11.25" x14ac:dyDescent="0.2">
      <c r="A290" s="56">
        <f t="shared" si="123"/>
        <v>45933</v>
      </c>
      <c r="B290" s="413">
        <f>'2024'!Wh/'2024'!Env_an*'2025'!Env_an</f>
        <v>29.358940767729727</v>
      </c>
      <c r="C290" s="868"/>
      <c r="D290" s="395">
        <f t="shared" si="102"/>
        <v>31.204710554544786</v>
      </c>
      <c r="E290" s="387">
        <f t="shared" si="100"/>
        <v>35.230905082172896</v>
      </c>
      <c r="F290" s="387">
        <f t="shared" si="103"/>
        <v>35.278374467299628</v>
      </c>
      <c r="G290" s="110">
        <f t="shared" si="101"/>
        <v>0.91837209221725669</v>
      </c>
      <c r="H290" s="416" t="b">
        <f>Wh_hp&gt;='2024'!Maxi_hp</f>
        <v>0</v>
      </c>
      <c r="I290" s="392">
        <f>IF(H290,Wh_hp,'2024'!Maxi_hp)</f>
        <v>36.035375229537863</v>
      </c>
      <c r="J290" s="85">
        <f>IF(H290,An,'2024'!An_max)</f>
        <v>2018</v>
      </c>
      <c r="K290" s="199">
        <f t="shared" si="104"/>
        <v>45933</v>
      </c>
      <c r="L290" s="147">
        <f>IF(t&lt;Tvie,1-EXP((T0-t)*PertePVj)+'2024'!Pspv,1-EXP((T0-t)*PertePVj)+Pspv)</f>
        <v>5.9150357558635736E-2</v>
      </c>
      <c r="M290" s="872"/>
      <c r="N290" s="872"/>
      <c r="O290" s="48">
        <f>IF(t&lt;Tnet,'2024'!Resal+('2024'!Salim-'2024'!Resal)*(1-EXP(('2024'!Tnet-t)/('2024'!Tau_j))),Resal+(Salim-Resal)*(1-EXP((Tnet-t)/(Tau_j))))*Salcycl</f>
        <v>0.1142801900274029</v>
      </c>
      <c r="P290" s="171">
        <f>(INDEX(Models!$BJ290:$BT290,,T290)*(1-R290)+INDEX(Models!$BJ290:$BT290,,T290+1)*R290-ERP_i)*Q290*Ramure*Pc/MaxiM</f>
        <v>1.5227855088829373E-3</v>
      </c>
      <c r="Q290" s="307">
        <f t="shared" si="105"/>
        <v>0.9</v>
      </c>
      <c r="R290" s="179">
        <f t="shared" si="106"/>
        <v>0.85886524375398166</v>
      </c>
      <c r="S290" s="839">
        <f t="shared" si="107"/>
        <v>-3</v>
      </c>
      <c r="T290" s="178">
        <f t="shared" si="108"/>
        <v>3</v>
      </c>
      <c r="U290" s="253">
        <f t="shared" si="109"/>
        <v>-2.1411347562460183</v>
      </c>
      <c r="V290" s="385">
        <f t="shared" si="110"/>
        <v>31.962786143326905</v>
      </c>
      <c r="W290" s="404">
        <f t="shared" si="111"/>
        <v>29.358940767729727</v>
      </c>
      <c r="X290" s="157">
        <f t="shared" si="112"/>
        <v>45933</v>
      </c>
      <c r="Y290" s="387">
        <f t="shared" si="113"/>
        <v>26.561449526095355</v>
      </c>
      <c r="Z290" s="387">
        <f t="shared" si="114"/>
        <v>28.231343594043743</v>
      </c>
      <c r="AA290" s="388">
        <f t="shared" si="115"/>
        <v>33.946781455002224</v>
      </c>
      <c r="AB290" s="199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0.16836464654342906</v>
      </c>
      <c r="AD290" s="233">
        <f>(INDEX(Models!$BJ290:$BT290,,AH290)*(1-AF290)+INDEX(Models!$BJ290:$BT290,,AH290+1)*AF290-ERP_i)*AE290*Ramure*Pc/MaxiM</f>
        <v>4.271659591635478E-2</v>
      </c>
      <c r="AE290" s="307">
        <f t="shared" si="117"/>
        <v>0.9</v>
      </c>
      <c r="AF290" s="179">
        <f t="shared" si="118"/>
        <v>0.49452089606096061</v>
      </c>
      <c r="AG290" s="839">
        <f t="shared" si="124"/>
        <v>2</v>
      </c>
      <c r="AH290" s="178">
        <f t="shared" si="119"/>
        <v>8</v>
      </c>
      <c r="AI290" s="227">
        <f t="shared" si="120"/>
        <v>2.4945208960609606</v>
      </c>
      <c r="AJ290" s="267" t="b">
        <f t="shared" si="121"/>
        <v>0</v>
      </c>
      <c r="AK290" s="267" t="b">
        <f t="shared" si="122"/>
        <v>0</v>
      </c>
      <c r="AL290" s="267"/>
      <c r="AM290" s="267"/>
      <c r="AN290" s="75"/>
    </row>
    <row r="291" spans="1:40" s="6" customFormat="1" ht="11.25" x14ac:dyDescent="0.2">
      <c r="A291" s="56">
        <f t="shared" si="123"/>
        <v>45934</v>
      </c>
      <c r="B291" s="413">
        <f>'2024'!Wh/'2024'!Env_an*'2025'!Env_an</f>
        <v>31.400938435891192</v>
      </c>
      <c r="C291" s="868"/>
      <c r="D291" s="395">
        <f t="shared" si="102"/>
        <v>33.375863455850066</v>
      </c>
      <c r="E291" s="387">
        <f t="shared" si="100"/>
        <v>37.68497095768361</v>
      </c>
      <c r="F291" s="387">
        <f t="shared" si="103"/>
        <v>37.74202474277137</v>
      </c>
      <c r="G291" s="110">
        <f t="shared" si="101"/>
        <v>0.99436272789312885</v>
      </c>
      <c r="H291" s="416" t="b">
        <f>Wh_hp&gt;='2024'!Maxi_hp</f>
        <v>1</v>
      </c>
      <c r="I291" s="392">
        <f>IF(H291,Wh_hp,'2024'!Maxi_hp)</f>
        <v>37.74202474277137</v>
      </c>
      <c r="J291" s="85">
        <f>IF(H291,An,'2024'!An_max)</f>
        <v>2025</v>
      </c>
      <c r="K291" s="199">
        <f t="shared" si="104"/>
        <v>45934</v>
      </c>
      <c r="L291" s="147">
        <f>IF(t&lt;Tvie,1-EXP((T0-t)*PertePVj)+'2024'!Pspv,1-EXP((T0-t)*PertePVj)+Pspv)</f>
        <v>5.9172252504308243E-2</v>
      </c>
      <c r="M291" s="872"/>
      <c r="N291" s="872"/>
      <c r="O291" s="48">
        <f>IF(t&lt;Tnet,'2024'!Resal+('2024'!Salim-'2024'!Resal)*(1-EXP(('2024'!Tnet-t)/('2024'!Tau_j))),Resal+(Salim-Resal)*(1-EXP((Tnet-t)/(Tau_j))))*Salcycl</f>
        <v>0.11434551738602203</v>
      </c>
      <c r="P291" s="171">
        <f>(INDEX(Models!$BJ291:$BT291,,T291)*(1-R291)+INDEX(Models!$BJ291:$BT291,,T291+1)*R291-ERP_i)*Q291*Ramure*Pc/MaxiM</f>
        <v>1.5239238938482438E-3</v>
      </c>
      <c r="Q291" s="307">
        <f t="shared" si="105"/>
        <v>0.9</v>
      </c>
      <c r="R291" s="179">
        <f t="shared" si="106"/>
        <v>0.85911114110684439</v>
      </c>
      <c r="S291" s="839">
        <f t="shared" si="107"/>
        <v>-3</v>
      </c>
      <c r="T291" s="178">
        <f t="shared" si="108"/>
        <v>3</v>
      </c>
      <c r="U291" s="253">
        <f t="shared" si="109"/>
        <v>-2.1408888588931556</v>
      </c>
      <c r="V291" s="385">
        <f t="shared" si="110"/>
        <v>31.578570311931426</v>
      </c>
      <c r="W291" s="404">
        <f t="shared" si="111"/>
        <v>31.400938435891192</v>
      </c>
      <c r="X291" s="157">
        <f t="shared" si="112"/>
        <v>45934</v>
      </c>
      <c r="Y291" s="387">
        <f t="shared" si="113"/>
        <v>28.22652139698619</v>
      </c>
      <c r="Z291" s="387">
        <f t="shared" si="114"/>
        <v>30.001795198026347</v>
      </c>
      <c r="AA291" s="388">
        <f t="shared" si="115"/>
        <v>36.074610966557437</v>
      </c>
      <c r="AB291" s="199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0.1683404368285725</v>
      </c>
      <c r="AD291" s="233">
        <f>(INDEX(Models!$BJ291:$BT291,,AH291)*(1-AF291)+INDEX(Models!$BJ291:$BT291,,AH291+1)*AF291-ERP_i)*AE291*Ramure*Pc/MaxiM</f>
        <v>4.4537127389453528E-2</v>
      </c>
      <c r="AE291" s="307">
        <f t="shared" si="117"/>
        <v>0.9</v>
      </c>
      <c r="AF291" s="179">
        <f t="shared" si="118"/>
        <v>0.49476679341382335</v>
      </c>
      <c r="AG291" s="839">
        <f t="shared" si="124"/>
        <v>2</v>
      </c>
      <c r="AH291" s="178">
        <f t="shared" si="119"/>
        <v>8</v>
      </c>
      <c r="AI291" s="227">
        <f t="shared" si="120"/>
        <v>2.4947667934138233</v>
      </c>
      <c r="AJ291" s="267" t="b">
        <f t="shared" si="121"/>
        <v>0</v>
      </c>
      <c r="AK291" s="267" t="b">
        <f t="shared" si="122"/>
        <v>0</v>
      </c>
      <c r="AL291" s="267"/>
      <c r="AM291" s="267"/>
      <c r="AN291" s="75"/>
    </row>
    <row r="292" spans="1:40" s="6" customFormat="1" ht="11.25" x14ac:dyDescent="0.2">
      <c r="A292" s="56">
        <f t="shared" si="123"/>
        <v>45935</v>
      </c>
      <c r="B292" s="413">
        <f>'2024'!Wh/'2024'!Env_an*'2025'!Env_an</f>
        <v>31.723303579368636</v>
      </c>
      <c r="C292" s="868"/>
      <c r="D292" s="395">
        <f t="shared" si="102"/>
        <v>33.719288072244552</v>
      </c>
      <c r="E292" s="387">
        <f t="shared" si="100"/>
        <v>38.075436737554689</v>
      </c>
      <c r="F292" s="387">
        <f t="shared" si="103"/>
        <v>38.133553863021788</v>
      </c>
      <c r="G292" s="110">
        <f t="shared" si="101"/>
        <v>1.0169866760164805</v>
      </c>
      <c r="H292" s="416" t="b">
        <f>Wh_hp&gt;='2024'!Maxi_hp</f>
        <v>1</v>
      </c>
      <c r="I292" s="392">
        <f>IF(H292,Wh_hp,'2024'!Maxi_hp)</f>
        <v>38.133553863021788</v>
      </c>
      <c r="J292" s="85">
        <f>IF(H292,An,'2024'!An_max)</f>
        <v>2025</v>
      </c>
      <c r="K292" s="199">
        <f t="shared" si="104"/>
        <v>45935</v>
      </c>
      <c r="L292" s="147">
        <f>IF(t&lt;Tvie,1-EXP((T0-t)*PertePVj)+'2024'!Pspv,1-EXP((T0-t)*PertePVj)+Pspv)</f>
        <v>5.9194146940453329E-2</v>
      </c>
      <c r="M292" s="872"/>
      <c r="N292" s="872"/>
      <c r="O292" s="48">
        <f>IF(t&lt;Tnet,'2024'!Resal+('2024'!Salim-'2024'!Resal)*(1-EXP(('2024'!Tnet-t)/('2024'!Tau_j))),Resal+(Salim-Resal)*(1-EXP((Tnet-t)/(Tau_j))))*Salcycl</f>
        <v>0.11440837029227208</v>
      </c>
      <c r="P292" s="171">
        <f>(INDEX(Models!$BJ292:$BT292,,T292)*(1-R292)+INDEX(Models!$BJ292:$BT292,,T292+1)*R292-ERP_i)*Q292*Ramure*Pc/MaxiM</f>
        <v>1.5240416793006145E-3</v>
      </c>
      <c r="Q292" s="307">
        <f t="shared" si="105"/>
        <v>0.9</v>
      </c>
      <c r="R292" s="179">
        <f t="shared" si="106"/>
        <v>0.85934730159641859</v>
      </c>
      <c r="S292" s="839">
        <f t="shared" si="107"/>
        <v>-3</v>
      </c>
      <c r="T292" s="178">
        <f t="shared" si="108"/>
        <v>3</v>
      </c>
      <c r="U292" s="253">
        <f t="shared" si="109"/>
        <v>-2.1406526984035814</v>
      </c>
      <c r="V292" s="385">
        <f t="shared" si="110"/>
        <v>31.193430875248307</v>
      </c>
      <c r="W292" s="404">
        <f t="shared" si="111"/>
        <v>31.723303579368636</v>
      </c>
      <c r="X292" s="157">
        <f t="shared" si="112"/>
        <v>45935</v>
      </c>
      <c r="Y292" s="387">
        <f t="shared" si="113"/>
        <v>28.453704572962966</v>
      </c>
      <c r="Z292" s="387">
        <f t="shared" si="114"/>
        <v>30.243970613522574</v>
      </c>
      <c r="AA292" s="388">
        <f t="shared" si="115"/>
        <v>36.364600236234175</v>
      </c>
      <c r="AB292" s="199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0.16831285324052375</v>
      </c>
      <c r="AD292" s="233">
        <f>(INDEX(Models!$BJ292:$BT292,,AH292)*(1-AF292)+INDEX(Models!$BJ292:$BT292,,AH292+1)*AF292-ERP_i)*AE292*Ramure*Pc/MaxiM</f>
        <v>4.6388375789516129E-2</v>
      </c>
      <c r="AE292" s="307">
        <f t="shared" si="117"/>
        <v>0.9</v>
      </c>
      <c r="AF292" s="179">
        <f t="shared" si="118"/>
        <v>0.49500295390339755</v>
      </c>
      <c r="AG292" s="839">
        <f t="shared" si="124"/>
        <v>2</v>
      </c>
      <c r="AH292" s="178">
        <f t="shared" si="119"/>
        <v>8</v>
      </c>
      <c r="AI292" s="227">
        <f t="shared" si="120"/>
        <v>2.4950029539033975</v>
      </c>
      <c r="AJ292" s="267" t="b">
        <f t="shared" si="121"/>
        <v>0</v>
      </c>
      <c r="AK292" s="267" t="b">
        <f t="shared" si="122"/>
        <v>0</v>
      </c>
      <c r="AL292" s="267"/>
      <c r="AM292" s="267"/>
      <c r="AN292" s="75"/>
    </row>
    <row r="293" spans="1:40" s="6" customFormat="1" ht="11.25" x14ac:dyDescent="0.2">
      <c r="A293" s="56">
        <f t="shared" si="123"/>
        <v>45936</v>
      </c>
      <c r="B293" s="413">
        <f>'2024'!Wh/'2024'!Env_an*'2025'!Env_an</f>
        <v>13.636421961968423</v>
      </c>
      <c r="C293" s="868"/>
      <c r="D293" s="395">
        <f t="shared" si="102"/>
        <v>14.494743271916082</v>
      </c>
      <c r="E293" s="387">
        <f t="shared" si="100"/>
        <v>16.368414810692517</v>
      </c>
      <c r="F293" s="387">
        <f t="shared" si="103"/>
        <v>16.373495745984606</v>
      </c>
      <c r="G293" s="110">
        <f t="shared" si="101"/>
        <v>0.44208476458406393</v>
      </c>
      <c r="H293" s="416" t="b">
        <f>Wh_hp&gt;='2024'!Maxi_hp</f>
        <v>0</v>
      </c>
      <c r="I293" s="392">
        <f>IF(H293,Wh_hp,'2024'!Maxi_hp)</f>
        <v>33.977858149363783</v>
      </c>
      <c r="J293" s="85">
        <f>IF(H293,An,'2024'!An_max)</f>
        <v>2018</v>
      </c>
      <c r="K293" s="199">
        <f t="shared" si="104"/>
        <v>45936</v>
      </c>
      <c r="L293" s="147">
        <f>IF(t&lt;Tvie,1-EXP((T0-t)*PertePVj)+'2024'!Pspv,1-EXP((T0-t)*PertePVj)+Pspv)</f>
        <v>5.9216040867082986E-2</v>
      </c>
      <c r="M293" s="872"/>
      <c r="N293" s="872"/>
      <c r="O293" s="48">
        <f>IF(t&lt;Tnet,'2024'!Resal+('2024'!Salim-'2024'!Resal)*(1-EXP(('2024'!Tnet-t)/('2024'!Tau_j))),Resal+(Salim-Resal)*(1-EXP((Tnet-t)/(Tau_j))))*Salcycl</f>
        <v>0.11446872286939322</v>
      </c>
      <c r="P293" s="171">
        <f>(INDEX(Models!$BJ293:$BT293,,T293)*(1-R293)+INDEX(Models!$BJ293:$BT293,,T293+1)*R293-ERP_i)*Q293*Ramure*Pc/MaxiM</f>
        <v>1.5230516743436695E-3</v>
      </c>
      <c r="Q293" s="307">
        <f t="shared" si="105"/>
        <v>0.9</v>
      </c>
      <c r="R293" s="179">
        <f t="shared" si="106"/>
        <v>0.85957410449587357</v>
      </c>
      <c r="S293" s="839">
        <f t="shared" si="107"/>
        <v>-3</v>
      </c>
      <c r="T293" s="178">
        <f t="shared" si="108"/>
        <v>3</v>
      </c>
      <c r="U293" s="253">
        <f t="shared" si="109"/>
        <v>-2.1404258955041264</v>
      </c>
      <c r="V293" s="385">
        <f t="shared" si="110"/>
        <v>30.808298601612538</v>
      </c>
      <c r="W293" s="404">
        <f t="shared" si="111"/>
        <v>13.636421961968423</v>
      </c>
      <c r="X293" s="157">
        <f t="shared" si="112"/>
        <v>45936</v>
      </c>
      <c r="Y293" s="387">
        <f t="shared" si="113"/>
        <v>12.685720462281624</v>
      </c>
      <c r="Z293" s="387">
        <f t="shared" si="114"/>
        <v>13.484201488696243</v>
      </c>
      <c r="AA293" s="388">
        <f t="shared" si="115"/>
        <v>16.212465388124848</v>
      </c>
      <c r="AB293" s="199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0.16828186423928945</v>
      </c>
      <c r="AD293" s="233">
        <f>(INDEX(Models!$BJ293:$BT293,,AH293)*(1-AF293)+INDEX(Models!$BJ293:$BT293,,AH293+1)*AF293-ERP_i)*AE293*Ramure*Pc/MaxiM</f>
        <v>4.8270159342594911E-2</v>
      </c>
      <c r="AE293" s="307">
        <f t="shared" si="117"/>
        <v>0.9</v>
      </c>
      <c r="AF293" s="179">
        <f t="shared" si="118"/>
        <v>0.49522975680285253</v>
      </c>
      <c r="AG293" s="839">
        <f t="shared" si="124"/>
        <v>2</v>
      </c>
      <c r="AH293" s="178">
        <f t="shared" si="119"/>
        <v>8</v>
      </c>
      <c r="AI293" s="227">
        <f t="shared" si="120"/>
        <v>2.4952297568028525</v>
      </c>
      <c r="AJ293" s="267" t="b">
        <f t="shared" si="121"/>
        <v>0</v>
      </c>
      <c r="AK293" s="267" t="b">
        <f t="shared" si="122"/>
        <v>0</v>
      </c>
      <c r="AL293" s="267"/>
      <c r="AM293" s="267"/>
      <c r="AN293" s="75"/>
    </row>
    <row r="294" spans="1:40" s="6" customFormat="1" ht="11.25" x14ac:dyDescent="0.2">
      <c r="A294" s="56">
        <f t="shared" si="123"/>
        <v>45937</v>
      </c>
      <c r="B294" s="413">
        <f>'2024'!Wh/'2024'!Env_an*'2025'!Env_an</f>
        <v>23.425123373287803</v>
      </c>
      <c r="C294" s="868"/>
      <c r="D294" s="395">
        <f t="shared" si="102"/>
        <v>24.900157252263877</v>
      </c>
      <c r="E294" s="387">
        <f t="shared" si="100"/>
        <v>28.120727262361072</v>
      </c>
      <c r="F294" s="387">
        <f t="shared" si="103"/>
        <v>28.149469218090335</v>
      </c>
      <c r="G294" s="110">
        <f t="shared" si="101"/>
        <v>0.76956755869515525</v>
      </c>
      <c r="H294" s="416" t="b">
        <f>Wh_hp&gt;='2024'!Maxi_hp</f>
        <v>0</v>
      </c>
      <c r="I294" s="392">
        <f>IF(H294,Wh_hp,'2024'!Maxi_hp)</f>
        <v>36.648914494338172</v>
      </c>
      <c r="J294" s="85">
        <f>IF(H294,An,'2024'!An_max)</f>
        <v>2021</v>
      </c>
      <c r="K294" s="199">
        <f t="shared" si="104"/>
        <v>45937</v>
      </c>
      <c r="L294" s="147">
        <f>IF(t&lt;Tvie,1-EXP((T0-t)*PertePVj)+'2024'!Pspv,1-EXP((T0-t)*PertePVj)+Pspv)</f>
        <v>5.9237934284208871E-2</v>
      </c>
      <c r="M294" s="872"/>
      <c r="N294" s="872"/>
      <c r="O294" s="48">
        <f>IF(t&lt;Tnet,'2024'!Resal+('2024'!Salim-'2024'!Resal)*(1-EXP(('2024'!Tnet-t)/('2024'!Tau_j))),Resal+(Salim-Resal)*(1-EXP((Tnet-t)/(Tau_j))))*Salcycl</f>
        <v>0.11452655473842779</v>
      </c>
      <c r="P294" s="171">
        <f>(INDEX(Models!$BJ294:$BT294,,T294)*(1-R294)+INDEX(Models!$BJ294:$BT294,,T294+1)*R294-ERP_i)*Q294*Ramure*Pc/MaxiM</f>
        <v>1.5208623811619345E-3</v>
      </c>
      <c r="Q294" s="307">
        <f t="shared" si="105"/>
        <v>0.9</v>
      </c>
      <c r="R294" s="179">
        <f t="shared" si="106"/>
        <v>0.85979191479700523</v>
      </c>
      <c r="S294" s="839">
        <f t="shared" si="107"/>
        <v>-3</v>
      </c>
      <c r="T294" s="178">
        <f t="shared" si="108"/>
        <v>3</v>
      </c>
      <c r="U294" s="253">
        <f t="shared" si="109"/>
        <v>-2.1402080852029948</v>
      </c>
      <c r="V294" s="385">
        <f t="shared" si="110"/>
        <v>30.424103674080413</v>
      </c>
      <c r="W294" s="404">
        <f t="shared" si="111"/>
        <v>23.425123373287803</v>
      </c>
      <c r="X294" s="157">
        <f t="shared" si="112"/>
        <v>45937</v>
      </c>
      <c r="Y294" s="387">
        <f t="shared" si="113"/>
        <v>21.28435519915287</v>
      </c>
      <c r="Z294" s="387">
        <f t="shared" si="114"/>
        <v>22.624589122817564</v>
      </c>
      <c r="AA294" s="388">
        <f t="shared" si="115"/>
        <v>27.201105696150069</v>
      </c>
      <c r="AB294" s="199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0.16824744642568867</v>
      </c>
      <c r="AD294" s="233">
        <f>(INDEX(Models!$BJ294:$BT294,,AH294)*(1-AF294)+INDEX(Models!$BJ294:$BT294,,AH294+1)*AF294-ERP_i)*AE294*Ramure*Pc/MaxiM</f>
        <v>5.0182055033809132E-2</v>
      </c>
      <c r="AE294" s="307">
        <f t="shared" si="117"/>
        <v>0.9</v>
      </c>
      <c r="AF294" s="179">
        <f t="shared" si="118"/>
        <v>0.49544756710398419</v>
      </c>
      <c r="AG294" s="839">
        <f t="shared" si="124"/>
        <v>2</v>
      </c>
      <c r="AH294" s="178">
        <f t="shared" si="119"/>
        <v>8</v>
      </c>
      <c r="AI294" s="227">
        <f t="shared" si="120"/>
        <v>2.4954475671039842</v>
      </c>
      <c r="AJ294" s="267" t="b">
        <f t="shared" si="121"/>
        <v>0</v>
      </c>
      <c r="AK294" s="267" t="b">
        <f t="shared" si="122"/>
        <v>0</v>
      </c>
      <c r="AL294" s="267"/>
      <c r="AM294" s="267"/>
      <c r="AN294" s="75"/>
    </row>
    <row r="295" spans="1:40" s="6" customFormat="1" ht="11.25" x14ac:dyDescent="0.2">
      <c r="A295" s="56">
        <f t="shared" si="123"/>
        <v>45938</v>
      </c>
      <c r="B295" s="413">
        <f>'2024'!Wh/'2024'!Env_an*'2025'!Env_an</f>
        <v>14.352593241683989</v>
      </c>
      <c r="C295" s="868"/>
      <c r="D295" s="395">
        <f t="shared" si="102"/>
        <v>15.256702813956347</v>
      </c>
      <c r="E295" s="387">
        <f t="shared" si="100"/>
        <v>17.231070809601004</v>
      </c>
      <c r="F295" s="387">
        <f t="shared" si="103"/>
        <v>17.237712765547478</v>
      </c>
      <c r="G295" s="110">
        <f t="shared" si="101"/>
        <v>0.47721343365779578</v>
      </c>
      <c r="H295" s="416" t="b">
        <f>Wh_hp&gt;='2024'!Maxi_hp</f>
        <v>0</v>
      </c>
      <c r="I295" s="392">
        <f>IF(H295,Wh_hp,'2024'!Maxi_hp)</f>
        <v>35.752420228658309</v>
      </c>
      <c r="J295" s="85">
        <f>IF(H295,An,'2024'!An_max)</f>
        <v>2021</v>
      </c>
      <c r="K295" s="199">
        <f t="shared" si="104"/>
        <v>45938</v>
      </c>
      <c r="L295" s="147">
        <f>IF(t&lt;Tvie,1-EXP((T0-t)*PertePVj)+'2024'!Pspv,1-EXP((T0-t)*PertePVj)+Pspv)</f>
        <v>5.9259827191842973E-2</v>
      </c>
      <c r="M295" s="872"/>
      <c r="N295" s="872"/>
      <c r="O295" s="48">
        <f>IF(t&lt;Tnet,'2024'!Resal+('2024'!Salim-'2024'!Resal)*(1-EXP(('2024'!Tnet-t)/('2024'!Tau_j))),Resal+(Salim-Resal)*(1-EXP((Tnet-t)/(Tau_j))))*Salcycl</f>
        <v>0.11458185143923592</v>
      </c>
      <c r="P295" s="171">
        <f>(INDEX(Models!$BJ295:$BT295,,T295)*(1-R295)+INDEX(Models!$BJ295:$BT295,,T295+1)*R295-ERP_i)*Q295*Ramure*Pc/MaxiM</f>
        <v>1.5173780975439677E-3</v>
      </c>
      <c r="Q295" s="307">
        <f t="shared" si="105"/>
        <v>0.9</v>
      </c>
      <c r="R295" s="179">
        <f t="shared" si="106"/>
        <v>0.86000108370921113</v>
      </c>
      <c r="S295" s="839">
        <f t="shared" si="107"/>
        <v>-3</v>
      </c>
      <c r="T295" s="178">
        <f t="shared" si="108"/>
        <v>3</v>
      </c>
      <c r="U295" s="253">
        <f t="shared" si="109"/>
        <v>-2.1399989162907889</v>
      </c>
      <c r="V295" s="385">
        <f t="shared" si="110"/>
        <v>30.041775716877453</v>
      </c>
      <c r="W295" s="404">
        <f t="shared" si="111"/>
        <v>14.352593241683989</v>
      </c>
      <c r="X295" s="157">
        <f t="shared" si="112"/>
        <v>45938</v>
      </c>
      <c r="Y295" s="387">
        <f t="shared" si="113"/>
        <v>13.30995419937345</v>
      </c>
      <c r="Z295" s="387">
        <f t="shared" si="114"/>
        <v>14.148385052636334</v>
      </c>
      <c r="AA295" s="388">
        <f t="shared" si="115"/>
        <v>17.009555291464395</v>
      </c>
      <c r="AB295" s="199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0.1682095851302963</v>
      </c>
      <c r="AD295" s="233">
        <f>(INDEX(Models!$BJ295:$BT295,,AH295)*(1-AF295)+INDEX(Models!$BJ295:$BT295,,AH295+1)*AF295-ERP_i)*AE295*Ramure*Pc/MaxiM</f>
        <v>5.2123374011295444E-2</v>
      </c>
      <c r="AE295" s="307">
        <f t="shared" si="117"/>
        <v>0.9</v>
      </c>
      <c r="AF295" s="179">
        <f t="shared" si="118"/>
        <v>0.49565673601619009</v>
      </c>
      <c r="AG295" s="839">
        <f t="shared" si="124"/>
        <v>2</v>
      </c>
      <c r="AH295" s="178">
        <f t="shared" si="119"/>
        <v>8</v>
      </c>
      <c r="AI295" s="227">
        <f t="shared" si="120"/>
        <v>2.4956567360161901</v>
      </c>
      <c r="AJ295" s="267" t="b">
        <f t="shared" si="121"/>
        <v>0</v>
      </c>
      <c r="AK295" s="267" t="b">
        <f t="shared" si="122"/>
        <v>0</v>
      </c>
      <c r="AL295" s="267"/>
      <c r="AM295" s="267"/>
      <c r="AN295" s="75"/>
    </row>
    <row r="296" spans="1:40" s="6" customFormat="1" ht="11.25" x14ac:dyDescent="0.2">
      <c r="A296" s="56">
        <f t="shared" si="123"/>
        <v>45939</v>
      </c>
      <c r="B296" s="413">
        <f>'2024'!Wh/'2024'!Env_an*'2025'!Env_an</f>
        <v>29.005827722049528</v>
      </c>
      <c r="C296" s="868"/>
      <c r="D296" s="395">
        <f t="shared" si="102"/>
        <v>30.833702635615438</v>
      </c>
      <c r="E296" s="387">
        <f t="shared" si="100"/>
        <v>34.82596316044733</v>
      </c>
      <c r="F296" s="387">
        <f t="shared" si="103"/>
        <v>34.877052862366412</v>
      </c>
      <c r="G296" s="110">
        <f t="shared" si="101"/>
        <v>0.97782365399603544</v>
      </c>
      <c r="H296" s="416" t="b">
        <f>Wh_hp&gt;='2024'!Maxi_hp</f>
        <v>1</v>
      </c>
      <c r="I296" s="392">
        <f>IF(H296,Wh_hp,'2024'!Maxi_hp)</f>
        <v>34.877052862366412</v>
      </c>
      <c r="J296" s="85">
        <f>IF(H296,An,'2024'!An_max)</f>
        <v>2025</v>
      </c>
      <c r="K296" s="199">
        <f t="shared" si="104"/>
        <v>45939</v>
      </c>
      <c r="L296" s="147">
        <f>IF(t&lt;Tvie,1-EXP((T0-t)*PertePVj)+'2024'!Pspv,1-EXP((T0-t)*PertePVj)+Pspv)</f>
        <v>5.9281719589997173E-2</v>
      </c>
      <c r="M296" s="872"/>
      <c r="N296" s="872"/>
      <c r="O296" s="48">
        <f>IF(t&lt;Tnet,'2024'!Resal+('2024'!Salim-'2024'!Resal)*(1-EXP(('2024'!Tnet-t)/('2024'!Tau_j))),Resal+(Salim-Resal)*(1-EXP((Tnet-t)/(Tau_j))))*Salcycl</f>
        <v>0.114634604833155</v>
      </c>
      <c r="P296" s="171">
        <f>(INDEX(Models!$BJ296:$BT296,,T296)*(1-R296)+INDEX(Models!$BJ296:$BT296,,T296+1)*R296-ERP_i)*Q296*Ramure*Pc/MaxiM</f>
        <v>1.5126724742088415E-3</v>
      </c>
      <c r="Q296" s="307">
        <f t="shared" si="105"/>
        <v>0.9</v>
      </c>
      <c r="R296" s="179">
        <f t="shared" si="106"/>
        <v>0.86020194914413839</v>
      </c>
      <c r="S296" s="839">
        <f t="shared" si="107"/>
        <v>-3</v>
      </c>
      <c r="T296" s="178">
        <f t="shared" si="108"/>
        <v>3</v>
      </c>
      <c r="U296" s="253">
        <f t="shared" si="109"/>
        <v>-2.1397980508558616</v>
      </c>
      <c r="V296" s="385">
        <f t="shared" si="110"/>
        <v>29.662238667119549</v>
      </c>
      <c r="W296" s="404">
        <f t="shared" si="111"/>
        <v>29.005827722049528</v>
      </c>
      <c r="X296" s="157">
        <f t="shared" si="112"/>
        <v>45939</v>
      </c>
      <c r="Y296" s="387">
        <f t="shared" si="113"/>
        <v>25.862408583038189</v>
      </c>
      <c r="Z296" s="387">
        <f t="shared" si="114"/>
        <v>27.492193063120141</v>
      </c>
      <c r="AA296" s="388">
        <f t="shared" si="115"/>
        <v>33.050185795969895</v>
      </c>
      <c r="AB296" s="199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0.16816827497313158</v>
      </c>
      <c r="AD296" s="233">
        <f>(INDEX(Models!$BJ296:$BT296,,AH296)*(1-AF296)+INDEX(Models!$BJ296:$BT296,,AH296+1)*AF296-ERP_i)*AE296*Ramure*Pc/MaxiM</f>
        <v>5.4090186898205758E-2</v>
      </c>
      <c r="AE296" s="307">
        <f t="shared" si="117"/>
        <v>0.9</v>
      </c>
      <c r="AF296" s="179">
        <f t="shared" si="118"/>
        <v>0.49585760145111735</v>
      </c>
      <c r="AG296" s="839">
        <f t="shared" si="124"/>
        <v>2</v>
      </c>
      <c r="AH296" s="178">
        <f t="shared" si="119"/>
        <v>8</v>
      </c>
      <c r="AI296" s="227">
        <f t="shared" si="120"/>
        <v>2.4958576014511173</v>
      </c>
      <c r="AJ296" s="267" t="b">
        <f t="shared" si="121"/>
        <v>0</v>
      </c>
      <c r="AK296" s="267" t="b">
        <f t="shared" si="122"/>
        <v>0</v>
      </c>
      <c r="AL296" s="267"/>
      <c r="AM296" s="267"/>
      <c r="AN296" s="75"/>
    </row>
    <row r="297" spans="1:40" s="6" customFormat="1" ht="11.25" x14ac:dyDescent="0.2">
      <c r="A297" s="56">
        <f t="shared" si="123"/>
        <v>45940</v>
      </c>
      <c r="B297" s="413">
        <f>'2024'!Wh/'2024'!Env_an*'2025'!Env_an</f>
        <v>24.78826698684988</v>
      </c>
      <c r="C297" s="868"/>
      <c r="D297" s="395">
        <f t="shared" si="102"/>
        <v>26.350974968464186</v>
      </c>
      <c r="E297" s="387">
        <f t="shared" ref="E297:E360" si="125">Wh_pvt/(1-Psa)</f>
        <v>29.764512537214998</v>
      </c>
      <c r="F297" s="387">
        <f t="shared" si="103"/>
        <v>29.799578792534557</v>
      </c>
      <c r="G297" s="110">
        <f t="shared" ref="G297:G360" si="126">+Wh_hp/MaxiM</f>
        <v>0.84612863118896875</v>
      </c>
      <c r="H297" s="416" t="b">
        <f>Wh_hp&gt;='2024'!Maxi_hp</f>
        <v>1</v>
      </c>
      <c r="I297" s="392">
        <f>IF(H297,Wh_hp,'2024'!Maxi_hp)</f>
        <v>29.799578792534557</v>
      </c>
      <c r="J297" s="85">
        <f>IF(H297,An,'2024'!An_max)</f>
        <v>2025</v>
      </c>
      <c r="K297" s="199">
        <f t="shared" si="104"/>
        <v>45940</v>
      </c>
      <c r="L297" s="147">
        <f>IF(t&lt;Tvie,1-EXP((T0-t)*PertePVj)+'2024'!Pspv,1-EXP((T0-t)*PertePVj)+Pspv)</f>
        <v>5.9303611478683238E-2</v>
      </c>
      <c r="M297" s="872"/>
      <c r="N297" s="872"/>
      <c r="O297" s="48">
        <f>IF(t&lt;Tnet,'2024'!Resal+('2024'!Salim-'2024'!Resal)*(1-EXP(('2024'!Tnet-t)/('2024'!Tau_j))),Resal+(Salim-Resal)*(1-EXP((Tnet-t)/(Tau_j))))*Salcycl</f>
        <v>0.11468481348326526</v>
      </c>
      <c r="P297" s="171">
        <f>(INDEX(Models!$BJ297:$BT297,,T297)*(1-R297)+INDEX(Models!$BJ297:$BT297,,T297+1)*R297-ERP_i)*Q297*Ramure*Pc/MaxiM</f>
        <v>1.5075076261437481E-3</v>
      </c>
      <c r="Q297" s="307">
        <f t="shared" si="105"/>
        <v>0.9</v>
      </c>
      <c r="R297" s="179">
        <f t="shared" si="106"/>
        <v>0.86039483618616597</v>
      </c>
      <c r="S297" s="839">
        <f t="shared" si="107"/>
        <v>-3</v>
      </c>
      <c r="T297" s="178">
        <f t="shared" si="108"/>
        <v>3</v>
      </c>
      <c r="U297" s="253">
        <f t="shared" si="109"/>
        <v>-2.139605163813834</v>
      </c>
      <c r="V297" s="385">
        <f t="shared" si="110"/>
        <v>29.28639591364453</v>
      </c>
      <c r="W297" s="404">
        <f t="shared" si="111"/>
        <v>24.78826698684988</v>
      </c>
      <c r="X297" s="157">
        <f t="shared" si="112"/>
        <v>45940</v>
      </c>
      <c r="Y297" s="387">
        <f t="shared" si="113"/>
        <v>22.29860737145594</v>
      </c>
      <c r="Z297" s="387">
        <f t="shared" si="114"/>
        <v>23.704361623527845</v>
      </c>
      <c r="AA297" s="388">
        <f t="shared" si="115"/>
        <v>28.495049691263574</v>
      </c>
      <c r="AB297" s="199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0.16812352038833353</v>
      </c>
      <c r="AD297" s="233">
        <f>(INDEX(Models!$BJ297:$BT297,,AH297)*(1-AF297)+INDEX(Models!$BJ297:$BT297,,AH297+1)*AF297-ERP_i)*AE297*Ramure*Pc/MaxiM</f>
        <v>5.608205241110107E-2</v>
      </c>
      <c r="AE297" s="307">
        <f t="shared" si="117"/>
        <v>0.9</v>
      </c>
      <c r="AF297" s="179">
        <f t="shared" si="118"/>
        <v>0.49605048849314493</v>
      </c>
      <c r="AG297" s="839">
        <f t="shared" si="124"/>
        <v>2</v>
      </c>
      <c r="AH297" s="178">
        <f t="shared" si="119"/>
        <v>8</v>
      </c>
      <c r="AI297" s="227">
        <f t="shared" si="120"/>
        <v>2.4960504884931449</v>
      </c>
      <c r="AJ297" s="267" t="b">
        <f t="shared" si="121"/>
        <v>0</v>
      </c>
      <c r="AK297" s="267" t="b">
        <f t="shared" si="122"/>
        <v>0</v>
      </c>
      <c r="AL297" s="267"/>
      <c r="AM297" s="267"/>
      <c r="AN297" s="75"/>
    </row>
    <row r="298" spans="1:40" s="6" customFormat="1" ht="11.25" x14ac:dyDescent="0.2">
      <c r="A298" s="56">
        <f t="shared" si="123"/>
        <v>45941</v>
      </c>
      <c r="B298" s="413">
        <f>'2024'!Wh/'2024'!Env_an*'2025'!Env_an</f>
        <v>21.440988560350551</v>
      </c>
      <c r="C298" s="868"/>
      <c r="D298" s="395">
        <f t="shared" si="102"/>
        <v>22.793207029096205</v>
      </c>
      <c r="E298" s="387">
        <f t="shared" si="125"/>
        <v>25.747253334846878</v>
      </c>
      <c r="F298" s="387">
        <f t="shared" si="103"/>
        <v>25.771665473362578</v>
      </c>
      <c r="G298" s="110">
        <f t="shared" si="126"/>
        <v>0.74110173486223174</v>
      </c>
      <c r="H298" s="416" t="b">
        <f>Wh_hp&gt;='2024'!Maxi_hp</f>
        <v>0</v>
      </c>
      <c r="I298" s="392">
        <f>IF(H298,Wh_hp,'2024'!Maxi_hp)</f>
        <v>35.147507739823403</v>
      </c>
      <c r="J298" s="85">
        <f>IF(H298,An,'2024'!An_max)</f>
        <v>2019</v>
      </c>
      <c r="K298" s="199">
        <f t="shared" si="104"/>
        <v>45941</v>
      </c>
      <c r="L298" s="147">
        <f>IF(t&lt;Tvie,1-EXP((T0-t)*PertePVj)+'2024'!Pspv,1-EXP((T0-t)*PertePVj)+Pspv)</f>
        <v>5.9325502857913159E-2</v>
      </c>
      <c r="M298" s="872"/>
      <c r="N298" s="872"/>
      <c r="O298" s="48">
        <f>IF(t&lt;Tnet,'2024'!Resal+('2024'!Salim-'2024'!Resal)*(1-EXP(('2024'!Tnet-t)/('2024'!Tau_j))),Resal+(Salim-Resal)*(1-EXP((Tnet-t)/(Tau_j))))*Salcycl</f>
        <v>0.11473248300829844</v>
      </c>
      <c r="P298" s="171">
        <f>(INDEX(Models!$BJ298:$BT298,,T298)*(1-R298)+INDEX(Models!$BJ298:$BT298,,T298+1)*R298-ERP_i)*Q298*Ramure*Pc/MaxiM</f>
        <v>1.5018188229628325E-3</v>
      </c>
      <c r="Q298" s="307">
        <f t="shared" si="105"/>
        <v>0.9</v>
      </c>
      <c r="R298" s="179">
        <f t="shared" si="106"/>
        <v>0.86058005754887912</v>
      </c>
      <c r="S298" s="839">
        <f t="shared" si="107"/>
        <v>-3</v>
      </c>
      <c r="T298" s="178">
        <f t="shared" si="108"/>
        <v>3</v>
      </c>
      <c r="U298" s="253">
        <f t="shared" si="109"/>
        <v>-2.1394199424511209</v>
      </c>
      <c r="V298" s="385">
        <f t="shared" si="110"/>
        <v>28.915175494753246</v>
      </c>
      <c r="W298" s="404">
        <f t="shared" si="111"/>
        <v>21.440988560350551</v>
      </c>
      <c r="X298" s="157">
        <f t="shared" si="112"/>
        <v>45941</v>
      </c>
      <c r="Y298" s="387">
        <f t="shared" si="113"/>
        <v>19.429101457338895</v>
      </c>
      <c r="Z298" s="387">
        <f t="shared" si="114"/>
        <v>20.654436275637831</v>
      </c>
      <c r="AA298" s="388">
        <f t="shared" si="115"/>
        <v>24.827291667270785</v>
      </c>
      <c r="AB298" s="199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0.16807533610820419</v>
      </c>
      <c r="AD298" s="233">
        <f>(INDEX(Models!$BJ298:$BT298,,AH298)*(1-AF298)+INDEX(Models!$BJ298:$BT298,,AH298+1)*AF298-ERP_i)*AE298*Ramure*Pc/MaxiM</f>
        <v>5.809725997538797E-2</v>
      </c>
      <c r="AE298" s="307">
        <f t="shared" si="117"/>
        <v>0.9</v>
      </c>
      <c r="AF298" s="179">
        <f t="shared" si="118"/>
        <v>0.49623570985585808</v>
      </c>
      <c r="AG298" s="839">
        <f t="shared" si="124"/>
        <v>2</v>
      </c>
      <c r="AH298" s="178">
        <f t="shared" si="119"/>
        <v>8</v>
      </c>
      <c r="AI298" s="227">
        <f t="shared" si="120"/>
        <v>2.4962357098558581</v>
      </c>
      <c r="AJ298" s="267" t="b">
        <f t="shared" si="121"/>
        <v>0</v>
      </c>
      <c r="AK298" s="267" t="b">
        <f t="shared" si="122"/>
        <v>0</v>
      </c>
      <c r="AL298" s="267"/>
      <c r="AM298" s="267"/>
      <c r="AN298" s="75"/>
    </row>
    <row r="299" spans="1:40" s="6" customFormat="1" ht="11.25" x14ac:dyDescent="0.2">
      <c r="A299" s="56">
        <f t="shared" si="123"/>
        <v>45942</v>
      </c>
      <c r="B299" s="413">
        <f>'2024'!Wh/'2024'!Env_an*'2025'!Env_an</f>
        <v>23.143878345504763</v>
      </c>
      <c r="C299" s="868"/>
      <c r="D299" s="395">
        <f t="shared" si="102"/>
        <v>24.604065508542313</v>
      </c>
      <c r="E299" s="387">
        <f t="shared" si="125"/>
        <v>27.794220121955778</v>
      </c>
      <c r="F299" s="387">
        <f t="shared" si="103"/>
        <v>27.824577082800154</v>
      </c>
      <c r="G299" s="110">
        <f t="shared" si="126"/>
        <v>0.8103294889670376</v>
      </c>
      <c r="H299" s="416" t="b">
        <f>Wh_hp&gt;='2024'!Maxi_hp</f>
        <v>0</v>
      </c>
      <c r="I299" s="392">
        <f>IF(H299,Wh_hp,'2024'!Maxi_hp)</f>
        <v>33.883133366229487</v>
      </c>
      <c r="J299" s="85">
        <f>IF(H299,An,'2024'!An_max)</f>
        <v>2021</v>
      </c>
      <c r="K299" s="199">
        <f t="shared" si="104"/>
        <v>45942</v>
      </c>
      <c r="L299" s="147">
        <f>IF(t&lt;Tvie,1-EXP((T0-t)*PertePVj)+'2024'!Pspv,1-EXP((T0-t)*PertePVj)+Pspv)</f>
        <v>5.9347393727698594E-2</v>
      </c>
      <c r="M299" s="872"/>
      <c r="N299" s="872"/>
      <c r="O299" s="48">
        <f>IF(t&lt;Tnet,'2024'!Resal+('2024'!Salim-'2024'!Resal)*(1-EXP(('2024'!Tnet-t)/('2024'!Tau_j))),Resal+(Salim-Resal)*(1-EXP((Tnet-t)/(Tau_j))))*Salcycl</f>
        <v>0.11477762640634169</v>
      </c>
      <c r="P299" s="171">
        <f>(INDEX(Models!$BJ299:$BT299,,T299)*(1-R299)+INDEX(Models!$BJ299:$BT299,,T299+1)*R299-ERP_i)*Q299*Ramure*Pc/MaxiM</f>
        <v>1.495539216269172E-3</v>
      </c>
      <c r="Q299" s="307">
        <f t="shared" si="105"/>
        <v>0.9</v>
      </c>
      <c r="R299" s="179">
        <f t="shared" si="106"/>
        <v>0.86075791401774104</v>
      </c>
      <c r="S299" s="839">
        <f t="shared" si="107"/>
        <v>-3</v>
      </c>
      <c r="T299" s="178">
        <f t="shared" si="108"/>
        <v>3</v>
      </c>
      <c r="U299" s="253">
        <f t="shared" si="109"/>
        <v>-2.139242085982259</v>
      </c>
      <c r="V299" s="385">
        <f t="shared" si="110"/>
        <v>28.54950500673376</v>
      </c>
      <c r="W299" s="404">
        <f t="shared" si="111"/>
        <v>23.143878345504763</v>
      </c>
      <c r="X299" s="157">
        <f t="shared" si="112"/>
        <v>45942</v>
      </c>
      <c r="Y299" s="387">
        <f t="shared" si="113"/>
        <v>20.820277799688782</v>
      </c>
      <c r="Z299" s="387">
        <f t="shared" si="114"/>
        <v>22.13386500059481</v>
      </c>
      <c r="AA299" s="388">
        <f t="shared" si="115"/>
        <v>26.603962477026489</v>
      </c>
      <c r="AB299" s="199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0.16802374760119945</v>
      </c>
      <c r="AD299" s="233">
        <f>(INDEX(Models!$BJ299:$BT299,,AH299)*(1-AF299)+INDEX(Models!$BJ299:$BT299,,AH299+1)*AF299-ERP_i)*AE299*Ramure*Pc/MaxiM</f>
        <v>6.0133720903218661E-2</v>
      </c>
      <c r="AE299" s="307">
        <f t="shared" si="117"/>
        <v>0.9</v>
      </c>
      <c r="AF299" s="179">
        <f t="shared" si="118"/>
        <v>0.49641356632472</v>
      </c>
      <c r="AG299" s="839">
        <f t="shared" si="124"/>
        <v>2</v>
      </c>
      <c r="AH299" s="178">
        <f t="shared" si="119"/>
        <v>8</v>
      </c>
      <c r="AI299" s="227">
        <f t="shared" si="120"/>
        <v>2.49641356632472</v>
      </c>
      <c r="AJ299" s="267" t="b">
        <f t="shared" si="121"/>
        <v>0</v>
      </c>
      <c r="AK299" s="267" t="b">
        <f t="shared" si="122"/>
        <v>0</v>
      </c>
      <c r="AL299" s="267"/>
      <c r="AM299" s="267"/>
      <c r="AN299" s="75"/>
    </row>
    <row r="300" spans="1:40" s="6" customFormat="1" ht="11.25" x14ac:dyDescent="0.2">
      <c r="A300" s="56">
        <f t="shared" si="123"/>
        <v>45943</v>
      </c>
      <c r="B300" s="413">
        <f>'2024'!Wh/'2024'!Env_an*'2025'!Env_an</f>
        <v>19.101880110819739</v>
      </c>
      <c r="C300" s="868"/>
      <c r="D300" s="395">
        <f t="shared" si="102"/>
        <v>20.307523226370858</v>
      </c>
      <c r="E300" s="387">
        <f t="shared" si="125"/>
        <v>22.941694673269794</v>
      </c>
      <c r="F300" s="387">
        <f t="shared" si="103"/>
        <v>22.960131723359865</v>
      </c>
      <c r="G300" s="110">
        <f t="shared" si="126"/>
        <v>0.67713949541674268</v>
      </c>
      <c r="H300" s="416" t="b">
        <f>Wh_hp&gt;='2024'!Maxi_hp</f>
        <v>0</v>
      </c>
      <c r="I300" s="392">
        <f>IF(H300,Wh_hp,'2024'!Maxi_hp)</f>
        <v>32.567800155049106</v>
      </c>
      <c r="J300" s="85">
        <f>IF(H300,An,'2024'!An_max)</f>
        <v>2021</v>
      </c>
      <c r="K300" s="199">
        <f t="shared" si="104"/>
        <v>45943</v>
      </c>
      <c r="L300" s="147">
        <f>IF(t&lt;Tvie,1-EXP((T0-t)*PertePVj)+'2024'!Pspv,1-EXP((T0-t)*PertePVj)+Pspv)</f>
        <v>5.9369284088051644E-2</v>
      </c>
      <c r="M300" s="872"/>
      <c r="N300" s="872"/>
      <c r="O300" s="48">
        <f>IF(t&lt;Tnet,'2024'!Resal+('2024'!Salim-'2024'!Resal)*(1-EXP(('2024'!Tnet-t)/('2024'!Tau_j))),Resal+(Salim-Resal)*(1-EXP((Tnet-t)/(Tau_j))))*Salcycl</f>
        <v>0.11482026434464344</v>
      </c>
      <c r="P300" s="171">
        <f>(INDEX(Models!$BJ300:$BT300,,T300)*(1-R300)+INDEX(Models!$BJ300:$BT300,,T300+1)*R300-ERP_i)*Q300*Ramure*Pc/MaxiM</f>
        <v>1.4886000070891672E-3</v>
      </c>
      <c r="Q300" s="307">
        <f t="shared" si="105"/>
        <v>0.9</v>
      </c>
      <c r="R300" s="179">
        <f t="shared" si="106"/>
        <v>0.86092869487917278</v>
      </c>
      <c r="S300" s="839">
        <f t="shared" si="107"/>
        <v>-3</v>
      </c>
      <c r="T300" s="178">
        <f t="shared" si="108"/>
        <v>3</v>
      </c>
      <c r="U300" s="253">
        <f t="shared" si="109"/>
        <v>-2.1390713051208272</v>
      </c>
      <c r="V300" s="385">
        <f t="shared" si="110"/>
        <v>28.19031162656891</v>
      </c>
      <c r="W300" s="404">
        <f t="shared" si="111"/>
        <v>19.101880110819739</v>
      </c>
      <c r="X300" s="157">
        <f t="shared" si="112"/>
        <v>45943</v>
      </c>
      <c r="Y300" s="387">
        <f t="shared" si="113"/>
        <v>17.366565486974896</v>
      </c>
      <c r="Z300" s="387">
        <f t="shared" si="114"/>
        <v>18.46268168070387</v>
      </c>
      <c r="AA300" s="388">
        <f t="shared" si="115"/>
        <v>22.189890825215926</v>
      </c>
      <c r="AB300" s="199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0.16796879145870183</v>
      </c>
      <c r="AD300" s="233">
        <f>(INDEX(Models!$BJ300:$BT300,,AH300)*(1-AF300)+INDEX(Models!$BJ300:$BT300,,AH300+1)*AF300-ERP_i)*AE300*Ramure*Pc/MaxiM</f>
        <v>6.2188940249987321E-2</v>
      </c>
      <c r="AE300" s="307">
        <f t="shared" si="117"/>
        <v>0.9</v>
      </c>
      <c r="AF300" s="179">
        <f t="shared" si="118"/>
        <v>0.49658434718615174</v>
      </c>
      <c r="AG300" s="839">
        <f t="shared" si="124"/>
        <v>2</v>
      </c>
      <c r="AH300" s="178">
        <f t="shared" si="119"/>
        <v>8</v>
      </c>
      <c r="AI300" s="227">
        <f t="shared" si="120"/>
        <v>2.4965843471861517</v>
      </c>
      <c r="AJ300" s="267" t="b">
        <f t="shared" si="121"/>
        <v>0</v>
      </c>
      <c r="AK300" s="267" t="b">
        <f t="shared" si="122"/>
        <v>0</v>
      </c>
      <c r="AL300" s="267"/>
      <c r="AM300" s="267"/>
      <c r="AN300" s="75"/>
    </row>
    <row r="301" spans="1:40" s="6" customFormat="1" ht="11.25" x14ac:dyDescent="0.2">
      <c r="A301" s="56">
        <f t="shared" si="123"/>
        <v>45944</v>
      </c>
      <c r="B301" s="413">
        <f>'2024'!Wh/'2024'!Env_an*'2025'!Env_an</f>
        <v>16.041827406461664</v>
      </c>
      <c r="C301" s="868"/>
      <c r="D301" s="395">
        <f t="shared" si="102"/>
        <v>17.054727706138973</v>
      </c>
      <c r="E301" s="387">
        <f t="shared" si="125"/>
        <v>19.267840005998703</v>
      </c>
      <c r="F301" s="387">
        <f t="shared" si="103"/>
        <v>19.279107285394851</v>
      </c>
      <c r="G301" s="110">
        <f t="shared" si="126"/>
        <v>0.57572874703471433</v>
      </c>
      <c r="H301" s="416" t="b">
        <f>Wh_hp&gt;='2024'!Maxi_hp</f>
        <v>0</v>
      </c>
      <c r="I301" s="392">
        <f>IF(H301,Wh_hp,'2024'!Maxi_hp)</f>
        <v>34.446907354425804</v>
      </c>
      <c r="J301" s="85">
        <f>IF(H301,An,'2024'!An_max)</f>
        <v>2021</v>
      </c>
      <c r="K301" s="199">
        <f t="shared" si="104"/>
        <v>45944</v>
      </c>
      <c r="L301" s="147">
        <f>IF(t&lt;Tvie,1-EXP((T0-t)*PertePVj)+'2024'!Pspv,1-EXP((T0-t)*PertePVj)+Pspv)</f>
        <v>5.9391173938983965E-2</v>
      </c>
      <c r="M301" s="872"/>
      <c r="N301" s="872"/>
      <c r="O301" s="48">
        <f>IF(t&lt;Tnet,'2024'!Resal+('2024'!Salim-'2024'!Resal)*(1-EXP(('2024'!Tnet-t)/('2024'!Tau_j))),Resal+(Salim-Resal)*(1-EXP((Tnet-t)/(Tau_j))))*Salcycl</f>
        <v>0.11486042541201898</v>
      </c>
      <c r="P301" s="171">
        <f>(INDEX(Models!$BJ301:$BT301,,T301)*(1-R301)+INDEX(Models!$BJ301:$BT301,,T301+1)*R301-ERP_i)*Q301*Ramure*Pc/MaxiM</f>
        <v>1.4809306763254565E-3</v>
      </c>
      <c r="Q301" s="307">
        <f t="shared" si="105"/>
        <v>0.9</v>
      </c>
      <c r="R301" s="179">
        <f t="shared" si="106"/>
        <v>0.86109267833626602</v>
      </c>
      <c r="S301" s="839">
        <f t="shared" si="107"/>
        <v>-3</v>
      </c>
      <c r="T301" s="178">
        <f t="shared" si="108"/>
        <v>3</v>
      </c>
      <c r="U301" s="253">
        <f t="shared" si="109"/>
        <v>-2.138907321663734</v>
      </c>
      <c r="V301" s="385">
        <f t="shared" si="110"/>
        <v>27.838522155227089</v>
      </c>
      <c r="W301" s="404">
        <f t="shared" si="111"/>
        <v>16.041827406461664</v>
      </c>
      <c r="X301" s="157">
        <f t="shared" si="112"/>
        <v>45944</v>
      </c>
      <c r="Y301" s="387">
        <f t="shared" si="113"/>
        <v>14.706540576247438</v>
      </c>
      <c r="Z301" s="387">
        <f t="shared" si="114"/>
        <v>15.635129257540525</v>
      </c>
      <c r="AA301" s="388">
        <f t="shared" si="115"/>
        <v>18.790201718721278</v>
      </c>
      <c r="AB301" s="199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0.16791051572571752</v>
      </c>
      <c r="AD301" s="233">
        <f>(INDEX(Models!$BJ301:$BT301,,AH301)*(1-AF301)+INDEX(Models!$BJ301:$BT301,,AH301+1)*AF301-ERP_i)*AE301*Ramure*Pc/MaxiM</f>
        <v>6.4259989129294454E-2</v>
      </c>
      <c r="AE301" s="307">
        <f t="shared" si="117"/>
        <v>0.9</v>
      </c>
      <c r="AF301" s="179">
        <f t="shared" si="118"/>
        <v>0.49674833064324497</v>
      </c>
      <c r="AG301" s="839">
        <f t="shared" si="124"/>
        <v>2</v>
      </c>
      <c r="AH301" s="178">
        <f t="shared" si="119"/>
        <v>8</v>
      </c>
      <c r="AI301" s="227">
        <f t="shared" si="120"/>
        <v>2.496748330643245</v>
      </c>
      <c r="AJ301" s="267" t="b">
        <f t="shared" si="121"/>
        <v>0</v>
      </c>
      <c r="AK301" s="267" t="b">
        <f t="shared" si="122"/>
        <v>0</v>
      </c>
      <c r="AL301" s="267"/>
      <c r="AM301" s="267"/>
      <c r="AN301" s="75"/>
    </row>
    <row r="302" spans="1:40" s="6" customFormat="1" ht="11.25" x14ac:dyDescent="0.2">
      <c r="A302" s="56">
        <f t="shared" si="123"/>
        <v>45945</v>
      </c>
      <c r="B302" s="413">
        <f>'2024'!Wh/'2024'!Env_an*'2025'!Env_an</f>
        <v>27.197946407194031</v>
      </c>
      <c r="C302" s="868"/>
      <c r="D302" s="395">
        <f t="shared" si="102"/>
        <v>28.915930410487046</v>
      </c>
      <c r="E302" s="387">
        <f t="shared" si="125"/>
        <v>32.669607786503562</v>
      </c>
      <c r="F302" s="387">
        <f t="shared" si="103"/>
        <v>32.717038604605101</v>
      </c>
      <c r="G302" s="110">
        <f t="shared" si="126"/>
        <v>0.98917130063401582</v>
      </c>
      <c r="H302" s="416" t="b">
        <f>Wh_hp&gt;='2024'!Maxi_hp</f>
        <v>1</v>
      </c>
      <c r="I302" s="392">
        <f>IF(H302,Wh_hp,'2024'!Maxi_hp)</f>
        <v>32.717038604605101</v>
      </c>
      <c r="J302" s="85">
        <f>IF(H302,An,'2024'!An_max)</f>
        <v>2025</v>
      </c>
      <c r="K302" s="199">
        <f t="shared" si="104"/>
        <v>45945</v>
      </c>
      <c r="L302" s="147">
        <f>IF(t&lt;Tvie,1-EXP((T0-t)*PertePVj)+'2024'!Pspv,1-EXP((T0-t)*PertePVj)+Pspv)</f>
        <v>5.9413063280507439E-2</v>
      </c>
      <c r="M302" s="872"/>
      <c r="N302" s="872"/>
      <c r="O302" s="48">
        <f>IF(t&lt;Tnet,'2024'!Resal+('2024'!Salim-'2024'!Resal)*(1-EXP(('2024'!Tnet-t)/('2024'!Tau_j))),Resal+(Salim-Resal)*(1-EXP((Tnet-t)/(Tau_j))))*Salcycl</f>
        <v>0.11489814633058522</v>
      </c>
      <c r="P302" s="171">
        <f>(INDEX(Models!$BJ302:$BT302,,T302)*(1-R302)+INDEX(Models!$BJ302:$BT302,,T302+1)*R302-ERP_i)*Q302*Ramure*Pc/MaxiM</f>
        <v>1.4724592870506334E-3</v>
      </c>
      <c r="Q302" s="307">
        <f t="shared" si="105"/>
        <v>0.9</v>
      </c>
      <c r="R302" s="179">
        <f t="shared" si="106"/>
        <v>0.86125013191137834</v>
      </c>
      <c r="S302" s="839">
        <f t="shared" si="107"/>
        <v>-3</v>
      </c>
      <c r="T302" s="178">
        <f t="shared" si="108"/>
        <v>3</v>
      </c>
      <c r="U302" s="253">
        <f t="shared" si="109"/>
        <v>-2.1387498680886217</v>
      </c>
      <c r="V302" s="385">
        <f t="shared" si="110"/>
        <v>27.495063046347497</v>
      </c>
      <c r="W302" s="404">
        <f t="shared" si="111"/>
        <v>27.197946407194031</v>
      </c>
      <c r="X302" s="157">
        <f t="shared" si="112"/>
        <v>45945</v>
      </c>
      <c r="Y302" s="387">
        <f t="shared" si="113"/>
        <v>23.93527109520674</v>
      </c>
      <c r="Z302" s="387">
        <f t="shared" si="114"/>
        <v>25.447165127219769</v>
      </c>
      <c r="AA302" s="388">
        <f t="shared" si="115"/>
        <v>30.579984306753538</v>
      </c>
      <c r="AB302" s="199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0.16784898017100019</v>
      </c>
      <c r="AD302" s="233">
        <f>(INDEX(Models!$BJ302:$BT302,,AH302)*(1-AF302)+INDEX(Models!$BJ302:$BT302,,AH302+1)*AF302-ERP_i)*AE302*Ramure*Pc/MaxiM</f>
        <v>6.6343478222674557E-2</v>
      </c>
      <c r="AE302" s="307">
        <f t="shared" si="117"/>
        <v>0.9</v>
      </c>
      <c r="AF302" s="179">
        <f t="shared" si="118"/>
        <v>0.49690578421835729</v>
      </c>
      <c r="AG302" s="839">
        <f t="shared" si="124"/>
        <v>2</v>
      </c>
      <c r="AH302" s="178">
        <f t="shared" si="119"/>
        <v>8</v>
      </c>
      <c r="AI302" s="227">
        <f t="shared" si="120"/>
        <v>2.4969057842183573</v>
      </c>
      <c r="AJ302" s="267" t="b">
        <f t="shared" si="121"/>
        <v>0</v>
      </c>
      <c r="AK302" s="267" t="b">
        <f t="shared" si="122"/>
        <v>0</v>
      </c>
      <c r="AL302" s="267"/>
      <c r="AM302" s="267"/>
      <c r="AN302" s="75"/>
    </row>
    <row r="303" spans="1:40" s="6" customFormat="1" ht="11.25" x14ac:dyDescent="0.2">
      <c r="A303" s="56">
        <f t="shared" si="123"/>
        <v>45946</v>
      </c>
      <c r="B303" s="413">
        <f>'2024'!Wh/'2024'!Env_an*'2025'!Env_an</f>
        <v>25.318283815818802</v>
      </c>
      <c r="C303" s="868"/>
      <c r="D303" s="395">
        <f t="shared" si="102"/>
        <v>26.918163579102824</v>
      </c>
      <c r="E303" s="387">
        <f t="shared" si="125"/>
        <v>30.413717761642165</v>
      </c>
      <c r="F303" s="387">
        <f t="shared" si="103"/>
        <v>30.453963436403864</v>
      </c>
      <c r="G303" s="110">
        <f t="shared" si="126"/>
        <v>0.93208751885428676</v>
      </c>
      <c r="H303" s="416" t="b">
        <f>Wh_hp&gt;='2024'!Maxi_hp</f>
        <v>0</v>
      </c>
      <c r="I303" s="392">
        <f>IF(H303,Wh_hp,'2024'!Maxi_hp)</f>
        <v>31.515402769838211</v>
      </c>
      <c r="J303" s="85">
        <f>IF(H303,An,'2024'!An_max)</f>
        <v>2021</v>
      </c>
      <c r="K303" s="199">
        <f t="shared" si="104"/>
        <v>45946</v>
      </c>
      <c r="L303" s="147">
        <f>IF(t&lt;Tvie,1-EXP((T0-t)*PertePVj)+'2024'!Pspv,1-EXP((T0-t)*PertePVj)+Pspv)</f>
        <v>5.9434952112633943E-2</v>
      </c>
      <c r="M303" s="872"/>
      <c r="N303" s="872"/>
      <c r="O303" s="48">
        <f>IF(t&lt;Tnet,'2024'!Resal+('2024'!Salim-'2024'!Resal)*(1-EXP(('2024'!Tnet-t)/('2024'!Tau_j))),Resal+(Salim-Resal)*(1-EXP((Tnet-t)/(Tau_j))))*Salcycl</f>
        <v>0.11493347212381712</v>
      </c>
      <c r="P303" s="171">
        <f>(INDEX(Models!$BJ303:$BT303,,T303)*(1-R303)+INDEX(Models!$BJ303:$BT303,,T303+1)*R303-ERP_i)*Q303*Ramure*Pc/MaxiM</f>
        <v>1.4632056116189588E-3</v>
      </c>
      <c r="Q303" s="307">
        <f t="shared" si="105"/>
        <v>0.9</v>
      </c>
      <c r="R303" s="179">
        <f t="shared" si="106"/>
        <v>0.86140131283586463</v>
      </c>
      <c r="S303" s="839">
        <f t="shared" si="107"/>
        <v>-3</v>
      </c>
      <c r="T303" s="178">
        <f t="shared" si="108"/>
        <v>3</v>
      </c>
      <c r="U303" s="253">
        <f t="shared" si="109"/>
        <v>-2.1385986871641354</v>
      </c>
      <c r="V303" s="385">
        <f t="shared" si="110"/>
        <v>27.15913629106376</v>
      </c>
      <c r="W303" s="404">
        <f t="shared" si="111"/>
        <v>25.318283815818802</v>
      </c>
      <c r="X303" s="157">
        <f t="shared" si="112"/>
        <v>45946</v>
      </c>
      <c r="Y303" s="387">
        <f t="shared" si="113"/>
        <v>22.364440408740656</v>
      </c>
      <c r="Z303" s="387">
        <f t="shared" si="114"/>
        <v>23.777664776055794</v>
      </c>
      <c r="AA303" s="388">
        <f t="shared" si="115"/>
        <v>28.571515212920183</v>
      </c>
      <c r="AB303" s="199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0.1677842564925148</v>
      </c>
      <c r="AD303" s="233">
        <f>(INDEX(Models!$BJ303:$BT303,,AH303)*(1-AF303)+INDEX(Models!$BJ303:$BT303,,AH303+1)*AF303-ERP_i)*AE303*Ramure*Pc/MaxiM</f>
        <v>6.8439871377305297E-2</v>
      </c>
      <c r="AE303" s="307">
        <f t="shared" si="117"/>
        <v>0.9</v>
      </c>
      <c r="AF303" s="179">
        <f t="shared" si="118"/>
        <v>0.49705696514284359</v>
      </c>
      <c r="AG303" s="839">
        <f t="shared" si="124"/>
        <v>2</v>
      </c>
      <c r="AH303" s="178">
        <f t="shared" si="119"/>
        <v>8</v>
      </c>
      <c r="AI303" s="227">
        <f t="shared" si="120"/>
        <v>2.4970569651428436</v>
      </c>
      <c r="AJ303" s="267" t="b">
        <f t="shared" si="121"/>
        <v>0</v>
      </c>
      <c r="AK303" s="267" t="b">
        <f t="shared" si="122"/>
        <v>0</v>
      </c>
      <c r="AL303" s="267"/>
      <c r="AM303" s="267"/>
      <c r="AN303" s="75"/>
    </row>
    <row r="304" spans="1:40" s="6" customFormat="1" ht="11.25" x14ac:dyDescent="0.2">
      <c r="A304" s="56">
        <f t="shared" si="123"/>
        <v>45947</v>
      </c>
      <c r="B304" s="413">
        <f>'2024'!Wh/'2024'!Env_an*'2025'!Env_an</f>
        <v>16.148523089547936</v>
      </c>
      <c r="C304" s="868"/>
      <c r="D304" s="395">
        <f t="shared" si="102"/>
        <v>17.169358923436381</v>
      </c>
      <c r="E304" s="387">
        <f t="shared" si="125"/>
        <v>19.399670266122399</v>
      </c>
      <c r="F304" s="387">
        <f t="shared" si="103"/>
        <v>19.411869207148722</v>
      </c>
      <c r="G304" s="110">
        <f t="shared" si="126"/>
        <v>0.60140569089752494</v>
      </c>
      <c r="H304" s="416" t="b">
        <f>Wh_hp&gt;='2024'!Maxi_hp</f>
        <v>0</v>
      </c>
      <c r="I304" s="392">
        <f>IF(H304,Wh_hp,'2024'!Maxi_hp)</f>
        <v>29.529771052990444</v>
      </c>
      <c r="J304" s="85">
        <f>IF(H304,An,'2024'!An_max)</f>
        <v>2021</v>
      </c>
      <c r="K304" s="199">
        <f t="shared" si="104"/>
        <v>45947</v>
      </c>
      <c r="L304" s="147">
        <f>IF(t&lt;Tvie,1-EXP((T0-t)*PertePVj)+'2024'!Pspv,1-EXP((T0-t)*PertePVj)+Pspv)</f>
        <v>5.9456840435375358E-2</v>
      </c>
      <c r="M304" s="872"/>
      <c r="N304" s="872"/>
      <c r="O304" s="48">
        <f>IF(t&lt;Tnet,'2024'!Resal+('2024'!Salim-'2024'!Resal)*(1-EXP(('2024'!Tnet-t)/('2024'!Tau_j))),Resal+(Salim-Resal)*(1-EXP((Tnet-t)/(Tau_j))))*Salcycl</f>
        <v>0.11496645623821804</v>
      </c>
      <c r="P304" s="171">
        <f>(INDEX(Models!$BJ304:$BT304,,T304)*(1-R304)+INDEX(Models!$BJ304:$BT304,,T304+1)*R304-ERP_i)*Q304*Ramure*Pc/MaxiM</f>
        <v>1.4570781151908815E-3</v>
      </c>
      <c r="Q304" s="307">
        <f t="shared" si="105"/>
        <v>0.9</v>
      </c>
      <c r="R304" s="179">
        <f t="shared" si="106"/>
        <v>0.86154646842720739</v>
      </c>
      <c r="S304" s="839">
        <f t="shared" si="107"/>
        <v>-3</v>
      </c>
      <c r="T304" s="178">
        <f t="shared" si="108"/>
        <v>3</v>
      </c>
      <c r="U304" s="253">
        <f t="shared" si="109"/>
        <v>-2.1384535315727926</v>
      </c>
      <c r="V304" s="385">
        <f t="shared" si="110"/>
        <v>26.829033090467718</v>
      </c>
      <c r="W304" s="404">
        <f t="shared" si="111"/>
        <v>16.148523089547936</v>
      </c>
      <c r="X304" s="157">
        <f t="shared" si="112"/>
        <v>45947</v>
      </c>
      <c r="Y304" s="387">
        <f t="shared" si="113"/>
        <v>14.7330810041008</v>
      </c>
      <c r="Z304" s="387">
        <f t="shared" si="114"/>
        <v>15.664439057661863</v>
      </c>
      <c r="AA304" s="388">
        <f t="shared" si="115"/>
        <v>18.821035994470009</v>
      </c>
      <c r="AB304" s="199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0.16771642845460874</v>
      </c>
      <c r="AD304" s="233">
        <f>(INDEX(Models!$BJ304:$BT304,,AH304)*(1-AF304)+INDEX(Models!$BJ304:$BT304,,AH304+1)*AF304-ERP_i)*AE304*Ramure*Pc/MaxiM</f>
        <v>7.0570891527742888E-2</v>
      </c>
      <c r="AE304" s="307">
        <f t="shared" si="117"/>
        <v>0.9</v>
      </c>
      <c r="AF304" s="179">
        <f t="shared" si="118"/>
        <v>0.49720212073418635</v>
      </c>
      <c r="AG304" s="839">
        <f t="shared" si="124"/>
        <v>2</v>
      </c>
      <c r="AH304" s="178">
        <f t="shared" si="119"/>
        <v>8</v>
      </c>
      <c r="AI304" s="227">
        <f t="shared" si="120"/>
        <v>2.4972021207341863</v>
      </c>
      <c r="AJ304" s="267" t="b">
        <f t="shared" si="121"/>
        <v>0</v>
      </c>
      <c r="AK304" s="267" t="b">
        <f t="shared" si="122"/>
        <v>0</v>
      </c>
      <c r="AL304" s="267"/>
      <c r="AM304" s="267"/>
      <c r="AN304" s="75"/>
    </row>
    <row r="305" spans="1:40" s="6" customFormat="1" ht="11.25" x14ac:dyDescent="0.2">
      <c r="A305" s="56">
        <f t="shared" si="123"/>
        <v>45948</v>
      </c>
      <c r="B305" s="413">
        <f>'2024'!Wh/'2024'!Env_an*'2025'!Env_an</f>
        <v>25.265198314197612</v>
      </c>
      <c r="C305" s="868"/>
      <c r="D305" s="395">
        <f t="shared" si="102"/>
        <v>26.862973834875266</v>
      </c>
      <c r="E305" s="387">
        <f t="shared" si="125"/>
        <v>30.353545366679139</v>
      </c>
      <c r="F305" s="387">
        <f t="shared" si="103"/>
        <v>30.394802392499557</v>
      </c>
      <c r="G305" s="110">
        <f t="shared" si="126"/>
        <v>0.95315053706702035</v>
      </c>
      <c r="H305" s="416" t="b">
        <f>Wh_hp&gt;='2024'!Maxi_hp</f>
        <v>0</v>
      </c>
      <c r="I305" s="392">
        <f>IF(H305,Wh_hp,'2024'!Maxi_hp)</f>
        <v>32.248415453098012</v>
      </c>
      <c r="J305" s="85">
        <f>IF(H305,An,'2024'!An_max)</f>
        <v>2020</v>
      </c>
      <c r="K305" s="199">
        <f t="shared" si="104"/>
        <v>45948</v>
      </c>
      <c r="L305" s="147">
        <f>IF(t&lt;Tvie,1-EXP((T0-t)*PertePVj)+'2024'!Pspv,1-EXP((T0-t)*PertePVj)+Pspv)</f>
        <v>5.9478728248743562E-2</v>
      </c>
      <c r="M305" s="872"/>
      <c r="N305" s="872"/>
      <c r="O305" s="48">
        <f>IF(t&lt;Tnet,'2024'!Resal+('2024'!Salim-'2024'!Resal)*(1-EXP(('2024'!Tnet-t)/('2024'!Tau_j))),Resal+(Salim-Resal)*(1-EXP((Tnet-t)/(Tau_j))))*Salcycl</f>
        <v>0.11499716061622504</v>
      </c>
      <c r="P305" s="171">
        <f>(INDEX(Models!$BJ305:$BT305,,T305)*(1-R305)+INDEX(Models!$BJ305:$BT305,,T305+1)*R305-ERP_i)*Q305*Ramure*Pc/MaxiM</f>
        <v>1.4545266560832236E-3</v>
      </c>
      <c r="Q305" s="307">
        <f t="shared" si="105"/>
        <v>0.9</v>
      </c>
      <c r="R305" s="179">
        <f t="shared" si="106"/>
        <v>0.86168583645382402</v>
      </c>
      <c r="S305" s="839">
        <f t="shared" si="107"/>
        <v>-3</v>
      </c>
      <c r="T305" s="178">
        <f t="shared" si="108"/>
        <v>3</v>
      </c>
      <c r="U305" s="253">
        <f t="shared" si="109"/>
        <v>-2.138314163546176</v>
      </c>
      <c r="V305" s="385">
        <f t="shared" si="110"/>
        <v>26.50446004121234</v>
      </c>
      <c r="W305" s="404">
        <f t="shared" si="111"/>
        <v>25.265198314197612</v>
      </c>
      <c r="X305" s="157">
        <f t="shared" si="112"/>
        <v>45948</v>
      </c>
      <c r="Y305" s="387">
        <f t="shared" si="113"/>
        <v>22.178921885296322</v>
      </c>
      <c r="Z305" s="387">
        <f t="shared" si="114"/>
        <v>23.581520749657297</v>
      </c>
      <c r="AA305" s="388">
        <f t="shared" si="115"/>
        <v>28.3311057425759</v>
      </c>
      <c r="AB305" s="199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0.16764559195375636</v>
      </c>
      <c r="AD305" s="233">
        <f>(INDEX(Models!$BJ305:$BT305,,AH305)*(1-AF305)+INDEX(Models!$BJ305:$BT305,,AH305+1)*AF305-ERP_i)*AE305*Ramure*Pc/MaxiM</f>
        <v>7.2756136141497077E-2</v>
      </c>
      <c r="AE305" s="307">
        <f t="shared" si="117"/>
        <v>0.9</v>
      </c>
      <c r="AF305" s="179">
        <f t="shared" si="118"/>
        <v>0.49734148876080297</v>
      </c>
      <c r="AG305" s="839">
        <f t="shared" si="124"/>
        <v>2</v>
      </c>
      <c r="AH305" s="178">
        <f t="shared" si="119"/>
        <v>8</v>
      </c>
      <c r="AI305" s="227">
        <f t="shared" si="120"/>
        <v>2.497341488760803</v>
      </c>
      <c r="AJ305" s="267" t="b">
        <f t="shared" si="121"/>
        <v>0</v>
      </c>
      <c r="AK305" s="267" t="b">
        <f t="shared" si="122"/>
        <v>0</v>
      </c>
      <c r="AL305" s="267"/>
      <c r="AM305" s="267"/>
      <c r="AN305" s="75"/>
    </row>
    <row r="306" spans="1:40" s="6" customFormat="1" ht="11.25" x14ac:dyDescent="0.2">
      <c r="A306" s="56">
        <f t="shared" si="123"/>
        <v>45949</v>
      </c>
      <c r="B306" s="413">
        <f>'2024'!Wh/'2024'!Env_an*'2025'!Env_an</f>
        <v>13.672803020954637</v>
      </c>
      <c r="C306" s="868"/>
      <c r="D306" s="395">
        <f t="shared" si="102"/>
        <v>14.53781177006343</v>
      </c>
      <c r="E306" s="387">
        <f t="shared" si="125"/>
        <v>16.42738217667052</v>
      </c>
      <c r="F306" s="387">
        <f t="shared" si="103"/>
        <v>16.434975111352426</v>
      </c>
      <c r="G306" s="110">
        <f t="shared" si="126"/>
        <v>0.52163991424421874</v>
      </c>
      <c r="H306" s="416" t="b">
        <f>Wh_hp&gt;='2024'!Maxi_hp</f>
        <v>0</v>
      </c>
      <c r="I306" s="392">
        <f>IF(H306,Wh_hp,'2024'!Maxi_hp)</f>
        <v>30.51278811937587</v>
      </c>
      <c r="J306" s="85">
        <f>IF(H306,An,'2024'!An_max)</f>
        <v>2020</v>
      </c>
      <c r="K306" s="199">
        <f t="shared" si="104"/>
        <v>45949</v>
      </c>
      <c r="L306" s="147">
        <f>IF(t&lt;Tvie,1-EXP((T0-t)*PertePVj)+'2024'!Pspv,1-EXP((T0-t)*PertePVj)+Pspv)</f>
        <v>5.9500615552750324E-2</v>
      </c>
      <c r="M306" s="872"/>
      <c r="N306" s="872"/>
      <c r="O306" s="48">
        <f>IF(t&lt;Tnet,'2024'!Resal+('2024'!Salim-'2024'!Resal)*(1-EXP(('2024'!Tnet-t)/('2024'!Tau_j))),Resal+(Salim-Resal)*(1-EXP((Tnet-t)/(Tau_j))))*Salcycl</f>
        <v>0.11502565571832736</v>
      </c>
      <c r="P306" s="171">
        <f>(INDEX(Models!$BJ306:$BT306,,T306)*(1-R306)+INDEX(Models!$BJ306:$BT306,,T306+1)*R306-ERP_i)*Q306*Ramure*Pc/MaxiM</f>
        <v>1.4557093929247942E-3</v>
      </c>
      <c r="Q306" s="307">
        <f t="shared" si="105"/>
        <v>0.9</v>
      </c>
      <c r="R306" s="179">
        <f t="shared" si="106"/>
        <v>0.86181964548782641</v>
      </c>
      <c r="S306" s="839">
        <f t="shared" si="107"/>
        <v>-3</v>
      </c>
      <c r="T306" s="178">
        <f t="shared" si="108"/>
        <v>3</v>
      </c>
      <c r="U306" s="253">
        <f t="shared" si="109"/>
        <v>-2.1381803545121736</v>
      </c>
      <c r="V306" s="385">
        <f t="shared" si="110"/>
        <v>26.185131841665129</v>
      </c>
      <c r="W306" s="404">
        <f t="shared" si="111"/>
        <v>13.672803020954637</v>
      </c>
      <c r="X306" s="157">
        <f t="shared" si="112"/>
        <v>45949</v>
      </c>
      <c r="Y306" s="387">
        <f t="shared" si="113"/>
        <v>12.560656191425297</v>
      </c>
      <c r="Z306" s="387">
        <f t="shared" si="114"/>
        <v>13.355305063604529</v>
      </c>
      <c r="AA306" s="388">
        <f t="shared" si="115"/>
        <v>16.043793261903026</v>
      </c>
      <c r="AB306" s="199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0.16757185501027849</v>
      </c>
      <c r="AD306" s="233">
        <f>(INDEX(Models!$BJ306:$BT306,,AH306)*(1-AF306)+INDEX(Models!$BJ306:$BT306,,AH306+1)*AF306-ERP_i)*AE306*Ramure*Pc/MaxiM</f>
        <v>7.499696974112316E-2</v>
      </c>
      <c r="AE306" s="307">
        <f t="shared" si="117"/>
        <v>0.9</v>
      </c>
      <c r="AF306" s="179">
        <f t="shared" si="118"/>
        <v>0.49747529779480537</v>
      </c>
      <c r="AG306" s="839">
        <f t="shared" si="124"/>
        <v>2</v>
      </c>
      <c r="AH306" s="178">
        <f t="shared" si="119"/>
        <v>8</v>
      </c>
      <c r="AI306" s="227">
        <f t="shared" si="120"/>
        <v>2.4974752977948054</v>
      </c>
      <c r="AJ306" s="267" t="b">
        <f t="shared" si="121"/>
        <v>0</v>
      </c>
      <c r="AK306" s="267" t="b">
        <f t="shared" si="122"/>
        <v>0</v>
      </c>
      <c r="AL306" s="267"/>
      <c r="AM306" s="267"/>
      <c r="AN306" s="75"/>
    </row>
    <row r="307" spans="1:40" s="6" customFormat="1" ht="11.25" x14ac:dyDescent="0.2">
      <c r="A307" s="56">
        <f t="shared" si="123"/>
        <v>45950</v>
      </c>
      <c r="B307" s="413">
        <f>'2024'!Wh/'2024'!Env_an*'2025'!Env_an</f>
        <v>7.5838452479184113</v>
      </c>
      <c r="C307" s="868"/>
      <c r="D307" s="395">
        <f t="shared" si="102"/>
        <v>8.0638242455002853</v>
      </c>
      <c r="E307" s="387">
        <f t="shared" si="125"/>
        <v>9.1122014313094581</v>
      </c>
      <c r="F307" s="387">
        <f t="shared" si="103"/>
        <v>9.1122014313094581</v>
      </c>
      <c r="G307" s="110">
        <f t="shared" si="126"/>
        <v>0.29271524791912118</v>
      </c>
      <c r="H307" s="416" t="b">
        <f>Wh_hp&gt;='2024'!Maxi_hp</f>
        <v>0</v>
      </c>
      <c r="I307" s="392">
        <f>IF(H307,Wh_hp,'2024'!Maxi_hp)</f>
        <v>26.828949468096958</v>
      </c>
      <c r="J307" s="85">
        <f>IF(H307,An,'2024'!An_max)</f>
        <v>2020</v>
      </c>
      <c r="K307" s="199">
        <f t="shared" si="104"/>
        <v>45950</v>
      </c>
      <c r="L307" s="147">
        <f>IF(t&lt;Tvie,1-EXP((T0-t)*PertePVj)+'2024'!Pspv,1-EXP((T0-t)*PertePVj)+Pspv)</f>
        <v>5.9522502347407635E-2</v>
      </c>
      <c r="M307" s="872"/>
      <c r="N307" s="872"/>
      <c r="O307" s="48">
        <f>IF(t&lt;Tnet,'2024'!Resal+('2024'!Salim-'2024'!Resal)*(1-EXP(('2024'!Tnet-t)/('2024'!Tau_j))),Resal+(Salim-Resal)*(1-EXP((Tnet-t)/(Tau_j))))*Salcycl</f>
        <v>0.11505202049276007</v>
      </c>
      <c r="P307" s="171">
        <f>(INDEX(Models!$BJ307:$BT307,,T307)*(1-R307)+INDEX(Models!$BJ307:$BT307,,T307+1)*R307-ERP_i)*Q307*Ramure*Pc/MaxiM</f>
        <v>1.460787404365542E-3</v>
      </c>
      <c r="Q307" s="307">
        <f t="shared" si="105"/>
        <v>0.9</v>
      </c>
      <c r="R307" s="179">
        <f t="shared" si="106"/>
        <v>0.86194811524601711</v>
      </c>
      <c r="S307" s="839">
        <f t="shared" si="107"/>
        <v>-3</v>
      </c>
      <c r="T307" s="178">
        <f t="shared" si="108"/>
        <v>3</v>
      </c>
      <c r="U307" s="253">
        <f t="shared" si="109"/>
        <v>-2.1380518847539829</v>
      </c>
      <c r="V307" s="385">
        <f t="shared" si="110"/>
        <v>25.870763194392907</v>
      </c>
      <c r="W307" s="404">
        <f t="shared" si="111"/>
        <v>7.5838452479184113</v>
      </c>
      <c r="X307" s="157">
        <f t="shared" si="112"/>
        <v>45950</v>
      </c>
      <c r="Y307" s="387">
        <f t="shared" si="113"/>
        <v>7.1344154383974345</v>
      </c>
      <c r="Z307" s="387">
        <f t="shared" si="114"/>
        <v>7.5859501755275929</v>
      </c>
      <c r="AA307" s="388">
        <f t="shared" si="115"/>
        <v>9.1122014313094581</v>
      </c>
      <c r="AB307" s="199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0.16749533768400654</v>
      </c>
      <c r="AD307" s="233">
        <f>(INDEX(Models!$BJ307:$BT307,,AH307)*(1-AF307)+INDEX(Models!$BJ307:$BT307,,AH307+1)*AF307-ERP_i)*AE307*Ramure*Pc/MaxiM</f>
        <v>7.7294844361372197E-2</v>
      </c>
      <c r="AE307" s="307">
        <f t="shared" si="117"/>
        <v>0.9</v>
      </c>
      <c r="AF307" s="179">
        <f t="shared" si="118"/>
        <v>0.49760376755299607</v>
      </c>
      <c r="AG307" s="839">
        <f t="shared" si="124"/>
        <v>2</v>
      </c>
      <c r="AH307" s="178">
        <f t="shared" si="119"/>
        <v>8</v>
      </c>
      <c r="AI307" s="227">
        <f t="shared" si="120"/>
        <v>2.4976037675529961</v>
      </c>
      <c r="AJ307" s="267" t="b">
        <f t="shared" si="121"/>
        <v>0</v>
      </c>
      <c r="AK307" s="267" t="b">
        <f t="shared" si="122"/>
        <v>0</v>
      </c>
      <c r="AL307" s="267"/>
      <c r="AM307" s="267"/>
      <c r="AN307" s="75"/>
    </row>
    <row r="308" spans="1:40" s="6" customFormat="1" ht="11.25" x14ac:dyDescent="0.2">
      <c r="A308" s="56">
        <f t="shared" si="123"/>
        <v>45951</v>
      </c>
      <c r="B308" s="413">
        <f>'2024'!Wh/'2024'!Env_an*'2025'!Env_an</f>
        <v>13.277983852203624</v>
      </c>
      <c r="C308" s="868"/>
      <c r="D308" s="395">
        <f t="shared" si="102"/>
        <v>14.118671515925721</v>
      </c>
      <c r="E308" s="387">
        <f t="shared" si="125"/>
        <v>15.954677437923268</v>
      </c>
      <c r="F308" s="387">
        <f t="shared" si="103"/>
        <v>15.962033461496128</v>
      </c>
      <c r="G308" s="110">
        <f t="shared" si="126"/>
        <v>0.51893679499936596</v>
      </c>
      <c r="H308" s="416" t="b">
        <f>Wh_hp&gt;='2024'!Maxi_hp</f>
        <v>0</v>
      </c>
      <c r="I308" s="392">
        <f>IF(H308,Wh_hp,'2024'!Maxi_hp)</f>
        <v>22.431533601951021</v>
      </c>
      <c r="J308" s="85">
        <f>IF(H308,An,'2024'!An_max)</f>
        <v>2019</v>
      </c>
      <c r="K308" s="199">
        <f t="shared" si="104"/>
        <v>45951</v>
      </c>
      <c r="L308" s="147">
        <f>IF(t&lt;Tvie,1-EXP((T0-t)*PertePVj)+'2024'!Pspv,1-EXP((T0-t)*PertePVj)+Pspv)</f>
        <v>5.9544388632727152E-2</v>
      </c>
      <c r="M308" s="872"/>
      <c r="N308" s="872"/>
      <c r="O308" s="48">
        <f>IF(t&lt;Tnet,'2024'!Resal+('2024'!Salim-'2024'!Resal)*(1-EXP(('2024'!Tnet-t)/('2024'!Tau_j))),Resal+(Salim-Resal)*(1-EXP((Tnet-t)/(Tau_j))))*Salcycl</f>
        <v>0.11507634229153858</v>
      </c>
      <c r="P308" s="171">
        <f>(INDEX(Models!$BJ308:$BT308,,T308)*(1-R308)+INDEX(Models!$BJ308:$BT308,,T308+1)*R308-ERP_i)*Q308*Ramure*Pc/MaxiM</f>
        <v>1.4699249348282177E-3</v>
      </c>
      <c r="Q308" s="307">
        <f t="shared" si="105"/>
        <v>0.9</v>
      </c>
      <c r="R308" s="179">
        <f t="shared" si="106"/>
        <v>0.86207145691941633</v>
      </c>
      <c r="S308" s="839">
        <f t="shared" si="107"/>
        <v>-3</v>
      </c>
      <c r="T308" s="178">
        <f t="shared" si="108"/>
        <v>3</v>
      </c>
      <c r="U308" s="253">
        <f t="shared" si="109"/>
        <v>-2.1379285430805837</v>
      </c>
      <c r="V308" s="385">
        <f t="shared" si="110"/>
        <v>25.561068815437096</v>
      </c>
      <c r="W308" s="404">
        <f t="shared" si="111"/>
        <v>13.277983852203624</v>
      </c>
      <c r="X308" s="157">
        <f t="shared" si="112"/>
        <v>45951</v>
      </c>
      <c r="Y308" s="387">
        <f t="shared" si="113"/>
        <v>12.186292410387788</v>
      </c>
      <c r="Z308" s="387">
        <f t="shared" si="114"/>
        <v>12.957860278669459</v>
      </c>
      <c r="AA308" s="388">
        <f t="shared" si="115"/>
        <v>15.563430181479603</v>
      </c>
      <c r="AB308" s="199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0.16741617191245922</v>
      </c>
      <c r="AD308" s="233">
        <f>(INDEX(Models!$BJ308:$BT308,,AH308)*(1-AF308)+INDEX(Models!$BJ308:$BT308,,AH308+1)*AF308-ERP_i)*AE308*Ramure*Pc/MaxiM</f>
        <v>7.9651308155439277E-2</v>
      </c>
      <c r="AE308" s="307">
        <f t="shared" si="117"/>
        <v>0.9</v>
      </c>
      <c r="AF308" s="179">
        <f t="shared" si="118"/>
        <v>0.49772710922639529</v>
      </c>
      <c r="AG308" s="839">
        <f t="shared" si="124"/>
        <v>2</v>
      </c>
      <c r="AH308" s="178">
        <f t="shared" si="119"/>
        <v>8</v>
      </c>
      <c r="AI308" s="227">
        <f t="shared" si="120"/>
        <v>2.4977271092263953</v>
      </c>
      <c r="AJ308" s="267" t="b">
        <f t="shared" si="121"/>
        <v>0</v>
      </c>
      <c r="AK308" s="267" t="b">
        <f t="shared" si="122"/>
        <v>0</v>
      </c>
      <c r="AL308" s="267"/>
      <c r="AM308" s="267"/>
      <c r="AN308" s="75"/>
    </row>
    <row r="309" spans="1:40" s="6" customFormat="1" ht="11.25" x14ac:dyDescent="0.2">
      <c r="A309" s="56">
        <f t="shared" si="123"/>
        <v>45952</v>
      </c>
      <c r="B309" s="413">
        <f>'2024'!Wh/'2024'!Env_an*'2025'!Env_an</f>
        <v>23.562095528673836</v>
      </c>
      <c r="C309" s="868"/>
      <c r="D309" s="395">
        <f t="shared" si="102"/>
        <v>25.054498671726854</v>
      </c>
      <c r="E309" s="387">
        <f t="shared" si="125"/>
        <v>28.313326181649927</v>
      </c>
      <c r="F309" s="387">
        <f t="shared" si="103"/>
        <v>28.351350705771125</v>
      </c>
      <c r="G309" s="110">
        <f t="shared" si="126"/>
        <v>0.93280660089664247</v>
      </c>
      <c r="H309" s="416" t="b">
        <f>Wh_hp&gt;='2024'!Maxi_hp</f>
        <v>1</v>
      </c>
      <c r="I309" s="392">
        <f>IF(H309,Wh_hp,'2024'!Maxi_hp)</f>
        <v>28.351350705771125</v>
      </c>
      <c r="J309" s="85">
        <f>IF(H309,An,'2024'!An_max)</f>
        <v>2025</v>
      </c>
      <c r="K309" s="199">
        <f t="shared" si="104"/>
        <v>45952</v>
      </c>
      <c r="L309" s="147">
        <f>IF(t&lt;Tvie,1-EXP((T0-t)*PertePVj)+'2024'!Pspv,1-EXP((T0-t)*PertePVj)+Pspv)</f>
        <v>5.9566274408720976E-2</v>
      </c>
      <c r="M309" s="872"/>
      <c r="N309" s="872"/>
      <c r="O309" s="48">
        <f>IF(t&lt;Tnet,'2024'!Resal+('2024'!Salim-'2024'!Resal)*(1-EXP(('2024'!Tnet-t)/('2024'!Tau_j))),Resal+(Salim-Resal)*(1-EXP((Tnet-t)/(Tau_j))))*Salcycl</f>
        <v>0.11509871673202222</v>
      </c>
      <c r="P309" s="171">
        <f>(INDEX(Models!$BJ309:$BT309,,T309)*(1-R309)+INDEX(Models!$BJ309:$BT309,,T309+1)*R309-ERP_i)*Q309*Ramure*Pc/MaxiM</f>
        <v>1.4832896847845382E-3</v>
      </c>
      <c r="Q309" s="307">
        <f t="shared" si="105"/>
        <v>0.9</v>
      </c>
      <c r="R309" s="179">
        <f t="shared" si="106"/>
        <v>0.8621898734916007</v>
      </c>
      <c r="S309" s="839">
        <f t="shared" si="107"/>
        <v>-3</v>
      </c>
      <c r="T309" s="178">
        <f t="shared" si="108"/>
        <v>3</v>
      </c>
      <c r="U309" s="253">
        <f t="shared" si="109"/>
        <v>-2.1378101265083993</v>
      </c>
      <c r="V309" s="385">
        <f t="shared" si="110"/>
        <v>25.25576343821961</v>
      </c>
      <c r="W309" s="404">
        <f t="shared" si="111"/>
        <v>23.562095528673836</v>
      </c>
      <c r="X309" s="157">
        <f t="shared" si="112"/>
        <v>45952</v>
      </c>
      <c r="Y309" s="387">
        <f t="shared" si="113"/>
        <v>20.553555718792559</v>
      </c>
      <c r="Z309" s="387">
        <f t="shared" si="114"/>
        <v>21.855400502432982</v>
      </c>
      <c r="AA309" s="388">
        <f t="shared" si="115"/>
        <v>26.247515401786387</v>
      </c>
      <c r="AB309" s="199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0.16733450127071769</v>
      </c>
      <c r="AD309" s="233">
        <f>(INDEX(Models!$BJ309:$BT309,,AH309)*(1-AF309)+INDEX(Models!$BJ309:$BT309,,AH309+1)*AF309-ERP_i)*AE309*Ramure*Pc/MaxiM</f>
        <v>8.2068014709130319E-2</v>
      </c>
      <c r="AE309" s="307">
        <f t="shared" si="117"/>
        <v>0.9</v>
      </c>
      <c r="AF309" s="179">
        <f t="shared" si="118"/>
        <v>0.49784552579857966</v>
      </c>
      <c r="AG309" s="839">
        <f t="shared" si="124"/>
        <v>2</v>
      </c>
      <c r="AH309" s="178">
        <f t="shared" si="119"/>
        <v>8</v>
      </c>
      <c r="AI309" s="227">
        <f t="shared" si="120"/>
        <v>2.4978455257985797</v>
      </c>
      <c r="AJ309" s="267" t="b">
        <f t="shared" si="121"/>
        <v>0</v>
      </c>
      <c r="AK309" s="267" t="b">
        <f t="shared" si="122"/>
        <v>0</v>
      </c>
      <c r="AL309" s="267"/>
      <c r="AM309" s="267"/>
      <c r="AN309" s="75"/>
    </row>
    <row r="310" spans="1:40" s="6" customFormat="1" ht="11.25" x14ac:dyDescent="0.2">
      <c r="A310" s="56">
        <f t="shared" si="123"/>
        <v>45953</v>
      </c>
      <c r="B310" s="413">
        <f>'2024'!Wh/'2024'!Env_an*'2025'!Env_an</f>
        <v>15.941118206083857</v>
      </c>
      <c r="C310" s="868"/>
      <c r="D310" s="395">
        <f t="shared" si="102"/>
        <v>16.951209589812805</v>
      </c>
      <c r="E310" s="387">
        <f t="shared" si="125"/>
        <v>19.156490342897847</v>
      </c>
      <c r="F310" s="387">
        <f t="shared" si="103"/>
        <v>19.170526805644517</v>
      </c>
      <c r="G310" s="110">
        <f t="shared" si="126"/>
        <v>0.63831426069993802</v>
      </c>
      <c r="H310" s="416" t="b">
        <f>Wh_hp&gt;='2024'!Maxi_hp</f>
        <v>0</v>
      </c>
      <c r="I310" s="392">
        <f>IF(H310,Wh_hp,'2024'!Maxi_hp)</f>
        <v>30.486938678311564</v>
      </c>
      <c r="J310" s="85">
        <f>IF(H310,An,'2024'!An_max)</f>
        <v>2021</v>
      </c>
      <c r="K310" s="199">
        <f t="shared" si="104"/>
        <v>45953</v>
      </c>
      <c r="L310" s="147">
        <f>IF(t&lt;Tvie,1-EXP((T0-t)*PertePVj)+'2024'!Pspv,1-EXP((T0-t)*PertePVj)+Pspv)</f>
        <v>5.9588159675400654E-2</v>
      </c>
      <c r="M310" s="872"/>
      <c r="N310" s="872"/>
      <c r="O310" s="48">
        <f>IF(t&lt;Tnet,'2024'!Resal+('2024'!Salim-'2024'!Resal)*(1-EXP(('2024'!Tnet-t)/('2024'!Tau_j))),Resal+(Salim-Resal)*(1-EXP((Tnet-t)/(Tau_j))))*Salcycl</f>
        <v>0.11511924750363443</v>
      </c>
      <c r="P310" s="171">
        <f>(INDEX(Models!$BJ310:$BT310,,T310)*(1-R310)+INDEX(Models!$BJ310:$BT310,,T310+1)*R310-ERP_i)*Q310*Ramure*Pc/MaxiM</f>
        <v>1.5127295482051935E-3</v>
      </c>
      <c r="Q310" s="307">
        <f t="shared" si="105"/>
        <v>0.9</v>
      </c>
      <c r="R310" s="179">
        <f t="shared" si="106"/>
        <v>0.86230356004615105</v>
      </c>
      <c r="S310" s="839">
        <f t="shared" si="107"/>
        <v>-3</v>
      </c>
      <c r="T310" s="178">
        <f t="shared" si="108"/>
        <v>3</v>
      </c>
      <c r="U310" s="253">
        <f t="shared" si="109"/>
        <v>-2.1376964399538489</v>
      </c>
      <c r="V310" s="385">
        <f t="shared" si="110"/>
        <v>24.954270007930457</v>
      </c>
      <c r="W310" s="404">
        <f t="shared" si="111"/>
        <v>15.941118206083857</v>
      </c>
      <c r="X310" s="157">
        <f t="shared" si="112"/>
        <v>45953</v>
      </c>
      <c r="Y310" s="387">
        <f t="shared" si="113"/>
        <v>14.398653964214427</v>
      </c>
      <c r="Z310" s="387">
        <f t="shared" si="114"/>
        <v>15.311008801467752</v>
      </c>
      <c r="AA310" s="388">
        <f t="shared" si="115"/>
        <v>18.386091430554831</v>
      </c>
      <c r="AB310" s="199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0.16725048065282486</v>
      </c>
      <c r="AD310" s="233">
        <f>(INDEX(Models!$BJ310:$BT310,,AH310)*(1-AF310)+INDEX(Models!$BJ310:$BT310,,AH310+1)*AF310-ERP_i)*AE310*Ramure*Pc/MaxiM</f>
        <v>8.4539715736927229E-2</v>
      </c>
      <c r="AE310" s="307">
        <f t="shared" si="117"/>
        <v>0.9</v>
      </c>
      <c r="AF310" s="179">
        <f t="shared" si="118"/>
        <v>0.49795921235313001</v>
      </c>
      <c r="AG310" s="839">
        <f t="shared" si="124"/>
        <v>2</v>
      </c>
      <c r="AH310" s="178">
        <f t="shared" si="119"/>
        <v>8</v>
      </c>
      <c r="AI310" s="227">
        <f t="shared" si="120"/>
        <v>2.49795921235313</v>
      </c>
      <c r="AJ310" s="267" t="b">
        <f t="shared" si="121"/>
        <v>0</v>
      </c>
      <c r="AK310" s="267" t="b">
        <f t="shared" si="122"/>
        <v>0</v>
      </c>
      <c r="AL310" s="267"/>
      <c r="AM310" s="267"/>
      <c r="AN310" s="75"/>
    </row>
    <row r="311" spans="1:40" s="6" customFormat="1" ht="11.25" x14ac:dyDescent="0.2">
      <c r="A311" s="56">
        <f t="shared" si="123"/>
        <v>45954</v>
      </c>
      <c r="B311" s="413">
        <f>'2024'!Wh/'2024'!Env_an*'2025'!Env_an</f>
        <v>18.867169658601668</v>
      </c>
      <c r="C311" s="868"/>
      <c r="D311" s="395">
        <f t="shared" si="102"/>
        <v>20.063133965761494</v>
      </c>
      <c r="E311" s="387">
        <f t="shared" si="125"/>
        <v>22.673744619466483</v>
      </c>
      <c r="F311" s="387">
        <f t="shared" si="103"/>
        <v>22.6972558492491</v>
      </c>
      <c r="G311" s="110">
        <f t="shared" si="126"/>
        <v>0.76480614425039251</v>
      </c>
      <c r="H311" s="416" t="b">
        <f>Wh_hp&gt;='2024'!Maxi_hp</f>
        <v>0</v>
      </c>
      <c r="I311" s="392">
        <f>IF(H311,Wh_hp,'2024'!Maxi_hp)</f>
        <v>30.713396956245166</v>
      </c>
      <c r="J311" s="85">
        <f>IF(H311,An,'2024'!An_max)</f>
        <v>2021</v>
      </c>
      <c r="K311" s="199">
        <f t="shared" si="104"/>
        <v>45954</v>
      </c>
      <c r="L311" s="147">
        <f>IF(t&lt;Tvie,1-EXP((T0-t)*PertePVj)+'2024'!Pspv,1-EXP((T0-t)*PertePVj)+Pspv)</f>
        <v>5.9610044432778286E-2</v>
      </c>
      <c r="M311" s="872"/>
      <c r="N311" s="872"/>
      <c r="O311" s="48">
        <f>IF(t&lt;Tnet,'2024'!Resal+('2024'!Salim-'2024'!Resal)*(1-EXP(('2024'!Tnet-t)/('2024'!Tau_j))),Resal+(Salim-Resal)*(1-EXP((Tnet-t)/(Tau_j))))*Salcycl</f>
        <v>0.11513804611981286</v>
      </c>
      <c r="P311" s="171">
        <f>(INDEX(Models!$BJ311:$BT311,,T311)*(1-R311)+INDEX(Models!$BJ311:$BT311,,T311+1)*R311-ERP_i)*Q311*Ramure*Pc/MaxiM</f>
        <v>1.5586699094984099E-3</v>
      </c>
      <c r="Q311" s="307">
        <f t="shared" si="105"/>
        <v>0.9</v>
      </c>
      <c r="R311" s="179">
        <f t="shared" si="106"/>
        <v>0.86241270406350079</v>
      </c>
      <c r="S311" s="839">
        <f t="shared" si="107"/>
        <v>-3</v>
      </c>
      <c r="T311" s="178">
        <f t="shared" si="108"/>
        <v>3</v>
      </c>
      <c r="U311" s="253">
        <f t="shared" si="109"/>
        <v>-2.1375872959364992</v>
      </c>
      <c r="V311" s="385">
        <f t="shared" si="110"/>
        <v>24.656307576384357</v>
      </c>
      <c r="W311" s="404">
        <f t="shared" si="111"/>
        <v>18.867169658601668</v>
      </c>
      <c r="X311" s="157">
        <f t="shared" si="112"/>
        <v>45954</v>
      </c>
      <c r="Y311" s="387">
        <f t="shared" si="113"/>
        <v>16.747615414383123</v>
      </c>
      <c r="Z311" s="387">
        <f t="shared" si="114"/>
        <v>17.809224051400406</v>
      </c>
      <c r="AA311" s="388">
        <f t="shared" si="115"/>
        <v>21.383837815212726</v>
      </c>
      <c r="AB311" s="199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0.16716427587517968</v>
      </c>
      <c r="AD311" s="233">
        <f>(INDEX(Models!$BJ311:$BT311,,AH311)*(1-AF311)+INDEX(Models!$BJ311:$BT311,,AH311+1)*AF311-ERP_i)*AE311*Ramure*Pc/MaxiM</f>
        <v>8.7072653671166664E-2</v>
      </c>
      <c r="AE311" s="307">
        <f t="shared" si="117"/>
        <v>0.9</v>
      </c>
      <c r="AF311" s="179">
        <f t="shared" si="118"/>
        <v>0.49806835637047975</v>
      </c>
      <c r="AG311" s="839">
        <f t="shared" si="124"/>
        <v>2</v>
      </c>
      <c r="AH311" s="178">
        <f t="shared" si="119"/>
        <v>8</v>
      </c>
      <c r="AI311" s="227">
        <f t="shared" si="120"/>
        <v>2.4980683563704797</v>
      </c>
      <c r="AJ311" s="267" t="b">
        <f t="shared" si="121"/>
        <v>0</v>
      </c>
      <c r="AK311" s="267" t="b">
        <f t="shared" si="122"/>
        <v>0</v>
      </c>
      <c r="AL311" s="267"/>
      <c r="AM311" s="267"/>
      <c r="AN311" s="75"/>
    </row>
    <row r="312" spans="1:40" s="6" customFormat="1" ht="11.25" x14ac:dyDescent="0.2">
      <c r="A312" s="56">
        <f t="shared" si="123"/>
        <v>45955</v>
      </c>
      <c r="B312" s="413">
        <f>'2024'!Wh/'2024'!Env_an*'2025'!Env_an</f>
        <v>17.458709446748816</v>
      </c>
      <c r="C312" s="868"/>
      <c r="D312" s="395">
        <f t="shared" si="102"/>
        <v>18.565825424355378</v>
      </c>
      <c r="E312" s="387">
        <f t="shared" si="125"/>
        <v>20.982014120122322</v>
      </c>
      <c r="F312" s="387">
        <f t="shared" si="103"/>
        <v>21.00228734410808</v>
      </c>
      <c r="G312" s="110">
        <f t="shared" si="126"/>
        <v>0.71617810000328141</v>
      </c>
      <c r="H312" s="416" t="b">
        <f>Wh_hp&gt;='2024'!Maxi_hp</f>
        <v>0</v>
      </c>
      <c r="I312" s="392">
        <f>IF(H312,Wh_hp,'2024'!Maxi_hp)</f>
        <v>29.429997890434077</v>
      </c>
      <c r="J312" s="85">
        <f>IF(H312,An,'2024'!An_max)</f>
        <v>2021</v>
      </c>
      <c r="K312" s="199">
        <f t="shared" si="104"/>
        <v>45955</v>
      </c>
      <c r="L312" s="147">
        <f>IF(t&lt;Tvie,1-EXP((T0-t)*PertePVj)+'2024'!Pspv,1-EXP((T0-t)*PertePVj)+Pspv)</f>
        <v>5.9631928680865642E-2</v>
      </c>
      <c r="M312" s="872"/>
      <c r="N312" s="872"/>
      <c r="O312" s="48">
        <f>IF(t&lt;Tnet,'2024'!Resal+('2024'!Salim-'2024'!Resal)*(1-EXP(('2024'!Tnet-t)/('2024'!Tau_j))),Resal+(Salim-Resal)*(1-EXP((Tnet-t)/(Tau_j))))*Salcycl</f>
        <v>0.11515523161571772</v>
      </c>
      <c r="P312" s="171">
        <f>(INDEX(Models!$BJ312:$BT312,,T312)*(1-R312)+INDEX(Models!$BJ312:$BT312,,T312+1)*R312-ERP_i)*Q312*Ramure*Pc/MaxiM</f>
        <v>1.6217500125674054E-3</v>
      </c>
      <c r="Q312" s="307">
        <f t="shared" si="105"/>
        <v>0.9</v>
      </c>
      <c r="R312" s="179">
        <f t="shared" si="106"/>
        <v>0.86251748570747244</v>
      </c>
      <c r="S312" s="839">
        <f t="shared" si="107"/>
        <v>-3</v>
      </c>
      <c r="T312" s="178">
        <f t="shared" si="108"/>
        <v>3</v>
      </c>
      <c r="U312" s="253">
        <f t="shared" si="109"/>
        <v>-2.1374825142925276</v>
      </c>
      <c r="V312" s="385">
        <f t="shared" si="110"/>
        <v>24.361590178081858</v>
      </c>
      <c r="W312" s="404">
        <f t="shared" si="111"/>
        <v>17.458709446748816</v>
      </c>
      <c r="X312" s="157">
        <f t="shared" si="112"/>
        <v>45955</v>
      </c>
      <c r="Y312" s="387">
        <f t="shared" si="113"/>
        <v>15.572162879885516</v>
      </c>
      <c r="Z312" s="387">
        <f t="shared" si="114"/>
        <v>16.559646541424058</v>
      </c>
      <c r="AA312" s="388">
        <f t="shared" si="115"/>
        <v>19.881343073300418</v>
      </c>
      <c r="AB312" s="199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0.16707606320305488</v>
      </c>
      <c r="AD312" s="233">
        <f>(INDEX(Models!$BJ312:$BT312,,AH312)*(1-AF312)+INDEX(Models!$BJ312:$BT312,,AH312+1)*AF312-ERP_i)*AE312*Ramure*Pc/MaxiM</f>
        <v>8.9669575324915457E-2</v>
      </c>
      <c r="AE312" s="307">
        <f t="shared" si="117"/>
        <v>0.9</v>
      </c>
      <c r="AF312" s="179">
        <f t="shared" si="118"/>
        <v>0.4981731380144514</v>
      </c>
      <c r="AG312" s="839">
        <f t="shared" si="124"/>
        <v>2</v>
      </c>
      <c r="AH312" s="178">
        <f t="shared" si="119"/>
        <v>8</v>
      </c>
      <c r="AI312" s="227">
        <f t="shared" si="120"/>
        <v>2.4981731380144514</v>
      </c>
      <c r="AJ312" s="267" t="b">
        <f t="shared" si="121"/>
        <v>0</v>
      </c>
      <c r="AK312" s="267" t="b">
        <f t="shared" si="122"/>
        <v>0</v>
      </c>
      <c r="AL312" s="267"/>
      <c r="AM312" s="267"/>
      <c r="AN312" s="75"/>
    </row>
    <row r="313" spans="1:40" s="6" customFormat="1" ht="11.25" x14ac:dyDescent="0.2">
      <c r="A313" s="56">
        <f t="shared" si="123"/>
        <v>45956</v>
      </c>
      <c r="B313" s="413">
        <f>'2024'!Wh/'2024'!Env_an*'2025'!Env_an</f>
        <v>13.846409974366827</v>
      </c>
      <c r="C313" s="868"/>
      <c r="D313" s="395">
        <f t="shared" si="102"/>
        <v>14.724800458856597</v>
      </c>
      <c r="E313" s="387">
        <f t="shared" si="125"/>
        <v>16.641406754485523</v>
      </c>
      <c r="F313" s="387">
        <f t="shared" si="103"/>
        <v>16.652555916510956</v>
      </c>
      <c r="G313" s="110">
        <f t="shared" si="126"/>
        <v>0.57466523117748369</v>
      </c>
      <c r="H313" s="416" t="b">
        <f>Wh_hp&gt;='2024'!Maxi_hp</f>
        <v>0</v>
      </c>
      <c r="I313" s="392">
        <f>IF(H313,Wh_hp,'2024'!Maxi_hp)</f>
        <v>29.199862154592079</v>
      </c>
      <c r="J313" s="85">
        <f>IF(H313,An,'2024'!An_max)</f>
        <v>2019</v>
      </c>
      <c r="K313" s="199">
        <f t="shared" si="104"/>
        <v>45956</v>
      </c>
      <c r="L313" s="147">
        <f>IF(t&lt;Tvie,1-EXP((T0-t)*PertePVj)+'2024'!Pspv,1-EXP((T0-t)*PertePVj)+Pspv)</f>
        <v>5.9653812419674601E-2</v>
      </c>
      <c r="M313" s="872"/>
      <c r="N313" s="872"/>
      <c r="O313" s="48">
        <f>IF(t&lt;Tnet,'2024'!Resal+('2024'!Salim-'2024'!Resal)*(1-EXP(('2024'!Tnet-t)/('2024'!Tau_j))),Resal+(Salim-Resal)*(1-EXP((Tnet-t)/(Tau_j))))*Salcycl</f>
        <v>0.11517093019268484</v>
      </c>
      <c r="P313" s="171">
        <f>(INDEX(Models!$BJ313:$BT313,,T313)*(1-R313)+INDEX(Models!$BJ313:$BT313,,T313+1)*R313-ERP_i)*Q313*Ramure*Pc/MaxiM</f>
        <v>1.7026146751112578E-3</v>
      </c>
      <c r="Q313" s="307">
        <f t="shared" si="105"/>
        <v>0.9</v>
      </c>
      <c r="R313" s="179">
        <f t="shared" si="106"/>
        <v>0.86261807810179381</v>
      </c>
      <c r="S313" s="839">
        <f t="shared" si="107"/>
        <v>-3</v>
      </c>
      <c r="T313" s="178">
        <f t="shared" si="108"/>
        <v>3</v>
      </c>
      <c r="U313" s="253">
        <f t="shared" si="109"/>
        <v>-2.1373819218982062</v>
      </c>
      <c r="V313" s="385">
        <f t="shared" si="110"/>
        <v>24.069832208902067</v>
      </c>
      <c r="W313" s="404">
        <f t="shared" si="111"/>
        <v>13.846409974366827</v>
      </c>
      <c r="X313" s="157">
        <f t="shared" si="112"/>
        <v>45956</v>
      </c>
      <c r="Y313" s="387">
        <f t="shared" si="113"/>
        <v>12.570694620041381</v>
      </c>
      <c r="Z313" s="387">
        <f t="shared" si="114"/>
        <v>13.368156096201091</v>
      </c>
      <c r="AA313" s="388">
        <f t="shared" si="115"/>
        <v>16.047937439723761</v>
      </c>
      <c r="AB313" s="199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0.16698602880201641</v>
      </c>
      <c r="AD313" s="233">
        <f>(INDEX(Models!$BJ313:$BT313,,AH313)*(1-AF313)+INDEX(Models!$BJ313:$BT313,,AH313+1)*AF313-ERP_i)*AE313*Ramure*Pc/MaxiM</f>
        <v>9.2332705280713856E-2</v>
      </c>
      <c r="AE313" s="307">
        <f t="shared" si="117"/>
        <v>0.9</v>
      </c>
      <c r="AF313" s="179">
        <f t="shared" si="118"/>
        <v>0.49827373040877276</v>
      </c>
      <c r="AG313" s="839">
        <f t="shared" si="124"/>
        <v>2</v>
      </c>
      <c r="AH313" s="178">
        <f t="shared" si="119"/>
        <v>8</v>
      </c>
      <c r="AI313" s="227">
        <f t="shared" si="120"/>
        <v>2.4982737304087728</v>
      </c>
      <c r="AJ313" s="267" t="b">
        <f t="shared" si="121"/>
        <v>0</v>
      </c>
      <c r="AK313" s="267" t="b">
        <f t="shared" si="122"/>
        <v>0</v>
      </c>
      <c r="AL313" s="267"/>
      <c r="AM313" s="267"/>
      <c r="AN313" s="75"/>
    </row>
    <row r="314" spans="1:40" s="6" customFormat="1" ht="11.25" x14ac:dyDescent="0.2">
      <c r="A314" s="56">
        <f t="shared" si="123"/>
        <v>45957</v>
      </c>
      <c r="B314" s="413">
        <f>'2024'!Wh/'2024'!Env_an*'2025'!Env_an</f>
        <v>11.079567995153665</v>
      </c>
      <c r="C314" s="868"/>
      <c r="D314" s="395">
        <f t="shared" si="102"/>
        <v>11.782709373659335</v>
      </c>
      <c r="E314" s="387">
        <f t="shared" si="125"/>
        <v>13.316583730159625</v>
      </c>
      <c r="F314" s="387">
        <f t="shared" si="103"/>
        <v>13.322273270832616</v>
      </c>
      <c r="G314" s="110">
        <f t="shared" si="126"/>
        <v>0.46526411132056711</v>
      </c>
      <c r="H314" s="416" t="b">
        <f>Wh_hp&gt;='2024'!Maxi_hp</f>
        <v>0</v>
      </c>
      <c r="I314" s="392">
        <f>IF(H314,Wh_hp,'2024'!Maxi_hp)</f>
        <v>29.266376232509479</v>
      </c>
      <c r="J314" s="85">
        <f>IF(H314,An,'2024'!An_max)</f>
        <v>2021</v>
      </c>
      <c r="K314" s="199">
        <f t="shared" si="104"/>
        <v>45957</v>
      </c>
      <c r="L314" s="147">
        <f>IF(t&lt;Tvie,1-EXP((T0-t)*PertePVj)+'2024'!Pspv,1-EXP((T0-t)*PertePVj)+Pspv)</f>
        <v>5.9675695649216931E-2</v>
      </c>
      <c r="M314" s="872"/>
      <c r="N314" s="872"/>
      <c r="O314" s="48">
        <f>IF(t&lt;Tnet,'2024'!Resal+('2024'!Salim-'2024'!Resal)*(1-EXP(('2024'!Tnet-t)/('2024'!Tau_j))),Resal+(Salim-Resal)*(1-EXP((Tnet-t)/(Tau_j))))*Salcycl</f>
        <v>0.11518527481086199</v>
      </c>
      <c r="P314" s="171">
        <f>(INDEX(Models!$BJ314:$BT314,,T314)*(1-R314)+INDEX(Models!$BJ314:$BT314,,T314+1)*R314-ERP_i)*Q314*Ramure*Pc/MaxiM</f>
        <v>1.8019286674822654E-3</v>
      </c>
      <c r="Q314" s="307">
        <f t="shared" si="105"/>
        <v>0.9</v>
      </c>
      <c r="R314" s="179">
        <f t="shared" si="106"/>
        <v>0.86271464759688188</v>
      </c>
      <c r="S314" s="839">
        <f t="shared" si="107"/>
        <v>-3</v>
      </c>
      <c r="T314" s="178">
        <f t="shared" si="108"/>
        <v>3</v>
      </c>
      <c r="U314" s="253">
        <f t="shared" si="109"/>
        <v>-2.1372853524031181</v>
      </c>
      <c r="V314" s="385">
        <f t="shared" si="110"/>
        <v>23.780748128742076</v>
      </c>
      <c r="W314" s="404">
        <f t="shared" si="111"/>
        <v>11.079567995153665</v>
      </c>
      <c r="X314" s="157">
        <f t="shared" si="112"/>
        <v>45957</v>
      </c>
      <c r="Y314" s="387">
        <f t="shared" si="113"/>
        <v>10.201383817455605</v>
      </c>
      <c r="Z314" s="387">
        <f t="shared" si="114"/>
        <v>10.848793092186238</v>
      </c>
      <c r="AA314" s="388">
        <f t="shared" si="115"/>
        <v>13.02210989458964</v>
      </c>
      <c r="AB314" s="199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0.1668943681166721</v>
      </c>
      <c r="AD314" s="233">
        <f>(INDEX(Models!$BJ314:$BT314,,AH314)*(1-AF314)+INDEX(Models!$BJ314:$BT314,,AH314+1)*AF314-ERP_i)*AE314*Ramure*Pc/MaxiM</f>
        <v>9.5064439058868744E-2</v>
      </c>
      <c r="AE314" s="307">
        <f t="shared" si="117"/>
        <v>0.9</v>
      </c>
      <c r="AF314" s="179">
        <f t="shared" si="118"/>
        <v>0.49837029990386084</v>
      </c>
      <c r="AG314" s="839">
        <f t="shared" si="124"/>
        <v>2</v>
      </c>
      <c r="AH314" s="178">
        <f t="shared" si="119"/>
        <v>8</v>
      </c>
      <c r="AI314" s="227">
        <f t="shared" si="120"/>
        <v>2.4983702999038608</v>
      </c>
      <c r="AJ314" s="267" t="b">
        <f t="shared" si="121"/>
        <v>0</v>
      </c>
      <c r="AK314" s="267" t="b">
        <f t="shared" si="122"/>
        <v>0</v>
      </c>
      <c r="AL314" s="267"/>
      <c r="AM314" s="267"/>
      <c r="AN314" s="75"/>
    </row>
    <row r="315" spans="1:40" s="6" customFormat="1" ht="11.25" x14ac:dyDescent="0.2">
      <c r="A315" s="56">
        <f t="shared" si="123"/>
        <v>45958</v>
      </c>
      <c r="B315" s="413">
        <f>'2024'!Wh/'2024'!Env_an*'2025'!Env_an</f>
        <v>15.094920188964196</v>
      </c>
      <c r="C315" s="868"/>
      <c r="D315" s="395">
        <f t="shared" si="102"/>
        <v>16.053260995318322</v>
      </c>
      <c r="E315" s="387">
        <f t="shared" si="125"/>
        <v>18.14334544735356</v>
      </c>
      <c r="F315" s="387">
        <f t="shared" si="103"/>
        <v>18.160409204930044</v>
      </c>
      <c r="G315" s="110">
        <f t="shared" si="126"/>
        <v>0.64186890235010607</v>
      </c>
      <c r="H315" s="416" t="b">
        <f>Wh_hp&gt;='2024'!Maxi_hp</f>
        <v>0</v>
      </c>
      <c r="I315" s="392">
        <f>IF(H315,Wh_hp,'2024'!Maxi_hp)</f>
        <v>28.371022569697843</v>
      </c>
      <c r="J315" s="85">
        <f>IF(H315,An,'2024'!An_max)</f>
        <v>2021</v>
      </c>
      <c r="K315" s="199">
        <f t="shared" si="104"/>
        <v>45958</v>
      </c>
      <c r="L315" s="147">
        <f>IF(t&lt;Tvie,1-EXP((T0-t)*PertePVj)+'2024'!Pspv,1-EXP((T0-t)*PertePVj)+Pspv)</f>
        <v>5.9697578369504622E-2</v>
      </c>
      <c r="M315" s="872"/>
      <c r="N315" s="872"/>
      <c r="O315" s="48">
        <f>IF(t&lt;Tnet,'2024'!Resal+('2024'!Salim-'2024'!Resal)*(1-EXP(('2024'!Tnet-t)/('2024'!Tau_j))),Resal+(Salim-Resal)*(1-EXP((Tnet-t)/(Tau_j))))*Salcycl</f>
        <v>0.11519840473191799</v>
      </c>
      <c r="P315" s="171">
        <f>(INDEX(Models!$BJ315:$BT315,,T315)*(1-R315)+INDEX(Models!$BJ315:$BT315,,T315+1)*R315-ERP_i)*Q315*Ramure*Pc/MaxiM</f>
        <v>1.9203790834644982E-3</v>
      </c>
      <c r="Q315" s="307">
        <f t="shared" si="105"/>
        <v>0.9</v>
      </c>
      <c r="R315" s="179">
        <f t="shared" si="106"/>
        <v>0.86280735402717657</v>
      </c>
      <c r="S315" s="839">
        <f t="shared" si="107"/>
        <v>-3</v>
      </c>
      <c r="T315" s="178">
        <f t="shared" si="108"/>
        <v>3</v>
      </c>
      <c r="U315" s="253">
        <f t="shared" si="109"/>
        <v>-2.1371926459728234</v>
      </c>
      <c r="V315" s="385">
        <f t="shared" si="110"/>
        <v>23.494052485119084</v>
      </c>
      <c r="W315" s="404">
        <f t="shared" si="111"/>
        <v>15.094920188964196</v>
      </c>
      <c r="X315" s="157">
        <f t="shared" si="112"/>
        <v>45958</v>
      </c>
      <c r="Y315" s="387">
        <f t="shared" si="113"/>
        <v>13.546626623269374</v>
      </c>
      <c r="Z315" s="387">
        <f t="shared" si="114"/>
        <v>14.406669930488285</v>
      </c>
      <c r="AA315" s="388">
        <f t="shared" si="115"/>
        <v>17.290797110263586</v>
      </c>
      <c r="AB315" s="199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0.16680128517980941</v>
      </c>
      <c r="AD315" s="233">
        <f>(INDEX(Models!$BJ315:$BT315,,AH315)*(1-AF315)+INDEX(Models!$BJ315:$BT315,,AH315+1)*AF315-ERP_i)*AE315*Ramure*Pc/MaxiM</f>
        <v>9.7867358337687879E-2</v>
      </c>
      <c r="AE315" s="307">
        <f t="shared" si="117"/>
        <v>0.9</v>
      </c>
      <c r="AF315" s="179">
        <f t="shared" si="118"/>
        <v>0.49846300633415552</v>
      </c>
      <c r="AG315" s="839">
        <f t="shared" si="124"/>
        <v>2</v>
      </c>
      <c r="AH315" s="178">
        <f t="shared" si="119"/>
        <v>8</v>
      </c>
      <c r="AI315" s="227">
        <f t="shared" si="120"/>
        <v>2.4984630063341555</v>
      </c>
      <c r="AJ315" s="267" t="b">
        <f t="shared" si="121"/>
        <v>0</v>
      </c>
      <c r="AK315" s="267" t="b">
        <f t="shared" si="122"/>
        <v>0</v>
      </c>
      <c r="AL315" s="267"/>
      <c r="AM315" s="267"/>
      <c r="AN315" s="75"/>
    </row>
    <row r="316" spans="1:40" s="6" customFormat="1" ht="11.25" x14ac:dyDescent="0.2">
      <c r="A316" s="56">
        <f t="shared" si="123"/>
        <v>45959</v>
      </c>
      <c r="B316" s="413">
        <f>'2024'!Wh/'2024'!Env_an*'2025'!Env_an</f>
        <v>19.185816150238868</v>
      </c>
      <c r="C316" s="868"/>
      <c r="D316" s="395">
        <f t="shared" si="102"/>
        <v>20.404353111556048</v>
      </c>
      <c r="E316" s="387">
        <f t="shared" si="125"/>
        <v>23.061250506180958</v>
      </c>
      <c r="F316" s="387">
        <f t="shared" si="103"/>
        <v>23.097023756959832</v>
      </c>
      <c r="G316" s="110">
        <f t="shared" si="126"/>
        <v>0.82621565064357216</v>
      </c>
      <c r="H316" s="416" t="b">
        <f>Wh_hp&gt;='2024'!Maxi_hp</f>
        <v>0</v>
      </c>
      <c r="I316" s="392">
        <f>IF(H316,Wh_hp,'2024'!Maxi_hp)</f>
        <v>25.15927908632538</v>
      </c>
      <c r="J316" s="85">
        <f>IF(H316,An,'2024'!An_max)</f>
        <v>2019</v>
      </c>
      <c r="K316" s="199">
        <f t="shared" si="104"/>
        <v>45959</v>
      </c>
      <c r="L316" s="147">
        <f>IF(t&lt;Tvie,1-EXP((T0-t)*PertePVj)+'2024'!Pspv,1-EXP((T0-t)*PertePVj)+Pspv)</f>
        <v>5.9719460580549333E-2</v>
      </c>
      <c r="M316" s="872"/>
      <c r="N316" s="872"/>
      <c r="O316" s="48">
        <f>IF(t&lt;Tnet,'2024'!Resal+('2024'!Salim-'2024'!Resal)*(1-EXP(('2024'!Tnet-t)/('2024'!Tau_j))),Resal+(Salim-Resal)*(1-EXP((Tnet-t)/(Tau_j))))*Salcycl</f>
        <v>0.11521046501415001</v>
      </c>
      <c r="P316" s="171">
        <f>(INDEX(Models!$BJ316:$BT316,,T316)*(1-R316)+INDEX(Models!$BJ316:$BT316,,T316+1)*R316-ERP_i)*Q316*Ramure*Pc/MaxiM</f>
        <v>2.0586780048620678E-3</v>
      </c>
      <c r="Q316" s="307">
        <f t="shared" si="105"/>
        <v>0.9</v>
      </c>
      <c r="R316" s="179">
        <f t="shared" si="106"/>
        <v>0.8628963509593075</v>
      </c>
      <c r="S316" s="839">
        <f t="shared" si="107"/>
        <v>-3</v>
      </c>
      <c r="T316" s="178">
        <f t="shared" si="108"/>
        <v>3</v>
      </c>
      <c r="U316" s="253">
        <f t="shared" si="109"/>
        <v>-2.1371036490406925</v>
      </c>
      <c r="V316" s="385">
        <f t="shared" si="110"/>
        <v>23.209459924564005</v>
      </c>
      <c r="W316" s="404">
        <f t="shared" si="111"/>
        <v>19.185816150238868</v>
      </c>
      <c r="X316" s="157">
        <f t="shared" si="112"/>
        <v>45959</v>
      </c>
      <c r="Y316" s="387">
        <f t="shared" si="113"/>
        <v>16.725535838522212</v>
      </c>
      <c r="Z316" s="387">
        <f t="shared" si="114"/>
        <v>17.787814526980338</v>
      </c>
      <c r="AA316" s="388">
        <f t="shared" si="115"/>
        <v>21.346410390014743</v>
      </c>
      <c r="AB316" s="199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0.16670699185559637</v>
      </c>
      <c r="AD316" s="233">
        <f>(INDEX(Models!$BJ316:$BT316,,AH316)*(1-AF316)+INDEX(Models!$BJ316:$BT316,,AH316+1)*AF316-ERP_i)*AE316*Ramure*Pc/MaxiM</f>
        <v>0.10074424758947798</v>
      </c>
      <c r="AE316" s="307">
        <f t="shared" si="117"/>
        <v>0.9</v>
      </c>
      <c r="AF316" s="179">
        <f t="shared" si="118"/>
        <v>0.49855200326628646</v>
      </c>
      <c r="AG316" s="839">
        <f t="shared" si="124"/>
        <v>2</v>
      </c>
      <c r="AH316" s="178">
        <f t="shared" si="119"/>
        <v>8</v>
      </c>
      <c r="AI316" s="227">
        <f t="shared" si="120"/>
        <v>2.4985520032662865</v>
      </c>
      <c r="AJ316" s="267" t="b">
        <f t="shared" si="121"/>
        <v>0</v>
      </c>
      <c r="AK316" s="267" t="b">
        <f t="shared" si="122"/>
        <v>0</v>
      </c>
      <c r="AL316" s="267"/>
      <c r="AM316" s="267"/>
      <c r="AN316" s="75"/>
    </row>
    <row r="317" spans="1:40" s="6" customFormat="1" ht="11.25" x14ac:dyDescent="0.2">
      <c r="A317" s="56">
        <f t="shared" si="123"/>
        <v>45960</v>
      </c>
      <c r="B317" s="413">
        <f>'2024'!Wh/'2024'!Env_an*'2025'!Env_an</f>
        <v>16.55371355138896</v>
      </c>
      <c r="C317" s="868"/>
      <c r="D317" s="395">
        <f t="shared" si="102"/>
        <v>17.60548910187233</v>
      </c>
      <c r="E317" s="387">
        <f t="shared" si="125"/>
        <v>19.898190575764552</v>
      </c>
      <c r="F317" s="387">
        <f t="shared" si="103"/>
        <v>19.92482970913051</v>
      </c>
      <c r="G317" s="110">
        <f t="shared" si="126"/>
        <v>0.72139496669467573</v>
      </c>
      <c r="H317" s="416" t="b">
        <f>Wh_hp&gt;='2024'!Maxi_hp</f>
        <v>0</v>
      </c>
      <c r="I317" s="392">
        <f>IF(H317,Wh_hp,'2024'!Maxi_hp)</f>
        <v>25.463678721185552</v>
      </c>
      <c r="J317" s="85">
        <f>IF(H317,An,'2024'!An_max)</f>
        <v>2020</v>
      </c>
      <c r="K317" s="199">
        <f t="shared" si="104"/>
        <v>45960</v>
      </c>
      <c r="L317" s="147">
        <f>IF(t&lt;Tvie,1-EXP((T0-t)*PertePVj)+'2024'!Pspv,1-EXP((T0-t)*PertePVj)+Pspv)</f>
        <v>5.9741342282363163E-2</v>
      </c>
      <c r="M317" s="872"/>
      <c r="N317" s="872"/>
      <c r="O317" s="48">
        <f>IF(t&lt;Tnet,'2024'!Resal+('2024'!Salim-'2024'!Resal)*(1-EXP(('2024'!Tnet-t)/('2024'!Tau_j))),Resal+(Salim-Resal)*(1-EXP((Tnet-t)/(Tau_j))))*Salcycl</f>
        <v>0.11522160596273871</v>
      </c>
      <c r="P317" s="171">
        <f>(INDEX(Models!$BJ317:$BT317,,T317)*(1-R317)+INDEX(Models!$BJ317:$BT317,,T317+1)*R317-ERP_i)*Q317*Ramure*Pc/MaxiM</f>
        <v>2.2175759737517874E-3</v>
      </c>
      <c r="Q317" s="307">
        <f t="shared" si="105"/>
        <v>0.9</v>
      </c>
      <c r="R317" s="179">
        <f t="shared" si="106"/>
        <v>0.8629817859313671</v>
      </c>
      <c r="S317" s="839">
        <f t="shared" si="107"/>
        <v>-3</v>
      </c>
      <c r="T317" s="178">
        <f t="shared" si="108"/>
        <v>3</v>
      </c>
      <c r="U317" s="253">
        <f t="shared" si="109"/>
        <v>-2.1370182140686329</v>
      </c>
      <c r="V317" s="385">
        <f t="shared" si="110"/>
        <v>22.92657655617899</v>
      </c>
      <c r="W317" s="404">
        <f t="shared" si="111"/>
        <v>16.55371355138896</v>
      </c>
      <c r="X317" s="157">
        <f t="shared" si="112"/>
        <v>45960</v>
      </c>
      <c r="Y317" s="387">
        <f t="shared" si="113"/>
        <v>14.63697415606655</v>
      </c>
      <c r="Z317" s="387">
        <f t="shared" si="114"/>
        <v>15.566965574766437</v>
      </c>
      <c r="AA317" s="388">
        <f t="shared" si="115"/>
        <v>18.679126771895714</v>
      </c>
      <c r="AB317" s="199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0.16661170702111089</v>
      </c>
      <c r="AD317" s="233">
        <f>(INDEX(Models!$BJ317:$BT317,,AH317)*(1-AF317)+INDEX(Models!$BJ317:$BT317,,AH317+1)*AF317-ERP_i)*AE317*Ramure*Pc/MaxiM</f>
        <v>0.10369860258195222</v>
      </c>
      <c r="AE317" s="307">
        <f t="shared" si="117"/>
        <v>0.9</v>
      </c>
      <c r="AF317" s="179">
        <f t="shared" si="118"/>
        <v>0.49863743823834605</v>
      </c>
      <c r="AG317" s="839">
        <f t="shared" si="124"/>
        <v>2</v>
      </c>
      <c r="AH317" s="178">
        <f t="shared" si="119"/>
        <v>8</v>
      </c>
      <c r="AI317" s="227">
        <f t="shared" si="120"/>
        <v>2.4986374382383461</v>
      </c>
      <c r="AJ317" s="267" t="b">
        <f t="shared" si="121"/>
        <v>0</v>
      </c>
      <c r="AK317" s="267" t="b">
        <f t="shared" si="122"/>
        <v>0</v>
      </c>
      <c r="AL317" s="267"/>
      <c r="AM317" s="267"/>
      <c r="AN317" s="75"/>
    </row>
    <row r="318" spans="1:40" s="6" customFormat="1" ht="11.25" x14ac:dyDescent="0.2">
      <c r="A318" s="56">
        <f t="shared" si="123"/>
        <v>45961</v>
      </c>
      <c r="B318" s="413">
        <f>'2024'!Wh/'2024'!Env_an*'2025'!Env_an</f>
        <v>16.139788465286028</v>
      </c>
      <c r="C318" s="868"/>
      <c r="D318" s="395">
        <f t="shared" si="102"/>
        <v>17.165663871323968</v>
      </c>
      <c r="E318" s="387">
        <f t="shared" si="125"/>
        <v>19.401315974972089</v>
      </c>
      <c r="F318" s="387">
        <f t="shared" si="103"/>
        <v>19.42887915444966</v>
      </c>
      <c r="G318" s="110">
        <f t="shared" si="126"/>
        <v>0.71201798407542094</v>
      </c>
      <c r="H318" s="416" t="b">
        <f>Wh_hp&gt;='2024'!Maxi_hp</f>
        <v>0</v>
      </c>
      <c r="I318" s="392">
        <f>IF(H318,Wh_hp,'2024'!Maxi_hp)</f>
        <v>27.758372597474693</v>
      </c>
      <c r="J318" s="85">
        <f>IF(H318,An,'2024'!An_max)</f>
        <v>2020</v>
      </c>
      <c r="K318" s="199">
        <f t="shared" si="104"/>
        <v>45961</v>
      </c>
      <c r="L318" s="147">
        <f>IF(t&lt;Tvie,1-EXP((T0-t)*PertePVj)+'2024'!Pspv,1-EXP((T0-t)*PertePVj)+Pspv)</f>
        <v>5.9763223474957661E-2</v>
      </c>
      <c r="M318" s="872"/>
      <c r="N318" s="872"/>
      <c r="O318" s="48">
        <f>IF(t&lt;Tnet,'2024'!Resal+('2024'!Salim-'2024'!Resal)*(1-EXP(('2024'!Tnet-t)/('2024'!Tau_j))),Resal+(Salim-Resal)*(1-EXP((Tnet-t)/(Tau_j))))*Salcycl</f>
        <v>0.11523198253830498</v>
      </c>
      <c r="P318" s="171">
        <f>(INDEX(Models!$BJ318:$BT318,,T318)*(1-R318)+INDEX(Models!$BJ318:$BT318,,T318+1)*R318-ERP_i)*Q318*Ramure*Pc/MaxiM</f>
        <v>2.4061415295856207E-3</v>
      </c>
      <c r="Q318" s="307">
        <f t="shared" si="105"/>
        <v>0.9</v>
      </c>
      <c r="R318" s="179">
        <f t="shared" si="106"/>
        <v>0.86306380068357225</v>
      </c>
      <c r="S318" s="839">
        <f t="shared" si="107"/>
        <v>-3</v>
      </c>
      <c r="T318" s="178">
        <f t="shared" si="108"/>
        <v>3</v>
      </c>
      <c r="U318" s="253">
        <f t="shared" si="109"/>
        <v>-2.1369361993164278</v>
      </c>
      <c r="V318" s="385">
        <f t="shared" si="110"/>
        <v>22.645254209240857</v>
      </c>
      <c r="W318" s="404">
        <f t="shared" si="111"/>
        <v>16.139788465286028</v>
      </c>
      <c r="X318" s="157">
        <f t="shared" si="112"/>
        <v>45961</v>
      </c>
      <c r="Y318" s="387">
        <f t="shared" si="113"/>
        <v>14.267999559859632</v>
      </c>
      <c r="Z318" s="387">
        <f t="shared" si="114"/>
        <v>15.174900531536077</v>
      </c>
      <c r="AA318" s="388">
        <f t="shared" si="115"/>
        <v>18.206581365505116</v>
      </c>
      <c r="AB318" s="199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0.16651565569102267</v>
      </c>
      <c r="AD318" s="233">
        <f>(INDEX(Models!$BJ318:$BT318,,AH318)*(1-AF318)+INDEX(Models!$BJ318:$BT318,,AH318+1)*AF318-ERP_i)*AE318*Ramure*Pc/MaxiM</f>
        <v>0.10670109643530677</v>
      </c>
      <c r="AE318" s="307">
        <f t="shared" si="117"/>
        <v>0.9</v>
      </c>
      <c r="AF318" s="179">
        <f t="shared" si="118"/>
        <v>0.4987194529905512</v>
      </c>
      <c r="AG318" s="839">
        <f t="shared" si="124"/>
        <v>2</v>
      </c>
      <c r="AH318" s="178">
        <f t="shared" si="119"/>
        <v>8</v>
      </c>
      <c r="AI318" s="227">
        <f t="shared" si="120"/>
        <v>2.4987194529905512</v>
      </c>
      <c r="AJ318" s="267" t="b">
        <f t="shared" si="121"/>
        <v>0</v>
      </c>
      <c r="AK318" s="267" t="b">
        <f t="shared" si="122"/>
        <v>0</v>
      </c>
      <c r="AL318" s="267"/>
      <c r="AM318" s="267"/>
      <c r="AN318" s="75"/>
    </row>
    <row r="319" spans="1:40" s="6" customFormat="1" ht="11.25" x14ac:dyDescent="0.2">
      <c r="A319" s="56">
        <f t="shared" si="123"/>
        <v>45962</v>
      </c>
      <c r="B319" s="413">
        <f>'2024'!Wh/'2024'!Env_an*'2025'!Env_an</f>
        <v>15.24767381206742</v>
      </c>
      <c r="C319" s="868"/>
      <c r="D319" s="395">
        <f t="shared" si="102"/>
        <v>16.217222126031213</v>
      </c>
      <c r="E319" s="387">
        <f t="shared" si="125"/>
        <v>18.329551823168671</v>
      </c>
      <c r="F319" s="387">
        <f t="shared" si="103"/>
        <v>18.355785982601294</v>
      </c>
      <c r="G319" s="110">
        <f t="shared" si="126"/>
        <v>0.68092210712480672</v>
      </c>
      <c r="H319" s="416" t="b">
        <f>Wh_hp&gt;='2024'!Maxi_hp</f>
        <v>0</v>
      </c>
      <c r="I319" s="392">
        <f>IF(H319,Wh_hp,'2024'!Maxi_hp)</f>
        <v>26.743008767740822</v>
      </c>
      <c r="J319" s="85">
        <f>IF(H319,An,'2024'!An_max)</f>
        <v>2020</v>
      </c>
      <c r="K319" s="199">
        <f t="shared" si="104"/>
        <v>45962</v>
      </c>
      <c r="L319" s="147">
        <f>IF(t&lt;Tvie,1-EXP((T0-t)*PertePVj)+'2024'!Pspv,1-EXP((T0-t)*PertePVj)+Pspv)</f>
        <v>5.9785104158344926E-2</v>
      </c>
      <c r="M319" s="872"/>
      <c r="N319" s="872"/>
      <c r="O319" s="48">
        <f>IF(t&lt;Tnet,'2024'!Resal+('2024'!Salim-'2024'!Resal)*(1-EXP(('2024'!Tnet-t)/('2024'!Tau_j))),Resal+(Salim-Resal)*(1-EXP((Tnet-t)/(Tau_j))))*Salcycl</f>
        <v>0.11524175372730398</v>
      </c>
      <c r="P319" s="171">
        <f>(INDEX(Models!$BJ319:$BT319,,T319)*(1-R319)+INDEX(Models!$BJ319:$BT319,,T319+1)*R319-ERP_i)*Q319*Ramure*Pc/MaxiM</f>
        <v>2.6207738004940971E-3</v>
      </c>
      <c r="Q319" s="307">
        <f t="shared" si="105"/>
        <v>0.9</v>
      </c>
      <c r="R319" s="179">
        <f t="shared" si="106"/>
        <v>0.86314253138057095</v>
      </c>
      <c r="S319" s="839">
        <f t="shared" si="107"/>
        <v>-3</v>
      </c>
      <c r="T319" s="178">
        <f t="shared" si="108"/>
        <v>3</v>
      </c>
      <c r="U319" s="253">
        <f t="shared" si="109"/>
        <v>-2.136857468619429</v>
      </c>
      <c r="V319" s="385">
        <f t="shared" si="110"/>
        <v>22.365963710707565</v>
      </c>
      <c r="W319" s="404">
        <f t="shared" si="111"/>
        <v>15.24767381206742</v>
      </c>
      <c r="X319" s="157">
        <f t="shared" si="112"/>
        <v>45962</v>
      </c>
      <c r="Y319" s="387">
        <f t="shared" si="113"/>
        <v>13.525405355408338</v>
      </c>
      <c r="Z319" s="387">
        <f t="shared" si="114"/>
        <v>14.385440408600163</v>
      </c>
      <c r="AA319" s="388">
        <f t="shared" si="115"/>
        <v>17.257401000826512</v>
      </c>
      <c r="AB319" s="199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0.16641906809077464</v>
      </c>
      <c r="AD319" s="233">
        <f>(INDEX(Models!$BJ319:$BT319,,AH319)*(1-AF319)+INDEX(Models!$BJ319:$BT319,,AH319+1)*AF319-ERP_i)*AE319*Ramure*Pc/MaxiM</f>
        <v>0.10972787561517244</v>
      </c>
      <c r="AE319" s="307">
        <f t="shared" si="117"/>
        <v>0.9</v>
      </c>
      <c r="AF319" s="179">
        <f t="shared" si="118"/>
        <v>0.49879818368754991</v>
      </c>
      <c r="AG319" s="839">
        <f t="shared" si="124"/>
        <v>2</v>
      </c>
      <c r="AH319" s="178">
        <f t="shared" si="119"/>
        <v>8</v>
      </c>
      <c r="AI319" s="227">
        <f t="shared" si="120"/>
        <v>2.4987981836875499</v>
      </c>
      <c r="AJ319" s="267" t="b">
        <f t="shared" si="121"/>
        <v>0</v>
      </c>
      <c r="AK319" s="267" t="b">
        <f t="shared" si="122"/>
        <v>0</v>
      </c>
      <c r="AL319" s="267"/>
      <c r="AM319" s="267"/>
      <c r="AN319" s="75"/>
    </row>
    <row r="320" spans="1:40" s="6" customFormat="1" ht="11.25" x14ac:dyDescent="0.2">
      <c r="A320" s="56">
        <f t="shared" si="123"/>
        <v>45963</v>
      </c>
      <c r="B320" s="413">
        <f>'2024'!Wh/'2024'!Env_an*'2025'!Env_an</f>
        <v>20.665497082467571</v>
      </c>
      <c r="C320" s="868"/>
      <c r="D320" s="395">
        <f t="shared" si="102"/>
        <v>21.980058071157536</v>
      </c>
      <c r="E320" s="387">
        <f t="shared" si="125"/>
        <v>24.843272052614477</v>
      </c>
      <c r="F320" s="387">
        <f t="shared" si="103"/>
        <v>24.908003626883762</v>
      </c>
      <c r="G320" s="110">
        <f t="shared" si="126"/>
        <v>0.93530579087141141</v>
      </c>
      <c r="H320" s="416" t="b">
        <f>Wh_hp&gt;='2024'!Maxi_hp</f>
        <v>0</v>
      </c>
      <c r="I320" s="392">
        <f>IF(H320,Wh_hp,'2024'!Maxi_hp)</f>
        <v>25.963625869506139</v>
      </c>
      <c r="J320" s="85">
        <f>IF(H320,An,'2024'!An_max)</f>
        <v>2021</v>
      </c>
      <c r="K320" s="199">
        <f t="shared" si="104"/>
        <v>45963</v>
      </c>
      <c r="L320" s="147">
        <f>IF(t&lt;Tvie,1-EXP((T0-t)*PertePVj)+'2024'!Pspv,1-EXP((T0-t)*PertePVj)+Pspv)</f>
        <v>5.9806984332536728E-2</v>
      </c>
      <c r="M320" s="872"/>
      <c r="N320" s="872"/>
      <c r="O320" s="48">
        <f>IF(t&lt;Tnet,'2024'!Resal+('2024'!Salim-'2024'!Resal)*(1-EXP(('2024'!Tnet-t)/('2024'!Tau_j))),Resal+(Salim-Resal)*(1-EXP((Tnet-t)/(Tau_j))))*Salcycl</f>
        <v>0.11525108187814648</v>
      </c>
      <c r="P320" s="171">
        <f>(INDEX(Models!$BJ320:$BT320,,T320)*(1-R320)+INDEX(Models!$BJ320:$BT320,,T320+1)*R320-ERP_i)*Q320*Ramure*Pc/MaxiM</f>
        <v>2.8623552299326402E-3</v>
      </c>
      <c r="Q320" s="307">
        <f t="shared" si="105"/>
        <v>0.9</v>
      </c>
      <c r="R320" s="179">
        <f t="shared" si="106"/>
        <v>0.86321810882566652</v>
      </c>
      <c r="S320" s="839">
        <f t="shared" si="107"/>
        <v>-3</v>
      </c>
      <c r="T320" s="178">
        <f t="shared" si="108"/>
        <v>3</v>
      </c>
      <c r="U320" s="253">
        <f t="shared" si="109"/>
        <v>-2.1367818911743335</v>
      </c>
      <c r="V320" s="385">
        <f t="shared" si="110"/>
        <v>22.089071977609464</v>
      </c>
      <c r="W320" s="404">
        <f t="shared" si="111"/>
        <v>20.665497082467571</v>
      </c>
      <c r="X320" s="157">
        <f t="shared" si="112"/>
        <v>45963</v>
      </c>
      <c r="Y320" s="387">
        <f t="shared" si="113"/>
        <v>17.524275389041076</v>
      </c>
      <c r="Z320" s="387">
        <f t="shared" si="114"/>
        <v>18.639018900390592</v>
      </c>
      <c r="AA320" s="388">
        <f t="shared" si="115"/>
        <v>22.35758037915669</v>
      </c>
      <c r="AB320" s="199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0.16632217868409432</v>
      </c>
      <c r="AD320" s="233">
        <f>(INDEX(Models!$BJ320:$BT320,,AH320)*(1-AF320)+INDEX(Models!$BJ320:$BT320,,AH320+1)*AF320-ERP_i)*AE320*Ramure*Pc/MaxiM</f>
        <v>0.11277676163574235</v>
      </c>
      <c r="AE320" s="307">
        <f t="shared" si="117"/>
        <v>0.9</v>
      </c>
      <c r="AF320" s="179">
        <f t="shared" si="118"/>
        <v>0.49887376113264548</v>
      </c>
      <c r="AG320" s="839">
        <f t="shared" si="124"/>
        <v>2</v>
      </c>
      <c r="AH320" s="178">
        <f t="shared" si="119"/>
        <v>8</v>
      </c>
      <c r="AI320" s="227">
        <f t="shared" si="120"/>
        <v>2.4988737611326455</v>
      </c>
      <c r="AJ320" s="267" t="b">
        <f t="shared" si="121"/>
        <v>0</v>
      </c>
      <c r="AK320" s="267" t="b">
        <f t="shared" si="122"/>
        <v>0</v>
      </c>
      <c r="AL320" s="267"/>
      <c r="AM320" s="267"/>
      <c r="AN320" s="75"/>
    </row>
    <row r="321" spans="1:40" s="6" customFormat="1" ht="11.25" x14ac:dyDescent="0.2">
      <c r="A321" s="56">
        <f t="shared" si="123"/>
        <v>45964</v>
      </c>
      <c r="B321" s="413">
        <f>'2024'!Wh/'2024'!Env_an*'2025'!Env_an</f>
        <v>5.4438810668890296</v>
      </c>
      <c r="C321" s="868"/>
      <c r="D321" s="395">
        <f t="shared" si="102"/>
        <v>5.7903086559709207</v>
      </c>
      <c r="E321" s="387">
        <f t="shared" si="125"/>
        <v>6.5446453420345501</v>
      </c>
      <c r="F321" s="387">
        <f t="shared" si="103"/>
        <v>6.5446453420345501</v>
      </c>
      <c r="G321" s="110">
        <f t="shared" si="126"/>
        <v>0.24876669638263024</v>
      </c>
      <c r="H321" s="416" t="b">
        <f>Wh_hp&gt;='2024'!Maxi_hp</f>
        <v>0</v>
      </c>
      <c r="I321" s="392">
        <f>IF(H321,Wh_hp,'2024'!Maxi_hp)</f>
        <v>25.318145187066094</v>
      </c>
      <c r="J321" s="85">
        <f>IF(H321,An,'2024'!An_max)</f>
        <v>2020</v>
      </c>
      <c r="K321" s="199">
        <f t="shared" si="104"/>
        <v>45964</v>
      </c>
      <c r="L321" s="147">
        <f>IF(t&lt;Tvie,1-EXP((T0-t)*PertePVj)+'2024'!Pspv,1-EXP((T0-t)*PertePVj)+Pspv)</f>
        <v>5.9828863997544945E-2</v>
      </c>
      <c r="M321" s="872"/>
      <c r="N321" s="872"/>
      <c r="O321" s="48">
        <f>IF(t&lt;Tnet,'2024'!Resal+('2024'!Salim-'2024'!Resal)*(1-EXP(('2024'!Tnet-t)/('2024'!Tau_j))),Resal+(Salim-Resal)*(1-EXP((Tnet-t)/(Tau_j))))*Salcycl</f>
        <v>0.11526013200726425</v>
      </c>
      <c r="P321" s="171">
        <f>(INDEX(Models!$BJ321:$BT321,,T321)*(1-R321)+INDEX(Models!$BJ321:$BT321,,T321+1)*R321-ERP_i)*Q321*Ramure*Pc/MaxiM</f>
        <v>3.1317743173731819E-3</v>
      </c>
      <c r="Q321" s="307">
        <f t="shared" si="105"/>
        <v>0.9</v>
      </c>
      <c r="R321" s="179">
        <f t="shared" si="106"/>
        <v>0.86329065866721688</v>
      </c>
      <c r="S321" s="839">
        <f t="shared" si="107"/>
        <v>-3</v>
      </c>
      <c r="T321" s="178">
        <f t="shared" si="108"/>
        <v>3</v>
      </c>
      <c r="U321" s="253">
        <f t="shared" si="109"/>
        <v>-2.1367093413327831</v>
      </c>
      <c r="V321" s="385">
        <f t="shared" si="110"/>
        <v>21.814946047399584</v>
      </c>
      <c r="W321" s="404">
        <f t="shared" si="111"/>
        <v>5.4438810668890296</v>
      </c>
      <c r="X321" s="157">
        <f t="shared" si="112"/>
        <v>45964</v>
      </c>
      <c r="Y321" s="387">
        <f t="shared" si="113"/>
        <v>5.1302884327943605</v>
      </c>
      <c r="Z321" s="387">
        <f t="shared" si="114"/>
        <v>5.4567601964553019</v>
      </c>
      <c r="AA321" s="388">
        <f t="shared" si="115"/>
        <v>6.5446453420345501</v>
      </c>
      <c r="AB321" s="199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0.16622522516110161</v>
      </c>
      <c r="AD321" s="233">
        <f>(INDEX(Models!$BJ321:$BT321,,AH321)*(1-AF321)+INDEX(Models!$BJ321:$BT321,,AH321+1)*AF321-ERP_i)*AE321*Ramure*Pc/MaxiM</f>
        <v>0.11584523778812689</v>
      </c>
      <c r="AE321" s="307">
        <f t="shared" si="117"/>
        <v>0.9</v>
      </c>
      <c r="AF321" s="179">
        <f t="shared" si="118"/>
        <v>0.49894631097419584</v>
      </c>
      <c r="AG321" s="839">
        <f t="shared" si="124"/>
        <v>2</v>
      </c>
      <c r="AH321" s="178">
        <f t="shared" si="119"/>
        <v>8</v>
      </c>
      <c r="AI321" s="227">
        <f t="shared" si="120"/>
        <v>2.4989463109741958</v>
      </c>
      <c r="AJ321" s="267" t="b">
        <f t="shared" si="121"/>
        <v>0</v>
      </c>
      <c r="AK321" s="267" t="b">
        <f t="shared" si="122"/>
        <v>0</v>
      </c>
      <c r="AL321" s="267"/>
      <c r="AM321" s="267"/>
      <c r="AN321" s="75"/>
    </row>
    <row r="322" spans="1:40" s="6" customFormat="1" ht="11.25" x14ac:dyDescent="0.2">
      <c r="A322" s="56">
        <f t="shared" si="123"/>
        <v>45965</v>
      </c>
      <c r="B322" s="413">
        <f>'2024'!Wh/'2024'!Env_an*'2025'!Env_an</f>
        <v>11.265260069771839</v>
      </c>
      <c r="C322" s="868"/>
      <c r="D322" s="395">
        <f t="shared" si="102"/>
        <v>11.982416608568057</v>
      </c>
      <c r="E322" s="387">
        <f t="shared" si="125"/>
        <v>13.543571516359286</v>
      </c>
      <c r="F322" s="387">
        <f t="shared" si="103"/>
        <v>13.558379542936526</v>
      </c>
      <c r="G322" s="110">
        <f t="shared" si="126"/>
        <v>0.52167287211788527</v>
      </c>
      <c r="H322" s="416" t="b">
        <f>Wh_hp&gt;='2024'!Maxi_hp</f>
        <v>0</v>
      </c>
      <c r="I322" s="392">
        <f>IF(H322,Wh_hp,'2024'!Maxi_hp)</f>
        <v>18.873766608269342</v>
      </c>
      <c r="J322" s="85">
        <f>IF(H322,An,'2024'!An_max)</f>
        <v>2018</v>
      </c>
      <c r="K322" s="199">
        <f t="shared" si="104"/>
        <v>45965</v>
      </c>
      <c r="L322" s="147">
        <f>IF(t&lt;Tvie,1-EXP((T0-t)*PertePVj)+'2024'!Pspv,1-EXP((T0-t)*PertePVj)+Pspv)</f>
        <v>5.9850743153381347E-2</v>
      </c>
      <c r="M322" s="872"/>
      <c r="N322" s="872"/>
      <c r="O322" s="48">
        <f>IF(t&lt;Tnet,'2024'!Resal+('2024'!Salim-'2024'!Resal)*(1-EXP(('2024'!Tnet-t)/('2024'!Tau_j))),Resal+(Salim-Resal)*(1-EXP((Tnet-t)/(Tau_j))))*Salcycl</f>
        <v>0.11526907107962697</v>
      </c>
      <c r="P322" s="171">
        <f>(INDEX(Models!$BJ322:$BT322,,T322)*(1-R322)+INDEX(Models!$BJ322:$BT322,,T322+1)*R322-ERP_i)*Q322*Ramure*Pc/MaxiM</f>
        <v>3.4299198558426806E-3</v>
      </c>
      <c r="Q322" s="307">
        <f t="shared" si="105"/>
        <v>0.9</v>
      </c>
      <c r="R322" s="179">
        <f t="shared" si="106"/>
        <v>0.86336030159745825</v>
      </c>
      <c r="S322" s="839">
        <f t="shared" si="107"/>
        <v>-3</v>
      </c>
      <c r="T322" s="178">
        <f t="shared" si="108"/>
        <v>3</v>
      </c>
      <c r="U322" s="253">
        <f t="shared" si="109"/>
        <v>-2.1366396984025418</v>
      </c>
      <c r="V322" s="385">
        <f t="shared" si="110"/>
        <v>21.543953102249276</v>
      </c>
      <c r="W322" s="404">
        <f t="shared" si="111"/>
        <v>11.265260069771839</v>
      </c>
      <c r="X322" s="157">
        <f t="shared" si="112"/>
        <v>45965</v>
      </c>
      <c r="Y322" s="387">
        <f t="shared" si="113"/>
        <v>10.22674404860722</v>
      </c>
      <c r="Z322" s="387">
        <f t="shared" si="114"/>
        <v>10.87778772799229</v>
      </c>
      <c r="AA322" s="388">
        <f t="shared" si="115"/>
        <v>13.04492004073394</v>
      </c>
      <c r="AB322" s="199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0.16612844739366614</v>
      </c>
      <c r="AD322" s="233">
        <f>(INDEX(Models!$BJ322:$BT322,,AH322)*(1-AF322)+INDEX(Models!$BJ322:$BT322,,AH322+1)*AF322-ERP_i)*AE322*Ramure*Pc/MaxiM</f>
        <v>0.11893042820995772</v>
      </c>
      <c r="AE322" s="307">
        <f t="shared" si="117"/>
        <v>0.9</v>
      </c>
      <c r="AF322" s="179">
        <f t="shared" si="118"/>
        <v>0.4990159539044372</v>
      </c>
      <c r="AG322" s="839">
        <f t="shared" si="124"/>
        <v>2</v>
      </c>
      <c r="AH322" s="178">
        <f t="shared" si="119"/>
        <v>8</v>
      </c>
      <c r="AI322" s="227">
        <f t="shared" si="120"/>
        <v>2.4990159539044372</v>
      </c>
      <c r="AJ322" s="267" t="b">
        <f t="shared" si="121"/>
        <v>0</v>
      </c>
      <c r="AK322" s="267" t="b">
        <f t="shared" si="122"/>
        <v>0</v>
      </c>
      <c r="AL322" s="267"/>
      <c r="AM322" s="267"/>
      <c r="AN322" s="75"/>
    </row>
    <row r="323" spans="1:40" s="6" customFormat="1" ht="11.25" x14ac:dyDescent="0.2">
      <c r="A323" s="56">
        <f t="shared" si="123"/>
        <v>45966</v>
      </c>
      <c r="B323" s="413">
        <f>'2024'!Wh/'2024'!Env_an*'2025'!Env_an</f>
        <v>19.738282035103197</v>
      </c>
      <c r="C323" s="868"/>
      <c r="D323" s="395">
        <f t="shared" si="102"/>
        <v>20.995327327767008</v>
      </c>
      <c r="E323" s="387">
        <f t="shared" si="125"/>
        <v>23.730989987944831</v>
      </c>
      <c r="F323" s="387">
        <f t="shared" si="103"/>
        <v>23.811224002491421</v>
      </c>
      <c r="G323" s="110">
        <f t="shared" si="126"/>
        <v>0.92734390589593485</v>
      </c>
      <c r="H323" s="416" t="b">
        <f>Wh_hp&gt;='2024'!Maxi_hp</f>
        <v>1</v>
      </c>
      <c r="I323" s="392">
        <f>IF(H323,Wh_hp,'2024'!Maxi_hp)</f>
        <v>23.811224002491421</v>
      </c>
      <c r="J323" s="85">
        <f>IF(H323,An,'2024'!An_max)</f>
        <v>2025</v>
      </c>
      <c r="K323" s="199">
        <f t="shared" si="104"/>
        <v>45966</v>
      </c>
      <c r="L323" s="147">
        <f>IF(t&lt;Tvie,1-EXP((T0-t)*PertePVj)+'2024'!Pspv,1-EXP((T0-t)*PertePVj)+Pspv)</f>
        <v>5.9872621800057813E-2</v>
      </c>
      <c r="M323" s="872"/>
      <c r="N323" s="872"/>
      <c r="O323" s="48">
        <f>IF(t&lt;Tnet,'2024'!Resal+('2024'!Salim-'2024'!Resal)*(1-EXP(('2024'!Tnet-t)/('2024'!Tau_j))),Resal+(Salim-Resal)*(1-EXP((Tnet-t)/(Tau_j))))*Salcycl</f>
        <v>0.11527806726847542</v>
      </c>
      <c r="P323" s="171">
        <f>(INDEX(Models!$BJ323:$BT323,,T323)*(1-R323)+INDEX(Models!$BJ323:$BT323,,T323+1)*R323-ERP_i)*Q323*Ramure*Pc/MaxiM</f>
        <v>3.757674420148795E-3</v>
      </c>
      <c r="Q323" s="307">
        <f t="shared" si="105"/>
        <v>0.9</v>
      </c>
      <c r="R323" s="179">
        <f t="shared" si="106"/>
        <v>0.86342715354400346</v>
      </c>
      <c r="S323" s="839">
        <f t="shared" si="107"/>
        <v>-3</v>
      </c>
      <c r="T323" s="178">
        <f t="shared" si="108"/>
        <v>3</v>
      </c>
      <c r="U323" s="253">
        <f t="shared" si="109"/>
        <v>-2.1365728464559965</v>
      </c>
      <c r="V323" s="385">
        <f t="shared" si="110"/>
        <v>21.276460492700661</v>
      </c>
      <c r="W323" s="404">
        <f t="shared" si="111"/>
        <v>19.738282035103197</v>
      </c>
      <c r="X323" s="157">
        <f t="shared" si="112"/>
        <v>45966</v>
      </c>
      <c r="Y323" s="387">
        <f t="shared" si="113"/>
        <v>16.625997793294587</v>
      </c>
      <c r="Z323" s="387">
        <f t="shared" si="114"/>
        <v>17.684835245547593</v>
      </c>
      <c r="AA323" s="388">
        <f t="shared" si="115"/>
        <v>21.205654266079659</v>
      </c>
      <c r="AB323" s="199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0.16603208636499991</v>
      </c>
      <c r="AD323" s="233">
        <f>(INDEX(Models!$BJ323:$BT323,,AH323)*(1-AF323)+INDEX(Models!$BJ323:$BT323,,AH323+1)*AF323-ERP_i)*AE323*Ramure*Pc/MaxiM</f>
        <v>0.12202907711594881</v>
      </c>
      <c r="AE323" s="307">
        <f t="shared" si="117"/>
        <v>0.9</v>
      </c>
      <c r="AF323" s="179">
        <f t="shared" si="118"/>
        <v>0.49908280585098241</v>
      </c>
      <c r="AG323" s="839">
        <f t="shared" si="124"/>
        <v>2</v>
      </c>
      <c r="AH323" s="178">
        <f t="shared" si="119"/>
        <v>8</v>
      </c>
      <c r="AI323" s="227">
        <f t="shared" si="120"/>
        <v>2.4990828058509824</v>
      </c>
      <c r="AJ323" s="267" t="b">
        <f t="shared" si="121"/>
        <v>0</v>
      </c>
      <c r="AK323" s="267" t="b">
        <f t="shared" si="122"/>
        <v>0</v>
      </c>
      <c r="AL323" s="267"/>
      <c r="AM323" s="267"/>
      <c r="AN323" s="75"/>
    </row>
    <row r="324" spans="1:40" s="6" customFormat="1" ht="11.25" x14ac:dyDescent="0.2">
      <c r="A324" s="56">
        <f t="shared" si="123"/>
        <v>45967</v>
      </c>
      <c r="B324" s="413">
        <f>'2024'!Wh/'2024'!Env_an*'2025'!Env_an</f>
        <v>19.796104643152479</v>
      </c>
      <c r="C324" s="868"/>
      <c r="D324" s="395">
        <f t="shared" si="102"/>
        <v>21.057322440766715</v>
      </c>
      <c r="E324" s="387">
        <f t="shared" si="125"/>
        <v>23.801311073860173</v>
      </c>
      <c r="F324" s="387">
        <f t="shared" si="103"/>
        <v>23.891269759184908</v>
      </c>
      <c r="G324" s="110">
        <f t="shared" si="126"/>
        <v>0.94176429731838929</v>
      </c>
      <c r="H324" s="416" t="b">
        <f>Wh_hp&gt;='2024'!Maxi_hp</f>
        <v>1</v>
      </c>
      <c r="I324" s="392">
        <f>IF(H324,Wh_hp,'2024'!Maxi_hp)</f>
        <v>23.891269759184908</v>
      </c>
      <c r="J324" s="85">
        <f>IF(H324,An,'2024'!An_max)</f>
        <v>2025</v>
      </c>
      <c r="K324" s="199">
        <f t="shared" si="104"/>
        <v>45967</v>
      </c>
      <c r="L324" s="147">
        <f>IF(t&lt;Tvie,1-EXP((T0-t)*PertePVj)+'2024'!Pspv,1-EXP((T0-t)*PertePVj)+Pspv)</f>
        <v>5.9894499937586221E-2</v>
      </c>
      <c r="M324" s="872"/>
      <c r="N324" s="872"/>
      <c r="O324" s="48">
        <f>IF(t&lt;Tnet,'2024'!Resal+('2024'!Salim-'2024'!Resal)*(1-EXP(('2024'!Tnet-t)/('2024'!Tau_j))),Resal+(Salim-Resal)*(1-EXP((Tnet-t)/(Tau_j))))*Salcycl</f>
        <v>0.11528728919925123</v>
      </c>
      <c r="P324" s="171">
        <f>(INDEX(Models!$BJ324:$BT324,,T324)*(1-R324)+INDEX(Models!$BJ324:$BT324,,T324+1)*R324-ERP_i)*Q324*Ramure*Pc/MaxiM</f>
        <v>4.1049613406183667E-3</v>
      </c>
      <c r="Q324" s="307">
        <f t="shared" si="105"/>
        <v>0.9</v>
      </c>
      <c r="R324" s="179">
        <f t="shared" si="106"/>
        <v>0.86349132585426069</v>
      </c>
      <c r="S324" s="839">
        <f t="shared" si="107"/>
        <v>-3</v>
      </c>
      <c r="T324" s="178">
        <f t="shared" si="108"/>
        <v>3</v>
      </c>
      <c r="U324" s="253">
        <f t="shared" si="109"/>
        <v>-2.1365086741457393</v>
      </c>
      <c r="V324" s="385">
        <f t="shared" si="110"/>
        <v>21.013066700805201</v>
      </c>
      <c r="W324" s="404">
        <f t="shared" si="111"/>
        <v>19.796104643152479</v>
      </c>
      <c r="X324" s="157">
        <f t="shared" si="112"/>
        <v>45967</v>
      </c>
      <c r="Y324" s="387">
        <f t="shared" si="113"/>
        <v>16.583238241420442</v>
      </c>
      <c r="Z324" s="387">
        <f t="shared" si="114"/>
        <v>17.639763026936315</v>
      </c>
      <c r="AA324" s="388">
        <f t="shared" si="115"/>
        <v>21.149181751976613</v>
      </c>
      <c r="AB324" s="199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0.16593638308074524</v>
      </c>
      <c r="AD324" s="233">
        <f>(INDEX(Models!$BJ324:$BT324,,AH324)*(1-AF324)+INDEX(Models!$BJ324:$BT324,,AH324+1)*AF324-ERP_i)*AE324*Ramure*Pc/MaxiM</f>
        <v>0.12512594222036996</v>
      </c>
      <c r="AE324" s="307">
        <f t="shared" si="117"/>
        <v>0.9</v>
      </c>
      <c r="AF324" s="179">
        <f t="shared" si="118"/>
        <v>0.49914697816123965</v>
      </c>
      <c r="AG324" s="839">
        <f t="shared" si="124"/>
        <v>2</v>
      </c>
      <c r="AH324" s="178">
        <f t="shared" si="119"/>
        <v>8</v>
      </c>
      <c r="AI324" s="227">
        <f t="shared" si="120"/>
        <v>2.4991469781612397</v>
      </c>
      <c r="AJ324" s="267" t="b">
        <f t="shared" si="121"/>
        <v>0</v>
      </c>
      <c r="AK324" s="267" t="b">
        <f t="shared" si="122"/>
        <v>0</v>
      </c>
      <c r="AL324" s="267"/>
      <c r="AM324" s="267"/>
      <c r="AN324" s="75"/>
    </row>
    <row r="325" spans="1:40" s="6" customFormat="1" ht="11.25" x14ac:dyDescent="0.2">
      <c r="A325" s="56">
        <f t="shared" si="123"/>
        <v>45968</v>
      </c>
      <c r="B325" s="413">
        <f>'2024'!Wh/'2024'!Env_an*'2025'!Env_an</f>
        <v>19.670964116579029</v>
      </c>
      <c r="C325" s="868"/>
      <c r="D325" s="395">
        <f t="shared" si="102"/>
        <v>20.924696109105557</v>
      </c>
      <c r="E325" s="387">
        <f t="shared" si="125"/>
        <v>23.651659219561125</v>
      </c>
      <c r="F325" s="387">
        <f t="shared" si="103"/>
        <v>23.749641321685267</v>
      </c>
      <c r="G325" s="110">
        <f t="shared" si="126"/>
        <v>0.94747931320711065</v>
      </c>
      <c r="H325" s="416" t="b">
        <f>Wh_hp&gt;='2024'!Maxi_hp</f>
        <v>1</v>
      </c>
      <c r="I325" s="392">
        <f>IF(H325,Wh_hp,'2024'!Maxi_hp)</f>
        <v>23.749641321685267</v>
      </c>
      <c r="J325" s="85">
        <f>IF(H325,An,'2024'!An_max)</f>
        <v>2025</v>
      </c>
      <c r="K325" s="199">
        <f t="shared" si="104"/>
        <v>45968</v>
      </c>
      <c r="L325" s="147">
        <f>IF(t&lt;Tvie,1-EXP((T0-t)*PertePVj)+'2024'!Pspv,1-EXP((T0-t)*PertePVj)+Pspv)</f>
        <v>5.9916377565978451E-2</v>
      </c>
      <c r="M325" s="872"/>
      <c r="N325" s="872"/>
      <c r="O325" s="48">
        <f>IF(t&lt;Tnet,'2024'!Resal+('2024'!Salim-'2024'!Resal)*(1-EXP(('2024'!Tnet-t)/('2024'!Tau_j))),Resal+(Salim-Resal)*(1-EXP((Tnet-t)/(Tau_j))))*Salcycl</f>
        <v>0.11529690518288162</v>
      </c>
      <c r="P325" s="171">
        <f>(INDEX(Models!$BJ325:$BT325,,T325)*(1-R325)+INDEX(Models!$BJ325:$BT325,,T325+1)*R325-ERP_i)*Q325*Ramure*Pc/MaxiM</f>
        <v>4.4580984252575616E-3</v>
      </c>
      <c r="Q325" s="307">
        <f t="shared" si="105"/>
        <v>0.9</v>
      </c>
      <c r="R325" s="179">
        <f t="shared" si="106"/>
        <v>0.86355292547299989</v>
      </c>
      <c r="S325" s="839">
        <f t="shared" si="107"/>
        <v>-3</v>
      </c>
      <c r="T325" s="178">
        <f t="shared" si="108"/>
        <v>3</v>
      </c>
      <c r="U325" s="253">
        <f t="shared" si="109"/>
        <v>-2.1364470745270001</v>
      </c>
      <c r="V325" s="385">
        <f t="shared" si="110"/>
        <v>20.754434071682009</v>
      </c>
      <c r="W325" s="404">
        <f t="shared" si="111"/>
        <v>19.670964116579029</v>
      </c>
      <c r="X325" s="157">
        <f t="shared" si="112"/>
        <v>45968</v>
      </c>
      <c r="Y325" s="387">
        <f t="shared" si="113"/>
        <v>16.414000457819927</v>
      </c>
      <c r="Z325" s="387">
        <f t="shared" si="114"/>
        <v>17.46014935918312</v>
      </c>
      <c r="AA325" s="388">
        <f t="shared" si="115"/>
        <v>20.931454850274502</v>
      </c>
      <c r="AB325" s="199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0.16584157746903377</v>
      </c>
      <c r="AD325" s="233">
        <f>(INDEX(Models!$BJ325:$BT325,,AH325)*(1-AF325)+INDEX(Models!$BJ325:$BT325,,AH325+1)*AF325-ERP_i)*AE325*Ramure*Pc/MaxiM</f>
        <v>0.12822497576506703</v>
      </c>
      <c r="AE325" s="307">
        <f t="shared" si="117"/>
        <v>0.9</v>
      </c>
      <c r="AF325" s="179">
        <f t="shared" si="118"/>
        <v>0.49920857777997885</v>
      </c>
      <c r="AG325" s="839">
        <f t="shared" si="124"/>
        <v>2</v>
      </c>
      <c r="AH325" s="178">
        <f t="shared" si="119"/>
        <v>8</v>
      </c>
      <c r="AI325" s="227">
        <f t="shared" si="120"/>
        <v>2.4992085777799788</v>
      </c>
      <c r="AJ325" s="267" t="b">
        <f t="shared" si="121"/>
        <v>0</v>
      </c>
      <c r="AK325" s="267" t="b">
        <f t="shared" si="122"/>
        <v>0</v>
      </c>
      <c r="AL325" s="267"/>
      <c r="AM325" s="267"/>
      <c r="AN325" s="75"/>
    </row>
    <row r="326" spans="1:40" s="6" customFormat="1" ht="11.25" x14ac:dyDescent="0.2">
      <c r="A326" s="56">
        <f t="shared" si="123"/>
        <v>45969</v>
      </c>
      <c r="B326" s="413">
        <f>'2024'!Wh/'2024'!Env_an*'2025'!Env_an</f>
        <v>13.014128753764631</v>
      </c>
      <c r="C326" s="868"/>
      <c r="D326" s="395">
        <f t="shared" si="102"/>
        <v>13.843908465190452</v>
      </c>
      <c r="E326" s="387">
        <f t="shared" si="125"/>
        <v>15.648264149587924</v>
      </c>
      <c r="F326" s="387">
        <f t="shared" si="103"/>
        <v>15.684399861339969</v>
      </c>
      <c r="G326" s="110">
        <f t="shared" si="126"/>
        <v>0.6332077380439306</v>
      </c>
      <c r="H326" s="416" t="b">
        <f>Wh_hp&gt;='2024'!Maxi_hp</f>
        <v>0</v>
      </c>
      <c r="I326" s="392">
        <f>IF(H326,Wh_hp,'2024'!Maxi_hp)</f>
        <v>20.22602199592037</v>
      </c>
      <c r="J326" s="85">
        <f>IF(H326,An,'2024'!An_max)</f>
        <v>2021</v>
      </c>
      <c r="K326" s="199">
        <f t="shared" si="104"/>
        <v>45969</v>
      </c>
      <c r="L326" s="147">
        <f>IF(t&lt;Tvie,1-EXP((T0-t)*PertePVj)+'2024'!Pspv,1-EXP((T0-t)*PertePVj)+Pspv)</f>
        <v>5.9938254685246273E-2</v>
      </c>
      <c r="M326" s="872"/>
      <c r="N326" s="872"/>
      <c r="O326" s="48">
        <f>IF(t&lt;Tnet,'2024'!Resal+('2024'!Salim-'2024'!Resal)*(1-EXP(('2024'!Tnet-t)/('2024'!Tau_j))),Resal+(Salim-Resal)*(1-EXP((Tnet-t)/(Tau_j))))*Salcycl</f>
        <v>0.11530708244370906</v>
      </c>
      <c r="P326" s="171">
        <f>(INDEX(Models!$BJ326:$BT326,,T326)*(1-R326)+INDEX(Models!$BJ326:$BT326,,T326+1)*R326-ERP_i)*Q326*Ramure*Pc/MaxiM</f>
        <v>4.8169550700404001E-3</v>
      </c>
      <c r="Q326" s="307">
        <f t="shared" si="105"/>
        <v>0.9</v>
      </c>
      <c r="R326" s="179">
        <f t="shared" si="106"/>
        <v>0.8636120551133124</v>
      </c>
      <c r="S326" s="839">
        <f t="shared" si="107"/>
        <v>-3</v>
      </c>
      <c r="T326" s="178">
        <f t="shared" si="108"/>
        <v>3</v>
      </c>
      <c r="U326" s="253">
        <f t="shared" si="109"/>
        <v>-2.1363879448866876</v>
      </c>
      <c r="V326" s="385">
        <f t="shared" si="110"/>
        <v>20.500931335573966</v>
      </c>
      <c r="W326" s="404">
        <f t="shared" si="111"/>
        <v>13.014128753764631</v>
      </c>
      <c r="X326" s="157">
        <f t="shared" si="112"/>
        <v>45969</v>
      </c>
      <c r="Y326" s="387">
        <f t="shared" si="113"/>
        <v>11.527868585790022</v>
      </c>
      <c r="Z326" s="387">
        <f t="shared" si="114"/>
        <v>12.262884478859666</v>
      </c>
      <c r="AA326" s="388">
        <f t="shared" si="115"/>
        <v>14.699255280062536</v>
      </c>
      <c r="AB326" s="199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0.16574790727714359</v>
      </c>
      <c r="AD326" s="233">
        <f>(INDEX(Models!$BJ326:$BT326,,AH326)*(1-AF326)+INDEX(Models!$BJ326:$BT326,,AH326+1)*AF326-ERP_i)*AE326*Ramure*Pc/MaxiM</f>
        <v>0.13132153638120572</v>
      </c>
      <c r="AE326" s="307">
        <f t="shared" si="117"/>
        <v>0.9</v>
      </c>
      <c r="AF326" s="179">
        <f t="shared" si="118"/>
        <v>0.49926770742029136</v>
      </c>
      <c r="AG326" s="839">
        <f t="shared" si="124"/>
        <v>2</v>
      </c>
      <c r="AH326" s="178">
        <f t="shared" si="119"/>
        <v>8</v>
      </c>
      <c r="AI326" s="227">
        <f t="shared" si="120"/>
        <v>2.4992677074202914</v>
      </c>
      <c r="AJ326" s="267" t="b">
        <f t="shared" si="121"/>
        <v>0</v>
      </c>
      <c r="AK326" s="267" t="b">
        <f t="shared" si="122"/>
        <v>0</v>
      </c>
      <c r="AL326" s="267"/>
      <c r="AM326" s="267"/>
      <c r="AN326" s="75"/>
    </row>
    <row r="327" spans="1:40" s="6" customFormat="1" ht="11.25" x14ac:dyDescent="0.2">
      <c r="A327" s="56">
        <f t="shared" si="123"/>
        <v>45970</v>
      </c>
      <c r="B327" s="413">
        <f>'2024'!Wh/'2024'!Env_an*'2025'!Env_an</f>
        <v>7.7011723264464198</v>
      </c>
      <c r="C327" s="868"/>
      <c r="D327" s="395">
        <f t="shared" si="102"/>
        <v>8.1923890494760112</v>
      </c>
      <c r="E327" s="387">
        <f t="shared" si="125"/>
        <v>9.2602640531284148</v>
      </c>
      <c r="F327" s="387">
        <f t="shared" si="103"/>
        <v>9.2657679615843502</v>
      </c>
      <c r="G327" s="110">
        <f t="shared" si="126"/>
        <v>0.37850445870029703</v>
      </c>
      <c r="H327" s="416" t="b">
        <f>Wh_hp&gt;='2024'!Maxi_hp</f>
        <v>0</v>
      </c>
      <c r="I327" s="392">
        <f>IF(H327,Wh_hp,'2024'!Maxi_hp)</f>
        <v>19.543383638603277</v>
      </c>
      <c r="J327" s="85">
        <f>IF(H327,An,'2024'!An_max)</f>
        <v>2020</v>
      </c>
      <c r="K327" s="199">
        <f t="shared" si="104"/>
        <v>45970</v>
      </c>
      <c r="L327" s="147">
        <f>IF(t&lt;Tvie,1-EXP((T0-t)*PertePVj)+'2024'!Pspv,1-EXP((T0-t)*PertePVj)+Pspv)</f>
        <v>5.9960131295401564E-2</v>
      </c>
      <c r="M327" s="872"/>
      <c r="N327" s="872"/>
      <c r="O327" s="48">
        <f>IF(t&lt;Tnet,'2024'!Resal+('2024'!Salim-'2024'!Resal)*(1-EXP(('2024'!Tnet-t)/('2024'!Tau_j))),Resal+(Salim-Resal)*(1-EXP((Tnet-t)/(Tau_j))))*Salcycl</f>
        <v>0.11531798634744557</v>
      </c>
      <c r="P327" s="171">
        <f>(INDEX(Models!$BJ327:$BT327,,T327)*(1-R327)+INDEX(Models!$BJ327:$BT327,,T327+1)*R327-ERP_i)*Q327*Ramure*Pc/MaxiM</f>
        <v>5.1813587981875296E-3</v>
      </c>
      <c r="Q327" s="307">
        <f t="shared" si="105"/>
        <v>0.9</v>
      </c>
      <c r="R327" s="179">
        <f t="shared" si="106"/>
        <v>0.86366881342116963</v>
      </c>
      <c r="S327" s="839">
        <f t="shared" si="107"/>
        <v>-3</v>
      </c>
      <c r="T327" s="178">
        <f t="shared" si="108"/>
        <v>3</v>
      </c>
      <c r="U327" s="253">
        <f t="shared" si="109"/>
        <v>-2.1363311865788304</v>
      </c>
      <c r="V327" s="385">
        <f t="shared" si="110"/>
        <v>20.252927402277805</v>
      </c>
      <c r="W327" s="404">
        <f t="shared" si="111"/>
        <v>7.7011723264464198</v>
      </c>
      <c r="X327" s="157">
        <f t="shared" si="112"/>
        <v>45970</v>
      </c>
      <c r="Y327" s="387">
        <f t="shared" si="113"/>
        <v>7.1553161804395335</v>
      </c>
      <c r="Z327" s="387">
        <f t="shared" si="114"/>
        <v>7.6117156502093488</v>
      </c>
      <c r="AA327" s="388">
        <f t="shared" si="115"/>
        <v>9.1229901151360391</v>
      </c>
      <c r="AB327" s="199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0.16565560697246842</v>
      </c>
      <c r="AD327" s="233">
        <f>(INDEX(Models!$BJ327:$BT327,,AH327)*(1-AF327)+INDEX(Models!$BJ327:$BT327,,AH327+1)*AF327-ERP_i)*AE327*Ramure*Pc/MaxiM</f>
        <v>0.13441052968157213</v>
      </c>
      <c r="AE327" s="307">
        <f t="shared" si="117"/>
        <v>0.9</v>
      </c>
      <c r="AF327" s="179">
        <f t="shared" si="118"/>
        <v>0.49932446572814859</v>
      </c>
      <c r="AG327" s="839">
        <f t="shared" si="124"/>
        <v>2</v>
      </c>
      <c r="AH327" s="178">
        <f t="shared" si="119"/>
        <v>8</v>
      </c>
      <c r="AI327" s="227">
        <f t="shared" si="120"/>
        <v>2.4993244657281486</v>
      </c>
      <c r="AJ327" s="267" t="b">
        <f t="shared" si="121"/>
        <v>0</v>
      </c>
      <c r="AK327" s="267" t="b">
        <f t="shared" si="122"/>
        <v>0</v>
      </c>
      <c r="AL327" s="267"/>
      <c r="AM327" s="267"/>
      <c r="AN327" s="75"/>
    </row>
    <row r="328" spans="1:40" s="6" customFormat="1" ht="11.25" x14ac:dyDescent="0.2">
      <c r="A328" s="56">
        <f t="shared" si="123"/>
        <v>45971</v>
      </c>
      <c r="B328" s="413">
        <f>'2024'!Wh/'2024'!Env_an*'2025'!Env_an</f>
        <v>17.334814360245211</v>
      </c>
      <c r="C328" s="868"/>
      <c r="D328" s="395">
        <f t="shared" si="102"/>
        <v>18.440938893343329</v>
      </c>
      <c r="E328" s="387">
        <f t="shared" si="125"/>
        <v>20.844986604981496</v>
      </c>
      <c r="F328" s="387">
        <f t="shared" si="103"/>
        <v>20.939015806316032</v>
      </c>
      <c r="G328" s="110">
        <f t="shared" si="126"/>
        <v>0.86535050336988339</v>
      </c>
      <c r="H328" s="416" t="b">
        <f>Wh_hp&gt;='2024'!Maxi_hp</f>
        <v>1</v>
      </c>
      <c r="I328" s="392">
        <f>IF(H328,Wh_hp,'2024'!Maxi_hp)</f>
        <v>20.939015806316032</v>
      </c>
      <c r="J328" s="85">
        <f>IF(H328,An,'2024'!An_max)</f>
        <v>2025</v>
      </c>
      <c r="K328" s="199">
        <f t="shared" si="104"/>
        <v>45971</v>
      </c>
      <c r="L328" s="147">
        <f>IF(t&lt;Tvie,1-EXP((T0-t)*PertePVj)+'2024'!Pspv,1-EXP((T0-t)*PertePVj)+Pspv)</f>
        <v>5.9982007396456205E-2</v>
      </c>
      <c r="M328" s="872"/>
      <c r="N328" s="872"/>
      <c r="O328" s="48">
        <f>IF(t&lt;Tnet,'2024'!Resal+('2024'!Salim-'2024'!Resal)*(1-EXP(('2024'!Tnet-t)/('2024'!Tau_j))),Resal+(Salim-Resal)*(1-EXP((Tnet-t)/(Tau_j))))*Salcycl</f>
        <v>0.11532977963457422</v>
      </c>
      <c r="P328" s="171">
        <f>(INDEX(Models!$BJ328:$BT328,,T328)*(1-R328)+INDEX(Models!$BJ328:$BT328,,T328+1)*R328-ERP_i)*Q328*Ramure*Pc/MaxiM</f>
        <v>5.5510921168558042E-3</v>
      </c>
      <c r="Q328" s="307">
        <f t="shared" si="105"/>
        <v>0.9</v>
      </c>
      <c r="R328" s="179">
        <f t="shared" si="106"/>
        <v>0.86372329513381896</v>
      </c>
      <c r="S328" s="839">
        <f t="shared" si="107"/>
        <v>-3</v>
      </c>
      <c r="T328" s="178">
        <f t="shared" si="108"/>
        <v>3</v>
      </c>
      <c r="U328" s="253">
        <f t="shared" si="109"/>
        <v>-2.136276704866181</v>
      </c>
      <c r="V328" s="385">
        <f t="shared" si="110"/>
        <v>20.01079136535385</v>
      </c>
      <c r="W328" s="404">
        <f t="shared" si="111"/>
        <v>17.334814360245211</v>
      </c>
      <c r="X328" s="157">
        <f t="shared" si="112"/>
        <v>45971</v>
      </c>
      <c r="Y328" s="387">
        <f t="shared" si="113"/>
        <v>14.5975057157842</v>
      </c>
      <c r="Z328" s="387">
        <f t="shared" si="114"/>
        <v>15.528964158817708</v>
      </c>
      <c r="AA328" s="388">
        <f t="shared" si="115"/>
        <v>18.610152284675308</v>
      </c>
      <c r="AB328" s="199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0.16556490665553722</v>
      </c>
      <c r="AD328" s="233">
        <f>(INDEX(Models!$BJ328:$BT328,,AH328)*(1-AF328)+INDEX(Models!$BJ328:$BT328,,AH328+1)*AF328-ERP_i)*AE328*Ramure*Pc/MaxiM</f>
        <v>0.1374863952126818</v>
      </c>
      <c r="AE328" s="307">
        <f t="shared" si="117"/>
        <v>0.9</v>
      </c>
      <c r="AF328" s="179">
        <f t="shared" si="118"/>
        <v>0.49937894744079792</v>
      </c>
      <c r="AG328" s="839">
        <f t="shared" si="124"/>
        <v>2</v>
      </c>
      <c r="AH328" s="178">
        <f t="shared" si="119"/>
        <v>8</v>
      </c>
      <c r="AI328" s="227">
        <f t="shared" si="120"/>
        <v>2.4993789474407979</v>
      </c>
      <c r="AJ328" s="267" t="b">
        <f t="shared" si="121"/>
        <v>0</v>
      </c>
      <c r="AK328" s="267" t="b">
        <f t="shared" si="122"/>
        <v>0</v>
      </c>
      <c r="AL328" s="267"/>
      <c r="AM328" s="267"/>
      <c r="AN328" s="75"/>
    </row>
    <row r="329" spans="1:40" s="6" customFormat="1" ht="11.25" x14ac:dyDescent="0.2">
      <c r="A329" s="56">
        <f t="shared" si="123"/>
        <v>45972</v>
      </c>
      <c r="B329" s="413">
        <f>'2024'!Wh/'2024'!Env_an*'2025'!Env_an</f>
        <v>17.874192830808518</v>
      </c>
      <c r="C329" s="868"/>
      <c r="D329" s="395">
        <f t="shared" si="102"/>
        <v>19.015177304810461</v>
      </c>
      <c r="E329" s="387">
        <f t="shared" si="125"/>
        <v>21.494397458811012</v>
      </c>
      <c r="F329" s="387">
        <f t="shared" si="103"/>
        <v>21.604845905421222</v>
      </c>
      <c r="G329" s="110">
        <f t="shared" si="126"/>
        <v>0.90314393260324344</v>
      </c>
      <c r="H329" s="416" t="b">
        <f>Wh_hp&gt;='2024'!Maxi_hp</f>
        <v>1</v>
      </c>
      <c r="I329" s="392">
        <f>IF(H329,Wh_hp,'2024'!Maxi_hp)</f>
        <v>21.604845905421222</v>
      </c>
      <c r="J329" s="85">
        <f>IF(H329,An,'2024'!An_max)</f>
        <v>2025</v>
      </c>
      <c r="K329" s="199">
        <f t="shared" si="104"/>
        <v>45972</v>
      </c>
      <c r="L329" s="147">
        <f>IF(t&lt;Tvie,1-EXP((T0-t)*PertePVj)+'2024'!Pspv,1-EXP((T0-t)*PertePVj)+Pspv)</f>
        <v>6.0003882988421964E-2</v>
      </c>
      <c r="M329" s="872"/>
      <c r="N329" s="872"/>
      <c r="O329" s="48">
        <f>IF(t&lt;Tnet,'2024'!Resal+('2024'!Salim-'2024'!Resal)*(1-EXP(('2024'!Tnet-t)/('2024'!Tau_j))),Resal+(Salim-Resal)*(1-EXP((Tnet-t)/(Tau_j))))*Salcycl</f>
        <v>0.11534262166461745</v>
      </c>
      <c r="P329" s="171">
        <f>(INDEX(Models!$BJ329:$BT329,,T329)*(1-R329)+INDEX(Models!$BJ329:$BT329,,T329+1)*R329-ERP_i)*Q329*Ramure*Pc/MaxiM</f>
        <v>5.9258894017996449E-3</v>
      </c>
      <c r="Q329" s="307">
        <f t="shared" si="105"/>
        <v>0.9</v>
      </c>
      <c r="R329" s="179">
        <f t="shared" si="106"/>
        <v>0.8637755912322147</v>
      </c>
      <c r="S329" s="839">
        <f t="shared" si="107"/>
        <v>-3</v>
      </c>
      <c r="T329" s="178">
        <f t="shared" si="108"/>
        <v>3</v>
      </c>
      <c r="U329" s="253">
        <f t="shared" si="109"/>
        <v>-2.1362244087677853</v>
      </c>
      <c r="V329" s="385">
        <f t="shared" si="110"/>
        <v>19.774892504000324</v>
      </c>
      <c r="W329" s="404">
        <f t="shared" si="111"/>
        <v>17.874192830808518</v>
      </c>
      <c r="X329" s="157">
        <f t="shared" si="112"/>
        <v>45972</v>
      </c>
      <c r="Y329" s="387">
        <f t="shared" si="113"/>
        <v>14.89305444271406</v>
      </c>
      <c r="Z329" s="387">
        <f t="shared" si="114"/>
        <v>15.843740386994195</v>
      </c>
      <c r="AA329" s="388">
        <f t="shared" si="115"/>
        <v>18.985362883995293</v>
      </c>
      <c r="AB329" s="199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0.16547603099277569</v>
      </c>
      <c r="AD329" s="233">
        <f>(INDEX(Models!$BJ329:$BT329,,AH329)*(1-AF329)+INDEX(Models!$BJ329:$BT329,,AH329+1)*AF329-ERP_i)*AE329*Ramure*Pc/MaxiM</f>
        <v>0.14054309636100301</v>
      </c>
      <c r="AE329" s="307">
        <f t="shared" si="117"/>
        <v>0.9</v>
      </c>
      <c r="AF329" s="179">
        <f t="shared" si="118"/>
        <v>0.49943124353919366</v>
      </c>
      <c r="AG329" s="839">
        <f t="shared" si="124"/>
        <v>2</v>
      </c>
      <c r="AH329" s="178">
        <f t="shared" si="119"/>
        <v>8</v>
      </c>
      <c r="AI329" s="227">
        <f t="shared" si="120"/>
        <v>2.4994312435391937</v>
      </c>
      <c r="AJ329" s="267" t="b">
        <f t="shared" si="121"/>
        <v>0</v>
      </c>
      <c r="AK329" s="267" t="b">
        <f t="shared" si="122"/>
        <v>0</v>
      </c>
      <c r="AL329" s="267"/>
      <c r="AM329" s="267"/>
      <c r="AN329" s="75"/>
    </row>
    <row r="330" spans="1:40" s="6" customFormat="1" ht="11.25" x14ac:dyDescent="0.2">
      <c r="A330" s="56">
        <f t="shared" si="123"/>
        <v>45973</v>
      </c>
      <c r="B330" s="413">
        <f>'2024'!Wh/'2024'!Env_an*'2025'!Env_an</f>
        <v>17.748939191225734</v>
      </c>
      <c r="C330" s="868"/>
      <c r="D330" s="395">
        <f t="shared" si="102"/>
        <v>18.882367621912188</v>
      </c>
      <c r="E330" s="387">
        <f t="shared" si="125"/>
        <v>21.344610796218902</v>
      </c>
      <c r="F330" s="387">
        <f t="shared" si="103"/>
        <v>21.462168250104178</v>
      </c>
      <c r="G330" s="110">
        <f t="shared" si="126"/>
        <v>0.90732245375599507</v>
      </c>
      <c r="H330" s="416" t="b">
        <f>Wh_hp&gt;='2024'!Maxi_hp</f>
        <v>1</v>
      </c>
      <c r="I330" s="392">
        <f>IF(H330,Wh_hp,'2024'!Maxi_hp)</f>
        <v>21.462168250104178</v>
      </c>
      <c r="J330" s="85">
        <f>IF(H330,An,'2024'!An_max)</f>
        <v>2025</v>
      </c>
      <c r="K330" s="199">
        <f t="shared" si="104"/>
        <v>45973</v>
      </c>
      <c r="L330" s="147">
        <f>IF(t&lt;Tvie,1-EXP((T0-t)*PertePVj)+'2024'!Pspv,1-EXP((T0-t)*PertePVj)+Pspv)</f>
        <v>6.0025758071310831E-2</v>
      </c>
      <c r="M330" s="872"/>
      <c r="N330" s="872"/>
      <c r="O330" s="48">
        <f>IF(t&lt;Tnet,'2024'!Resal+('2024'!Salim-'2024'!Resal)*(1-EXP(('2024'!Tnet-t)/('2024'!Tau_j))),Resal+(Salim-Resal)*(1-EXP((Tnet-t)/(Tau_j))))*Salcycl</f>
        <v>0.1153566676766432</v>
      </c>
      <c r="P330" s="171">
        <f>(INDEX(Models!$BJ330:$BT330,,T330)*(1-R330)+INDEX(Models!$BJ330:$BT330,,T330+1)*R330-ERP_i)*Q330*Ramure*Pc/MaxiM</f>
        <v>6.3054338644483983E-3</v>
      </c>
      <c r="Q330" s="307">
        <f t="shared" si="105"/>
        <v>0.9</v>
      </c>
      <c r="R330" s="179">
        <f t="shared" si="106"/>
        <v>0.86382578908770347</v>
      </c>
      <c r="S330" s="839">
        <f t="shared" si="107"/>
        <v>-3</v>
      </c>
      <c r="T330" s="178">
        <f t="shared" si="108"/>
        <v>3</v>
      </c>
      <c r="U330" s="253">
        <f t="shared" si="109"/>
        <v>-2.1361742109122965</v>
      </c>
      <c r="V330" s="385">
        <f t="shared" si="110"/>
        <v>19.545600275204649</v>
      </c>
      <c r="W330" s="404">
        <f t="shared" si="111"/>
        <v>17.748939191225734</v>
      </c>
      <c r="X330" s="157">
        <f t="shared" si="112"/>
        <v>45973</v>
      </c>
      <c r="Y330" s="387">
        <f t="shared" si="113"/>
        <v>14.737381293428118</v>
      </c>
      <c r="Z330" s="387">
        <f t="shared" si="114"/>
        <v>15.678494831080876</v>
      </c>
      <c r="AA330" s="388">
        <f t="shared" si="115"/>
        <v>18.785396494782308</v>
      </c>
      <c r="AB330" s="199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0.16538919817659326</v>
      </c>
      <c r="AD330" s="233">
        <f>(INDEX(Models!$BJ330:$BT330,,AH330)*(1-AF330)+INDEX(Models!$BJ330:$BT330,,AH330+1)*AF330-ERP_i)*AE330*Ramure*Pc/MaxiM</f>
        <v>0.1435741138956361</v>
      </c>
      <c r="AE330" s="307">
        <f t="shared" si="117"/>
        <v>0.9</v>
      </c>
      <c r="AF330" s="179">
        <f t="shared" si="118"/>
        <v>0.49948144139468242</v>
      </c>
      <c r="AG330" s="839">
        <f t="shared" si="124"/>
        <v>2</v>
      </c>
      <c r="AH330" s="178">
        <f t="shared" si="119"/>
        <v>8</v>
      </c>
      <c r="AI330" s="227">
        <f t="shared" si="120"/>
        <v>2.4994814413946824</v>
      </c>
      <c r="AJ330" s="267" t="b">
        <f t="shared" si="121"/>
        <v>0</v>
      </c>
      <c r="AK330" s="267" t="b">
        <f t="shared" si="122"/>
        <v>0</v>
      </c>
      <c r="AL330" s="267"/>
      <c r="AM330" s="267"/>
      <c r="AN330" s="75"/>
    </row>
    <row r="331" spans="1:40" s="6" customFormat="1" ht="11.25" x14ac:dyDescent="0.2">
      <c r="A331" s="56">
        <f t="shared" si="123"/>
        <v>45974</v>
      </c>
      <c r="B331" s="413">
        <f>'2024'!Wh/'2024'!Env_an*'2025'!Env_an</f>
        <v>15.754006269812285</v>
      </c>
      <c r="C331" s="868"/>
      <c r="D331" s="395">
        <f t="shared" si="102"/>
        <v>16.760430439838007</v>
      </c>
      <c r="E331" s="387">
        <f t="shared" si="125"/>
        <v>18.946304807825751</v>
      </c>
      <c r="F331" s="387">
        <f t="shared" si="103"/>
        <v>19.040065750246029</v>
      </c>
      <c r="G331" s="110">
        <f t="shared" si="126"/>
        <v>0.81385372879860474</v>
      </c>
      <c r="H331" s="416" t="b">
        <f>Wh_hp&gt;='2024'!Maxi_hp</f>
        <v>0</v>
      </c>
      <c r="I331" s="392">
        <f>IF(H331,Wh_hp,'2024'!Maxi_hp)</f>
        <v>23.366158746660897</v>
      </c>
      <c r="J331" s="85">
        <f>IF(H331,An,'2024'!An_max)</f>
        <v>2020</v>
      </c>
      <c r="K331" s="199">
        <f t="shared" si="104"/>
        <v>45974</v>
      </c>
      <c r="L331" s="147">
        <f>IF(t&lt;Tvie,1-EXP((T0-t)*PertePVj)+'2024'!Pspv,1-EXP((T0-t)*PertePVj)+Pspv)</f>
        <v>6.0047632645134463E-2</v>
      </c>
      <c r="M331" s="872"/>
      <c r="N331" s="872"/>
      <c r="O331" s="48">
        <f>IF(t&lt;Tnet,'2024'!Resal+('2024'!Salim-'2024'!Resal)*(1-EXP(('2024'!Tnet-t)/('2024'!Tau_j))),Resal+(Salim-Resal)*(1-EXP((Tnet-t)/(Tau_j))))*Salcycl</f>
        <v>0.11537206807128263</v>
      </c>
      <c r="P331" s="171">
        <f>(INDEX(Models!$BJ331:$BT331,,T331)*(1-R331)+INDEX(Models!$BJ331:$BT331,,T331+1)*R331-ERP_i)*Q331*Ramure*Pc/MaxiM</f>
        <v>6.6894666952849275E-3</v>
      </c>
      <c r="Q331" s="307">
        <f t="shared" si="105"/>
        <v>0.9</v>
      </c>
      <c r="R331" s="179">
        <f t="shared" si="106"/>
        <v>0.86387397260315435</v>
      </c>
      <c r="S331" s="839">
        <f t="shared" si="107"/>
        <v>-3</v>
      </c>
      <c r="T331" s="178">
        <f t="shared" si="108"/>
        <v>3</v>
      </c>
      <c r="U331" s="253">
        <f t="shared" si="109"/>
        <v>-2.1361260273968457</v>
      </c>
      <c r="V331" s="385">
        <f t="shared" si="110"/>
        <v>19.32295849627663</v>
      </c>
      <c r="W331" s="404">
        <f t="shared" si="111"/>
        <v>15.754006269812285</v>
      </c>
      <c r="X331" s="157">
        <f t="shared" si="112"/>
        <v>45974</v>
      </c>
      <c r="Y331" s="387">
        <f t="shared" si="113"/>
        <v>13.326491217740307</v>
      </c>
      <c r="Z331" s="387">
        <f t="shared" si="114"/>
        <v>14.177836750645771</v>
      </c>
      <c r="AA331" s="388">
        <f t="shared" si="115"/>
        <v>16.985641794620605</v>
      </c>
      <c r="AB331" s="199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0.16530461892020309</v>
      </c>
      <c r="AD331" s="233">
        <f>(INDEX(Models!$BJ331:$BT331,,AH331)*(1-AF331)+INDEX(Models!$BJ331:$BT331,,AH331+1)*AF331-ERP_i)*AE331*Ramure*Pc/MaxiM</f>
        <v>0.14657489861342712</v>
      </c>
      <c r="AE331" s="307">
        <f t="shared" si="117"/>
        <v>0.9</v>
      </c>
      <c r="AF331" s="179">
        <f t="shared" si="118"/>
        <v>0.49952962491013331</v>
      </c>
      <c r="AG331" s="839">
        <f t="shared" si="124"/>
        <v>2</v>
      </c>
      <c r="AH331" s="178">
        <f t="shared" si="119"/>
        <v>8</v>
      </c>
      <c r="AI331" s="227">
        <f t="shared" si="120"/>
        <v>2.4995296249101333</v>
      </c>
      <c r="AJ331" s="267" t="b">
        <f t="shared" si="121"/>
        <v>0</v>
      </c>
      <c r="AK331" s="267" t="b">
        <f t="shared" si="122"/>
        <v>0</v>
      </c>
      <c r="AL331" s="267"/>
      <c r="AM331" s="267"/>
      <c r="AN331" s="75"/>
    </row>
    <row r="332" spans="1:40" s="6" customFormat="1" ht="11.25" x14ac:dyDescent="0.2">
      <c r="A332" s="56">
        <f t="shared" si="123"/>
        <v>45975</v>
      </c>
      <c r="B332" s="413">
        <f>'2024'!Wh/'2024'!Env_an*'2025'!Env_an</f>
        <v>9.0973601342038215</v>
      </c>
      <c r="C332" s="868"/>
      <c r="D332" s="395">
        <f t="shared" si="102"/>
        <v>9.6787583753770825</v>
      </c>
      <c r="E332" s="387">
        <f t="shared" si="125"/>
        <v>10.941258951320545</v>
      </c>
      <c r="F332" s="387">
        <f t="shared" si="103"/>
        <v>10.960728945534028</v>
      </c>
      <c r="G332" s="110">
        <f t="shared" si="126"/>
        <v>0.47360888071180246</v>
      </c>
      <c r="H332" s="416" t="b">
        <f>Wh_hp&gt;='2024'!Maxi_hp</f>
        <v>0</v>
      </c>
      <c r="I332" s="392">
        <f>IF(H332,Wh_hp,'2024'!Maxi_hp)</f>
        <v>17.041501964262778</v>
      </c>
      <c r="J332" s="85">
        <f>IF(H332,An,'2024'!An_max)</f>
        <v>2020</v>
      </c>
      <c r="K332" s="199">
        <f t="shared" si="104"/>
        <v>45975</v>
      </c>
      <c r="L332" s="147">
        <f>IF(t&lt;Tvie,1-EXP((T0-t)*PertePVj)+'2024'!Pspv,1-EXP((T0-t)*PertePVj)+Pspv)</f>
        <v>6.0069506709904852E-2</v>
      </c>
      <c r="M332" s="872"/>
      <c r="N332" s="872"/>
      <c r="O332" s="48">
        <f>IF(t&lt;Tnet,'2024'!Resal+('2024'!Salim-'2024'!Resal)*(1-EXP(('2024'!Tnet-t)/('2024'!Tau_j))),Resal+(Salim-Resal)*(1-EXP((Tnet-t)/(Tau_j))))*Salcycl</f>
        <v>0.11538896771939451</v>
      </c>
      <c r="P332" s="171">
        <f>(INDEX(Models!$BJ332:$BT332,,T332)*(1-R332)+INDEX(Models!$BJ332:$BT332,,T332+1)*R332-ERP_i)*Q332*Ramure*Pc/MaxiM</f>
        <v>7.0598198331349874E-3</v>
      </c>
      <c r="Q332" s="307">
        <f t="shared" si="105"/>
        <v>0.9</v>
      </c>
      <c r="R332" s="179">
        <f t="shared" si="106"/>
        <v>0.86392022234874055</v>
      </c>
      <c r="S332" s="839">
        <f t="shared" si="107"/>
        <v>-3</v>
      </c>
      <c r="T332" s="178">
        <f t="shared" si="108"/>
        <v>3</v>
      </c>
      <c r="U332" s="253">
        <f t="shared" si="109"/>
        <v>-2.1360797776512594</v>
      </c>
      <c r="V332" s="385">
        <f t="shared" si="110"/>
        <v>19.106924007680178</v>
      </c>
      <c r="W332" s="404">
        <f t="shared" si="111"/>
        <v>9.0973601342038215</v>
      </c>
      <c r="X332" s="157">
        <f t="shared" si="112"/>
        <v>45975</v>
      </c>
      <c r="Y332" s="387">
        <f t="shared" si="113"/>
        <v>8.2765526436425958</v>
      </c>
      <c r="Z332" s="387">
        <f t="shared" si="114"/>
        <v>8.805494345301728</v>
      </c>
      <c r="AA332" s="388">
        <f t="shared" si="115"/>
        <v>10.548312931020138</v>
      </c>
      <c r="AB332" s="199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0.16522249549434451</v>
      </c>
      <c r="AD332" s="233">
        <f>(INDEX(Models!$BJ332:$BT332,,AH332)*(1-AF332)+INDEX(Models!$BJ332:$BT332,,AH332+1)*AF332-ERP_i)*AE332*Ramure*Pc/MaxiM</f>
        <v>0.14954204540807806</v>
      </c>
      <c r="AE332" s="307">
        <f t="shared" si="117"/>
        <v>0.9</v>
      </c>
      <c r="AF332" s="179">
        <f t="shared" si="118"/>
        <v>0.49957587465571951</v>
      </c>
      <c r="AG332" s="839">
        <f t="shared" si="124"/>
        <v>2</v>
      </c>
      <c r="AH332" s="178">
        <f t="shared" si="119"/>
        <v>8</v>
      </c>
      <c r="AI332" s="227">
        <f t="shared" si="120"/>
        <v>2.4995758746557195</v>
      </c>
      <c r="AJ332" s="267" t="b">
        <f t="shared" si="121"/>
        <v>0</v>
      </c>
      <c r="AK332" s="267" t="b">
        <f t="shared" si="122"/>
        <v>0</v>
      </c>
      <c r="AL332" s="267"/>
      <c r="AM332" s="267"/>
      <c r="AN332" s="75"/>
    </row>
    <row r="333" spans="1:40" s="6" customFormat="1" ht="11.25" x14ac:dyDescent="0.2">
      <c r="A333" s="56">
        <f t="shared" si="123"/>
        <v>45976</v>
      </c>
      <c r="B333" s="413">
        <f>'2024'!Wh/'2024'!Env_an*'2025'!Env_an</f>
        <v>11.089743736060363</v>
      </c>
      <c r="C333" s="868"/>
      <c r="D333" s="395">
        <f t="shared" si="102"/>
        <v>11.798746711349992</v>
      </c>
      <c r="E333" s="387">
        <f t="shared" si="125"/>
        <v>13.338058803429481</v>
      </c>
      <c r="F333" s="387">
        <f t="shared" si="103"/>
        <v>13.378658386168356</v>
      </c>
      <c r="G333" s="110">
        <f t="shared" si="126"/>
        <v>0.58426653245231053</v>
      </c>
      <c r="H333" s="416" t="b">
        <f>Wh_hp&gt;='2024'!Maxi_hp</f>
        <v>0</v>
      </c>
      <c r="I333" s="392">
        <f>IF(H333,Wh_hp,'2024'!Maxi_hp)</f>
        <v>21.801305387637619</v>
      </c>
      <c r="J333" s="85">
        <f>IF(H333,An,'2024'!An_max)</f>
        <v>2020</v>
      </c>
      <c r="K333" s="199">
        <f t="shared" si="104"/>
        <v>45976</v>
      </c>
      <c r="L333" s="147">
        <f>IF(t&lt;Tvie,1-EXP((T0-t)*PertePVj)+'2024'!Pspv,1-EXP((T0-t)*PertePVj)+Pspv)</f>
        <v>6.0091380265633765E-2</v>
      </c>
      <c r="M333" s="872"/>
      <c r="N333" s="872"/>
      <c r="O333" s="48">
        <f>IF(t&lt;Tnet,'2024'!Resal+('2024'!Salim-'2024'!Resal)*(1-EXP(('2024'!Tnet-t)/('2024'!Tau_j))),Resal+(Salim-Resal)*(1-EXP((Tnet-t)/(Tau_j))))*Salcycl</f>
        <v>0.11540750530232349</v>
      </c>
      <c r="P333" s="171">
        <f>(INDEX(Models!$BJ333:$BT333,,T333)*(1-R333)+INDEX(Models!$BJ333:$BT333,,T333+1)*R333-ERP_i)*Q333*Ramure*Pc/MaxiM</f>
        <v>7.4057345941922143E-3</v>
      </c>
      <c r="Q333" s="307">
        <f t="shared" si="105"/>
        <v>0.9</v>
      </c>
      <c r="R333" s="179">
        <f t="shared" si="106"/>
        <v>0.86396461569255401</v>
      </c>
      <c r="S333" s="839">
        <f t="shared" si="107"/>
        <v>-3</v>
      </c>
      <c r="T333" s="178">
        <f t="shared" si="108"/>
        <v>3</v>
      </c>
      <c r="U333" s="253">
        <f t="shared" si="109"/>
        <v>-2.136035384307446</v>
      </c>
      <c r="V333" s="385">
        <f t="shared" si="110"/>
        <v>18.897406227233002</v>
      </c>
      <c r="W333" s="404">
        <f t="shared" si="111"/>
        <v>11.089743736060363</v>
      </c>
      <c r="X333" s="157">
        <f t="shared" si="112"/>
        <v>45976</v>
      </c>
      <c r="Y333" s="387">
        <f t="shared" si="113"/>
        <v>9.8420170914351086</v>
      </c>
      <c r="Z333" s="387">
        <f t="shared" si="114"/>
        <v>10.471248890361943</v>
      </c>
      <c r="AA333" s="388">
        <f t="shared" si="115"/>
        <v>12.542566153733565</v>
      </c>
      <c r="AB333" s="199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0.16514302081277438</v>
      </c>
      <c r="AD333" s="233">
        <f>(INDEX(Models!$BJ333:$BT333,,AH333)*(1-AF333)+INDEX(Models!$BJ333:$BT333,,AH333+1)*AF333-ERP_i)*AE333*Ramure*Pc/MaxiM</f>
        <v>0.15251085730368777</v>
      </c>
      <c r="AE333" s="307">
        <f t="shared" si="117"/>
        <v>0.9</v>
      </c>
      <c r="AF333" s="179">
        <f t="shared" si="118"/>
        <v>0.49962026799953296</v>
      </c>
      <c r="AG333" s="839">
        <f t="shared" si="124"/>
        <v>2</v>
      </c>
      <c r="AH333" s="178">
        <f t="shared" si="119"/>
        <v>8</v>
      </c>
      <c r="AI333" s="227">
        <f t="shared" si="120"/>
        <v>2.499620267999533</v>
      </c>
      <c r="AJ333" s="267" t="b">
        <f t="shared" si="121"/>
        <v>0</v>
      </c>
      <c r="AK333" s="267" t="b">
        <f t="shared" si="122"/>
        <v>0</v>
      </c>
      <c r="AL333" s="267"/>
      <c r="AM333" s="267"/>
      <c r="AN333" s="75"/>
    </row>
    <row r="334" spans="1:40" s="6" customFormat="1" ht="11.25" x14ac:dyDescent="0.2">
      <c r="A334" s="56">
        <f t="shared" si="123"/>
        <v>45977</v>
      </c>
      <c r="B334" s="413">
        <f>'2024'!Wh/'2024'!Env_an*'2025'!Env_an</f>
        <v>17.38608377087424</v>
      </c>
      <c r="C334" s="868"/>
      <c r="D334" s="395">
        <f t="shared" si="102"/>
        <v>18.49806248693897</v>
      </c>
      <c r="E334" s="387">
        <f t="shared" si="125"/>
        <v>20.911874409210135</v>
      </c>
      <c r="F334" s="387">
        <f t="shared" si="103"/>
        <v>21.058310836751197</v>
      </c>
      <c r="G334" s="110">
        <f t="shared" si="126"/>
        <v>0.92930602742833501</v>
      </c>
      <c r="H334" s="416" t="b">
        <f>Wh_hp&gt;='2024'!Maxi_hp</f>
        <v>1</v>
      </c>
      <c r="I334" s="392">
        <f>IF(H334,Wh_hp,'2024'!Maxi_hp)</f>
        <v>21.058310836751197</v>
      </c>
      <c r="J334" s="85">
        <f>IF(H334,An,'2024'!An_max)</f>
        <v>2025</v>
      </c>
      <c r="K334" s="199">
        <f t="shared" si="104"/>
        <v>45977</v>
      </c>
      <c r="L334" s="147">
        <f>IF(t&lt;Tvie,1-EXP((T0-t)*PertePVj)+'2024'!Pspv,1-EXP((T0-t)*PertePVj)+Pspv)</f>
        <v>6.0113253312333081E-2</v>
      </c>
      <c r="M334" s="872"/>
      <c r="N334" s="872"/>
      <c r="O334" s="48">
        <f>IF(t&lt;Tnet,'2024'!Resal+('2024'!Salim-'2024'!Resal)*(1-EXP(('2024'!Tnet-t)/('2024'!Tau_j))),Resal+(Salim-Resal)*(1-EXP((Tnet-t)/(Tau_j))))*Salcycl</f>
        <v>0.1154278126884723</v>
      </c>
      <c r="P334" s="171">
        <f>(INDEX(Models!$BJ334:$BT334,,T334)*(1-R334)+INDEX(Models!$BJ334:$BT334,,T334+1)*R334-ERP_i)*Q334*Ramure*Pc/MaxiM</f>
        <v>7.7261454389228471E-3</v>
      </c>
      <c r="Q334" s="307">
        <f t="shared" si="105"/>
        <v>0.9</v>
      </c>
      <c r="R334" s="179">
        <f t="shared" si="106"/>
        <v>0.86400722692623955</v>
      </c>
      <c r="S334" s="839">
        <f t="shared" si="107"/>
        <v>-3</v>
      </c>
      <c r="T334" s="178">
        <f t="shared" si="108"/>
        <v>3</v>
      </c>
      <c r="U334" s="253">
        <f t="shared" si="109"/>
        <v>-2.1359927730737605</v>
      </c>
      <c r="V334" s="385">
        <f t="shared" si="110"/>
        <v>18.69412455901865</v>
      </c>
      <c r="W334" s="404">
        <f t="shared" si="111"/>
        <v>17.38608377087424</v>
      </c>
      <c r="X334" s="157">
        <f t="shared" si="112"/>
        <v>45977</v>
      </c>
      <c r="Y334" s="387">
        <f t="shared" si="113"/>
        <v>14.212818358813303</v>
      </c>
      <c r="Z334" s="387">
        <f t="shared" si="114"/>
        <v>15.121841444090874</v>
      </c>
      <c r="AA334" s="388">
        <f t="shared" si="115"/>
        <v>18.111429505180414</v>
      </c>
      <c r="AB334" s="199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0.16506637757303635</v>
      </c>
      <c r="AD334" s="233">
        <f>(INDEX(Models!$BJ334:$BT334,,AH334)*(1-AF334)+INDEX(Models!$BJ334:$BT334,,AH334+1)*AF334-ERP_i)*AE334*Ramure*Pc/MaxiM</f>
        <v>0.15548066926570167</v>
      </c>
      <c r="AE334" s="307">
        <f t="shared" si="117"/>
        <v>0.9</v>
      </c>
      <c r="AF334" s="179">
        <f t="shared" si="118"/>
        <v>0.4996628792332185</v>
      </c>
      <c r="AG334" s="839">
        <f t="shared" si="124"/>
        <v>2</v>
      </c>
      <c r="AH334" s="178">
        <f t="shared" si="119"/>
        <v>8</v>
      </c>
      <c r="AI334" s="227">
        <f t="shared" si="120"/>
        <v>2.4996628792332185</v>
      </c>
      <c r="AJ334" s="267" t="b">
        <f t="shared" si="121"/>
        <v>0</v>
      </c>
      <c r="AK334" s="267" t="b">
        <f t="shared" si="122"/>
        <v>0</v>
      </c>
      <c r="AL334" s="267"/>
      <c r="AM334" s="267"/>
      <c r="AN334" s="75"/>
    </row>
    <row r="335" spans="1:40" s="6" customFormat="1" ht="11.25" x14ac:dyDescent="0.2">
      <c r="A335" s="56">
        <f t="shared" si="123"/>
        <v>45978</v>
      </c>
      <c r="B335" s="413">
        <f>'2024'!Wh/'2024'!Env_an*'2025'!Env_an</f>
        <v>11.419656426510178</v>
      </c>
      <c r="C335" s="868"/>
      <c r="D335" s="395">
        <f t="shared" ref="D335:D379" si="127">Wh/(1-Ppv)</f>
        <v>12.150317285597174</v>
      </c>
      <c r="E335" s="387">
        <f t="shared" si="125"/>
        <v>13.736156783358531</v>
      </c>
      <c r="F335" s="387">
        <f t="shared" ref="F335:F379" si="128">Wh_sa/(1-Pvg*MEDIAN((-Sdif+Wh/Env_an)/Csdif,0,1))</f>
        <v>13.786288361259073</v>
      </c>
      <c r="G335" s="110">
        <f t="shared" si="126"/>
        <v>0.61466926879123795</v>
      </c>
      <c r="H335" s="416" t="b">
        <f>Wh_hp&gt;='2024'!Maxi_hp</f>
        <v>0</v>
      </c>
      <c r="I335" s="392">
        <f>IF(H335,Wh_hp,'2024'!Maxi_hp)</f>
        <v>21.918634591687038</v>
      </c>
      <c r="J335" s="85">
        <f>IF(H335,An,'2024'!An_max)</f>
        <v>2018</v>
      </c>
      <c r="K335" s="199">
        <f t="shared" ref="K335:K379" si="129">t</f>
        <v>45978</v>
      </c>
      <c r="L335" s="147">
        <f>IF(t&lt;Tvie,1-EXP((T0-t)*PertePVj)+'2024'!Pspv,1-EXP((T0-t)*PertePVj)+Pspv)</f>
        <v>6.0135125850014681E-2</v>
      </c>
      <c r="M335" s="872"/>
      <c r="N335" s="872"/>
      <c r="O335" s="48">
        <f>IF(t&lt;Tnet,'2024'!Resal+('2024'!Salim-'2024'!Resal)*(1-EXP(('2024'!Tnet-t)/('2024'!Tau_j))),Resal+(Salim-Resal)*(1-EXP((Tnet-t)/(Tau_j))))*Salcycl</f>
        <v>0.11545001435063808</v>
      </c>
      <c r="P335" s="171">
        <f>(INDEX(Models!$BJ335:$BT335,,T335)*(1-R335)+INDEX(Models!$BJ335:$BT335,,T335+1)*R335-ERP_i)*Q335*Ramure*Pc/MaxiM</f>
        <v>8.0200096030889657E-3</v>
      </c>
      <c r="Q335" s="307">
        <f t="shared" ref="Q335:Q379" si="130">IF(OR(t&lt;Ttai,Notai),Dd+PousD*Croivg,Dens+PousD*(Croivg-Croi_tai))</f>
        <v>0.9</v>
      </c>
      <c r="R335" s="179">
        <f t="shared" ref="R335:R379" si="131">(Hp_vg-S335)/(INDEX(Echel_vg,T335+1)-S335)</f>
        <v>0.86404812738583114</v>
      </c>
      <c r="S335" s="839">
        <f t="shared" ref="S335:S379" si="132">INDEX(Echel_vg,T335)</f>
        <v>-3</v>
      </c>
      <c r="T335" s="178">
        <f t="shared" ref="T335:T379" si="133">MIN(MATCH(Hp_vg,Echel_vg),10)</f>
        <v>3</v>
      </c>
      <c r="U335" s="253">
        <f t="shared" ref="U335:U379" si="134">IF(OR(t&lt;Ttai,Notai),Hdd+PousH*Croivg,Hdtf+PousH*(Croivg-Croi_tai))</f>
        <v>-2.1359518726141689</v>
      </c>
      <c r="V335" s="385">
        <f t="shared" ref="V335:V379" si="135">MaxiM*(1-Ppv)*(1-Pvg)*(1-Psa)</f>
        <v>18.496798618132036</v>
      </c>
      <c r="W335" s="404">
        <f t="shared" ref="W335:W379" si="136">Wh*(A335&gt;Tmaj)</f>
        <v>11.419656426510178</v>
      </c>
      <c r="X335" s="157">
        <f t="shared" ref="X335:X379" si="137">t</f>
        <v>45978</v>
      </c>
      <c r="Y335" s="387">
        <f t="shared" ref="Y335:Y379" si="138">Wh_pvt_s*(1-Ppv)</f>
        <v>10.042099255992625</v>
      </c>
      <c r="Z335" s="387">
        <f t="shared" ref="Z335:Z379" si="139">Wh_sa_s*(1-Psa_s)</f>
        <v>10.684620238706877</v>
      </c>
      <c r="AA335" s="388">
        <f t="shared" ref="AA335:AA379" si="140">Wh_hp*(1-Pvg_s*MEDIAN((-Sdif+Wh/Env_an)/Csdif,0,1))</f>
        <v>12.795841087881664</v>
      </c>
      <c r="AB335" s="199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0.16499273745859699</v>
      </c>
      <c r="AD335" s="233">
        <f>(INDEX(Models!$BJ335:$BT335,,AH335)*(1-AF335)+INDEX(Models!$BJ335:$BT335,,AH335+1)*AF335-ERP_i)*AE335*Ramure*Pc/MaxiM</f>
        <v>0.15845095998373493</v>
      </c>
      <c r="AE335" s="307">
        <f t="shared" ref="AE335:AE379" si="142">IF(OR(t&lt;Ttai,Notai),Dd_s+PousD*Croivg,Dens_s+PousD*(Croivg-Croi_tai))</f>
        <v>0.9</v>
      </c>
      <c r="AF335" s="179">
        <f t="shared" ref="AF335:AF379" si="143">(Hp_vg_s-AG335)/(INDEX(Echel_vg,AH335+1)-AG335)</f>
        <v>0.4997037796928101</v>
      </c>
      <c r="AG335" s="839">
        <f t="shared" si="124"/>
        <v>2</v>
      </c>
      <c r="AH335" s="178">
        <f t="shared" ref="AH335:AH379" si="144">MIN(MATCH(Hp_vg_s,Echel_vg),10)</f>
        <v>8</v>
      </c>
      <c r="AI335" s="227">
        <f t="shared" ref="AI335:AI379" si="145">IF(OR(t&lt;Ttai,Notai),Hdd_s+PousH*Croivg,Hdtai_s+PousH*(Croivg-Croi_tai))</f>
        <v>2.4997037796928101</v>
      </c>
      <c r="AJ335" s="267" t="b">
        <f t="shared" ref="AJ335:AJ380" si="146">t&lt;Tnet</f>
        <v>0</v>
      </c>
      <c r="AK335" s="267" t="b">
        <f t="shared" ref="AK335:AK380" si="147">t&lt;Ttai</f>
        <v>0</v>
      </c>
      <c r="AL335" s="267"/>
      <c r="AM335" s="267"/>
      <c r="AN335" s="75"/>
    </row>
    <row r="336" spans="1:40" s="6" customFormat="1" ht="11.25" x14ac:dyDescent="0.2">
      <c r="A336" s="56">
        <f t="shared" ref="A336:A379" si="148">A335+1</f>
        <v>45979</v>
      </c>
      <c r="B336" s="413">
        <f>'2024'!Wh/'2024'!Env_an*'2025'!Env_an</f>
        <v>10.807475488058209</v>
      </c>
      <c r="C336" s="868"/>
      <c r="D336" s="395">
        <f t="shared" si="127"/>
        <v>11.499234939947174</v>
      </c>
      <c r="E336" s="387">
        <f t="shared" si="125"/>
        <v>13.000452093909082</v>
      </c>
      <c r="F336" s="387">
        <f t="shared" si="128"/>
        <v>13.045298031836479</v>
      </c>
      <c r="G336" s="110">
        <f t="shared" si="126"/>
        <v>0.58753381719277842</v>
      </c>
      <c r="H336" s="416" t="b">
        <f>Wh_hp&gt;='2024'!Maxi_hp</f>
        <v>0</v>
      </c>
      <c r="I336" s="392">
        <f>IF(H336,Wh_hp,'2024'!Maxi_hp)</f>
        <v>20.767759562159952</v>
      </c>
      <c r="J336" s="85">
        <f>IF(H336,An,'2024'!An_max)</f>
        <v>2020</v>
      </c>
      <c r="K336" s="199">
        <f t="shared" si="129"/>
        <v>45979</v>
      </c>
      <c r="L336" s="147">
        <f>IF(t&lt;Tvie,1-EXP((T0-t)*PertePVj)+'2024'!Pspv,1-EXP((T0-t)*PertePVj)+Pspv)</f>
        <v>6.0156997878690333E-2</v>
      </c>
      <c r="M336" s="872"/>
      <c r="N336" s="872"/>
      <c r="O336" s="48">
        <f>IF(t&lt;Tnet,'2024'!Resal+('2024'!Salim-'2024'!Resal)*(1-EXP(('2024'!Tnet-t)/('2024'!Tau_j))),Resal+(Salim-Resal)*(1-EXP((Tnet-t)/(Tau_j))))*Salcycl</f>
        <v>0.11547422682825415</v>
      </c>
      <c r="P336" s="171">
        <f>(INDEX(Models!$BJ336:$BT336,,T336)*(1-R336)+INDEX(Models!$BJ336:$BT336,,T336+1)*R336-ERP_i)*Q336*Ramure*Pc/MaxiM</f>
        <v>8.2863077608540583E-3</v>
      </c>
      <c r="Q336" s="307">
        <f t="shared" si="130"/>
        <v>0.9</v>
      </c>
      <c r="R336" s="179">
        <f t="shared" si="131"/>
        <v>0.86408738556795983</v>
      </c>
      <c r="S336" s="839">
        <f t="shared" si="132"/>
        <v>-3</v>
      </c>
      <c r="T336" s="178">
        <f t="shared" si="133"/>
        <v>3</v>
      </c>
      <c r="U336" s="253">
        <f t="shared" si="134"/>
        <v>-2.1359126144320402</v>
      </c>
      <c r="V336" s="385">
        <f t="shared" si="135"/>
        <v>18.305148230568474</v>
      </c>
      <c r="W336" s="404">
        <f t="shared" si="136"/>
        <v>10.807475488058209</v>
      </c>
      <c r="X336" s="157">
        <f t="shared" si="137"/>
        <v>45979</v>
      </c>
      <c r="Y336" s="387">
        <f t="shared" si="138"/>
        <v>9.5528429886470168</v>
      </c>
      <c r="Z336" s="387">
        <f t="shared" si="139"/>
        <v>10.16429655494098</v>
      </c>
      <c r="AA336" s="388">
        <f t="shared" si="140"/>
        <v>12.171677046386934</v>
      </c>
      <c r="AB336" s="199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0.16492226040797131</v>
      </c>
      <c r="AD336" s="233">
        <f>(INDEX(Models!$BJ336:$BT336,,AH336)*(1-AF336)+INDEX(Models!$BJ336:$BT336,,AH336+1)*AF336-ERP_i)*AE336*Ramure*Pc/MaxiM</f>
        <v>0.16142136136154267</v>
      </c>
      <c r="AE336" s="307">
        <f t="shared" si="142"/>
        <v>0.9</v>
      </c>
      <c r="AF336" s="179">
        <f t="shared" si="143"/>
        <v>0.49974303787493879</v>
      </c>
      <c r="AG336" s="839">
        <f t="shared" ref="AG336:AG379" si="149">INDEX(Echel_vg,AH336)</f>
        <v>2</v>
      </c>
      <c r="AH336" s="178">
        <f t="shared" si="144"/>
        <v>8</v>
      </c>
      <c r="AI336" s="227">
        <f t="shared" si="145"/>
        <v>2.4997430378749388</v>
      </c>
      <c r="AJ336" s="267" t="b">
        <f t="shared" si="146"/>
        <v>0</v>
      </c>
      <c r="AK336" s="267" t="b">
        <f t="shared" si="147"/>
        <v>0</v>
      </c>
      <c r="AL336" s="267"/>
      <c r="AM336" s="267"/>
      <c r="AN336" s="75"/>
    </row>
    <row r="337" spans="1:40" s="6" customFormat="1" ht="11.25" x14ac:dyDescent="0.2">
      <c r="A337" s="56">
        <f t="shared" si="148"/>
        <v>45980</v>
      </c>
      <c r="B337" s="413">
        <f>'2024'!Wh/'2024'!Env_an*'2025'!Env_an</f>
        <v>7.9530672478947535</v>
      </c>
      <c r="C337" s="868"/>
      <c r="D337" s="395">
        <f t="shared" si="127"/>
        <v>8.4623201042559923</v>
      </c>
      <c r="E337" s="387">
        <f t="shared" si="125"/>
        <v>9.5673549407804224</v>
      </c>
      <c r="F337" s="387">
        <f t="shared" si="128"/>
        <v>9.5835691346800225</v>
      </c>
      <c r="G337" s="110">
        <f t="shared" si="126"/>
        <v>0.43593382163614064</v>
      </c>
      <c r="H337" s="416" t="b">
        <f>Wh_hp&gt;='2024'!Maxi_hp</f>
        <v>0</v>
      </c>
      <c r="I337" s="392">
        <f>IF(H337,Wh_hp,'2024'!Maxi_hp)</f>
        <v>21.77433778544162</v>
      </c>
      <c r="J337" s="85">
        <f>IF(H337,An,'2024'!An_max)</f>
        <v>2021</v>
      </c>
      <c r="K337" s="199">
        <f t="shared" si="129"/>
        <v>45980</v>
      </c>
      <c r="L337" s="147">
        <f>IF(t&lt;Tvie,1-EXP((T0-t)*PertePVj)+'2024'!Pspv,1-EXP((T0-t)*PertePVj)+Pspv)</f>
        <v>6.0178869398372026E-2</v>
      </c>
      <c r="M337" s="872"/>
      <c r="N337" s="872"/>
      <c r="O337" s="48">
        <f>IF(t&lt;Tnet,'2024'!Resal+('2024'!Salim-'2024'!Resal)*(1-EXP(('2024'!Tnet-t)/('2024'!Tau_j))),Resal+(Salim-Resal)*(1-EXP((Tnet-t)/(Tau_j))))*Salcycl</f>
        <v>0.11550055823833483</v>
      </c>
      <c r="P337" s="171">
        <f>(INDEX(Models!$BJ337:$BT337,,T337)*(1-R337)+INDEX(Models!$BJ337:$BT337,,T337+1)*R337-ERP_i)*Q337*Ramure*Pc/MaxiM</f>
        <v>8.5240443184341833E-3</v>
      </c>
      <c r="Q337" s="307">
        <f t="shared" si="130"/>
        <v>0.9</v>
      </c>
      <c r="R337" s="179">
        <f t="shared" si="131"/>
        <v>0.86412506724159854</v>
      </c>
      <c r="S337" s="839">
        <f t="shared" si="132"/>
        <v>-3</v>
      </c>
      <c r="T337" s="178">
        <f t="shared" si="133"/>
        <v>3</v>
      </c>
      <c r="U337" s="253">
        <f t="shared" si="134"/>
        <v>-2.1358749327584015</v>
      </c>
      <c r="V337" s="385">
        <f t="shared" si="135"/>
        <v>18.118893421982516</v>
      </c>
      <c r="W337" s="404">
        <f t="shared" si="136"/>
        <v>7.9530672478947535</v>
      </c>
      <c r="X337" s="157">
        <f t="shared" si="137"/>
        <v>45980</v>
      </c>
      <c r="Y337" s="387">
        <f t="shared" si="138"/>
        <v>7.2765821897009895</v>
      </c>
      <c r="Z337" s="387">
        <f t="shared" si="139"/>
        <v>7.7425181800741951</v>
      </c>
      <c r="AA337" s="388">
        <f t="shared" si="140"/>
        <v>9.2708679943330932</v>
      </c>
      <c r="AB337" s="199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0.16485509395593995</v>
      </c>
      <c r="AD337" s="233">
        <f>(INDEX(Models!$BJ337:$BT337,,AH337)*(1-AF337)+INDEX(Models!$BJ337:$BT337,,AH337+1)*AF337-ERP_i)*AE337*Ramure*Pc/MaxiM</f>
        <v>0.16439166789586285</v>
      </c>
      <c r="AE337" s="307">
        <f t="shared" si="142"/>
        <v>0.9</v>
      </c>
      <c r="AF337" s="179">
        <f t="shared" si="143"/>
        <v>0.4997807195485775</v>
      </c>
      <c r="AG337" s="839">
        <f t="shared" si="149"/>
        <v>2</v>
      </c>
      <c r="AH337" s="178">
        <f t="shared" si="144"/>
        <v>8</v>
      </c>
      <c r="AI337" s="227">
        <f t="shared" si="145"/>
        <v>2.4997807195485775</v>
      </c>
      <c r="AJ337" s="267" t="b">
        <f t="shared" si="146"/>
        <v>0</v>
      </c>
      <c r="AK337" s="267" t="b">
        <f t="shared" si="147"/>
        <v>0</v>
      </c>
      <c r="AL337" s="267"/>
      <c r="AM337" s="267"/>
      <c r="AN337" s="75"/>
    </row>
    <row r="338" spans="1:40" s="6" customFormat="1" ht="11.25" x14ac:dyDescent="0.2">
      <c r="A338" s="56">
        <f t="shared" si="148"/>
        <v>45981</v>
      </c>
      <c r="B338" s="413">
        <f>'2024'!Wh/'2024'!Env_an*'2025'!Env_an</f>
        <v>13.010865002802255</v>
      </c>
      <c r="C338" s="868"/>
      <c r="D338" s="395">
        <f t="shared" si="127"/>
        <v>13.844302248615906</v>
      </c>
      <c r="E338" s="387">
        <f t="shared" si="125"/>
        <v>15.652637493567925</v>
      </c>
      <c r="F338" s="387">
        <f t="shared" si="128"/>
        <v>15.736079498133517</v>
      </c>
      <c r="G338" s="110">
        <f t="shared" si="126"/>
        <v>0.72283319498632592</v>
      </c>
      <c r="H338" s="416" t="b">
        <f>Wh_hp&gt;='2024'!Maxi_hp</f>
        <v>0</v>
      </c>
      <c r="I338" s="392">
        <f>IF(H338,Wh_hp,'2024'!Maxi_hp)</f>
        <v>22.468091458324675</v>
      </c>
      <c r="J338" s="85">
        <f>IF(H338,An,'2024'!An_max)</f>
        <v>2019</v>
      </c>
      <c r="K338" s="199">
        <f t="shared" si="129"/>
        <v>45981</v>
      </c>
      <c r="L338" s="147">
        <f>IF(t&lt;Tvie,1-EXP((T0-t)*PertePVj)+'2024'!Pspv,1-EXP((T0-t)*PertePVj)+Pspv)</f>
        <v>6.0200740409071418E-2</v>
      </c>
      <c r="M338" s="872"/>
      <c r="N338" s="872"/>
      <c r="O338" s="48">
        <f>IF(t&lt;Tnet,'2024'!Resal+('2024'!Salim-'2024'!Resal)*(1-EXP(('2024'!Tnet-t)/('2024'!Tau_j))),Resal+(Salim-Resal)*(1-EXP((Tnet-t)/(Tau_j))))*Salcycl</f>
        <v>0.11552910783854231</v>
      </c>
      <c r="P338" s="171">
        <f>(INDEX(Models!$BJ338:$BT338,,T338)*(1-R338)+INDEX(Models!$BJ338:$BT338,,T338+1)*R338-ERP_i)*Q338*Ramure*Pc/MaxiM</f>
        <v>8.7269003673975838E-3</v>
      </c>
      <c r="Q338" s="307">
        <f t="shared" si="130"/>
        <v>0.9</v>
      </c>
      <c r="R338" s="179">
        <f t="shared" si="131"/>
        <v>0.8641612355555135</v>
      </c>
      <c r="S338" s="839">
        <f t="shared" si="132"/>
        <v>-3</v>
      </c>
      <c r="T338" s="178">
        <f t="shared" si="133"/>
        <v>3</v>
      </c>
      <c r="U338" s="253">
        <f t="shared" si="134"/>
        <v>-2.1358387644444865</v>
      </c>
      <c r="V338" s="385">
        <f t="shared" si="135"/>
        <v>17.937851177886678</v>
      </c>
      <c r="W338" s="404">
        <f t="shared" si="136"/>
        <v>13.010865002802255</v>
      </c>
      <c r="X338" s="157">
        <f t="shared" si="137"/>
        <v>45981</v>
      </c>
      <c r="Y338" s="387">
        <f t="shared" si="138"/>
        <v>11.09560644064503</v>
      </c>
      <c r="Z338" s="387">
        <f t="shared" si="139"/>
        <v>11.806357929537711</v>
      </c>
      <c r="AA338" s="388">
        <f t="shared" si="140"/>
        <v>14.135818935464556</v>
      </c>
      <c r="AB338" s="199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0.1647913726513992</v>
      </c>
      <c r="AD338" s="233">
        <f>(INDEX(Models!$BJ338:$BT338,,AH338)*(1-AF338)+INDEX(Models!$BJ338:$BT338,,AH338+1)*AF338-ERP_i)*AE338*Ramure*Pc/MaxiM</f>
        <v>0.16736552009977032</v>
      </c>
      <c r="AE338" s="307">
        <f t="shared" si="142"/>
        <v>0.9</v>
      </c>
      <c r="AF338" s="179">
        <f t="shared" si="143"/>
        <v>0.49981688786249245</v>
      </c>
      <c r="AG338" s="839">
        <f t="shared" si="149"/>
        <v>2</v>
      </c>
      <c r="AH338" s="178">
        <f t="shared" si="144"/>
        <v>8</v>
      </c>
      <c r="AI338" s="227">
        <f t="shared" si="145"/>
        <v>2.4998168878624925</v>
      </c>
      <c r="AJ338" s="267" t="b">
        <f t="shared" si="146"/>
        <v>0</v>
      </c>
      <c r="AK338" s="267" t="b">
        <f t="shared" si="147"/>
        <v>0</v>
      </c>
      <c r="AL338" s="267"/>
      <c r="AM338" s="267"/>
      <c r="AN338" s="75"/>
    </row>
    <row r="339" spans="1:40" s="6" customFormat="1" ht="11.25" x14ac:dyDescent="0.2">
      <c r="A339" s="56">
        <f t="shared" si="148"/>
        <v>45982</v>
      </c>
      <c r="B339" s="413">
        <f>'2024'!Wh/'2024'!Env_an*'2025'!Env_an</f>
        <v>3.1075169664647255</v>
      </c>
      <c r="C339" s="868"/>
      <c r="D339" s="395">
        <f t="shared" si="127"/>
        <v>3.3066521950229357</v>
      </c>
      <c r="E339" s="387">
        <f t="shared" si="125"/>
        <v>3.7386957471185109</v>
      </c>
      <c r="F339" s="387">
        <f t="shared" si="128"/>
        <v>3.7386957471185109</v>
      </c>
      <c r="G339" s="110">
        <f t="shared" si="126"/>
        <v>0.17339962700776099</v>
      </c>
      <c r="H339" s="416" t="b">
        <f>Wh_hp&gt;='2024'!Maxi_hp</f>
        <v>0</v>
      </c>
      <c r="I339" s="392">
        <f>IF(H339,Wh_hp,'2024'!Maxi_hp)</f>
        <v>21.653761632843604</v>
      </c>
      <c r="J339" s="85">
        <f>IF(H339,An,'2024'!An_max)</f>
        <v>2019</v>
      </c>
      <c r="K339" s="199">
        <f t="shared" si="129"/>
        <v>45982</v>
      </c>
      <c r="L339" s="147">
        <f>IF(t&lt;Tvie,1-EXP((T0-t)*PertePVj)+'2024'!Pspv,1-EXP((T0-t)*PertePVj)+Pspv)</f>
        <v>6.0222610910800389E-2</v>
      </c>
      <c r="M339" s="872"/>
      <c r="N339" s="872"/>
      <c r="O339" s="48">
        <f>IF(t&lt;Tnet,'2024'!Resal+('2024'!Salim-'2024'!Resal)*(1-EXP(('2024'!Tnet-t)/('2024'!Tau_j))),Resal+(Salim-Resal)*(1-EXP((Tnet-t)/(Tau_j))))*Salcycl</f>
        <v>0.11555996564538847</v>
      </c>
      <c r="P339" s="171">
        <f>(INDEX(Models!$BJ339:$BT339,,T339)*(1-R339)+INDEX(Models!$BJ339:$BT339,,T339+1)*R339-ERP_i)*Q339*Ramure*Pc/MaxiM</f>
        <v>8.9067333509211082E-3</v>
      </c>
      <c r="Q339" s="307">
        <f t="shared" si="130"/>
        <v>0.9</v>
      </c>
      <c r="R339" s="179">
        <f t="shared" si="131"/>
        <v>0.86419595114157222</v>
      </c>
      <c r="S339" s="839">
        <f t="shared" si="132"/>
        <v>-3</v>
      </c>
      <c r="T339" s="178">
        <f t="shared" si="133"/>
        <v>3</v>
      </c>
      <c r="U339" s="253">
        <f t="shared" si="134"/>
        <v>-2.1358040488584278</v>
      </c>
      <c r="V339" s="385">
        <f t="shared" si="135"/>
        <v>17.761509609955009</v>
      </c>
      <c r="W339" s="404">
        <f t="shared" si="136"/>
        <v>3.1075169664647255</v>
      </c>
      <c r="X339" s="157">
        <f t="shared" si="137"/>
        <v>45982</v>
      </c>
      <c r="Y339" s="387">
        <f t="shared" si="138"/>
        <v>2.9347517210681122</v>
      </c>
      <c r="Z339" s="387">
        <f t="shared" si="139"/>
        <v>3.1228158446250491</v>
      </c>
      <c r="AA339" s="388">
        <f t="shared" si="140"/>
        <v>3.7386957471185109</v>
      </c>
      <c r="AB339" s="199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0.16473121755578346</v>
      </c>
      <c r="AD339" s="233">
        <f>(INDEX(Models!$BJ339:$BT339,,AH339)*(1-AF339)+INDEX(Models!$BJ339:$BT339,,AH339+1)*AF339-ERP_i)*AE339*Ramure*Pc/MaxiM</f>
        <v>0.17035690135883741</v>
      </c>
      <c r="AE339" s="307">
        <f t="shared" si="142"/>
        <v>0.9</v>
      </c>
      <c r="AF339" s="179">
        <f t="shared" si="143"/>
        <v>0.49985160344855117</v>
      </c>
      <c r="AG339" s="839">
        <f t="shared" si="149"/>
        <v>2</v>
      </c>
      <c r="AH339" s="178">
        <f t="shared" si="144"/>
        <v>8</v>
      </c>
      <c r="AI339" s="227">
        <f t="shared" si="145"/>
        <v>2.4998516034485512</v>
      </c>
      <c r="AJ339" s="267" t="b">
        <f t="shared" si="146"/>
        <v>0</v>
      </c>
      <c r="AK339" s="267" t="b">
        <f t="shared" si="147"/>
        <v>0</v>
      </c>
      <c r="AL339" s="267"/>
      <c r="AM339" s="267"/>
      <c r="AN339" s="75"/>
    </row>
    <row r="340" spans="1:40" s="6" customFormat="1" ht="11.25" x14ac:dyDescent="0.2">
      <c r="A340" s="56">
        <f t="shared" si="148"/>
        <v>45983</v>
      </c>
      <c r="B340" s="413">
        <f>'2024'!Wh/'2024'!Env_an*'2025'!Env_an</f>
        <v>8.237246076768054</v>
      </c>
      <c r="C340" s="868"/>
      <c r="D340" s="395">
        <f t="shared" si="127"/>
        <v>8.7653074755954936</v>
      </c>
      <c r="E340" s="387">
        <f t="shared" si="125"/>
        <v>9.9109455011184107</v>
      </c>
      <c r="F340" s="387">
        <f t="shared" si="128"/>
        <v>9.932588576388337</v>
      </c>
      <c r="G340" s="110">
        <f t="shared" si="126"/>
        <v>0.46507159571097811</v>
      </c>
      <c r="H340" s="416" t="b">
        <f>Wh_hp&gt;='2024'!Maxi_hp</f>
        <v>0</v>
      </c>
      <c r="I340" s="392">
        <f>IF(H340,Wh_hp,'2024'!Maxi_hp)</f>
        <v>21.944926765970493</v>
      </c>
      <c r="J340" s="85">
        <f>IF(H340,An,'2024'!An_max)</f>
        <v>2020</v>
      </c>
      <c r="K340" s="199">
        <f t="shared" si="129"/>
        <v>45983</v>
      </c>
      <c r="L340" s="147">
        <f>IF(t&lt;Tvie,1-EXP((T0-t)*PertePVj)+'2024'!Pspv,1-EXP((T0-t)*PertePVj)+Pspv)</f>
        <v>6.0244480903570929E-2</v>
      </c>
      <c r="M340" s="872"/>
      <c r="N340" s="872"/>
      <c r="O340" s="48">
        <f>IF(t&lt;Tnet,'2024'!Resal+('2024'!Salim-'2024'!Resal)*(1-EXP(('2024'!Tnet-t)/('2024'!Tau_j))),Resal+(Salim-Resal)*(1-EXP((Tnet-t)/(Tau_j))))*Salcycl</f>
        <v>0.11559321211014996</v>
      </c>
      <c r="P340" s="171">
        <f>(INDEX(Models!$BJ340:$BT340,,T340)*(1-R340)+INDEX(Models!$BJ340:$BT340,,T340+1)*R340-ERP_i)*Q340*Ramure*Pc/MaxiM</f>
        <v>9.0628411327266286E-3</v>
      </c>
      <c r="Q340" s="307">
        <f t="shared" si="130"/>
        <v>0.9</v>
      </c>
      <c r="R340" s="179">
        <f t="shared" si="131"/>
        <v>0.86422927221406853</v>
      </c>
      <c r="S340" s="839">
        <f t="shared" si="132"/>
        <v>-3</v>
      </c>
      <c r="T340" s="178">
        <f t="shared" si="133"/>
        <v>3</v>
      </c>
      <c r="U340" s="253">
        <f t="shared" si="134"/>
        <v>-2.1357707277859315</v>
      </c>
      <c r="V340" s="385">
        <f t="shared" si="135"/>
        <v>17.589589220578844</v>
      </c>
      <c r="W340" s="404">
        <f t="shared" si="136"/>
        <v>8.237246076768054</v>
      </c>
      <c r="X340" s="157">
        <f t="shared" si="137"/>
        <v>45983</v>
      </c>
      <c r="Y340" s="387">
        <f t="shared" si="138"/>
        <v>7.4720917323813065</v>
      </c>
      <c r="Z340" s="387">
        <f t="shared" si="139"/>
        <v>7.9511017286343693</v>
      </c>
      <c r="AA340" s="388">
        <f t="shared" si="140"/>
        <v>9.5185696753595419</v>
      </c>
      <c r="AB340" s="199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0.16467473582536607</v>
      </c>
      <c r="AD340" s="233">
        <f>(INDEX(Models!$BJ340:$BT340,,AH340)*(1-AF340)+INDEX(Models!$BJ340:$BT340,,AH340+1)*AF340-ERP_i)*AE340*Ramure*Pc/MaxiM</f>
        <v>0.1733666532677926</v>
      </c>
      <c r="AE340" s="307">
        <f t="shared" si="142"/>
        <v>0.9</v>
      </c>
      <c r="AF340" s="179">
        <f t="shared" si="143"/>
        <v>0.49988492452104749</v>
      </c>
      <c r="AG340" s="839">
        <f t="shared" si="149"/>
        <v>2</v>
      </c>
      <c r="AH340" s="178">
        <f t="shared" si="144"/>
        <v>8</v>
      </c>
      <c r="AI340" s="227">
        <f t="shared" si="145"/>
        <v>2.4998849245210475</v>
      </c>
      <c r="AJ340" s="267" t="b">
        <f t="shared" si="146"/>
        <v>0</v>
      </c>
      <c r="AK340" s="267" t="b">
        <f t="shared" si="147"/>
        <v>0</v>
      </c>
      <c r="AL340" s="267"/>
      <c r="AM340" s="267"/>
      <c r="AN340" s="75"/>
    </row>
    <row r="341" spans="1:40" s="6" customFormat="1" ht="11.25" x14ac:dyDescent="0.2">
      <c r="A341" s="56">
        <f t="shared" si="148"/>
        <v>45984</v>
      </c>
      <c r="B341" s="413">
        <f>'2024'!Wh/'2024'!Env_an*'2025'!Env_an</f>
        <v>12.252602757930113</v>
      </c>
      <c r="C341" s="868"/>
      <c r="D341" s="395">
        <f t="shared" si="127"/>
        <v>13.03837822874717</v>
      </c>
      <c r="E341" s="387">
        <f t="shared" si="125"/>
        <v>14.743107833328972</v>
      </c>
      <c r="F341" s="387">
        <f t="shared" si="128"/>
        <v>14.821621176250655</v>
      </c>
      <c r="G341" s="110">
        <f t="shared" si="126"/>
        <v>0.70053545546014584</v>
      </c>
      <c r="H341" s="416" t="b">
        <f>Wh_hp&gt;='2024'!Maxi_hp</f>
        <v>0</v>
      </c>
      <c r="I341" s="392">
        <f>IF(H341,Wh_hp,'2024'!Maxi_hp)</f>
        <v>21.331642050489656</v>
      </c>
      <c r="J341" s="85">
        <f>IF(H341,An,'2024'!An_max)</f>
        <v>2020</v>
      </c>
      <c r="K341" s="199">
        <f t="shared" si="129"/>
        <v>45984</v>
      </c>
      <c r="L341" s="147">
        <f>IF(t&lt;Tvie,1-EXP((T0-t)*PertePVj)+'2024'!Pspv,1-EXP((T0-t)*PertePVj)+Pspv)</f>
        <v>6.0266350387394807E-2</v>
      </c>
      <c r="M341" s="872"/>
      <c r="N341" s="872"/>
      <c r="O341" s="48">
        <f>IF(t&lt;Tnet,'2024'!Resal+('2024'!Salim-'2024'!Resal)*(1-EXP(('2024'!Tnet-t)/('2024'!Tau_j))),Resal+(Salim-Resal)*(1-EXP((Tnet-t)/(Tau_j))))*Salcycl</f>
        <v>0.11562891785462012</v>
      </c>
      <c r="P341" s="171">
        <f>(INDEX(Models!$BJ341:$BT341,,T341)*(1-R341)+INDEX(Models!$BJ341:$BT341,,T341+1)*R341-ERP_i)*Q341*Ramure*Pc/MaxiM</f>
        <v>9.1944828843749295E-3</v>
      </c>
      <c r="Q341" s="307">
        <f t="shared" si="130"/>
        <v>0.9</v>
      </c>
      <c r="R341" s="179">
        <f t="shared" si="131"/>
        <v>0.86426125466519821</v>
      </c>
      <c r="S341" s="839">
        <f t="shared" si="132"/>
        <v>-3</v>
      </c>
      <c r="T341" s="178">
        <f t="shared" si="133"/>
        <v>3</v>
      </c>
      <c r="U341" s="253">
        <f t="shared" si="134"/>
        <v>-2.1357387453348018</v>
      </c>
      <c r="V341" s="385">
        <f t="shared" si="135"/>
        <v>17.421811720649874</v>
      </c>
      <c r="W341" s="404">
        <f t="shared" si="136"/>
        <v>12.252602757930113</v>
      </c>
      <c r="X341" s="157">
        <f t="shared" si="137"/>
        <v>45984</v>
      </c>
      <c r="Y341" s="387">
        <f t="shared" si="138"/>
        <v>10.45299038538985</v>
      </c>
      <c r="Z341" s="387">
        <f t="shared" si="139"/>
        <v>11.123354356523233</v>
      </c>
      <c r="AA341" s="388">
        <f t="shared" si="140"/>
        <v>13.315354998445294</v>
      </c>
      <c r="AB341" s="199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0.16462202038008</v>
      </c>
      <c r="AD341" s="233">
        <f>(INDEX(Models!$BJ341:$BT341,,AH341)*(1-AF341)+INDEX(Models!$BJ341:$BT341,,AH341+1)*AF341-ERP_i)*AE341*Ramure*Pc/MaxiM</f>
        <v>0.17639471299749629</v>
      </c>
      <c r="AE341" s="307">
        <f t="shared" si="142"/>
        <v>0.9</v>
      </c>
      <c r="AF341" s="179">
        <f t="shared" si="143"/>
        <v>0.49991690697217717</v>
      </c>
      <c r="AG341" s="839">
        <f t="shared" si="149"/>
        <v>2</v>
      </c>
      <c r="AH341" s="178">
        <f t="shared" si="144"/>
        <v>8</v>
      </c>
      <c r="AI341" s="227">
        <f t="shared" si="145"/>
        <v>2.4999169069721772</v>
      </c>
      <c r="AJ341" s="267" t="b">
        <f t="shared" si="146"/>
        <v>0</v>
      </c>
      <c r="AK341" s="267" t="b">
        <f t="shared" si="147"/>
        <v>0</v>
      </c>
      <c r="AL341" s="267"/>
      <c r="AM341" s="267"/>
      <c r="AN341" s="75"/>
    </row>
    <row r="342" spans="1:40" s="6" customFormat="1" ht="11.25" x14ac:dyDescent="0.2">
      <c r="A342" s="56">
        <f t="shared" si="148"/>
        <v>45985</v>
      </c>
      <c r="B342" s="413">
        <f>'2024'!Wh/'2024'!Env_an*'2025'!Env_an</f>
        <v>11.081499563926915</v>
      </c>
      <c r="C342" s="868"/>
      <c r="D342" s="395">
        <f t="shared" si="127"/>
        <v>11.792445079710166</v>
      </c>
      <c r="E342" s="387">
        <f t="shared" si="125"/>
        <v>13.334848968475557</v>
      </c>
      <c r="F342" s="387">
        <f t="shared" si="128"/>
        <v>13.395741639146435</v>
      </c>
      <c r="G342" s="110">
        <f t="shared" si="126"/>
        <v>0.63904438904604699</v>
      </c>
      <c r="H342" s="416" t="b">
        <f>Wh_hp&gt;='2024'!Maxi_hp</f>
        <v>0</v>
      </c>
      <c r="I342" s="392">
        <f>IF(H342,Wh_hp,'2024'!Maxi_hp)</f>
        <v>20.115501391985529</v>
      </c>
      <c r="J342" s="85">
        <f>IF(H342,An,'2024'!An_max)</f>
        <v>2020</v>
      </c>
      <c r="K342" s="199">
        <f t="shared" si="129"/>
        <v>45985</v>
      </c>
      <c r="L342" s="147">
        <f>IF(t&lt;Tvie,1-EXP((T0-t)*PertePVj)+'2024'!Pspv,1-EXP((T0-t)*PertePVj)+Pspv)</f>
        <v>6.028821936228379E-2</v>
      </c>
      <c r="M342" s="872"/>
      <c r="N342" s="872"/>
      <c r="O342" s="48">
        <f>IF(t&lt;Tnet,'2024'!Resal+('2024'!Salim-'2024'!Resal)*(1-EXP(('2024'!Tnet-t)/('2024'!Tau_j))),Resal+(Salim-Resal)*(1-EXP((Tnet-t)/(Tau_j))))*Salcycl</f>
        <v>0.11566714346834617</v>
      </c>
      <c r="P342" s="171">
        <f>(INDEX(Models!$BJ342:$BT342,,T342)*(1-R342)+INDEX(Models!$BJ342:$BT342,,T342+1)*R342-ERP_i)*Q342*Ramure*Pc/MaxiM</f>
        <v>9.3009709972741786E-3</v>
      </c>
      <c r="Q342" s="307">
        <f t="shared" si="130"/>
        <v>0.9</v>
      </c>
      <c r="R342" s="179">
        <f t="shared" si="131"/>
        <v>0.86429195215684551</v>
      </c>
      <c r="S342" s="839">
        <f t="shared" si="132"/>
        <v>-3</v>
      </c>
      <c r="T342" s="178">
        <f t="shared" si="133"/>
        <v>3</v>
      </c>
      <c r="U342" s="253">
        <f t="shared" si="134"/>
        <v>-2.1357080478431545</v>
      </c>
      <c r="V342" s="385">
        <f t="shared" si="135"/>
        <v>17.25789835003199</v>
      </c>
      <c r="W342" s="404">
        <f t="shared" si="136"/>
        <v>11.081499563926915</v>
      </c>
      <c r="X342" s="157">
        <f t="shared" si="137"/>
        <v>45985</v>
      </c>
      <c r="Y342" s="387">
        <f t="shared" si="138"/>
        <v>9.5941851440968371</v>
      </c>
      <c r="Z342" s="387">
        <f t="shared" si="139"/>
        <v>10.209710404594416</v>
      </c>
      <c r="AA342" s="388">
        <f t="shared" si="140"/>
        <v>12.220950763611766</v>
      </c>
      <c r="AB342" s="199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0.1645731496608166</v>
      </c>
      <c r="AD342" s="233">
        <f>(INDEX(Models!$BJ342:$BT342,,AH342)*(1-AF342)+INDEX(Models!$BJ342:$BT342,,AH342+1)*AF342-ERP_i)*AE342*Ramure*Pc/MaxiM</f>
        <v>0.179441889160497</v>
      </c>
      <c r="AE342" s="307">
        <f t="shared" si="142"/>
        <v>0.9</v>
      </c>
      <c r="AF342" s="179">
        <f t="shared" si="143"/>
        <v>0.49994760446382447</v>
      </c>
      <c r="AG342" s="839">
        <f t="shared" si="149"/>
        <v>2</v>
      </c>
      <c r="AH342" s="178">
        <f t="shared" si="144"/>
        <v>8</v>
      </c>
      <c r="AI342" s="227">
        <f t="shared" si="145"/>
        <v>2.4999476044638245</v>
      </c>
      <c r="AJ342" s="267" t="b">
        <f t="shared" si="146"/>
        <v>0</v>
      </c>
      <c r="AK342" s="267" t="b">
        <f t="shared" si="147"/>
        <v>0</v>
      </c>
      <c r="AL342" s="267"/>
      <c r="AM342" s="267"/>
      <c r="AN342" s="75"/>
    </row>
    <row r="343" spans="1:40" s="6" customFormat="1" ht="11.25" x14ac:dyDescent="0.2">
      <c r="A343" s="56">
        <f t="shared" si="148"/>
        <v>45986</v>
      </c>
      <c r="B343" s="413">
        <f>'2024'!Wh/'2024'!Env_an*'2025'!Env_an</f>
        <v>4.5485701867331523</v>
      </c>
      <c r="C343" s="868"/>
      <c r="D343" s="395">
        <f t="shared" si="127"/>
        <v>4.8405012417562219</v>
      </c>
      <c r="E343" s="387">
        <f t="shared" si="125"/>
        <v>5.4738716508429883</v>
      </c>
      <c r="F343" s="387">
        <f t="shared" si="128"/>
        <v>5.4738716508429883</v>
      </c>
      <c r="G343" s="110">
        <f t="shared" si="126"/>
        <v>0.26354020072832457</v>
      </c>
      <c r="H343" s="416" t="b">
        <f>Wh_hp&gt;='2024'!Maxi_hp</f>
        <v>0</v>
      </c>
      <c r="I343" s="392">
        <f>IF(H343,Wh_hp,'2024'!Maxi_hp)</f>
        <v>18.431846699348394</v>
      </c>
      <c r="J343" s="85">
        <f>IF(H343,An,'2024'!An_max)</f>
        <v>2020</v>
      </c>
      <c r="K343" s="199">
        <f t="shared" si="129"/>
        <v>45986</v>
      </c>
      <c r="L343" s="147">
        <f>IF(t&lt;Tvie,1-EXP((T0-t)*PertePVj)+'2024'!Pspv,1-EXP((T0-t)*PertePVj)+Pspv)</f>
        <v>6.0310087828249759E-2</v>
      </c>
      <c r="M343" s="872"/>
      <c r="N343" s="872"/>
      <c r="O343" s="48">
        <f>IF(t&lt;Tnet,'2024'!Resal+('2024'!Salim-'2024'!Resal)*(1-EXP(('2024'!Tnet-t)/('2024'!Tau_j))),Resal+(Salim-Resal)*(1-EXP((Tnet-t)/(Tau_j))))*Salcycl</f>
        <v>0.11570793936851372</v>
      </c>
      <c r="P343" s="171">
        <f>(INDEX(Models!$BJ343:$BT343,,T343)*(1-R343)+INDEX(Models!$BJ343:$BT343,,T343+1)*R343-ERP_i)*Q343*Ramure*Pc/MaxiM</f>
        <v>9.3816819823084978E-3</v>
      </c>
      <c r="Q343" s="307">
        <f t="shared" si="130"/>
        <v>0.9</v>
      </c>
      <c r="R343" s="179">
        <f t="shared" si="131"/>
        <v>0.86432141620880154</v>
      </c>
      <c r="S343" s="839">
        <f t="shared" si="132"/>
        <v>-3</v>
      </c>
      <c r="T343" s="178">
        <f t="shared" si="133"/>
        <v>3</v>
      </c>
      <c r="U343" s="253">
        <f t="shared" si="134"/>
        <v>-2.1356785837911985</v>
      </c>
      <c r="V343" s="385">
        <f t="shared" si="135"/>
        <v>17.097569688853664</v>
      </c>
      <c r="W343" s="404">
        <f t="shared" si="136"/>
        <v>4.5485701867331523</v>
      </c>
      <c r="X343" s="157">
        <f t="shared" si="137"/>
        <v>45986</v>
      </c>
      <c r="Y343" s="387">
        <f t="shared" si="138"/>
        <v>4.2974514275144635</v>
      </c>
      <c r="Z343" s="387">
        <f t="shared" si="139"/>
        <v>4.5732654696510187</v>
      </c>
      <c r="AA343" s="388">
        <f t="shared" si="140"/>
        <v>5.4738716508429883</v>
      </c>
      <c r="AB343" s="199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0.16452818747645903</v>
      </c>
      <c r="AD343" s="233">
        <f>(INDEX(Models!$BJ343:$BT343,,AH343)*(1-AF343)+INDEX(Models!$BJ343:$BT343,,AH343+1)*AF343-ERP_i)*AE343*Ramure*Pc/MaxiM</f>
        <v>0.18251011310704715</v>
      </c>
      <c r="AE343" s="307">
        <f t="shared" si="142"/>
        <v>0.9</v>
      </c>
      <c r="AF343" s="179">
        <f t="shared" si="143"/>
        <v>0.4999770685157805</v>
      </c>
      <c r="AG343" s="839">
        <f t="shared" si="149"/>
        <v>2</v>
      </c>
      <c r="AH343" s="178">
        <f t="shared" si="144"/>
        <v>8</v>
      </c>
      <c r="AI343" s="227">
        <f t="shared" si="145"/>
        <v>2.4999770685157805</v>
      </c>
      <c r="AJ343" s="267" t="b">
        <f t="shared" si="146"/>
        <v>0</v>
      </c>
      <c r="AK343" s="267" t="b">
        <f t="shared" si="147"/>
        <v>0</v>
      </c>
      <c r="AL343" s="267"/>
      <c r="AM343" s="267"/>
      <c r="AN343" s="75"/>
    </row>
    <row r="344" spans="1:40" s="6" customFormat="1" ht="11.25" x14ac:dyDescent="0.2">
      <c r="A344" s="56">
        <f t="shared" si="148"/>
        <v>45987</v>
      </c>
      <c r="B344" s="413">
        <f>'2024'!Wh/'2024'!Env_an*'2025'!Env_an</f>
        <v>9.7679304511405913</v>
      </c>
      <c r="C344" s="868"/>
      <c r="D344" s="395">
        <f t="shared" si="127"/>
        <v>10.39508634062777</v>
      </c>
      <c r="E344" s="387">
        <f t="shared" si="125"/>
        <v>11.755840724608067</v>
      </c>
      <c r="F344" s="387">
        <f t="shared" si="128"/>
        <v>11.799837365046811</v>
      </c>
      <c r="G344" s="110">
        <f t="shared" si="126"/>
        <v>0.57329744658373161</v>
      </c>
      <c r="H344" s="416" t="b">
        <f>Wh_hp&gt;='2024'!Maxi_hp</f>
        <v>0</v>
      </c>
      <c r="I344" s="392">
        <f>IF(H344,Wh_hp,'2024'!Maxi_hp)</f>
        <v>20.271977727485368</v>
      </c>
      <c r="J344" s="85">
        <f>IF(H344,An,'2024'!An_max)</f>
        <v>2020</v>
      </c>
      <c r="K344" s="199">
        <f t="shared" si="129"/>
        <v>45987</v>
      </c>
      <c r="L344" s="147">
        <f>IF(t&lt;Tvie,1-EXP((T0-t)*PertePVj)+'2024'!Pspv,1-EXP((T0-t)*PertePVj)+Pspv)</f>
        <v>6.0331955785304592E-2</v>
      </c>
      <c r="M344" s="872"/>
      <c r="N344" s="872"/>
      <c r="O344" s="48">
        <f>IF(t&lt;Tnet,'2024'!Resal+('2024'!Salim-'2024'!Resal)*(1-EXP(('2024'!Tnet-t)/('2024'!Tau_j))),Resal+(Salim-Resal)*(1-EXP((Tnet-t)/(Tau_j))))*Salcycl</f>
        <v>0.11575134572314169</v>
      </c>
      <c r="P344" s="171">
        <f>(INDEX(Models!$BJ344:$BT344,,T344)*(1-R344)+INDEX(Models!$BJ344:$BT344,,T344+1)*R344-ERP_i)*Q344*Ramure*Pc/MaxiM</f>
        <v>9.4360081320641175E-3</v>
      </c>
      <c r="Q344" s="307">
        <f t="shared" si="130"/>
        <v>0.9</v>
      </c>
      <c r="R344" s="179">
        <f t="shared" si="131"/>
        <v>0.86434969628355951</v>
      </c>
      <c r="S344" s="839">
        <f t="shared" si="132"/>
        <v>-3</v>
      </c>
      <c r="T344" s="178">
        <f t="shared" si="133"/>
        <v>3</v>
      </c>
      <c r="U344" s="253">
        <f t="shared" si="134"/>
        <v>-2.1356503037164405</v>
      </c>
      <c r="V344" s="385">
        <f t="shared" si="135"/>
        <v>16.940546491028599</v>
      </c>
      <c r="W344" s="404">
        <f t="shared" si="136"/>
        <v>9.7679304511405913</v>
      </c>
      <c r="X344" s="157">
        <f t="shared" si="137"/>
        <v>45987</v>
      </c>
      <c r="Y344" s="387">
        <f t="shared" si="138"/>
        <v>8.5846844016210735</v>
      </c>
      <c r="Z344" s="387">
        <f t="shared" si="139"/>
        <v>9.1358692619961488</v>
      </c>
      <c r="AA344" s="388">
        <f t="shared" si="140"/>
        <v>10.93444537949342</v>
      </c>
      <c r="AB344" s="199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0.16448718294119791</v>
      </c>
      <c r="AD344" s="233">
        <f>(INDEX(Models!$BJ344:$BT344,,AH344)*(1-AF344)+INDEX(Models!$BJ344:$BT344,,AH344+1)*AF344-ERP_i)*AE344*Ramure*Pc/MaxiM</f>
        <v>0.18560157620385195</v>
      </c>
      <c r="AE344" s="307">
        <f t="shared" si="142"/>
        <v>0.9</v>
      </c>
      <c r="AF344" s="179">
        <f t="shared" si="143"/>
        <v>0.50000534859053847</v>
      </c>
      <c r="AG344" s="839">
        <f t="shared" si="149"/>
        <v>2</v>
      </c>
      <c r="AH344" s="178">
        <f t="shared" si="144"/>
        <v>8</v>
      </c>
      <c r="AI344" s="227">
        <f t="shared" si="145"/>
        <v>2.5000053485905385</v>
      </c>
      <c r="AJ344" s="267" t="b">
        <f t="shared" si="146"/>
        <v>0</v>
      </c>
      <c r="AK344" s="267" t="b">
        <f t="shared" si="147"/>
        <v>0</v>
      </c>
      <c r="AL344" s="267"/>
      <c r="AM344" s="267"/>
      <c r="AN344" s="75"/>
    </row>
    <row r="345" spans="1:40" s="6" customFormat="1" ht="11.25" x14ac:dyDescent="0.2">
      <c r="A345" s="56">
        <f t="shared" si="148"/>
        <v>45988</v>
      </c>
      <c r="B345" s="413">
        <f>'2024'!Wh/'2024'!Env_an*'2025'!Env_an</f>
        <v>11.595596899721937</v>
      </c>
      <c r="C345" s="868"/>
      <c r="D345" s="395">
        <f t="shared" si="127"/>
        <v>12.340386399084903</v>
      </c>
      <c r="E345" s="387">
        <f t="shared" si="125"/>
        <v>13.956514370736132</v>
      </c>
      <c r="F345" s="387">
        <f t="shared" si="128"/>
        <v>14.030649239726747</v>
      </c>
      <c r="G345" s="110">
        <f t="shared" si="126"/>
        <v>0.68790999884920756</v>
      </c>
      <c r="H345" s="416" t="b">
        <f>Wh_hp&gt;='2024'!Maxi_hp</f>
        <v>0</v>
      </c>
      <c r="I345" s="392">
        <f>IF(H345,Wh_hp,'2024'!Maxi_hp)</f>
        <v>18.707105113619761</v>
      </c>
      <c r="J345" s="85">
        <f>IF(H345,An,'2024'!An_max)</f>
        <v>2018</v>
      </c>
      <c r="K345" s="199">
        <f t="shared" si="129"/>
        <v>45988</v>
      </c>
      <c r="L345" s="147">
        <f>IF(t&lt;Tvie,1-EXP((T0-t)*PertePVj)+'2024'!Pspv,1-EXP((T0-t)*PertePVj)+Pspv)</f>
        <v>6.0353823233460169E-2</v>
      </c>
      <c r="M345" s="872"/>
      <c r="N345" s="872"/>
      <c r="O345" s="48">
        <f>IF(t&lt;Tnet,'2024'!Resal+('2024'!Salim-'2024'!Resal)*(1-EXP(('2024'!Tnet-t)/('2024'!Tau_j))),Resal+(Salim-Resal)*(1-EXP((Tnet-t)/(Tau_j))))*Salcycl</f>
        <v>0.11579739243774997</v>
      </c>
      <c r="P345" s="171">
        <f>(INDEX(Models!$BJ345:$BT345,,T345)*(1-R345)+INDEX(Models!$BJ345:$BT345,,T345+1)*R345-ERP_i)*Q345*Ramure*Pc/MaxiM</f>
        <v>9.4639778233874296E-3</v>
      </c>
      <c r="Q345" s="307">
        <f t="shared" si="130"/>
        <v>0.9</v>
      </c>
      <c r="R345" s="179">
        <f t="shared" si="131"/>
        <v>0.86437683986780423</v>
      </c>
      <c r="S345" s="839">
        <f t="shared" si="132"/>
        <v>-3</v>
      </c>
      <c r="T345" s="178">
        <f t="shared" si="133"/>
        <v>3</v>
      </c>
      <c r="U345" s="253">
        <f t="shared" si="134"/>
        <v>-2.1356231601321958</v>
      </c>
      <c r="V345" s="385">
        <f t="shared" si="135"/>
        <v>16.785433500223959</v>
      </c>
      <c r="W345" s="404">
        <f t="shared" si="136"/>
        <v>11.595596899721937</v>
      </c>
      <c r="X345" s="157">
        <f t="shared" si="137"/>
        <v>45988</v>
      </c>
      <c r="Y345" s="387">
        <f t="shared" si="138"/>
        <v>9.8550356994279191</v>
      </c>
      <c r="Z345" s="387">
        <f t="shared" si="139"/>
        <v>10.48802830586779</v>
      </c>
      <c r="AA345" s="388">
        <f t="shared" si="140"/>
        <v>12.552247556759767</v>
      </c>
      <c r="AB345" s="199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0.16445017050196176</v>
      </c>
      <c r="AD345" s="233">
        <f>(INDEX(Models!$BJ345:$BT345,,AH345)*(1-AF345)+INDEX(Models!$BJ345:$BT345,,AH345+1)*AF345-ERP_i)*AE345*Ramure*Pc/MaxiM</f>
        <v>0.18873117241806195</v>
      </c>
      <c r="AE345" s="307">
        <f t="shared" si="142"/>
        <v>0.9</v>
      </c>
      <c r="AF345" s="179">
        <f t="shared" si="143"/>
        <v>0.50003249217478318</v>
      </c>
      <c r="AG345" s="839">
        <f t="shared" si="149"/>
        <v>2</v>
      </c>
      <c r="AH345" s="178">
        <f t="shared" si="144"/>
        <v>8</v>
      </c>
      <c r="AI345" s="227">
        <f t="shared" si="145"/>
        <v>2.5000324921747832</v>
      </c>
      <c r="AJ345" s="267" t="b">
        <f t="shared" si="146"/>
        <v>0</v>
      </c>
      <c r="AK345" s="267" t="b">
        <f t="shared" si="147"/>
        <v>0</v>
      </c>
      <c r="AL345" s="267"/>
      <c r="AM345" s="267"/>
      <c r="AN345" s="75"/>
    </row>
    <row r="346" spans="1:40" s="6" customFormat="1" ht="11.25" x14ac:dyDescent="0.2">
      <c r="A346" s="56">
        <f t="shared" si="148"/>
        <v>45989</v>
      </c>
      <c r="B346" s="413">
        <f>'2024'!Wh/'2024'!Env_an*'2025'!Env_an</f>
        <v>9.1454038388625065</v>
      </c>
      <c r="C346" s="868"/>
      <c r="D346" s="395">
        <f t="shared" si="127"/>
        <v>9.733043029233329</v>
      </c>
      <c r="E346" s="387">
        <f t="shared" si="125"/>
        <v>11.008313168650213</v>
      </c>
      <c r="F346" s="387">
        <f t="shared" si="128"/>
        <v>11.04564649917422</v>
      </c>
      <c r="G346" s="110">
        <f t="shared" si="126"/>
        <v>0.5465242853114286</v>
      </c>
      <c r="H346" s="416" t="b">
        <f>Wh_hp&gt;='2024'!Maxi_hp</f>
        <v>0</v>
      </c>
      <c r="I346" s="392">
        <f>IF(H346,Wh_hp,'2024'!Maxi_hp)</f>
        <v>15.033904025861062</v>
      </c>
      <c r="J346" s="85">
        <f>IF(H346,An,'2024'!An_max)</f>
        <v>2018</v>
      </c>
      <c r="K346" s="199">
        <f t="shared" si="129"/>
        <v>45989</v>
      </c>
      <c r="L346" s="147">
        <f>IF(t&lt;Tvie,1-EXP((T0-t)*PertePVj)+'2024'!Pspv,1-EXP((T0-t)*PertePVj)+Pspv)</f>
        <v>6.0375690172728147E-2</v>
      </c>
      <c r="M346" s="872"/>
      <c r="N346" s="872"/>
      <c r="O346" s="48">
        <f>IF(t&lt;Tnet,'2024'!Resal+('2024'!Salim-'2024'!Resal)*(1-EXP(('2024'!Tnet-t)/('2024'!Tau_j))),Resal+(Salim-Resal)*(1-EXP((Tnet-t)/(Tau_j))))*Salcycl</f>
        <v>0.11584609920515671</v>
      </c>
      <c r="P346" s="171">
        <f>(INDEX(Models!$BJ346:$BT346,,T346)*(1-R346)+INDEX(Models!$BJ346:$BT346,,T346+1)*R346-ERP_i)*Q346*Ramure*Pc/MaxiM</f>
        <v>9.4681712573618029E-3</v>
      </c>
      <c r="Q346" s="307">
        <f t="shared" si="130"/>
        <v>0.9</v>
      </c>
      <c r="R346" s="179">
        <f t="shared" si="131"/>
        <v>0.86440289255073299</v>
      </c>
      <c r="S346" s="839">
        <f t="shared" si="132"/>
        <v>-3</v>
      </c>
      <c r="T346" s="178">
        <f t="shared" si="133"/>
        <v>3</v>
      </c>
      <c r="U346" s="253">
        <f t="shared" si="134"/>
        <v>-2.135597107449267</v>
      </c>
      <c r="V346" s="385">
        <f t="shared" si="135"/>
        <v>16.631530707004504</v>
      </c>
      <c r="W346" s="404">
        <f t="shared" si="136"/>
        <v>9.1454038388625065</v>
      </c>
      <c r="X346" s="157">
        <f t="shared" si="137"/>
        <v>45989</v>
      </c>
      <c r="Y346" s="387">
        <f t="shared" si="138"/>
        <v>8.0783271219297408</v>
      </c>
      <c r="Z346" s="387">
        <f t="shared" si="139"/>
        <v>8.5974011500561893</v>
      </c>
      <c r="AA346" s="388">
        <f t="shared" si="140"/>
        <v>10.289107006450788</v>
      </c>
      <c r="AB346" s="199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0.16441717005508621</v>
      </c>
      <c r="AD346" s="233">
        <f>(INDEX(Models!$BJ346:$BT346,,AH346)*(1-AF346)+INDEX(Models!$BJ346:$BT346,,AH346+1)*AF346-ERP_i)*AE346*Ramure*Pc/MaxiM</f>
        <v>0.19186730408252764</v>
      </c>
      <c r="AE346" s="307">
        <f t="shared" si="142"/>
        <v>0.9</v>
      </c>
      <c r="AF346" s="179">
        <f t="shared" si="143"/>
        <v>0.50005854485771195</v>
      </c>
      <c r="AG346" s="839">
        <f t="shared" si="149"/>
        <v>2</v>
      </c>
      <c r="AH346" s="178">
        <f t="shared" si="144"/>
        <v>8</v>
      </c>
      <c r="AI346" s="227">
        <f t="shared" si="145"/>
        <v>2.500058544857712</v>
      </c>
      <c r="AJ346" s="267" t="b">
        <f t="shared" si="146"/>
        <v>0</v>
      </c>
      <c r="AK346" s="267" t="b">
        <f t="shared" si="147"/>
        <v>0</v>
      </c>
      <c r="AL346" s="267"/>
      <c r="AM346" s="267"/>
      <c r="AN346" s="75"/>
    </row>
    <row r="347" spans="1:40" s="6" customFormat="1" ht="11.25" x14ac:dyDescent="0.2">
      <c r="A347" s="56">
        <f t="shared" si="148"/>
        <v>45990</v>
      </c>
      <c r="B347" s="413">
        <f>'2024'!Wh/'2024'!Env_an*'2025'!Env_an</f>
        <v>10.355219037609679</v>
      </c>
      <c r="C347" s="868"/>
      <c r="D347" s="395">
        <f t="shared" si="127"/>
        <v>11.020851542459996</v>
      </c>
      <c r="E347" s="387">
        <f t="shared" si="125"/>
        <v>12.46558090099145</v>
      </c>
      <c r="F347" s="387">
        <f t="shared" si="128"/>
        <v>12.521196521715149</v>
      </c>
      <c r="G347" s="110">
        <f t="shared" si="126"/>
        <v>0.62520357058402187</v>
      </c>
      <c r="H347" s="416" t="b">
        <f>Wh_hp&gt;='2024'!Maxi_hp</f>
        <v>0</v>
      </c>
      <c r="I347" s="392">
        <f>IF(H347,Wh_hp,'2024'!Maxi_hp)</f>
        <v>19.928845702990856</v>
      </c>
      <c r="J347" s="85">
        <f>IF(H347,An,'2024'!An_max)</f>
        <v>2018</v>
      </c>
      <c r="K347" s="199">
        <f t="shared" si="129"/>
        <v>45990</v>
      </c>
      <c r="L347" s="147">
        <f>IF(t&lt;Tvie,1-EXP((T0-t)*PertePVj)+'2024'!Pspv,1-EXP((T0-t)*PertePVj)+Pspv)</f>
        <v>6.0397556603120628E-2</v>
      </c>
      <c r="M347" s="872"/>
      <c r="N347" s="872"/>
      <c r="O347" s="48">
        <f>IF(t&lt;Tnet,'2024'!Resal+('2024'!Salim-'2024'!Resal)*(1-EXP(('2024'!Tnet-t)/('2024'!Tau_j))),Resal+(Salim-Resal)*(1-EXP((Tnet-t)/(Tau_j))))*Salcycl</f>
        <v>0.11589747561756605</v>
      </c>
      <c r="P347" s="171">
        <f>(INDEX(Models!$BJ347:$BT347,,T347)*(1-R347)+INDEX(Models!$BJ347:$BT347,,T347+1)*R347-ERP_i)*Q347*Ramure*Pc/MaxiM</f>
        <v>9.4684124252514094E-3</v>
      </c>
      <c r="Q347" s="307">
        <f t="shared" si="130"/>
        <v>0.9</v>
      </c>
      <c r="R347" s="179">
        <f t="shared" si="131"/>
        <v>0.86442789809931364</v>
      </c>
      <c r="S347" s="839">
        <f t="shared" si="132"/>
        <v>-3</v>
      </c>
      <c r="T347" s="178">
        <f t="shared" si="133"/>
        <v>3</v>
      </c>
      <c r="U347" s="253">
        <f t="shared" si="134"/>
        <v>-2.1355721019006864</v>
      </c>
      <c r="V347" s="385">
        <f t="shared" si="135"/>
        <v>16.479327316301738</v>
      </c>
      <c r="W347" s="404">
        <f t="shared" si="136"/>
        <v>10.355219037609679</v>
      </c>
      <c r="X347" s="157">
        <f t="shared" si="137"/>
        <v>45990</v>
      </c>
      <c r="Y347" s="387">
        <f t="shared" si="138"/>
        <v>8.9316202126913424</v>
      </c>
      <c r="Z347" s="387">
        <f t="shared" si="139"/>
        <v>9.5057439190999506</v>
      </c>
      <c r="AA347" s="388">
        <f t="shared" si="140"/>
        <v>11.375789299443101</v>
      </c>
      <c r="AB347" s="199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0.16438818715064427</v>
      </c>
      <c r="AD347" s="233">
        <f>(INDEX(Models!$BJ347:$BT347,,AH347)*(1-AF347)+INDEX(Models!$BJ347:$BT347,,AH347+1)*AF347-ERP_i)*AE347*Ramure*Pc/MaxiM</f>
        <v>0.19500255205659589</v>
      </c>
      <c r="AE347" s="307">
        <f t="shared" si="142"/>
        <v>0.9</v>
      </c>
      <c r="AF347" s="179">
        <f t="shared" si="143"/>
        <v>0.5000835504062926</v>
      </c>
      <c r="AG347" s="839">
        <f t="shared" si="149"/>
        <v>2</v>
      </c>
      <c r="AH347" s="178">
        <f t="shared" si="144"/>
        <v>8</v>
      </c>
      <c r="AI347" s="227">
        <f t="shared" si="145"/>
        <v>2.5000835504062926</v>
      </c>
      <c r="AJ347" s="267" t="b">
        <f t="shared" si="146"/>
        <v>0</v>
      </c>
      <c r="AK347" s="267" t="b">
        <f t="shared" si="147"/>
        <v>0</v>
      </c>
      <c r="AL347" s="267"/>
      <c r="AM347" s="267"/>
      <c r="AN347" s="75"/>
    </row>
    <row r="348" spans="1:40" s="6" customFormat="1" ht="11.25" x14ac:dyDescent="0.2">
      <c r="A348" s="56">
        <f t="shared" si="148"/>
        <v>45991</v>
      </c>
      <c r="B348" s="413">
        <f>'2024'!Wh/'2024'!Env_an*'2025'!Env_an</f>
        <v>4.2071681048901288</v>
      </c>
      <c r="C348" s="868"/>
      <c r="D348" s="395">
        <f t="shared" si="127"/>
        <v>4.4777086774130357</v>
      </c>
      <c r="E348" s="387">
        <f t="shared" si="125"/>
        <v>5.0650035439212404</v>
      </c>
      <c r="F348" s="387">
        <f t="shared" si="128"/>
        <v>5.0650035439212404</v>
      </c>
      <c r="G348" s="110">
        <f t="shared" si="126"/>
        <v>0.25520131398379031</v>
      </c>
      <c r="H348" s="416" t="b">
        <f>Wh_hp&gt;='2024'!Maxi_hp</f>
        <v>0</v>
      </c>
      <c r="I348" s="392">
        <f>IF(H348,Wh_hp,'2024'!Maxi_hp)</f>
        <v>19.468754862857971</v>
      </c>
      <c r="J348" s="85">
        <f>IF(H348,An,'2024'!An_max)</f>
        <v>2021</v>
      </c>
      <c r="K348" s="199">
        <f t="shared" si="129"/>
        <v>45991</v>
      </c>
      <c r="L348" s="147">
        <f>IF(t&lt;Tvie,1-EXP((T0-t)*PertePVj)+'2024'!Pspv,1-EXP((T0-t)*PertePVj)+Pspv)</f>
        <v>6.0419422524649269E-2</v>
      </c>
      <c r="M348" s="872"/>
      <c r="N348" s="872"/>
      <c r="O348" s="48">
        <f>IF(t&lt;Tnet,'2024'!Resal+('2024'!Salim-'2024'!Resal)*(1-EXP(('2024'!Tnet-t)/('2024'!Tau_j))),Resal+(Salim-Resal)*(1-EXP((Tnet-t)/(Tau_j))))*Salcycl</f>
        <v>0.11595152133961407</v>
      </c>
      <c r="P348" s="171">
        <f>(INDEX(Models!$BJ348:$BT348,,T348)*(1-R348)+INDEX(Models!$BJ348:$BT348,,T348+1)*R348-ERP_i)*Q348*Ramure*Pc/MaxiM</f>
        <v>9.4641357146280115E-3</v>
      </c>
      <c r="Q348" s="307">
        <f t="shared" si="130"/>
        <v>0.9</v>
      </c>
      <c r="R348" s="179">
        <f t="shared" si="131"/>
        <v>0.86445189853060622</v>
      </c>
      <c r="S348" s="839">
        <f t="shared" si="132"/>
        <v>-3</v>
      </c>
      <c r="T348" s="178">
        <f t="shared" si="133"/>
        <v>3</v>
      </c>
      <c r="U348" s="253">
        <f t="shared" si="134"/>
        <v>-2.1355481014693938</v>
      </c>
      <c r="V348" s="385">
        <f t="shared" si="135"/>
        <v>16.329660807451383</v>
      </c>
      <c r="W348" s="404">
        <f t="shared" si="136"/>
        <v>4.2071681048901288</v>
      </c>
      <c r="X348" s="157">
        <f t="shared" si="137"/>
        <v>45991</v>
      </c>
      <c r="Y348" s="387">
        <f t="shared" si="138"/>
        <v>3.9767778817734665</v>
      </c>
      <c r="Z348" s="387">
        <f t="shared" si="139"/>
        <v>4.2325032861567369</v>
      </c>
      <c r="AA348" s="388">
        <f t="shared" si="140"/>
        <v>5.0650035439212404</v>
      </c>
      <c r="AB348" s="199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0.1643632132821759</v>
      </c>
      <c r="AD348" s="233">
        <f>(INDEX(Models!$BJ348:$BT348,,AH348)*(1-AF348)+INDEX(Models!$BJ348:$BT348,,AH348+1)*AF348-ERP_i)*AE348*Ramure*Pc/MaxiM</f>
        <v>0.19812620281935253</v>
      </c>
      <c r="AE348" s="307">
        <f t="shared" si="142"/>
        <v>0.9</v>
      </c>
      <c r="AF348" s="179">
        <f t="shared" si="143"/>
        <v>0.50010755083758518</v>
      </c>
      <c r="AG348" s="839">
        <f t="shared" si="149"/>
        <v>2</v>
      </c>
      <c r="AH348" s="178">
        <f t="shared" si="144"/>
        <v>8</v>
      </c>
      <c r="AI348" s="227">
        <f t="shared" si="145"/>
        <v>2.5001075508375852</v>
      </c>
      <c r="AJ348" s="267" t="b">
        <f t="shared" si="146"/>
        <v>0</v>
      </c>
      <c r="AK348" s="267" t="b">
        <f t="shared" si="147"/>
        <v>0</v>
      </c>
      <c r="AL348" s="267"/>
      <c r="AM348" s="267"/>
      <c r="AN348" s="75"/>
    </row>
    <row r="349" spans="1:40" s="6" customFormat="1" ht="11.25" x14ac:dyDescent="0.2">
      <c r="A349" s="56">
        <f t="shared" si="148"/>
        <v>45992</v>
      </c>
      <c r="B349" s="413">
        <f>'2024'!Wh/'2024'!Env_an*'2025'!Env_an</f>
        <v>3.6428195744457343</v>
      </c>
      <c r="C349" s="868"/>
      <c r="D349" s="395">
        <f t="shared" si="127"/>
        <v>3.8771601260004469</v>
      </c>
      <c r="E349" s="387">
        <f t="shared" si="125"/>
        <v>4.3859685593569209</v>
      </c>
      <c r="F349" s="387">
        <f t="shared" si="128"/>
        <v>4.3859685593569209</v>
      </c>
      <c r="G349" s="110">
        <f t="shared" si="126"/>
        <v>0.22296826458095229</v>
      </c>
      <c r="H349" s="416" t="b">
        <f>Wh_hp&gt;='2024'!Maxi_hp</f>
        <v>0</v>
      </c>
      <c r="I349" s="392">
        <f>IF(H349,Wh_hp,'2024'!Maxi_hp)</f>
        <v>18.687325201357915</v>
      </c>
      <c r="J349" s="85">
        <f>IF(H349,An,'2024'!An_max)</f>
        <v>2020</v>
      </c>
      <c r="K349" s="199">
        <f t="shared" si="129"/>
        <v>45992</v>
      </c>
      <c r="L349" s="147">
        <f>IF(t&lt;Tvie,1-EXP((T0-t)*PertePVj)+'2024'!Pspv,1-EXP((T0-t)*PertePVj)+Pspv)</f>
        <v>6.044128793732606E-2</v>
      </c>
      <c r="M349" s="872"/>
      <c r="N349" s="872"/>
      <c r="O349" s="48">
        <f>IF(t&lt;Tnet,'2024'!Resal+('2024'!Salim-'2024'!Resal)*(1-EXP(('2024'!Tnet-t)/('2024'!Tau_j))),Resal+(Salim-Resal)*(1-EXP((Tnet-t)/(Tau_j))))*Salcycl</f>
        <v>0.11600822634056379</v>
      </c>
      <c r="P349" s="171">
        <f>(INDEX(Models!$BJ349:$BT349,,T349)*(1-R349)+INDEX(Models!$BJ349:$BT349,,T349+1)*R349-ERP_i)*Q349*Ramure*Pc/MaxiM</f>
        <v>9.4547587591812515E-3</v>
      </c>
      <c r="Q349" s="307">
        <f t="shared" si="130"/>
        <v>0.9</v>
      </c>
      <c r="R349" s="179">
        <f t="shared" si="131"/>
        <v>0.86447493418125188</v>
      </c>
      <c r="S349" s="839">
        <f t="shared" si="132"/>
        <v>-3</v>
      </c>
      <c r="T349" s="178">
        <f t="shared" si="133"/>
        <v>3</v>
      </c>
      <c r="U349" s="253">
        <f t="shared" si="134"/>
        <v>-2.1355250658187481</v>
      </c>
      <c r="V349" s="385">
        <f t="shared" si="135"/>
        <v>16.183368520841881</v>
      </c>
      <c r="W349" s="404">
        <f t="shared" si="136"/>
        <v>3.6428195744457343</v>
      </c>
      <c r="X349" s="157">
        <f t="shared" si="137"/>
        <v>45992</v>
      </c>
      <c r="Y349" s="387">
        <f t="shared" si="138"/>
        <v>3.4436412039447717</v>
      </c>
      <c r="Z349" s="387">
        <f t="shared" si="139"/>
        <v>3.6651687220107019</v>
      </c>
      <c r="AA349" s="388">
        <f t="shared" si="140"/>
        <v>4.3859685593569209</v>
      </c>
      <c r="AB349" s="199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0.16434222625889139</v>
      </c>
      <c r="AD349" s="233">
        <f>(INDEX(Models!$BJ349:$BT349,,AH349)*(1-AF349)+INDEX(Models!$BJ349:$BT349,,AH349+1)*AF349-ERP_i)*AE349*Ramure*Pc/MaxiM</f>
        <v>0.20122653242882793</v>
      </c>
      <c r="AE349" s="307">
        <f t="shared" si="142"/>
        <v>0.9</v>
      </c>
      <c r="AF349" s="179">
        <f t="shared" si="143"/>
        <v>0.50013058648823083</v>
      </c>
      <c r="AG349" s="839">
        <f t="shared" si="149"/>
        <v>2</v>
      </c>
      <c r="AH349" s="178">
        <f t="shared" si="144"/>
        <v>8</v>
      </c>
      <c r="AI349" s="227">
        <f t="shared" si="145"/>
        <v>2.5001305864882308</v>
      </c>
      <c r="AJ349" s="267" t="b">
        <f t="shared" si="146"/>
        <v>0</v>
      </c>
      <c r="AK349" s="267" t="b">
        <f t="shared" si="147"/>
        <v>0</v>
      </c>
      <c r="AL349" s="267"/>
      <c r="AM349" s="267"/>
      <c r="AN349" s="75"/>
    </row>
    <row r="350" spans="1:40" s="6" customFormat="1" ht="11.25" x14ac:dyDescent="0.2">
      <c r="A350" s="56">
        <f t="shared" si="148"/>
        <v>45993</v>
      </c>
      <c r="B350" s="413">
        <f>'2024'!Wh/'2024'!Env_an*'2025'!Env_an</f>
        <v>5.0308777000179781</v>
      </c>
      <c r="C350" s="868"/>
      <c r="D350" s="395">
        <f t="shared" si="127"/>
        <v>5.3546358668437213</v>
      </c>
      <c r="E350" s="387">
        <f t="shared" si="125"/>
        <v>6.0577434340906979</v>
      </c>
      <c r="F350" s="387">
        <f t="shared" si="128"/>
        <v>6.0588563062227987</v>
      </c>
      <c r="G350" s="110">
        <f t="shared" si="126"/>
        <v>0.31071715788798326</v>
      </c>
      <c r="H350" s="416" t="b">
        <f>Wh_hp&gt;='2024'!Maxi_hp</f>
        <v>0</v>
      </c>
      <c r="I350" s="392">
        <f>IF(H350,Wh_hp,'2024'!Maxi_hp)</f>
        <v>8.2113391342416708</v>
      </c>
      <c r="J350" s="85">
        <f>IF(H350,An,'2024'!An_max)</f>
        <v>2021</v>
      </c>
      <c r="K350" s="199">
        <f t="shared" si="129"/>
        <v>45993</v>
      </c>
      <c r="L350" s="147">
        <f>IF(t&lt;Tvie,1-EXP((T0-t)*PertePVj)+'2024'!Pspv,1-EXP((T0-t)*PertePVj)+Pspv)</f>
        <v>6.046315284116266E-2</v>
      </c>
      <c r="M350" s="872"/>
      <c r="N350" s="872"/>
      <c r="O350" s="48">
        <f>IF(t&lt;Tnet,'2024'!Resal+('2024'!Salim-'2024'!Resal)*(1-EXP(('2024'!Tnet-t)/('2024'!Tau_j))),Resal+(Salim-Resal)*(1-EXP((Tnet-t)/(Tau_j))))*Salcycl</f>
        <v>0.11606757118338029</v>
      </c>
      <c r="P350" s="171">
        <f>(INDEX(Models!$BJ350:$BT350,,T350)*(1-R350)+INDEX(Models!$BJ350:$BT350,,T350+1)*R350-ERP_i)*Q350*Ramure*Pc/MaxiM</f>
        <v>9.4396851422470611E-3</v>
      </c>
      <c r="Q350" s="307">
        <f t="shared" si="130"/>
        <v>0.9</v>
      </c>
      <c r="R350" s="179">
        <f t="shared" si="131"/>
        <v>0.86449704377424252</v>
      </c>
      <c r="S350" s="839">
        <f t="shared" si="132"/>
        <v>-3</v>
      </c>
      <c r="T350" s="178">
        <f t="shared" si="133"/>
        <v>3</v>
      </c>
      <c r="U350" s="253">
        <f t="shared" si="134"/>
        <v>-2.1355029562257575</v>
      </c>
      <c r="V350" s="385">
        <f t="shared" si="135"/>
        <v>16.041287626192858</v>
      </c>
      <c r="W350" s="404">
        <f t="shared" si="136"/>
        <v>5.0308777000179781</v>
      </c>
      <c r="X350" s="157">
        <f t="shared" si="137"/>
        <v>45993</v>
      </c>
      <c r="Y350" s="387">
        <f t="shared" si="138"/>
        <v>4.7381846900880387</v>
      </c>
      <c r="Z350" s="387">
        <f t="shared" si="139"/>
        <v>5.0431068290895942</v>
      </c>
      <c r="AA350" s="388">
        <f t="shared" si="140"/>
        <v>6.0347718666465138</v>
      </c>
      <c r="AB350" s="199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0.16432519065678983</v>
      </c>
      <c r="AD350" s="233">
        <f>(INDEX(Models!$BJ350:$BT350,,AH350)*(1-AF350)+INDEX(Models!$BJ350:$BT350,,AH350+1)*AF350-ERP_i)*AE350*Ramure*Pc/MaxiM</f>
        <v>0.20429078945334636</v>
      </c>
      <c r="AE350" s="307">
        <f t="shared" si="142"/>
        <v>0.9</v>
      </c>
      <c r="AF350" s="179">
        <f t="shared" si="143"/>
        <v>0.50015269608122148</v>
      </c>
      <c r="AG350" s="839">
        <f t="shared" si="149"/>
        <v>2</v>
      </c>
      <c r="AH350" s="178">
        <f t="shared" si="144"/>
        <v>8</v>
      </c>
      <c r="AI350" s="227">
        <f t="shared" si="145"/>
        <v>2.5001526960812215</v>
      </c>
      <c r="AJ350" s="267" t="b">
        <f t="shared" si="146"/>
        <v>0</v>
      </c>
      <c r="AK350" s="267" t="b">
        <f t="shared" si="147"/>
        <v>0</v>
      </c>
      <c r="AL350" s="267"/>
      <c r="AM350" s="267"/>
      <c r="AN350" s="75"/>
    </row>
    <row r="351" spans="1:40" s="6" customFormat="1" ht="11.25" x14ac:dyDescent="0.2">
      <c r="A351" s="56">
        <f t="shared" si="148"/>
        <v>45994</v>
      </c>
      <c r="B351" s="413">
        <f>'2024'!Wh/'2024'!Env_an*'2025'!Env_an</f>
        <v>7.9057703473820471</v>
      </c>
      <c r="C351" s="868"/>
      <c r="D351" s="395">
        <f t="shared" si="127"/>
        <v>8.4147357864641563</v>
      </c>
      <c r="E351" s="387">
        <f t="shared" si="125"/>
        <v>9.5203268431475436</v>
      </c>
      <c r="F351" s="387">
        <f t="shared" si="128"/>
        <v>9.5456392795791647</v>
      </c>
      <c r="G351" s="110">
        <f t="shared" si="126"/>
        <v>0.49371272343191386</v>
      </c>
      <c r="H351" s="416" t="b">
        <f>Wh_hp&gt;='2024'!Maxi_hp</f>
        <v>0</v>
      </c>
      <c r="I351" s="392">
        <f>IF(H351,Wh_hp,'2024'!Maxi_hp)</f>
        <v>13.277660836257485</v>
      </c>
      <c r="J351" s="85">
        <f>IF(H351,An,'2024'!An_max)</f>
        <v>2021</v>
      </c>
      <c r="K351" s="199">
        <f t="shared" si="129"/>
        <v>45994</v>
      </c>
      <c r="L351" s="147">
        <f>IF(t&lt;Tvie,1-EXP((T0-t)*PertePVj)+'2024'!Pspv,1-EXP((T0-t)*PertePVj)+Pspv)</f>
        <v>6.0485017236171057E-2</v>
      </c>
      <c r="M351" s="872"/>
      <c r="N351" s="872"/>
      <c r="O351" s="48">
        <f>IF(t&lt;Tnet,'2024'!Resal+('2024'!Salim-'2024'!Resal)*(1-EXP(('2024'!Tnet-t)/('2024'!Tau_j))),Resal+(Salim-Resal)*(1-EXP((Tnet-t)/(Tau_j))))*Salcycl</f>
        <v>0.11612952736797678</v>
      </c>
      <c r="P351" s="171">
        <f>(INDEX(Models!$BJ351:$BT351,,T351)*(1-R351)+INDEX(Models!$BJ351:$BT351,,T351+1)*R351-ERP_i)*Q351*Ramure*Pc/MaxiM</f>
        <v>9.4183079165993753E-3</v>
      </c>
      <c r="Q351" s="307">
        <f t="shared" si="130"/>
        <v>0.9</v>
      </c>
      <c r="R351" s="179">
        <f t="shared" si="131"/>
        <v>0.86451826448307045</v>
      </c>
      <c r="S351" s="839">
        <f t="shared" si="132"/>
        <v>-3</v>
      </c>
      <c r="T351" s="178">
        <f t="shared" si="133"/>
        <v>3</v>
      </c>
      <c r="U351" s="253">
        <f t="shared" si="134"/>
        <v>-2.1354817355169295</v>
      </c>
      <c r="V351" s="385">
        <f t="shared" si="135"/>
        <v>15.904255074572255</v>
      </c>
      <c r="W351" s="404">
        <f t="shared" si="136"/>
        <v>7.9057703473820471</v>
      </c>
      <c r="X351" s="157">
        <f t="shared" si="137"/>
        <v>45994</v>
      </c>
      <c r="Y351" s="387">
        <f t="shared" si="138"/>
        <v>7.057235431122149</v>
      </c>
      <c r="Z351" s="387">
        <f t="shared" si="139"/>
        <v>7.5115730569420469</v>
      </c>
      <c r="AA351" s="388">
        <f t="shared" si="140"/>
        <v>8.9884904191172978</v>
      </c>
      <c r="AB351" s="199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0.16431205834453011</v>
      </c>
      <c r="AD351" s="233">
        <f>(INDEX(Models!$BJ351:$BT351,,AH351)*(1-AF351)+INDEX(Models!$BJ351:$BT351,,AH351+1)*AF351-ERP_i)*AE351*Ramure*Pc/MaxiM</f>
        <v>0.20730519313648582</v>
      </c>
      <c r="AE351" s="307">
        <f t="shared" si="142"/>
        <v>0.9</v>
      </c>
      <c r="AF351" s="179">
        <f t="shared" si="143"/>
        <v>0.50017391679004941</v>
      </c>
      <c r="AG351" s="839">
        <f t="shared" si="149"/>
        <v>2</v>
      </c>
      <c r="AH351" s="178">
        <f t="shared" si="144"/>
        <v>8</v>
      </c>
      <c r="AI351" s="227">
        <f t="shared" si="145"/>
        <v>2.5001739167900494</v>
      </c>
      <c r="AJ351" s="267" t="b">
        <f t="shared" si="146"/>
        <v>0</v>
      </c>
      <c r="AK351" s="267" t="b">
        <f t="shared" si="147"/>
        <v>0</v>
      </c>
      <c r="AL351" s="267"/>
      <c r="AM351" s="267"/>
      <c r="AN351" s="75"/>
    </row>
    <row r="352" spans="1:40" s="6" customFormat="1" ht="11.25" x14ac:dyDescent="0.2">
      <c r="A352" s="56">
        <f t="shared" si="148"/>
        <v>45995</v>
      </c>
      <c r="B352" s="413">
        <f>'2024'!Wh/'2024'!Env_an*'2025'!Env_an</f>
        <v>13.429611238987997</v>
      </c>
      <c r="C352" s="868"/>
      <c r="D352" s="395">
        <f t="shared" si="127"/>
        <v>14.29452858050908</v>
      </c>
      <c r="E352" s="387">
        <f t="shared" si="125"/>
        <v>16.173831716634346</v>
      </c>
      <c r="F352" s="387">
        <f t="shared" si="128"/>
        <v>16.294399514359675</v>
      </c>
      <c r="G352" s="110">
        <f t="shared" si="126"/>
        <v>0.8497170203603438</v>
      </c>
      <c r="H352" s="416" t="b">
        <f>Wh_hp&gt;='2024'!Maxi_hp</f>
        <v>1</v>
      </c>
      <c r="I352" s="392">
        <f>IF(H352,Wh_hp,'2024'!Maxi_hp)</f>
        <v>16.294399514359675</v>
      </c>
      <c r="J352" s="85">
        <f>IF(H352,An,'2024'!An_max)</f>
        <v>2025</v>
      </c>
      <c r="K352" s="199">
        <f t="shared" si="129"/>
        <v>45995</v>
      </c>
      <c r="L352" s="147">
        <f>IF(t&lt;Tvie,1-EXP((T0-t)*PertePVj)+'2024'!Pspv,1-EXP((T0-t)*PertePVj)+Pspv)</f>
        <v>6.0506881122363021E-2</v>
      </c>
      <c r="M352" s="872"/>
      <c r="N352" s="872"/>
      <c r="O352" s="48">
        <f>IF(t&lt;Tnet,'2024'!Resal+('2024'!Salim-'2024'!Resal)*(1-EXP(('2024'!Tnet-t)/('2024'!Tau_j))),Resal+(Salim-Resal)*(1-EXP((Tnet-t)/(Tau_j))))*Salcycl</f>
        <v>0.11619405772550816</v>
      </c>
      <c r="P352" s="171">
        <f>(INDEX(Models!$BJ352:$BT352,,T352)*(1-R352)+INDEX(Models!$BJ352:$BT352,,T352+1)*R352-ERP_i)*Q352*Ramure*Pc/MaxiM</f>
        <v>9.3929692141107215E-3</v>
      </c>
      <c r="Q352" s="307">
        <f t="shared" si="130"/>
        <v>0.9</v>
      </c>
      <c r="R352" s="179">
        <f t="shared" si="131"/>
        <v>0.86453863199335945</v>
      </c>
      <c r="S352" s="839">
        <f t="shared" si="132"/>
        <v>-3</v>
      </c>
      <c r="T352" s="178">
        <f t="shared" si="133"/>
        <v>3</v>
      </c>
      <c r="U352" s="253">
        <f t="shared" si="134"/>
        <v>-2.1354613680066405</v>
      </c>
      <c r="V352" s="385">
        <f t="shared" si="135"/>
        <v>15.773060518585973</v>
      </c>
      <c r="W352" s="404">
        <f t="shared" si="136"/>
        <v>13.429611238987997</v>
      </c>
      <c r="X352" s="157">
        <f t="shared" si="137"/>
        <v>45995</v>
      </c>
      <c r="Y352" s="387">
        <f t="shared" si="138"/>
        <v>10.674831597048733</v>
      </c>
      <c r="Z352" s="387">
        <f t="shared" si="139"/>
        <v>11.362330795782084</v>
      </c>
      <c r="AA352" s="388">
        <f t="shared" si="140"/>
        <v>13.59622884386545</v>
      </c>
      <c r="AB352" s="199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0.16430276907933114</v>
      </c>
      <c r="AD352" s="233">
        <f>(INDEX(Models!$BJ352:$BT352,,AH352)*(1-AF352)+INDEX(Models!$BJ352:$BT352,,AH352+1)*AF352-ERP_i)*AE352*Ramure*Pc/MaxiM</f>
        <v>0.21020400571722642</v>
      </c>
      <c r="AE352" s="307">
        <f t="shared" si="142"/>
        <v>0.9</v>
      </c>
      <c r="AF352" s="179">
        <f t="shared" si="143"/>
        <v>0.50019428430033841</v>
      </c>
      <c r="AG352" s="839">
        <f t="shared" si="149"/>
        <v>2</v>
      </c>
      <c r="AH352" s="178">
        <f t="shared" si="144"/>
        <v>8</v>
      </c>
      <c r="AI352" s="227">
        <f t="shared" si="145"/>
        <v>2.5001942843003384</v>
      </c>
      <c r="AJ352" s="267" t="b">
        <f t="shared" si="146"/>
        <v>0</v>
      </c>
      <c r="AK352" s="267" t="b">
        <f t="shared" si="147"/>
        <v>0</v>
      </c>
      <c r="AL352" s="267"/>
      <c r="AM352" s="267"/>
      <c r="AN352" s="75"/>
    </row>
    <row r="353" spans="1:40" s="6" customFormat="1" ht="11.25" x14ac:dyDescent="0.2">
      <c r="A353" s="56">
        <f t="shared" si="148"/>
        <v>45996</v>
      </c>
      <c r="B353" s="413">
        <f>'2024'!Wh/'2024'!Env_an*'2025'!Env_an</f>
        <v>15.761703679364608</v>
      </c>
      <c r="C353" s="868"/>
      <c r="D353" s="395">
        <f t="shared" si="127"/>
        <v>16.777206952406242</v>
      </c>
      <c r="E353" s="387">
        <f t="shared" si="125"/>
        <v>18.984348513442434</v>
      </c>
      <c r="F353" s="387">
        <f t="shared" si="128"/>
        <v>19.163900067358476</v>
      </c>
      <c r="G353" s="110">
        <f t="shared" si="126"/>
        <v>1.0072377932128673</v>
      </c>
      <c r="H353" s="416" t="b">
        <f>Wh_hp&gt;='2024'!Maxi_hp</f>
        <v>1</v>
      </c>
      <c r="I353" s="392">
        <f>IF(H353,Wh_hp,'2024'!Maxi_hp)</f>
        <v>19.163900067358476</v>
      </c>
      <c r="J353" s="85">
        <f>IF(H353,An,'2024'!An_max)</f>
        <v>2025</v>
      </c>
      <c r="K353" s="199">
        <f t="shared" si="129"/>
        <v>45996</v>
      </c>
      <c r="L353" s="147">
        <f>IF(t&lt;Tvie,1-EXP((T0-t)*PertePVj)+'2024'!Pspv,1-EXP((T0-t)*PertePVj)+Pspv)</f>
        <v>6.0528744499750431E-2</v>
      </c>
      <c r="M353" s="872"/>
      <c r="N353" s="872"/>
      <c r="O353" s="48">
        <f>IF(t&lt;Tnet,'2024'!Resal+('2024'!Salim-'2024'!Resal)*(1-EXP(('2024'!Tnet-t)/('2024'!Tau_j))),Resal+(Salim-Resal)*(1-EXP((Tnet-t)/(Tau_j))))*Salcycl</f>
        <v>0.11626111686020506</v>
      </c>
      <c r="P353" s="171">
        <f>(INDEX(Models!$BJ353:$BT353,,T353)*(1-R353)+INDEX(Models!$BJ353:$BT353,,T353+1)*R353-ERP_i)*Q353*Ramure*Pc/MaxiM</f>
        <v>9.3692595601595104E-3</v>
      </c>
      <c r="Q353" s="307">
        <f t="shared" si="130"/>
        <v>0.9</v>
      </c>
      <c r="R353" s="179">
        <f t="shared" si="131"/>
        <v>0.86455818056207567</v>
      </c>
      <c r="S353" s="839">
        <f t="shared" si="132"/>
        <v>-3</v>
      </c>
      <c r="T353" s="178">
        <f t="shared" si="133"/>
        <v>3</v>
      </c>
      <c r="U353" s="253">
        <f t="shared" si="134"/>
        <v>-2.1354418194379243</v>
      </c>
      <c r="V353" s="385">
        <f t="shared" si="135"/>
        <v>15.648443481343406</v>
      </c>
      <c r="W353" s="404">
        <f t="shared" si="136"/>
        <v>15.761703679364608</v>
      </c>
      <c r="X353" s="157">
        <f t="shared" si="137"/>
        <v>45996</v>
      </c>
      <c r="Y353" s="387">
        <f t="shared" si="138"/>
        <v>11.841663081889937</v>
      </c>
      <c r="Z353" s="387">
        <f t="shared" si="139"/>
        <v>12.604603932862736</v>
      </c>
      <c r="AA353" s="388">
        <f t="shared" si="140"/>
        <v>15.082640269490687</v>
      </c>
      <c r="AB353" s="199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0.16429725116765848</v>
      </c>
      <c r="AD353" s="233">
        <f>(INDEX(Models!$BJ353:$BT353,,AH353)*(1-AF353)+INDEX(Models!$BJ353:$BT353,,AH353+1)*AF353-ERP_i)*AE353*Ramure*Pc/MaxiM</f>
        <v>0.21296603423743191</v>
      </c>
      <c r="AE353" s="307">
        <f t="shared" si="142"/>
        <v>0.9</v>
      </c>
      <c r="AF353" s="179">
        <f t="shared" si="143"/>
        <v>0.50021383286905463</v>
      </c>
      <c r="AG353" s="839">
        <f t="shared" si="149"/>
        <v>2</v>
      </c>
      <c r="AH353" s="178">
        <f t="shared" si="144"/>
        <v>8</v>
      </c>
      <c r="AI353" s="227">
        <f t="shared" si="145"/>
        <v>2.5002138328690546</v>
      </c>
      <c r="AJ353" s="267" t="b">
        <f t="shared" si="146"/>
        <v>0</v>
      </c>
      <c r="AK353" s="267" t="b">
        <f t="shared" si="147"/>
        <v>0</v>
      </c>
      <c r="AL353" s="267"/>
      <c r="AM353" s="267"/>
      <c r="AN353" s="75"/>
    </row>
    <row r="354" spans="1:40" s="6" customFormat="1" ht="11.25" x14ac:dyDescent="0.2">
      <c r="A354" s="56">
        <f t="shared" si="148"/>
        <v>45997</v>
      </c>
      <c r="B354" s="413">
        <f>'2024'!Wh/'2024'!Env_an*'2025'!Env_an</f>
        <v>11.317249020816533</v>
      </c>
      <c r="C354" s="868"/>
      <c r="D354" s="395">
        <f t="shared" si="127"/>
        <v>12.046682992804774</v>
      </c>
      <c r="E354" s="387">
        <f t="shared" si="125"/>
        <v>13.632568579064632</v>
      </c>
      <c r="F354" s="387">
        <f t="shared" si="128"/>
        <v>13.711049478355248</v>
      </c>
      <c r="G354" s="110">
        <f t="shared" si="126"/>
        <v>0.72602137078638818</v>
      </c>
      <c r="H354" s="416" t="b">
        <f>Wh_hp&gt;='2024'!Maxi_hp</f>
        <v>0</v>
      </c>
      <c r="I354" s="392">
        <f>IF(H354,Wh_hp,'2024'!Maxi_hp)</f>
        <v>16.199835950430391</v>
      </c>
      <c r="J354" s="85">
        <f>IF(H354,An,'2024'!An_max)</f>
        <v>2020</v>
      </c>
      <c r="K354" s="199">
        <f t="shared" si="129"/>
        <v>45997</v>
      </c>
      <c r="L354" s="147">
        <f>IF(t&lt;Tvie,1-EXP((T0-t)*PertePVj)+'2024'!Pspv,1-EXP((T0-t)*PertePVj)+Pspv)</f>
        <v>6.0550607368345055E-2</v>
      </c>
      <c r="M354" s="872"/>
      <c r="N354" s="872"/>
      <c r="O354" s="48">
        <f>IF(t&lt;Tnet,'2024'!Resal+('2024'!Salim-'2024'!Resal)*(1-EXP(('2024'!Tnet-t)/('2024'!Tau_j))),Resal+(Salim-Resal)*(1-EXP((Tnet-t)/(Tau_j))))*Salcycl</f>
        <v>0.11633065163488576</v>
      </c>
      <c r="P354" s="171">
        <f>(INDEX(Models!$BJ354:$BT354,,T354)*(1-R354)+INDEX(Models!$BJ354:$BT354,,T354+1)*R354-ERP_i)*Q354*Ramure*Pc/MaxiM</f>
        <v>9.3467726427147579E-3</v>
      </c>
      <c r="Q354" s="307">
        <f t="shared" si="130"/>
        <v>0.9</v>
      </c>
      <c r="R354" s="179">
        <f t="shared" si="131"/>
        <v>0.86457694307440791</v>
      </c>
      <c r="S354" s="839">
        <f t="shared" si="132"/>
        <v>-3</v>
      </c>
      <c r="T354" s="178">
        <f t="shared" si="133"/>
        <v>3</v>
      </c>
      <c r="U354" s="253">
        <f t="shared" si="134"/>
        <v>-2.1354230569255921</v>
      </c>
      <c r="V354" s="385">
        <f t="shared" si="135"/>
        <v>15.531240085865953</v>
      </c>
      <c r="W354" s="404">
        <f t="shared" si="136"/>
        <v>11.317249020816533</v>
      </c>
      <c r="X354" s="157">
        <f t="shared" si="137"/>
        <v>45997</v>
      </c>
      <c r="Y354" s="387">
        <f t="shared" si="138"/>
        <v>9.3434778307908104</v>
      </c>
      <c r="Z354" s="387">
        <f t="shared" si="139"/>
        <v>9.9456957490995563</v>
      </c>
      <c r="AA354" s="388">
        <f t="shared" si="140"/>
        <v>11.900970765414458</v>
      </c>
      <c r="AB354" s="199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0.16429542218498236</v>
      </c>
      <c r="AD354" s="233">
        <f>(INDEX(Models!$BJ354:$BT354,,AH354)*(1-AF354)+INDEX(Models!$BJ354:$BT354,,AH354+1)*AF354-ERP_i)*AE354*Ramure*Pc/MaxiM</f>
        <v>0.21557339872758097</v>
      </c>
      <c r="AE354" s="307">
        <f t="shared" si="142"/>
        <v>0.9</v>
      </c>
      <c r="AF354" s="179">
        <f t="shared" si="143"/>
        <v>0.50023259538138687</v>
      </c>
      <c r="AG354" s="839">
        <f t="shared" si="149"/>
        <v>2</v>
      </c>
      <c r="AH354" s="178">
        <f t="shared" si="144"/>
        <v>8</v>
      </c>
      <c r="AI354" s="227">
        <f t="shared" si="145"/>
        <v>2.5002325953813869</v>
      </c>
      <c r="AJ354" s="267" t="b">
        <f t="shared" si="146"/>
        <v>0</v>
      </c>
      <c r="AK354" s="267" t="b">
        <f t="shared" si="147"/>
        <v>0</v>
      </c>
      <c r="AL354" s="267"/>
      <c r="AM354" s="267"/>
      <c r="AN354" s="75"/>
    </row>
    <row r="355" spans="1:40" s="6" customFormat="1" ht="11.25" x14ac:dyDescent="0.2">
      <c r="A355" s="56">
        <f t="shared" si="148"/>
        <v>45998</v>
      </c>
      <c r="B355" s="413">
        <f>'2024'!Wh/'2024'!Env_an*'2025'!Env_an</f>
        <v>13.932418040890456</v>
      </c>
      <c r="C355" s="868"/>
      <c r="D355" s="395">
        <f t="shared" si="127"/>
        <v>14.830753402403321</v>
      </c>
      <c r="E355" s="387">
        <f t="shared" si="125"/>
        <v>16.7845145661014</v>
      </c>
      <c r="F355" s="387">
        <f t="shared" si="128"/>
        <v>16.920524492655719</v>
      </c>
      <c r="G355" s="110">
        <f t="shared" si="126"/>
        <v>0.90222309727407812</v>
      </c>
      <c r="H355" s="416" t="b">
        <f>Wh_hp&gt;='2024'!Maxi_hp</f>
        <v>1</v>
      </c>
      <c r="I355" s="392">
        <f>IF(H355,Wh_hp,'2024'!Maxi_hp)</f>
        <v>16.920524492655719</v>
      </c>
      <c r="J355" s="85">
        <f>IF(H355,An,'2024'!An_max)</f>
        <v>2025</v>
      </c>
      <c r="K355" s="199">
        <f t="shared" si="129"/>
        <v>45998</v>
      </c>
      <c r="L355" s="147">
        <f>IF(t&lt;Tvie,1-EXP((T0-t)*PertePVj)+'2024'!Pspv,1-EXP((T0-t)*PertePVj)+Pspv)</f>
        <v>6.0572469728158884E-2</v>
      </c>
      <c r="M355" s="872"/>
      <c r="N355" s="872"/>
      <c r="O355" s="48">
        <f>IF(t&lt;Tnet,'2024'!Resal+('2024'!Salim-'2024'!Resal)*(1-EXP(('2024'!Tnet-t)/('2024'!Tau_j))),Resal+(Salim-Resal)*(1-EXP((Tnet-t)/(Tau_j))))*Salcycl</f>
        <v>0.11640260169596822</v>
      </c>
      <c r="P355" s="171">
        <f>(INDEX(Models!$BJ355:$BT355,,T355)*(1-R355)+INDEX(Models!$BJ355:$BT355,,T355+1)*R355-ERP_i)*Q355*Ramure*Pc/MaxiM</f>
        <v>9.3250899601375926E-3</v>
      </c>
      <c r="Q355" s="307">
        <f t="shared" si="130"/>
        <v>0.9</v>
      </c>
      <c r="R355" s="179">
        <f t="shared" si="131"/>
        <v>0.86459495109840701</v>
      </c>
      <c r="S355" s="839">
        <f t="shared" si="132"/>
        <v>-3</v>
      </c>
      <c r="T355" s="178">
        <f t="shared" si="133"/>
        <v>3</v>
      </c>
      <c r="U355" s="253">
        <f t="shared" si="134"/>
        <v>-2.135405048901593</v>
      </c>
      <c r="V355" s="385">
        <f t="shared" si="135"/>
        <v>15.42228610667304</v>
      </c>
      <c r="W355" s="404">
        <f t="shared" si="136"/>
        <v>13.932418040890456</v>
      </c>
      <c r="X355" s="157">
        <f t="shared" si="137"/>
        <v>45998</v>
      </c>
      <c r="Y355" s="387">
        <f t="shared" si="138"/>
        <v>10.787660071263906</v>
      </c>
      <c r="Z355" s="387">
        <f t="shared" si="139"/>
        <v>11.483227522768352</v>
      </c>
      <c r="AA355" s="388">
        <f t="shared" si="140"/>
        <v>13.740802809209422</v>
      </c>
      <c r="AB355" s="199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0.16429718974847579</v>
      </c>
      <c r="AD355" s="233">
        <f>(INDEX(Models!$BJ355:$BT355,,AH355)*(1-AF355)+INDEX(Models!$BJ355:$BT355,,AH355+1)*AF355-ERP_i)*AE355*Ramure*Pc/MaxiM</f>
        <v>0.21800754913645748</v>
      </c>
      <c r="AE355" s="307">
        <f t="shared" si="142"/>
        <v>0.9</v>
      </c>
      <c r="AF355" s="179">
        <f t="shared" si="143"/>
        <v>0.50025060340538596</v>
      </c>
      <c r="AG355" s="839">
        <f t="shared" si="149"/>
        <v>2</v>
      </c>
      <c r="AH355" s="178">
        <f t="shared" si="144"/>
        <v>8</v>
      </c>
      <c r="AI355" s="227">
        <f t="shared" si="145"/>
        <v>2.500250603405386</v>
      </c>
      <c r="AJ355" s="267" t="b">
        <f t="shared" si="146"/>
        <v>0</v>
      </c>
      <c r="AK355" s="267" t="b">
        <f t="shared" si="147"/>
        <v>0</v>
      </c>
      <c r="AL355" s="267"/>
      <c r="AM355" s="267"/>
      <c r="AN355" s="75"/>
    </row>
    <row r="356" spans="1:40" s="6" customFormat="1" ht="11.25" x14ac:dyDescent="0.2">
      <c r="A356" s="56">
        <f t="shared" si="148"/>
        <v>45999</v>
      </c>
      <c r="B356" s="413">
        <f>'2024'!Wh/'2024'!Env_an*'2025'!Env_an</f>
        <v>4.1615414858893276</v>
      </c>
      <c r="C356" s="868"/>
      <c r="D356" s="395">
        <f t="shared" si="127"/>
        <v>4.4299727218861227</v>
      </c>
      <c r="E356" s="387">
        <f t="shared" si="125"/>
        <v>5.0139863033057175</v>
      </c>
      <c r="F356" s="387">
        <f t="shared" si="128"/>
        <v>5.0139863033057175</v>
      </c>
      <c r="G356" s="110">
        <f t="shared" si="126"/>
        <v>0.26907135005946581</v>
      </c>
      <c r="H356" s="416" t="b">
        <f>Wh_hp&gt;='2024'!Maxi_hp</f>
        <v>0</v>
      </c>
      <c r="I356" s="392">
        <f>IF(H356,Wh_hp,'2024'!Maxi_hp)</f>
        <v>15.165312115790208</v>
      </c>
      <c r="J356" s="85">
        <f>IF(H356,An,'2024'!An_max)</f>
        <v>2019</v>
      </c>
      <c r="K356" s="199">
        <f t="shared" si="129"/>
        <v>45999</v>
      </c>
      <c r="L356" s="147">
        <f>IF(t&lt;Tvie,1-EXP((T0-t)*PertePVj)+'2024'!Pspv,1-EXP((T0-t)*PertePVj)+Pspv)</f>
        <v>6.0594331579203575E-2</v>
      </c>
      <c r="M356" s="872"/>
      <c r="N356" s="872"/>
      <c r="O356" s="48">
        <f>IF(t&lt;Tnet,'2024'!Resal+('2024'!Salim-'2024'!Resal)*(1-EXP(('2024'!Tnet-t)/('2024'!Tau_j))),Resal+(Salim-Resal)*(1-EXP((Tnet-t)/(Tau_j))))*Salcycl</f>
        <v>0.11647690003352323</v>
      </c>
      <c r="P356" s="171">
        <f>(INDEX(Models!$BJ356:$BT356,,T356)*(1-R356)+INDEX(Models!$BJ356:$BT356,,T356+1)*R356-ERP_i)*Q356*Ramure*Pc/MaxiM</f>
        <v>9.3037820995643342E-3</v>
      </c>
      <c r="Q356" s="307">
        <f t="shared" si="130"/>
        <v>0.9</v>
      </c>
      <c r="R356" s="179">
        <f t="shared" si="131"/>
        <v>0.86461223493747497</v>
      </c>
      <c r="S356" s="839">
        <f t="shared" si="132"/>
        <v>-3</v>
      </c>
      <c r="T356" s="178">
        <f t="shared" si="133"/>
        <v>3</v>
      </c>
      <c r="U356" s="253">
        <f t="shared" si="134"/>
        <v>-2.135387765062525</v>
      </c>
      <c r="V356" s="385">
        <f t="shared" si="135"/>
        <v>15.322416934375052</v>
      </c>
      <c r="W356" s="404">
        <f t="shared" si="136"/>
        <v>4.1615414858893276</v>
      </c>
      <c r="X356" s="157">
        <f t="shared" si="137"/>
        <v>45999</v>
      </c>
      <c r="Y356" s="387">
        <f t="shared" si="138"/>
        <v>3.9362751402776213</v>
      </c>
      <c r="Z356" s="387">
        <f t="shared" si="139"/>
        <v>4.1901760576926925</v>
      </c>
      <c r="AA356" s="388">
        <f t="shared" si="140"/>
        <v>5.0139863033057175</v>
      </c>
      <c r="AB356" s="199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0.1643024523361557</v>
      </c>
      <c r="AD356" s="233">
        <f>(INDEX(Models!$BJ356:$BT356,,AH356)*(1-AF356)+INDEX(Models!$BJ356:$BT356,,AH356+1)*AF356-ERP_i)*AE356*Ramure*Pc/MaxiM</f>
        <v>0.22024942212288459</v>
      </c>
      <c r="AE356" s="307">
        <f t="shared" si="142"/>
        <v>0.9</v>
      </c>
      <c r="AF356" s="179">
        <f t="shared" si="143"/>
        <v>0.50026788724445392</v>
      </c>
      <c r="AG356" s="839">
        <f t="shared" si="149"/>
        <v>2</v>
      </c>
      <c r="AH356" s="178">
        <f t="shared" si="144"/>
        <v>8</v>
      </c>
      <c r="AI356" s="227">
        <f t="shared" si="145"/>
        <v>2.5002678872444539</v>
      </c>
      <c r="AJ356" s="267" t="b">
        <f t="shared" si="146"/>
        <v>0</v>
      </c>
      <c r="AK356" s="267" t="b">
        <f t="shared" si="147"/>
        <v>0</v>
      </c>
      <c r="AL356" s="267"/>
      <c r="AM356" s="267"/>
      <c r="AN356" s="75"/>
    </row>
    <row r="357" spans="1:40" s="6" customFormat="1" ht="11.25" x14ac:dyDescent="0.2">
      <c r="A357" s="56">
        <f t="shared" si="148"/>
        <v>46000</v>
      </c>
      <c r="B357" s="413">
        <f>'2024'!Wh/'2024'!Env_an*'2025'!Env_an</f>
        <v>7.9369471249327699</v>
      </c>
      <c r="C357" s="868"/>
      <c r="D357" s="395">
        <f t="shared" si="127"/>
        <v>8.4490993618643895</v>
      </c>
      <c r="E357" s="387">
        <f t="shared" si="125"/>
        <v>9.5637926112213094</v>
      </c>
      <c r="F357" s="387">
        <f t="shared" si="128"/>
        <v>9.5919095052966057</v>
      </c>
      <c r="G357" s="110">
        <f t="shared" si="126"/>
        <v>0.51773559216360876</v>
      </c>
      <c r="H357" s="416" t="b">
        <f>Wh_hp&gt;='2024'!Maxi_hp</f>
        <v>1</v>
      </c>
      <c r="I357" s="392">
        <f>IF(H357,Wh_hp,'2024'!Maxi_hp)</f>
        <v>9.5919095052966057</v>
      </c>
      <c r="J357" s="85">
        <f>IF(H357,An,'2024'!An_max)</f>
        <v>2025</v>
      </c>
      <c r="K357" s="199">
        <f t="shared" si="129"/>
        <v>46000</v>
      </c>
      <c r="L357" s="147">
        <f>IF(t&lt;Tvie,1-EXP((T0-t)*PertePVj)+'2024'!Pspv,1-EXP((T0-t)*PertePVj)+Pspv)</f>
        <v>6.0616192921491119E-2</v>
      </c>
      <c r="M357" s="872"/>
      <c r="N357" s="872"/>
      <c r="O357" s="48">
        <f>IF(t&lt;Tnet,'2024'!Resal+('2024'!Salim-'2024'!Resal)*(1-EXP(('2024'!Tnet-t)/('2024'!Tau_j))),Resal+(Salim-Resal)*(1-EXP((Tnet-t)/(Tau_j))))*Salcycl</f>
        <v>0.11655347357167049</v>
      </c>
      <c r="P357" s="171">
        <f>(INDEX(Models!$BJ357:$BT357,,T357)*(1-R357)+INDEX(Models!$BJ357:$BT357,,T357+1)*R357-ERP_i)*Q357*Ramure*Pc/MaxiM</f>
        <v>9.2824106174730567E-3</v>
      </c>
      <c r="Q357" s="307">
        <f t="shared" si="130"/>
        <v>0.9</v>
      </c>
      <c r="R357" s="179">
        <f t="shared" si="131"/>
        <v>0.86462882368077887</v>
      </c>
      <c r="S357" s="839">
        <f t="shared" si="132"/>
        <v>-3</v>
      </c>
      <c r="T357" s="178">
        <f t="shared" si="133"/>
        <v>3</v>
      </c>
      <c r="U357" s="253">
        <f t="shared" si="134"/>
        <v>-2.1353711763192211</v>
      </c>
      <c r="V357" s="385">
        <f t="shared" si="135"/>
        <v>15.232467548096865</v>
      </c>
      <c r="W357" s="404">
        <f t="shared" si="136"/>
        <v>7.9369471249327699</v>
      </c>
      <c r="X357" s="157">
        <f t="shared" si="137"/>
        <v>46000</v>
      </c>
      <c r="Y357" s="387">
        <f t="shared" si="138"/>
        <v>7.0014022881601576</v>
      </c>
      <c r="Z357" s="387">
        <f t="shared" si="139"/>
        <v>7.4531860517529829</v>
      </c>
      <c r="AA357" s="388">
        <f t="shared" si="140"/>
        <v>8.9186131981077423</v>
      </c>
      <c r="AB357" s="199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0.16431110014566819</v>
      </c>
      <c r="AD357" s="233">
        <f>(INDEX(Models!$BJ357:$BT357,,AH357)*(1-AF357)+INDEX(Models!$BJ357:$BT357,,AH357+1)*AF357-ERP_i)*AE357*Ramure*Pc/MaxiM</f>
        <v>0.22227962924420569</v>
      </c>
      <c r="AE357" s="307">
        <f t="shared" si="142"/>
        <v>0.9</v>
      </c>
      <c r="AF357" s="179">
        <f t="shared" si="143"/>
        <v>0.50028447598775783</v>
      </c>
      <c r="AG357" s="839">
        <f t="shared" si="149"/>
        <v>2</v>
      </c>
      <c r="AH357" s="178">
        <f t="shared" si="144"/>
        <v>8</v>
      </c>
      <c r="AI357" s="227">
        <f t="shared" si="145"/>
        <v>2.5002844759877578</v>
      </c>
      <c r="AJ357" s="267" t="b">
        <f t="shared" si="146"/>
        <v>0</v>
      </c>
      <c r="AK357" s="267" t="b">
        <f t="shared" si="147"/>
        <v>0</v>
      </c>
      <c r="AL357" s="267"/>
      <c r="AM357" s="267"/>
      <c r="AN357" s="75"/>
    </row>
    <row r="358" spans="1:40" s="6" customFormat="1" ht="11.25" x14ac:dyDescent="0.2">
      <c r="A358" s="56">
        <f t="shared" si="148"/>
        <v>46001</v>
      </c>
      <c r="B358" s="413">
        <f>'2024'!Wh/'2024'!Env_an*'2025'!Env_an</f>
        <v>11.632021916792235</v>
      </c>
      <c r="C358" s="868"/>
      <c r="D358" s="395">
        <f t="shared" si="127"/>
        <v>12.382896670756594</v>
      </c>
      <c r="E358" s="387">
        <f t="shared" si="125"/>
        <v>14.017827324608263</v>
      </c>
      <c r="F358" s="387">
        <f t="shared" si="128"/>
        <v>14.105086430472326</v>
      </c>
      <c r="G358" s="110">
        <f t="shared" si="126"/>
        <v>0.76524991481550375</v>
      </c>
      <c r="H358" s="416" t="b">
        <f>Wh_hp&gt;='2024'!Maxi_hp</f>
        <v>0</v>
      </c>
      <c r="I358" s="392">
        <f>IF(H358,Wh_hp,'2024'!Maxi_hp)</f>
        <v>16.668106879337483</v>
      </c>
      <c r="J358" s="85">
        <f>IF(H358,An,'2024'!An_max)</f>
        <v>2019</v>
      </c>
      <c r="K358" s="199">
        <f t="shared" si="129"/>
        <v>46001</v>
      </c>
      <c r="L358" s="147">
        <f>IF(t&lt;Tvie,1-EXP((T0-t)*PertePVj)+'2024'!Pspv,1-EXP((T0-t)*PertePVj)+Pspv)</f>
        <v>6.0638053755033172E-2</v>
      </c>
      <c r="M358" s="872"/>
      <c r="N358" s="872"/>
      <c r="O358" s="48">
        <f>IF(t&lt;Tnet,'2024'!Resal+('2024'!Salim-'2024'!Resal)*(1-EXP(('2024'!Tnet-t)/('2024'!Tau_j))),Resal+(Salim-Resal)*(1-EXP((Tnet-t)/(Tau_j))))*Salcycl</f>
        <v>0.11663224378442383</v>
      </c>
      <c r="P358" s="171">
        <f>(INDEX(Models!$BJ358:$BT358,,T358)*(1-R358)+INDEX(Models!$BJ358:$BT358,,T358+1)*R358-ERP_i)*Q358*Ramure*Pc/MaxiM</f>
        <v>9.2605305589538844E-3</v>
      </c>
      <c r="Q358" s="307">
        <f t="shared" si="130"/>
        <v>0.9</v>
      </c>
      <c r="R358" s="179">
        <f t="shared" si="131"/>
        <v>0.864644745251681</v>
      </c>
      <c r="S358" s="839">
        <f t="shared" si="132"/>
        <v>-3</v>
      </c>
      <c r="T358" s="178">
        <f t="shared" si="133"/>
        <v>3</v>
      </c>
      <c r="U358" s="253">
        <f t="shared" si="134"/>
        <v>-2.135355254748319</v>
      </c>
      <c r="V358" s="385">
        <f t="shared" si="135"/>
        <v>15.153272478306677</v>
      </c>
      <c r="W358" s="404">
        <f t="shared" si="136"/>
        <v>11.632021916792235</v>
      </c>
      <c r="X358" s="157">
        <f t="shared" si="137"/>
        <v>46001</v>
      </c>
      <c r="Y358" s="387">
        <f t="shared" si="138"/>
        <v>9.4150630117276499</v>
      </c>
      <c r="Z358" s="387">
        <f t="shared" si="139"/>
        <v>10.022827781520958</v>
      </c>
      <c r="AA358" s="388">
        <f t="shared" si="140"/>
        <v>11.993662591225723</v>
      </c>
      <c r="AB358" s="199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0.16432301598567417</v>
      </c>
      <c r="AD358" s="233">
        <f>(INDEX(Models!$BJ358:$BT358,,AH358)*(1-AF358)+INDEX(Models!$BJ358:$BT358,,AH358+1)*AF358-ERP_i)*AE358*Ramure*Pc/MaxiM</f>
        <v>0.22407867686275881</v>
      </c>
      <c r="AE358" s="307">
        <f t="shared" si="142"/>
        <v>0.9</v>
      </c>
      <c r="AF358" s="179">
        <f t="shared" si="143"/>
        <v>0.50030039755865996</v>
      </c>
      <c r="AG358" s="839">
        <f t="shared" si="149"/>
        <v>2</v>
      </c>
      <c r="AH358" s="178">
        <f t="shared" si="144"/>
        <v>8</v>
      </c>
      <c r="AI358" s="227">
        <f t="shared" si="145"/>
        <v>2.50030039755866</v>
      </c>
      <c r="AJ358" s="267" t="b">
        <f t="shared" si="146"/>
        <v>0</v>
      </c>
      <c r="AK358" s="267" t="b">
        <f t="shared" si="147"/>
        <v>0</v>
      </c>
      <c r="AL358" s="267"/>
      <c r="AM358" s="267"/>
      <c r="AN358" s="75"/>
    </row>
    <row r="359" spans="1:40" s="6" customFormat="1" ht="11.25" x14ac:dyDescent="0.2">
      <c r="A359" s="56">
        <f t="shared" si="148"/>
        <v>46002</v>
      </c>
      <c r="B359" s="413">
        <f>'2024'!Wh/'2024'!Env_an*'2025'!Env_an</f>
        <v>12.189723500488396</v>
      </c>
      <c r="C359" s="868"/>
      <c r="D359" s="395">
        <f t="shared" si="127"/>
        <v>12.976901213097484</v>
      </c>
      <c r="E359" s="387">
        <f t="shared" si="125"/>
        <v>14.691604296007892</v>
      </c>
      <c r="F359" s="387">
        <f t="shared" si="128"/>
        <v>14.790806600251218</v>
      </c>
      <c r="G359" s="110">
        <f t="shared" si="126"/>
        <v>0.80609738892413751</v>
      </c>
      <c r="H359" s="416" t="b">
        <f>Wh_hp&gt;='2024'!Maxi_hp</f>
        <v>0</v>
      </c>
      <c r="I359" s="392">
        <f>IF(H359,Wh_hp,'2024'!Maxi_hp)</f>
        <v>15.154011286324524</v>
      </c>
      <c r="J359" s="85">
        <f>IF(H359,An,'2024'!An_max)</f>
        <v>2018</v>
      </c>
      <c r="K359" s="199">
        <f t="shared" si="129"/>
        <v>46002</v>
      </c>
      <c r="L359" s="147">
        <f>IF(t&lt;Tvie,1-EXP((T0-t)*PertePVj)+'2024'!Pspv,1-EXP((T0-t)*PertePVj)+Pspv)</f>
        <v>6.0659914079841837E-2</v>
      </c>
      <c r="M359" s="872"/>
      <c r="N359" s="872"/>
      <c r="O359" s="48">
        <f>IF(t&lt;Tnet,'2024'!Resal+('2024'!Salim-'2024'!Resal)*(1-EXP(('2024'!Tnet-t)/('2024'!Tau_j))),Resal+(Salim-Resal)*(1-EXP((Tnet-t)/(Tau_j))))*Salcycl</f>
        <v>0.11671312733193735</v>
      </c>
      <c r="P359" s="171">
        <f>(INDEX(Models!$BJ359:$BT359,,T359)*(1-R359)+INDEX(Models!$BJ359:$BT359,,T359+1)*R359-ERP_i)*Q359*Ramure*Pc/MaxiM</f>
        <v>9.2390982214349045E-3</v>
      </c>
      <c r="Q359" s="307">
        <f t="shared" si="130"/>
        <v>0.9</v>
      </c>
      <c r="R359" s="179">
        <f t="shared" si="131"/>
        <v>0.86466002645424922</v>
      </c>
      <c r="S359" s="839">
        <f t="shared" si="132"/>
        <v>-3</v>
      </c>
      <c r="T359" s="178">
        <f t="shared" si="133"/>
        <v>3</v>
      </c>
      <c r="U359" s="253">
        <f t="shared" si="134"/>
        <v>-2.1353399735457508</v>
      </c>
      <c r="V359" s="385">
        <f t="shared" si="135"/>
        <v>15.083350943266019</v>
      </c>
      <c r="W359" s="404">
        <f t="shared" si="136"/>
        <v>12.189723500488396</v>
      </c>
      <c r="X359" s="157">
        <f t="shared" si="137"/>
        <v>46002</v>
      </c>
      <c r="Y359" s="387">
        <f t="shared" si="138"/>
        <v>9.7083826432233593</v>
      </c>
      <c r="Z359" s="387">
        <f t="shared" si="139"/>
        <v>10.335322412769415</v>
      </c>
      <c r="AA359" s="388">
        <f t="shared" si="140"/>
        <v>12.367827369326935</v>
      </c>
      <c r="AB359" s="199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0.16433807619261184</v>
      </c>
      <c r="AD359" s="233">
        <f>(INDEX(Models!$BJ359:$BT359,,AH359)*(1-AF359)+INDEX(Models!$BJ359:$BT359,,AH359+1)*AF359-ERP_i)*AE359*Ramure*Pc/MaxiM</f>
        <v>0.22566152342688542</v>
      </c>
      <c r="AE359" s="307">
        <f t="shared" si="142"/>
        <v>0.9</v>
      </c>
      <c r="AF359" s="179">
        <f t="shared" si="143"/>
        <v>0.50031567876122818</v>
      </c>
      <c r="AG359" s="839">
        <f t="shared" si="149"/>
        <v>2</v>
      </c>
      <c r="AH359" s="178">
        <f t="shared" si="144"/>
        <v>8</v>
      </c>
      <c r="AI359" s="227">
        <f t="shared" si="145"/>
        <v>2.5003156787612282</v>
      </c>
      <c r="AJ359" s="267" t="b">
        <f t="shared" si="146"/>
        <v>0</v>
      </c>
      <c r="AK359" s="267" t="b">
        <f t="shared" si="147"/>
        <v>0</v>
      </c>
      <c r="AL359" s="267"/>
      <c r="AM359" s="267"/>
      <c r="AN359" s="75"/>
    </row>
    <row r="360" spans="1:40" s="6" customFormat="1" ht="11.25" x14ac:dyDescent="0.2">
      <c r="A360" s="56">
        <f t="shared" si="148"/>
        <v>46003</v>
      </c>
      <c r="B360" s="413">
        <f>'2024'!Wh/'2024'!Env_an*'2025'!Env_an</f>
        <v>4.2352442889690591</v>
      </c>
      <c r="C360" s="868"/>
      <c r="D360" s="395">
        <f t="shared" si="127"/>
        <v>4.5088492603142756</v>
      </c>
      <c r="E360" s="387">
        <f t="shared" si="125"/>
        <v>5.1051053298364701</v>
      </c>
      <c r="F360" s="387">
        <f t="shared" si="128"/>
        <v>5.1051053298364701</v>
      </c>
      <c r="G360" s="110">
        <f t="shared" si="126"/>
        <v>0.27936036940139852</v>
      </c>
      <c r="H360" s="416" t="b">
        <f>Wh_hp&gt;='2024'!Maxi_hp</f>
        <v>0</v>
      </c>
      <c r="I360" s="392">
        <f>IF(H360,Wh_hp,'2024'!Maxi_hp)</f>
        <v>17.813849297428309</v>
      </c>
      <c r="J360" s="85">
        <f>IF(H360,An,'2024'!An_max)</f>
        <v>2021</v>
      </c>
      <c r="K360" s="199">
        <f t="shared" si="129"/>
        <v>46003</v>
      </c>
      <c r="L360" s="147">
        <f>IF(t&lt;Tvie,1-EXP((T0-t)*PertePVj)+'2024'!Pspv,1-EXP((T0-t)*PertePVj)+Pspv)</f>
        <v>6.068177389592877E-2</v>
      </c>
      <c r="M360" s="872"/>
      <c r="N360" s="872"/>
      <c r="O360" s="48">
        <f>IF(t&lt;Tnet,'2024'!Resal+('2024'!Salim-'2024'!Resal)*(1-EXP(('2024'!Tnet-t)/('2024'!Tau_j))),Resal+(Salim-Resal)*(1-EXP((Tnet-t)/(Tau_j))))*Salcycl</f>
        <v>0.11679603671199761</v>
      </c>
      <c r="P360" s="171">
        <f>(INDEX(Models!$BJ360:$BT360,,T360)*(1-R360)+INDEX(Models!$BJ360:$BT360,,T360+1)*R360-ERP_i)*Q360*Ramure*Pc/MaxiM</f>
        <v>9.219375026472295E-3</v>
      </c>
      <c r="Q360" s="307">
        <f t="shared" si="130"/>
        <v>0.9</v>
      </c>
      <c r="R360" s="179">
        <f t="shared" si="131"/>
        <v>0.86467469301792965</v>
      </c>
      <c r="S360" s="839">
        <f t="shared" si="132"/>
        <v>-3</v>
      </c>
      <c r="T360" s="178">
        <f t="shared" si="133"/>
        <v>3</v>
      </c>
      <c r="U360" s="253">
        <f t="shared" si="134"/>
        <v>-2.1353253069820703</v>
      </c>
      <c r="V360" s="385">
        <f t="shared" si="135"/>
        <v>15.020734660867474</v>
      </c>
      <c r="W360" s="404">
        <f t="shared" si="136"/>
        <v>4.2352442889690591</v>
      </c>
      <c r="X360" s="157">
        <f t="shared" si="137"/>
        <v>46003</v>
      </c>
      <c r="Y360" s="387">
        <f t="shared" si="138"/>
        <v>4.0071783911824213</v>
      </c>
      <c r="Z360" s="387">
        <f t="shared" si="139"/>
        <v>4.2660498644880418</v>
      </c>
      <c r="AA360" s="388">
        <f t="shared" si="140"/>
        <v>5.1051053298364701</v>
      </c>
      <c r="AB360" s="199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0.16435615156549682</v>
      </c>
      <c r="AD360" s="233">
        <f>(INDEX(Models!$BJ360:$BT360,,AH360)*(1-AF360)+INDEX(Models!$BJ360:$BT360,,AH360+1)*AF360-ERP_i)*AE360*Ramure*Pc/MaxiM</f>
        <v>0.22705219569847129</v>
      </c>
      <c r="AE360" s="307">
        <f t="shared" si="142"/>
        <v>0.9</v>
      </c>
      <c r="AF360" s="179">
        <f t="shared" si="143"/>
        <v>0.50033034532490861</v>
      </c>
      <c r="AG360" s="839">
        <f t="shared" si="149"/>
        <v>2</v>
      </c>
      <c r="AH360" s="178">
        <f t="shared" si="144"/>
        <v>8</v>
      </c>
      <c r="AI360" s="227">
        <f t="shared" si="145"/>
        <v>2.5003303453249086</v>
      </c>
      <c r="AJ360" s="267" t="b">
        <f t="shared" si="146"/>
        <v>0</v>
      </c>
      <c r="AK360" s="267" t="b">
        <f t="shared" si="147"/>
        <v>0</v>
      </c>
      <c r="AL360" s="267"/>
      <c r="AM360" s="267"/>
      <c r="AN360" s="75"/>
    </row>
    <row r="361" spans="1:40" s="6" customFormat="1" ht="11.25" x14ac:dyDescent="0.2">
      <c r="A361" s="56">
        <f t="shared" si="148"/>
        <v>46004</v>
      </c>
      <c r="B361" s="413">
        <f>'2024'!Wh/'2024'!Env_an*'2025'!Env_an</f>
        <v>5.1001498339776346</v>
      </c>
      <c r="C361" s="868"/>
      <c r="D361" s="395">
        <f t="shared" si="127"/>
        <v>5.4297557344662177</v>
      </c>
      <c r="E361" s="387">
        <f t="shared" ref="E361:E379" si="150">Wh_pvt/(1-Psa)</f>
        <v>6.1483843087127665</v>
      </c>
      <c r="F361" s="387">
        <f t="shared" si="128"/>
        <v>6.151682713078185</v>
      </c>
      <c r="G361" s="110">
        <f t="shared" ref="G361:G379" si="151">+Wh_hp/MaxiM</f>
        <v>0.33783859019919971</v>
      </c>
      <c r="H361" s="416" t="b">
        <f>Wh_hp&gt;='2024'!Maxi_hp</f>
        <v>0</v>
      </c>
      <c r="I361" s="392">
        <f>IF(H361,Wh_hp,'2024'!Maxi_hp)</f>
        <v>18.138305430753984</v>
      </c>
      <c r="J361" s="85">
        <f>IF(H361,An,'2024'!An_max)</f>
        <v>2021</v>
      </c>
      <c r="K361" s="199">
        <f t="shared" si="129"/>
        <v>46004</v>
      </c>
      <c r="L361" s="147">
        <f>IF(t&lt;Tvie,1-EXP((T0-t)*PertePVj)+'2024'!Pspv,1-EXP((T0-t)*PertePVj)+Pspv)</f>
        <v>6.070363320330574E-2</v>
      </c>
      <c r="M361" s="872"/>
      <c r="N361" s="872"/>
      <c r="O361" s="48">
        <f>IF(t&lt;Tnet,'2024'!Resal+('2024'!Salim-'2024'!Resal)*(1-EXP(('2024'!Tnet-t)/('2024'!Tau_j))),Resal+(Salim-Resal)*(1-EXP((Tnet-t)/(Tau_j))))*Salcycl</f>
        <v>0.11688088092154435</v>
      </c>
      <c r="P361" s="171">
        <f>(INDEX(Models!$BJ361:$BT361,,T361)*(1-R361)+INDEX(Models!$BJ361:$BT361,,T361+1)*R361-ERP_i)*Q361*Ramure*Pc/MaxiM</f>
        <v>9.2007330925302326E-3</v>
      </c>
      <c r="Q361" s="307">
        <f t="shared" si="130"/>
        <v>0.9</v>
      </c>
      <c r="R361" s="179">
        <f t="shared" si="131"/>
        <v>0.86468876964045593</v>
      </c>
      <c r="S361" s="839">
        <f t="shared" si="132"/>
        <v>-3</v>
      </c>
      <c r="T361" s="178">
        <f t="shared" si="133"/>
        <v>3</v>
      </c>
      <c r="U361" s="253">
        <f t="shared" si="134"/>
        <v>-2.1353112303595441</v>
      </c>
      <c r="V361" s="385">
        <f t="shared" si="135"/>
        <v>14.965536060254335</v>
      </c>
      <c r="W361" s="404">
        <f t="shared" si="136"/>
        <v>5.1001498339776346</v>
      </c>
      <c r="X361" s="157">
        <f t="shared" si="137"/>
        <v>46004</v>
      </c>
      <c r="Y361" s="387">
        <f t="shared" si="138"/>
        <v>4.7642071301305062</v>
      </c>
      <c r="Z361" s="387">
        <f t="shared" si="139"/>
        <v>5.0721021591704867</v>
      </c>
      <c r="AA361" s="388">
        <f t="shared" si="140"/>
        <v>6.0698458714082806</v>
      </c>
      <c r="AB361" s="199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0.16437710831136884</v>
      </c>
      <c r="AD361" s="233">
        <f>(INDEX(Models!$BJ361:$BT361,,AH361)*(1-AF361)+INDEX(Models!$BJ361:$BT361,,AH361+1)*AF361-ERP_i)*AE361*Ramure*Pc/MaxiM</f>
        <v>0.22827975406370504</v>
      </c>
      <c r="AE361" s="307">
        <f t="shared" si="142"/>
        <v>0.9</v>
      </c>
      <c r="AF361" s="179">
        <f t="shared" si="143"/>
        <v>0.50034442194743489</v>
      </c>
      <c r="AG361" s="839">
        <f t="shared" si="149"/>
        <v>2</v>
      </c>
      <c r="AH361" s="178">
        <f t="shared" si="144"/>
        <v>8</v>
      </c>
      <c r="AI361" s="227">
        <f t="shared" si="145"/>
        <v>2.5003444219474349</v>
      </c>
      <c r="AJ361" s="267" t="b">
        <f t="shared" si="146"/>
        <v>0</v>
      </c>
      <c r="AK361" s="267" t="b">
        <f t="shared" si="147"/>
        <v>0</v>
      </c>
      <c r="AL361" s="267"/>
      <c r="AM361" s="267"/>
      <c r="AN361" s="75"/>
    </row>
    <row r="362" spans="1:40" s="6" customFormat="1" ht="11.25" x14ac:dyDescent="0.2">
      <c r="A362" s="56">
        <f t="shared" si="148"/>
        <v>46005</v>
      </c>
      <c r="B362" s="413">
        <f>'2024'!Wh/'2024'!Env_an*'2025'!Env_an</f>
        <v>12.012407933437046</v>
      </c>
      <c r="C362" s="868"/>
      <c r="D362" s="395">
        <f t="shared" si="127"/>
        <v>12.78902794779397</v>
      </c>
      <c r="E362" s="387">
        <f t="shared" si="150"/>
        <v>14.483078375324107</v>
      </c>
      <c r="F362" s="387">
        <f t="shared" si="128"/>
        <v>14.579714268690322</v>
      </c>
      <c r="G362" s="110">
        <f t="shared" si="151"/>
        <v>0.80316562900656741</v>
      </c>
      <c r="H362" s="416" t="b">
        <f>Wh_hp&gt;='2024'!Maxi_hp</f>
        <v>0</v>
      </c>
      <c r="I362" s="392">
        <f>IF(H362,Wh_hp,'2024'!Maxi_hp)</f>
        <v>18.109392366943464</v>
      </c>
      <c r="J362" s="85">
        <f>IF(H362,An,'2024'!An_max)</f>
        <v>2021</v>
      </c>
      <c r="K362" s="199">
        <f t="shared" si="129"/>
        <v>46005</v>
      </c>
      <c r="L362" s="147">
        <f>IF(t&lt;Tvie,1-EXP((T0-t)*PertePVj)+'2024'!Pspv,1-EXP((T0-t)*PertePVj)+Pspv)</f>
        <v>6.0725492001984849E-2</v>
      </c>
      <c r="M362" s="872"/>
      <c r="N362" s="872"/>
      <c r="O362" s="48">
        <f>IF(t&lt;Tnet,'2024'!Resal+('2024'!Salim-'2024'!Resal)*(1-EXP(('2024'!Tnet-t)/('2024'!Tau_j))),Resal+(Salim-Resal)*(1-EXP((Tnet-t)/(Tau_j))))*Salcycl</f>
        <v>0.11696756612298775</v>
      </c>
      <c r="P362" s="171">
        <f>(INDEX(Models!$BJ362:$BT362,,T362)*(1-R362)+INDEX(Models!$BJ362:$BT362,,T362+1)*R362-ERP_i)*Q362*Ramure*Pc/MaxiM</f>
        <v>9.1831679841482342E-3</v>
      </c>
      <c r="Q362" s="307">
        <f t="shared" si="130"/>
        <v>0.9</v>
      </c>
      <c r="R362" s="179">
        <f t="shared" si="131"/>
        <v>0.86470228002905269</v>
      </c>
      <c r="S362" s="839">
        <f t="shared" si="132"/>
        <v>-3</v>
      </c>
      <c r="T362" s="178">
        <f t="shared" si="133"/>
        <v>3</v>
      </c>
      <c r="U362" s="253">
        <f t="shared" si="134"/>
        <v>-2.1352977199709473</v>
      </c>
      <c r="V362" s="385">
        <f t="shared" si="135"/>
        <v>14.917857867857935</v>
      </c>
      <c r="W362" s="404">
        <f t="shared" si="136"/>
        <v>12.012407933437046</v>
      </c>
      <c r="X362" s="157">
        <f t="shared" si="137"/>
        <v>46005</v>
      </c>
      <c r="Y362" s="387">
        <f t="shared" si="138"/>
        <v>9.5488368399750971</v>
      </c>
      <c r="Z362" s="387">
        <f t="shared" si="139"/>
        <v>10.166183324114312</v>
      </c>
      <c r="AA362" s="388">
        <f t="shared" si="140"/>
        <v>12.166339356881227</v>
      </c>
      <c r="AB362" s="199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0.16440080899400822</v>
      </c>
      <c r="AD362" s="233">
        <f>(INDEX(Models!$BJ362:$BT362,,AH362)*(1-AF362)+INDEX(Models!$BJ362:$BT362,,AH362+1)*AF362-ERP_i)*AE362*Ramure*Pc/MaxiM</f>
        <v>0.22933949748758725</v>
      </c>
      <c r="AE362" s="307">
        <f t="shared" si="142"/>
        <v>0.9</v>
      </c>
      <c r="AF362" s="179">
        <f t="shared" si="143"/>
        <v>0.50035793233603165</v>
      </c>
      <c r="AG362" s="839">
        <f t="shared" si="149"/>
        <v>2</v>
      </c>
      <c r="AH362" s="178">
        <f t="shared" si="144"/>
        <v>8</v>
      </c>
      <c r="AI362" s="227">
        <f t="shared" si="145"/>
        <v>2.5003579323360317</v>
      </c>
      <c r="AJ362" s="267" t="b">
        <f t="shared" si="146"/>
        <v>0</v>
      </c>
      <c r="AK362" s="267" t="b">
        <f t="shared" si="147"/>
        <v>0</v>
      </c>
      <c r="AL362" s="267"/>
      <c r="AM362" s="267"/>
      <c r="AN362" s="75"/>
    </row>
    <row r="363" spans="1:40" s="6" customFormat="1" ht="11.25" x14ac:dyDescent="0.2">
      <c r="A363" s="56">
        <f t="shared" si="148"/>
        <v>46006</v>
      </c>
      <c r="B363" s="413">
        <f>'2024'!Wh/'2024'!Env_an*'2025'!Env_an</f>
        <v>5.8911268574599731</v>
      </c>
      <c r="C363" s="868"/>
      <c r="D363" s="395">
        <f t="shared" si="127"/>
        <v>6.2721429205350647</v>
      </c>
      <c r="E363" s="387">
        <f t="shared" si="150"/>
        <v>7.1036701017543118</v>
      </c>
      <c r="F363" s="387">
        <f t="shared" si="128"/>
        <v>7.1126086486874733</v>
      </c>
      <c r="G363" s="110">
        <f t="shared" si="151"/>
        <v>0.39283150918752824</v>
      </c>
      <c r="H363" s="416" t="b">
        <f>Wh_hp&gt;='2024'!Maxi_hp</f>
        <v>0</v>
      </c>
      <c r="I363" s="392">
        <f>IF(H363,Wh_hp,'2024'!Maxi_hp)</f>
        <v>17.774835996132822</v>
      </c>
      <c r="J363" s="85">
        <f>IF(H363,An,'2024'!An_max)</f>
        <v>2019</v>
      </c>
      <c r="K363" s="199">
        <f t="shared" si="129"/>
        <v>46006</v>
      </c>
      <c r="L363" s="147">
        <f>IF(t&lt;Tvie,1-EXP((T0-t)*PertePVj)+'2024'!Pspv,1-EXP((T0-t)*PertePVj)+Pspv)</f>
        <v>6.0747350291977642E-2</v>
      </c>
      <c r="M363" s="872"/>
      <c r="N363" s="872"/>
      <c r="O363" s="48">
        <f>IF(t&lt;Tnet,'2024'!Resal+('2024'!Salim-'2024'!Resal)*(1-EXP(('2024'!Tnet-t)/('2024'!Tau_j))),Resal+(Salim-Resal)*(1-EXP((Tnet-t)/(Tau_j))))*Salcycl</f>
        <v>0.11705599631011789</v>
      </c>
      <c r="P363" s="171">
        <f>(INDEX(Models!$BJ363:$BT363,,T363)*(1-R363)+INDEX(Models!$BJ363:$BT363,,T363+1)*R363-ERP_i)*Q363*Ramure*Pc/MaxiM</f>
        <v>9.1666723946964637E-3</v>
      </c>
      <c r="Q363" s="307">
        <f t="shared" si="130"/>
        <v>0.9</v>
      </c>
      <c r="R363" s="179">
        <f t="shared" si="131"/>
        <v>0.86471524694001189</v>
      </c>
      <c r="S363" s="839">
        <f t="shared" si="132"/>
        <v>-3</v>
      </c>
      <c r="T363" s="178">
        <f t="shared" si="133"/>
        <v>3</v>
      </c>
      <c r="U363" s="253">
        <f t="shared" si="134"/>
        <v>-2.1352847530599881</v>
      </c>
      <c r="V363" s="385">
        <f t="shared" si="135"/>
        <v>14.877802681435908</v>
      </c>
      <c r="W363" s="404">
        <f t="shared" si="136"/>
        <v>5.8911268574599731</v>
      </c>
      <c r="X363" s="157">
        <f t="shared" si="137"/>
        <v>46006</v>
      </c>
      <c r="Y363" s="387">
        <f t="shared" si="138"/>
        <v>5.4058863007516074</v>
      </c>
      <c r="Z363" s="387">
        <f t="shared" si="139"/>
        <v>5.7555188185331074</v>
      </c>
      <c r="AA363" s="388">
        <f t="shared" si="140"/>
        <v>6.8881110330114224</v>
      </c>
      <c r="AB363" s="199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0.16442711347862166</v>
      </c>
      <c r="AD363" s="233">
        <f>(INDEX(Models!$BJ363:$BT363,,AH363)*(1-AF363)+INDEX(Models!$BJ363:$BT363,,AH363+1)*AF363-ERP_i)*AE363*Ramure*Pc/MaxiM</f>
        <v>0.23022714001289607</v>
      </c>
      <c r="AE363" s="307">
        <f t="shared" si="142"/>
        <v>0.9</v>
      </c>
      <c r="AF363" s="179">
        <f t="shared" si="143"/>
        <v>0.50037089924699085</v>
      </c>
      <c r="AG363" s="839">
        <f t="shared" si="149"/>
        <v>2</v>
      </c>
      <c r="AH363" s="178">
        <f t="shared" si="144"/>
        <v>8</v>
      </c>
      <c r="AI363" s="227">
        <f t="shared" si="145"/>
        <v>2.5003708992469909</v>
      </c>
      <c r="AJ363" s="267" t="b">
        <f t="shared" si="146"/>
        <v>0</v>
      </c>
      <c r="AK363" s="267" t="b">
        <f t="shared" si="147"/>
        <v>0</v>
      </c>
      <c r="AL363" s="267"/>
      <c r="AM363" s="267"/>
      <c r="AN363" s="75"/>
    </row>
    <row r="364" spans="1:40" s="6" customFormat="1" ht="11.25" x14ac:dyDescent="0.2">
      <c r="A364" s="56">
        <f t="shared" si="148"/>
        <v>46007</v>
      </c>
      <c r="B364" s="413">
        <f>'2024'!Wh/'2024'!Env_an*'2025'!Env_an</f>
        <v>5.2028670315571981</v>
      </c>
      <c r="C364" s="868"/>
      <c r="D364" s="395">
        <f t="shared" si="127"/>
        <v>5.5394979341384527</v>
      </c>
      <c r="E364" s="387">
        <f t="shared" si="150"/>
        <v>6.2745350853666464</v>
      </c>
      <c r="F364" s="387">
        <f t="shared" si="128"/>
        <v>6.278677639711133</v>
      </c>
      <c r="G364" s="110">
        <f t="shared" si="151"/>
        <v>0.3474903066146009</v>
      </c>
      <c r="H364" s="416" t="b">
        <f>Wh_hp&gt;='2024'!Maxi_hp</f>
        <v>0</v>
      </c>
      <c r="I364" s="392">
        <f>IF(H364,Wh_hp,'2024'!Maxi_hp)</f>
        <v>17.653857308333976</v>
      </c>
      <c r="J364" s="85">
        <f>IF(H364,An,'2024'!An_max)</f>
        <v>2021</v>
      </c>
      <c r="K364" s="199">
        <f t="shared" si="129"/>
        <v>46007</v>
      </c>
      <c r="L364" s="147">
        <f>IF(t&lt;Tvie,1-EXP((T0-t)*PertePVj)+'2024'!Pspv,1-EXP((T0-t)*PertePVj)+Pspv)</f>
        <v>6.0769208073296221E-2</v>
      </c>
      <c r="M364" s="872"/>
      <c r="N364" s="872"/>
      <c r="O364" s="48">
        <f>IF(t&lt;Tnet,'2024'!Resal+('2024'!Salim-'2024'!Resal)*(1-EXP(('2024'!Tnet-t)/('2024'!Tau_j))),Resal+(Salim-Resal)*(1-EXP((Tnet-t)/(Tau_j))))*Salcycl</f>
        <v>0.11714607396848156</v>
      </c>
      <c r="P364" s="171">
        <f>(INDEX(Models!$BJ364:$BT364,,T364)*(1-R364)+INDEX(Models!$BJ364:$BT364,,T364+1)*R364-ERP_i)*Q364*Ramure*Pc/MaxiM</f>
        <v>9.1512361860976252E-3</v>
      </c>
      <c r="Q364" s="307">
        <f t="shared" si="130"/>
        <v>0.9</v>
      </c>
      <c r="R364" s="179">
        <f t="shared" si="131"/>
        <v>0.86472769221669532</v>
      </c>
      <c r="S364" s="839">
        <f t="shared" si="132"/>
        <v>-3</v>
      </c>
      <c r="T364" s="178">
        <f t="shared" si="133"/>
        <v>3</v>
      </c>
      <c r="U364" s="253">
        <f t="shared" si="134"/>
        <v>-2.1352723077833047</v>
      </c>
      <c r="V364" s="385">
        <f t="shared" si="135"/>
        <v>14.845472965906252</v>
      </c>
      <c r="W364" s="404">
        <f t="shared" si="136"/>
        <v>5.2028670315571981</v>
      </c>
      <c r="X364" s="157">
        <f t="shared" si="137"/>
        <v>46007</v>
      </c>
      <c r="Y364" s="387">
        <f t="shared" si="138"/>
        <v>4.8452698167105499</v>
      </c>
      <c r="Z364" s="387">
        <f t="shared" si="139"/>
        <v>5.1587638079572971</v>
      </c>
      <c r="AA364" s="388">
        <f t="shared" si="140"/>
        <v>6.1741369290300199</v>
      </c>
      <c r="AB364" s="199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0.16445587986534052</v>
      </c>
      <c r="AD364" s="233">
        <f>(INDEX(Models!$BJ364:$BT364,,AH364)*(1-AF364)+INDEX(Models!$BJ364:$BT364,,AH364+1)*AF364-ERP_i)*AE364*Ramure*Pc/MaxiM</f>
        <v>0.230938849547876</v>
      </c>
      <c r="AE364" s="307">
        <f t="shared" si="142"/>
        <v>0.9</v>
      </c>
      <c r="AF364" s="179">
        <f t="shared" si="143"/>
        <v>0.50038334452367428</v>
      </c>
      <c r="AG364" s="839">
        <f t="shared" si="149"/>
        <v>2</v>
      </c>
      <c r="AH364" s="178">
        <f t="shared" si="144"/>
        <v>8</v>
      </c>
      <c r="AI364" s="227">
        <f t="shared" si="145"/>
        <v>2.5003833445236743</v>
      </c>
      <c r="AJ364" s="267" t="b">
        <f t="shared" si="146"/>
        <v>0</v>
      </c>
      <c r="AK364" s="267" t="b">
        <f t="shared" si="147"/>
        <v>0</v>
      </c>
      <c r="AL364" s="267"/>
      <c r="AM364" s="267"/>
      <c r="AN364" s="75"/>
    </row>
    <row r="365" spans="1:40" s="6" customFormat="1" ht="11.25" x14ac:dyDescent="0.2">
      <c r="A365" s="56">
        <f t="shared" si="148"/>
        <v>46008</v>
      </c>
      <c r="B365" s="413">
        <f>'2024'!Wh/'2024'!Env_an*'2025'!Env_an</f>
        <v>3.2249831027895515</v>
      </c>
      <c r="C365" s="868"/>
      <c r="D365" s="395">
        <f t="shared" si="127"/>
        <v>3.4337227679562643</v>
      </c>
      <c r="E365" s="387">
        <f t="shared" si="150"/>
        <v>3.8897478639234793</v>
      </c>
      <c r="F365" s="387">
        <f t="shared" si="128"/>
        <v>3.8897478639234793</v>
      </c>
      <c r="G365" s="110">
        <f t="shared" si="151"/>
        <v>0.21560779774570923</v>
      </c>
      <c r="H365" s="416" t="b">
        <f>Wh_hp&gt;='2024'!Maxi_hp</f>
        <v>0</v>
      </c>
      <c r="I365" s="392">
        <f>IF(H365,Wh_hp,'2024'!Maxi_hp)</f>
        <v>17.652836359239622</v>
      </c>
      <c r="J365" s="85">
        <f>IF(H365,An,'2024'!An_max)</f>
        <v>2021</v>
      </c>
      <c r="K365" s="199">
        <f t="shared" si="129"/>
        <v>46008</v>
      </c>
      <c r="L365" s="147">
        <f>IF(t&lt;Tvie,1-EXP((T0-t)*PertePVj)+'2024'!Pspv,1-EXP((T0-t)*PertePVj)+Pspv)</f>
        <v>6.0791065345952133E-2</v>
      </c>
      <c r="M365" s="872"/>
      <c r="N365" s="872"/>
      <c r="O365" s="48">
        <f>IF(t&lt;Tnet,'2024'!Resal+('2024'!Salim-'2024'!Resal)*(1-EXP(('2024'!Tnet-t)/('2024'!Tau_j))),Resal+(Salim-Resal)*(1-EXP((Tnet-t)/(Tau_j))))*Salcycl</f>
        <v>0.11723770072521755</v>
      </c>
      <c r="P365" s="171">
        <f>(INDEX(Models!$BJ365:$BT365,,T365)*(1-R365)+INDEX(Models!$BJ365:$BT365,,T365+1)*R365-ERP_i)*Q365*Ramure*Pc/MaxiM</f>
        <v>9.1368464558228609E-3</v>
      </c>
      <c r="Q365" s="307">
        <f t="shared" si="130"/>
        <v>0.9</v>
      </c>
      <c r="R365" s="179">
        <f t="shared" si="131"/>
        <v>0.86473963682603294</v>
      </c>
      <c r="S365" s="839">
        <f t="shared" si="132"/>
        <v>-3</v>
      </c>
      <c r="T365" s="178">
        <f t="shared" si="133"/>
        <v>3</v>
      </c>
      <c r="U365" s="253">
        <f t="shared" si="134"/>
        <v>-2.1352603631739671</v>
      </c>
      <c r="V365" s="385">
        <f t="shared" si="135"/>
        <v>14.820971044496153</v>
      </c>
      <c r="W365" s="404">
        <f t="shared" si="136"/>
        <v>3.2249831027895515</v>
      </c>
      <c r="X365" s="157">
        <f t="shared" si="137"/>
        <v>46008</v>
      </c>
      <c r="Y365" s="387">
        <f t="shared" si="138"/>
        <v>3.0523680281139138</v>
      </c>
      <c r="Z365" s="387">
        <f t="shared" si="139"/>
        <v>3.2499350415977846</v>
      </c>
      <c r="AA365" s="388">
        <f t="shared" si="140"/>
        <v>3.8897478639234793</v>
      </c>
      <c r="AB365" s="199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0.16448696540457344</v>
      </c>
      <c r="AD365" s="233">
        <f>(INDEX(Models!$BJ365:$BT365,,AH365)*(1-AF365)+INDEX(Models!$BJ365:$BT365,,AH365+1)*AF365-ERP_i)*AE365*Ramure*Pc/MaxiM</f>
        <v>0.23147128445054305</v>
      </c>
      <c r="AE365" s="307">
        <f t="shared" si="142"/>
        <v>0.9</v>
      </c>
      <c r="AF365" s="179">
        <f t="shared" si="143"/>
        <v>0.5003952891330119</v>
      </c>
      <c r="AG365" s="839">
        <f t="shared" si="149"/>
        <v>2</v>
      </c>
      <c r="AH365" s="178">
        <f t="shared" si="144"/>
        <v>8</v>
      </c>
      <c r="AI365" s="227">
        <f t="shared" si="145"/>
        <v>2.5003952891330119</v>
      </c>
      <c r="AJ365" s="267" t="b">
        <f t="shared" si="146"/>
        <v>0</v>
      </c>
      <c r="AK365" s="267" t="b">
        <f t="shared" si="147"/>
        <v>0</v>
      </c>
      <c r="AL365" s="267"/>
      <c r="AM365" s="267"/>
      <c r="AN365" s="75"/>
    </row>
    <row r="366" spans="1:40" s="6" customFormat="1" ht="11.25" x14ac:dyDescent="0.2">
      <c r="A366" s="56">
        <f t="shared" si="148"/>
        <v>46009</v>
      </c>
      <c r="B366" s="413">
        <f>'2024'!Wh/'2024'!Env_an*'2025'!Env_an</f>
        <v>12.556792224153803</v>
      </c>
      <c r="C366" s="868"/>
      <c r="D366" s="395">
        <f t="shared" si="127"/>
        <v>13.369851991962692</v>
      </c>
      <c r="E366" s="387">
        <f t="shared" si="150"/>
        <v>15.147069432667816</v>
      </c>
      <c r="F366" s="387">
        <f t="shared" si="128"/>
        <v>15.256102415315208</v>
      </c>
      <c r="G366" s="110">
        <f t="shared" si="151"/>
        <v>0.84649118002626822</v>
      </c>
      <c r="H366" s="416" t="b">
        <f>Wh_hp&gt;='2024'!Maxi_hp</f>
        <v>0</v>
      </c>
      <c r="I366" s="392">
        <f>IF(H366,Wh_hp,'2024'!Maxi_hp)</f>
        <v>18.053067103991125</v>
      </c>
      <c r="J366" s="85">
        <f>IF(H366,An,'2024'!An_max)</f>
        <v>2021</v>
      </c>
      <c r="K366" s="199">
        <f t="shared" si="129"/>
        <v>46009</v>
      </c>
      <c r="L366" s="147">
        <f>IF(t&lt;Tvie,1-EXP((T0-t)*PertePVj)+'2024'!Pspv,1-EXP((T0-t)*PertePVj)+Pspv)</f>
        <v>6.081292210995759E-2</v>
      </c>
      <c r="M366" s="872"/>
      <c r="N366" s="872"/>
      <c r="O366" s="48">
        <f>IF(t&lt;Tnet,'2024'!Resal+('2024'!Salim-'2024'!Resal)*(1-EXP(('2024'!Tnet-t)/('2024'!Tau_j))),Resal+(Salim-Resal)*(1-EXP((Tnet-t)/(Tau_j))))*Salcycl</f>
        <v>0.1173307779835078</v>
      </c>
      <c r="P366" s="171">
        <f>(INDEX(Models!$BJ366:$BT366,,T366)*(1-R366)+INDEX(Models!$BJ366:$BT366,,T366+1)*R366-ERP_i)*Q366*Ramure*Pc/MaxiM</f>
        <v>9.1261479848177285E-3</v>
      </c>
      <c r="Q366" s="307">
        <f t="shared" si="130"/>
        <v>0.9</v>
      </c>
      <c r="R366" s="179">
        <f t="shared" si="131"/>
        <v>0.86475110089356999</v>
      </c>
      <c r="S366" s="839">
        <f t="shared" si="132"/>
        <v>-3</v>
      </c>
      <c r="T366" s="178">
        <f t="shared" si="133"/>
        <v>3</v>
      </c>
      <c r="U366" s="253">
        <f t="shared" si="134"/>
        <v>-2.13524889910643</v>
      </c>
      <c r="V366" s="385">
        <f t="shared" si="135"/>
        <v>14.804359343201963</v>
      </c>
      <c r="W366" s="404">
        <f t="shared" si="136"/>
        <v>12.556792224153803</v>
      </c>
      <c r="X366" s="157">
        <f t="shared" si="137"/>
        <v>46009</v>
      </c>
      <c r="Y366" s="387">
        <f t="shared" si="138"/>
        <v>9.7978589384091901</v>
      </c>
      <c r="Z366" s="387">
        <f t="shared" si="139"/>
        <v>10.432276134400029</v>
      </c>
      <c r="AA366" s="388">
        <f t="shared" si="140"/>
        <v>12.486569365741918</v>
      </c>
      <c r="AB366" s="199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0.16452022738751909</v>
      </c>
      <c r="AD366" s="233">
        <f>(INDEX(Models!$BJ366:$BT366,,AH366)*(1-AF366)+INDEX(Models!$BJ366:$BT366,,AH366+1)*AF366-ERP_i)*AE366*Ramure*Pc/MaxiM</f>
        <v>0.23181213469128001</v>
      </c>
      <c r="AE366" s="307">
        <f t="shared" si="142"/>
        <v>0.9</v>
      </c>
      <c r="AF366" s="179">
        <f t="shared" si="143"/>
        <v>0.50040675320054895</v>
      </c>
      <c r="AG366" s="839">
        <f t="shared" si="149"/>
        <v>2</v>
      </c>
      <c r="AH366" s="178">
        <f t="shared" si="144"/>
        <v>8</v>
      </c>
      <c r="AI366" s="227">
        <f t="shared" si="145"/>
        <v>2.5004067532005489</v>
      </c>
      <c r="AJ366" s="267" t="b">
        <f t="shared" si="146"/>
        <v>0</v>
      </c>
      <c r="AK366" s="267" t="b">
        <f t="shared" si="147"/>
        <v>0</v>
      </c>
      <c r="AL366" s="267"/>
      <c r="AM366" s="267"/>
      <c r="AN366" s="75"/>
    </row>
    <row r="367" spans="1:40" s="6" customFormat="1" ht="11.25" x14ac:dyDescent="0.2">
      <c r="A367" s="56">
        <f t="shared" si="148"/>
        <v>46010</v>
      </c>
      <c r="B367" s="413">
        <f>'2024'!Wh/'2024'!Env_an*'2025'!Env_an</f>
        <v>12.315630982601979</v>
      </c>
      <c r="C367" s="868"/>
      <c r="D367" s="395">
        <f t="shared" si="127"/>
        <v>13.113380584052985</v>
      </c>
      <c r="E367" s="387">
        <f t="shared" si="150"/>
        <v>14.858095535968753</v>
      </c>
      <c r="F367" s="387">
        <f t="shared" si="128"/>
        <v>14.961826116346728</v>
      </c>
      <c r="G367" s="110">
        <f t="shared" si="151"/>
        <v>0.83054445247069997</v>
      </c>
      <c r="H367" s="416" t="b">
        <f>Wh_hp&gt;='2024'!Maxi_hp</f>
        <v>0</v>
      </c>
      <c r="I367" s="392">
        <f>IF(H367,Wh_hp,'2024'!Maxi_hp)</f>
        <v>17.589332525794376</v>
      </c>
      <c r="J367" s="85">
        <f>IF(H367,An,'2024'!An_max)</f>
        <v>2021</v>
      </c>
      <c r="K367" s="199">
        <f t="shared" si="129"/>
        <v>46010</v>
      </c>
      <c r="L367" s="147">
        <f>IF(t&lt;Tvie,1-EXP((T0-t)*PertePVj)+'2024'!Pspv,1-EXP((T0-t)*PertePVj)+Pspv)</f>
        <v>6.0834778365324027E-2</v>
      </c>
      <c r="M367" s="872"/>
      <c r="N367" s="872"/>
      <c r="O367" s="48">
        <f>IF(t&lt;Tnet,'2024'!Resal+('2024'!Salim-'2024'!Resal)*(1-EXP(('2024'!Tnet-t)/('2024'!Tau_j))),Resal+(Salim-Resal)*(1-EXP((Tnet-t)/(Tau_j))))*Salcycl</f>
        <v>0.11742520753700428</v>
      </c>
      <c r="P367" s="171">
        <f>(INDEX(Models!$BJ367:$BT367,,T367)*(1-R367)+INDEX(Models!$BJ367:$BT367,,T367+1)*R367-ERP_i)*Q367*Ramure*Pc/MaxiM</f>
        <v>9.1159778508403469E-3</v>
      </c>
      <c r="Q367" s="307">
        <f t="shared" si="130"/>
        <v>0.9</v>
      </c>
      <c r="R367" s="179">
        <f t="shared" si="131"/>
        <v>0.8647621037371227</v>
      </c>
      <c r="S367" s="839">
        <f t="shared" si="132"/>
        <v>-3</v>
      </c>
      <c r="T367" s="178">
        <f t="shared" si="133"/>
        <v>3</v>
      </c>
      <c r="U367" s="253">
        <f t="shared" si="134"/>
        <v>-2.1352378962628773</v>
      </c>
      <c r="V367" s="385">
        <f t="shared" si="135"/>
        <v>14.795786910102573</v>
      </c>
      <c r="W367" s="404">
        <f t="shared" si="136"/>
        <v>12.315630982601979</v>
      </c>
      <c r="X367" s="157">
        <f t="shared" si="137"/>
        <v>46010</v>
      </c>
      <c r="Y367" s="387">
        <f t="shared" si="138"/>
        <v>9.6678955794723684</v>
      </c>
      <c r="Z367" s="387">
        <f t="shared" si="139"/>
        <v>10.294137130253599</v>
      </c>
      <c r="AA367" s="388">
        <f t="shared" si="140"/>
        <v>12.321748992354193</v>
      </c>
      <c r="AB367" s="199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0.16455552400546011</v>
      </c>
      <c r="AD367" s="233">
        <f>(INDEX(Models!$BJ367:$BT367,,AH367)*(1-AF367)+INDEX(Models!$BJ367:$BT367,,AH367+1)*AF367-ERP_i)*AE367*Ramure*Pc/MaxiM</f>
        <v>0.23201339951180261</v>
      </c>
      <c r="AE367" s="307">
        <f t="shared" si="142"/>
        <v>0.9</v>
      </c>
      <c r="AF367" s="179">
        <f t="shared" si="143"/>
        <v>0.50041775604410166</v>
      </c>
      <c r="AG367" s="839">
        <f t="shared" si="149"/>
        <v>2</v>
      </c>
      <c r="AH367" s="178">
        <f t="shared" si="144"/>
        <v>8</v>
      </c>
      <c r="AI367" s="227">
        <f t="shared" si="145"/>
        <v>2.5004177560441017</v>
      </c>
      <c r="AJ367" s="267" t="b">
        <f t="shared" si="146"/>
        <v>0</v>
      </c>
      <c r="AK367" s="267" t="b">
        <f t="shared" si="147"/>
        <v>0</v>
      </c>
      <c r="AL367" s="267"/>
      <c r="AM367" s="267"/>
      <c r="AN367" s="75"/>
    </row>
    <row r="368" spans="1:40" s="6" customFormat="1" ht="11.25" x14ac:dyDescent="0.2">
      <c r="A368" s="56">
        <f t="shared" si="148"/>
        <v>46011</v>
      </c>
      <c r="B368" s="413">
        <f>'2024'!Wh/'2024'!Env_an*'2025'!Env_an</f>
        <v>3.9143998036787266</v>
      </c>
      <c r="C368" s="868"/>
      <c r="D368" s="395">
        <f t="shared" si="127"/>
        <v>4.1680535111673391</v>
      </c>
      <c r="E368" s="387">
        <f t="shared" si="150"/>
        <v>4.7231186258544913</v>
      </c>
      <c r="F368" s="387">
        <f t="shared" si="128"/>
        <v>4.7231186258544913</v>
      </c>
      <c r="G368" s="110">
        <f t="shared" si="151"/>
        <v>0.2621602457072324</v>
      </c>
      <c r="H368" s="416" t="b">
        <f>Wh_hp&gt;='2024'!Maxi_hp</f>
        <v>0</v>
      </c>
      <c r="I368" s="392">
        <f>IF(H368,Wh_hp,'2024'!Maxi_hp)</f>
        <v>18.435000096108368</v>
      </c>
      <c r="J368" s="85">
        <f>IF(H368,An,'2024'!An_max)</f>
        <v>2021</v>
      </c>
      <c r="K368" s="199">
        <f t="shared" si="129"/>
        <v>46011</v>
      </c>
      <c r="L368" s="147">
        <f>IF(t&lt;Tvie,1-EXP((T0-t)*PertePVj)+'2024'!Pspv,1-EXP((T0-t)*PertePVj)+Pspv)</f>
        <v>6.0856634112063546E-2</v>
      </c>
      <c r="M368" s="872"/>
      <c r="N368" s="872"/>
      <c r="O368" s="48">
        <f>IF(t&lt;Tnet,'2024'!Resal+('2024'!Salim-'2024'!Resal)*(1-EXP(('2024'!Tnet-t)/('2024'!Tau_j))),Resal+(Salim-Resal)*(1-EXP((Tnet-t)/(Tau_j))))*Salcycl</f>
        <v>0.11752089215983462</v>
      </c>
      <c r="P368" s="171">
        <f>(INDEX(Models!$BJ368:$BT368,,T368)*(1-R368)+INDEX(Models!$BJ368:$BT368,,T368+1)*R368-ERP_i)*Q368*Ramure*Pc/MaxiM</f>
        <v>9.1063111222026271E-3</v>
      </c>
      <c r="Q368" s="307">
        <f t="shared" si="130"/>
        <v>0.9</v>
      </c>
      <c r="R368" s="179">
        <f t="shared" si="131"/>
        <v>0.86477266389909602</v>
      </c>
      <c r="S368" s="839">
        <f t="shared" si="132"/>
        <v>-3</v>
      </c>
      <c r="T368" s="178">
        <f t="shared" si="133"/>
        <v>3</v>
      </c>
      <c r="U368" s="253">
        <f t="shared" si="134"/>
        <v>-2.135227336100904</v>
      </c>
      <c r="V368" s="385">
        <f t="shared" si="135"/>
        <v>14.795355606819729</v>
      </c>
      <c r="W368" s="404">
        <f t="shared" si="136"/>
        <v>3.9143998036787266</v>
      </c>
      <c r="X368" s="157">
        <f t="shared" si="137"/>
        <v>46011</v>
      </c>
      <c r="Y368" s="387">
        <f t="shared" si="138"/>
        <v>3.7056039997668151</v>
      </c>
      <c r="Z368" s="387">
        <f t="shared" si="139"/>
        <v>3.9457277071464585</v>
      </c>
      <c r="AA368" s="388">
        <f t="shared" si="140"/>
        <v>4.7231186258544913</v>
      </c>
      <c r="AB368" s="199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0.16459271517182983</v>
      </c>
      <c r="AD368" s="233">
        <f>(INDEX(Models!$BJ368:$BT368,,AH368)*(1-AF368)+INDEX(Models!$BJ368:$BT368,,AH368+1)*AF368-ERP_i)*AE368*Ramure*Pc/MaxiM</f>
        <v>0.23207342402237888</v>
      </c>
      <c r="AE368" s="307">
        <f t="shared" si="142"/>
        <v>0.9</v>
      </c>
      <c r="AF368" s="179">
        <f t="shared" si="143"/>
        <v>0.50042831620607497</v>
      </c>
      <c r="AG368" s="839">
        <f t="shared" si="149"/>
        <v>2</v>
      </c>
      <c r="AH368" s="178">
        <f t="shared" si="144"/>
        <v>8</v>
      </c>
      <c r="AI368" s="227">
        <f t="shared" si="145"/>
        <v>2.500428316206075</v>
      </c>
      <c r="AJ368" s="267" t="b">
        <f t="shared" si="146"/>
        <v>0</v>
      </c>
      <c r="AK368" s="267" t="b">
        <f t="shared" si="147"/>
        <v>0</v>
      </c>
      <c r="AL368" s="267"/>
      <c r="AM368" s="267"/>
      <c r="AN368" s="75"/>
    </row>
    <row r="369" spans="1:40" s="18" customFormat="1" ht="11.25" x14ac:dyDescent="0.2">
      <c r="A369" s="56">
        <f t="shared" si="148"/>
        <v>46012</v>
      </c>
      <c r="B369" s="413">
        <f>'2024'!Wh/'2024'!Env_an*'2025'!Env_an</f>
        <v>14.271057716765329</v>
      </c>
      <c r="C369" s="868"/>
      <c r="D369" s="395">
        <f t="shared" si="127"/>
        <v>15.196178082312979</v>
      </c>
      <c r="E369" s="387">
        <f t="shared" si="150"/>
        <v>17.221762840427459</v>
      </c>
      <c r="F369" s="387">
        <f t="shared" si="128"/>
        <v>17.371680030442185</v>
      </c>
      <c r="G369" s="110">
        <f t="shared" si="151"/>
        <v>0.9636000786402017</v>
      </c>
      <c r="H369" s="416" t="b">
        <f>Wh_hp&gt;='2024'!Maxi_hp</f>
        <v>1</v>
      </c>
      <c r="I369" s="392">
        <f>IF(H369,Wh_hp,'2024'!Maxi_hp)</f>
        <v>17.371680030442185</v>
      </c>
      <c r="J369" s="85">
        <f>IF(H369,An,'2024'!An_max)</f>
        <v>2025</v>
      </c>
      <c r="K369" s="199">
        <f t="shared" si="129"/>
        <v>46012</v>
      </c>
      <c r="L369" s="147">
        <f>IF(t&lt;Tvie,1-EXP((T0-t)*PertePVj)+'2024'!Pspv,1-EXP((T0-t)*PertePVj)+Pspv)</f>
        <v>6.0878489350187914E-2</v>
      </c>
      <c r="M369" s="872"/>
      <c r="N369" s="872"/>
      <c r="O369" s="48">
        <f>IF(t&lt;Tnet,'2024'!Resal+('2024'!Salim-'2024'!Resal)*(1-EXP(('2024'!Tnet-t)/('2024'!Tau_j))),Resal+(Salim-Resal)*(1-EXP((Tnet-t)/(Tau_j))))*Salcycl</f>
        <v>0.11761773616807061</v>
      </c>
      <c r="P369" s="171">
        <f>(INDEX(Models!$BJ369:$BT369,,T369)*(1-R369)+INDEX(Models!$BJ369:$BT369,,T369+1)*R369-ERP_i)*Q369*Ramure*Pc/MaxiM</f>
        <v>9.0971221074212377E-3</v>
      </c>
      <c r="Q369" s="307">
        <f t="shared" si="130"/>
        <v>0.9</v>
      </c>
      <c r="R369" s="179">
        <f t="shared" si="131"/>
        <v>0.86478279917751788</v>
      </c>
      <c r="S369" s="839">
        <f t="shared" si="132"/>
        <v>-3</v>
      </c>
      <c r="T369" s="178">
        <f t="shared" si="133"/>
        <v>3</v>
      </c>
      <c r="U369" s="253">
        <f t="shared" si="134"/>
        <v>-2.1352172008224821</v>
      </c>
      <c r="V369" s="385">
        <f t="shared" si="135"/>
        <v>14.803167140313006</v>
      </c>
      <c r="W369" s="404">
        <f t="shared" si="136"/>
        <v>14.271057716765329</v>
      </c>
      <c r="X369" s="157">
        <f t="shared" si="137"/>
        <v>46012</v>
      </c>
      <c r="Y369" s="387">
        <f t="shared" si="138"/>
        <v>10.629008566896248</v>
      </c>
      <c r="Z369" s="387">
        <f t="shared" si="139"/>
        <v>11.318033338988959</v>
      </c>
      <c r="AA369" s="388">
        <f t="shared" si="140"/>
        <v>13.548554382272844</v>
      </c>
      <c r="AB369" s="199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0.16463166330146162</v>
      </c>
      <c r="AD369" s="233">
        <f>(INDEX(Models!$BJ369:$BT369,,AH369)*(1-AF369)+INDEX(Models!$BJ369:$BT369,,AH369+1)*AF369-ERP_i)*AE369*Ramure*Pc/MaxiM</f>
        <v>0.2319910135054849</v>
      </c>
      <c r="AE369" s="307">
        <f t="shared" si="142"/>
        <v>0.9</v>
      </c>
      <c r="AF369" s="179">
        <f t="shared" si="143"/>
        <v>0.50043845148449684</v>
      </c>
      <c r="AG369" s="839">
        <f t="shared" si="149"/>
        <v>2</v>
      </c>
      <c r="AH369" s="178">
        <f t="shared" si="144"/>
        <v>8</v>
      </c>
      <c r="AI369" s="227">
        <f t="shared" si="145"/>
        <v>2.5004384514844968</v>
      </c>
      <c r="AJ369" s="267" t="b">
        <f t="shared" si="146"/>
        <v>0</v>
      </c>
      <c r="AK369" s="267" t="b">
        <f t="shared" si="147"/>
        <v>0</v>
      </c>
      <c r="AL369" s="267"/>
      <c r="AM369" s="267"/>
      <c r="AN369" s="267"/>
    </row>
    <row r="370" spans="1:40" s="18" customFormat="1" ht="11.25" x14ac:dyDescent="0.2">
      <c r="A370" s="56">
        <f t="shared" si="148"/>
        <v>46013</v>
      </c>
      <c r="B370" s="413">
        <f>'2024'!Wh/'2024'!Env_an*'2025'!Env_an</f>
        <v>12.658426371940861</v>
      </c>
      <c r="C370" s="868"/>
      <c r="D370" s="395">
        <f t="shared" si="127"/>
        <v>13.47932170152481</v>
      </c>
      <c r="E370" s="387">
        <f t="shared" si="150"/>
        <v>15.277752166444309</v>
      </c>
      <c r="F370" s="387">
        <f t="shared" si="128"/>
        <v>15.38847523412014</v>
      </c>
      <c r="G370" s="110">
        <f t="shared" si="151"/>
        <v>0.8525549948158635</v>
      </c>
      <c r="H370" s="416" t="b">
        <f>Wh_hp&gt;='2024'!Maxi_hp</f>
        <v>0</v>
      </c>
      <c r="I370" s="392">
        <f>IF(H370,Wh_hp,'2024'!Maxi_hp)</f>
        <v>17.399805301490186</v>
      </c>
      <c r="J370" s="85">
        <f>IF(H370,An,'2024'!An_max)</f>
        <v>2021</v>
      </c>
      <c r="K370" s="199">
        <f t="shared" si="129"/>
        <v>46013</v>
      </c>
      <c r="L370" s="147">
        <f>IF(t&lt;Tvie,1-EXP((T0-t)*PertePVj)+'2024'!Pspv,1-EXP((T0-t)*PertePVj)+Pspv)</f>
        <v>6.0900344079709012E-2</v>
      </c>
      <c r="M370" s="872"/>
      <c r="N370" s="872"/>
      <c r="O370" s="48">
        <f>IF(t&lt;Tnet,'2024'!Resal+('2024'!Salim-'2024'!Resal)*(1-EXP(('2024'!Tnet-t)/('2024'!Tau_j))),Resal+(Salim-Resal)*(1-EXP((Tnet-t)/(Tau_j))))*Salcycl</f>
        <v>0.11771564594885416</v>
      </c>
      <c r="P370" s="171">
        <f>(INDEX(Models!$BJ370:$BT370,,T370)*(1-R370)+INDEX(Models!$BJ370:$BT370,,T370+1)*R370-ERP_i)*Q370*Ramure*Pc/MaxiM</f>
        <v>9.088384586427271E-3</v>
      </c>
      <c r="Q370" s="307">
        <f t="shared" si="130"/>
        <v>0.9</v>
      </c>
      <c r="R370" s="179">
        <f t="shared" si="131"/>
        <v>0.86479252665583406</v>
      </c>
      <c r="S370" s="839">
        <f t="shared" si="132"/>
        <v>-3</v>
      </c>
      <c r="T370" s="178">
        <f t="shared" si="133"/>
        <v>3</v>
      </c>
      <c r="U370" s="253">
        <f t="shared" si="134"/>
        <v>-2.1352074733441659</v>
      </c>
      <c r="V370" s="385">
        <f t="shared" si="135"/>
        <v>14.819323042442605</v>
      </c>
      <c r="W370" s="404">
        <f t="shared" si="136"/>
        <v>12.658426371940861</v>
      </c>
      <c r="X370" s="157">
        <f t="shared" si="137"/>
        <v>46013</v>
      </c>
      <c r="Y370" s="387">
        <f t="shared" si="138"/>
        <v>9.856607625040704</v>
      </c>
      <c r="Z370" s="387">
        <f t="shared" si="139"/>
        <v>10.495805810280602</v>
      </c>
      <c r="AA370" s="388">
        <f t="shared" si="140"/>
        <v>12.564895168116539</v>
      </c>
      <c r="AB370" s="199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0.16467223404189296</v>
      </c>
      <c r="AD370" s="233">
        <f>(INDEX(Models!$BJ370:$BT370,,AH370)*(1-AF370)+INDEX(Models!$BJ370:$BT370,,AH370+1)*AF370-ERP_i)*AE370*Ramure*Pc/MaxiM</f>
        <v>0.2317654495045377</v>
      </c>
      <c r="AE370" s="307">
        <f t="shared" si="142"/>
        <v>0.9</v>
      </c>
      <c r="AF370" s="179">
        <f t="shared" si="143"/>
        <v>0.50044817896281302</v>
      </c>
      <c r="AG370" s="839">
        <f t="shared" si="149"/>
        <v>2</v>
      </c>
      <c r="AH370" s="178">
        <f t="shared" si="144"/>
        <v>8</v>
      </c>
      <c r="AI370" s="227">
        <f t="shared" si="145"/>
        <v>2.500448178962813</v>
      </c>
      <c r="AJ370" s="267" t="b">
        <f t="shared" si="146"/>
        <v>0</v>
      </c>
      <c r="AK370" s="267" t="b">
        <f t="shared" si="147"/>
        <v>0</v>
      </c>
      <c r="AL370" s="267"/>
      <c r="AM370" s="267"/>
      <c r="AN370" s="267"/>
    </row>
    <row r="371" spans="1:40" s="6" customFormat="1" ht="11.25" x14ac:dyDescent="0.2">
      <c r="A371" s="56">
        <f t="shared" si="148"/>
        <v>46014</v>
      </c>
      <c r="B371" s="413">
        <f>'2024'!Wh/'2024'!Env_an*'2025'!Env_an</f>
        <v>13.262314736185347</v>
      </c>
      <c r="C371" s="868"/>
      <c r="D371" s="395">
        <f t="shared" si="127"/>
        <v>14.122700709340348</v>
      </c>
      <c r="E371" s="387">
        <f t="shared" si="150"/>
        <v>16.008765953268156</v>
      </c>
      <c r="F371" s="387">
        <f t="shared" si="128"/>
        <v>16.132955185432667</v>
      </c>
      <c r="G371" s="110">
        <f t="shared" si="151"/>
        <v>0.89220617011497105</v>
      </c>
      <c r="H371" s="416" t="b">
        <f>Wh_hp&gt;='2024'!Maxi_hp</f>
        <v>1</v>
      </c>
      <c r="I371" s="392">
        <f>IF(H371,Wh_hp,'2024'!Maxi_hp)</f>
        <v>16.132955185432667</v>
      </c>
      <c r="J371" s="85">
        <f>IF(H371,An,'2024'!An_max)</f>
        <v>2025</v>
      </c>
      <c r="K371" s="199">
        <f t="shared" si="129"/>
        <v>46014</v>
      </c>
      <c r="L371" s="147">
        <f>IF(t&lt;Tvie,1-EXP((T0-t)*PertePVj)+'2024'!Pspv,1-EXP((T0-t)*PertePVj)+Pspv)</f>
        <v>6.0922198300638497E-2</v>
      </c>
      <c r="M371" s="872"/>
      <c r="N371" s="872"/>
      <c r="O371" s="48">
        <f>IF(t&lt;Tnet,'2024'!Resal+('2024'!Salim-'2024'!Resal)*(1-EXP(('2024'!Tnet-t)/('2024'!Tau_j))),Resal+(Salim-Resal)*(1-EXP((Tnet-t)/(Tau_j))))*Salcycl</f>
        <v>0.11781453045372135</v>
      </c>
      <c r="P371" s="171">
        <f>(INDEX(Models!$BJ371:$BT371,,T371)*(1-R371)+INDEX(Models!$BJ371:$BT371,,T371+1)*R371-ERP_i)*Q371*Ramure*Pc/MaxiM</f>
        <v>9.0799508260464689E-3</v>
      </c>
      <c r="Q371" s="307">
        <f t="shared" si="130"/>
        <v>0.9</v>
      </c>
      <c r="R371" s="179">
        <f t="shared" si="131"/>
        <v>0.86479252665583406</v>
      </c>
      <c r="S371" s="839">
        <f t="shared" si="132"/>
        <v>-3</v>
      </c>
      <c r="T371" s="178">
        <f t="shared" si="133"/>
        <v>3</v>
      </c>
      <c r="U371" s="253">
        <f t="shared" si="134"/>
        <v>-2.1352074733441659</v>
      </c>
      <c r="V371" s="385">
        <f t="shared" si="135"/>
        <v>14.843926508790535</v>
      </c>
      <c r="W371" s="404">
        <f t="shared" si="136"/>
        <v>13.262314736185347</v>
      </c>
      <c r="X371" s="157">
        <f t="shared" si="137"/>
        <v>46014</v>
      </c>
      <c r="Y371" s="387">
        <f t="shared" si="138"/>
        <v>10.17214064897405</v>
      </c>
      <c r="Z371" s="387">
        <f t="shared" si="139"/>
        <v>10.832053138266581</v>
      </c>
      <c r="AA371" s="388">
        <f t="shared" si="140"/>
        <v>12.968081578244623</v>
      </c>
      <c r="AB371" s="199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0.1647142969521001</v>
      </c>
      <c r="AD371" s="233">
        <f>(INDEX(Models!$BJ371:$BT371,,AH371)*(1-AF371)+INDEX(Models!$BJ371:$BT371,,AH371+1)*AF371-ERP_i)*AE371*Ramure*Pc/MaxiM</f>
        <v>0.23139604153323162</v>
      </c>
      <c r="AE371" s="307">
        <f t="shared" si="142"/>
        <v>0.9</v>
      </c>
      <c r="AF371" s="179">
        <f t="shared" si="143"/>
        <v>0.50044817896281302</v>
      </c>
      <c r="AG371" s="839">
        <f t="shared" si="149"/>
        <v>2</v>
      </c>
      <c r="AH371" s="178">
        <f t="shared" si="144"/>
        <v>8</v>
      </c>
      <c r="AI371" s="227">
        <f t="shared" si="145"/>
        <v>2.500448178962813</v>
      </c>
      <c r="AJ371" s="267" t="b">
        <f t="shared" si="146"/>
        <v>0</v>
      </c>
      <c r="AK371" s="267" t="b">
        <f t="shared" si="147"/>
        <v>0</v>
      </c>
      <c r="AL371" s="267"/>
      <c r="AM371" s="267"/>
      <c r="AN371" s="75"/>
    </row>
    <row r="372" spans="1:40" s="6" customFormat="1" ht="11.25" x14ac:dyDescent="0.2">
      <c r="A372" s="56">
        <f t="shared" si="148"/>
        <v>46015</v>
      </c>
      <c r="B372" s="413">
        <f>'2024'!Wh/'2024'!Env_an*'2025'!Env_an</f>
        <v>15.098993096785405</v>
      </c>
      <c r="C372" s="868"/>
      <c r="D372" s="395">
        <f t="shared" si="127"/>
        <v>16.078906831006243</v>
      </c>
      <c r="E372" s="387">
        <f t="shared" si="150"/>
        <v>18.228281969811103</v>
      </c>
      <c r="F372" s="387">
        <f t="shared" si="128"/>
        <v>18.395161157636583</v>
      </c>
      <c r="G372" s="110">
        <f t="shared" si="151"/>
        <v>1.014916642032514</v>
      </c>
      <c r="H372" s="416" t="b">
        <f>Wh_hp&gt;='2024'!Maxi_hp</f>
        <v>1</v>
      </c>
      <c r="I372" s="392">
        <f>IF(H372,Wh_hp,'2024'!Maxi_hp)</f>
        <v>18.395161157636583</v>
      </c>
      <c r="J372" s="85">
        <f>IF(H372,An,'2024'!An_max)</f>
        <v>2025</v>
      </c>
      <c r="K372" s="199">
        <f t="shared" si="129"/>
        <v>46015</v>
      </c>
      <c r="L372" s="147">
        <f>IF(t&lt;Tvie,1-EXP((T0-t)*PertePVj)+'2024'!Pspv,1-EXP((T0-t)*PertePVj)+Pspv)</f>
        <v>6.094405201298847E-2</v>
      </c>
      <c r="M372" s="872"/>
      <c r="N372" s="872"/>
      <c r="O372" s="48">
        <f>IF(t&lt;Tnet,'2024'!Resal+('2024'!Salim-'2024'!Resal)*(1-EXP(('2024'!Tnet-t)/('2024'!Tau_j))),Resal+(Salim-Resal)*(1-EXP((Tnet-t)/(Tau_j))))*Salcycl</f>
        <v>0.11791430165303363</v>
      </c>
      <c r="P372" s="171">
        <f>(INDEX(Models!$BJ372:$BT372,,T372)*(1-R372)+INDEX(Models!$BJ372:$BT372,,T372+1)*R372-ERP_i)*Q372*Ramure*Pc/MaxiM</f>
        <v>9.0719068126349344E-3</v>
      </c>
      <c r="Q372" s="307">
        <f t="shared" si="130"/>
        <v>0.9</v>
      </c>
      <c r="R372" s="179">
        <f t="shared" si="131"/>
        <v>0.86479252665583406</v>
      </c>
      <c r="S372" s="839">
        <f t="shared" si="132"/>
        <v>-3</v>
      </c>
      <c r="T372" s="178">
        <f t="shared" si="133"/>
        <v>3</v>
      </c>
      <c r="U372" s="253">
        <f t="shared" si="134"/>
        <v>-2.1352074733441659</v>
      </c>
      <c r="V372" s="385">
        <f t="shared" si="135"/>
        <v>14.877077063735538</v>
      </c>
      <c r="W372" s="404">
        <f t="shared" si="136"/>
        <v>15.098993096785405</v>
      </c>
      <c r="X372" s="157">
        <f t="shared" si="137"/>
        <v>46015</v>
      </c>
      <c r="Y372" s="387">
        <f t="shared" si="138"/>
        <v>11.096853106519637</v>
      </c>
      <c r="Z372" s="387">
        <f t="shared" si="139"/>
        <v>11.817030849234472</v>
      </c>
      <c r="AA372" s="388">
        <f t="shared" si="140"/>
        <v>14.148027726619794</v>
      </c>
      <c r="AB372" s="199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0.1647577261245754</v>
      </c>
      <c r="AD372" s="233">
        <f>(INDEX(Models!$BJ372:$BT372,,AH372)*(1-AF372)+INDEX(Models!$BJ372:$BT372,,AH372+1)*AF372-ERP_i)*AE372*Ramure*Pc/MaxiM</f>
        <v>0.23088318686752193</v>
      </c>
      <c r="AE372" s="307">
        <f t="shared" si="142"/>
        <v>0.9</v>
      </c>
      <c r="AF372" s="179">
        <f t="shared" si="143"/>
        <v>0.50044817896281302</v>
      </c>
      <c r="AG372" s="839">
        <f t="shared" si="149"/>
        <v>2</v>
      </c>
      <c r="AH372" s="178">
        <f t="shared" si="144"/>
        <v>8</v>
      </c>
      <c r="AI372" s="227">
        <f t="shared" si="145"/>
        <v>2.500448178962813</v>
      </c>
      <c r="AJ372" s="267" t="b">
        <f t="shared" si="146"/>
        <v>0</v>
      </c>
      <c r="AK372" s="267" t="b">
        <f t="shared" si="147"/>
        <v>0</v>
      </c>
      <c r="AL372" s="267"/>
      <c r="AM372" s="267"/>
      <c r="AN372" s="75"/>
    </row>
    <row r="373" spans="1:40" s="6" customFormat="1" ht="11.25" x14ac:dyDescent="0.2">
      <c r="A373" s="56">
        <f t="shared" si="148"/>
        <v>46016</v>
      </c>
      <c r="B373" s="413">
        <f>'2024'!Wh/'2024'!Env_an*'2025'!Env_an</f>
        <v>8.5336999572419021</v>
      </c>
      <c r="C373" s="868"/>
      <c r="D373" s="395">
        <f t="shared" si="127"/>
        <v>9.0877423989720594</v>
      </c>
      <c r="E373" s="387">
        <f t="shared" si="150"/>
        <v>10.303736583363241</v>
      </c>
      <c r="F373" s="387">
        <f t="shared" si="128"/>
        <v>10.340154513653227</v>
      </c>
      <c r="G373" s="110">
        <f t="shared" si="151"/>
        <v>0.56881613757844818</v>
      </c>
      <c r="H373" s="416" t="b">
        <f>Wh_hp&gt;='2024'!Maxi_hp</f>
        <v>0</v>
      </c>
      <c r="I373" s="392">
        <f>IF(H373,Wh_hp,'2024'!Maxi_hp)</f>
        <v>13.899256266993024</v>
      </c>
      <c r="J373" s="85">
        <f>IF(H373,An,'2024'!An_max)</f>
        <v>2018</v>
      </c>
      <c r="K373" s="199">
        <f t="shared" si="129"/>
        <v>46016</v>
      </c>
      <c r="L373" s="147">
        <f>IF(t&lt;Tvie,1-EXP((T0-t)*PertePVj)+'2024'!Pspv,1-EXP((T0-t)*PertePVj)+Pspv)</f>
        <v>6.0965905216770588E-2</v>
      </c>
      <c r="M373" s="872"/>
      <c r="N373" s="872"/>
      <c r="O373" s="48">
        <f>IF(t&lt;Tnet,'2024'!Resal+('2024'!Salim-'2024'!Resal)*(1-EXP(('2024'!Tnet-t)/('2024'!Tau_j))),Resal+(Salim-Resal)*(1-EXP((Tnet-t)/(Tau_j))))*Salcycl</f>
        <v>0.11801487494881864</v>
      </c>
      <c r="P373" s="171">
        <f>(INDEX(Models!$BJ373:$BT373,,T373)*(1-R373)+INDEX(Models!$BJ373:$BT373,,T373+1)*R373-ERP_i)*Q373*Ramure*Pc/MaxiM</f>
        <v>9.0640346457880397E-3</v>
      </c>
      <c r="Q373" s="307">
        <f t="shared" si="130"/>
        <v>0.9</v>
      </c>
      <c r="R373" s="179">
        <f t="shared" si="131"/>
        <v>0.86479252665583406</v>
      </c>
      <c r="S373" s="839">
        <f t="shared" si="132"/>
        <v>-3</v>
      </c>
      <c r="T373" s="178">
        <f t="shared" si="133"/>
        <v>3</v>
      </c>
      <c r="U373" s="253">
        <f t="shared" si="134"/>
        <v>-2.1352074733441659</v>
      </c>
      <c r="V373" s="385">
        <f t="shared" si="135"/>
        <v>14.919124300503794</v>
      </c>
      <c r="W373" s="404">
        <f t="shared" si="136"/>
        <v>8.5336999572419021</v>
      </c>
      <c r="X373" s="157">
        <f t="shared" si="137"/>
        <v>46016</v>
      </c>
      <c r="Y373" s="387">
        <f t="shared" si="138"/>
        <v>7.3841076807245214</v>
      </c>
      <c r="Z373" s="387">
        <f t="shared" si="139"/>
        <v>7.863513925369344</v>
      </c>
      <c r="AA373" s="388">
        <f t="shared" si="140"/>
        <v>9.415153889815528</v>
      </c>
      <c r="AB373" s="199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0.16480240074722619</v>
      </c>
      <c r="AD373" s="233">
        <f>(INDEX(Models!$BJ373:$BT373,,AH373)*(1-AF373)+INDEX(Models!$BJ373:$BT373,,AH373+1)*AF373-ERP_i)*AE373*Ramure*Pc/MaxiM</f>
        <v>0.2302227950649359</v>
      </c>
      <c r="AE373" s="307">
        <f t="shared" si="142"/>
        <v>0.9</v>
      </c>
      <c r="AF373" s="179">
        <f t="shared" si="143"/>
        <v>0.50044817896281302</v>
      </c>
      <c r="AG373" s="839">
        <f t="shared" si="149"/>
        <v>2</v>
      </c>
      <c r="AH373" s="178">
        <f t="shared" si="144"/>
        <v>8</v>
      </c>
      <c r="AI373" s="227">
        <f t="shared" si="145"/>
        <v>2.500448178962813</v>
      </c>
      <c r="AJ373" s="267" t="b">
        <f t="shared" si="146"/>
        <v>0</v>
      </c>
      <c r="AK373" s="267" t="b">
        <f t="shared" si="147"/>
        <v>0</v>
      </c>
      <c r="AL373" s="267"/>
      <c r="AM373" s="267"/>
      <c r="AN373" s="75"/>
    </row>
    <row r="374" spans="1:40" s="6" customFormat="1" ht="11.25" x14ac:dyDescent="0.2">
      <c r="A374" s="56">
        <f t="shared" si="148"/>
        <v>46017</v>
      </c>
      <c r="B374" s="413">
        <f>'2024'!Wh/'2024'!Env_an*'2025'!Env_an</f>
        <v>13.268138134033752</v>
      </c>
      <c r="C374" s="868"/>
      <c r="D374" s="395">
        <f t="shared" si="127"/>
        <v>14.129888343660459</v>
      </c>
      <c r="E374" s="387">
        <f t="shared" si="150"/>
        <v>16.022391902060434</v>
      </c>
      <c r="F374" s="387">
        <f t="shared" si="128"/>
        <v>16.144855388663657</v>
      </c>
      <c r="G374" s="110">
        <f t="shared" si="151"/>
        <v>0.88498943978003575</v>
      </c>
      <c r="H374" s="416" t="b">
        <f>Wh_hp&gt;='2024'!Maxi_hp</f>
        <v>0</v>
      </c>
      <c r="I374" s="392">
        <f>IF(H374,Wh_hp,'2024'!Maxi_hp)</f>
        <v>17.569018811526597</v>
      </c>
      <c r="J374" s="85">
        <f>IF(H374,An,'2024'!An_max)</f>
        <v>2018</v>
      </c>
      <c r="K374" s="199">
        <f t="shared" si="129"/>
        <v>46017</v>
      </c>
      <c r="L374" s="147">
        <f>IF(t&lt;Tvie,1-EXP((T0-t)*PertePVj)+'2024'!Pspv,1-EXP((T0-t)*PertePVj)+Pspv)</f>
        <v>6.0987757911996732E-2</v>
      </c>
      <c r="M374" s="872"/>
      <c r="N374" s="872"/>
      <c r="O374" s="48">
        <f>IF(t&lt;Tnet,'2024'!Resal+('2024'!Salim-'2024'!Resal)*(1-EXP(('2024'!Tnet-t)/('2024'!Tau_j))),Resal+(Salim-Resal)*(1-EXP((Tnet-t)/(Tau_j))))*Salcycl</f>
        <v>0.11811616954373744</v>
      </c>
      <c r="P374" s="171">
        <f>(INDEX(Models!$BJ374:$BT374,,T374)*(1-R374)+INDEX(Models!$BJ374:$BT374,,T374+1)*R374-ERP_i)*Q374*Ramure*Pc/MaxiM</f>
        <v>9.0562478391131539E-3</v>
      </c>
      <c r="Q374" s="307">
        <f t="shared" si="130"/>
        <v>0.9</v>
      </c>
      <c r="R374" s="179">
        <f t="shared" si="131"/>
        <v>0.86479252665583406</v>
      </c>
      <c r="S374" s="839">
        <f t="shared" si="132"/>
        <v>-3</v>
      </c>
      <c r="T374" s="178">
        <f t="shared" si="133"/>
        <v>3</v>
      </c>
      <c r="U374" s="253">
        <f t="shared" si="134"/>
        <v>-2.1352074733441659</v>
      </c>
      <c r="V374" s="385">
        <f t="shared" si="135"/>
        <v>14.970203662667847</v>
      </c>
      <c r="W374" s="404">
        <f t="shared" si="136"/>
        <v>13.268138134033752</v>
      </c>
      <c r="X374" s="157">
        <f t="shared" si="137"/>
        <v>46017</v>
      </c>
      <c r="Y374" s="387">
        <f t="shared" si="138"/>
        <v>10.228227827772798</v>
      </c>
      <c r="Z374" s="387">
        <f t="shared" si="139"/>
        <v>10.892539382691263</v>
      </c>
      <c r="AA374" s="388">
        <f t="shared" si="140"/>
        <v>13.042586336709071</v>
      </c>
      <c r="AB374" s="199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0.16484820560216532</v>
      </c>
      <c r="AD374" s="233">
        <f>(INDEX(Models!$BJ374:$BT374,,AH374)*(1-AF374)+INDEX(Models!$BJ374:$BT374,,AH374+1)*AF374-ERP_i)*AE374*Ramure*Pc/MaxiM</f>
        <v>0.22941464576406551</v>
      </c>
      <c r="AE374" s="307">
        <f t="shared" si="142"/>
        <v>0.9</v>
      </c>
      <c r="AF374" s="179">
        <f t="shared" si="143"/>
        <v>0.50044817896281302</v>
      </c>
      <c r="AG374" s="839">
        <f t="shared" si="149"/>
        <v>2</v>
      </c>
      <c r="AH374" s="178">
        <f t="shared" si="144"/>
        <v>8</v>
      </c>
      <c r="AI374" s="227">
        <f t="shared" si="145"/>
        <v>2.500448178962813</v>
      </c>
      <c r="AJ374" s="267" t="b">
        <f t="shared" si="146"/>
        <v>0</v>
      </c>
      <c r="AK374" s="267" t="b">
        <f t="shared" si="147"/>
        <v>0</v>
      </c>
      <c r="AL374" s="267"/>
      <c r="AM374" s="267"/>
      <c r="AN374" s="75"/>
    </row>
    <row r="375" spans="1:40" s="6" customFormat="1" ht="11.25" x14ac:dyDescent="0.2">
      <c r="A375" s="56">
        <f t="shared" si="148"/>
        <v>46018</v>
      </c>
      <c r="B375" s="413">
        <f>'2024'!Wh/'2024'!Env_an*'2025'!Env_an</f>
        <v>6.3193334238362411</v>
      </c>
      <c r="C375" s="868"/>
      <c r="D375" s="395">
        <f t="shared" si="127"/>
        <v>6.7299234281836906</v>
      </c>
      <c r="E375" s="387">
        <f t="shared" si="150"/>
        <v>7.6321860259034704</v>
      </c>
      <c r="F375" s="387">
        <f t="shared" si="128"/>
        <v>7.6440917673573532</v>
      </c>
      <c r="G375" s="110">
        <f t="shared" si="151"/>
        <v>0.41729078569482231</v>
      </c>
      <c r="H375" s="416" t="b">
        <f>Wh_hp&gt;='2024'!Maxi_hp</f>
        <v>0</v>
      </c>
      <c r="I375" s="392">
        <f>IF(H375,Wh_hp,'2024'!Maxi_hp)</f>
        <v>17.805021501401317</v>
      </c>
      <c r="J375" s="85">
        <f>IF(H375,An,'2024'!An_max)</f>
        <v>2018</v>
      </c>
      <c r="K375" s="199">
        <f t="shared" si="129"/>
        <v>46018</v>
      </c>
      <c r="L375" s="147">
        <f>IF(t&lt;Tvie,1-EXP((T0-t)*PertePVj)+'2024'!Pspv,1-EXP((T0-t)*PertePVj)+Pspv)</f>
        <v>6.1009610098678668E-2</v>
      </c>
      <c r="M375" s="872"/>
      <c r="N375" s="872"/>
      <c r="O375" s="48">
        <f>IF(t&lt;Tnet,'2024'!Resal+('2024'!Salim-'2024'!Resal)*(1-EXP(('2024'!Tnet-t)/('2024'!Tau_j))),Resal+(Salim-Resal)*(1-EXP((Tnet-t)/(Tau_j))))*Salcycl</f>
        <v>0.11821810876432007</v>
      </c>
      <c r="P375" s="171">
        <f>(INDEX(Models!$BJ375:$BT375,,T375)*(1-R375)+INDEX(Models!$BJ375:$BT375,,T375+1)*R375-ERP_i)*Q375*Ramure*Pc/MaxiM</f>
        <v>9.0517781457913147E-3</v>
      </c>
      <c r="Q375" s="307">
        <f t="shared" si="130"/>
        <v>0.9</v>
      </c>
      <c r="R375" s="179">
        <f t="shared" si="131"/>
        <v>0.86479252665583406</v>
      </c>
      <c r="S375" s="839">
        <f t="shared" si="132"/>
        <v>-3</v>
      </c>
      <c r="T375" s="178">
        <f t="shared" si="133"/>
        <v>3</v>
      </c>
      <c r="U375" s="253">
        <f t="shared" si="134"/>
        <v>-2.1352074733441659</v>
      </c>
      <c r="V375" s="385">
        <f t="shared" si="135"/>
        <v>15.030048532876197</v>
      </c>
      <c r="W375" s="404">
        <f t="shared" si="136"/>
        <v>6.3193334238362411</v>
      </c>
      <c r="X375" s="157">
        <f t="shared" si="137"/>
        <v>46018</v>
      </c>
      <c r="Y375" s="387">
        <f t="shared" si="138"/>
        <v>5.7585751658302433</v>
      </c>
      <c r="Z375" s="387">
        <f t="shared" si="139"/>
        <v>6.1327306730321416</v>
      </c>
      <c r="AA375" s="388">
        <f t="shared" si="140"/>
        <v>7.3436644545904395</v>
      </c>
      <c r="AB375" s="199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0.16489503149907092</v>
      </c>
      <c r="AD375" s="233">
        <f>(INDEX(Models!$BJ375:$BT375,,AH375)*(1-AF375)+INDEX(Models!$BJ375:$BT375,,AH375+1)*AF375-ERP_i)*AE375*Ramure*Pc/MaxiM</f>
        <v>0.22841092212828298</v>
      </c>
      <c r="AE375" s="307">
        <f t="shared" si="142"/>
        <v>0.9</v>
      </c>
      <c r="AF375" s="179">
        <f t="shared" si="143"/>
        <v>0.50044817896281302</v>
      </c>
      <c r="AG375" s="839">
        <f t="shared" si="149"/>
        <v>2</v>
      </c>
      <c r="AH375" s="178">
        <f t="shared" si="144"/>
        <v>8</v>
      </c>
      <c r="AI375" s="227">
        <f t="shared" si="145"/>
        <v>2.500448178962813</v>
      </c>
      <c r="AJ375" s="267" t="b">
        <f t="shared" si="146"/>
        <v>0</v>
      </c>
      <c r="AK375" s="267" t="b">
        <f t="shared" si="147"/>
        <v>0</v>
      </c>
      <c r="AL375" s="267"/>
      <c r="AM375" s="267"/>
      <c r="AN375" s="75"/>
    </row>
    <row r="376" spans="1:40" s="6" customFormat="1" ht="11.25" x14ac:dyDescent="0.2">
      <c r="A376" s="56">
        <f t="shared" si="148"/>
        <v>46019</v>
      </c>
      <c r="B376" s="413">
        <f>'2024'!Wh/'2024'!Env_an*'2025'!Env_an</f>
        <v>14.055602333777479</v>
      </c>
      <c r="C376" s="868"/>
      <c r="D376" s="395">
        <f t="shared" si="127"/>
        <v>14.969194133357405</v>
      </c>
      <c r="E376" s="387">
        <f t="shared" si="150"/>
        <v>16.978047211538403</v>
      </c>
      <c r="F376" s="387">
        <f t="shared" si="128"/>
        <v>17.117646537458672</v>
      </c>
      <c r="G376" s="110">
        <f t="shared" si="151"/>
        <v>0.93009037514656756</v>
      </c>
      <c r="H376" s="416" t="b">
        <f>Wh_hp&gt;='2024'!Maxi_hp</f>
        <v>1</v>
      </c>
      <c r="I376" s="392">
        <f>IF(H376,Wh_hp,'2024'!Maxi_hp)</f>
        <v>17.117646537458672</v>
      </c>
      <c r="J376" s="85">
        <f>IF(H376,An,'2024'!An_max)</f>
        <v>2025</v>
      </c>
      <c r="K376" s="199">
        <f t="shared" si="129"/>
        <v>46019</v>
      </c>
      <c r="L376" s="147">
        <f>IF(t&lt;Tvie,1-EXP((T0-t)*PertePVj)+'2024'!Pspv,1-EXP((T0-t)*PertePVj)+Pspv)</f>
        <v>6.1031461776828388E-2</v>
      </c>
      <c r="M376" s="872"/>
      <c r="N376" s="872"/>
      <c r="O376" s="48">
        <f>IF(t&lt;Tnet,'2024'!Resal+('2024'!Salim-'2024'!Resal)*(1-EXP(('2024'!Tnet-t)/('2024'!Tau_j))),Resal+(Salim-Resal)*(1-EXP((Tnet-t)/(Tau_j))))*Salcycl</f>
        <v>0.11832062033705319</v>
      </c>
      <c r="P376" s="171">
        <f>(INDEX(Models!$BJ376:$BT376,,T376)*(1-R376)+INDEX(Models!$BJ376:$BT376,,T376+1)*R376-ERP_i)*Q376*Ramure*Pc/MaxiM</f>
        <v>9.0480973309719128E-3</v>
      </c>
      <c r="Q376" s="307">
        <f t="shared" si="130"/>
        <v>0.9</v>
      </c>
      <c r="R376" s="179">
        <f t="shared" si="131"/>
        <v>0.86479252665583406</v>
      </c>
      <c r="S376" s="839">
        <f t="shared" si="132"/>
        <v>-3</v>
      </c>
      <c r="T376" s="178">
        <f t="shared" si="133"/>
        <v>3</v>
      </c>
      <c r="U376" s="253">
        <f t="shared" si="134"/>
        <v>-2.1352074733441659</v>
      </c>
      <c r="V376" s="385">
        <f t="shared" si="135"/>
        <v>15.098479185090417</v>
      </c>
      <c r="W376" s="404">
        <f t="shared" si="136"/>
        <v>14.055602333777479</v>
      </c>
      <c r="X376" s="157">
        <f t="shared" si="137"/>
        <v>46019</v>
      </c>
      <c r="Y376" s="387">
        <f t="shared" si="138"/>
        <v>10.672945310438724</v>
      </c>
      <c r="Z376" s="387">
        <f t="shared" si="139"/>
        <v>11.366669782818651</v>
      </c>
      <c r="AA376" s="388">
        <f t="shared" si="140"/>
        <v>13.611845333772761</v>
      </c>
      <c r="AB376" s="199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0.1649427756414141</v>
      </c>
      <c r="AD376" s="233">
        <f>(INDEX(Models!$BJ376:$BT376,,AH376)*(1-AF376)+INDEX(Models!$BJ376:$BT376,,AH376+1)*AF376-ERP_i)*AE376*Ramure*Pc/MaxiM</f>
        <v>0.22722767681632816</v>
      </c>
      <c r="AE376" s="307">
        <f t="shared" si="142"/>
        <v>0.9</v>
      </c>
      <c r="AF376" s="179">
        <f t="shared" si="143"/>
        <v>0.50044817896281302</v>
      </c>
      <c r="AG376" s="839">
        <f t="shared" si="149"/>
        <v>2</v>
      </c>
      <c r="AH376" s="178">
        <f t="shared" si="144"/>
        <v>8</v>
      </c>
      <c r="AI376" s="227">
        <f t="shared" si="145"/>
        <v>2.500448178962813</v>
      </c>
      <c r="AJ376" s="267" t="b">
        <f t="shared" si="146"/>
        <v>0</v>
      </c>
      <c r="AK376" s="267" t="b">
        <f t="shared" si="147"/>
        <v>0</v>
      </c>
      <c r="AL376" s="267"/>
      <c r="AM376" s="267"/>
      <c r="AN376" s="75"/>
    </row>
    <row r="377" spans="1:40" s="6" customFormat="1" ht="11.25" x14ac:dyDescent="0.2">
      <c r="A377" s="56">
        <f t="shared" si="148"/>
        <v>46020</v>
      </c>
      <c r="B377" s="413">
        <f>'2024'!Wh/'2024'!Env_an*'2025'!Env_an</f>
        <v>9.440078180011124</v>
      </c>
      <c r="C377" s="868"/>
      <c r="D377" s="395">
        <f t="shared" si="127"/>
        <v>10.053902218489657</v>
      </c>
      <c r="E377" s="387">
        <f t="shared" si="150"/>
        <v>11.404459824558954</v>
      </c>
      <c r="F377" s="387">
        <f t="shared" si="128"/>
        <v>11.452120623578443</v>
      </c>
      <c r="G377" s="110">
        <f t="shared" si="151"/>
        <v>0.61901899818584039</v>
      </c>
      <c r="H377" s="416" t="b">
        <f>Wh_hp&gt;='2024'!Maxi_hp</f>
        <v>0</v>
      </c>
      <c r="I377" s="392">
        <f>IF(H377,Wh_hp,'2024'!Maxi_hp)</f>
        <v>18.983624487934243</v>
      </c>
      <c r="J377" s="85">
        <f>IF(H377,An,'2024'!An_max)</f>
        <v>2019</v>
      </c>
      <c r="K377" s="199">
        <f t="shared" si="129"/>
        <v>46020</v>
      </c>
      <c r="L377" s="147">
        <f>IF(t&lt;Tvie,1-EXP((T0-t)*PertePVj)+'2024'!Pspv,1-EXP((T0-t)*PertePVj)+Pspv)</f>
        <v>6.105331294645755E-2</v>
      </c>
      <c r="M377" s="872"/>
      <c r="N377" s="872"/>
      <c r="O377" s="48">
        <f>IF(t&lt;Tnet,'2024'!Resal+('2024'!Salim-'2024'!Resal)*(1-EXP(('2024'!Tnet-t)/('2024'!Tau_j))),Resal+(Salim-Resal)*(1-EXP((Tnet-t)/(Tau_j))))*Salcycl</f>
        <v>0.11842363661634686</v>
      </c>
      <c r="P377" s="171">
        <f>(INDEX(Models!$BJ377:$BT377,,T377)*(1-R377)+INDEX(Models!$BJ377:$BT377,,T377+1)*R377-ERP_i)*Q377*Ramure*Pc/MaxiM</f>
        <v>9.0453149078660207E-3</v>
      </c>
      <c r="Q377" s="307">
        <f t="shared" si="130"/>
        <v>0.9</v>
      </c>
      <c r="R377" s="179">
        <f t="shared" si="131"/>
        <v>0.86479252665583406</v>
      </c>
      <c r="S377" s="839">
        <f t="shared" si="132"/>
        <v>-3</v>
      </c>
      <c r="T377" s="178">
        <f t="shared" si="133"/>
        <v>3</v>
      </c>
      <c r="U377" s="253">
        <f t="shared" si="134"/>
        <v>-2.1352074733441659</v>
      </c>
      <c r="V377" s="385">
        <f t="shared" si="135"/>
        <v>15.175276133170067</v>
      </c>
      <c r="W377" s="404">
        <f t="shared" si="136"/>
        <v>9.440078180011124</v>
      </c>
      <c r="X377" s="157">
        <f t="shared" si="137"/>
        <v>46020</v>
      </c>
      <c r="Y377" s="387">
        <f t="shared" si="138"/>
        <v>8.0456823477065029</v>
      </c>
      <c r="Z377" s="387">
        <f t="shared" si="139"/>
        <v>8.5688383149358796</v>
      </c>
      <c r="AA377" s="388">
        <f t="shared" si="140"/>
        <v>10.261975408356662</v>
      </c>
      <c r="AB377" s="199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0.16499134192448026</v>
      </c>
      <c r="AD377" s="233">
        <f>(INDEX(Models!$BJ377:$BT377,,AH377)*(1-AF377)+INDEX(Models!$BJ377:$BT377,,AH377+1)*AF377-ERP_i)*AE377*Ramure*Pc/MaxiM</f>
        <v>0.22587196352643851</v>
      </c>
      <c r="AE377" s="307">
        <f t="shared" si="142"/>
        <v>0.9</v>
      </c>
      <c r="AF377" s="179">
        <f t="shared" si="143"/>
        <v>0.50044817896281302</v>
      </c>
      <c r="AG377" s="839">
        <f t="shared" si="149"/>
        <v>2</v>
      </c>
      <c r="AH377" s="178">
        <f t="shared" si="144"/>
        <v>8</v>
      </c>
      <c r="AI377" s="227">
        <f t="shared" si="145"/>
        <v>2.500448178962813</v>
      </c>
      <c r="AJ377" s="267" t="b">
        <f t="shared" si="146"/>
        <v>0</v>
      </c>
      <c r="AK377" s="267" t="b">
        <f t="shared" si="147"/>
        <v>0</v>
      </c>
      <c r="AL377" s="267"/>
      <c r="AM377" s="267"/>
      <c r="AN377" s="75"/>
    </row>
    <row r="378" spans="1:40" s="6" customFormat="1" ht="11.25" x14ac:dyDescent="0.2">
      <c r="A378" s="56">
        <f t="shared" si="148"/>
        <v>46021</v>
      </c>
      <c r="B378" s="413">
        <f>'2024'!Wh/'2024'!Env_an*'2025'!Env_an</f>
        <v>11.991335985687483</v>
      </c>
      <c r="C378" s="868"/>
      <c r="D378" s="395">
        <f t="shared" si="127"/>
        <v>12.771348164312194</v>
      </c>
      <c r="E378" s="387">
        <f t="shared" si="150"/>
        <v>14.488645185175386</v>
      </c>
      <c r="F378" s="387">
        <f t="shared" si="128"/>
        <v>14.580151541935132</v>
      </c>
      <c r="G378" s="110">
        <f t="shared" si="151"/>
        <v>0.78360214356016011</v>
      </c>
      <c r="H378" s="416" t="b">
        <f>Wh_hp&gt;='2024'!Maxi_hp</f>
        <v>0</v>
      </c>
      <c r="I378" s="392">
        <f>IF(H378,Wh_hp,'2024'!Maxi_hp)</f>
        <v>18.10568803478461</v>
      </c>
      <c r="J378" s="85">
        <f>IF(H378,An,'2024'!An_max)</f>
        <v>2019</v>
      </c>
      <c r="K378" s="199">
        <f t="shared" si="129"/>
        <v>46021</v>
      </c>
      <c r="L378" s="147">
        <f>IF(t&lt;Tvie,1-EXP((T0-t)*PertePVj)+'2024'!Pspv,1-EXP((T0-t)*PertePVj)+Pspv)</f>
        <v>6.1075163607578142E-2</v>
      </c>
      <c r="M378" s="872"/>
      <c r="N378" s="872"/>
      <c r="O378" s="48">
        <f>IF(t&lt;Tnet,'2024'!Resal+('2024'!Salim-'2024'!Resal)*(1-EXP(('2024'!Tnet-t)/('2024'!Tau_j))),Resal+(Salim-Resal)*(1-EXP((Tnet-t)/(Tau_j))))*Salcycl</f>
        <v>0.11852709476385755</v>
      </c>
      <c r="P378" s="171">
        <f>(INDEX(Models!$BJ378:$BT378,,T378)*(1-R378)+INDEX(Models!$BJ378:$BT378,,T378+1)*R378-ERP_i)*Q378*Ramure*Pc/MaxiM</f>
        <v>9.043535352444898E-3</v>
      </c>
      <c r="Q378" s="307">
        <f t="shared" si="130"/>
        <v>0.9</v>
      </c>
      <c r="R378" s="179">
        <f t="shared" si="131"/>
        <v>0.86479252665583406</v>
      </c>
      <c r="S378" s="839">
        <f t="shared" si="132"/>
        <v>-3</v>
      </c>
      <c r="T378" s="178">
        <f t="shared" si="133"/>
        <v>3</v>
      </c>
      <c r="U378" s="253">
        <f t="shared" si="134"/>
        <v>-2.1352074733441659</v>
      </c>
      <c r="V378" s="385">
        <f t="shared" si="135"/>
        <v>15.260219919355228</v>
      </c>
      <c r="W378" s="404">
        <f t="shared" si="136"/>
        <v>11.991335985687483</v>
      </c>
      <c r="X378" s="157">
        <f t="shared" si="137"/>
        <v>46021</v>
      </c>
      <c r="Y378" s="387">
        <f t="shared" si="138"/>
        <v>9.6506529079267054</v>
      </c>
      <c r="Z378" s="387">
        <f t="shared" si="139"/>
        <v>10.27840838144922</v>
      </c>
      <c r="AA378" s="388">
        <f t="shared" si="140"/>
        <v>12.310070271907859</v>
      </c>
      <c r="AB378" s="199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0.1650406411647368</v>
      </c>
      <c r="AD378" s="233">
        <f>(INDEX(Models!$BJ378:$BT378,,AH378)*(1-AF378)+INDEX(Models!$BJ378:$BT378,,AH378+1)*AF378-ERP_i)*AE378*Ramure*Pc/MaxiM</f>
        <v>0.22435119204140067</v>
      </c>
      <c r="AE378" s="307">
        <f t="shared" si="142"/>
        <v>0.9</v>
      </c>
      <c r="AF378" s="179">
        <f t="shared" si="143"/>
        <v>0.50044817896281302</v>
      </c>
      <c r="AG378" s="839">
        <f t="shared" si="149"/>
        <v>2</v>
      </c>
      <c r="AH378" s="178">
        <f t="shared" si="144"/>
        <v>8</v>
      </c>
      <c r="AI378" s="227">
        <f t="shared" si="145"/>
        <v>2.500448178962813</v>
      </c>
      <c r="AJ378" s="267" t="b">
        <f t="shared" si="146"/>
        <v>0</v>
      </c>
      <c r="AK378" s="267" t="b">
        <f t="shared" si="147"/>
        <v>0</v>
      </c>
      <c r="AL378" s="267"/>
      <c r="AM378" s="267"/>
      <c r="AN378" s="75"/>
    </row>
    <row r="379" spans="1:40" s="18" customFormat="1" ht="12.75" x14ac:dyDescent="0.2">
      <c r="A379" s="56">
        <f t="shared" si="148"/>
        <v>46022</v>
      </c>
      <c r="B379" s="413">
        <f>'2024'!Wh/'2024'!Env_an*'2025'!Env_an</f>
        <v>9.3549828170061726</v>
      </c>
      <c r="C379" s="868"/>
      <c r="D379" s="395">
        <f t="shared" si="127"/>
        <v>9.9637374192107284</v>
      </c>
      <c r="E379" s="387">
        <f t="shared" si="150"/>
        <v>11.304841338461934</v>
      </c>
      <c r="F379" s="387">
        <f t="shared" si="128"/>
        <v>11.35019605258036</v>
      </c>
      <c r="G379" s="110">
        <f t="shared" si="151"/>
        <v>0.60623489473940717</v>
      </c>
      <c r="H379" s="416" t="b">
        <f>Wh_hp&gt;='2024'!Maxi_hp</f>
        <v>0</v>
      </c>
      <c r="I379" s="392">
        <f>IF(H379,Wh_hp,'2024'!Maxi_hp)</f>
        <v>17.949916308915405</v>
      </c>
      <c r="J379" s="85">
        <f>IF(H379,An,'2024'!An_max)</f>
        <v>2021</v>
      </c>
      <c r="K379" s="199">
        <f t="shared" si="129"/>
        <v>46022</v>
      </c>
      <c r="L379" s="147">
        <f>IF(t&lt;Tvie,1-EXP((T0-t)*PertePVj)+'2024'!Pspv,1-EXP((T0-t)*PertePVj)+Pspv)</f>
        <v>6.1097013760201824E-2</v>
      </c>
      <c r="M379" s="872"/>
      <c r="N379" s="872"/>
      <c r="O379" s="48">
        <f>IF(t&lt;Tnet,'2024'!Resal+('2024'!Salim-'2024'!Resal)*(1-EXP(('2024'!Tnet-t)/('2024'!Tau_j))),Resal+(Salim-Resal)*(1-EXP((Tnet-t)/(Tau_j))))*Salcycl</f>
        <v>0.11863093687909014</v>
      </c>
      <c r="P379" s="171">
        <f>(INDEX(Models!$BJ379:$BT379,,T379)*(1-R379)+INDEX(Models!$BJ379:$BT379,,T379+1)*R379-ERP_i)*Q379*Ramure*Pc/MaxiM</f>
        <v>9.0428576580459472E-3</v>
      </c>
      <c r="Q379" s="308">
        <f t="shared" si="130"/>
        <v>0.9</v>
      </c>
      <c r="R379" s="179">
        <f t="shared" si="131"/>
        <v>0.86479252665583406</v>
      </c>
      <c r="S379" s="839">
        <f t="shared" si="132"/>
        <v>-3</v>
      </c>
      <c r="T379" s="178">
        <f t="shared" si="133"/>
        <v>3</v>
      </c>
      <c r="U379" s="309">
        <f t="shared" si="134"/>
        <v>-2.1352074733441659</v>
      </c>
      <c r="V379" s="385">
        <f t="shared" si="135"/>
        <v>15.353091118479179</v>
      </c>
      <c r="W379" s="404">
        <f t="shared" si="136"/>
        <v>9.3549828170061726</v>
      </c>
      <c r="X379" s="157">
        <f t="shared" si="137"/>
        <v>46022</v>
      </c>
      <c r="Y379" s="387">
        <f t="shared" si="138"/>
        <v>8.0219301354641015</v>
      </c>
      <c r="Z379" s="387">
        <f t="shared" si="139"/>
        <v>8.543939313252201</v>
      </c>
      <c r="AA379" s="388">
        <f t="shared" si="140"/>
        <v>10.233372895094849</v>
      </c>
      <c r="AB379" s="199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0.16509059126072118</v>
      </c>
      <c r="AD379" s="233">
        <f>(INDEX(Models!$BJ379:$BT379,,AH379)*(1-AF379)+INDEX(Models!$BJ379:$BT379,,AH379+1)*AF379-ERP_i)*AE379*Ramure*Pc/MaxiM</f>
        <v>0.22267305700528778</v>
      </c>
      <c r="AE379" s="308">
        <f t="shared" si="142"/>
        <v>0.9</v>
      </c>
      <c r="AF379" s="179">
        <f t="shared" si="143"/>
        <v>0.50044817896281302</v>
      </c>
      <c r="AG379" s="839">
        <f t="shared" si="149"/>
        <v>2</v>
      </c>
      <c r="AH379" s="178">
        <f t="shared" si="144"/>
        <v>8</v>
      </c>
      <c r="AI379" s="224">
        <f t="shared" si="145"/>
        <v>2.500448178962813</v>
      </c>
      <c r="AJ379" s="267" t="b">
        <f t="shared" si="146"/>
        <v>0</v>
      </c>
      <c r="AK379" s="267" t="b">
        <f t="shared" si="147"/>
        <v>0</v>
      </c>
      <c r="AL379" s="267"/>
      <c r="AM379" s="267"/>
      <c r="AN379" s="267"/>
    </row>
    <row r="380" spans="1:40" s="18" customFormat="1" ht="12" thickBot="1" x14ac:dyDescent="0.25">
      <c r="A380" s="121"/>
      <c r="B380" s="414"/>
      <c r="C380" s="876"/>
      <c r="D380" s="403"/>
      <c r="E380" s="389"/>
      <c r="F380" s="389"/>
      <c r="G380" s="122"/>
      <c r="H380" s="416" t="b">
        <f>Wh_hp&gt;='2024'!Maxi_hp</f>
        <v>0</v>
      </c>
      <c r="I380" s="392">
        <f>IF(H380,Wh_hp,'2024'!Maxi_hp)</f>
        <v>13.024115631411625</v>
      </c>
      <c r="J380" s="85">
        <f>IF(H380,An,'2024'!An_max)</f>
        <v>2020</v>
      </c>
      <c r="K380" s="236"/>
      <c r="L380" s="216"/>
      <c r="M380" s="877"/>
      <c r="N380" s="877"/>
      <c r="O380" s="153"/>
      <c r="P380" s="324"/>
      <c r="Q380" s="231"/>
      <c r="R380" s="231"/>
      <c r="S380" s="231"/>
      <c r="T380" s="231"/>
      <c r="U380" s="325"/>
      <c r="V380" s="399"/>
      <c r="W380" s="404"/>
      <c r="X380" s="121"/>
      <c r="Y380" s="389"/>
      <c r="Z380" s="389"/>
      <c r="AA380" s="390"/>
      <c r="AB380" s="201"/>
      <c r="AC380" s="152"/>
      <c r="AD380" s="152"/>
      <c r="AE380" s="231"/>
      <c r="AF380" s="231"/>
      <c r="AG380" s="231"/>
      <c r="AH380" s="231"/>
      <c r="AI380" s="311"/>
      <c r="AJ380" s="267" t="b">
        <f t="shared" si="146"/>
        <v>1</v>
      </c>
      <c r="AK380" s="267" t="b">
        <f t="shared" si="147"/>
        <v>1</v>
      </c>
      <c r="AL380" s="267"/>
      <c r="AM380" s="267"/>
      <c r="AN380" s="267"/>
    </row>
    <row r="381" spans="1:40" s="104" customFormat="1" ht="11.25" customHeight="1" x14ac:dyDescent="0.2">
      <c r="A381" s="112" t="s">
        <v>7</v>
      </c>
      <c r="B381" s="377">
        <f>MIN(B15:B380)</f>
        <v>0.78495355087770857</v>
      </c>
      <c r="C381" s="377"/>
      <c r="D381" s="375">
        <f>MIN(D15:D380)</f>
        <v>0.8313568948309723</v>
      </c>
      <c r="E381" s="375">
        <f>MIN(E15:E380)</f>
        <v>0.91306064023875178</v>
      </c>
      <c r="F381" s="376">
        <f>MIN(F15:F380)</f>
        <v>0.91306064023875178</v>
      </c>
      <c r="G381" s="125">
        <f>+MIN(G15:G380)</f>
        <v>1.4767442832822523E-2</v>
      </c>
      <c r="H381" s="94"/>
      <c r="I381" s="376">
        <f>MIN(I15:I380)</f>
        <v>8.2113391342416708</v>
      </c>
      <c r="J381" s="57">
        <f>MIN(J15:J380)</f>
        <v>2018</v>
      </c>
      <c r="K381" s="202" t="s">
        <v>7</v>
      </c>
      <c r="L381" s="146">
        <f t="shared" ref="L381:T381" si="152">MIN(L15:L380)</f>
        <v>5.3109869318555769E-2</v>
      </c>
      <c r="M381" s="874"/>
      <c r="N381" s="874"/>
      <c r="O381" s="47">
        <f t="shared" si="152"/>
        <v>6.8843844967681589E-2</v>
      </c>
      <c r="P381" s="170">
        <f t="shared" si="152"/>
        <v>0</v>
      </c>
      <c r="Q381" s="312">
        <f t="shared" si="152"/>
        <v>0.9</v>
      </c>
      <c r="R381" s="313">
        <f t="shared" si="152"/>
        <v>0.19977598800435103</v>
      </c>
      <c r="S381" s="839">
        <f t="shared" si="152"/>
        <v>-3</v>
      </c>
      <c r="T381" s="178">
        <f t="shared" si="152"/>
        <v>3</v>
      </c>
      <c r="U381" s="254">
        <f>MIN(U15:U380)</f>
        <v>-2.800224011995649</v>
      </c>
      <c r="V381" s="57">
        <f>MIN(V15:V380)</f>
        <v>13.664850013344589</v>
      </c>
      <c r="W381" s="58"/>
      <c r="X381" s="112" t="s">
        <v>7</v>
      </c>
      <c r="Y381" s="375">
        <f>MIN(Y15:Y380)</f>
        <v>0.73187428247808561</v>
      </c>
      <c r="Z381" s="375">
        <f>MIN(Z15:Z380)</f>
        <v>0.77513979038285807</v>
      </c>
      <c r="AA381" s="375">
        <f>MIN(AA15:AA380)</f>
        <v>0.91306064023875178</v>
      </c>
      <c r="AB381" s="202" t="s">
        <v>7</v>
      </c>
      <c r="AC381" s="47">
        <f t="shared" ref="AC381:AH381" si="153">MIN(AC15:AC380)</f>
        <v>0.13807347263440956</v>
      </c>
      <c r="AD381" s="170">
        <f t="shared" si="153"/>
        <v>3.9801041005122802E-4</v>
      </c>
      <c r="AE381" s="312">
        <f t="shared" si="153"/>
        <v>0.9</v>
      </c>
      <c r="AF381" s="313">
        <f t="shared" si="153"/>
        <v>1.5660333827129946E-3</v>
      </c>
      <c r="AG381" s="839">
        <f t="shared" si="153"/>
        <v>1</v>
      </c>
      <c r="AH381" s="178">
        <f t="shared" si="153"/>
        <v>7</v>
      </c>
      <c r="AI381" s="228">
        <f>MIN(AI15:AI380)</f>
        <v>1.8004499612134526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26.741457392247771</v>
      </c>
      <c r="C382" s="377"/>
      <c r="D382" s="377">
        <f>AVERAGE(D15:D380)</f>
        <v>28.357660518562795</v>
      </c>
      <c r="E382" s="377">
        <f>AVERAGE(E15:E380)</f>
        <v>31.475427065561718</v>
      </c>
      <c r="F382" s="378">
        <f>AVERAGE(F15:F380)</f>
        <v>31.738648436815218</v>
      </c>
      <c r="G382" s="126">
        <f>AVERAGE(G15:G380)</f>
        <v>0.71150292353981315</v>
      </c>
      <c r="H382" s="94"/>
      <c r="I382" s="378">
        <f>AVERAGE(I15:I380)</f>
        <v>40.689467072238017</v>
      </c>
      <c r="J382" s="59">
        <f>AVERAGE(J15:J380)</f>
        <v>2021.0273224043715</v>
      </c>
      <c r="K382" s="202" t="s">
        <v>8</v>
      </c>
      <c r="L382" s="147">
        <f t="shared" ref="L382:V382" si="154">AVERAGE(L15:L380)</f>
        <v>5.7109064241797521E-2</v>
      </c>
      <c r="M382" s="872"/>
      <c r="N382" s="872"/>
      <c r="O382" s="48">
        <f t="shared" si="154"/>
        <v>9.8406305590510501E-2</v>
      </c>
      <c r="P382" s="171">
        <f t="shared" si="154"/>
        <v>2.1181932754612068E-2</v>
      </c>
      <c r="Q382" s="314">
        <f t="shared" si="154"/>
        <v>0.89999999999999813</v>
      </c>
      <c r="R382" s="179">
        <f t="shared" si="154"/>
        <v>0.71162683252807213</v>
      </c>
      <c r="S382" s="839">
        <f t="shared" si="154"/>
        <v>-2.0246575342465754</v>
      </c>
      <c r="T382" s="178">
        <f t="shared" si="154"/>
        <v>3.9753424657534246</v>
      </c>
      <c r="U382" s="253">
        <f>AVERAGE(U15:U380)</f>
        <v>-1.3130307017185023</v>
      </c>
      <c r="V382" s="59">
        <f t="shared" si="154"/>
        <v>36.44580647685774</v>
      </c>
      <c r="X382" s="112" t="s">
        <v>8</v>
      </c>
      <c r="Y382" s="377">
        <f>AVERAGE(Y15:Y380)</f>
        <v>24.635415399789707</v>
      </c>
      <c r="Z382" s="377">
        <f>AVERAGE(Z15:Z380)</f>
        <v>26.123553933341054</v>
      </c>
      <c r="AA382" s="377">
        <f>AVERAGE(AA15:AA380)</f>
        <v>31.037744743537441</v>
      </c>
      <c r="AB382" s="202" t="s">
        <v>8</v>
      </c>
      <c r="AC382" s="48">
        <f t="shared" ref="AC382:AH382" si="155">AVERAGE(AC15:AC380)</f>
        <v>0.15712520290313151</v>
      </c>
      <c r="AD382" s="171">
        <f t="shared" si="155"/>
        <v>6.127958994208435E-2</v>
      </c>
      <c r="AE382" s="314">
        <f t="shared" si="155"/>
        <v>0.89999999999999813</v>
      </c>
      <c r="AF382" s="179">
        <f t="shared" si="155"/>
        <v>0.57036918879307585</v>
      </c>
      <c r="AG382" s="839">
        <f t="shared" si="155"/>
        <v>1.6219178082191781</v>
      </c>
      <c r="AH382" s="178">
        <f t="shared" si="155"/>
        <v>7.6219178082191785</v>
      </c>
      <c r="AI382" s="227">
        <f>AVERAGE(AI15:AI380)</f>
        <v>2.1922869970122565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55.904000590177944</v>
      </c>
      <c r="C383" s="379"/>
      <c r="D383" s="379">
        <f>MAX(D15:D380)</f>
        <v>59.284656186771898</v>
      </c>
      <c r="E383" s="379">
        <f>MAX(E15:E380)</f>
        <v>66.003539638848778</v>
      </c>
      <c r="F383" s="380">
        <f>MAX(F15:F380)</f>
        <v>66.004608536540786</v>
      </c>
      <c r="G383" s="127">
        <f>+MAX(G15:G380)</f>
        <v>1.0377981106491905</v>
      </c>
      <c r="H383" s="94"/>
      <c r="I383" s="380">
        <f>MAX(I15:I380)</f>
        <v>66.004608536540786</v>
      </c>
      <c r="J383" s="60">
        <f>MAX(J15:J380)</f>
        <v>2025</v>
      </c>
      <c r="K383" s="202" t="s">
        <v>9</v>
      </c>
      <c r="L383" s="148">
        <f t="shared" ref="L383:T383" si="156">MAX(L15:L380)</f>
        <v>6.1097013760201824E-2</v>
      </c>
      <c r="M383" s="875"/>
      <c r="N383" s="875"/>
      <c r="O383" s="49">
        <f t="shared" si="156"/>
        <v>0.11863093687909014</v>
      </c>
      <c r="P383" s="172">
        <f t="shared" si="156"/>
        <v>0.17771409856716716</v>
      </c>
      <c r="Q383" s="315">
        <f t="shared" si="156"/>
        <v>0.9</v>
      </c>
      <c r="R383" s="316">
        <f t="shared" si="156"/>
        <v>0.86479252665583406</v>
      </c>
      <c r="S383" s="840">
        <f t="shared" si="156"/>
        <v>1</v>
      </c>
      <c r="T383" s="235">
        <f t="shared" si="156"/>
        <v>7</v>
      </c>
      <c r="U383" s="255">
        <f>MAX(U15:U380)</f>
        <v>1.8340552660342</v>
      </c>
      <c r="V383" s="60">
        <f>MAX(V15:V380)</f>
        <v>54.953458049742466</v>
      </c>
      <c r="X383" s="112" t="s">
        <v>9</v>
      </c>
      <c r="Y383" s="379">
        <f>MAX(Y15:Y380)</f>
        <v>52.108937149838248</v>
      </c>
      <c r="Z383" s="379">
        <f>MAX(Z15:Z380)</f>
        <v>55.26009571002033</v>
      </c>
      <c r="AA383" s="379">
        <f>MAX(AA15:AA380)</f>
        <v>65.974952471193205</v>
      </c>
      <c r="AB383" s="202" t="s">
        <v>9</v>
      </c>
      <c r="AC383" s="49">
        <f t="shared" ref="AC383:AH383" si="157">MAX(AC15:AC380)</f>
        <v>0.16844371592483245</v>
      </c>
      <c r="AD383" s="172">
        <f t="shared" si="157"/>
        <v>0.23207342402237888</v>
      </c>
      <c r="AE383" s="315">
        <f t="shared" si="157"/>
        <v>0.9</v>
      </c>
      <c r="AF383" s="316">
        <f t="shared" si="157"/>
        <v>0.9957062973084978</v>
      </c>
      <c r="AG383" s="840">
        <f t="shared" si="157"/>
        <v>2</v>
      </c>
      <c r="AH383" s="235">
        <f t="shared" si="157"/>
        <v>8</v>
      </c>
      <c r="AI383" s="229">
        <f>MAX(AI15:AI380)</f>
        <v>2.500448178962813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7"/>
      <c r="AK384" s="857"/>
      <c r="AL384" s="857"/>
      <c r="AM384" s="857"/>
      <c r="AN384" s="406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5" priority="3" stopIfTrue="1" operator="lessThan">
      <formula>0.01</formula>
    </cfRule>
    <cfRule type="cellIs" dxfId="4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3"/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6">
        <f>'2025'!An+1</f>
        <v>2026</v>
      </c>
      <c r="K1" s="1267"/>
      <c r="L1" s="113" t="str">
        <f>"Calcul pertes et enveloppes en "&amp;TEXT(An,0)</f>
        <v>Calcul pertes et enveloppes en 2026</v>
      </c>
      <c r="M1" s="245"/>
      <c r="N1" s="245"/>
      <c r="V1" s="460"/>
      <c r="W1" s="458"/>
      <c r="X1" s="489" t="str">
        <f>"Prévision sans nettoyage ni taille végétation en "&amp;TEXT(An,0)</f>
        <v>Prévision sans nettoyage ni taille végétation en 2026</v>
      </c>
      <c r="Y1" s="490"/>
      <c r="Z1" s="491"/>
      <c r="AA1" s="492"/>
      <c r="AB1" s="493"/>
      <c r="AC1" s="494"/>
      <c r="AD1" s="494"/>
      <c r="AE1" s="494"/>
      <c r="AF1" s="494"/>
      <c r="AG1" s="494"/>
      <c r="AH1" s="494"/>
      <c r="AI1" s="494"/>
      <c r="AL1" s="856" t="s">
        <v>270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6" t="s">
        <v>24</v>
      </c>
      <c r="P2" s="18"/>
      <c r="Q2" s="812"/>
      <c r="R2" s="18"/>
      <c r="S2" s="497"/>
      <c r="T2" s="497"/>
      <c r="U2" s="296" t="s">
        <v>79</v>
      </c>
      <c r="V2" s="498">
        <f>PertePVan</f>
        <v>8.5000000000000006E-3</v>
      </c>
      <c r="W2" s="452" t="s">
        <v>14</v>
      </c>
      <c r="X2" s="499"/>
      <c r="Y2" s="500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862" t="s">
        <v>262</v>
      </c>
      <c r="AK2" s="862" t="s">
        <v>264</v>
      </c>
      <c r="AL2" s="862" t="s">
        <v>263</v>
      </c>
      <c r="AM2" s="862" t="s">
        <v>265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6">
        <f>Tmaj</f>
        <v>44926</v>
      </c>
      <c r="F3" s="1276"/>
      <c r="G3" s="8"/>
      <c r="H3" s="26"/>
      <c r="I3" s="6"/>
      <c r="J3" s="34"/>
      <c r="K3" s="193"/>
      <c r="L3" s="54"/>
      <c r="M3" s="34"/>
      <c r="N3" s="34"/>
      <c r="O3" s="503"/>
      <c r="P3" s="34"/>
      <c r="Q3" s="503"/>
      <c r="R3" s="34"/>
      <c r="S3" s="515"/>
      <c r="T3" s="452"/>
      <c r="U3" s="211" t="s">
        <v>165</v>
      </c>
      <c r="V3" s="637">
        <f>Salim_i</f>
        <v>0.21</v>
      </c>
      <c r="W3" s="452"/>
      <c r="X3" s="504" t="s">
        <v>96</v>
      </c>
      <c r="Y3" s="505"/>
      <c r="Z3" s="506"/>
      <c r="AA3" s="500"/>
      <c r="AB3" s="500"/>
      <c r="AC3" s="430"/>
      <c r="AD3" s="430"/>
      <c r="AE3" s="430"/>
      <c r="AF3" s="430"/>
      <c r="AG3" s="430"/>
      <c r="AH3" s="430"/>
      <c r="AI3" s="430"/>
      <c r="AJ3" s="860">
        <f>AL11-AJ11</f>
        <v>101.81177349331824</v>
      </c>
      <c r="AK3" s="861">
        <f>AM11-AK11</f>
        <v>0</v>
      </c>
      <c r="AL3" s="860"/>
      <c r="AM3" s="861"/>
      <c r="AN3" s="859" t="s">
        <v>271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6" t="str">
        <f>Station</f>
        <v>Crèche Ayguesvives</v>
      </c>
      <c r="F4" s="1217"/>
      <c r="G4" s="1217"/>
      <c r="H4" s="1217"/>
      <c r="I4" s="1218"/>
      <c r="J4" s="158"/>
      <c r="K4" s="193"/>
      <c r="L4" s="508"/>
      <c r="M4" s="507"/>
      <c r="N4" s="507"/>
      <c r="O4" s="430"/>
      <c r="P4" s="34"/>
      <c r="Q4" s="507"/>
      <c r="R4" s="34"/>
      <c r="S4" s="497"/>
      <c r="T4" s="411"/>
      <c r="U4" s="297" t="s">
        <v>82</v>
      </c>
      <c r="V4" s="636">
        <f>Persistant</f>
        <v>1</v>
      </c>
      <c r="W4" s="510" t="s">
        <v>54</v>
      </c>
      <c r="X4" s="511"/>
      <c r="Y4" s="512"/>
      <c r="Z4" s="513" t="s">
        <v>27</v>
      </c>
      <c r="AA4" s="514" t="s">
        <v>28</v>
      </c>
      <c r="AB4" s="507"/>
      <c r="AC4" s="430"/>
      <c r="AD4" s="430"/>
      <c r="AE4" s="430"/>
      <c r="AF4" s="430"/>
      <c r="AG4" s="430"/>
      <c r="AH4" s="430"/>
      <c r="AI4" s="430"/>
      <c r="AJ4" s="860">
        <f>AL12-AJ12</f>
        <v>807.8852669901853</v>
      </c>
      <c r="AK4" s="861">
        <f>AM12-AK12</f>
        <v>236.8267189239024</v>
      </c>
      <c r="AL4" s="860"/>
      <c r="AM4" s="861"/>
      <c r="AN4" s="859" t="s">
        <v>272</v>
      </c>
    </row>
    <row r="5" spans="1:40" s="35" customFormat="1" ht="16.5" customHeight="1" x14ac:dyDescent="0.25">
      <c r="D5" s="161" t="s">
        <v>20</v>
      </c>
      <c r="E5" s="1277">
        <f>T0</f>
        <v>43313</v>
      </c>
      <c r="F5" s="1277"/>
      <c r="G5" s="34"/>
      <c r="H5" s="158"/>
      <c r="I5" s="158"/>
      <c r="K5" s="194"/>
      <c r="L5" s="508"/>
      <c r="M5" s="507"/>
      <c r="N5" s="507"/>
      <c r="O5" s="19"/>
      <c r="R5" s="39"/>
      <c r="S5" s="180"/>
      <c r="T5" s="180"/>
      <c r="U5" s="41"/>
      <c r="V5" s="509"/>
      <c r="W5" s="510"/>
      <c r="X5" s="511"/>
      <c r="Y5" s="512"/>
      <c r="Z5" s="238">
        <f>Wh_Psa_s-Wh_Psa</f>
        <v>910.13454961487855</v>
      </c>
      <c r="AA5" s="239">
        <f>Wh_Pvg_s-Wh_Pvg</f>
        <v>236.8267189239024</v>
      </c>
      <c r="AB5" s="516" t="s">
        <v>6</v>
      </c>
      <c r="AC5" s="510"/>
      <c r="AD5" s="510"/>
      <c r="AE5" s="510"/>
      <c r="AF5" s="510"/>
      <c r="AG5" s="510"/>
      <c r="AH5" s="510"/>
      <c r="AI5" s="510"/>
      <c r="AJ5" s="518">
        <f>SUMIF(AJ15:AJ380,"VRAI",Wh)</f>
        <v>2452.9859114462656</v>
      </c>
      <c r="AK5" s="518">
        <f>SUMIF(AK15:AK380,"VRAI",Wh)</f>
        <v>0</v>
      </c>
      <c r="AL5" s="518">
        <f>SUMIF(AJ15:AJ380,"VRAI",Wh_s)</f>
        <v>2236.4873261884595</v>
      </c>
      <c r="AM5" s="518">
        <f>SUMIF(AK15:AK380,"VRAI",Wh_s)</f>
        <v>0</v>
      </c>
      <c r="AN5" s="859" t="s">
        <v>268</v>
      </c>
    </row>
    <row r="6" spans="1:40" s="6" customFormat="1" ht="16.5" customHeight="1" x14ac:dyDescent="0.2">
      <c r="B6" s="8"/>
      <c r="C6" s="8"/>
      <c r="D6" s="161" t="s">
        <v>11</v>
      </c>
      <c r="E6" s="1278">
        <f>Tservice</f>
        <v>43354</v>
      </c>
      <c r="F6" s="1278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2"/>
      <c r="W6" s="464"/>
      <c r="X6" s="499"/>
      <c r="Y6" s="500"/>
      <c r="Z6" s="464"/>
      <c r="AA6" s="464"/>
      <c r="AB6" s="518"/>
      <c r="AC6" s="464"/>
      <c r="AD6" s="464"/>
      <c r="AE6" s="464"/>
      <c r="AF6" s="464"/>
      <c r="AG6" s="464"/>
      <c r="AH6" s="464"/>
      <c r="AI6" s="464"/>
      <c r="AJ6" s="518">
        <f>SUMIF(AJ15:AJ380,"FAUX",Wh)</f>
        <v>7684.0721736675505</v>
      </c>
      <c r="AK6" s="518">
        <f>SUMIF(AK15:AK380,"FAUX",Wh)</f>
        <v>10137.058085113817</v>
      </c>
      <c r="AL6" s="518">
        <f>SUMIF(AJ15:AJ380,"FAUX",Wh_s)</f>
        <v>6709.2621840693118</v>
      </c>
      <c r="AM6" s="518">
        <f>SUMIF(AK15:AK380,"FAUX",Wh_s)</f>
        <v>8945.7495102577668</v>
      </c>
      <c r="AN6" s="859" t="s">
        <v>269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AND(YEAR(Tnet)=An,Resal_2026="I")</f>
        <v>0</v>
      </c>
      <c r="F7" s="322" t="b">
        <f>YEAR(Tnet)=An</f>
        <v>1</v>
      </c>
      <c r="J7" s="180"/>
      <c r="K7" s="193"/>
      <c r="L7" s="191" t="s">
        <v>81</v>
      </c>
      <c r="M7" s="870"/>
      <c r="N7" s="870"/>
      <c r="O7" s="18"/>
      <c r="P7" s="118"/>
      <c r="Q7" s="118"/>
      <c r="R7" s="141"/>
      <c r="S7" s="141"/>
      <c r="T7" s="141"/>
      <c r="U7" s="141"/>
      <c r="V7" s="430"/>
      <c r="W7" s="520"/>
      <c r="X7" s="521"/>
      <c r="Y7" s="250"/>
      <c r="Z7" s="520"/>
      <c r="AA7" s="520"/>
      <c r="AB7" s="520"/>
      <c r="AC7" s="520"/>
      <c r="AD7" s="250"/>
      <c r="AE7" s="250"/>
      <c r="AF7" s="495"/>
      <c r="AG7" s="495"/>
      <c r="AH7" s="495"/>
      <c r="AI7" s="520"/>
      <c r="AJ7" s="518">
        <f>SUMIF(AJ15:AJ380,"VRAI",Wh_pvt)</f>
        <v>2616.9345161791757</v>
      </c>
      <c r="AK7" s="518">
        <f>SUMIF(AK15:AK380,"VRAI",Wh_sa)</f>
        <v>0</v>
      </c>
      <c r="AL7" s="518">
        <f>SUMIF(AJ15:AJ380,"VRAI",Wh_pvt_s)</f>
        <v>2386.0450228632217</v>
      </c>
      <c r="AM7" s="518">
        <f>SUMIF(AK15:AK380,"VRAI",Wh_sa_s)</f>
        <v>0</v>
      </c>
      <c r="AN7" s="859" t="s">
        <v>260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AND(YEAR(Tnet)=An,Resal_2026&lt;&gt;"I")</f>
        <v>1</v>
      </c>
      <c r="F8" s="323" t="b">
        <f>YEAR(Ttai)=An</f>
        <v>0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20"/>
      <c r="W8" s="406"/>
      <c r="X8" s="1264" t="s">
        <v>102</v>
      </c>
      <c r="Y8" s="1265"/>
      <c r="Z8" s="500"/>
      <c r="AA8" s="500"/>
      <c r="AB8" s="464"/>
      <c r="AC8" s="522" t="s">
        <v>61</v>
      </c>
      <c r="AD8" s="464"/>
      <c r="AE8" s="464"/>
      <c r="AF8" s="464"/>
      <c r="AG8" s="464"/>
      <c r="AH8" s="464"/>
      <c r="AI8" s="464"/>
      <c r="AJ8" s="518">
        <f>SUMIF(AJ15:AJ380,"FAUX",Wh_pvt)</f>
        <v>8224.8148202482189</v>
      </c>
      <c r="AK8" s="518">
        <f>SUMIF(AK15:AK380,"FAUX",Wh_sa)</f>
        <v>11591.540419649558</v>
      </c>
      <c r="AL8" s="518">
        <f>SUMIF(AJ15:AJ380,"FAUX",Wh_pvt_s)</f>
        <v>7181.1598741473254</v>
      </c>
      <c r="AM8" s="518">
        <f>SUMIF(AK15:AK380,"FAUX",Wh_sa_s)</f>
        <v>11290.324034552921</v>
      </c>
      <c r="AN8" s="859" t="s">
        <v>261</v>
      </c>
    </row>
    <row r="9" spans="1:40" s="19" customFormat="1" ht="15" customHeight="1" x14ac:dyDescent="0.25">
      <c r="A9" s="34"/>
      <c r="B9" s="212"/>
      <c r="C9" s="212"/>
      <c r="D9" s="186">
        <f>SUM(D$15:D$380)</f>
        <v>10841.749336427394</v>
      </c>
      <c r="E9" s="186">
        <f>SUM(E$15:E$380)</f>
        <v>11591.540419649558</v>
      </c>
      <c r="F9" s="186">
        <f>SUM(F$15:F$380)</f>
        <v>11613.909421543274</v>
      </c>
      <c r="H9" s="1268">
        <f>+SUM(Wh)</f>
        <v>10137.058085113817</v>
      </c>
      <c r="I9" s="1269"/>
      <c r="J9" s="1270"/>
      <c r="K9" s="193"/>
      <c r="L9" s="234"/>
      <c r="M9" s="234"/>
      <c r="N9" s="234"/>
      <c r="O9" s="225">
        <f>Tnet_2026</f>
        <v>46142</v>
      </c>
      <c r="P9" s="246" t="s">
        <v>91</v>
      </c>
      <c r="Q9" s="247"/>
      <c r="R9" s="247"/>
      <c r="S9" s="247"/>
      <c r="T9" s="247"/>
      <c r="U9" s="248"/>
      <c r="V9" s="464"/>
      <c r="W9" s="523"/>
      <c r="X9" s="1262">
        <f>+SUM(Wh_s)</f>
        <v>8945.7495102577668</v>
      </c>
      <c r="Y9" s="1263"/>
      <c r="Z9" s="518">
        <f>SUM(Z$15:Z$380)</f>
        <v>9567.2048970105388</v>
      </c>
      <c r="AA9" s="518">
        <f>SUM(AA$15:AA$380)</f>
        <v>11290.324034552921</v>
      </c>
      <c r="AB9" s="518">
        <f>F9</f>
        <v>11613.909421543274</v>
      </c>
      <c r="AC9" s="327">
        <f>IF(An_Tnet,Tnet,'2025'!Tnet_s)</f>
        <v>46142</v>
      </c>
      <c r="AD9" s="318" t="s">
        <v>91</v>
      </c>
      <c r="AE9" s="318"/>
      <c r="AF9" s="318"/>
      <c r="AG9" s="318"/>
      <c r="AH9" s="318"/>
      <c r="AI9" s="319"/>
      <c r="AJ9" s="518">
        <f>SUMIF(AJ15:AJ380,"VRAI",Wh_sa)</f>
        <v>2995.9022422472103</v>
      </c>
      <c r="AK9" s="518">
        <f>SUMIF(AK15:AK380,"VRAI",Wh_hp)</f>
        <v>0</v>
      </c>
      <c r="AL9" s="518">
        <f>SUMIF(AJ15:AJ380,"VRAI",Wh_sa_s)</f>
        <v>2873.6454063244555</v>
      </c>
      <c r="AM9" s="518">
        <f>SUMIF(AK15:AK380,"VRAI",Wh_hp)</f>
        <v>0</v>
      </c>
      <c r="AN9" s="859" t="s">
        <v>266</v>
      </c>
    </row>
    <row r="10" spans="1:40" s="19" customFormat="1" ht="15" customHeight="1" x14ac:dyDescent="0.25">
      <c r="A10" s="208"/>
      <c r="B10" s="209"/>
      <c r="C10" s="866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IF(Inflex,'2025'!Resal+('2025'!Salim-'2025'!Resal)*(1-EXP(-(Tnet-'2025'!Tnet)/('2025'!Tau_j))),IF(An_Tnet,Resal_2026,'2025'!Resal))</f>
        <v>2.1999999999999999E-2</v>
      </c>
      <c r="P10" s="423" t="b">
        <f>NOT(Acti_tai)</f>
        <v>1</v>
      </c>
      <c r="Q10" s="259">
        <f>IF(Acti_tai,'2025'!PousD,Dens-Dd)</f>
        <v>0</v>
      </c>
      <c r="R10" s="276"/>
      <c r="S10" s="277"/>
      <c r="T10" s="278"/>
      <c r="U10" s="268">
        <f>IF(Acti_tai,'2025'!PousH,Hdtf-Hdd)</f>
        <v>0.7</v>
      </c>
      <c r="V10" s="430"/>
      <c r="W10" s="507"/>
      <c r="X10" s="508"/>
      <c r="Y10" s="524" t="s">
        <v>26</v>
      </c>
      <c r="Z10" s="514" t="s">
        <v>27</v>
      </c>
      <c r="AA10" s="514" t="s">
        <v>28</v>
      </c>
      <c r="AB10" s="430"/>
      <c r="AC10" s="320">
        <f>IF(OR(Inflex,GainD),'2025'!Resal_s+('2025'!Salim-'2025'!Resal_s)*(1-EXP(('2025'!Tnet_s-Tnet)/('2025'!Tau_j))),IF(Acti_net,'2025'!Resal+('2025'!Salim-'2025'!Resal)*(1-EXP(('2025'!Tnet-Tnet)/'2025'!Tau_j)),'2025'!Resal_s))</f>
        <v>0.13103286510479015</v>
      </c>
      <c r="AD10" s="430"/>
      <c r="AE10" s="430"/>
      <c r="AF10" s="262"/>
      <c r="AG10" s="263"/>
      <c r="AH10" s="264"/>
      <c r="AI10" s="475"/>
      <c r="AJ10" s="518">
        <f>SUMIF(AJ15:AJ380,"FAUX",Wh_sa)</f>
        <v>8595.6381774023557</v>
      </c>
      <c r="AK10" s="518">
        <f>SUMIF(AK15:AK380,"FAUX",Wh_hp)</f>
        <v>11613.909421543274</v>
      </c>
      <c r="AL10" s="518">
        <f>SUMIF(AJ15:AJ380,"FAUX",Wh_sa_s)</f>
        <v>8416.678628228472</v>
      </c>
      <c r="AM10" s="518">
        <f>SUMIF(AK15:AK380,"FAUX",Wh_hp)</f>
        <v>11613.909421543274</v>
      </c>
      <c r="AN10" s="859" t="s">
        <v>267</v>
      </c>
    </row>
    <row r="11" spans="1:40" s="40" customFormat="1" ht="15" customHeight="1" x14ac:dyDescent="0.25">
      <c r="A11" s="218"/>
      <c r="B11" s="219" t="s">
        <v>43</v>
      </c>
      <c r="C11" s="867"/>
      <c r="D11" s="50">
        <f>D$9-Prod_an</f>
        <v>704.6912513135776</v>
      </c>
      <c r="E11" s="51">
        <f>(E$9-D$9)*Prod_an/D$9</f>
        <v>701.05621578851992</v>
      </c>
      <c r="F11" s="188">
        <f>(F$9-E$9)*Prod_an/E$9</f>
        <v>19.562186154156937</v>
      </c>
      <c r="G11" s="187" t="s">
        <v>6</v>
      </c>
      <c r="K11" s="196"/>
      <c r="L11" s="213">
        <f>Tvie_2026</f>
        <v>43313</v>
      </c>
      <c r="M11" s="871"/>
      <c r="N11" s="871"/>
      <c r="O11" s="204">
        <f>IF(An_Tnet,Salim_2026,'2025'!Salim)</f>
        <v>0.22</v>
      </c>
      <c r="P11" s="258">
        <f>Ttai_2026</f>
        <v>45747</v>
      </c>
      <c r="Q11" s="274">
        <f>Dens_2026</f>
        <v>0.9</v>
      </c>
      <c r="R11" s="279"/>
      <c r="S11" s="232"/>
      <c r="T11" s="232"/>
      <c r="U11" s="268">
        <f>Htf_2026</f>
        <v>-1.435207473344166</v>
      </c>
      <c r="V11" s="430"/>
      <c r="W11" s="521"/>
      <c r="X11" s="528" t="s">
        <v>43</v>
      </c>
      <c r="Y11" s="50">
        <f>Z$9-Prod_an_s</f>
        <v>621.45538675277203</v>
      </c>
      <c r="Z11" s="51">
        <f>(AA$9-Z$9)*Prod_an_s/Z$9</f>
        <v>1611.1907654033985</v>
      </c>
      <c r="AA11" s="188">
        <f>(AB$9-AA$9)*Prod_an_s/AA$9</f>
        <v>256.38890507805934</v>
      </c>
      <c r="AB11" s="529" t="s">
        <v>6</v>
      </c>
      <c r="AC11" s="327"/>
      <c r="AD11" s="430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60">
        <f>IF($AJ7=0,0,($AJ9-$AJ7)*$AJ5/$AJ7)</f>
        <v>355.22573728553652</v>
      </c>
      <c r="AK11" s="861">
        <f>IF($AK7=0,0,($AK9-$AK7)*$AK5/$AK7)</f>
        <v>0</v>
      </c>
      <c r="AL11" s="860">
        <f>IF($AL7=0,0,($AL9-$AL7)*$AL5/$AL7)</f>
        <v>457.03751077885477</v>
      </c>
      <c r="AM11" s="861">
        <f>IF($AM7=0,0,($AM9-$AM7)*$AM5/$AM7)</f>
        <v>0</v>
      </c>
      <c r="AN11" s="859" t="s">
        <v>273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3.7798110649190475E-2</v>
      </c>
      <c r="K12" s="193"/>
      <c r="L12" s="214">
        <f>Pspv_2026</f>
        <v>0</v>
      </c>
      <c r="M12" s="214"/>
      <c r="N12" s="214"/>
      <c r="O12" s="207">
        <f>IF(An_Tnet,Tau_2026*365,'2025'!Tau_j)</f>
        <v>912.5</v>
      </c>
      <c r="P12" s="283">
        <f>INDEX(Croivg,MIN(MAX(Ttai-$A$15,0)+1,366))</f>
        <v>2.3909964587625958E-6</v>
      </c>
      <c r="Q12" s="282">
        <f>'2025'!Df</f>
        <v>0.9</v>
      </c>
      <c r="R12" s="280"/>
      <c r="S12" s="281"/>
      <c r="T12" s="281"/>
      <c r="U12" s="269">
        <f>'2025'!Hdf</f>
        <v>-2.1352074733441659</v>
      </c>
      <c r="V12" s="40"/>
      <c r="W12" s="34"/>
      <c r="X12" s="54"/>
      <c r="Y12" s="34"/>
      <c r="AB12" s="321" t="s">
        <v>106</v>
      </c>
      <c r="AC12" s="320" t="b">
        <f>NOT(An_Tnet)</f>
        <v>0</v>
      </c>
      <c r="AE12" s="298">
        <f>'2025'!Df_s</f>
        <v>0.9</v>
      </c>
      <c r="AF12" s="205"/>
      <c r="AG12" s="205"/>
      <c r="AH12" s="205"/>
      <c r="AI12" s="299">
        <f>'2025'!Hdf_s</f>
        <v>2.500448178962813</v>
      </c>
      <c r="AJ12" s="860">
        <f>IF($AJ8=0,0,($AJ10-$AJ8)*$AJ6/$AJ8)</f>
        <v>346.44347651927956</v>
      </c>
      <c r="AK12" s="861">
        <f>IF($AK8=0,0,($AK10-$AK8)*$AK6/$AK8)</f>
        <v>19.562186154156937</v>
      </c>
      <c r="AL12" s="860">
        <f>IF($AL8=0,0,($AL10-$AL8)*$AL6/$AL8)</f>
        <v>1154.3287435094649</v>
      </c>
      <c r="AM12" s="861">
        <f>IF($AM8=0,0,($AM10-$AM8)*$AM6/$AM8)</f>
        <v>256.38890507805934</v>
      </c>
      <c r="AN12" s="859" t="s">
        <v>274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205</v>
      </c>
      <c r="V13" s="124" t="s">
        <v>41</v>
      </c>
      <c r="W13" s="864" t="s">
        <v>46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209</v>
      </c>
      <c r="AJ13" s="73">
        <f>+AJ11+AJ12</f>
        <v>701.66921380481608</v>
      </c>
      <c r="AK13" s="73">
        <f>+AK11+AK12</f>
        <v>19.562186154156937</v>
      </c>
      <c r="AL13" s="73">
        <f>+AL11+AL12</f>
        <v>1611.3662542883196</v>
      </c>
      <c r="AM13" s="73">
        <f>+AM11+AM12</f>
        <v>256.38890507805934</v>
      </c>
      <c r="AN13" s="858" t="s">
        <v>275</v>
      </c>
    </row>
    <row r="14" spans="1:40" s="46" customFormat="1" ht="40.5" customHeight="1" thickBot="1" x14ac:dyDescent="0.25">
      <c r="A14" s="45" t="s">
        <v>2</v>
      </c>
      <c r="B14" s="418" t="s">
        <v>190</v>
      </c>
      <c r="C14" s="418"/>
      <c r="D14" s="53" t="s">
        <v>30</v>
      </c>
      <c r="E14" s="162" t="s">
        <v>29</v>
      </c>
      <c r="F14" s="162" t="str">
        <f>"Hors pertes "&amp; TEXT(An,0)</f>
        <v>Hors pertes 2026</v>
      </c>
      <c r="G14" s="107" t="s">
        <v>42</v>
      </c>
      <c r="H14" s="415" t="s">
        <v>117</v>
      </c>
      <c r="I14" s="417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206</v>
      </c>
      <c r="S14" s="174" t="s">
        <v>207</v>
      </c>
      <c r="T14" s="174" t="s">
        <v>208</v>
      </c>
      <c r="U14" s="108" t="s">
        <v>204</v>
      </c>
      <c r="V14" s="45" t="str">
        <f>"Enveloppe "&amp; TEXT(An,0)</f>
        <v>Enveloppe 2026</v>
      </c>
      <c r="W14" s="374" t="s">
        <v>116</v>
      </c>
      <c r="X14" s="260" t="s">
        <v>2</v>
      </c>
      <c r="Y14" s="107" t="str">
        <f>"Wh / Jour "&amp; TEXT(An,0)</f>
        <v>Wh / Jour 2026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206</v>
      </c>
      <c r="AG14" s="174" t="s">
        <v>207</v>
      </c>
      <c r="AH14" s="174" t="s">
        <v>208</v>
      </c>
      <c r="AI14" s="108" t="s">
        <v>211</v>
      </c>
      <c r="AJ14" s="705" t="s">
        <v>258</v>
      </c>
      <c r="AK14" s="705" t="s">
        <v>259</v>
      </c>
      <c r="AL14" s="267"/>
      <c r="AM14" s="267"/>
      <c r="AN14" s="75"/>
    </row>
    <row r="15" spans="1:40" s="6" customFormat="1" ht="11.25" x14ac:dyDescent="0.2">
      <c r="A15" s="129">
        <f>DATE(An,1,1)</f>
        <v>46023</v>
      </c>
      <c r="B15" s="412">
        <f>'2025'!Wh/'2025'!Env_an*'2026'!Env_an</f>
        <v>15.657802013036394</v>
      </c>
      <c r="C15" s="868"/>
      <c r="D15" s="395">
        <f t="shared" ref="D15:D78" si="0">Wh/(1-Ppv)</f>
        <v>16.677086590333339</v>
      </c>
      <c r="E15" s="402">
        <f t="shared" ref="E15:E79" si="1">Wh_pvt/(1-Psa)</f>
        <v>18.924033830371204</v>
      </c>
      <c r="F15" s="402">
        <f t="shared" ref="F15:F78" si="2">Wh_sa/(1-Pvg*MEDIAN((-Sdif+Wh/Env_an)/Csdif,0,1))</f>
        <v>19.096733183956804</v>
      </c>
      <c r="G15" s="123">
        <f>+Wh_hp/MaxiM</f>
        <v>1.0132092907872867</v>
      </c>
      <c r="H15" s="416" t="b">
        <f>Wh_hp&gt;='2025'!Maxi_hp</f>
        <v>1</v>
      </c>
      <c r="I15" s="398">
        <f>IF(H15,Wh_hp,'2025'!Maxi_hp)</f>
        <v>19.096733183956804</v>
      </c>
      <c r="J15" s="84">
        <f>IF(H15,An,'2025'!An_max)</f>
        <v>2026</v>
      </c>
      <c r="K15" s="199">
        <f t="shared" ref="K15:K78" si="3">t</f>
        <v>46023</v>
      </c>
      <c r="L15" s="146">
        <f>IF(t&lt;Tvie,1-EXP((T0-t)*PertePVj)+'2025'!Pspv,1-EXP((T0-t)*PertePVj)+Pspv)</f>
        <v>6.1118863404340695E-2</v>
      </c>
      <c r="M15" s="872"/>
      <c r="N15" s="872"/>
      <c r="O15" s="48">
        <f>IF(t&lt;Tnet,'2025'!Resal+('2025'!Salim-'2025'!Resal)*(1-EXP(('2025'!Tnet-t)/('2025'!Tau_j))),Resal+(Salim-Resal)*(1-EXP((Tnet-t)/(Tau_j))))*Salcycl</f>
        <v>0.11873511008164322</v>
      </c>
      <c r="P15" s="304">
        <f>(INDEX(Models!$BJ15:$BT15,,T15)*(1-R15)+INDEX(Models!$BJ15:$BT15,,T15+1)*R15-ERP_i)*Q15*Ramure*Pc/MaxiM</f>
        <v>9.0433977331099234E-3</v>
      </c>
      <c r="Q15" s="305">
        <f t="shared" ref="Q15:Q78" si="4">IF(OR(t&lt;Ttai,Notai),Dd+PousD*Croivg,Dens+PousD*(Croivg-Croi_tai))</f>
        <v>0.9</v>
      </c>
      <c r="R15" s="306">
        <f t="shared" ref="R15:R78" si="5">(Hp_vg-S15)/(INDEX(Echel_vg,T15+1)-S15)</f>
        <v>0.86479420035335508</v>
      </c>
      <c r="S15" s="838">
        <f t="shared" ref="S15:S78" si="6">INDEX(Echel_vg,T15)</f>
        <v>-3</v>
      </c>
      <c r="T15" s="251">
        <f t="shared" ref="T15:T78" si="7">MIN(MATCH(Hp_vg,Echel_vg),10)</f>
        <v>3</v>
      </c>
      <c r="U15" s="253">
        <f t="shared" ref="U15:U78" si="8">IF(OR(t&lt;Ttai,Notai),Hdd+PousH*Croivg,Hdtf+PousH*(Croivg-Croi_tai))</f>
        <v>-2.1352057996466449</v>
      </c>
      <c r="V15" s="384">
        <f t="shared" ref="V15:V78" si="9">MaxiM*(1-Ppv)*(1-Pvg)*(1-Psa)</f>
        <v>15.453669992376328</v>
      </c>
      <c r="W15" s="404">
        <f t="shared" ref="W15:W78" si="10">Wh*(A15&gt;Tmaj)</f>
        <v>15.657802013036394</v>
      </c>
      <c r="X15" s="156">
        <f t="shared" ref="X15:X78" si="11">t</f>
        <v>46023</v>
      </c>
      <c r="Y15" s="387">
        <f t="shared" ref="Y15:Y78" si="12">Wh_pvt_s*(1-Ppv)</f>
        <v>11.662893437899198</v>
      </c>
      <c r="Z15" s="387">
        <f>Wh_sa_s*(1-Psa_s)</f>
        <v>12.422119247371743</v>
      </c>
      <c r="AA15" s="388">
        <f t="shared" ref="AA15:AA78" si="13">Wh_hp*(1-Pvg_s*MEDIAN((-Sdif+Wh/Env_an)/Csdif,0,1))</f>
        <v>14.879304160953287</v>
      </c>
      <c r="AB15" s="199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0.16514111728623448</v>
      </c>
      <c r="AD15" s="233">
        <f>(INDEX(Models!$BJ15:$BT15,,AH15)*(1-AF15)+INDEX(Models!$BJ15:$BT15,,AH15+1)*AF15-ERP_i)*AE15*Ramure*Pc/MaxiM</f>
        <v>0.2208455751241572</v>
      </c>
      <c r="AE15" s="305">
        <f t="shared" ref="AE15:AE78" si="15">IF(OR(t&lt;Ttai,Notai),Dd_s+PousD*Croivg,Dens_s+PousD*(Croivg-Croi_tai))</f>
        <v>0.9</v>
      </c>
      <c r="AF15" s="306">
        <f>(Hp_vg_s-AG15)/(INDEX(Echel_vg,AH15+1)-AG15)</f>
        <v>0.50044985266033404</v>
      </c>
      <c r="AG15" s="838">
        <f>INDEX(Echel_vg,AH15)</f>
        <v>2</v>
      </c>
      <c r="AH15" s="251">
        <f t="shared" ref="AH15:AH78" si="16">MIN(MATCH(Hp_vg_s,Echel_vg),10)</f>
        <v>8</v>
      </c>
      <c r="AI15" s="226">
        <f t="shared" ref="AI15:AI78" si="17">IF(OR(t&lt;Ttai,Notai),Hdd_s+PousH*Croivg,Hdtai_s+PousH*(Croivg-Croi_tai))</f>
        <v>2.500449852660334</v>
      </c>
      <c r="AJ15" s="267" t="b">
        <f t="shared" ref="AJ15:AJ78" si="18">t&lt;Tnet</f>
        <v>1</v>
      </c>
      <c r="AK15" s="267" t="b">
        <f t="shared" ref="AK15:AK78" si="19">t&lt;Ttai</f>
        <v>0</v>
      </c>
      <c r="AL15" s="267"/>
      <c r="AM15" s="267"/>
      <c r="AN15" s="75"/>
    </row>
    <row r="16" spans="1:40" s="6" customFormat="1" ht="11.25" x14ac:dyDescent="0.2">
      <c r="A16" s="56">
        <f t="shared" ref="A16:A79" si="20">A15+1</f>
        <v>46024</v>
      </c>
      <c r="B16" s="413">
        <f>'2025'!Wh/'2025'!Env_an*'2026'!Env_an</f>
        <v>13.398890444079239</v>
      </c>
      <c r="C16" s="868"/>
      <c r="D16" s="395">
        <f t="shared" si="0"/>
        <v>14.271457526216555</v>
      </c>
      <c r="E16" s="387">
        <f t="shared" si="1"/>
        <v>16.196207846365851</v>
      </c>
      <c r="F16" s="387">
        <f t="shared" si="2"/>
        <v>16.314491550158039</v>
      </c>
      <c r="G16" s="110">
        <f t="shared" ref="G16:G79" si="21">+Wh_hp/MaxiM</f>
        <v>0.85945825749478943</v>
      </c>
      <c r="H16" s="416" t="b">
        <f>Wh_hp&gt;='2025'!Maxi_hp</f>
        <v>0</v>
      </c>
      <c r="I16" s="392">
        <f>IF(H16,Wh_hp,'2025'!Maxi_hp)</f>
        <v>17.78447596879985</v>
      </c>
      <c r="J16" s="85">
        <f>IF(H16,An,'2025'!An_max)</f>
        <v>2020</v>
      </c>
      <c r="K16" s="199">
        <f t="shared" si="3"/>
        <v>46024</v>
      </c>
      <c r="L16" s="147">
        <f>IF(t&lt;Tvie,1-EXP((T0-t)*PertePVj)+'2025'!Pspv,1-EXP((T0-t)*PertePVj)+Pspv)</f>
        <v>6.1140712540006303E-2</v>
      </c>
      <c r="M16" s="872"/>
      <c r="N16" s="872"/>
      <c r="O16" s="48">
        <f>IF(t&lt;Tnet,'2025'!Resal+('2025'!Salim-'2025'!Resal)*(1-EXP(('2025'!Tnet-t)/('2025'!Tau_j))),Resal+(Salim-Resal)*(1-EXP((Tnet-t)/(Tau_j))))*Salcycl</f>
        <v>0.1188395665458923</v>
      </c>
      <c r="P16" s="171">
        <f>(INDEX(Models!$BJ16:$BT16,,T16)*(1-R16)+INDEX(Models!$BJ16:$BT16,,T16+1)*R16-ERP_i)*Q16*Ramure*Pc/MaxiM</f>
        <v>9.046365250892717E-3</v>
      </c>
      <c r="Q16" s="307">
        <f t="shared" si="4"/>
        <v>0.9</v>
      </c>
      <c r="R16" s="179">
        <f t="shared" si="5"/>
        <v>0.86483510081294712</v>
      </c>
      <c r="S16" s="839">
        <f t="shared" si="6"/>
        <v>-3</v>
      </c>
      <c r="T16" s="178">
        <f t="shared" si="7"/>
        <v>3</v>
      </c>
      <c r="U16" s="253">
        <f t="shared" si="8"/>
        <v>-2.1351648991870529</v>
      </c>
      <c r="V16" s="385">
        <f t="shared" si="9"/>
        <v>15.561719554559705</v>
      </c>
      <c r="W16" s="404">
        <f t="shared" si="10"/>
        <v>13.398890444079239</v>
      </c>
      <c r="X16" s="157">
        <f t="shared" si="11"/>
        <v>46024</v>
      </c>
      <c r="Y16" s="387">
        <f t="shared" si="12"/>
        <v>10.544036316752758</v>
      </c>
      <c r="Z16" s="387">
        <f t="shared" ref="Z16:Z78" si="22">Wh_sa_s*(1-Psa_s)</f>
        <v>11.230688621378798</v>
      </c>
      <c r="AA16" s="388">
        <f t="shared" si="13"/>
        <v>13.453022323388511</v>
      </c>
      <c r="AB16" s="199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0.16519215151721811</v>
      </c>
      <c r="AD16" s="233">
        <f>(INDEX(Models!$BJ16:$BT16,,AH16)*(1-AF16)+INDEX(Models!$BJ16:$BT16,,AH16+1)*AF16-ERP_i)*AE16*Ramure*Pc/MaxiM</f>
        <v>0.21884583378472519</v>
      </c>
      <c r="AE16" s="307">
        <f t="shared" si="15"/>
        <v>0.9</v>
      </c>
      <c r="AF16" s="179">
        <f t="shared" ref="AF16:AF78" si="23">(Hp_vg_s-AG16)/(INDEX(Echel_vg,AH16+1)-AG16)</f>
        <v>0.50049075311992608</v>
      </c>
      <c r="AG16" s="839">
        <f t="shared" ref="AG16:AG79" si="24">INDEX(Echel_vg,AH16)</f>
        <v>2</v>
      </c>
      <c r="AH16" s="178">
        <f t="shared" si="16"/>
        <v>8</v>
      </c>
      <c r="AI16" s="227">
        <f t="shared" si="17"/>
        <v>2.5004907531199261</v>
      </c>
      <c r="AJ16" s="267" t="b">
        <f t="shared" si="18"/>
        <v>1</v>
      </c>
      <c r="AK16" s="267" t="b">
        <f t="shared" si="19"/>
        <v>0</v>
      </c>
      <c r="AL16" s="267"/>
      <c r="AM16" s="267"/>
      <c r="AN16" s="75"/>
    </row>
    <row r="17" spans="1:40" s="6" customFormat="1" ht="11.25" x14ac:dyDescent="0.2">
      <c r="A17" s="56">
        <f t="shared" si="20"/>
        <v>46025</v>
      </c>
      <c r="B17" s="413">
        <f>'2025'!Wh/'2025'!Env_an*'2026'!Env_an</f>
        <v>13.001292632571593</v>
      </c>
      <c r="C17" s="868"/>
      <c r="D17" s="395">
        <f t="shared" si="0"/>
        <v>13.848289485276029</v>
      </c>
      <c r="E17" s="387">
        <f t="shared" si="1"/>
        <v>15.717835900053981</v>
      </c>
      <c r="F17" s="387">
        <f t="shared" si="2"/>
        <v>15.826155876430125</v>
      </c>
      <c r="G17" s="110">
        <f t="shared" si="21"/>
        <v>0.82747835363589795</v>
      </c>
      <c r="H17" s="416" t="b">
        <f>Wh_hp&gt;='2025'!Maxi_hp</f>
        <v>0</v>
      </c>
      <c r="I17" s="392">
        <f>IF(H17,Wh_hp,'2025'!Maxi_hp)</f>
        <v>19.408966249247889</v>
      </c>
      <c r="J17" s="85">
        <f>IF(H17,An,'2025'!An_max)</f>
        <v>2019</v>
      </c>
      <c r="K17" s="199">
        <f t="shared" si="3"/>
        <v>46025</v>
      </c>
      <c r="L17" s="147">
        <f>IF(t&lt;Tvie,1-EXP((T0-t)*PertePVj)+'2025'!Pspv,1-EXP((T0-t)*PertePVj)+Pspv)</f>
        <v>6.1162561167210638E-2</v>
      </c>
      <c r="M17" s="872"/>
      <c r="N17" s="872"/>
      <c r="O17" s="48">
        <f>IF(t&lt;Tnet,'2025'!Resal+('2025'!Salim-'2025'!Resal)*(1-EXP(('2025'!Tnet-t)/('2025'!Tau_j))),Resal+(Salim-Resal)*(1-EXP((Tnet-t)/(Tau_j))))*Salcycl</f>
        <v>0.1189442634893224</v>
      </c>
      <c r="P17" s="171">
        <f>(INDEX(Models!$BJ17:$BT17,,T17)*(1-R17)+INDEX(Models!$BJ17:$BT17,,T17+1)*R17-ERP_i)*Q17*Ramure*Pc/MaxiM</f>
        <v>9.0513182628264317E-3</v>
      </c>
      <c r="Q17" s="307">
        <f t="shared" si="4"/>
        <v>0.9</v>
      </c>
      <c r="R17" s="179">
        <f t="shared" si="5"/>
        <v>0.86487771204663266</v>
      </c>
      <c r="S17" s="839">
        <f t="shared" si="6"/>
        <v>-3</v>
      </c>
      <c r="T17" s="178">
        <f t="shared" si="7"/>
        <v>3</v>
      </c>
      <c r="U17" s="253">
        <f t="shared" si="8"/>
        <v>-2.1351222879533673</v>
      </c>
      <c r="V17" s="385">
        <f t="shared" si="9"/>
        <v>15.67702838491731</v>
      </c>
      <c r="W17" s="404">
        <f t="shared" si="10"/>
        <v>13.001292632571593</v>
      </c>
      <c r="X17" s="157">
        <f t="shared" si="11"/>
        <v>46025</v>
      </c>
      <c r="Y17" s="387">
        <f t="shared" si="12"/>
        <v>10.370767719570662</v>
      </c>
      <c r="Z17" s="387">
        <f t="shared" si="22"/>
        <v>11.04639343363227</v>
      </c>
      <c r="AA17" s="388">
        <f t="shared" si="13"/>
        <v>13.233074793485907</v>
      </c>
      <c r="AB17" s="199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0.16524363339426223</v>
      </c>
      <c r="AD17" s="233">
        <f>(INDEX(Models!$BJ17:$BT17,,AH17)*(1-AF17)+INDEX(Models!$BJ17:$BT17,,AH17+1)*AF17-ERP_i)*AE17*Ramure*Pc/MaxiM</f>
        <v>0.21668027402018369</v>
      </c>
      <c r="AE17" s="307">
        <f t="shared" si="15"/>
        <v>0.9</v>
      </c>
      <c r="AF17" s="179">
        <f>(Hp_vg_s-AG17)/(INDEX(Echel_vg,AH17+1)-AG17)</f>
        <v>0.50053336435361162</v>
      </c>
      <c r="AG17" s="839">
        <f>INDEX(Echel_vg,AH17)</f>
        <v>2</v>
      </c>
      <c r="AH17" s="178">
        <f t="shared" si="16"/>
        <v>8</v>
      </c>
      <c r="AI17" s="227">
        <f t="shared" si="17"/>
        <v>2.5005333643536116</v>
      </c>
      <c r="AJ17" s="267" t="b">
        <f t="shared" si="18"/>
        <v>1</v>
      </c>
      <c r="AK17" s="267" t="b">
        <f t="shared" si="19"/>
        <v>0</v>
      </c>
      <c r="AL17" s="267"/>
      <c r="AM17" s="267"/>
      <c r="AN17" s="75"/>
    </row>
    <row r="18" spans="1:40" s="6" customFormat="1" ht="11.25" x14ac:dyDescent="0.2">
      <c r="A18" s="56">
        <f t="shared" si="20"/>
        <v>46026</v>
      </c>
      <c r="B18" s="413">
        <f>'2025'!Wh/'2025'!Env_an*'2026'!Env_an</f>
        <v>13.639814936429037</v>
      </c>
      <c r="C18" s="868"/>
      <c r="D18" s="395">
        <f t="shared" si="0"/>
        <v>14.528747787470177</v>
      </c>
      <c r="E18" s="387">
        <f t="shared" si="1"/>
        <v>16.492120989250232</v>
      </c>
      <c r="F18" s="387">
        <f t="shared" si="2"/>
        <v>16.613223619483655</v>
      </c>
      <c r="G18" s="110">
        <f t="shared" si="21"/>
        <v>0.86177522766783887</v>
      </c>
      <c r="H18" s="416" t="b">
        <f>Wh_hp&gt;='2025'!Maxi_hp</f>
        <v>0</v>
      </c>
      <c r="I18" s="392">
        <f>IF(H18,Wh_hp,'2025'!Maxi_hp)</f>
        <v>19.187961348193991</v>
      </c>
      <c r="J18" s="85">
        <f>IF(H18,An,'2025'!An_max)</f>
        <v>2019</v>
      </c>
      <c r="K18" s="199">
        <f t="shared" si="3"/>
        <v>46026</v>
      </c>
      <c r="L18" s="147">
        <f>IF(t&lt;Tvie,1-EXP((T0-t)*PertePVj)+'2025'!Pspv,1-EXP((T0-t)*PertePVj)+Pspv)</f>
        <v>6.1184409285965469E-2</v>
      </c>
      <c r="M18" s="872"/>
      <c r="N18" s="872"/>
      <c r="O18" s="48">
        <f>IF(t&lt;Tnet,'2025'!Resal+('2025'!Salim-'2025'!Resal)*(1-EXP(('2025'!Tnet-t)/('2025'!Tau_j))),Resal+(Salim-Resal)*(1-EXP((Tnet-t)/(Tau_j))))*Salcycl</f>
        <v>0.11904916311612102</v>
      </c>
      <c r="P18" s="171">
        <f>(INDEX(Models!$BJ18:$BT18,,T18)*(1-R18)+INDEX(Models!$BJ18:$BT18,,T18+1)*R18-ERP_i)*Q18*Ramure*Pc/MaxiM</f>
        <v>9.0583183217334134E-3</v>
      </c>
      <c r="Q18" s="307">
        <f t="shared" si="4"/>
        <v>0.9</v>
      </c>
      <c r="R18" s="179">
        <f t="shared" si="5"/>
        <v>0.86492210539044567</v>
      </c>
      <c r="S18" s="839">
        <f t="shared" si="6"/>
        <v>-3</v>
      </c>
      <c r="T18" s="178">
        <f t="shared" si="7"/>
        <v>3</v>
      </c>
      <c r="U18" s="253">
        <f t="shared" si="8"/>
        <v>-2.1350778946095543</v>
      </c>
      <c r="V18" s="385">
        <f t="shared" si="9"/>
        <v>15.799377177842075</v>
      </c>
      <c r="W18" s="404">
        <f t="shared" si="10"/>
        <v>13.639814936429037</v>
      </c>
      <c r="X18" s="157">
        <f t="shared" si="11"/>
        <v>46026</v>
      </c>
      <c r="Y18" s="387">
        <f t="shared" si="12"/>
        <v>10.772945562236121</v>
      </c>
      <c r="Z18" s="387">
        <f>Wh_sa_s*(1-Psa_s)</f>
        <v>11.475039047916265</v>
      </c>
      <c r="AA18" s="388">
        <f t="shared" si="13"/>
        <v>13.747426996573688</v>
      </c>
      <c r="AB18" s="199">
        <f>t</f>
        <v>46026</v>
      </c>
      <c r="AC18" s="119">
        <f>IF(OR(t&lt;Tnet,NoTnet),'2025'!Resal_s+('2025'!Salim-'2025'!Resal_s)*(1-EXP(('2025'!Tnet_s-t)/'2025'!Tau_j)),Resal_s+(Salim-Resal_s)*(1-EXP((Tnet_s-t)/Tau_j)))*Salcycl</f>
        <v>0.16529550942323806</v>
      </c>
      <c r="AD18" s="233">
        <f>(INDEX(Models!$BJ18:$BT18,,AH18)*(1-AF18)+INDEX(Models!$BJ18:$BT18,,AH18+1)*AF18-ERP_i)*AE18*Ramure*Pc/MaxiM</f>
        <v>0.21435783851788071</v>
      </c>
      <c r="AE18" s="307">
        <f t="shared" si="15"/>
        <v>0.9</v>
      </c>
      <c r="AF18" s="179">
        <f t="shared" si="23"/>
        <v>0.50057775769742463</v>
      </c>
      <c r="AG18" s="839">
        <f t="shared" si="24"/>
        <v>2</v>
      </c>
      <c r="AH18" s="178">
        <f t="shared" si="16"/>
        <v>8</v>
      </c>
      <c r="AI18" s="227">
        <f t="shared" si="17"/>
        <v>2.5005777576974246</v>
      </c>
      <c r="AJ18" s="267" t="b">
        <f t="shared" si="18"/>
        <v>1</v>
      </c>
      <c r="AK18" s="267" t="b">
        <f t="shared" si="19"/>
        <v>0</v>
      </c>
      <c r="AL18" s="267"/>
      <c r="AM18" s="267"/>
      <c r="AN18" s="75"/>
    </row>
    <row r="19" spans="1:40" s="6" customFormat="1" ht="11.25" x14ac:dyDescent="0.2">
      <c r="A19" s="56">
        <f t="shared" si="20"/>
        <v>46027</v>
      </c>
      <c r="B19" s="413">
        <f>'2025'!Wh/'2025'!Env_an*'2026'!Env_an</f>
        <v>10.768096774759577</v>
      </c>
      <c r="C19" s="868"/>
      <c r="D19" s="395">
        <f t="shared" si="0"/>
        <v>11.470141182619626</v>
      </c>
      <c r="E19" s="387">
        <f t="shared" si="1"/>
        <v>13.021736160927039</v>
      </c>
      <c r="F19" s="387">
        <f t="shared" si="2"/>
        <v>13.085473201513286</v>
      </c>
      <c r="G19" s="110">
        <f t="shared" si="21"/>
        <v>0.67317417303226745</v>
      </c>
      <c r="H19" s="416" t="b">
        <f>Wh_hp&gt;='2025'!Maxi_hp</f>
        <v>0</v>
      </c>
      <c r="I19" s="392">
        <f>IF(H19,Wh_hp,'2025'!Maxi_hp)</f>
        <v>19.412334573306765</v>
      </c>
      <c r="J19" s="85">
        <f>IF(H19,An,'2025'!An_max)</f>
        <v>2019</v>
      </c>
      <c r="K19" s="199">
        <f t="shared" si="3"/>
        <v>46027</v>
      </c>
      <c r="L19" s="147">
        <f>IF(t&lt;Tvie,1-EXP((T0-t)*PertePVj)+'2025'!Pspv,1-EXP((T0-t)*PertePVj)+Pspv)</f>
        <v>6.1206256896282674E-2</v>
      </c>
      <c r="M19" s="872"/>
      <c r="N19" s="872"/>
      <c r="O19" s="48">
        <f>IF(t&lt;Tnet,'2025'!Resal+('2025'!Salim-'2025'!Resal)*(1-EXP(('2025'!Tnet-t)/('2025'!Tau_j))),Resal+(Salim-Resal)*(1-EXP((Tnet-t)/(Tau_j))))*Salcycl</f>
        <v>0.11915423251802024</v>
      </c>
      <c r="P19" s="171">
        <f>(INDEX(Models!$BJ19:$BT19,,T19)*(1-R19)+INDEX(Models!$BJ19:$BT19,,T19+1)*R19-ERP_i)*Q19*Ramure*Pc/MaxiM</f>
        <v>9.0674195247951086E-3</v>
      </c>
      <c r="Q19" s="307">
        <f t="shared" si="4"/>
        <v>0.9</v>
      </c>
      <c r="R19" s="179">
        <f t="shared" si="5"/>
        <v>0.86496835513603187</v>
      </c>
      <c r="S19" s="839">
        <f t="shared" si="6"/>
        <v>-3</v>
      </c>
      <c r="T19" s="178">
        <f t="shared" si="7"/>
        <v>3</v>
      </c>
      <c r="U19" s="253">
        <f t="shared" si="8"/>
        <v>-2.1350316448639681</v>
      </c>
      <c r="V19" s="385">
        <f t="shared" si="9"/>
        <v>15.928546688037883</v>
      </c>
      <c r="W19" s="404">
        <f t="shared" si="10"/>
        <v>10.768096774759577</v>
      </c>
      <c r="X19" s="157">
        <f t="shared" si="11"/>
        <v>46027</v>
      </c>
      <c r="Y19" s="387">
        <f t="shared" si="12"/>
        <v>9.0862866254309491</v>
      </c>
      <c r="Z19" s="387">
        <f t="shared" si="22"/>
        <v>9.6786825563952466</v>
      </c>
      <c r="AA19" s="388">
        <f t="shared" si="13"/>
        <v>11.596065738108216</v>
      </c>
      <c r="AB19" s="199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0.16534773301705785</v>
      </c>
      <c r="AD19" s="233">
        <f>(INDEX(Models!$BJ19:$BT19,,AH19)*(1-AF19)+INDEX(Models!$BJ19:$BT19,,AH19+1)*AF19-ERP_i)*AE19*Ramure*Pc/MaxiM</f>
        <v>0.21188750198999393</v>
      </c>
      <c r="AE19" s="307">
        <f t="shared" si="15"/>
        <v>0.9</v>
      </c>
      <c r="AF19" s="179">
        <f t="shared" si="23"/>
        <v>0.50062400744301083</v>
      </c>
      <c r="AG19" s="839">
        <f t="shared" si="24"/>
        <v>2</v>
      </c>
      <c r="AH19" s="178">
        <f t="shared" si="16"/>
        <v>8</v>
      </c>
      <c r="AI19" s="227">
        <f t="shared" si="17"/>
        <v>2.5006240074430108</v>
      </c>
      <c r="AJ19" s="267" t="b">
        <f t="shared" si="18"/>
        <v>1</v>
      </c>
      <c r="AK19" s="267" t="b">
        <f t="shared" si="19"/>
        <v>0</v>
      </c>
      <c r="AL19" s="267"/>
      <c r="AM19" s="267"/>
      <c r="AN19" s="75"/>
    </row>
    <row r="20" spans="1:40" s="6" customFormat="1" ht="11.25" x14ac:dyDescent="0.2">
      <c r="A20" s="56">
        <f t="shared" si="20"/>
        <v>46028</v>
      </c>
      <c r="B20" s="413">
        <f>'2025'!Wh/'2025'!Env_an*'2026'!Env_an</f>
        <v>16.455193207694172</v>
      </c>
      <c r="C20" s="868"/>
      <c r="D20" s="395">
        <f t="shared" si="0"/>
        <v>17.528425464988747</v>
      </c>
      <c r="E20" s="387">
        <f t="shared" si="1"/>
        <v>19.901917013265106</v>
      </c>
      <c r="F20" s="387">
        <f t="shared" si="2"/>
        <v>20.084255313401073</v>
      </c>
      <c r="G20" s="110">
        <f t="shared" si="21"/>
        <v>1.0243319064045415</v>
      </c>
      <c r="H20" s="416" t="b">
        <f>Wh_hp&gt;='2025'!Maxi_hp</f>
        <v>1</v>
      </c>
      <c r="I20" s="392">
        <f>IF(H20,Wh_hp,'2025'!Maxi_hp)</f>
        <v>20.084255313401073</v>
      </c>
      <c r="J20" s="85">
        <f>IF(H20,An,'2025'!An_max)</f>
        <v>2026</v>
      </c>
      <c r="K20" s="199">
        <f t="shared" si="3"/>
        <v>46028</v>
      </c>
      <c r="L20" s="147">
        <f>IF(t&lt;Tvie,1-EXP((T0-t)*PertePVj)+'2025'!Pspv,1-EXP((T0-t)*PertePVj)+Pspv)</f>
        <v>6.1228103998174133E-2</v>
      </c>
      <c r="M20" s="872"/>
      <c r="N20" s="872"/>
      <c r="O20" s="48">
        <f>IF(t&lt;Tnet,'2025'!Resal+('2025'!Salim-'2025'!Resal)*(1-EXP(('2025'!Tnet-t)/('2025'!Tau_j))),Resal+(Salim-Resal)*(1-EXP((Tnet-t)/(Tau_j))))*Salcycl</f>
        <v>0.11925944353472934</v>
      </c>
      <c r="P20" s="171">
        <f>(INDEX(Models!$BJ20:$BT20,,T20)*(1-R20)+INDEX(Models!$BJ20:$BT20,,T20+1)*R20-ERP_i)*Q20*Ramure*Pc/MaxiM</f>
        <v>9.0786687029568106E-3</v>
      </c>
      <c r="Q20" s="307">
        <f t="shared" si="4"/>
        <v>0.9</v>
      </c>
      <c r="R20" s="179">
        <f t="shared" si="5"/>
        <v>0.8650165386514832</v>
      </c>
      <c r="S20" s="839">
        <f t="shared" si="6"/>
        <v>-3</v>
      </c>
      <c r="T20" s="178">
        <f t="shared" si="7"/>
        <v>3</v>
      </c>
      <c r="U20" s="253">
        <f t="shared" si="8"/>
        <v>-2.1349834613485168</v>
      </c>
      <c r="V20" s="385">
        <f t="shared" si="9"/>
        <v>16.064317732181902</v>
      </c>
      <c r="W20" s="404">
        <f t="shared" si="10"/>
        <v>16.455193207694172</v>
      </c>
      <c r="X20" s="157">
        <f t="shared" si="11"/>
        <v>46028</v>
      </c>
      <c r="Y20" s="387">
        <f t="shared" si="12"/>
        <v>12.442789710051581</v>
      </c>
      <c r="Z20" s="387">
        <f t="shared" si="22"/>
        <v>13.25432702347044</v>
      </c>
      <c r="AA20" s="388">
        <f t="shared" si="13"/>
        <v>15.881058256109402</v>
      </c>
      <c r="AB20" s="199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0.16540026428203952</v>
      </c>
      <c r="AD20" s="233">
        <f>(INDEX(Models!$BJ20:$BT20,,AH20)*(1-AF20)+INDEX(Models!$BJ20:$BT20,,AH20+1)*AF20-ERP_i)*AE20*Ramure*Pc/MaxiM</f>
        <v>0.20927821279423389</v>
      </c>
      <c r="AE20" s="307">
        <f t="shared" si="15"/>
        <v>0.9</v>
      </c>
      <c r="AF20" s="179">
        <f t="shared" si="23"/>
        <v>0.50067219095846216</v>
      </c>
      <c r="AG20" s="839">
        <f t="shared" si="24"/>
        <v>2</v>
      </c>
      <c r="AH20" s="178">
        <f t="shared" si="16"/>
        <v>8</v>
      </c>
      <c r="AI20" s="227">
        <f t="shared" si="17"/>
        <v>2.5006721909584622</v>
      </c>
      <c r="AJ20" s="267" t="b">
        <f t="shared" si="18"/>
        <v>1</v>
      </c>
      <c r="AK20" s="267" t="b">
        <f t="shared" si="19"/>
        <v>0</v>
      </c>
      <c r="AL20" s="267"/>
      <c r="AM20" s="267"/>
      <c r="AN20" s="75"/>
    </row>
    <row r="21" spans="1:40" s="6" customFormat="1" ht="11.25" x14ac:dyDescent="0.2">
      <c r="A21" s="56">
        <f t="shared" si="20"/>
        <v>46029</v>
      </c>
      <c r="B21" s="413">
        <f>'2025'!Wh/'2025'!Env_an*'2026'!Env_an</f>
        <v>8.235973248191474</v>
      </c>
      <c r="C21" s="868"/>
      <c r="D21" s="395">
        <f t="shared" si="0"/>
        <v>8.7733398825195632</v>
      </c>
      <c r="E21" s="387">
        <f t="shared" si="1"/>
        <v>9.9625129784885189</v>
      </c>
      <c r="F21" s="387">
        <f t="shared" si="2"/>
        <v>9.9895259297715349</v>
      </c>
      <c r="G21" s="110">
        <f t="shared" si="21"/>
        <v>0.5049352994178905</v>
      </c>
      <c r="H21" s="416" t="b">
        <f>Wh_hp&gt;='2025'!Maxi_hp</f>
        <v>0</v>
      </c>
      <c r="I21" s="392">
        <f>IF(H21,Wh_hp,'2025'!Maxi_hp)</f>
        <v>11.638105968264961</v>
      </c>
      <c r="J21" s="85">
        <f>IF(H21,An,'2025'!An_max)</f>
        <v>2021</v>
      </c>
      <c r="K21" s="199">
        <f t="shared" si="3"/>
        <v>46029</v>
      </c>
      <c r="L21" s="147">
        <f>IF(t&lt;Tvie,1-EXP((T0-t)*PertePVj)+'2025'!Pspv,1-EXP((T0-t)*PertePVj)+Pspv)</f>
        <v>6.1249950591651614E-2</v>
      </c>
      <c r="M21" s="872"/>
      <c r="N21" s="872"/>
      <c r="O21" s="48">
        <f>IF(t&lt;Tnet,'2025'!Resal+('2025'!Salim-'2025'!Resal)*(1-EXP(('2025'!Tnet-t)/('2025'!Tau_j))),Resal+(Salim-Resal)*(1-EXP((Tnet-t)/(Tau_j))))*Salcycl</f>
        <v>0.11936477257662483</v>
      </c>
      <c r="P21" s="171">
        <f>(INDEX(Models!$BJ21:$BT21,,T21)*(1-R21)+INDEX(Models!$BJ21:$BT21,,T21+1)*R21-ERP_i)*Q21*Ramure*Pc/MaxiM</f>
        <v>9.0921056681480279E-3</v>
      </c>
      <c r="Q21" s="307">
        <f t="shared" si="4"/>
        <v>0.9</v>
      </c>
      <c r="R21" s="179">
        <f t="shared" si="5"/>
        <v>0.86506673650697152</v>
      </c>
      <c r="S21" s="839">
        <f t="shared" si="6"/>
        <v>-3</v>
      </c>
      <c r="T21" s="178">
        <f t="shared" si="7"/>
        <v>3</v>
      </c>
      <c r="U21" s="253">
        <f t="shared" si="8"/>
        <v>-2.1349332634930285</v>
      </c>
      <c r="V21" s="385">
        <f t="shared" si="9"/>
        <v>16.206471179027215</v>
      </c>
      <c r="W21" s="404">
        <f t="shared" si="10"/>
        <v>8.235973248191474</v>
      </c>
      <c r="X21" s="157">
        <f t="shared" si="11"/>
        <v>46029</v>
      </c>
      <c r="Y21" s="387">
        <f t="shared" si="12"/>
        <v>7.3453642611816932</v>
      </c>
      <c r="Z21" s="387">
        <f t="shared" si="22"/>
        <v>7.8246219702583701</v>
      </c>
      <c r="AA21" s="388">
        <f t="shared" si="13"/>
        <v>9.3758920998493558</v>
      </c>
      <c r="AB21" s="199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0.16545306975278765</v>
      </c>
      <c r="AD21" s="233">
        <f>(INDEX(Models!$BJ21:$BT21,,AH21)*(1-AF21)+INDEX(Models!$BJ21:$BT21,,AH21+1)*AF21-ERP_i)*AE21*Ramure*Pc/MaxiM</f>
        <v>0.20653884000858944</v>
      </c>
      <c r="AE21" s="307">
        <f t="shared" si="15"/>
        <v>0.9</v>
      </c>
      <c r="AF21" s="179">
        <f t="shared" si="23"/>
        <v>0.50072238881395048</v>
      </c>
      <c r="AG21" s="839">
        <f t="shared" si="24"/>
        <v>2</v>
      </c>
      <c r="AH21" s="178">
        <f t="shared" si="16"/>
        <v>8</v>
      </c>
      <c r="AI21" s="227">
        <f t="shared" si="17"/>
        <v>2.5007223888139505</v>
      </c>
      <c r="AJ21" s="267" t="b">
        <f t="shared" si="18"/>
        <v>1</v>
      </c>
      <c r="AK21" s="267" t="b">
        <f t="shared" si="19"/>
        <v>0</v>
      </c>
      <c r="AL21" s="267"/>
      <c r="AM21" s="267"/>
      <c r="AN21" s="75"/>
    </row>
    <row r="22" spans="1:40" s="6" customFormat="1" ht="11.25" x14ac:dyDescent="0.2">
      <c r="A22" s="56">
        <f t="shared" si="20"/>
        <v>46030</v>
      </c>
      <c r="B22" s="413">
        <f>'2025'!Wh/'2025'!Env_an*'2026'!Env_an</f>
        <v>6.6773163955938175</v>
      </c>
      <c r="C22" s="868"/>
      <c r="D22" s="395">
        <f t="shared" si="0"/>
        <v>7.1131519985815608</v>
      </c>
      <c r="E22" s="387">
        <f t="shared" si="1"/>
        <v>8.0782637929064354</v>
      </c>
      <c r="F22" s="387">
        <f t="shared" si="2"/>
        <v>8.0896607320258322</v>
      </c>
      <c r="G22" s="110">
        <f t="shared" si="21"/>
        <v>0.40513124658133309</v>
      </c>
      <c r="H22" s="416" t="b">
        <f>Wh_hp&gt;='2025'!Maxi_hp</f>
        <v>0</v>
      </c>
      <c r="I22" s="392">
        <f>IF(H22,Wh_hp,'2025'!Maxi_hp)</f>
        <v>14.643565191481343</v>
      </c>
      <c r="J22" s="85">
        <f>IF(H22,An,'2025'!An_max)</f>
        <v>2021</v>
      </c>
      <c r="K22" s="199">
        <f t="shared" si="3"/>
        <v>46030</v>
      </c>
      <c r="L22" s="147">
        <f>IF(t&lt;Tvie,1-EXP((T0-t)*PertePVj)+'2025'!Pspv,1-EXP((T0-t)*PertePVj)+Pspv)</f>
        <v>6.1271796676726886E-2</v>
      </c>
      <c r="M22" s="872"/>
      <c r="N22" s="872"/>
      <c r="O22" s="48">
        <f>IF(t&lt;Tnet,'2025'!Resal+('2025'!Salim-'2025'!Resal)*(1-EXP(('2025'!Tnet-t)/('2025'!Tau_j))),Resal+(Salim-Resal)*(1-EXP((Tnet-t)/(Tau_j))))*Salcycl</f>
        <v>0.1194702004126609</v>
      </c>
      <c r="P22" s="171">
        <f>(INDEX(Models!$BJ22:$BT22,,T22)*(1-R22)+INDEX(Models!$BJ22:$BT22,,T22+1)*R22-ERP_i)*Q22*Ramure*Pc/MaxiM</f>
        <v>9.1077634850475313E-3</v>
      </c>
      <c r="Q22" s="307">
        <f t="shared" si="4"/>
        <v>0.9</v>
      </c>
      <c r="R22" s="179">
        <f t="shared" si="5"/>
        <v>0.86511903260536771</v>
      </c>
      <c r="S22" s="839">
        <f t="shared" si="6"/>
        <v>-3</v>
      </c>
      <c r="T22" s="178">
        <f t="shared" si="7"/>
        <v>3</v>
      </c>
      <c r="U22" s="253">
        <f t="shared" si="8"/>
        <v>-2.1348809673946323</v>
      </c>
      <c r="V22" s="385">
        <f t="shared" si="9"/>
        <v>16.354787972192231</v>
      </c>
      <c r="W22" s="404">
        <f t="shared" si="10"/>
        <v>6.6773163955938175</v>
      </c>
      <c r="X22" s="157">
        <f t="shared" si="11"/>
        <v>46030</v>
      </c>
      <c r="Y22" s="387">
        <f t="shared" si="12"/>
        <v>6.1374837013801322</v>
      </c>
      <c r="Z22" s="387">
        <f t="shared" si="22"/>
        <v>6.5380838454115837</v>
      </c>
      <c r="AA22" s="388">
        <f t="shared" si="13"/>
        <v>7.8347894674878802</v>
      </c>
      <c r="AB22" s="199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0.16550612207989138</v>
      </c>
      <c r="AD22" s="233">
        <f>(INDEX(Models!$BJ22:$BT22,,AH22)*(1-AF22)+INDEX(Models!$BJ22:$BT22,,AH22+1)*AF22-ERP_i)*AE22*Ramure*Pc/MaxiM</f>
        <v>0.20367812552370096</v>
      </c>
      <c r="AE22" s="307">
        <f t="shared" si="15"/>
        <v>0.9</v>
      </c>
      <c r="AF22" s="179">
        <f t="shared" si="23"/>
        <v>0.50077468491234667</v>
      </c>
      <c r="AG22" s="839">
        <f t="shared" si="24"/>
        <v>2</v>
      </c>
      <c r="AH22" s="178">
        <f t="shared" si="16"/>
        <v>8</v>
      </c>
      <c r="AI22" s="227">
        <f t="shared" si="17"/>
        <v>2.5007746849123467</v>
      </c>
      <c r="AJ22" s="267" t="b">
        <f t="shared" si="18"/>
        <v>1</v>
      </c>
      <c r="AK22" s="267" t="b">
        <f t="shared" si="19"/>
        <v>0</v>
      </c>
      <c r="AL22" s="267"/>
      <c r="AM22" s="267"/>
      <c r="AN22" s="75"/>
    </row>
    <row r="23" spans="1:40" s="6" customFormat="1" ht="11.25" x14ac:dyDescent="0.2">
      <c r="A23" s="56">
        <f t="shared" si="20"/>
        <v>46031</v>
      </c>
      <c r="B23" s="413">
        <f>'2025'!Wh/'2025'!Env_an*'2026'!Env_an</f>
        <v>2.0107594075345365</v>
      </c>
      <c r="C23" s="868"/>
      <c r="D23" s="395">
        <f t="shared" si="0"/>
        <v>2.1420536794503722</v>
      </c>
      <c r="E23" s="387">
        <f t="shared" si="1"/>
        <v>2.432978858566075</v>
      </c>
      <c r="F23" s="387">
        <f t="shared" si="2"/>
        <v>2.432978858566075</v>
      </c>
      <c r="G23" s="110">
        <f t="shared" si="21"/>
        <v>0.12067214622300212</v>
      </c>
      <c r="H23" s="416" t="b">
        <f>Wh_hp&gt;='2025'!Maxi_hp</f>
        <v>0</v>
      </c>
      <c r="I23" s="392">
        <f>IF(H23,Wh_hp,'2025'!Maxi_hp)</f>
        <v>18.867508996859197</v>
      </c>
      <c r="J23" s="85">
        <f>IF(H23,An,'2025'!An_max)</f>
        <v>2020</v>
      </c>
      <c r="K23" s="199">
        <f t="shared" si="3"/>
        <v>46031</v>
      </c>
      <c r="L23" s="147">
        <f>IF(t&lt;Tvie,1-EXP((T0-t)*PertePVj)+'2025'!Pspv,1-EXP((T0-t)*PertePVj)+Pspv)</f>
        <v>6.1293642253411829E-2</v>
      </c>
      <c r="M23" s="872"/>
      <c r="N23" s="872"/>
      <c r="O23" s="48">
        <f>IF(t&lt;Tnet,'2025'!Resal+('2025'!Salim-'2025'!Resal)*(1-EXP(('2025'!Tnet-t)/('2025'!Tau_j))),Resal+(Salim-Resal)*(1-EXP((Tnet-t)/(Tau_j))))*Salcycl</f>
        <v>0.11957571192672237</v>
      </c>
      <c r="P23" s="171">
        <f>(INDEX(Models!$BJ23:$BT23,,T23)*(1-R23)+INDEX(Models!$BJ23:$BT23,,T23+1)*R23-ERP_i)*Q23*Ramure*Pc/MaxiM</f>
        <v>9.1246268260378564E-3</v>
      </c>
      <c r="Q23" s="307">
        <f t="shared" si="4"/>
        <v>0.9</v>
      </c>
      <c r="R23" s="179">
        <f t="shared" si="5"/>
        <v>0.86517351431801659</v>
      </c>
      <c r="S23" s="839">
        <f t="shared" si="6"/>
        <v>-3</v>
      </c>
      <c r="T23" s="178">
        <f t="shared" si="7"/>
        <v>3</v>
      </c>
      <c r="U23" s="253">
        <f t="shared" si="8"/>
        <v>-2.1348264856819834</v>
      </c>
      <c r="V23" s="385">
        <f t="shared" si="9"/>
        <v>16.510951703981977</v>
      </c>
      <c r="W23" s="404">
        <f t="shared" si="10"/>
        <v>2.0107594075345365</v>
      </c>
      <c r="X23" s="157">
        <f t="shared" si="11"/>
        <v>46031</v>
      </c>
      <c r="Y23" s="387">
        <f t="shared" si="12"/>
        <v>1.9057394370661074</v>
      </c>
      <c r="Z23" s="387">
        <f t="shared" si="22"/>
        <v>2.030176339319711</v>
      </c>
      <c r="AA23" s="388">
        <f t="shared" si="13"/>
        <v>2.432978858566075</v>
      </c>
      <c r="AB23" s="199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0.16555939967508132</v>
      </c>
      <c r="AD23" s="233">
        <f>(INDEX(Models!$BJ23:$BT23,,AH23)*(1-AF23)+INDEX(Models!$BJ23:$BT23,,AH23+1)*AF23-ERP_i)*AE23*Ramure*Pc/MaxiM</f>
        <v>0.20068172555553243</v>
      </c>
      <c r="AE23" s="307">
        <f t="shared" si="15"/>
        <v>0.9</v>
      </c>
      <c r="AF23" s="179">
        <f t="shared" si="23"/>
        <v>0.50082916662499555</v>
      </c>
      <c r="AG23" s="839">
        <f t="shared" si="24"/>
        <v>2</v>
      </c>
      <c r="AH23" s="178">
        <f t="shared" si="16"/>
        <v>8</v>
      </c>
      <c r="AI23" s="227">
        <f t="shared" si="17"/>
        <v>2.5008291666249955</v>
      </c>
      <c r="AJ23" s="267" t="b">
        <f t="shared" si="18"/>
        <v>1</v>
      </c>
      <c r="AK23" s="267" t="b">
        <f t="shared" si="19"/>
        <v>0</v>
      </c>
      <c r="AL23" s="267"/>
      <c r="AM23" s="267"/>
      <c r="AN23" s="75"/>
    </row>
    <row r="24" spans="1:40" s="6" customFormat="1" ht="11.25" x14ac:dyDescent="0.2">
      <c r="A24" s="56">
        <f t="shared" si="20"/>
        <v>46032</v>
      </c>
      <c r="B24" s="413">
        <f>'2025'!Wh/'2025'!Env_an*'2026'!Env_an</f>
        <v>1.699778153228606</v>
      </c>
      <c r="C24" s="868"/>
      <c r="D24" s="395">
        <f t="shared" si="0"/>
        <v>1.8108087757608251</v>
      </c>
      <c r="E24" s="387">
        <f t="shared" si="1"/>
        <v>2.0569922770194653</v>
      </c>
      <c r="F24" s="387">
        <f t="shared" si="2"/>
        <v>2.0569922770194653</v>
      </c>
      <c r="G24" s="110">
        <f t="shared" si="21"/>
        <v>0.10099546998939343</v>
      </c>
      <c r="H24" s="416" t="b">
        <f>Wh_hp&gt;='2025'!Maxi_hp</f>
        <v>0</v>
      </c>
      <c r="I24" s="392">
        <f>IF(H24,Wh_hp,'2025'!Maxi_hp)</f>
        <v>10.733503548463755</v>
      </c>
      <c r="J24" s="85">
        <f>IF(H24,An,'2025'!An_max)</f>
        <v>2019</v>
      </c>
      <c r="K24" s="199">
        <f t="shared" si="3"/>
        <v>46032</v>
      </c>
      <c r="L24" s="147">
        <f>IF(t&lt;Tvie,1-EXP((T0-t)*PertePVj)+'2025'!Pspv,1-EXP((T0-t)*PertePVj)+Pspv)</f>
        <v>6.1315487321718321E-2</v>
      </c>
      <c r="M24" s="872"/>
      <c r="N24" s="872"/>
      <c r="O24" s="48">
        <f>IF(t&lt;Tnet,'2025'!Resal+('2025'!Salim-'2025'!Resal)*(1-EXP(('2025'!Tnet-t)/('2025'!Tau_j))),Resal+(Salim-Resal)*(1-EXP((Tnet-t)/(Tau_j))))*Salcycl</f>
        <v>0.11968129584587181</v>
      </c>
      <c r="P24" s="171">
        <f>(INDEX(Models!$BJ24:$BT24,,T24)*(1-R24)+INDEX(Models!$BJ24:$BT24,,T24+1)*R24-ERP_i)*Q24*Ramure*Pc/MaxiM</f>
        <v>9.1360586113963683E-3</v>
      </c>
      <c r="Q24" s="307">
        <f t="shared" si="4"/>
        <v>0.9</v>
      </c>
      <c r="R24" s="179">
        <f t="shared" si="5"/>
        <v>0.86523027262587426</v>
      </c>
      <c r="S24" s="839">
        <f t="shared" si="6"/>
        <v>-3</v>
      </c>
      <c r="T24" s="178">
        <f t="shared" si="7"/>
        <v>3</v>
      </c>
      <c r="U24" s="253">
        <f t="shared" si="8"/>
        <v>-2.1347697273741257</v>
      </c>
      <c r="V24" s="385">
        <f t="shared" si="9"/>
        <v>16.676479455674784</v>
      </c>
      <c r="W24" s="404">
        <f t="shared" si="10"/>
        <v>1.699778153228606</v>
      </c>
      <c r="X24" s="157">
        <f t="shared" si="11"/>
        <v>46032</v>
      </c>
      <c r="Y24" s="387">
        <f t="shared" si="12"/>
        <v>1.6110903704284996</v>
      </c>
      <c r="Z24" s="387">
        <f t="shared" si="22"/>
        <v>1.7163278488868321</v>
      </c>
      <c r="AA24" s="388">
        <f t="shared" si="13"/>
        <v>2.0569922770194653</v>
      </c>
      <c r="AB24" s="199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0.16561288631878004</v>
      </c>
      <c r="AD24" s="233">
        <f>(INDEX(Models!$BJ24:$BT24,,AH24)*(1-AF24)+INDEX(Models!$BJ24:$BT24,,AH24+1)*AF24-ERP_i)*AE24*Ramure*Pc/MaxiM</f>
        <v>0.1975444654315647</v>
      </c>
      <c r="AE24" s="307">
        <f t="shared" si="15"/>
        <v>0.9</v>
      </c>
      <c r="AF24" s="179">
        <f t="shared" si="23"/>
        <v>0.50088592493285322</v>
      </c>
      <c r="AG24" s="839">
        <f t="shared" si="24"/>
        <v>2</v>
      </c>
      <c r="AH24" s="178">
        <f t="shared" si="16"/>
        <v>8</v>
      </c>
      <c r="AI24" s="227">
        <f t="shared" si="17"/>
        <v>2.5008859249328532</v>
      </c>
      <c r="AJ24" s="267" t="b">
        <f t="shared" si="18"/>
        <v>1</v>
      </c>
      <c r="AK24" s="267" t="b">
        <f t="shared" si="19"/>
        <v>0</v>
      </c>
      <c r="AL24" s="267"/>
      <c r="AM24" s="267"/>
      <c r="AN24" s="75"/>
    </row>
    <row r="25" spans="1:40" s="6" customFormat="1" ht="11.25" x14ac:dyDescent="0.2">
      <c r="A25" s="56">
        <f t="shared" si="20"/>
        <v>46033</v>
      </c>
      <c r="B25" s="413">
        <f>'2025'!Wh/'2025'!Env_an*'2026'!Env_an</f>
        <v>17.209018081972154</v>
      </c>
      <c r="C25" s="868"/>
      <c r="D25" s="395">
        <f t="shared" si="0"/>
        <v>18.333549065576054</v>
      </c>
      <c r="E25" s="387">
        <f t="shared" si="1"/>
        <v>20.828535716273976</v>
      </c>
      <c r="F25" s="387">
        <f t="shared" si="2"/>
        <v>21.020658697052706</v>
      </c>
      <c r="G25" s="110">
        <f t="shared" si="21"/>
        <v>1.0212579859233324</v>
      </c>
      <c r="H25" s="416" t="b">
        <f>Wh_hp&gt;='2025'!Maxi_hp</f>
        <v>1</v>
      </c>
      <c r="I25" s="392">
        <f>IF(H25,Wh_hp,'2025'!Maxi_hp)</f>
        <v>21.020658697052706</v>
      </c>
      <c r="J25" s="85">
        <f>IF(H25,An,'2025'!An_max)</f>
        <v>2026</v>
      </c>
      <c r="K25" s="199">
        <f t="shared" si="3"/>
        <v>46033</v>
      </c>
      <c r="L25" s="147">
        <f>IF(t&lt;Tvie,1-EXP((T0-t)*PertePVj)+'2025'!Pspv,1-EXP((T0-t)*PertePVj)+Pspv)</f>
        <v>6.133733188165813E-2</v>
      </c>
      <c r="M25" s="872"/>
      <c r="N25" s="872"/>
      <c r="O25" s="48">
        <f>IF(t&lt;Tnet,'2025'!Resal+('2025'!Salim-'2025'!Resal)*(1-EXP(('2025'!Tnet-t)/('2025'!Tau_j))),Resal+(Salim-Resal)*(1-EXP((Tnet-t)/(Tau_j))))*Salcycl</f>
        <v>0.11978694444413149</v>
      </c>
      <c r="P25" s="171">
        <f>(INDEX(Models!$BJ25:$BT25,,T25)*(1-R25)+INDEX(Models!$BJ25:$BT25,,T25+1)*R25-ERP_i)*Q25*Ramure*Pc/MaxiM</f>
        <v>9.1397221917534823E-3</v>
      </c>
      <c r="Q25" s="307">
        <f t="shared" si="4"/>
        <v>0.9</v>
      </c>
      <c r="R25" s="179">
        <f t="shared" si="5"/>
        <v>0.86528940226618634</v>
      </c>
      <c r="S25" s="839">
        <f t="shared" si="6"/>
        <v>-3</v>
      </c>
      <c r="T25" s="178">
        <f t="shared" si="7"/>
        <v>3</v>
      </c>
      <c r="U25" s="253">
        <f t="shared" si="8"/>
        <v>-2.1347105977338137</v>
      </c>
      <c r="V25" s="385">
        <f t="shared" si="9"/>
        <v>16.850803929247384</v>
      </c>
      <c r="W25" s="404">
        <f t="shared" si="10"/>
        <v>17.209018081972154</v>
      </c>
      <c r="X25" s="157">
        <f t="shared" si="11"/>
        <v>46033</v>
      </c>
      <c r="Y25" s="387">
        <f t="shared" si="12"/>
        <v>13.263331799986613</v>
      </c>
      <c r="Z25" s="387">
        <f t="shared" si="22"/>
        <v>14.130030148716257</v>
      </c>
      <c r="AA25" s="388">
        <f t="shared" si="13"/>
        <v>16.935711375208498</v>
      </c>
      <c r="AB25" s="199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0.16566657073521968</v>
      </c>
      <c r="AD25" s="233">
        <f>(INDEX(Models!$BJ25:$BT25,,AH25)*(1-AF25)+INDEX(Models!$BJ25:$BT25,,AH25+1)*AF25-ERP_i)*AE25*Ramure*Pc/MaxiM</f>
        <v>0.19433012926550003</v>
      </c>
      <c r="AE25" s="307">
        <f t="shared" si="15"/>
        <v>0.9</v>
      </c>
      <c r="AF25" s="179">
        <f t="shared" si="23"/>
        <v>0.50094505457316529</v>
      </c>
      <c r="AG25" s="839">
        <f t="shared" si="24"/>
        <v>2</v>
      </c>
      <c r="AH25" s="178">
        <f t="shared" si="16"/>
        <v>8</v>
      </c>
      <c r="AI25" s="227">
        <f t="shared" si="17"/>
        <v>2.5009450545731653</v>
      </c>
      <c r="AJ25" s="267" t="b">
        <f t="shared" si="18"/>
        <v>1</v>
      </c>
      <c r="AK25" s="267" t="b">
        <f t="shared" si="19"/>
        <v>0</v>
      </c>
      <c r="AL25" s="267"/>
      <c r="AM25" s="267"/>
      <c r="AN25" s="75"/>
    </row>
    <row r="26" spans="1:40" s="6" customFormat="1" ht="11.25" x14ac:dyDescent="0.2">
      <c r="A26" s="56">
        <f t="shared" si="20"/>
        <v>46034</v>
      </c>
      <c r="B26" s="413">
        <f>'2025'!Wh/'2025'!Env_an*'2026'!Env_an</f>
        <v>15.664288764731921</v>
      </c>
      <c r="C26" s="868"/>
      <c r="D26" s="395">
        <f t="shared" si="0"/>
        <v>16.688267080548229</v>
      </c>
      <c r="E26" s="387">
        <f t="shared" si="1"/>
        <v>18.96162683076183</v>
      </c>
      <c r="F26" s="387">
        <f t="shared" si="2"/>
        <v>19.1162225282023</v>
      </c>
      <c r="G26" s="110">
        <f t="shared" si="21"/>
        <v>0.91865422198076963</v>
      </c>
      <c r="H26" s="416" t="b">
        <f>Wh_hp&gt;='2025'!Maxi_hp</f>
        <v>0</v>
      </c>
      <c r="I26" s="392">
        <f>IF(H26,Wh_hp,'2025'!Maxi_hp)</f>
        <v>20.696537437632458</v>
      </c>
      <c r="J26" s="85">
        <f>IF(H26,An,'2025'!An_max)</f>
        <v>2020</v>
      </c>
      <c r="K26" s="199">
        <f t="shared" si="3"/>
        <v>46034</v>
      </c>
      <c r="L26" s="147">
        <f>IF(t&lt;Tvie,1-EXP((T0-t)*PertePVj)+'2025'!Pspv,1-EXP((T0-t)*PertePVj)+Pspv)</f>
        <v>6.1359175933243137E-2</v>
      </c>
      <c r="M26" s="872"/>
      <c r="N26" s="872"/>
      <c r="O26" s="48">
        <f>IF(t&lt;Tnet,'2025'!Resal+('2025'!Salim-'2025'!Resal)*(1-EXP(('2025'!Tnet-t)/('2025'!Tau_j))),Resal+(Salim-Resal)*(1-EXP((Tnet-t)/(Tau_j))))*Salcycl</f>
        <v>0.11989265322559152</v>
      </c>
      <c r="P26" s="171">
        <f>(INDEX(Models!$BJ26:$BT26,,T26)*(1-R26)+INDEX(Models!$BJ26:$BT26,,T26+1)*R26-ERP_i)*Q26*Ramure*Pc/MaxiM</f>
        <v>9.136149285818785E-3</v>
      </c>
      <c r="Q26" s="307">
        <f t="shared" si="4"/>
        <v>0.9</v>
      </c>
      <c r="R26" s="179">
        <f t="shared" si="5"/>
        <v>0.86535100188492597</v>
      </c>
      <c r="S26" s="839">
        <f t="shared" si="6"/>
        <v>-3</v>
      </c>
      <c r="T26" s="178">
        <f t="shared" si="7"/>
        <v>3</v>
      </c>
      <c r="U26" s="253">
        <f t="shared" si="8"/>
        <v>-2.134648998115074</v>
      </c>
      <c r="V26" s="385">
        <f t="shared" si="9"/>
        <v>17.033310838497528</v>
      </c>
      <c r="W26" s="404">
        <f t="shared" si="10"/>
        <v>15.664288764731921</v>
      </c>
      <c r="X26" s="157">
        <f t="shared" si="11"/>
        <v>46034</v>
      </c>
      <c r="Y26" s="387">
        <f t="shared" si="12"/>
        <v>12.438085604682056</v>
      </c>
      <c r="Z26" s="387">
        <f t="shared" si="22"/>
        <v>13.251166245670825</v>
      </c>
      <c r="AA26" s="388">
        <f t="shared" si="13"/>
        <v>15.883364496191662</v>
      </c>
      <c r="AB26" s="199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0.16572044614048603</v>
      </c>
      <c r="AD26" s="233">
        <f>(INDEX(Models!$BJ26:$BT26,,AH26)*(1-AF26)+INDEX(Models!$BJ26:$BT26,,AH26+1)*AF26-ERP_i)*AE26*Ramure*Pc/MaxiM</f>
        <v>0.19105236490608535</v>
      </c>
      <c r="AE26" s="307">
        <f t="shared" si="15"/>
        <v>0.9</v>
      </c>
      <c r="AF26" s="179">
        <f t="shared" si="23"/>
        <v>0.50100665419190493</v>
      </c>
      <c r="AG26" s="839">
        <f t="shared" si="24"/>
        <v>2</v>
      </c>
      <c r="AH26" s="178">
        <f t="shared" si="16"/>
        <v>8</v>
      </c>
      <c r="AI26" s="227">
        <f t="shared" si="17"/>
        <v>2.5010066541919049</v>
      </c>
      <c r="AJ26" s="267" t="b">
        <f t="shared" si="18"/>
        <v>1</v>
      </c>
      <c r="AK26" s="267" t="b">
        <f t="shared" si="19"/>
        <v>0</v>
      </c>
      <c r="AL26" s="267"/>
      <c r="AM26" s="267"/>
      <c r="AN26" s="75"/>
    </row>
    <row r="27" spans="1:40" s="6" customFormat="1" ht="11.25" x14ac:dyDescent="0.2">
      <c r="A27" s="56">
        <f t="shared" si="20"/>
        <v>46035</v>
      </c>
      <c r="B27" s="413">
        <f>'2025'!Wh/'2025'!Env_an*'2026'!Env_an</f>
        <v>5.7530953528432605</v>
      </c>
      <c r="C27" s="868"/>
      <c r="D27" s="395">
        <f t="shared" si="0"/>
        <v>6.1293192149539433</v>
      </c>
      <c r="E27" s="387">
        <f t="shared" si="1"/>
        <v>6.9651229706526134</v>
      </c>
      <c r="F27" s="387">
        <f t="shared" si="2"/>
        <v>6.9682142316868765</v>
      </c>
      <c r="G27" s="110">
        <f t="shared" si="21"/>
        <v>0.33112672099027912</v>
      </c>
      <c r="H27" s="416" t="b">
        <f>Wh_hp&gt;='2025'!Maxi_hp</f>
        <v>0</v>
      </c>
      <c r="I27" s="392">
        <f>IF(H27,Wh_hp,'2025'!Maxi_hp)</f>
        <v>14.73462756836317</v>
      </c>
      <c r="J27" s="85">
        <f>IF(H27,An,'2025'!An_max)</f>
        <v>2020</v>
      </c>
      <c r="K27" s="199">
        <f t="shared" si="3"/>
        <v>46035</v>
      </c>
      <c r="L27" s="147">
        <f>IF(t&lt;Tvie,1-EXP((T0-t)*PertePVj)+'2025'!Pspv,1-EXP((T0-t)*PertePVj)+Pspv)</f>
        <v>6.1381019476485221E-2</v>
      </c>
      <c r="M27" s="872"/>
      <c r="N27" s="872"/>
      <c r="O27" s="48">
        <f>IF(t&lt;Tnet,'2025'!Resal+('2025'!Salim-'2025'!Resal)*(1-EXP(('2025'!Tnet-t)/('2025'!Tau_j))),Resal+(Salim-Resal)*(1-EXP((Tnet-t)/(Tau_j))))*Salcycl</f>
        <v>0.11999842059075051</v>
      </c>
      <c r="P27" s="171">
        <f>(INDEX(Models!$BJ27:$BT27,,T27)*(1-R27)+INDEX(Models!$BJ27:$BT27,,T27+1)*R27-ERP_i)*Q27*Ramure*Pc/MaxiM</f>
        <v>9.1258691688791849E-3</v>
      </c>
      <c r="Q27" s="307">
        <f t="shared" si="4"/>
        <v>0.9</v>
      </c>
      <c r="R27" s="179">
        <f t="shared" si="5"/>
        <v>0.86541517419518277</v>
      </c>
      <c r="S27" s="839">
        <f t="shared" si="6"/>
        <v>-3</v>
      </c>
      <c r="T27" s="178">
        <f t="shared" si="7"/>
        <v>3</v>
      </c>
      <c r="U27" s="253">
        <f t="shared" si="8"/>
        <v>-2.1345848258048172</v>
      </c>
      <c r="V27" s="385">
        <f t="shared" si="9"/>
        <v>17.223386194124917</v>
      </c>
      <c r="W27" s="404">
        <f t="shared" si="10"/>
        <v>5.7530953528432605</v>
      </c>
      <c r="X27" s="157">
        <f t="shared" si="11"/>
        <v>46035</v>
      </c>
      <c r="Y27" s="387">
        <f t="shared" si="12"/>
        <v>5.4064589046021005</v>
      </c>
      <c r="Z27" s="387">
        <f t="shared" si="22"/>
        <v>5.7600144646410705</v>
      </c>
      <c r="AA27" s="388">
        <f t="shared" si="13"/>
        <v>6.9046253466145782</v>
      </c>
      <c r="AB27" s="199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0.16577450976898031</v>
      </c>
      <c r="AD27" s="233">
        <f>(INDEX(Models!$BJ27:$BT27,,AH27)*(1-AF27)+INDEX(Models!$BJ27:$BT27,,AH27+1)*AF27-ERP_i)*AE27*Ramure*Pc/MaxiM</f>
        <v>0.18772398685606884</v>
      </c>
      <c r="AE27" s="307">
        <f t="shared" si="15"/>
        <v>0.9</v>
      </c>
      <c r="AF27" s="179">
        <f t="shared" si="23"/>
        <v>0.50107082650216173</v>
      </c>
      <c r="AG27" s="839">
        <f t="shared" si="24"/>
        <v>2</v>
      </c>
      <c r="AH27" s="178">
        <f t="shared" si="16"/>
        <v>8</v>
      </c>
      <c r="AI27" s="227">
        <f t="shared" si="17"/>
        <v>2.5010708265021617</v>
      </c>
      <c r="AJ27" s="267" t="b">
        <f t="shared" si="18"/>
        <v>1</v>
      </c>
      <c r="AK27" s="267" t="b">
        <f t="shared" si="19"/>
        <v>0</v>
      </c>
      <c r="AL27" s="267"/>
      <c r="AM27" s="267"/>
      <c r="AN27" s="75"/>
    </row>
    <row r="28" spans="1:40" s="6" customFormat="1" ht="11.25" x14ac:dyDescent="0.2">
      <c r="A28" s="56">
        <f t="shared" si="20"/>
        <v>46036</v>
      </c>
      <c r="B28" s="413">
        <f>'2025'!Wh/'2025'!Env_an*'2026'!Env_an</f>
        <v>17.751873293471949</v>
      </c>
      <c r="C28" s="868"/>
      <c r="D28" s="395">
        <f t="shared" si="0"/>
        <v>18.913197776173149</v>
      </c>
      <c r="E28" s="387">
        <f t="shared" si="1"/>
        <v>21.494816541871675</v>
      </c>
      <c r="F28" s="387">
        <f t="shared" si="2"/>
        <v>21.692421575213356</v>
      </c>
      <c r="G28" s="110">
        <f t="shared" si="21"/>
        <v>1.0190269259145368</v>
      </c>
      <c r="H28" s="416" t="b">
        <f>Wh_hp&gt;='2025'!Maxi_hp</f>
        <v>1</v>
      </c>
      <c r="I28" s="392">
        <f>IF(H28,Wh_hp,'2025'!Maxi_hp)</f>
        <v>21.692421575213356</v>
      </c>
      <c r="J28" s="85">
        <f>IF(H28,An,'2025'!An_max)</f>
        <v>2026</v>
      </c>
      <c r="K28" s="199">
        <f t="shared" si="3"/>
        <v>46036</v>
      </c>
      <c r="L28" s="147">
        <f>IF(t&lt;Tvie,1-EXP((T0-t)*PertePVj)+'2025'!Pspv,1-EXP((T0-t)*PertePVj)+Pspv)</f>
        <v>6.1402862511396039E-2</v>
      </c>
      <c r="M28" s="872"/>
      <c r="N28" s="872"/>
      <c r="O28" s="48">
        <f>IF(t&lt;Tnet,'2025'!Resal+('2025'!Salim-'2025'!Resal)*(1-EXP(('2025'!Tnet-t)/('2025'!Tau_j))),Resal+(Salim-Resal)*(1-EXP((Tnet-t)/(Tau_j))))*Salcycl</f>
        <v>0.12010424749006615</v>
      </c>
      <c r="P28" s="171">
        <f>(INDEX(Models!$BJ28:$BT28,,T28)*(1-R28)+INDEX(Models!$BJ28:$BT28,,T28+1)*R28-ERP_i)*Q28*Ramure*Pc/MaxiM</f>
        <v>9.1094040679844408E-3</v>
      </c>
      <c r="Q28" s="307">
        <f t="shared" si="4"/>
        <v>0.9</v>
      </c>
      <c r="R28" s="179">
        <f t="shared" si="5"/>
        <v>0.86548202614172798</v>
      </c>
      <c r="S28" s="839">
        <f t="shared" si="6"/>
        <v>-3</v>
      </c>
      <c r="T28" s="178">
        <f t="shared" si="7"/>
        <v>3</v>
      </c>
      <c r="U28" s="253">
        <f t="shared" si="8"/>
        <v>-2.134517973858272</v>
      </c>
      <c r="V28" s="385">
        <f t="shared" si="9"/>
        <v>17.420416322699552</v>
      </c>
      <c r="W28" s="404">
        <f t="shared" si="10"/>
        <v>17.751873293471949</v>
      </c>
      <c r="X28" s="157">
        <f t="shared" si="11"/>
        <v>46036</v>
      </c>
      <c r="Y28" s="387">
        <f t="shared" si="12"/>
        <v>13.852961137945803</v>
      </c>
      <c r="Z28" s="387">
        <f t="shared" si="22"/>
        <v>14.759219461303758</v>
      </c>
      <c r="AA28" s="388">
        <f t="shared" si="13"/>
        <v>17.69327303046569</v>
      </c>
      <c r="AB28" s="199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0.16582876238386443</v>
      </c>
      <c r="AD28" s="233">
        <f>(INDEX(Models!$BJ28:$BT28,,AH28)*(1-AF28)+INDEX(Models!$BJ28:$BT28,,AH28+1)*AF28-ERP_i)*AE28*Ramure*Pc/MaxiM</f>
        <v>0.18435694377787942</v>
      </c>
      <c r="AE28" s="307">
        <f t="shared" si="15"/>
        <v>0.9</v>
      </c>
      <c r="AF28" s="179">
        <f t="shared" si="23"/>
        <v>0.50113767844870694</v>
      </c>
      <c r="AG28" s="839">
        <f t="shared" si="24"/>
        <v>2</v>
      </c>
      <c r="AH28" s="178">
        <f t="shared" si="16"/>
        <v>8</v>
      </c>
      <c r="AI28" s="227">
        <f t="shared" si="17"/>
        <v>2.5011376784487069</v>
      </c>
      <c r="AJ28" s="267" t="b">
        <f t="shared" si="18"/>
        <v>1</v>
      </c>
      <c r="AK28" s="267" t="b">
        <f t="shared" si="19"/>
        <v>0</v>
      </c>
      <c r="AL28" s="267"/>
      <c r="AM28" s="267"/>
      <c r="AN28" s="75"/>
    </row>
    <row r="29" spans="1:40" s="6" customFormat="1" ht="11.25" x14ac:dyDescent="0.2">
      <c r="A29" s="56">
        <f t="shared" si="20"/>
        <v>46037</v>
      </c>
      <c r="B29" s="413">
        <f>'2025'!Wh/'2025'!Env_an*'2026'!Env_an</f>
        <v>17.880237068122486</v>
      </c>
      <c r="C29" s="868"/>
      <c r="D29" s="395">
        <f t="shared" si="0"/>
        <v>19.050402417470583</v>
      </c>
      <c r="E29" s="387">
        <f t="shared" si="1"/>
        <v>21.653355215981584</v>
      </c>
      <c r="F29" s="387">
        <f t="shared" si="2"/>
        <v>21.851929496030461</v>
      </c>
      <c r="G29" s="110">
        <f t="shared" si="21"/>
        <v>1.0145513106600166</v>
      </c>
      <c r="H29" s="416" t="b">
        <f>Wh_hp&gt;='2025'!Maxi_hp</f>
        <v>1</v>
      </c>
      <c r="I29" s="392">
        <f>IF(H29,Wh_hp,'2025'!Maxi_hp)</f>
        <v>21.851929496030461</v>
      </c>
      <c r="J29" s="85">
        <f>IF(H29,An,'2025'!An_max)</f>
        <v>2026</v>
      </c>
      <c r="K29" s="199">
        <f t="shared" si="3"/>
        <v>46037</v>
      </c>
      <c r="L29" s="147">
        <f>IF(t&lt;Tvie,1-EXP((T0-t)*PertePVj)+'2025'!Pspv,1-EXP((T0-t)*PertePVj)+Pspv)</f>
        <v>6.1424705037987581E-2</v>
      </c>
      <c r="M29" s="872"/>
      <c r="N29" s="872"/>
      <c r="O29" s="48">
        <f>IF(t&lt;Tnet,'2025'!Resal+('2025'!Salim-'2025'!Resal)*(1-EXP(('2025'!Tnet-t)/('2025'!Tau_j))),Resal+(Salim-Resal)*(1-EXP((Tnet-t)/(Tau_j))))*Salcycl</f>
        <v>0.12021013706872795</v>
      </c>
      <c r="P29" s="171">
        <f>(INDEX(Models!$BJ29:$BT29,,T29)*(1-R29)+INDEX(Models!$BJ29:$BT29,,T29+1)*R29-ERP_i)*Q29*Ramure*Pc/MaxiM</f>
        <v>9.0872652726135452E-3</v>
      </c>
      <c r="Q29" s="307">
        <f t="shared" si="4"/>
        <v>0.9</v>
      </c>
      <c r="R29" s="179">
        <f t="shared" si="5"/>
        <v>0.86555166907196934</v>
      </c>
      <c r="S29" s="839">
        <f t="shared" si="6"/>
        <v>-3</v>
      </c>
      <c r="T29" s="178">
        <f t="shared" si="7"/>
        <v>3</v>
      </c>
      <c r="U29" s="253">
        <f t="shared" si="8"/>
        <v>-2.1344483309280307</v>
      </c>
      <c r="V29" s="385">
        <f t="shared" si="9"/>
        <v>17.623787856023263</v>
      </c>
      <c r="W29" s="404">
        <f t="shared" si="10"/>
        <v>17.880237068122486</v>
      </c>
      <c r="X29" s="157">
        <f t="shared" si="11"/>
        <v>46037</v>
      </c>
      <c r="Y29" s="387">
        <f t="shared" si="12"/>
        <v>14.011662405097349</v>
      </c>
      <c r="Z29" s="387">
        <f t="shared" si="22"/>
        <v>14.928650349426098</v>
      </c>
      <c r="AA29" s="388">
        <f t="shared" si="13"/>
        <v>17.897554021950853</v>
      </c>
      <c r="AB29" s="199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0.16588320777707821</v>
      </c>
      <c r="AD29" s="233">
        <f>(INDEX(Models!$BJ29:$BT29,,AH29)*(1-AF29)+INDEX(Models!$BJ29:$BT29,,AH29+1)*AF29-ERP_i)*AE29*Ramure*Pc/MaxiM</f>
        <v>0.18096230242724992</v>
      </c>
      <c r="AE29" s="307">
        <f t="shared" si="15"/>
        <v>0.9</v>
      </c>
      <c r="AF29" s="179">
        <f t="shared" si="23"/>
        <v>0.5012073213789483</v>
      </c>
      <c r="AG29" s="839">
        <f t="shared" si="24"/>
        <v>2</v>
      </c>
      <c r="AH29" s="178">
        <f t="shared" si="16"/>
        <v>8</v>
      </c>
      <c r="AI29" s="227">
        <f t="shared" si="17"/>
        <v>2.5012073213789483</v>
      </c>
      <c r="AJ29" s="267" t="b">
        <f t="shared" si="18"/>
        <v>1</v>
      </c>
      <c r="AK29" s="267" t="b">
        <f t="shared" si="19"/>
        <v>0</v>
      </c>
      <c r="AL29" s="267"/>
      <c r="AM29" s="267"/>
      <c r="AN29" s="75"/>
    </row>
    <row r="30" spans="1:40" s="6" customFormat="1" ht="11.25" x14ac:dyDescent="0.2">
      <c r="A30" s="56">
        <f t="shared" si="20"/>
        <v>46038</v>
      </c>
      <c r="B30" s="413">
        <f>'2025'!Wh/'2025'!Env_an*'2026'!Env_an</f>
        <v>17.847002594100704</v>
      </c>
      <c r="C30" s="868"/>
      <c r="D30" s="395">
        <f t="shared" si="0"/>
        <v>19.015435442834317</v>
      </c>
      <c r="E30" s="387">
        <f t="shared" si="1"/>
        <v>21.616213869283953</v>
      </c>
      <c r="F30" s="387">
        <f t="shared" si="2"/>
        <v>21.813416600563905</v>
      </c>
      <c r="G30" s="110">
        <f t="shared" si="21"/>
        <v>1.0007717959974689</v>
      </c>
      <c r="H30" s="416" t="b">
        <f>Wh_hp&gt;='2025'!Maxi_hp</f>
        <v>1</v>
      </c>
      <c r="I30" s="392">
        <f>IF(H30,Wh_hp,'2025'!Maxi_hp)</f>
        <v>21.813416600563905</v>
      </c>
      <c r="J30" s="85">
        <f>IF(H30,An,'2025'!An_max)</f>
        <v>2026</v>
      </c>
      <c r="K30" s="199">
        <f t="shared" si="3"/>
        <v>46038</v>
      </c>
      <c r="L30" s="147">
        <f>IF(t&lt;Tvie,1-EXP((T0-t)*PertePVj)+'2025'!Pspv,1-EXP((T0-t)*PertePVj)+Pspv)</f>
        <v>6.1446547056271617E-2</v>
      </c>
      <c r="M30" s="872"/>
      <c r="N30" s="872"/>
      <c r="O30" s="48">
        <f>IF(t&lt;Tnet,'2025'!Resal+('2025'!Salim-'2025'!Resal)*(1-EXP(('2025'!Tnet-t)/('2025'!Tau_j))),Resal+(Salim-Resal)*(1-EXP((Tnet-t)/(Tau_j))))*Salcycl</f>
        <v>0.12031609430665714</v>
      </c>
      <c r="P30" s="171">
        <f>(INDEX(Models!$BJ30:$BT30,,T30)*(1-R30)+INDEX(Models!$BJ30:$BT30,,T30+1)*R30-ERP_i)*Q30*Ramure*Pc/MaxiM</f>
        <v>9.0404330000671464E-3</v>
      </c>
      <c r="Q30" s="307">
        <f t="shared" si="4"/>
        <v>0.9</v>
      </c>
      <c r="R30" s="179">
        <f t="shared" si="5"/>
        <v>0.86562421891351971</v>
      </c>
      <c r="S30" s="839">
        <f t="shared" si="6"/>
        <v>-3</v>
      </c>
      <c r="T30" s="178">
        <f t="shared" si="7"/>
        <v>3</v>
      </c>
      <c r="U30" s="253">
        <f t="shared" si="8"/>
        <v>-2.1343757810864803</v>
      </c>
      <c r="V30" s="385">
        <f t="shared" si="9"/>
        <v>17.833238971640483</v>
      </c>
      <c r="W30" s="404">
        <f t="shared" si="10"/>
        <v>17.847002594100704</v>
      </c>
      <c r="X30" s="157">
        <f t="shared" si="11"/>
        <v>46038</v>
      </c>
      <c r="Y30" s="387">
        <f t="shared" si="12"/>
        <v>14.044026830993772</v>
      </c>
      <c r="Z30" s="387">
        <f t="shared" si="22"/>
        <v>14.963481074994021</v>
      </c>
      <c r="AA30" s="388">
        <f t="shared" si="13"/>
        <v>17.940486947669214</v>
      </c>
      <c r="AB30" s="199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0.16593785226448152</v>
      </c>
      <c r="AD30" s="233">
        <f>(INDEX(Models!$BJ30:$BT30,,AH30)*(1-AF30)+INDEX(Models!$BJ30:$BT30,,AH30+1)*AF30-ERP_i)*AE30*Ramure*Pc/MaxiM</f>
        <v>0.17754805328361856</v>
      </c>
      <c r="AE30" s="307">
        <f t="shared" si="15"/>
        <v>0.9</v>
      </c>
      <c r="AF30" s="179">
        <f t="shared" si="23"/>
        <v>0.50127987122049866</v>
      </c>
      <c r="AG30" s="839">
        <f t="shared" si="24"/>
        <v>2</v>
      </c>
      <c r="AH30" s="178">
        <f t="shared" si="16"/>
        <v>8</v>
      </c>
      <c r="AI30" s="227">
        <f t="shared" si="17"/>
        <v>2.5012798712204987</v>
      </c>
      <c r="AJ30" s="267" t="b">
        <f t="shared" si="18"/>
        <v>1</v>
      </c>
      <c r="AK30" s="267" t="b">
        <f t="shared" si="19"/>
        <v>0</v>
      </c>
      <c r="AL30" s="267"/>
      <c r="AM30" s="267"/>
      <c r="AN30" s="75"/>
    </row>
    <row r="31" spans="1:40" s="6" customFormat="1" ht="11.25" x14ac:dyDescent="0.2">
      <c r="A31" s="56">
        <f t="shared" si="20"/>
        <v>46039</v>
      </c>
      <c r="B31" s="413">
        <f>'2025'!Wh/'2025'!Env_an*'2026'!Env_an</f>
        <v>14.279227070775303</v>
      </c>
      <c r="C31" s="868"/>
      <c r="D31" s="395">
        <f t="shared" si="0"/>
        <v>15.214433799370656</v>
      </c>
      <c r="E31" s="387">
        <f t="shared" si="1"/>
        <v>17.297426689759646</v>
      </c>
      <c r="F31" s="387">
        <f t="shared" si="2"/>
        <v>17.406953696805935</v>
      </c>
      <c r="G31" s="110">
        <f t="shared" si="21"/>
        <v>0.78904156724700214</v>
      </c>
      <c r="H31" s="416" t="b">
        <f>Wh_hp&gt;='2025'!Maxi_hp</f>
        <v>1</v>
      </c>
      <c r="I31" s="392">
        <f>IF(H31,Wh_hp,'2025'!Maxi_hp)</f>
        <v>17.406953696805935</v>
      </c>
      <c r="J31" s="85">
        <f>IF(H31,An,'2025'!An_max)</f>
        <v>2026</v>
      </c>
      <c r="K31" s="199">
        <f t="shared" si="3"/>
        <v>46039</v>
      </c>
      <c r="L31" s="147">
        <f>IF(t&lt;Tvie,1-EXP((T0-t)*PertePVj)+'2025'!Pspv,1-EXP((T0-t)*PertePVj)+Pspv)</f>
        <v>6.1468388566259913E-2</v>
      </c>
      <c r="M31" s="872"/>
      <c r="N31" s="872"/>
      <c r="O31" s="48">
        <f>IF(t&lt;Tnet,'2025'!Resal+('2025'!Salim-'2025'!Resal)*(1-EXP(('2025'!Tnet-t)/('2025'!Tau_j))),Resal+(Salim-Resal)*(1-EXP((Tnet-t)/(Tau_j))))*Salcycl</f>
        <v>0.12042212565769418</v>
      </c>
      <c r="P31" s="171">
        <f>(INDEX(Models!$BJ31:$BT31,,T31)*(1-R31)+INDEX(Models!$BJ31:$BT31,,T31+1)*R31-ERP_i)*Q31*Ramure*Pc/MaxiM</f>
        <v>8.9673335149585819E-3</v>
      </c>
      <c r="Q31" s="307">
        <f t="shared" si="4"/>
        <v>0.9</v>
      </c>
      <c r="R31" s="179">
        <f t="shared" si="5"/>
        <v>0.86569979635861571</v>
      </c>
      <c r="S31" s="839">
        <f t="shared" si="6"/>
        <v>-3</v>
      </c>
      <c r="T31" s="178">
        <f t="shared" si="7"/>
        <v>3</v>
      </c>
      <c r="U31" s="253">
        <f t="shared" si="8"/>
        <v>-2.1343002036413843</v>
      </c>
      <c r="V31" s="385">
        <f t="shared" si="9"/>
        <v>18.048206965020455</v>
      </c>
      <c r="W31" s="404">
        <f t="shared" si="10"/>
        <v>14.279227070775303</v>
      </c>
      <c r="X31" s="157">
        <f t="shared" si="11"/>
        <v>46039</v>
      </c>
      <c r="Y31" s="387">
        <f t="shared" si="12"/>
        <v>11.96011294260623</v>
      </c>
      <c r="Z31" s="387">
        <f t="shared" si="22"/>
        <v>12.743431118250202</v>
      </c>
      <c r="AA31" s="388">
        <f t="shared" si="13"/>
        <v>15.279759760069091</v>
      </c>
      <c r="AB31" s="199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0.16599270418158849</v>
      </c>
      <c r="AD31" s="233">
        <f>(INDEX(Models!$BJ31:$BT31,,AH31)*(1-AF31)+INDEX(Models!$BJ31:$BT31,,AH31+1)*AF31-ERP_i)*AE31*Ramure*Pc/MaxiM</f>
        <v>0.17416030982801597</v>
      </c>
      <c r="AE31" s="307">
        <f t="shared" si="15"/>
        <v>0.9</v>
      </c>
      <c r="AF31" s="179">
        <f t="shared" si="23"/>
        <v>0.50135544866559467</v>
      </c>
      <c r="AG31" s="839">
        <f t="shared" si="24"/>
        <v>2</v>
      </c>
      <c r="AH31" s="178">
        <f t="shared" si="16"/>
        <v>8</v>
      </c>
      <c r="AI31" s="227">
        <f t="shared" si="17"/>
        <v>2.5013554486655947</v>
      </c>
      <c r="AJ31" s="267" t="b">
        <f t="shared" si="18"/>
        <v>1</v>
      </c>
      <c r="AK31" s="267" t="b">
        <f t="shared" si="19"/>
        <v>0</v>
      </c>
      <c r="AL31" s="267"/>
      <c r="AM31" s="267"/>
      <c r="AN31" s="75"/>
    </row>
    <row r="32" spans="1:40" s="6" customFormat="1" ht="11.25" x14ac:dyDescent="0.2">
      <c r="A32" s="56">
        <f t="shared" si="20"/>
        <v>46040</v>
      </c>
      <c r="B32" s="413">
        <f>'2025'!Wh/'2025'!Env_an*'2026'!Env_an</f>
        <v>3.9511547640767821</v>
      </c>
      <c r="C32" s="868"/>
      <c r="D32" s="395">
        <f t="shared" si="0"/>
        <v>4.2100305064036778</v>
      </c>
      <c r="E32" s="387">
        <f t="shared" si="1"/>
        <v>4.7869990733318932</v>
      </c>
      <c r="F32" s="387">
        <f t="shared" si="2"/>
        <v>4.7869990733318932</v>
      </c>
      <c r="G32" s="110">
        <f t="shared" si="21"/>
        <v>0.21436906587952251</v>
      </c>
      <c r="H32" s="416" t="b">
        <f>Wh_hp&gt;='2025'!Maxi_hp</f>
        <v>0</v>
      </c>
      <c r="I32" s="392">
        <f>IF(H32,Wh_hp,'2025'!Maxi_hp)</f>
        <v>21.664293726015998</v>
      </c>
      <c r="J32" s="85">
        <f>IF(H32,An,'2025'!An_max)</f>
        <v>2021</v>
      </c>
      <c r="K32" s="199">
        <f t="shared" si="3"/>
        <v>46040</v>
      </c>
      <c r="L32" s="147">
        <f>IF(t&lt;Tvie,1-EXP((T0-t)*PertePVj)+'2025'!Pspv,1-EXP((T0-t)*PertePVj)+Pspv)</f>
        <v>6.1490229567964461E-2</v>
      </c>
      <c r="M32" s="872"/>
      <c r="N32" s="872"/>
      <c r="O32" s="48">
        <f>IF(t&lt;Tnet,'2025'!Resal+('2025'!Salim-'2025'!Resal)*(1-EXP(('2025'!Tnet-t)/('2025'!Tau_j))),Resal+(Salim-Resal)*(1-EXP((Tnet-t)/(Tau_j))))*Salcycl</f>
        <v>0.12052823869185086</v>
      </c>
      <c r="P32" s="171">
        <f>(INDEX(Models!$BJ32:$BT32,,T32)*(1-R32)+INDEX(Models!$BJ32:$BT32,,T32+1)*R32-ERP_i)*Q32*Ramure*Pc/MaxiM</f>
        <v>8.869201356615777E-3</v>
      </c>
      <c r="Q32" s="307">
        <f t="shared" si="4"/>
        <v>0.9</v>
      </c>
      <c r="R32" s="179">
        <f t="shared" si="5"/>
        <v>0.86577852705561398</v>
      </c>
      <c r="S32" s="839">
        <f t="shared" si="6"/>
        <v>-3</v>
      </c>
      <c r="T32" s="178">
        <f t="shared" si="7"/>
        <v>3</v>
      </c>
      <c r="U32" s="253">
        <f t="shared" si="8"/>
        <v>-2.134221472944386</v>
      </c>
      <c r="V32" s="385">
        <f t="shared" si="9"/>
        <v>18.268079682186634</v>
      </c>
      <c r="W32" s="404">
        <f t="shared" si="10"/>
        <v>3.9511547640767821</v>
      </c>
      <c r="X32" s="157">
        <f t="shared" si="11"/>
        <v>46040</v>
      </c>
      <c r="Y32" s="387">
        <f t="shared" si="12"/>
        <v>3.746651635864056</v>
      </c>
      <c r="Z32" s="387">
        <f t="shared" si="22"/>
        <v>3.9921285360080105</v>
      </c>
      <c r="AA32" s="388">
        <f t="shared" si="13"/>
        <v>4.7869990733318932</v>
      </c>
      <c r="AB32" s="199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0.1660477733852222</v>
      </c>
      <c r="AD32" s="233">
        <f>(INDEX(Models!$BJ32:$BT32,,AH32)*(1-AF32)+INDEX(Models!$BJ32:$BT32,,AH32+1)*AF32-ERP_i)*AE32*Ramure*Pc/MaxiM</f>
        <v>0.1708063058786288</v>
      </c>
      <c r="AE32" s="307">
        <f t="shared" si="15"/>
        <v>0.9</v>
      </c>
      <c r="AF32" s="179">
        <f t="shared" si="23"/>
        <v>0.50143417936259294</v>
      </c>
      <c r="AG32" s="839">
        <f t="shared" si="24"/>
        <v>2</v>
      </c>
      <c r="AH32" s="178">
        <f t="shared" si="16"/>
        <v>8</v>
      </c>
      <c r="AI32" s="227">
        <f t="shared" si="17"/>
        <v>2.5014341793625929</v>
      </c>
      <c r="AJ32" s="267" t="b">
        <f t="shared" si="18"/>
        <v>1</v>
      </c>
      <c r="AK32" s="267" t="b">
        <f t="shared" si="19"/>
        <v>0</v>
      </c>
      <c r="AL32" s="267"/>
      <c r="AM32" s="267"/>
      <c r="AN32" s="75"/>
    </row>
    <row r="33" spans="1:40" s="6" customFormat="1" ht="11.25" x14ac:dyDescent="0.2">
      <c r="A33" s="56">
        <f t="shared" si="20"/>
        <v>46041</v>
      </c>
      <c r="B33" s="413">
        <f>'2025'!Wh/'2025'!Env_an*'2026'!Env_an</f>
        <v>9.6699681634216788</v>
      </c>
      <c r="C33" s="868"/>
      <c r="D33" s="395">
        <f t="shared" si="0"/>
        <v>10.303774673004371</v>
      </c>
      <c r="E33" s="387">
        <f t="shared" si="1"/>
        <v>11.717282506997229</v>
      </c>
      <c r="F33" s="387">
        <f t="shared" si="2"/>
        <v>11.750013625151674</v>
      </c>
      <c r="G33" s="110">
        <f t="shared" si="21"/>
        <v>0.51979401941292958</v>
      </c>
      <c r="H33" s="416" t="b">
        <f>Wh_hp&gt;='2025'!Maxi_hp</f>
        <v>0</v>
      </c>
      <c r="I33" s="392">
        <f>IF(H33,Wh_hp,'2025'!Maxi_hp)</f>
        <v>22.003301908530709</v>
      </c>
      <c r="J33" s="85">
        <f>IF(H33,An,'2025'!An_max)</f>
        <v>2021</v>
      </c>
      <c r="K33" s="199">
        <f t="shared" si="3"/>
        <v>46041</v>
      </c>
      <c r="L33" s="147">
        <f>IF(t&lt;Tvie,1-EXP((T0-t)*PertePVj)+'2025'!Pspv,1-EXP((T0-t)*PertePVj)+Pspv)</f>
        <v>6.1512070061396917E-2</v>
      </c>
      <c r="M33" s="872"/>
      <c r="N33" s="872"/>
      <c r="O33" s="48">
        <f>IF(t&lt;Tnet,'2025'!Resal+('2025'!Salim-'2025'!Resal)*(1-EXP(('2025'!Tnet-t)/('2025'!Tau_j))),Resal+(Salim-Resal)*(1-EXP((Tnet-t)/(Tau_j))))*Salcycl</f>
        <v>0.12063444174438501</v>
      </c>
      <c r="P33" s="171">
        <f>(INDEX(Models!$BJ33:$BT33,,T33)*(1-R33)+INDEX(Models!$BJ33:$BT33,,T33+1)*R33-ERP_i)*Q33*Ramure*Pc/MaxiM</f>
        <v>8.7472417708892442E-3</v>
      </c>
      <c r="Q33" s="307">
        <f t="shared" si="4"/>
        <v>0.9</v>
      </c>
      <c r="R33" s="179">
        <f t="shared" si="5"/>
        <v>0.86586054180781913</v>
      </c>
      <c r="S33" s="839">
        <f t="shared" si="6"/>
        <v>-3</v>
      </c>
      <c r="T33" s="178">
        <f t="shared" si="7"/>
        <v>3</v>
      </c>
      <c r="U33" s="253">
        <f t="shared" si="8"/>
        <v>-2.1341394581921809</v>
      </c>
      <c r="V33" s="385">
        <f t="shared" si="9"/>
        <v>18.492245221855473</v>
      </c>
      <c r="W33" s="404">
        <f t="shared" si="10"/>
        <v>9.6699681634216788</v>
      </c>
      <c r="X33" s="157">
        <f t="shared" si="11"/>
        <v>46041</v>
      </c>
      <c r="Y33" s="387">
        <f t="shared" si="12"/>
        <v>8.7051012081897241</v>
      </c>
      <c r="Z33" s="387">
        <f t="shared" si="22"/>
        <v>9.2756666660158551</v>
      </c>
      <c r="AA33" s="388">
        <f t="shared" si="13"/>
        <v>11.123277159131469</v>
      </c>
      <c r="AB33" s="199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0.16610307076623085</v>
      </c>
      <c r="AD33" s="233">
        <f>(INDEX(Models!$BJ33:$BT33,,AH33)*(1-AF33)+INDEX(Models!$BJ33:$BT33,,AH33+1)*AF33-ERP_i)*AE33*Ramure*Pc/MaxiM</f>
        <v>0.16749245684315153</v>
      </c>
      <c r="AE33" s="307">
        <f t="shared" si="15"/>
        <v>0.9</v>
      </c>
      <c r="AF33" s="179">
        <f t="shared" si="23"/>
        <v>0.50151619411479809</v>
      </c>
      <c r="AG33" s="839">
        <f t="shared" si="24"/>
        <v>2</v>
      </c>
      <c r="AH33" s="178">
        <f t="shared" si="16"/>
        <v>8</v>
      </c>
      <c r="AI33" s="227">
        <f t="shared" si="17"/>
        <v>2.5015161941147981</v>
      </c>
      <c r="AJ33" s="267" t="b">
        <f t="shared" si="18"/>
        <v>1</v>
      </c>
      <c r="AK33" s="267" t="b">
        <f t="shared" si="19"/>
        <v>0</v>
      </c>
      <c r="AL33" s="267"/>
      <c r="AM33" s="267"/>
      <c r="AN33" s="75"/>
    </row>
    <row r="34" spans="1:40" s="6" customFormat="1" ht="11.25" x14ac:dyDescent="0.2">
      <c r="A34" s="56">
        <f t="shared" si="20"/>
        <v>46042</v>
      </c>
      <c r="B34" s="413">
        <f>'2025'!Wh/'2025'!Env_an*'2026'!Env_an</f>
        <v>5.7025294493642846</v>
      </c>
      <c r="C34" s="868"/>
      <c r="D34" s="395">
        <f t="shared" si="0"/>
        <v>6.0764363362849476</v>
      </c>
      <c r="E34" s="387">
        <f t="shared" si="1"/>
        <v>6.9108585344820153</v>
      </c>
      <c r="F34" s="387">
        <f t="shared" si="2"/>
        <v>6.9112510084132905</v>
      </c>
      <c r="G34" s="110">
        <f t="shared" si="21"/>
        <v>0.30201741682503547</v>
      </c>
      <c r="H34" s="416" t="b">
        <f>Wh_hp&gt;='2025'!Maxi_hp</f>
        <v>0</v>
      </c>
      <c r="I34" s="392">
        <f>IF(H34,Wh_hp,'2025'!Maxi_hp)</f>
        <v>9.8558030999389263</v>
      </c>
      <c r="J34" s="85">
        <f>IF(H34,An,'2025'!An_max)</f>
        <v>2020</v>
      </c>
      <c r="K34" s="199">
        <f t="shared" si="3"/>
        <v>46042</v>
      </c>
      <c r="L34" s="147">
        <f>IF(t&lt;Tvie,1-EXP((T0-t)*PertePVj)+'2025'!Pspv,1-EXP((T0-t)*PertePVj)+Pspv)</f>
        <v>6.1533910046569273E-2</v>
      </c>
      <c r="M34" s="872"/>
      <c r="N34" s="872"/>
      <c r="O34" s="48">
        <f>IF(t&lt;Tnet,'2025'!Resal+('2025'!Salim-'2025'!Resal)*(1-EXP(('2025'!Tnet-t)/('2025'!Tau_j))),Resal+(Salim-Resal)*(1-EXP((Tnet-t)/(Tau_j))))*Salcycl</f>
        <v>0.12074074357530014</v>
      </c>
      <c r="P34" s="171">
        <f>(INDEX(Models!$BJ34:$BT34,,T34)*(1-R34)+INDEX(Models!$BJ34:$BT34,,T34+1)*R34-ERP_i)*Q34*Ramure*Pc/MaxiM</f>
        <v>8.6026703932272908E-3</v>
      </c>
      <c r="Q34" s="307">
        <f t="shared" si="4"/>
        <v>0.9</v>
      </c>
      <c r="R34" s="179">
        <f t="shared" si="5"/>
        <v>0.86594597677987917</v>
      </c>
      <c r="S34" s="839">
        <f t="shared" si="6"/>
        <v>-3</v>
      </c>
      <c r="T34" s="178">
        <f t="shared" si="7"/>
        <v>3</v>
      </c>
      <c r="U34" s="253">
        <f t="shared" si="8"/>
        <v>-2.1340540232201208</v>
      </c>
      <c r="V34" s="385">
        <f t="shared" si="9"/>
        <v>18.720091024465439</v>
      </c>
      <c r="W34" s="404">
        <f t="shared" si="10"/>
        <v>5.7025294493642846</v>
      </c>
      <c r="X34" s="157">
        <f t="shared" si="11"/>
        <v>46042</v>
      </c>
      <c r="Y34" s="387">
        <f t="shared" si="12"/>
        <v>5.4024111853551746</v>
      </c>
      <c r="Z34" s="387">
        <f t="shared" si="22"/>
        <v>5.7566397371089426</v>
      </c>
      <c r="AA34" s="388">
        <f t="shared" si="13"/>
        <v>6.9037586653859462</v>
      </c>
      <c r="AB34" s="199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0.16615860777816971</v>
      </c>
      <c r="AD34" s="233">
        <f>(INDEX(Models!$BJ34:$BT34,,AH34)*(1-AF34)+INDEX(Models!$BJ34:$BT34,,AH34+1)*AF34-ERP_i)*AE34*Ramure*Pc/MaxiM</f>
        <v>0.16422532148235272</v>
      </c>
      <c r="AE34" s="307">
        <f t="shared" si="15"/>
        <v>0.9</v>
      </c>
      <c r="AF34" s="179">
        <f t="shared" si="23"/>
        <v>0.50160162908685813</v>
      </c>
      <c r="AG34" s="839">
        <f t="shared" si="24"/>
        <v>2</v>
      </c>
      <c r="AH34" s="178">
        <f t="shared" si="16"/>
        <v>8</v>
      </c>
      <c r="AI34" s="227">
        <f t="shared" si="17"/>
        <v>2.5016016290868581</v>
      </c>
      <c r="AJ34" s="267" t="b">
        <f t="shared" si="18"/>
        <v>1</v>
      </c>
      <c r="AK34" s="267" t="b">
        <f t="shared" si="19"/>
        <v>0</v>
      </c>
      <c r="AL34" s="267"/>
      <c r="AM34" s="267"/>
      <c r="AN34" s="75"/>
    </row>
    <row r="35" spans="1:40" s="6" customFormat="1" ht="11.25" x14ac:dyDescent="0.2">
      <c r="A35" s="56">
        <f t="shared" si="20"/>
        <v>46043</v>
      </c>
      <c r="B35" s="413">
        <f>'2025'!Wh/'2025'!Env_an*'2026'!Env_an</f>
        <v>13.950326569615244</v>
      </c>
      <c r="C35" s="868"/>
      <c r="D35" s="395">
        <f t="shared" si="0"/>
        <v>14.865375926733838</v>
      </c>
      <c r="E35" s="387">
        <f t="shared" si="1"/>
        <v>16.908750256774898</v>
      </c>
      <c r="F35" s="387">
        <f t="shared" si="2"/>
        <v>16.998098418358733</v>
      </c>
      <c r="G35" s="110">
        <f t="shared" si="21"/>
        <v>0.73377249159336277</v>
      </c>
      <c r="H35" s="416" t="b">
        <f>Wh_hp&gt;='2025'!Maxi_hp</f>
        <v>1</v>
      </c>
      <c r="I35" s="392">
        <f>IF(H35,Wh_hp,'2025'!Maxi_hp)</f>
        <v>16.998098418358733</v>
      </c>
      <c r="J35" s="85">
        <f>IF(H35,An,'2025'!An_max)</f>
        <v>2026</v>
      </c>
      <c r="K35" s="199">
        <f t="shared" si="3"/>
        <v>46043</v>
      </c>
      <c r="L35" s="147">
        <f>IF(t&lt;Tvie,1-EXP((T0-t)*PertePVj)+'2025'!Pspv,1-EXP((T0-t)*PertePVj)+Pspv)</f>
        <v>6.1555749523493186E-2</v>
      </c>
      <c r="M35" s="872"/>
      <c r="N35" s="872"/>
      <c r="O35" s="48">
        <f>IF(t&lt;Tnet,'2025'!Resal+('2025'!Salim-'2025'!Resal)*(1-EXP(('2025'!Tnet-t)/('2025'!Tau_j))),Resal+(Salim-Resal)*(1-EXP((Tnet-t)/(Tau_j))))*Salcycl</f>
        <v>0.12084715304268766</v>
      </c>
      <c r="P35" s="171">
        <f>(INDEX(Models!$BJ35:$BT35,,T35)*(1-R35)+INDEX(Models!$BJ35:$BT35,,T35+1)*R35-ERP_i)*Q35*Ramure*Pc/MaxiM</f>
        <v>8.4366759671082453E-3</v>
      </c>
      <c r="Q35" s="307">
        <f t="shared" si="4"/>
        <v>0.9</v>
      </c>
      <c r="R35" s="179">
        <f t="shared" si="5"/>
        <v>0.86603497371200966</v>
      </c>
      <c r="S35" s="839">
        <f t="shared" si="6"/>
        <v>-3</v>
      </c>
      <c r="T35" s="178">
        <f t="shared" si="7"/>
        <v>3</v>
      </c>
      <c r="U35" s="253">
        <f t="shared" si="8"/>
        <v>-2.1339650262879903</v>
      </c>
      <c r="V35" s="385">
        <f t="shared" si="9"/>
        <v>18.951004398095147</v>
      </c>
      <c r="W35" s="404">
        <f t="shared" si="10"/>
        <v>13.950326569615244</v>
      </c>
      <c r="X35" s="157">
        <f t="shared" si="11"/>
        <v>46043</v>
      </c>
      <c r="Y35" s="387">
        <f t="shared" si="12"/>
        <v>11.966117677978596</v>
      </c>
      <c r="Z35" s="387">
        <f t="shared" si="22"/>
        <v>12.751016026687415</v>
      </c>
      <c r="AA35" s="388">
        <f t="shared" si="13"/>
        <v>15.292919385163865</v>
      </c>
      <c r="AB35" s="199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0.1662143959865785</v>
      </c>
      <c r="AD35" s="233">
        <f>(INDEX(Models!$BJ35:$BT35,,AH35)*(1-AF35)+INDEX(Models!$BJ35:$BT35,,AH35+1)*AF35-ERP_i)*AE35*Ramure*Pc/MaxiM</f>
        <v>0.16101106854306918</v>
      </c>
      <c r="AE35" s="307">
        <f t="shared" si="15"/>
        <v>0.9</v>
      </c>
      <c r="AF35" s="179">
        <f t="shared" si="23"/>
        <v>0.50169062601898862</v>
      </c>
      <c r="AG35" s="839">
        <f t="shared" si="24"/>
        <v>2</v>
      </c>
      <c r="AH35" s="178">
        <f t="shared" si="16"/>
        <v>8</v>
      </c>
      <c r="AI35" s="227">
        <f t="shared" si="17"/>
        <v>2.5016906260189886</v>
      </c>
      <c r="AJ35" s="267" t="b">
        <f t="shared" si="18"/>
        <v>1</v>
      </c>
      <c r="AK35" s="267" t="b">
        <f t="shared" si="19"/>
        <v>0</v>
      </c>
      <c r="AL35" s="267"/>
      <c r="AM35" s="267"/>
      <c r="AN35" s="75"/>
    </row>
    <row r="36" spans="1:40" s="6" customFormat="1" ht="11.25" x14ac:dyDescent="0.2">
      <c r="A36" s="56">
        <f t="shared" si="20"/>
        <v>46044</v>
      </c>
      <c r="B36" s="413">
        <f>'2025'!Wh/'2025'!Env_an*'2026'!Env_an</f>
        <v>19.061242878725103</v>
      </c>
      <c r="C36" s="868"/>
      <c r="D36" s="395">
        <f t="shared" si="0"/>
        <v>20.312007306068345</v>
      </c>
      <c r="E36" s="387">
        <f t="shared" si="1"/>
        <v>23.1068679955123</v>
      </c>
      <c r="F36" s="387">
        <f t="shared" si="2"/>
        <v>23.297316747561858</v>
      </c>
      <c r="G36" s="110">
        <f t="shared" si="21"/>
        <v>0.99350593390194275</v>
      </c>
      <c r="H36" s="416" t="b">
        <f>Wh_hp&gt;='2025'!Maxi_hp</f>
        <v>1</v>
      </c>
      <c r="I36" s="392">
        <f>IF(H36,Wh_hp,'2025'!Maxi_hp)</f>
        <v>23.297316747561858</v>
      </c>
      <c r="J36" s="85">
        <f>IF(H36,An,'2025'!An_max)</f>
        <v>2026</v>
      </c>
      <c r="K36" s="199">
        <f t="shared" si="3"/>
        <v>46044</v>
      </c>
      <c r="L36" s="147">
        <f>IF(t&lt;Tvie,1-EXP((T0-t)*PertePVj)+'2025'!Pspv,1-EXP((T0-t)*PertePVj)+Pspv)</f>
        <v>6.1577588492180535E-2</v>
      </c>
      <c r="M36" s="872"/>
      <c r="N36" s="872"/>
      <c r="O36" s="48">
        <f>IF(t&lt;Tnet,'2025'!Resal+('2025'!Salim-'2025'!Resal)*(1-EXP(('2025'!Tnet-t)/('2025'!Tau_j))),Resal+(Salim-Resal)*(1-EXP((Tnet-t)/(Tau_j))))*Salcycl</f>
        <v>0.12095367879310852</v>
      </c>
      <c r="P36" s="171">
        <f>(INDEX(Models!$BJ36:$BT36,,T36)*(1-R36)+INDEX(Models!$BJ36:$BT36,,T36+1)*R36-ERP_i)*Q36*Ramure*Pc/MaxiM</f>
        <v>8.2503549154609532E-3</v>
      </c>
      <c r="Q36" s="307">
        <f t="shared" si="4"/>
        <v>0.9</v>
      </c>
      <c r="R36" s="179">
        <f t="shared" si="5"/>
        <v>0.86612768014230479</v>
      </c>
      <c r="S36" s="839">
        <f t="shared" si="6"/>
        <v>-3</v>
      </c>
      <c r="T36" s="178">
        <f t="shared" si="7"/>
        <v>3</v>
      </c>
      <c r="U36" s="253">
        <f t="shared" si="8"/>
        <v>-2.1338723198576952</v>
      </c>
      <c r="V36" s="385">
        <f t="shared" si="9"/>
        <v>19.184373652712036</v>
      </c>
      <c r="W36" s="404">
        <f t="shared" si="10"/>
        <v>19.061242878725103</v>
      </c>
      <c r="X36" s="157">
        <f t="shared" si="11"/>
        <v>46044</v>
      </c>
      <c r="Y36" s="387">
        <f t="shared" si="12"/>
        <v>15.376674268394156</v>
      </c>
      <c r="Z36" s="387">
        <f t="shared" si="22"/>
        <v>16.385663939640501</v>
      </c>
      <c r="AA36" s="388">
        <f t="shared" si="13"/>
        <v>19.653452218008859</v>
      </c>
      <c r="AB36" s="199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0.16627044664316099</v>
      </c>
      <c r="AD36" s="233">
        <f>(INDEX(Models!$BJ36:$BT36,,AH36)*(1-AF36)+INDEX(Models!$BJ36:$BT36,,AH36+1)*AF36-ERP_i)*AE36*Ramure*Pc/MaxiM</f>
        <v>0.15785441127410638</v>
      </c>
      <c r="AE36" s="307">
        <f t="shared" si="15"/>
        <v>0.9</v>
      </c>
      <c r="AF36" s="179">
        <f t="shared" si="23"/>
        <v>0.50178333244928375</v>
      </c>
      <c r="AG36" s="839">
        <f t="shared" si="24"/>
        <v>2</v>
      </c>
      <c r="AH36" s="178">
        <f t="shared" si="16"/>
        <v>8</v>
      </c>
      <c r="AI36" s="227">
        <f t="shared" si="17"/>
        <v>2.5017833324492837</v>
      </c>
      <c r="AJ36" s="267" t="b">
        <f t="shared" si="18"/>
        <v>1</v>
      </c>
      <c r="AK36" s="267" t="b">
        <f t="shared" si="19"/>
        <v>0</v>
      </c>
      <c r="AL36" s="267"/>
      <c r="AM36" s="267"/>
      <c r="AN36" s="75"/>
    </row>
    <row r="37" spans="1:40" s="6" customFormat="1" ht="11.25" x14ac:dyDescent="0.2">
      <c r="A37" s="56">
        <f t="shared" si="20"/>
        <v>46045</v>
      </c>
      <c r="B37" s="413">
        <f>'2025'!Wh/'2025'!Env_an*'2026'!Env_an</f>
        <v>19.08856966168312</v>
      </c>
      <c r="C37" s="868"/>
      <c r="D37" s="395">
        <f t="shared" si="0"/>
        <v>20.341600602070187</v>
      </c>
      <c r="E37" s="387">
        <f t="shared" si="1"/>
        <v>23.143341087651805</v>
      </c>
      <c r="F37" s="387">
        <f t="shared" si="2"/>
        <v>23.326377588039033</v>
      </c>
      <c r="G37" s="110">
        <f t="shared" si="21"/>
        <v>0.98265161021575498</v>
      </c>
      <c r="H37" s="416" t="b">
        <f>Wh_hp&gt;='2025'!Maxi_hp</f>
        <v>1</v>
      </c>
      <c r="I37" s="392">
        <f>IF(H37,Wh_hp,'2025'!Maxi_hp)</f>
        <v>23.326377588039033</v>
      </c>
      <c r="J37" s="85">
        <f>IF(H37,An,'2025'!An_max)</f>
        <v>2026</v>
      </c>
      <c r="K37" s="199">
        <f t="shared" si="3"/>
        <v>46045</v>
      </c>
      <c r="L37" s="147">
        <f>IF(t&lt;Tvie,1-EXP((T0-t)*PertePVj)+'2025'!Pspv,1-EXP((T0-t)*PertePVj)+Pspv)</f>
        <v>6.159942695264331E-2</v>
      </c>
      <c r="M37" s="872"/>
      <c r="N37" s="872"/>
      <c r="O37" s="48">
        <f>IF(t&lt;Tnet,'2025'!Resal+('2025'!Salim-'2025'!Resal)*(1-EXP(('2025'!Tnet-t)/('2025'!Tau_j))),Resal+(Salim-Resal)*(1-EXP((Tnet-t)/(Tau_j))))*Salcycl</f>
        <v>0.12106032897196918</v>
      </c>
      <c r="P37" s="171">
        <f>(INDEX(Models!$BJ37:$BT37,,T37)*(1-R37)+INDEX(Models!$BJ37:$BT37,,T37+1)*R37-ERP_i)*Q37*Ramure*Pc/MaxiM</f>
        <v>8.0438713831233136E-3</v>
      </c>
      <c r="Q37" s="307">
        <f t="shared" si="4"/>
        <v>0.9</v>
      </c>
      <c r="R37" s="179">
        <f t="shared" si="5"/>
        <v>0.86622424963739286</v>
      </c>
      <c r="S37" s="839">
        <f t="shared" si="6"/>
        <v>-3</v>
      </c>
      <c r="T37" s="178">
        <f t="shared" si="7"/>
        <v>3</v>
      </c>
      <c r="U37" s="253">
        <f t="shared" si="8"/>
        <v>-2.1337757503626071</v>
      </c>
      <c r="V37" s="385">
        <f t="shared" si="9"/>
        <v>19.421712784833218</v>
      </c>
      <c r="W37" s="404">
        <f t="shared" si="10"/>
        <v>19.08856966168312</v>
      </c>
      <c r="X37" s="157">
        <f t="shared" si="11"/>
        <v>46045</v>
      </c>
      <c r="Y37" s="387">
        <f t="shared" si="12"/>
        <v>15.494027505257753</v>
      </c>
      <c r="Z37" s="387">
        <f t="shared" si="22"/>
        <v>16.511101922010273</v>
      </c>
      <c r="AA37" s="388">
        <f t="shared" si="13"/>
        <v>19.805244229481211</v>
      </c>
      <c r="AB37" s="199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0.16632677028882201</v>
      </c>
      <c r="AD37" s="233">
        <f>(INDEX(Models!$BJ37:$BT37,,AH37)*(1-AF37)+INDEX(Models!$BJ37:$BT37,,AH37+1)*AF37-ERP_i)*AE37*Ramure*Pc/MaxiM</f>
        <v>0.154742599422209</v>
      </c>
      <c r="AE37" s="307">
        <f t="shared" si="15"/>
        <v>0.9</v>
      </c>
      <c r="AF37" s="179">
        <f t="shared" si="23"/>
        <v>0.50187990194437182</v>
      </c>
      <c r="AG37" s="839">
        <f t="shared" si="24"/>
        <v>2</v>
      </c>
      <c r="AH37" s="178">
        <f t="shared" si="16"/>
        <v>8</v>
      </c>
      <c r="AI37" s="227">
        <f t="shared" si="17"/>
        <v>2.5018799019443718</v>
      </c>
      <c r="AJ37" s="267" t="b">
        <f t="shared" si="18"/>
        <v>1</v>
      </c>
      <c r="AK37" s="267" t="b">
        <f t="shared" si="19"/>
        <v>0</v>
      </c>
      <c r="AL37" s="267"/>
      <c r="AM37" s="267"/>
      <c r="AN37" s="75"/>
    </row>
    <row r="38" spans="1:40" s="6" customFormat="1" ht="11.25" x14ac:dyDescent="0.2">
      <c r="A38" s="56">
        <f t="shared" si="20"/>
        <v>46046</v>
      </c>
      <c r="B38" s="413">
        <f>'2025'!Wh/'2025'!Env_an*'2026'!Env_an</f>
        <v>19.492515446881203</v>
      </c>
      <c r="C38" s="868"/>
      <c r="D38" s="395">
        <f t="shared" si="0"/>
        <v>20.772546007136011</v>
      </c>
      <c r="E38" s="387">
        <f t="shared" si="1"/>
        <v>23.63651413836606</v>
      </c>
      <c r="F38" s="387">
        <f t="shared" si="2"/>
        <v>23.820113116433898</v>
      </c>
      <c r="G38" s="110">
        <f t="shared" si="21"/>
        <v>0.99113157702277155</v>
      </c>
      <c r="H38" s="416" t="b">
        <f>Wh_hp&gt;='2025'!Maxi_hp</f>
        <v>1</v>
      </c>
      <c r="I38" s="392">
        <f>IF(H38,Wh_hp,'2025'!Maxi_hp)</f>
        <v>23.820113116433898</v>
      </c>
      <c r="J38" s="85">
        <f>IF(H38,An,'2025'!An_max)</f>
        <v>2026</v>
      </c>
      <c r="K38" s="199">
        <f t="shared" si="3"/>
        <v>46046</v>
      </c>
      <c r="L38" s="147">
        <f>IF(t&lt;Tvie,1-EXP((T0-t)*PertePVj)+'2025'!Pspv,1-EXP((T0-t)*PertePVj)+Pspv)</f>
        <v>6.1621264904893058E-2</v>
      </c>
      <c r="M38" s="872"/>
      <c r="N38" s="872"/>
      <c r="O38" s="48">
        <f>IF(t&lt;Tnet,'2025'!Resal+('2025'!Salim-'2025'!Resal)*(1-EXP(('2025'!Tnet-t)/('2025'!Tau_j))),Resal+(Salim-Resal)*(1-EXP((Tnet-t)/(Tau_j))))*Salcycl</f>
        <v>0.12116711095657484</v>
      </c>
      <c r="P38" s="171">
        <f>(INDEX(Models!$BJ38:$BT38,,T38)*(1-R38)+INDEX(Models!$BJ38:$BT38,,T38+1)*R38-ERP_i)*Q38*Ramure*Pc/MaxiM</f>
        <v>7.8055293031048193E-3</v>
      </c>
      <c r="Q38" s="307">
        <f t="shared" si="4"/>
        <v>0.9</v>
      </c>
      <c r="R38" s="179">
        <f t="shared" si="5"/>
        <v>0.86632484203171423</v>
      </c>
      <c r="S38" s="839">
        <f t="shared" si="6"/>
        <v>-3</v>
      </c>
      <c r="T38" s="178">
        <f t="shared" si="7"/>
        <v>3</v>
      </c>
      <c r="U38" s="253">
        <f t="shared" si="8"/>
        <v>-2.1336751579682858</v>
      </c>
      <c r="V38" s="385">
        <f t="shared" si="9"/>
        <v>19.664991730692979</v>
      </c>
      <c r="W38" s="404">
        <f t="shared" si="10"/>
        <v>19.492515446881203</v>
      </c>
      <c r="X38" s="157">
        <f t="shared" si="11"/>
        <v>46046</v>
      </c>
      <c r="Y38" s="387">
        <f t="shared" si="12"/>
        <v>15.842910394556421</v>
      </c>
      <c r="Z38" s="387">
        <f t="shared" si="22"/>
        <v>16.883279428695392</v>
      </c>
      <c r="AA38" s="388">
        <f t="shared" si="13"/>
        <v>20.253050323737824</v>
      </c>
      <c r="AB38" s="199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0.16638337638912848</v>
      </c>
      <c r="AD38" s="233">
        <f>(INDEX(Models!$BJ38:$BT38,,AH38)*(1-AF38)+INDEX(Models!$BJ38:$BT38,,AH38+1)*AF38-ERP_i)*AE38*Ramure*Pc/MaxiM</f>
        <v>0.15165015321662828</v>
      </c>
      <c r="AE38" s="307">
        <f t="shared" si="15"/>
        <v>0.9</v>
      </c>
      <c r="AF38" s="179">
        <f t="shared" si="23"/>
        <v>0.50198049433869318</v>
      </c>
      <c r="AG38" s="839">
        <f t="shared" si="24"/>
        <v>2</v>
      </c>
      <c r="AH38" s="178">
        <f t="shared" si="16"/>
        <v>8</v>
      </c>
      <c r="AI38" s="227">
        <f t="shared" si="17"/>
        <v>2.5019804943386932</v>
      </c>
      <c r="AJ38" s="267" t="b">
        <f t="shared" si="18"/>
        <v>1</v>
      </c>
      <c r="AK38" s="267" t="b">
        <f t="shared" si="19"/>
        <v>0</v>
      </c>
      <c r="AL38" s="267"/>
      <c r="AM38" s="267"/>
      <c r="AN38" s="75"/>
    </row>
    <row r="39" spans="1:40" s="6" customFormat="1" ht="11.25" x14ac:dyDescent="0.2">
      <c r="A39" s="56">
        <f t="shared" si="20"/>
        <v>46047</v>
      </c>
      <c r="B39" s="413">
        <f>'2025'!Wh/'2025'!Env_an*'2026'!Env_an</f>
        <v>19.704494266113517</v>
      </c>
      <c r="C39" s="868"/>
      <c r="D39" s="395">
        <f t="shared" si="0"/>
        <v>20.998933684442232</v>
      </c>
      <c r="E39" s="387">
        <f t="shared" si="1"/>
        <v>23.897021856619901</v>
      </c>
      <c r="F39" s="387">
        <f t="shared" si="2"/>
        <v>24.07586683749004</v>
      </c>
      <c r="G39" s="110">
        <f t="shared" si="21"/>
        <v>0.98937486695282306</v>
      </c>
      <c r="H39" s="416" t="b">
        <f>Wh_hp&gt;='2025'!Maxi_hp</f>
        <v>1</v>
      </c>
      <c r="I39" s="392">
        <f>IF(H39,Wh_hp,'2025'!Maxi_hp)</f>
        <v>24.07586683749004</v>
      </c>
      <c r="J39" s="85">
        <f>IF(H39,An,'2025'!An_max)</f>
        <v>2026</v>
      </c>
      <c r="K39" s="199">
        <f t="shared" si="3"/>
        <v>46047</v>
      </c>
      <c r="L39" s="147">
        <f>IF(t&lt;Tvie,1-EXP((T0-t)*PertePVj)+'2025'!Pspv,1-EXP((T0-t)*PertePVj)+Pspv)</f>
        <v>6.1643102348941881E-2</v>
      </c>
      <c r="M39" s="872"/>
      <c r="N39" s="872"/>
      <c r="O39" s="48">
        <f>IF(t&lt;Tnet,'2025'!Resal+('2025'!Salim-'2025'!Resal)*(1-EXP(('2025'!Tnet-t)/('2025'!Tau_j))),Resal+(Salim-Resal)*(1-EXP((Tnet-t)/(Tau_j))))*Salcycl</f>
        <v>0.12127403111425145</v>
      </c>
      <c r="P39" s="171">
        <f>(INDEX(Models!$BJ39:$BT39,,T39)*(1-R39)+INDEX(Models!$BJ39:$BT39,,T39+1)*R39-ERP_i)*Q39*Ramure*Pc/MaxiM</f>
        <v>7.5416486534693608E-3</v>
      </c>
      <c r="Q39" s="307">
        <f t="shared" si="4"/>
        <v>0.9</v>
      </c>
      <c r="R39" s="179">
        <f t="shared" si="5"/>
        <v>0.86642962367568543</v>
      </c>
      <c r="S39" s="839">
        <f t="shared" si="6"/>
        <v>-3</v>
      </c>
      <c r="T39" s="178">
        <f t="shared" si="7"/>
        <v>3</v>
      </c>
      <c r="U39" s="253">
        <f t="shared" si="8"/>
        <v>-2.1335703763243146</v>
      </c>
      <c r="V39" s="385">
        <f t="shared" si="9"/>
        <v>19.913833028201797</v>
      </c>
      <c r="W39" s="404">
        <f t="shared" si="10"/>
        <v>19.704494266113517</v>
      </c>
      <c r="X39" s="157">
        <f t="shared" si="11"/>
        <v>46047</v>
      </c>
      <c r="Y39" s="387">
        <f t="shared" si="12"/>
        <v>16.075641328993601</v>
      </c>
      <c r="Z39" s="387">
        <f t="shared" si="22"/>
        <v>17.131691970544416</v>
      </c>
      <c r="AA39" s="388">
        <f t="shared" si="13"/>
        <v>20.552446832228362</v>
      </c>
      <c r="AB39" s="199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0.16644027300534589</v>
      </c>
      <c r="AD39" s="233">
        <f>(INDEX(Models!$BJ39:$BT39,,AH39)*(1-AF39)+INDEX(Models!$BJ39:$BT39,,AH39+1)*AF39-ERP_i)*AE39*Ramure*Pc/MaxiM</f>
        <v>0.14857781084493132</v>
      </c>
      <c r="AE39" s="307">
        <f t="shared" si="15"/>
        <v>0.9</v>
      </c>
      <c r="AF39" s="179">
        <f t="shared" si="23"/>
        <v>0.50208527598266439</v>
      </c>
      <c r="AG39" s="839">
        <f t="shared" si="24"/>
        <v>2</v>
      </c>
      <c r="AH39" s="178">
        <f t="shared" si="16"/>
        <v>8</v>
      </c>
      <c r="AI39" s="227">
        <f t="shared" si="17"/>
        <v>2.5020852759826644</v>
      </c>
      <c r="AJ39" s="267" t="b">
        <f t="shared" si="18"/>
        <v>1</v>
      </c>
      <c r="AK39" s="267" t="b">
        <f t="shared" si="19"/>
        <v>0</v>
      </c>
      <c r="AL39" s="267"/>
      <c r="AM39" s="267"/>
      <c r="AN39" s="75"/>
    </row>
    <row r="40" spans="1:40" s="6" customFormat="1" ht="11.25" x14ac:dyDescent="0.2">
      <c r="A40" s="56">
        <f t="shared" si="20"/>
        <v>46048</v>
      </c>
      <c r="B40" s="413">
        <f>'2025'!Wh/'2025'!Env_an*'2026'!Env_an</f>
        <v>19.779410123221563</v>
      </c>
      <c r="C40" s="868"/>
      <c r="D40" s="395">
        <f t="shared" si="0"/>
        <v>21.07926150403642</v>
      </c>
      <c r="E40" s="387">
        <f t="shared" si="1"/>
        <v>23.991358909062896</v>
      </c>
      <c r="F40" s="387">
        <f t="shared" si="2"/>
        <v>24.161792033184952</v>
      </c>
      <c r="G40" s="110">
        <f t="shared" si="21"/>
        <v>0.98053726255699292</v>
      </c>
      <c r="H40" s="416" t="b">
        <f>Wh_hp&gt;='2025'!Maxi_hp</f>
        <v>1</v>
      </c>
      <c r="I40" s="392">
        <f>IF(H40,Wh_hp,'2025'!Maxi_hp)</f>
        <v>24.161792033184952</v>
      </c>
      <c r="J40" s="85">
        <f>IF(H40,An,'2025'!An_max)</f>
        <v>2026</v>
      </c>
      <c r="K40" s="199">
        <f t="shared" si="3"/>
        <v>46048</v>
      </c>
      <c r="L40" s="147">
        <f>IF(t&lt;Tvie,1-EXP((T0-t)*PertePVj)+'2025'!Pspv,1-EXP((T0-t)*PertePVj)+Pspv)</f>
        <v>6.1664939284801434E-2</v>
      </c>
      <c r="M40" s="872"/>
      <c r="N40" s="872"/>
      <c r="O40" s="48">
        <f>IF(t&lt;Tnet,'2025'!Resal+('2025'!Salim-'2025'!Resal)*(1-EXP(('2025'!Tnet-t)/('2025'!Tau_j))),Resal+(Salim-Resal)*(1-EXP((Tnet-t)/(Tau_j))))*Salcycl</f>
        <v>0.12138109458761882</v>
      </c>
      <c r="P40" s="171">
        <f>(INDEX(Models!$BJ40:$BT40,,T40)*(1-R40)+INDEX(Models!$BJ40:$BT40,,T40+1)*R40-ERP_i)*Q40*Ramure*Pc/MaxiM</f>
        <v>7.2534593349426408E-3</v>
      </c>
      <c r="Q40" s="307">
        <f t="shared" si="4"/>
        <v>0.9</v>
      </c>
      <c r="R40" s="179">
        <f t="shared" si="5"/>
        <v>0.86653876769303517</v>
      </c>
      <c r="S40" s="839">
        <f t="shared" si="6"/>
        <v>-3</v>
      </c>
      <c r="T40" s="178">
        <f t="shared" si="7"/>
        <v>3</v>
      </c>
      <c r="U40" s="253">
        <f t="shared" si="8"/>
        <v>-2.1334612323069648</v>
      </c>
      <c r="V40" s="385">
        <f t="shared" si="9"/>
        <v>20.167957136273721</v>
      </c>
      <c r="W40" s="404">
        <f t="shared" si="10"/>
        <v>19.779410123221563</v>
      </c>
      <c r="X40" s="157">
        <f t="shared" si="11"/>
        <v>46048</v>
      </c>
      <c r="Y40" s="387">
        <f t="shared" si="12"/>
        <v>16.222662430937866</v>
      </c>
      <c r="Z40" s="387">
        <f t="shared" si="22"/>
        <v>17.288773605638227</v>
      </c>
      <c r="AA40" s="388">
        <f t="shared" si="13"/>
        <v>20.742316802707489</v>
      </c>
      <c r="AB40" s="199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0.16649746650376449</v>
      </c>
      <c r="AD40" s="233">
        <f>(INDEX(Models!$BJ40:$BT40,,AH40)*(1-AF40)+INDEX(Models!$BJ40:$BT40,,AH40+1)*AF40-ERP_i)*AE40*Ramure*Pc/MaxiM</f>
        <v>0.14552936618910647</v>
      </c>
      <c r="AE40" s="307">
        <f t="shared" si="15"/>
        <v>0.9</v>
      </c>
      <c r="AF40" s="179">
        <f t="shared" si="23"/>
        <v>0.50219442000001413</v>
      </c>
      <c r="AG40" s="839">
        <f t="shared" si="24"/>
        <v>2</v>
      </c>
      <c r="AH40" s="178">
        <f t="shared" si="16"/>
        <v>8</v>
      </c>
      <c r="AI40" s="227">
        <f t="shared" si="17"/>
        <v>2.5021944200000141</v>
      </c>
      <c r="AJ40" s="267" t="b">
        <f t="shared" si="18"/>
        <v>1</v>
      </c>
      <c r="AK40" s="267" t="b">
        <f t="shared" si="19"/>
        <v>0</v>
      </c>
      <c r="AL40" s="267"/>
      <c r="AM40" s="267"/>
      <c r="AN40" s="75"/>
    </row>
    <row r="41" spans="1:40" s="6" customFormat="1" ht="11.25" x14ac:dyDescent="0.2">
      <c r="A41" s="56">
        <f t="shared" si="20"/>
        <v>46049</v>
      </c>
      <c r="B41" s="413">
        <f>'2025'!Wh/'2025'!Env_an*'2026'!Env_an</f>
        <v>19.284429309046267</v>
      </c>
      <c r="C41" s="868"/>
      <c r="D41" s="395">
        <f t="shared" si="0"/>
        <v>20.552230118774453</v>
      </c>
      <c r="E41" s="387">
        <f t="shared" si="1"/>
        <v>23.394372822002165</v>
      </c>
      <c r="F41" s="387">
        <f t="shared" si="2"/>
        <v>23.544762444680526</v>
      </c>
      <c r="G41" s="110">
        <f t="shared" si="21"/>
        <v>0.94353465600966446</v>
      </c>
      <c r="H41" s="416" t="b">
        <f>Wh_hp&gt;='2025'!Maxi_hp</f>
        <v>1</v>
      </c>
      <c r="I41" s="392">
        <f>IF(H41,Wh_hp,'2025'!Maxi_hp)</f>
        <v>23.544762444680526</v>
      </c>
      <c r="J41" s="85">
        <f>IF(H41,An,'2025'!An_max)</f>
        <v>2026</v>
      </c>
      <c r="K41" s="199">
        <f t="shared" si="3"/>
        <v>46049</v>
      </c>
      <c r="L41" s="147">
        <f>IF(t&lt;Tvie,1-EXP((T0-t)*PertePVj)+'2025'!Pspv,1-EXP((T0-t)*PertePVj)+Pspv)</f>
        <v>6.1686775712483488E-2</v>
      </c>
      <c r="M41" s="872"/>
      <c r="N41" s="872"/>
      <c r="O41" s="48">
        <f>IF(t&lt;Tnet,'2025'!Resal+('2025'!Salim-'2025'!Resal)*(1-EXP(('2025'!Tnet-t)/('2025'!Tau_j))),Resal+(Salim-Resal)*(1-EXP((Tnet-t)/(Tau_j))))*Salcycl</f>
        <v>0.12148830510876985</v>
      </c>
      <c r="P41" s="171">
        <f>(INDEX(Models!$BJ41:$BT41,,T41)*(1-R41)+INDEX(Models!$BJ41:$BT41,,T41+1)*R41-ERP_i)*Q41*Ramure*Pc/MaxiM</f>
        <v>6.942151527794059E-3</v>
      </c>
      <c r="Q41" s="307">
        <f t="shared" si="4"/>
        <v>0.9</v>
      </c>
      <c r="R41" s="179">
        <f t="shared" si="5"/>
        <v>0.86665245424758597</v>
      </c>
      <c r="S41" s="839">
        <f t="shared" si="6"/>
        <v>-3</v>
      </c>
      <c r="T41" s="178">
        <f t="shared" si="7"/>
        <v>3</v>
      </c>
      <c r="U41" s="253">
        <f t="shared" si="8"/>
        <v>-2.133347545752414</v>
      </c>
      <c r="V41" s="385">
        <f t="shared" si="9"/>
        <v>20.427084674194376</v>
      </c>
      <c r="W41" s="404">
        <f t="shared" si="10"/>
        <v>19.284429309046267</v>
      </c>
      <c r="X41" s="157">
        <f t="shared" si="11"/>
        <v>46049</v>
      </c>
      <c r="Y41" s="387">
        <f t="shared" si="12"/>
        <v>15.99848457403094</v>
      </c>
      <c r="Z41" s="387">
        <f t="shared" si="22"/>
        <v>17.050260147595136</v>
      </c>
      <c r="AA41" s="388">
        <f t="shared" si="13"/>
        <v>20.45756991283308</v>
      </c>
      <c r="AB41" s="199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0.16655496130557179</v>
      </c>
      <c r="AD41" s="233">
        <f>(INDEX(Models!$BJ41:$BT41,,AH41)*(1-AF41)+INDEX(Models!$BJ41:$BT41,,AH41+1)*AF41-ERP_i)*AE41*Ramure*Pc/MaxiM</f>
        <v>0.14250822609878797</v>
      </c>
      <c r="AE41" s="307">
        <f t="shared" si="15"/>
        <v>0.9</v>
      </c>
      <c r="AF41" s="179">
        <f t="shared" si="23"/>
        <v>0.50230810655456493</v>
      </c>
      <c r="AG41" s="839">
        <f t="shared" si="24"/>
        <v>2</v>
      </c>
      <c r="AH41" s="178">
        <f t="shared" si="16"/>
        <v>8</v>
      </c>
      <c r="AI41" s="227">
        <f t="shared" si="17"/>
        <v>2.5023081065545649</v>
      </c>
      <c r="AJ41" s="267" t="b">
        <f t="shared" si="18"/>
        <v>1</v>
      </c>
      <c r="AK41" s="267" t="b">
        <f t="shared" si="19"/>
        <v>0</v>
      </c>
      <c r="AL41" s="267"/>
      <c r="AM41" s="267"/>
      <c r="AN41" s="75"/>
    </row>
    <row r="42" spans="1:40" s="6" customFormat="1" ht="11.25" x14ac:dyDescent="0.2">
      <c r="A42" s="56">
        <f t="shared" si="20"/>
        <v>46050</v>
      </c>
      <c r="B42" s="413">
        <f>'2025'!Wh/'2025'!Env_an*'2026'!Env_an</f>
        <v>4.0299857202546336</v>
      </c>
      <c r="C42" s="868"/>
      <c r="D42" s="395">
        <f t="shared" si="0"/>
        <v>4.295025799249971</v>
      </c>
      <c r="E42" s="387">
        <f t="shared" si="1"/>
        <v>4.8895771882616108</v>
      </c>
      <c r="F42" s="387">
        <f t="shared" si="2"/>
        <v>4.8895771882616108</v>
      </c>
      <c r="G42" s="110">
        <f t="shared" si="21"/>
        <v>0.19348336767267252</v>
      </c>
      <c r="H42" s="416" t="b">
        <f>Wh_hp&gt;='2025'!Maxi_hp</f>
        <v>0</v>
      </c>
      <c r="I42" s="392">
        <f>IF(H42,Wh_hp,'2025'!Maxi_hp)</f>
        <v>17.183861490086507</v>
      </c>
      <c r="J42" s="85">
        <f>IF(H42,An,'2025'!An_max)</f>
        <v>2020</v>
      </c>
      <c r="K42" s="199">
        <f t="shared" si="3"/>
        <v>46050</v>
      </c>
      <c r="L42" s="147">
        <f>IF(t&lt;Tvie,1-EXP((T0-t)*PertePVj)+'2025'!Pspv,1-EXP((T0-t)*PertePVj)+Pspv)</f>
        <v>6.1708611632000143E-2</v>
      </c>
      <c r="M42" s="872"/>
      <c r="N42" s="872"/>
      <c r="O42" s="48">
        <f>IF(t&lt;Tnet,'2025'!Resal+('2025'!Salim-'2025'!Resal)*(1-EXP(('2025'!Tnet-t)/('2025'!Tau_j))),Resal+(Salim-Resal)*(1-EXP((Tnet-t)/(Tau_j))))*Salcycl</f>
        <v>0.12159566484377772</v>
      </c>
      <c r="P42" s="171">
        <f>(INDEX(Models!$BJ42:$BT42,,T42)*(1-R42)+INDEX(Models!$BJ42:$BT42,,T42+1)*R42-ERP_i)*Q42*Ramure*Pc/MaxiM</f>
        <v>6.6088718738635949E-3</v>
      </c>
      <c r="Q42" s="307">
        <f t="shared" si="4"/>
        <v>0.9</v>
      </c>
      <c r="R42" s="179">
        <f t="shared" si="5"/>
        <v>0.86677087081976989</v>
      </c>
      <c r="S42" s="839">
        <f t="shared" si="6"/>
        <v>-3</v>
      </c>
      <c r="T42" s="178">
        <f t="shared" si="7"/>
        <v>3</v>
      </c>
      <c r="U42" s="253">
        <f t="shared" si="8"/>
        <v>-2.1332291291802301</v>
      </c>
      <c r="V42" s="385">
        <f t="shared" si="9"/>
        <v>20.690936431025339</v>
      </c>
      <c r="W42" s="404">
        <f t="shared" si="10"/>
        <v>4.0299857202546336</v>
      </c>
      <c r="X42" s="157">
        <f t="shared" si="11"/>
        <v>46050</v>
      </c>
      <c r="Y42" s="387">
        <f t="shared" si="12"/>
        <v>3.823454124163101</v>
      </c>
      <c r="Z42" s="387">
        <f t="shared" si="22"/>
        <v>4.0749112392615654</v>
      </c>
      <c r="AA42" s="388">
        <f t="shared" si="13"/>
        <v>4.8895771882616108</v>
      </c>
      <c r="AB42" s="199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0.16661275967905992</v>
      </c>
      <c r="AD42" s="233">
        <f>(INDEX(Models!$BJ42:$BT42,,AH42)*(1-AF42)+INDEX(Models!$BJ42:$BT42,,AH42+1)*AF42-ERP_i)*AE42*Ramure*Pc/MaxiM</f>
        <v>0.13951742956738775</v>
      </c>
      <c r="AE42" s="307">
        <f t="shared" si="15"/>
        <v>0.9</v>
      </c>
      <c r="AF42" s="179">
        <f t="shared" si="23"/>
        <v>0.50242652312674885</v>
      </c>
      <c r="AG42" s="839">
        <f t="shared" si="24"/>
        <v>2</v>
      </c>
      <c r="AH42" s="178">
        <f t="shared" si="16"/>
        <v>8</v>
      </c>
      <c r="AI42" s="227">
        <f t="shared" si="17"/>
        <v>2.5024265231267488</v>
      </c>
      <c r="AJ42" s="267" t="b">
        <f t="shared" si="18"/>
        <v>1</v>
      </c>
      <c r="AK42" s="267" t="b">
        <f t="shared" si="19"/>
        <v>0</v>
      </c>
      <c r="AL42" s="267"/>
      <c r="AM42" s="267"/>
      <c r="AN42" s="75"/>
    </row>
    <row r="43" spans="1:40" s="6" customFormat="1" ht="11.25" x14ac:dyDescent="0.2">
      <c r="A43" s="56">
        <f t="shared" si="20"/>
        <v>46051</v>
      </c>
      <c r="B43" s="413">
        <f>'2025'!Wh/'2025'!Env_an*'2026'!Env_an</f>
        <v>6.2960089483342667</v>
      </c>
      <c r="C43" s="868"/>
      <c r="D43" s="395">
        <f t="shared" si="0"/>
        <v>6.7102347385082872</v>
      </c>
      <c r="E43" s="387">
        <f t="shared" si="1"/>
        <v>7.6400535011843846</v>
      </c>
      <c r="F43" s="387">
        <f t="shared" si="2"/>
        <v>7.640080336294286</v>
      </c>
      <c r="G43" s="110">
        <f t="shared" si="21"/>
        <v>0.29851526696546954</v>
      </c>
      <c r="H43" s="416" t="b">
        <f>Wh_hp&gt;='2025'!Maxi_hp</f>
        <v>0</v>
      </c>
      <c r="I43" s="392">
        <f>IF(H43,Wh_hp,'2025'!Maxi_hp)</f>
        <v>19.986344451656461</v>
      </c>
      <c r="J43" s="85">
        <f>IF(H43,An,'2025'!An_max)</f>
        <v>2020</v>
      </c>
      <c r="K43" s="199">
        <f t="shared" si="3"/>
        <v>46051</v>
      </c>
      <c r="L43" s="147">
        <f>IF(t&lt;Tvie,1-EXP((T0-t)*PertePVj)+'2025'!Pspv,1-EXP((T0-t)*PertePVj)+Pspv)</f>
        <v>6.1730447043362946E-2</v>
      </c>
      <c r="M43" s="872"/>
      <c r="N43" s="872"/>
      <c r="O43" s="48">
        <f>IF(t&lt;Tnet,'2025'!Resal+('2025'!Salim-'2025'!Resal)*(1-EXP(('2025'!Tnet-t)/('2025'!Tau_j))),Resal+(Salim-Resal)*(1-EXP((Tnet-t)/(Tau_j))))*Salcycl</f>
        <v>0.12170317426860348</v>
      </c>
      <c r="P43" s="171">
        <f>(INDEX(Models!$BJ43:$BT43,,T43)*(1-R43)+INDEX(Models!$BJ43:$BT43,,T43+1)*R43-ERP_i)*Q43*Ramure*Pc/MaxiM</f>
        <v>6.2547203730914424E-3</v>
      </c>
      <c r="Q43" s="307">
        <f t="shared" si="4"/>
        <v>0.9</v>
      </c>
      <c r="R43" s="179">
        <f t="shared" si="5"/>
        <v>0.86689421249316956</v>
      </c>
      <c r="S43" s="839">
        <f t="shared" si="6"/>
        <v>-3</v>
      </c>
      <c r="T43" s="178">
        <f t="shared" si="7"/>
        <v>3</v>
      </c>
      <c r="U43" s="253">
        <f t="shared" si="8"/>
        <v>-2.1331057875068304</v>
      </c>
      <c r="V43" s="385">
        <f t="shared" si="9"/>
        <v>20.959233383384376</v>
      </c>
      <c r="W43" s="404">
        <f t="shared" si="10"/>
        <v>6.2960089483342667</v>
      </c>
      <c r="X43" s="157">
        <f t="shared" si="11"/>
        <v>46051</v>
      </c>
      <c r="Y43" s="387">
        <f t="shared" si="12"/>
        <v>5.9732241284622507</v>
      </c>
      <c r="Z43" s="387">
        <f t="shared" si="22"/>
        <v>6.3662133228555362</v>
      </c>
      <c r="AA43" s="388">
        <f t="shared" si="13"/>
        <v>7.6394944438056847</v>
      </c>
      <c r="AB43" s="199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0.16667086157547506</v>
      </c>
      <c r="AD43" s="233">
        <f>(INDEX(Models!$BJ43:$BT43,,AH43)*(1-AF43)+INDEX(Models!$BJ43:$BT43,,AH43+1)*AF43-ERP_i)*AE43*Ramure*Pc/MaxiM</f>
        <v>0.13655966748093509</v>
      </c>
      <c r="AE43" s="307">
        <f t="shared" si="15"/>
        <v>0.9</v>
      </c>
      <c r="AF43" s="179">
        <f t="shared" si="23"/>
        <v>0.50254986480014852</v>
      </c>
      <c r="AG43" s="839">
        <f t="shared" si="24"/>
        <v>2</v>
      </c>
      <c r="AH43" s="178">
        <f t="shared" si="16"/>
        <v>8</v>
      </c>
      <c r="AI43" s="227">
        <f t="shared" si="17"/>
        <v>2.5025498648001485</v>
      </c>
      <c r="AJ43" s="267" t="b">
        <f t="shared" si="18"/>
        <v>1</v>
      </c>
      <c r="AK43" s="267" t="b">
        <f t="shared" si="19"/>
        <v>0</v>
      </c>
      <c r="AL43" s="267"/>
      <c r="AM43" s="267"/>
      <c r="AN43" s="75"/>
    </row>
    <row r="44" spans="1:40" s="6" customFormat="1" ht="11.25" x14ac:dyDescent="0.2">
      <c r="A44" s="56">
        <f t="shared" si="20"/>
        <v>46052</v>
      </c>
      <c r="B44" s="413">
        <f>'2025'!Wh/'2025'!Env_an*'2026'!Env_an</f>
        <v>4.5780426583389833</v>
      </c>
      <c r="C44" s="868"/>
      <c r="D44" s="395">
        <f t="shared" si="0"/>
        <v>4.8793538958315343</v>
      </c>
      <c r="E44" s="387">
        <f t="shared" si="1"/>
        <v>5.5561535874695469</v>
      </c>
      <c r="F44" s="387">
        <f t="shared" si="2"/>
        <v>5.5561535874695469</v>
      </c>
      <c r="G44" s="110">
        <f t="shared" si="21"/>
        <v>0.2143549997804588</v>
      </c>
      <c r="H44" s="416" t="b">
        <f>Wh_hp&gt;='2025'!Maxi_hp</f>
        <v>0</v>
      </c>
      <c r="I44" s="392">
        <f>IF(H44,Wh_hp,'2025'!Maxi_hp)</f>
        <v>10.95637555418933</v>
      </c>
      <c r="J44" s="85">
        <f>IF(H44,An,'2025'!An_max)</f>
        <v>2020</v>
      </c>
      <c r="K44" s="199">
        <f t="shared" si="3"/>
        <v>46052</v>
      </c>
      <c r="L44" s="147">
        <f>IF(t&lt;Tvie,1-EXP((T0-t)*PertePVj)+'2025'!Pspv,1-EXP((T0-t)*PertePVj)+Pspv)</f>
        <v>6.1752281946583776E-2</v>
      </c>
      <c r="M44" s="872"/>
      <c r="N44" s="872"/>
      <c r="O44" s="48">
        <f>IF(t&lt;Tnet,'2025'!Resal+('2025'!Salim-'2025'!Resal)*(1-EXP(('2025'!Tnet-t)/('2025'!Tau_j))),Resal+(Salim-Resal)*(1-EXP((Tnet-t)/(Tau_j))))*Salcycl</f>
        <v>0.12181083207713295</v>
      </c>
      <c r="P44" s="171">
        <f>(INDEX(Models!$BJ44:$BT44,,T44)*(1-R44)+INDEX(Models!$BJ44:$BT44,,T44+1)*R44-ERP_i)*Q44*Ramure*Pc/MaxiM</f>
        <v>5.8897817864637545E-3</v>
      </c>
      <c r="Q44" s="307">
        <f t="shared" si="4"/>
        <v>0.9</v>
      </c>
      <c r="R44" s="179">
        <f t="shared" si="5"/>
        <v>0.86702268225136025</v>
      </c>
      <c r="S44" s="839">
        <f t="shared" si="6"/>
        <v>-3</v>
      </c>
      <c r="T44" s="178">
        <f t="shared" si="7"/>
        <v>3</v>
      </c>
      <c r="U44" s="253">
        <f t="shared" si="8"/>
        <v>-2.1329773177486397</v>
      </c>
      <c r="V44" s="385">
        <f t="shared" si="9"/>
        <v>21.231503770536886</v>
      </c>
      <c r="W44" s="404">
        <f t="shared" si="10"/>
        <v>4.5780426583389833</v>
      </c>
      <c r="X44" s="157">
        <f t="shared" si="11"/>
        <v>46052</v>
      </c>
      <c r="Y44" s="387">
        <f t="shared" si="12"/>
        <v>4.343880694912885</v>
      </c>
      <c r="Z44" s="387">
        <f t="shared" si="22"/>
        <v>4.6297801863298318</v>
      </c>
      <c r="AA44" s="388">
        <f t="shared" si="13"/>
        <v>5.5561535874695469</v>
      </c>
      <c r="AB44" s="199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0.16672926450933767</v>
      </c>
      <c r="AD44" s="233">
        <f>(INDEX(Models!$BJ44:$BT44,,AH44)*(1-AF44)+INDEX(Models!$BJ44:$BT44,,AH44+1)*AF44-ERP_i)*AE44*Ramure*Pc/MaxiM</f>
        <v>0.13360363569279568</v>
      </c>
      <c r="AE44" s="307">
        <f t="shared" si="15"/>
        <v>0.9</v>
      </c>
      <c r="AF44" s="179">
        <f t="shared" si="23"/>
        <v>0.50267833455833921</v>
      </c>
      <c r="AG44" s="839">
        <f t="shared" si="24"/>
        <v>2</v>
      </c>
      <c r="AH44" s="178">
        <f t="shared" si="16"/>
        <v>8</v>
      </c>
      <c r="AI44" s="227">
        <f t="shared" si="17"/>
        <v>2.5026783345583392</v>
      </c>
      <c r="AJ44" s="267" t="b">
        <f t="shared" si="18"/>
        <v>1</v>
      </c>
      <c r="AK44" s="267" t="b">
        <f t="shared" si="19"/>
        <v>0</v>
      </c>
      <c r="AL44" s="267"/>
      <c r="AM44" s="267"/>
      <c r="AN44" s="75"/>
    </row>
    <row r="45" spans="1:40" s="6" customFormat="1" ht="11.25" x14ac:dyDescent="0.2">
      <c r="A45" s="56">
        <f t="shared" si="20"/>
        <v>46053</v>
      </c>
      <c r="B45" s="413">
        <f>'2025'!Wh/'2025'!Env_an*'2026'!Env_an</f>
        <v>10.254353780515299</v>
      </c>
      <c r="C45" s="868"/>
      <c r="D45" s="395">
        <f t="shared" si="0"/>
        <v>10.929514905868485</v>
      </c>
      <c r="E45" s="387">
        <f t="shared" si="1"/>
        <v>12.447041177537711</v>
      </c>
      <c r="F45" s="387">
        <f t="shared" si="2"/>
        <v>12.464452542467976</v>
      </c>
      <c r="G45" s="110">
        <f t="shared" si="21"/>
        <v>0.47481500339436949</v>
      </c>
      <c r="H45" s="416" t="b">
        <f>Wh_hp&gt;='2025'!Maxi_hp</f>
        <v>0</v>
      </c>
      <c r="I45" s="392">
        <f>IF(H45,Wh_hp,'2025'!Maxi_hp)</f>
        <v>19.362829984004698</v>
      </c>
      <c r="J45" s="85">
        <f>IF(H45,An,'2025'!An_max)</f>
        <v>2020</v>
      </c>
      <c r="K45" s="199">
        <f t="shared" si="3"/>
        <v>46053</v>
      </c>
      <c r="L45" s="147">
        <f>IF(t&lt;Tvie,1-EXP((T0-t)*PertePVj)+'2025'!Pspv,1-EXP((T0-t)*PertePVj)+Pspv)</f>
        <v>6.1774116341674623E-2</v>
      </c>
      <c r="M45" s="872"/>
      <c r="N45" s="872"/>
      <c r="O45" s="48">
        <f>IF(t&lt;Tnet,'2025'!Resal+('2025'!Salim-'2025'!Resal)*(1-EXP(('2025'!Tnet-t)/('2025'!Tau_j))),Resal+(Salim-Resal)*(1-EXP((Tnet-t)/(Tau_j))))*Salcycl</f>
        <v>0.12191863512171847</v>
      </c>
      <c r="P45" s="171">
        <f>(INDEX(Models!$BJ45:$BT45,,T45)*(1-R45)+INDEX(Models!$BJ45:$BT45,,T45+1)*R45-ERP_i)*Q45*Ramure*Pc/MaxiM</f>
        <v>5.5309885878021946E-3</v>
      </c>
      <c r="Q45" s="307">
        <f t="shared" si="4"/>
        <v>0.9</v>
      </c>
      <c r="R45" s="179">
        <f t="shared" si="5"/>
        <v>0.86715649128536221</v>
      </c>
      <c r="S45" s="839">
        <f t="shared" si="6"/>
        <v>-3</v>
      </c>
      <c r="T45" s="178">
        <f t="shared" si="7"/>
        <v>3</v>
      </c>
      <c r="U45" s="253">
        <f t="shared" si="8"/>
        <v>-2.1328435087146378</v>
      </c>
      <c r="V45" s="385">
        <f t="shared" si="9"/>
        <v>21.507117113079463</v>
      </c>
      <c r="W45" s="404">
        <f t="shared" si="10"/>
        <v>10.254353780515299</v>
      </c>
      <c r="X45" s="157">
        <f t="shared" si="11"/>
        <v>46053</v>
      </c>
      <c r="Y45" s="387">
        <f t="shared" si="12"/>
        <v>9.4224480000373596</v>
      </c>
      <c r="Z45" s="387">
        <f t="shared" si="22"/>
        <v>10.042835274696751</v>
      </c>
      <c r="AA45" s="388">
        <f t="shared" si="13"/>
        <v>12.05315674109184</v>
      </c>
      <c r="AB45" s="199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0.16678796348357969</v>
      </c>
      <c r="AD45" s="233">
        <f>(INDEX(Models!$BJ45:$BT45,,AH45)*(1-AF45)+INDEX(Models!$BJ45:$BT45,,AH45+1)*AF45-ERP_i)*AE45*Ramure*Pc/MaxiM</f>
        <v>0.13065445430232409</v>
      </c>
      <c r="AE45" s="307">
        <f t="shared" si="15"/>
        <v>0.9</v>
      </c>
      <c r="AF45" s="179">
        <f t="shared" si="23"/>
        <v>0.50281214359234117</v>
      </c>
      <c r="AG45" s="839">
        <f t="shared" si="24"/>
        <v>2</v>
      </c>
      <c r="AH45" s="178">
        <f t="shared" si="16"/>
        <v>8</v>
      </c>
      <c r="AI45" s="227">
        <f t="shared" si="17"/>
        <v>2.5028121435923412</v>
      </c>
      <c r="AJ45" s="267" t="b">
        <f t="shared" si="18"/>
        <v>1</v>
      </c>
      <c r="AK45" s="267" t="b">
        <f t="shared" si="19"/>
        <v>0</v>
      </c>
      <c r="AL45" s="267"/>
      <c r="AM45" s="267"/>
      <c r="AN45" s="75"/>
    </row>
    <row r="46" spans="1:40" s="6" customFormat="1" ht="11.25" x14ac:dyDescent="0.2">
      <c r="A46" s="56">
        <f t="shared" si="20"/>
        <v>46054</v>
      </c>
      <c r="B46" s="413">
        <f>'2025'!Wh/'2025'!Env_an*'2026'!Env_an</f>
        <v>10.071929441283165</v>
      </c>
      <c r="C46" s="868"/>
      <c r="D46" s="395">
        <f t="shared" si="0"/>
        <v>10.735329317473921</v>
      </c>
      <c r="E46" s="387">
        <f t="shared" si="1"/>
        <v>12.227396699255472</v>
      </c>
      <c r="F46" s="387">
        <f t="shared" si="2"/>
        <v>12.242096513581144</v>
      </c>
      <c r="G46" s="110">
        <f t="shared" si="21"/>
        <v>0.46047524201458789</v>
      </c>
      <c r="H46" s="416" t="b">
        <f>Wh_hp&gt;='2025'!Maxi_hp</f>
        <v>0</v>
      </c>
      <c r="I46" s="392">
        <f>IF(H46,Wh_hp,'2025'!Maxi_hp)</f>
        <v>21.665220022404377</v>
      </c>
      <c r="J46" s="85">
        <f>IF(H46,An,'2025'!An_max)</f>
        <v>2019</v>
      </c>
      <c r="K46" s="199">
        <f t="shared" si="3"/>
        <v>46054</v>
      </c>
      <c r="L46" s="147">
        <f>IF(t&lt;Tvie,1-EXP((T0-t)*PertePVj)+'2025'!Pspv,1-EXP((T0-t)*PertePVj)+Pspv)</f>
        <v>6.1795950228647145E-2</v>
      </c>
      <c r="M46" s="872"/>
      <c r="N46" s="872"/>
      <c r="O46" s="48">
        <f>IF(t&lt;Tnet,'2025'!Resal+('2025'!Salim-'2025'!Resal)*(1-EXP(('2025'!Tnet-t)/('2025'!Tau_j))),Resal+(Salim-Resal)*(1-EXP((Tnet-t)/(Tau_j))))*Salcycl</f>
        <v>0.12202657838625638</v>
      </c>
      <c r="P46" s="171">
        <f>(INDEX(Models!$BJ46:$BT46,,T46)*(1-R46)+INDEX(Models!$BJ46:$BT46,,T46+1)*R46-ERP_i)*Q46*Ramure*Pc/MaxiM</f>
        <v>5.1783547024080246E-3</v>
      </c>
      <c r="Q46" s="307">
        <f t="shared" si="4"/>
        <v>0.9</v>
      </c>
      <c r="R46" s="179">
        <f t="shared" si="5"/>
        <v>0.86729585931197928</v>
      </c>
      <c r="S46" s="839">
        <f t="shared" si="6"/>
        <v>-3</v>
      </c>
      <c r="T46" s="178">
        <f t="shared" si="7"/>
        <v>3</v>
      </c>
      <c r="U46" s="253">
        <f t="shared" si="8"/>
        <v>-2.1327041406880207</v>
      </c>
      <c r="V46" s="385">
        <f t="shared" si="9"/>
        <v>21.785794990764213</v>
      </c>
      <c r="W46" s="404">
        <f t="shared" si="10"/>
        <v>10.071929441283165</v>
      </c>
      <c r="X46" s="157">
        <f t="shared" si="11"/>
        <v>46054</v>
      </c>
      <c r="Y46" s="387">
        <f t="shared" si="12"/>
        <v>9.2858599732383347</v>
      </c>
      <c r="Z46" s="387">
        <f t="shared" si="22"/>
        <v>9.8974844283622172</v>
      </c>
      <c r="AA46" s="388">
        <f t="shared" si="13"/>
        <v>11.879551349849971</v>
      </c>
      <c r="AB46" s="199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0.16684695095937155</v>
      </c>
      <c r="AD46" s="233">
        <f>(INDEX(Models!$BJ46:$BT46,,AH46)*(1-AF46)+INDEX(Models!$BJ46:$BT46,,AH46+1)*AF46-ERP_i)*AE46*Ramure*Pc/MaxiM</f>
        <v>0.12771504536379721</v>
      </c>
      <c r="AE46" s="307">
        <f t="shared" si="15"/>
        <v>0.9</v>
      </c>
      <c r="AF46" s="179">
        <f t="shared" si="23"/>
        <v>0.50295151161895824</v>
      </c>
      <c r="AG46" s="839">
        <f t="shared" si="24"/>
        <v>2</v>
      </c>
      <c r="AH46" s="178">
        <f t="shared" si="16"/>
        <v>8</v>
      </c>
      <c r="AI46" s="227">
        <f t="shared" si="17"/>
        <v>2.5029515116189582</v>
      </c>
      <c r="AJ46" s="267" t="b">
        <f t="shared" si="18"/>
        <v>1</v>
      </c>
      <c r="AK46" s="267" t="b">
        <f t="shared" si="19"/>
        <v>0</v>
      </c>
      <c r="AL46" s="267"/>
      <c r="AM46" s="267"/>
      <c r="AN46" s="75"/>
    </row>
    <row r="47" spans="1:40" s="6" customFormat="1" ht="11.25" x14ac:dyDescent="0.2">
      <c r="A47" s="56">
        <f t="shared" si="20"/>
        <v>46055</v>
      </c>
      <c r="B47" s="413">
        <f>'2025'!Wh/'2025'!Env_an*'2026'!Env_an</f>
        <v>5.2566985477873063</v>
      </c>
      <c r="C47" s="868"/>
      <c r="D47" s="395">
        <f t="shared" si="0"/>
        <v>5.603067779306719</v>
      </c>
      <c r="E47" s="387">
        <f t="shared" si="1"/>
        <v>6.38260504434471</v>
      </c>
      <c r="F47" s="387">
        <f t="shared" si="2"/>
        <v>6.38260504434471</v>
      </c>
      <c r="G47" s="110">
        <f t="shared" si="21"/>
        <v>0.2370615587300712</v>
      </c>
      <c r="H47" s="416" t="b">
        <f>Wh_hp&gt;='2025'!Maxi_hp</f>
        <v>0</v>
      </c>
      <c r="I47" s="392">
        <f>IF(H47,Wh_hp,'2025'!Maxi_hp)</f>
        <v>24.095566163036541</v>
      </c>
      <c r="J47" s="85">
        <f>IF(H47,An,'2025'!An_max)</f>
        <v>2021</v>
      </c>
      <c r="K47" s="199">
        <f t="shared" si="3"/>
        <v>46055</v>
      </c>
      <c r="L47" s="147">
        <f>IF(t&lt;Tvie,1-EXP((T0-t)*PertePVj)+'2025'!Pspv,1-EXP((T0-t)*PertePVj)+Pspv)</f>
        <v>6.1817783607513221E-2</v>
      </c>
      <c r="M47" s="872"/>
      <c r="N47" s="872"/>
      <c r="O47" s="48">
        <f>IF(t&lt;Tnet,'2025'!Resal+('2025'!Salim-'2025'!Resal)*(1-EXP(('2025'!Tnet-t)/('2025'!Tau_j))),Resal+(Salim-Resal)*(1-EXP((Tnet-t)/(Tau_j))))*Salcycl</f>
        <v>0.12213465499149104</v>
      </c>
      <c r="P47" s="171">
        <f>(INDEX(Models!$BJ47:$BT47,,T47)*(1-R47)+INDEX(Models!$BJ47:$BT47,,T47+1)*R47-ERP_i)*Q47*Ramure*Pc/MaxiM</f>
        <v>4.8318687994256346E-3</v>
      </c>
      <c r="Q47" s="307">
        <f t="shared" si="4"/>
        <v>0.9</v>
      </c>
      <c r="R47" s="179">
        <f t="shared" si="5"/>
        <v>0.86744101490332204</v>
      </c>
      <c r="S47" s="839">
        <f t="shared" si="6"/>
        <v>-3</v>
      </c>
      <c r="T47" s="178">
        <f t="shared" si="7"/>
        <v>3</v>
      </c>
      <c r="U47" s="253">
        <f t="shared" si="8"/>
        <v>-2.132558985096678</v>
      </c>
      <c r="V47" s="385">
        <f t="shared" si="9"/>
        <v>22.067259230514278</v>
      </c>
      <c r="W47" s="404">
        <f t="shared" si="10"/>
        <v>5.2566985477873063</v>
      </c>
      <c r="X47" s="157">
        <f t="shared" si="11"/>
        <v>46055</v>
      </c>
      <c r="Y47" s="387">
        <f t="shared" si="12"/>
        <v>4.9886043512828229</v>
      </c>
      <c r="Z47" s="387">
        <f t="shared" si="22"/>
        <v>5.3173085826174402</v>
      </c>
      <c r="AA47" s="388">
        <f t="shared" si="13"/>
        <v>6.38260504434471</v>
      </c>
      <c r="AB47" s="199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0.16690621687004945</v>
      </c>
      <c r="AD47" s="233">
        <f>(INDEX(Models!$BJ47:$BT47,,AH47)*(1-AF47)+INDEX(Models!$BJ47:$BT47,,AH47+1)*AF47-ERP_i)*AE47*Ramure*Pc/MaxiM</f>
        <v>0.12478802685430203</v>
      </c>
      <c r="AE47" s="307">
        <f t="shared" si="15"/>
        <v>0.9</v>
      </c>
      <c r="AF47" s="179">
        <f t="shared" si="23"/>
        <v>0.503096667210301</v>
      </c>
      <c r="AG47" s="839">
        <f t="shared" si="24"/>
        <v>2</v>
      </c>
      <c r="AH47" s="178">
        <f t="shared" si="16"/>
        <v>8</v>
      </c>
      <c r="AI47" s="227">
        <f t="shared" si="17"/>
        <v>2.503096667210301</v>
      </c>
      <c r="AJ47" s="267" t="b">
        <f t="shared" si="18"/>
        <v>1</v>
      </c>
      <c r="AK47" s="267" t="b">
        <f t="shared" si="19"/>
        <v>0</v>
      </c>
      <c r="AL47" s="267"/>
      <c r="AM47" s="267"/>
      <c r="AN47" s="75"/>
    </row>
    <row r="48" spans="1:40" s="6" customFormat="1" ht="11.25" x14ac:dyDescent="0.2">
      <c r="A48" s="56">
        <f t="shared" si="20"/>
        <v>46056</v>
      </c>
      <c r="B48" s="413">
        <f>'2025'!Wh/'2025'!Env_an*'2026'!Env_an</f>
        <v>12.557182977525471</v>
      </c>
      <c r="C48" s="868"/>
      <c r="D48" s="395">
        <f t="shared" si="0"/>
        <v>13.384900064088898</v>
      </c>
      <c r="E48" s="387">
        <f t="shared" si="1"/>
        <v>15.24897878544094</v>
      </c>
      <c r="F48" s="387">
        <f t="shared" si="2"/>
        <v>15.274638568434131</v>
      </c>
      <c r="G48" s="110">
        <f t="shared" si="21"/>
        <v>0.56022942338892978</v>
      </c>
      <c r="H48" s="416" t="b">
        <f>Wh_hp&gt;='2025'!Maxi_hp</f>
        <v>0</v>
      </c>
      <c r="I48" s="392">
        <f>IF(H48,Wh_hp,'2025'!Maxi_hp)</f>
        <v>22.364236578915285</v>
      </c>
      <c r="J48" s="85">
        <f>IF(H48,An,'2025'!An_max)</f>
        <v>2020</v>
      </c>
      <c r="K48" s="199">
        <f t="shared" si="3"/>
        <v>46056</v>
      </c>
      <c r="L48" s="147">
        <f>IF(t&lt;Tvie,1-EXP((T0-t)*PertePVj)+'2025'!Pspv,1-EXP((T0-t)*PertePVj)+Pspv)</f>
        <v>6.1839616478284731E-2</v>
      </c>
      <c r="M48" s="872"/>
      <c r="N48" s="872"/>
      <c r="O48" s="48">
        <f>IF(t&lt;Tnet,'2025'!Resal+('2025'!Salim-'2025'!Resal)*(1-EXP(('2025'!Tnet-t)/('2025'!Tau_j))),Resal+(Salim-Resal)*(1-EXP((Tnet-t)/(Tau_j))))*Salcycl</f>
        <v>0.12224285623190598</v>
      </c>
      <c r="P48" s="171">
        <f>(INDEX(Models!$BJ48:$BT48,,T48)*(1-R48)+INDEX(Models!$BJ48:$BT48,,T48+1)*R48-ERP_i)*Q48*Ramure*Pc/MaxiM</f>
        <v>4.4914965661500376E-3</v>
      </c>
      <c r="Q48" s="307">
        <f t="shared" si="4"/>
        <v>0.9</v>
      </c>
      <c r="R48" s="179">
        <f t="shared" si="5"/>
        <v>0.86759219582780789</v>
      </c>
      <c r="S48" s="839">
        <f t="shared" si="6"/>
        <v>-3</v>
      </c>
      <c r="T48" s="178">
        <f t="shared" si="7"/>
        <v>3</v>
      </c>
      <c r="U48" s="253">
        <f t="shared" si="8"/>
        <v>-2.1324078041721921</v>
      </c>
      <c r="V48" s="385">
        <f t="shared" si="9"/>
        <v>22.351231914459927</v>
      </c>
      <c r="W48" s="404">
        <f t="shared" si="10"/>
        <v>12.557182977525471</v>
      </c>
      <c r="X48" s="157">
        <f t="shared" si="11"/>
        <v>46056</v>
      </c>
      <c r="Y48" s="387">
        <f t="shared" si="12"/>
        <v>11.393280891625222</v>
      </c>
      <c r="Z48" s="387">
        <f t="shared" si="22"/>
        <v>12.144278410964798</v>
      </c>
      <c r="AA48" s="388">
        <f t="shared" si="13"/>
        <v>14.578366245678064</v>
      </c>
      <c r="AB48" s="199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0.16696574867810587</v>
      </c>
      <c r="AD48" s="233">
        <f>(INDEX(Models!$BJ48:$BT48,,AH48)*(1-AF48)+INDEX(Models!$BJ48:$BT48,,AH48+1)*AF48-ERP_i)*AE48*Ramure*Pc/MaxiM</f>
        <v>0.12187572855133326</v>
      </c>
      <c r="AE48" s="307">
        <f t="shared" si="15"/>
        <v>0.9</v>
      </c>
      <c r="AF48" s="179">
        <f t="shared" si="23"/>
        <v>0.50324784813478685</v>
      </c>
      <c r="AG48" s="839">
        <f t="shared" si="24"/>
        <v>2</v>
      </c>
      <c r="AH48" s="178">
        <f t="shared" si="16"/>
        <v>8</v>
      </c>
      <c r="AI48" s="227">
        <f t="shared" si="17"/>
        <v>2.5032478481347868</v>
      </c>
      <c r="AJ48" s="267" t="b">
        <f t="shared" si="18"/>
        <v>1</v>
      </c>
      <c r="AK48" s="267" t="b">
        <f t="shared" si="19"/>
        <v>0</v>
      </c>
      <c r="AL48" s="267"/>
      <c r="AM48" s="267"/>
      <c r="AN48" s="75"/>
    </row>
    <row r="49" spans="1:40" s="6" customFormat="1" ht="11.25" x14ac:dyDescent="0.2">
      <c r="A49" s="56">
        <f t="shared" si="20"/>
        <v>46057</v>
      </c>
      <c r="B49" s="413">
        <f>'2025'!Wh/'2025'!Env_an*'2026'!Env_an</f>
        <v>10.458923160486576</v>
      </c>
      <c r="C49" s="868"/>
      <c r="D49" s="395">
        <f t="shared" si="0"/>
        <v>11.148591162323584</v>
      </c>
      <c r="E49" s="387">
        <f t="shared" si="1"/>
        <v>12.702792736814098</v>
      </c>
      <c r="F49" s="387">
        <f t="shared" si="2"/>
        <v>12.71502717636305</v>
      </c>
      <c r="G49" s="110">
        <f t="shared" si="21"/>
        <v>0.46054134470700897</v>
      </c>
      <c r="H49" s="416" t="b">
        <f>Wh_hp&gt;='2025'!Maxi_hp</f>
        <v>0</v>
      </c>
      <c r="I49" s="392">
        <f>IF(H49,Wh_hp,'2025'!Maxi_hp)</f>
        <v>23.372565339149336</v>
      </c>
      <c r="J49" s="85">
        <f>IF(H49,An,'2025'!An_max)</f>
        <v>2019</v>
      </c>
      <c r="K49" s="199">
        <f t="shared" si="3"/>
        <v>46057</v>
      </c>
      <c r="L49" s="147">
        <f>IF(t&lt;Tvie,1-EXP((T0-t)*PertePVj)+'2025'!Pspv,1-EXP((T0-t)*PertePVj)+Pspv)</f>
        <v>6.1861448840973332E-2</v>
      </c>
      <c r="M49" s="872"/>
      <c r="N49" s="872"/>
      <c r="O49" s="48">
        <f>IF(t&lt;Tnet,'2025'!Resal+('2025'!Salim-'2025'!Resal)*(1-EXP(('2025'!Tnet-t)/('2025'!Tau_j))),Resal+(Salim-Resal)*(1-EXP((Tnet-t)/(Tau_j))))*Salcycl</f>
        <v>0.12235117164324565</v>
      </c>
      <c r="P49" s="171">
        <f>(INDEX(Models!$BJ49:$BT49,,T49)*(1-R49)+INDEX(Models!$BJ49:$BT49,,T49+1)*R49-ERP_i)*Q49*Ramure*Pc/MaxiM</f>
        <v>4.1571828545489417E-3</v>
      </c>
      <c r="Q49" s="307">
        <f t="shared" si="4"/>
        <v>0.9</v>
      </c>
      <c r="R49" s="179">
        <f t="shared" si="5"/>
        <v>0.86774964940292065</v>
      </c>
      <c r="S49" s="839">
        <f t="shared" si="6"/>
        <v>-3</v>
      </c>
      <c r="T49" s="178">
        <f t="shared" si="7"/>
        <v>3</v>
      </c>
      <c r="U49" s="253">
        <f t="shared" si="8"/>
        <v>-2.1322503505970793</v>
      </c>
      <c r="V49" s="385">
        <f t="shared" si="9"/>
        <v>22.637435377667821</v>
      </c>
      <c r="W49" s="404">
        <f t="shared" si="10"/>
        <v>10.458923160486576</v>
      </c>
      <c r="X49" s="157">
        <f t="shared" si="11"/>
        <v>46057</v>
      </c>
      <c r="Y49" s="387">
        <f t="shared" si="12"/>
        <v>9.6624736524658541</v>
      </c>
      <c r="Z49" s="387">
        <f t="shared" si="22"/>
        <v>10.299623270494871</v>
      </c>
      <c r="AA49" s="388">
        <f t="shared" si="13"/>
        <v>12.364872705784078</v>
      </c>
      <c r="AB49" s="199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0.16702553147377885</v>
      </c>
      <c r="AD49" s="233">
        <f>(INDEX(Models!$BJ49:$BT49,,AH49)*(1-AF49)+INDEX(Models!$BJ49:$BT49,,AH49+1)*AF49-ERP_i)*AE49*Ramure*Pc/MaxiM</f>
        <v>0.11898020793761489</v>
      </c>
      <c r="AE49" s="307">
        <f t="shared" si="15"/>
        <v>0.9</v>
      </c>
      <c r="AF49" s="179">
        <f t="shared" si="23"/>
        <v>0.50340530170989961</v>
      </c>
      <c r="AG49" s="839">
        <f t="shared" si="24"/>
        <v>2</v>
      </c>
      <c r="AH49" s="178">
        <f t="shared" si="16"/>
        <v>8</v>
      </c>
      <c r="AI49" s="227">
        <f t="shared" si="17"/>
        <v>2.5034053017098996</v>
      </c>
      <c r="AJ49" s="267" t="b">
        <f t="shared" si="18"/>
        <v>1</v>
      </c>
      <c r="AK49" s="267" t="b">
        <f t="shared" si="19"/>
        <v>0</v>
      </c>
      <c r="AL49" s="267"/>
      <c r="AM49" s="267"/>
      <c r="AN49" s="75"/>
    </row>
    <row r="50" spans="1:40" s="6" customFormat="1" ht="11.25" x14ac:dyDescent="0.2">
      <c r="A50" s="56">
        <f t="shared" si="20"/>
        <v>46058</v>
      </c>
      <c r="B50" s="413">
        <f>'2025'!Wh/'2025'!Env_an*'2026'!Env_an</f>
        <v>9.0503593164387386</v>
      </c>
      <c r="C50" s="868"/>
      <c r="D50" s="395">
        <f t="shared" si="0"/>
        <v>9.6473702367754015</v>
      </c>
      <c r="E50" s="387">
        <f t="shared" si="1"/>
        <v>10.993647833123307</v>
      </c>
      <c r="F50" s="387">
        <f t="shared" si="2"/>
        <v>10.999349650104335</v>
      </c>
      <c r="G50" s="110">
        <f t="shared" si="21"/>
        <v>0.39346345761630303</v>
      </c>
      <c r="H50" s="416" t="b">
        <f>Wh_hp&gt;='2025'!Maxi_hp</f>
        <v>0</v>
      </c>
      <c r="I50" s="392">
        <f>IF(H50,Wh_hp,'2025'!Maxi_hp)</f>
        <v>27.755080564710749</v>
      </c>
      <c r="J50" s="85">
        <f>IF(H50,An,'2025'!An_max)</f>
        <v>2020</v>
      </c>
      <c r="K50" s="199">
        <f t="shared" si="3"/>
        <v>46058</v>
      </c>
      <c r="L50" s="147">
        <f>IF(t&lt;Tvie,1-EXP((T0-t)*PertePVj)+'2025'!Pspv,1-EXP((T0-t)*PertePVj)+Pspv)</f>
        <v>6.1883280695591014E-2</v>
      </c>
      <c r="M50" s="872"/>
      <c r="N50" s="872"/>
      <c r="O50" s="48">
        <f>IF(t&lt;Tnet,'2025'!Resal+('2025'!Salim-'2025'!Resal)*(1-EXP(('2025'!Tnet-t)/('2025'!Tau_j))),Resal+(Salim-Resal)*(1-EXP((Tnet-t)/(Tau_j))))*Salcycl</f>
        <v>0.12245958909941043</v>
      </c>
      <c r="P50" s="171">
        <f>(INDEX(Models!$BJ50:$BT50,,T50)*(1-R50)+INDEX(Models!$BJ50:$BT50,,T50+1)*R50-ERP_i)*Q50*Ramure*Pc/MaxiM</f>
        <v>3.8288536925449091E-3</v>
      </c>
      <c r="Q50" s="307">
        <f t="shared" si="4"/>
        <v>0.9</v>
      </c>
      <c r="R50" s="179">
        <f t="shared" si="5"/>
        <v>0.86791363286001344</v>
      </c>
      <c r="S50" s="839">
        <f t="shared" si="6"/>
        <v>-3</v>
      </c>
      <c r="T50" s="178">
        <f t="shared" si="7"/>
        <v>3</v>
      </c>
      <c r="U50" s="253">
        <f t="shared" si="8"/>
        <v>-2.1320863671399866</v>
      </c>
      <c r="V50" s="385">
        <f t="shared" si="9"/>
        <v>22.92559221176883</v>
      </c>
      <c r="W50" s="404">
        <f t="shared" si="10"/>
        <v>9.0503593164387386</v>
      </c>
      <c r="X50" s="157">
        <f t="shared" si="11"/>
        <v>46058</v>
      </c>
      <c r="Y50" s="387">
        <f t="shared" si="12"/>
        <v>8.4594753816468735</v>
      </c>
      <c r="Z50" s="387">
        <f t="shared" si="22"/>
        <v>9.0175083841586066</v>
      </c>
      <c r="AA50" s="388">
        <f t="shared" si="13"/>
        <v>10.826452060872674</v>
      </c>
      <c r="AB50" s="199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0.16708554811337312</v>
      </c>
      <c r="AD50" s="233">
        <f>(INDEX(Models!$BJ50:$BT50,,AH50)*(1-AF50)+INDEX(Models!$BJ50:$BT50,,AH50+1)*AF50-ERP_i)*AE50*Ramure*Pc/MaxiM</f>
        <v>0.11610326588252208</v>
      </c>
      <c r="AE50" s="307">
        <f t="shared" si="15"/>
        <v>0.9</v>
      </c>
      <c r="AF50" s="179">
        <f t="shared" si="23"/>
        <v>0.5035692851669924</v>
      </c>
      <c r="AG50" s="839">
        <f t="shared" si="24"/>
        <v>2</v>
      </c>
      <c r="AH50" s="178">
        <f t="shared" si="16"/>
        <v>8</v>
      </c>
      <c r="AI50" s="227">
        <f t="shared" si="17"/>
        <v>2.5035692851669924</v>
      </c>
      <c r="AJ50" s="267" t="b">
        <f t="shared" si="18"/>
        <v>1</v>
      </c>
      <c r="AK50" s="267" t="b">
        <f t="shared" si="19"/>
        <v>0</v>
      </c>
      <c r="AL50" s="267"/>
      <c r="AM50" s="267"/>
      <c r="AN50" s="75"/>
    </row>
    <row r="51" spans="1:40" s="6" customFormat="1" ht="11.25" x14ac:dyDescent="0.2">
      <c r="A51" s="56">
        <f t="shared" si="20"/>
        <v>46059</v>
      </c>
      <c r="B51" s="413">
        <f>'2025'!Wh/'2025'!Env_an*'2026'!Env_an</f>
        <v>16.781626167704438</v>
      </c>
      <c r="C51" s="868"/>
      <c r="D51" s="395">
        <f t="shared" si="0"/>
        <v>17.889049799894501</v>
      </c>
      <c r="E51" s="387">
        <f t="shared" si="1"/>
        <v>20.387963666096521</v>
      </c>
      <c r="F51" s="387">
        <f t="shared" si="2"/>
        <v>20.431238715417592</v>
      </c>
      <c r="G51" s="110">
        <f t="shared" si="21"/>
        <v>0.72184439739890915</v>
      </c>
      <c r="H51" s="416" t="b">
        <f>Wh_hp&gt;='2025'!Maxi_hp</f>
        <v>0</v>
      </c>
      <c r="I51" s="392">
        <f>IF(H51,Wh_hp,'2025'!Maxi_hp)</f>
        <v>28.804501994668065</v>
      </c>
      <c r="J51" s="85">
        <f>IF(H51,An,'2025'!An_max)</f>
        <v>2020</v>
      </c>
      <c r="K51" s="199">
        <f t="shared" si="3"/>
        <v>46059</v>
      </c>
      <c r="L51" s="147">
        <f>IF(t&lt;Tvie,1-EXP((T0-t)*PertePVj)+'2025'!Pspv,1-EXP((T0-t)*PertePVj)+Pspv)</f>
        <v>6.1905112042149546E-2</v>
      </c>
      <c r="M51" s="872"/>
      <c r="N51" s="872"/>
      <c r="O51" s="48">
        <f>IF(t&lt;Tnet,'2025'!Resal+('2025'!Salim-'2025'!Resal)*(1-EXP(('2025'!Tnet-t)/('2025'!Tau_j))),Resal+(Salim-Resal)*(1-EXP((Tnet-t)/(Tau_j))))*Salcycl</f>
        <v>0.12256809493718614</v>
      </c>
      <c r="P51" s="171">
        <f>(INDEX(Models!$BJ51:$BT51,,T51)*(1-R51)+INDEX(Models!$BJ51:$BT51,,T51+1)*R51-ERP_i)*Q51*Ramure*Pc/MaxiM</f>
        <v>3.5063441912696453E-3</v>
      </c>
      <c r="Q51" s="307">
        <f t="shared" si="4"/>
        <v>0.9</v>
      </c>
      <c r="R51" s="179">
        <f t="shared" si="5"/>
        <v>0.86808441372144562</v>
      </c>
      <c r="S51" s="839">
        <f t="shared" si="6"/>
        <v>-3</v>
      </c>
      <c r="T51" s="178">
        <f t="shared" si="7"/>
        <v>3</v>
      </c>
      <c r="U51" s="253">
        <f t="shared" si="8"/>
        <v>-2.1319155862785544</v>
      </c>
      <c r="V51" s="385">
        <f t="shared" si="9"/>
        <v>23.215916739348245</v>
      </c>
      <c r="W51" s="404">
        <f t="shared" si="10"/>
        <v>16.781626167704438</v>
      </c>
      <c r="X51" s="157">
        <f t="shared" si="11"/>
        <v>46059</v>
      </c>
      <c r="Y51" s="387">
        <f t="shared" si="12"/>
        <v>14.870871989483073</v>
      </c>
      <c r="Z51" s="387">
        <f t="shared" si="22"/>
        <v>15.852204484192047</v>
      </c>
      <c r="AA51" s="388">
        <f t="shared" si="13"/>
        <v>19.033588462429904</v>
      </c>
      <c r="AB51" s="199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0.16714577939506992</v>
      </c>
      <c r="AD51" s="233">
        <f>(INDEX(Models!$BJ51:$BT51,,AH51)*(1-AF51)+INDEX(Models!$BJ51:$BT51,,AH51+1)*AF51-ERP_i)*AE51*Ramure*Pc/MaxiM</f>
        <v>0.11324407303687295</v>
      </c>
      <c r="AE51" s="307">
        <f t="shared" si="15"/>
        <v>0.9</v>
      </c>
      <c r="AF51" s="179">
        <f t="shared" si="23"/>
        <v>0.50374006602842458</v>
      </c>
      <c r="AG51" s="839">
        <f t="shared" si="24"/>
        <v>2</v>
      </c>
      <c r="AH51" s="178">
        <f t="shared" si="16"/>
        <v>8</v>
      </c>
      <c r="AI51" s="227">
        <f t="shared" si="17"/>
        <v>2.5037400660284246</v>
      </c>
      <c r="AJ51" s="267" t="b">
        <f t="shared" si="18"/>
        <v>1</v>
      </c>
      <c r="AK51" s="267" t="b">
        <f t="shared" si="19"/>
        <v>0</v>
      </c>
      <c r="AL51" s="267"/>
      <c r="AM51" s="267"/>
      <c r="AN51" s="75"/>
    </row>
    <row r="52" spans="1:40" s="6" customFormat="1" ht="11.25" x14ac:dyDescent="0.2">
      <c r="A52" s="56">
        <f t="shared" si="20"/>
        <v>46060</v>
      </c>
      <c r="B52" s="413">
        <f>'2025'!Wh/'2025'!Env_an*'2026'!Env_an</f>
        <v>11.618569038012218</v>
      </c>
      <c r="C52" s="868"/>
      <c r="D52" s="395">
        <f t="shared" si="0"/>
        <v>12.385569492519956</v>
      </c>
      <c r="E52" s="387">
        <f t="shared" si="1"/>
        <v>14.117451487925713</v>
      </c>
      <c r="F52" s="387">
        <f t="shared" si="2"/>
        <v>14.130005909522371</v>
      </c>
      <c r="G52" s="110">
        <f t="shared" si="21"/>
        <v>0.49308247138694256</v>
      </c>
      <c r="H52" s="416" t="b">
        <f>Wh_hp&gt;='2025'!Maxi_hp</f>
        <v>0</v>
      </c>
      <c r="I52" s="392">
        <f>IF(H52,Wh_hp,'2025'!Maxi_hp)</f>
        <v>20.435045615049184</v>
      </c>
      <c r="J52" s="85">
        <f>IF(H52,An,'2025'!An_max)</f>
        <v>2021</v>
      </c>
      <c r="K52" s="199">
        <f t="shared" si="3"/>
        <v>46060</v>
      </c>
      <c r="L52" s="147">
        <f>IF(t&lt;Tvie,1-EXP((T0-t)*PertePVj)+'2025'!Pspv,1-EXP((T0-t)*PertePVj)+Pspv)</f>
        <v>6.1926942880660807E-2</v>
      </c>
      <c r="M52" s="872"/>
      <c r="N52" s="872"/>
      <c r="O52" s="48">
        <f>IF(t&lt;Tnet,'2025'!Resal+('2025'!Salim-'2025'!Resal)*(1-EXP(('2025'!Tnet-t)/('2025'!Tau_j))),Resal+(Salim-Resal)*(1-EXP((Tnet-t)/(Tau_j))))*Salcycl</f>
        <v>0.12267667410700797</v>
      </c>
      <c r="P52" s="171">
        <f>(INDEX(Models!$BJ52:$BT52,,T52)*(1-R52)+INDEX(Models!$BJ52:$BT52,,T52+1)*R52-ERP_i)*Q52*Ramure*Pc/MaxiM</f>
        <v>3.2021589345743438E-3</v>
      </c>
      <c r="Q52" s="307">
        <f t="shared" si="4"/>
        <v>0.9</v>
      </c>
      <c r="R52" s="179">
        <f t="shared" si="5"/>
        <v>0.86826227019030755</v>
      </c>
      <c r="S52" s="839">
        <f t="shared" si="6"/>
        <v>-3</v>
      </c>
      <c r="T52" s="178">
        <f t="shared" si="7"/>
        <v>3</v>
      </c>
      <c r="U52" s="253">
        <f t="shared" si="8"/>
        <v>-2.1317377298096924</v>
      </c>
      <c r="V52" s="385">
        <f t="shared" si="9"/>
        <v>23.508569714886747</v>
      </c>
      <c r="W52" s="404">
        <f t="shared" si="10"/>
        <v>11.618569038012218</v>
      </c>
      <c r="X52" s="157">
        <f t="shared" si="11"/>
        <v>46060</v>
      </c>
      <c r="Y52" s="387">
        <f t="shared" si="12"/>
        <v>10.700543578021552</v>
      </c>
      <c r="Z52" s="387">
        <f t="shared" si="22"/>
        <v>11.406940532841951</v>
      </c>
      <c r="AA52" s="388">
        <f t="shared" si="13"/>
        <v>13.69719682269972</v>
      </c>
      <c r="AB52" s="199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0.16720620426963831</v>
      </c>
      <c r="AD52" s="233">
        <f>(INDEX(Models!$BJ52:$BT52,,AH52)*(1-AF52)+INDEX(Models!$BJ52:$BT52,,AH52+1)*AF52-ERP_i)*AE52*Ramure*Pc/MaxiM</f>
        <v>0.11039325656413571</v>
      </c>
      <c r="AE52" s="307">
        <f t="shared" si="15"/>
        <v>0.9</v>
      </c>
      <c r="AF52" s="179">
        <f t="shared" si="23"/>
        <v>0.50391792249728651</v>
      </c>
      <c r="AG52" s="839">
        <f t="shared" si="24"/>
        <v>2</v>
      </c>
      <c r="AH52" s="178">
        <f t="shared" si="16"/>
        <v>8</v>
      </c>
      <c r="AI52" s="227">
        <f t="shared" si="17"/>
        <v>2.5039179224972865</v>
      </c>
      <c r="AJ52" s="267" t="b">
        <f t="shared" si="18"/>
        <v>1</v>
      </c>
      <c r="AK52" s="267" t="b">
        <f t="shared" si="19"/>
        <v>0</v>
      </c>
      <c r="AL52" s="267"/>
      <c r="AM52" s="267"/>
      <c r="AN52" s="75"/>
    </row>
    <row r="53" spans="1:40" s="6" customFormat="1" ht="11.25" x14ac:dyDescent="0.2">
      <c r="A53" s="56">
        <f t="shared" si="20"/>
        <v>46061</v>
      </c>
      <c r="B53" s="413">
        <f>'2025'!Wh/'2025'!Env_an*'2026'!Env_an</f>
        <v>24.130736020854446</v>
      </c>
      <c r="C53" s="868"/>
      <c r="D53" s="395">
        <f t="shared" si="0"/>
        <v>25.724326488499749</v>
      </c>
      <c r="E53" s="387">
        <f t="shared" si="1"/>
        <v>29.325006514308086</v>
      </c>
      <c r="F53" s="387">
        <f t="shared" si="2"/>
        <v>29.411050619732663</v>
      </c>
      <c r="G53" s="110">
        <f t="shared" si="21"/>
        <v>1.0137513331920482</v>
      </c>
      <c r="H53" s="416" t="b">
        <f>Wh_hp&gt;='2025'!Maxi_hp</f>
        <v>1</v>
      </c>
      <c r="I53" s="392">
        <f>IF(H53,Wh_hp,'2025'!Maxi_hp)</f>
        <v>29.411050619732663</v>
      </c>
      <c r="J53" s="85">
        <f>IF(H53,An,'2025'!An_max)</f>
        <v>2026</v>
      </c>
      <c r="K53" s="199">
        <f t="shared" si="3"/>
        <v>46061</v>
      </c>
      <c r="L53" s="147">
        <f>IF(t&lt;Tvie,1-EXP((T0-t)*PertePVj)+'2025'!Pspv,1-EXP((T0-t)*PertePVj)+Pspv)</f>
        <v>6.1948773211136454E-2</v>
      </c>
      <c r="M53" s="872"/>
      <c r="N53" s="872"/>
      <c r="O53" s="48">
        <f>IF(t&lt;Tnet,'2025'!Resal+('2025'!Salim-'2025'!Resal)*(1-EXP(('2025'!Tnet-t)/('2025'!Tau_j))),Resal+(Salim-Resal)*(1-EXP((Tnet-t)/(Tau_j))))*Salcycl</f>
        <v>0.12278531034772361</v>
      </c>
      <c r="P53" s="171">
        <f>(INDEX(Models!$BJ53:$BT53,,T53)*(1-R53)+INDEX(Models!$BJ53:$BT53,,T53+1)*R53-ERP_i)*Q53*Ramure*Pc/MaxiM</f>
        <v>2.9255706141570973E-3</v>
      </c>
      <c r="Q53" s="307">
        <f t="shared" si="4"/>
        <v>0.9</v>
      </c>
      <c r="R53" s="179">
        <f t="shared" si="5"/>
        <v>0.86844749155302026</v>
      </c>
      <c r="S53" s="839">
        <f t="shared" si="6"/>
        <v>-3</v>
      </c>
      <c r="T53" s="178">
        <f t="shared" si="7"/>
        <v>3</v>
      </c>
      <c r="U53" s="253">
        <f t="shared" si="8"/>
        <v>-2.1315525084469797</v>
      </c>
      <c r="V53" s="385">
        <f t="shared" si="9"/>
        <v>23.803407434121759</v>
      </c>
      <c r="W53" s="404">
        <f t="shared" si="10"/>
        <v>24.130736020854446</v>
      </c>
      <c r="X53" s="157">
        <f t="shared" si="11"/>
        <v>46061</v>
      </c>
      <c r="Y53" s="387">
        <f t="shared" si="12"/>
        <v>20.503179454084997</v>
      </c>
      <c r="Z53" s="387">
        <f t="shared" si="22"/>
        <v>21.85720658803621</v>
      </c>
      <c r="AA53" s="388">
        <f t="shared" si="13"/>
        <v>26.247550344118277</v>
      </c>
      <c r="AB53" s="199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0.16726680008315076</v>
      </c>
      <c r="AD53" s="233">
        <f>(INDEX(Models!$BJ53:$BT53,,AH53)*(1-AF53)+INDEX(Models!$BJ53:$BT53,,AH53+1)*AF53-ERP_i)*AE53*Ramure*Pc/MaxiM</f>
        <v>0.10756162085185454</v>
      </c>
      <c r="AE53" s="307">
        <f t="shared" si="15"/>
        <v>0.9</v>
      </c>
      <c r="AF53" s="179">
        <f t="shared" si="23"/>
        <v>0.50410314385999921</v>
      </c>
      <c r="AG53" s="839">
        <f t="shared" si="24"/>
        <v>2</v>
      </c>
      <c r="AH53" s="178">
        <f t="shared" si="16"/>
        <v>8</v>
      </c>
      <c r="AI53" s="227">
        <f t="shared" si="17"/>
        <v>2.5041031438599992</v>
      </c>
      <c r="AJ53" s="267" t="b">
        <f t="shared" si="18"/>
        <v>1</v>
      </c>
      <c r="AK53" s="267" t="b">
        <f t="shared" si="19"/>
        <v>0</v>
      </c>
      <c r="AL53" s="267"/>
      <c r="AM53" s="267"/>
      <c r="AN53" s="75"/>
    </row>
    <row r="54" spans="1:40" s="6" customFormat="1" ht="11.25" x14ac:dyDescent="0.2">
      <c r="A54" s="56">
        <f t="shared" si="20"/>
        <v>46062</v>
      </c>
      <c r="B54" s="413">
        <f>'2025'!Wh/'2025'!Env_an*'2026'!Env_an</f>
        <v>24.13970319707834</v>
      </c>
      <c r="C54" s="868"/>
      <c r="D54" s="395">
        <f t="shared" si="0"/>
        <v>25.734484734856046</v>
      </c>
      <c r="E54" s="387">
        <f t="shared" si="1"/>
        <v>29.340221518645915</v>
      </c>
      <c r="F54" s="387">
        <f t="shared" si="2"/>
        <v>29.418936956466229</v>
      </c>
      <c r="G54" s="110">
        <f t="shared" si="21"/>
        <v>1.001625775378183</v>
      </c>
      <c r="H54" s="416" t="b">
        <f>Wh_hp&gt;='2025'!Maxi_hp</f>
        <v>1</v>
      </c>
      <c r="I54" s="392">
        <f>IF(H54,Wh_hp,'2025'!Maxi_hp)</f>
        <v>29.418936956466229</v>
      </c>
      <c r="J54" s="85">
        <f>IF(H54,An,'2025'!An_max)</f>
        <v>2026</v>
      </c>
      <c r="K54" s="199">
        <f t="shared" si="3"/>
        <v>46062</v>
      </c>
      <c r="L54" s="147">
        <f>IF(t&lt;Tvie,1-EXP((T0-t)*PertePVj)+'2025'!Pspv,1-EXP((T0-t)*PertePVj)+Pspv)</f>
        <v>6.1970603033588478E-2</v>
      </c>
      <c r="M54" s="872"/>
      <c r="N54" s="872"/>
      <c r="O54" s="48">
        <f>IF(t&lt;Tnet,'2025'!Resal+('2025'!Salim-'2025'!Resal)*(1-EXP(('2025'!Tnet-t)/('2025'!Tau_j))),Resal+(Salim-Resal)*(1-EXP((Tnet-t)/(Tau_j))))*Salcycl</f>
        <v>0.12289398638310889</v>
      </c>
      <c r="P54" s="171">
        <f>(INDEX(Models!$BJ54:$BT54,,T54)*(1-R54)+INDEX(Models!$BJ54:$BT54,,T54+1)*R54-ERP_i)*Q54*Ramure*Pc/MaxiM</f>
        <v>2.6756724057295437E-3</v>
      </c>
      <c r="Q54" s="307">
        <f t="shared" si="4"/>
        <v>0.9</v>
      </c>
      <c r="R54" s="179">
        <f t="shared" si="5"/>
        <v>0.86864037859504784</v>
      </c>
      <c r="S54" s="839">
        <f t="shared" si="6"/>
        <v>-3</v>
      </c>
      <c r="T54" s="178">
        <f t="shared" si="7"/>
        <v>3</v>
      </c>
      <c r="U54" s="253">
        <f t="shared" si="8"/>
        <v>-2.1313596214049522</v>
      </c>
      <c r="V54" s="385">
        <f t="shared" si="9"/>
        <v>24.10052116316988</v>
      </c>
      <c r="W54" s="404">
        <f t="shared" si="10"/>
        <v>24.13970319707834</v>
      </c>
      <c r="X54" s="157">
        <f t="shared" si="11"/>
        <v>46062</v>
      </c>
      <c r="Y54" s="387">
        <f t="shared" si="12"/>
        <v>20.57132900219241</v>
      </c>
      <c r="Z54" s="387">
        <f t="shared" si="22"/>
        <v>21.930367074550244</v>
      </c>
      <c r="AA54" s="388">
        <f t="shared" si="13"/>
        <v>26.337327344263258</v>
      </c>
      <c r="AB54" s="199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0.16732754284853155</v>
      </c>
      <c r="AD54" s="233">
        <f>(INDEX(Models!$BJ54:$BT54,,AH54)*(1-AF54)+INDEX(Models!$BJ54:$BT54,,AH54+1)*AF54-ERP_i)*AE54*Ramure*Pc/MaxiM</f>
        <v>0.10474918304366662</v>
      </c>
      <c r="AE54" s="307">
        <f t="shared" si="15"/>
        <v>0.9</v>
      </c>
      <c r="AF54" s="179">
        <f t="shared" si="23"/>
        <v>0.50429603090202679</v>
      </c>
      <c r="AG54" s="839">
        <f t="shared" si="24"/>
        <v>2</v>
      </c>
      <c r="AH54" s="178">
        <f t="shared" si="16"/>
        <v>8</v>
      </c>
      <c r="AI54" s="227">
        <f t="shared" si="17"/>
        <v>2.5042960309020268</v>
      </c>
      <c r="AJ54" s="267" t="b">
        <f t="shared" si="18"/>
        <v>1</v>
      </c>
      <c r="AK54" s="267" t="b">
        <f t="shared" si="19"/>
        <v>0</v>
      </c>
      <c r="AL54" s="267"/>
      <c r="AM54" s="267"/>
      <c r="AN54" s="75"/>
    </row>
    <row r="55" spans="1:40" s="6" customFormat="1" ht="11.25" x14ac:dyDescent="0.2">
      <c r="A55" s="56">
        <f t="shared" si="20"/>
        <v>46063</v>
      </c>
      <c r="B55" s="413">
        <f>'2025'!Wh/'2025'!Env_an*'2026'!Env_an</f>
        <v>23.397718991924791</v>
      </c>
      <c r="C55" s="868"/>
      <c r="D55" s="395">
        <f t="shared" si="0"/>
        <v>24.944062072435262</v>
      </c>
      <c r="E55" s="387">
        <f t="shared" si="1"/>
        <v>28.442575161030458</v>
      </c>
      <c r="F55" s="387">
        <f t="shared" si="2"/>
        <v>28.508364564697413</v>
      </c>
      <c r="G55" s="110">
        <f t="shared" si="21"/>
        <v>0.95878455162744147</v>
      </c>
      <c r="H55" s="416" t="b">
        <f>Wh_hp&gt;='2025'!Maxi_hp</f>
        <v>1</v>
      </c>
      <c r="I55" s="392">
        <f>IF(H55,Wh_hp,'2025'!Maxi_hp)</f>
        <v>28.508364564697413</v>
      </c>
      <c r="J55" s="85">
        <f>IF(H55,An,'2025'!An_max)</f>
        <v>2026</v>
      </c>
      <c r="K55" s="199">
        <f t="shared" si="3"/>
        <v>46063</v>
      </c>
      <c r="L55" s="147">
        <f>IF(t&lt;Tvie,1-EXP((T0-t)*PertePVj)+'2025'!Pspv,1-EXP((T0-t)*PertePVj)+Pspv)</f>
        <v>6.1992432348028648E-2</v>
      </c>
      <c r="M55" s="872"/>
      <c r="N55" s="872"/>
      <c r="O55" s="48">
        <f>IF(t&lt;Tnet,'2025'!Resal+('2025'!Salim-'2025'!Resal)*(1-EXP(('2025'!Tnet-t)/('2025'!Tau_j))),Resal+(Salim-Resal)*(1-EXP((Tnet-t)/(Tau_j))))*Salcycl</f>
        <v>0.12300268413770613</v>
      </c>
      <c r="P55" s="171">
        <f>(INDEX(Models!$BJ55:$BT55,,T55)*(1-R55)+INDEX(Models!$BJ55:$BT55,,T55+1)*R55-ERP_i)*Q55*Ramure*Pc/MaxiM</f>
        <v>2.4515860113829562E-3</v>
      </c>
      <c r="Q55" s="307">
        <f t="shared" si="4"/>
        <v>0.9</v>
      </c>
      <c r="R55" s="179">
        <f t="shared" si="5"/>
        <v>0.86884124402997553</v>
      </c>
      <c r="S55" s="839">
        <f t="shared" si="6"/>
        <v>-3</v>
      </c>
      <c r="T55" s="178">
        <f t="shared" si="7"/>
        <v>3</v>
      </c>
      <c r="U55" s="253">
        <f t="shared" si="8"/>
        <v>-2.1311587559700245</v>
      </c>
      <c r="V55" s="385">
        <f t="shared" si="9"/>
        <v>24.400002165167386</v>
      </c>
      <c r="W55" s="404">
        <f t="shared" si="10"/>
        <v>23.397718991924791</v>
      </c>
      <c r="X55" s="157">
        <f t="shared" si="11"/>
        <v>46063</v>
      </c>
      <c r="Y55" s="387">
        <f t="shared" si="12"/>
        <v>20.128086276419797</v>
      </c>
      <c r="Z55" s="387">
        <f t="shared" si="22"/>
        <v>21.458341031090608</v>
      </c>
      <c r="AA55" s="388">
        <f t="shared" si="13"/>
        <v>25.772330370462328</v>
      </c>
      <c r="AB55" s="199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0.1673884075425319</v>
      </c>
      <c r="AD55" s="233">
        <f>(INDEX(Models!$BJ55:$BT55,,AH55)*(1-AF55)+INDEX(Models!$BJ55:$BT55,,AH55+1)*AF55-ERP_i)*AE55*Ramure*Pc/MaxiM</f>
        <v>0.10195598049814314</v>
      </c>
      <c r="AE55" s="307">
        <f t="shared" si="15"/>
        <v>0.9</v>
      </c>
      <c r="AF55" s="179">
        <f t="shared" si="23"/>
        <v>0.50449689633695449</v>
      </c>
      <c r="AG55" s="839">
        <f t="shared" si="24"/>
        <v>2</v>
      </c>
      <c r="AH55" s="178">
        <f t="shared" si="16"/>
        <v>8</v>
      </c>
      <c r="AI55" s="227">
        <f t="shared" si="17"/>
        <v>2.5044968963369545</v>
      </c>
      <c r="AJ55" s="267" t="b">
        <f t="shared" si="18"/>
        <v>1</v>
      </c>
      <c r="AK55" s="267" t="b">
        <f t="shared" si="19"/>
        <v>0</v>
      </c>
      <c r="AL55" s="267"/>
      <c r="AM55" s="267"/>
      <c r="AN55" s="75"/>
    </row>
    <row r="56" spans="1:40" s="6" customFormat="1" ht="11.25" x14ac:dyDescent="0.2">
      <c r="A56" s="56">
        <f t="shared" si="20"/>
        <v>46064</v>
      </c>
      <c r="B56" s="413">
        <f>'2025'!Wh/'2025'!Env_an*'2026'!Env_an</f>
        <v>12.324330932095126</v>
      </c>
      <c r="C56" s="868"/>
      <c r="D56" s="395">
        <f t="shared" si="0"/>
        <v>13.139145321403136</v>
      </c>
      <c r="E56" s="387">
        <f t="shared" si="1"/>
        <v>14.983824736901935</v>
      </c>
      <c r="F56" s="387">
        <f t="shared" si="2"/>
        <v>14.993421873972164</v>
      </c>
      <c r="G56" s="110">
        <f t="shared" si="21"/>
        <v>0.49811658408266246</v>
      </c>
      <c r="H56" s="416" t="b">
        <f>Wh_hp&gt;='2025'!Maxi_hp</f>
        <v>0</v>
      </c>
      <c r="I56" s="392">
        <f>IF(H56,Wh_hp,'2025'!Maxi_hp)</f>
        <v>26.844997488492737</v>
      </c>
      <c r="J56" s="85">
        <f>IF(H56,An,'2025'!An_max)</f>
        <v>2021</v>
      </c>
      <c r="K56" s="199">
        <f t="shared" si="3"/>
        <v>46064</v>
      </c>
      <c r="L56" s="147">
        <f>IF(t&lt;Tvie,1-EXP((T0-t)*PertePVj)+'2025'!Pspv,1-EXP((T0-t)*PertePVj)+Pspv)</f>
        <v>6.2014261154468731E-2</v>
      </c>
      <c r="M56" s="872"/>
      <c r="N56" s="872"/>
      <c r="O56" s="48">
        <f>IF(t&lt;Tnet,'2025'!Resal+('2025'!Salim-'2025'!Resal)*(1-EXP(('2025'!Tnet-t)/('2025'!Tau_j))),Resal+(Salim-Resal)*(1-EXP((Tnet-t)/(Tau_j))))*Salcycl</f>
        <v>0.12311138496940306</v>
      </c>
      <c r="P56" s="171">
        <f>(INDEX(Models!$BJ56:$BT56,,T56)*(1-R56)+INDEX(Models!$BJ56:$BT56,,T56+1)*R56-ERP_i)*Q56*Ramure*Pc/MaxiM</f>
        <v>2.252460332021579E-3</v>
      </c>
      <c r="Q56" s="307">
        <f t="shared" si="4"/>
        <v>0.9</v>
      </c>
      <c r="R56" s="179">
        <f t="shared" si="5"/>
        <v>0.86905041294218099</v>
      </c>
      <c r="S56" s="839">
        <f t="shared" si="6"/>
        <v>-3</v>
      </c>
      <c r="T56" s="178">
        <f t="shared" si="7"/>
        <v>3</v>
      </c>
      <c r="U56" s="253">
        <f t="shared" si="8"/>
        <v>-2.130949587057819</v>
      </c>
      <c r="V56" s="385">
        <f t="shared" si="9"/>
        <v>24.701941694346605</v>
      </c>
      <c r="W56" s="404">
        <f t="shared" si="10"/>
        <v>12.324330932095126</v>
      </c>
      <c r="X56" s="157">
        <f t="shared" si="11"/>
        <v>46064</v>
      </c>
      <c r="Y56" s="387">
        <f t="shared" si="12"/>
        <v>11.378664197287305</v>
      </c>
      <c r="Z56" s="387">
        <f t="shared" si="22"/>
        <v>12.130956501846303</v>
      </c>
      <c r="AA56" s="388">
        <f t="shared" si="13"/>
        <v>14.570833342460405</v>
      </c>
      <c r="AB56" s="199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0.16744936842453159</v>
      </c>
      <c r="AD56" s="233">
        <f>(INDEX(Models!$BJ56:$BT56,,AH56)*(1-AF56)+INDEX(Models!$BJ56:$BT56,,AH56+1)*AF56-ERP_i)*AE56*Ramure*Pc/MaxiM</f>
        <v>9.9182068259742545E-2</v>
      </c>
      <c r="AE56" s="307">
        <f t="shared" si="15"/>
        <v>0.9</v>
      </c>
      <c r="AF56" s="179">
        <f t="shared" si="23"/>
        <v>0.50470606524915995</v>
      </c>
      <c r="AG56" s="839">
        <f t="shared" si="24"/>
        <v>2</v>
      </c>
      <c r="AH56" s="178">
        <f t="shared" si="16"/>
        <v>8</v>
      </c>
      <c r="AI56" s="227">
        <f t="shared" si="17"/>
        <v>2.50470606524916</v>
      </c>
      <c r="AJ56" s="267" t="b">
        <f t="shared" si="18"/>
        <v>1</v>
      </c>
      <c r="AK56" s="267" t="b">
        <f t="shared" si="19"/>
        <v>0</v>
      </c>
      <c r="AL56" s="267"/>
      <c r="AM56" s="267"/>
      <c r="AN56" s="75"/>
    </row>
    <row r="57" spans="1:40" s="6" customFormat="1" ht="11.25" x14ac:dyDescent="0.2">
      <c r="A57" s="56">
        <f t="shared" si="20"/>
        <v>46065</v>
      </c>
      <c r="B57" s="413">
        <f>'2025'!Wh/'2025'!Env_an*'2026'!Env_an</f>
        <v>21.045096364089343</v>
      </c>
      <c r="C57" s="868"/>
      <c r="D57" s="395">
        <f t="shared" si="0"/>
        <v>22.437000109966412</v>
      </c>
      <c r="E57" s="387">
        <f t="shared" si="1"/>
        <v>25.590230045318179</v>
      </c>
      <c r="F57" s="387">
        <f t="shared" si="2"/>
        <v>25.631428232403934</v>
      </c>
      <c r="G57" s="110">
        <f t="shared" si="21"/>
        <v>0.84119106519895337</v>
      </c>
      <c r="H57" s="416" t="b">
        <f>Wh_hp&gt;='2025'!Maxi_hp</f>
        <v>0</v>
      </c>
      <c r="I57" s="392">
        <f>IF(H57,Wh_hp,'2025'!Maxi_hp)</f>
        <v>30.627768501609644</v>
      </c>
      <c r="J57" s="85">
        <f>IF(H57,An,'2025'!An_max)</f>
        <v>2019</v>
      </c>
      <c r="K57" s="199">
        <f t="shared" si="3"/>
        <v>46065</v>
      </c>
      <c r="L57" s="147">
        <f>IF(t&lt;Tvie,1-EXP((T0-t)*PertePVj)+'2025'!Pspv,1-EXP((T0-t)*PertePVj)+Pspv)</f>
        <v>6.2036089452920717E-2</v>
      </c>
      <c r="M57" s="872"/>
      <c r="N57" s="872"/>
      <c r="O57" s="48">
        <f>IF(t&lt;Tnet,'2025'!Resal+('2025'!Salim-'2025'!Resal)*(1-EXP(('2025'!Tnet-t)/('2025'!Tau_j))),Resal+(Salim-Resal)*(1-EXP((Tnet-t)/(Tau_j))))*Salcycl</f>
        <v>0.12322006991604444</v>
      </c>
      <c r="P57" s="171">
        <f>(INDEX(Models!$BJ57:$BT57,,T57)*(1-R57)+INDEX(Models!$BJ57:$BT57,,T57+1)*R57-ERP_i)*Q57*Ramure*Pc/MaxiM</f>
        <v>2.0774702562641875E-3</v>
      </c>
      <c r="Q57" s="307">
        <f t="shared" si="4"/>
        <v>0.9</v>
      </c>
      <c r="R57" s="179">
        <f t="shared" si="5"/>
        <v>0.8692682232433131</v>
      </c>
      <c r="S57" s="839">
        <f t="shared" si="6"/>
        <v>-3</v>
      </c>
      <c r="T57" s="178">
        <f t="shared" si="7"/>
        <v>3</v>
      </c>
      <c r="U57" s="253">
        <f t="shared" si="8"/>
        <v>-2.1307317767566869</v>
      </c>
      <c r="V57" s="385">
        <f t="shared" si="9"/>
        <v>25.006430973810232</v>
      </c>
      <c r="W57" s="404">
        <f t="shared" si="10"/>
        <v>21.045096364089343</v>
      </c>
      <c r="X57" s="157">
        <f t="shared" si="11"/>
        <v>46065</v>
      </c>
      <c r="Y57" s="387">
        <f t="shared" si="12"/>
        <v>18.521007863142128</v>
      </c>
      <c r="Z57" s="387">
        <f t="shared" si="22"/>
        <v>19.745970665693861</v>
      </c>
      <c r="AA57" s="388">
        <f t="shared" si="13"/>
        <v>23.719179976340545</v>
      </c>
      <c r="AB57" s="199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0.16751039937341386</v>
      </c>
      <c r="AD57" s="233">
        <f>(INDEX(Models!$BJ57:$BT57,,AH57)*(1-AF57)+INDEX(Models!$BJ57:$BT57,,AH57+1)*AF57-ERP_i)*AE57*Ramure*Pc/MaxiM</f>
        <v>9.6427516732608534E-2</v>
      </c>
      <c r="AE57" s="307">
        <f t="shared" si="15"/>
        <v>0.9</v>
      </c>
      <c r="AF57" s="179">
        <f t="shared" si="23"/>
        <v>0.50492387555029206</v>
      </c>
      <c r="AG57" s="839">
        <f t="shared" si="24"/>
        <v>2</v>
      </c>
      <c r="AH57" s="178">
        <f t="shared" si="16"/>
        <v>8</v>
      </c>
      <c r="AI57" s="227">
        <f t="shared" si="17"/>
        <v>2.5049238755502921</v>
      </c>
      <c r="AJ57" s="267" t="b">
        <f t="shared" si="18"/>
        <v>1</v>
      </c>
      <c r="AK57" s="267" t="b">
        <f t="shared" si="19"/>
        <v>0</v>
      </c>
      <c r="AL57" s="267"/>
      <c r="AM57" s="267"/>
      <c r="AN57" s="75"/>
    </row>
    <row r="58" spans="1:40" s="6" customFormat="1" ht="11.25" x14ac:dyDescent="0.2">
      <c r="A58" s="56">
        <f t="shared" si="20"/>
        <v>46066</v>
      </c>
      <c r="B58" s="413">
        <f>'2025'!Wh/'2025'!Env_an*'2026'!Env_an</f>
        <v>24.500364760654548</v>
      </c>
      <c r="C58" s="868"/>
      <c r="D58" s="395">
        <f t="shared" si="0"/>
        <v>26.121404733912975</v>
      </c>
      <c r="E58" s="387">
        <f t="shared" si="1"/>
        <v>29.796122364725825</v>
      </c>
      <c r="F58" s="387">
        <f t="shared" si="2"/>
        <v>29.851091539053684</v>
      </c>
      <c r="G58" s="110">
        <f t="shared" si="21"/>
        <v>0.96779325836916474</v>
      </c>
      <c r="H58" s="416" t="b">
        <f>Wh_hp&gt;='2025'!Maxi_hp</f>
        <v>0</v>
      </c>
      <c r="I58" s="392">
        <f>IF(H58,Wh_hp,'2025'!Maxi_hp)</f>
        <v>31.571868913069107</v>
      </c>
      <c r="J58" s="85">
        <f>IF(H58,An,'2025'!An_max)</f>
        <v>2019</v>
      </c>
      <c r="K58" s="199">
        <f t="shared" si="3"/>
        <v>46066</v>
      </c>
      <c r="L58" s="147">
        <f>IF(t&lt;Tvie,1-EXP((T0-t)*PertePVj)+'2025'!Pspv,1-EXP((T0-t)*PertePVj)+Pspv)</f>
        <v>6.2057917243396155E-2</v>
      </c>
      <c r="M58" s="872"/>
      <c r="N58" s="872"/>
      <c r="O58" s="48">
        <f>IF(t&lt;Tnet,'2025'!Resal+('2025'!Salim-'2025'!Resal)*(1-EXP(('2025'!Tnet-t)/('2025'!Tau_j))),Resal+(Salim-Resal)*(1-EXP((Tnet-t)/(Tau_j))))*Salcycl</f>
        <v>0.12332871995327721</v>
      </c>
      <c r="P58" s="171">
        <f>(INDEX(Models!$BJ58:$BT58,,T58)*(1-R58)+INDEX(Models!$BJ58:$BT58,,T58+1)*R58-ERP_i)*Q58*Ramure*Pc/MaxiM</f>
        <v>1.9300082349106604E-3</v>
      </c>
      <c r="Q58" s="307">
        <f t="shared" si="4"/>
        <v>0.9</v>
      </c>
      <c r="R58" s="179">
        <f t="shared" si="5"/>
        <v>0.86949502614276808</v>
      </c>
      <c r="S58" s="839">
        <f t="shared" si="6"/>
        <v>-3</v>
      </c>
      <c r="T58" s="178">
        <f t="shared" si="7"/>
        <v>3</v>
      </c>
      <c r="U58" s="253">
        <f t="shared" si="8"/>
        <v>-2.1305049738572319</v>
      </c>
      <c r="V58" s="385">
        <f t="shared" si="9"/>
        <v>25.313454851839609</v>
      </c>
      <c r="W58" s="404">
        <f t="shared" si="10"/>
        <v>24.500364760654548</v>
      </c>
      <c r="X58" s="157">
        <f t="shared" si="11"/>
        <v>46066</v>
      </c>
      <c r="Y58" s="387">
        <f t="shared" si="12"/>
        <v>21.222898978690953</v>
      </c>
      <c r="Z58" s="387">
        <f t="shared" si="22"/>
        <v>22.627088995001731</v>
      </c>
      <c r="AA58" s="388">
        <f t="shared" si="13"/>
        <v>27.182020191231082</v>
      </c>
      <c r="AB58" s="199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0.16757147423865021</v>
      </c>
      <c r="AD58" s="233">
        <f>(INDEX(Models!$BJ58:$BT58,,AH58)*(1-AF58)+INDEX(Models!$BJ58:$BT58,,AH58+1)*AF58-ERP_i)*AE58*Ramure*Pc/MaxiM</f>
        <v>9.3713062709236766E-2</v>
      </c>
      <c r="AE58" s="307">
        <f t="shared" si="15"/>
        <v>0.9</v>
      </c>
      <c r="AF58" s="179">
        <f t="shared" si="23"/>
        <v>0.50515067844974704</v>
      </c>
      <c r="AG58" s="839">
        <f t="shared" si="24"/>
        <v>2</v>
      </c>
      <c r="AH58" s="178">
        <f t="shared" si="16"/>
        <v>8</v>
      </c>
      <c r="AI58" s="227">
        <f t="shared" si="17"/>
        <v>2.505150678449747</v>
      </c>
      <c r="AJ58" s="267" t="b">
        <f t="shared" si="18"/>
        <v>1</v>
      </c>
      <c r="AK58" s="267" t="b">
        <f t="shared" si="19"/>
        <v>0</v>
      </c>
      <c r="AL58" s="267"/>
      <c r="AM58" s="267"/>
      <c r="AN58" s="75"/>
    </row>
    <row r="59" spans="1:40" s="6" customFormat="1" ht="11.25" x14ac:dyDescent="0.2">
      <c r="A59" s="56">
        <f t="shared" si="20"/>
        <v>46067</v>
      </c>
      <c r="B59" s="413">
        <f>'2025'!Wh/'2025'!Env_an*'2026'!Env_an</f>
        <v>14.379344083616532</v>
      </c>
      <c r="C59" s="868"/>
      <c r="D59" s="395">
        <f t="shared" si="0"/>
        <v>15.331094514371236</v>
      </c>
      <c r="E59" s="387">
        <f t="shared" si="1"/>
        <v>17.490015031180665</v>
      </c>
      <c r="F59" s="387">
        <f t="shared" si="2"/>
        <v>17.501780059003423</v>
      </c>
      <c r="G59" s="110">
        <f t="shared" si="21"/>
        <v>0.56054818907738779</v>
      </c>
      <c r="H59" s="416" t="b">
        <f>Wh_hp&gt;='2025'!Maxi_hp</f>
        <v>0</v>
      </c>
      <c r="I59" s="392">
        <f>IF(H59,Wh_hp,'2025'!Maxi_hp)</f>
        <v>31.764389384281085</v>
      </c>
      <c r="J59" s="85">
        <f>IF(H59,An,'2025'!An_max)</f>
        <v>2019</v>
      </c>
      <c r="K59" s="199">
        <f t="shared" si="3"/>
        <v>46067</v>
      </c>
      <c r="L59" s="147">
        <f>IF(t&lt;Tvie,1-EXP((T0-t)*PertePVj)+'2025'!Pspv,1-EXP((T0-t)*PertePVj)+Pspv)</f>
        <v>6.2079744525907143E-2</v>
      </c>
      <c r="M59" s="872"/>
      <c r="N59" s="872"/>
      <c r="O59" s="48">
        <f>IF(t&lt;Tnet,'2025'!Resal+('2025'!Salim-'2025'!Resal)*(1-EXP(('2025'!Tnet-t)/('2025'!Tau_j))),Resal+(Salim-Resal)*(1-EXP((Tnet-t)/(Tau_j))))*Salcycl</f>
        <v>0.12343731626076776</v>
      </c>
      <c r="P59" s="171">
        <f>(INDEX(Models!$BJ59:$BT59,,T59)*(1-R59)+INDEX(Models!$BJ59:$BT59,,T59+1)*R59-ERP_i)*Q59*Ramure*Pc/MaxiM</f>
        <v>1.8016268118481544E-3</v>
      </c>
      <c r="Q59" s="307">
        <f t="shared" si="4"/>
        <v>0.9</v>
      </c>
      <c r="R59" s="179">
        <f t="shared" si="5"/>
        <v>0.86973118663234228</v>
      </c>
      <c r="S59" s="839">
        <f t="shared" si="6"/>
        <v>-3</v>
      </c>
      <c r="T59" s="178">
        <f t="shared" si="7"/>
        <v>3</v>
      </c>
      <c r="U59" s="253">
        <f t="shared" si="8"/>
        <v>-2.1302688133676577</v>
      </c>
      <c r="V59" s="385">
        <f t="shared" si="9"/>
        <v>25.623297505256058</v>
      </c>
      <c r="W59" s="404">
        <f t="shared" si="10"/>
        <v>14.379344083616532</v>
      </c>
      <c r="X59" s="157">
        <f t="shared" si="11"/>
        <v>46067</v>
      </c>
      <c r="Y59" s="387">
        <f t="shared" si="12"/>
        <v>13.199274770405022</v>
      </c>
      <c r="Z59" s="387">
        <f t="shared" si="22"/>
        <v>14.072917919587047</v>
      </c>
      <c r="AA59" s="388">
        <f t="shared" si="13"/>
        <v>16.907098193733166</v>
      </c>
      <c r="AB59" s="199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0.16763256720166481</v>
      </c>
      <c r="AD59" s="233">
        <f>(INDEX(Models!$BJ59:$BT59,,AH59)*(1-AF59)+INDEX(Models!$BJ59:$BT59,,AH59+1)*AF59-ERP_i)*AE59*Ramure*Pc/MaxiM</f>
        <v>9.1066065387312031E-2</v>
      </c>
      <c r="AE59" s="307">
        <f t="shared" si="15"/>
        <v>0.9</v>
      </c>
      <c r="AF59" s="179">
        <f t="shared" si="23"/>
        <v>0.50538683893932124</v>
      </c>
      <c r="AG59" s="839">
        <f t="shared" si="24"/>
        <v>2</v>
      </c>
      <c r="AH59" s="178">
        <f t="shared" si="16"/>
        <v>8</v>
      </c>
      <c r="AI59" s="227">
        <f t="shared" si="17"/>
        <v>2.5053868389393212</v>
      </c>
      <c r="AJ59" s="267" t="b">
        <f t="shared" si="18"/>
        <v>1</v>
      </c>
      <c r="AK59" s="267" t="b">
        <f t="shared" si="19"/>
        <v>0</v>
      </c>
      <c r="AL59" s="267"/>
      <c r="AM59" s="267"/>
      <c r="AN59" s="75"/>
    </row>
    <row r="60" spans="1:40" s="6" customFormat="1" ht="11.25" x14ac:dyDescent="0.2">
      <c r="A60" s="56">
        <f t="shared" si="20"/>
        <v>46068</v>
      </c>
      <c r="B60" s="413">
        <f>'2025'!Wh/'2025'!Env_an*'2026'!Env_an</f>
        <v>17.487736656856082</v>
      </c>
      <c r="C60" s="868"/>
      <c r="D60" s="395">
        <f t="shared" si="0"/>
        <v>18.64566153619014</v>
      </c>
      <c r="E60" s="387">
        <f t="shared" si="1"/>
        <v>21.273972328110503</v>
      </c>
      <c r="F60" s="387">
        <f t="shared" si="2"/>
        <v>21.293231746054694</v>
      </c>
      <c r="G60" s="110">
        <f t="shared" si="21"/>
        <v>0.67373241783630589</v>
      </c>
      <c r="H60" s="416" t="b">
        <f>Wh_hp&gt;='2025'!Maxi_hp</f>
        <v>0</v>
      </c>
      <c r="I60" s="392">
        <f>IF(H60,Wh_hp,'2025'!Maxi_hp)</f>
        <v>31.923977618483878</v>
      </c>
      <c r="J60" s="85">
        <f>IF(H60,An,'2025'!An_max)</f>
        <v>2019</v>
      </c>
      <c r="K60" s="199">
        <f t="shared" si="3"/>
        <v>46068</v>
      </c>
      <c r="L60" s="147">
        <f>IF(t&lt;Tvie,1-EXP((T0-t)*PertePVj)+'2025'!Pspv,1-EXP((T0-t)*PertePVj)+Pspv)</f>
        <v>6.2101571300465341E-2</v>
      </c>
      <c r="M60" s="872"/>
      <c r="N60" s="872"/>
      <c r="O60" s="48">
        <f>IF(t&lt;Tnet,'2025'!Resal+('2025'!Salim-'2025'!Resal)*(1-EXP(('2025'!Tnet-t)/('2025'!Tau_j))),Resal+(Salim-Resal)*(1-EXP((Tnet-t)/(Tau_j))))*Salcycl</f>
        <v>0.12354584049389909</v>
      </c>
      <c r="P60" s="171">
        <f>(INDEX(Models!$BJ60:$BT60,,T60)*(1-R60)+INDEX(Models!$BJ60:$BT60,,T60+1)*R60-ERP_i)*Q60*Ramure*Pc/MaxiM</f>
        <v>1.6916944631677638E-3</v>
      </c>
      <c r="Q60" s="307">
        <f t="shared" si="4"/>
        <v>0.9</v>
      </c>
      <c r="R60" s="179">
        <f t="shared" si="5"/>
        <v>0.86997708398520501</v>
      </c>
      <c r="S60" s="839">
        <f t="shared" si="6"/>
        <v>-3</v>
      </c>
      <c r="T60" s="178">
        <f t="shared" si="7"/>
        <v>3</v>
      </c>
      <c r="U60" s="253">
        <f t="shared" si="8"/>
        <v>-2.130022916014795</v>
      </c>
      <c r="V60" s="385">
        <f t="shared" si="9"/>
        <v>25.936050021004142</v>
      </c>
      <c r="W60" s="404">
        <f t="shared" si="10"/>
        <v>17.487736656856082</v>
      </c>
      <c r="X60" s="157">
        <f t="shared" si="11"/>
        <v>46068</v>
      </c>
      <c r="Y60" s="387">
        <f t="shared" si="12"/>
        <v>15.83552269393028</v>
      </c>
      <c r="Z60" s="387">
        <f t="shared" si="22"/>
        <v>16.884048644678295</v>
      </c>
      <c r="AA60" s="388">
        <f t="shared" si="13"/>
        <v>20.285858336233229</v>
      </c>
      <c r="AB60" s="199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0.16769365314352283</v>
      </c>
      <c r="AD60" s="233">
        <f>(INDEX(Models!$BJ60:$BT60,,AH60)*(1-AF60)+INDEX(Models!$BJ60:$BT60,,AH60+1)*AF60-ERP_i)*AE60*Ramure*Pc/MaxiM</f>
        <v>8.8484918115150912E-2</v>
      </c>
      <c r="AE60" s="307">
        <f t="shared" si="15"/>
        <v>0.9</v>
      </c>
      <c r="AF60" s="179">
        <f t="shared" si="23"/>
        <v>0.50563273629218397</v>
      </c>
      <c r="AG60" s="839">
        <f t="shared" si="24"/>
        <v>2</v>
      </c>
      <c r="AH60" s="178">
        <f t="shared" si="16"/>
        <v>8</v>
      </c>
      <c r="AI60" s="227">
        <f t="shared" si="17"/>
        <v>2.505632736292184</v>
      </c>
      <c r="AJ60" s="267" t="b">
        <f t="shared" si="18"/>
        <v>1</v>
      </c>
      <c r="AK60" s="267" t="b">
        <f t="shared" si="19"/>
        <v>0</v>
      </c>
      <c r="AL60" s="267"/>
      <c r="AM60" s="267"/>
      <c r="AN60" s="75"/>
    </row>
    <row r="61" spans="1:40" s="6" customFormat="1" ht="11.25" x14ac:dyDescent="0.2">
      <c r="A61" s="56">
        <f t="shared" si="20"/>
        <v>46069</v>
      </c>
      <c r="B61" s="413">
        <f>'2025'!Wh/'2025'!Env_an*'2026'!Env_an</f>
        <v>8.9104743563929247</v>
      </c>
      <c r="C61" s="868"/>
      <c r="D61" s="395">
        <f t="shared" si="0"/>
        <v>9.5006894652010008</v>
      </c>
      <c r="E61" s="387">
        <f t="shared" si="1"/>
        <v>10.841257274154469</v>
      </c>
      <c r="F61" s="387">
        <f t="shared" si="2"/>
        <v>10.842234027431541</v>
      </c>
      <c r="G61" s="110">
        <f t="shared" si="21"/>
        <v>0.33891091420420927</v>
      </c>
      <c r="H61" s="416" t="b">
        <f>Wh_hp&gt;='2025'!Maxi_hp</f>
        <v>0</v>
      </c>
      <c r="I61" s="392">
        <f>IF(H61,Wh_hp,'2025'!Maxi_hp)</f>
        <v>32.585872870752389</v>
      </c>
      <c r="J61" s="85">
        <f>IF(H61,An,'2025'!An_max)</f>
        <v>2019</v>
      </c>
      <c r="K61" s="199">
        <f t="shared" si="3"/>
        <v>46069</v>
      </c>
      <c r="L61" s="147">
        <f>IF(t&lt;Tvie,1-EXP((T0-t)*PertePVj)+'2025'!Pspv,1-EXP((T0-t)*PertePVj)+Pspv)</f>
        <v>6.2123397567082628E-2</v>
      </c>
      <c r="M61" s="872"/>
      <c r="N61" s="872"/>
      <c r="O61" s="48">
        <f>IF(t&lt;Tnet,'2025'!Resal+('2025'!Salim-'2025'!Resal)*(1-EXP(('2025'!Tnet-t)/('2025'!Tau_j))),Resal+(Salim-Resal)*(1-EXP((Tnet-t)/(Tau_j))))*Salcycl</f>
        <v>0.12365427505805797</v>
      </c>
      <c r="P61" s="171">
        <f>(INDEX(Models!$BJ61:$BT61,,T61)*(1-R61)+INDEX(Models!$BJ61:$BT61,,T61+1)*R61-ERP_i)*Q61*Ramure*Pc/MaxiM</f>
        <v>1.5995982015869054E-3</v>
      </c>
      <c r="Q61" s="307">
        <f t="shared" si="4"/>
        <v>0.9</v>
      </c>
      <c r="R61" s="179">
        <f t="shared" si="5"/>
        <v>0.87023311226930833</v>
      </c>
      <c r="S61" s="839">
        <f t="shared" si="6"/>
        <v>-3</v>
      </c>
      <c r="T61" s="178">
        <f t="shared" si="7"/>
        <v>3</v>
      </c>
      <c r="U61" s="253">
        <f t="shared" si="8"/>
        <v>-2.1297668877306917</v>
      </c>
      <c r="V61" s="385">
        <f t="shared" si="9"/>
        <v>26.251803403698382</v>
      </c>
      <c r="W61" s="404">
        <f t="shared" si="10"/>
        <v>8.9104743563929247</v>
      </c>
      <c r="X61" s="157">
        <f t="shared" si="11"/>
        <v>46069</v>
      </c>
      <c r="Y61" s="387">
        <f t="shared" si="12"/>
        <v>8.4218600839046189</v>
      </c>
      <c r="Z61" s="387">
        <f t="shared" si="22"/>
        <v>8.9797101900801515</v>
      </c>
      <c r="AA61" s="388">
        <f t="shared" si="13"/>
        <v>10.789739847806864</v>
      </c>
      <c r="AB61" s="199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0.16775470801500572</v>
      </c>
      <c r="AD61" s="233">
        <f>(INDEX(Models!$BJ61:$BT61,,AH61)*(1-AF61)+INDEX(Models!$BJ61:$BT61,,AH61+1)*AF61-ERP_i)*AE61*Ramure*Pc/MaxiM</f>
        <v>8.5968071254425196E-2</v>
      </c>
      <c r="AE61" s="307">
        <f t="shared" si="15"/>
        <v>0.9</v>
      </c>
      <c r="AF61" s="179">
        <f t="shared" si="23"/>
        <v>0.50588876457628729</v>
      </c>
      <c r="AG61" s="839">
        <f t="shared" si="24"/>
        <v>2</v>
      </c>
      <c r="AH61" s="178">
        <f t="shared" si="16"/>
        <v>8</v>
      </c>
      <c r="AI61" s="227">
        <f t="shared" si="17"/>
        <v>2.5058887645762873</v>
      </c>
      <c r="AJ61" s="267" t="b">
        <f t="shared" si="18"/>
        <v>1</v>
      </c>
      <c r="AK61" s="267" t="b">
        <f t="shared" si="19"/>
        <v>0</v>
      </c>
      <c r="AL61" s="267"/>
      <c r="AM61" s="267"/>
      <c r="AN61" s="75"/>
    </row>
    <row r="62" spans="1:40" s="6" customFormat="1" ht="11.25" x14ac:dyDescent="0.2">
      <c r="A62" s="56">
        <f t="shared" si="20"/>
        <v>46070</v>
      </c>
      <c r="B62" s="413">
        <f>'2025'!Wh/'2025'!Env_an*'2026'!Env_an</f>
        <v>10.341236297925546</v>
      </c>
      <c r="C62" s="868"/>
      <c r="D62" s="395">
        <f t="shared" si="0"/>
        <v>11.02647931761577</v>
      </c>
      <c r="E62" s="387">
        <f t="shared" si="1"/>
        <v>12.583894912705947</v>
      </c>
      <c r="F62" s="387">
        <f t="shared" si="2"/>
        <v>12.58634032388629</v>
      </c>
      <c r="G62" s="110">
        <f t="shared" si="21"/>
        <v>0.38867982765929193</v>
      </c>
      <c r="H62" s="416" t="b">
        <f>Wh_hp&gt;='2025'!Maxi_hp</f>
        <v>0</v>
      </c>
      <c r="I62" s="392">
        <f>IF(H62,Wh_hp,'2025'!Maxi_hp)</f>
        <v>33.205489118694373</v>
      </c>
      <c r="J62" s="85">
        <f>IF(H62,An,'2025'!An_max)</f>
        <v>2019</v>
      </c>
      <c r="K62" s="199">
        <f t="shared" si="3"/>
        <v>46070</v>
      </c>
      <c r="L62" s="147">
        <f>IF(t&lt;Tvie,1-EXP((T0-t)*PertePVj)+'2025'!Pspv,1-EXP((T0-t)*PertePVj)+Pspv)</f>
        <v>6.2145223325770771E-2</v>
      </c>
      <c r="M62" s="872"/>
      <c r="N62" s="872"/>
      <c r="O62" s="48">
        <f>IF(t&lt;Tnet,'2025'!Resal+('2025'!Salim-'2025'!Resal)*(1-EXP(('2025'!Tnet-t)/('2025'!Tau_j))),Resal+(Salim-Resal)*(1-EXP((Tnet-t)/(Tau_j))))*Salcycl</f>
        <v>0.12376260338265035</v>
      </c>
      <c r="P62" s="171">
        <f>(INDEX(Models!$BJ62:$BT62,,T62)*(1-R62)+INDEX(Models!$BJ62:$BT62,,T62+1)*R62-ERP_i)*Q62*Ramure*Pc/MaxiM</f>
        <v>1.5247429210762063E-3</v>
      </c>
      <c r="Q62" s="307">
        <f t="shared" si="4"/>
        <v>0.9</v>
      </c>
      <c r="R62" s="179">
        <f t="shared" si="5"/>
        <v>0.87049968087532692</v>
      </c>
      <c r="S62" s="839">
        <f t="shared" si="6"/>
        <v>-3</v>
      </c>
      <c r="T62" s="178">
        <f t="shared" si="7"/>
        <v>3</v>
      </c>
      <c r="U62" s="253">
        <f t="shared" si="8"/>
        <v>-2.1295003191246731</v>
      </c>
      <c r="V62" s="385">
        <f t="shared" si="9"/>
        <v>26.570648565789437</v>
      </c>
      <c r="W62" s="404">
        <f t="shared" si="10"/>
        <v>10.341236297925546</v>
      </c>
      <c r="X62" s="157">
        <f t="shared" si="11"/>
        <v>46070</v>
      </c>
      <c r="Y62" s="387">
        <f t="shared" si="12"/>
        <v>9.7186990667187594</v>
      </c>
      <c r="Z62" s="387">
        <f t="shared" si="22"/>
        <v>10.362690800789748</v>
      </c>
      <c r="AA62" s="388">
        <f t="shared" si="13"/>
        <v>12.452398964287687</v>
      </c>
      <c r="AB62" s="199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0.16781570920519223</v>
      </c>
      <c r="AD62" s="233">
        <f>(INDEX(Models!$BJ62:$BT62,,AH62)*(1-AF62)+INDEX(Models!$BJ62:$BT62,,AH62+1)*AF62-ERP_i)*AE62*Ramure*Pc/MaxiM</f>
        <v>8.3514028859047504E-2</v>
      </c>
      <c r="AE62" s="307">
        <f t="shared" si="15"/>
        <v>0.9</v>
      </c>
      <c r="AF62" s="179">
        <f t="shared" si="23"/>
        <v>0.50615533318230588</v>
      </c>
      <c r="AG62" s="839">
        <f t="shared" si="24"/>
        <v>2</v>
      </c>
      <c r="AH62" s="178">
        <f t="shared" si="16"/>
        <v>8</v>
      </c>
      <c r="AI62" s="227">
        <f t="shared" si="17"/>
        <v>2.5061553331823059</v>
      </c>
      <c r="AJ62" s="267" t="b">
        <f t="shared" si="18"/>
        <v>1</v>
      </c>
      <c r="AK62" s="267" t="b">
        <f t="shared" si="19"/>
        <v>0</v>
      </c>
      <c r="AL62" s="267"/>
      <c r="AM62" s="267"/>
      <c r="AN62" s="75"/>
    </row>
    <row r="63" spans="1:40" s="6" customFormat="1" ht="11.25" x14ac:dyDescent="0.2">
      <c r="A63" s="56">
        <f t="shared" si="20"/>
        <v>46071</v>
      </c>
      <c r="B63" s="413">
        <f>'2025'!Wh/'2025'!Env_an*'2026'!Env_an</f>
        <v>24.385005453863098</v>
      </c>
      <c r="C63" s="868"/>
      <c r="D63" s="395">
        <f t="shared" si="0"/>
        <v>26.001438120564149</v>
      </c>
      <c r="E63" s="387">
        <f t="shared" si="1"/>
        <v>29.67763022056559</v>
      </c>
      <c r="F63" s="387">
        <f t="shared" si="2"/>
        <v>29.715404169884252</v>
      </c>
      <c r="G63" s="110">
        <f t="shared" si="21"/>
        <v>0.9065752795144526</v>
      </c>
      <c r="H63" s="416" t="b">
        <f>Wh_hp&gt;='2025'!Maxi_hp</f>
        <v>0</v>
      </c>
      <c r="I63" s="392">
        <f>IF(H63,Wh_hp,'2025'!Maxi_hp)</f>
        <v>33.121421529464264</v>
      </c>
      <c r="J63" s="85">
        <f>IF(H63,An,'2025'!An_max)</f>
        <v>2019</v>
      </c>
      <c r="K63" s="199">
        <f t="shared" si="3"/>
        <v>46071</v>
      </c>
      <c r="L63" s="147">
        <f>IF(t&lt;Tvie,1-EXP((T0-t)*PertePVj)+'2025'!Pspv,1-EXP((T0-t)*PertePVj)+Pspv)</f>
        <v>6.2167048576541539E-2</v>
      </c>
      <c r="M63" s="872"/>
      <c r="N63" s="872"/>
      <c r="O63" s="48">
        <f>IF(t&lt;Tnet,'2025'!Resal+('2025'!Salim-'2025'!Resal)*(1-EXP(('2025'!Tnet-t)/('2025'!Tau_j))),Resal+(Salim-Resal)*(1-EXP((Tnet-t)/(Tau_j))))*Salcycl</f>
        <v>0.12387081019204704</v>
      </c>
      <c r="P63" s="171">
        <f>(INDEX(Models!$BJ63:$BT63,,T63)*(1-R63)+INDEX(Models!$BJ63:$BT63,,T63+1)*R63-ERP_i)*Q63*Ramure*Pc/MaxiM</f>
        <v>1.4665508001847642E-3</v>
      </c>
      <c r="Q63" s="307">
        <f t="shared" si="4"/>
        <v>0.9</v>
      </c>
      <c r="R63" s="179">
        <f t="shared" si="5"/>
        <v>0.87077721505917483</v>
      </c>
      <c r="S63" s="839">
        <f t="shared" si="6"/>
        <v>-3</v>
      </c>
      <c r="T63" s="178">
        <f t="shared" si="7"/>
        <v>3</v>
      </c>
      <c r="U63" s="253">
        <f t="shared" si="8"/>
        <v>-2.1292227849408252</v>
      </c>
      <c r="V63" s="385">
        <f t="shared" si="9"/>
        <v>26.892676303208052</v>
      </c>
      <c r="W63" s="404">
        <f t="shared" si="10"/>
        <v>24.385005453863098</v>
      </c>
      <c r="X63" s="157">
        <f t="shared" si="11"/>
        <v>46071</v>
      </c>
      <c r="Y63" s="387">
        <f t="shared" si="12"/>
        <v>21.559099092464791</v>
      </c>
      <c r="Z63" s="387">
        <f t="shared" si="22"/>
        <v>22.988208144896202</v>
      </c>
      <c r="AA63" s="388">
        <f t="shared" si="13"/>
        <v>27.62596165039928</v>
      </c>
      <c r="AB63" s="199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0.16787663590476487</v>
      </c>
      <c r="AD63" s="233">
        <f>(INDEX(Models!$BJ63:$BT63,,AH63)*(1-AF63)+INDEX(Models!$BJ63:$BT63,,AH63+1)*AF63-ERP_i)*AE63*Ramure*Pc/MaxiM</f>
        <v>8.1121345640624856E-2</v>
      </c>
      <c r="AE63" s="307">
        <f t="shared" si="15"/>
        <v>0.9</v>
      </c>
      <c r="AF63" s="179">
        <f t="shared" si="23"/>
        <v>0.50643286736615378</v>
      </c>
      <c r="AG63" s="839">
        <f t="shared" si="24"/>
        <v>2</v>
      </c>
      <c r="AH63" s="178">
        <f t="shared" si="16"/>
        <v>8</v>
      </c>
      <c r="AI63" s="227">
        <f t="shared" si="17"/>
        <v>2.5064328673661538</v>
      </c>
      <c r="AJ63" s="267" t="b">
        <f t="shared" si="18"/>
        <v>1</v>
      </c>
      <c r="AK63" s="267" t="b">
        <f t="shared" si="19"/>
        <v>0</v>
      </c>
      <c r="AL63" s="267"/>
      <c r="AM63" s="267"/>
      <c r="AN63" s="75"/>
    </row>
    <row r="64" spans="1:40" s="6" customFormat="1" ht="11.25" x14ac:dyDescent="0.2">
      <c r="A64" s="56">
        <f t="shared" si="20"/>
        <v>46072</v>
      </c>
      <c r="B64" s="413">
        <f>'2025'!Wh/'2025'!Env_an*'2026'!Env_an</f>
        <v>14.702290100863264</v>
      </c>
      <c r="C64" s="868"/>
      <c r="D64" s="395">
        <f t="shared" si="0"/>
        <v>15.677239992771682</v>
      </c>
      <c r="E64" s="387">
        <f t="shared" si="1"/>
        <v>17.895961257715925</v>
      </c>
      <c r="F64" s="387">
        <f t="shared" si="2"/>
        <v>17.904711812204223</v>
      </c>
      <c r="G64" s="110">
        <f t="shared" si="21"/>
        <v>0.53966265830485849</v>
      </c>
      <c r="H64" s="416" t="b">
        <f>Wh_hp&gt;='2025'!Maxi_hp</f>
        <v>0</v>
      </c>
      <c r="I64" s="392">
        <f>IF(H64,Wh_hp,'2025'!Maxi_hp)</f>
        <v>32.195162026357977</v>
      </c>
      <c r="J64" s="85">
        <f>IF(H64,An,'2025'!An_max)</f>
        <v>2021</v>
      </c>
      <c r="K64" s="199">
        <f t="shared" si="3"/>
        <v>46072</v>
      </c>
      <c r="L64" s="147">
        <f>IF(t&lt;Tvie,1-EXP((T0-t)*PertePVj)+'2025'!Pspv,1-EXP((T0-t)*PertePVj)+Pspv)</f>
        <v>6.2188873319406923E-2</v>
      </c>
      <c r="M64" s="872"/>
      <c r="N64" s="872"/>
      <c r="O64" s="48">
        <f>IF(t&lt;Tnet,'2025'!Resal+('2025'!Salim-'2025'!Resal)*(1-EXP(('2025'!Tnet-t)/('2025'!Tau_j))),Resal+(Salim-Resal)*(1-EXP((Tnet-t)/(Tau_j))))*Salcycl</f>
        <v>0.12397888177074766</v>
      </c>
      <c r="P64" s="171">
        <f>(INDEX(Models!$BJ64:$BT64,,T64)*(1-R64)+INDEX(Models!$BJ64:$BT64,,T64+1)*R64-ERP_i)*Q64*Ramure*Pc/MaxiM</f>
        <v>1.4244607573547581E-3</v>
      </c>
      <c r="Q64" s="307">
        <f t="shared" si="4"/>
        <v>0.9</v>
      </c>
      <c r="R64" s="179">
        <f t="shared" si="5"/>
        <v>0.87106615649910735</v>
      </c>
      <c r="S64" s="839">
        <f t="shared" si="6"/>
        <v>-3</v>
      </c>
      <c r="T64" s="178">
        <f t="shared" si="7"/>
        <v>3</v>
      </c>
      <c r="U64" s="253">
        <f t="shared" si="8"/>
        <v>-2.1289338435008927</v>
      </c>
      <c r="V64" s="385">
        <f t="shared" si="9"/>
        <v>27.21797728685825</v>
      </c>
      <c r="W64" s="404">
        <f t="shared" si="10"/>
        <v>14.702290100863264</v>
      </c>
      <c r="X64" s="157">
        <f t="shared" si="11"/>
        <v>46072</v>
      </c>
      <c r="Y64" s="387">
        <f t="shared" si="12"/>
        <v>13.593683459542637</v>
      </c>
      <c r="Z64" s="387">
        <f t="shared" si="22"/>
        <v>14.495118550851315</v>
      </c>
      <c r="AA64" s="388">
        <f t="shared" si="13"/>
        <v>17.420708202604683</v>
      </c>
      <c r="AB64" s="199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0.16793746946039451</v>
      </c>
      <c r="AD64" s="233">
        <f>(INDEX(Models!$BJ64:$BT64,,AH64)*(1-AF64)+INDEX(Models!$BJ64:$BT64,,AH64+1)*AF64-ERP_i)*AE64*Ramure*Pc/MaxiM</f>
        <v>7.878862410543265E-2</v>
      </c>
      <c r="AE64" s="307">
        <f t="shared" si="15"/>
        <v>0.9</v>
      </c>
      <c r="AF64" s="179">
        <f t="shared" si="23"/>
        <v>0.5067218088060863</v>
      </c>
      <c r="AG64" s="839">
        <f t="shared" si="24"/>
        <v>2</v>
      </c>
      <c r="AH64" s="178">
        <f t="shared" si="16"/>
        <v>8</v>
      </c>
      <c r="AI64" s="227">
        <f t="shared" si="17"/>
        <v>2.5067218088060863</v>
      </c>
      <c r="AJ64" s="267" t="b">
        <f t="shared" si="18"/>
        <v>1</v>
      </c>
      <c r="AK64" s="267" t="b">
        <f t="shared" si="19"/>
        <v>0</v>
      </c>
      <c r="AL64" s="267"/>
      <c r="AM64" s="267"/>
      <c r="AN64" s="75"/>
    </row>
    <row r="65" spans="1:40" s="6" customFormat="1" ht="11.25" x14ac:dyDescent="0.2">
      <c r="A65" s="56">
        <f t="shared" si="20"/>
        <v>46073</v>
      </c>
      <c r="B65" s="413">
        <f>'2025'!Wh/'2025'!Env_an*'2026'!Env_an</f>
        <v>17.573771321879214</v>
      </c>
      <c r="C65" s="868"/>
      <c r="D65" s="395">
        <f t="shared" si="0"/>
        <v>18.739573245343397</v>
      </c>
      <c r="E65" s="387">
        <f t="shared" si="1"/>
        <v>21.394326947487134</v>
      </c>
      <c r="F65" s="387">
        <f t="shared" si="2"/>
        <v>21.408775470870385</v>
      </c>
      <c r="G65" s="110">
        <f t="shared" si="21"/>
        <v>0.63748950483454181</v>
      </c>
      <c r="H65" s="416" t="b">
        <f>Wh_hp&gt;='2025'!Maxi_hp</f>
        <v>0</v>
      </c>
      <c r="I65" s="392">
        <f>IF(H65,Wh_hp,'2025'!Maxi_hp)</f>
        <v>33.58083461156118</v>
      </c>
      <c r="J65" s="85">
        <f>IF(H65,An,'2025'!An_max)</f>
        <v>2020</v>
      </c>
      <c r="K65" s="199">
        <f t="shared" si="3"/>
        <v>46073</v>
      </c>
      <c r="L65" s="147">
        <f>IF(t&lt;Tvie,1-EXP((T0-t)*PertePVj)+'2025'!Pspv,1-EXP((T0-t)*PertePVj)+Pspv)</f>
        <v>6.2210697554378691E-2</v>
      </c>
      <c r="M65" s="872"/>
      <c r="N65" s="872"/>
      <c r="O65" s="48">
        <f>IF(t&lt;Tnet,'2025'!Resal+('2025'!Salim-'2025'!Resal)*(1-EXP(('2025'!Tnet-t)/('2025'!Tau_j))),Resal+(Salim-Resal)*(1-EXP((Tnet-t)/(Tau_j))))*Salcycl</f>
        <v>0.12408680622016727</v>
      </c>
      <c r="P65" s="171">
        <f>(INDEX(Models!$BJ65:$BT65,,T65)*(1-R65)+INDEX(Models!$BJ65:$BT65,,T65+1)*R65-ERP_i)*Q65*Ramure*Pc/MaxiM</f>
        <v>1.3978992180570841E-3</v>
      </c>
      <c r="Q65" s="307">
        <f t="shared" si="4"/>
        <v>0.9</v>
      </c>
      <c r="R65" s="179">
        <f t="shared" si="5"/>
        <v>0.87136696386738155</v>
      </c>
      <c r="S65" s="839">
        <f t="shared" si="6"/>
        <v>-3</v>
      </c>
      <c r="T65" s="178">
        <f t="shared" si="7"/>
        <v>3</v>
      </c>
      <c r="U65" s="253">
        <f t="shared" si="8"/>
        <v>-2.1286330361326185</v>
      </c>
      <c r="V65" s="385">
        <f t="shared" si="9"/>
        <v>27.547209125926091</v>
      </c>
      <c r="W65" s="404">
        <f t="shared" si="10"/>
        <v>17.573771321879214</v>
      </c>
      <c r="X65" s="157">
        <f t="shared" si="11"/>
        <v>46073</v>
      </c>
      <c r="Y65" s="387">
        <f t="shared" si="12"/>
        <v>16.086996045219866</v>
      </c>
      <c r="Z65" s="387">
        <f t="shared" si="22"/>
        <v>17.154168855698465</v>
      </c>
      <c r="AA65" s="388">
        <f t="shared" si="13"/>
        <v>20.617946651257583</v>
      </c>
      <c r="AB65" s="199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0.16799819371672725</v>
      </c>
      <c r="AD65" s="233">
        <f>(INDEX(Models!$BJ65:$BT65,,AH65)*(1-AF65)+INDEX(Models!$BJ65:$BT65,,AH65+1)*AF65-ERP_i)*AE65*Ramure*Pc/MaxiM</f>
        <v>7.6512939020141724E-2</v>
      </c>
      <c r="AE65" s="307">
        <f t="shared" si="15"/>
        <v>0.9</v>
      </c>
      <c r="AF65" s="179">
        <f t="shared" si="23"/>
        <v>0.50702261617436051</v>
      </c>
      <c r="AG65" s="839">
        <f t="shared" si="24"/>
        <v>2</v>
      </c>
      <c r="AH65" s="178">
        <f t="shared" si="16"/>
        <v>8</v>
      </c>
      <c r="AI65" s="227">
        <f t="shared" si="17"/>
        <v>2.5070226161743605</v>
      </c>
      <c r="AJ65" s="267" t="b">
        <f t="shared" si="18"/>
        <v>1</v>
      </c>
      <c r="AK65" s="267" t="b">
        <f t="shared" si="19"/>
        <v>0</v>
      </c>
      <c r="AL65" s="267"/>
      <c r="AM65" s="267"/>
      <c r="AN65" s="75"/>
    </row>
    <row r="66" spans="1:40" s="6" customFormat="1" ht="11.25" x14ac:dyDescent="0.2">
      <c r="A66" s="56">
        <f t="shared" si="20"/>
        <v>46074</v>
      </c>
      <c r="B66" s="413">
        <f>'2025'!Wh/'2025'!Env_an*'2026'!Env_an</f>
        <v>18.022021996511754</v>
      </c>
      <c r="C66" s="868"/>
      <c r="D66" s="395">
        <f t="shared" si="0"/>
        <v>19.218007027860494</v>
      </c>
      <c r="E66" s="387">
        <f t="shared" si="1"/>
        <v>21.943238133555756</v>
      </c>
      <c r="F66" s="387">
        <f t="shared" si="2"/>
        <v>21.958304225887471</v>
      </c>
      <c r="G66" s="110">
        <f t="shared" si="21"/>
        <v>0.64594431833006616</v>
      </c>
      <c r="H66" s="416" t="b">
        <f>Wh_hp&gt;='2025'!Maxi_hp</f>
        <v>0</v>
      </c>
      <c r="I66" s="392">
        <f>IF(H66,Wh_hp,'2025'!Maxi_hp)</f>
        <v>33.349979242504801</v>
      </c>
      <c r="J66" s="85">
        <f>IF(H66,An,'2025'!An_max)</f>
        <v>2019</v>
      </c>
      <c r="K66" s="199">
        <f t="shared" si="3"/>
        <v>46074</v>
      </c>
      <c r="L66" s="147">
        <f>IF(t&lt;Tvie,1-EXP((T0-t)*PertePVj)+'2025'!Pspv,1-EXP((T0-t)*PertePVj)+Pspv)</f>
        <v>6.2232521281468611E-2</v>
      </c>
      <c r="M66" s="872"/>
      <c r="N66" s="872"/>
      <c r="O66" s="48">
        <f>IF(t&lt;Tnet,'2025'!Resal+('2025'!Salim-'2025'!Resal)*(1-EXP(('2025'!Tnet-t)/('2025'!Tau_j))),Resal+(Salim-Resal)*(1-EXP((Tnet-t)/(Tau_j))))*Salcycl</f>
        <v>0.12419457370459004</v>
      </c>
      <c r="P66" s="171">
        <f>(INDEX(Models!$BJ66:$BT66,,T66)*(1-R66)+INDEX(Models!$BJ66:$BT66,,T66+1)*R66-ERP_i)*Q66*Ramure*Pc/MaxiM</f>
        <v>1.3865172925638595E-3</v>
      </c>
      <c r="Q66" s="307">
        <f t="shared" si="4"/>
        <v>0.9</v>
      </c>
      <c r="R66" s="179">
        <f t="shared" si="5"/>
        <v>0.87168011341638296</v>
      </c>
      <c r="S66" s="839">
        <f t="shared" si="6"/>
        <v>-3</v>
      </c>
      <c r="T66" s="178">
        <f t="shared" si="7"/>
        <v>3</v>
      </c>
      <c r="U66" s="253">
        <f t="shared" si="8"/>
        <v>-2.128319886583617</v>
      </c>
      <c r="V66" s="385">
        <f t="shared" si="9"/>
        <v>27.88071710403127</v>
      </c>
      <c r="W66" s="404">
        <f t="shared" si="10"/>
        <v>18.022021996511754</v>
      </c>
      <c r="X66" s="157">
        <f t="shared" si="11"/>
        <v>46074</v>
      </c>
      <c r="Y66" s="387">
        <f t="shared" si="12"/>
        <v>16.501371886495999</v>
      </c>
      <c r="Z66" s="387">
        <f t="shared" si="22"/>
        <v>17.596442893333524</v>
      </c>
      <c r="AA66" s="388">
        <f t="shared" si="13"/>
        <v>21.15106547773652</v>
      </c>
      <c r="AB66" s="199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0.16805879534270121</v>
      </c>
      <c r="AD66" s="233">
        <f>(INDEX(Models!$BJ66:$BT66,,AH66)*(1-AF66)+INDEX(Models!$BJ66:$BT66,,AH66+1)*AF66-ERP_i)*AE66*Ramure*Pc/MaxiM</f>
        <v>7.4289368397324598E-2</v>
      </c>
      <c r="AE66" s="307">
        <f t="shared" si="15"/>
        <v>0.9</v>
      </c>
      <c r="AF66" s="179">
        <f t="shared" si="23"/>
        <v>0.50733576572336192</v>
      </c>
      <c r="AG66" s="839">
        <f t="shared" si="24"/>
        <v>2</v>
      </c>
      <c r="AH66" s="178">
        <f t="shared" si="16"/>
        <v>8</v>
      </c>
      <c r="AI66" s="227">
        <f t="shared" si="17"/>
        <v>2.5073357657233619</v>
      </c>
      <c r="AJ66" s="267" t="b">
        <f t="shared" si="18"/>
        <v>1</v>
      </c>
      <c r="AK66" s="267" t="b">
        <f t="shared" si="19"/>
        <v>0</v>
      </c>
      <c r="AL66" s="267"/>
      <c r="AM66" s="267"/>
      <c r="AN66" s="75"/>
    </row>
    <row r="67" spans="1:40" s="6" customFormat="1" ht="11.25" x14ac:dyDescent="0.2">
      <c r="A67" s="56">
        <f t="shared" si="20"/>
        <v>46075</v>
      </c>
      <c r="B67" s="413">
        <f>'2025'!Wh/'2025'!Env_an*'2026'!Env_an</f>
        <v>26.612021610572619</v>
      </c>
      <c r="C67" s="868"/>
      <c r="D67" s="395">
        <f t="shared" si="0"/>
        <v>28.378720236675264</v>
      </c>
      <c r="E67" s="387">
        <f t="shared" si="1"/>
        <v>32.406978161957291</v>
      </c>
      <c r="F67" s="387">
        <f t="shared" si="2"/>
        <v>32.448090910931356</v>
      </c>
      <c r="G67" s="110">
        <f t="shared" si="21"/>
        <v>0.94296640504191187</v>
      </c>
      <c r="H67" s="416" t="b">
        <f>Wh_hp&gt;='2025'!Maxi_hp</f>
        <v>0</v>
      </c>
      <c r="I67" s="392">
        <f>IF(H67,Wh_hp,'2025'!Maxi_hp)</f>
        <v>33.437622553718462</v>
      </c>
      <c r="J67" s="85">
        <f>IF(H67,An,'2025'!An_max)</f>
        <v>2020</v>
      </c>
      <c r="K67" s="199">
        <f t="shared" si="3"/>
        <v>46075</v>
      </c>
      <c r="L67" s="147">
        <f>IF(t&lt;Tvie,1-EXP((T0-t)*PertePVj)+'2025'!Pspv,1-EXP((T0-t)*PertePVj)+Pspv)</f>
        <v>6.2254344500688563E-2</v>
      </c>
      <c r="M67" s="872"/>
      <c r="N67" s="872"/>
      <c r="O67" s="48">
        <f>IF(t&lt;Tnet,'2025'!Resal+('2025'!Salim-'2025'!Resal)*(1-EXP(('2025'!Tnet-t)/('2025'!Tau_j))),Resal+(Salim-Resal)*(1-EXP((Tnet-t)/(Tau_j))))*Salcycl</f>
        <v>0.12430217668399642</v>
      </c>
      <c r="P67" s="171">
        <f>(INDEX(Models!$BJ67:$BT67,,T67)*(1-R67)+INDEX(Models!$BJ67:$BT67,,T67+1)*R67-ERP_i)*Q67*Ramure*Pc/MaxiM</f>
        <v>1.3791947385858772E-3</v>
      </c>
      <c r="Q67" s="307">
        <f t="shared" si="4"/>
        <v>0.9</v>
      </c>
      <c r="R67" s="179">
        <f t="shared" si="5"/>
        <v>0.87200609957907993</v>
      </c>
      <c r="S67" s="839">
        <f t="shared" si="6"/>
        <v>-3</v>
      </c>
      <c r="T67" s="178">
        <f t="shared" si="7"/>
        <v>3</v>
      </c>
      <c r="U67" s="253">
        <f t="shared" si="8"/>
        <v>-2.1279939004209201</v>
      </c>
      <c r="V67" s="385">
        <f t="shared" si="9"/>
        <v>28.218431523614402</v>
      </c>
      <c r="W67" s="404">
        <f t="shared" si="10"/>
        <v>26.612021610572619</v>
      </c>
      <c r="X67" s="157">
        <f t="shared" si="11"/>
        <v>46075</v>
      </c>
      <c r="Y67" s="387">
        <f t="shared" si="12"/>
        <v>23.635343888565977</v>
      </c>
      <c r="Z67" s="387">
        <f t="shared" si="22"/>
        <v>25.204429100747063</v>
      </c>
      <c r="AA67" s="388">
        <f t="shared" si="13"/>
        <v>30.298128102059039</v>
      </c>
      <c r="AB67" s="199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0.16811926413915357</v>
      </c>
      <c r="AD67" s="233">
        <f>(INDEX(Models!$BJ67:$BT67,,AH67)*(1-AF67)+INDEX(Models!$BJ67:$BT67,,AH67+1)*AF67-ERP_i)*AE67*Ramure*Pc/MaxiM</f>
        <v>7.2124036172388994E-2</v>
      </c>
      <c r="AE67" s="307">
        <f t="shared" si="15"/>
        <v>0.9</v>
      </c>
      <c r="AF67" s="179">
        <f t="shared" si="23"/>
        <v>0.50766175188605889</v>
      </c>
      <c r="AG67" s="839">
        <f t="shared" si="24"/>
        <v>2</v>
      </c>
      <c r="AH67" s="178">
        <f t="shared" si="16"/>
        <v>8</v>
      </c>
      <c r="AI67" s="227">
        <f t="shared" si="17"/>
        <v>2.5076617518860589</v>
      </c>
      <c r="AJ67" s="267" t="b">
        <f t="shared" si="18"/>
        <v>1</v>
      </c>
      <c r="AK67" s="267" t="b">
        <f t="shared" si="19"/>
        <v>0</v>
      </c>
      <c r="AL67" s="267"/>
      <c r="AM67" s="267"/>
      <c r="AN67" s="75"/>
    </row>
    <row r="68" spans="1:40" s="6" customFormat="1" ht="11.25" x14ac:dyDescent="0.2">
      <c r="A68" s="56">
        <f t="shared" si="20"/>
        <v>46076</v>
      </c>
      <c r="B68" s="413">
        <f>'2025'!Wh/'2025'!Env_an*'2026'!Env_an</f>
        <v>28.148147071937693</v>
      </c>
      <c r="C68" s="868"/>
      <c r="D68" s="395">
        <f t="shared" si="0"/>
        <v>30.017523377059049</v>
      </c>
      <c r="E68" s="387">
        <f t="shared" si="1"/>
        <v>34.282609453459756</v>
      </c>
      <c r="F68" s="387">
        <f t="shared" si="2"/>
        <v>34.328866411372346</v>
      </c>
      <c r="G68" s="110">
        <f t="shared" si="21"/>
        <v>0.98555198901215724</v>
      </c>
      <c r="H68" s="416" t="b">
        <f>Wh_hp&gt;='2025'!Maxi_hp</f>
        <v>1</v>
      </c>
      <c r="I68" s="392">
        <f>IF(H68,Wh_hp,'2025'!Maxi_hp)</f>
        <v>34.328866411372346</v>
      </c>
      <c r="J68" s="85">
        <f>IF(H68,An,'2025'!An_max)</f>
        <v>2026</v>
      </c>
      <c r="K68" s="199">
        <f t="shared" si="3"/>
        <v>46076</v>
      </c>
      <c r="L68" s="147">
        <f>IF(t&lt;Tvie,1-EXP((T0-t)*PertePVj)+'2025'!Pspv,1-EXP((T0-t)*PertePVj)+Pspv)</f>
        <v>6.2276167212050204E-2</v>
      </c>
      <c r="M68" s="872"/>
      <c r="N68" s="872"/>
      <c r="O68" s="48">
        <f>IF(t&lt;Tnet,'2025'!Resal+('2025'!Salim-'2025'!Resal)*(1-EXP(('2025'!Tnet-t)/('2025'!Tau_j))),Resal+(Salim-Resal)*(1-EXP((Tnet-t)/(Tau_j))))*Salcycl</f>
        <v>0.12440961013165464</v>
      </c>
      <c r="P68" s="171">
        <f>(INDEX(Models!$BJ68:$BT68,,T68)*(1-R68)+INDEX(Models!$BJ68:$BT68,,T68+1)*R68-ERP_i)*Q68*Ramure*Pc/MaxiM</f>
        <v>1.3758070520705542E-3</v>
      </c>
      <c r="Q68" s="307">
        <f t="shared" si="4"/>
        <v>0.9</v>
      </c>
      <c r="R68" s="179">
        <f t="shared" si="5"/>
        <v>0.87234543558360889</v>
      </c>
      <c r="S68" s="839">
        <f t="shared" si="6"/>
        <v>-3</v>
      </c>
      <c r="T68" s="178">
        <f t="shared" si="7"/>
        <v>3</v>
      </c>
      <c r="U68" s="253">
        <f t="shared" si="8"/>
        <v>-2.1276545644163911</v>
      </c>
      <c r="V68" s="385">
        <f t="shared" si="9"/>
        <v>28.559983179854761</v>
      </c>
      <c r="W68" s="404">
        <f t="shared" si="10"/>
        <v>28.148147071937693</v>
      </c>
      <c r="X68" s="157">
        <f t="shared" si="11"/>
        <v>46076</v>
      </c>
      <c r="Y68" s="387">
        <f t="shared" si="12"/>
        <v>24.940911390449749</v>
      </c>
      <c r="Z68" s="387">
        <f t="shared" si="22"/>
        <v>26.597288581540948</v>
      </c>
      <c r="AA68" s="388">
        <f t="shared" si="13"/>
        <v>31.974796925041964</v>
      </c>
      <c r="AB68" s="199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0.16817959332493737</v>
      </c>
      <c r="AD68" s="233">
        <f>(INDEX(Models!$BJ68:$BT68,,AH68)*(1-AF68)+INDEX(Models!$BJ68:$BT68,,AH68+1)*AF68-ERP_i)*AE68*Ramure*Pc/MaxiM</f>
        <v>7.0016394214204442E-2</v>
      </c>
      <c r="AE68" s="307">
        <f t="shared" si="15"/>
        <v>0.9</v>
      </c>
      <c r="AF68" s="179">
        <f t="shared" si="23"/>
        <v>0.50800108789058784</v>
      </c>
      <c r="AG68" s="839">
        <f t="shared" si="24"/>
        <v>2</v>
      </c>
      <c r="AH68" s="178">
        <f t="shared" si="16"/>
        <v>8</v>
      </c>
      <c r="AI68" s="227">
        <f t="shared" si="17"/>
        <v>2.5080010878905878</v>
      </c>
      <c r="AJ68" s="267" t="b">
        <f t="shared" si="18"/>
        <v>1</v>
      </c>
      <c r="AK68" s="267" t="b">
        <f t="shared" si="19"/>
        <v>0</v>
      </c>
      <c r="AL68" s="267"/>
      <c r="AM68" s="267"/>
      <c r="AN68" s="75"/>
    </row>
    <row r="69" spans="1:40" s="6" customFormat="1" ht="11.25" x14ac:dyDescent="0.2">
      <c r="A69" s="56">
        <f t="shared" si="20"/>
        <v>46077</v>
      </c>
      <c r="B69" s="413">
        <f>'2025'!Wh/'2025'!Env_an*'2026'!Env_an</f>
        <v>16.926894772176933</v>
      </c>
      <c r="C69" s="868"/>
      <c r="D69" s="395">
        <f t="shared" si="0"/>
        <v>18.051464730919189</v>
      </c>
      <c r="E69" s="387">
        <f t="shared" si="1"/>
        <v>20.618860773118474</v>
      </c>
      <c r="F69" s="387">
        <f t="shared" si="2"/>
        <v>20.63044505955768</v>
      </c>
      <c r="G69" s="110">
        <f t="shared" si="21"/>
        <v>0.58512695460355402</v>
      </c>
      <c r="H69" s="416" t="b">
        <f>Wh_hp&gt;='2025'!Maxi_hp</f>
        <v>0</v>
      </c>
      <c r="I69" s="392">
        <f>IF(H69,Wh_hp,'2025'!Maxi_hp)</f>
        <v>35.33766783326174</v>
      </c>
      <c r="J69" s="85">
        <f>IF(H69,An,'2025'!An_max)</f>
        <v>2020</v>
      </c>
      <c r="K69" s="199">
        <f t="shared" si="3"/>
        <v>46077</v>
      </c>
      <c r="L69" s="147">
        <f>IF(t&lt;Tvie,1-EXP((T0-t)*PertePVj)+'2025'!Pspv,1-EXP((T0-t)*PertePVj)+Pspv)</f>
        <v>6.2297989415565524E-2</v>
      </c>
      <c r="M69" s="872"/>
      <c r="N69" s="872"/>
      <c r="O69" s="48">
        <f>IF(t&lt;Tnet,'2025'!Resal+('2025'!Salim-'2025'!Resal)*(1-EXP(('2025'!Tnet-t)/('2025'!Tau_j))),Resal+(Salim-Resal)*(1-EXP((Tnet-t)/(Tau_j))))*Salcycl</f>
        <v>0.12451687173456683</v>
      </c>
      <c r="P69" s="171">
        <f>(INDEX(Models!$BJ69:$BT69,,T69)*(1-R69)+INDEX(Models!$BJ69:$BT69,,T69+1)*R69-ERP_i)*Q69*Ramure*Pc/MaxiM</f>
        <v>1.3762392646226738E-3</v>
      </c>
      <c r="Q69" s="307">
        <f t="shared" si="4"/>
        <v>0.9</v>
      </c>
      <c r="R69" s="179">
        <f t="shared" si="5"/>
        <v>0.87269865408171432</v>
      </c>
      <c r="S69" s="839">
        <f t="shared" si="6"/>
        <v>-3</v>
      </c>
      <c r="T69" s="178">
        <f t="shared" si="7"/>
        <v>3</v>
      </c>
      <c r="U69" s="253">
        <f t="shared" si="8"/>
        <v>-2.1273013459182857</v>
      </c>
      <c r="V69" s="385">
        <f t="shared" si="9"/>
        <v>28.905002793757639</v>
      </c>
      <c r="W69" s="404">
        <f t="shared" si="10"/>
        <v>16.926894772176933</v>
      </c>
      <c r="X69" s="157">
        <f t="shared" si="11"/>
        <v>46077</v>
      </c>
      <c r="Y69" s="387">
        <f t="shared" si="12"/>
        <v>15.644374623465238</v>
      </c>
      <c r="Z69" s="387">
        <f t="shared" si="22"/>
        <v>16.68373795393132</v>
      </c>
      <c r="AA69" s="388">
        <f t="shared" si="13"/>
        <v>20.058350410050412</v>
      </c>
      <c r="AB69" s="199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0.16823977979905122</v>
      </c>
      <c r="AD69" s="233">
        <f>(INDEX(Models!$BJ69:$BT69,,AH69)*(1-AF69)+INDEX(Models!$BJ69:$BT69,,AH69+1)*AF69-ERP_i)*AE69*Ramure*Pc/MaxiM</f>
        <v>6.7966130142268072E-2</v>
      </c>
      <c r="AE69" s="307">
        <f t="shared" si="15"/>
        <v>0.9</v>
      </c>
      <c r="AF69" s="179">
        <f t="shared" si="23"/>
        <v>0.50835430638869328</v>
      </c>
      <c r="AG69" s="839">
        <f t="shared" si="24"/>
        <v>2</v>
      </c>
      <c r="AH69" s="178">
        <f t="shared" si="16"/>
        <v>8</v>
      </c>
      <c r="AI69" s="227">
        <f t="shared" si="17"/>
        <v>2.5083543063886933</v>
      </c>
      <c r="AJ69" s="267" t="b">
        <f t="shared" si="18"/>
        <v>1</v>
      </c>
      <c r="AK69" s="267" t="b">
        <f t="shared" si="19"/>
        <v>0</v>
      </c>
      <c r="AL69" s="267"/>
      <c r="AM69" s="267"/>
      <c r="AN69" s="75"/>
    </row>
    <row r="70" spans="1:40" s="6" customFormat="1" ht="11.25" x14ac:dyDescent="0.2">
      <c r="A70" s="56">
        <f t="shared" si="20"/>
        <v>46078</v>
      </c>
      <c r="B70" s="413">
        <f>'2025'!Wh/'2025'!Env_an*'2026'!Env_an</f>
        <v>25.02993078315988</v>
      </c>
      <c r="C70" s="868"/>
      <c r="D70" s="395">
        <f t="shared" si="0"/>
        <v>26.69346231237208</v>
      </c>
      <c r="E70" s="387">
        <f t="shared" si="1"/>
        <v>30.493709167147113</v>
      </c>
      <c r="F70" s="387">
        <f t="shared" si="2"/>
        <v>30.52715751955472</v>
      </c>
      <c r="G70" s="110">
        <f t="shared" si="21"/>
        <v>0.85538897131642322</v>
      </c>
      <c r="H70" s="416" t="b">
        <f>Wh_hp&gt;='2025'!Maxi_hp</f>
        <v>0</v>
      </c>
      <c r="I70" s="392">
        <f>IF(H70,Wh_hp,'2025'!Maxi_hp)</f>
        <v>35.142931851813223</v>
      </c>
      <c r="J70" s="85">
        <f>IF(H70,An,'2025'!An_max)</f>
        <v>2019</v>
      </c>
      <c r="K70" s="199">
        <f t="shared" si="3"/>
        <v>46078</v>
      </c>
      <c r="L70" s="147">
        <f>IF(t&lt;Tvie,1-EXP((T0-t)*PertePVj)+'2025'!Pspv,1-EXP((T0-t)*PertePVj)+Pspv)</f>
        <v>6.2319811111246293E-2</v>
      </c>
      <c r="M70" s="872"/>
      <c r="N70" s="872"/>
      <c r="O70" s="48">
        <f>IF(t&lt;Tnet,'2025'!Resal+('2025'!Salim-'2025'!Resal)*(1-EXP(('2025'!Tnet-t)/('2025'!Tau_j))),Resal+(Salim-Resal)*(1-EXP((Tnet-t)/(Tau_j))))*Salcycl</f>
        <v>0.1246239620750791</v>
      </c>
      <c r="P70" s="171">
        <f>(INDEX(Models!$BJ70:$BT70,,T70)*(1-R70)+INDEX(Models!$BJ70:$BT70,,T70+1)*R70-ERP_i)*Q70*Ramure*Pc/MaxiM</f>
        <v>1.3803795181654508E-3</v>
      </c>
      <c r="Q70" s="307">
        <f t="shared" si="4"/>
        <v>0.9</v>
      </c>
      <c r="R70" s="179">
        <f t="shared" si="5"/>
        <v>0.87306630779070504</v>
      </c>
      <c r="S70" s="839">
        <f t="shared" si="6"/>
        <v>-3</v>
      </c>
      <c r="T70" s="178">
        <f t="shared" si="7"/>
        <v>3</v>
      </c>
      <c r="U70" s="253">
        <f t="shared" si="8"/>
        <v>-2.126933692209295</v>
      </c>
      <c r="V70" s="385">
        <f t="shared" si="9"/>
        <v>29.253121198804955</v>
      </c>
      <c r="W70" s="404">
        <f t="shared" si="10"/>
        <v>25.02993078315988</v>
      </c>
      <c r="X70" s="157">
        <f t="shared" si="11"/>
        <v>46078</v>
      </c>
      <c r="Y70" s="387">
        <f t="shared" si="12"/>
        <v>22.560474891263798</v>
      </c>
      <c r="Z70" s="387">
        <f t="shared" si="22"/>
        <v>24.059882205680651</v>
      </c>
      <c r="AA70" s="388">
        <f t="shared" si="13"/>
        <v>28.928552513105089</v>
      </c>
      <c r="AB70" s="199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0.16829982437658619</v>
      </c>
      <c r="AD70" s="233">
        <f>(INDEX(Models!$BJ70:$BT70,,AH70)*(1-AF70)+INDEX(Models!$BJ70:$BT70,,AH70+1)*AF70-ERP_i)*AE70*Ramure*Pc/MaxiM</f>
        <v>6.5972804329756635E-2</v>
      </c>
      <c r="AE70" s="307">
        <f t="shared" si="15"/>
        <v>0.9</v>
      </c>
      <c r="AF70" s="179">
        <f t="shared" si="23"/>
        <v>0.508721960097684</v>
      </c>
      <c r="AG70" s="839">
        <f t="shared" si="24"/>
        <v>2</v>
      </c>
      <c r="AH70" s="178">
        <f t="shared" si="16"/>
        <v>8</v>
      </c>
      <c r="AI70" s="227">
        <f t="shared" si="17"/>
        <v>2.508721960097684</v>
      </c>
      <c r="AJ70" s="267" t="b">
        <f t="shared" si="18"/>
        <v>1</v>
      </c>
      <c r="AK70" s="267" t="b">
        <f t="shared" si="19"/>
        <v>0</v>
      </c>
      <c r="AL70" s="267"/>
      <c r="AM70" s="267"/>
      <c r="AN70" s="75"/>
    </row>
    <row r="71" spans="1:40" s="6" customFormat="1" ht="11.25" x14ac:dyDescent="0.2">
      <c r="A71" s="56">
        <f t="shared" si="20"/>
        <v>46079</v>
      </c>
      <c r="B71" s="413">
        <f>'2025'!Wh/'2025'!Env_an*'2026'!Env_an</f>
        <v>30.519304867239004</v>
      </c>
      <c r="C71" s="868"/>
      <c r="D71" s="395">
        <f t="shared" si="0"/>
        <v>32.548426930878065</v>
      </c>
      <c r="E71" s="387">
        <f t="shared" si="1"/>
        <v>37.186765036431481</v>
      </c>
      <c r="F71" s="387">
        <f t="shared" si="2"/>
        <v>37.238456464048674</v>
      </c>
      <c r="G71" s="110">
        <f t="shared" si="21"/>
        <v>1.0309193519733113</v>
      </c>
      <c r="H71" s="416" t="b">
        <f>Wh_hp&gt;='2025'!Maxi_hp</f>
        <v>1</v>
      </c>
      <c r="I71" s="392">
        <f>IF(H71,Wh_hp,'2025'!Maxi_hp)</f>
        <v>37.238456464048674</v>
      </c>
      <c r="J71" s="85">
        <f>IF(H71,An,'2025'!An_max)</f>
        <v>2026</v>
      </c>
      <c r="K71" s="199">
        <f t="shared" si="3"/>
        <v>46079</v>
      </c>
      <c r="L71" s="147">
        <f>IF(t&lt;Tvie,1-EXP((T0-t)*PertePVj)+'2025'!Pspv,1-EXP((T0-t)*PertePVj)+Pspv)</f>
        <v>6.2341632299104277E-2</v>
      </c>
      <c r="M71" s="872"/>
      <c r="N71" s="872"/>
      <c r="O71" s="48">
        <f>IF(t&lt;Tnet,'2025'!Resal+('2025'!Salim-'2025'!Resal)*(1-EXP(('2025'!Tnet-t)/('2025'!Tau_j))),Resal+(Salim-Resal)*(1-EXP((Tnet-t)/(Tau_j))))*Salcycl</f>
        <v>0.12473088479219112</v>
      </c>
      <c r="P71" s="171">
        <f>(INDEX(Models!$BJ71:$BT71,,T71)*(1-R71)+INDEX(Models!$BJ71:$BT71,,T71+1)*R71-ERP_i)*Q71*Ramure*Pc/MaxiM</f>
        <v>1.388119501330564E-3</v>
      </c>
      <c r="Q71" s="307">
        <f t="shared" si="4"/>
        <v>0.9</v>
      </c>
      <c r="R71" s="179">
        <f t="shared" si="5"/>
        <v>0.87344897014849643</v>
      </c>
      <c r="S71" s="839">
        <f t="shared" si="6"/>
        <v>-3</v>
      </c>
      <c r="T71" s="178">
        <f t="shared" si="7"/>
        <v>3</v>
      </c>
      <c r="U71" s="253">
        <f t="shared" si="8"/>
        <v>-2.1265510298515036</v>
      </c>
      <c r="V71" s="385">
        <f t="shared" si="9"/>
        <v>29.603969320026003</v>
      </c>
      <c r="W71" s="404">
        <f t="shared" si="10"/>
        <v>30.519304867239004</v>
      </c>
      <c r="X71" s="157">
        <f t="shared" si="11"/>
        <v>46079</v>
      </c>
      <c r="Y71" s="387">
        <f t="shared" si="12"/>
        <v>27.178846560883432</v>
      </c>
      <c r="Z71" s="387">
        <f t="shared" si="22"/>
        <v>28.985873210436949</v>
      </c>
      <c r="AA71" s="388">
        <f t="shared" si="13"/>
        <v>34.85385968626381</v>
      </c>
      <c r="AB71" s="199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0.16835973199661106</v>
      </c>
      <c r="AD71" s="233">
        <f>(INDEX(Models!$BJ71:$BT71,,AH71)*(1-AF71)+INDEX(Models!$BJ71:$BT71,,AH71+1)*AF71-ERP_i)*AE71*Ramure*Pc/MaxiM</f>
        <v>6.4035865183806412E-2</v>
      </c>
      <c r="AE71" s="307">
        <f t="shared" si="15"/>
        <v>0.9</v>
      </c>
      <c r="AF71" s="179">
        <f t="shared" si="23"/>
        <v>0.50910462245547539</v>
      </c>
      <c r="AG71" s="839">
        <f t="shared" si="24"/>
        <v>2</v>
      </c>
      <c r="AH71" s="178">
        <f t="shared" si="16"/>
        <v>8</v>
      </c>
      <c r="AI71" s="227">
        <f t="shared" si="17"/>
        <v>2.5091046224554754</v>
      </c>
      <c r="AJ71" s="267" t="b">
        <f t="shared" si="18"/>
        <v>1</v>
      </c>
      <c r="AK71" s="267" t="b">
        <f t="shared" si="19"/>
        <v>0</v>
      </c>
      <c r="AL71" s="267"/>
      <c r="AM71" s="267"/>
      <c r="AN71" s="75"/>
    </row>
    <row r="72" spans="1:40" s="6" customFormat="1" ht="11.25" x14ac:dyDescent="0.2">
      <c r="A72" s="56">
        <f t="shared" si="20"/>
        <v>46080</v>
      </c>
      <c r="B72" s="413">
        <f>'2025'!Wh/'2025'!Env_an*'2026'!Env_an</f>
        <v>23.283257151549595</v>
      </c>
      <c r="C72" s="868"/>
      <c r="D72" s="395">
        <f t="shared" si="0"/>
        <v>24.831857531073698</v>
      </c>
      <c r="E72" s="387">
        <f t="shared" si="1"/>
        <v>28.374001050256631</v>
      </c>
      <c r="F72" s="387">
        <f t="shared" si="2"/>
        <v>28.401090150569289</v>
      </c>
      <c r="G72" s="110">
        <f t="shared" si="21"/>
        <v>0.77687134832184779</v>
      </c>
      <c r="H72" s="416" t="b">
        <f>Wh_hp&gt;='2025'!Maxi_hp</f>
        <v>0</v>
      </c>
      <c r="I72" s="392">
        <f>IF(H72,Wh_hp,'2025'!Maxi_hp)</f>
        <v>35.739850450809598</v>
      </c>
      <c r="J72" s="85">
        <f>IF(H72,An,'2025'!An_max)</f>
        <v>2019</v>
      </c>
      <c r="K72" s="199">
        <f t="shared" si="3"/>
        <v>46080</v>
      </c>
      <c r="L72" s="147">
        <f>IF(t&lt;Tvie,1-EXP((T0-t)*PertePVj)+'2025'!Pspv,1-EXP((T0-t)*PertePVj)+Pspv)</f>
        <v>6.2363452979151468E-2</v>
      </c>
      <c r="M72" s="872"/>
      <c r="N72" s="872"/>
      <c r="O72" s="48">
        <f>IF(t&lt;Tnet,'2025'!Resal+('2025'!Salim-'2025'!Resal)*(1-EXP(('2025'!Tnet-t)/('2025'!Tau_j))),Resal+(Salim-Resal)*(1-EXP((Tnet-t)/(Tau_j))))*Salcycl</f>
        <v>0.12483764672134234</v>
      </c>
      <c r="P72" s="171">
        <f>(INDEX(Models!$BJ72:$BT72,,T72)*(1-R72)+INDEX(Models!$BJ72:$BT72,,T72+1)*R72-ERP_i)*Q72*Ramure*Pc/MaxiM</f>
        <v>1.3990750820953072E-3</v>
      </c>
      <c r="Q72" s="307">
        <f t="shared" si="4"/>
        <v>0.9</v>
      </c>
      <c r="R72" s="179">
        <f t="shared" si="5"/>
        <v>0.8738472359812306</v>
      </c>
      <c r="S72" s="839">
        <f t="shared" si="6"/>
        <v>-3</v>
      </c>
      <c r="T72" s="178">
        <f t="shared" si="7"/>
        <v>3</v>
      </c>
      <c r="U72" s="253">
        <f t="shared" si="8"/>
        <v>-2.1261527640187694</v>
      </c>
      <c r="V72" s="385">
        <f t="shared" si="9"/>
        <v>29.957186559817274</v>
      </c>
      <c r="W72" s="404">
        <f t="shared" si="10"/>
        <v>23.283257151549595</v>
      </c>
      <c r="X72" s="157">
        <f t="shared" si="11"/>
        <v>46080</v>
      </c>
      <c r="Y72" s="387">
        <f t="shared" si="12"/>
        <v>21.206812188590828</v>
      </c>
      <c r="Z72" s="387">
        <f t="shared" si="22"/>
        <v>22.617305453772261</v>
      </c>
      <c r="AA72" s="388">
        <f t="shared" si="13"/>
        <v>27.197975153867077</v>
      </c>
      <c r="AB72" s="199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0.16841951190044829</v>
      </c>
      <c r="AD72" s="233">
        <f>(INDEX(Models!$BJ72:$BT72,,AH72)*(1-AF72)+INDEX(Models!$BJ72:$BT72,,AH72+1)*AF72-ERP_i)*AE72*Ramure*Pc/MaxiM</f>
        <v>6.2137472022088462E-2</v>
      </c>
      <c r="AE72" s="307">
        <f t="shared" si="15"/>
        <v>0.9</v>
      </c>
      <c r="AF72" s="179">
        <f t="shared" si="23"/>
        <v>0.50950288828820955</v>
      </c>
      <c r="AG72" s="839">
        <f t="shared" si="24"/>
        <v>2</v>
      </c>
      <c r="AH72" s="178">
        <f t="shared" si="16"/>
        <v>8</v>
      </c>
      <c r="AI72" s="227">
        <f t="shared" si="17"/>
        <v>2.5095028882882096</v>
      </c>
      <c r="AJ72" s="267" t="b">
        <f t="shared" si="18"/>
        <v>1</v>
      </c>
      <c r="AK72" s="267" t="b">
        <f t="shared" si="19"/>
        <v>0</v>
      </c>
      <c r="AL72" s="267"/>
      <c r="AM72" s="267"/>
      <c r="AN72" s="75"/>
    </row>
    <row r="73" spans="1:40" s="6" customFormat="1" ht="11.25" x14ac:dyDescent="0.2">
      <c r="A73" s="56">
        <f t="shared" si="20"/>
        <v>46081</v>
      </c>
      <c r="B73" s="413">
        <f>'2025'!Wh/'2025'!Env_an*'2026'!Env_an</f>
        <v>27.705754659057607</v>
      </c>
      <c r="C73" s="868"/>
      <c r="D73" s="395">
        <f t="shared" si="0"/>
        <v>29.549188878654778</v>
      </c>
      <c r="E73" s="387">
        <f t="shared" si="1"/>
        <v>33.768350358473214</v>
      </c>
      <c r="F73" s="387">
        <f t="shared" si="2"/>
        <v>33.81015529079145</v>
      </c>
      <c r="G73" s="110">
        <f t="shared" si="21"/>
        <v>0.91384547151387074</v>
      </c>
      <c r="H73" s="416" t="b">
        <f>Wh_hp&gt;='2025'!Maxi_hp</f>
        <v>1</v>
      </c>
      <c r="I73" s="392">
        <f>IF(H73,Wh_hp,'2025'!Maxi_hp)</f>
        <v>33.81015529079145</v>
      </c>
      <c r="J73" s="85">
        <f>IF(H73,An,'2025'!An_max)</f>
        <v>2026</v>
      </c>
      <c r="K73" s="199">
        <f t="shared" si="3"/>
        <v>46081</v>
      </c>
      <c r="L73" s="147">
        <f>IF(t&lt;Tvie,1-EXP((T0-t)*PertePVj)+'2025'!Pspv,1-EXP((T0-t)*PertePVj)+Pspv)</f>
        <v>6.2385273151399412E-2</v>
      </c>
      <c r="M73" s="872"/>
      <c r="N73" s="872"/>
      <c r="O73" s="48">
        <f>IF(t&lt;Tnet,'2025'!Resal+('2025'!Salim-'2025'!Resal)*(1-EXP(('2025'!Tnet-t)/('2025'!Tau_j))),Resal+(Salim-Resal)*(1-EXP((Tnet-t)/(Tau_j))))*Salcycl</f>
        <v>0.12494425801169634</v>
      </c>
      <c r="P73" s="171">
        <f>(INDEX(Models!$BJ73:$BT73,,T73)*(1-R73)+INDEX(Models!$BJ73:$BT73,,T73+1)*R73-ERP_i)*Q73*Ramure*Pc/MaxiM</f>
        <v>1.4096368145900208E-3</v>
      </c>
      <c r="Q73" s="307">
        <f t="shared" si="4"/>
        <v>0.9</v>
      </c>
      <c r="R73" s="179">
        <f t="shared" si="5"/>
        <v>0.87426172218285325</v>
      </c>
      <c r="S73" s="839">
        <f t="shared" si="6"/>
        <v>-3</v>
      </c>
      <c r="T73" s="178">
        <f t="shared" si="7"/>
        <v>3</v>
      </c>
      <c r="U73" s="253">
        <f t="shared" si="8"/>
        <v>-2.1257382778171467</v>
      </c>
      <c r="V73" s="385">
        <f t="shared" si="9"/>
        <v>30.312510824928882</v>
      </c>
      <c r="W73" s="404">
        <f t="shared" si="10"/>
        <v>27.705754659057607</v>
      </c>
      <c r="X73" s="157">
        <f t="shared" si="11"/>
        <v>46081</v>
      </c>
      <c r="Y73" s="387">
        <f t="shared" si="12"/>
        <v>24.96664737906589</v>
      </c>
      <c r="Z73" s="387">
        <f t="shared" si="22"/>
        <v>26.627831948609451</v>
      </c>
      <c r="AA73" s="388">
        <f t="shared" si="13"/>
        <v>32.02304889670755</v>
      </c>
      <c r="AB73" s="199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0.16847917777912805</v>
      </c>
      <c r="AD73" s="233">
        <f>(INDEX(Models!$BJ73:$BT73,,AH73)*(1-AF73)+INDEX(Models!$BJ73:$BT73,,AH73+1)*AF73-ERP_i)*AE73*Ramure*Pc/MaxiM</f>
        <v>6.0260137380747911E-2</v>
      </c>
      <c r="AE73" s="307">
        <f t="shared" si="15"/>
        <v>0.9</v>
      </c>
      <c r="AF73" s="179">
        <f t="shared" si="23"/>
        <v>0.50991737448983221</v>
      </c>
      <c r="AG73" s="839">
        <f t="shared" si="24"/>
        <v>2</v>
      </c>
      <c r="AH73" s="178">
        <f t="shared" si="16"/>
        <v>8</v>
      </c>
      <c r="AI73" s="227">
        <f t="shared" si="17"/>
        <v>2.5099173744898322</v>
      </c>
      <c r="AJ73" s="267" t="b">
        <f t="shared" si="18"/>
        <v>1</v>
      </c>
      <c r="AK73" s="267" t="b">
        <f t="shared" si="19"/>
        <v>0</v>
      </c>
      <c r="AL73" s="267"/>
      <c r="AM73" s="267"/>
      <c r="AN73" s="75"/>
    </row>
    <row r="74" spans="1:40" s="6" customFormat="1" ht="11.25" x14ac:dyDescent="0.2">
      <c r="A74" s="56">
        <f t="shared" si="20"/>
        <v>46082</v>
      </c>
      <c r="B74" s="413">
        <f>'2025'!Wh/'2025'!Env_an*'2026'!Env_an</f>
        <v>30.439831087594623</v>
      </c>
      <c r="C74" s="868"/>
      <c r="D74" s="395">
        <f t="shared" si="0"/>
        <v>32.465935753518188</v>
      </c>
      <c r="E74" s="387">
        <f t="shared" si="1"/>
        <v>37.106077973984597</v>
      </c>
      <c r="F74" s="387">
        <f t="shared" si="2"/>
        <v>37.158272038127791</v>
      </c>
      <c r="G74" s="110">
        <f t="shared" si="21"/>
        <v>0.99249401054029052</v>
      </c>
      <c r="H74" s="416" t="b">
        <f>Wh_hp&gt;='2025'!Maxi_hp</f>
        <v>1</v>
      </c>
      <c r="I74" s="392">
        <f>IF(H74,Wh_hp,'2025'!Maxi_hp)</f>
        <v>37.158272038127791</v>
      </c>
      <c r="J74" s="85">
        <f>IF(H74,An,'2025'!An_max)</f>
        <v>2026</v>
      </c>
      <c r="K74" s="199">
        <f t="shared" si="3"/>
        <v>46082</v>
      </c>
      <c r="L74" s="147">
        <f>IF(t&lt;Tvie,1-EXP((T0-t)*PertePVj)+'2025'!Pspv,1-EXP((T0-t)*PertePVj)+Pspv)</f>
        <v>6.240709281586021E-2</v>
      </c>
      <c r="M74" s="872"/>
      <c r="N74" s="872"/>
      <c r="O74" s="48">
        <f>IF(t&lt;Tnet,'2025'!Resal+('2025'!Salim-'2025'!Resal)*(1-EXP(('2025'!Tnet-t)/('2025'!Tau_j))),Resal+(Salim-Resal)*(1-EXP((Tnet-t)/(Tau_j))))*Salcycl</f>
        <v>0.12505073222019455</v>
      </c>
      <c r="P74" s="171">
        <f>(INDEX(Models!$BJ74:$BT74,,T74)*(1-R74)+INDEX(Models!$BJ74:$BT74,,T74+1)*R74-ERP_i)*Q74*Ramure*Pc/MaxiM</f>
        <v>1.4198358997634627E-3</v>
      </c>
      <c r="Q74" s="307">
        <f t="shared" si="4"/>
        <v>0.9</v>
      </c>
      <c r="R74" s="179">
        <f t="shared" si="5"/>
        <v>0.87469306840593575</v>
      </c>
      <c r="S74" s="839">
        <f t="shared" si="6"/>
        <v>-3</v>
      </c>
      <c r="T74" s="178">
        <f t="shared" si="7"/>
        <v>3</v>
      </c>
      <c r="U74" s="253">
        <f t="shared" si="8"/>
        <v>-2.1253069315940643</v>
      </c>
      <c r="V74" s="385">
        <f t="shared" si="9"/>
        <v>30.669573427737102</v>
      </c>
      <c r="W74" s="404">
        <f t="shared" si="10"/>
        <v>30.439831087594623</v>
      </c>
      <c r="X74" s="157">
        <f t="shared" si="11"/>
        <v>46082</v>
      </c>
      <c r="Y74" s="387">
        <f t="shared" si="12"/>
        <v>27.293832450134364</v>
      </c>
      <c r="Z74" s="387">
        <f t="shared" si="22"/>
        <v>29.110536396980184</v>
      </c>
      <c r="AA74" s="388">
        <f t="shared" si="13"/>
        <v>35.011296465200935</v>
      </c>
      <c r="AB74" s="199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0.16853874788914894</v>
      </c>
      <c r="AD74" s="233">
        <f>(INDEX(Models!$BJ74:$BT74,,AH74)*(1-AF74)+INDEX(Models!$BJ74:$BT74,,AH74+1)*AF74-ERP_i)*AE74*Ramure*Pc/MaxiM</f>
        <v>5.8404208302185713E-2</v>
      </c>
      <c r="AE74" s="307">
        <f t="shared" si="15"/>
        <v>0.9</v>
      </c>
      <c r="AF74" s="179">
        <f t="shared" si="23"/>
        <v>0.51034872071291471</v>
      </c>
      <c r="AG74" s="839">
        <f t="shared" si="24"/>
        <v>2</v>
      </c>
      <c r="AH74" s="178">
        <f t="shared" si="16"/>
        <v>8</v>
      </c>
      <c r="AI74" s="227">
        <f t="shared" si="17"/>
        <v>2.5103487207129147</v>
      </c>
      <c r="AJ74" s="267" t="b">
        <f t="shared" si="18"/>
        <v>1</v>
      </c>
      <c r="AK74" s="267" t="b">
        <f t="shared" si="19"/>
        <v>0</v>
      </c>
      <c r="AL74" s="267"/>
      <c r="AM74" s="267"/>
      <c r="AN74" s="75"/>
    </row>
    <row r="75" spans="1:40" s="6" customFormat="1" ht="11.25" x14ac:dyDescent="0.2">
      <c r="A75" s="56">
        <f t="shared" si="20"/>
        <v>46083</v>
      </c>
      <c r="B75" s="413">
        <f>'2025'!Wh/'2025'!Env_an*'2026'!Env_an</f>
        <v>14.122123134847286</v>
      </c>
      <c r="C75" s="868"/>
      <c r="D75" s="395">
        <f t="shared" si="0"/>
        <v>15.062455866209211</v>
      </c>
      <c r="E75" s="387">
        <f t="shared" si="1"/>
        <v>17.217326255653415</v>
      </c>
      <c r="F75" s="387">
        <f t="shared" si="2"/>
        <v>17.222783559825146</v>
      </c>
      <c r="G75" s="110">
        <f t="shared" si="21"/>
        <v>0.45463452083069367</v>
      </c>
      <c r="H75" s="416" t="b">
        <f>Wh_hp&gt;='2025'!Maxi_hp</f>
        <v>0</v>
      </c>
      <c r="I75" s="392">
        <f>IF(H75,Wh_hp,'2025'!Maxi_hp)</f>
        <v>26.224711056387971</v>
      </c>
      <c r="J75" s="85">
        <f>IF(H75,An,'2025'!An_max)</f>
        <v>2020</v>
      </c>
      <c r="K75" s="199">
        <f t="shared" si="3"/>
        <v>46083</v>
      </c>
      <c r="L75" s="147">
        <f>IF(t&lt;Tvie,1-EXP((T0-t)*PertePVj)+'2025'!Pspv,1-EXP((T0-t)*PertePVj)+Pspv)</f>
        <v>6.2428911972545409E-2</v>
      </c>
      <c r="M75" s="872"/>
      <c r="N75" s="872"/>
      <c r="O75" s="48">
        <f>IF(t&lt;Tnet,'2025'!Resal+('2025'!Salim-'2025'!Resal)*(1-EXP(('2025'!Tnet-t)/('2025'!Tau_j))),Resal+(Salim-Resal)*(1-EXP((Tnet-t)/(Tau_j))))*Salcycl</f>
        <v>0.12515708638190209</v>
      </c>
      <c r="P75" s="171">
        <f>(INDEX(Models!$BJ75:$BT75,,T75)*(1-R75)+INDEX(Models!$BJ75:$BT75,,T75+1)*R75-ERP_i)*Q75*Ramure*Pc/MaxiM</f>
        <v>1.4297028003221965E-3</v>
      </c>
      <c r="Q75" s="307">
        <f t="shared" si="4"/>
        <v>0.9</v>
      </c>
      <c r="R75" s="179">
        <f t="shared" si="5"/>
        <v>0.87514193776290172</v>
      </c>
      <c r="S75" s="839">
        <f t="shared" si="6"/>
        <v>-3</v>
      </c>
      <c r="T75" s="178">
        <f t="shared" si="7"/>
        <v>3</v>
      </c>
      <c r="U75" s="253">
        <f t="shared" si="8"/>
        <v>-2.1248580622370983</v>
      </c>
      <c r="V75" s="385">
        <f t="shared" si="9"/>
        <v>31.028005750497549</v>
      </c>
      <c r="W75" s="404">
        <f t="shared" si="10"/>
        <v>14.122123134847286</v>
      </c>
      <c r="X75" s="157">
        <f t="shared" si="11"/>
        <v>46083</v>
      </c>
      <c r="Y75" s="387">
        <f t="shared" si="12"/>
        <v>13.256810619773455</v>
      </c>
      <c r="Z75" s="387">
        <f t="shared" si="22"/>
        <v>14.139525833357673</v>
      </c>
      <c r="AA75" s="388">
        <f t="shared" si="13"/>
        <v>17.006851080884303</v>
      </c>
      <c r="AB75" s="199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0.16859824513601476</v>
      </c>
      <c r="AD75" s="233">
        <f>(INDEX(Models!$BJ75:$BT75,,AH75)*(1-AF75)+INDEX(Models!$BJ75:$BT75,,AH75+1)*AF75-ERP_i)*AE75*Ramure*Pc/MaxiM</f>
        <v>5.6569921724621351E-2</v>
      </c>
      <c r="AE75" s="307">
        <f t="shared" si="15"/>
        <v>0.9</v>
      </c>
      <c r="AF75" s="179">
        <f t="shared" si="23"/>
        <v>0.51079759006988068</v>
      </c>
      <c r="AG75" s="839">
        <f t="shared" si="24"/>
        <v>2</v>
      </c>
      <c r="AH75" s="178">
        <f t="shared" si="16"/>
        <v>8</v>
      </c>
      <c r="AI75" s="227">
        <f t="shared" si="17"/>
        <v>2.5107975900698807</v>
      </c>
      <c r="AJ75" s="267" t="b">
        <f t="shared" si="18"/>
        <v>1</v>
      </c>
      <c r="AK75" s="267" t="b">
        <f t="shared" si="19"/>
        <v>0</v>
      </c>
      <c r="AL75" s="267"/>
      <c r="AM75" s="267"/>
      <c r="AN75" s="75"/>
    </row>
    <row r="76" spans="1:40" s="6" customFormat="1" ht="11.25" x14ac:dyDescent="0.2">
      <c r="A76" s="56">
        <f t="shared" si="20"/>
        <v>46084</v>
      </c>
      <c r="B76" s="413">
        <f>'2025'!Wh/'2025'!Env_an*'2026'!Env_an</f>
        <v>29.172567103121303</v>
      </c>
      <c r="C76" s="868"/>
      <c r="D76" s="395">
        <f t="shared" si="0"/>
        <v>31.11576965172052</v>
      </c>
      <c r="E76" s="387">
        <f t="shared" si="1"/>
        <v>35.571585269215653</v>
      </c>
      <c r="F76" s="387">
        <f t="shared" si="2"/>
        <v>35.617680876451402</v>
      </c>
      <c r="G76" s="110">
        <f t="shared" si="21"/>
        <v>0.92929941720387432</v>
      </c>
      <c r="H76" s="416" t="b">
        <f>Wh_hp&gt;='2025'!Maxi_hp</f>
        <v>1</v>
      </c>
      <c r="I76" s="392">
        <f>IF(H76,Wh_hp,'2025'!Maxi_hp)</f>
        <v>35.617680876451402</v>
      </c>
      <c r="J76" s="85">
        <f>IF(H76,An,'2025'!An_max)</f>
        <v>2026</v>
      </c>
      <c r="K76" s="199">
        <f t="shared" si="3"/>
        <v>46084</v>
      </c>
      <c r="L76" s="147">
        <f>IF(t&lt;Tvie,1-EXP((T0-t)*PertePVj)+'2025'!Pspv,1-EXP((T0-t)*PertePVj)+Pspv)</f>
        <v>6.2450730621466999E-2</v>
      </c>
      <c r="M76" s="872"/>
      <c r="N76" s="872"/>
      <c r="O76" s="48">
        <f>IF(t&lt;Tnet,'2025'!Resal+('2025'!Salim-'2025'!Resal)*(1-EXP(('2025'!Tnet-t)/('2025'!Tau_j))),Resal+(Salim-Resal)*(1-EXP((Tnet-t)/(Tau_j))))*Salcycl</f>
        <v>0.12526334105641582</v>
      </c>
      <c r="P76" s="171">
        <f>(INDEX(Models!$BJ76:$BT76,,T76)*(1-R76)+INDEX(Models!$BJ76:$BT76,,T76+1)*R76-ERP_i)*Q76*Ramure*Pc/MaxiM</f>
        <v>1.439267231994475E-3</v>
      </c>
      <c r="Q76" s="307">
        <f t="shared" si="4"/>
        <v>0.9</v>
      </c>
      <c r="R76" s="179">
        <f t="shared" si="5"/>
        <v>0.87560901753670262</v>
      </c>
      <c r="S76" s="839">
        <f t="shared" si="6"/>
        <v>-3</v>
      </c>
      <c r="T76" s="178">
        <f t="shared" si="7"/>
        <v>3</v>
      </c>
      <c r="U76" s="253">
        <f t="shared" si="8"/>
        <v>-2.1243909824632974</v>
      </c>
      <c r="V76" s="385">
        <f t="shared" si="9"/>
        <v>31.387439229233095</v>
      </c>
      <c r="W76" s="404">
        <f t="shared" si="10"/>
        <v>29.172567103121303</v>
      </c>
      <c r="X76" s="157">
        <f t="shared" si="11"/>
        <v>46084</v>
      </c>
      <c r="Y76" s="387">
        <f t="shared" si="12"/>
        <v>26.394393897021587</v>
      </c>
      <c r="Z76" s="387">
        <f t="shared" si="22"/>
        <v>28.152540628096762</v>
      </c>
      <c r="AA76" s="388">
        <f t="shared" si="13"/>
        <v>33.863957759336699</v>
      </c>
      <c r="AB76" s="199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0.16865769712535239</v>
      </c>
      <c r="AD76" s="233">
        <f>(INDEX(Models!$BJ76:$BT76,,AH76)*(1-AF76)+INDEX(Models!$BJ76:$BT76,,AH76+1)*AF76-ERP_i)*AE76*Ramure*Pc/MaxiM</f>
        <v>5.4757413294186548E-2</v>
      </c>
      <c r="AE76" s="307">
        <f t="shared" si="15"/>
        <v>0.9</v>
      </c>
      <c r="AF76" s="179">
        <f t="shared" si="23"/>
        <v>0.51126466984368157</v>
      </c>
      <c r="AG76" s="839">
        <f t="shared" si="24"/>
        <v>2</v>
      </c>
      <c r="AH76" s="178">
        <f t="shared" si="16"/>
        <v>8</v>
      </c>
      <c r="AI76" s="227">
        <f t="shared" si="17"/>
        <v>2.5112646698436816</v>
      </c>
      <c r="AJ76" s="267" t="b">
        <f t="shared" si="18"/>
        <v>1</v>
      </c>
      <c r="AK76" s="267" t="b">
        <f t="shared" si="19"/>
        <v>0</v>
      </c>
      <c r="AL76" s="267"/>
      <c r="AM76" s="267"/>
      <c r="AN76" s="75"/>
    </row>
    <row r="77" spans="1:40" s="6" customFormat="1" ht="11.25" x14ac:dyDescent="0.2">
      <c r="A77" s="56">
        <f t="shared" si="20"/>
        <v>46085</v>
      </c>
      <c r="B77" s="413">
        <f>'2025'!Wh/'2025'!Env_an*'2026'!Env_an</f>
        <v>5.5420579616196397</v>
      </c>
      <c r="C77" s="868"/>
      <c r="D77" s="395">
        <f t="shared" si="0"/>
        <v>5.9113554001060402</v>
      </c>
      <c r="E77" s="387">
        <f t="shared" si="1"/>
        <v>6.7586889979799789</v>
      </c>
      <c r="F77" s="387">
        <f t="shared" si="2"/>
        <v>6.7586889979799789</v>
      </c>
      <c r="G77" s="110">
        <f t="shared" si="21"/>
        <v>0.17431385261902227</v>
      </c>
      <c r="H77" s="416" t="b">
        <f>Wh_hp&gt;='2025'!Maxi_hp</f>
        <v>0</v>
      </c>
      <c r="I77" s="392">
        <f>IF(H77,Wh_hp,'2025'!Maxi_hp)</f>
        <v>29.708311263077956</v>
      </c>
      <c r="J77" s="85">
        <f>IF(H77,An,'2025'!An_max)</f>
        <v>2021</v>
      </c>
      <c r="K77" s="199">
        <f t="shared" si="3"/>
        <v>46085</v>
      </c>
      <c r="L77" s="147">
        <f>IF(t&lt;Tvie,1-EXP((T0-t)*PertePVj)+'2025'!Pspv,1-EXP((T0-t)*PertePVj)+Pspv)</f>
        <v>6.2472548762636748E-2</v>
      </c>
      <c r="M77" s="872"/>
      <c r="N77" s="872"/>
      <c r="O77" s="48">
        <f>IF(t&lt;Tnet,'2025'!Resal+('2025'!Salim-'2025'!Resal)*(1-EXP(('2025'!Tnet-t)/('2025'!Tau_j))),Resal+(Salim-Resal)*(1-EXP((Tnet-t)/(Tau_j))))*Salcycl</f>
        <v>0.12536952035035021</v>
      </c>
      <c r="P77" s="171">
        <f>(INDEX(Models!$BJ77:$BT77,,T77)*(1-R77)+INDEX(Models!$BJ77:$BT77,,T77+1)*R77-ERP_i)*Q77*Ramure*Pc/MaxiM</f>
        <v>1.4485581625182657E-3</v>
      </c>
      <c r="Q77" s="307">
        <f t="shared" si="4"/>
        <v>0.9</v>
      </c>
      <c r="R77" s="179">
        <f t="shared" si="5"/>
        <v>0.87609501989984029</v>
      </c>
      <c r="S77" s="839">
        <f t="shared" si="6"/>
        <v>-3</v>
      </c>
      <c r="T77" s="178">
        <f t="shared" si="7"/>
        <v>3</v>
      </c>
      <c r="U77" s="253">
        <f t="shared" si="8"/>
        <v>-2.1239049801001597</v>
      </c>
      <c r="V77" s="385">
        <f t="shared" si="9"/>
        <v>31.74750534839751</v>
      </c>
      <c r="W77" s="404">
        <f t="shared" si="10"/>
        <v>5.5420579616196397</v>
      </c>
      <c r="X77" s="157">
        <f t="shared" si="11"/>
        <v>46085</v>
      </c>
      <c r="Y77" s="387">
        <f t="shared" si="12"/>
        <v>5.2673876808265048</v>
      </c>
      <c r="Z77" s="387">
        <f t="shared" si="22"/>
        <v>5.6183823458977384</v>
      </c>
      <c r="AA77" s="388">
        <f t="shared" si="13"/>
        <v>6.7586889979799789</v>
      </c>
      <c r="AB77" s="199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0.16871713618174369</v>
      </c>
      <c r="AD77" s="233">
        <f>(INDEX(Models!$BJ77:$BT77,,AH77)*(1-AF77)+INDEX(Models!$BJ77:$BT77,,AH77+1)*AF77-ERP_i)*AE77*Ramure*Pc/MaxiM</f>
        <v>5.296672566824509E-2</v>
      </c>
      <c r="AE77" s="307">
        <f t="shared" si="15"/>
        <v>0.9</v>
      </c>
      <c r="AF77" s="179">
        <f t="shared" si="23"/>
        <v>0.51175067220681925</v>
      </c>
      <c r="AG77" s="839">
        <f t="shared" si="24"/>
        <v>2</v>
      </c>
      <c r="AH77" s="178">
        <f t="shared" si="16"/>
        <v>8</v>
      </c>
      <c r="AI77" s="227">
        <f t="shared" si="17"/>
        <v>2.5117506722068192</v>
      </c>
      <c r="AJ77" s="267" t="b">
        <f t="shared" si="18"/>
        <v>1</v>
      </c>
      <c r="AK77" s="267" t="b">
        <f t="shared" si="19"/>
        <v>0</v>
      </c>
      <c r="AL77" s="267"/>
      <c r="AM77" s="267"/>
      <c r="AN77" s="75"/>
    </row>
    <row r="78" spans="1:40" s="6" customFormat="1" ht="11.25" x14ac:dyDescent="0.2">
      <c r="A78" s="56">
        <f t="shared" si="20"/>
        <v>46086</v>
      </c>
      <c r="B78" s="413">
        <f>'2025'!Wh/'2025'!Env_an*'2026'!Env_an</f>
        <v>12.414873347354062</v>
      </c>
      <c r="C78" s="868"/>
      <c r="D78" s="395">
        <f t="shared" si="0"/>
        <v>13.242451994266046</v>
      </c>
      <c r="E78" s="387">
        <f t="shared" si="1"/>
        <v>15.142462326270619</v>
      </c>
      <c r="F78" s="387">
        <f t="shared" si="2"/>
        <v>15.145195353855403</v>
      </c>
      <c r="G78" s="110">
        <f t="shared" si="21"/>
        <v>0.38616788087954251</v>
      </c>
      <c r="H78" s="416" t="b">
        <f>Wh_hp&gt;='2025'!Maxi_hp</f>
        <v>0</v>
      </c>
      <c r="I78" s="392">
        <f>IF(H78,Wh_hp,'2025'!Maxi_hp)</f>
        <v>38.591105820273576</v>
      </c>
      <c r="J78" s="85">
        <f>IF(H78,An,'2025'!An_max)</f>
        <v>2019</v>
      </c>
      <c r="K78" s="199">
        <f t="shared" si="3"/>
        <v>46086</v>
      </c>
      <c r="L78" s="147">
        <f>IF(t&lt;Tvie,1-EXP((T0-t)*PertePVj)+'2025'!Pspv,1-EXP((T0-t)*PertePVj)+Pspv)</f>
        <v>6.2494366396066536E-2</v>
      </c>
      <c r="M78" s="872"/>
      <c r="N78" s="872"/>
      <c r="O78" s="48">
        <f>IF(t&lt;Tnet,'2025'!Resal+('2025'!Salim-'2025'!Resal)*(1-EXP(('2025'!Tnet-t)/('2025'!Tau_j))),Resal+(Salim-Resal)*(1-EXP((Tnet-t)/(Tau_j))))*Salcycl</f>
        <v>0.1254756519161517</v>
      </c>
      <c r="P78" s="171">
        <f>(INDEX(Models!$BJ78:$BT78,,T78)*(1-R78)+INDEX(Models!$BJ78:$BT78,,T78+1)*R78-ERP_i)*Q78*Ramure*Pc/MaxiM</f>
        <v>1.4576038180497243E-3</v>
      </c>
      <c r="Q78" s="307">
        <f t="shared" si="4"/>
        <v>0.9</v>
      </c>
      <c r="R78" s="179">
        <f t="shared" si="5"/>
        <v>0.87660068264049418</v>
      </c>
      <c r="S78" s="839">
        <f t="shared" si="6"/>
        <v>-3</v>
      </c>
      <c r="T78" s="178">
        <f t="shared" si="7"/>
        <v>3</v>
      </c>
      <c r="U78" s="253">
        <f t="shared" si="8"/>
        <v>-2.1233993173595058</v>
      </c>
      <c r="V78" s="385">
        <f t="shared" si="9"/>
        <v>32.107835632671666</v>
      </c>
      <c r="W78" s="404">
        <f t="shared" si="10"/>
        <v>12.414873347354062</v>
      </c>
      <c r="X78" s="157">
        <f t="shared" si="11"/>
        <v>46086</v>
      </c>
      <c r="Y78" s="387">
        <f t="shared" si="12"/>
        <v>11.72748873426946</v>
      </c>
      <c r="Z78" s="387">
        <f t="shared" si="22"/>
        <v>12.509246146273243</v>
      </c>
      <c r="AA78" s="388">
        <f t="shared" si="13"/>
        <v>15.049198730782123</v>
      </c>
      <c r="AB78" s="199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0.16877659933572259</v>
      </c>
      <c r="AD78" s="233">
        <f>(INDEX(Models!$BJ78:$BT78,,AH78)*(1-AF78)+INDEX(Models!$BJ78:$BT78,,AH78+1)*AF78-ERP_i)*AE78*Ramure*Pc/MaxiM</f>
        <v>5.11978163303188E-2</v>
      </c>
      <c r="AE78" s="307">
        <f t="shared" si="15"/>
        <v>0.9</v>
      </c>
      <c r="AF78" s="179">
        <f t="shared" si="23"/>
        <v>0.51225633494747314</v>
      </c>
      <c r="AG78" s="839">
        <f t="shared" si="24"/>
        <v>2</v>
      </c>
      <c r="AH78" s="178">
        <f t="shared" si="16"/>
        <v>8</v>
      </c>
      <c r="AI78" s="227">
        <f t="shared" si="17"/>
        <v>2.5122563349474731</v>
      </c>
      <c r="AJ78" s="267" t="b">
        <f t="shared" si="18"/>
        <v>1</v>
      </c>
      <c r="AK78" s="267" t="b">
        <f t="shared" si="19"/>
        <v>0</v>
      </c>
      <c r="AL78" s="267"/>
      <c r="AM78" s="267"/>
      <c r="AN78" s="75"/>
    </row>
    <row r="79" spans="1:40" s="6" customFormat="1" ht="11.25" x14ac:dyDescent="0.2">
      <c r="A79" s="56">
        <f t="shared" si="20"/>
        <v>46087</v>
      </c>
      <c r="B79" s="413">
        <f>'2025'!Wh/'2025'!Env_an*'2026'!Env_an</f>
        <v>18.202424080311818</v>
      </c>
      <c r="C79" s="868"/>
      <c r="D79" s="395">
        <f t="shared" ref="D79:D142" si="25">Wh/(1-Ppv)</f>
        <v>19.416254190596444</v>
      </c>
      <c r="E79" s="387">
        <f t="shared" si="1"/>
        <v>22.2047682175807</v>
      </c>
      <c r="F79" s="387">
        <f t="shared" ref="F79:F142" si="26">Wh_sa/(1-Pvg*MEDIAN((-Sdif+Wh/Env_an)/Csdif,0,1))</f>
        <v>22.216895826886933</v>
      </c>
      <c r="G79" s="110">
        <f t="shared" si="21"/>
        <v>0.56007279603573679</v>
      </c>
      <c r="H79" s="416" t="b">
        <f>Wh_hp&gt;='2025'!Maxi_hp</f>
        <v>0</v>
      </c>
      <c r="I79" s="392">
        <f>IF(H79,Wh_hp,'2025'!Maxi_hp)</f>
        <v>24.167812123505598</v>
      </c>
      <c r="J79" s="85">
        <f>IF(H79,An,'2025'!An_max)</f>
        <v>2019</v>
      </c>
      <c r="K79" s="199">
        <f t="shared" ref="K79:K142" si="27">t</f>
        <v>46087</v>
      </c>
      <c r="L79" s="147">
        <f>IF(t&lt;Tvie,1-EXP((T0-t)*PertePVj)+'2025'!Pspv,1-EXP((T0-t)*PertePVj)+Pspv)</f>
        <v>6.2516183521768132E-2</v>
      </c>
      <c r="M79" s="872"/>
      <c r="N79" s="872"/>
      <c r="O79" s="48">
        <f>IF(t&lt;Tnet,'2025'!Resal+('2025'!Salim-'2025'!Resal)*(1-EXP(('2025'!Tnet-t)/('2025'!Tau_j))),Resal+(Salim-Resal)*(1-EXP((Tnet-t)/(Tau_j))))*Salcycl</f>
        <v>0.12558176692771961</v>
      </c>
      <c r="P79" s="171">
        <f>(INDEX(Models!$BJ79:$BT79,,T79)*(1-R79)+INDEX(Models!$BJ79:$BT79,,T79+1)*R79-ERP_i)*Q79*Ramure*Pc/MaxiM</f>
        <v>1.4663365068041203E-3</v>
      </c>
      <c r="Q79" s="307">
        <f t="shared" ref="Q79:Q142" si="28">IF(OR(t&lt;Ttai,Notai),Dd+PousD*Croivg,Dens+PousD*(Croivg-Croi_tai))</f>
        <v>0.9</v>
      </c>
      <c r="R79" s="179">
        <f t="shared" ref="R79:R142" si="29">(Hp_vg-S79)/(INDEX(Echel_vg,T79+1)-S79)</f>
        <v>0.87712676989435145</v>
      </c>
      <c r="S79" s="839">
        <f t="shared" ref="S79:S142" si="30">INDEX(Echel_vg,T79)</f>
        <v>-3</v>
      </c>
      <c r="T79" s="178">
        <f t="shared" ref="T79:T142" si="31">MIN(MATCH(Hp_vg,Echel_vg),10)</f>
        <v>3</v>
      </c>
      <c r="U79" s="253">
        <f t="shared" ref="U79:U142" si="32">IF(OR(t&lt;Ttai,Notai),Hdd+PousH*Croivg,Hdtf+PousH*(Croivg-Croi_tai))</f>
        <v>-2.1228732301056485</v>
      </c>
      <c r="V79" s="385">
        <f t="shared" ref="V79:V142" si="33">MaxiM*(1-Ppv)*(1-Pvg)*(1-Psa)</f>
        <v>32.470172441347771</v>
      </c>
      <c r="W79" s="404">
        <f t="shared" ref="W79:W142" si="34">Wh*(A79&gt;Tmaj)</f>
        <v>18.202424080311818</v>
      </c>
      <c r="X79" s="157">
        <f t="shared" ref="X79:X142" si="35">t</f>
        <v>46087</v>
      </c>
      <c r="Y79" s="387">
        <f t="shared" ref="Y79:Y142" si="36">Wh_pvt_s*(1-Ppv)</f>
        <v>16.992799234345291</v>
      </c>
      <c r="Z79" s="387">
        <f t="shared" ref="Z79:Z142" si="37">Wh_sa_s*(1-Psa_s)</f>
        <v>18.125965414721225</v>
      </c>
      <c r="AA79" s="388">
        <f t="shared" ref="AA79:AA142" si="38">Wh_hp*(1-Pvg_s*MEDIAN((-Sdif+Wh/Env_an)/Csdif,0,1))</f>
        <v>21.807932263952694</v>
      </c>
      <c r="AB79" s="199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0.16883612827968816</v>
      </c>
      <c r="AD79" s="233">
        <f>(INDEX(Models!$BJ79:$BT79,,AH79)*(1-AF79)+INDEX(Models!$BJ79:$BT79,,AH79+1)*AF79-ERP_i)*AE79*Ramure*Pc/MaxiM</f>
        <v>4.9447354968370626E-2</v>
      </c>
      <c r="AE79" s="307">
        <f t="shared" ref="AE79:AE142" si="40">IF(OR(t&lt;Ttai,Notai),Dd_s+PousD*Croivg,Dens_s+PousD*(Croivg-Croi_tai))</f>
        <v>0.9</v>
      </c>
      <c r="AF79" s="179">
        <f t="shared" ref="AF79:AF142" si="41">(Hp_vg_s-AG79)/(INDEX(Echel_vg,AH79+1)-AG79)</f>
        <v>0.51278242220133041</v>
      </c>
      <c r="AG79" s="839">
        <f t="shared" si="24"/>
        <v>2</v>
      </c>
      <c r="AH79" s="178">
        <f t="shared" ref="AH79:AH142" si="42">MIN(MATCH(Hp_vg_s,Echel_vg),10)</f>
        <v>8</v>
      </c>
      <c r="AI79" s="227">
        <f t="shared" ref="AI79:AI142" si="43">IF(OR(t&lt;Ttai,Notai),Hdd_s+PousH*Croivg,Hdtai_s+PousH*(Croivg-Croi_tai))</f>
        <v>2.5127824222013304</v>
      </c>
      <c r="AJ79" s="267" t="b">
        <f t="shared" ref="AJ79:AJ142" si="44">t&lt;Tnet</f>
        <v>1</v>
      </c>
      <c r="AK79" s="267" t="b">
        <f t="shared" ref="AK79:AK142" si="45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6">A79+1</f>
        <v>46088</v>
      </c>
      <c r="B80" s="413">
        <f>'2025'!Wh/'2025'!Env_an*'2026'!Env_an</f>
        <v>31.023473779920092</v>
      </c>
      <c r="C80" s="868"/>
      <c r="D80" s="395">
        <f t="shared" si="25"/>
        <v>33.093046741675884</v>
      </c>
      <c r="E80" s="387">
        <f t="shared" ref="E80:E143" si="47">Wh_pvt/(1-Psa)</f>
        <v>37.850381737762511</v>
      </c>
      <c r="F80" s="387">
        <f t="shared" si="26"/>
        <v>37.901839571949345</v>
      </c>
      <c r="G80" s="110">
        <f t="shared" ref="G80:G143" si="48">+Wh_hp/MaxiM</f>
        <v>0.94468604182251026</v>
      </c>
      <c r="H80" s="416" t="b">
        <f>Wh_hp&gt;='2025'!Maxi_hp</f>
        <v>1</v>
      </c>
      <c r="I80" s="392">
        <f>IF(H80,Wh_hp,'2025'!Maxi_hp)</f>
        <v>37.901839571949345</v>
      </c>
      <c r="J80" s="85">
        <f>IF(H80,An,'2025'!An_max)</f>
        <v>2026</v>
      </c>
      <c r="K80" s="199">
        <f t="shared" si="27"/>
        <v>46088</v>
      </c>
      <c r="L80" s="147">
        <f>IF(t&lt;Tvie,1-EXP((T0-t)*PertePVj)+'2025'!Pspv,1-EXP((T0-t)*PertePVj)+Pspv)</f>
        <v>6.2538000139753303E-2</v>
      </c>
      <c r="M80" s="872"/>
      <c r="N80" s="872"/>
      <c r="O80" s="48">
        <f>IF(t&lt;Tnet,'2025'!Resal+('2025'!Salim-'2025'!Resal)*(1-EXP(('2025'!Tnet-t)/('2025'!Tau_j))),Resal+(Salim-Resal)*(1-EXP((Tnet-t)/(Tau_j))))*Salcycl</f>
        <v>0.1256879000335242</v>
      </c>
      <c r="P80" s="171">
        <f>(INDEX(Models!$BJ80:$BT80,,T80)*(1-R80)+INDEX(Models!$BJ80:$BT80,,T80+1)*R80-ERP_i)*Q80*Ramure*Pc/MaxiM</f>
        <v>1.4738962460514014E-3</v>
      </c>
      <c r="Q80" s="307">
        <f t="shared" si="28"/>
        <v>0.9</v>
      </c>
      <c r="R80" s="179">
        <f t="shared" si="29"/>
        <v>0.87767407288056143</v>
      </c>
      <c r="S80" s="839">
        <f t="shared" si="30"/>
        <v>-3</v>
      </c>
      <c r="T80" s="178">
        <f t="shared" si="31"/>
        <v>3</v>
      </c>
      <c r="U80" s="253">
        <f t="shared" si="32"/>
        <v>-2.1223259271194386</v>
      </c>
      <c r="V80" s="385">
        <f t="shared" si="33"/>
        <v>32.836160873169554</v>
      </c>
      <c r="W80" s="404">
        <f t="shared" si="34"/>
        <v>31.023473779920092</v>
      </c>
      <c r="X80" s="157">
        <f t="shared" si="35"/>
        <v>46088</v>
      </c>
      <c r="Y80" s="387">
        <f t="shared" si="36"/>
        <v>28.232583728668224</v>
      </c>
      <c r="Z80" s="387">
        <f t="shared" si="37"/>
        <v>30.115976682657038</v>
      </c>
      <c r="AA80" s="388">
        <f t="shared" si="38"/>
        <v>36.236100804186762</v>
      </c>
      <c r="AB80" s="199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0.16889576929377006</v>
      </c>
      <c r="AD80" s="233">
        <f>(INDEX(Models!$BJ80:$BT80,,AH80)*(1-AF80)+INDEX(Models!$BJ80:$BT80,,AH80+1)*AF80-ERP_i)*AE80*Ramure*Pc/MaxiM</f>
        <v>4.7711415676637059E-2</v>
      </c>
      <c r="AE80" s="307">
        <f t="shared" si="40"/>
        <v>0.9</v>
      </c>
      <c r="AF80" s="179">
        <f t="shared" si="41"/>
        <v>0.51332972518754039</v>
      </c>
      <c r="AG80" s="839">
        <f t="shared" ref="AG80:AG143" si="49">INDEX(Echel_vg,AH80)</f>
        <v>2</v>
      </c>
      <c r="AH80" s="178">
        <f t="shared" si="42"/>
        <v>8</v>
      </c>
      <c r="AI80" s="227">
        <f t="shared" si="43"/>
        <v>2.5133297251875404</v>
      </c>
      <c r="AJ80" s="267" t="b">
        <f t="shared" si="44"/>
        <v>1</v>
      </c>
      <c r="AK80" s="267" t="b">
        <f t="shared" si="45"/>
        <v>0</v>
      </c>
      <c r="AL80" s="267"/>
      <c r="AM80" s="267"/>
      <c r="AN80" s="75"/>
    </row>
    <row r="81" spans="1:40" s="6" customFormat="1" ht="11.25" x14ac:dyDescent="0.2">
      <c r="A81" s="56">
        <f t="shared" si="46"/>
        <v>46089</v>
      </c>
      <c r="B81" s="413">
        <f>'2025'!Wh/'2025'!Env_an*'2026'!Env_an</f>
        <v>25.019996860428702</v>
      </c>
      <c r="C81" s="868"/>
      <c r="D81" s="395">
        <f t="shared" si="25"/>
        <v>26.689699560715685</v>
      </c>
      <c r="E81" s="387">
        <f t="shared" si="47"/>
        <v>30.53022089381853</v>
      </c>
      <c r="F81" s="387">
        <f t="shared" si="26"/>
        <v>30.55952556084949</v>
      </c>
      <c r="G81" s="110">
        <f t="shared" si="48"/>
        <v>0.75310201643644425</v>
      </c>
      <c r="H81" s="416" t="b">
        <f>Wh_hp&gt;='2025'!Maxi_hp</f>
        <v>1</v>
      </c>
      <c r="I81" s="392">
        <f>IF(H81,Wh_hp,'2025'!Maxi_hp)</f>
        <v>30.55952556084949</v>
      </c>
      <c r="J81" s="85">
        <f>IF(H81,An,'2025'!An_max)</f>
        <v>2026</v>
      </c>
      <c r="K81" s="199">
        <f t="shared" si="27"/>
        <v>46089</v>
      </c>
      <c r="L81" s="147">
        <f>IF(t&lt;Tvie,1-EXP((T0-t)*PertePVj)+'2025'!Pspv,1-EXP((T0-t)*PertePVj)+Pspv)</f>
        <v>6.2559816250033817E-2</v>
      </c>
      <c r="M81" s="872"/>
      <c r="N81" s="872"/>
      <c r="O81" s="48">
        <f>IF(t&lt;Tnet,'2025'!Resal+('2025'!Salim-'2025'!Resal)*(1-EXP(('2025'!Tnet-t)/('2025'!Tau_j))),Resal+(Salim-Resal)*(1-EXP((Tnet-t)/(Tau_j))))*Salcycl</f>
        <v>0.12579408928811378</v>
      </c>
      <c r="P81" s="171">
        <f>(INDEX(Models!$BJ81:$BT81,,T81)*(1-R81)+INDEX(Models!$BJ81:$BT81,,T81+1)*R81-ERP_i)*Q81*Ramure*Pc/MaxiM</f>
        <v>1.4801835620084742E-3</v>
      </c>
      <c r="Q81" s="307">
        <f t="shared" si="28"/>
        <v>0.9</v>
      </c>
      <c r="R81" s="179">
        <f t="shared" si="29"/>
        <v>0.87824341064005562</v>
      </c>
      <c r="S81" s="839">
        <f t="shared" si="30"/>
        <v>-3</v>
      </c>
      <c r="T81" s="178">
        <f t="shared" si="31"/>
        <v>3</v>
      </c>
      <c r="U81" s="253">
        <f t="shared" si="32"/>
        <v>-2.1217565893599444</v>
      </c>
      <c r="V81" s="385">
        <f t="shared" si="33"/>
        <v>33.20525269511446</v>
      </c>
      <c r="W81" s="404">
        <f t="shared" si="34"/>
        <v>25.019996860428702</v>
      </c>
      <c r="X81" s="157">
        <f t="shared" si="35"/>
        <v>46089</v>
      </c>
      <c r="Y81" s="387">
        <f t="shared" si="36"/>
        <v>23.09814520112009</v>
      </c>
      <c r="Z81" s="387">
        <f t="shared" si="37"/>
        <v>24.639593652495723</v>
      </c>
      <c r="AA81" s="388">
        <f t="shared" si="38"/>
        <v>29.648948788069859</v>
      </c>
      <c r="AB81" s="199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0.16895557314294396</v>
      </c>
      <c r="AD81" s="233">
        <f>(INDEX(Models!$BJ81:$BT81,,AH81)*(1-AF81)+INDEX(Models!$BJ81:$BT81,,AH81+1)*AF81-ERP_i)*AE81*Ramure*Pc/MaxiM</f>
        <v>4.599338288304481E-2</v>
      </c>
      <c r="AE81" s="307">
        <f t="shared" si="40"/>
        <v>0.9</v>
      </c>
      <c r="AF81" s="179">
        <f t="shared" si="41"/>
        <v>0.51389906294703458</v>
      </c>
      <c r="AG81" s="839">
        <f t="shared" si="49"/>
        <v>2</v>
      </c>
      <c r="AH81" s="178">
        <f t="shared" si="42"/>
        <v>8</v>
      </c>
      <c r="AI81" s="227">
        <f t="shared" si="43"/>
        <v>2.5138990629470346</v>
      </c>
      <c r="AJ81" s="267" t="b">
        <f t="shared" si="44"/>
        <v>1</v>
      </c>
      <c r="AK81" s="267" t="b">
        <f t="shared" si="45"/>
        <v>0</v>
      </c>
      <c r="AL81" s="267"/>
      <c r="AM81" s="267"/>
      <c r="AN81" s="75"/>
    </row>
    <row r="82" spans="1:40" s="6" customFormat="1" ht="11.25" x14ac:dyDescent="0.2">
      <c r="A82" s="56">
        <f t="shared" si="46"/>
        <v>46090</v>
      </c>
      <c r="B82" s="413">
        <f>'2025'!Wh/'2025'!Env_an*'2026'!Env_an</f>
        <v>26.04500470010414</v>
      </c>
      <c r="C82" s="868"/>
      <c r="D82" s="395">
        <f t="shared" si="25"/>
        <v>27.783757589022851</v>
      </c>
      <c r="E82" s="387">
        <f t="shared" si="47"/>
        <v>31.785573209476599</v>
      </c>
      <c r="F82" s="387">
        <f t="shared" si="26"/>
        <v>31.817686981287984</v>
      </c>
      <c r="G82" s="110">
        <f t="shared" si="48"/>
        <v>0.7753127940140625</v>
      </c>
      <c r="H82" s="416" t="b">
        <f>Wh_hp&gt;='2025'!Maxi_hp</f>
        <v>0</v>
      </c>
      <c r="I82" s="392">
        <f>IF(H82,Wh_hp,'2025'!Maxi_hp)</f>
        <v>39.141345127163731</v>
      </c>
      <c r="J82" s="85">
        <f>IF(H82,An,'2025'!An_max)</f>
        <v>2021</v>
      </c>
      <c r="K82" s="199">
        <f t="shared" si="27"/>
        <v>46090</v>
      </c>
      <c r="L82" s="147">
        <f>IF(t&lt;Tvie,1-EXP((T0-t)*PertePVj)+'2025'!Pspv,1-EXP((T0-t)*PertePVj)+Pspv)</f>
        <v>6.2581631852621666E-2</v>
      </c>
      <c r="M82" s="872"/>
      <c r="N82" s="872"/>
      <c r="O82" s="48">
        <f>IF(t&lt;Tnet,'2025'!Resal+('2025'!Salim-'2025'!Resal)*(1-EXP(('2025'!Tnet-t)/('2025'!Tau_j))),Resal+(Salim-Resal)*(1-EXP((Tnet-t)/(Tau_j))))*Salcycl</f>
        <v>0.12590037606308255</v>
      </c>
      <c r="P82" s="171">
        <f>(INDEX(Models!$BJ82:$BT82,,T82)*(1-R82)+INDEX(Models!$BJ82:$BT82,,T82+1)*R82-ERP_i)*Q82*Ramure*Pc/MaxiM</f>
        <v>1.4852641752511871E-3</v>
      </c>
      <c r="Q82" s="307">
        <f t="shared" si="28"/>
        <v>0.9</v>
      </c>
      <c r="R82" s="179">
        <f t="shared" si="29"/>
        <v>0.87883563077427729</v>
      </c>
      <c r="S82" s="839">
        <f t="shared" si="30"/>
        <v>-3</v>
      </c>
      <c r="T82" s="178">
        <f t="shared" si="31"/>
        <v>3</v>
      </c>
      <c r="U82" s="253">
        <f t="shared" si="32"/>
        <v>-2.1211643692257227</v>
      </c>
      <c r="V82" s="385">
        <f t="shared" si="33"/>
        <v>33.576894429183973</v>
      </c>
      <c r="W82" s="404">
        <f t="shared" si="34"/>
        <v>26.04500470010414</v>
      </c>
      <c r="X82" s="157">
        <f t="shared" si="35"/>
        <v>46090</v>
      </c>
      <c r="Y82" s="387">
        <f t="shared" si="36"/>
        <v>24.039311887427811</v>
      </c>
      <c r="Z82" s="387">
        <f t="shared" si="37"/>
        <v>25.644165619388009</v>
      </c>
      <c r="AA82" s="388">
        <f t="shared" si="38"/>
        <v>30.859984210835332</v>
      </c>
      <c r="AB82" s="199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0.16901559494693399</v>
      </c>
      <c r="AD82" s="233">
        <f>(INDEX(Models!$BJ82:$BT82,,AH82)*(1-AF82)+INDEX(Models!$BJ82:$BT82,,AH82+1)*AF82-ERP_i)*AE82*Ramure*Pc/MaxiM</f>
        <v>4.4293819606325072E-2</v>
      </c>
      <c r="AE82" s="307">
        <f t="shared" si="40"/>
        <v>0.9</v>
      </c>
      <c r="AF82" s="179">
        <f t="shared" si="41"/>
        <v>0.51449128308125625</v>
      </c>
      <c r="AG82" s="839">
        <f t="shared" si="49"/>
        <v>2</v>
      </c>
      <c r="AH82" s="178">
        <f t="shared" si="42"/>
        <v>8</v>
      </c>
      <c r="AI82" s="227">
        <f t="shared" si="43"/>
        <v>2.5144912830812562</v>
      </c>
      <c r="AJ82" s="267" t="b">
        <f t="shared" si="44"/>
        <v>1</v>
      </c>
      <c r="AK82" s="267" t="b">
        <f t="shared" si="45"/>
        <v>0</v>
      </c>
      <c r="AL82" s="267"/>
      <c r="AM82" s="267"/>
      <c r="AN82" s="75"/>
    </row>
    <row r="83" spans="1:40" s="6" customFormat="1" ht="11.25" x14ac:dyDescent="0.2">
      <c r="A83" s="56">
        <f t="shared" si="46"/>
        <v>46091</v>
      </c>
      <c r="B83" s="413">
        <f>'2025'!Wh/'2025'!Env_an*'2026'!Env_an</f>
        <v>18.265451413622802</v>
      </c>
      <c r="C83" s="868"/>
      <c r="D83" s="395">
        <f t="shared" si="25"/>
        <v>19.485298248798212</v>
      </c>
      <c r="E83" s="387">
        <f t="shared" si="47"/>
        <v>22.294565173853968</v>
      </c>
      <c r="F83" s="387">
        <f t="shared" si="26"/>
        <v>22.305859359021436</v>
      </c>
      <c r="G83" s="110">
        <f t="shared" si="48"/>
        <v>0.53747285558853319</v>
      </c>
      <c r="H83" s="416" t="b">
        <f>Wh_hp&gt;='2025'!Maxi_hp</f>
        <v>0</v>
      </c>
      <c r="I83" s="392">
        <f>IF(H83,Wh_hp,'2025'!Maxi_hp)</f>
        <v>39.134897044525324</v>
      </c>
      <c r="J83" s="85">
        <f>IF(H83,An,'2025'!An_max)</f>
        <v>2021</v>
      </c>
      <c r="K83" s="199">
        <f t="shared" si="27"/>
        <v>46091</v>
      </c>
      <c r="L83" s="147">
        <f>IF(t&lt;Tvie,1-EXP((T0-t)*PertePVj)+'2025'!Pspv,1-EXP((T0-t)*PertePVj)+Pspv)</f>
        <v>6.2603446947528507E-2</v>
      </c>
      <c r="M83" s="872"/>
      <c r="N83" s="872"/>
      <c r="O83" s="48">
        <f>IF(t&lt;Tnet,'2025'!Resal+('2025'!Salim-'2025'!Resal)*(1-EXP(('2025'!Tnet-t)/('2025'!Tau_j))),Resal+(Salim-Resal)*(1-EXP((Tnet-t)/(Tau_j))))*Salcycl</f>
        <v>0.12600680493873606</v>
      </c>
      <c r="P83" s="171">
        <f>(INDEX(Models!$BJ83:$BT83,,T83)*(1-R83)+INDEX(Models!$BJ83:$BT83,,T83+1)*R83-ERP_i)*Q83*Ramure*Pc/MaxiM</f>
        <v>1.4892017699963437E-3</v>
      </c>
      <c r="Q83" s="307">
        <f t="shared" si="28"/>
        <v>0.9</v>
      </c>
      <c r="R83" s="179">
        <f t="shared" si="29"/>
        <v>0.87945161018214879</v>
      </c>
      <c r="S83" s="839">
        <f t="shared" si="30"/>
        <v>-3</v>
      </c>
      <c r="T83" s="178">
        <f t="shared" si="31"/>
        <v>3</v>
      </c>
      <c r="U83" s="253">
        <f t="shared" si="32"/>
        <v>-2.1205483898178512</v>
      </c>
      <c r="V83" s="385">
        <f t="shared" si="33"/>
        <v>33.950532722538803</v>
      </c>
      <c r="W83" s="404">
        <f t="shared" si="34"/>
        <v>18.265451413622802</v>
      </c>
      <c r="X83" s="157">
        <f t="shared" si="35"/>
        <v>46091</v>
      </c>
      <c r="Y83" s="387">
        <f t="shared" si="36"/>
        <v>17.122427240619952</v>
      </c>
      <c r="Z83" s="387">
        <f t="shared" si="37"/>
        <v>18.265937915883836</v>
      </c>
      <c r="AA83" s="388">
        <f t="shared" si="38"/>
        <v>21.982679025111562</v>
      </c>
      <c r="AB83" s="199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0.16907589402465301</v>
      </c>
      <c r="AD83" s="233">
        <f>(INDEX(Models!$BJ83:$BT83,,AH83)*(1-AF83)+INDEX(Models!$BJ83:$BT83,,AH83+1)*AF83-ERP_i)*AE83*Ramure*Pc/MaxiM</f>
        <v>4.2613142794299008E-2</v>
      </c>
      <c r="AE83" s="307">
        <f t="shared" si="40"/>
        <v>0.9</v>
      </c>
      <c r="AF83" s="179">
        <f t="shared" si="41"/>
        <v>0.51510726248912775</v>
      </c>
      <c r="AG83" s="839">
        <f t="shared" si="49"/>
        <v>2</v>
      </c>
      <c r="AH83" s="178">
        <f t="shared" si="42"/>
        <v>8</v>
      </c>
      <c r="AI83" s="227">
        <f t="shared" si="43"/>
        <v>2.5151072624891277</v>
      </c>
      <c r="AJ83" s="267" t="b">
        <f t="shared" si="44"/>
        <v>1</v>
      </c>
      <c r="AK83" s="267" t="b">
        <f t="shared" si="45"/>
        <v>0</v>
      </c>
      <c r="AL83" s="267"/>
      <c r="AM83" s="267"/>
      <c r="AN83" s="75"/>
    </row>
    <row r="84" spans="1:40" s="6" customFormat="1" ht="11.25" x14ac:dyDescent="0.2">
      <c r="A84" s="56">
        <f t="shared" si="46"/>
        <v>46092</v>
      </c>
      <c r="B84" s="413">
        <f>'2025'!Wh/'2025'!Env_an*'2026'!Env_an</f>
        <v>12.988928922344776</v>
      </c>
      <c r="C84" s="868"/>
      <c r="D84" s="395">
        <f t="shared" si="25"/>
        <v>13.856708943972169</v>
      </c>
      <c r="E84" s="387">
        <f t="shared" si="47"/>
        <v>15.856415829962529</v>
      </c>
      <c r="F84" s="387">
        <f t="shared" si="26"/>
        <v>15.859066160829263</v>
      </c>
      <c r="G84" s="110">
        <f t="shared" si="48"/>
        <v>0.37790194701123342</v>
      </c>
      <c r="H84" s="416" t="b">
        <f>Wh_hp&gt;='2025'!Maxi_hp</f>
        <v>0</v>
      </c>
      <c r="I84" s="392">
        <f>IF(H84,Wh_hp,'2025'!Maxi_hp)</f>
        <v>33.079373904008349</v>
      </c>
      <c r="J84" s="85">
        <f>IF(H84,An,'2025'!An_max)</f>
        <v>2019</v>
      </c>
      <c r="K84" s="199">
        <f t="shared" si="27"/>
        <v>46092</v>
      </c>
      <c r="L84" s="147">
        <f>IF(t&lt;Tvie,1-EXP((T0-t)*PertePVj)+'2025'!Pspv,1-EXP((T0-t)*PertePVj)+Pspv)</f>
        <v>6.262526153476633E-2</v>
      </c>
      <c r="M84" s="872"/>
      <c r="N84" s="872"/>
      <c r="O84" s="48">
        <f>IF(t&lt;Tnet,'2025'!Resal+('2025'!Salim-'2025'!Resal)*(1-EXP(('2025'!Tnet-t)/('2025'!Tau_j))),Resal+(Salim-Resal)*(1-EXP((Tnet-t)/(Tau_j))))*Salcycl</f>
        <v>0.12611342357783548</v>
      </c>
      <c r="P84" s="171">
        <f>(INDEX(Models!$BJ84:$BT84,,T84)*(1-R84)+INDEX(Models!$BJ84:$BT84,,T84+1)*R84-ERP_i)*Q84*Ramure*Pc/MaxiM</f>
        <v>1.4920578703413628E-3</v>
      </c>
      <c r="Q84" s="307">
        <f t="shared" si="28"/>
        <v>0.9</v>
      </c>
      <c r="R84" s="179">
        <f t="shared" si="29"/>
        <v>0.88009225579287964</v>
      </c>
      <c r="S84" s="839">
        <f t="shared" si="30"/>
        <v>-3</v>
      </c>
      <c r="T84" s="178">
        <f t="shared" si="31"/>
        <v>3</v>
      </c>
      <c r="U84" s="253">
        <f t="shared" si="32"/>
        <v>-2.1199077442071204</v>
      </c>
      <c r="V84" s="385">
        <f t="shared" si="33"/>
        <v>34.325614342301506</v>
      </c>
      <c r="W84" s="404">
        <f t="shared" si="34"/>
        <v>12.988928922344776</v>
      </c>
      <c r="X84" s="157">
        <f t="shared" si="35"/>
        <v>46092</v>
      </c>
      <c r="Y84" s="387">
        <f t="shared" si="36"/>
        <v>12.294869490935715</v>
      </c>
      <c r="Z84" s="387">
        <f t="shared" si="37"/>
        <v>13.116279953379307</v>
      </c>
      <c r="AA84" s="388">
        <f t="shared" si="38"/>
        <v>15.786324090078626</v>
      </c>
      <c r="AB84" s="199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0.16913653371511525</v>
      </c>
      <c r="AD84" s="233">
        <f>(INDEX(Models!$BJ84:$BT84,,AH84)*(1-AF84)+INDEX(Models!$BJ84:$BT84,,AH84+1)*AF84-ERP_i)*AE84*Ramure*Pc/MaxiM</f>
        <v>4.0951633824556237E-2</v>
      </c>
      <c r="AE84" s="307">
        <f t="shared" si="40"/>
        <v>0.9</v>
      </c>
      <c r="AF84" s="179">
        <f t="shared" si="41"/>
        <v>0.5157479080998586</v>
      </c>
      <c r="AG84" s="839">
        <f t="shared" si="49"/>
        <v>2</v>
      </c>
      <c r="AH84" s="178">
        <f t="shared" si="42"/>
        <v>8</v>
      </c>
      <c r="AI84" s="227">
        <f t="shared" si="43"/>
        <v>2.5157479080998586</v>
      </c>
      <c r="AJ84" s="267" t="b">
        <f t="shared" si="44"/>
        <v>1</v>
      </c>
      <c r="AK84" s="267" t="b">
        <f t="shared" si="45"/>
        <v>0</v>
      </c>
      <c r="AL84" s="267"/>
      <c r="AM84" s="267"/>
      <c r="AN84" s="75"/>
    </row>
    <row r="85" spans="1:40" s="6" customFormat="1" ht="11.25" x14ac:dyDescent="0.2">
      <c r="A85" s="56">
        <f t="shared" si="46"/>
        <v>46093</v>
      </c>
      <c r="B85" s="413">
        <f>'2025'!Wh/'2025'!Env_an*'2026'!Env_an</f>
        <v>12.310153066322917</v>
      </c>
      <c r="C85" s="868"/>
      <c r="D85" s="395">
        <f t="shared" si="25"/>
        <v>13.132890233837021</v>
      </c>
      <c r="E85" s="387">
        <f t="shared" si="47"/>
        <v>15.029978348156529</v>
      </c>
      <c r="F85" s="387">
        <f t="shared" si="26"/>
        <v>15.031734494365951</v>
      </c>
      <c r="G85" s="110">
        <f t="shared" si="48"/>
        <v>0.35425467794012522</v>
      </c>
      <c r="H85" s="416" t="b">
        <f>Wh_hp&gt;='2025'!Maxi_hp</f>
        <v>0</v>
      </c>
      <c r="I85" s="392">
        <f>IF(H85,Wh_hp,'2025'!Maxi_hp)</f>
        <v>39.985849154638863</v>
      </c>
      <c r="J85" s="85">
        <f>IF(H85,An,'2025'!An_max)</f>
        <v>2020</v>
      </c>
      <c r="K85" s="199">
        <f t="shared" si="27"/>
        <v>46093</v>
      </c>
      <c r="L85" s="147">
        <f>IF(t&lt;Tvie,1-EXP((T0-t)*PertePVj)+'2025'!Pspv,1-EXP((T0-t)*PertePVj)+Pspv)</f>
        <v>6.2647075614346792E-2</v>
      </c>
      <c r="M85" s="872"/>
      <c r="N85" s="872"/>
      <c r="O85" s="48">
        <f>IF(t&lt;Tnet,'2025'!Resal+('2025'!Salim-'2025'!Resal)*(1-EXP(('2025'!Tnet-t)/('2025'!Tau_j))),Resal+(Salim-Resal)*(1-EXP((Tnet-t)/(Tau_j))))*Salcycl</f>
        <v>0.12622028258292153</v>
      </c>
      <c r="P85" s="171">
        <f>(INDEX(Models!$BJ85:$BT85,,T85)*(1-R85)+INDEX(Models!$BJ85:$BT85,,T85+1)*R85-ERP_i)*Q85*Ramure*Pc/MaxiM</f>
        <v>1.4938917455100836E-3</v>
      </c>
      <c r="Q85" s="307">
        <f t="shared" si="28"/>
        <v>0.9</v>
      </c>
      <c r="R85" s="179">
        <f t="shared" si="29"/>
        <v>0.88075850529197686</v>
      </c>
      <c r="S85" s="839">
        <f t="shared" si="30"/>
        <v>-3</v>
      </c>
      <c r="T85" s="178">
        <f t="shared" si="31"/>
        <v>3</v>
      </c>
      <c r="U85" s="253">
        <f t="shared" si="32"/>
        <v>-2.1192414947080231</v>
      </c>
      <c r="V85" s="385">
        <f t="shared" si="33"/>
        <v>34.701586177920476</v>
      </c>
      <c r="W85" s="404">
        <f t="shared" si="34"/>
        <v>12.310153066322917</v>
      </c>
      <c r="X85" s="157">
        <f t="shared" si="35"/>
        <v>46093</v>
      </c>
      <c r="Y85" s="387">
        <f t="shared" si="36"/>
        <v>11.670053070269139</v>
      </c>
      <c r="Z85" s="387">
        <f t="shared" si="37"/>
        <v>12.450009773978955</v>
      </c>
      <c r="AA85" s="388">
        <f t="shared" si="38"/>
        <v>14.985524225622273</v>
      </c>
      <c r="AB85" s="199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0.16919758117691275</v>
      </c>
      <c r="AD85" s="233">
        <f>(INDEX(Models!$BJ85:$BT85,,AH85)*(1-AF85)+INDEX(Models!$BJ85:$BT85,,AH85+1)*AF85-ERP_i)*AE85*Ramure*Pc/MaxiM</f>
        <v>3.9309448532015547E-2</v>
      </c>
      <c r="AE85" s="307">
        <f t="shared" si="40"/>
        <v>0.9</v>
      </c>
      <c r="AF85" s="179">
        <f t="shared" si="41"/>
        <v>0.51641415759895581</v>
      </c>
      <c r="AG85" s="839">
        <f t="shared" si="49"/>
        <v>2</v>
      </c>
      <c r="AH85" s="178">
        <f t="shared" si="42"/>
        <v>8</v>
      </c>
      <c r="AI85" s="227">
        <f t="shared" si="43"/>
        <v>2.5164141575989558</v>
      </c>
      <c r="AJ85" s="267" t="b">
        <f t="shared" si="44"/>
        <v>1</v>
      </c>
      <c r="AK85" s="267" t="b">
        <f t="shared" si="45"/>
        <v>0</v>
      </c>
      <c r="AL85" s="267"/>
      <c r="AM85" s="267"/>
      <c r="AN85" s="75"/>
    </row>
    <row r="86" spans="1:40" s="6" customFormat="1" ht="11.25" x14ac:dyDescent="0.2">
      <c r="A86" s="56">
        <f t="shared" si="46"/>
        <v>46094</v>
      </c>
      <c r="B86" s="413">
        <f>'2025'!Wh/'2025'!Env_an*'2026'!Env_an</f>
        <v>8.1274401840935351</v>
      </c>
      <c r="C86" s="868"/>
      <c r="D86" s="395">
        <f t="shared" si="25"/>
        <v>8.6708315666999685</v>
      </c>
      <c r="E86" s="387">
        <f t="shared" si="47"/>
        <v>9.9245780598165343</v>
      </c>
      <c r="F86" s="387">
        <f t="shared" si="26"/>
        <v>9.9245780598165343</v>
      </c>
      <c r="G86" s="110">
        <f t="shared" si="48"/>
        <v>0.23135058570669528</v>
      </c>
      <c r="H86" s="416" t="b">
        <f>Wh_hp&gt;='2025'!Maxi_hp</f>
        <v>0</v>
      </c>
      <c r="I86" s="392">
        <f>IF(H86,Wh_hp,'2025'!Maxi_hp)</f>
        <v>40.053703033892276</v>
      </c>
      <c r="J86" s="85">
        <f>IF(H86,An,'2025'!An_max)</f>
        <v>2021</v>
      </c>
      <c r="K86" s="199">
        <f t="shared" si="27"/>
        <v>46094</v>
      </c>
      <c r="L86" s="147">
        <f>IF(t&lt;Tvie,1-EXP((T0-t)*PertePVj)+'2025'!Pspv,1-EXP((T0-t)*PertePVj)+Pspv)</f>
        <v>6.2668889186281662E-2</v>
      </c>
      <c r="M86" s="872"/>
      <c r="N86" s="872"/>
      <c r="O86" s="48">
        <f>IF(t&lt;Tnet,'2025'!Resal+('2025'!Salim-'2025'!Resal)*(1-EXP(('2025'!Tnet-t)/('2025'!Tau_j))),Resal+(Salim-Resal)*(1-EXP((Tnet-t)/(Tau_j))))*Salcycl</f>
        <v>0.12632743533882215</v>
      </c>
      <c r="P86" s="171">
        <f>(INDEX(Models!$BJ86:$BT86,,T86)*(1-R86)+INDEX(Models!$BJ86:$BT86,,T86+1)*R86-ERP_i)*Q86*Ramure*Pc/MaxiM</f>
        <v>1.4935955167485685E-3</v>
      </c>
      <c r="Q86" s="307">
        <f t="shared" si="28"/>
        <v>0.9</v>
      </c>
      <c r="R86" s="179">
        <f t="shared" si="29"/>
        <v>0.88145132783756086</v>
      </c>
      <c r="S86" s="839">
        <f t="shared" si="30"/>
        <v>-3</v>
      </c>
      <c r="T86" s="178">
        <f t="shared" si="31"/>
        <v>3</v>
      </c>
      <c r="U86" s="253">
        <f t="shared" si="32"/>
        <v>-2.1185486721624391</v>
      </c>
      <c r="V86" s="385">
        <f t="shared" si="33"/>
        <v>35.077936159454786</v>
      </c>
      <c r="W86" s="404">
        <f t="shared" si="34"/>
        <v>8.1274401840935351</v>
      </c>
      <c r="X86" s="157">
        <f t="shared" si="35"/>
        <v>46094</v>
      </c>
      <c r="Y86" s="387">
        <f t="shared" si="36"/>
        <v>7.7280633363909521</v>
      </c>
      <c r="Z86" s="387">
        <f t="shared" si="37"/>
        <v>8.2447528383881821</v>
      </c>
      <c r="AA86" s="388">
        <f t="shared" si="38"/>
        <v>9.9245780598165343</v>
      </c>
      <c r="AB86" s="199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0.16925910716847192</v>
      </c>
      <c r="AD86" s="233">
        <f>(INDEX(Models!$BJ86:$BT86,,AH86)*(1-AF86)+INDEX(Models!$BJ86:$BT86,,AH86+1)*AF86-ERP_i)*AE86*Ramure*Pc/MaxiM</f>
        <v>3.7714042479574501E-2</v>
      </c>
      <c r="AE86" s="307">
        <f t="shared" si="40"/>
        <v>0.9</v>
      </c>
      <c r="AF86" s="179">
        <f t="shared" si="41"/>
        <v>0.51710698014453982</v>
      </c>
      <c r="AG86" s="839">
        <f t="shared" si="49"/>
        <v>2</v>
      </c>
      <c r="AH86" s="178">
        <f t="shared" si="42"/>
        <v>8</v>
      </c>
      <c r="AI86" s="227">
        <f t="shared" si="43"/>
        <v>2.5171069801445398</v>
      </c>
      <c r="AJ86" s="267" t="b">
        <f t="shared" si="44"/>
        <v>1</v>
      </c>
      <c r="AK86" s="267" t="b">
        <f t="shared" si="45"/>
        <v>0</v>
      </c>
      <c r="AL86" s="267"/>
      <c r="AM86" s="267"/>
      <c r="AN86" s="75"/>
    </row>
    <row r="87" spans="1:40" s="6" customFormat="1" ht="11.25" x14ac:dyDescent="0.2">
      <c r="A87" s="56">
        <f t="shared" si="46"/>
        <v>46095</v>
      </c>
      <c r="B87" s="413">
        <f>'2025'!Wh/'2025'!Env_an*'2026'!Env_an</f>
        <v>11.193557402572974</v>
      </c>
      <c r="C87" s="868"/>
      <c r="D87" s="395">
        <f t="shared" si="25"/>
        <v>11.942223798963628</v>
      </c>
      <c r="E87" s="387">
        <f t="shared" si="47"/>
        <v>13.670674705628244</v>
      </c>
      <c r="F87" s="387">
        <f t="shared" si="26"/>
        <v>13.671132606920843</v>
      </c>
      <c r="G87" s="110">
        <f t="shared" si="48"/>
        <v>0.31525932569949783</v>
      </c>
      <c r="H87" s="416" t="b">
        <f>Wh_hp&gt;='2025'!Maxi_hp</f>
        <v>0</v>
      </c>
      <c r="I87" s="392">
        <f>IF(H87,Wh_hp,'2025'!Maxi_hp)</f>
        <v>37.84988818165337</v>
      </c>
      <c r="J87" s="85">
        <f>IF(H87,An,'2025'!An_max)</f>
        <v>2020</v>
      </c>
      <c r="K87" s="199">
        <f t="shared" si="27"/>
        <v>46095</v>
      </c>
      <c r="L87" s="147">
        <f>IF(t&lt;Tvie,1-EXP((T0-t)*PertePVj)+'2025'!Pspv,1-EXP((T0-t)*PertePVj)+Pspv)</f>
        <v>6.269070225058293E-2</v>
      </c>
      <c r="M87" s="872"/>
      <c r="N87" s="872"/>
      <c r="O87" s="48">
        <f>IF(t&lt;Tnet,'2025'!Resal+('2025'!Salim-'2025'!Resal)*(1-EXP(('2025'!Tnet-t)/('2025'!Tau_j))),Resal+(Salim-Resal)*(1-EXP((Tnet-t)/(Tau_j))))*Salcycl</f>
        <v>0.12643493784202239</v>
      </c>
      <c r="P87" s="171">
        <f>(INDEX(Models!$BJ87:$BT87,,T87)*(1-R87)+INDEX(Models!$BJ87:$BT87,,T87+1)*R87-ERP_i)*Q87*Ramure*Pc/MaxiM</f>
        <v>1.4914964813806256E-3</v>
      </c>
      <c r="Q87" s="307">
        <f t="shared" si="28"/>
        <v>0.9</v>
      </c>
      <c r="R87" s="179">
        <f t="shared" si="29"/>
        <v>0.88217172476381345</v>
      </c>
      <c r="S87" s="839">
        <f t="shared" si="30"/>
        <v>-3</v>
      </c>
      <c r="T87" s="178">
        <f t="shared" si="31"/>
        <v>3</v>
      </c>
      <c r="U87" s="253">
        <f t="shared" si="32"/>
        <v>-2.1178282752361866</v>
      </c>
      <c r="V87" s="385">
        <f t="shared" si="33"/>
        <v>35.454103052985104</v>
      </c>
      <c r="W87" s="404">
        <f t="shared" si="34"/>
        <v>11.193557402572974</v>
      </c>
      <c r="X87" s="157">
        <f t="shared" si="35"/>
        <v>46095</v>
      </c>
      <c r="Y87" s="387">
        <f t="shared" si="36"/>
        <v>10.635736410651678</v>
      </c>
      <c r="Z87" s="387">
        <f t="shared" si="37"/>
        <v>11.347093682084722</v>
      </c>
      <c r="AA87" s="388">
        <f t="shared" si="38"/>
        <v>13.66002537715913</v>
      </c>
      <c r="AB87" s="199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0.1693211858114006</v>
      </c>
      <c r="AD87" s="233">
        <f>(INDEX(Models!$BJ87:$BT87,,AH87)*(1-AF87)+INDEX(Models!$BJ87:$BT87,,AH87+1)*AF87-ERP_i)*AE87*Ramure*Pc/MaxiM</f>
        <v>3.6178963403794021E-2</v>
      </c>
      <c r="AE87" s="307">
        <f t="shared" si="40"/>
        <v>0.9</v>
      </c>
      <c r="AF87" s="179">
        <f t="shared" si="41"/>
        <v>0.51782737707079241</v>
      </c>
      <c r="AG87" s="839">
        <f t="shared" si="49"/>
        <v>2</v>
      </c>
      <c r="AH87" s="178">
        <f t="shared" si="42"/>
        <v>8</v>
      </c>
      <c r="AI87" s="227">
        <f t="shared" si="43"/>
        <v>2.5178273770707924</v>
      </c>
      <c r="AJ87" s="267" t="b">
        <f t="shared" si="44"/>
        <v>1</v>
      </c>
      <c r="AK87" s="267" t="b">
        <f t="shared" si="45"/>
        <v>0</v>
      </c>
      <c r="AL87" s="267"/>
      <c r="AM87" s="267"/>
      <c r="AN87" s="75"/>
    </row>
    <row r="88" spans="1:40" s="6" customFormat="1" ht="11.25" x14ac:dyDescent="0.2">
      <c r="A88" s="56">
        <f t="shared" si="46"/>
        <v>46096</v>
      </c>
      <c r="B88" s="413">
        <f>'2025'!Wh/'2025'!Env_an*'2026'!Env_an</f>
        <v>12.934405272027728</v>
      </c>
      <c r="C88" s="868"/>
      <c r="D88" s="395">
        <f t="shared" si="25"/>
        <v>13.799827135607153</v>
      </c>
      <c r="E88" s="387">
        <f t="shared" si="47"/>
        <v>15.799088841625304</v>
      </c>
      <c r="F88" s="387">
        <f t="shared" si="26"/>
        <v>15.801137248008638</v>
      </c>
      <c r="G88" s="110">
        <f t="shared" si="48"/>
        <v>0.36050810863819333</v>
      </c>
      <c r="H88" s="416" t="b">
        <f>Wh_hp&gt;='2025'!Maxi_hp</f>
        <v>0</v>
      </c>
      <c r="I88" s="392">
        <f>IF(H88,Wh_hp,'2025'!Maxi_hp)</f>
        <v>32.044042478479284</v>
      </c>
      <c r="J88" s="85">
        <f>IF(H88,An,'2025'!An_max)</f>
        <v>2020</v>
      </c>
      <c r="K88" s="199">
        <f t="shared" si="27"/>
        <v>46096</v>
      </c>
      <c r="L88" s="147">
        <f>IF(t&lt;Tvie,1-EXP((T0-t)*PertePVj)+'2025'!Pspv,1-EXP((T0-t)*PertePVj)+Pspv)</f>
        <v>6.2712514807262365E-2</v>
      </c>
      <c r="M88" s="872"/>
      <c r="N88" s="872"/>
      <c r="O88" s="48">
        <f>IF(t&lt;Tnet,'2025'!Resal+('2025'!Salim-'2025'!Resal)*(1-EXP(('2025'!Tnet-t)/('2025'!Tau_j))),Resal+(Salim-Resal)*(1-EXP((Tnet-t)/(Tau_j))))*Salcycl</f>
        <v>0.12654284851862899</v>
      </c>
      <c r="P88" s="171">
        <f>(INDEX(Models!$BJ88:$BT88,,T88)*(1-R88)+INDEX(Models!$BJ88:$BT88,,T88+1)*R88-ERP_i)*Q88*Ramure*Pc/MaxiM</f>
        <v>1.4876721166274037E-3</v>
      </c>
      <c r="Q88" s="307">
        <f t="shared" si="28"/>
        <v>0.9</v>
      </c>
      <c r="R88" s="179">
        <f t="shared" si="29"/>
        <v>0.88292073026809792</v>
      </c>
      <c r="S88" s="839">
        <f t="shared" si="30"/>
        <v>-3</v>
      </c>
      <c r="T88" s="178">
        <f t="shared" si="31"/>
        <v>3</v>
      </c>
      <c r="U88" s="253">
        <f t="shared" si="32"/>
        <v>-2.1170792697319021</v>
      </c>
      <c r="V88" s="385">
        <f t="shared" si="33"/>
        <v>35.829534215511821</v>
      </c>
      <c r="W88" s="404">
        <f t="shared" si="34"/>
        <v>12.934405272027728</v>
      </c>
      <c r="X88" s="157">
        <f t="shared" si="35"/>
        <v>46096</v>
      </c>
      <c r="Y88" s="387">
        <f t="shared" si="36"/>
        <v>12.264397257531348</v>
      </c>
      <c r="Z88" s="387">
        <f t="shared" si="37"/>
        <v>13.084989879075765</v>
      </c>
      <c r="AA88" s="388">
        <f t="shared" si="38"/>
        <v>15.753354395491133</v>
      </c>
      <c r="AB88" s="199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0.16938389433929693</v>
      </c>
      <c r="AD88" s="233">
        <f>(INDEX(Models!$BJ88:$BT88,,AH88)*(1-AF88)+INDEX(Models!$BJ88:$BT88,,AH88+1)*AF88-ERP_i)*AE88*Ramure*Pc/MaxiM</f>
        <v>3.4702692747657561E-2</v>
      </c>
      <c r="AE88" s="307">
        <f t="shared" si="40"/>
        <v>0.9</v>
      </c>
      <c r="AF88" s="179">
        <f t="shared" si="41"/>
        <v>0.51857638257507688</v>
      </c>
      <c r="AG88" s="839">
        <f t="shared" si="49"/>
        <v>2</v>
      </c>
      <c r="AH88" s="178">
        <f t="shared" si="42"/>
        <v>8</v>
      </c>
      <c r="AI88" s="227">
        <f t="shared" si="43"/>
        <v>2.5185763825750769</v>
      </c>
      <c r="AJ88" s="267" t="b">
        <f t="shared" si="44"/>
        <v>1</v>
      </c>
      <c r="AK88" s="267" t="b">
        <f t="shared" si="45"/>
        <v>0</v>
      </c>
      <c r="AL88" s="267"/>
      <c r="AM88" s="267"/>
      <c r="AN88" s="75"/>
    </row>
    <row r="89" spans="1:40" s="6" customFormat="1" ht="11.25" x14ac:dyDescent="0.2">
      <c r="A89" s="56">
        <f t="shared" si="46"/>
        <v>46097</v>
      </c>
      <c r="B89" s="413">
        <f>'2025'!Wh/'2025'!Env_an*'2026'!Env_an</f>
        <v>11.350886212610476</v>
      </c>
      <c r="C89" s="868"/>
      <c r="D89" s="395">
        <f t="shared" si="25"/>
        <v>12.110638997946701</v>
      </c>
      <c r="E89" s="387">
        <f t="shared" si="47"/>
        <v>13.86689875416697</v>
      </c>
      <c r="F89" s="387">
        <f t="shared" si="26"/>
        <v>13.867295991867081</v>
      </c>
      <c r="G89" s="110">
        <f t="shared" si="48"/>
        <v>0.31307280226216705</v>
      </c>
      <c r="H89" s="416" t="b">
        <f>Wh_hp&gt;='2025'!Maxi_hp</f>
        <v>0</v>
      </c>
      <c r="I89" s="392">
        <f>IF(H89,Wh_hp,'2025'!Maxi_hp)</f>
        <v>45.869563285625219</v>
      </c>
      <c r="J89" s="85">
        <f>IF(H89,An,'2025'!An_max)</f>
        <v>2020</v>
      </c>
      <c r="K89" s="199">
        <f t="shared" si="27"/>
        <v>46097</v>
      </c>
      <c r="L89" s="147">
        <f>IF(t&lt;Tvie,1-EXP((T0-t)*PertePVj)+'2025'!Pspv,1-EXP((T0-t)*PertePVj)+Pspv)</f>
        <v>6.2734326856331624E-2</v>
      </c>
      <c r="M89" s="872"/>
      <c r="N89" s="872"/>
      <c r="O89" s="48">
        <f>IF(t&lt;Tnet,'2025'!Resal+('2025'!Salim-'2025'!Resal)*(1-EXP(('2025'!Tnet-t)/('2025'!Tau_j))),Resal+(Salim-Resal)*(1-EXP((Tnet-t)/(Tau_j))))*Salcycl</f>
        <v>0.1266512280326931</v>
      </c>
      <c r="P89" s="171">
        <f>(INDEX(Models!$BJ89:$BT89,,T89)*(1-R89)+INDEX(Models!$BJ89:$BT89,,T89+1)*R89-ERP_i)*Q89*Ramure*Pc/MaxiM</f>
        <v>1.4821959698289211E-3</v>
      </c>
      <c r="Q89" s="307">
        <f t="shared" si="28"/>
        <v>0.9</v>
      </c>
      <c r="R89" s="179">
        <f t="shared" si="29"/>
        <v>0.88369941207797842</v>
      </c>
      <c r="S89" s="839">
        <f t="shared" si="30"/>
        <v>-3</v>
      </c>
      <c r="T89" s="178">
        <f t="shared" si="31"/>
        <v>3</v>
      </c>
      <c r="U89" s="253">
        <f t="shared" si="32"/>
        <v>-2.1163005879220216</v>
      </c>
      <c r="V89" s="385">
        <f t="shared" si="33"/>
        <v>36.203677144039716</v>
      </c>
      <c r="W89" s="404">
        <f t="shared" si="34"/>
        <v>11.350886212610476</v>
      </c>
      <c r="X89" s="157">
        <f t="shared" si="35"/>
        <v>46097</v>
      </c>
      <c r="Y89" s="387">
        <f t="shared" si="36"/>
        <v>10.788032146265699</v>
      </c>
      <c r="Z89" s="387">
        <f t="shared" si="37"/>
        <v>11.510111226075022</v>
      </c>
      <c r="AA89" s="388">
        <f t="shared" si="38"/>
        <v>13.858375758623506</v>
      </c>
      <c r="AB89" s="199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0.16944731283442457</v>
      </c>
      <c r="AD89" s="233">
        <f>(INDEX(Models!$BJ89:$BT89,,AH89)*(1-AF89)+INDEX(Models!$BJ89:$BT89,,AH89+1)*AF89-ERP_i)*AE89*Ramure*Pc/MaxiM</f>
        <v>3.3283683194856979E-2</v>
      </c>
      <c r="AE89" s="307">
        <f t="shared" si="40"/>
        <v>0.9</v>
      </c>
      <c r="AF89" s="179">
        <f t="shared" si="41"/>
        <v>0.51935506438495738</v>
      </c>
      <c r="AG89" s="839">
        <f t="shared" si="49"/>
        <v>2</v>
      </c>
      <c r="AH89" s="178">
        <f t="shared" si="42"/>
        <v>8</v>
      </c>
      <c r="AI89" s="227">
        <f t="shared" si="43"/>
        <v>2.5193550643849574</v>
      </c>
      <c r="AJ89" s="267" t="b">
        <f t="shared" si="44"/>
        <v>1</v>
      </c>
      <c r="AK89" s="267" t="b">
        <f t="shared" si="45"/>
        <v>0</v>
      </c>
      <c r="AL89" s="267"/>
      <c r="AM89" s="267"/>
      <c r="AN89" s="75"/>
    </row>
    <row r="90" spans="1:40" s="6" customFormat="1" ht="11.25" x14ac:dyDescent="0.2">
      <c r="A90" s="56">
        <f t="shared" si="46"/>
        <v>46098</v>
      </c>
      <c r="B90" s="413">
        <f>'2025'!Wh/'2025'!Env_an*'2026'!Env_an</f>
        <v>9.9539155030205304</v>
      </c>
      <c r="C90" s="868"/>
      <c r="D90" s="395">
        <f t="shared" si="25"/>
        <v>10.620411518091498</v>
      </c>
      <c r="E90" s="387">
        <f t="shared" si="47"/>
        <v>12.162078248447534</v>
      </c>
      <c r="F90" s="387">
        <f t="shared" si="26"/>
        <v>12.162078248447534</v>
      </c>
      <c r="G90" s="110">
        <f t="shared" si="48"/>
        <v>0.27174206263825501</v>
      </c>
      <c r="H90" s="416" t="b">
        <f>Wh_hp&gt;='2025'!Maxi_hp</f>
        <v>0</v>
      </c>
      <c r="I90" s="392">
        <f>IF(H90,Wh_hp,'2025'!Maxi_hp)</f>
        <v>24.974741617292128</v>
      </c>
      <c r="J90" s="85">
        <f>IF(H90,An,'2025'!An_max)</f>
        <v>2021</v>
      </c>
      <c r="K90" s="199">
        <f t="shared" si="27"/>
        <v>46098</v>
      </c>
      <c r="L90" s="147">
        <f>IF(t&lt;Tvie,1-EXP((T0-t)*PertePVj)+'2025'!Pspv,1-EXP((T0-t)*PertePVj)+Pspv)</f>
        <v>6.2756138397802697E-2</v>
      </c>
      <c r="M90" s="872"/>
      <c r="N90" s="872"/>
      <c r="O90" s="48">
        <f>IF(t&lt;Tnet,'2025'!Resal+('2025'!Salim-'2025'!Resal)*(1-EXP(('2025'!Tnet-t)/('2025'!Tau_j))),Resal+(Salim-Resal)*(1-EXP((Tnet-t)/(Tau_j))))*Salcycl</f>
        <v>0.12676013908665876</v>
      </c>
      <c r="P90" s="171">
        <f>(INDEX(Models!$BJ90:$BT90,,T90)*(1-R90)+INDEX(Models!$BJ90:$BT90,,T90+1)*R90-ERP_i)*Q90*Ramure*Pc/MaxiM</f>
        <v>1.4751376098207788E-3</v>
      </c>
      <c r="Q90" s="307">
        <f t="shared" si="28"/>
        <v>0.9</v>
      </c>
      <c r="R90" s="179">
        <f t="shared" si="29"/>
        <v>0.88450887209404838</v>
      </c>
      <c r="S90" s="839">
        <f t="shared" si="30"/>
        <v>-3</v>
      </c>
      <c r="T90" s="178">
        <f t="shared" si="31"/>
        <v>3</v>
      </c>
      <c r="U90" s="253">
        <f t="shared" si="32"/>
        <v>-2.1154911279059516</v>
      </c>
      <c r="V90" s="385">
        <f t="shared" si="33"/>
        <v>36.575979483633432</v>
      </c>
      <c r="W90" s="404">
        <f t="shared" si="34"/>
        <v>9.9539155030205304</v>
      </c>
      <c r="X90" s="157">
        <f t="shared" si="35"/>
        <v>46098</v>
      </c>
      <c r="Y90" s="387">
        <f t="shared" si="36"/>
        <v>9.4665995985815812</v>
      </c>
      <c r="Z90" s="387">
        <f t="shared" si="37"/>
        <v>10.100465830097454</v>
      </c>
      <c r="AA90" s="388">
        <f t="shared" si="38"/>
        <v>12.162078248447534</v>
      </c>
      <c r="AB90" s="199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0.16951152395465316</v>
      </c>
      <c r="AD90" s="233">
        <f>(INDEX(Models!$BJ90:$BT90,,AH90)*(1-AF90)+INDEX(Models!$BJ90:$BT90,,AH90+1)*AF90-ERP_i)*AE90*Ramure*Pc/MaxiM</f>
        <v>3.1920367841700208E-2</v>
      </c>
      <c r="AE90" s="307">
        <f t="shared" si="40"/>
        <v>0.9</v>
      </c>
      <c r="AF90" s="179">
        <f t="shared" si="41"/>
        <v>0.52016452440102734</v>
      </c>
      <c r="AG90" s="839">
        <f t="shared" si="49"/>
        <v>2</v>
      </c>
      <c r="AH90" s="178">
        <f t="shared" si="42"/>
        <v>8</v>
      </c>
      <c r="AI90" s="227">
        <f t="shared" si="43"/>
        <v>2.5201645244010273</v>
      </c>
      <c r="AJ90" s="267" t="b">
        <f t="shared" si="44"/>
        <v>1</v>
      </c>
      <c r="AK90" s="267" t="b">
        <f t="shared" si="45"/>
        <v>0</v>
      </c>
      <c r="AL90" s="267"/>
      <c r="AM90" s="267"/>
      <c r="AN90" s="75"/>
    </row>
    <row r="91" spans="1:40" s="6" customFormat="1" ht="11.25" x14ac:dyDescent="0.2">
      <c r="A91" s="56">
        <f t="shared" si="46"/>
        <v>46099</v>
      </c>
      <c r="B91" s="413">
        <f>'2025'!Wh/'2025'!Env_an*'2026'!Env_an</f>
        <v>12.491342109356422</v>
      </c>
      <c r="C91" s="868"/>
      <c r="D91" s="395">
        <f t="shared" si="25"/>
        <v>13.328049742088252</v>
      </c>
      <c r="E91" s="387">
        <f t="shared" si="47"/>
        <v>15.264673464073267</v>
      </c>
      <c r="F91" s="387">
        <f t="shared" si="26"/>
        <v>15.265891977436171</v>
      </c>
      <c r="G91" s="110">
        <f t="shared" si="48"/>
        <v>0.33762940254474832</v>
      </c>
      <c r="H91" s="416" t="b">
        <f>Wh_hp&gt;='2025'!Maxi_hp</f>
        <v>0</v>
      </c>
      <c r="I91" s="392">
        <f>IF(H91,Wh_hp,'2025'!Maxi_hp)</f>
        <v>30.155899568656967</v>
      </c>
      <c r="J91" s="85">
        <f>IF(H91,An,'2025'!An_max)</f>
        <v>2019</v>
      </c>
      <c r="K91" s="199">
        <f t="shared" si="27"/>
        <v>46099</v>
      </c>
      <c r="L91" s="147">
        <f>IF(t&lt;Tvie,1-EXP((T0-t)*PertePVj)+'2025'!Pspv,1-EXP((T0-t)*PertePVj)+Pspv)</f>
        <v>6.2777949431687352E-2</v>
      </c>
      <c r="M91" s="872"/>
      <c r="N91" s="872"/>
      <c r="O91" s="48">
        <f>IF(t&lt;Tnet,'2025'!Resal+('2025'!Salim-'2025'!Resal)*(1-EXP(('2025'!Tnet-t)/('2025'!Tau_j))),Resal+(Salim-Resal)*(1-EXP((Tnet-t)/(Tau_j))))*Salcycl</f>
        <v>0.12686964621569052</v>
      </c>
      <c r="P91" s="171">
        <f>(INDEX(Models!$BJ91:$BT91,,T91)*(1-R91)+INDEX(Models!$BJ91:$BT91,,T91+1)*R91-ERP_i)*Q91*Ramure*Pc/MaxiM</f>
        <v>1.4665625992616371E-3</v>
      </c>
      <c r="Q91" s="307">
        <f t="shared" si="28"/>
        <v>0.9</v>
      </c>
      <c r="R91" s="179">
        <f t="shared" si="29"/>
        <v>0.88535024700412412</v>
      </c>
      <c r="S91" s="839">
        <f t="shared" si="30"/>
        <v>-3</v>
      </c>
      <c r="T91" s="178">
        <f t="shared" si="31"/>
        <v>3</v>
      </c>
      <c r="U91" s="253">
        <f t="shared" si="32"/>
        <v>-2.1146497529958759</v>
      </c>
      <c r="V91" s="385">
        <f t="shared" si="33"/>
        <v>36.945889037083425</v>
      </c>
      <c r="W91" s="404">
        <f t="shared" si="34"/>
        <v>12.491342109356422</v>
      </c>
      <c r="X91" s="157">
        <f t="shared" si="35"/>
        <v>46099</v>
      </c>
      <c r="Y91" s="387">
        <f t="shared" si="36"/>
        <v>11.861513186210393</v>
      </c>
      <c r="Z91" s="387">
        <f t="shared" si="37"/>
        <v>12.656032984945041</v>
      </c>
      <c r="AA91" s="388">
        <f t="shared" si="38"/>
        <v>15.24045827439728</v>
      </c>
      <c r="AB91" s="199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0.16957661265303689</v>
      </c>
      <c r="AD91" s="233">
        <f>(INDEX(Models!$BJ91:$BT91,,AH91)*(1-AF91)+INDEX(Models!$BJ91:$BT91,,AH91+1)*AF91-ERP_i)*AE91*Ramure*Pc/MaxiM</f>
        <v>3.0611168308142037E-2</v>
      </c>
      <c r="AE91" s="307">
        <f t="shared" si="40"/>
        <v>0.9</v>
      </c>
      <c r="AF91" s="179">
        <f t="shared" si="41"/>
        <v>0.52100589931110308</v>
      </c>
      <c r="AG91" s="839">
        <f t="shared" si="49"/>
        <v>2</v>
      </c>
      <c r="AH91" s="178">
        <f t="shared" si="42"/>
        <v>8</v>
      </c>
      <c r="AI91" s="227">
        <f t="shared" si="43"/>
        <v>2.5210058993111031</v>
      </c>
      <c r="AJ91" s="267" t="b">
        <f t="shared" si="44"/>
        <v>1</v>
      </c>
      <c r="AK91" s="267" t="b">
        <f t="shared" si="45"/>
        <v>0</v>
      </c>
      <c r="AL91" s="267"/>
      <c r="AM91" s="267"/>
      <c r="AN91" s="75"/>
    </row>
    <row r="92" spans="1:40" s="6" customFormat="1" ht="11.25" x14ac:dyDescent="0.2">
      <c r="A92" s="56">
        <f t="shared" si="46"/>
        <v>46100</v>
      </c>
      <c r="B92" s="413">
        <f>'2025'!Wh/'2025'!Env_an*'2026'!Env_an</f>
        <v>25.154821725366851</v>
      </c>
      <c r="C92" s="868"/>
      <c r="D92" s="395">
        <f t="shared" si="25"/>
        <v>26.840391893454363</v>
      </c>
      <c r="E92" s="387">
        <f t="shared" si="47"/>
        <v>30.744297064806208</v>
      </c>
      <c r="F92" s="387">
        <f t="shared" si="26"/>
        <v>30.768251279586373</v>
      </c>
      <c r="G92" s="110">
        <f t="shared" si="48"/>
        <v>0.67370225090194946</v>
      </c>
      <c r="H92" s="416" t="b">
        <f>Wh_hp&gt;='2025'!Maxi_hp</f>
        <v>0</v>
      </c>
      <c r="I92" s="392">
        <f>IF(H92,Wh_hp,'2025'!Maxi_hp)</f>
        <v>42.600345506877346</v>
      </c>
      <c r="J92" s="85">
        <f>IF(H92,An,'2025'!An_max)</f>
        <v>2020</v>
      </c>
      <c r="K92" s="199">
        <f t="shared" si="27"/>
        <v>46100</v>
      </c>
      <c r="L92" s="147">
        <f>IF(t&lt;Tvie,1-EXP((T0-t)*PertePVj)+'2025'!Pspv,1-EXP((T0-t)*PertePVj)+Pspv)</f>
        <v>6.2799759957997359E-2</v>
      </c>
      <c r="M92" s="872"/>
      <c r="N92" s="872"/>
      <c r="O92" s="48">
        <f>IF(t&lt;Tnet,'2025'!Resal+('2025'!Salim-'2025'!Resal)*(1-EXP(('2025'!Tnet-t)/('2025'!Tau_j))),Resal+(Salim-Resal)*(1-EXP((Tnet-t)/(Tau_j))))*Salcycl</f>
        <v>0.12697981557759361</v>
      </c>
      <c r="P92" s="171">
        <f>(INDEX(Models!$BJ92:$BT92,,T92)*(1-R92)+INDEX(Models!$BJ92:$BT92,,T92+1)*R92-ERP_i)*Q92*Ramure*Pc/MaxiM</f>
        <v>1.4565324843682317E-3</v>
      </c>
      <c r="Q92" s="307">
        <f t="shared" si="28"/>
        <v>0.9</v>
      </c>
      <c r="R92" s="179">
        <f t="shared" si="29"/>
        <v>0.88622470886401317</v>
      </c>
      <c r="S92" s="839">
        <f t="shared" si="30"/>
        <v>-3</v>
      </c>
      <c r="T92" s="178">
        <f t="shared" si="31"/>
        <v>3</v>
      </c>
      <c r="U92" s="253">
        <f t="shared" si="32"/>
        <v>-2.1137752911359868</v>
      </c>
      <c r="V92" s="385">
        <f t="shared" si="33"/>
        <v>37.312853774868707</v>
      </c>
      <c r="W92" s="404">
        <f t="shared" si="34"/>
        <v>25.154821725366851</v>
      </c>
      <c r="X92" s="157">
        <f t="shared" si="35"/>
        <v>46100</v>
      </c>
      <c r="Y92" s="387">
        <f t="shared" si="36"/>
        <v>23.568500767227338</v>
      </c>
      <c r="Z92" s="387">
        <f t="shared" si="37"/>
        <v>25.147775000752311</v>
      </c>
      <c r="AA92" s="388">
        <f t="shared" si="38"/>
        <v>30.285485498574197</v>
      </c>
      <c r="AB92" s="199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0.16964266589233845</v>
      </c>
      <c r="AD92" s="233">
        <f>(INDEX(Models!$BJ92:$BT92,,AH92)*(1-AF92)+INDEX(Models!$BJ92:$BT92,,AH92+1)*AF92-ERP_i)*AE92*Ramure*Pc/MaxiM</f>
        <v>2.9354501862771856E-2</v>
      </c>
      <c r="AE92" s="307">
        <f t="shared" si="40"/>
        <v>0.9</v>
      </c>
      <c r="AF92" s="179">
        <f t="shared" si="41"/>
        <v>0.52188036117099212</v>
      </c>
      <c r="AG92" s="839">
        <f t="shared" si="49"/>
        <v>2</v>
      </c>
      <c r="AH92" s="178">
        <f t="shared" si="42"/>
        <v>8</v>
      </c>
      <c r="AI92" s="227">
        <f t="shared" si="43"/>
        <v>2.5218803611709921</v>
      </c>
      <c r="AJ92" s="267" t="b">
        <f t="shared" si="44"/>
        <v>1</v>
      </c>
      <c r="AK92" s="267" t="b">
        <f t="shared" si="45"/>
        <v>0</v>
      </c>
      <c r="AL92" s="267"/>
      <c r="AM92" s="267"/>
      <c r="AN92" s="75"/>
    </row>
    <row r="93" spans="1:40" s="6" customFormat="1" ht="11.25" x14ac:dyDescent="0.2">
      <c r="A93" s="56">
        <f t="shared" si="46"/>
        <v>46101</v>
      </c>
      <c r="B93" s="413">
        <f>'2025'!Wh/'2025'!Env_an*'2026'!Env_an</f>
        <v>28.370358780024656</v>
      </c>
      <c r="C93" s="868"/>
      <c r="D93" s="395">
        <f t="shared" si="25"/>
        <v>30.272099603616216</v>
      </c>
      <c r="E93" s="387">
        <f t="shared" si="47"/>
        <v>34.679548167022723</v>
      </c>
      <c r="F93" s="387">
        <f t="shared" si="26"/>
        <v>34.712003840954715</v>
      </c>
      <c r="G93" s="110">
        <f t="shared" si="48"/>
        <v>0.75255881237426048</v>
      </c>
      <c r="H93" s="416" t="b">
        <f>Wh_hp&gt;='2025'!Maxi_hp</f>
        <v>0</v>
      </c>
      <c r="I93" s="392">
        <f>IF(H93,Wh_hp,'2025'!Maxi_hp)</f>
        <v>46.71339553405334</v>
      </c>
      <c r="J93" s="85">
        <f>IF(H93,An,'2025'!An_max)</f>
        <v>2019</v>
      </c>
      <c r="K93" s="199">
        <f t="shared" si="27"/>
        <v>46101</v>
      </c>
      <c r="L93" s="147">
        <f>IF(t&lt;Tvie,1-EXP((T0-t)*PertePVj)+'2025'!Pspv,1-EXP((T0-t)*PertePVj)+Pspv)</f>
        <v>6.2821569976744596E-2</v>
      </c>
      <c r="M93" s="872"/>
      <c r="N93" s="872"/>
      <c r="O93" s="48">
        <f>IF(t&lt;Tnet,'2025'!Resal+('2025'!Salim-'2025'!Resal)*(1-EXP(('2025'!Tnet-t)/('2025'!Tau_j))),Resal+(Salim-Resal)*(1-EXP((Tnet-t)/(Tau_j))))*Salcycl</f>
        <v>0.12709071473998068</v>
      </c>
      <c r="P93" s="171">
        <f>(INDEX(Models!$BJ93:$BT93,,T93)*(1-R93)+INDEX(Models!$BJ93:$BT93,,T93+1)*R93-ERP_i)*Q93*Ramure*Pc/MaxiM</f>
        <v>1.4449914375430056E-3</v>
      </c>
      <c r="Q93" s="307">
        <f t="shared" si="28"/>
        <v>0.9</v>
      </c>
      <c r="R93" s="179">
        <f t="shared" si="29"/>
        <v>0.88713346563968321</v>
      </c>
      <c r="S93" s="839">
        <f t="shared" si="30"/>
        <v>-3</v>
      </c>
      <c r="T93" s="178">
        <f t="shared" si="31"/>
        <v>3</v>
      </c>
      <c r="U93" s="253">
        <f t="shared" si="32"/>
        <v>-2.1128665343603168</v>
      </c>
      <c r="V93" s="385">
        <f t="shared" si="33"/>
        <v>37.67928312348522</v>
      </c>
      <c r="W93" s="404">
        <f t="shared" si="34"/>
        <v>28.370358780024656</v>
      </c>
      <c r="X93" s="157">
        <f t="shared" si="35"/>
        <v>46101</v>
      </c>
      <c r="Y93" s="387">
        <f t="shared" si="36"/>
        <v>26.518524872546685</v>
      </c>
      <c r="Z93" s="387">
        <f t="shared" si="37"/>
        <v>28.296132329772728</v>
      </c>
      <c r="AA93" s="388">
        <f t="shared" si="38"/>
        <v>34.079808948359293</v>
      </c>
      <c r="AB93" s="199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0.16970977235672</v>
      </c>
      <c r="AD93" s="233">
        <f>(INDEX(Models!$BJ93:$BT93,,AH93)*(1-AF93)+INDEX(Models!$BJ93:$BT93,,AH93+1)*AF93-ERP_i)*AE93*Ramure*Pc/MaxiM</f>
        <v>2.8146579503262371E-2</v>
      </c>
      <c r="AE93" s="307">
        <f t="shared" si="40"/>
        <v>0.9</v>
      </c>
      <c r="AF93" s="179">
        <f t="shared" si="41"/>
        <v>0.52278911794666216</v>
      </c>
      <c r="AG93" s="839">
        <f t="shared" si="49"/>
        <v>2</v>
      </c>
      <c r="AH93" s="178">
        <f t="shared" si="42"/>
        <v>8</v>
      </c>
      <c r="AI93" s="227">
        <f t="shared" si="43"/>
        <v>2.5227891179466622</v>
      </c>
      <c r="AJ93" s="267" t="b">
        <f t="shared" si="44"/>
        <v>1</v>
      </c>
      <c r="AK93" s="267" t="b">
        <f t="shared" si="45"/>
        <v>0</v>
      </c>
      <c r="AL93" s="267"/>
      <c r="AM93" s="267"/>
      <c r="AN93" s="75"/>
    </row>
    <row r="94" spans="1:40" s="6" customFormat="1" ht="11.25" x14ac:dyDescent="0.2">
      <c r="A94" s="56">
        <f t="shared" si="46"/>
        <v>46102</v>
      </c>
      <c r="B94" s="413">
        <f>'2025'!Wh/'2025'!Env_an*'2026'!Env_an</f>
        <v>38.029257972883464</v>
      </c>
      <c r="C94" s="868"/>
      <c r="D94" s="395">
        <f t="shared" si="25"/>
        <v>40.5794049153752</v>
      </c>
      <c r="E94" s="387">
        <f t="shared" si="47"/>
        <v>46.493488862681438</v>
      </c>
      <c r="F94" s="387">
        <f t="shared" si="26"/>
        <v>46.560078751959743</v>
      </c>
      <c r="G94" s="110">
        <f t="shared" si="48"/>
        <v>0.99951982136523299</v>
      </c>
      <c r="H94" s="416" t="b">
        <f>Wh_hp&gt;='2025'!Maxi_hp</f>
        <v>0</v>
      </c>
      <c r="I94" s="392">
        <f>IF(H94,Wh_hp,'2025'!Maxi_hp)</f>
        <v>47.074007170656884</v>
      </c>
      <c r="J94" s="85">
        <f>IF(H94,An,'2025'!An_max)</f>
        <v>2020</v>
      </c>
      <c r="K94" s="199">
        <f t="shared" si="27"/>
        <v>46102</v>
      </c>
      <c r="L94" s="147">
        <f>IF(t&lt;Tvie,1-EXP((T0-t)*PertePVj)+'2025'!Pspv,1-EXP((T0-t)*PertePVj)+Pspv)</f>
        <v>6.2843379487940831E-2</v>
      </c>
      <c r="M94" s="872"/>
      <c r="N94" s="872"/>
      <c r="O94" s="48">
        <f>IF(t&lt;Tnet,'2025'!Resal+('2025'!Salim-'2025'!Resal)*(1-EXP(('2025'!Tnet-t)/('2025'!Tau_j))),Resal+(Salim-Resal)*(1-EXP((Tnet-t)/(Tau_j))))*Salcycl</f>
        <v>0.12720241246625932</v>
      </c>
      <c r="P94" s="171">
        <f>(INDEX(Models!$BJ94:$BT94,,T94)*(1-R94)+INDEX(Models!$BJ94:$BT94,,T94+1)*R94-ERP_i)*Q94*Ramure*Pc/MaxiM</f>
        <v>1.4311725330858819E-3</v>
      </c>
      <c r="Q94" s="307">
        <f t="shared" si="28"/>
        <v>0.9</v>
      </c>
      <c r="R94" s="179">
        <f t="shared" si="29"/>
        <v>0.88807776170526376</v>
      </c>
      <c r="S94" s="839">
        <f t="shared" si="30"/>
        <v>-3</v>
      </c>
      <c r="T94" s="178">
        <f t="shared" si="31"/>
        <v>3</v>
      </c>
      <c r="U94" s="253">
        <f t="shared" si="32"/>
        <v>-2.1119222382947362</v>
      </c>
      <c r="V94" s="385">
        <f t="shared" si="33"/>
        <v>38.047490252825618</v>
      </c>
      <c r="W94" s="404">
        <f t="shared" si="34"/>
        <v>38.029257972883464</v>
      </c>
      <c r="X94" s="157">
        <f t="shared" si="35"/>
        <v>46102</v>
      </c>
      <c r="Y94" s="387">
        <f t="shared" si="36"/>
        <v>35.248097118082505</v>
      </c>
      <c r="Z94" s="387">
        <f t="shared" si="37"/>
        <v>37.611746368310421</v>
      </c>
      <c r="AA94" s="388">
        <f t="shared" si="38"/>
        <v>45.303241027523754</v>
      </c>
      <c r="AB94" s="199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0.16977802216270593</v>
      </c>
      <c r="AD94" s="233">
        <f>(INDEX(Models!$BJ94:$BT94,,AH94)*(1-AF94)+INDEX(Models!$BJ94:$BT94,,AH94+1)*AF94-ERP_i)*AE94*Ramure*Pc/MaxiM</f>
        <v>2.7012383550319215E-2</v>
      </c>
      <c r="AE94" s="307">
        <f t="shared" si="40"/>
        <v>0.9</v>
      </c>
      <c r="AF94" s="179">
        <f t="shared" si="41"/>
        <v>0.52373341401224272</v>
      </c>
      <c r="AG94" s="839">
        <f t="shared" si="49"/>
        <v>2</v>
      </c>
      <c r="AH94" s="178">
        <f t="shared" si="42"/>
        <v>8</v>
      </c>
      <c r="AI94" s="227">
        <f t="shared" si="43"/>
        <v>2.5237334140122427</v>
      </c>
      <c r="AJ94" s="267" t="b">
        <f t="shared" si="44"/>
        <v>1</v>
      </c>
      <c r="AK94" s="267" t="b">
        <f t="shared" si="45"/>
        <v>0</v>
      </c>
      <c r="AL94" s="267"/>
      <c r="AM94" s="267"/>
      <c r="AN94" s="75"/>
    </row>
    <row r="95" spans="1:40" s="6" customFormat="1" ht="11.25" x14ac:dyDescent="0.2">
      <c r="A95" s="56">
        <f t="shared" si="46"/>
        <v>46103</v>
      </c>
      <c r="B95" s="413">
        <f>'2025'!Wh/'2025'!Env_an*'2026'!Env_an</f>
        <v>35.172598833152108</v>
      </c>
      <c r="C95" s="868"/>
      <c r="D95" s="395">
        <f t="shared" si="25"/>
        <v>37.532058783024688</v>
      </c>
      <c r="E95" s="387">
        <f t="shared" si="47"/>
        <v>43.007566141785958</v>
      </c>
      <c r="F95" s="387">
        <f t="shared" si="26"/>
        <v>43.061179714443618</v>
      </c>
      <c r="G95" s="110">
        <f t="shared" si="48"/>
        <v>0.91539808032864556</v>
      </c>
      <c r="H95" s="416" t="b">
        <f>Wh_hp&gt;='2025'!Maxi_hp</f>
        <v>0</v>
      </c>
      <c r="I95" s="392">
        <f>IF(H95,Wh_hp,'2025'!Maxi_hp)</f>
        <v>46.536327342743263</v>
      </c>
      <c r="J95" s="85">
        <f>IF(H95,An,'2025'!An_max)</f>
        <v>2020</v>
      </c>
      <c r="K95" s="199">
        <f t="shared" si="27"/>
        <v>46103</v>
      </c>
      <c r="L95" s="147">
        <f>IF(t&lt;Tvie,1-EXP((T0-t)*PertePVj)+'2025'!Pspv,1-EXP((T0-t)*PertePVj)+Pspv)</f>
        <v>6.2865188491597834E-2</v>
      </c>
      <c r="M95" s="872"/>
      <c r="N95" s="872"/>
      <c r="O95" s="48">
        <f>IF(t&lt;Tnet,'2025'!Resal+('2025'!Salim-'2025'!Resal)*(1-EXP(('2025'!Tnet-t)/('2025'!Tau_j))),Resal+(Salim-Resal)*(1-EXP((Tnet-t)/(Tau_j))))*Salcycl</f>
        <v>0.12731497850191736</v>
      </c>
      <c r="P95" s="171">
        <f>(INDEX(Models!$BJ95:$BT95,,T95)*(1-R95)+INDEX(Models!$BJ95:$BT95,,T95+1)*R95-ERP_i)*Q95*Ramure*Pc/MaxiM</f>
        <v>1.4158597776877289E-3</v>
      </c>
      <c r="Q95" s="307">
        <f t="shared" si="28"/>
        <v>0.9</v>
      </c>
      <c r="R95" s="179">
        <f t="shared" si="29"/>
        <v>0.88905887829090835</v>
      </c>
      <c r="S95" s="839">
        <f t="shared" si="30"/>
        <v>-3</v>
      </c>
      <c r="T95" s="178">
        <f t="shared" si="31"/>
        <v>3</v>
      </c>
      <c r="U95" s="253">
        <f t="shared" si="32"/>
        <v>-2.1109411217090917</v>
      </c>
      <c r="V95" s="385">
        <f t="shared" si="33"/>
        <v>38.416711243804407</v>
      </c>
      <c r="W95" s="404">
        <f t="shared" si="34"/>
        <v>35.172598833152108</v>
      </c>
      <c r="X95" s="157">
        <f t="shared" si="35"/>
        <v>46103</v>
      </c>
      <c r="Y95" s="387">
        <f t="shared" si="36"/>
        <v>32.73557772321842</v>
      </c>
      <c r="Z95" s="387">
        <f t="shared" si="37"/>
        <v>34.931556614066636</v>
      </c>
      <c r="AA95" s="388">
        <f t="shared" si="38"/>
        <v>42.078481833856507</v>
      </c>
      <c r="AB95" s="199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0.16984750657138559</v>
      </c>
      <c r="AD95" s="233">
        <f>(INDEX(Models!$BJ95:$BT95,,AH95)*(1-AF95)+INDEX(Models!$BJ95:$BT95,,AH95+1)*AF95-ERP_i)*AE95*Ramure*Pc/MaxiM</f>
        <v>2.5951682265729189E-2</v>
      </c>
      <c r="AE95" s="307">
        <f t="shared" si="40"/>
        <v>0.9</v>
      </c>
      <c r="AF95" s="179">
        <f t="shared" si="41"/>
        <v>0.52471453059788731</v>
      </c>
      <c r="AG95" s="839">
        <f t="shared" si="49"/>
        <v>2</v>
      </c>
      <c r="AH95" s="178">
        <f t="shared" si="42"/>
        <v>8</v>
      </c>
      <c r="AI95" s="227">
        <f t="shared" si="43"/>
        <v>2.5247145305978873</v>
      </c>
      <c r="AJ95" s="267" t="b">
        <f t="shared" si="44"/>
        <v>1</v>
      </c>
      <c r="AK95" s="267" t="b">
        <f t="shared" si="45"/>
        <v>0</v>
      </c>
      <c r="AL95" s="267"/>
      <c r="AM95" s="267"/>
      <c r="AN95" s="75"/>
    </row>
    <row r="96" spans="1:40" s="6" customFormat="1" ht="11.25" x14ac:dyDescent="0.2">
      <c r="A96" s="56">
        <f t="shared" si="46"/>
        <v>46104</v>
      </c>
      <c r="B96" s="413">
        <f>'2025'!Wh/'2025'!Env_an*'2026'!Env_an</f>
        <v>39.740019490097026</v>
      </c>
      <c r="C96" s="868"/>
      <c r="D96" s="395">
        <f t="shared" si="25"/>
        <v>42.406859538130419</v>
      </c>
      <c r="E96" s="387">
        <f t="shared" si="47"/>
        <v>48.599866864261053</v>
      </c>
      <c r="F96" s="387">
        <f t="shared" si="26"/>
        <v>48.667959104368606</v>
      </c>
      <c r="G96" s="110">
        <f t="shared" si="48"/>
        <v>1.0245914803834317</v>
      </c>
      <c r="H96" s="416" t="b">
        <f>Wh_hp&gt;='2025'!Maxi_hp</f>
        <v>1</v>
      </c>
      <c r="I96" s="392">
        <f>IF(H96,Wh_hp,'2025'!Maxi_hp)</f>
        <v>48.667959104368606</v>
      </c>
      <c r="J96" s="85">
        <f>IF(H96,An,'2025'!An_max)</f>
        <v>2026</v>
      </c>
      <c r="K96" s="199">
        <f t="shared" si="27"/>
        <v>46104</v>
      </c>
      <c r="L96" s="147">
        <f>IF(t&lt;Tvie,1-EXP((T0-t)*PertePVj)+'2025'!Pspv,1-EXP((T0-t)*PertePVj)+Pspv)</f>
        <v>6.2886996987727484E-2</v>
      </c>
      <c r="M96" s="872"/>
      <c r="N96" s="872"/>
      <c r="O96" s="48">
        <f>IF(t&lt;Tnet,'2025'!Resal+('2025'!Salim-'2025'!Resal)*(1-EXP(('2025'!Tnet-t)/('2025'!Tau_j))),Resal+(Salim-Resal)*(1-EXP((Tnet-t)/(Tau_j))))*Salcycl</f>
        <v>0.12742848336246776</v>
      </c>
      <c r="P96" s="171">
        <f>(INDEX(Models!$BJ96:$BT96,,T96)*(1-R96)+INDEX(Models!$BJ96:$BT96,,T96+1)*R96-ERP_i)*Q96*Ramure*Pc/MaxiM</f>
        <v>1.3991184623445201E-3</v>
      </c>
      <c r="Q96" s="307">
        <f t="shared" si="28"/>
        <v>0.9</v>
      </c>
      <c r="R96" s="179">
        <f t="shared" si="29"/>
        <v>0.8900781338741206</v>
      </c>
      <c r="S96" s="839">
        <f t="shared" si="30"/>
        <v>-3</v>
      </c>
      <c r="T96" s="178">
        <f t="shared" si="31"/>
        <v>3</v>
      </c>
      <c r="U96" s="253">
        <f t="shared" si="32"/>
        <v>-2.1099218661258794</v>
      </c>
      <c r="V96" s="385">
        <f t="shared" si="33"/>
        <v>38.786209187709787</v>
      </c>
      <c r="W96" s="404">
        <f t="shared" si="34"/>
        <v>39.740019490097026</v>
      </c>
      <c r="X96" s="157">
        <f t="shared" si="35"/>
        <v>46104</v>
      </c>
      <c r="Y96" s="387">
        <f t="shared" si="36"/>
        <v>36.912809898774917</v>
      </c>
      <c r="Z96" s="387">
        <f t="shared" si="37"/>
        <v>39.389923926059858</v>
      </c>
      <c r="AA96" s="388">
        <f t="shared" si="38"/>
        <v>47.453069699227143</v>
      </c>
      <c r="AB96" s="199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0.16991831770366181</v>
      </c>
      <c r="AD96" s="233">
        <f>(INDEX(Models!$BJ96:$BT96,,AH96)*(1-AF96)+INDEX(Models!$BJ96:$BT96,,AH96+1)*AF96-ERP_i)*AE96*Ramure*Pc/MaxiM</f>
        <v>2.4962817991527622E-2</v>
      </c>
      <c r="AE96" s="307">
        <f t="shared" si="40"/>
        <v>0.9</v>
      </c>
      <c r="AF96" s="179">
        <f t="shared" si="41"/>
        <v>0.52573378618109956</v>
      </c>
      <c r="AG96" s="839">
        <f t="shared" si="49"/>
        <v>2</v>
      </c>
      <c r="AH96" s="178">
        <f t="shared" si="42"/>
        <v>8</v>
      </c>
      <c r="AI96" s="227">
        <f t="shared" si="43"/>
        <v>2.5257337861810996</v>
      </c>
      <c r="AJ96" s="267" t="b">
        <f t="shared" si="44"/>
        <v>1</v>
      </c>
      <c r="AK96" s="267" t="b">
        <f t="shared" si="45"/>
        <v>0</v>
      </c>
      <c r="AL96" s="267"/>
      <c r="AM96" s="267"/>
      <c r="AN96" s="75"/>
    </row>
    <row r="97" spans="1:40" s="6" customFormat="1" ht="11.25" x14ac:dyDescent="0.2">
      <c r="A97" s="56">
        <f t="shared" si="46"/>
        <v>46105</v>
      </c>
      <c r="B97" s="413">
        <f>'2025'!Wh/'2025'!Env_an*'2026'!Env_an</f>
        <v>39.172950212189754</v>
      </c>
      <c r="C97" s="868"/>
      <c r="D97" s="395">
        <f t="shared" si="25"/>
        <v>41.802708658681574</v>
      </c>
      <c r="E97" s="387">
        <f t="shared" si="47"/>
        <v>47.913775199017309</v>
      </c>
      <c r="F97" s="387">
        <f t="shared" si="26"/>
        <v>47.980036095825014</v>
      </c>
      <c r="G97" s="110">
        <f t="shared" si="48"/>
        <v>1.0004521160685846</v>
      </c>
      <c r="H97" s="416" t="b">
        <f>Wh_hp&gt;='2025'!Maxi_hp</f>
        <v>1</v>
      </c>
      <c r="I97" s="392">
        <f>IF(H97,Wh_hp,'2025'!Maxi_hp)</f>
        <v>47.980036095825014</v>
      </c>
      <c r="J97" s="85">
        <f>IF(H97,An,'2025'!An_max)</f>
        <v>2026</v>
      </c>
      <c r="K97" s="199">
        <f t="shared" si="27"/>
        <v>46105</v>
      </c>
      <c r="L97" s="147">
        <f>IF(t&lt;Tvie,1-EXP((T0-t)*PertePVj)+'2025'!Pspv,1-EXP((T0-t)*PertePVj)+Pspv)</f>
        <v>6.2908804976341548E-2</v>
      </c>
      <c r="M97" s="872"/>
      <c r="N97" s="872"/>
      <c r="O97" s="48">
        <f>IF(t&lt;Tnet,'2025'!Resal+('2025'!Salim-'2025'!Resal)*(1-EXP(('2025'!Tnet-t)/('2025'!Tau_j))),Resal+(Salim-Resal)*(1-EXP((Tnet-t)/(Tau_j))))*Salcycl</f>
        <v>0.1275429981242861</v>
      </c>
      <c r="P97" s="171">
        <f>(INDEX(Models!$BJ97:$BT97,,T97)*(1-R97)+INDEX(Models!$BJ97:$BT97,,T97+1)*R97-ERP_i)*Q97*Ramure*Pc/MaxiM</f>
        <v>1.3810097323681148E-3</v>
      </c>
      <c r="Q97" s="307">
        <f t="shared" si="28"/>
        <v>0.9</v>
      </c>
      <c r="R97" s="179">
        <f t="shared" si="29"/>
        <v>0.89113688450770434</v>
      </c>
      <c r="S97" s="839">
        <f t="shared" si="30"/>
        <v>-3</v>
      </c>
      <c r="T97" s="178">
        <f t="shared" si="31"/>
        <v>3</v>
      </c>
      <c r="U97" s="253">
        <f t="shared" si="32"/>
        <v>-2.1088631154922957</v>
      </c>
      <c r="V97" s="385">
        <f t="shared" si="33"/>
        <v>39.155247495627563</v>
      </c>
      <c r="W97" s="404">
        <f t="shared" si="34"/>
        <v>39.172950212189754</v>
      </c>
      <c r="X97" s="157">
        <f t="shared" si="35"/>
        <v>46105</v>
      </c>
      <c r="Y97" s="387">
        <f t="shared" si="36"/>
        <v>36.421317688119103</v>
      </c>
      <c r="Z97" s="387">
        <f t="shared" si="37"/>
        <v>38.866353543317189</v>
      </c>
      <c r="AA97" s="388">
        <f t="shared" si="38"/>
        <v>46.826398737806457</v>
      </c>
      <c r="AB97" s="199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0.16999054826017468</v>
      </c>
      <c r="AD97" s="233">
        <f>(INDEX(Models!$BJ97:$BT97,,AH97)*(1-AF97)+INDEX(Models!$BJ97:$BT97,,AH97+1)*AF97-ERP_i)*AE97*Ramure*Pc/MaxiM</f>
        <v>2.4044111924270514E-2</v>
      </c>
      <c r="AE97" s="307">
        <f t="shared" si="40"/>
        <v>0.9</v>
      </c>
      <c r="AF97" s="179">
        <f t="shared" si="41"/>
        <v>0.5267925368146833</v>
      </c>
      <c r="AG97" s="839">
        <f t="shared" si="49"/>
        <v>2</v>
      </c>
      <c r="AH97" s="178">
        <f t="shared" si="42"/>
        <v>8</v>
      </c>
      <c r="AI97" s="227">
        <f t="shared" si="43"/>
        <v>2.5267925368146833</v>
      </c>
      <c r="AJ97" s="267" t="b">
        <f t="shared" si="44"/>
        <v>1</v>
      </c>
      <c r="AK97" s="267" t="b">
        <f t="shared" si="45"/>
        <v>0</v>
      </c>
      <c r="AL97" s="267"/>
      <c r="AM97" s="267"/>
      <c r="AN97" s="75"/>
    </row>
    <row r="98" spans="1:40" s="6" customFormat="1" ht="11.25" x14ac:dyDescent="0.2">
      <c r="A98" s="56">
        <f t="shared" si="46"/>
        <v>46106</v>
      </c>
      <c r="B98" s="413">
        <f>'2025'!Wh/'2025'!Env_an*'2026'!Env_an</f>
        <v>35.85501871383341</v>
      </c>
      <c r="C98" s="868"/>
      <c r="D98" s="395">
        <f t="shared" si="25"/>
        <v>38.262928221209656</v>
      </c>
      <c r="E98" s="387">
        <f t="shared" si="47"/>
        <v>43.862331843542528</v>
      </c>
      <c r="F98" s="387">
        <f t="shared" si="26"/>
        <v>43.914197423674125</v>
      </c>
      <c r="G98" s="110">
        <f t="shared" si="48"/>
        <v>0.90702772584850866</v>
      </c>
      <c r="H98" s="416" t="b">
        <f>Wh_hp&gt;='2025'!Maxi_hp</f>
        <v>0</v>
      </c>
      <c r="I98" s="392">
        <f>IF(H98,Wh_hp,'2025'!Maxi_hp)</f>
        <v>46.654104834621393</v>
      </c>
      <c r="J98" s="85">
        <f>IF(H98,An,'2025'!An_max)</f>
        <v>2020</v>
      </c>
      <c r="K98" s="199">
        <f t="shared" si="27"/>
        <v>46106</v>
      </c>
      <c r="L98" s="147">
        <f>IF(t&lt;Tvie,1-EXP((T0-t)*PertePVj)+'2025'!Pspv,1-EXP((T0-t)*PertePVj)+Pspv)</f>
        <v>6.2930612457451907E-2</v>
      </c>
      <c r="M98" s="872"/>
      <c r="N98" s="872"/>
      <c r="O98" s="48">
        <f>IF(t&lt;Tnet,'2025'!Resal+('2025'!Salim-'2025'!Resal)*(1-EXP(('2025'!Tnet-t)/('2025'!Tau_j))),Resal+(Salim-Resal)*(1-EXP((Tnet-t)/(Tau_j))))*Salcycl</f>
        <v>0.1276585942194321</v>
      </c>
      <c r="P98" s="171">
        <f>(INDEX(Models!$BJ98:$BT98,,T98)*(1-R98)+INDEX(Models!$BJ98:$BT98,,T98+1)*R98-ERP_i)*Q98*Ramure*Pc/MaxiM</f>
        <v>1.3615904953725067E-3</v>
      </c>
      <c r="Q98" s="307">
        <f t="shared" si="28"/>
        <v>0.9</v>
      </c>
      <c r="R98" s="179">
        <f t="shared" si="29"/>
        <v>0.89223652407705067</v>
      </c>
      <c r="S98" s="839">
        <f t="shared" si="30"/>
        <v>-3</v>
      </c>
      <c r="T98" s="178">
        <f t="shared" si="31"/>
        <v>3</v>
      </c>
      <c r="U98" s="253">
        <f t="shared" si="32"/>
        <v>-2.1077634759229493</v>
      </c>
      <c r="V98" s="385">
        <f t="shared" si="33"/>
        <v>39.523089913667746</v>
      </c>
      <c r="W98" s="404">
        <f t="shared" si="34"/>
        <v>35.85501871383341</v>
      </c>
      <c r="X98" s="157">
        <f t="shared" si="35"/>
        <v>46106</v>
      </c>
      <c r="Y98" s="387">
        <f t="shared" si="36"/>
        <v>33.465290229539754</v>
      </c>
      <c r="Z98" s="387">
        <f t="shared" si="37"/>
        <v>35.712713139954374</v>
      </c>
      <c r="AA98" s="388">
        <f t="shared" si="38"/>
        <v>43.03069835810291</v>
      </c>
      <c r="AB98" s="199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0.17006429124733283</v>
      </c>
      <c r="AD98" s="233">
        <f>(INDEX(Models!$BJ98:$BT98,,AH98)*(1-AF98)+INDEX(Models!$BJ98:$BT98,,AH98+1)*AF98-ERP_i)*AE98*Ramure*Pc/MaxiM</f>
        <v>2.3193877853095804E-2</v>
      </c>
      <c r="AE98" s="307">
        <f t="shared" si="40"/>
        <v>0.9</v>
      </c>
      <c r="AF98" s="179">
        <f t="shared" si="41"/>
        <v>0.52789217638402963</v>
      </c>
      <c r="AG98" s="839">
        <f t="shared" si="49"/>
        <v>2</v>
      </c>
      <c r="AH98" s="178">
        <f t="shared" si="42"/>
        <v>8</v>
      </c>
      <c r="AI98" s="227">
        <f t="shared" si="43"/>
        <v>2.5278921763840296</v>
      </c>
      <c r="AJ98" s="267" t="b">
        <f t="shared" si="44"/>
        <v>1</v>
      </c>
      <c r="AK98" s="267" t="b">
        <f t="shared" si="45"/>
        <v>0</v>
      </c>
      <c r="AL98" s="267"/>
      <c r="AM98" s="267"/>
      <c r="AN98" s="75"/>
    </row>
    <row r="99" spans="1:40" s="6" customFormat="1" ht="11.25" x14ac:dyDescent="0.2">
      <c r="A99" s="56">
        <f t="shared" si="46"/>
        <v>46107</v>
      </c>
      <c r="B99" s="413">
        <f>'2025'!Wh/'2025'!Env_an*'2026'!Env_an</f>
        <v>38.718196078613317</v>
      </c>
      <c r="C99" s="868"/>
      <c r="D99" s="395">
        <f t="shared" si="25"/>
        <v>41.319349072013516</v>
      </c>
      <c r="E99" s="387">
        <f t="shared" si="47"/>
        <v>47.372369895253655</v>
      </c>
      <c r="F99" s="387">
        <f t="shared" si="26"/>
        <v>47.433306884996917</v>
      </c>
      <c r="G99" s="110">
        <f t="shared" si="48"/>
        <v>0.97059379265842749</v>
      </c>
      <c r="H99" s="416" t="b">
        <f>Wh_hp&gt;='2025'!Maxi_hp</f>
        <v>0</v>
      </c>
      <c r="I99" s="392">
        <f>IF(H99,Wh_hp,'2025'!Maxi_hp)</f>
        <v>49.888240917785708</v>
      </c>
      <c r="J99" s="85">
        <f>IF(H99,An,'2025'!An_max)</f>
        <v>2019</v>
      </c>
      <c r="K99" s="199">
        <f t="shared" si="27"/>
        <v>46107</v>
      </c>
      <c r="L99" s="147">
        <f>IF(t&lt;Tvie,1-EXP((T0-t)*PertePVj)+'2025'!Pspv,1-EXP((T0-t)*PertePVj)+Pspv)</f>
        <v>6.2952419431070328E-2</v>
      </c>
      <c r="M99" s="872"/>
      <c r="N99" s="872"/>
      <c r="O99" s="48">
        <f>IF(t&lt;Tnet,'2025'!Resal+('2025'!Salim-'2025'!Resal)*(1-EXP(('2025'!Tnet-t)/('2025'!Tau_j))),Resal+(Salim-Resal)*(1-EXP((Tnet-t)/(Tau_j))))*Salcycl</f>
        <v>0.12777534323539516</v>
      </c>
      <c r="P99" s="171">
        <f>(INDEX(Models!$BJ99:$BT99,,T99)*(1-R99)+INDEX(Models!$BJ99:$BT99,,T99+1)*R99-ERP_i)*Q99*Ramure*Pc/MaxiM</f>
        <v>1.3409133537303699E-3</v>
      </c>
      <c r="Q99" s="307">
        <f t="shared" si="28"/>
        <v>0.9</v>
      </c>
      <c r="R99" s="179">
        <f t="shared" si="29"/>
        <v>0.8933784844790158</v>
      </c>
      <c r="S99" s="839">
        <f t="shared" si="30"/>
        <v>-3</v>
      </c>
      <c r="T99" s="178">
        <f t="shared" si="31"/>
        <v>3</v>
      </c>
      <c r="U99" s="253">
        <f t="shared" si="32"/>
        <v>-2.1066215155209842</v>
      </c>
      <c r="V99" s="385">
        <f t="shared" si="33"/>
        <v>39.889000546252944</v>
      </c>
      <c r="W99" s="404">
        <f t="shared" si="34"/>
        <v>38.718196078613317</v>
      </c>
      <c r="X99" s="157">
        <f t="shared" si="35"/>
        <v>46107</v>
      </c>
      <c r="Y99" s="387">
        <f t="shared" si="36"/>
        <v>36.093074712191395</v>
      </c>
      <c r="Z99" s="387">
        <f t="shared" si="37"/>
        <v>38.517867673568333</v>
      </c>
      <c r="AA99" s="388">
        <f t="shared" si="38"/>
        <v>46.414878353919171</v>
      </c>
      <c r="AB99" s="199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0.17013963971067983</v>
      </c>
      <c r="AD99" s="233">
        <f>(INDEX(Models!$BJ99:$BT99,,AH99)*(1-AF99)+INDEX(Models!$BJ99:$BT99,,AH99+1)*AF99-ERP_i)*AE99*Ramure*Pc/MaxiM</f>
        <v>2.2410434497927258E-2</v>
      </c>
      <c r="AE99" s="307">
        <f t="shared" si="40"/>
        <v>0.9</v>
      </c>
      <c r="AF99" s="179">
        <f t="shared" si="41"/>
        <v>0.52903413678599476</v>
      </c>
      <c r="AG99" s="839">
        <f t="shared" si="49"/>
        <v>2</v>
      </c>
      <c r="AH99" s="178">
        <f t="shared" si="42"/>
        <v>8</v>
      </c>
      <c r="AI99" s="227">
        <f t="shared" si="43"/>
        <v>2.5290341367859948</v>
      </c>
      <c r="AJ99" s="267" t="b">
        <f t="shared" si="44"/>
        <v>1</v>
      </c>
      <c r="AK99" s="267" t="b">
        <f t="shared" si="45"/>
        <v>0</v>
      </c>
      <c r="AL99" s="267"/>
      <c r="AM99" s="267"/>
      <c r="AN99" s="75"/>
    </row>
    <row r="100" spans="1:40" s="6" customFormat="1" ht="11.25" x14ac:dyDescent="0.2">
      <c r="A100" s="56">
        <f t="shared" si="46"/>
        <v>46108</v>
      </c>
      <c r="B100" s="413">
        <f>'2025'!Wh/'2025'!Env_an*'2026'!Env_an</f>
        <v>38.220470666569916</v>
      </c>
      <c r="C100" s="868"/>
      <c r="D100" s="395">
        <f t="shared" si="25"/>
        <v>40.789134859354618</v>
      </c>
      <c r="E100" s="387">
        <f t="shared" si="47"/>
        <v>46.770808711122086</v>
      </c>
      <c r="F100" s="387">
        <f t="shared" si="26"/>
        <v>46.828100838872167</v>
      </c>
      <c r="G100" s="110">
        <f t="shared" si="48"/>
        <v>0.9494331189576638</v>
      </c>
      <c r="H100" s="416" t="b">
        <f>Wh_hp&gt;='2025'!Maxi_hp</f>
        <v>0</v>
      </c>
      <c r="I100" s="392">
        <f>IF(H100,Wh_hp,'2025'!Maxi_hp)</f>
        <v>49.214148253624103</v>
      </c>
      <c r="J100" s="85">
        <f>IF(H100,An,'2025'!An_max)</f>
        <v>2019</v>
      </c>
      <c r="K100" s="199">
        <f t="shared" si="27"/>
        <v>46108</v>
      </c>
      <c r="L100" s="147">
        <f>IF(t&lt;Tvie,1-EXP((T0-t)*PertePVj)+'2025'!Pspv,1-EXP((T0-t)*PertePVj)+Pspv)</f>
        <v>6.297422589720858E-2</v>
      </c>
      <c r="M100" s="872"/>
      <c r="N100" s="872"/>
      <c r="O100" s="48">
        <f>IF(t&lt;Tnet,'2025'!Resal+('2025'!Salim-'2025'!Resal)*(1-EXP(('2025'!Tnet-t)/('2025'!Tau_j))),Resal+(Salim-Resal)*(1-EXP((Tnet-t)/(Tau_j))))*Salcycl</f>
        <v>0.12789331672054297</v>
      </c>
      <c r="P100" s="171">
        <f>(INDEX(Models!$BJ100:$BT100,,T100)*(1-R100)+INDEX(Models!$BJ100:$BT100,,T100+1)*R100-ERP_i)*Q100*Ramure*Pc/MaxiM</f>
        <v>1.3185347259555946E-3</v>
      </c>
      <c r="Q100" s="307">
        <f t="shared" si="28"/>
        <v>0.9</v>
      </c>
      <c r="R100" s="179">
        <f t="shared" si="29"/>
        <v>0.89456423571416632</v>
      </c>
      <c r="S100" s="839">
        <f t="shared" si="30"/>
        <v>-3</v>
      </c>
      <c r="T100" s="178">
        <f t="shared" si="31"/>
        <v>3</v>
      </c>
      <c r="U100" s="253">
        <f t="shared" si="32"/>
        <v>-2.1054357642858337</v>
      </c>
      <c r="V100" s="385">
        <f t="shared" si="33"/>
        <v>40.252263697105931</v>
      </c>
      <c r="W100" s="404">
        <f t="shared" si="34"/>
        <v>38.220470666569916</v>
      </c>
      <c r="X100" s="157">
        <f t="shared" si="35"/>
        <v>46108</v>
      </c>
      <c r="Y100" s="387">
        <f t="shared" si="36"/>
        <v>35.677018144682485</v>
      </c>
      <c r="Z100" s="387">
        <f t="shared" si="37"/>
        <v>38.074745786841852</v>
      </c>
      <c r="AA100" s="388">
        <f t="shared" si="38"/>
        <v>45.885166845751804</v>
      </c>
      <c r="AB100" s="199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0.17021668647660304</v>
      </c>
      <c r="AD100" s="233">
        <f>(INDEX(Models!$BJ100:$BT100,,AH100)*(1-AF100)+INDEX(Models!$BJ100:$BT100,,AH100+1)*AF100-ERP_i)*AE100*Ramure*Pc/MaxiM</f>
        <v>2.1700908362779974E-2</v>
      </c>
      <c r="AE100" s="307">
        <f t="shared" si="40"/>
        <v>0.9</v>
      </c>
      <c r="AF100" s="179">
        <f t="shared" si="41"/>
        <v>0.53021988802114528</v>
      </c>
      <c r="AG100" s="839">
        <f t="shared" si="49"/>
        <v>2</v>
      </c>
      <c r="AH100" s="178">
        <f t="shared" si="42"/>
        <v>8</v>
      </c>
      <c r="AI100" s="227">
        <f t="shared" si="43"/>
        <v>2.5302198880211453</v>
      </c>
      <c r="AJ100" s="267" t="b">
        <f t="shared" si="44"/>
        <v>1</v>
      </c>
      <c r="AK100" s="267" t="b">
        <f t="shared" si="45"/>
        <v>0</v>
      </c>
      <c r="AL100" s="267"/>
      <c r="AM100" s="267"/>
      <c r="AN100" s="75"/>
    </row>
    <row r="101" spans="1:40" s="6" customFormat="1" ht="11.25" x14ac:dyDescent="0.2">
      <c r="A101" s="56">
        <f t="shared" si="46"/>
        <v>46109</v>
      </c>
      <c r="B101" s="413">
        <f>'2025'!Wh/'2025'!Env_an*'2026'!Env_an</f>
        <v>29.725162923774956</v>
      </c>
      <c r="C101" s="868"/>
      <c r="D101" s="395">
        <f t="shared" si="25"/>
        <v>31.723625442750418</v>
      </c>
      <c r="E101" s="387">
        <f t="shared" si="47"/>
        <v>36.380829508854397</v>
      </c>
      <c r="F101" s="387">
        <f t="shared" si="26"/>
        <v>36.409935517427456</v>
      </c>
      <c r="G101" s="110">
        <f t="shared" si="48"/>
        <v>0.73156525848003062</v>
      </c>
      <c r="H101" s="416" t="b">
        <f>Wh_hp&gt;='2025'!Maxi_hp</f>
        <v>0</v>
      </c>
      <c r="I101" s="392">
        <f>IF(H101,Wh_hp,'2025'!Maxi_hp)</f>
        <v>48.325580600194776</v>
      </c>
      <c r="J101" s="85">
        <f>IF(H101,An,'2025'!An_max)</f>
        <v>2021</v>
      </c>
      <c r="K101" s="199">
        <f t="shared" si="27"/>
        <v>46109</v>
      </c>
      <c r="L101" s="147">
        <f>IF(t&lt;Tvie,1-EXP((T0-t)*PertePVj)+'2025'!Pspv,1-EXP((T0-t)*PertePVj)+Pspv)</f>
        <v>6.2996031855878432E-2</v>
      </c>
      <c r="M101" s="872"/>
      <c r="N101" s="872"/>
      <c r="O101" s="48">
        <f>IF(t&lt;Tnet,'2025'!Resal+('2025'!Salim-'2025'!Resal)*(1-EXP(('2025'!Tnet-t)/('2025'!Tau_j))),Resal+(Salim-Resal)*(1-EXP((Tnet-t)/(Tau_j))))*Salcycl</f>
        <v>0.12801258599588844</v>
      </c>
      <c r="P101" s="171">
        <f>(INDEX(Models!$BJ101:$BT101,,T101)*(1-R101)+INDEX(Models!$BJ101:$BT101,,T101+1)*R101-ERP_i)*Q101*Ramure*Pc/MaxiM</f>
        <v>1.2955337628681913E-3</v>
      </c>
      <c r="Q101" s="307">
        <f t="shared" si="28"/>
        <v>0.9</v>
      </c>
      <c r="R101" s="179">
        <f t="shared" si="29"/>
        <v>0.89579528588369595</v>
      </c>
      <c r="S101" s="839">
        <f t="shared" si="30"/>
        <v>-3</v>
      </c>
      <c r="T101" s="178">
        <f t="shared" si="31"/>
        <v>3</v>
      </c>
      <c r="U101" s="253">
        <f t="shared" si="32"/>
        <v>-2.1042047141163041</v>
      </c>
      <c r="V101" s="385">
        <f t="shared" si="33"/>
        <v>40.612102675836844</v>
      </c>
      <c r="W101" s="404">
        <f t="shared" si="34"/>
        <v>29.725162923774956</v>
      </c>
      <c r="X101" s="157">
        <f t="shared" si="35"/>
        <v>46109</v>
      </c>
      <c r="Y101" s="387">
        <f t="shared" si="36"/>
        <v>27.938915589605145</v>
      </c>
      <c r="Z101" s="387">
        <f t="shared" si="37"/>
        <v>29.817286307700918</v>
      </c>
      <c r="AA101" s="388">
        <f t="shared" si="38"/>
        <v>35.937236891826998</v>
      </c>
      <c r="AB101" s="199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0.17029552390317199</v>
      </c>
      <c r="AD101" s="233">
        <f>(INDEX(Models!$BJ101:$BT101,,AH101)*(1-AF101)+INDEX(Models!$BJ101:$BT101,,AH101+1)*AF101-ERP_i)*AE101*Ramure*Pc/MaxiM</f>
        <v>2.1040227057912728E-2</v>
      </c>
      <c r="AE101" s="307">
        <f t="shared" si="40"/>
        <v>0.9</v>
      </c>
      <c r="AF101" s="179">
        <f t="shared" si="41"/>
        <v>0.5314509381906749</v>
      </c>
      <c r="AG101" s="839">
        <f t="shared" si="49"/>
        <v>2</v>
      </c>
      <c r="AH101" s="178">
        <f t="shared" si="42"/>
        <v>8</v>
      </c>
      <c r="AI101" s="227">
        <f t="shared" si="43"/>
        <v>2.5314509381906749</v>
      </c>
      <c r="AJ101" s="267" t="b">
        <f t="shared" si="44"/>
        <v>1</v>
      </c>
      <c r="AK101" s="267" t="b">
        <f t="shared" si="45"/>
        <v>0</v>
      </c>
      <c r="AL101" s="267"/>
      <c r="AM101" s="267"/>
      <c r="AN101" s="75"/>
    </row>
    <row r="102" spans="1:40" s="6" customFormat="1" ht="11.25" x14ac:dyDescent="0.2">
      <c r="A102" s="56">
        <f t="shared" si="46"/>
        <v>46110</v>
      </c>
      <c r="B102" s="413">
        <f>'2025'!Wh/'2025'!Env_an*'2026'!Env_an</f>
        <v>24.542816483831803</v>
      </c>
      <c r="C102" s="868"/>
      <c r="D102" s="395">
        <f t="shared" si="25"/>
        <v>26.19347247048459</v>
      </c>
      <c r="E102" s="387">
        <f t="shared" si="47"/>
        <v>30.042975751155517</v>
      </c>
      <c r="F102" s="387">
        <f t="shared" si="26"/>
        <v>30.059311106276471</v>
      </c>
      <c r="G102" s="110">
        <f t="shared" si="48"/>
        <v>0.59863936243616178</v>
      </c>
      <c r="H102" s="416" t="b">
        <f>Wh_hp&gt;='2025'!Maxi_hp</f>
        <v>0</v>
      </c>
      <c r="I102" s="392">
        <f>IF(H102,Wh_hp,'2025'!Maxi_hp)</f>
        <v>50.344049299154825</v>
      </c>
      <c r="J102" s="85">
        <f>IF(H102,An,'2025'!An_max)</f>
        <v>2021</v>
      </c>
      <c r="K102" s="199">
        <f t="shared" si="27"/>
        <v>46110</v>
      </c>
      <c r="L102" s="147">
        <f>IF(t&lt;Tvie,1-EXP((T0-t)*PertePVj)+'2025'!Pspv,1-EXP((T0-t)*PertePVj)+Pspv)</f>
        <v>6.3017837307091873E-2</v>
      </c>
      <c r="M102" s="872"/>
      <c r="N102" s="872"/>
      <c r="O102" s="48">
        <f>IF(t&lt;Tnet,'2025'!Resal+('2025'!Salim-'2025'!Resal)*(1-EXP(('2025'!Tnet-t)/('2025'!Tau_j))),Resal+(Salim-Resal)*(1-EXP((Tnet-t)/(Tau_j))))*Salcycl</f>
        <v>0.12813322197362115</v>
      </c>
      <c r="P102" s="171">
        <f>(INDEX(Models!$BJ102:$BT102,,T102)*(1-R102)+INDEX(Models!$BJ102:$BT102,,T102+1)*R102-ERP_i)*Q102*Ramure*Pc/MaxiM</f>
        <v>1.2719381516742019E-3</v>
      </c>
      <c r="Q102" s="307">
        <f t="shared" si="28"/>
        <v>0.9</v>
      </c>
      <c r="R102" s="179">
        <f t="shared" si="29"/>
        <v>0.89707318108183687</v>
      </c>
      <c r="S102" s="839">
        <f t="shared" si="30"/>
        <v>-3</v>
      </c>
      <c r="T102" s="178">
        <f t="shared" si="31"/>
        <v>3</v>
      </c>
      <c r="U102" s="253">
        <f t="shared" si="32"/>
        <v>-2.1029268189181631</v>
      </c>
      <c r="V102" s="385">
        <f t="shared" si="33"/>
        <v>40.967782678270446</v>
      </c>
      <c r="W102" s="404">
        <f t="shared" si="34"/>
        <v>24.542816483831803</v>
      </c>
      <c r="X102" s="157">
        <f t="shared" si="35"/>
        <v>46110</v>
      </c>
      <c r="Y102" s="387">
        <f t="shared" si="36"/>
        <v>23.162451975918923</v>
      </c>
      <c r="Z102" s="387">
        <f t="shared" si="37"/>
        <v>24.720269924188852</v>
      </c>
      <c r="AA102" s="388">
        <f t="shared" si="38"/>
        <v>29.796964870762142</v>
      </c>
      <c r="AB102" s="199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0.17037624364066448</v>
      </c>
      <c r="AD102" s="233">
        <f>(INDEX(Models!$BJ102:$BT102,,AH102)*(1-AF102)+INDEX(Models!$BJ102:$BT102,,AH102+1)*AF102-ERP_i)*AE102*Ramure*Pc/MaxiM</f>
        <v>2.0427360374353613E-2</v>
      </c>
      <c r="AE102" s="307">
        <f t="shared" si="40"/>
        <v>0.9</v>
      </c>
      <c r="AF102" s="179">
        <f t="shared" si="41"/>
        <v>0.53272883338881583</v>
      </c>
      <c r="AG102" s="839">
        <f t="shared" si="49"/>
        <v>2</v>
      </c>
      <c r="AH102" s="178">
        <f t="shared" si="42"/>
        <v>8</v>
      </c>
      <c r="AI102" s="227">
        <f t="shared" si="43"/>
        <v>2.5327288333888158</v>
      </c>
      <c r="AJ102" s="267" t="b">
        <f t="shared" si="44"/>
        <v>1</v>
      </c>
      <c r="AK102" s="267" t="b">
        <f t="shared" si="45"/>
        <v>0</v>
      </c>
      <c r="AL102" s="267"/>
      <c r="AM102" s="267"/>
      <c r="AN102" s="75"/>
    </row>
    <row r="103" spans="1:40" s="6" customFormat="1" ht="11.25" x14ac:dyDescent="0.2">
      <c r="A103" s="56">
        <f t="shared" si="46"/>
        <v>46111</v>
      </c>
      <c r="B103" s="413">
        <f>'2025'!Wh/'2025'!Env_an*'2026'!Env_an</f>
        <v>6.9168993726532459</v>
      </c>
      <c r="C103" s="868"/>
      <c r="D103" s="395">
        <f t="shared" si="25"/>
        <v>7.3822753710410103</v>
      </c>
      <c r="E103" s="387">
        <f t="shared" si="47"/>
        <v>8.468391409265104</v>
      </c>
      <c r="F103" s="387">
        <f t="shared" si="26"/>
        <v>8.468391409265104</v>
      </c>
      <c r="G103" s="110">
        <f t="shared" si="48"/>
        <v>0.16719525309353597</v>
      </c>
      <c r="H103" s="416" t="b">
        <f>Wh_hp&gt;='2025'!Maxi_hp</f>
        <v>0</v>
      </c>
      <c r="I103" s="392">
        <f>IF(H103,Wh_hp,'2025'!Maxi_hp)</f>
        <v>50.446118707020261</v>
      </c>
      <c r="J103" s="85">
        <f>IF(H103,An,'2025'!An_max)</f>
        <v>2019</v>
      </c>
      <c r="K103" s="199">
        <f t="shared" si="27"/>
        <v>46111</v>
      </c>
      <c r="L103" s="147">
        <f>IF(t&lt;Tvie,1-EXP((T0-t)*PertePVj)+'2025'!Pspv,1-EXP((T0-t)*PertePVj)+Pspv)</f>
        <v>6.3039642250860561E-2</v>
      </c>
      <c r="M103" s="872"/>
      <c r="N103" s="872"/>
      <c r="O103" s="48">
        <f>IF(t&lt;Tnet,'2025'!Resal+('2025'!Salim-'2025'!Resal)*(1-EXP(('2025'!Tnet-t)/('2025'!Tau_j))),Resal+(Salim-Resal)*(1-EXP((Tnet-t)/(Tau_j))))*Salcycl</f>
        <v>0.12825529498268065</v>
      </c>
      <c r="P103" s="171">
        <f>(INDEX(Models!$BJ103:$BT103,,T103)*(1-R103)+INDEX(Models!$BJ103:$BT103,,T103+1)*R103-ERP_i)*Q103*Ramure*Pc/MaxiM</f>
        <v>1.2477721226733514E-3</v>
      </c>
      <c r="Q103" s="307">
        <f t="shared" si="28"/>
        <v>0.9</v>
      </c>
      <c r="R103" s="179">
        <f t="shared" si="29"/>
        <v>0.8983995051741025</v>
      </c>
      <c r="S103" s="839">
        <f t="shared" si="30"/>
        <v>-3</v>
      </c>
      <c r="T103" s="178">
        <f t="shared" si="31"/>
        <v>3</v>
      </c>
      <c r="U103" s="253">
        <f t="shared" si="32"/>
        <v>-2.1016004948258975</v>
      </c>
      <c r="V103" s="385">
        <f t="shared" si="33"/>
        <v>41.318569341056232</v>
      </c>
      <c r="W103" s="404">
        <f t="shared" si="34"/>
        <v>6.9168993726532459</v>
      </c>
      <c r="X103" s="157">
        <f t="shared" si="35"/>
        <v>46111</v>
      </c>
      <c r="Y103" s="387">
        <f t="shared" si="36"/>
        <v>6.5820325943664049</v>
      </c>
      <c r="Z103" s="387">
        <f t="shared" si="37"/>
        <v>7.0248784166049747</v>
      </c>
      <c r="AA103" s="388">
        <f t="shared" si="38"/>
        <v>8.468391409265104</v>
      </c>
      <c r="AB103" s="199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0.17045893640211413</v>
      </c>
      <c r="AD103" s="233">
        <f>(INDEX(Models!$BJ103:$BT103,,AH103)*(1-AF103)+INDEX(Models!$BJ103:$BT103,,AH103+1)*AF103-ERP_i)*AE103*Ramure*Pc/MaxiM</f>
        <v>1.9861304844499255E-2</v>
      </c>
      <c r="AE103" s="307">
        <f t="shared" si="40"/>
        <v>0.9</v>
      </c>
      <c r="AF103" s="179">
        <f t="shared" si="41"/>
        <v>0.53405515748108146</v>
      </c>
      <c r="AG103" s="839">
        <f t="shared" si="49"/>
        <v>2</v>
      </c>
      <c r="AH103" s="178">
        <f t="shared" si="42"/>
        <v>8</v>
      </c>
      <c r="AI103" s="227">
        <f t="shared" si="43"/>
        <v>2.5340551574810815</v>
      </c>
      <c r="AJ103" s="267" t="b">
        <f t="shared" si="44"/>
        <v>1</v>
      </c>
      <c r="AK103" s="267" t="b">
        <f t="shared" si="45"/>
        <v>0</v>
      </c>
      <c r="AL103" s="267"/>
      <c r="AM103" s="267"/>
      <c r="AN103" s="75"/>
    </row>
    <row r="104" spans="1:40" s="6" customFormat="1" ht="11.25" x14ac:dyDescent="0.2">
      <c r="A104" s="56">
        <f t="shared" si="46"/>
        <v>46112</v>
      </c>
      <c r="B104" s="413">
        <f>'2025'!Wh/'2025'!Env_an*'2026'!Env_an</f>
        <v>24.15269707450804</v>
      </c>
      <c r="C104" s="868"/>
      <c r="D104" s="395">
        <f t="shared" si="25"/>
        <v>25.778314905614188</v>
      </c>
      <c r="E104" s="387">
        <f t="shared" si="47"/>
        <v>29.575137814412205</v>
      </c>
      <c r="F104" s="387">
        <f t="shared" si="26"/>
        <v>29.589598494533696</v>
      </c>
      <c r="G104" s="110">
        <f t="shared" si="48"/>
        <v>0.57927969068380702</v>
      </c>
      <c r="H104" s="416" t="b">
        <f>Wh_hp&gt;='2025'!Maxi_hp</f>
        <v>0</v>
      </c>
      <c r="I104" s="392">
        <f>IF(H104,Wh_hp,'2025'!Maxi_hp)</f>
        <v>45.61734121324757</v>
      </c>
      <c r="J104" s="85">
        <f>IF(H104,An,'2025'!An_max)</f>
        <v>2021</v>
      </c>
      <c r="K104" s="199">
        <f t="shared" si="27"/>
        <v>46112</v>
      </c>
      <c r="L104" s="147">
        <f>IF(t&lt;Tvie,1-EXP((T0-t)*PertePVj)+'2025'!Pspv,1-EXP((T0-t)*PertePVj)+Pspv)</f>
        <v>6.3061446687196376E-2</v>
      </c>
      <c r="M104" s="872"/>
      <c r="N104" s="872"/>
      <c r="O104" s="48">
        <f>IF(t&lt;Tnet,'2025'!Resal+('2025'!Salim-'2025'!Resal)*(1-EXP(('2025'!Tnet-t)/('2025'!Tau_j))),Resal+(Salim-Resal)*(1-EXP((Tnet-t)/(Tau_j))))*Salcycl</f>
        <v>0.12837887460148345</v>
      </c>
      <c r="P104" s="171">
        <f>(INDEX(Models!$BJ104:$BT104,,T104)*(1-R104)+INDEX(Models!$BJ104:$BT104,,T104+1)*R104-ERP_i)*Q104*Ramure*Pc/MaxiM</f>
        <v>1.2230564956283003E-3</v>
      </c>
      <c r="Q104" s="307">
        <f t="shared" si="28"/>
        <v>0.9</v>
      </c>
      <c r="R104" s="179">
        <f t="shared" si="29"/>
        <v>0.89977587945123272</v>
      </c>
      <c r="S104" s="839">
        <f t="shared" si="30"/>
        <v>-3</v>
      </c>
      <c r="T104" s="178">
        <f t="shared" si="31"/>
        <v>3</v>
      </c>
      <c r="U104" s="253">
        <f t="shared" si="32"/>
        <v>-2.1002241205487673</v>
      </c>
      <c r="V104" s="385">
        <f t="shared" si="33"/>
        <v>41.663728763652415</v>
      </c>
      <c r="W104" s="404">
        <f t="shared" si="34"/>
        <v>24.15269707450804</v>
      </c>
      <c r="X104" s="157">
        <f t="shared" si="35"/>
        <v>46112</v>
      </c>
      <c r="Y104" s="387">
        <f t="shared" si="36"/>
        <v>22.817827931882668</v>
      </c>
      <c r="Z104" s="387">
        <f t="shared" si="37"/>
        <v>24.353601259339761</v>
      </c>
      <c r="AA104" s="388">
        <f t="shared" si="38"/>
        <v>29.3609211442914</v>
      </c>
      <c r="AB104" s="199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0.17054369174399028</v>
      </c>
      <c r="AD104" s="233">
        <f>(INDEX(Models!$BJ104:$BT104,,AH104)*(1-AF104)+INDEX(Models!$BJ104:$BT104,,AH104+1)*AF104-ERP_i)*AE104*Ramure*Pc/MaxiM</f>
        <v>1.9341090202338262E-2</v>
      </c>
      <c r="AE104" s="307">
        <f t="shared" si="40"/>
        <v>0.9</v>
      </c>
      <c r="AF104" s="179">
        <f t="shared" si="41"/>
        <v>0.53543153175821168</v>
      </c>
      <c r="AG104" s="839">
        <f t="shared" si="49"/>
        <v>2</v>
      </c>
      <c r="AH104" s="178">
        <f t="shared" si="42"/>
        <v>8</v>
      </c>
      <c r="AI104" s="227">
        <f t="shared" si="43"/>
        <v>2.5354315317582117</v>
      </c>
      <c r="AJ104" s="267" t="b">
        <f t="shared" si="44"/>
        <v>1</v>
      </c>
      <c r="AK104" s="267" t="b">
        <f t="shared" si="45"/>
        <v>0</v>
      </c>
      <c r="AL104" s="267"/>
      <c r="AM104" s="267"/>
      <c r="AN104" s="75"/>
    </row>
    <row r="105" spans="1:40" s="6" customFormat="1" ht="11.25" x14ac:dyDescent="0.2">
      <c r="A105" s="56">
        <f t="shared" si="46"/>
        <v>46113</v>
      </c>
      <c r="B105" s="413">
        <f>'2025'!Wh/'2025'!Env_an*'2026'!Env_an</f>
        <v>26.326058748947343</v>
      </c>
      <c r="C105" s="868"/>
      <c r="D105" s="395">
        <f t="shared" si="25"/>
        <v>28.09861043284711</v>
      </c>
      <c r="E105" s="387">
        <f t="shared" si="47"/>
        <v>32.241813369089613</v>
      </c>
      <c r="F105" s="387">
        <f t="shared" si="26"/>
        <v>32.259851778339794</v>
      </c>
      <c r="G105" s="110">
        <f t="shared" si="48"/>
        <v>0.62637269174706978</v>
      </c>
      <c r="H105" s="416" t="b">
        <f>Wh_hp&gt;='2025'!Maxi_hp</f>
        <v>0</v>
      </c>
      <c r="I105" s="392">
        <f>IF(H105,Wh_hp,'2025'!Maxi_hp)</f>
        <v>47.773310266895436</v>
      </c>
      <c r="J105" s="85">
        <f>IF(H105,An,'2025'!An_max)</f>
        <v>2020</v>
      </c>
      <c r="K105" s="199">
        <f t="shared" si="27"/>
        <v>46113</v>
      </c>
      <c r="L105" s="147">
        <f>IF(t&lt;Tvie,1-EXP((T0-t)*PertePVj)+'2025'!Pspv,1-EXP((T0-t)*PertePVj)+Pspv)</f>
        <v>6.3083250616111086E-2</v>
      </c>
      <c r="M105" s="872"/>
      <c r="N105" s="872"/>
      <c r="O105" s="48">
        <f>IF(t&lt;Tnet,'2025'!Resal+('2025'!Salim-'2025'!Resal)*(1-EXP(('2025'!Tnet-t)/('2025'!Tau_j))),Resal+(Salim-Resal)*(1-EXP((Tnet-t)/(Tau_j))))*Salcycl</f>
        <v>0.12850402949775194</v>
      </c>
      <c r="P105" s="171">
        <f>(INDEX(Models!$BJ105:$BT105,,T105)*(1-R105)+INDEX(Models!$BJ105:$BT105,,T105+1)*R105-ERP_i)*Q105*Ramure*Pc/MaxiM</f>
        <v>1.1978087247368225E-3</v>
      </c>
      <c r="Q105" s="307">
        <f t="shared" si="28"/>
        <v>0.9</v>
      </c>
      <c r="R105" s="179">
        <f t="shared" si="29"/>
        <v>0.90120396214823195</v>
      </c>
      <c r="S105" s="839">
        <f t="shared" si="30"/>
        <v>-3</v>
      </c>
      <c r="T105" s="178">
        <f t="shared" si="31"/>
        <v>3</v>
      </c>
      <c r="U105" s="253">
        <f t="shared" si="32"/>
        <v>-2.098796037851768</v>
      </c>
      <c r="V105" s="385">
        <f t="shared" si="33"/>
        <v>42.002527532795376</v>
      </c>
      <c r="W105" s="404">
        <f t="shared" si="34"/>
        <v>26.326058748947343</v>
      </c>
      <c r="X105" s="157">
        <f t="shared" si="35"/>
        <v>46113</v>
      </c>
      <c r="Y105" s="387">
        <f t="shared" si="36"/>
        <v>24.846753286478361</v>
      </c>
      <c r="Z105" s="387">
        <f t="shared" si="37"/>
        <v>26.519702313804768</v>
      </c>
      <c r="AA105" s="388">
        <f t="shared" si="38"/>
        <v>31.975742347472341</v>
      </c>
      <c r="AB105" s="199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0.17063059785690535</v>
      </c>
      <c r="AD105" s="233">
        <f>(INDEX(Models!$BJ105:$BT105,,AH105)*(1-AF105)+INDEX(Models!$BJ105:$BT105,,AH105+1)*AF105-ERP_i)*AE105*Ramure*Pc/MaxiM</f>
        <v>1.8865785244873413E-2</v>
      </c>
      <c r="AE105" s="307">
        <f t="shared" si="40"/>
        <v>0.9</v>
      </c>
      <c r="AF105" s="179">
        <f t="shared" si="41"/>
        <v>0.53685961445521091</v>
      </c>
      <c r="AG105" s="839">
        <f t="shared" si="49"/>
        <v>2</v>
      </c>
      <c r="AH105" s="178">
        <f t="shared" si="42"/>
        <v>8</v>
      </c>
      <c r="AI105" s="227">
        <f t="shared" si="43"/>
        <v>2.5368596144552109</v>
      </c>
      <c r="AJ105" s="267" t="b">
        <f t="shared" si="44"/>
        <v>1</v>
      </c>
      <c r="AK105" s="267" t="b">
        <f t="shared" si="45"/>
        <v>0</v>
      </c>
      <c r="AL105" s="267"/>
      <c r="AM105" s="267"/>
      <c r="AN105" s="75"/>
    </row>
    <row r="106" spans="1:40" s="6" customFormat="1" ht="11.25" x14ac:dyDescent="0.2">
      <c r="A106" s="56">
        <f t="shared" si="46"/>
        <v>46114</v>
      </c>
      <c r="B106" s="413">
        <f>'2025'!Wh/'2025'!Env_an*'2026'!Env_an</f>
        <v>17.835469839770624</v>
      </c>
      <c r="C106" s="868"/>
      <c r="D106" s="395">
        <f t="shared" si="25"/>
        <v>19.036787333130434</v>
      </c>
      <c r="E106" s="387">
        <f t="shared" si="47"/>
        <v>21.846982804776804</v>
      </c>
      <c r="F106" s="387">
        <f t="shared" si="26"/>
        <v>21.851420840922049</v>
      </c>
      <c r="G106" s="110">
        <f t="shared" si="48"/>
        <v>0.42089306044871388</v>
      </c>
      <c r="H106" s="416" t="b">
        <f>Wh_hp&gt;='2025'!Maxi_hp</f>
        <v>0</v>
      </c>
      <c r="I106" s="392">
        <f>IF(H106,Wh_hp,'2025'!Maxi_hp)</f>
        <v>42.352590855929826</v>
      </c>
      <c r="J106" s="85">
        <f>IF(H106,An,'2025'!An_max)</f>
        <v>2020</v>
      </c>
      <c r="K106" s="199">
        <f t="shared" si="27"/>
        <v>46114</v>
      </c>
      <c r="L106" s="147">
        <f>IF(t&lt;Tvie,1-EXP((T0-t)*PertePVj)+'2025'!Pspv,1-EXP((T0-t)*PertePVj)+Pspv)</f>
        <v>6.310505403761657E-2</v>
      </c>
      <c r="M106" s="872"/>
      <c r="N106" s="872"/>
      <c r="O106" s="48">
        <f>IF(t&lt;Tnet,'2025'!Resal+('2025'!Salim-'2025'!Resal)*(1-EXP(('2025'!Tnet-t)/('2025'!Tau_j))),Resal+(Salim-Resal)*(1-EXP((Tnet-t)/(Tau_j))))*Salcycl</f>
        <v>0.12863082727523933</v>
      </c>
      <c r="P106" s="171">
        <f>(INDEX(Models!$BJ106:$BT106,,T106)*(1-R106)+INDEX(Models!$BJ106:$BT106,,T106+1)*R106-ERP_i)*Q106*Ramure*Pc/MaxiM</f>
        <v>1.1720429401854023E-3</v>
      </c>
      <c r="Q106" s="307">
        <f t="shared" si="28"/>
        <v>0.9</v>
      </c>
      <c r="R106" s="179">
        <f t="shared" si="29"/>
        <v>0.90268544781744708</v>
      </c>
      <c r="S106" s="839">
        <f t="shared" si="30"/>
        <v>-3</v>
      </c>
      <c r="T106" s="178">
        <f t="shared" si="31"/>
        <v>3</v>
      </c>
      <c r="U106" s="253">
        <f t="shared" si="32"/>
        <v>-2.0973145521825529</v>
      </c>
      <c r="V106" s="385">
        <f t="shared" si="33"/>
        <v>42.334232757000478</v>
      </c>
      <c r="W106" s="404">
        <f t="shared" si="34"/>
        <v>17.835469839770624</v>
      </c>
      <c r="X106" s="157">
        <f t="shared" si="35"/>
        <v>46114</v>
      </c>
      <c r="Y106" s="387">
        <f t="shared" si="36"/>
        <v>16.923194358949551</v>
      </c>
      <c r="Z106" s="387">
        <f t="shared" si="37"/>
        <v>18.06306505535256</v>
      </c>
      <c r="AA106" s="388">
        <f t="shared" si="38"/>
        <v>21.781617091798516</v>
      </c>
      <c r="AB106" s="199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0.17071974136603987</v>
      </c>
      <c r="AD106" s="233">
        <f>(INDEX(Models!$BJ106:$BT106,,AH106)*(1-AF106)+INDEX(Models!$BJ106:$BT106,,AH106+1)*AF106-ERP_i)*AE106*Ramure*Pc/MaxiM</f>
        <v>1.8434503163368861E-2</v>
      </c>
      <c r="AE106" s="307">
        <f t="shared" si="40"/>
        <v>0.9</v>
      </c>
      <c r="AF106" s="179">
        <f t="shared" si="41"/>
        <v>0.53834110012442604</v>
      </c>
      <c r="AG106" s="839">
        <f t="shared" si="49"/>
        <v>2</v>
      </c>
      <c r="AH106" s="178">
        <f t="shared" si="42"/>
        <v>8</v>
      </c>
      <c r="AI106" s="227">
        <f t="shared" si="43"/>
        <v>2.538341100124426</v>
      </c>
      <c r="AJ106" s="267" t="b">
        <f t="shared" si="44"/>
        <v>1</v>
      </c>
      <c r="AK106" s="267" t="b">
        <f t="shared" si="45"/>
        <v>0</v>
      </c>
      <c r="AL106" s="267"/>
      <c r="AM106" s="267"/>
      <c r="AN106" s="75"/>
    </row>
    <row r="107" spans="1:40" s="6" customFormat="1" ht="11.25" x14ac:dyDescent="0.2">
      <c r="A107" s="56">
        <f t="shared" si="46"/>
        <v>46115</v>
      </c>
      <c r="B107" s="413">
        <f>'2025'!Wh/'2025'!Env_an*'2026'!Env_an</f>
        <v>22.08129194481651</v>
      </c>
      <c r="C107" s="868"/>
      <c r="D107" s="395">
        <f t="shared" si="25"/>
        <v>23.569137517349773</v>
      </c>
      <c r="E107" s="387">
        <f t="shared" si="47"/>
        <v>27.052384543073977</v>
      </c>
      <c r="F107" s="387">
        <f t="shared" si="26"/>
        <v>27.062022905830975</v>
      </c>
      <c r="G107" s="110">
        <f t="shared" si="48"/>
        <v>0.51719586262699124</v>
      </c>
      <c r="H107" s="416" t="b">
        <f>Wh_hp&gt;='2025'!Maxi_hp</f>
        <v>0</v>
      </c>
      <c r="I107" s="392">
        <f>IF(H107,Wh_hp,'2025'!Maxi_hp)</f>
        <v>48.910344837500652</v>
      </c>
      <c r="J107" s="85">
        <f>IF(H107,An,'2025'!An_max)</f>
        <v>2021</v>
      </c>
      <c r="K107" s="199">
        <f t="shared" si="27"/>
        <v>46115</v>
      </c>
      <c r="L107" s="147">
        <f>IF(t&lt;Tvie,1-EXP((T0-t)*PertePVj)+'2025'!Pspv,1-EXP((T0-t)*PertePVj)+Pspv)</f>
        <v>6.3126856951724486E-2</v>
      </c>
      <c r="M107" s="872"/>
      <c r="N107" s="872"/>
      <c r="O107" s="48">
        <f>IF(t&lt;Tnet,'2025'!Resal+('2025'!Salim-'2025'!Resal)*(1-EXP(('2025'!Tnet-t)/('2025'!Tau_j))),Resal+(Salim-Resal)*(1-EXP((Tnet-t)/(Tau_j))))*Salcycl</f>
        <v>0.1287593343269991</v>
      </c>
      <c r="P107" s="171">
        <f>(INDEX(Models!$BJ107:$BT107,,T107)*(1-R107)+INDEX(Models!$BJ107:$BT107,,T107+1)*R107-ERP_i)*Q107*Ramure*Pc/MaxiM</f>
        <v>1.1457050208554789E-3</v>
      </c>
      <c r="Q107" s="307">
        <f t="shared" si="28"/>
        <v>0.9</v>
      </c>
      <c r="R107" s="179">
        <f t="shared" si="29"/>
        <v>0.90422206654418602</v>
      </c>
      <c r="S107" s="839">
        <f t="shared" si="30"/>
        <v>-3</v>
      </c>
      <c r="T107" s="178">
        <f t="shared" si="31"/>
        <v>3</v>
      </c>
      <c r="U107" s="253">
        <f t="shared" si="32"/>
        <v>-2.095777933455814</v>
      </c>
      <c r="V107" s="385">
        <f t="shared" si="33"/>
        <v>42.660533687326541</v>
      </c>
      <c r="W107" s="404">
        <f t="shared" si="34"/>
        <v>22.08129194481651</v>
      </c>
      <c r="X107" s="157">
        <f t="shared" si="35"/>
        <v>46115</v>
      </c>
      <c r="Y107" s="387">
        <f t="shared" si="36"/>
        <v>20.905057592848319</v>
      </c>
      <c r="Z107" s="387">
        <f t="shared" si="37"/>
        <v>22.313648062138032</v>
      </c>
      <c r="AA107" s="388">
        <f t="shared" si="38"/>
        <v>26.910214241072794</v>
      </c>
      <c r="AB107" s="199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0.17081120714078402</v>
      </c>
      <c r="AD107" s="233">
        <f>(INDEX(Models!$BJ107:$BT107,,AH107)*(1-AF107)+INDEX(Models!$BJ107:$BT107,,AH107+1)*AF107-ERP_i)*AE107*Ramure*Pc/MaxiM</f>
        <v>1.8045383205412522E-2</v>
      </c>
      <c r="AE107" s="307">
        <f t="shared" si="40"/>
        <v>0.9</v>
      </c>
      <c r="AF107" s="179">
        <f t="shared" si="41"/>
        <v>0.53987771885116498</v>
      </c>
      <c r="AG107" s="839">
        <f t="shared" si="49"/>
        <v>2</v>
      </c>
      <c r="AH107" s="178">
        <f t="shared" si="42"/>
        <v>8</v>
      </c>
      <c r="AI107" s="227">
        <f t="shared" si="43"/>
        <v>2.539877718851165</v>
      </c>
      <c r="AJ107" s="267" t="b">
        <f t="shared" si="44"/>
        <v>1</v>
      </c>
      <c r="AK107" s="267" t="b">
        <f t="shared" si="45"/>
        <v>0</v>
      </c>
      <c r="AL107" s="267"/>
      <c r="AM107" s="267"/>
      <c r="AN107" s="75"/>
    </row>
    <row r="108" spans="1:40" s="6" customFormat="1" ht="11.25" x14ac:dyDescent="0.2">
      <c r="A108" s="56">
        <f t="shared" si="46"/>
        <v>46116</v>
      </c>
      <c r="B108" s="413">
        <f>'2025'!Wh/'2025'!Env_an*'2026'!Env_an</f>
        <v>38.241260236784946</v>
      </c>
      <c r="C108" s="868"/>
      <c r="D108" s="395">
        <f t="shared" si="25"/>
        <v>40.818920332224145</v>
      </c>
      <c r="E108" s="387">
        <f t="shared" si="47"/>
        <v>46.858493559088082</v>
      </c>
      <c r="F108" s="387">
        <f t="shared" si="26"/>
        <v>46.902680131802533</v>
      </c>
      <c r="G108" s="110">
        <f t="shared" si="48"/>
        <v>0.8895173060576651</v>
      </c>
      <c r="H108" s="416" t="b">
        <f>Wh_hp&gt;='2025'!Maxi_hp</f>
        <v>0</v>
      </c>
      <c r="I108" s="392">
        <f>IF(H108,Wh_hp,'2025'!Maxi_hp)</f>
        <v>53.219609194847415</v>
      </c>
      <c r="J108" s="85">
        <f>IF(H108,An,'2025'!An_max)</f>
        <v>2020</v>
      </c>
      <c r="K108" s="199">
        <f t="shared" si="27"/>
        <v>46116</v>
      </c>
      <c r="L108" s="147">
        <f>IF(t&lt;Tvie,1-EXP((T0-t)*PertePVj)+'2025'!Pspv,1-EXP((T0-t)*PertePVj)+Pspv)</f>
        <v>6.3148659358446824E-2</v>
      </c>
      <c r="M108" s="872"/>
      <c r="N108" s="872"/>
      <c r="O108" s="48">
        <f>IF(t&lt;Tnet,'2025'!Resal+('2025'!Salim-'2025'!Resal)*(1-EXP(('2025'!Tnet-t)/('2025'!Tau_j))),Resal+(Salim-Resal)*(1-EXP((Tnet-t)/(Tau_j))))*Salcycl</f>
        <v>0.12888961569471058</v>
      </c>
      <c r="P108" s="171">
        <f>(INDEX(Models!$BJ108:$BT108,,T108)*(1-R108)+INDEX(Models!$BJ108:$BT108,,T108+1)*R108-ERP_i)*Q108*Ramure*Pc/MaxiM</f>
        <v>1.1183520025700882E-3</v>
      </c>
      <c r="Q108" s="307">
        <f t="shared" si="28"/>
        <v>0.9</v>
      </c>
      <c r="R108" s="179">
        <f t="shared" si="29"/>
        <v>0.90581558299297971</v>
      </c>
      <c r="S108" s="839">
        <f t="shared" si="30"/>
        <v>-3</v>
      </c>
      <c r="T108" s="178">
        <f t="shared" si="31"/>
        <v>3</v>
      </c>
      <c r="U108" s="253">
        <f t="shared" si="32"/>
        <v>-2.0941844170070203</v>
      </c>
      <c r="V108" s="385">
        <f t="shared" si="33"/>
        <v>42.983439626217915</v>
      </c>
      <c r="W108" s="404">
        <f t="shared" si="34"/>
        <v>38.241260236784946</v>
      </c>
      <c r="X108" s="157">
        <f t="shared" si="35"/>
        <v>46116</v>
      </c>
      <c r="Y108" s="387">
        <f t="shared" si="36"/>
        <v>35.888054622678311</v>
      </c>
      <c r="Z108" s="387">
        <f t="shared" si="37"/>
        <v>38.307096404539777</v>
      </c>
      <c r="AA108" s="388">
        <f t="shared" si="38"/>
        <v>46.203511073677589</v>
      </c>
      <c r="AB108" s="199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0.17090507811291525</v>
      </c>
      <c r="AD108" s="233">
        <f>(INDEX(Models!$BJ108:$BT108,,AH108)*(1-AF108)+INDEX(Models!$BJ108:$BT108,,AH108+1)*AF108-ERP_i)*AE108*Ramure*Pc/MaxiM</f>
        <v>1.7695808211741375E-2</v>
      </c>
      <c r="AE108" s="307">
        <f t="shared" si="40"/>
        <v>0.9</v>
      </c>
      <c r="AF108" s="179">
        <f t="shared" si="41"/>
        <v>0.54147123529995866</v>
      </c>
      <c r="AG108" s="839">
        <f t="shared" si="49"/>
        <v>2</v>
      </c>
      <c r="AH108" s="178">
        <f t="shared" si="42"/>
        <v>8</v>
      </c>
      <c r="AI108" s="227">
        <f t="shared" si="43"/>
        <v>2.5414712352999587</v>
      </c>
      <c r="AJ108" s="267" t="b">
        <f t="shared" si="44"/>
        <v>1</v>
      </c>
      <c r="AK108" s="267" t="b">
        <f t="shared" si="45"/>
        <v>0</v>
      </c>
      <c r="AL108" s="267"/>
      <c r="AM108" s="267"/>
      <c r="AN108" s="75"/>
    </row>
    <row r="109" spans="1:40" s="6" customFormat="1" ht="11.25" x14ac:dyDescent="0.2">
      <c r="A109" s="56">
        <f t="shared" si="46"/>
        <v>46117</v>
      </c>
      <c r="B109" s="413">
        <f>'2025'!Wh/'2025'!Env_an*'2026'!Env_an</f>
        <v>44.251499719943773</v>
      </c>
      <c r="C109" s="868"/>
      <c r="D109" s="395">
        <f t="shared" si="25"/>
        <v>47.235380493399269</v>
      </c>
      <c r="E109" s="387">
        <f t="shared" si="47"/>
        <v>54.232559396634706</v>
      </c>
      <c r="F109" s="387">
        <f t="shared" si="26"/>
        <v>54.291772673602438</v>
      </c>
      <c r="G109" s="110">
        <f t="shared" si="48"/>
        <v>1.0219121604568475</v>
      </c>
      <c r="H109" s="416" t="b">
        <f>Wh_hp&gt;='2025'!Maxi_hp</f>
        <v>0</v>
      </c>
      <c r="I109" s="392">
        <f>IF(H109,Wh_hp,'2025'!Maxi_hp)</f>
        <v>55.117663879347624</v>
      </c>
      <c r="J109" s="85">
        <f>IF(H109,An,'2025'!An_max)</f>
        <v>2020</v>
      </c>
      <c r="K109" s="199">
        <f t="shared" si="27"/>
        <v>46117</v>
      </c>
      <c r="L109" s="147">
        <f>IF(t&lt;Tvie,1-EXP((T0-t)*PertePVj)+'2025'!Pspv,1-EXP((T0-t)*PertePVj)+Pspv)</f>
        <v>6.3170461257795241E-2</v>
      </c>
      <c r="M109" s="872"/>
      <c r="N109" s="872"/>
      <c r="O109" s="48">
        <f>IF(t&lt;Tnet,'2025'!Resal+('2025'!Salim-'2025'!Resal)*(1-EXP(('2025'!Tnet-t)/('2025'!Tau_j))),Resal+(Salim-Resal)*(1-EXP((Tnet-t)/(Tau_j))))*Salcycl</f>
        <v>0.12902173493345465</v>
      </c>
      <c r="P109" s="171">
        <f>(INDEX(Models!$BJ109:$BT109,,T109)*(1-R109)+INDEX(Models!$BJ109:$BT109,,T109+1)*R109-ERP_i)*Q109*Ramure*Pc/MaxiM</f>
        <v>1.0906491730103625E-3</v>
      </c>
      <c r="Q109" s="307">
        <f t="shared" si="28"/>
        <v>0.9</v>
      </c>
      <c r="R109" s="179">
        <f t="shared" si="29"/>
        <v>0.90746779527220589</v>
      </c>
      <c r="S109" s="839">
        <f t="shared" si="30"/>
        <v>-3</v>
      </c>
      <c r="T109" s="178">
        <f t="shared" si="31"/>
        <v>3</v>
      </c>
      <c r="U109" s="253">
        <f t="shared" si="32"/>
        <v>-2.0925322047277941</v>
      </c>
      <c r="V109" s="385">
        <f t="shared" si="33"/>
        <v>43.302645209898536</v>
      </c>
      <c r="W109" s="404">
        <f t="shared" si="34"/>
        <v>44.251499719943773</v>
      </c>
      <c r="X109" s="157">
        <f t="shared" si="35"/>
        <v>46117</v>
      </c>
      <c r="Y109" s="387">
        <f t="shared" si="36"/>
        <v>41.432652336340844</v>
      </c>
      <c r="Z109" s="387">
        <f t="shared" si="37"/>
        <v>44.226458093933154</v>
      </c>
      <c r="AA109" s="388">
        <f t="shared" si="38"/>
        <v>53.349257726881895</v>
      </c>
      <c r="AB109" s="199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0.17100143510247745</v>
      </c>
      <c r="AD109" s="233">
        <f>(INDEX(Models!$BJ109:$BT109,,AH109)*(1-AF109)+INDEX(Models!$BJ109:$BT109,,AH109+1)*AF109-ERP_i)*AE109*Ramure*Pc/MaxiM</f>
        <v>1.7360180010825319E-2</v>
      </c>
      <c r="AE109" s="307">
        <f t="shared" si="40"/>
        <v>0.9</v>
      </c>
      <c r="AF109" s="179">
        <f t="shared" si="41"/>
        <v>0.54312344757918485</v>
      </c>
      <c r="AG109" s="839">
        <f t="shared" si="49"/>
        <v>2</v>
      </c>
      <c r="AH109" s="178">
        <f t="shared" si="42"/>
        <v>8</v>
      </c>
      <c r="AI109" s="227">
        <f t="shared" si="43"/>
        <v>2.5431234475791848</v>
      </c>
      <c r="AJ109" s="267" t="b">
        <f t="shared" si="44"/>
        <v>1</v>
      </c>
      <c r="AK109" s="267" t="b">
        <f t="shared" si="45"/>
        <v>0</v>
      </c>
      <c r="AL109" s="267"/>
      <c r="AM109" s="267"/>
      <c r="AN109" s="75"/>
    </row>
    <row r="110" spans="1:40" s="6" customFormat="1" ht="11.25" x14ac:dyDescent="0.2">
      <c r="A110" s="56">
        <f t="shared" si="46"/>
        <v>46118</v>
      </c>
      <c r="B110" s="413">
        <f>'2025'!Wh/'2025'!Env_an*'2026'!Env_an</f>
        <v>11.241691715851042</v>
      </c>
      <c r="C110" s="868"/>
      <c r="D110" s="395">
        <f t="shared" si="25"/>
        <v>11.999998791265771</v>
      </c>
      <c r="E110" s="387">
        <f t="shared" si="47"/>
        <v>13.779730240081342</v>
      </c>
      <c r="F110" s="387">
        <f t="shared" si="26"/>
        <v>13.779730240081342</v>
      </c>
      <c r="G110" s="110">
        <f t="shared" si="48"/>
        <v>0.25745744675844501</v>
      </c>
      <c r="H110" s="416" t="b">
        <f>Wh_hp&gt;='2025'!Maxi_hp</f>
        <v>0</v>
      </c>
      <c r="I110" s="392">
        <f>IF(H110,Wh_hp,'2025'!Maxi_hp)</f>
        <v>55.281205017406521</v>
      </c>
      <c r="J110" s="85">
        <f>IF(H110,An,'2025'!An_max)</f>
        <v>2020</v>
      </c>
      <c r="K110" s="199">
        <f t="shared" si="27"/>
        <v>46118</v>
      </c>
      <c r="L110" s="147">
        <f>IF(t&lt;Tvie,1-EXP((T0-t)*PertePVj)+'2025'!Pspv,1-EXP((T0-t)*PertePVj)+Pspv)</f>
        <v>6.3192262649781616E-2</v>
      </c>
      <c r="M110" s="872"/>
      <c r="N110" s="872"/>
      <c r="O110" s="48">
        <f>IF(t&lt;Tnet,'2025'!Resal+('2025'!Salim-'2025'!Resal)*(1-EXP(('2025'!Tnet-t)/('2025'!Tau_j))),Resal+(Salim-Resal)*(1-EXP((Tnet-t)/(Tau_j))))*Salcycl</f>
        <v>0.12915575398122345</v>
      </c>
      <c r="P110" s="171">
        <f>(INDEX(Models!$BJ110:$BT110,,T110)*(1-R110)+INDEX(Models!$BJ110:$BT110,,T110+1)*R110-ERP_i)*Q110*Ramure*Pc/MaxiM</f>
        <v>1.0625958941296531E-3</v>
      </c>
      <c r="Q110" s="307">
        <f t="shared" si="28"/>
        <v>0.9</v>
      </c>
      <c r="R110" s="179">
        <f t="shared" si="29"/>
        <v>0.90918053360446249</v>
      </c>
      <c r="S110" s="839">
        <f t="shared" si="30"/>
        <v>-3</v>
      </c>
      <c r="T110" s="178">
        <f t="shared" si="31"/>
        <v>3</v>
      </c>
      <c r="U110" s="253">
        <f t="shared" si="32"/>
        <v>-2.0908194663955375</v>
      </c>
      <c r="V110" s="385">
        <f t="shared" si="33"/>
        <v>43.61787348464938</v>
      </c>
      <c r="W110" s="404">
        <f t="shared" si="34"/>
        <v>11.241691715851042</v>
      </c>
      <c r="X110" s="157">
        <f t="shared" si="35"/>
        <v>46118</v>
      </c>
      <c r="Y110" s="387">
        <f t="shared" si="36"/>
        <v>10.700230605547713</v>
      </c>
      <c r="Z110" s="387">
        <f t="shared" si="37"/>
        <v>11.422013481457309</v>
      </c>
      <c r="AA110" s="388">
        <f t="shared" si="38"/>
        <v>13.779730240081342</v>
      </c>
      <c r="AB110" s="199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0.17110035665038648</v>
      </c>
      <c r="AD110" s="233">
        <f>(INDEX(Models!$BJ110:$BT110,,AH110)*(1-AF110)+INDEX(Models!$BJ110:$BT110,,AH110+1)*AF110-ERP_i)*AE110*Ramure*Pc/MaxiM</f>
        <v>1.7038322561247019E-2</v>
      </c>
      <c r="AE110" s="307">
        <f t="shared" si="40"/>
        <v>0.9</v>
      </c>
      <c r="AF110" s="179">
        <f t="shared" si="41"/>
        <v>0.54483618591144145</v>
      </c>
      <c r="AG110" s="839">
        <f t="shared" si="49"/>
        <v>2</v>
      </c>
      <c r="AH110" s="178">
        <f t="shared" si="42"/>
        <v>8</v>
      </c>
      <c r="AI110" s="227">
        <f t="shared" si="43"/>
        <v>2.5448361859114415</v>
      </c>
      <c r="AJ110" s="267" t="b">
        <f t="shared" si="44"/>
        <v>1</v>
      </c>
      <c r="AK110" s="267" t="b">
        <f t="shared" si="45"/>
        <v>0</v>
      </c>
      <c r="AL110" s="267"/>
      <c r="AM110" s="267"/>
      <c r="AN110" s="75"/>
    </row>
    <row r="111" spans="1:40" s="6" customFormat="1" ht="11.25" x14ac:dyDescent="0.2">
      <c r="A111" s="56">
        <f t="shared" si="46"/>
        <v>46119</v>
      </c>
      <c r="B111" s="413">
        <f>'2025'!Wh/'2025'!Env_an*'2026'!Env_an</f>
        <v>34.007624104739136</v>
      </c>
      <c r="C111" s="868"/>
      <c r="D111" s="395">
        <f t="shared" si="25"/>
        <v>36.302449450775448</v>
      </c>
      <c r="E111" s="387">
        <f t="shared" si="47"/>
        <v>41.693011112899768</v>
      </c>
      <c r="F111" s="387">
        <f t="shared" si="26"/>
        <v>41.722238360484113</v>
      </c>
      <c r="G111" s="110">
        <f t="shared" si="48"/>
        <v>0.7738939340004144</v>
      </c>
      <c r="H111" s="416" t="b">
        <f>Wh_hp&gt;='2025'!Maxi_hp</f>
        <v>0</v>
      </c>
      <c r="I111" s="392">
        <f>IF(H111,Wh_hp,'2025'!Maxi_hp)</f>
        <v>54.094709331029712</v>
      </c>
      <c r="J111" s="85">
        <f>IF(H111,An,'2025'!An_max)</f>
        <v>2021</v>
      </c>
      <c r="K111" s="199">
        <f t="shared" si="27"/>
        <v>46119</v>
      </c>
      <c r="L111" s="147">
        <f>IF(t&lt;Tvie,1-EXP((T0-t)*PertePVj)+'2025'!Pspv,1-EXP((T0-t)*PertePVj)+Pspv)</f>
        <v>6.321406353441783E-2</v>
      </c>
      <c r="M111" s="872"/>
      <c r="N111" s="872"/>
      <c r="O111" s="48">
        <f>IF(t&lt;Tnet,'2025'!Resal+('2025'!Salim-'2025'!Resal)*(1-EXP(('2025'!Tnet-t)/('2025'!Tau_j))),Resal+(Salim-Resal)*(1-EXP((Tnet-t)/(Tau_j))))*Salcycl</f>
        <v>0.12929173303236149</v>
      </c>
      <c r="P111" s="171">
        <f>(INDEX(Models!$BJ111:$BT111,,T111)*(1-R111)+INDEX(Models!$BJ111:$BT111,,T111+1)*R111-ERP_i)*Q111*Ramure*Pc/MaxiM</f>
        <v>1.0341901113537836E-3</v>
      </c>
      <c r="Q111" s="307">
        <f t="shared" si="28"/>
        <v>0.9</v>
      </c>
      <c r="R111" s="179">
        <f t="shared" si="29"/>
        <v>0.91095565878979112</v>
      </c>
      <c r="S111" s="839">
        <f t="shared" si="30"/>
        <v>-3</v>
      </c>
      <c r="T111" s="178">
        <f t="shared" si="31"/>
        <v>3</v>
      </c>
      <c r="U111" s="253">
        <f t="shared" si="32"/>
        <v>-2.0890443412102089</v>
      </c>
      <c r="V111" s="385">
        <f t="shared" si="33"/>
        <v>43.928847761588436</v>
      </c>
      <c r="W111" s="404">
        <f t="shared" si="34"/>
        <v>34.007624104739136</v>
      </c>
      <c r="X111" s="157">
        <f t="shared" si="35"/>
        <v>46119</v>
      </c>
      <c r="Y111" s="387">
        <f t="shared" si="36"/>
        <v>32.026320704170928</v>
      </c>
      <c r="Z111" s="387">
        <f t="shared" si="37"/>
        <v>34.187448228571462</v>
      </c>
      <c r="AA111" s="388">
        <f t="shared" si="38"/>
        <v>41.249429754241113</v>
      </c>
      <c r="AB111" s="199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0.17120191885667371</v>
      </c>
      <c r="AD111" s="233">
        <f>(INDEX(Models!$BJ111:$BT111,,AH111)*(1-AF111)+INDEX(Models!$BJ111:$BT111,,AH111+1)*AF111-ERP_i)*AE111*Ramure*Pc/MaxiM</f>
        <v>1.6730072981674362E-2</v>
      </c>
      <c r="AE111" s="307">
        <f t="shared" si="40"/>
        <v>0.9</v>
      </c>
      <c r="AF111" s="179">
        <f t="shared" si="41"/>
        <v>0.54661131109677008</v>
      </c>
      <c r="AG111" s="839">
        <f t="shared" si="49"/>
        <v>2</v>
      </c>
      <c r="AH111" s="178">
        <f t="shared" si="42"/>
        <v>8</v>
      </c>
      <c r="AI111" s="227">
        <f t="shared" si="43"/>
        <v>2.5466113110967701</v>
      </c>
      <c r="AJ111" s="267" t="b">
        <f t="shared" si="44"/>
        <v>1</v>
      </c>
      <c r="AK111" s="267" t="b">
        <f t="shared" si="45"/>
        <v>0</v>
      </c>
      <c r="AL111" s="267"/>
      <c r="AM111" s="267"/>
      <c r="AN111" s="75"/>
    </row>
    <row r="112" spans="1:40" s="6" customFormat="1" ht="11.25" x14ac:dyDescent="0.2">
      <c r="A112" s="56">
        <f t="shared" si="46"/>
        <v>46120</v>
      </c>
      <c r="B112" s="413">
        <f>'2025'!Wh/'2025'!Env_an*'2026'!Env_an</f>
        <v>26.563635582127574</v>
      </c>
      <c r="C112" s="868"/>
      <c r="D112" s="395">
        <f t="shared" si="25"/>
        <v>28.356802485043161</v>
      </c>
      <c r="E112" s="387">
        <f t="shared" si="47"/>
        <v>32.572675033493056</v>
      </c>
      <c r="F112" s="387">
        <f t="shared" si="26"/>
        <v>32.586740355879336</v>
      </c>
      <c r="G112" s="110">
        <f t="shared" si="48"/>
        <v>0.60016303222272027</v>
      </c>
      <c r="H112" s="416" t="b">
        <f>Wh_hp&gt;='2025'!Maxi_hp</f>
        <v>0</v>
      </c>
      <c r="I112" s="392">
        <f>IF(H112,Wh_hp,'2025'!Maxi_hp)</f>
        <v>51.981553630280644</v>
      </c>
      <c r="J112" s="85">
        <f>IF(H112,An,'2025'!An_max)</f>
        <v>2021</v>
      </c>
      <c r="K112" s="199">
        <f t="shared" si="27"/>
        <v>46120</v>
      </c>
      <c r="L112" s="147">
        <f>IF(t&lt;Tvie,1-EXP((T0-t)*PertePVj)+'2025'!Pspv,1-EXP((T0-t)*PertePVj)+Pspv)</f>
        <v>6.323586391171554E-2</v>
      </c>
      <c r="M112" s="872"/>
      <c r="N112" s="872"/>
      <c r="O112" s="48">
        <f>IF(t&lt;Tnet,'2025'!Resal+('2025'!Salim-'2025'!Resal)*(1-EXP(('2025'!Tnet-t)/('2025'!Tau_j))),Resal+(Salim-Resal)*(1-EXP((Tnet-t)/(Tau_j))))*Salcycl</f>
        <v>0.1294297304140633</v>
      </c>
      <c r="P112" s="171">
        <f>(INDEX(Models!$BJ112:$BT112,,T112)*(1-R112)+INDEX(Models!$BJ112:$BT112,,T112+1)*R112-ERP_i)*Q112*Ramure*Pc/MaxiM</f>
        <v>1.0054283560015076E-3</v>
      </c>
      <c r="Q112" s="307">
        <f t="shared" si="28"/>
        <v>0.9</v>
      </c>
      <c r="R112" s="179">
        <f t="shared" si="29"/>
        <v>0.9127950604486319</v>
      </c>
      <c r="S112" s="839">
        <f t="shared" si="30"/>
        <v>-3</v>
      </c>
      <c r="T112" s="178">
        <f t="shared" si="31"/>
        <v>3</v>
      </c>
      <c r="U112" s="253">
        <f t="shared" si="32"/>
        <v>-2.0872049395513681</v>
      </c>
      <c r="V112" s="385">
        <f t="shared" si="33"/>
        <v>44.235291627821013</v>
      </c>
      <c r="W112" s="404">
        <f t="shared" si="34"/>
        <v>26.563635582127574</v>
      </c>
      <c r="X112" s="157">
        <f t="shared" si="35"/>
        <v>46120</v>
      </c>
      <c r="Y112" s="387">
        <f t="shared" si="36"/>
        <v>25.118297077122794</v>
      </c>
      <c r="Z112" s="387">
        <f t="shared" si="37"/>
        <v>26.81389702002377</v>
      </c>
      <c r="AA112" s="388">
        <f t="shared" si="38"/>
        <v>32.356820897491183</v>
      </c>
      <c r="AB112" s="199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0.17130619522318977</v>
      </c>
      <c r="AD112" s="233">
        <f>(INDEX(Models!$BJ112:$BT112,,AH112)*(1-AF112)+INDEX(Models!$BJ112:$BT112,,AH112+1)*AF112-ERP_i)*AE112*Ramure*Pc/MaxiM</f>
        <v>1.6435282228968544E-2</v>
      </c>
      <c r="AE112" s="307">
        <f t="shared" si="40"/>
        <v>0.9</v>
      </c>
      <c r="AF112" s="179">
        <f t="shared" si="41"/>
        <v>0.54845071275561086</v>
      </c>
      <c r="AG112" s="839">
        <f t="shared" si="49"/>
        <v>2</v>
      </c>
      <c r="AH112" s="178">
        <f t="shared" si="42"/>
        <v>8</v>
      </c>
      <c r="AI112" s="227">
        <f t="shared" si="43"/>
        <v>2.5484507127556109</v>
      </c>
      <c r="AJ112" s="267" t="b">
        <f t="shared" si="44"/>
        <v>1</v>
      </c>
      <c r="AK112" s="267" t="b">
        <f t="shared" si="45"/>
        <v>0</v>
      </c>
      <c r="AL112" s="267"/>
      <c r="AM112" s="267"/>
      <c r="AN112" s="75"/>
    </row>
    <row r="113" spans="1:40" s="6" customFormat="1" ht="11.25" x14ac:dyDescent="0.2">
      <c r="A113" s="56">
        <f t="shared" si="46"/>
        <v>46121</v>
      </c>
      <c r="B113" s="413">
        <f>'2025'!Wh/'2025'!Env_an*'2026'!Env_an</f>
        <v>32.23371540895895</v>
      </c>
      <c r="C113" s="868"/>
      <c r="D113" s="395">
        <f t="shared" si="25"/>
        <v>34.410439416124234</v>
      </c>
      <c r="E113" s="387">
        <f t="shared" si="47"/>
        <v>39.532681096740795</v>
      </c>
      <c r="F113" s="387">
        <f t="shared" si="26"/>
        <v>39.556059408084231</v>
      </c>
      <c r="G113" s="110">
        <f t="shared" si="48"/>
        <v>0.72347352013454935</v>
      </c>
      <c r="H113" s="416" t="b">
        <f>Wh_hp&gt;='2025'!Maxi_hp</f>
        <v>0</v>
      </c>
      <c r="I113" s="392">
        <f>IF(H113,Wh_hp,'2025'!Maxi_hp)</f>
        <v>51.372515344218137</v>
      </c>
      <c r="J113" s="85">
        <f>IF(H113,An,'2025'!An_max)</f>
        <v>2020</v>
      </c>
      <c r="K113" s="199">
        <f t="shared" si="27"/>
        <v>46121</v>
      </c>
      <c r="L113" s="147">
        <f>IF(t&lt;Tvie,1-EXP((T0-t)*PertePVj)+'2025'!Pspv,1-EXP((T0-t)*PertePVj)+Pspv)</f>
        <v>6.3257663781686624E-2</v>
      </c>
      <c r="M113" s="872"/>
      <c r="N113" s="872"/>
      <c r="O113" s="48">
        <f>IF(t&lt;Tnet,'2025'!Resal+('2025'!Salim-'2025'!Resal)*(1-EXP(('2025'!Tnet-t)/('2025'!Tau_j))),Resal+(Salim-Resal)*(1-EXP((Tnet-t)/(Tau_j))))*Salcycl</f>
        <v>0.12956980246500036</v>
      </c>
      <c r="P113" s="171">
        <f>(INDEX(Models!$BJ113:$BT113,,T113)*(1-R113)+INDEX(Models!$BJ113:$BT113,,T113+1)*R113-ERP_i)*Q113*Ramure*Pc/MaxiM</f>
        <v>9.7630574449310292E-4</v>
      </c>
      <c r="Q113" s="307">
        <f t="shared" si="28"/>
        <v>0.9</v>
      </c>
      <c r="R113" s="179">
        <f t="shared" si="29"/>
        <v>0.91470065503122422</v>
      </c>
      <c r="S113" s="839">
        <f t="shared" si="30"/>
        <v>-3</v>
      </c>
      <c r="T113" s="178">
        <f t="shared" si="31"/>
        <v>3</v>
      </c>
      <c r="U113" s="253">
        <f t="shared" si="32"/>
        <v>-2.0852993449687758</v>
      </c>
      <c r="V113" s="385">
        <f t="shared" si="33"/>
        <v>44.536928977327015</v>
      </c>
      <c r="W113" s="404">
        <f t="shared" si="34"/>
        <v>32.23371540895895</v>
      </c>
      <c r="X113" s="157">
        <f t="shared" si="35"/>
        <v>46121</v>
      </c>
      <c r="Y113" s="387">
        <f t="shared" si="36"/>
        <v>30.402082425392614</v>
      </c>
      <c r="Z113" s="387">
        <f t="shared" si="37"/>
        <v>32.455117325141615</v>
      </c>
      <c r="AA113" s="388">
        <f t="shared" si="38"/>
        <v>39.169245199398965</v>
      </c>
      <c r="AB113" s="199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0.17141325649952463</v>
      </c>
      <c r="AD113" s="233">
        <f>(INDEX(Models!$BJ113:$BT113,,AH113)*(1-AF113)+INDEX(Models!$BJ113:$BT113,,AH113+1)*AF113-ERP_i)*AE113*Ramure*Pc/MaxiM</f>
        <v>1.6153815750126033E-2</v>
      </c>
      <c r="AE113" s="307">
        <f t="shared" si="40"/>
        <v>0.9</v>
      </c>
      <c r="AF113" s="179">
        <f t="shared" si="41"/>
        <v>0.55035630733820318</v>
      </c>
      <c r="AG113" s="839">
        <f t="shared" si="49"/>
        <v>2</v>
      </c>
      <c r="AH113" s="178">
        <f t="shared" si="42"/>
        <v>8</v>
      </c>
      <c r="AI113" s="227">
        <f t="shared" si="43"/>
        <v>2.5503563073382032</v>
      </c>
      <c r="AJ113" s="267" t="b">
        <f t="shared" si="44"/>
        <v>1</v>
      </c>
      <c r="AK113" s="267" t="b">
        <f t="shared" si="45"/>
        <v>0</v>
      </c>
      <c r="AL113" s="267"/>
      <c r="AM113" s="267"/>
      <c r="AN113" s="75"/>
    </row>
    <row r="114" spans="1:40" s="6" customFormat="1" ht="11.25" x14ac:dyDescent="0.2">
      <c r="A114" s="56">
        <f t="shared" si="46"/>
        <v>46122</v>
      </c>
      <c r="B114" s="413">
        <f>'2025'!Wh/'2025'!Env_an*'2026'!Env_an</f>
        <v>45.643112660514532</v>
      </c>
      <c r="C114" s="868"/>
      <c r="D114" s="395">
        <f t="shared" si="25"/>
        <v>48.726499382331639</v>
      </c>
      <c r="E114" s="387">
        <f t="shared" si="47"/>
        <v>55.988936505548203</v>
      </c>
      <c r="F114" s="387">
        <f t="shared" si="26"/>
        <v>56.041999013019073</v>
      </c>
      <c r="G114" s="110">
        <f t="shared" si="48"/>
        <v>1.0180585896509364</v>
      </c>
      <c r="H114" s="416" t="b">
        <f>Wh_hp&gt;='2025'!Maxi_hp</f>
        <v>1</v>
      </c>
      <c r="I114" s="392">
        <f>IF(H114,Wh_hp,'2025'!Maxi_hp)</f>
        <v>56.041999013019073</v>
      </c>
      <c r="J114" s="85">
        <f>IF(H114,An,'2025'!An_max)</f>
        <v>2026</v>
      </c>
      <c r="K114" s="199">
        <f t="shared" si="27"/>
        <v>46122</v>
      </c>
      <c r="L114" s="147">
        <f>IF(t&lt;Tvie,1-EXP((T0-t)*PertePVj)+'2025'!Pspv,1-EXP((T0-t)*PertePVj)+Pspv)</f>
        <v>6.3279463144342962E-2</v>
      </c>
      <c r="M114" s="872"/>
      <c r="N114" s="872"/>
      <c r="O114" s="48">
        <f>IF(t&lt;Tnet,'2025'!Resal+('2025'!Salim-'2025'!Resal)*(1-EXP(('2025'!Tnet-t)/('2025'!Tau_j))),Resal+(Salim-Resal)*(1-EXP((Tnet-t)/(Tau_j))))*Salcycl</f>
        <v>0.12971200341511926</v>
      </c>
      <c r="P114" s="171">
        <f>(INDEX(Models!$BJ114:$BT114,,T114)*(1-R114)+INDEX(Models!$BJ114:$BT114,,T114+1)*R114-ERP_i)*Q114*Ramure*Pc/MaxiM</f>
        <v>9.4683466695290417E-4</v>
      </c>
      <c r="Q114" s="307">
        <f t="shared" si="28"/>
        <v>0.9</v>
      </c>
      <c r="R114" s="179">
        <f t="shared" si="29"/>
        <v>0.91667438358010411</v>
      </c>
      <c r="S114" s="839">
        <f t="shared" si="30"/>
        <v>-3</v>
      </c>
      <c r="T114" s="178">
        <f t="shared" si="31"/>
        <v>3</v>
      </c>
      <c r="U114" s="253">
        <f t="shared" si="32"/>
        <v>-2.0833256164198959</v>
      </c>
      <c r="V114" s="385">
        <f t="shared" si="33"/>
        <v>44.833483185053502</v>
      </c>
      <c r="W114" s="404">
        <f t="shared" si="34"/>
        <v>45.643112660514532</v>
      </c>
      <c r="X114" s="157">
        <f t="shared" si="35"/>
        <v>46122</v>
      </c>
      <c r="Y114" s="387">
        <f t="shared" si="36"/>
        <v>42.800898499659311</v>
      </c>
      <c r="Z114" s="387">
        <f t="shared" si="37"/>
        <v>45.692281545712149</v>
      </c>
      <c r="AA114" s="388">
        <f t="shared" si="38"/>
        <v>55.152153832703412</v>
      </c>
      <c r="AB114" s="199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0.17152317053086452</v>
      </c>
      <c r="AD114" s="233">
        <f>(INDEX(Models!$BJ114:$BT114,,AH114)*(1-AF114)+INDEX(Models!$BJ114:$BT114,,AH114+1)*AF114-ERP_i)*AE114*Ramure*Pc/MaxiM</f>
        <v>1.5878184147373815E-2</v>
      </c>
      <c r="AE114" s="307">
        <f t="shared" si="40"/>
        <v>0.9</v>
      </c>
      <c r="AF114" s="179">
        <f t="shared" si="41"/>
        <v>0.55233003588708307</v>
      </c>
      <c r="AG114" s="839">
        <f t="shared" si="49"/>
        <v>2</v>
      </c>
      <c r="AH114" s="178">
        <f t="shared" si="42"/>
        <v>8</v>
      </c>
      <c r="AI114" s="227">
        <f t="shared" si="43"/>
        <v>2.5523300358870831</v>
      </c>
      <c r="AJ114" s="267" t="b">
        <f t="shared" si="44"/>
        <v>1</v>
      </c>
      <c r="AK114" s="267" t="b">
        <f t="shared" si="45"/>
        <v>0</v>
      </c>
      <c r="AL114" s="267"/>
      <c r="AM114" s="267"/>
      <c r="AN114" s="75"/>
    </row>
    <row r="115" spans="1:40" s="6" customFormat="1" ht="11.25" x14ac:dyDescent="0.2">
      <c r="A115" s="56">
        <f t="shared" si="46"/>
        <v>46123</v>
      </c>
      <c r="B115" s="413">
        <f>'2025'!Wh/'2025'!Env_an*'2026'!Env_an</f>
        <v>34.923325881800181</v>
      </c>
      <c r="C115" s="868"/>
      <c r="D115" s="395">
        <f t="shared" si="25"/>
        <v>37.283412974758228</v>
      </c>
      <c r="E115" s="387">
        <f t="shared" si="47"/>
        <v>42.847424658905609</v>
      </c>
      <c r="F115" s="387">
        <f t="shared" si="26"/>
        <v>42.874056284193827</v>
      </c>
      <c r="G115" s="110">
        <f t="shared" si="48"/>
        <v>0.77370052045707327</v>
      </c>
      <c r="H115" s="416" t="b">
        <f>Wh_hp&gt;='2025'!Maxi_hp</f>
        <v>0</v>
      </c>
      <c r="I115" s="392">
        <f>IF(H115,Wh_hp,'2025'!Maxi_hp)</f>
        <v>55.083209342837009</v>
      </c>
      <c r="J115" s="85">
        <f>IF(H115,An,'2025'!An_max)</f>
        <v>2020</v>
      </c>
      <c r="K115" s="199">
        <f t="shared" si="27"/>
        <v>46123</v>
      </c>
      <c r="L115" s="147">
        <f>IF(t&lt;Tvie,1-EXP((T0-t)*PertePVj)+'2025'!Pspv,1-EXP((T0-t)*PertePVj)+Pspv)</f>
        <v>6.3301261999696212E-2</v>
      </c>
      <c r="M115" s="872"/>
      <c r="N115" s="872"/>
      <c r="O115" s="48">
        <f>IF(t&lt;Tnet,'2025'!Resal+('2025'!Salim-'2025'!Resal)*(1-EXP(('2025'!Tnet-t)/('2025'!Tau_j))),Resal+(Salim-Resal)*(1-EXP((Tnet-t)/(Tau_j))))*Salcycl</f>
        <v>0.12985638526564119</v>
      </c>
      <c r="P115" s="171">
        <f>(INDEX(Models!$BJ115:$BT115,,T115)*(1-R115)+INDEX(Models!$BJ115:$BT115,,T115+1)*R115-ERP_i)*Q115*Ramure*Pc/MaxiM</f>
        <v>9.1745961590389334E-4</v>
      </c>
      <c r="Q115" s="307">
        <f t="shared" si="28"/>
        <v>0.9</v>
      </c>
      <c r="R115" s="179">
        <f t="shared" si="29"/>
        <v>0.91871820923236003</v>
      </c>
      <c r="S115" s="839">
        <f t="shared" si="30"/>
        <v>-3</v>
      </c>
      <c r="T115" s="178">
        <f t="shared" si="31"/>
        <v>3</v>
      </c>
      <c r="U115" s="253">
        <f t="shared" si="32"/>
        <v>-2.08128179076764</v>
      </c>
      <c r="V115" s="385">
        <f t="shared" si="33"/>
        <v>45.124658365689456</v>
      </c>
      <c r="W115" s="404">
        <f t="shared" si="34"/>
        <v>34.923325881800181</v>
      </c>
      <c r="X115" s="157">
        <f t="shared" si="35"/>
        <v>46123</v>
      </c>
      <c r="Y115" s="387">
        <f t="shared" si="36"/>
        <v>32.915794373462724</v>
      </c>
      <c r="Z115" s="387">
        <f t="shared" si="37"/>
        <v>35.14021428461885</v>
      </c>
      <c r="AA115" s="388">
        <f t="shared" si="38"/>
        <v>42.42122348868245</v>
      </c>
      <c r="AB115" s="199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0.17163600210649513</v>
      </c>
      <c r="AD115" s="233">
        <f>(INDEX(Models!$BJ115:$BT115,,AH115)*(1-AF115)+INDEX(Models!$BJ115:$BT115,,AH115+1)*AF115-ERP_i)*AE115*Ramure*Pc/MaxiM</f>
        <v>1.5600091926134037E-2</v>
      </c>
      <c r="AE115" s="307">
        <f t="shared" si="40"/>
        <v>0.9</v>
      </c>
      <c r="AF115" s="179">
        <f t="shared" si="41"/>
        <v>0.55437386153933899</v>
      </c>
      <c r="AG115" s="839">
        <f t="shared" si="49"/>
        <v>2</v>
      </c>
      <c r="AH115" s="178">
        <f t="shared" si="42"/>
        <v>8</v>
      </c>
      <c r="AI115" s="227">
        <f t="shared" si="43"/>
        <v>2.554373861539339</v>
      </c>
      <c r="AJ115" s="267" t="b">
        <f t="shared" si="44"/>
        <v>1</v>
      </c>
      <c r="AK115" s="267" t="b">
        <f t="shared" si="45"/>
        <v>0</v>
      </c>
      <c r="AL115" s="267"/>
      <c r="AM115" s="267"/>
      <c r="AN115" s="75"/>
    </row>
    <row r="116" spans="1:40" s="6" customFormat="1" ht="11.25" x14ac:dyDescent="0.2">
      <c r="A116" s="56">
        <f t="shared" si="46"/>
        <v>46124</v>
      </c>
      <c r="B116" s="413">
        <f>'2025'!Wh/'2025'!Env_an*'2026'!Env_an</f>
        <v>32.084236801794312</v>
      </c>
      <c r="C116" s="868"/>
      <c r="D116" s="395">
        <f t="shared" si="25"/>
        <v>34.253257920181277</v>
      </c>
      <c r="E116" s="387">
        <f t="shared" si="47"/>
        <v>39.371696486744675</v>
      </c>
      <c r="F116" s="387">
        <f t="shared" si="26"/>
        <v>39.392015881369758</v>
      </c>
      <c r="G116" s="110">
        <f t="shared" si="48"/>
        <v>0.7062796243244055</v>
      </c>
      <c r="H116" s="416" t="b">
        <f>Wh_hp&gt;='2025'!Maxi_hp</f>
        <v>0</v>
      </c>
      <c r="I116" s="392">
        <f>IF(H116,Wh_hp,'2025'!Maxi_hp)</f>
        <v>55.421173257782392</v>
      </c>
      <c r="J116" s="85">
        <f>IF(H116,An,'2025'!An_max)</f>
        <v>2019</v>
      </c>
      <c r="K116" s="199">
        <f t="shared" si="27"/>
        <v>46124</v>
      </c>
      <c r="L116" s="147">
        <f>IF(t&lt;Tvie,1-EXP((T0-t)*PertePVj)+'2025'!Pspv,1-EXP((T0-t)*PertePVj)+Pspv)</f>
        <v>6.3323060347758253E-2</v>
      </c>
      <c r="M116" s="872"/>
      <c r="N116" s="872"/>
      <c r="O116" s="48">
        <f>IF(t&lt;Tnet,'2025'!Resal+('2025'!Salim-'2025'!Resal)*(1-EXP(('2025'!Tnet-t)/('2025'!Tau_j))),Resal+(Salim-Resal)*(1-EXP((Tnet-t)/(Tau_j))))*Salcycl</f>
        <v>0.13000299766830292</v>
      </c>
      <c r="P116" s="171">
        <f>(INDEX(Models!$BJ116:$BT116,,T116)*(1-R116)+INDEX(Models!$BJ116:$BT116,,T116+1)*R116-ERP_i)*Q116*Ramure*Pc/MaxiM</f>
        <v>8.8816629304872973E-4</v>
      </c>
      <c r="Q116" s="307">
        <f t="shared" si="28"/>
        <v>0.9</v>
      </c>
      <c r="R116" s="179">
        <f t="shared" si="29"/>
        <v>0.92083411444843932</v>
      </c>
      <c r="S116" s="839">
        <f t="shared" si="30"/>
        <v>-3</v>
      </c>
      <c r="T116" s="178">
        <f t="shared" si="31"/>
        <v>3</v>
      </c>
      <c r="U116" s="253">
        <f t="shared" si="32"/>
        <v>-2.0791658855515607</v>
      </c>
      <c r="V116" s="385">
        <f t="shared" si="33"/>
        <v>45.410179272021807</v>
      </c>
      <c r="W116" s="404">
        <f t="shared" si="34"/>
        <v>32.084236801794312</v>
      </c>
      <c r="X116" s="157">
        <f t="shared" si="35"/>
        <v>46124</v>
      </c>
      <c r="Y116" s="387">
        <f t="shared" si="36"/>
        <v>30.288461052945674</v>
      </c>
      <c r="Z116" s="387">
        <f t="shared" si="37"/>
        <v>32.336080638635998</v>
      </c>
      <c r="AA116" s="388">
        <f t="shared" si="38"/>
        <v>39.041535059982557</v>
      </c>
      <c r="AB116" s="199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0.17175181280767887</v>
      </c>
      <c r="AD116" s="233">
        <f>(INDEX(Models!$BJ116:$BT116,,AH116)*(1-AF116)+INDEX(Models!$BJ116:$BT116,,AH116+1)*AF116-ERP_i)*AE116*Ramure*Pc/MaxiM</f>
        <v>1.531961250124096E-2</v>
      </c>
      <c r="AE116" s="307">
        <f t="shared" si="40"/>
        <v>0.9</v>
      </c>
      <c r="AF116" s="179">
        <f t="shared" si="41"/>
        <v>0.55648976675541828</v>
      </c>
      <c r="AG116" s="839">
        <f t="shared" si="49"/>
        <v>2</v>
      </c>
      <c r="AH116" s="178">
        <f t="shared" si="42"/>
        <v>8</v>
      </c>
      <c r="AI116" s="227">
        <f t="shared" si="43"/>
        <v>2.5564897667554183</v>
      </c>
      <c r="AJ116" s="267" t="b">
        <f t="shared" si="44"/>
        <v>1</v>
      </c>
      <c r="AK116" s="267" t="b">
        <f t="shared" si="45"/>
        <v>0</v>
      </c>
      <c r="AL116" s="267"/>
      <c r="AM116" s="267"/>
      <c r="AN116" s="75"/>
    </row>
    <row r="117" spans="1:40" s="6" customFormat="1" ht="11.25" x14ac:dyDescent="0.2">
      <c r="A117" s="56">
        <f t="shared" si="46"/>
        <v>46125</v>
      </c>
      <c r="B117" s="413">
        <f>'2025'!Wh/'2025'!Env_an*'2026'!Env_an</f>
        <v>7.0707918157447445</v>
      </c>
      <c r="C117" s="868"/>
      <c r="D117" s="395">
        <f t="shared" si="25"/>
        <v>7.5489809430502604</v>
      </c>
      <c r="E117" s="387">
        <f t="shared" si="47"/>
        <v>8.6785047150160679</v>
      </c>
      <c r="F117" s="387">
        <f t="shared" si="26"/>
        <v>8.6785047150160679</v>
      </c>
      <c r="G117" s="110">
        <f t="shared" si="48"/>
        <v>0.15462363397438583</v>
      </c>
      <c r="H117" s="416" t="b">
        <f>Wh_hp&gt;='2025'!Maxi_hp</f>
        <v>0</v>
      </c>
      <c r="I117" s="392">
        <f>IF(H117,Wh_hp,'2025'!Maxi_hp)</f>
        <v>56.406019342238785</v>
      </c>
      <c r="J117" s="85">
        <f>IF(H117,An,'2025'!An_max)</f>
        <v>2019</v>
      </c>
      <c r="K117" s="199">
        <f t="shared" si="27"/>
        <v>46125</v>
      </c>
      <c r="L117" s="147">
        <f>IF(t&lt;Tvie,1-EXP((T0-t)*PertePVj)+'2025'!Pspv,1-EXP((T0-t)*PertePVj)+Pspv)</f>
        <v>6.3344858188540853E-2</v>
      </c>
      <c r="M117" s="872"/>
      <c r="N117" s="872"/>
      <c r="O117" s="48">
        <f>IF(t&lt;Tnet,'2025'!Resal+('2025'!Salim-'2025'!Resal)*(1-EXP(('2025'!Tnet-t)/('2025'!Tau_j))),Resal+(Salim-Resal)*(1-EXP((Tnet-t)/(Tau_j))))*Salcycl</f>
        <v>0.13015188780291134</v>
      </c>
      <c r="P117" s="171">
        <f>(INDEX(Models!$BJ117:$BT117,,T117)*(1-R117)+INDEX(Models!$BJ117:$BT117,,T117+1)*R117-ERP_i)*Q117*Ramure*Pc/MaxiM</f>
        <v>8.5893970294713667E-4</v>
      </c>
      <c r="Q117" s="307">
        <f t="shared" si="28"/>
        <v>0.9</v>
      </c>
      <c r="R117" s="179">
        <f t="shared" si="29"/>
        <v>0.92302409795452967</v>
      </c>
      <c r="S117" s="839">
        <f t="shared" si="30"/>
        <v>-3</v>
      </c>
      <c r="T117" s="178">
        <f t="shared" si="31"/>
        <v>3</v>
      </c>
      <c r="U117" s="253">
        <f t="shared" si="32"/>
        <v>-2.0769759020454703</v>
      </c>
      <c r="V117" s="385">
        <f t="shared" si="33"/>
        <v>45.689771028749931</v>
      </c>
      <c r="W117" s="404">
        <f t="shared" si="34"/>
        <v>7.0707918157447445</v>
      </c>
      <c r="X117" s="157">
        <f t="shared" si="35"/>
        <v>46125</v>
      </c>
      <c r="Y117" s="387">
        <f t="shared" si="36"/>
        <v>6.7316696691147904</v>
      </c>
      <c r="Z117" s="387">
        <f t="shared" si="37"/>
        <v>7.1869243744244766</v>
      </c>
      <c r="AA117" s="388">
        <f t="shared" si="38"/>
        <v>8.6785047150160679</v>
      </c>
      <c r="AB117" s="199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0.17187066085368014</v>
      </c>
      <c r="AD117" s="233">
        <f>(INDEX(Models!$BJ117:$BT117,,AH117)*(1-AF117)+INDEX(Models!$BJ117:$BT117,,AH117+1)*AF117-ERP_i)*AE117*Ramure*Pc/MaxiM</f>
        <v>1.5036811173442135E-2</v>
      </c>
      <c r="AE117" s="307">
        <f t="shared" si="40"/>
        <v>0.9</v>
      </c>
      <c r="AF117" s="179">
        <f t="shared" si="41"/>
        <v>0.55867975026150862</v>
      </c>
      <c r="AG117" s="839">
        <f t="shared" si="49"/>
        <v>2</v>
      </c>
      <c r="AH117" s="178">
        <f t="shared" si="42"/>
        <v>8</v>
      </c>
      <c r="AI117" s="227">
        <f t="shared" si="43"/>
        <v>2.5586797502615086</v>
      </c>
      <c r="AJ117" s="267" t="b">
        <f t="shared" si="44"/>
        <v>1</v>
      </c>
      <c r="AK117" s="267" t="b">
        <f t="shared" si="45"/>
        <v>0</v>
      </c>
      <c r="AL117" s="267"/>
      <c r="AM117" s="267"/>
      <c r="AN117" s="75"/>
    </row>
    <row r="118" spans="1:40" s="6" customFormat="1" ht="11.25" x14ac:dyDescent="0.2">
      <c r="A118" s="56">
        <f t="shared" si="46"/>
        <v>46126</v>
      </c>
      <c r="B118" s="413">
        <f>'2025'!Wh/'2025'!Env_an*'2026'!Env_an</f>
        <v>34.568212883974383</v>
      </c>
      <c r="C118" s="868"/>
      <c r="D118" s="395">
        <f t="shared" si="25"/>
        <v>36.906878329472498</v>
      </c>
      <c r="E118" s="387">
        <f t="shared" si="47"/>
        <v>42.436483722295307</v>
      </c>
      <c r="F118" s="387">
        <f t="shared" si="26"/>
        <v>42.45923727034225</v>
      </c>
      <c r="G118" s="110">
        <f t="shared" si="48"/>
        <v>0.7518640890322601</v>
      </c>
      <c r="H118" s="416" t="b">
        <f>Wh_hp&gt;='2025'!Maxi_hp</f>
        <v>0</v>
      </c>
      <c r="I118" s="392">
        <f>IF(H118,Wh_hp,'2025'!Maxi_hp)</f>
        <v>56.154090506679154</v>
      </c>
      <c r="J118" s="85">
        <f>IF(H118,An,'2025'!An_max)</f>
        <v>2021</v>
      </c>
      <c r="K118" s="199">
        <f t="shared" si="27"/>
        <v>46126</v>
      </c>
      <c r="L118" s="147">
        <f>IF(t&lt;Tvie,1-EXP((T0-t)*PertePVj)+'2025'!Pspv,1-EXP((T0-t)*PertePVj)+Pspv)</f>
        <v>6.3366655522055892E-2</v>
      </c>
      <c r="M118" s="872"/>
      <c r="N118" s="872"/>
      <c r="O118" s="48">
        <f>IF(t&lt;Tnet,'2025'!Resal+('2025'!Salim-'2025'!Resal)*(1-EXP(('2025'!Tnet-t)/('2025'!Tau_j))),Resal+(Salim-Resal)*(1-EXP((Tnet-t)/(Tau_j))))*Salcycl</f>
        <v>0.13030310025233449</v>
      </c>
      <c r="P118" s="171">
        <f>(INDEX(Models!$BJ118:$BT118,,T118)*(1-R118)+INDEX(Models!$BJ118:$BT118,,T118+1)*R118-ERP_i)*Q118*Ramure*Pc/MaxiM</f>
        <v>8.2976414715697311E-4</v>
      </c>
      <c r="Q118" s="307">
        <f t="shared" si="28"/>
        <v>0.9</v>
      </c>
      <c r="R118" s="179">
        <f t="shared" si="29"/>
        <v>0.92529017138591874</v>
      </c>
      <c r="S118" s="839">
        <f t="shared" si="30"/>
        <v>-3</v>
      </c>
      <c r="T118" s="178">
        <f t="shared" si="31"/>
        <v>3</v>
      </c>
      <c r="U118" s="253">
        <f t="shared" si="32"/>
        <v>-2.0747098286140813</v>
      </c>
      <c r="V118" s="385">
        <f t="shared" si="33"/>
        <v>45.963159156043268</v>
      </c>
      <c r="W118" s="404">
        <f t="shared" si="34"/>
        <v>34.568212883974383</v>
      </c>
      <c r="X118" s="157">
        <f t="shared" si="35"/>
        <v>46126</v>
      </c>
      <c r="Y118" s="387">
        <f t="shared" si="36"/>
        <v>32.615089188910645</v>
      </c>
      <c r="Z118" s="387">
        <f t="shared" si="37"/>
        <v>34.821618706185902</v>
      </c>
      <c r="AA118" s="388">
        <f t="shared" si="38"/>
        <v>42.054719252410742</v>
      </c>
      <c r="AB118" s="199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0.17199260094478477</v>
      </c>
      <c r="AD118" s="233">
        <f>(INDEX(Models!$BJ118:$BT118,,AH118)*(1-AF118)+INDEX(Models!$BJ118:$BT118,,AH118+1)*AF118-ERP_i)*AE118*Ramure*Pc/MaxiM</f>
        <v>1.4751745418610967E-2</v>
      </c>
      <c r="AE118" s="307">
        <f t="shared" si="40"/>
        <v>0.9</v>
      </c>
      <c r="AF118" s="179">
        <f t="shared" si="41"/>
        <v>0.56094582369289769</v>
      </c>
      <c r="AG118" s="839">
        <f t="shared" si="49"/>
        <v>2</v>
      </c>
      <c r="AH118" s="178">
        <f t="shared" si="42"/>
        <v>8</v>
      </c>
      <c r="AI118" s="227">
        <f t="shared" si="43"/>
        <v>2.5609458236928977</v>
      </c>
      <c r="AJ118" s="267" t="b">
        <f t="shared" si="44"/>
        <v>1</v>
      </c>
      <c r="AK118" s="267" t="b">
        <f t="shared" si="45"/>
        <v>0</v>
      </c>
      <c r="AL118" s="267"/>
      <c r="AM118" s="267"/>
      <c r="AN118" s="75"/>
    </row>
    <row r="119" spans="1:40" s="6" customFormat="1" ht="11.25" x14ac:dyDescent="0.2">
      <c r="A119" s="56">
        <f t="shared" si="46"/>
        <v>46127</v>
      </c>
      <c r="B119" s="413">
        <f>'2025'!Wh/'2025'!Env_an*'2026'!Env_an</f>
        <v>38.379766207540364</v>
      </c>
      <c r="C119" s="868"/>
      <c r="D119" s="395">
        <f t="shared" si="25"/>
        <v>40.977250711640124</v>
      </c>
      <c r="E119" s="387">
        <f t="shared" si="47"/>
        <v>47.125024851358965</v>
      </c>
      <c r="F119" s="387">
        <f t="shared" si="26"/>
        <v>47.153618997980672</v>
      </c>
      <c r="G119" s="110">
        <f t="shared" si="48"/>
        <v>0.83002919825430077</v>
      </c>
      <c r="H119" s="416" t="b">
        <f>Wh_hp&gt;='2025'!Maxi_hp</f>
        <v>0</v>
      </c>
      <c r="I119" s="392">
        <f>IF(H119,Wh_hp,'2025'!Maxi_hp)</f>
        <v>56.104027308625504</v>
      </c>
      <c r="J119" s="85">
        <f>IF(H119,An,'2025'!An_max)</f>
        <v>2021</v>
      </c>
      <c r="K119" s="199">
        <f t="shared" si="27"/>
        <v>46127</v>
      </c>
      <c r="L119" s="147">
        <f>IF(t&lt;Tvie,1-EXP((T0-t)*PertePVj)+'2025'!Pspv,1-EXP((T0-t)*PertePVj)+Pspv)</f>
        <v>6.3388452348315139E-2</v>
      </c>
      <c r="M119" s="872"/>
      <c r="N119" s="872"/>
      <c r="O119" s="48">
        <f>IF(t&lt;Tnet,'2025'!Resal+('2025'!Salim-'2025'!Resal)*(1-EXP(('2025'!Tnet-t)/('2025'!Tau_j))),Resal+(Salim-Resal)*(1-EXP((Tnet-t)/(Tau_j))))*Salcycl</f>
        <v>0.13045667687412488</v>
      </c>
      <c r="P119" s="171">
        <f>(INDEX(Models!$BJ119:$BT119,,T119)*(1-R119)+INDEX(Models!$BJ119:$BT119,,T119+1)*R119-ERP_i)*Q119*Ramure*Pc/MaxiM</f>
        <v>8.0062321591987647E-4</v>
      </c>
      <c r="Q119" s="307">
        <f t="shared" si="28"/>
        <v>0.9</v>
      </c>
      <c r="R119" s="179">
        <f t="shared" si="29"/>
        <v>0.92763435561926277</v>
      </c>
      <c r="S119" s="839">
        <f t="shared" si="30"/>
        <v>-3</v>
      </c>
      <c r="T119" s="178">
        <f t="shared" si="31"/>
        <v>3</v>
      </c>
      <c r="U119" s="253">
        <f t="shared" si="32"/>
        <v>-2.0723656443807372</v>
      </c>
      <c r="V119" s="385">
        <f t="shared" si="33"/>
        <v>46.230069592755576</v>
      </c>
      <c r="W119" s="404">
        <f t="shared" si="34"/>
        <v>38.379766207540364</v>
      </c>
      <c r="X119" s="157">
        <f t="shared" si="35"/>
        <v>46127</v>
      </c>
      <c r="Y119" s="387">
        <f t="shared" si="36"/>
        <v>36.162540300113129</v>
      </c>
      <c r="Z119" s="387">
        <f t="shared" si="37"/>
        <v>38.609966309705982</v>
      </c>
      <c r="AA119" s="388">
        <f t="shared" si="38"/>
        <v>46.637022639856021</v>
      </c>
      <c r="AB119" s="199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0.1721176841012598</v>
      </c>
      <c r="AD119" s="233">
        <f>(INDEX(Models!$BJ119:$BT119,,AH119)*(1-AF119)+INDEX(Models!$BJ119:$BT119,,AH119+1)*AF119-ERP_i)*AE119*Ramure*Pc/MaxiM</f>
        <v>1.4464465159463639E-2</v>
      </c>
      <c r="AE119" s="307">
        <f t="shared" si="40"/>
        <v>0.9</v>
      </c>
      <c r="AF119" s="179">
        <f t="shared" si="41"/>
        <v>0.56329000792624173</v>
      </c>
      <c r="AG119" s="839">
        <f t="shared" si="49"/>
        <v>2</v>
      </c>
      <c r="AH119" s="178">
        <f t="shared" si="42"/>
        <v>8</v>
      </c>
      <c r="AI119" s="227">
        <f t="shared" si="43"/>
        <v>2.5632900079262417</v>
      </c>
      <c r="AJ119" s="267" t="b">
        <f t="shared" si="44"/>
        <v>1</v>
      </c>
      <c r="AK119" s="267" t="b">
        <f t="shared" si="45"/>
        <v>0</v>
      </c>
      <c r="AL119" s="267"/>
      <c r="AM119" s="267"/>
      <c r="AN119" s="75"/>
    </row>
    <row r="120" spans="1:40" s="6" customFormat="1" ht="11.25" x14ac:dyDescent="0.2">
      <c r="A120" s="56">
        <f t="shared" si="46"/>
        <v>46128</v>
      </c>
      <c r="B120" s="413">
        <f>'2025'!Wh/'2025'!Env_an*'2026'!Env_an</f>
        <v>41.152223502416483</v>
      </c>
      <c r="C120" s="868"/>
      <c r="D120" s="395">
        <f t="shared" si="25"/>
        <v>43.938366231171287</v>
      </c>
      <c r="E120" s="387">
        <f t="shared" si="47"/>
        <v>50.539459273443057</v>
      </c>
      <c r="F120" s="387">
        <f t="shared" si="26"/>
        <v>50.572075826736722</v>
      </c>
      <c r="G120" s="110">
        <f t="shared" si="48"/>
        <v>0.88506797132239634</v>
      </c>
      <c r="H120" s="416" t="b">
        <f>Wh_hp&gt;='2025'!Maxi_hp</f>
        <v>0</v>
      </c>
      <c r="I120" s="392">
        <f>IF(H120,Wh_hp,'2025'!Maxi_hp)</f>
        <v>50.578215137614656</v>
      </c>
      <c r="J120" s="85">
        <f>IF(H120,An,'2025'!An_max)</f>
        <v>2025</v>
      </c>
      <c r="K120" s="199">
        <f t="shared" si="27"/>
        <v>46128</v>
      </c>
      <c r="L120" s="147">
        <f>IF(t&lt;Tvie,1-EXP((T0-t)*PertePVj)+'2025'!Pspv,1-EXP((T0-t)*PertePVj)+Pspv)</f>
        <v>6.3410248667330471E-2</v>
      </c>
      <c r="M120" s="872"/>
      <c r="N120" s="872"/>
      <c r="O120" s="48">
        <f>IF(t&lt;Tnet,'2025'!Resal+('2025'!Salim-'2025'!Resal)*(1-EXP(('2025'!Tnet-t)/('2025'!Tau_j))),Resal+(Salim-Resal)*(1-EXP((Tnet-t)/(Tau_j))))*Salcycl</f>
        <v>0.13061265666806293</v>
      </c>
      <c r="P120" s="171">
        <f>(INDEX(Models!$BJ120:$BT120,,T120)*(1-R120)+INDEX(Models!$BJ120:$BT120,,T120+1)*R120-ERP_i)*Q120*Ramure*Pc/MaxiM</f>
        <v>7.7149977751854101E-4</v>
      </c>
      <c r="Q120" s="307">
        <f t="shared" si="28"/>
        <v>0.9</v>
      </c>
      <c r="R120" s="179">
        <f t="shared" si="29"/>
        <v>0.93005867678236198</v>
      </c>
      <c r="S120" s="839">
        <f t="shared" si="30"/>
        <v>-3</v>
      </c>
      <c r="T120" s="178">
        <f t="shared" si="31"/>
        <v>3</v>
      </c>
      <c r="U120" s="253">
        <f t="shared" si="32"/>
        <v>-2.069941323217638</v>
      </c>
      <c r="V120" s="385">
        <f t="shared" si="33"/>
        <v>46.490228712011564</v>
      </c>
      <c r="W120" s="404">
        <f t="shared" si="34"/>
        <v>41.152223502416483</v>
      </c>
      <c r="X120" s="157">
        <f t="shared" si="35"/>
        <v>46128</v>
      </c>
      <c r="Y120" s="387">
        <f t="shared" si="36"/>
        <v>38.742211512425918</v>
      </c>
      <c r="Z120" s="387">
        <f t="shared" si="37"/>
        <v>41.365188394705143</v>
      </c>
      <c r="AA120" s="388">
        <f t="shared" si="38"/>
        <v>49.972801424973355</v>
      </c>
      <c r="AB120" s="199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0.17224595749732474</v>
      </c>
      <c r="AD120" s="233">
        <f>(INDEX(Models!$BJ120:$BT120,,AH120)*(1-AF120)+INDEX(Models!$BJ120:$BT120,,AH120+1)*AF120-ERP_i)*AE120*Ramure*Pc/MaxiM</f>
        <v>1.4175013020853203E-2</v>
      </c>
      <c r="AE120" s="307">
        <f t="shared" si="40"/>
        <v>0.9</v>
      </c>
      <c r="AF120" s="179">
        <f t="shared" si="41"/>
        <v>0.56571432908934094</v>
      </c>
      <c r="AG120" s="839">
        <f t="shared" si="49"/>
        <v>2</v>
      </c>
      <c r="AH120" s="178">
        <f t="shared" si="42"/>
        <v>8</v>
      </c>
      <c r="AI120" s="227">
        <f t="shared" si="43"/>
        <v>2.5657143290893409</v>
      </c>
      <c r="AJ120" s="267" t="b">
        <f t="shared" si="44"/>
        <v>1</v>
      </c>
      <c r="AK120" s="267" t="b">
        <f t="shared" si="45"/>
        <v>0</v>
      </c>
      <c r="AL120" s="267"/>
      <c r="AM120" s="267"/>
      <c r="AN120" s="75"/>
    </row>
    <row r="121" spans="1:40" s="6" customFormat="1" ht="11.25" x14ac:dyDescent="0.2">
      <c r="A121" s="56">
        <f t="shared" si="46"/>
        <v>46129</v>
      </c>
      <c r="B121" s="413">
        <f>'2025'!Wh/'2025'!Env_an*'2026'!Env_an</f>
        <v>46.70771396612259</v>
      </c>
      <c r="C121" s="868"/>
      <c r="D121" s="395">
        <f t="shared" si="25"/>
        <v>49.871142495095711</v>
      </c>
      <c r="E121" s="387">
        <f t="shared" si="47"/>
        <v>57.374002518103879</v>
      </c>
      <c r="F121" s="387">
        <f t="shared" si="26"/>
        <v>57.416577943018943</v>
      </c>
      <c r="G121" s="110">
        <f t="shared" si="48"/>
        <v>0.99920922461092998</v>
      </c>
      <c r="H121" s="416" t="b">
        <f>Wh_hp&gt;='2025'!Maxi_hp</f>
        <v>0</v>
      </c>
      <c r="I121" s="392">
        <f>IF(H121,Wh_hp,'2025'!Maxi_hp)</f>
        <v>57.416623926306571</v>
      </c>
      <c r="J121" s="85">
        <f>IF(H121,An,'2025'!An_max)</f>
        <v>2025</v>
      </c>
      <c r="K121" s="199">
        <f t="shared" si="27"/>
        <v>46129</v>
      </c>
      <c r="L121" s="147">
        <f>IF(t&lt;Tvie,1-EXP((T0-t)*PertePVj)+'2025'!Pspv,1-EXP((T0-t)*PertePVj)+Pspv)</f>
        <v>6.3432044479113547E-2</v>
      </c>
      <c r="M121" s="872"/>
      <c r="N121" s="872"/>
      <c r="O121" s="48">
        <f>IF(t&lt;Tnet,'2025'!Resal+('2025'!Salim-'2025'!Resal)*(1-EXP(('2025'!Tnet-t)/('2025'!Tau_j))),Resal+(Salim-Resal)*(1-EXP((Tnet-t)/(Tau_j))))*Salcycl</f>
        <v>0.13077107563901788</v>
      </c>
      <c r="P121" s="171">
        <f>(INDEX(Models!$BJ121:$BT121,,T121)*(1-R121)+INDEX(Models!$BJ121:$BT121,,T121+1)*R121-ERP_i)*Q121*Ramure*Pc/MaxiM</f>
        <v>7.423557157275356E-4</v>
      </c>
      <c r="Q121" s="307">
        <f t="shared" si="28"/>
        <v>0.9</v>
      </c>
      <c r="R121" s="179">
        <f t="shared" si="29"/>
        <v>0.93256516193090988</v>
      </c>
      <c r="S121" s="839">
        <f t="shared" si="30"/>
        <v>-3</v>
      </c>
      <c r="T121" s="178">
        <f t="shared" si="31"/>
        <v>3</v>
      </c>
      <c r="U121" s="253">
        <f t="shared" si="32"/>
        <v>-2.0674348380690901</v>
      </c>
      <c r="V121" s="385">
        <f t="shared" si="33"/>
        <v>46.744639318726357</v>
      </c>
      <c r="W121" s="404">
        <f t="shared" si="34"/>
        <v>46.70771396612259</v>
      </c>
      <c r="X121" s="157">
        <f t="shared" si="35"/>
        <v>46129</v>
      </c>
      <c r="Y121" s="387">
        <f t="shared" si="36"/>
        <v>43.887842555364642</v>
      </c>
      <c r="Z121" s="387">
        <f t="shared" si="37"/>
        <v>46.86028632162175</v>
      </c>
      <c r="AA121" s="388">
        <f t="shared" si="38"/>
        <v>56.62036049004471</v>
      </c>
      <c r="AB121" s="199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0.17237746428935277</v>
      </c>
      <c r="AD121" s="233">
        <f>(INDEX(Models!$BJ121:$BT121,,AH121)*(1-AF121)+INDEX(Models!$BJ121:$BT121,,AH121+1)*AF121-ERP_i)*AE121*Ramure*Pc/MaxiM</f>
        <v>1.3883045873448487E-2</v>
      </c>
      <c r="AE121" s="307">
        <f t="shared" si="40"/>
        <v>0.9</v>
      </c>
      <c r="AF121" s="179">
        <f t="shared" si="41"/>
        <v>0.56822081423788884</v>
      </c>
      <c r="AG121" s="839">
        <f t="shared" si="49"/>
        <v>2</v>
      </c>
      <c r="AH121" s="178">
        <f t="shared" si="42"/>
        <v>8</v>
      </c>
      <c r="AI121" s="227">
        <f t="shared" si="43"/>
        <v>2.5682208142378888</v>
      </c>
      <c r="AJ121" s="267" t="b">
        <f t="shared" si="44"/>
        <v>1</v>
      </c>
      <c r="AK121" s="267" t="b">
        <f t="shared" si="45"/>
        <v>0</v>
      </c>
      <c r="AL121" s="267"/>
      <c r="AM121" s="267"/>
      <c r="AN121" s="75"/>
    </row>
    <row r="122" spans="1:40" s="18" customFormat="1" ht="11.25" x14ac:dyDescent="0.2">
      <c r="A122" s="56">
        <f t="shared" si="46"/>
        <v>46130</v>
      </c>
      <c r="B122" s="413">
        <f>'2025'!Wh/'2025'!Env_an*'2026'!Env_an</f>
        <v>37.527671238853102</v>
      </c>
      <c r="C122" s="868"/>
      <c r="D122" s="395">
        <f t="shared" si="25"/>
        <v>40.070284661873949</v>
      </c>
      <c r="E122" s="387">
        <f t="shared" si="47"/>
        <v>46.107189684137055</v>
      </c>
      <c r="F122" s="387">
        <f t="shared" si="26"/>
        <v>46.130615254178174</v>
      </c>
      <c r="G122" s="110">
        <f t="shared" si="48"/>
        <v>0.79839381067707149</v>
      </c>
      <c r="H122" s="416" t="b">
        <f>Wh_hp&gt;='2025'!Maxi_hp</f>
        <v>0</v>
      </c>
      <c r="I122" s="392">
        <f>IF(H122,Wh_hp,'2025'!Maxi_hp)</f>
        <v>46.139631627817437</v>
      </c>
      <c r="J122" s="85">
        <f>IF(H122,An,'2025'!An_max)</f>
        <v>2025</v>
      </c>
      <c r="K122" s="199">
        <f t="shared" si="27"/>
        <v>46130</v>
      </c>
      <c r="L122" s="147">
        <f>IF(t&lt;Tvie,1-EXP((T0-t)*PertePVj)+'2025'!Pspv,1-EXP((T0-t)*PertePVj)+Pspv)</f>
        <v>6.3453839783676247E-2</v>
      </c>
      <c r="M122" s="872"/>
      <c r="N122" s="872"/>
      <c r="O122" s="48">
        <f>IF(t&lt;Tnet,'2025'!Resal+('2025'!Salim-'2025'!Resal)*(1-EXP(('2025'!Tnet-t)/('2025'!Tau_j))),Resal+(Salim-Resal)*(1-EXP((Tnet-t)/(Tau_j))))*Salcycl</f>
        <v>0.13093196665465118</v>
      </c>
      <c r="P122" s="171">
        <f>(INDEX(Models!$BJ122:$BT122,,T122)*(1-R122)+INDEX(Models!$BJ122:$BT122,,T122+1)*R122-ERP_i)*Q122*Ramure*Pc/MaxiM</f>
        <v>7.1299009388870707E-4</v>
      </c>
      <c r="Q122" s="307">
        <f t="shared" si="28"/>
        <v>0.9</v>
      </c>
      <c r="R122" s="179">
        <f t="shared" si="29"/>
        <v>0.93515583438272154</v>
      </c>
      <c r="S122" s="839">
        <f t="shared" si="30"/>
        <v>-3</v>
      </c>
      <c r="T122" s="178">
        <f t="shared" si="31"/>
        <v>3</v>
      </c>
      <c r="U122" s="253">
        <f t="shared" si="32"/>
        <v>-2.0648441656172785</v>
      </c>
      <c r="V122" s="385">
        <f t="shared" si="33"/>
        <v>46.994311428142886</v>
      </c>
      <c r="W122" s="404">
        <f t="shared" si="34"/>
        <v>37.527671238853102</v>
      </c>
      <c r="X122" s="157">
        <f t="shared" si="35"/>
        <v>46130</v>
      </c>
      <c r="Y122" s="387">
        <f t="shared" si="36"/>
        <v>35.404533322641718</v>
      </c>
      <c r="Z122" s="387">
        <f t="shared" si="37"/>
        <v>37.803297719424705</v>
      </c>
      <c r="AA122" s="388">
        <f t="shared" si="38"/>
        <v>45.684419400322867</v>
      </c>
      <c r="AB122" s="199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0.17251224343769297</v>
      </c>
      <c r="AD122" s="233">
        <f>(INDEX(Models!$BJ122:$BT122,,AH122)*(1-AF122)+INDEX(Models!$BJ122:$BT122,,AH122+1)*AF122-ERP_i)*AE122*Ramure*Pc/MaxiM</f>
        <v>1.3580596893674482E-2</v>
      </c>
      <c r="AE122" s="307">
        <f t="shared" si="40"/>
        <v>0.9</v>
      </c>
      <c r="AF122" s="179">
        <f t="shared" si="41"/>
        <v>0.5708114866897005</v>
      </c>
      <c r="AG122" s="839">
        <f t="shared" si="49"/>
        <v>2</v>
      </c>
      <c r="AH122" s="178">
        <f t="shared" si="42"/>
        <v>8</v>
      </c>
      <c r="AI122" s="227">
        <f t="shared" si="43"/>
        <v>2.5708114866897005</v>
      </c>
      <c r="AJ122" s="267" t="b">
        <f t="shared" si="44"/>
        <v>1</v>
      </c>
      <c r="AK122" s="267" t="b">
        <f t="shared" si="45"/>
        <v>0</v>
      </c>
      <c r="AL122" s="267"/>
      <c r="AM122" s="267"/>
      <c r="AN122" s="267"/>
    </row>
    <row r="123" spans="1:40" s="18" customFormat="1" ht="11.25" x14ac:dyDescent="0.2">
      <c r="A123" s="56">
        <f t="shared" si="46"/>
        <v>46131</v>
      </c>
      <c r="B123" s="413">
        <f>'2025'!Wh/'2025'!Env_an*'2026'!Env_an</f>
        <v>10.252906726260923</v>
      </c>
      <c r="C123" s="868"/>
      <c r="D123" s="395">
        <f t="shared" si="25"/>
        <v>10.947826991852065</v>
      </c>
      <c r="E123" s="387">
        <f t="shared" si="47"/>
        <v>12.599572472075302</v>
      </c>
      <c r="F123" s="387">
        <f t="shared" si="26"/>
        <v>12.599572472075302</v>
      </c>
      <c r="G123" s="110">
        <f t="shared" si="48"/>
        <v>0.21689507007242637</v>
      </c>
      <c r="H123" s="416" t="b">
        <f>Wh_hp&gt;='2025'!Maxi_hp</f>
        <v>0</v>
      </c>
      <c r="I123" s="392">
        <f>IF(H123,Wh_hp,'2025'!Maxi_hp)</f>
        <v>56.480000775881308</v>
      </c>
      <c r="J123" s="85">
        <f>IF(H123,An,'2025'!An_max)</f>
        <v>2021</v>
      </c>
      <c r="K123" s="199">
        <f t="shared" si="27"/>
        <v>46131</v>
      </c>
      <c r="L123" s="147">
        <f>IF(t&lt;Tvie,1-EXP((T0-t)*PertePVj)+'2025'!Pspv,1-EXP((T0-t)*PertePVj)+Pspv)</f>
        <v>6.3475634581030338E-2</v>
      </c>
      <c r="M123" s="872"/>
      <c r="N123" s="872"/>
      <c r="O123" s="48">
        <f>IF(t&lt;Tnet,'2025'!Resal+('2025'!Salim-'2025'!Resal)*(1-EXP(('2025'!Tnet-t)/('2025'!Tau_j))),Resal+(Salim-Resal)*(1-EXP((Tnet-t)/(Tau_j))))*Salcycl</f>
        <v>0.13109535929762983</v>
      </c>
      <c r="P123" s="171">
        <f>(INDEX(Models!$BJ123:$BT123,,T123)*(1-R123)+INDEX(Models!$BJ123:$BT123,,T123+1)*R123-ERP_i)*Q123*Ramure*Pc/MaxiM</f>
        <v>6.8375506054414725E-4</v>
      </c>
      <c r="Q123" s="307">
        <f t="shared" si="28"/>
        <v>0.9</v>
      </c>
      <c r="R123" s="179">
        <f t="shared" si="29"/>
        <v>0.93783270870121349</v>
      </c>
      <c r="S123" s="839">
        <f t="shared" si="30"/>
        <v>-3</v>
      </c>
      <c r="T123" s="178">
        <f t="shared" si="31"/>
        <v>3</v>
      </c>
      <c r="U123" s="253">
        <f t="shared" si="32"/>
        <v>-2.0621672912987865</v>
      </c>
      <c r="V123" s="385">
        <f t="shared" si="33"/>
        <v>47.238954052667985</v>
      </c>
      <c r="W123" s="404">
        <f t="shared" si="34"/>
        <v>10.252906726260923</v>
      </c>
      <c r="X123" s="157">
        <f t="shared" si="35"/>
        <v>46131</v>
      </c>
      <c r="Y123" s="387">
        <f t="shared" si="36"/>
        <v>9.7625661137681021</v>
      </c>
      <c r="Z123" s="387">
        <f t="shared" si="37"/>
        <v>10.424252132939069</v>
      </c>
      <c r="AA123" s="388">
        <f t="shared" si="38"/>
        <v>12.599572472075302</v>
      </c>
      <c r="AB123" s="199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0.1726503295216914</v>
      </c>
      <c r="AD123" s="233">
        <f>(INDEX(Models!$BJ123:$BT123,,AH123)*(1-AF123)+INDEX(Models!$BJ123:$BT123,,AH123+1)*AF123-ERP_i)*AE123*Ramure*Pc/MaxiM</f>
        <v>1.3268381123654395E-2</v>
      </c>
      <c r="AE123" s="307">
        <f t="shared" si="40"/>
        <v>0.9</v>
      </c>
      <c r="AF123" s="179">
        <f t="shared" si="41"/>
        <v>0.57348836100819245</v>
      </c>
      <c r="AG123" s="839">
        <f t="shared" si="49"/>
        <v>2</v>
      </c>
      <c r="AH123" s="178">
        <f t="shared" si="42"/>
        <v>8</v>
      </c>
      <c r="AI123" s="227">
        <f t="shared" si="43"/>
        <v>2.5734883610081924</v>
      </c>
      <c r="AJ123" s="267" t="b">
        <f t="shared" si="44"/>
        <v>1</v>
      </c>
      <c r="AK123" s="267" t="b">
        <f t="shared" si="45"/>
        <v>0</v>
      </c>
      <c r="AL123" s="267"/>
      <c r="AM123" s="267"/>
      <c r="AN123" s="267"/>
    </row>
    <row r="124" spans="1:40" s="6" customFormat="1" ht="11.25" x14ac:dyDescent="0.2">
      <c r="A124" s="56">
        <f t="shared" si="46"/>
        <v>46132</v>
      </c>
      <c r="B124" s="413">
        <f>'2025'!Wh/'2025'!Env_an*'2026'!Env_an</f>
        <v>9.6780783234095615</v>
      </c>
      <c r="C124" s="868"/>
      <c r="D124" s="395">
        <f t="shared" si="25"/>
        <v>10.334278433153793</v>
      </c>
      <c r="E124" s="387">
        <f t="shared" si="47"/>
        <v>11.895726749384318</v>
      </c>
      <c r="F124" s="387">
        <f t="shared" si="26"/>
        <v>11.895726749384318</v>
      </c>
      <c r="G124" s="110">
        <f t="shared" si="48"/>
        <v>0.20370872554756889</v>
      </c>
      <c r="H124" s="416" t="b">
        <f>Wh_hp&gt;='2025'!Maxi_hp</f>
        <v>0</v>
      </c>
      <c r="I124" s="392">
        <f>IF(H124,Wh_hp,'2025'!Maxi_hp)</f>
        <v>48.589941916916572</v>
      </c>
      <c r="J124" s="85">
        <f>IF(H124,An,'2025'!An_max)</f>
        <v>2019</v>
      </c>
      <c r="K124" s="199">
        <f t="shared" si="27"/>
        <v>46132</v>
      </c>
      <c r="L124" s="147">
        <f>IF(t&lt;Tvie,1-EXP((T0-t)*PertePVj)+'2025'!Pspv,1-EXP((T0-t)*PertePVj)+Pspv)</f>
        <v>6.34974288711877E-2</v>
      </c>
      <c r="M124" s="872"/>
      <c r="N124" s="872"/>
      <c r="O124" s="48">
        <f>IF(t&lt;Tnet,'2025'!Resal+('2025'!Salim-'2025'!Resal)*(1-EXP(('2025'!Tnet-t)/('2025'!Tau_j))),Resal+(Salim-Resal)*(1-EXP((Tnet-t)/(Tau_j))))*Salcycl</f>
        <v>0.13126127971217399</v>
      </c>
      <c r="P124" s="171">
        <f>(INDEX(Models!$BJ124:$BT124,,T124)*(1-R124)+INDEX(Models!$BJ124:$BT124,,T124+1)*R124-ERP_i)*Q124*Ramure*Pc/MaxiM</f>
        <v>6.5463451260231451E-4</v>
      </c>
      <c r="Q124" s="307">
        <f t="shared" si="28"/>
        <v>0.9</v>
      </c>
      <c r="R124" s="179">
        <f t="shared" si="29"/>
        <v>0.94059778532135008</v>
      </c>
      <c r="S124" s="839">
        <f t="shared" si="30"/>
        <v>-3</v>
      </c>
      <c r="T124" s="178">
        <f t="shared" si="31"/>
        <v>3</v>
      </c>
      <c r="U124" s="253">
        <f t="shared" si="32"/>
        <v>-2.0594022146786499</v>
      </c>
      <c r="V124" s="385">
        <f t="shared" si="33"/>
        <v>47.478293790929925</v>
      </c>
      <c r="W124" s="404">
        <f t="shared" si="34"/>
        <v>9.6780783234095615</v>
      </c>
      <c r="X124" s="157">
        <f t="shared" si="35"/>
        <v>46132</v>
      </c>
      <c r="Y124" s="387">
        <f t="shared" si="36"/>
        <v>9.2154131290030232</v>
      </c>
      <c r="Z124" s="387">
        <f t="shared" si="37"/>
        <v>9.8402432765296481</v>
      </c>
      <c r="AA124" s="388">
        <f t="shared" si="38"/>
        <v>11.895726749384318</v>
      </c>
      <c r="AB124" s="199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0.17279175254769985</v>
      </c>
      <c r="AD124" s="233">
        <f>(INDEX(Models!$BJ124:$BT124,,AH124)*(1-AF124)+INDEX(Models!$BJ124:$BT124,,AH124+1)*AF124-ERP_i)*AE124*Ramure*Pc/MaxiM</f>
        <v>1.2946504302968301E-2</v>
      </c>
      <c r="AE124" s="307">
        <f t="shared" si="40"/>
        <v>0.9</v>
      </c>
      <c r="AF124" s="179">
        <f t="shared" si="41"/>
        <v>0.57625343762832903</v>
      </c>
      <c r="AG124" s="839">
        <f t="shared" si="49"/>
        <v>2</v>
      </c>
      <c r="AH124" s="178">
        <f t="shared" si="42"/>
        <v>8</v>
      </c>
      <c r="AI124" s="227">
        <f t="shared" si="43"/>
        <v>2.576253437628329</v>
      </c>
      <c r="AJ124" s="267" t="b">
        <f t="shared" si="44"/>
        <v>1</v>
      </c>
      <c r="AK124" s="267" t="b">
        <f t="shared" si="45"/>
        <v>0</v>
      </c>
      <c r="AL124" s="267"/>
      <c r="AM124" s="267"/>
      <c r="AN124" s="75"/>
    </row>
    <row r="125" spans="1:40" s="6" customFormat="1" ht="11.25" x14ac:dyDescent="0.2">
      <c r="A125" s="56">
        <f t="shared" si="46"/>
        <v>46133</v>
      </c>
      <c r="B125" s="413">
        <f>'2025'!Wh/'2025'!Env_an*'2026'!Env_an</f>
        <v>9.2341503527315627</v>
      </c>
      <c r="C125" s="868"/>
      <c r="D125" s="395">
        <f t="shared" si="25"/>
        <v>9.8604804029217288</v>
      </c>
      <c r="E125" s="387">
        <f t="shared" si="47"/>
        <v>11.352542189849148</v>
      </c>
      <c r="F125" s="387">
        <f t="shared" si="26"/>
        <v>11.352542189849148</v>
      </c>
      <c r="G125" s="110">
        <f t="shared" si="48"/>
        <v>0.1934180539483078</v>
      </c>
      <c r="H125" s="416" t="b">
        <f>Wh_hp&gt;='2025'!Maxi_hp</f>
        <v>0</v>
      </c>
      <c r="I125" s="392">
        <f>IF(H125,Wh_hp,'2025'!Maxi_hp)</f>
        <v>55.308374448877338</v>
      </c>
      <c r="J125" s="85">
        <f>IF(H125,An,'2025'!An_max)</f>
        <v>2021</v>
      </c>
      <c r="K125" s="199">
        <f t="shared" si="27"/>
        <v>46133</v>
      </c>
      <c r="L125" s="147">
        <f>IF(t&lt;Tvie,1-EXP((T0-t)*PertePVj)+'2025'!Pspv,1-EXP((T0-t)*PertePVj)+Pspv)</f>
        <v>6.351922265415999E-2</v>
      </c>
      <c r="M125" s="872"/>
      <c r="N125" s="872"/>
      <c r="O125" s="48">
        <f>IF(t&lt;Tnet,'2025'!Resal+('2025'!Salim-'2025'!Resal)*(1-EXP(('2025'!Tnet-t)/('2025'!Tau_j))),Resal+(Salim-Resal)*(1-EXP((Tnet-t)/(Tau_j))))*Salcycl</f>
        <v>0.13142975044493055</v>
      </c>
      <c r="P125" s="171">
        <f>(INDEX(Models!$BJ125:$BT125,,T125)*(1-R125)+INDEX(Models!$BJ125:$BT125,,T125+1)*R125-ERP_i)*Q125*Ramure*Pc/MaxiM</f>
        <v>6.2561350549211856E-4</v>
      </c>
      <c r="Q125" s="307">
        <f t="shared" si="28"/>
        <v>0.9</v>
      </c>
      <c r="R125" s="179">
        <f t="shared" si="29"/>
        <v>0.94345304481301273</v>
      </c>
      <c r="S125" s="839">
        <f t="shared" si="30"/>
        <v>-3</v>
      </c>
      <c r="T125" s="178">
        <f t="shared" si="31"/>
        <v>3</v>
      </c>
      <c r="U125" s="253">
        <f t="shared" si="32"/>
        <v>-2.0565469551869873</v>
      </c>
      <c r="V125" s="385">
        <f t="shared" si="33"/>
        <v>47.712057665648366</v>
      </c>
      <c r="W125" s="404">
        <f t="shared" si="34"/>
        <v>9.2341503527315627</v>
      </c>
      <c r="X125" s="157">
        <f t="shared" si="35"/>
        <v>46133</v>
      </c>
      <c r="Y125" s="387">
        <f t="shared" si="36"/>
        <v>8.7928735362265904</v>
      </c>
      <c r="Z125" s="387">
        <f t="shared" si="37"/>
        <v>9.3892728488749366</v>
      </c>
      <c r="AA125" s="388">
        <f t="shared" si="38"/>
        <v>11.352542189849148</v>
      </c>
      <c r="AB125" s="199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0.17293653775007897</v>
      </c>
      <c r="AD125" s="233">
        <f>(INDEX(Models!$BJ125:$BT125,,AH125)*(1-AF125)+INDEX(Models!$BJ125:$BT125,,AH125+1)*AF125-ERP_i)*AE125*Ramure*Pc/MaxiM</f>
        <v>1.2615090556943521E-2</v>
      </c>
      <c r="AE125" s="307">
        <f t="shared" si="40"/>
        <v>0.9</v>
      </c>
      <c r="AF125" s="179">
        <f t="shared" si="41"/>
        <v>0.57910869711999169</v>
      </c>
      <c r="AG125" s="839">
        <f t="shared" si="49"/>
        <v>2</v>
      </c>
      <c r="AH125" s="178">
        <f t="shared" si="42"/>
        <v>8</v>
      </c>
      <c r="AI125" s="227">
        <f t="shared" si="43"/>
        <v>2.5791086971199917</v>
      </c>
      <c r="AJ125" s="267" t="b">
        <f t="shared" si="44"/>
        <v>1</v>
      </c>
      <c r="AK125" s="267" t="b">
        <f t="shared" si="45"/>
        <v>0</v>
      </c>
      <c r="AL125" s="267"/>
      <c r="AM125" s="267"/>
      <c r="AN125" s="75"/>
    </row>
    <row r="126" spans="1:40" s="6" customFormat="1" ht="11.25" x14ac:dyDescent="0.2">
      <c r="A126" s="56">
        <f t="shared" si="46"/>
        <v>46134</v>
      </c>
      <c r="B126" s="413">
        <f>'2025'!Wh/'2025'!Env_an*'2026'!Env_an</f>
        <v>27.924363889062512</v>
      </c>
      <c r="C126" s="868"/>
      <c r="D126" s="395">
        <f t="shared" si="25"/>
        <v>29.819099783417698</v>
      </c>
      <c r="E126" s="387">
        <f t="shared" si="47"/>
        <v>34.338008889994356</v>
      </c>
      <c r="F126" s="387">
        <f t="shared" si="26"/>
        <v>34.346279114686794</v>
      </c>
      <c r="G126" s="110">
        <f t="shared" si="48"/>
        <v>0.58227866443670173</v>
      </c>
      <c r="H126" s="416" t="b">
        <f>Wh_hp&gt;='2025'!Maxi_hp</f>
        <v>0</v>
      </c>
      <c r="I126" s="392">
        <f>IF(H126,Wh_hp,'2025'!Maxi_hp)</f>
        <v>59.256250971912621</v>
      </c>
      <c r="J126" s="85">
        <f>IF(H126,An,'2025'!An_max)</f>
        <v>2021</v>
      </c>
      <c r="K126" s="199">
        <f t="shared" si="27"/>
        <v>46134</v>
      </c>
      <c r="L126" s="147">
        <f>IF(t&lt;Tvie,1-EXP((T0-t)*PertePVj)+'2025'!Pspv,1-EXP((T0-t)*PertePVj)+Pspv)</f>
        <v>6.3541015929959199E-2</v>
      </c>
      <c r="M126" s="872"/>
      <c r="N126" s="872"/>
      <c r="O126" s="48">
        <f>IF(t&lt;Tnet,'2025'!Resal+('2025'!Salim-'2025'!Resal)*(1-EXP(('2025'!Tnet-t)/('2025'!Tau_j))),Resal+(Salim-Resal)*(1-EXP((Tnet-t)/(Tau_j))))*Salcycl</f>
        <v>0.13160079028034169</v>
      </c>
      <c r="P126" s="171">
        <f>(INDEX(Models!$BJ126:$BT126,,T126)*(1-R126)+INDEX(Models!$BJ126:$BT126,,T126+1)*R126-ERP_i)*Q126*Ramure*Pc/MaxiM</f>
        <v>5.9667618530493294E-4</v>
      </c>
      <c r="Q126" s="307">
        <f t="shared" si="28"/>
        <v>0.9</v>
      </c>
      <c r="R126" s="179">
        <f t="shared" si="29"/>
        <v>0.94640044177864802</v>
      </c>
      <c r="S126" s="839">
        <f t="shared" si="30"/>
        <v>-3</v>
      </c>
      <c r="T126" s="178">
        <f t="shared" si="31"/>
        <v>3</v>
      </c>
      <c r="U126" s="253">
        <f t="shared" si="32"/>
        <v>-2.053599558221352</v>
      </c>
      <c r="V126" s="385">
        <f t="shared" si="33"/>
        <v>47.939973233114806</v>
      </c>
      <c r="W126" s="404">
        <f t="shared" si="34"/>
        <v>27.924363889062512</v>
      </c>
      <c r="X126" s="157">
        <f t="shared" si="35"/>
        <v>46134</v>
      </c>
      <c r="Y126" s="387">
        <f t="shared" si="36"/>
        <v>26.465064010861656</v>
      </c>
      <c r="Z126" s="387">
        <f t="shared" si="37"/>
        <v>28.260782865085151</v>
      </c>
      <c r="AA126" s="388">
        <f t="shared" si="38"/>
        <v>34.176152078863133</v>
      </c>
      <c r="AB126" s="199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0.17308470538543902</v>
      </c>
      <c r="AD126" s="233">
        <f>(INDEX(Models!$BJ126:$BT126,,AH126)*(1-AF126)+INDEX(Models!$BJ126:$BT126,,AH126+1)*AF126-ERP_i)*AE126*Ramure*Pc/MaxiM</f>
        <v>1.2274243388487188E-2</v>
      </c>
      <c r="AE126" s="307">
        <f t="shared" si="40"/>
        <v>0.9</v>
      </c>
      <c r="AF126" s="179">
        <f t="shared" si="41"/>
        <v>0.58205609408562697</v>
      </c>
      <c r="AG126" s="839">
        <f t="shared" si="49"/>
        <v>2</v>
      </c>
      <c r="AH126" s="178">
        <f t="shared" si="42"/>
        <v>8</v>
      </c>
      <c r="AI126" s="227">
        <f t="shared" si="43"/>
        <v>2.582056094085627</v>
      </c>
      <c r="AJ126" s="267" t="b">
        <f t="shared" si="44"/>
        <v>1</v>
      </c>
      <c r="AK126" s="267" t="b">
        <f t="shared" si="45"/>
        <v>0</v>
      </c>
      <c r="AL126" s="267"/>
      <c r="AM126" s="267"/>
      <c r="AN126" s="75"/>
    </row>
    <row r="127" spans="1:40" s="6" customFormat="1" ht="11.25" x14ac:dyDescent="0.2">
      <c r="A127" s="56">
        <f t="shared" si="46"/>
        <v>46135</v>
      </c>
      <c r="B127" s="413">
        <f>'2025'!Wh/'2025'!Env_an*'2026'!Env_an</f>
        <v>8.076270166945605</v>
      </c>
      <c r="C127" s="868"/>
      <c r="D127" s="395">
        <f t="shared" si="25"/>
        <v>8.6244654120600455</v>
      </c>
      <c r="E127" s="387">
        <f t="shared" si="47"/>
        <v>9.9334384425339408</v>
      </c>
      <c r="F127" s="387">
        <f t="shared" si="26"/>
        <v>9.9334384425339408</v>
      </c>
      <c r="G127" s="110">
        <f t="shared" si="48"/>
        <v>0.16759526580992043</v>
      </c>
      <c r="H127" s="416" t="b">
        <f>Wh_hp&gt;='2025'!Maxi_hp</f>
        <v>0</v>
      </c>
      <c r="I127" s="392">
        <f>IF(H127,Wh_hp,'2025'!Maxi_hp)</f>
        <v>58.448809737185101</v>
      </c>
      <c r="J127" s="85">
        <f>IF(H127,An,'2025'!An_max)</f>
        <v>2021</v>
      </c>
      <c r="K127" s="199">
        <f t="shared" si="27"/>
        <v>46135</v>
      </c>
      <c r="L127" s="147">
        <f>IF(t&lt;Tvie,1-EXP((T0-t)*PertePVj)+'2025'!Pspv,1-EXP((T0-t)*PertePVj)+Pspv)</f>
        <v>6.3562808698597095E-2</v>
      </c>
      <c r="M127" s="872"/>
      <c r="N127" s="872"/>
      <c r="O127" s="48">
        <f>IF(t&lt;Tnet,'2025'!Resal+('2025'!Salim-'2025'!Resal)*(1-EXP(('2025'!Tnet-t)/('2025'!Tau_j))),Resal+(Salim-Resal)*(1-EXP((Tnet-t)/(Tau_j))))*Salcycl</f>
        <v>0.13177441407086288</v>
      </c>
      <c r="P127" s="171">
        <f>(INDEX(Models!$BJ127:$BT127,,T127)*(1-R127)+INDEX(Models!$BJ127:$BT127,,T127+1)*R127-ERP_i)*Q127*Ramure*Pc/MaxiM</f>
        <v>5.6780414254769163E-4</v>
      </c>
      <c r="Q127" s="307">
        <f t="shared" si="28"/>
        <v>0.9</v>
      </c>
      <c r="R127" s="179">
        <f t="shared" si="29"/>
        <v>0.94944189838429471</v>
      </c>
      <c r="S127" s="839">
        <f t="shared" si="30"/>
        <v>-3</v>
      </c>
      <c r="T127" s="178">
        <f t="shared" si="31"/>
        <v>3</v>
      </c>
      <c r="U127" s="253">
        <f t="shared" si="32"/>
        <v>-2.0505581016157053</v>
      </c>
      <c r="V127" s="385">
        <f t="shared" si="33"/>
        <v>48.161768700811919</v>
      </c>
      <c r="W127" s="404">
        <f t="shared" si="34"/>
        <v>8.076270166945605</v>
      </c>
      <c r="X127" s="157">
        <f t="shared" si="35"/>
        <v>46135</v>
      </c>
      <c r="Y127" s="387">
        <f t="shared" si="36"/>
        <v>7.6905902702251678</v>
      </c>
      <c r="Z127" s="387">
        <f t="shared" si="37"/>
        <v>8.2126066133034055</v>
      </c>
      <c r="AA127" s="388">
        <f t="shared" si="38"/>
        <v>9.9334384425339408</v>
      </c>
      <c r="AB127" s="199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0.17323627052059978</v>
      </c>
      <c r="AD127" s="233">
        <f>(INDEX(Models!$BJ127:$BT127,,AH127)*(1-AF127)+INDEX(Models!$BJ127:$BT127,,AH127+1)*AF127-ERP_i)*AE127*Ramure*Pc/MaxiM</f>
        <v>1.1924010817813673E-2</v>
      </c>
      <c r="AE127" s="307">
        <f t="shared" si="40"/>
        <v>0.9</v>
      </c>
      <c r="AF127" s="179">
        <f t="shared" si="41"/>
        <v>0.58509755069127367</v>
      </c>
      <c r="AG127" s="839">
        <f t="shared" si="49"/>
        <v>2</v>
      </c>
      <c r="AH127" s="178">
        <f t="shared" si="42"/>
        <v>8</v>
      </c>
      <c r="AI127" s="227">
        <f t="shared" si="43"/>
        <v>2.5850975506912737</v>
      </c>
      <c r="AJ127" s="267" t="b">
        <f t="shared" si="44"/>
        <v>1</v>
      </c>
      <c r="AK127" s="267" t="b">
        <f t="shared" si="45"/>
        <v>0</v>
      </c>
      <c r="AL127" s="267"/>
      <c r="AM127" s="267"/>
      <c r="AN127" s="75"/>
    </row>
    <row r="128" spans="1:40" s="6" customFormat="1" ht="11.25" x14ac:dyDescent="0.2">
      <c r="A128" s="56">
        <f t="shared" si="46"/>
        <v>46136</v>
      </c>
      <c r="B128" s="413">
        <f>'2025'!Wh/'2025'!Env_an*'2026'!Env_an</f>
        <v>34.520731584260716</v>
      </c>
      <c r="C128" s="868"/>
      <c r="D128" s="395">
        <f t="shared" si="25"/>
        <v>36.864762817499617</v>
      </c>
      <c r="E128" s="387">
        <f t="shared" si="47"/>
        <v>42.468509511536467</v>
      </c>
      <c r="F128" s="387">
        <f t="shared" si="26"/>
        <v>42.482046971760234</v>
      </c>
      <c r="G128" s="110">
        <f t="shared" si="48"/>
        <v>0.71341754139723035</v>
      </c>
      <c r="H128" s="416" t="b">
        <f>Wh_hp&gt;='2025'!Maxi_hp</f>
        <v>0</v>
      </c>
      <c r="I128" s="392">
        <f>IF(H128,Wh_hp,'2025'!Maxi_hp)</f>
        <v>54.689071133466982</v>
      </c>
      <c r="J128" s="85">
        <f>IF(H128,An,'2025'!An_max)</f>
        <v>2021</v>
      </c>
      <c r="K128" s="199">
        <f t="shared" si="27"/>
        <v>46136</v>
      </c>
      <c r="L128" s="147">
        <f>IF(t&lt;Tvie,1-EXP((T0-t)*PertePVj)+'2025'!Pspv,1-EXP((T0-t)*PertePVj)+Pspv)</f>
        <v>6.3584600960085336E-2</v>
      </c>
      <c r="M128" s="872"/>
      <c r="N128" s="872"/>
      <c r="O128" s="48">
        <f>IF(t&lt;Tnet,'2025'!Resal+('2025'!Salim-'2025'!Resal)*(1-EXP(('2025'!Tnet-t)/('2025'!Tau_j))),Resal+(Salim-Resal)*(1-EXP((Tnet-t)/(Tau_j))))*Salcycl</f>
        <v>0.13195063256257217</v>
      </c>
      <c r="P128" s="171">
        <f>(INDEX(Models!$BJ128:$BT128,,T128)*(1-R128)+INDEX(Models!$BJ128:$BT128,,T128+1)*R128-ERP_i)*Q128*Ramure*Pc/MaxiM</f>
        <v>5.3935591294081489E-4</v>
      </c>
      <c r="Q128" s="307">
        <f t="shared" si="28"/>
        <v>0.9</v>
      </c>
      <c r="R128" s="179">
        <f t="shared" si="29"/>
        <v>0.95257929752550874</v>
      </c>
      <c r="S128" s="839">
        <f t="shared" si="30"/>
        <v>-3</v>
      </c>
      <c r="T128" s="178">
        <f t="shared" si="31"/>
        <v>3</v>
      </c>
      <c r="U128" s="253">
        <f t="shared" si="32"/>
        <v>-2.0474207024744913</v>
      </c>
      <c r="V128" s="385">
        <f t="shared" si="33"/>
        <v>48.377154576761789</v>
      </c>
      <c r="W128" s="404">
        <f t="shared" si="34"/>
        <v>34.520731584260716</v>
      </c>
      <c r="X128" s="157">
        <f t="shared" si="35"/>
        <v>46136</v>
      </c>
      <c r="Y128" s="387">
        <f t="shared" si="36"/>
        <v>32.658567026207663</v>
      </c>
      <c r="Z128" s="387">
        <f t="shared" si="37"/>
        <v>34.876153317952422</v>
      </c>
      <c r="AA128" s="388">
        <f t="shared" si="38"/>
        <v>42.191850757452066</v>
      </c>
      <c r="AB128" s="199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0.17339124281500076</v>
      </c>
      <c r="AD128" s="233">
        <f>(INDEX(Models!$BJ128:$BT128,,AH128)*(1-AF128)+INDEX(Models!$BJ128:$BT128,,AH128+1)*AF128-ERP_i)*AE128*Ramure*Pc/MaxiM</f>
        <v>1.1561920885675153E-2</v>
      </c>
      <c r="AE128" s="307">
        <f t="shared" si="40"/>
        <v>0.9</v>
      </c>
      <c r="AF128" s="179">
        <f t="shared" si="41"/>
        <v>0.5882349498324877</v>
      </c>
      <c r="AG128" s="839">
        <f t="shared" si="49"/>
        <v>2</v>
      </c>
      <c r="AH128" s="178">
        <f t="shared" si="42"/>
        <v>8</v>
      </c>
      <c r="AI128" s="227">
        <f t="shared" si="43"/>
        <v>2.5882349498324877</v>
      </c>
      <c r="AJ128" s="267" t="b">
        <f t="shared" si="44"/>
        <v>1</v>
      </c>
      <c r="AK128" s="267" t="b">
        <f t="shared" si="45"/>
        <v>0</v>
      </c>
      <c r="AL128" s="267"/>
      <c r="AM128" s="267"/>
      <c r="AN128" s="75"/>
    </row>
    <row r="129" spans="1:40" s="6" customFormat="1" ht="11.25" x14ac:dyDescent="0.2">
      <c r="A129" s="56">
        <f t="shared" si="46"/>
        <v>46137</v>
      </c>
      <c r="B129" s="413">
        <f>'2025'!Wh/'2025'!Env_an*'2026'!Env_an</f>
        <v>43.066795538058578</v>
      </c>
      <c r="C129" s="868"/>
      <c r="D129" s="395">
        <f t="shared" si="25"/>
        <v>45.992193029704076</v>
      </c>
      <c r="E129" s="387">
        <f t="shared" si="47"/>
        <v>52.994300990150471</v>
      </c>
      <c r="F129" s="387">
        <f t="shared" si="26"/>
        <v>53.017009340377925</v>
      </c>
      <c r="G129" s="110">
        <f t="shared" si="48"/>
        <v>0.88633235861946003</v>
      </c>
      <c r="H129" s="416" t="b">
        <f>Wh_hp&gt;='2025'!Maxi_hp</f>
        <v>0</v>
      </c>
      <c r="I129" s="392">
        <f>IF(H129,Wh_hp,'2025'!Maxi_hp)</f>
        <v>56.298016159754951</v>
      </c>
      <c r="J129" s="85">
        <f>IF(H129,An,'2025'!An_max)</f>
        <v>2020</v>
      </c>
      <c r="K129" s="199">
        <f t="shared" si="27"/>
        <v>46137</v>
      </c>
      <c r="L129" s="147">
        <f>IF(t&lt;Tvie,1-EXP((T0-t)*PertePVj)+'2025'!Pspv,1-EXP((T0-t)*PertePVj)+Pspv)</f>
        <v>6.3606392714435911E-2</v>
      </c>
      <c r="M129" s="872"/>
      <c r="N129" s="872"/>
      <c r="O129" s="48">
        <f>IF(t&lt;Tnet,'2025'!Resal+('2025'!Salim-'2025'!Resal)*(1-EXP(('2025'!Tnet-t)/('2025'!Tau_j))),Resal+(Salim-Resal)*(1-EXP((Tnet-t)/(Tau_j))))*Salcycl</f>
        <v>0.1321294522169055</v>
      </c>
      <c r="P129" s="171">
        <f>(INDEX(Models!$BJ129:$BT129,,T129)*(1-R129)+INDEX(Models!$BJ129:$BT129,,T129+1)*R129-ERP_i)*Q129*Ramure*Pc/MaxiM</f>
        <v>5.1129322701261738E-4</v>
      </c>
      <c r="Q129" s="307">
        <f t="shared" si="28"/>
        <v>0.9</v>
      </c>
      <c r="R129" s="179">
        <f t="shared" si="29"/>
        <v>0.95581447563246114</v>
      </c>
      <c r="S129" s="839">
        <f t="shared" si="30"/>
        <v>-3</v>
      </c>
      <c r="T129" s="178">
        <f t="shared" si="31"/>
        <v>3</v>
      </c>
      <c r="U129" s="253">
        <f t="shared" si="32"/>
        <v>-2.0441855243675389</v>
      </c>
      <c r="V129" s="385">
        <f t="shared" si="33"/>
        <v>48.585860915728695</v>
      </c>
      <c r="W129" s="404">
        <f t="shared" si="34"/>
        <v>43.066795538058578</v>
      </c>
      <c r="X129" s="157">
        <f t="shared" si="35"/>
        <v>46137</v>
      </c>
      <c r="Y129" s="387">
        <f t="shared" si="36"/>
        <v>40.644178494411513</v>
      </c>
      <c r="Z129" s="387">
        <f t="shared" si="37"/>
        <v>43.40501491913389</v>
      </c>
      <c r="AA129" s="388">
        <f t="shared" si="38"/>
        <v>52.519807964674065</v>
      </c>
      <c r="AB129" s="199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0.17354962629853823</v>
      </c>
      <c r="AD129" s="233">
        <f>(INDEX(Models!$BJ129:$BT129,,AH129)*(1-AF129)+INDEX(Models!$BJ129:$BT129,,AH129+1)*AF129-ERP_i)*AE129*Ramure*Pc/MaxiM</f>
        <v>1.1194811305639167E-2</v>
      </c>
      <c r="AE129" s="307">
        <f t="shared" si="40"/>
        <v>0.9</v>
      </c>
      <c r="AF129" s="179">
        <f t="shared" si="41"/>
        <v>0.59147012793944009</v>
      </c>
      <c r="AG129" s="839">
        <f t="shared" si="49"/>
        <v>2</v>
      </c>
      <c r="AH129" s="178">
        <f t="shared" si="42"/>
        <v>8</v>
      </c>
      <c r="AI129" s="227">
        <f t="shared" si="43"/>
        <v>2.5914701279394401</v>
      </c>
      <c r="AJ129" s="267" t="b">
        <f t="shared" si="44"/>
        <v>1</v>
      </c>
      <c r="AK129" s="267" t="b">
        <f t="shared" si="45"/>
        <v>0</v>
      </c>
      <c r="AL129" s="267"/>
      <c r="AM129" s="267"/>
      <c r="AN129" s="75"/>
    </row>
    <row r="130" spans="1:40" s="6" customFormat="1" ht="11.25" x14ac:dyDescent="0.2">
      <c r="A130" s="56">
        <f t="shared" si="46"/>
        <v>46138</v>
      </c>
      <c r="B130" s="413">
        <f>'2025'!Wh/'2025'!Env_an*'2026'!Env_an</f>
        <v>47.757129185345789</v>
      </c>
      <c r="C130" s="868"/>
      <c r="D130" s="395">
        <f t="shared" si="25"/>
        <v>51.0023137896222</v>
      </c>
      <c r="E130" s="387">
        <f t="shared" si="47"/>
        <v>58.779477951106891</v>
      </c>
      <c r="F130" s="387">
        <f t="shared" si="26"/>
        <v>58.807058683090951</v>
      </c>
      <c r="G130" s="110">
        <f t="shared" si="48"/>
        <v>0.97886378585023537</v>
      </c>
      <c r="H130" s="416" t="b">
        <f>Wh_hp&gt;='2025'!Maxi_hp</f>
        <v>0</v>
      </c>
      <c r="I130" s="392">
        <f>IF(H130,Wh_hp,'2025'!Maxi_hp)</f>
        <v>58.807850119748025</v>
      </c>
      <c r="J130" s="85">
        <f>IF(H130,An,'2025'!An_max)</f>
        <v>2025</v>
      </c>
      <c r="K130" s="199">
        <f t="shared" si="27"/>
        <v>46138</v>
      </c>
      <c r="L130" s="147">
        <f>IF(t&lt;Tvie,1-EXP((T0-t)*PertePVj)+'2025'!Pspv,1-EXP((T0-t)*PertePVj)+Pspv)</f>
        <v>6.3628183961660367E-2</v>
      </c>
      <c r="M130" s="872"/>
      <c r="N130" s="872"/>
      <c r="O130" s="48">
        <f>IF(t&lt;Tnet,'2025'!Resal+('2025'!Salim-'2025'!Resal)*(1-EXP(('2025'!Tnet-t)/('2025'!Tau_j))),Resal+(Salim-Resal)*(1-EXP((Tnet-t)/(Tau_j))))*Salcycl</f>
        <v>0.132310875029441</v>
      </c>
      <c r="P130" s="171">
        <f>(INDEX(Models!$BJ130:$BT130,,T130)*(1-R130)+INDEX(Models!$BJ130:$BT130,,T130+1)*R130-ERP_i)*Q130*Ramure*Pc/MaxiM</f>
        <v>4.8359587313639231E-4</v>
      </c>
      <c r="Q130" s="307">
        <f t="shared" si="28"/>
        <v>0.9</v>
      </c>
      <c r="R130" s="179">
        <f t="shared" si="29"/>
        <v>0.95914921512146334</v>
      </c>
      <c r="S130" s="839">
        <f t="shared" si="30"/>
        <v>-3</v>
      </c>
      <c r="T130" s="178">
        <f t="shared" si="31"/>
        <v>3</v>
      </c>
      <c r="U130" s="253">
        <f t="shared" si="32"/>
        <v>-2.0408507848785367</v>
      </c>
      <c r="V130" s="385">
        <f t="shared" si="33"/>
        <v>48.787617512811799</v>
      </c>
      <c r="W130" s="404">
        <f t="shared" si="34"/>
        <v>47.757129185345789</v>
      </c>
      <c r="X130" s="157">
        <f t="shared" si="35"/>
        <v>46138</v>
      </c>
      <c r="Y130" s="387">
        <f t="shared" si="36"/>
        <v>45.022237968009534</v>
      </c>
      <c r="Z130" s="387">
        <f t="shared" si="37"/>
        <v>48.081581693148806</v>
      </c>
      <c r="AA130" s="388">
        <f t="shared" si="38"/>
        <v>58.189817464810972</v>
      </c>
      <c r="AB130" s="199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0.1737114191460542</v>
      </c>
      <c r="AD130" s="233">
        <f>(INDEX(Models!$BJ130:$BT130,,AH130)*(1-AF130)+INDEX(Models!$BJ130:$BT130,,AH130+1)*AF130-ERP_i)*AE130*Ramure*Pc/MaxiM</f>
        <v>1.0822602752615948E-2</v>
      </c>
      <c r="AE130" s="307">
        <f t="shared" si="40"/>
        <v>0.9</v>
      </c>
      <c r="AF130" s="179">
        <f t="shared" si="41"/>
        <v>0.5948048674284423</v>
      </c>
      <c r="AG130" s="839">
        <f t="shared" si="49"/>
        <v>2</v>
      </c>
      <c r="AH130" s="178">
        <f t="shared" si="42"/>
        <v>8</v>
      </c>
      <c r="AI130" s="227">
        <f t="shared" si="43"/>
        <v>2.5948048674284423</v>
      </c>
      <c r="AJ130" s="267" t="b">
        <f t="shared" si="44"/>
        <v>1</v>
      </c>
      <c r="AK130" s="267" t="b">
        <f t="shared" si="45"/>
        <v>0</v>
      </c>
      <c r="AL130" s="267"/>
      <c r="AM130" s="267"/>
      <c r="AN130" s="75"/>
    </row>
    <row r="131" spans="1:40" s="6" customFormat="1" ht="11.25" x14ac:dyDescent="0.2">
      <c r="A131" s="56">
        <f t="shared" si="46"/>
        <v>46139</v>
      </c>
      <c r="B131" s="413">
        <f>'2025'!Wh/'2025'!Env_an*'2026'!Env_an</f>
        <v>34.064771222116129</v>
      </c>
      <c r="C131" s="868"/>
      <c r="D131" s="395">
        <f t="shared" si="25"/>
        <v>36.380381589957707</v>
      </c>
      <c r="E131" s="387">
        <f t="shared" si="47"/>
        <v>41.936792672031153</v>
      </c>
      <c r="F131" s="387">
        <f t="shared" si="26"/>
        <v>41.947604532051081</v>
      </c>
      <c r="G131" s="110">
        <f t="shared" si="48"/>
        <v>0.69531460723584904</v>
      </c>
      <c r="H131" s="416" t="b">
        <f>Wh_hp&gt;='2025'!Maxi_hp</f>
        <v>0</v>
      </c>
      <c r="I131" s="392">
        <f>IF(H131,Wh_hp,'2025'!Maxi_hp)</f>
        <v>41.955249049604895</v>
      </c>
      <c r="J131" s="85">
        <f>IF(H131,An,'2025'!An_max)</f>
        <v>2025</v>
      </c>
      <c r="K131" s="199">
        <f t="shared" si="27"/>
        <v>46139</v>
      </c>
      <c r="L131" s="147">
        <f>IF(t&lt;Tvie,1-EXP((T0-t)*PertePVj)+'2025'!Pspv,1-EXP((T0-t)*PertePVj)+Pspv)</f>
        <v>6.3649974701770806E-2</v>
      </c>
      <c r="M131" s="872"/>
      <c r="N131" s="872"/>
      <c r="O131" s="48">
        <f>IF(t&lt;Tnet,'2025'!Resal+('2025'!Salim-'2025'!Resal)*(1-EXP(('2025'!Tnet-t)/('2025'!Tau_j))),Resal+(Salim-Resal)*(1-EXP((Tnet-t)/(Tau_j))))*Salcycl</f>
        <v>0.13249489834684411</v>
      </c>
      <c r="P131" s="171">
        <f>(INDEX(Models!$BJ131:$BT131,,T131)*(1-R131)+INDEX(Models!$BJ131:$BT131,,T131+1)*R131-ERP_i)*Q131*Ramure*Pc/MaxiM</f>
        <v>4.5624357067713429E-4</v>
      </c>
      <c r="Q131" s="307">
        <f t="shared" si="28"/>
        <v>0.9</v>
      </c>
      <c r="R131" s="179">
        <f t="shared" si="29"/>
        <v>0.96258523650345262</v>
      </c>
      <c r="S131" s="839">
        <f t="shared" si="30"/>
        <v>-3</v>
      </c>
      <c r="T131" s="178">
        <f t="shared" si="31"/>
        <v>3</v>
      </c>
      <c r="U131" s="253">
        <f t="shared" si="32"/>
        <v>-2.0374147634965474</v>
      </c>
      <c r="V131" s="385">
        <f t="shared" si="33"/>
        <v>48.982154806869609</v>
      </c>
      <c r="W131" s="404">
        <f t="shared" si="34"/>
        <v>34.064771222116129</v>
      </c>
      <c r="X131" s="157">
        <f t="shared" si="35"/>
        <v>46139</v>
      </c>
      <c r="Y131" s="387">
        <f t="shared" si="36"/>
        <v>32.256706173026778</v>
      </c>
      <c r="Z131" s="387">
        <f t="shared" si="37"/>
        <v>34.44941026487713</v>
      </c>
      <c r="AA131" s="388">
        <f t="shared" si="38"/>
        <v>41.700078736107407</v>
      </c>
      <c r="AB131" s="199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0.17387661344994154</v>
      </c>
      <c r="AD131" s="233">
        <f>(INDEX(Models!$BJ131:$BT131,,AH131)*(1-AF131)+INDEX(Models!$BJ131:$BT131,,AH131+1)*AF131-ERP_i)*AE131*Ramure*Pc/MaxiM</f>
        <v>1.044520117425893E-2</v>
      </c>
      <c r="AE131" s="307">
        <f t="shared" si="40"/>
        <v>0.9</v>
      </c>
      <c r="AF131" s="179">
        <f t="shared" si="41"/>
        <v>0.59824088881043158</v>
      </c>
      <c r="AG131" s="839">
        <f t="shared" si="49"/>
        <v>2</v>
      </c>
      <c r="AH131" s="178">
        <f t="shared" si="42"/>
        <v>8</v>
      </c>
      <c r="AI131" s="227">
        <f t="shared" si="43"/>
        <v>2.5982408888104316</v>
      </c>
      <c r="AJ131" s="267" t="b">
        <f t="shared" si="44"/>
        <v>1</v>
      </c>
      <c r="AK131" s="267" t="b">
        <f t="shared" si="45"/>
        <v>0</v>
      </c>
      <c r="AL131" s="267"/>
      <c r="AM131" s="267"/>
      <c r="AN131" s="75"/>
    </row>
    <row r="132" spans="1:40" s="6" customFormat="1" ht="11.25" x14ac:dyDescent="0.2">
      <c r="A132" s="56">
        <f t="shared" si="46"/>
        <v>46140</v>
      </c>
      <c r="B132" s="413">
        <f>'2025'!Wh/'2025'!Env_an*'2026'!Env_an</f>
        <v>20.866337889214151</v>
      </c>
      <c r="C132" s="868"/>
      <c r="D132" s="395">
        <f t="shared" si="25"/>
        <v>22.285281066805254</v>
      </c>
      <c r="E132" s="387">
        <f t="shared" si="47"/>
        <v>25.694461082155893</v>
      </c>
      <c r="F132" s="387">
        <f t="shared" si="26"/>
        <v>25.696420805271334</v>
      </c>
      <c r="G132" s="110">
        <f t="shared" si="48"/>
        <v>0.42422839640479776</v>
      </c>
      <c r="H132" s="416" t="b">
        <f>Wh_hp&gt;='2025'!Maxi_hp</f>
        <v>0</v>
      </c>
      <c r="I132" s="392">
        <f>IF(H132,Wh_hp,'2025'!Maxi_hp)</f>
        <v>48.054004151723234</v>
      </c>
      <c r="J132" s="85">
        <f>IF(H132,An,'2025'!An_max)</f>
        <v>2019</v>
      </c>
      <c r="K132" s="199">
        <f t="shared" si="27"/>
        <v>46140</v>
      </c>
      <c r="L132" s="147">
        <f>IF(t&lt;Tvie,1-EXP((T0-t)*PertePVj)+'2025'!Pspv,1-EXP((T0-t)*PertePVj)+Pspv)</f>
        <v>6.3671764934778885E-2</v>
      </c>
      <c r="M132" s="872"/>
      <c r="N132" s="872"/>
      <c r="O132" s="48">
        <f>IF(t&lt;Tnet,'2025'!Resal+('2025'!Salim-'2025'!Resal)*(1-EXP(('2025'!Tnet-t)/('2025'!Tau_j))),Resal+(Salim-Resal)*(1-EXP((Tnet-t)/(Tau_j))))*Salcycl</f>
        <v>0.13268151468326464</v>
      </c>
      <c r="P132" s="171">
        <f>(INDEX(Models!$BJ132:$BT132,,T132)*(1-R132)+INDEX(Models!$BJ132:$BT132,,T132+1)*R132-ERP_i)*Q132*Ramure*Pc/MaxiM</f>
        <v>4.2921597484769946E-4</v>
      </c>
      <c r="Q132" s="307">
        <f t="shared" si="28"/>
        <v>0.9</v>
      </c>
      <c r="R132" s="179">
        <f t="shared" si="29"/>
        <v>0.96612419016348072</v>
      </c>
      <c r="S132" s="839">
        <f t="shared" si="30"/>
        <v>-3</v>
      </c>
      <c r="T132" s="178">
        <f t="shared" si="31"/>
        <v>3</v>
      </c>
      <c r="U132" s="253">
        <f t="shared" si="32"/>
        <v>-2.0338758098365193</v>
      </c>
      <c r="V132" s="385">
        <f t="shared" si="33"/>
        <v>49.169203896450469</v>
      </c>
      <c r="W132" s="404">
        <f t="shared" si="34"/>
        <v>20.866337889214151</v>
      </c>
      <c r="X132" s="157">
        <f t="shared" si="35"/>
        <v>46140</v>
      </c>
      <c r="Y132" s="387">
        <f t="shared" si="36"/>
        <v>19.837176329546981</v>
      </c>
      <c r="Z132" s="387">
        <f t="shared" si="37"/>
        <v>21.18613493286913</v>
      </c>
      <c r="AA132" s="388">
        <f t="shared" si="38"/>
        <v>25.650477246970382</v>
      </c>
      <c r="AB132" s="199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0.17404519499256269</v>
      </c>
      <c r="AD132" s="233">
        <f>(INDEX(Models!$BJ132:$BT132,,AH132)*(1-AF132)+INDEX(Models!$BJ132:$BT132,,AH132+1)*AF132-ERP_i)*AE132*Ramure*Pc/MaxiM</f>
        <v>1.006249760934943E-2</v>
      </c>
      <c r="AE132" s="307">
        <f t="shared" si="40"/>
        <v>0.9</v>
      </c>
      <c r="AF132" s="179">
        <f t="shared" si="41"/>
        <v>0.60177984247045968</v>
      </c>
      <c r="AG132" s="839">
        <f t="shared" si="49"/>
        <v>2</v>
      </c>
      <c r="AH132" s="178">
        <f t="shared" si="42"/>
        <v>8</v>
      </c>
      <c r="AI132" s="227">
        <f t="shared" si="43"/>
        <v>2.6017798424704597</v>
      </c>
      <c r="AJ132" s="267" t="b">
        <f t="shared" si="44"/>
        <v>1</v>
      </c>
      <c r="AK132" s="267" t="b">
        <f t="shared" si="45"/>
        <v>0</v>
      </c>
      <c r="AL132" s="267"/>
      <c r="AM132" s="267"/>
      <c r="AN132" s="75"/>
    </row>
    <row r="133" spans="1:40" s="6" customFormat="1" ht="11.25" x14ac:dyDescent="0.2">
      <c r="A133" s="56">
        <f t="shared" si="46"/>
        <v>46141</v>
      </c>
      <c r="B133" s="413">
        <f>'2025'!Wh/'2025'!Env_an*'2026'!Env_an</f>
        <v>39.20225256112375</v>
      </c>
      <c r="C133" s="868"/>
      <c r="D133" s="395">
        <f t="shared" si="25"/>
        <v>41.869040586298041</v>
      </c>
      <c r="E133" s="387">
        <f t="shared" si="47"/>
        <v>48.28465736700344</v>
      </c>
      <c r="F133" s="387">
        <f t="shared" si="26"/>
        <v>48.298387274175248</v>
      </c>
      <c r="G133" s="110">
        <f t="shared" si="48"/>
        <v>0.79430214661664744</v>
      </c>
      <c r="H133" s="416" t="b">
        <f>Wh_hp&gt;='2025'!Maxi_hp</f>
        <v>0</v>
      </c>
      <c r="I133" s="392">
        <f>IF(H133,Wh_hp,'2025'!Maxi_hp)</f>
        <v>54.78185076677125</v>
      </c>
      <c r="J133" s="85">
        <f>IF(H133,An,'2025'!An_max)</f>
        <v>2019</v>
      </c>
      <c r="K133" s="199">
        <f t="shared" si="27"/>
        <v>46141</v>
      </c>
      <c r="L133" s="147">
        <f>IF(t&lt;Tvie,1-EXP((T0-t)*PertePVj)+'2025'!Pspv,1-EXP((T0-t)*PertePVj)+Pspv)</f>
        <v>6.3693554660696372E-2</v>
      </c>
      <c r="M133" s="872"/>
      <c r="N133" s="872"/>
      <c r="O133" s="48">
        <f>IF(t&lt;Tnet,'2025'!Resal+('2025'!Salim-'2025'!Resal)*(1-EXP(('2025'!Tnet-t)/('2025'!Tau_j))),Resal+(Salim-Resal)*(1-EXP((Tnet-t)/(Tau_j))))*Salcycl</f>
        <v>0.13287071153765045</v>
      </c>
      <c r="P133" s="171">
        <f>(INDEX(Models!$BJ133:$BT133,,T133)*(1-R133)+INDEX(Models!$BJ133:$BT133,,T133+1)*R133-ERP_i)*Q133*Ramure*Pc/MaxiM</f>
        <v>4.0249268033736295E-4</v>
      </c>
      <c r="Q133" s="307">
        <f t="shared" si="28"/>
        <v>0.9</v>
      </c>
      <c r="R133" s="179">
        <f t="shared" si="29"/>
        <v>0.96976764782906555</v>
      </c>
      <c r="S133" s="839">
        <f t="shared" si="30"/>
        <v>-3</v>
      </c>
      <c r="T133" s="178">
        <f t="shared" si="31"/>
        <v>3</v>
      </c>
      <c r="U133" s="253">
        <f t="shared" si="32"/>
        <v>-2.0302323521709345</v>
      </c>
      <c r="V133" s="385">
        <f t="shared" si="33"/>
        <v>49.348496558936667</v>
      </c>
      <c r="W133" s="404">
        <f t="shared" si="34"/>
        <v>39.20225256112375</v>
      </c>
      <c r="X133" s="157">
        <f t="shared" si="35"/>
        <v>46141</v>
      </c>
      <c r="Y133" s="387">
        <f t="shared" si="36"/>
        <v>37.088465700211927</v>
      </c>
      <c r="Z133" s="387">
        <f t="shared" si="37"/>
        <v>39.611460419640295</v>
      </c>
      <c r="AA133" s="388">
        <f t="shared" si="38"/>
        <v>47.968373386345085</v>
      </c>
      <c r="AB133" s="199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0.17421714302039909</v>
      </c>
      <c r="AD133" s="233">
        <f>(INDEX(Models!$BJ133:$BT133,,AH133)*(1-AF133)+INDEX(Models!$BJ133:$BT133,,AH133+1)*AF133-ERP_i)*AE133*Ramure*Pc/MaxiM</f>
        <v>9.6743679763614549E-3</v>
      </c>
      <c r="AE133" s="307">
        <f t="shared" si="40"/>
        <v>0.9</v>
      </c>
      <c r="AF133" s="179">
        <f t="shared" si="41"/>
        <v>0.60542330013604451</v>
      </c>
      <c r="AG133" s="839">
        <f t="shared" si="49"/>
        <v>2</v>
      </c>
      <c r="AH133" s="178">
        <f t="shared" si="42"/>
        <v>8</v>
      </c>
      <c r="AI133" s="227">
        <f t="shared" si="43"/>
        <v>2.6054233001360445</v>
      </c>
      <c r="AJ133" s="267" t="b">
        <f t="shared" si="44"/>
        <v>1</v>
      </c>
      <c r="AK133" s="267" t="b">
        <f t="shared" si="45"/>
        <v>0</v>
      </c>
      <c r="AL133" s="267"/>
      <c r="AM133" s="267"/>
      <c r="AN133" s="75"/>
    </row>
    <row r="134" spans="1:40" s="6" customFormat="1" ht="11.25" x14ac:dyDescent="0.2">
      <c r="A134" s="56">
        <f t="shared" si="46"/>
        <v>46142</v>
      </c>
      <c r="B134" s="413">
        <f>'2025'!Wh/'2025'!Env_an*'2026'!Env_an</f>
        <v>46.16469798656167</v>
      </c>
      <c r="C134" s="868"/>
      <c r="D134" s="395">
        <f t="shared" si="25"/>
        <v>49.306263522299986</v>
      </c>
      <c r="E134" s="387">
        <f t="shared" si="47"/>
        <v>50.432974728207576</v>
      </c>
      <c r="F134" s="387">
        <f t="shared" si="26"/>
        <v>50.447248101221199</v>
      </c>
      <c r="G134" s="110">
        <f t="shared" si="48"/>
        <v>0.82659212625231371</v>
      </c>
      <c r="H134" s="416" t="b">
        <f>Wh_hp&gt;='2025'!Maxi_hp</f>
        <v>0</v>
      </c>
      <c r="I134" s="392">
        <f>IF(H134,Wh_hp,'2025'!Maxi_hp)</f>
        <v>60.84592314154898</v>
      </c>
      <c r="J134" s="85">
        <f>IF(H134,An,'2025'!An_max)</f>
        <v>2019</v>
      </c>
      <c r="K134" s="199">
        <f t="shared" si="27"/>
        <v>46142</v>
      </c>
      <c r="L134" s="147">
        <f>IF(t&lt;Tvie,1-EXP((T0-t)*PertePVj)+'2025'!Pspv,1-EXP((T0-t)*PertePVj)+Pspv)</f>
        <v>6.3715343879535036E-2</v>
      </c>
      <c r="M134" s="872"/>
      <c r="N134" s="872"/>
      <c r="O134" s="48">
        <f>IF(t&lt;Tnet,'2025'!Resal+('2025'!Salim-'2025'!Resal)*(1-EXP(('2025'!Tnet-t)/('2025'!Tau_j))),Resal+(Salim-Resal)*(1-EXP((Tnet-t)/(Tau_j))))*Salcycl</f>
        <v>2.2340764390354553E-2</v>
      </c>
      <c r="P134" s="171">
        <f>(INDEX(Models!$BJ134:$BT134,,T134)*(1-R134)+INDEX(Models!$BJ134:$BT134,,T134+1)*R134-ERP_i)*Q134*Ramure*Pc/MaxiM</f>
        <v>3.7605322372851699E-4</v>
      </c>
      <c r="Q134" s="307">
        <f t="shared" si="28"/>
        <v>0.9</v>
      </c>
      <c r="R134" s="179">
        <f t="shared" si="29"/>
        <v>0.97351709374925655</v>
      </c>
      <c r="S134" s="839">
        <f t="shared" si="30"/>
        <v>-3</v>
      </c>
      <c r="T134" s="178">
        <f t="shared" si="31"/>
        <v>3</v>
      </c>
      <c r="U134" s="253">
        <f t="shared" si="32"/>
        <v>-2.0264829062507435</v>
      </c>
      <c r="V134" s="385">
        <f t="shared" si="33"/>
        <v>55.844226678731616</v>
      </c>
      <c r="W134" s="404">
        <f t="shared" si="34"/>
        <v>46.16469798656167</v>
      </c>
      <c r="X134" s="157">
        <f t="shared" si="35"/>
        <v>46142</v>
      </c>
      <c r="Y134" s="387">
        <f t="shared" si="36"/>
        <v>40.662121496169306</v>
      </c>
      <c r="Z134" s="387">
        <f t="shared" si="37"/>
        <v>43.429229807796411</v>
      </c>
      <c r="AA134" s="388">
        <f t="shared" si="38"/>
        <v>50.09499342887112</v>
      </c>
      <c r="AB134" s="199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0.13306247121360126</v>
      </c>
      <c r="AD134" s="233">
        <f>(INDEX(Models!$BJ134:$BT134,,AH134)*(1-AF134)+INDEX(Models!$BJ134:$BT134,,AH134+1)*AF134-ERP_i)*AE134*Ramure*Pc/MaxiM</f>
        <v>9.2806728293489908E-3</v>
      </c>
      <c r="AE134" s="307">
        <f t="shared" si="40"/>
        <v>0.9</v>
      </c>
      <c r="AF134" s="179">
        <f t="shared" si="41"/>
        <v>0.6091727460562355</v>
      </c>
      <c r="AG134" s="839">
        <f t="shared" si="49"/>
        <v>2</v>
      </c>
      <c r="AH134" s="178">
        <f t="shared" si="42"/>
        <v>8</v>
      </c>
      <c r="AI134" s="227">
        <f t="shared" si="43"/>
        <v>2.6091727460562355</v>
      </c>
      <c r="AJ134" s="267" t="b">
        <f t="shared" si="44"/>
        <v>0</v>
      </c>
      <c r="AK134" s="267" t="b">
        <f t="shared" si="45"/>
        <v>0</v>
      </c>
      <c r="AL134" s="267"/>
      <c r="AM134" s="267"/>
      <c r="AN134" s="75"/>
    </row>
    <row r="135" spans="1:40" s="6" customFormat="1" ht="11.25" x14ac:dyDescent="0.2">
      <c r="A135" s="56">
        <f t="shared" si="46"/>
        <v>46143</v>
      </c>
      <c r="B135" s="413">
        <f>'2025'!Wh/'2025'!Env_an*'2026'!Env_an</f>
        <v>45.528457454389141</v>
      </c>
      <c r="C135" s="868"/>
      <c r="D135" s="395">
        <f t="shared" si="25"/>
        <v>48.6278576660835</v>
      </c>
      <c r="E135" s="387">
        <f t="shared" si="47"/>
        <v>49.751095355571344</v>
      </c>
      <c r="F135" s="387">
        <f t="shared" si="26"/>
        <v>49.763845816820286</v>
      </c>
      <c r="G135" s="110">
        <f t="shared" si="48"/>
        <v>0.81254154415870206</v>
      </c>
      <c r="H135" s="416" t="b">
        <f>Wh_hp&gt;='2025'!Maxi_hp</f>
        <v>0</v>
      </c>
      <c r="I135" s="392">
        <f>IF(H135,Wh_hp,'2025'!Maxi_hp)</f>
        <v>56.845620095734738</v>
      </c>
      <c r="J135" s="85">
        <f>IF(H135,An,'2025'!An_max)</f>
        <v>2019</v>
      </c>
      <c r="K135" s="199">
        <f t="shared" si="27"/>
        <v>46143</v>
      </c>
      <c r="L135" s="147">
        <f>IF(t&lt;Tvie,1-EXP((T0-t)*PertePVj)+'2025'!Pspv,1-EXP((T0-t)*PertePVj)+Pspv)</f>
        <v>6.3737132591306755E-2</v>
      </c>
      <c r="M135" s="872"/>
      <c r="N135" s="872"/>
      <c r="O135" s="48">
        <f>IF(t&lt;Tnet,'2025'!Resal+('2025'!Salim-'2025'!Resal)*(1-EXP(('2025'!Tnet-t)/('2025'!Tau_j))),Resal+(Salim-Resal)*(1-EXP((Tnet-t)/(Tau_j))))*Salcycl</f>
        <v>2.2577144914299081E-2</v>
      </c>
      <c r="P135" s="171">
        <f>(INDEX(Models!$BJ135:$BT135,,T135)*(1-R135)+INDEX(Models!$BJ135:$BT135,,T135+1)*R135-ERP_i)*Q135*Ramure*Pc/MaxiM</f>
        <v>3.4987783114675798E-4</v>
      </c>
      <c r="Q135" s="307">
        <f t="shared" si="28"/>
        <v>0.9</v>
      </c>
      <c r="R135" s="179">
        <f t="shared" si="29"/>
        <v>0.97737391561054032</v>
      </c>
      <c r="S135" s="839">
        <f t="shared" si="30"/>
        <v>-3</v>
      </c>
      <c r="T135" s="178">
        <f t="shared" si="31"/>
        <v>3</v>
      </c>
      <c r="U135" s="253">
        <f t="shared" si="32"/>
        <v>-2.0226260843894597</v>
      </c>
      <c r="V135" s="385">
        <f t="shared" si="33"/>
        <v>56.026910332876909</v>
      </c>
      <c r="W135" s="404">
        <f t="shared" si="34"/>
        <v>45.528457454389141</v>
      </c>
      <c r="X135" s="157">
        <f t="shared" si="35"/>
        <v>46143</v>
      </c>
      <c r="Y135" s="387">
        <f t="shared" si="36"/>
        <v>40.120688665928824</v>
      </c>
      <c r="Z135" s="387">
        <f t="shared" si="37"/>
        <v>42.851949022576711</v>
      </c>
      <c r="AA135" s="388">
        <f t="shared" si="38"/>
        <v>49.440188940839192</v>
      </c>
      <c r="AB135" s="199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0.13325677064353567</v>
      </c>
      <c r="AD135" s="233">
        <f>(INDEX(Models!$BJ135:$BT135,,AH135)*(1-AF135)+INDEX(Models!$BJ135:$BT135,,AH135+1)*AF135-ERP_i)*AE135*Ramure*Pc/MaxiM</f>
        <v>8.8812760254754469E-3</v>
      </c>
      <c r="AE135" s="307">
        <f t="shared" si="40"/>
        <v>0.9</v>
      </c>
      <c r="AF135" s="179">
        <f t="shared" si="41"/>
        <v>0.61302956791751928</v>
      </c>
      <c r="AG135" s="839">
        <f t="shared" si="49"/>
        <v>2</v>
      </c>
      <c r="AH135" s="178">
        <f t="shared" si="42"/>
        <v>8</v>
      </c>
      <c r="AI135" s="227">
        <f t="shared" si="43"/>
        <v>2.6130295679175193</v>
      </c>
      <c r="AJ135" s="267" t="b">
        <f t="shared" si="44"/>
        <v>0</v>
      </c>
      <c r="AK135" s="267" t="b">
        <f t="shared" si="45"/>
        <v>0</v>
      </c>
      <c r="AL135" s="267"/>
      <c r="AM135" s="267"/>
      <c r="AN135" s="75"/>
    </row>
    <row r="136" spans="1:40" s="6" customFormat="1" ht="11.25" x14ac:dyDescent="0.2">
      <c r="A136" s="56">
        <f t="shared" si="46"/>
        <v>46144</v>
      </c>
      <c r="B136" s="413">
        <f>'2025'!Wh/'2025'!Env_an*'2026'!Env_an</f>
        <v>27.828057908747542</v>
      </c>
      <c r="C136" s="868"/>
      <c r="D136" s="395">
        <f t="shared" si="25"/>
        <v>29.723175501344041</v>
      </c>
      <c r="E136" s="387">
        <f t="shared" si="47"/>
        <v>30.417112194400136</v>
      </c>
      <c r="F136" s="387">
        <f t="shared" si="26"/>
        <v>30.419867234763416</v>
      </c>
      <c r="G136" s="110">
        <f t="shared" si="48"/>
        <v>0.49504286291835642</v>
      </c>
      <c r="H136" s="416" t="b">
        <f>Wh_hp&gt;='2025'!Maxi_hp</f>
        <v>0</v>
      </c>
      <c r="I136" s="392">
        <f>IF(H136,Wh_hp,'2025'!Maxi_hp)</f>
        <v>39.747246661532351</v>
      </c>
      <c r="J136" s="85">
        <f>IF(H136,An,'2025'!An_max)</f>
        <v>2021</v>
      </c>
      <c r="K136" s="199">
        <f t="shared" si="27"/>
        <v>46144</v>
      </c>
      <c r="L136" s="147">
        <f>IF(t&lt;Tvie,1-EXP((T0-t)*PertePVj)+'2025'!Pspv,1-EXP((T0-t)*PertePVj)+Pspv)</f>
        <v>6.3758920796023411E-2</v>
      </c>
      <c r="M136" s="872"/>
      <c r="N136" s="872"/>
      <c r="O136" s="48">
        <f>IF(t&lt;Tnet,'2025'!Resal+('2025'!Salim-'2025'!Resal)*(1-EXP(('2025'!Tnet-t)/('2025'!Tau_j))),Resal+(Salim-Resal)*(1-EXP((Tnet-t)/(Tau_j))))*Salcycl</f>
        <v>2.2814022863874975E-2</v>
      </c>
      <c r="P136" s="171">
        <f>(INDEX(Models!$BJ136:$BT136,,T136)*(1-R136)+INDEX(Models!$BJ136:$BT136,,T136+1)*R136-ERP_i)*Q136*Ramure*Pc/MaxiM</f>
        <v>3.248481330866298E-4</v>
      </c>
      <c r="Q136" s="307">
        <f t="shared" si="28"/>
        <v>0.9</v>
      </c>
      <c r="R136" s="179">
        <f t="shared" si="29"/>
        <v>0.98133939522014968</v>
      </c>
      <c r="S136" s="839">
        <f t="shared" si="30"/>
        <v>-3</v>
      </c>
      <c r="T136" s="178">
        <f t="shared" si="31"/>
        <v>3</v>
      </c>
      <c r="U136" s="253">
        <f t="shared" si="32"/>
        <v>-2.0186606047798503</v>
      </c>
      <c r="V136" s="385">
        <f t="shared" si="33"/>
        <v>56.200260254573884</v>
      </c>
      <c r="W136" s="404">
        <f t="shared" si="34"/>
        <v>27.828057908747542</v>
      </c>
      <c r="X136" s="157">
        <f t="shared" si="35"/>
        <v>46144</v>
      </c>
      <c r="Y136" s="387">
        <f t="shared" si="36"/>
        <v>24.621196428034185</v>
      </c>
      <c r="Z136" s="387">
        <f t="shared" si="37"/>
        <v>26.297923659756467</v>
      </c>
      <c r="AA136" s="388">
        <f t="shared" si="38"/>
        <v>30.347968775582551</v>
      </c>
      <c r="AB136" s="199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0.13345358121907258</v>
      </c>
      <c r="AD136" s="233">
        <f>(INDEX(Models!$BJ136:$BT136,,AH136)*(1-AF136)+INDEX(Models!$BJ136:$BT136,,AH136+1)*AF136-ERP_i)*AE136*Ramure*Pc/MaxiM</f>
        <v>8.4775818706673816E-3</v>
      </c>
      <c r="AE136" s="307">
        <f t="shared" si="40"/>
        <v>0.9</v>
      </c>
      <c r="AF136" s="179">
        <f t="shared" si="41"/>
        <v>0.61699504752712864</v>
      </c>
      <c r="AG136" s="839">
        <f t="shared" si="49"/>
        <v>2</v>
      </c>
      <c r="AH136" s="178">
        <f t="shared" si="42"/>
        <v>8</v>
      </c>
      <c r="AI136" s="227">
        <f t="shared" si="43"/>
        <v>2.6169950475271286</v>
      </c>
      <c r="AJ136" s="267" t="b">
        <f t="shared" si="44"/>
        <v>0</v>
      </c>
      <c r="AK136" s="267" t="b">
        <f t="shared" si="45"/>
        <v>0</v>
      </c>
      <c r="AL136" s="267"/>
      <c r="AM136" s="267"/>
      <c r="AN136" s="75"/>
    </row>
    <row r="137" spans="1:40" s="6" customFormat="1" ht="11.25" x14ac:dyDescent="0.2">
      <c r="A137" s="56">
        <f t="shared" si="46"/>
        <v>46145</v>
      </c>
      <c r="B137" s="413">
        <f>'2025'!Wh/'2025'!Env_an*'2026'!Env_an</f>
        <v>32.882595625098823</v>
      </c>
      <c r="C137" s="868"/>
      <c r="D137" s="395">
        <f t="shared" si="25"/>
        <v>35.12274947057896</v>
      </c>
      <c r="E137" s="387">
        <f t="shared" si="47"/>
        <v>35.95148157505681</v>
      </c>
      <c r="F137" s="387">
        <f t="shared" si="26"/>
        <v>35.955864679396527</v>
      </c>
      <c r="G137" s="110">
        <f t="shared" si="48"/>
        <v>0.58328549509164074</v>
      </c>
      <c r="H137" s="416" t="b">
        <f>Wh_hp&gt;='2025'!Maxi_hp</f>
        <v>0</v>
      </c>
      <c r="I137" s="392">
        <f>IF(H137,Wh_hp,'2025'!Maxi_hp)</f>
        <v>59.744764721426584</v>
      </c>
      <c r="J137" s="85">
        <f>IF(H137,An,'2025'!An_max)</f>
        <v>2021</v>
      </c>
      <c r="K137" s="199">
        <f t="shared" si="27"/>
        <v>46145</v>
      </c>
      <c r="L137" s="147">
        <f>IF(t&lt;Tvie,1-EXP((T0-t)*PertePVj)+'2025'!Pspv,1-EXP((T0-t)*PertePVj)+Pspv)</f>
        <v>6.3780708493696658E-2</v>
      </c>
      <c r="M137" s="872"/>
      <c r="N137" s="872"/>
      <c r="O137" s="48">
        <f>IF(t&lt;Tnet,'2025'!Resal+('2025'!Salim-'2025'!Resal)*(1-EXP(('2025'!Tnet-t)/('2025'!Tau_j))),Resal+(Salim-Resal)*(1-EXP((Tnet-t)/(Tau_j))))*Salcycl</f>
        <v>2.3051403396204529E-2</v>
      </c>
      <c r="P137" s="171">
        <f>(INDEX(Models!$BJ137:$BT137,,T137)*(1-R137)+INDEX(Models!$BJ137:$BT137,,T137+1)*R137-ERP_i)*Q137*Ramure*Pc/MaxiM</f>
        <v>3.0111022608816224E-4</v>
      </c>
      <c r="Q137" s="307">
        <f t="shared" si="28"/>
        <v>0.9</v>
      </c>
      <c r="R137" s="179">
        <f t="shared" si="29"/>
        <v>0.98541469899193856</v>
      </c>
      <c r="S137" s="839">
        <f t="shared" si="30"/>
        <v>-3</v>
      </c>
      <c r="T137" s="178">
        <f t="shared" si="31"/>
        <v>3</v>
      </c>
      <c r="U137" s="253">
        <f t="shared" si="32"/>
        <v>-2.0145853010080614</v>
      </c>
      <c r="V137" s="385">
        <f t="shared" si="33"/>
        <v>56.364683097973014</v>
      </c>
      <c r="W137" s="404">
        <f t="shared" si="34"/>
        <v>32.882595625098823</v>
      </c>
      <c r="X137" s="157">
        <f t="shared" si="35"/>
        <v>46145</v>
      </c>
      <c r="Y137" s="387">
        <f t="shared" si="36"/>
        <v>29.068117061635419</v>
      </c>
      <c r="Z137" s="387">
        <f t="shared" si="37"/>
        <v>31.048406420751171</v>
      </c>
      <c r="AA137" s="388">
        <f t="shared" si="38"/>
        <v>35.838297717497923</v>
      </c>
      <c r="AB137" s="199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0.13365286862964212</v>
      </c>
      <c r="AD137" s="233">
        <f>(INDEX(Models!$BJ137:$BT137,,AH137)*(1-AF137)+INDEX(Models!$BJ137:$BT137,,AH137+1)*AF137-ERP_i)*AE137*Ramure*Pc/MaxiM</f>
        <v>8.0766077496759354E-3</v>
      </c>
      <c r="AE137" s="307">
        <f t="shared" si="40"/>
        <v>0.9</v>
      </c>
      <c r="AF137" s="179">
        <f t="shared" si="41"/>
        <v>0.62107035129891752</v>
      </c>
      <c r="AG137" s="839">
        <f t="shared" si="49"/>
        <v>2</v>
      </c>
      <c r="AH137" s="178">
        <f t="shared" si="42"/>
        <v>8</v>
      </c>
      <c r="AI137" s="227">
        <f t="shared" si="43"/>
        <v>2.6210703512989175</v>
      </c>
      <c r="AJ137" s="267" t="b">
        <f t="shared" si="44"/>
        <v>0</v>
      </c>
      <c r="AK137" s="267" t="b">
        <f t="shared" si="45"/>
        <v>0</v>
      </c>
      <c r="AL137" s="267"/>
      <c r="AM137" s="267"/>
      <c r="AN137" s="75"/>
    </row>
    <row r="138" spans="1:40" s="6" customFormat="1" ht="11.25" x14ac:dyDescent="0.2">
      <c r="A138" s="56">
        <f t="shared" si="46"/>
        <v>46146</v>
      </c>
      <c r="B138" s="413">
        <f>'2025'!Wh/'2025'!Env_an*'2026'!Env_an</f>
        <v>0.83469109712492151</v>
      </c>
      <c r="C138" s="868"/>
      <c r="D138" s="395">
        <f t="shared" si="25"/>
        <v>0.89157586222691454</v>
      </c>
      <c r="E138" s="387">
        <f t="shared" si="47"/>
        <v>0.91283514499200213</v>
      </c>
      <c r="F138" s="387">
        <f t="shared" si="26"/>
        <v>0.91283514499200213</v>
      </c>
      <c r="G138" s="110">
        <f t="shared" si="48"/>
        <v>1.4763795771478846E-2</v>
      </c>
      <c r="H138" s="416" t="b">
        <f>Wh_hp&gt;='2025'!Maxi_hp</f>
        <v>0</v>
      </c>
      <c r="I138" s="392">
        <f>IF(H138,Wh_hp,'2025'!Maxi_hp)</f>
        <v>56.648586728820725</v>
      </c>
      <c r="J138" s="85">
        <f>IF(H138,An,'2025'!An_max)</f>
        <v>2020</v>
      </c>
      <c r="K138" s="199">
        <f t="shared" si="27"/>
        <v>46146</v>
      </c>
      <c r="L138" s="147">
        <f>IF(t&lt;Tvie,1-EXP((T0-t)*PertePVj)+'2025'!Pspv,1-EXP((T0-t)*PertePVj)+Pspv)</f>
        <v>6.3802495684338378E-2</v>
      </c>
      <c r="M138" s="872"/>
      <c r="N138" s="872"/>
      <c r="O138" s="48">
        <f>IF(t&lt;Tnet,'2025'!Resal+('2025'!Salim-'2025'!Resal)*(1-EXP(('2025'!Tnet-t)/('2025'!Tau_j))),Resal+(Salim-Resal)*(1-EXP((Tnet-t)/(Tau_j))))*Salcycl</f>
        <v>2.3289290384710091E-2</v>
      </c>
      <c r="P138" s="171">
        <f>(INDEX(Models!$BJ138:$BT138,,T138)*(1-R138)+INDEX(Models!$BJ138:$BT138,,T138+1)*R138-ERP_i)*Q138*Ramure*Pc/MaxiM</f>
        <v>2.7864858661413671E-4</v>
      </c>
      <c r="Q138" s="307">
        <f t="shared" si="28"/>
        <v>0.9</v>
      </c>
      <c r="R138" s="179">
        <f t="shared" si="29"/>
        <v>0.98960086827474525</v>
      </c>
      <c r="S138" s="839">
        <f t="shared" si="30"/>
        <v>-3</v>
      </c>
      <c r="T138" s="178">
        <f t="shared" si="31"/>
        <v>3</v>
      </c>
      <c r="U138" s="253">
        <f t="shared" si="32"/>
        <v>-2.0103991317252548</v>
      </c>
      <c r="V138" s="385">
        <f t="shared" si="33"/>
        <v>56.520594334045242</v>
      </c>
      <c r="W138" s="404">
        <f t="shared" si="34"/>
        <v>0.83469109712492151</v>
      </c>
      <c r="X138" s="157">
        <f t="shared" si="35"/>
        <v>46146</v>
      </c>
      <c r="Y138" s="387">
        <f t="shared" si="36"/>
        <v>0.74020265485178305</v>
      </c>
      <c r="Z138" s="387">
        <f t="shared" si="37"/>
        <v>0.79064796844641649</v>
      </c>
      <c r="AA138" s="388">
        <f t="shared" si="38"/>
        <v>0.91283514499200213</v>
      </c>
      <c r="AB138" s="199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0.13385459271143227</v>
      </c>
      <c r="AD138" s="233">
        <f>(INDEX(Models!$BJ138:$BT138,,AH138)*(1-AF138)+INDEX(Models!$BJ138:$BT138,,AH138+1)*AF138-ERP_i)*AE138*Ramure*Pc/MaxiM</f>
        <v>7.678013626487231E-3</v>
      </c>
      <c r="AE138" s="307">
        <f t="shared" si="40"/>
        <v>0.9</v>
      </c>
      <c r="AF138" s="179">
        <f t="shared" si="41"/>
        <v>0.62525652058172421</v>
      </c>
      <c r="AG138" s="839">
        <f t="shared" si="49"/>
        <v>2</v>
      </c>
      <c r="AH138" s="178">
        <f t="shared" si="42"/>
        <v>8</v>
      </c>
      <c r="AI138" s="227">
        <f t="shared" si="43"/>
        <v>2.6252565205817242</v>
      </c>
      <c r="AJ138" s="267" t="b">
        <f t="shared" si="44"/>
        <v>0</v>
      </c>
      <c r="AK138" s="267" t="b">
        <f t="shared" si="45"/>
        <v>0</v>
      </c>
      <c r="AL138" s="267"/>
      <c r="AM138" s="267"/>
      <c r="AN138" s="75"/>
    </row>
    <row r="139" spans="1:40" s="6" customFormat="1" ht="11.25" x14ac:dyDescent="0.2">
      <c r="A139" s="56">
        <f t="shared" si="46"/>
        <v>46147</v>
      </c>
      <c r="B139" s="413">
        <f>'2025'!Wh/'2025'!Env_an*'2026'!Env_an</f>
        <v>38.354211618605497</v>
      </c>
      <c r="C139" s="868"/>
      <c r="D139" s="395">
        <f t="shared" si="25"/>
        <v>40.969030595686178</v>
      </c>
      <c r="E139" s="387">
        <f t="shared" si="47"/>
        <v>41.956162016143715</v>
      </c>
      <c r="F139" s="387">
        <f t="shared" si="26"/>
        <v>41.96197747012689</v>
      </c>
      <c r="G139" s="110">
        <f t="shared" si="48"/>
        <v>0.67673775890130861</v>
      </c>
      <c r="H139" s="416" t="b">
        <f>Wh_hp&gt;='2025'!Maxi_hp</f>
        <v>0</v>
      </c>
      <c r="I139" s="392">
        <f>IF(H139,Wh_hp,'2025'!Maxi_hp)</f>
        <v>58.989313810464012</v>
      </c>
      <c r="J139" s="85">
        <f>IF(H139,An,'2025'!An_max)</f>
        <v>2020</v>
      </c>
      <c r="K139" s="199">
        <f t="shared" si="27"/>
        <v>46147</v>
      </c>
      <c r="L139" s="147">
        <f>IF(t&lt;Tvie,1-EXP((T0-t)*PertePVj)+'2025'!Pspv,1-EXP((T0-t)*PertePVj)+Pspv)</f>
        <v>6.3824282367960339E-2</v>
      </c>
      <c r="M139" s="872"/>
      <c r="N139" s="872"/>
      <c r="O139" s="48">
        <f>IF(t&lt;Tnet,'2025'!Resal+('2025'!Salim-'2025'!Resal)*(1-EXP(('2025'!Tnet-t)/('2025'!Tau_j))),Resal+(Salim-Resal)*(1-EXP((Tnet-t)/(Tau_j))))*Salcycl</f>
        <v>2.3527686352190918E-2</v>
      </c>
      <c r="P139" s="171">
        <f>(INDEX(Models!$BJ139:$BT139,,T139)*(1-R139)+INDEX(Models!$BJ139:$BT139,,T139+1)*R139-ERP_i)*Q139*Ramure*Pc/MaxiM</f>
        <v>2.5745055118321463E-4</v>
      </c>
      <c r="Q139" s="307">
        <f t="shared" si="28"/>
        <v>0.9</v>
      </c>
      <c r="R139" s="179">
        <f t="shared" si="29"/>
        <v>0.9938988095679524</v>
      </c>
      <c r="S139" s="839">
        <f t="shared" si="30"/>
        <v>-3</v>
      </c>
      <c r="T139" s="178">
        <f t="shared" si="31"/>
        <v>3</v>
      </c>
      <c r="U139" s="253">
        <f t="shared" si="32"/>
        <v>-2.0061011904320476</v>
      </c>
      <c r="V139" s="385">
        <f t="shared" si="33"/>
        <v>56.668409037233914</v>
      </c>
      <c r="W139" s="404">
        <f t="shared" si="34"/>
        <v>38.354211618605497</v>
      </c>
      <c r="X139" s="157">
        <f t="shared" si="35"/>
        <v>46147</v>
      </c>
      <c r="Y139" s="387">
        <f t="shared" si="36"/>
        <v>33.884112711492151</v>
      </c>
      <c r="Z139" s="387">
        <f t="shared" si="37"/>
        <v>36.194180294697809</v>
      </c>
      <c r="AA139" s="388">
        <f t="shared" si="38"/>
        <v>41.797498976188493</v>
      </c>
      <c r="AB139" s="199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0.13405870730884697</v>
      </c>
      <c r="AD139" s="233">
        <f>(INDEX(Models!$BJ139:$BT139,,AH139)*(1-AF139)+INDEX(Models!$BJ139:$BT139,,AH139+1)*AF139-ERP_i)*AE139*Ramure*Pc/MaxiM</f>
        <v>7.2814743345483842E-3</v>
      </c>
      <c r="AE139" s="307">
        <f t="shared" si="40"/>
        <v>0.9</v>
      </c>
      <c r="AF139" s="179">
        <f t="shared" si="41"/>
        <v>0.62955446187493136</v>
      </c>
      <c r="AG139" s="839">
        <f t="shared" si="49"/>
        <v>2</v>
      </c>
      <c r="AH139" s="178">
        <f t="shared" si="42"/>
        <v>8</v>
      </c>
      <c r="AI139" s="227">
        <f t="shared" si="43"/>
        <v>2.6295544618749314</v>
      </c>
      <c r="AJ139" s="267" t="b">
        <f t="shared" si="44"/>
        <v>0</v>
      </c>
      <c r="AK139" s="267" t="b">
        <f t="shared" si="45"/>
        <v>0</v>
      </c>
      <c r="AL139" s="267"/>
      <c r="AM139" s="267"/>
      <c r="AN139" s="75"/>
    </row>
    <row r="140" spans="1:40" s="6" customFormat="1" ht="11.25" x14ac:dyDescent="0.2">
      <c r="A140" s="56">
        <f t="shared" si="46"/>
        <v>46148</v>
      </c>
      <c r="B140" s="413">
        <f>'2025'!Wh/'2025'!Env_an*'2026'!Env_an</f>
        <v>35.548886212652825</v>
      </c>
      <c r="C140" s="868"/>
      <c r="D140" s="395">
        <f t="shared" si="25"/>
        <v>37.973334318412206</v>
      </c>
      <c r="E140" s="387">
        <f t="shared" si="47"/>
        <v>38.897802536776595</v>
      </c>
      <c r="F140" s="387">
        <f t="shared" si="26"/>
        <v>38.902102418185322</v>
      </c>
      <c r="G140" s="110">
        <f t="shared" si="48"/>
        <v>0.62568710069626055</v>
      </c>
      <c r="H140" s="416" t="b">
        <f>Wh_hp&gt;='2025'!Maxi_hp</f>
        <v>0</v>
      </c>
      <c r="I140" s="392">
        <f>IF(H140,Wh_hp,'2025'!Maxi_hp)</f>
        <v>64.322746160656237</v>
      </c>
      <c r="J140" s="85">
        <f>IF(H140,An,'2025'!An_max)</f>
        <v>2019</v>
      </c>
      <c r="K140" s="199">
        <f t="shared" si="27"/>
        <v>46148</v>
      </c>
      <c r="L140" s="147">
        <f>IF(t&lt;Tvie,1-EXP((T0-t)*PertePVj)+'2025'!Pspv,1-EXP((T0-t)*PertePVj)+Pspv)</f>
        <v>6.3846068544574308E-2</v>
      </c>
      <c r="M140" s="872"/>
      <c r="N140" s="872"/>
      <c r="O140" s="48">
        <f>IF(t&lt;Tnet,'2025'!Resal+('2025'!Salim-'2025'!Resal)*(1-EXP(('2025'!Tnet-t)/('2025'!Tau_j))),Resal+(Salim-Resal)*(1-EXP((Tnet-t)/(Tau_j))))*Salcycl</f>
        <v>2.3766592405582192E-2</v>
      </c>
      <c r="P140" s="171">
        <f>(INDEX(Models!$BJ140:$BT140,,T140)*(1-R140)+INDEX(Models!$BJ140:$BT140,,T140+1)*R140-ERP_i)*Q140*Ramure*Pc/MaxiM</f>
        <v>2.3750619091025108E-4</v>
      </c>
      <c r="Q140" s="307">
        <f t="shared" si="28"/>
        <v>0.9</v>
      </c>
      <c r="R140" s="179">
        <f t="shared" si="29"/>
        <v>0.99830928467383018</v>
      </c>
      <c r="S140" s="839">
        <f t="shared" si="30"/>
        <v>-3</v>
      </c>
      <c r="T140" s="178">
        <f t="shared" si="31"/>
        <v>3</v>
      </c>
      <c r="U140" s="253">
        <f t="shared" si="32"/>
        <v>-2.0016907153261698</v>
      </c>
      <c r="V140" s="385">
        <f t="shared" si="33"/>
        <v>56.808541907339603</v>
      </c>
      <c r="W140" s="404">
        <f t="shared" si="34"/>
        <v>35.548886212652825</v>
      </c>
      <c r="X140" s="157">
        <f t="shared" si="35"/>
        <v>46148</v>
      </c>
      <c r="Y140" s="387">
        <f t="shared" si="36"/>
        <v>31.427592679398398</v>
      </c>
      <c r="Z140" s="387">
        <f t="shared" si="37"/>
        <v>33.570966935467922</v>
      </c>
      <c r="AA140" s="388">
        <f t="shared" si="38"/>
        <v>38.777423975811764</v>
      </c>
      <c r="AB140" s="199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0.134265160150697</v>
      </c>
      <c r="AD140" s="233">
        <f>(INDEX(Models!$BJ140:$BT140,,AH140)*(1-AF140)+INDEX(Models!$BJ140:$BT140,,AH140+1)*AF140-ERP_i)*AE140*Ramure*Pc/MaxiM</f>
        <v>6.8866787527355243E-3</v>
      </c>
      <c r="AE140" s="307">
        <f t="shared" si="40"/>
        <v>0.9</v>
      </c>
      <c r="AF140" s="179">
        <f t="shared" si="41"/>
        <v>0.63396493698080914</v>
      </c>
      <c r="AG140" s="839">
        <f t="shared" si="49"/>
        <v>2</v>
      </c>
      <c r="AH140" s="178">
        <f t="shared" si="42"/>
        <v>8</v>
      </c>
      <c r="AI140" s="227">
        <f t="shared" si="43"/>
        <v>2.6339649369808091</v>
      </c>
      <c r="AJ140" s="267" t="b">
        <f t="shared" si="44"/>
        <v>0</v>
      </c>
      <c r="AK140" s="267" t="b">
        <f t="shared" si="45"/>
        <v>0</v>
      </c>
      <c r="AL140" s="267"/>
      <c r="AM140" s="267"/>
      <c r="AN140" s="75"/>
    </row>
    <row r="141" spans="1:40" s="6" customFormat="1" ht="11.25" x14ac:dyDescent="0.2">
      <c r="A141" s="56">
        <f t="shared" si="46"/>
        <v>46149</v>
      </c>
      <c r="B141" s="413">
        <f>'2025'!Wh/'2025'!Env_an*'2026'!Env_an</f>
        <v>48.827961772520581</v>
      </c>
      <c r="C141" s="868"/>
      <c r="D141" s="395">
        <f t="shared" si="25"/>
        <v>52.159261907979264</v>
      </c>
      <c r="E141" s="387">
        <f t="shared" si="47"/>
        <v>53.44219569460487</v>
      </c>
      <c r="F141" s="387">
        <f t="shared" si="26"/>
        <v>53.451536865033709</v>
      </c>
      <c r="G141" s="110">
        <f t="shared" si="48"/>
        <v>0.85747460318478108</v>
      </c>
      <c r="H141" s="416" t="b">
        <f>Wh_hp&gt;='2025'!Maxi_hp</f>
        <v>0</v>
      </c>
      <c r="I141" s="392">
        <f>IF(H141,Wh_hp,'2025'!Maxi_hp)</f>
        <v>59.596399989587596</v>
      </c>
      <c r="J141" s="85">
        <f>IF(H141,An,'2025'!An_max)</f>
        <v>2020</v>
      </c>
      <c r="K141" s="199">
        <f t="shared" si="27"/>
        <v>46149</v>
      </c>
      <c r="L141" s="147">
        <f>IF(t&lt;Tvie,1-EXP((T0-t)*PertePVj)+'2025'!Pspv,1-EXP((T0-t)*PertePVj)+Pspv)</f>
        <v>6.3867854214192166E-2</v>
      </c>
      <c r="M141" s="872"/>
      <c r="N141" s="872"/>
      <c r="O141" s="48">
        <f>IF(t&lt;Tnet,'2025'!Resal+('2025'!Salim-'2025'!Resal)*(1-EXP(('2025'!Tnet-t)/('2025'!Tau_j))),Resal+(Salim-Resal)*(1-EXP((Tnet-t)/(Tau_j))))*Salcycl</f>
        <v>2.4006008172959805E-2</v>
      </c>
      <c r="P141" s="171">
        <f>(INDEX(Models!$BJ141:$BT141,,T141)*(1-R141)+INDEX(Models!$BJ141:$BT141,,T141+1)*R141-ERP_i)*Q141*Ramure*Pc/MaxiM</f>
        <v>2.1942404172296023E-4</v>
      </c>
      <c r="Q141" s="307">
        <f t="shared" si="28"/>
        <v>0.9</v>
      </c>
      <c r="R141" s="179">
        <f t="shared" si="29"/>
        <v>2.8329008410434842E-3</v>
      </c>
      <c r="S141" s="839">
        <f t="shared" si="30"/>
        <v>-2</v>
      </c>
      <c r="T141" s="178">
        <f t="shared" si="31"/>
        <v>4</v>
      </c>
      <c r="U141" s="253">
        <f t="shared" si="32"/>
        <v>-1.9971670991589565</v>
      </c>
      <c r="V141" s="385">
        <f t="shared" si="33"/>
        <v>56.941372184607509</v>
      </c>
      <c r="W141" s="404">
        <f t="shared" si="34"/>
        <v>48.827961772520581</v>
      </c>
      <c r="X141" s="157">
        <f t="shared" si="35"/>
        <v>46149</v>
      </c>
      <c r="Y141" s="387">
        <f t="shared" si="36"/>
        <v>43.084961163925115</v>
      </c>
      <c r="Z141" s="387">
        <f t="shared" si="37"/>
        <v>46.024443619291318</v>
      </c>
      <c r="AA141" s="388">
        <f t="shared" si="38"/>
        <v>53.175107294186709</v>
      </c>
      <c r="AB141" s="199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0.13447389274336499</v>
      </c>
      <c r="AD141" s="233">
        <f>(INDEX(Models!$BJ141:$BT141,,AH141)*(1-AF141)+INDEX(Models!$BJ141:$BT141,,AH141+1)*AF141-ERP_i)*AE141*Ramure*Pc/MaxiM</f>
        <v>6.4933290907240706E-3</v>
      </c>
      <c r="AE141" s="307">
        <f t="shared" si="40"/>
        <v>0.9</v>
      </c>
      <c r="AF141" s="179">
        <f t="shared" si="41"/>
        <v>0.63848855314802222</v>
      </c>
      <c r="AG141" s="839">
        <f t="shared" si="49"/>
        <v>2</v>
      </c>
      <c r="AH141" s="178">
        <f t="shared" si="42"/>
        <v>8</v>
      </c>
      <c r="AI141" s="227">
        <f t="shared" si="43"/>
        <v>2.6384885531480222</v>
      </c>
      <c r="AJ141" s="267" t="b">
        <f t="shared" si="44"/>
        <v>0</v>
      </c>
      <c r="AK141" s="267" t="b">
        <f t="shared" si="45"/>
        <v>0</v>
      </c>
      <c r="AL141" s="267"/>
      <c r="AM141" s="267"/>
      <c r="AN141" s="75"/>
    </row>
    <row r="142" spans="1:40" s="6" customFormat="1" ht="11.25" x14ac:dyDescent="0.2">
      <c r="A142" s="56">
        <f t="shared" si="46"/>
        <v>46150</v>
      </c>
      <c r="B142" s="413">
        <f>'2025'!Wh/'2025'!Env_an*'2026'!Env_an</f>
        <v>49.664002884693112</v>
      </c>
      <c r="C142" s="868"/>
      <c r="D142" s="395">
        <f t="shared" si="25"/>
        <v>53.053576772327872</v>
      </c>
      <c r="E142" s="387">
        <f t="shared" si="47"/>
        <v>54.371873506116835</v>
      </c>
      <c r="F142" s="387">
        <f t="shared" si="26"/>
        <v>54.380876478622135</v>
      </c>
      <c r="G142" s="110">
        <f t="shared" si="48"/>
        <v>0.87023779200533891</v>
      </c>
      <c r="H142" s="416" t="b">
        <f>Wh_hp&gt;='2025'!Maxi_hp</f>
        <v>0</v>
      </c>
      <c r="I142" s="392">
        <f>IF(H142,Wh_hp,'2025'!Maxi_hp)</f>
        <v>57.502129764921655</v>
      </c>
      <c r="J142" s="85">
        <f>IF(H142,An,'2025'!An_max)</f>
        <v>2021</v>
      </c>
      <c r="K142" s="199">
        <f t="shared" si="27"/>
        <v>46150</v>
      </c>
      <c r="L142" s="147">
        <f>IF(t&lt;Tvie,1-EXP((T0-t)*PertePVj)+'2025'!Pspv,1-EXP((T0-t)*PertePVj)+Pspv)</f>
        <v>6.388963937682568E-2</v>
      </c>
      <c r="M142" s="872"/>
      <c r="N142" s="872"/>
      <c r="O142" s="48">
        <f>IF(t&lt;Tnet,'2025'!Resal+('2025'!Salim-'2025'!Resal)*(1-EXP(('2025'!Tnet-t)/('2025'!Tau_j))),Resal+(Salim-Resal)*(1-EXP((Tnet-t)/(Tau_j))))*Salcycl</f>
        <v>2.4245931743379256E-2</v>
      </c>
      <c r="P142" s="171">
        <f>(INDEX(Models!$BJ142:$BT142,,T142)*(1-R142)+INDEX(Models!$BJ142:$BT142,,T142+1)*R142-ERP_i)*Q142*Ramure*Pc/MaxiM</f>
        <v>2.0321548542672692E-4</v>
      </c>
      <c r="Q142" s="307">
        <f t="shared" si="28"/>
        <v>0.9</v>
      </c>
      <c r="R142" s="179">
        <f t="shared" si="29"/>
        <v>7.470100958429704E-3</v>
      </c>
      <c r="S142" s="839">
        <f t="shared" si="30"/>
        <v>-2</v>
      </c>
      <c r="T142" s="178">
        <f t="shared" si="31"/>
        <v>4</v>
      </c>
      <c r="U142" s="253">
        <f t="shared" si="32"/>
        <v>-1.9925298990415703</v>
      </c>
      <c r="V142" s="385">
        <f t="shared" si="33"/>
        <v>57.067312649374365</v>
      </c>
      <c r="W142" s="404">
        <f t="shared" si="34"/>
        <v>49.664002884693112</v>
      </c>
      <c r="X142" s="157">
        <f t="shared" si="35"/>
        <v>46150</v>
      </c>
      <c r="Y142" s="387">
        <f t="shared" si="36"/>
        <v>43.830836290205546</v>
      </c>
      <c r="Z142" s="387">
        <f t="shared" si="37"/>
        <v>46.82229588937259</v>
      </c>
      <c r="AA142" s="388">
        <f t="shared" si="38"/>
        <v>54.110107009676661</v>
      </c>
      <c r="AB142" s="199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0.13468484028317987</v>
      </c>
      <c r="AD142" s="233">
        <f>(INDEX(Models!$BJ142:$BT142,,AH142)*(1-AF142)+INDEX(Models!$BJ142:$BT142,,AH142+1)*AF142-ERP_i)*AE142*Ramure*Pc/MaxiM</f>
        <v>6.111820183623321E-3</v>
      </c>
      <c r="AE142" s="307">
        <f t="shared" si="40"/>
        <v>0.9</v>
      </c>
      <c r="AF142" s="179">
        <f t="shared" si="41"/>
        <v>0.64312575326540866</v>
      </c>
      <c r="AG142" s="839">
        <f t="shared" si="49"/>
        <v>2</v>
      </c>
      <c r="AH142" s="178">
        <f t="shared" si="42"/>
        <v>8</v>
      </c>
      <c r="AI142" s="227">
        <f t="shared" si="43"/>
        <v>2.6431257532654087</v>
      </c>
      <c r="AJ142" s="267" t="b">
        <f t="shared" si="44"/>
        <v>0</v>
      </c>
      <c r="AK142" s="267" t="b">
        <f t="shared" si="45"/>
        <v>0</v>
      </c>
      <c r="AL142" s="267"/>
      <c r="AM142" s="267"/>
      <c r="AN142" s="75"/>
    </row>
    <row r="143" spans="1:40" s="6" customFormat="1" ht="11.25" x14ac:dyDescent="0.2">
      <c r="A143" s="56">
        <f t="shared" si="46"/>
        <v>46151</v>
      </c>
      <c r="B143" s="413">
        <f>'2025'!Wh/'2025'!Env_an*'2026'!Env_an</f>
        <v>55.139094224891103</v>
      </c>
      <c r="C143" s="868"/>
      <c r="D143" s="395">
        <f t="shared" ref="D143:D206" si="50">Wh/(1-Ppv)</f>
        <v>58.90371449934743</v>
      </c>
      <c r="E143" s="387">
        <f t="shared" si="47"/>
        <v>60.38225613719532</v>
      </c>
      <c r="F143" s="387">
        <f t="shared" ref="F143:F206" si="51">Wh_sa/(1-Pvg*MEDIAN((-Sdif+Wh/Env_an)/Csdif,0,1))</f>
        <v>60.393035671817003</v>
      </c>
      <c r="G143" s="110">
        <f t="shared" si="48"/>
        <v>0.96418306030561218</v>
      </c>
      <c r="H143" s="416" t="b">
        <f>Wh_hp&gt;='2025'!Maxi_hp</f>
        <v>0</v>
      </c>
      <c r="I143" s="392">
        <f>IF(H143,Wh_hp,'2025'!Maxi_hp)</f>
        <v>60.393537504802865</v>
      </c>
      <c r="J143" s="85">
        <f>IF(H143,An,'2025'!An_max)</f>
        <v>2025</v>
      </c>
      <c r="K143" s="199">
        <f t="shared" ref="K143:K206" si="52">t</f>
        <v>46151</v>
      </c>
      <c r="L143" s="147">
        <f>IF(t&lt;Tvie,1-EXP((T0-t)*PertePVj)+'2025'!Pspv,1-EXP((T0-t)*PertePVj)+Pspv)</f>
        <v>6.3911424032486619E-2</v>
      </c>
      <c r="M143" s="872"/>
      <c r="N143" s="872"/>
      <c r="O143" s="48">
        <f>IF(t&lt;Tnet,'2025'!Resal+('2025'!Salim-'2025'!Resal)*(1-EXP(('2025'!Tnet-t)/('2025'!Tau_j))),Resal+(Salim-Resal)*(1-EXP((Tnet-t)/(Tau_j))))*Salcycl</f>
        <v>2.4486359610155554E-2</v>
      </c>
      <c r="P143" s="171">
        <f>(INDEX(Models!$BJ143:$BT143,,T143)*(1-R143)+INDEX(Models!$BJ143:$BT143,,T143+1)*R143-ERP_i)*Q143*Ramure*Pc/MaxiM</f>
        <v>1.8811235868833713E-4</v>
      </c>
      <c r="Q143" s="307">
        <f t="shared" ref="Q143:Q206" si="53">IF(OR(t&lt;Ttai,Notai),Dd+PousD*Croivg,Dens+PousD*(Croivg-Croi_tai))</f>
        <v>0.9</v>
      </c>
      <c r="R143" s="179">
        <f t="shared" ref="R143:R206" si="54">(Hp_vg-S143)/(INDEX(Echel_vg,T143+1)-S143)</f>
        <v>1.2221153862713052E-2</v>
      </c>
      <c r="S143" s="839">
        <f t="shared" ref="S143:S206" si="55">INDEX(Echel_vg,T143)</f>
        <v>-2</v>
      </c>
      <c r="T143" s="178">
        <f t="shared" ref="T143:T206" si="56">MIN(MATCH(Hp_vg,Echel_vg),10)</f>
        <v>4</v>
      </c>
      <c r="U143" s="253">
        <f t="shared" ref="U143:U206" si="57">IF(OR(t&lt;Ttai,Notai),Hdd+PousH*Croivg,Hdtf+PousH*(Croivg-Croi_tai))</f>
        <v>-1.9877788461372869</v>
      </c>
      <c r="V143" s="385">
        <f t="shared" ref="V143:V206" si="58">MaxiM*(1-Ppv)*(1-Pvg)*(1-Psa)</f>
        <v>57.186820444479579</v>
      </c>
      <c r="W143" s="404">
        <f t="shared" ref="W143:W206" si="59">Wh*(A143&gt;Tmaj)</f>
        <v>55.139094224891103</v>
      </c>
      <c r="X143" s="157">
        <f t="shared" ref="X143:X206" si="60">t</f>
        <v>46151</v>
      </c>
      <c r="Y143" s="387">
        <f t="shared" ref="Y143:Y206" si="61">Wh_pvt_s*(1-Ppv)</f>
        <v>48.640447593524399</v>
      </c>
      <c r="Z143" s="387">
        <f t="shared" ref="Z143:Z206" si="62">Wh_sa_s*(1-Psa_s)</f>
        <v>51.961372932311534</v>
      </c>
      <c r="AA143" s="388">
        <f t="shared" ref="AA143:AA206" si="63">Wh_hp*(1-Pvg_s*MEDIAN((-Sdif+Wh/Env_an)/Csdif,0,1))</f>
        <v>60.063863941309613</v>
      </c>
      <c r="AB143" s="199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0.13489793159020358</v>
      </c>
      <c r="AD143" s="233">
        <f>(INDEX(Models!$BJ143:$BT143,,AH143)*(1-AF143)+INDEX(Models!$BJ143:$BT143,,AH143+1)*AF143-ERP_i)*AE143*Ramure*Pc/MaxiM</f>
        <v>5.7443361714988699E-3</v>
      </c>
      <c r="AE143" s="307">
        <f t="shared" ref="AE143:AE206" si="65">IF(OR(t&lt;Ttai,Notai),Dd_s+PousD*Croivg,Dens_s+PousD*(Croivg-Croi_tai))</f>
        <v>0.9</v>
      </c>
      <c r="AF143" s="179">
        <f t="shared" ref="AF143:AF206" si="66">(Hp_vg_s-AG143)/(INDEX(Echel_vg,AH143+1)-AG143)</f>
        <v>0.64787680616969201</v>
      </c>
      <c r="AG143" s="839">
        <f t="shared" si="49"/>
        <v>2</v>
      </c>
      <c r="AH143" s="178">
        <f t="shared" ref="AH143:AH206" si="67">MIN(MATCH(Hp_vg_s,Echel_vg),10)</f>
        <v>8</v>
      </c>
      <c r="AI143" s="227">
        <f t="shared" ref="AI143:AI206" si="68">IF(OR(t&lt;Ttai,Notai),Hdd_s+PousH*Croivg,Hdtai_s+PousH*(Croivg-Croi_tai))</f>
        <v>2.647876806169692</v>
      </c>
      <c r="AJ143" s="267" t="b">
        <f t="shared" ref="AJ143:AJ206" si="69">t&lt;Tnet</f>
        <v>0</v>
      </c>
      <c r="AK143" s="267" t="b">
        <f t="shared" ref="AK143:AK206" si="70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71">A143+1</f>
        <v>46152</v>
      </c>
      <c r="B144" s="413">
        <f>'2025'!Wh/'2025'!Env_an*'2026'!Env_an</f>
        <v>50.610952836047453</v>
      </c>
      <c r="C144" s="868"/>
      <c r="D144" s="395">
        <f t="shared" si="50"/>
        <v>54.067672604546146</v>
      </c>
      <c r="E144" s="387">
        <f t="shared" ref="E144:E169" si="72">Wh_pvt/(1-Psa)</f>
        <v>55.438516696590838</v>
      </c>
      <c r="F144" s="387">
        <f t="shared" si="51"/>
        <v>55.446560952894821</v>
      </c>
      <c r="G144" s="110">
        <f t="shared" ref="G144:G169" si="73">+Wh_hp/MaxiM</f>
        <v>0.88323229429108718</v>
      </c>
      <c r="H144" s="416" t="b">
        <f>Wh_hp&gt;='2025'!Maxi_hp</f>
        <v>0</v>
      </c>
      <c r="I144" s="392">
        <f>IF(H144,Wh_hp,'2025'!Maxi_hp)</f>
        <v>55.447944396329738</v>
      </c>
      <c r="J144" s="85">
        <f>IF(H144,An,'2025'!An_max)</f>
        <v>2025</v>
      </c>
      <c r="K144" s="199">
        <f t="shared" si="52"/>
        <v>46152</v>
      </c>
      <c r="L144" s="147">
        <f>IF(t&lt;Tvie,1-EXP((T0-t)*PertePVj)+'2025'!Pspv,1-EXP((T0-t)*PertePVj)+Pspv)</f>
        <v>6.3933208181186751E-2</v>
      </c>
      <c r="M144" s="872"/>
      <c r="N144" s="872"/>
      <c r="O144" s="48">
        <f>IF(t&lt;Tnet,'2025'!Resal+('2025'!Salim-'2025'!Resal)*(1-EXP(('2025'!Tnet-t)/('2025'!Tau_j))),Resal+(Salim-Resal)*(1-EXP((Tnet-t)/(Tau_j))))*Salcycl</f>
        <v>2.4727286618203989E-2</v>
      </c>
      <c r="P144" s="171">
        <f>(INDEX(Models!$BJ144:$BT144,,T144)*(1-R144)+INDEX(Models!$BJ144:$BT144,,T144+1)*R144-ERP_i)*Q144*Ramure*Pc/MaxiM</f>
        <v>1.7412000080188703E-4</v>
      </c>
      <c r="Q144" s="307">
        <f t="shared" si="53"/>
        <v>0.9</v>
      </c>
      <c r="R144" s="179">
        <f t="shared" si="54"/>
        <v>1.7086144828118766E-2</v>
      </c>
      <c r="S144" s="839">
        <f t="shared" si="55"/>
        <v>-2</v>
      </c>
      <c r="T144" s="178">
        <f t="shared" si="56"/>
        <v>4</v>
      </c>
      <c r="U144" s="253">
        <f t="shared" si="57"/>
        <v>-1.9829138551718812</v>
      </c>
      <c r="V144" s="385">
        <f t="shared" si="58"/>
        <v>57.30030850435098</v>
      </c>
      <c r="W144" s="404">
        <f t="shared" si="59"/>
        <v>50.610952836047453</v>
      </c>
      <c r="X144" s="157">
        <f t="shared" si="60"/>
        <v>46152</v>
      </c>
      <c r="Y144" s="387">
        <f t="shared" si="61"/>
        <v>44.687464662009504</v>
      </c>
      <c r="Z144" s="387">
        <f t="shared" si="62"/>
        <v>47.739611160844696</v>
      </c>
      <c r="AA144" s="388">
        <f t="shared" si="63"/>
        <v>55.197518377595181</v>
      </c>
      <c r="AB144" s="199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0.13511308906557051</v>
      </c>
      <c r="AD144" s="233">
        <f>(INDEX(Models!$BJ144:$BT144,,AH144)*(1-AF144)+INDEX(Models!$BJ144:$BT144,,AH144+1)*AF144-ERP_i)*AE144*Ramure*Pc/MaxiM</f>
        <v>5.3905907236451193E-3</v>
      </c>
      <c r="AE144" s="307">
        <f t="shared" si="65"/>
        <v>0.9</v>
      </c>
      <c r="AF144" s="179">
        <f t="shared" si="66"/>
        <v>0.65274179713509772</v>
      </c>
      <c r="AG144" s="839">
        <f t="shared" ref="AG144:AG207" si="74">INDEX(Echel_vg,AH144)</f>
        <v>2</v>
      </c>
      <c r="AH144" s="178">
        <f t="shared" si="67"/>
        <v>8</v>
      </c>
      <c r="AI144" s="227">
        <f t="shared" si="68"/>
        <v>2.6527417971350977</v>
      </c>
      <c r="AJ144" s="267" t="b">
        <f t="shared" si="69"/>
        <v>0</v>
      </c>
      <c r="AK144" s="267" t="b">
        <f t="shared" si="70"/>
        <v>0</v>
      </c>
      <c r="AL144" s="267"/>
      <c r="AM144" s="267"/>
      <c r="AN144" s="75"/>
    </row>
    <row r="145" spans="1:40" s="6" customFormat="1" ht="11.25" x14ac:dyDescent="0.2">
      <c r="A145" s="56">
        <f t="shared" si="71"/>
        <v>46153</v>
      </c>
      <c r="B145" s="413">
        <f>'2025'!Wh/'2025'!Env_an*'2026'!Env_an</f>
        <v>55.458230956270455</v>
      </c>
      <c r="C145" s="868"/>
      <c r="D145" s="395">
        <f t="shared" si="50"/>
        <v>59.247397797969974</v>
      </c>
      <c r="E145" s="387">
        <f t="shared" si="72"/>
        <v>60.76461151294076</v>
      </c>
      <c r="F145" s="387">
        <f t="shared" si="51"/>
        <v>60.77393556309211</v>
      </c>
      <c r="G145" s="110">
        <f t="shared" si="73"/>
        <v>0.96602588554732793</v>
      </c>
      <c r="H145" s="416" t="b">
        <f>Wh_hp&gt;='2025'!Maxi_hp</f>
        <v>0</v>
      </c>
      <c r="I145" s="392">
        <f>IF(H145,Wh_hp,'2025'!Maxi_hp)</f>
        <v>60.774342119128853</v>
      </c>
      <c r="J145" s="85">
        <f>IF(H145,An,'2025'!An_max)</f>
        <v>2025</v>
      </c>
      <c r="K145" s="199">
        <f t="shared" si="52"/>
        <v>46153</v>
      </c>
      <c r="L145" s="147">
        <f>IF(t&lt;Tvie,1-EXP((T0-t)*PertePVj)+'2025'!Pspv,1-EXP((T0-t)*PertePVj)+Pspv)</f>
        <v>6.3954991822937957E-2</v>
      </c>
      <c r="M145" s="872"/>
      <c r="N145" s="872"/>
      <c r="O145" s="48">
        <f>IF(t&lt;Tnet,'2025'!Resal+('2025'!Salim-'2025'!Resal)*(1-EXP(('2025'!Tnet-t)/('2025'!Tau_j))),Resal+(Salim-Resal)*(1-EXP((Tnet-t)/(Tau_j))))*Salcycl</f>
        <v>2.4968705916068826E-2</v>
      </c>
      <c r="P145" s="171">
        <f>(INDEX(Models!$BJ145:$BT145,,T145)*(1-R145)+INDEX(Models!$BJ145:$BT145,,T145+1)*R145-ERP_i)*Q145*Ramure*Pc/MaxiM</f>
        <v>1.6124610832602532E-4</v>
      </c>
      <c r="Q145" s="307">
        <f t="shared" si="53"/>
        <v>0.9</v>
      </c>
      <c r="R145" s="179">
        <f t="shared" si="54"/>
        <v>2.2064966309828682E-2</v>
      </c>
      <c r="S145" s="839">
        <f t="shared" si="55"/>
        <v>-2</v>
      </c>
      <c r="T145" s="178">
        <f t="shared" si="56"/>
        <v>4</v>
      </c>
      <c r="U145" s="253">
        <f t="shared" si="57"/>
        <v>-1.9779350336901713</v>
      </c>
      <c r="V145" s="385">
        <f t="shared" si="58"/>
        <v>57.408189366706949</v>
      </c>
      <c r="W145" s="404">
        <f t="shared" si="59"/>
        <v>55.458230956270455</v>
      </c>
      <c r="X145" s="157">
        <f t="shared" si="60"/>
        <v>46153</v>
      </c>
      <c r="Y145" s="387">
        <f t="shared" si="61"/>
        <v>48.952225569834546</v>
      </c>
      <c r="Z145" s="387">
        <f t="shared" si="62"/>
        <v>52.296871563012232</v>
      </c>
      <c r="AA145" s="388">
        <f t="shared" si="63"/>
        <v>60.481901064772359</v>
      </c>
      <c r="AB145" s="199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0.13533022867443381</v>
      </c>
      <c r="AD145" s="233">
        <f>(INDEX(Models!$BJ145:$BT145,,AH145)*(1-AF145)+INDEX(Models!$BJ145:$BT145,,AH145+1)*AF145-ERP_i)*AE145*Ramure*Pc/MaxiM</f>
        <v>5.0503188621515566E-3</v>
      </c>
      <c r="AE145" s="307">
        <f t="shared" si="65"/>
        <v>0.9</v>
      </c>
      <c r="AF145" s="179">
        <f t="shared" si="66"/>
        <v>0.65772061861680742</v>
      </c>
      <c r="AG145" s="839">
        <f t="shared" si="74"/>
        <v>2</v>
      </c>
      <c r="AH145" s="178">
        <f t="shared" si="67"/>
        <v>8</v>
      </c>
      <c r="AI145" s="227">
        <f t="shared" si="68"/>
        <v>2.6577206186168074</v>
      </c>
      <c r="AJ145" s="267" t="b">
        <f t="shared" si="69"/>
        <v>0</v>
      </c>
      <c r="AK145" s="267" t="b">
        <f t="shared" si="70"/>
        <v>0</v>
      </c>
      <c r="AL145" s="267"/>
      <c r="AM145" s="267"/>
      <c r="AN145" s="75"/>
    </row>
    <row r="146" spans="1:40" s="6" customFormat="1" ht="11.25" x14ac:dyDescent="0.2">
      <c r="A146" s="56">
        <f t="shared" si="71"/>
        <v>46154</v>
      </c>
      <c r="B146" s="413">
        <f>'2025'!Wh/'2025'!Env_an*'2026'!Env_an</f>
        <v>43.252138850258731</v>
      </c>
      <c r="C146" s="868"/>
      <c r="D146" s="395">
        <f t="shared" si="50"/>
        <v>46.208403480914185</v>
      </c>
      <c r="E146" s="387">
        <f t="shared" si="72"/>
        <v>47.403473923120238</v>
      </c>
      <c r="F146" s="387">
        <f t="shared" si="51"/>
        <v>47.408051142773196</v>
      </c>
      <c r="G146" s="110">
        <f t="shared" si="73"/>
        <v>0.75202904223266864</v>
      </c>
      <c r="H146" s="416" t="b">
        <f>Wh_hp&gt;='2025'!Maxi_hp</f>
        <v>0</v>
      </c>
      <c r="I146" s="392">
        <f>IF(H146,Wh_hp,'2025'!Maxi_hp)</f>
        <v>58.685038325386628</v>
      </c>
      <c r="J146" s="85">
        <f>IF(H146,An,'2025'!An_max)</f>
        <v>2019</v>
      </c>
      <c r="K146" s="199">
        <f t="shared" si="52"/>
        <v>46154</v>
      </c>
      <c r="L146" s="147">
        <f>IF(t&lt;Tvie,1-EXP((T0-t)*PertePVj)+'2025'!Pspv,1-EXP((T0-t)*PertePVj)+Pspv)</f>
        <v>6.3976774957752003E-2</v>
      </c>
      <c r="M146" s="872"/>
      <c r="N146" s="872"/>
      <c r="O146" s="48">
        <f>IF(t&lt;Tnet,'2025'!Resal+('2025'!Salim-'2025'!Resal)*(1-EXP(('2025'!Tnet-t)/('2025'!Tau_j))),Resal+(Salim-Resal)*(1-EXP((Tnet-t)/(Tau_j))))*Salcycl</f>
        <v>2.5210608913267353E-2</v>
      </c>
      <c r="P146" s="171">
        <f>(INDEX(Models!$BJ146:$BT146,,T146)*(1-R146)+INDEX(Models!$BJ146:$BT146,,T146+1)*R146-ERP_i)*Q146*Ramure*Pc/MaxiM</f>
        <v>1.495006532131436E-4</v>
      </c>
      <c r="Q146" s="307">
        <f t="shared" si="53"/>
        <v>0.9</v>
      </c>
      <c r="R146" s="179">
        <f t="shared" si="54"/>
        <v>2.7157309016788922E-2</v>
      </c>
      <c r="S146" s="839">
        <f t="shared" si="55"/>
        <v>-2</v>
      </c>
      <c r="T146" s="178">
        <f t="shared" si="56"/>
        <v>4</v>
      </c>
      <c r="U146" s="253">
        <f t="shared" si="57"/>
        <v>-1.9728426909832111</v>
      </c>
      <c r="V146" s="385">
        <f t="shared" si="58"/>
        <v>57.510875173715377</v>
      </c>
      <c r="W146" s="404">
        <f t="shared" si="59"/>
        <v>43.252138850258731</v>
      </c>
      <c r="X146" s="157">
        <f t="shared" si="60"/>
        <v>46154</v>
      </c>
      <c r="Y146" s="387">
        <f t="shared" si="61"/>
        <v>38.243021933592274</v>
      </c>
      <c r="Z146" s="387">
        <f t="shared" si="62"/>
        <v>40.856915630342563</v>
      </c>
      <c r="AA146" s="388">
        <f t="shared" si="63"/>
        <v>47.263439936767796</v>
      </c>
      <c r="AB146" s="199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0.135549259956455</v>
      </c>
      <c r="AD146" s="233">
        <f>(INDEX(Models!$BJ146:$BT146,,AH146)*(1-AF146)+INDEX(Models!$BJ146:$BT146,,AH146+1)*AF146-ERP_i)*AE146*Ramure*Pc/MaxiM</f>
        <v>4.7232755687779673E-3</v>
      </c>
      <c r="AE146" s="307">
        <f t="shared" si="65"/>
        <v>0.9</v>
      </c>
      <c r="AF146" s="179">
        <f t="shared" si="66"/>
        <v>0.66281296132376788</v>
      </c>
      <c r="AG146" s="839">
        <f t="shared" si="74"/>
        <v>2</v>
      </c>
      <c r="AH146" s="178">
        <f t="shared" si="67"/>
        <v>8</v>
      </c>
      <c r="AI146" s="227">
        <f t="shared" si="68"/>
        <v>2.6628129613237679</v>
      </c>
      <c r="AJ146" s="267" t="b">
        <f t="shared" si="69"/>
        <v>0</v>
      </c>
      <c r="AK146" s="267" t="b">
        <f t="shared" si="70"/>
        <v>0</v>
      </c>
      <c r="AL146" s="267"/>
      <c r="AM146" s="267"/>
      <c r="AN146" s="75"/>
    </row>
    <row r="147" spans="1:40" s="6" customFormat="1" ht="11.25" x14ac:dyDescent="0.2">
      <c r="A147" s="56">
        <f t="shared" si="71"/>
        <v>46155</v>
      </c>
      <c r="B147" s="413">
        <f>'2025'!Wh/'2025'!Env_an*'2026'!Env_an</f>
        <v>46.151738311794333</v>
      </c>
      <c r="C147" s="868"/>
      <c r="D147" s="395">
        <f t="shared" si="50"/>
        <v>49.307336741649351</v>
      </c>
      <c r="E147" s="387">
        <f t="shared" si="72"/>
        <v>50.595133939200231</v>
      </c>
      <c r="F147" s="387">
        <f t="shared" si="51"/>
        <v>50.600165325529169</v>
      </c>
      <c r="G147" s="110">
        <f t="shared" si="73"/>
        <v>0.80109175669326704</v>
      </c>
      <c r="H147" s="416" t="b">
        <f>Wh_hp&gt;='2025'!Maxi_hp</f>
        <v>0</v>
      </c>
      <c r="I147" s="392">
        <f>IF(H147,Wh_hp,'2025'!Maxi_hp)</f>
        <v>65.198747930481261</v>
      </c>
      <c r="J147" s="85">
        <f>IF(H147,An,'2025'!An_max)</f>
        <v>2019</v>
      </c>
      <c r="K147" s="199">
        <f t="shared" si="52"/>
        <v>46155</v>
      </c>
      <c r="L147" s="147">
        <f>IF(t&lt;Tvie,1-EXP((T0-t)*PertePVj)+'2025'!Pspv,1-EXP((T0-t)*PertePVj)+Pspv)</f>
        <v>6.3998557585640659E-2</v>
      </c>
      <c r="M147" s="872"/>
      <c r="N147" s="872"/>
      <c r="O147" s="48">
        <f>IF(t&lt;Tnet,'2025'!Resal+('2025'!Salim-'2025'!Resal)*(1-EXP(('2025'!Tnet-t)/('2025'!Tau_j))),Resal+(Salim-Resal)*(1-EXP((Tnet-t)/(Tau_j))))*Salcycl</f>
        <v>2.5452985243569471E-2</v>
      </c>
      <c r="P147" s="171">
        <f>(INDEX(Models!$BJ147:$BT147,,T147)*(1-R147)+INDEX(Models!$BJ147:$BT147,,T147+1)*R147-ERP_i)*Q147*Ramure*Pc/MaxiM</f>
        <v>1.3889579885995864E-4</v>
      </c>
      <c r="Q147" s="307">
        <f t="shared" si="53"/>
        <v>0.9</v>
      </c>
      <c r="R147" s="179">
        <f t="shared" si="54"/>
        <v>3.2362653392421947E-2</v>
      </c>
      <c r="S147" s="839">
        <f t="shared" si="55"/>
        <v>-2</v>
      </c>
      <c r="T147" s="178">
        <f t="shared" si="56"/>
        <v>4</v>
      </c>
      <c r="U147" s="253">
        <f t="shared" si="57"/>
        <v>-1.9676373466075781</v>
      </c>
      <c r="V147" s="385">
        <f t="shared" si="58"/>
        <v>57.608777675135244</v>
      </c>
      <c r="W147" s="404">
        <f t="shared" si="59"/>
        <v>46.151738311794333</v>
      </c>
      <c r="X147" s="157">
        <f t="shared" si="60"/>
        <v>46155</v>
      </c>
      <c r="Y147" s="387">
        <f t="shared" si="61"/>
        <v>40.802306801721087</v>
      </c>
      <c r="Z147" s="387">
        <f t="shared" si="62"/>
        <v>43.592140944221192</v>
      </c>
      <c r="AA147" s="388">
        <f t="shared" si="63"/>
        <v>50.440444424990922</v>
      </c>
      <c r="AB147" s="199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0.13577008606563162</v>
      </c>
      <c r="AD147" s="233">
        <f>(INDEX(Models!$BJ147:$BT147,,AH147)*(1-AF147)+INDEX(Models!$BJ147:$BT147,,AH147+1)*AF147-ERP_i)*AE147*Ramure*Pc/MaxiM</f>
        <v>4.4092344782380149E-3</v>
      </c>
      <c r="AE147" s="307">
        <f t="shared" si="65"/>
        <v>0.9</v>
      </c>
      <c r="AF147" s="179">
        <f t="shared" si="66"/>
        <v>0.6680183056994009</v>
      </c>
      <c r="AG147" s="839">
        <f t="shared" si="74"/>
        <v>2</v>
      </c>
      <c r="AH147" s="178">
        <f t="shared" si="67"/>
        <v>8</v>
      </c>
      <c r="AI147" s="227">
        <f t="shared" si="68"/>
        <v>2.6680183056994009</v>
      </c>
      <c r="AJ147" s="267" t="b">
        <f t="shared" si="69"/>
        <v>0</v>
      </c>
      <c r="AK147" s="267" t="b">
        <f t="shared" si="70"/>
        <v>0</v>
      </c>
      <c r="AL147" s="267"/>
      <c r="AM147" s="267"/>
      <c r="AN147" s="75"/>
    </row>
    <row r="148" spans="1:40" s="6" customFormat="1" ht="11.25" x14ac:dyDescent="0.2">
      <c r="A148" s="56">
        <f t="shared" si="71"/>
        <v>46156</v>
      </c>
      <c r="B148" s="413">
        <f>'2025'!Wh/'2025'!Env_an*'2026'!Env_an</f>
        <v>47.566707225416572</v>
      </c>
      <c r="C148" s="868"/>
      <c r="D148" s="395">
        <f t="shared" si="50"/>
        <v>50.82023599797747</v>
      </c>
      <c r="E148" s="387">
        <f t="shared" si="72"/>
        <v>52.160544092736217</v>
      </c>
      <c r="F148" s="387">
        <f t="shared" si="51"/>
        <v>52.16560225468568</v>
      </c>
      <c r="G148" s="110">
        <f t="shared" si="73"/>
        <v>0.8243199183310469</v>
      </c>
      <c r="H148" s="416" t="b">
        <f>Wh_hp&gt;='2025'!Maxi_hp</f>
        <v>0</v>
      </c>
      <c r="I148" s="392">
        <f>IF(H148,Wh_hp,'2025'!Maxi_hp)</f>
        <v>63.557422198043149</v>
      </c>
      <c r="J148" s="85">
        <f>IF(H148,An,'2025'!An_max)</f>
        <v>2019</v>
      </c>
      <c r="K148" s="199">
        <f t="shared" si="52"/>
        <v>46156</v>
      </c>
      <c r="L148" s="147">
        <f>IF(t&lt;Tvie,1-EXP((T0-t)*PertePVj)+'2025'!Pspv,1-EXP((T0-t)*PertePVj)+Pspv)</f>
        <v>6.4020339706615692E-2</v>
      </c>
      <c r="M148" s="872"/>
      <c r="N148" s="872"/>
      <c r="O148" s="48">
        <f>IF(t&lt;Tnet,'2025'!Resal+('2025'!Salim-'2025'!Resal)*(1-EXP(('2025'!Tnet-t)/('2025'!Tau_j))),Resal+(Salim-Resal)*(1-EXP((Tnet-t)/(Tau_j))))*Salcycl</f>
        <v>2.5695822734820673E-2</v>
      </c>
      <c r="P148" s="171">
        <f>(INDEX(Models!$BJ148:$BT148,,T148)*(1-R148)+INDEX(Models!$BJ148:$BT148,,T148+1)*R148-ERP_i)*Q148*Ramure*Pc/MaxiM</f>
        <v>1.2944581299095757E-4</v>
      </c>
      <c r="Q148" s="307">
        <f t="shared" si="53"/>
        <v>0.9</v>
      </c>
      <c r="R148" s="179">
        <f t="shared" si="54"/>
        <v>3.7680261584265073E-2</v>
      </c>
      <c r="S148" s="839">
        <f t="shared" si="55"/>
        <v>-2</v>
      </c>
      <c r="T148" s="178">
        <f t="shared" si="56"/>
        <v>4</v>
      </c>
      <c r="U148" s="253">
        <f t="shared" si="57"/>
        <v>-1.9623197384157349</v>
      </c>
      <c r="V148" s="385">
        <f t="shared" si="58"/>
        <v>57.702308222230961</v>
      </c>
      <c r="W148" s="404">
        <f t="shared" si="59"/>
        <v>47.566707225416572</v>
      </c>
      <c r="X148" s="157">
        <f t="shared" si="60"/>
        <v>46156</v>
      </c>
      <c r="Y148" s="387">
        <f t="shared" si="61"/>
        <v>42.056162767709708</v>
      </c>
      <c r="Z148" s="387">
        <f t="shared" si="62"/>
        <v>44.932774238413622</v>
      </c>
      <c r="AA148" s="388">
        <f t="shared" si="63"/>
        <v>52.005080556219426</v>
      </c>
      <c r="AB148" s="199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0.13599260384108774</v>
      </c>
      <c r="AD148" s="233">
        <f>(INDEX(Models!$BJ148:$BT148,,AH148)*(1-AF148)+INDEX(Models!$BJ148:$BT148,,AH148+1)*AF148-ERP_i)*AE148*Ramure*Pc/MaxiM</f>
        <v>4.1079866497477288E-3</v>
      </c>
      <c r="AE148" s="307">
        <f t="shared" si="65"/>
        <v>0.9</v>
      </c>
      <c r="AF148" s="179">
        <f t="shared" si="66"/>
        <v>0.67333591389124425</v>
      </c>
      <c r="AG148" s="839">
        <f t="shared" si="74"/>
        <v>2</v>
      </c>
      <c r="AH148" s="178">
        <f t="shared" si="67"/>
        <v>8</v>
      </c>
      <c r="AI148" s="227">
        <f t="shared" si="68"/>
        <v>2.6733359138912443</v>
      </c>
      <c r="AJ148" s="267" t="b">
        <f t="shared" si="69"/>
        <v>0</v>
      </c>
      <c r="AK148" s="267" t="b">
        <f t="shared" si="70"/>
        <v>0</v>
      </c>
      <c r="AL148" s="267"/>
      <c r="AM148" s="267"/>
      <c r="AN148" s="75"/>
    </row>
    <row r="149" spans="1:40" s="6" customFormat="1" ht="11.25" x14ac:dyDescent="0.2">
      <c r="A149" s="56">
        <f t="shared" si="71"/>
        <v>46157</v>
      </c>
      <c r="B149" s="413">
        <f>'2025'!Wh/'2025'!Env_an*'2026'!Env_an</f>
        <v>51.455701531487207</v>
      </c>
      <c r="C149" s="868"/>
      <c r="D149" s="395">
        <f t="shared" si="50"/>
        <v>54.976514118449522</v>
      </c>
      <c r="E149" s="387">
        <f t="shared" si="72"/>
        <v>56.440531115983909</v>
      </c>
      <c r="F149" s="387">
        <f t="shared" si="51"/>
        <v>56.446299736455131</v>
      </c>
      <c r="G149" s="110">
        <f t="shared" si="73"/>
        <v>0.89037121742532299</v>
      </c>
      <c r="H149" s="416" t="b">
        <f>Wh_hp&gt;='2025'!Maxi_hp</f>
        <v>0</v>
      </c>
      <c r="I149" s="392">
        <f>IF(H149,Wh_hp,'2025'!Maxi_hp)</f>
        <v>64.50696341655771</v>
      </c>
      <c r="J149" s="85">
        <f>IF(H149,An,'2025'!An_max)</f>
        <v>2019</v>
      </c>
      <c r="K149" s="199">
        <f t="shared" si="52"/>
        <v>46157</v>
      </c>
      <c r="L149" s="147">
        <f>IF(t&lt;Tvie,1-EXP((T0-t)*PertePVj)+'2025'!Pspv,1-EXP((T0-t)*PertePVj)+Pspv)</f>
        <v>6.4042121320688983E-2</v>
      </c>
      <c r="M149" s="872"/>
      <c r="N149" s="872"/>
      <c r="O149" s="48">
        <f>IF(t&lt;Tnet,'2025'!Resal+('2025'!Salim-'2025'!Resal)*(1-EXP(('2025'!Tnet-t)/('2025'!Tau_j))),Resal+(Salim-Resal)*(1-EXP((Tnet-t)/(Tau_j))))*Salcycl</f>
        <v>2.5939107385893806E-2</v>
      </c>
      <c r="P149" s="171">
        <f>(INDEX(Models!$BJ149:$BT149,,T149)*(1-R149)+INDEX(Models!$BJ149:$BT149,,T149+1)*R149-ERP_i)*Q149*Ramure*Pc/MaxiM</f>
        <v>1.2117050679052587E-4</v>
      </c>
      <c r="Q149" s="307">
        <f t="shared" si="53"/>
        <v>0.9</v>
      </c>
      <c r="R149" s="179">
        <f t="shared" si="54"/>
        <v>4.310916998532055E-2</v>
      </c>
      <c r="S149" s="839">
        <f t="shared" si="55"/>
        <v>-2</v>
      </c>
      <c r="T149" s="178">
        <f t="shared" si="56"/>
        <v>4</v>
      </c>
      <c r="U149" s="253">
        <f t="shared" si="57"/>
        <v>-1.9568908300146794</v>
      </c>
      <c r="V149" s="385">
        <f t="shared" si="58"/>
        <v>57.79019369619084</v>
      </c>
      <c r="W149" s="404">
        <f t="shared" si="59"/>
        <v>51.455701531487207</v>
      </c>
      <c r="X149" s="157">
        <f t="shared" si="60"/>
        <v>46157</v>
      </c>
      <c r="Y149" s="387">
        <f t="shared" si="61"/>
        <v>45.487838704416902</v>
      </c>
      <c r="Z149" s="387">
        <f t="shared" si="62"/>
        <v>48.60030535626538</v>
      </c>
      <c r="AA149" s="388">
        <f t="shared" si="63"/>
        <v>56.264465377223651</v>
      </c>
      <c r="AB149" s="199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0.13621670391025861</v>
      </c>
      <c r="AD149" s="233">
        <f>(INDEX(Models!$BJ149:$BT149,,AH149)*(1-AF149)+INDEX(Models!$BJ149:$BT149,,AH149+1)*AF149-ERP_i)*AE149*Ramure*Pc/MaxiM</f>
        <v>3.8194506936158235E-3</v>
      </c>
      <c r="AE149" s="307">
        <f t="shared" si="65"/>
        <v>0.9</v>
      </c>
      <c r="AF149" s="179">
        <f t="shared" si="66"/>
        <v>0.67876482229229973</v>
      </c>
      <c r="AG149" s="839">
        <f t="shared" si="74"/>
        <v>2</v>
      </c>
      <c r="AH149" s="178">
        <f t="shared" si="67"/>
        <v>8</v>
      </c>
      <c r="AI149" s="227">
        <f t="shared" si="68"/>
        <v>2.6787648222922997</v>
      </c>
      <c r="AJ149" s="267" t="b">
        <f t="shared" si="69"/>
        <v>0</v>
      </c>
      <c r="AK149" s="267" t="b">
        <f t="shared" si="70"/>
        <v>0</v>
      </c>
      <c r="AL149" s="267"/>
      <c r="AM149" s="267"/>
      <c r="AN149" s="75"/>
    </row>
    <row r="150" spans="1:40" s="6" customFormat="1" ht="11.25" x14ac:dyDescent="0.2">
      <c r="A150" s="56">
        <f t="shared" si="71"/>
        <v>46158</v>
      </c>
      <c r="B150" s="413">
        <f>'2025'!Wh/'2025'!Env_an*'2026'!Env_an</f>
        <v>50.155410612848058</v>
      </c>
      <c r="C150" s="868"/>
      <c r="D150" s="395">
        <f t="shared" si="50"/>
        <v>53.588498982947755</v>
      </c>
      <c r="E150" s="387">
        <f t="shared" si="72"/>
        <v>55.029322000017586</v>
      </c>
      <c r="F150" s="387">
        <f t="shared" si="51"/>
        <v>55.034410182505027</v>
      </c>
      <c r="G150" s="110">
        <f t="shared" si="73"/>
        <v>0.86665589893096984</v>
      </c>
      <c r="H150" s="416" t="b">
        <f>Wh_hp&gt;='2025'!Maxi_hp</f>
        <v>0</v>
      </c>
      <c r="I150" s="392">
        <f>IF(H150,Wh_hp,'2025'!Maxi_hp)</f>
        <v>55.035409595342863</v>
      </c>
      <c r="J150" s="85">
        <f>IF(H150,An,'2025'!An_max)</f>
        <v>2025</v>
      </c>
      <c r="K150" s="199">
        <f t="shared" si="52"/>
        <v>46158</v>
      </c>
      <c r="L150" s="147">
        <f>IF(t&lt;Tvie,1-EXP((T0-t)*PertePVj)+'2025'!Pspv,1-EXP((T0-t)*PertePVj)+Pspv)</f>
        <v>6.4063902427872299E-2</v>
      </c>
      <c r="M150" s="872"/>
      <c r="N150" s="872"/>
      <c r="O150" s="48">
        <f>IF(t&lt;Tnet,'2025'!Resal+('2025'!Salim-'2025'!Resal)*(1-EXP(('2025'!Tnet-t)/('2025'!Tau_j))),Resal+(Salim-Resal)*(1-EXP((Tnet-t)/(Tau_j))))*Salcycl</f>
        <v>2.6182823351328537E-2</v>
      </c>
      <c r="P150" s="171">
        <f>(INDEX(Models!$BJ150:$BT150,,T150)*(1-R150)+INDEX(Models!$BJ150:$BT150,,T150+1)*R150-ERP_i)*Q150*Ramure*Pc/MaxiM</f>
        <v>1.1420695134034932E-4</v>
      </c>
      <c r="Q150" s="307">
        <f t="shared" si="53"/>
        <v>0.9</v>
      </c>
      <c r="R150" s="179">
        <f t="shared" si="54"/>
        <v>4.8648182430897302E-2</v>
      </c>
      <c r="S150" s="839">
        <f t="shared" si="55"/>
        <v>-2</v>
      </c>
      <c r="T150" s="178">
        <f t="shared" si="56"/>
        <v>4</v>
      </c>
      <c r="U150" s="253">
        <f t="shared" si="57"/>
        <v>-1.9513518175691027</v>
      </c>
      <c r="V150" s="385">
        <f t="shared" si="58"/>
        <v>57.871087676203459</v>
      </c>
      <c r="W150" s="404">
        <f t="shared" si="59"/>
        <v>50.155410612848058</v>
      </c>
      <c r="X150" s="157">
        <f t="shared" si="60"/>
        <v>46158</v>
      </c>
      <c r="Y150" s="387">
        <f t="shared" si="61"/>
        <v>44.352827938926623</v>
      </c>
      <c r="Z150" s="387">
        <f t="shared" si="62"/>
        <v>47.388735250174044</v>
      </c>
      <c r="AA150" s="388">
        <f t="shared" si="63"/>
        <v>54.876163630061335</v>
      </c>
      <c r="AB150" s="199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0.13644227082568242</v>
      </c>
      <c r="AD150" s="233">
        <f>(INDEX(Models!$BJ150:$BT150,,AH150)*(1-AF150)+INDEX(Models!$BJ150:$BT150,,AH150+1)*AF150-ERP_i)*AE150*Ramure*Pc/MaxiM</f>
        <v>3.551927699001704E-3</v>
      </c>
      <c r="AE150" s="307">
        <f t="shared" si="65"/>
        <v>0.9</v>
      </c>
      <c r="AF150" s="179">
        <f t="shared" si="66"/>
        <v>0.68430383473787604</v>
      </c>
      <c r="AG150" s="839">
        <f t="shared" si="74"/>
        <v>2</v>
      </c>
      <c r="AH150" s="178">
        <f t="shared" si="67"/>
        <v>8</v>
      </c>
      <c r="AI150" s="227">
        <f t="shared" si="68"/>
        <v>2.684303834737876</v>
      </c>
      <c r="AJ150" s="267" t="b">
        <f t="shared" si="69"/>
        <v>0</v>
      </c>
      <c r="AK150" s="267" t="b">
        <f t="shared" si="70"/>
        <v>0</v>
      </c>
      <c r="AL150" s="267"/>
      <c r="AM150" s="267"/>
      <c r="AN150" s="75"/>
    </row>
    <row r="151" spans="1:40" s="6" customFormat="1" ht="11.25" x14ac:dyDescent="0.2">
      <c r="A151" s="56">
        <f t="shared" si="71"/>
        <v>46159</v>
      </c>
      <c r="B151" s="413">
        <f>'2025'!Wh/'2025'!Env_an*'2026'!Env_an</f>
        <v>54.074878099233203</v>
      </c>
      <c r="C151" s="868"/>
      <c r="D151" s="395">
        <f t="shared" si="50"/>
        <v>57.777594720629999</v>
      </c>
      <c r="E151" s="387">
        <f t="shared" si="72"/>
        <v>59.345926733244788</v>
      </c>
      <c r="F151" s="387">
        <f t="shared" si="51"/>
        <v>59.351703768573408</v>
      </c>
      <c r="G151" s="110">
        <f t="shared" si="73"/>
        <v>0.93319508672098606</v>
      </c>
      <c r="H151" s="416" t="b">
        <f>Wh_hp&gt;='2025'!Maxi_hp</f>
        <v>0</v>
      </c>
      <c r="I151" s="392">
        <f>IF(H151,Wh_hp,'2025'!Maxi_hp)</f>
        <v>59.352210201116705</v>
      </c>
      <c r="J151" s="85">
        <f>IF(H151,An,'2025'!An_max)</f>
        <v>2025</v>
      </c>
      <c r="K151" s="199">
        <f t="shared" si="52"/>
        <v>46159</v>
      </c>
      <c r="L151" s="147">
        <f>IF(t&lt;Tvie,1-EXP((T0-t)*PertePVj)+'2025'!Pspv,1-EXP((T0-t)*PertePVj)+Pspv)</f>
        <v>6.408568302817752E-2</v>
      </c>
      <c r="M151" s="872"/>
      <c r="N151" s="872"/>
      <c r="O151" s="48">
        <f>IF(t&lt;Tnet,'2025'!Resal+('2025'!Salim-'2025'!Resal)*(1-EXP(('2025'!Tnet-t)/('2025'!Tau_j))),Resal+(Salim-Resal)*(1-EXP((Tnet-t)/(Tau_j))))*Salcycl</f>
        <v>2.6426952934180639E-2</v>
      </c>
      <c r="P151" s="171">
        <f>(INDEX(Models!$BJ151:$BT151,,T151)*(1-R151)+INDEX(Models!$BJ151:$BT151,,T151+1)*R151-ERP_i)*Q151*Ramure*Pc/MaxiM</f>
        <v>1.0760334299127632E-4</v>
      </c>
      <c r="Q151" s="307">
        <f t="shared" si="53"/>
        <v>0.9</v>
      </c>
      <c r="R151" s="179">
        <f t="shared" si="54"/>
        <v>5.4295864134860539E-2</v>
      </c>
      <c r="S151" s="839">
        <f t="shared" si="55"/>
        <v>-2</v>
      </c>
      <c r="T151" s="178">
        <f t="shared" si="56"/>
        <v>4</v>
      </c>
      <c r="U151" s="253">
        <f t="shared" si="57"/>
        <v>-1.9457041358651395</v>
      </c>
      <c r="V151" s="385">
        <f t="shared" si="58"/>
        <v>57.945357395444503</v>
      </c>
      <c r="W151" s="404">
        <f t="shared" si="59"/>
        <v>54.074878099233203</v>
      </c>
      <c r="X151" s="157">
        <f t="shared" si="60"/>
        <v>46159</v>
      </c>
      <c r="Y151" s="387">
        <f t="shared" si="61"/>
        <v>47.813075342767029</v>
      </c>
      <c r="Z151" s="387">
        <f t="shared" si="62"/>
        <v>51.087022044355088</v>
      </c>
      <c r="AA151" s="388">
        <f t="shared" si="63"/>
        <v>59.17432929808448</v>
      </c>
      <c r="AB151" s="199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0.13666918323637306</v>
      </c>
      <c r="AD151" s="233">
        <f>(INDEX(Models!$BJ151:$BT151,,AH151)*(1-AF151)+INDEX(Models!$BJ151:$BT151,,AH151+1)*AF151-ERP_i)*AE151*Ramure*Pc/MaxiM</f>
        <v>3.3037855751656365E-3</v>
      </c>
      <c r="AE151" s="307">
        <f t="shared" si="65"/>
        <v>0.9</v>
      </c>
      <c r="AF151" s="179">
        <f t="shared" si="66"/>
        <v>0.68995151644183927</v>
      </c>
      <c r="AG151" s="839">
        <f t="shared" si="74"/>
        <v>2</v>
      </c>
      <c r="AH151" s="178">
        <f t="shared" si="67"/>
        <v>8</v>
      </c>
      <c r="AI151" s="227">
        <f t="shared" si="68"/>
        <v>2.6899515164418393</v>
      </c>
      <c r="AJ151" s="267" t="b">
        <f t="shared" si="69"/>
        <v>0</v>
      </c>
      <c r="AK151" s="267" t="b">
        <f t="shared" si="70"/>
        <v>0</v>
      </c>
      <c r="AL151" s="267"/>
      <c r="AM151" s="267"/>
      <c r="AN151" s="75"/>
    </row>
    <row r="152" spans="1:40" s="6" customFormat="1" ht="11.25" x14ac:dyDescent="0.2">
      <c r="A152" s="56">
        <f t="shared" si="71"/>
        <v>46160</v>
      </c>
      <c r="B152" s="413">
        <f>'2025'!Wh/'2025'!Env_an*'2026'!Env_an</f>
        <v>52.619058600179883</v>
      </c>
      <c r="C152" s="868"/>
      <c r="D152" s="395">
        <f t="shared" si="50"/>
        <v>56.223398014998338</v>
      </c>
      <c r="E152" s="387">
        <f t="shared" si="72"/>
        <v>57.764050536484916</v>
      </c>
      <c r="F152" s="387">
        <f t="shared" si="51"/>
        <v>57.769128224899234</v>
      </c>
      <c r="G152" s="110">
        <f t="shared" si="73"/>
        <v>0.90700471299079954</v>
      </c>
      <c r="H152" s="416" t="b">
        <f>Wh_hp&gt;='2025'!Maxi_hp</f>
        <v>0</v>
      </c>
      <c r="I152" s="392">
        <f>IF(H152,Wh_hp,'2025'!Maxi_hp)</f>
        <v>64.728321842872035</v>
      </c>
      <c r="J152" s="85">
        <f>IF(H152,An,'2025'!An_max)</f>
        <v>2020</v>
      </c>
      <c r="K152" s="199">
        <f t="shared" si="52"/>
        <v>46160</v>
      </c>
      <c r="L152" s="147">
        <f>IF(t&lt;Tvie,1-EXP((T0-t)*PertePVj)+'2025'!Pspv,1-EXP((T0-t)*PertePVj)+Pspv)</f>
        <v>6.4107463121616193E-2</v>
      </c>
      <c r="M152" s="872"/>
      <c r="N152" s="872"/>
      <c r="O152" s="48">
        <f>IF(t&lt;Tnet,'2025'!Resal+('2025'!Salim-'2025'!Resal)*(1-EXP(('2025'!Tnet-t)/('2025'!Tau_j))),Resal+(Salim-Resal)*(1-EXP((Tnet-t)/(Tau_j))))*Salcycl</f>
        <v>2.6671476587561582E-2</v>
      </c>
      <c r="P152" s="171">
        <f>(INDEX(Models!$BJ152:$BT152,,T152)*(1-R152)+INDEX(Models!$BJ152:$BT152,,T152+1)*R152-ERP_i)*Q152*Ramure*Pc/MaxiM</f>
        <v>1.013602031979493E-4</v>
      </c>
      <c r="Q152" s="307">
        <f t="shared" si="53"/>
        <v>0.9</v>
      </c>
      <c r="R152" s="179">
        <f t="shared" si="54"/>
        <v>6.0050536448400527E-2</v>
      </c>
      <c r="S152" s="839">
        <f t="shared" si="55"/>
        <v>-2</v>
      </c>
      <c r="T152" s="178">
        <f t="shared" si="56"/>
        <v>4</v>
      </c>
      <c r="U152" s="253">
        <f t="shared" si="57"/>
        <v>-1.9399494635515995</v>
      </c>
      <c r="V152" s="385">
        <f t="shared" si="58"/>
        <v>58.013314950316257</v>
      </c>
      <c r="W152" s="404">
        <f t="shared" si="59"/>
        <v>52.619058600179883</v>
      </c>
      <c r="X152" s="157">
        <f t="shared" si="60"/>
        <v>46160</v>
      </c>
      <c r="Y152" s="387">
        <f t="shared" si="61"/>
        <v>46.53981914900492</v>
      </c>
      <c r="Z152" s="387">
        <f t="shared" si="62"/>
        <v>49.727738298069809</v>
      </c>
      <c r="AA152" s="388">
        <f t="shared" si="63"/>
        <v>57.615089270517863</v>
      </c>
      <c r="AB152" s="199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0.13689731409448802</v>
      </c>
      <c r="AD152" s="233">
        <f>(INDEX(Models!$BJ152:$BT152,,AH152)*(1-AF152)+INDEX(Models!$BJ152:$BT152,,AH152+1)*AF152-ERP_i)*AE152*Ramure*Pc/MaxiM</f>
        <v>3.0749070132919886E-3</v>
      </c>
      <c r="AE152" s="307">
        <f t="shared" si="65"/>
        <v>0.9</v>
      </c>
      <c r="AF152" s="179">
        <f t="shared" si="66"/>
        <v>0.69570618875537926</v>
      </c>
      <c r="AG152" s="839">
        <f t="shared" si="74"/>
        <v>2</v>
      </c>
      <c r="AH152" s="178">
        <f t="shared" si="67"/>
        <v>8</v>
      </c>
      <c r="AI152" s="227">
        <f t="shared" si="68"/>
        <v>2.6957061887553793</v>
      </c>
      <c r="AJ152" s="267" t="b">
        <f t="shared" si="69"/>
        <v>0</v>
      </c>
      <c r="AK152" s="267" t="b">
        <f t="shared" si="70"/>
        <v>0</v>
      </c>
      <c r="AL152" s="267"/>
      <c r="AM152" s="267"/>
      <c r="AN152" s="75"/>
    </row>
    <row r="153" spans="1:40" s="6" customFormat="1" ht="11.25" x14ac:dyDescent="0.2">
      <c r="A153" s="56">
        <f t="shared" si="71"/>
        <v>46161</v>
      </c>
      <c r="B153" s="413">
        <f>'2025'!Wh/'2025'!Env_an*'2026'!Env_an</f>
        <v>54.534889474802554</v>
      </c>
      <c r="C153" s="868"/>
      <c r="D153" s="395">
        <f t="shared" si="50"/>
        <v>58.271816968204362</v>
      </c>
      <c r="E153" s="387">
        <f t="shared" si="72"/>
        <v>59.883668111220835</v>
      </c>
      <c r="F153" s="387">
        <f t="shared" si="51"/>
        <v>59.88888824980252</v>
      </c>
      <c r="G153" s="110">
        <f t="shared" si="73"/>
        <v>0.93903022573951944</v>
      </c>
      <c r="H153" s="416" t="b">
        <f>Wh_hp&gt;='2025'!Maxi_hp</f>
        <v>0</v>
      </c>
      <c r="I153" s="392">
        <f>IF(H153,Wh_hp,'2025'!Maxi_hp)</f>
        <v>63.647951946144374</v>
      </c>
      <c r="J153" s="85">
        <f>IF(H153,An,'2025'!An_max)</f>
        <v>2020</v>
      </c>
      <c r="K153" s="199">
        <f t="shared" si="52"/>
        <v>46161</v>
      </c>
      <c r="L153" s="147">
        <f>IF(t&lt;Tvie,1-EXP((T0-t)*PertePVj)+'2025'!Pspv,1-EXP((T0-t)*PertePVj)+Pspv)</f>
        <v>6.4129242708200418E-2</v>
      </c>
      <c r="M153" s="872"/>
      <c r="N153" s="872"/>
      <c r="O153" s="48">
        <f>IF(t&lt;Tnet,'2025'!Resal+('2025'!Salim-'2025'!Resal)*(1-EXP(('2025'!Tnet-t)/('2025'!Tau_j))),Resal+(Salim-Resal)*(1-EXP((Tnet-t)/(Tau_j))))*Salcycl</f>
        <v>2.691637292529921E-2</v>
      </c>
      <c r="P153" s="171">
        <f>(INDEX(Models!$BJ153:$BT153,,T153)*(1-R153)+INDEX(Models!$BJ153:$BT153,,T153+1)*R153-ERP_i)*Q153*Ramure*Pc/MaxiM</f>
        <v>9.5478835599758762E-5</v>
      </c>
      <c r="Q153" s="307">
        <f t="shared" si="53"/>
        <v>0.9</v>
      </c>
      <c r="R153" s="179">
        <f t="shared" si="54"/>
        <v>6.5910272522615498E-2</v>
      </c>
      <c r="S153" s="839">
        <f t="shared" si="55"/>
        <v>-2</v>
      </c>
      <c r="T153" s="178">
        <f t="shared" si="56"/>
        <v>4</v>
      </c>
      <c r="U153" s="253">
        <f t="shared" si="57"/>
        <v>-1.9340897274773845</v>
      </c>
      <c r="V153" s="385">
        <f t="shared" si="58"/>
        <v>58.075272208287345</v>
      </c>
      <c r="W153" s="404">
        <f t="shared" si="59"/>
        <v>54.534889474802554</v>
      </c>
      <c r="X153" s="157">
        <f t="shared" si="60"/>
        <v>46161</v>
      </c>
      <c r="Y153" s="387">
        <f t="shared" si="61"/>
        <v>48.236055319680538</v>
      </c>
      <c r="Z153" s="387">
        <f t="shared" si="62"/>
        <v>51.541363958485981</v>
      </c>
      <c r="AA153" s="388">
        <f t="shared" si="63"/>
        <v>59.732238623710749</v>
      </c>
      <c r="AB153" s="199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0.13712653089772867</v>
      </c>
      <c r="AD153" s="233">
        <f>(INDEX(Models!$BJ153:$BT153,,AH153)*(1-AF153)+INDEX(Models!$BJ153:$BT153,,AH153+1)*AF153-ERP_i)*AE153*Ramure*Pc/MaxiM</f>
        <v>2.8651967112257562E-3</v>
      </c>
      <c r="AE153" s="307">
        <f t="shared" si="65"/>
        <v>0.9</v>
      </c>
      <c r="AF153" s="179">
        <f t="shared" si="66"/>
        <v>0.70156592482959468</v>
      </c>
      <c r="AG153" s="839">
        <f t="shared" si="74"/>
        <v>2</v>
      </c>
      <c r="AH153" s="178">
        <f t="shared" si="67"/>
        <v>8</v>
      </c>
      <c r="AI153" s="227">
        <f t="shared" si="68"/>
        <v>2.7015659248295947</v>
      </c>
      <c r="AJ153" s="267" t="b">
        <f t="shared" si="69"/>
        <v>0</v>
      </c>
      <c r="AK153" s="267" t="b">
        <f t="shared" si="70"/>
        <v>0</v>
      </c>
      <c r="AL153" s="267"/>
      <c r="AM153" s="267"/>
      <c r="AN153" s="75"/>
    </row>
    <row r="154" spans="1:40" s="6" customFormat="1" ht="11.25" x14ac:dyDescent="0.2">
      <c r="A154" s="56">
        <f t="shared" si="71"/>
        <v>46162</v>
      </c>
      <c r="B154" s="413">
        <f>'2025'!Wh/'2025'!Env_an*'2026'!Env_an</f>
        <v>47.495389307835971</v>
      </c>
      <c r="C154" s="868"/>
      <c r="D154" s="395">
        <f t="shared" si="50"/>
        <v>50.751125890606865</v>
      </c>
      <c r="E154" s="387">
        <f t="shared" si="72"/>
        <v>52.168095819764311</v>
      </c>
      <c r="F154" s="387">
        <f t="shared" si="51"/>
        <v>52.171562468583353</v>
      </c>
      <c r="G154" s="110">
        <f t="shared" si="73"/>
        <v>0.8170138234448393</v>
      </c>
      <c r="H154" s="416" t="b">
        <f>Wh_hp&gt;='2025'!Maxi_hp</f>
        <v>0</v>
      </c>
      <c r="I154" s="392">
        <f>IF(H154,Wh_hp,'2025'!Maxi_hp)</f>
        <v>63.420462429144116</v>
      </c>
      <c r="J154" s="85">
        <f>IF(H154,An,'2025'!An_max)</f>
        <v>2021</v>
      </c>
      <c r="K154" s="199">
        <f t="shared" si="52"/>
        <v>46162</v>
      </c>
      <c r="L154" s="147">
        <f>IF(t&lt;Tvie,1-EXP((T0-t)*PertePVj)+'2025'!Pspv,1-EXP((T0-t)*PertePVj)+Pspv)</f>
        <v>6.4151021787941742E-2</v>
      </c>
      <c r="M154" s="872"/>
      <c r="N154" s="872"/>
      <c r="O154" s="48">
        <f>IF(t&lt;Tnet,'2025'!Resal+('2025'!Salim-'2025'!Resal)*(1-EXP(('2025'!Tnet-t)/('2025'!Tau_j))),Resal+(Salim-Resal)*(1-EXP((Tnet-t)/(Tau_j))))*Salcycl</f>
        <v>2.7161618742093666E-2</v>
      </c>
      <c r="P154" s="171">
        <f>(INDEX(Models!$BJ154:$BT154,,T154)*(1-R154)+INDEX(Models!$BJ154:$BT154,,T154+1)*R154-ERP_i)*Q154*Ramure*Pc/MaxiM</f>
        <v>8.9961305944304221E-5</v>
      </c>
      <c r="Q154" s="307">
        <f t="shared" si="53"/>
        <v>0.9</v>
      </c>
      <c r="R154" s="179">
        <f t="shared" si="54"/>
        <v>7.18728939533404E-2</v>
      </c>
      <c r="S154" s="839">
        <f t="shared" si="55"/>
        <v>-2</v>
      </c>
      <c r="T154" s="178">
        <f t="shared" si="56"/>
        <v>4</v>
      </c>
      <c r="U154" s="253">
        <f t="shared" si="57"/>
        <v>-1.9281271060466596</v>
      </c>
      <c r="V154" s="385">
        <f t="shared" si="58"/>
        <v>58.131540806508909</v>
      </c>
      <c r="W154" s="404">
        <f t="shared" si="59"/>
        <v>47.495389307835971</v>
      </c>
      <c r="X154" s="157">
        <f t="shared" si="60"/>
        <v>46162</v>
      </c>
      <c r="Y154" s="387">
        <f t="shared" si="61"/>
        <v>42.035099001863387</v>
      </c>
      <c r="Z154" s="387">
        <f t="shared" si="62"/>
        <v>44.916541002343713</v>
      </c>
      <c r="AA154" s="388">
        <f t="shared" si="63"/>
        <v>52.068497827994115</v>
      </c>
      <c r="AB154" s="199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0.13735669596761865</v>
      </c>
      <c r="AD154" s="233">
        <f>(INDEX(Models!$BJ154:$BT154,,AH154)*(1-AF154)+INDEX(Models!$BJ154:$BT154,,AH154+1)*AF154-ERP_i)*AE154*Ramure*Pc/MaxiM</f>
        <v>2.6745800189371081E-3</v>
      </c>
      <c r="AE154" s="307">
        <f t="shared" si="65"/>
        <v>0.9</v>
      </c>
      <c r="AF154" s="179">
        <f t="shared" si="66"/>
        <v>0.70752854626031958</v>
      </c>
      <c r="AG154" s="839">
        <f t="shared" si="74"/>
        <v>2</v>
      </c>
      <c r="AH154" s="178">
        <f t="shared" si="67"/>
        <v>8</v>
      </c>
      <c r="AI154" s="227">
        <f t="shared" si="68"/>
        <v>2.7075285462603196</v>
      </c>
      <c r="AJ154" s="267" t="b">
        <f t="shared" si="69"/>
        <v>0</v>
      </c>
      <c r="AK154" s="267" t="b">
        <f t="shared" si="70"/>
        <v>0</v>
      </c>
      <c r="AL154" s="267"/>
      <c r="AM154" s="267"/>
      <c r="AN154" s="75"/>
    </row>
    <row r="155" spans="1:40" s="6" customFormat="1" ht="11.25" x14ac:dyDescent="0.2">
      <c r="A155" s="56">
        <f t="shared" si="71"/>
        <v>46163</v>
      </c>
      <c r="B155" s="413">
        <f>'2025'!Wh/'2025'!Env_an*'2026'!Env_an</f>
        <v>48.1859206568883</v>
      </c>
      <c r="C155" s="868"/>
      <c r="D155" s="395">
        <f t="shared" si="50"/>
        <v>51.490190363636202</v>
      </c>
      <c r="E155" s="387">
        <f t="shared" si="72"/>
        <v>52.941158708542169</v>
      </c>
      <c r="F155" s="387">
        <f t="shared" si="51"/>
        <v>52.944546837531767</v>
      </c>
      <c r="G155" s="110">
        <f t="shared" si="73"/>
        <v>0.82816953081539457</v>
      </c>
      <c r="H155" s="416" t="b">
        <f>Wh_hp&gt;='2025'!Maxi_hp</f>
        <v>0</v>
      </c>
      <c r="I155" s="392">
        <f>IF(H155,Wh_hp,'2025'!Maxi_hp)</f>
        <v>62.068839464913452</v>
      </c>
      <c r="J155" s="85">
        <f>IF(H155,An,'2025'!An_max)</f>
        <v>2020</v>
      </c>
      <c r="K155" s="199">
        <f t="shared" si="52"/>
        <v>46163</v>
      </c>
      <c r="L155" s="147">
        <f>IF(t&lt;Tvie,1-EXP((T0-t)*PertePVj)+'2025'!Pspv,1-EXP((T0-t)*PertePVj)+Pspv)</f>
        <v>6.4172800360852156E-2</v>
      </c>
      <c r="M155" s="872"/>
      <c r="N155" s="872"/>
      <c r="O155" s="48">
        <f>IF(t&lt;Tnet,'2025'!Resal+('2025'!Salim-'2025'!Resal)*(1-EXP(('2025'!Tnet-t)/('2025'!Tau_j))),Resal+(Salim-Resal)*(1-EXP((Tnet-t)/(Tau_j))))*Salcycl</f>
        <v>2.7407189043481384E-2</v>
      </c>
      <c r="P155" s="171">
        <f>(INDEX(Models!$BJ155:$BT155,,T155)*(1-R155)+INDEX(Models!$BJ155:$BT155,,T155+1)*R155-ERP_i)*Q155*Ramure*Pc/MaxiM</f>
        <v>8.4810421228376245E-5</v>
      </c>
      <c r="Q155" s="307">
        <f t="shared" si="53"/>
        <v>0.9</v>
      </c>
      <c r="R155" s="179">
        <f t="shared" si="54"/>
        <v>7.7935968482660378E-2</v>
      </c>
      <c r="S155" s="839">
        <f t="shared" si="55"/>
        <v>-2</v>
      </c>
      <c r="T155" s="178">
        <f t="shared" si="56"/>
        <v>4</v>
      </c>
      <c r="U155" s="253">
        <f t="shared" si="57"/>
        <v>-1.9220640315173396</v>
      </c>
      <c r="V155" s="385">
        <f t="shared" si="58"/>
        <v>58.18243214391191</v>
      </c>
      <c r="W155" s="404">
        <f t="shared" si="59"/>
        <v>48.1859206568883</v>
      </c>
      <c r="X155" s="157">
        <f t="shared" si="60"/>
        <v>46163</v>
      </c>
      <c r="Y155" s="387">
        <f t="shared" si="61"/>
        <v>42.649196509862776</v>
      </c>
      <c r="Z155" s="387">
        <f t="shared" si="62"/>
        <v>45.573794527780535</v>
      </c>
      <c r="AA155" s="388">
        <f t="shared" si="63"/>
        <v>52.844553320276866</v>
      </c>
      <c r="AB155" s="199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0.13758766676350129</v>
      </c>
      <c r="AD155" s="233">
        <f>(INDEX(Models!$BJ155:$BT155,,AH155)*(1-AF155)+INDEX(Models!$BJ155:$BT155,,AH155+1)*AF155-ERP_i)*AE155*Ramure*Pc/MaxiM</f>
        <v>2.5030016107795163E-3</v>
      </c>
      <c r="AE155" s="307">
        <f t="shared" si="65"/>
        <v>0.9</v>
      </c>
      <c r="AF155" s="179">
        <f t="shared" si="66"/>
        <v>0.71359162078963934</v>
      </c>
      <c r="AG155" s="839">
        <f t="shared" si="74"/>
        <v>2</v>
      </c>
      <c r="AH155" s="178">
        <f t="shared" si="67"/>
        <v>8</v>
      </c>
      <c r="AI155" s="227">
        <f t="shared" si="68"/>
        <v>2.7135916207896393</v>
      </c>
      <c r="AJ155" s="267" t="b">
        <f t="shared" si="69"/>
        <v>0</v>
      </c>
      <c r="AK155" s="267" t="b">
        <f t="shared" si="70"/>
        <v>0</v>
      </c>
      <c r="AL155" s="267"/>
      <c r="AM155" s="267"/>
      <c r="AN155" s="75"/>
    </row>
    <row r="156" spans="1:40" s="18" customFormat="1" ht="11.25" x14ac:dyDescent="0.2">
      <c r="A156" s="56">
        <f t="shared" si="71"/>
        <v>46164</v>
      </c>
      <c r="B156" s="413">
        <f>'2025'!Wh/'2025'!Env_an*'2026'!Env_an</f>
        <v>34.240094450744394</v>
      </c>
      <c r="C156" s="868"/>
      <c r="D156" s="395">
        <f t="shared" si="50"/>
        <v>36.5889036987924</v>
      </c>
      <c r="E156" s="387">
        <f t="shared" si="72"/>
        <v>37.629473682649206</v>
      </c>
      <c r="F156" s="387">
        <f t="shared" si="51"/>
        <v>37.630716054154796</v>
      </c>
      <c r="G156" s="110">
        <f t="shared" si="73"/>
        <v>0.58800462425418809</v>
      </c>
      <c r="H156" s="416" t="b">
        <f>Wh_hp&gt;='2025'!Maxi_hp</f>
        <v>0</v>
      </c>
      <c r="I156" s="392">
        <f>IF(H156,Wh_hp,'2025'!Maxi_hp)</f>
        <v>63.02960296513583</v>
      </c>
      <c r="J156" s="85">
        <f>IF(H156,An,'2025'!An_max)</f>
        <v>2019</v>
      </c>
      <c r="K156" s="199">
        <f t="shared" si="52"/>
        <v>46164</v>
      </c>
      <c r="L156" s="147">
        <f>IF(t&lt;Tvie,1-EXP((T0-t)*PertePVj)+'2025'!Pspv,1-EXP((T0-t)*PertePVj)+Pspv)</f>
        <v>6.4194578426943316E-2</v>
      </c>
      <c r="M156" s="872"/>
      <c r="N156" s="872"/>
      <c r="O156" s="48">
        <f>IF(t&lt;Tnet,'2025'!Resal+('2025'!Salim-'2025'!Resal)*(1-EXP(('2025'!Tnet-t)/('2025'!Tau_j))),Resal+(Salim-Resal)*(1-EXP((Tnet-t)/(Tau_j))))*Salcycl</f>
        <v>2.7653057085850422E-2</v>
      </c>
      <c r="P156" s="171">
        <f>(INDEX(Models!$BJ156:$BT156,,T156)*(1-R156)+INDEX(Models!$BJ156:$BT156,,T156+1)*R156-ERP_i)*Q156*Ramure*Pc/MaxiM</f>
        <v>8.0235341999059396E-5</v>
      </c>
      <c r="Q156" s="307">
        <f t="shared" si="53"/>
        <v>0.9</v>
      </c>
      <c r="R156" s="179">
        <f t="shared" si="54"/>
        <v>8.4096808826438219E-2</v>
      </c>
      <c r="S156" s="839">
        <f t="shared" si="55"/>
        <v>-2</v>
      </c>
      <c r="T156" s="178">
        <f t="shared" si="56"/>
        <v>4</v>
      </c>
      <c r="U156" s="253">
        <f t="shared" si="57"/>
        <v>-1.9159031911735618</v>
      </c>
      <c r="V156" s="385">
        <f t="shared" si="58"/>
        <v>58.228245408492775</v>
      </c>
      <c r="W156" s="404">
        <f t="shared" si="59"/>
        <v>34.240094450744394</v>
      </c>
      <c r="X156" s="157">
        <f t="shared" si="60"/>
        <v>46164</v>
      </c>
      <c r="Y156" s="387">
        <f t="shared" si="61"/>
        <v>30.332342836412572</v>
      </c>
      <c r="Z156" s="387">
        <f t="shared" si="62"/>
        <v>32.413087311916776</v>
      </c>
      <c r="AA156" s="388">
        <f t="shared" si="63"/>
        <v>37.594308443987785</v>
      </c>
      <c r="AB156" s="199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0.13781929623178396</v>
      </c>
      <c r="AD156" s="233">
        <f>(INDEX(Models!$BJ156:$BT156,,AH156)*(1-AF156)+INDEX(Models!$BJ156:$BT156,,AH156+1)*AF156-ERP_i)*AE156*Ramure*Pc/MaxiM</f>
        <v>2.351291091247563E-3</v>
      </c>
      <c r="AE156" s="307">
        <f t="shared" si="65"/>
        <v>0.9</v>
      </c>
      <c r="AF156" s="179">
        <f t="shared" si="66"/>
        <v>0.7197524611334174</v>
      </c>
      <c r="AG156" s="839">
        <f t="shared" si="74"/>
        <v>2</v>
      </c>
      <c r="AH156" s="178">
        <f t="shared" si="67"/>
        <v>8</v>
      </c>
      <c r="AI156" s="227">
        <f t="shared" si="68"/>
        <v>2.7197524611334174</v>
      </c>
      <c r="AJ156" s="267" t="b">
        <f t="shared" si="69"/>
        <v>0</v>
      </c>
      <c r="AK156" s="267" t="b">
        <f t="shared" si="70"/>
        <v>0</v>
      </c>
      <c r="AL156" s="267"/>
      <c r="AM156" s="267"/>
      <c r="AN156" s="267"/>
    </row>
    <row r="157" spans="1:40" s="18" customFormat="1" ht="11.25" x14ac:dyDescent="0.2">
      <c r="A157" s="56">
        <f t="shared" si="71"/>
        <v>46165</v>
      </c>
      <c r="B157" s="413">
        <f>'2025'!Wh/'2025'!Env_an*'2026'!Env_an</f>
        <v>17.669635713539947</v>
      </c>
      <c r="C157" s="868"/>
      <c r="D157" s="395">
        <f t="shared" si="50"/>
        <v>18.88218054095406</v>
      </c>
      <c r="E157" s="387">
        <f t="shared" si="72"/>
        <v>19.424097205451652</v>
      </c>
      <c r="F157" s="387">
        <f t="shared" si="51"/>
        <v>19.424104028750463</v>
      </c>
      <c r="G157" s="110">
        <f t="shared" si="73"/>
        <v>0.30321794428787802</v>
      </c>
      <c r="H157" s="416" t="b">
        <f>Wh_hp&gt;='2025'!Maxi_hp</f>
        <v>0</v>
      </c>
      <c r="I157" s="392">
        <f>IF(H157,Wh_hp,'2025'!Maxi_hp)</f>
        <v>57.069920377095102</v>
      </c>
      <c r="J157" s="85">
        <f>IF(H157,An,'2025'!An_max)</f>
        <v>2020</v>
      </c>
      <c r="K157" s="199">
        <f t="shared" si="52"/>
        <v>46165</v>
      </c>
      <c r="L157" s="147">
        <f>IF(t&lt;Tvie,1-EXP((T0-t)*PertePVj)+'2025'!Pspv,1-EXP((T0-t)*PertePVj)+Pspv)</f>
        <v>6.4216355986226992E-2</v>
      </c>
      <c r="M157" s="872"/>
      <c r="N157" s="872"/>
      <c r="O157" s="48">
        <f>IF(t&lt;Tnet,'2025'!Resal+('2025'!Salim-'2025'!Resal)*(1-EXP(('2025'!Tnet-t)/('2025'!Tau_j))),Resal+(Salim-Resal)*(1-EXP((Tnet-t)/(Tau_j))))*Salcycl</f>
        <v>2.7899194426678164E-2</v>
      </c>
      <c r="P157" s="171">
        <f>(INDEX(Models!$BJ157:$BT157,,T157)*(1-R157)+INDEX(Models!$BJ157:$BT157,,T157+1)*R157-ERP_i)*Q157*Ramure*Pc/MaxiM</f>
        <v>7.5874013556874128E-5</v>
      </c>
      <c r="Q157" s="307">
        <f t="shared" si="53"/>
        <v>0.9</v>
      </c>
      <c r="R157" s="179">
        <f t="shared" si="54"/>
        <v>9.0352472690919505E-2</v>
      </c>
      <c r="S157" s="839">
        <f t="shared" si="55"/>
        <v>-2</v>
      </c>
      <c r="T157" s="178">
        <f t="shared" si="56"/>
        <v>4</v>
      </c>
      <c r="U157" s="253">
        <f t="shared" si="57"/>
        <v>-1.9096475273090805</v>
      </c>
      <c r="V157" s="385">
        <f t="shared" si="58"/>
        <v>58.269312838247693</v>
      </c>
      <c r="W157" s="404">
        <f t="shared" si="59"/>
        <v>17.669635713539947</v>
      </c>
      <c r="X157" s="157">
        <f t="shared" si="60"/>
        <v>46165</v>
      </c>
      <c r="Y157" s="387">
        <f t="shared" si="61"/>
        <v>15.667271017545305</v>
      </c>
      <c r="Z157" s="387">
        <f t="shared" si="62"/>
        <v>16.742407411979421</v>
      </c>
      <c r="AA157" s="388">
        <f t="shared" si="63"/>
        <v>19.423905389082133</v>
      </c>
      <c r="AB157" s="199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0.13805143318963745</v>
      </c>
      <c r="AD157" s="233">
        <f>(INDEX(Models!$BJ157:$BT157,,AH157)*(1-AF157)+INDEX(Models!$BJ157:$BT157,,AH157+1)*AF157-ERP_i)*AE157*Ramure*Pc/MaxiM</f>
        <v>2.2088419843000326E-3</v>
      </c>
      <c r="AE157" s="307">
        <f t="shared" si="65"/>
        <v>0.9</v>
      </c>
      <c r="AF157" s="179">
        <f t="shared" si="66"/>
        <v>0.72600812499789846</v>
      </c>
      <c r="AG157" s="839">
        <f t="shared" si="74"/>
        <v>2</v>
      </c>
      <c r="AH157" s="178">
        <f t="shared" si="67"/>
        <v>8</v>
      </c>
      <c r="AI157" s="227">
        <f t="shared" si="68"/>
        <v>2.7260081249978985</v>
      </c>
      <c r="AJ157" s="267" t="b">
        <f t="shared" si="69"/>
        <v>0</v>
      </c>
      <c r="AK157" s="267" t="b">
        <f t="shared" si="70"/>
        <v>0</v>
      </c>
      <c r="AL157" s="267"/>
      <c r="AM157" s="267"/>
      <c r="AN157" s="267"/>
    </row>
    <row r="158" spans="1:40" s="6" customFormat="1" ht="11.25" x14ac:dyDescent="0.2">
      <c r="A158" s="56">
        <f t="shared" si="71"/>
        <v>46166</v>
      </c>
      <c r="B158" s="413">
        <f>'2025'!Wh/'2025'!Env_an*'2026'!Env_an</f>
        <v>14.721841989228899</v>
      </c>
      <c r="C158" s="868"/>
      <c r="D158" s="395">
        <f t="shared" si="50"/>
        <v>15.732466249170191</v>
      </c>
      <c r="E158" s="387">
        <f t="shared" si="72"/>
        <v>16.188089264682166</v>
      </c>
      <c r="F158" s="387">
        <f t="shared" si="51"/>
        <v>16.188089264682166</v>
      </c>
      <c r="G158" s="110">
        <f t="shared" si="73"/>
        <v>0.25247487097446253</v>
      </c>
      <c r="H158" s="416" t="b">
        <f>Wh_hp&gt;='2025'!Maxi_hp</f>
        <v>0</v>
      </c>
      <c r="I158" s="392">
        <f>IF(H158,Wh_hp,'2025'!Maxi_hp)</f>
        <v>28.542221114543629</v>
      </c>
      <c r="J158" s="85">
        <f>IF(H158,An,'2025'!An_max)</f>
        <v>2021</v>
      </c>
      <c r="K158" s="199">
        <f t="shared" si="52"/>
        <v>46166</v>
      </c>
      <c r="L158" s="147">
        <f>IF(t&lt;Tvie,1-EXP((T0-t)*PertePVj)+'2025'!Pspv,1-EXP((T0-t)*PertePVj)+Pspv)</f>
        <v>6.4238133038715173E-2</v>
      </c>
      <c r="M158" s="872"/>
      <c r="N158" s="872"/>
      <c r="O158" s="48">
        <f>IF(t&lt;Tnet,'2025'!Resal+('2025'!Salim-'2025'!Resal)*(1-EXP(('2025'!Tnet-t)/('2025'!Tau_j))),Resal+(Salim-Resal)*(1-EXP((Tnet-t)/(Tau_j))))*Salcycl</f>
        <v>2.8145570985083197E-2</v>
      </c>
      <c r="P158" s="171">
        <f>(INDEX(Models!$BJ158:$BT158,,T158)*(1-R158)+INDEX(Models!$BJ158:$BT158,,T158+1)*R158-ERP_i)*Q158*Ramure*Pc/MaxiM</f>
        <v>7.1726674208651348E-5</v>
      </c>
      <c r="Q158" s="307">
        <f t="shared" si="53"/>
        <v>0.9</v>
      </c>
      <c r="R158" s="179">
        <f t="shared" si="54"/>
        <v>9.6699764034080982E-2</v>
      </c>
      <c r="S158" s="839">
        <f t="shared" si="55"/>
        <v>-2</v>
      </c>
      <c r="T158" s="178">
        <f t="shared" si="56"/>
        <v>4</v>
      </c>
      <c r="U158" s="253">
        <f t="shared" si="57"/>
        <v>-1.903300235965919</v>
      </c>
      <c r="V158" s="385">
        <f t="shared" si="58"/>
        <v>58.305945394279547</v>
      </c>
      <c r="W158" s="404">
        <f t="shared" si="59"/>
        <v>14.721841989228899</v>
      </c>
      <c r="X158" s="157">
        <f t="shared" si="60"/>
        <v>46166</v>
      </c>
      <c r="Y158" s="387">
        <f t="shared" si="61"/>
        <v>13.053444579996039</v>
      </c>
      <c r="Z158" s="387">
        <f t="shared" si="62"/>
        <v>13.949536779463678</v>
      </c>
      <c r="AA158" s="388">
        <f t="shared" si="63"/>
        <v>16.188089264682166</v>
      </c>
      <c r="AB158" s="199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0.13828392274203585</v>
      </c>
      <c r="AD158" s="233">
        <f>(INDEX(Models!$BJ158:$BT158,,AH158)*(1-AF158)+INDEX(Models!$BJ158:$BT158,,AH158+1)*AF158-ERP_i)*AE158*Ramure*Pc/MaxiM</f>
        <v>2.075636235136253E-3</v>
      </c>
      <c r="AE158" s="307">
        <f t="shared" si="65"/>
        <v>0.9</v>
      </c>
      <c r="AF158" s="179">
        <f t="shared" si="66"/>
        <v>0.73235541634105994</v>
      </c>
      <c r="AG158" s="839">
        <f t="shared" si="74"/>
        <v>2</v>
      </c>
      <c r="AH158" s="178">
        <f t="shared" si="67"/>
        <v>8</v>
      </c>
      <c r="AI158" s="227">
        <f t="shared" si="68"/>
        <v>2.7323554163410599</v>
      </c>
      <c r="AJ158" s="267" t="b">
        <f t="shared" si="69"/>
        <v>0</v>
      </c>
      <c r="AK158" s="267" t="b">
        <f t="shared" si="70"/>
        <v>0</v>
      </c>
      <c r="AL158" s="267"/>
      <c r="AM158" s="267"/>
      <c r="AN158" s="75"/>
    </row>
    <row r="159" spans="1:40" s="6" customFormat="1" ht="11.25" x14ac:dyDescent="0.2">
      <c r="A159" s="56">
        <f t="shared" si="71"/>
        <v>46167</v>
      </c>
      <c r="B159" s="413">
        <f>'2025'!Wh/'2025'!Env_an*'2026'!Env_an</f>
        <v>40.956824557612947</v>
      </c>
      <c r="C159" s="868"/>
      <c r="D159" s="395">
        <f t="shared" si="50"/>
        <v>43.76944514520396</v>
      </c>
      <c r="E159" s="387">
        <f t="shared" si="72"/>
        <v>45.048468243153195</v>
      </c>
      <c r="F159" s="387">
        <f t="shared" si="51"/>
        <v>45.050222443448995</v>
      </c>
      <c r="G159" s="110">
        <f t="shared" si="73"/>
        <v>0.70203510773442346</v>
      </c>
      <c r="H159" s="416" t="b">
        <f>Wh_hp&gt;='2025'!Maxi_hp</f>
        <v>0</v>
      </c>
      <c r="I159" s="392">
        <f>IF(H159,Wh_hp,'2025'!Maxi_hp)</f>
        <v>59.272001912813224</v>
      </c>
      <c r="J159" s="85">
        <f>IF(H159,An,'2025'!An_max)</f>
        <v>2020</v>
      </c>
      <c r="K159" s="199">
        <f t="shared" si="52"/>
        <v>46167</v>
      </c>
      <c r="L159" s="147">
        <f>IF(t&lt;Tvie,1-EXP((T0-t)*PertePVj)+'2025'!Pspv,1-EXP((T0-t)*PertePVj)+Pspv)</f>
        <v>6.4259909584419406E-2</v>
      </c>
      <c r="M159" s="872"/>
      <c r="N159" s="872"/>
      <c r="O159" s="48">
        <f>IF(t&lt;Tnet,'2025'!Resal+('2025'!Salim-'2025'!Resal)*(1-EXP(('2025'!Tnet-t)/('2025'!Tau_j))),Resal+(Salim-Resal)*(1-EXP((Tnet-t)/(Tau_j))))*Salcycl</f>
        <v>2.8392155112701996E-2</v>
      </c>
      <c r="P159" s="171">
        <f>(INDEX(Models!$BJ159:$BT159,,T159)*(1-R159)+INDEX(Models!$BJ159:$BT159,,T159+1)*R159-ERP_i)*Q159*Ramure*Pc/MaxiM</f>
        <v>6.7794492891184459E-5</v>
      </c>
      <c r="Q159" s="307">
        <f t="shared" si="53"/>
        <v>0.9</v>
      </c>
      <c r="R159" s="179">
        <f t="shared" si="54"/>
        <v>0.10313523561888482</v>
      </c>
      <c r="S159" s="839">
        <f t="shared" si="55"/>
        <v>-2</v>
      </c>
      <c r="T159" s="178">
        <f t="shared" si="56"/>
        <v>4</v>
      </c>
      <c r="U159" s="253">
        <f t="shared" si="57"/>
        <v>-1.8968647643811152</v>
      </c>
      <c r="V159" s="385">
        <f t="shared" si="58"/>
        <v>58.338453763407337</v>
      </c>
      <c r="W159" s="404">
        <f t="shared" si="59"/>
        <v>40.956824557612947</v>
      </c>
      <c r="X159" s="157">
        <f t="shared" si="60"/>
        <v>46167</v>
      </c>
      <c r="Y159" s="387">
        <f t="shared" si="61"/>
        <v>36.275380761951425</v>
      </c>
      <c r="Z159" s="387">
        <f t="shared" si="62"/>
        <v>38.766513408483775</v>
      </c>
      <c r="AA159" s="388">
        <f t="shared" si="63"/>
        <v>44.999722236509008</v>
      </c>
      <c r="AB159" s="199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0.13851660673069957</v>
      </c>
      <c r="AD159" s="233">
        <f>(INDEX(Models!$BJ159:$BT159,,AH159)*(1-AF159)+INDEX(Models!$BJ159:$BT159,,AH159+1)*AF159-ERP_i)*AE159*Ramure*Pc/MaxiM</f>
        <v>1.9516790235375313E-3</v>
      </c>
      <c r="AE159" s="307">
        <f t="shared" si="65"/>
        <v>0.9</v>
      </c>
      <c r="AF159" s="179">
        <f t="shared" si="66"/>
        <v>0.73879088792586378</v>
      </c>
      <c r="AG159" s="839">
        <f t="shared" si="74"/>
        <v>2</v>
      </c>
      <c r="AH159" s="178">
        <f t="shared" si="67"/>
        <v>8</v>
      </c>
      <c r="AI159" s="227">
        <f t="shared" si="68"/>
        <v>2.7387908879258638</v>
      </c>
      <c r="AJ159" s="267" t="b">
        <f t="shared" si="69"/>
        <v>0</v>
      </c>
      <c r="AK159" s="267" t="b">
        <f t="shared" si="70"/>
        <v>0</v>
      </c>
      <c r="AL159" s="267"/>
      <c r="AM159" s="267"/>
      <c r="AN159" s="75"/>
    </row>
    <row r="160" spans="1:40" s="6" customFormat="1" ht="11.25" x14ac:dyDescent="0.2">
      <c r="A160" s="56">
        <f t="shared" si="71"/>
        <v>46168</v>
      </c>
      <c r="B160" s="413">
        <f>'2025'!Wh/'2025'!Env_an*'2026'!Env_an</f>
        <v>21.509809428839063</v>
      </c>
      <c r="C160" s="868"/>
      <c r="D160" s="395">
        <f t="shared" si="50"/>
        <v>22.987483624458445</v>
      </c>
      <c r="E160" s="387">
        <f t="shared" si="72"/>
        <v>23.665230106575283</v>
      </c>
      <c r="F160" s="387">
        <f t="shared" si="51"/>
        <v>23.665378558766939</v>
      </c>
      <c r="G160" s="110">
        <f t="shared" si="73"/>
        <v>0.3685046574990351</v>
      </c>
      <c r="H160" s="416" t="b">
        <f>Wh_hp&gt;='2025'!Maxi_hp</f>
        <v>0</v>
      </c>
      <c r="I160" s="392">
        <f>IF(H160,Wh_hp,'2025'!Maxi_hp)</f>
        <v>63.227502087912768</v>
      </c>
      <c r="J160" s="85">
        <f>IF(H160,An,'2025'!An_max)</f>
        <v>2020</v>
      </c>
      <c r="K160" s="199">
        <f t="shared" si="52"/>
        <v>46168</v>
      </c>
      <c r="L160" s="147">
        <f>IF(t&lt;Tvie,1-EXP((T0-t)*PertePVj)+'2025'!Pspv,1-EXP((T0-t)*PertePVj)+Pspv)</f>
        <v>6.4281685623351681E-2</v>
      </c>
      <c r="M160" s="872"/>
      <c r="N160" s="872"/>
      <c r="O160" s="48">
        <f>IF(t&lt;Tnet,'2025'!Resal+('2025'!Salim-'2025'!Resal)*(1-EXP(('2025'!Tnet-t)/('2025'!Tau_j))),Resal+(Salim-Resal)*(1-EXP((Tnet-t)/(Tau_j))))*Salcycl</f>
        <v>2.8638913674814706E-2</v>
      </c>
      <c r="P160" s="171">
        <f>(INDEX(Models!$BJ160:$BT160,,T160)*(1-R160)+INDEX(Models!$BJ160:$BT160,,T160+1)*R160-ERP_i)*Q160*Ramure*Pc/MaxiM</f>
        <v>6.4079050070408724E-5</v>
      </c>
      <c r="Q160" s="307">
        <f t="shared" si="53"/>
        <v>0.9</v>
      </c>
      <c r="R160" s="179">
        <f t="shared" si="54"/>
        <v>0.10965519289605008</v>
      </c>
      <c r="S160" s="839">
        <f t="shared" si="55"/>
        <v>-2</v>
      </c>
      <c r="T160" s="178">
        <f t="shared" si="56"/>
        <v>4</v>
      </c>
      <c r="U160" s="253">
        <f t="shared" si="57"/>
        <v>-1.8903448071039499</v>
      </c>
      <c r="V160" s="385">
        <f t="shared" si="58"/>
        <v>58.367148380785288</v>
      </c>
      <c r="W160" s="404">
        <f t="shared" si="59"/>
        <v>21.509809428839063</v>
      </c>
      <c r="X160" s="157">
        <f t="shared" si="60"/>
        <v>46168</v>
      </c>
      <c r="Y160" s="387">
        <f t="shared" si="61"/>
        <v>19.068215665208477</v>
      </c>
      <c r="Z160" s="387">
        <f t="shared" si="62"/>
        <v>20.37815801212701</v>
      </c>
      <c r="AA160" s="388">
        <f t="shared" si="63"/>
        <v>23.661122812484432</v>
      </c>
      <c r="AB160" s="199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0.13874932421318631</v>
      </c>
      <c r="AD160" s="233">
        <f>(INDEX(Models!$BJ160:$BT160,,AH160)*(1-AF160)+INDEX(Models!$BJ160:$BT160,,AH160+1)*AF160-ERP_i)*AE160*Ramure*Pc/MaxiM</f>
        <v>1.8369831801163577E-3</v>
      </c>
      <c r="AE160" s="307">
        <f t="shared" si="65"/>
        <v>0.9</v>
      </c>
      <c r="AF160" s="179">
        <f t="shared" si="66"/>
        <v>0.74531084520302926</v>
      </c>
      <c r="AG160" s="839">
        <f t="shared" si="74"/>
        <v>2</v>
      </c>
      <c r="AH160" s="178">
        <f t="shared" si="67"/>
        <v>8</v>
      </c>
      <c r="AI160" s="227">
        <f t="shared" si="68"/>
        <v>2.7453108452030293</v>
      </c>
      <c r="AJ160" s="267" t="b">
        <f t="shared" si="69"/>
        <v>0</v>
      </c>
      <c r="AK160" s="267" t="b">
        <f t="shared" si="70"/>
        <v>0</v>
      </c>
      <c r="AL160" s="267"/>
      <c r="AM160" s="267"/>
      <c r="AN160" s="75"/>
    </row>
    <row r="161" spans="1:40" s="6" customFormat="1" ht="11.25" x14ac:dyDescent="0.2">
      <c r="A161" s="56">
        <f t="shared" si="71"/>
        <v>46169</v>
      </c>
      <c r="B161" s="413">
        <f>'2025'!Wh/'2025'!Env_an*'2026'!Env_an</f>
        <v>40.772098099344895</v>
      </c>
      <c r="C161" s="868"/>
      <c r="D161" s="395">
        <f t="shared" si="50"/>
        <v>43.574061040875229</v>
      </c>
      <c r="E161" s="387">
        <f t="shared" si="72"/>
        <v>44.870172411925395</v>
      </c>
      <c r="F161" s="387">
        <f t="shared" si="51"/>
        <v>44.871718982777843</v>
      </c>
      <c r="G161" s="110">
        <f t="shared" si="73"/>
        <v>0.69822572048154563</v>
      </c>
      <c r="H161" s="416" t="b">
        <f>Wh_hp&gt;='2025'!Maxi_hp</f>
        <v>0</v>
      </c>
      <c r="I161" s="392">
        <f>IF(H161,Wh_hp,'2025'!Maxi_hp)</f>
        <v>62.760133675554769</v>
      </c>
      <c r="J161" s="85">
        <f>IF(H161,An,'2025'!An_max)</f>
        <v>2020</v>
      </c>
      <c r="K161" s="199">
        <f t="shared" si="52"/>
        <v>46169</v>
      </c>
      <c r="L161" s="147">
        <f>IF(t&lt;Tvie,1-EXP((T0-t)*PertePVj)+'2025'!Pspv,1-EXP((T0-t)*PertePVj)+Pspv)</f>
        <v>6.4303461155523656E-2</v>
      </c>
      <c r="M161" s="872"/>
      <c r="N161" s="872"/>
      <c r="O161" s="48">
        <f>IF(t&lt;Tnet,'2025'!Resal+('2025'!Salim-'2025'!Resal)*(1-EXP(('2025'!Tnet-t)/('2025'!Tau_j))),Resal+(Salim-Resal)*(1-EXP((Tnet-t)/(Tau_j))))*Salcycl</f>
        <v>2.8885812141557228E-2</v>
      </c>
      <c r="P161" s="171">
        <f>(INDEX(Models!$BJ161:$BT161,,T161)*(1-R161)+INDEX(Models!$BJ161:$BT161,,T161+1)*R161-ERP_i)*Q161*Ramure*Pc/MaxiM</f>
        <v>6.0582328289760567E-5</v>
      </c>
      <c r="Q161" s="307">
        <f t="shared" si="53"/>
        <v>0.9</v>
      </c>
      <c r="R161" s="179">
        <f t="shared" si="54"/>
        <v>0.11625569924341628</v>
      </c>
      <c r="S161" s="839">
        <f t="shared" si="55"/>
        <v>-2</v>
      </c>
      <c r="T161" s="178">
        <f t="shared" si="56"/>
        <v>4</v>
      </c>
      <c r="U161" s="253">
        <f t="shared" si="57"/>
        <v>-1.8837443007565837</v>
      </c>
      <c r="V161" s="385">
        <f t="shared" si="58"/>
        <v>58.392339424541973</v>
      </c>
      <c r="W161" s="404">
        <f t="shared" si="59"/>
        <v>40.772098099344895</v>
      </c>
      <c r="X161" s="157">
        <f t="shared" si="60"/>
        <v>46169</v>
      </c>
      <c r="Y161" s="387">
        <f t="shared" si="61"/>
        <v>36.115361015739921</v>
      </c>
      <c r="Z161" s="387">
        <f t="shared" si="62"/>
        <v>38.597301065514273</v>
      </c>
      <c r="AA161" s="388">
        <f t="shared" si="63"/>
        <v>44.82751477826352</v>
      </c>
      <c r="AB161" s="199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0.13898191197006138</v>
      </c>
      <c r="AD161" s="233">
        <f>(INDEX(Models!$BJ161:$BT161,,AH161)*(1-AF161)+INDEX(Models!$BJ161:$BT161,,AH161+1)*AF161-ERP_i)*AE161*Ramure*Pc/MaxiM</f>
        <v>1.7315686671810538E-3</v>
      </c>
      <c r="AE161" s="307">
        <f t="shared" si="65"/>
        <v>0.9</v>
      </c>
      <c r="AF161" s="179">
        <f t="shared" si="66"/>
        <v>0.75191135155039523</v>
      </c>
      <c r="AG161" s="839">
        <f t="shared" si="74"/>
        <v>2</v>
      </c>
      <c r="AH161" s="178">
        <f t="shared" si="67"/>
        <v>8</v>
      </c>
      <c r="AI161" s="227">
        <f t="shared" si="68"/>
        <v>2.7519113515503952</v>
      </c>
      <c r="AJ161" s="267" t="b">
        <f t="shared" si="69"/>
        <v>0</v>
      </c>
      <c r="AK161" s="267" t="b">
        <f t="shared" si="70"/>
        <v>0</v>
      </c>
      <c r="AL161" s="267"/>
      <c r="AM161" s="267"/>
      <c r="AN161" s="75"/>
    </row>
    <row r="162" spans="1:40" s="6" customFormat="1" ht="11.25" x14ac:dyDescent="0.2">
      <c r="A162" s="56">
        <f t="shared" si="71"/>
        <v>46170</v>
      </c>
      <c r="B162" s="413">
        <f>'2025'!Wh/'2025'!Env_an*'2026'!Env_an</f>
        <v>54.437542555958416</v>
      </c>
      <c r="C162" s="868"/>
      <c r="D162" s="395">
        <f t="shared" si="50"/>
        <v>58.179983751796399</v>
      </c>
      <c r="E162" s="387">
        <f t="shared" si="72"/>
        <v>59.925790707569881</v>
      </c>
      <c r="F162" s="387">
        <f t="shared" si="51"/>
        <v>59.928891026324621</v>
      </c>
      <c r="G162" s="110">
        <f t="shared" si="73"/>
        <v>0.93191572679138768</v>
      </c>
      <c r="H162" s="416" t="b">
        <f>Wh_hp&gt;='2025'!Maxi_hp</f>
        <v>0</v>
      </c>
      <c r="I162" s="392">
        <f>IF(H162,Wh_hp,'2025'!Maxi_hp)</f>
        <v>61.94834261618918</v>
      </c>
      <c r="J162" s="85">
        <f>IF(H162,An,'2025'!An_max)</f>
        <v>2020</v>
      </c>
      <c r="K162" s="199">
        <f t="shared" si="52"/>
        <v>46170</v>
      </c>
      <c r="L162" s="147">
        <f>IF(t&lt;Tvie,1-EXP((T0-t)*PertePVj)+'2025'!Pspv,1-EXP((T0-t)*PertePVj)+Pspv)</f>
        <v>6.4325236180947321E-2</v>
      </c>
      <c r="M162" s="872"/>
      <c r="N162" s="872"/>
      <c r="O162" s="48">
        <f>IF(t&lt;Tnet,'2025'!Resal+('2025'!Salim-'2025'!Resal)*(1-EXP(('2025'!Tnet-t)/('2025'!Tau_j))),Resal+(Salim-Resal)*(1-EXP((Tnet-t)/(Tau_j))))*Salcycl</f>
        <v>2.9132814688967449E-2</v>
      </c>
      <c r="P162" s="171">
        <f>(INDEX(Models!$BJ162:$BT162,,T162)*(1-R162)+INDEX(Models!$BJ162:$BT162,,T162+1)*R162-ERP_i)*Q162*Ramure*Pc/MaxiM</f>
        <v>5.7306701593854204E-5</v>
      </c>
      <c r="Q162" s="307">
        <f t="shared" si="53"/>
        <v>0.9</v>
      </c>
      <c r="R162" s="179">
        <f t="shared" si="54"/>
        <v>0.12293258257757556</v>
      </c>
      <c r="S162" s="839">
        <f t="shared" si="55"/>
        <v>-2</v>
      </c>
      <c r="T162" s="178">
        <f t="shared" si="56"/>
        <v>4</v>
      </c>
      <c r="U162" s="253">
        <f t="shared" si="57"/>
        <v>-1.8770674174224244</v>
      </c>
      <c r="V162" s="385">
        <f t="shared" si="58"/>
        <v>58.414336803726336</v>
      </c>
      <c r="W162" s="404">
        <f t="shared" si="59"/>
        <v>54.437542555958416</v>
      </c>
      <c r="X162" s="157">
        <f t="shared" si="60"/>
        <v>46170</v>
      </c>
      <c r="Y162" s="387">
        <f t="shared" si="61"/>
        <v>48.196397892085642</v>
      </c>
      <c r="Z162" s="387">
        <f t="shared" si="62"/>
        <v>51.509776426337602</v>
      </c>
      <c r="AA162" s="388">
        <f t="shared" si="63"/>
        <v>59.840411781653984</v>
      </c>
      <c r="AB162" s="199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0.13921420503778026</v>
      </c>
      <c r="AD162" s="233">
        <f>(INDEX(Models!$BJ162:$BT162,,AH162)*(1-AF162)+INDEX(Models!$BJ162:$BT162,,AH162+1)*AF162-ERP_i)*AE162*Ramure*Pc/MaxiM</f>
        <v>1.6354620517151253E-3</v>
      </c>
      <c r="AE162" s="307">
        <f t="shared" si="65"/>
        <v>0.9</v>
      </c>
      <c r="AF162" s="179">
        <f t="shared" si="66"/>
        <v>0.75858823488455451</v>
      </c>
      <c r="AG162" s="839">
        <f t="shared" si="74"/>
        <v>2</v>
      </c>
      <c r="AH162" s="178">
        <f t="shared" si="67"/>
        <v>8</v>
      </c>
      <c r="AI162" s="227">
        <f t="shared" si="68"/>
        <v>2.7585882348845545</v>
      </c>
      <c r="AJ162" s="267" t="b">
        <f t="shared" si="69"/>
        <v>0</v>
      </c>
      <c r="AK162" s="267" t="b">
        <f t="shared" si="70"/>
        <v>0</v>
      </c>
      <c r="AL162" s="267"/>
      <c r="AM162" s="267"/>
      <c r="AN162" s="75"/>
    </row>
    <row r="163" spans="1:40" s="6" customFormat="1" ht="11.25" x14ac:dyDescent="0.2">
      <c r="A163" s="56">
        <f t="shared" si="71"/>
        <v>46171</v>
      </c>
      <c r="B163" s="413">
        <f>'2025'!Wh/'2025'!Env_an*'2026'!Env_an</f>
        <v>59.414619633922648</v>
      </c>
      <c r="C163" s="868"/>
      <c r="D163" s="395">
        <f t="shared" si="50"/>
        <v>63.500699846371369</v>
      </c>
      <c r="E163" s="387">
        <f t="shared" si="72"/>
        <v>65.422814569630461</v>
      </c>
      <c r="F163" s="387">
        <f t="shared" si="51"/>
        <v>65.426364345119993</v>
      </c>
      <c r="G163" s="110">
        <f t="shared" si="73"/>
        <v>1.0168121653183677</v>
      </c>
      <c r="H163" s="416" t="b">
        <f>Wh_hp&gt;='2025'!Maxi_hp</f>
        <v>1</v>
      </c>
      <c r="I163" s="392">
        <f>IF(H163,Wh_hp,'2025'!Maxi_hp)</f>
        <v>65.426364345119993</v>
      </c>
      <c r="J163" s="85">
        <f>IF(H163,An,'2025'!An_max)</f>
        <v>2026</v>
      </c>
      <c r="K163" s="199">
        <f t="shared" si="52"/>
        <v>46171</v>
      </c>
      <c r="L163" s="147">
        <f>IF(t&lt;Tvie,1-EXP((T0-t)*PertePVj)+'2025'!Pspv,1-EXP((T0-t)*PertePVj)+Pspv)</f>
        <v>6.4347010699634222E-2</v>
      </c>
      <c r="M163" s="872"/>
      <c r="N163" s="872"/>
      <c r="O163" s="48">
        <f>IF(t&lt;Tnet,'2025'!Resal+('2025'!Salim-'2025'!Resal)*(1-EXP(('2025'!Tnet-t)/('2025'!Tau_j))),Resal+(Salim-Resal)*(1-EXP((Tnet-t)/(Tau_j))))*Salcycl</f>
        <v>2.9379884309522649E-2</v>
      </c>
      <c r="P163" s="171">
        <f>(INDEX(Models!$BJ163:$BT163,,T163)*(1-R163)+INDEX(Models!$BJ163:$BT163,,T163+1)*R163-ERP_i)*Q163*Ramure*Pc/MaxiM</f>
        <v>5.425604074226084E-5</v>
      </c>
      <c r="Q163" s="307">
        <f t="shared" si="53"/>
        <v>0.9</v>
      </c>
      <c r="R163" s="179">
        <f t="shared" si="54"/>
        <v>0.12968144334128651</v>
      </c>
      <c r="S163" s="839">
        <f t="shared" si="55"/>
        <v>-2</v>
      </c>
      <c r="T163" s="178">
        <f t="shared" si="56"/>
        <v>4</v>
      </c>
      <c r="U163" s="253">
        <f t="shared" si="57"/>
        <v>-1.8703185566587135</v>
      </c>
      <c r="V163" s="385">
        <f t="shared" si="58"/>
        <v>58.432247036815994</v>
      </c>
      <c r="W163" s="404">
        <f t="shared" si="59"/>
        <v>59.414619633922648</v>
      </c>
      <c r="X163" s="157">
        <f t="shared" si="60"/>
        <v>46171</v>
      </c>
      <c r="Y163" s="387">
        <f t="shared" si="61"/>
        <v>52.598405723160681</v>
      </c>
      <c r="Z163" s="387">
        <f t="shared" si="62"/>
        <v>56.21571920856163</v>
      </c>
      <c r="AA163" s="388">
        <f t="shared" si="63"/>
        <v>65.325036712251219</v>
      </c>
      <c r="AB163" s="199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0.13944603726462515</v>
      </c>
      <c r="AD163" s="233">
        <f>(INDEX(Models!$BJ163:$BT163,,AH163)*(1-AF163)+INDEX(Models!$BJ163:$BT163,,AH163+1)*AF163-ERP_i)*AE163*Ramure*Pc/MaxiM</f>
        <v>1.5487278543291063E-3</v>
      </c>
      <c r="AE163" s="307">
        <f t="shared" si="65"/>
        <v>0.9</v>
      </c>
      <c r="AF163" s="179">
        <f t="shared" si="66"/>
        <v>0.76533709564826546</v>
      </c>
      <c r="AG163" s="839">
        <f t="shared" si="74"/>
        <v>2</v>
      </c>
      <c r="AH163" s="178">
        <f t="shared" si="67"/>
        <v>8</v>
      </c>
      <c r="AI163" s="227">
        <f t="shared" si="68"/>
        <v>2.7653370956482655</v>
      </c>
      <c r="AJ163" s="267" t="b">
        <f t="shared" si="69"/>
        <v>0</v>
      </c>
      <c r="AK163" s="267" t="b">
        <f t="shared" si="70"/>
        <v>0</v>
      </c>
      <c r="AL163" s="267"/>
      <c r="AM163" s="267"/>
      <c r="AN163" s="75"/>
    </row>
    <row r="164" spans="1:40" s="6" customFormat="1" ht="11.25" x14ac:dyDescent="0.2">
      <c r="A164" s="56">
        <f t="shared" si="71"/>
        <v>46172</v>
      </c>
      <c r="B164" s="413">
        <f>'2025'!Wh/'2025'!Env_an*'2026'!Env_an</f>
        <v>50.798747740948095</v>
      </c>
      <c r="C164" s="868"/>
      <c r="D164" s="395">
        <f t="shared" si="50"/>
        <v>54.293558093067283</v>
      </c>
      <c r="E164" s="387">
        <f t="shared" si="72"/>
        <v>55.95122405309818</v>
      </c>
      <c r="F164" s="387">
        <f t="shared" si="51"/>
        <v>55.95357004908184</v>
      </c>
      <c r="G164" s="110">
        <f t="shared" si="73"/>
        <v>0.86916193400287678</v>
      </c>
      <c r="H164" s="416" t="b">
        <f>Wh_hp&gt;='2025'!Maxi_hp</f>
        <v>0</v>
      </c>
      <c r="I164" s="392">
        <f>IF(H164,Wh_hp,'2025'!Maxi_hp)</f>
        <v>63.612298063151371</v>
      </c>
      <c r="J164" s="85">
        <f>IF(H164,An,'2025'!An_max)</f>
        <v>2019</v>
      </c>
      <c r="K164" s="199">
        <f t="shared" si="52"/>
        <v>46172</v>
      </c>
      <c r="L164" s="147">
        <f>IF(t&lt;Tvie,1-EXP((T0-t)*PertePVj)+'2025'!Pspv,1-EXP((T0-t)*PertePVj)+Pspv)</f>
        <v>6.4368784711596239E-2</v>
      </c>
      <c r="M164" s="872"/>
      <c r="N164" s="872"/>
      <c r="O164" s="48">
        <f>IF(t&lt;Tnet,'2025'!Resal+('2025'!Salim-'2025'!Resal)*(1-EXP(('2025'!Tnet-t)/('2025'!Tau_j))),Resal+(Salim-Resal)*(1-EXP((Tnet-t)/(Tau_j))))*Salcycl</f>
        <v>2.9626982931736417E-2</v>
      </c>
      <c r="P164" s="171">
        <f>(INDEX(Models!$BJ164:$BT164,,T164)*(1-R164)+INDEX(Models!$BJ164:$BT164,,T164+1)*R164-ERP_i)*Q164*Ramure*Pc/MaxiM</f>
        <v>5.156502878850201E-5</v>
      </c>
      <c r="Q164" s="307">
        <f t="shared" si="53"/>
        <v>0.9</v>
      </c>
      <c r="R164" s="179">
        <f t="shared" si="54"/>
        <v>0.13649766385740891</v>
      </c>
      <c r="S164" s="839">
        <f t="shared" si="55"/>
        <v>-2</v>
      </c>
      <c r="T164" s="178">
        <f t="shared" si="56"/>
        <v>4</v>
      </c>
      <c r="U164" s="253">
        <f t="shared" si="57"/>
        <v>-1.8635023361425911</v>
      </c>
      <c r="V164" s="385">
        <f t="shared" si="58"/>
        <v>58.44510230045087</v>
      </c>
      <c r="W164" s="404">
        <f t="shared" si="59"/>
        <v>50.798747740948095</v>
      </c>
      <c r="X164" s="157">
        <f t="shared" si="60"/>
        <v>46172</v>
      </c>
      <c r="Y164" s="387">
        <f t="shared" si="61"/>
        <v>44.985595979030705</v>
      </c>
      <c r="Z164" s="387">
        <f t="shared" si="62"/>
        <v>48.080477910481122</v>
      </c>
      <c r="AA164" s="388">
        <f t="shared" si="63"/>
        <v>55.886558221389137</v>
      </c>
      <c r="AB164" s="199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0.13967724188676975</v>
      </c>
      <c r="AD164" s="233">
        <f>(INDEX(Models!$BJ164:$BT164,,AH164)*(1-AF164)+INDEX(Models!$BJ164:$BT164,,AH164+1)*AF164-ERP_i)*AE164*Ramure*Pc/MaxiM</f>
        <v>1.4729210315009215E-3</v>
      </c>
      <c r="AE164" s="307">
        <f t="shared" si="65"/>
        <v>0.9</v>
      </c>
      <c r="AF164" s="179">
        <f t="shared" si="66"/>
        <v>0.77215331616438787</v>
      </c>
      <c r="AG164" s="839">
        <f t="shared" si="74"/>
        <v>2</v>
      </c>
      <c r="AH164" s="178">
        <f t="shared" si="67"/>
        <v>8</v>
      </c>
      <c r="AI164" s="227">
        <f t="shared" si="68"/>
        <v>2.7721533161643879</v>
      </c>
      <c r="AJ164" s="267" t="b">
        <f t="shared" si="69"/>
        <v>0</v>
      </c>
      <c r="AK164" s="267" t="b">
        <f t="shared" si="70"/>
        <v>0</v>
      </c>
      <c r="AL164" s="267"/>
      <c r="AM164" s="267"/>
      <c r="AN164" s="75"/>
    </row>
    <row r="165" spans="1:40" s="6" customFormat="1" ht="11.25" x14ac:dyDescent="0.2">
      <c r="A165" s="56">
        <f t="shared" si="71"/>
        <v>46173</v>
      </c>
      <c r="B165" s="413">
        <f>'2025'!Wh/'2025'!Env_an*'2026'!Env_an</f>
        <v>54.452401889551005</v>
      </c>
      <c r="C165" s="868"/>
      <c r="D165" s="395">
        <f t="shared" si="50"/>
        <v>58.199927723871113</v>
      </c>
      <c r="E165" s="387">
        <f t="shared" si="72"/>
        <v>59.992137120545337</v>
      </c>
      <c r="F165" s="387">
        <f t="shared" si="51"/>
        <v>59.994796557718495</v>
      </c>
      <c r="G165" s="110">
        <f t="shared" si="73"/>
        <v>0.93155236065257385</v>
      </c>
      <c r="H165" s="416" t="b">
        <f>Wh_hp&gt;='2025'!Maxi_hp</f>
        <v>0</v>
      </c>
      <c r="I165" s="392">
        <f>IF(H165,Wh_hp,'2025'!Maxi_hp)</f>
        <v>64.631023417183059</v>
      </c>
      <c r="J165" s="85">
        <f>IF(H165,An,'2025'!An_max)</f>
        <v>2019</v>
      </c>
      <c r="K165" s="199">
        <f t="shared" si="52"/>
        <v>46173</v>
      </c>
      <c r="L165" s="147">
        <f>IF(t&lt;Tvie,1-EXP((T0-t)*PertePVj)+'2025'!Pspv,1-EXP((T0-t)*PertePVj)+Pspv)</f>
        <v>6.4390558216845251E-2</v>
      </c>
      <c r="M165" s="872"/>
      <c r="N165" s="872"/>
      <c r="O165" s="48">
        <f>IF(t&lt;Tnet,'2025'!Resal+('2025'!Salim-'2025'!Resal)*(1-EXP(('2025'!Tnet-t)/('2025'!Tau_j))),Resal+(Salim-Resal)*(1-EXP((Tnet-t)/(Tau_j))))*Salcycl</f>
        <v>2.9874071548293846E-2</v>
      </c>
      <c r="P165" s="171">
        <f>(INDEX(Models!$BJ165:$BT165,,T165)*(1-R165)+INDEX(Models!$BJ165:$BT165,,T165+1)*R165-ERP_i)*Q165*Ramure*Pc/MaxiM</f>
        <v>4.9131695286274858E-5</v>
      </c>
      <c r="Q165" s="307">
        <f t="shared" si="53"/>
        <v>0.9</v>
      </c>
      <c r="R165" s="179">
        <f t="shared" si="54"/>
        <v>0.14337641902688625</v>
      </c>
      <c r="S165" s="839">
        <f t="shared" si="55"/>
        <v>-2</v>
      </c>
      <c r="T165" s="178">
        <f t="shared" si="56"/>
        <v>4</v>
      </c>
      <c r="U165" s="253">
        <f t="shared" si="57"/>
        <v>-1.8566235809731138</v>
      </c>
      <c r="V165" s="385">
        <f t="shared" si="58"/>
        <v>58.453118250936853</v>
      </c>
      <c r="W165" s="404">
        <f t="shared" si="59"/>
        <v>54.452401889551005</v>
      </c>
      <c r="X165" s="157">
        <f t="shared" si="60"/>
        <v>46173</v>
      </c>
      <c r="Y165" s="387">
        <f t="shared" si="61"/>
        <v>48.217488106202161</v>
      </c>
      <c r="Z165" s="387">
        <f t="shared" si="62"/>
        <v>51.535914402814974</v>
      </c>
      <c r="AA165" s="388">
        <f t="shared" si="63"/>
        <v>59.919047681241295</v>
      </c>
      <c r="AB165" s="199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0.13990765212129372</v>
      </c>
      <c r="AD165" s="233">
        <f>(INDEX(Models!$BJ165:$BT165,,AH165)*(1-AF165)+INDEX(Models!$BJ165:$BT165,,AH165+1)*AF165-ERP_i)*AE165*Ramure*Pc/MaxiM</f>
        <v>1.3994204318546477E-3</v>
      </c>
      <c r="AE165" s="307">
        <f t="shared" si="65"/>
        <v>0.9</v>
      </c>
      <c r="AF165" s="179">
        <f t="shared" si="66"/>
        <v>0.77903207133386543</v>
      </c>
      <c r="AG165" s="839">
        <f t="shared" si="74"/>
        <v>2</v>
      </c>
      <c r="AH165" s="178">
        <f t="shared" si="67"/>
        <v>8</v>
      </c>
      <c r="AI165" s="227">
        <f t="shared" si="68"/>
        <v>2.7790320713338654</v>
      </c>
      <c r="AJ165" s="267" t="b">
        <f t="shared" si="69"/>
        <v>0</v>
      </c>
      <c r="AK165" s="267" t="b">
        <f t="shared" si="70"/>
        <v>0</v>
      </c>
      <c r="AL165" s="267"/>
      <c r="AM165" s="267"/>
      <c r="AN165" s="75"/>
    </row>
    <row r="166" spans="1:40" s="6" customFormat="1" ht="11.25" x14ac:dyDescent="0.2">
      <c r="A166" s="56">
        <f t="shared" si="71"/>
        <v>46174</v>
      </c>
      <c r="B166" s="413">
        <f>'2025'!Wh/'2025'!Env_an*'2026'!Env_an</f>
        <v>56.002964496476771</v>
      </c>
      <c r="C166" s="868"/>
      <c r="D166" s="395">
        <f t="shared" si="50"/>
        <v>59.858596222445392</v>
      </c>
      <c r="E166" s="387">
        <f t="shared" si="72"/>
        <v>61.71759882739304</v>
      </c>
      <c r="F166" s="387">
        <f t="shared" si="51"/>
        <v>61.720323853845812</v>
      </c>
      <c r="G166" s="110">
        <f t="shared" si="73"/>
        <v>0.95802525248108206</v>
      </c>
      <c r="H166" s="416" t="b">
        <f>Wh_hp&gt;='2025'!Maxi_hp</f>
        <v>0</v>
      </c>
      <c r="I166" s="392">
        <f>IF(H166,Wh_hp,'2025'!Maxi_hp)</f>
        <v>65.060642777484958</v>
      </c>
      <c r="J166" s="85">
        <f>IF(H166,An,'2025'!An_max)</f>
        <v>2019</v>
      </c>
      <c r="K166" s="199">
        <f t="shared" si="52"/>
        <v>46174</v>
      </c>
      <c r="L166" s="147">
        <f>IF(t&lt;Tvie,1-EXP((T0-t)*PertePVj)+'2025'!Pspv,1-EXP((T0-t)*PertePVj)+Pspv)</f>
        <v>6.4412331215392915E-2</v>
      </c>
      <c r="M166" s="872"/>
      <c r="N166" s="872"/>
      <c r="O166" s="48">
        <f>IF(t&lt;Tnet,'2025'!Resal+('2025'!Salim-'2025'!Resal)*(1-EXP(('2025'!Tnet-t)/('2025'!Tau_j))),Resal+(Salim-Resal)*(1-EXP((Tnet-t)/(Tau_j))))*Salcycl</f>
        <v>3.0121110352117893E-2</v>
      </c>
      <c r="P166" s="171">
        <f>(INDEX(Models!$BJ166:$BT166,,T166)*(1-R166)+INDEX(Models!$BJ166:$BT166,,T166+1)*R166-ERP_i)*Q166*Ramure*Pc/MaxiM</f>
        <v>4.6967368174661371E-5</v>
      </c>
      <c r="Q166" s="307">
        <f t="shared" si="53"/>
        <v>0.9</v>
      </c>
      <c r="R166" s="179">
        <f t="shared" si="54"/>
        <v>0.1503126883348016</v>
      </c>
      <c r="S166" s="839">
        <f t="shared" si="55"/>
        <v>-2</v>
      </c>
      <c r="T166" s="178">
        <f t="shared" si="56"/>
        <v>4</v>
      </c>
      <c r="U166" s="253">
        <f t="shared" si="57"/>
        <v>-1.8496873116651984</v>
      </c>
      <c r="V166" s="385">
        <f t="shared" si="58"/>
        <v>58.456503762080814</v>
      </c>
      <c r="W166" s="404">
        <f t="shared" si="59"/>
        <v>56.002964496476771</v>
      </c>
      <c r="X166" s="157">
        <f t="shared" si="60"/>
        <v>46174</v>
      </c>
      <c r="Y166" s="387">
        <f t="shared" si="61"/>
        <v>49.590594979275615</v>
      </c>
      <c r="Z166" s="387">
        <f t="shared" si="62"/>
        <v>53.004754801543307</v>
      </c>
      <c r="AA166" s="388">
        <f t="shared" si="63"/>
        <v>61.643263025792741</v>
      </c>
      <c r="AB166" s="199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0.14013710177274222</v>
      </c>
      <c r="AD166" s="233">
        <f>(INDEX(Models!$BJ166:$BT166,,AH166)*(1-AF166)+INDEX(Models!$BJ166:$BT166,,AH166+1)*AF166-ERP_i)*AE166*Ramure*Pc/MaxiM</f>
        <v>1.328186843589307E-3</v>
      </c>
      <c r="AE166" s="307">
        <f t="shared" si="65"/>
        <v>0.9</v>
      </c>
      <c r="AF166" s="179">
        <f t="shared" si="66"/>
        <v>0.78596834064178056</v>
      </c>
      <c r="AG166" s="839">
        <f t="shared" si="74"/>
        <v>2</v>
      </c>
      <c r="AH166" s="178">
        <f t="shared" si="67"/>
        <v>8</v>
      </c>
      <c r="AI166" s="227">
        <f t="shared" si="68"/>
        <v>2.7859683406417806</v>
      </c>
      <c r="AJ166" s="267" t="b">
        <f t="shared" si="69"/>
        <v>0</v>
      </c>
      <c r="AK166" s="267" t="b">
        <f t="shared" si="70"/>
        <v>0</v>
      </c>
      <c r="AL166" s="267"/>
      <c r="AM166" s="267"/>
      <c r="AN166" s="75"/>
    </row>
    <row r="167" spans="1:40" s="6" customFormat="1" ht="11.25" x14ac:dyDescent="0.2">
      <c r="A167" s="56">
        <f t="shared" si="71"/>
        <v>46175</v>
      </c>
      <c r="B167" s="413">
        <f>'2025'!Wh/'2025'!Env_an*'2026'!Env_an</f>
        <v>43.983241412297936</v>
      </c>
      <c r="C167" s="868"/>
      <c r="D167" s="395">
        <f t="shared" si="50"/>
        <v>47.012446249467715</v>
      </c>
      <c r="E167" s="387">
        <f t="shared" si="72"/>
        <v>48.484836622800401</v>
      </c>
      <c r="F167" s="387">
        <f t="shared" si="51"/>
        <v>48.486249440498547</v>
      </c>
      <c r="G167" s="110">
        <f t="shared" si="73"/>
        <v>0.75241105653069873</v>
      </c>
      <c r="H167" s="416" t="b">
        <f>Wh_hp&gt;='2025'!Maxi_hp</f>
        <v>0</v>
      </c>
      <c r="I167" s="392">
        <f>IF(H167,Wh_hp,'2025'!Maxi_hp)</f>
        <v>63.821113384817394</v>
      </c>
      <c r="J167" s="85">
        <f>IF(H167,An,'2025'!An_max)</f>
        <v>2019</v>
      </c>
      <c r="K167" s="199">
        <f t="shared" si="52"/>
        <v>46175</v>
      </c>
      <c r="L167" s="147">
        <f>IF(t&lt;Tvie,1-EXP((T0-t)*PertePVj)+'2025'!Pspv,1-EXP((T0-t)*PertePVj)+Pspv)</f>
        <v>6.4434103707251222E-2</v>
      </c>
      <c r="M167" s="872"/>
      <c r="N167" s="872"/>
      <c r="O167" s="48">
        <f>IF(t&lt;Tnet,'2025'!Resal+('2025'!Salim-'2025'!Resal)*(1-EXP(('2025'!Tnet-t)/('2025'!Tau_j))),Resal+(Salim-Resal)*(1-EXP((Tnet-t)/(Tau_j))))*Salcycl</f>
        <v>3.0368058879676228E-2</v>
      </c>
      <c r="P167" s="171">
        <f>(INDEX(Models!$BJ167:$BT167,,T167)*(1-R167)+INDEX(Models!$BJ167:$BT167,,T167+1)*R167-ERP_i)*Q167*Ramure*Pc/MaxiM</f>
        <v>4.5083834587233634E-5</v>
      </c>
      <c r="Q167" s="307">
        <f t="shared" si="53"/>
        <v>0.9</v>
      </c>
      <c r="R167" s="179">
        <f t="shared" si="54"/>
        <v>0.1573012691149791</v>
      </c>
      <c r="S167" s="839">
        <f t="shared" si="55"/>
        <v>-2</v>
      </c>
      <c r="T167" s="178">
        <f t="shared" si="56"/>
        <v>4</v>
      </c>
      <c r="U167" s="253">
        <f t="shared" si="57"/>
        <v>-1.8426987308850209</v>
      </c>
      <c r="V167" s="385">
        <f t="shared" si="58"/>
        <v>58.4554675049244</v>
      </c>
      <c r="W167" s="404">
        <f t="shared" si="59"/>
        <v>43.983241412297936</v>
      </c>
      <c r="X167" s="157">
        <f t="shared" si="60"/>
        <v>46175</v>
      </c>
      <c r="Y167" s="387">
        <f t="shared" si="61"/>
        <v>38.96307825615262</v>
      </c>
      <c r="Z167" s="387">
        <f t="shared" si="62"/>
        <v>41.646535439723479</v>
      </c>
      <c r="AA167" s="388">
        <f t="shared" si="63"/>
        <v>48.446789708155862</v>
      </c>
      <c r="AB167" s="199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0.14036542584962206</v>
      </c>
      <c r="AD167" s="233">
        <f>(INDEX(Models!$BJ167:$BT167,,AH167)*(1-AF167)+INDEX(Models!$BJ167:$BT167,,AH167+1)*AF167-ERP_i)*AE167*Ramure*Pc/MaxiM</f>
        <v>1.2591830128754109E-3</v>
      </c>
      <c r="AE167" s="307">
        <f t="shared" si="65"/>
        <v>0.9</v>
      </c>
      <c r="AF167" s="179">
        <f t="shared" si="66"/>
        <v>0.79295692142195806</v>
      </c>
      <c r="AG167" s="839">
        <f t="shared" si="74"/>
        <v>2</v>
      </c>
      <c r="AH167" s="178">
        <f t="shared" si="67"/>
        <v>8</v>
      </c>
      <c r="AI167" s="227">
        <f t="shared" si="68"/>
        <v>2.7929569214219581</v>
      </c>
      <c r="AJ167" s="267" t="b">
        <f t="shared" si="69"/>
        <v>0</v>
      </c>
      <c r="AK167" s="267" t="b">
        <f t="shared" si="70"/>
        <v>0</v>
      </c>
      <c r="AL167" s="267"/>
      <c r="AM167" s="267"/>
      <c r="AN167" s="75"/>
    </row>
    <row r="168" spans="1:40" s="6" customFormat="1" ht="11.25" x14ac:dyDescent="0.2">
      <c r="A168" s="56">
        <f t="shared" si="71"/>
        <v>46176</v>
      </c>
      <c r="B168" s="413">
        <f>'2025'!Wh/'2025'!Env_an*'2026'!Env_an</f>
        <v>53.303993287902642</v>
      </c>
      <c r="C168" s="868"/>
      <c r="D168" s="395">
        <f t="shared" si="50"/>
        <v>56.976460973826278</v>
      </c>
      <c r="E168" s="387">
        <f t="shared" si="72"/>
        <v>58.775877174771864</v>
      </c>
      <c r="F168" s="387">
        <f t="shared" si="51"/>
        <v>58.778112083835666</v>
      </c>
      <c r="G168" s="110">
        <f t="shared" si="73"/>
        <v>0.91195043507444029</v>
      </c>
      <c r="H168" s="416" t="b">
        <f>Wh_hp&gt;='2025'!Maxi_hp</f>
        <v>0</v>
      </c>
      <c r="I168" s="392">
        <f>IF(H168,Wh_hp,'2025'!Maxi_hp)</f>
        <v>59.795155783954719</v>
      </c>
      <c r="J168" s="85">
        <f>IF(H168,An,'2025'!An_max)</f>
        <v>2020</v>
      </c>
      <c r="K168" s="199">
        <f t="shared" si="52"/>
        <v>46176</v>
      </c>
      <c r="L168" s="147">
        <f>IF(t&lt;Tvie,1-EXP((T0-t)*PertePVj)+'2025'!Pspv,1-EXP((T0-t)*PertePVj)+Pspv)</f>
        <v>6.4455875692431719E-2</v>
      </c>
      <c r="M168" s="872"/>
      <c r="N168" s="872"/>
      <c r="O168" s="48">
        <f>IF(t&lt;Tnet,'2025'!Resal+('2025'!Salim-'2025'!Resal)*(1-EXP(('2025'!Tnet-t)/('2025'!Tau_j))),Resal+(Salim-Resal)*(1-EXP((Tnet-t)/(Tau_j))))*Salcycl</f>
        <v>3.0614876160758402E-2</v>
      </c>
      <c r="P168" s="171">
        <f>(INDEX(Models!$BJ168:$BT168,,T168)*(1-R168)+INDEX(Models!$BJ168:$BT168,,T168+1)*R168-ERP_i)*Q168*Ramure*Pc/MaxiM</f>
        <v>4.3493311530138246E-5</v>
      </c>
      <c r="Q168" s="307">
        <f t="shared" si="53"/>
        <v>0.9</v>
      </c>
      <c r="R168" s="179">
        <f t="shared" si="54"/>
        <v>0.16433679101015986</v>
      </c>
      <c r="S168" s="839">
        <f t="shared" si="55"/>
        <v>-2</v>
      </c>
      <c r="T168" s="178">
        <f t="shared" si="56"/>
        <v>4</v>
      </c>
      <c r="U168" s="253">
        <f t="shared" si="57"/>
        <v>-1.8356632089898401</v>
      </c>
      <c r="V168" s="385">
        <f t="shared" si="58"/>
        <v>58.450217936411974</v>
      </c>
      <c r="W168" s="404">
        <f t="shared" si="59"/>
        <v>53.303993287902642</v>
      </c>
      <c r="X168" s="157">
        <f t="shared" si="60"/>
        <v>46176</v>
      </c>
      <c r="Y168" s="387">
        <f t="shared" si="61"/>
        <v>47.209143679135323</v>
      </c>
      <c r="Z168" s="387">
        <f t="shared" si="62"/>
        <v>50.461696517068717</v>
      </c>
      <c r="AA168" s="388">
        <f t="shared" si="63"/>
        <v>58.716841821947213</v>
      </c>
      <c r="AB168" s="199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0.1405924611870539</v>
      </c>
      <c r="AD168" s="233">
        <f>(INDEX(Models!$BJ168:$BT168,,AH168)*(1-AF168)+INDEX(Models!$BJ168:$BT168,,AH168+1)*AF168-ERP_i)*AE168*Ramure*Pc/MaxiM</f>
        <v>1.1923736097409808E-3</v>
      </c>
      <c r="AE168" s="307">
        <f t="shared" si="65"/>
        <v>0.9</v>
      </c>
      <c r="AF168" s="179">
        <f t="shared" si="66"/>
        <v>0.79999244331713903</v>
      </c>
      <c r="AG168" s="839">
        <f t="shared" si="74"/>
        <v>2</v>
      </c>
      <c r="AH168" s="178">
        <f t="shared" si="67"/>
        <v>8</v>
      </c>
      <c r="AI168" s="227">
        <f t="shared" si="68"/>
        <v>2.799992443317139</v>
      </c>
      <c r="AJ168" s="267" t="b">
        <f t="shared" si="69"/>
        <v>0</v>
      </c>
      <c r="AK168" s="267" t="b">
        <f t="shared" si="70"/>
        <v>0</v>
      </c>
      <c r="AL168" s="267"/>
      <c r="AM168" s="267"/>
      <c r="AN168" s="75"/>
    </row>
    <row r="169" spans="1:40" s="18" customFormat="1" ht="11.25" x14ac:dyDescent="0.2">
      <c r="A169" s="56">
        <f t="shared" si="71"/>
        <v>46177</v>
      </c>
      <c r="B169" s="413">
        <f>'2025'!Wh/'2025'!Env_an*'2026'!Env_an</f>
        <v>30.268933325096512</v>
      </c>
      <c r="C169" s="868"/>
      <c r="D169" s="395">
        <f t="shared" si="50"/>
        <v>32.355115015223483</v>
      </c>
      <c r="E169" s="387">
        <f t="shared" si="72"/>
        <v>33.385440483591488</v>
      </c>
      <c r="F169" s="387">
        <f t="shared" si="51"/>
        <v>33.385879217772988</v>
      </c>
      <c r="G169" s="110">
        <f t="shared" si="73"/>
        <v>0.51792530061103637</v>
      </c>
      <c r="H169" s="416" t="b">
        <f>Wh_hp&gt;='2025'!Maxi_hp</f>
        <v>0</v>
      </c>
      <c r="I169" s="392">
        <f>IF(H169,Wh_hp,'2025'!Maxi_hp)</f>
        <v>57.885419490334492</v>
      </c>
      <c r="J169" s="85">
        <f>IF(H169,An,'2025'!An_max)</f>
        <v>2019</v>
      </c>
      <c r="K169" s="199">
        <f t="shared" si="52"/>
        <v>46177</v>
      </c>
      <c r="L169" s="147">
        <f>IF(t&lt;Tvie,1-EXP((T0-t)*PertePVj)+'2025'!Pspv,1-EXP((T0-t)*PertePVj)+Pspv)</f>
        <v>6.4477647170946395E-2</v>
      </c>
      <c r="M169" s="872"/>
      <c r="N169" s="872"/>
      <c r="O169" s="48">
        <f>IF(t&lt;Tnet,'2025'!Resal+('2025'!Salim-'2025'!Resal)*(1-EXP(('2025'!Tnet-t)/('2025'!Tau_j))),Resal+(Salim-Resal)*(1-EXP((Tnet-t)/(Tau_j))))*Salcycl</f>
        <v>3.0861520873878955E-2</v>
      </c>
      <c r="P169" s="171">
        <f>(INDEX(Models!$BJ169:$BT169,,T169)*(1-R169)+INDEX(Models!$BJ169:$BT169,,T169+1)*R169-ERP_i)*Q169*Ramure*Pc/MaxiM</f>
        <v>4.2208414406018141E-5</v>
      </c>
      <c r="Q169" s="307">
        <f t="shared" si="53"/>
        <v>0.9</v>
      </c>
      <c r="R169" s="179">
        <f t="shared" si="54"/>
        <v>0.17141373155168349</v>
      </c>
      <c r="S169" s="839">
        <f t="shared" si="55"/>
        <v>-2</v>
      </c>
      <c r="T169" s="178">
        <f t="shared" si="56"/>
        <v>4</v>
      </c>
      <c r="U169" s="253">
        <f t="shared" si="57"/>
        <v>-1.8285862684483165</v>
      </c>
      <c r="V169" s="385">
        <f t="shared" si="58"/>
        <v>58.440963296392731</v>
      </c>
      <c r="W169" s="404">
        <f t="shared" si="59"/>
        <v>30.268933325096512</v>
      </c>
      <c r="X169" s="157">
        <f t="shared" si="60"/>
        <v>46177</v>
      </c>
      <c r="Y169" s="387">
        <f t="shared" si="61"/>
        <v>26.825610898884953</v>
      </c>
      <c r="Z169" s="387">
        <f t="shared" si="62"/>
        <v>28.674473482929969</v>
      </c>
      <c r="AA169" s="388">
        <f t="shared" si="63"/>
        <v>33.374157109793735</v>
      </c>
      <c r="AB169" s="199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0.14081804707165568</v>
      </c>
      <c r="AD169" s="233">
        <f>(INDEX(Models!$BJ169:$BT169,,AH169)*(1-AF169)+INDEX(Models!$BJ169:$BT169,,AH169+1)*AF169-ERP_i)*AE169*Ramure*Pc/MaxiM</f>
        <v>1.1277251970791245E-3</v>
      </c>
      <c r="AE169" s="307">
        <f t="shared" si="65"/>
        <v>0.9</v>
      </c>
      <c r="AF169" s="179">
        <f t="shared" si="66"/>
        <v>0.80706938385866245</v>
      </c>
      <c r="AG169" s="839">
        <f t="shared" si="74"/>
        <v>2</v>
      </c>
      <c r="AH169" s="178">
        <f t="shared" si="67"/>
        <v>8</v>
      </c>
      <c r="AI169" s="227">
        <f t="shared" si="68"/>
        <v>2.8070693838586624</v>
      </c>
      <c r="AJ169" s="267" t="b">
        <f t="shared" si="69"/>
        <v>0</v>
      </c>
      <c r="AK169" s="267" t="b">
        <f t="shared" si="70"/>
        <v>0</v>
      </c>
      <c r="AL169" s="267"/>
      <c r="AM169" s="267"/>
      <c r="AN169" s="267"/>
    </row>
    <row r="170" spans="1:40" s="18" customFormat="1" ht="11.25" x14ac:dyDescent="0.2">
      <c r="A170" s="56">
        <f t="shared" si="71"/>
        <v>46178</v>
      </c>
      <c r="B170" s="413">
        <f>'2025'!Wh/'2025'!Env_an*'2026'!Env_an</f>
        <v>31.619136467812918</v>
      </c>
      <c r="C170" s="868"/>
      <c r="D170" s="395">
        <f t="shared" si="50"/>
        <v>33.799162802273564</v>
      </c>
      <c r="E170" s="387">
        <f t="shared" ref="E170:E232" si="75">Wh_pvt/(1-Psa)</f>
        <v>34.884343260761717</v>
      </c>
      <c r="F170" s="387">
        <f t="shared" si="51"/>
        <v>34.884839413671543</v>
      </c>
      <c r="G170" s="110">
        <f t="shared" ref="G170:G232" si="76">+Wh_hp/MaxiM</f>
        <v>0.54115030401000264</v>
      </c>
      <c r="H170" s="416" t="b">
        <f>Wh_hp&gt;='2025'!Maxi_hp</f>
        <v>0</v>
      </c>
      <c r="I170" s="392">
        <f>IF(H170,Wh_hp,'2025'!Maxi_hp)</f>
        <v>47.550981784469194</v>
      </c>
      <c r="J170" s="85">
        <f>IF(H170,An,'2025'!An_max)</f>
        <v>2021</v>
      </c>
      <c r="K170" s="199">
        <f t="shared" si="52"/>
        <v>46178</v>
      </c>
      <c r="L170" s="147">
        <f>IF(t&lt;Tvie,1-EXP((T0-t)*PertePVj)+'2025'!Pspv,1-EXP((T0-t)*PertePVj)+Pspv)</f>
        <v>6.4499418142806908E-2</v>
      </c>
      <c r="M170" s="872"/>
      <c r="N170" s="872"/>
      <c r="O170" s="48">
        <f>IF(t&lt;Tnet,'2025'!Resal+('2025'!Salim-'2025'!Resal)*(1-EXP(('2025'!Tnet-t)/('2025'!Tau_j))),Resal+(Salim-Resal)*(1-EXP((Tnet-t)/(Tau_j))))*Salcycl</f>
        <v>3.1107951506393308E-2</v>
      </c>
      <c r="P170" s="171">
        <f>(INDEX(Models!$BJ170:$BT170,,T170)*(1-R170)+INDEX(Models!$BJ170:$BT170,,T170+1)*R170-ERP_i)*Q170*Ramure*Pc/MaxiM</f>
        <v>4.1282184363092029E-5</v>
      </c>
      <c r="Q170" s="307">
        <f t="shared" si="53"/>
        <v>0.9</v>
      </c>
      <c r="R170" s="179">
        <f t="shared" si="54"/>
        <v>0.17852643277006419</v>
      </c>
      <c r="S170" s="839">
        <f t="shared" si="55"/>
        <v>-2</v>
      </c>
      <c r="T170" s="178">
        <f t="shared" si="56"/>
        <v>4</v>
      </c>
      <c r="U170" s="253">
        <f t="shared" si="57"/>
        <v>-1.8214735672299358</v>
      </c>
      <c r="V170" s="385">
        <f t="shared" si="58"/>
        <v>58.427909252696061</v>
      </c>
      <c r="W170" s="404">
        <f t="shared" si="59"/>
        <v>31.619136467812918</v>
      </c>
      <c r="X170" s="157">
        <f t="shared" si="60"/>
        <v>46178</v>
      </c>
      <c r="Y170" s="387">
        <f t="shared" si="61"/>
        <v>28.02160309621895</v>
      </c>
      <c r="Z170" s="387">
        <f t="shared" si="62"/>
        <v>29.953592375741067</v>
      </c>
      <c r="AA170" s="388">
        <f t="shared" si="63"/>
        <v>34.872011527562982</v>
      </c>
      <c r="AB170" s="199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0.14104202586462145</v>
      </c>
      <c r="AD170" s="233">
        <f>(INDEX(Models!$BJ170:$BT170,,AH170)*(1-AF170)+INDEX(Models!$BJ170:$BT170,,AH170+1)*AF170-ERP_i)*AE170*Ramure*Pc/MaxiM</f>
        <v>1.0673386144352186E-3</v>
      </c>
      <c r="AE170" s="307">
        <f t="shared" si="65"/>
        <v>0.9</v>
      </c>
      <c r="AF170" s="179">
        <f t="shared" si="66"/>
        <v>0.81418208507704337</v>
      </c>
      <c r="AG170" s="839">
        <f t="shared" si="74"/>
        <v>2</v>
      </c>
      <c r="AH170" s="178">
        <f t="shared" si="67"/>
        <v>8</v>
      </c>
      <c r="AI170" s="227">
        <f t="shared" si="68"/>
        <v>2.8141820850770434</v>
      </c>
      <c r="AJ170" s="267" t="b">
        <f t="shared" si="69"/>
        <v>0</v>
      </c>
      <c r="AK170" s="267" t="b">
        <f t="shared" si="70"/>
        <v>0</v>
      </c>
      <c r="AL170" s="267"/>
      <c r="AM170" s="267"/>
      <c r="AN170" s="267"/>
    </row>
    <row r="171" spans="1:40" s="6" customFormat="1" ht="11.25" x14ac:dyDescent="0.2">
      <c r="A171" s="56">
        <f t="shared" si="71"/>
        <v>46179</v>
      </c>
      <c r="B171" s="413">
        <f>'2025'!Wh/'2025'!Env_an*'2026'!Env_an</f>
        <v>42.188708335222763</v>
      </c>
      <c r="C171" s="868"/>
      <c r="D171" s="395">
        <f t="shared" si="50"/>
        <v>45.098518343185944</v>
      </c>
      <c r="E171" s="387">
        <f t="shared" si="75"/>
        <v>46.558313598225809</v>
      </c>
      <c r="F171" s="387">
        <f t="shared" si="51"/>
        <v>46.559450859650241</v>
      </c>
      <c r="G171" s="110">
        <f t="shared" si="76"/>
        <v>0.72225831077688929</v>
      </c>
      <c r="H171" s="416" t="b">
        <f>Wh_hp&gt;='2025'!Maxi_hp</f>
        <v>0</v>
      </c>
      <c r="I171" s="392">
        <f>IF(H171,Wh_hp,'2025'!Maxi_hp)</f>
        <v>63.625581606461907</v>
      </c>
      <c r="J171" s="85">
        <f>IF(H171,An,'2025'!An_max)</f>
        <v>2019</v>
      </c>
      <c r="K171" s="199">
        <f t="shared" si="52"/>
        <v>46179</v>
      </c>
      <c r="L171" s="147">
        <f>IF(t&lt;Tvie,1-EXP((T0-t)*PertePVj)+'2025'!Pspv,1-EXP((T0-t)*PertePVj)+Pspv)</f>
        <v>6.4521188608025137E-2</v>
      </c>
      <c r="M171" s="872"/>
      <c r="N171" s="872"/>
      <c r="O171" s="48">
        <f>IF(t&lt;Tnet,'2025'!Resal+('2025'!Salim-'2025'!Resal)*(1-EXP(('2025'!Tnet-t)/('2025'!Tau_j))),Resal+(Salim-Resal)*(1-EXP((Tnet-t)/(Tau_j))))*Salcycl</f>
        <v>3.1354126518351698E-2</v>
      </c>
      <c r="P171" s="171">
        <f>(INDEX(Models!$BJ171:$BT171,,T171)*(1-R171)+INDEX(Models!$BJ171:$BT171,,T171+1)*R171-ERP_i)*Q171*Ramure*Pc/MaxiM</f>
        <v>4.0491173040480981E-5</v>
      </c>
      <c r="Q171" s="307">
        <f t="shared" si="53"/>
        <v>0.9</v>
      </c>
      <c r="R171" s="179">
        <f t="shared" si="54"/>
        <v>0.18566911873606018</v>
      </c>
      <c r="S171" s="839">
        <f t="shared" si="55"/>
        <v>-2</v>
      </c>
      <c r="T171" s="178">
        <f t="shared" si="56"/>
        <v>4</v>
      </c>
      <c r="U171" s="253">
        <f t="shared" si="57"/>
        <v>-1.8143308812639398</v>
      </c>
      <c r="V171" s="385">
        <f t="shared" si="58"/>
        <v>58.411277406610921</v>
      </c>
      <c r="W171" s="404">
        <f t="shared" si="59"/>
        <v>42.188708335222763</v>
      </c>
      <c r="X171" s="157">
        <f t="shared" si="60"/>
        <v>46179</v>
      </c>
      <c r="Y171" s="387">
        <f t="shared" si="61"/>
        <v>37.379765995650175</v>
      </c>
      <c r="Z171" s="387">
        <f t="shared" si="62"/>
        <v>39.957897004668432</v>
      </c>
      <c r="AA171" s="388">
        <f t="shared" si="63"/>
        <v>46.531073974442322</v>
      </c>
      <c r="AB171" s="199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0.14126424361888318</v>
      </c>
      <c r="AD171" s="233">
        <f>(INDEX(Models!$BJ171:$BT171,,AH171)*(1-AF171)+INDEX(Models!$BJ171:$BT171,,AH171+1)*AF171-ERP_i)*AE171*Ramure*Pc/MaxiM</f>
        <v>1.010333547427909E-3</v>
      </c>
      <c r="AE171" s="307">
        <f t="shared" si="65"/>
        <v>0.9</v>
      </c>
      <c r="AF171" s="179">
        <f t="shared" si="66"/>
        <v>0.82132477104303891</v>
      </c>
      <c r="AG171" s="839">
        <f t="shared" si="74"/>
        <v>2</v>
      </c>
      <c r="AH171" s="178">
        <f t="shared" si="67"/>
        <v>8</v>
      </c>
      <c r="AI171" s="227">
        <f t="shared" si="68"/>
        <v>2.8213247710430389</v>
      </c>
      <c r="AJ171" s="267" t="b">
        <f t="shared" si="69"/>
        <v>0</v>
      </c>
      <c r="AK171" s="267" t="b">
        <f t="shared" si="70"/>
        <v>0</v>
      </c>
      <c r="AL171" s="267"/>
      <c r="AM171" s="267"/>
      <c r="AN171" s="75"/>
    </row>
    <row r="172" spans="1:40" s="6" customFormat="1" ht="11.25" x14ac:dyDescent="0.2">
      <c r="A172" s="56">
        <f t="shared" si="71"/>
        <v>46180</v>
      </c>
      <c r="B172" s="413">
        <f>'2025'!Wh/'2025'!Env_an*'2026'!Env_an</f>
        <v>31.750472290327671</v>
      </c>
      <c r="C172" s="868"/>
      <c r="D172" s="395">
        <f t="shared" si="50"/>
        <v>33.941133461005201</v>
      </c>
      <c r="E172" s="387">
        <f t="shared" si="75"/>
        <v>35.048671642959327</v>
      </c>
      <c r="F172" s="387">
        <f t="shared" si="51"/>
        <v>35.049157920466541</v>
      </c>
      <c r="G172" s="110">
        <f t="shared" si="76"/>
        <v>0.54373958129621391</v>
      </c>
      <c r="H172" s="416" t="b">
        <f>Wh_hp&gt;='2025'!Maxi_hp</f>
        <v>0</v>
      </c>
      <c r="I172" s="392">
        <f>IF(H172,Wh_hp,'2025'!Maxi_hp)</f>
        <v>57.342414657537475</v>
      </c>
      <c r="J172" s="85">
        <f>IF(H172,An,'2025'!An_max)</f>
        <v>2021</v>
      </c>
      <c r="K172" s="199">
        <f t="shared" si="52"/>
        <v>46180</v>
      </c>
      <c r="L172" s="147">
        <f>IF(t&lt;Tvie,1-EXP((T0-t)*PertePVj)+'2025'!Pspv,1-EXP((T0-t)*PertePVj)+Pspv)</f>
        <v>6.454295856661274E-2</v>
      </c>
      <c r="M172" s="872"/>
      <c r="N172" s="872"/>
      <c r="O172" s="48">
        <f>IF(t&lt;Tnet,'2025'!Resal+('2025'!Salim-'2025'!Resal)*(1-EXP(('2025'!Tnet-t)/('2025'!Tau_j))),Resal+(Salim-Resal)*(1-EXP((Tnet-t)/(Tau_j))))*Salcycl</f>
        <v>3.1600004509061357E-2</v>
      </c>
      <c r="P172" s="171">
        <f>(INDEX(Models!$BJ172:$BT172,,T172)*(1-R172)+INDEX(Models!$BJ172:$BT172,,T172+1)*R172-ERP_i)*Q172*Ramure*Pc/MaxiM</f>
        <v>3.9843126739099356E-5</v>
      </c>
      <c r="Q172" s="307">
        <f t="shared" si="53"/>
        <v>0.9</v>
      </c>
      <c r="R172" s="179">
        <f t="shared" si="54"/>
        <v>0.19283591392101651</v>
      </c>
      <c r="S172" s="839">
        <f t="shared" si="55"/>
        <v>-2</v>
      </c>
      <c r="T172" s="178">
        <f t="shared" si="56"/>
        <v>4</v>
      </c>
      <c r="U172" s="253">
        <f t="shared" si="57"/>
        <v>-1.8071640860789835</v>
      </c>
      <c r="V172" s="385">
        <f t="shared" si="58"/>
        <v>58.391275610531949</v>
      </c>
      <c r="W172" s="404">
        <f t="shared" si="59"/>
        <v>31.750472290327671</v>
      </c>
      <c r="X172" s="157">
        <f t="shared" si="60"/>
        <v>46180</v>
      </c>
      <c r="Y172" s="387">
        <f t="shared" si="61"/>
        <v>28.138752887771147</v>
      </c>
      <c r="Z172" s="387">
        <f t="shared" si="62"/>
        <v>30.08021923129099</v>
      </c>
      <c r="AA172" s="388">
        <f t="shared" si="63"/>
        <v>35.037481568134574</v>
      </c>
      <c r="AB172" s="199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0.14148455068620153</v>
      </c>
      <c r="AD172" s="233">
        <f>(INDEX(Models!$BJ172:$BT172,,AH172)*(1-AF172)+INDEX(Models!$BJ172:$BT172,,AH172+1)*AF172-ERP_i)*AE172*Ramure*Pc/MaxiM</f>
        <v>9.5670142852822757E-4</v>
      </c>
      <c r="AE172" s="307">
        <f t="shared" si="65"/>
        <v>0.9</v>
      </c>
      <c r="AF172" s="179">
        <f t="shared" si="66"/>
        <v>0.82849156622799569</v>
      </c>
      <c r="AG172" s="839">
        <f t="shared" si="74"/>
        <v>2</v>
      </c>
      <c r="AH172" s="178">
        <f t="shared" si="67"/>
        <v>8</v>
      </c>
      <c r="AI172" s="227">
        <f t="shared" si="68"/>
        <v>2.8284915662279957</v>
      </c>
      <c r="AJ172" s="267" t="b">
        <f t="shared" si="69"/>
        <v>0</v>
      </c>
      <c r="AK172" s="267" t="b">
        <f t="shared" si="70"/>
        <v>0</v>
      </c>
      <c r="AL172" s="267"/>
      <c r="AM172" s="267"/>
      <c r="AN172" s="75"/>
    </row>
    <row r="173" spans="1:40" s="6" customFormat="1" ht="11.25" x14ac:dyDescent="0.2">
      <c r="A173" s="56">
        <f t="shared" si="71"/>
        <v>46181</v>
      </c>
      <c r="B173" s="413">
        <f>'2025'!Wh/'2025'!Env_an*'2026'!Env_an</f>
        <v>22.336711646059609</v>
      </c>
      <c r="C173" s="868"/>
      <c r="D173" s="395">
        <f t="shared" si="50"/>
        <v>23.878415017157177</v>
      </c>
      <c r="E173" s="387">
        <f t="shared" si="75"/>
        <v>24.663848705830571</v>
      </c>
      <c r="F173" s="387">
        <f t="shared" si="51"/>
        <v>24.663963336732134</v>
      </c>
      <c r="G173" s="110">
        <f t="shared" si="76"/>
        <v>0.38267362158730911</v>
      </c>
      <c r="H173" s="416" t="b">
        <f>Wh_hp&gt;='2025'!Maxi_hp</f>
        <v>0</v>
      </c>
      <c r="I173" s="392">
        <f>IF(H173,Wh_hp,'2025'!Maxi_hp)</f>
        <v>65.985446784364868</v>
      </c>
      <c r="J173" s="85">
        <f>IF(H173,An,'2025'!An_max)</f>
        <v>2019</v>
      </c>
      <c r="K173" s="199">
        <f t="shared" si="52"/>
        <v>46181</v>
      </c>
      <c r="L173" s="147">
        <f>IF(t&lt;Tvie,1-EXP((T0-t)*PertePVj)+'2025'!Pspv,1-EXP((T0-t)*PertePVj)+Pspv)</f>
        <v>6.4564728018581707E-2</v>
      </c>
      <c r="M173" s="872"/>
      <c r="N173" s="872"/>
      <c r="O173" s="48">
        <f>IF(t&lt;Tnet,'2025'!Resal+('2025'!Salim-'2025'!Resal)*(1-EXP(('2025'!Tnet-t)/('2025'!Tau_j))),Resal+(Salim-Resal)*(1-EXP((Tnet-t)/(Tau_j))))*Salcycl</f>
        <v>3.184554438528138E-2</v>
      </c>
      <c r="P173" s="171">
        <f>(INDEX(Models!$BJ173:$BT173,,T173)*(1-R173)+INDEX(Models!$BJ173:$BT173,,T173+1)*R173-ERP_i)*Q173*Ramure*Pc/MaxiM</f>
        <v>3.9345962226446027E-5</v>
      </c>
      <c r="Q173" s="307">
        <f t="shared" si="53"/>
        <v>0.9</v>
      </c>
      <c r="R173" s="179">
        <f t="shared" si="54"/>
        <v>0.20002086225558968</v>
      </c>
      <c r="S173" s="839">
        <f t="shared" si="55"/>
        <v>-2</v>
      </c>
      <c r="T173" s="178">
        <f t="shared" si="56"/>
        <v>4</v>
      </c>
      <c r="U173" s="253">
        <f t="shared" si="57"/>
        <v>-1.7999791377444103</v>
      </c>
      <c r="V173" s="385">
        <f t="shared" si="58"/>
        <v>58.368111459869048</v>
      </c>
      <c r="W173" s="404">
        <f t="shared" si="59"/>
        <v>22.336711646059609</v>
      </c>
      <c r="X173" s="157">
        <f t="shared" si="60"/>
        <v>46181</v>
      </c>
      <c r="Y173" s="387">
        <f t="shared" si="61"/>
        <v>19.80011893835178</v>
      </c>
      <c r="Z173" s="387">
        <f t="shared" si="62"/>
        <v>21.16674400828569</v>
      </c>
      <c r="AA173" s="388">
        <f t="shared" si="63"/>
        <v>24.661322517717625</v>
      </c>
      <c r="AB173" s="199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0.14170280231002605</v>
      </c>
      <c r="AD173" s="233">
        <f>(INDEX(Models!$BJ173:$BT173,,AH173)*(1-AF173)+INDEX(Models!$BJ173:$BT173,,AH173+1)*AF173-ERP_i)*AE173*Ramure*Pc/MaxiM</f>
        <v>9.064359066811075E-4</v>
      </c>
      <c r="AE173" s="307">
        <f t="shared" si="65"/>
        <v>0.9</v>
      </c>
      <c r="AF173" s="179">
        <f t="shared" si="66"/>
        <v>0.83567651456256886</v>
      </c>
      <c r="AG173" s="839">
        <f t="shared" si="74"/>
        <v>2</v>
      </c>
      <c r="AH173" s="178">
        <f t="shared" si="67"/>
        <v>8</v>
      </c>
      <c r="AI173" s="227">
        <f t="shared" si="68"/>
        <v>2.8356765145625689</v>
      </c>
      <c r="AJ173" s="267" t="b">
        <f t="shared" si="69"/>
        <v>0</v>
      </c>
      <c r="AK173" s="267" t="b">
        <f t="shared" si="70"/>
        <v>0</v>
      </c>
      <c r="AL173" s="267"/>
      <c r="AM173" s="267"/>
      <c r="AN173" s="75"/>
    </row>
    <row r="174" spans="1:40" s="6" customFormat="1" ht="11.25" x14ac:dyDescent="0.2">
      <c r="A174" s="56">
        <f t="shared" si="71"/>
        <v>46182</v>
      </c>
      <c r="B174" s="413">
        <f>'2025'!Wh/'2025'!Env_an*'2026'!Env_an</f>
        <v>44.428972567643882</v>
      </c>
      <c r="C174" s="868"/>
      <c r="D174" s="395">
        <f t="shared" si="50"/>
        <v>47.496612378847956</v>
      </c>
      <c r="E174" s="387">
        <f t="shared" si="75"/>
        <v>49.07134650964651</v>
      </c>
      <c r="F174" s="387">
        <f t="shared" si="51"/>
        <v>49.072608594584814</v>
      </c>
      <c r="G174" s="110">
        <f t="shared" si="76"/>
        <v>0.76151636918340448</v>
      </c>
      <c r="H174" s="416" t="b">
        <f>Wh_hp&gt;='2025'!Maxi_hp</f>
        <v>0</v>
      </c>
      <c r="I174" s="392">
        <f>IF(H174,Wh_hp,'2025'!Maxi_hp)</f>
        <v>59.948298229793359</v>
      </c>
      <c r="J174" s="85">
        <f>IF(H174,An,'2025'!An_max)</f>
        <v>2021</v>
      </c>
      <c r="K174" s="199">
        <f t="shared" si="52"/>
        <v>46182</v>
      </c>
      <c r="L174" s="147">
        <f>IF(t&lt;Tvie,1-EXP((T0-t)*PertePVj)+'2025'!Pspv,1-EXP((T0-t)*PertePVj)+Pspv)</f>
        <v>6.4586496963943696E-2</v>
      </c>
      <c r="M174" s="872"/>
      <c r="N174" s="872"/>
      <c r="O174" s="48">
        <f>IF(t&lt;Tnet,'2025'!Resal+('2025'!Salim-'2025'!Resal)*(1-EXP(('2025'!Tnet-t)/('2025'!Tau_j))),Resal+(Salim-Resal)*(1-EXP((Tnet-t)/(Tau_j))))*Salcycl</f>
        <v>3.2090705529936724E-2</v>
      </c>
      <c r="P174" s="171">
        <f>(INDEX(Models!$BJ174:$BT174,,T174)*(1-R174)+INDEX(Models!$BJ174:$BT174,,T174+1)*R174-ERP_i)*Q174*Ramure*Pc/MaxiM</f>
        <v>3.90077451609145E-5</v>
      </c>
      <c r="Q174" s="307">
        <f t="shared" si="53"/>
        <v>0.9</v>
      </c>
      <c r="R174" s="179">
        <f t="shared" si="54"/>
        <v>0.20721794675761784</v>
      </c>
      <c r="S174" s="839">
        <f t="shared" si="55"/>
        <v>-2</v>
      </c>
      <c r="T174" s="178">
        <f t="shared" si="56"/>
        <v>4</v>
      </c>
      <c r="U174" s="253">
        <f t="shared" si="57"/>
        <v>-1.7927820532423822</v>
      </c>
      <c r="V174" s="385">
        <f t="shared" si="58"/>
        <v>58.34199228389528</v>
      </c>
      <c r="W174" s="404">
        <f t="shared" si="59"/>
        <v>44.428972567643882</v>
      </c>
      <c r="X174" s="157">
        <f t="shared" si="60"/>
        <v>46182</v>
      </c>
      <c r="Y174" s="387">
        <f t="shared" si="61"/>
        <v>39.366331717447174</v>
      </c>
      <c r="Z174" s="387">
        <f t="shared" si="62"/>
        <v>42.08441677362633</v>
      </c>
      <c r="AA174" s="388">
        <f t="shared" si="63"/>
        <v>49.044798647352167</v>
      </c>
      <c r="AB174" s="199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0.14191885919999822</v>
      </c>
      <c r="AD174" s="233">
        <f>(INDEX(Models!$BJ174:$BT174,,AH174)*(1-AF174)+INDEX(Models!$BJ174:$BT174,,AH174+1)*AF174-ERP_i)*AE174*Ramure*Pc/MaxiM</f>
        <v>8.5953274749546644E-4</v>
      </c>
      <c r="AE174" s="307">
        <f t="shared" si="65"/>
        <v>0.9</v>
      </c>
      <c r="AF174" s="179">
        <f t="shared" si="66"/>
        <v>0.84287359906459702</v>
      </c>
      <c r="AG174" s="839">
        <f t="shared" si="74"/>
        <v>2</v>
      </c>
      <c r="AH174" s="178">
        <f t="shared" si="67"/>
        <v>8</v>
      </c>
      <c r="AI174" s="227">
        <f t="shared" si="68"/>
        <v>2.842873599064597</v>
      </c>
      <c r="AJ174" s="267" t="b">
        <f t="shared" si="69"/>
        <v>0</v>
      </c>
      <c r="AK174" s="267" t="b">
        <f t="shared" si="70"/>
        <v>0</v>
      </c>
      <c r="AL174" s="267"/>
      <c r="AM174" s="267"/>
      <c r="AN174" s="75"/>
    </row>
    <row r="175" spans="1:40" s="6" customFormat="1" ht="11.25" x14ac:dyDescent="0.2">
      <c r="A175" s="56">
        <f t="shared" si="71"/>
        <v>46183</v>
      </c>
      <c r="B175" s="413">
        <f>'2025'!Wh/'2025'!Env_an*'2026'!Env_an</f>
        <v>58.359112644780389</v>
      </c>
      <c r="C175" s="868"/>
      <c r="D175" s="395">
        <f t="shared" si="50"/>
        <v>62.390023865140854</v>
      </c>
      <c r="E175" s="387">
        <f t="shared" si="75"/>
        <v>64.474846923213704</v>
      </c>
      <c r="F175" s="387">
        <f t="shared" si="51"/>
        <v>64.477351008667043</v>
      </c>
      <c r="G175" s="110">
        <f t="shared" si="76"/>
        <v>1.0007886304760685</v>
      </c>
      <c r="H175" s="416" t="b">
        <f>Wh_hp&gt;='2025'!Maxi_hp</f>
        <v>1</v>
      </c>
      <c r="I175" s="392">
        <f>IF(H175,Wh_hp,'2025'!Maxi_hp)</f>
        <v>64.477351008667043</v>
      </c>
      <c r="J175" s="85">
        <f>IF(H175,An,'2025'!An_max)</f>
        <v>2026</v>
      </c>
      <c r="K175" s="199">
        <f t="shared" si="52"/>
        <v>46183</v>
      </c>
      <c r="L175" s="147">
        <f>IF(t&lt;Tvie,1-EXP((T0-t)*PertePVj)+'2025'!Pspv,1-EXP((T0-t)*PertePVj)+Pspv)</f>
        <v>6.4608265402710585E-2</v>
      </c>
      <c r="M175" s="872"/>
      <c r="N175" s="872"/>
      <c r="O175" s="48">
        <f>IF(t&lt;Tnet,'2025'!Resal+('2025'!Salim-'2025'!Resal)*(1-EXP(('2025'!Tnet-t)/('2025'!Tau_j))),Resal+(Salim-Resal)*(1-EXP((Tnet-t)/(Tau_j))))*Salcycl</f>
        <v>3.2335447970210297E-2</v>
      </c>
      <c r="P175" s="171">
        <f>(INDEX(Models!$BJ175:$BT175,,T175)*(1-R175)+INDEX(Models!$BJ175:$BT175,,T175+1)*R175-ERP_i)*Q175*Ramure*Pc/MaxiM</f>
        <v>3.8836667669597573E-5</v>
      </c>
      <c r="Q175" s="307">
        <f t="shared" si="53"/>
        <v>0.9</v>
      </c>
      <c r="R175" s="179">
        <f t="shared" si="54"/>
        <v>0.21442110959303395</v>
      </c>
      <c r="S175" s="839">
        <f t="shared" si="55"/>
        <v>-2</v>
      </c>
      <c r="T175" s="178">
        <f t="shared" si="56"/>
        <v>4</v>
      </c>
      <c r="U175" s="253">
        <f t="shared" si="57"/>
        <v>-1.785578890406966</v>
      </c>
      <c r="V175" s="385">
        <f t="shared" si="58"/>
        <v>58.313125137142443</v>
      </c>
      <c r="W175" s="404">
        <f t="shared" si="59"/>
        <v>58.359112644780389</v>
      </c>
      <c r="X175" s="157">
        <f t="shared" si="60"/>
        <v>46183</v>
      </c>
      <c r="Y175" s="387">
        <f t="shared" si="61"/>
        <v>51.697121304251446</v>
      </c>
      <c r="Z175" s="387">
        <f t="shared" si="62"/>
        <v>55.267883382044644</v>
      </c>
      <c r="AA175" s="388">
        <f t="shared" si="63"/>
        <v>64.424738152262123</v>
      </c>
      <c r="AB175" s="199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0.14213258808403795</v>
      </c>
      <c r="AD175" s="233">
        <f>(INDEX(Models!$BJ175:$BT175,,AH175)*(1-AF175)+INDEX(Models!$BJ175:$BT175,,AH175+1)*AF175-ERP_i)*AE175*Ramure*Pc/MaxiM</f>
        <v>8.1598973254737577E-4</v>
      </c>
      <c r="AE175" s="307">
        <f t="shared" si="65"/>
        <v>0.9</v>
      </c>
      <c r="AF175" s="179">
        <f t="shared" si="66"/>
        <v>0.85007676190001291</v>
      </c>
      <c r="AG175" s="839">
        <f t="shared" si="74"/>
        <v>2</v>
      </c>
      <c r="AH175" s="178">
        <f t="shared" si="67"/>
        <v>8</v>
      </c>
      <c r="AI175" s="227">
        <f t="shared" si="68"/>
        <v>2.8500767619000129</v>
      </c>
      <c r="AJ175" s="267" t="b">
        <f t="shared" si="69"/>
        <v>0</v>
      </c>
      <c r="AK175" s="267" t="b">
        <f t="shared" si="70"/>
        <v>0</v>
      </c>
      <c r="AL175" s="267"/>
      <c r="AM175" s="267"/>
      <c r="AN175" s="75"/>
    </row>
    <row r="176" spans="1:40" s="6" customFormat="1" ht="11.25" x14ac:dyDescent="0.2">
      <c r="A176" s="56">
        <f t="shared" si="71"/>
        <v>46184</v>
      </c>
      <c r="B176" s="413">
        <f>'2025'!Wh/'2025'!Env_an*'2026'!Env_an</f>
        <v>54.751717385333741</v>
      </c>
      <c r="C176" s="868"/>
      <c r="D176" s="395">
        <f t="shared" si="50"/>
        <v>58.534825081610414</v>
      </c>
      <c r="E176" s="387">
        <f t="shared" si="75"/>
        <v>60.506097557299498</v>
      </c>
      <c r="F176" s="387">
        <f t="shared" si="51"/>
        <v>60.508244407056367</v>
      </c>
      <c r="G176" s="110">
        <f t="shared" si="76"/>
        <v>0.93942897340735099</v>
      </c>
      <c r="H176" s="416" t="b">
        <f>Wh_hp&gt;='2025'!Maxi_hp</f>
        <v>0</v>
      </c>
      <c r="I176" s="392">
        <f>IF(H176,Wh_hp,'2025'!Maxi_hp)</f>
        <v>60.508387843137641</v>
      </c>
      <c r="J176" s="85">
        <f>IF(H176,An,'2025'!An_max)</f>
        <v>2025</v>
      </c>
      <c r="K176" s="199">
        <f t="shared" si="52"/>
        <v>46184</v>
      </c>
      <c r="L176" s="147">
        <f>IF(t&lt;Tvie,1-EXP((T0-t)*PertePVj)+'2025'!Pspv,1-EXP((T0-t)*PertePVj)+Pspv)</f>
        <v>6.4630033334894033E-2</v>
      </c>
      <c r="M176" s="872"/>
      <c r="N176" s="872"/>
      <c r="O176" s="48">
        <f>IF(t&lt;Tnet,'2025'!Resal+('2025'!Salim-'2025'!Resal)*(1-EXP(('2025'!Tnet-t)/('2025'!Tau_j))),Resal+(Salim-Resal)*(1-EXP((Tnet-t)/(Tau_j))))*Salcycl</f>
        <v>3.2579732543852838E-2</v>
      </c>
      <c r="P176" s="171">
        <f>(INDEX(Models!$BJ176:$BT176,,T176)*(1-R176)+INDEX(Models!$BJ176:$BT176,,T176+1)*R176-ERP_i)*Q176*Ramure*Pc/MaxiM</f>
        <v>3.8841025204438047E-5</v>
      </c>
      <c r="Q176" s="307">
        <f t="shared" si="53"/>
        <v>0.9</v>
      </c>
      <c r="R176" s="179">
        <f t="shared" si="54"/>
        <v>0.22162427242845029</v>
      </c>
      <c r="S176" s="839">
        <f t="shared" si="55"/>
        <v>-2</v>
      </c>
      <c r="T176" s="178">
        <f t="shared" si="56"/>
        <v>4</v>
      </c>
      <c r="U176" s="253">
        <f t="shared" si="57"/>
        <v>-1.7783757275715497</v>
      </c>
      <c r="V176" s="385">
        <f t="shared" si="58"/>
        <v>58.281716790063626</v>
      </c>
      <c r="W176" s="404">
        <f t="shared" si="59"/>
        <v>54.751717385333741</v>
      </c>
      <c r="X176" s="157">
        <f t="shared" si="60"/>
        <v>46184</v>
      </c>
      <c r="Y176" s="387">
        <f t="shared" si="61"/>
        <v>48.506874146664664</v>
      </c>
      <c r="Z176" s="387">
        <f t="shared" si="62"/>
        <v>51.858490089870251</v>
      </c>
      <c r="AA176" s="388">
        <f t="shared" si="63"/>
        <v>60.465363455514563</v>
      </c>
      <c r="AB176" s="199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0.14234386223406306</v>
      </c>
      <c r="AD176" s="233">
        <f>(INDEX(Models!$BJ176:$BT176,,AH176)*(1-AF176)+INDEX(Models!$BJ176:$BT176,,AH176+1)*AF176-ERP_i)*AE176*Ramure*Pc/MaxiM</f>
        <v>7.758065576295212E-4</v>
      </c>
      <c r="AE176" s="307">
        <f t="shared" si="65"/>
        <v>0.9</v>
      </c>
      <c r="AF176" s="179">
        <f t="shared" si="66"/>
        <v>0.85727992473542924</v>
      </c>
      <c r="AG176" s="839">
        <f t="shared" si="74"/>
        <v>2</v>
      </c>
      <c r="AH176" s="178">
        <f t="shared" si="67"/>
        <v>8</v>
      </c>
      <c r="AI176" s="227">
        <f t="shared" si="68"/>
        <v>2.8572799247354292</v>
      </c>
      <c r="AJ176" s="267" t="b">
        <f t="shared" si="69"/>
        <v>0</v>
      </c>
      <c r="AK176" s="267" t="b">
        <f t="shared" si="70"/>
        <v>0</v>
      </c>
      <c r="AL176" s="267"/>
      <c r="AM176" s="267"/>
      <c r="AN176" s="75"/>
    </row>
    <row r="177" spans="1:40" s="6" customFormat="1" ht="11.25" x14ac:dyDescent="0.2">
      <c r="A177" s="56">
        <f t="shared" si="71"/>
        <v>46185</v>
      </c>
      <c r="B177" s="413">
        <f>'2025'!Wh/'2025'!Env_an*'2026'!Env_an</f>
        <v>43.209139862766996</v>
      </c>
      <c r="C177" s="868"/>
      <c r="D177" s="395">
        <f t="shared" si="50"/>
        <v>46.195780243014482</v>
      </c>
      <c r="E177" s="387">
        <f t="shared" si="75"/>
        <v>47.763548069081779</v>
      </c>
      <c r="F177" s="387">
        <f t="shared" si="51"/>
        <v>47.76472474477842</v>
      </c>
      <c r="G177" s="110">
        <f t="shared" si="76"/>
        <v>0.74181497323362033</v>
      </c>
      <c r="H177" s="416" t="b">
        <f>Wh_hp&gt;='2025'!Maxi_hp</f>
        <v>0</v>
      </c>
      <c r="I177" s="392">
        <f>IF(H177,Wh_hp,'2025'!Maxi_hp)</f>
        <v>60.838298485220825</v>
      </c>
      <c r="J177" s="85">
        <f>IF(H177,An,'2025'!An_max)</f>
        <v>2019</v>
      </c>
      <c r="K177" s="199">
        <f t="shared" si="52"/>
        <v>46185</v>
      </c>
      <c r="L177" s="147">
        <f>IF(t&lt;Tvie,1-EXP((T0-t)*PertePVj)+'2025'!Pspv,1-EXP((T0-t)*PertePVj)+Pspv)</f>
        <v>6.4651800760505918E-2</v>
      </c>
      <c r="M177" s="872"/>
      <c r="N177" s="872"/>
      <c r="O177" s="48">
        <f>IF(t&lt;Tnet,'2025'!Resal+('2025'!Salim-'2025'!Resal)*(1-EXP(('2025'!Tnet-t)/('2025'!Tau_j))),Resal+(Salim-Resal)*(1-EXP((Tnet-t)/(Tau_j))))*Salcycl</f>
        <v>3.2823521062543097E-2</v>
      </c>
      <c r="P177" s="171">
        <f>(INDEX(Models!$BJ177:$BT177,,T177)*(1-R177)+INDEX(Models!$BJ177:$BT177,,T177+1)*R177-ERP_i)*Q177*Ramure*Pc/MaxiM</f>
        <v>3.9029826173530164E-5</v>
      </c>
      <c r="Q177" s="307">
        <f t="shared" si="53"/>
        <v>0.9</v>
      </c>
      <c r="R177" s="179">
        <f t="shared" si="54"/>
        <v>0.22882135693047845</v>
      </c>
      <c r="S177" s="839">
        <f t="shared" si="55"/>
        <v>-2</v>
      </c>
      <c r="T177" s="178">
        <f t="shared" si="56"/>
        <v>4</v>
      </c>
      <c r="U177" s="253">
        <f t="shared" si="57"/>
        <v>-1.7711786430695216</v>
      </c>
      <c r="V177" s="385">
        <f t="shared" si="58"/>
        <v>58.247028451760116</v>
      </c>
      <c r="W177" s="404">
        <f t="shared" si="59"/>
        <v>43.209139862766996</v>
      </c>
      <c r="X177" s="157">
        <f t="shared" si="60"/>
        <v>46185</v>
      </c>
      <c r="Y177" s="387">
        <f t="shared" si="61"/>
        <v>38.290010151993734</v>
      </c>
      <c r="Z177" s="387">
        <f t="shared" si="62"/>
        <v>40.936637482304761</v>
      </c>
      <c r="AA177" s="388">
        <f t="shared" si="63"/>
        <v>47.742445386451969</v>
      </c>
      <c r="AB177" s="199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0.14255256196153104</v>
      </c>
      <c r="AD177" s="233">
        <f>(INDEX(Models!$BJ177:$BT177,,AH177)*(1-AF177)+INDEX(Models!$BJ177:$BT177,,AH177+1)*AF177-ERP_i)*AE177*Ramure*Pc/MaxiM</f>
        <v>7.3899672205349415E-4</v>
      </c>
      <c r="AE177" s="307">
        <f t="shared" si="65"/>
        <v>0.9</v>
      </c>
      <c r="AF177" s="179">
        <f t="shared" si="66"/>
        <v>0.86447700923745741</v>
      </c>
      <c r="AG177" s="839">
        <f t="shared" si="74"/>
        <v>2</v>
      </c>
      <c r="AH177" s="178">
        <f t="shared" si="67"/>
        <v>8</v>
      </c>
      <c r="AI177" s="227">
        <f t="shared" si="68"/>
        <v>2.8644770092374574</v>
      </c>
      <c r="AJ177" s="267" t="b">
        <f t="shared" si="69"/>
        <v>0</v>
      </c>
      <c r="AK177" s="267" t="b">
        <f t="shared" si="70"/>
        <v>0</v>
      </c>
      <c r="AL177" s="267"/>
      <c r="AM177" s="267"/>
      <c r="AN177" s="75"/>
    </row>
    <row r="178" spans="1:40" s="6" customFormat="1" ht="11.25" x14ac:dyDescent="0.2">
      <c r="A178" s="56">
        <f t="shared" si="71"/>
        <v>46186</v>
      </c>
      <c r="B178" s="413">
        <f>'2025'!Wh/'2025'!Env_an*'2026'!Env_an</f>
        <v>53.083910092143725</v>
      </c>
      <c r="C178" s="868"/>
      <c r="D178" s="395">
        <f t="shared" si="50"/>
        <v>56.754420978404703</v>
      </c>
      <c r="E178" s="387">
        <f t="shared" si="75"/>
        <v>58.695284842190901</v>
      </c>
      <c r="F178" s="387">
        <f t="shared" si="51"/>
        <v>58.697306177395085</v>
      </c>
      <c r="G178" s="110">
        <f t="shared" si="76"/>
        <v>0.91195973476834713</v>
      </c>
      <c r="H178" s="416" t="b">
        <f>Wh_hp&gt;='2025'!Maxi_hp</f>
        <v>0</v>
      </c>
      <c r="I178" s="392">
        <f>IF(H178,Wh_hp,'2025'!Maxi_hp)</f>
        <v>63.47863553055479</v>
      </c>
      <c r="J178" s="85">
        <f>IF(H178,An,'2025'!An_max)</f>
        <v>2019</v>
      </c>
      <c r="K178" s="199">
        <f t="shared" si="52"/>
        <v>46186</v>
      </c>
      <c r="L178" s="147">
        <f>IF(t&lt;Tvie,1-EXP((T0-t)*PertePVj)+'2025'!Pspv,1-EXP((T0-t)*PertePVj)+Pspv)</f>
        <v>6.4673567679557897E-2</v>
      </c>
      <c r="M178" s="872"/>
      <c r="N178" s="872"/>
      <c r="O178" s="48">
        <f>IF(t&lt;Tnet,'2025'!Resal+('2025'!Salim-'2025'!Resal)*(1-EXP(('2025'!Tnet-t)/('2025'!Tau_j))),Resal+(Salim-Resal)*(1-EXP((Tnet-t)/(Tau_j))))*Salcycl</f>
        <v>3.3066776471132868E-2</v>
      </c>
      <c r="P178" s="171">
        <f>(INDEX(Models!$BJ178:$BT178,,T178)*(1-R178)+INDEX(Models!$BJ178:$BT178,,T178+1)*R178-ERP_i)*Q178*Ramure*Pc/MaxiM</f>
        <v>3.9390560033278338E-5</v>
      </c>
      <c r="Q178" s="307">
        <f t="shared" si="53"/>
        <v>0.9</v>
      </c>
      <c r="R178" s="179">
        <f t="shared" si="54"/>
        <v>0.23600630526505162</v>
      </c>
      <c r="S178" s="839">
        <f t="shared" si="55"/>
        <v>-2</v>
      </c>
      <c r="T178" s="178">
        <f t="shared" si="56"/>
        <v>4</v>
      </c>
      <c r="U178" s="253">
        <f t="shared" si="57"/>
        <v>-1.7639936947349484</v>
      </c>
      <c r="V178" s="385">
        <f t="shared" si="58"/>
        <v>58.208323331946019</v>
      </c>
      <c r="W178" s="404">
        <f t="shared" si="59"/>
        <v>53.083910092143725</v>
      </c>
      <c r="X178" s="157">
        <f t="shared" si="60"/>
        <v>46186</v>
      </c>
      <c r="Y178" s="387">
        <f t="shared" si="61"/>
        <v>47.034440329847463</v>
      </c>
      <c r="Z178" s="387">
        <f t="shared" si="62"/>
        <v>50.286657903123924</v>
      </c>
      <c r="AA178" s="388">
        <f t="shared" si="63"/>
        <v>58.661021785978633</v>
      </c>
      <c r="AB178" s="199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0.14275857507917433</v>
      </c>
      <c r="AD178" s="233">
        <f>(INDEX(Models!$BJ178:$BT178,,AH178)*(1-AF178)+INDEX(Models!$BJ178:$BT178,,AH178+1)*AF178-ERP_i)*AE178*Ramure*Pc/MaxiM</f>
        <v>7.0708831241947064E-4</v>
      </c>
      <c r="AE178" s="307">
        <f t="shared" si="65"/>
        <v>0.9</v>
      </c>
      <c r="AF178" s="179">
        <f t="shared" si="66"/>
        <v>0.87166195757203058</v>
      </c>
      <c r="AG178" s="839">
        <f t="shared" si="74"/>
        <v>2</v>
      </c>
      <c r="AH178" s="178">
        <f t="shared" si="67"/>
        <v>8</v>
      </c>
      <c r="AI178" s="227">
        <f t="shared" si="68"/>
        <v>2.8716619575720306</v>
      </c>
      <c r="AJ178" s="267" t="b">
        <f t="shared" si="69"/>
        <v>0</v>
      </c>
      <c r="AK178" s="267" t="b">
        <f t="shared" si="70"/>
        <v>0</v>
      </c>
      <c r="AL178" s="267"/>
      <c r="AM178" s="267"/>
      <c r="AN178" s="75"/>
    </row>
    <row r="179" spans="1:40" s="6" customFormat="1" ht="11.25" x14ac:dyDescent="0.2">
      <c r="A179" s="56">
        <f t="shared" si="71"/>
        <v>46187</v>
      </c>
      <c r="B179" s="413">
        <f>'2025'!Wh/'2025'!Env_an*'2026'!Env_an</f>
        <v>45.59128535776221</v>
      </c>
      <c r="C179" s="868"/>
      <c r="D179" s="395">
        <f t="shared" si="50"/>
        <v>48.744849693981706</v>
      </c>
      <c r="E179" s="387">
        <f t="shared" si="75"/>
        <v>50.424461426235752</v>
      </c>
      <c r="F179" s="387">
        <f t="shared" si="51"/>
        <v>50.425847350881781</v>
      </c>
      <c r="G179" s="110">
        <f t="shared" si="76"/>
        <v>0.78380613551331391</v>
      </c>
      <c r="H179" s="416" t="b">
        <f>Wh_hp&gt;='2025'!Maxi_hp</f>
        <v>0</v>
      </c>
      <c r="I179" s="392">
        <f>IF(H179,Wh_hp,'2025'!Maxi_hp)</f>
        <v>54.493603449574607</v>
      </c>
      <c r="J179" s="85">
        <f>IF(H179,An,'2025'!An_max)</f>
        <v>2021</v>
      </c>
      <c r="K179" s="199">
        <f t="shared" si="52"/>
        <v>46187</v>
      </c>
      <c r="L179" s="147">
        <f>IF(t&lt;Tvie,1-EXP((T0-t)*PertePVj)+'2025'!Pspv,1-EXP((T0-t)*PertePVj)+Pspv)</f>
        <v>6.4695334092062073E-2</v>
      </c>
      <c r="M179" s="872"/>
      <c r="N179" s="872"/>
      <c r="O179" s="48">
        <f>IF(t&lt;Tnet,'2025'!Resal+('2025'!Salim-'2025'!Resal)*(1-EXP(('2025'!Tnet-t)/('2025'!Tau_j))),Resal+(Salim-Resal)*(1-EXP((Tnet-t)/(Tau_j))))*Salcycl</f>
        <v>3.3309463001624517E-2</v>
      </c>
      <c r="P179" s="171">
        <f>(INDEX(Models!$BJ179:$BT179,,T179)*(1-R179)+INDEX(Models!$BJ179:$BT179,,T179+1)*R179-ERP_i)*Q179*Ramure*Pc/MaxiM</f>
        <v>3.9765316227755634E-5</v>
      </c>
      <c r="Q179" s="307">
        <f t="shared" si="53"/>
        <v>0.9</v>
      </c>
      <c r="R179" s="179">
        <f t="shared" si="54"/>
        <v>0.24317310045000795</v>
      </c>
      <c r="S179" s="839">
        <f t="shared" si="55"/>
        <v>-2</v>
      </c>
      <c r="T179" s="178">
        <f t="shared" si="56"/>
        <v>4</v>
      </c>
      <c r="U179" s="253">
        <f t="shared" si="57"/>
        <v>-1.756826899549992</v>
      </c>
      <c r="V179" s="385">
        <f t="shared" si="58"/>
        <v>58.165818528838237</v>
      </c>
      <c r="W179" s="404">
        <f t="shared" si="59"/>
        <v>45.59128535776221</v>
      </c>
      <c r="X179" s="157">
        <f t="shared" si="60"/>
        <v>46187</v>
      </c>
      <c r="Y179" s="387">
        <f t="shared" si="61"/>
        <v>40.401986671650427</v>
      </c>
      <c r="Z179" s="387">
        <f t="shared" si="62"/>
        <v>43.196605495847272</v>
      </c>
      <c r="AA179" s="388">
        <f t="shared" si="63"/>
        <v>50.402193695738575</v>
      </c>
      <c r="AB179" s="199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0.14296179732551051</v>
      </c>
      <c r="AD179" s="233">
        <f>(INDEX(Models!$BJ179:$BT179,,AH179)*(1-AF179)+INDEX(Models!$BJ179:$BT179,,AH179+1)*AF179-ERP_i)*AE179*Ramure*Pc/MaxiM</f>
        <v>6.7867692475647075E-4</v>
      </c>
      <c r="AE179" s="307">
        <f t="shared" si="65"/>
        <v>0.9</v>
      </c>
      <c r="AF179" s="179">
        <f t="shared" si="66"/>
        <v>0.87882875275698691</v>
      </c>
      <c r="AG179" s="839">
        <f t="shared" si="74"/>
        <v>2</v>
      </c>
      <c r="AH179" s="178">
        <f t="shared" si="67"/>
        <v>8</v>
      </c>
      <c r="AI179" s="227">
        <f t="shared" si="68"/>
        <v>2.8788287527569869</v>
      </c>
      <c r="AJ179" s="267" t="b">
        <f t="shared" si="69"/>
        <v>0</v>
      </c>
      <c r="AK179" s="267" t="b">
        <f t="shared" si="70"/>
        <v>0</v>
      </c>
      <c r="AL179" s="267"/>
      <c r="AM179" s="267"/>
      <c r="AN179" s="75"/>
    </row>
    <row r="180" spans="1:40" s="6" customFormat="1" ht="11.25" x14ac:dyDescent="0.2">
      <c r="A180" s="56">
        <f t="shared" si="71"/>
        <v>46188</v>
      </c>
      <c r="B180" s="413">
        <f>'2025'!Wh/'2025'!Env_an*'2026'!Env_an</f>
        <v>53.849534117801532</v>
      </c>
      <c r="C180" s="868"/>
      <c r="D180" s="395">
        <f t="shared" si="50"/>
        <v>57.575664130808015</v>
      </c>
      <c r="E180" s="387">
        <f t="shared" si="75"/>
        <v>59.574480058009037</v>
      </c>
      <c r="F180" s="387">
        <f t="shared" si="51"/>
        <v>59.576621299304293</v>
      </c>
      <c r="G180" s="110">
        <f t="shared" si="76"/>
        <v>0.9265238329338451</v>
      </c>
      <c r="H180" s="416" t="b">
        <f>Wh_hp&gt;='2025'!Maxi_hp</f>
        <v>0</v>
      </c>
      <c r="I180" s="392">
        <f>IF(H180,Wh_hp,'2025'!Maxi_hp)</f>
        <v>59.576792412508404</v>
      </c>
      <c r="J180" s="85">
        <f>IF(H180,An,'2025'!An_max)</f>
        <v>2025</v>
      </c>
      <c r="K180" s="199">
        <f t="shared" si="52"/>
        <v>46188</v>
      </c>
      <c r="L180" s="147">
        <f>IF(t&lt;Tvie,1-EXP((T0-t)*PertePVj)+'2025'!Pspv,1-EXP((T0-t)*PertePVj)+Pspv)</f>
        <v>6.4717099998029881E-2</v>
      </c>
      <c r="M180" s="872"/>
      <c r="N180" s="872"/>
      <c r="O180" s="48">
        <f>IF(t&lt;Tnet,'2025'!Resal+('2025'!Salim-'2025'!Resal)*(1-EXP(('2025'!Tnet-t)/('2025'!Tau_j))),Resal+(Salim-Resal)*(1-EXP((Tnet-t)/(Tau_j))))*Salcycl</f>
        <v>3.3551546320752315E-2</v>
      </c>
      <c r="P180" s="171">
        <f>(INDEX(Models!$BJ180:$BT180,,T180)*(1-R180)+INDEX(Models!$BJ180:$BT180,,T180+1)*R180-ERP_i)*Q180*Ramure*Pc/MaxiM</f>
        <v>4.0155725549966649E-5</v>
      </c>
      <c r="Q180" s="307">
        <f t="shared" si="53"/>
        <v>0.9</v>
      </c>
      <c r="R180" s="179">
        <f t="shared" si="54"/>
        <v>0.25031578641600394</v>
      </c>
      <c r="S180" s="839">
        <f t="shared" si="55"/>
        <v>-2</v>
      </c>
      <c r="T180" s="178">
        <f t="shared" si="56"/>
        <v>4</v>
      </c>
      <c r="U180" s="253">
        <f t="shared" si="57"/>
        <v>-1.7496842135839961</v>
      </c>
      <c r="V180" s="385">
        <f t="shared" si="58"/>
        <v>58.119721514630335</v>
      </c>
      <c r="W180" s="404">
        <f t="shared" si="59"/>
        <v>53.849534117801532</v>
      </c>
      <c r="X180" s="157">
        <f t="shared" si="60"/>
        <v>46188</v>
      </c>
      <c r="Y180" s="387">
        <f t="shared" si="61"/>
        <v>47.715920172105086</v>
      </c>
      <c r="Z180" s="387">
        <f t="shared" si="62"/>
        <v>51.017633458287939</v>
      </c>
      <c r="AA180" s="388">
        <f t="shared" si="63"/>
        <v>59.541758608271643</v>
      </c>
      <c r="AB180" s="199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0.14316213274895637</v>
      </c>
      <c r="AD180" s="233">
        <f>(INDEX(Models!$BJ180:$BT180,,AH180)*(1-AF180)+INDEX(Models!$BJ180:$BT180,,AH180+1)*AF180-ERP_i)*AE180*Ramure*Pc/MaxiM</f>
        <v>6.5379677486227699E-4</v>
      </c>
      <c r="AE180" s="307">
        <f t="shared" si="65"/>
        <v>0.9</v>
      </c>
      <c r="AF180" s="179">
        <f t="shared" si="66"/>
        <v>0.8859714387229829</v>
      </c>
      <c r="AG180" s="839">
        <f t="shared" si="74"/>
        <v>2</v>
      </c>
      <c r="AH180" s="178">
        <f t="shared" si="67"/>
        <v>8</v>
      </c>
      <c r="AI180" s="227">
        <f t="shared" si="68"/>
        <v>2.8859714387229829</v>
      </c>
      <c r="AJ180" s="267" t="b">
        <f t="shared" si="69"/>
        <v>0</v>
      </c>
      <c r="AK180" s="267" t="b">
        <f t="shared" si="70"/>
        <v>0</v>
      </c>
      <c r="AL180" s="267"/>
      <c r="AM180" s="267"/>
      <c r="AN180" s="75"/>
    </row>
    <row r="181" spans="1:40" s="6" customFormat="1" ht="11.25" x14ac:dyDescent="0.2">
      <c r="A181" s="56">
        <f t="shared" si="71"/>
        <v>46189</v>
      </c>
      <c r="B181" s="413">
        <f>'2025'!Wh/'2025'!Env_an*'2026'!Env_an</f>
        <v>49.989726626741906</v>
      </c>
      <c r="C181" s="868"/>
      <c r="D181" s="395">
        <f t="shared" si="50"/>
        <v>53.450020296189109</v>
      </c>
      <c r="E181" s="387">
        <f t="shared" si="75"/>
        <v>55.319429424565556</v>
      </c>
      <c r="F181" s="387">
        <f t="shared" si="51"/>
        <v>55.321227362117739</v>
      </c>
      <c r="G181" s="110">
        <f t="shared" si="76"/>
        <v>0.86084238701145033</v>
      </c>
      <c r="H181" s="416" t="b">
        <f>Wh_hp&gt;='2025'!Maxi_hp</f>
        <v>0</v>
      </c>
      <c r="I181" s="392">
        <f>IF(H181,Wh_hp,'2025'!Maxi_hp)</f>
        <v>65.039285563897309</v>
      </c>
      <c r="J181" s="85">
        <f>IF(H181,An,'2025'!An_max)</f>
        <v>2019</v>
      </c>
      <c r="K181" s="199">
        <f t="shared" si="52"/>
        <v>46189</v>
      </c>
      <c r="L181" s="147">
        <f>IF(t&lt;Tvie,1-EXP((T0-t)*PertePVj)+'2025'!Pspv,1-EXP((T0-t)*PertePVj)+Pspv)</f>
        <v>6.4738865397473311E-2</v>
      </c>
      <c r="M181" s="872"/>
      <c r="N181" s="872"/>
      <c r="O181" s="48">
        <f>IF(t&lt;Tnet,'2025'!Resal+('2025'!Salim-'2025'!Resal)*(1-EXP(('2025'!Tnet-t)/('2025'!Tau_j))),Resal+(Salim-Resal)*(1-EXP((Tnet-t)/(Tau_j))))*Salcycl</f>
        <v>3.3792993670073941E-2</v>
      </c>
      <c r="P181" s="171">
        <f>(INDEX(Models!$BJ181:$BT181,,T181)*(1-R181)+INDEX(Models!$BJ181:$BT181,,T181+1)*R181-ERP_i)*Q181*Ramure*Pc/MaxiM</f>
        <v>4.0563426334052721E-5</v>
      </c>
      <c r="Q181" s="307">
        <f t="shared" si="53"/>
        <v>0.9</v>
      </c>
      <c r="R181" s="179">
        <f t="shared" si="54"/>
        <v>0.25742848763438464</v>
      </c>
      <c r="S181" s="839">
        <f t="shared" si="55"/>
        <v>-2</v>
      </c>
      <c r="T181" s="178">
        <f t="shared" si="56"/>
        <v>4</v>
      </c>
      <c r="U181" s="253">
        <f t="shared" si="57"/>
        <v>-1.7425715123656154</v>
      </c>
      <c r="V181" s="385">
        <f t="shared" si="58"/>
        <v>58.070239427448371</v>
      </c>
      <c r="W181" s="404">
        <f t="shared" si="59"/>
        <v>49.989726626741906</v>
      </c>
      <c r="X181" s="157">
        <f t="shared" si="60"/>
        <v>46189</v>
      </c>
      <c r="Y181" s="387">
        <f t="shared" si="61"/>
        <v>44.299942620717971</v>
      </c>
      <c r="Z181" s="387">
        <f t="shared" si="62"/>
        <v>47.366388895808065</v>
      </c>
      <c r="AA181" s="388">
        <f t="shared" si="63"/>
        <v>55.293193080106541</v>
      </c>
      <c r="AB181" s="199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0.14335949404865161</v>
      </c>
      <c r="AD181" s="233">
        <f>(INDEX(Models!$BJ181:$BT181,,AH181)*(1-AF181)+INDEX(Models!$BJ181:$BT181,,AH181+1)*AF181-ERP_i)*AE181*Ramure*Pc/MaxiM</f>
        <v>6.324838878916571E-4</v>
      </c>
      <c r="AE181" s="307">
        <f t="shared" si="65"/>
        <v>0.9</v>
      </c>
      <c r="AF181" s="179">
        <f t="shared" si="66"/>
        <v>0.89308413994136338</v>
      </c>
      <c r="AG181" s="839">
        <f t="shared" si="74"/>
        <v>2</v>
      </c>
      <c r="AH181" s="178">
        <f t="shared" si="67"/>
        <v>8</v>
      </c>
      <c r="AI181" s="227">
        <f t="shared" si="68"/>
        <v>2.8930841399413634</v>
      </c>
      <c r="AJ181" s="267" t="b">
        <f t="shared" si="69"/>
        <v>0</v>
      </c>
      <c r="AK181" s="267" t="b">
        <f t="shared" si="70"/>
        <v>0</v>
      </c>
      <c r="AL181" s="267"/>
      <c r="AM181" s="267"/>
      <c r="AN181" s="75"/>
    </row>
    <row r="182" spans="1:40" s="6" customFormat="1" ht="11.25" x14ac:dyDescent="0.2">
      <c r="A182" s="56">
        <f t="shared" si="71"/>
        <v>46190</v>
      </c>
      <c r="B182" s="413">
        <f>'2025'!Wh/'2025'!Env_an*'2026'!Env_an</f>
        <v>51.570909542541003</v>
      </c>
      <c r="C182" s="868"/>
      <c r="D182" s="395">
        <f t="shared" si="50"/>
        <v>55.141936078412144</v>
      </c>
      <c r="E182" s="387">
        <f t="shared" si="75"/>
        <v>57.084745402134523</v>
      </c>
      <c r="F182" s="387">
        <f t="shared" si="51"/>
        <v>57.086713947696651</v>
      </c>
      <c r="G182" s="110">
        <f t="shared" si="76"/>
        <v>0.8888784194423186</v>
      </c>
      <c r="H182" s="416" t="b">
        <f>Wh_hp&gt;='2025'!Maxi_hp</f>
        <v>0</v>
      </c>
      <c r="I182" s="392">
        <f>IF(H182,Wh_hp,'2025'!Maxi_hp)</f>
        <v>64.172598180317252</v>
      </c>
      <c r="J182" s="85">
        <f>IF(H182,An,'2025'!An_max)</f>
        <v>2019</v>
      </c>
      <c r="K182" s="199">
        <f t="shared" si="52"/>
        <v>46190</v>
      </c>
      <c r="L182" s="147">
        <f>IF(t&lt;Tvie,1-EXP((T0-t)*PertePVj)+'2025'!Pspv,1-EXP((T0-t)*PertePVj)+Pspv)</f>
        <v>6.476063029040402E-2</v>
      </c>
      <c r="M182" s="872"/>
      <c r="N182" s="872"/>
      <c r="O182" s="48">
        <f>IF(t&lt;Tnet,'2025'!Resal+('2025'!Salim-'2025'!Resal)*(1-EXP(('2025'!Tnet-t)/('2025'!Tau_j))),Resal+(Salim-Resal)*(1-EXP((Tnet-t)/(Tau_j))))*Salcycl</f>
        <v>3.4033773997522838E-2</v>
      </c>
      <c r="P182" s="171">
        <f>(INDEX(Models!$BJ182:$BT182,,T182)*(1-R182)+INDEX(Models!$BJ182:$BT182,,T182+1)*R182-ERP_i)*Q182*Ramure*Pc/MaxiM</f>
        <v>4.0990060730863391E-5</v>
      </c>
      <c r="Q182" s="307">
        <f t="shared" si="53"/>
        <v>0.9</v>
      </c>
      <c r="R182" s="179">
        <f t="shared" si="54"/>
        <v>0.26450542817590827</v>
      </c>
      <c r="S182" s="839">
        <f t="shared" si="55"/>
        <v>-2</v>
      </c>
      <c r="T182" s="178">
        <f t="shared" si="56"/>
        <v>4</v>
      </c>
      <c r="U182" s="253">
        <f t="shared" si="57"/>
        <v>-1.7354945718240917</v>
      </c>
      <c r="V182" s="385">
        <f t="shared" si="58"/>
        <v>58.017579063660463</v>
      </c>
      <c r="W182" s="404">
        <f t="shared" si="59"/>
        <v>51.570909542541003</v>
      </c>
      <c r="X182" s="157">
        <f t="shared" si="60"/>
        <v>46190</v>
      </c>
      <c r="Y182" s="387">
        <f t="shared" si="61"/>
        <v>45.701793154527934</v>
      </c>
      <c r="Z182" s="387">
        <f t="shared" si="62"/>
        <v>48.866412850775234</v>
      </c>
      <c r="AA182" s="388">
        <f t="shared" si="63"/>
        <v>57.057189365187575</v>
      </c>
      <c r="AB182" s="199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0.14355380286940314</v>
      </c>
      <c r="AD182" s="233">
        <f>(INDEX(Models!$BJ182:$BT182,,AH182)*(1-AF182)+INDEX(Models!$BJ182:$BT182,,AH182+1)*AF182-ERP_i)*AE182*Ramure*Pc/MaxiM</f>
        <v>6.1477593070931281E-4</v>
      </c>
      <c r="AE182" s="307">
        <f t="shared" si="65"/>
        <v>0.9</v>
      </c>
      <c r="AF182" s="179">
        <f t="shared" si="66"/>
        <v>0.90016108048288723</v>
      </c>
      <c r="AG182" s="839">
        <f t="shared" si="74"/>
        <v>2</v>
      </c>
      <c r="AH182" s="178">
        <f t="shared" si="67"/>
        <v>8</v>
      </c>
      <c r="AI182" s="227">
        <f t="shared" si="68"/>
        <v>2.9001610804828872</v>
      </c>
      <c r="AJ182" s="267" t="b">
        <f t="shared" si="69"/>
        <v>0</v>
      </c>
      <c r="AK182" s="267" t="b">
        <f t="shared" si="70"/>
        <v>0</v>
      </c>
      <c r="AL182" s="267"/>
      <c r="AM182" s="267"/>
      <c r="AN182" s="75"/>
    </row>
    <row r="183" spans="1:40" s="6" customFormat="1" ht="11.25" x14ac:dyDescent="0.2">
      <c r="A183" s="56">
        <f t="shared" si="71"/>
        <v>46191</v>
      </c>
      <c r="B183" s="413">
        <f>'2025'!Wh/'2025'!Env_an*'2026'!Env_an</f>
        <v>53.612303395879103</v>
      </c>
      <c r="C183" s="868"/>
      <c r="D183" s="395">
        <f t="shared" si="50"/>
        <v>57.326020266003525</v>
      </c>
      <c r="E183" s="387">
        <f t="shared" si="75"/>
        <v>59.360534811657189</v>
      </c>
      <c r="F183" s="387">
        <f t="shared" si="51"/>
        <v>59.362730936643551</v>
      </c>
      <c r="G183" s="110">
        <f t="shared" si="76"/>
        <v>0.92495280303200034</v>
      </c>
      <c r="H183" s="416" t="b">
        <f>Wh_hp&gt;='2025'!Maxi_hp</f>
        <v>0</v>
      </c>
      <c r="I183" s="392">
        <f>IF(H183,Wh_hp,'2025'!Maxi_hp)</f>
        <v>62.517821200510539</v>
      </c>
      <c r="J183" s="85">
        <f>IF(H183,An,'2025'!An_max)</f>
        <v>2019</v>
      </c>
      <c r="K183" s="199">
        <f t="shared" si="52"/>
        <v>46191</v>
      </c>
      <c r="L183" s="147">
        <f>IF(t&lt;Tvie,1-EXP((T0-t)*PertePVj)+'2025'!Pspv,1-EXP((T0-t)*PertePVj)+Pspv)</f>
        <v>6.4782394676833999E-2</v>
      </c>
      <c r="M183" s="872"/>
      <c r="N183" s="872"/>
      <c r="O183" s="48">
        <f>IF(t&lt;Tnet,'2025'!Resal+('2025'!Salim-'2025'!Resal)*(1-EXP(('2025'!Tnet-t)/('2025'!Tau_j))),Resal+(Salim-Resal)*(1-EXP((Tnet-t)/(Tau_j))))*Salcycl</f>
        <v>3.4273858079427594E-2</v>
      </c>
      <c r="P183" s="171">
        <f>(INDEX(Models!$BJ183:$BT183,,T183)*(1-R183)+INDEX(Models!$BJ183:$BT183,,T183+1)*R183-ERP_i)*Q183*Ramure*Pc/MaxiM</f>
        <v>4.1437270964647594E-5</v>
      </c>
      <c r="Q183" s="307">
        <f t="shared" si="53"/>
        <v>0.9</v>
      </c>
      <c r="R183" s="179">
        <f t="shared" si="54"/>
        <v>0.27154095007108903</v>
      </c>
      <c r="S183" s="839">
        <f t="shared" si="55"/>
        <v>-2</v>
      </c>
      <c r="T183" s="178">
        <f t="shared" si="56"/>
        <v>4</v>
      </c>
      <c r="U183" s="253">
        <f t="shared" si="57"/>
        <v>-1.728459049928911</v>
      </c>
      <c r="V183" s="385">
        <f t="shared" si="58"/>
        <v>57.961946870835874</v>
      </c>
      <c r="W183" s="404">
        <f t="shared" si="59"/>
        <v>53.612303395879103</v>
      </c>
      <c r="X183" s="157">
        <f t="shared" si="60"/>
        <v>46191</v>
      </c>
      <c r="Y183" s="387">
        <f t="shared" si="61"/>
        <v>47.511275652329232</v>
      </c>
      <c r="Z183" s="387">
        <f t="shared" si="62"/>
        <v>50.802375171189844</v>
      </c>
      <c r="AA183" s="388">
        <f t="shared" si="63"/>
        <v>59.330893928511891</v>
      </c>
      <c r="AB183" s="199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0.14374499004849148</v>
      </c>
      <c r="AD183" s="233">
        <f>(INDEX(Models!$BJ183:$BT183,,AH183)*(1-AF183)+INDEX(Models!$BJ183:$BT183,,AH183+1)*AF183-ERP_i)*AE183*Ramure*Pc/MaxiM</f>
        <v>6.0071204546537646E-4</v>
      </c>
      <c r="AE183" s="307">
        <f t="shared" si="65"/>
        <v>0.9</v>
      </c>
      <c r="AF183" s="179">
        <f t="shared" si="66"/>
        <v>0.90719660237806821</v>
      </c>
      <c r="AG183" s="839">
        <f t="shared" si="74"/>
        <v>2</v>
      </c>
      <c r="AH183" s="178">
        <f t="shared" si="67"/>
        <v>8</v>
      </c>
      <c r="AI183" s="227">
        <f t="shared" si="68"/>
        <v>2.9071966023780682</v>
      </c>
      <c r="AJ183" s="267" t="b">
        <f t="shared" si="69"/>
        <v>0</v>
      </c>
      <c r="AK183" s="267" t="b">
        <f t="shared" si="70"/>
        <v>0</v>
      </c>
      <c r="AL183" s="267"/>
      <c r="AM183" s="267"/>
      <c r="AN183" s="75"/>
    </row>
    <row r="184" spans="1:40" s="6" customFormat="1" ht="11.25" x14ac:dyDescent="0.2">
      <c r="A184" s="56">
        <f t="shared" si="71"/>
        <v>46192</v>
      </c>
      <c r="B184" s="413">
        <f>'2025'!Wh/'2025'!Env_an*'2026'!Env_an</f>
        <v>54.942643627236158</v>
      </c>
      <c r="C184" s="868"/>
      <c r="D184" s="395">
        <f t="shared" si="50"/>
        <v>58.749880177446961</v>
      </c>
      <c r="E184" s="387">
        <f t="shared" si="75"/>
        <v>60.850009871920157</v>
      </c>
      <c r="F184" s="387">
        <f t="shared" si="51"/>
        <v>60.85237254892089</v>
      </c>
      <c r="G184" s="110">
        <f t="shared" si="76"/>
        <v>0.94886195031022813</v>
      </c>
      <c r="H184" s="416" t="b">
        <f>Wh_hp&gt;='2025'!Maxi_hp</f>
        <v>0</v>
      </c>
      <c r="I184" s="392">
        <f>IF(H184,Wh_hp,'2025'!Maxi_hp)</f>
        <v>60.85249550709284</v>
      </c>
      <c r="J184" s="85">
        <f>IF(H184,An,'2025'!An_max)</f>
        <v>2025</v>
      </c>
      <c r="K184" s="199">
        <f t="shared" si="52"/>
        <v>46192</v>
      </c>
      <c r="L184" s="147">
        <f>IF(t&lt;Tvie,1-EXP((T0-t)*PertePVj)+'2025'!Pspv,1-EXP((T0-t)*PertePVj)+Pspv)</f>
        <v>6.4804158556774905E-2</v>
      </c>
      <c r="M184" s="872"/>
      <c r="N184" s="872"/>
      <c r="O184" s="48">
        <f>IF(t&lt;Tnet,'2025'!Resal+('2025'!Salim-'2025'!Resal)*(1-EXP(('2025'!Tnet-t)/('2025'!Tau_j))),Resal+(Salim-Resal)*(1-EXP((Tnet-t)/(Tau_j))))*Salcycl</f>
        <v>3.4513218632069992E-2</v>
      </c>
      <c r="P184" s="171">
        <f>(INDEX(Models!$BJ184:$BT184,,T184)*(1-R184)+INDEX(Models!$BJ184:$BT184,,T184+1)*R184-ERP_i)*Q184*Ramure*Pc/MaxiM</f>
        <v>4.188616771970573E-5</v>
      </c>
      <c r="Q184" s="307">
        <f t="shared" si="53"/>
        <v>0.9</v>
      </c>
      <c r="R184" s="179">
        <f t="shared" si="54"/>
        <v>0.27852953085126653</v>
      </c>
      <c r="S184" s="839">
        <f t="shared" si="55"/>
        <v>-2</v>
      </c>
      <c r="T184" s="178">
        <f t="shared" si="56"/>
        <v>4</v>
      </c>
      <c r="U184" s="253">
        <f t="shared" si="57"/>
        <v>-1.7214704691487335</v>
      </c>
      <c r="V184" s="385">
        <f t="shared" si="58"/>
        <v>57.903550131409894</v>
      </c>
      <c r="W184" s="404">
        <f t="shared" si="59"/>
        <v>54.942643627236158</v>
      </c>
      <c r="X184" s="157">
        <f t="shared" si="60"/>
        <v>46192</v>
      </c>
      <c r="Y184" s="387">
        <f t="shared" si="61"/>
        <v>48.691090357902134</v>
      </c>
      <c r="Z184" s="387">
        <f t="shared" si="62"/>
        <v>52.06512711044612</v>
      </c>
      <c r="AA184" s="388">
        <f t="shared" si="63"/>
        <v>60.81898596227024</v>
      </c>
      <c r="AB184" s="199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0.14393299581243721</v>
      </c>
      <c r="AD184" s="233">
        <f>(INDEX(Models!$BJ184:$BT184,,AH184)*(1-AF184)+INDEX(Models!$BJ184:$BT184,,AH184+1)*AF184-ERP_i)*AE184*Ramure*Pc/MaxiM</f>
        <v>5.9188630845614086E-4</v>
      </c>
      <c r="AE184" s="307">
        <f t="shared" si="65"/>
        <v>0.9</v>
      </c>
      <c r="AF184" s="179">
        <f t="shared" si="66"/>
        <v>0.91418518315824571</v>
      </c>
      <c r="AG184" s="839">
        <f t="shared" si="74"/>
        <v>2</v>
      </c>
      <c r="AH184" s="178">
        <f t="shared" si="67"/>
        <v>8</v>
      </c>
      <c r="AI184" s="227">
        <f t="shared" si="68"/>
        <v>2.9141851831582457</v>
      </c>
      <c r="AJ184" s="267" t="b">
        <f t="shared" si="69"/>
        <v>0</v>
      </c>
      <c r="AK184" s="267" t="b">
        <f t="shared" si="70"/>
        <v>0</v>
      </c>
      <c r="AL184" s="267"/>
      <c r="AM184" s="267"/>
      <c r="AN184" s="75"/>
    </row>
    <row r="185" spans="1:40" s="6" customFormat="1" ht="11.25" x14ac:dyDescent="0.2">
      <c r="A185" s="56">
        <f t="shared" si="71"/>
        <v>46193</v>
      </c>
      <c r="B185" s="413">
        <f>'2025'!Wh/'2025'!Env_an*'2026'!Env_an</f>
        <v>32.627295274407274</v>
      </c>
      <c r="C185" s="868"/>
      <c r="D185" s="395">
        <f t="shared" si="50"/>
        <v>34.889007340485072</v>
      </c>
      <c r="E185" s="387">
        <f t="shared" si="75"/>
        <v>36.14511629208706</v>
      </c>
      <c r="F185" s="387">
        <f t="shared" si="51"/>
        <v>36.145692979535909</v>
      </c>
      <c r="G185" s="110">
        <f t="shared" si="76"/>
        <v>0.56405551421126887</v>
      </c>
      <c r="H185" s="416" t="b">
        <f>Wh_hp&gt;='2025'!Maxi_hp</f>
        <v>0</v>
      </c>
      <c r="I185" s="392">
        <f>IF(H185,Wh_hp,'2025'!Maxi_hp)</f>
        <v>61.778509370898874</v>
      </c>
      <c r="J185" s="85">
        <f>IF(H185,An,'2025'!An_max)</f>
        <v>2020</v>
      </c>
      <c r="K185" s="199">
        <f t="shared" si="52"/>
        <v>46193</v>
      </c>
      <c r="L185" s="147">
        <f>IF(t&lt;Tvie,1-EXP((T0-t)*PertePVj)+'2025'!Pspv,1-EXP((T0-t)*PertePVj)+Pspv)</f>
        <v>6.4825921930238395E-2</v>
      </c>
      <c r="M185" s="872"/>
      <c r="N185" s="872"/>
      <c r="O185" s="48">
        <f>IF(t&lt;Tnet,'2025'!Resal+('2025'!Salim-'2025'!Resal)*(1-EXP(('2025'!Tnet-t)/('2025'!Tau_j))),Resal+(Salim-Resal)*(1-EXP((Tnet-t)/(Tau_j))))*Salcycl</f>
        <v>3.4751830411926837E-2</v>
      </c>
      <c r="P185" s="171">
        <f>(INDEX(Models!$BJ185:$BT185,,T185)*(1-R185)+INDEX(Models!$BJ185:$BT185,,T185+1)*R185-ERP_i)*Q185*Ramure*Pc/MaxiM</f>
        <v>4.2292397817960839E-5</v>
      </c>
      <c r="Q185" s="307">
        <f t="shared" si="53"/>
        <v>0.9</v>
      </c>
      <c r="R185" s="179">
        <f t="shared" si="54"/>
        <v>0.28546580015918188</v>
      </c>
      <c r="S185" s="839">
        <f t="shared" si="55"/>
        <v>-2</v>
      </c>
      <c r="T185" s="178">
        <f t="shared" si="56"/>
        <v>4</v>
      </c>
      <c r="U185" s="253">
        <f t="shared" si="57"/>
        <v>-1.7145341998408181</v>
      </c>
      <c r="V185" s="385">
        <f t="shared" si="58"/>
        <v>57.842597235918987</v>
      </c>
      <c r="W185" s="404">
        <f t="shared" si="59"/>
        <v>32.627295274407274</v>
      </c>
      <c r="X185" s="157">
        <f t="shared" si="60"/>
        <v>46193</v>
      </c>
      <c r="Y185" s="387">
        <f t="shared" si="61"/>
        <v>28.924575187124905</v>
      </c>
      <c r="Z185" s="387">
        <f t="shared" si="62"/>
        <v>30.92961606338195</v>
      </c>
      <c r="AA185" s="388">
        <f t="shared" si="63"/>
        <v>36.137700931786334</v>
      </c>
      <c r="AB185" s="199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0.14411776992219805</v>
      </c>
      <c r="AD185" s="233">
        <f>(INDEX(Models!$BJ185:$BT185,,AH185)*(1-AF185)+INDEX(Models!$BJ185:$BT185,,AH185+1)*AF185-ERP_i)*AE185*Ramure*Pc/MaxiM</f>
        <v>5.8611100949240247E-4</v>
      </c>
      <c r="AE185" s="307">
        <f t="shared" si="65"/>
        <v>0.9</v>
      </c>
      <c r="AF185" s="179">
        <f t="shared" si="66"/>
        <v>0.92112145246616084</v>
      </c>
      <c r="AG185" s="839">
        <f t="shared" si="74"/>
        <v>2</v>
      </c>
      <c r="AH185" s="178">
        <f t="shared" si="67"/>
        <v>8</v>
      </c>
      <c r="AI185" s="227">
        <f t="shared" si="68"/>
        <v>2.9211214524661608</v>
      </c>
      <c r="AJ185" s="267" t="b">
        <f t="shared" si="69"/>
        <v>0</v>
      </c>
      <c r="AK185" s="267" t="b">
        <f t="shared" si="70"/>
        <v>0</v>
      </c>
      <c r="AL185" s="267"/>
      <c r="AM185" s="267"/>
      <c r="AN185" s="75"/>
    </row>
    <row r="186" spans="1:40" s="6" customFormat="1" ht="11.25" x14ac:dyDescent="0.2">
      <c r="A186" s="56">
        <f t="shared" si="71"/>
        <v>46194</v>
      </c>
      <c r="B186" s="413">
        <f>'2025'!Wh/'2025'!Env_an*'2026'!Env_an</f>
        <v>19.371246342296068</v>
      </c>
      <c r="C186" s="868"/>
      <c r="D186" s="395">
        <f t="shared" si="50"/>
        <v>20.714536046564689</v>
      </c>
      <c r="E186" s="387">
        <f t="shared" si="75"/>
        <v>21.465610687386601</v>
      </c>
      <c r="F186" s="387">
        <f t="shared" si="51"/>
        <v>21.465656813896494</v>
      </c>
      <c r="G186" s="110">
        <f t="shared" si="76"/>
        <v>0.33524919478553239</v>
      </c>
      <c r="H186" s="416" t="b">
        <f>Wh_hp&gt;='2025'!Maxi_hp</f>
        <v>0</v>
      </c>
      <c r="I186" s="392">
        <f>IF(H186,Wh_hp,'2025'!Maxi_hp)</f>
        <v>55.37097904522787</v>
      </c>
      <c r="J186" s="85">
        <f>IF(H186,An,'2025'!An_max)</f>
        <v>2020</v>
      </c>
      <c r="K186" s="199">
        <f t="shared" si="52"/>
        <v>46194</v>
      </c>
      <c r="L186" s="147">
        <f>IF(t&lt;Tvie,1-EXP((T0-t)*PertePVj)+'2025'!Pspv,1-EXP((T0-t)*PertePVj)+Pspv)</f>
        <v>6.484768479723646E-2</v>
      </c>
      <c r="M186" s="872"/>
      <c r="N186" s="872"/>
      <c r="O186" s="48">
        <f>IF(t&lt;Tnet,'2025'!Resal+('2025'!Salim-'2025'!Resal)*(1-EXP(('2025'!Tnet-t)/('2025'!Tau_j))),Resal+(Salim-Resal)*(1-EXP((Tnet-t)/(Tau_j))))*Salcycl</f>
        <v>3.4989670303824646E-2</v>
      </c>
      <c r="P186" s="171">
        <f>(INDEX(Models!$BJ186:$BT186,,T186)*(1-R186)+INDEX(Models!$BJ186:$BT186,,T186+1)*R186-ERP_i)*Q186*Ramure*Pc/MaxiM</f>
        <v>4.2656769303912897E-5</v>
      </c>
      <c r="Q186" s="307">
        <f t="shared" si="53"/>
        <v>0.9</v>
      </c>
      <c r="R186" s="179">
        <f t="shared" si="54"/>
        <v>0.29234455532865899</v>
      </c>
      <c r="S186" s="839">
        <f t="shared" si="55"/>
        <v>-2</v>
      </c>
      <c r="T186" s="178">
        <f t="shared" si="56"/>
        <v>4</v>
      </c>
      <c r="U186" s="253">
        <f t="shared" si="57"/>
        <v>-1.707655444671341</v>
      </c>
      <c r="V186" s="385">
        <f t="shared" si="58"/>
        <v>57.779293591288194</v>
      </c>
      <c r="W186" s="404">
        <f t="shared" si="59"/>
        <v>19.371246342296068</v>
      </c>
      <c r="X186" s="157">
        <f t="shared" si="60"/>
        <v>46194</v>
      </c>
      <c r="Y186" s="387">
        <f t="shared" si="61"/>
        <v>17.176539503351592</v>
      </c>
      <c r="Z186" s="387">
        <f t="shared" si="62"/>
        <v>18.367638323845998</v>
      </c>
      <c r="AA186" s="388">
        <f t="shared" si="63"/>
        <v>21.465025934646455</v>
      </c>
      <c r="AB186" s="199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0.14429927176565846</v>
      </c>
      <c r="AD186" s="233">
        <f>(INDEX(Models!$BJ186:$BT186,,AH186)*(1-AF186)+INDEX(Models!$BJ186:$BT186,,AH186+1)*AF186-ERP_i)*AE186*Ramure*Pc/MaxiM</f>
        <v>5.8342308336902903E-4</v>
      </c>
      <c r="AE186" s="307">
        <f t="shared" si="65"/>
        <v>0.9</v>
      </c>
      <c r="AF186" s="179">
        <f t="shared" si="66"/>
        <v>0.92800020763563795</v>
      </c>
      <c r="AG186" s="839">
        <f t="shared" si="74"/>
        <v>2</v>
      </c>
      <c r="AH186" s="178">
        <f t="shared" si="67"/>
        <v>8</v>
      </c>
      <c r="AI186" s="227">
        <f t="shared" si="68"/>
        <v>2.928000207635638</v>
      </c>
      <c r="AJ186" s="267" t="b">
        <f t="shared" si="69"/>
        <v>0</v>
      </c>
      <c r="AK186" s="267" t="b">
        <f t="shared" si="70"/>
        <v>0</v>
      </c>
      <c r="AL186" s="267"/>
      <c r="AM186" s="267"/>
      <c r="AN186" s="75"/>
    </row>
    <row r="187" spans="1:40" s="6" customFormat="1" ht="11.25" x14ac:dyDescent="0.2">
      <c r="A187" s="56">
        <f t="shared" si="71"/>
        <v>46195</v>
      </c>
      <c r="B187" s="413">
        <f>'2025'!Wh/'2025'!Env_an*'2026'!Env_an</f>
        <v>46.783732191376622</v>
      </c>
      <c r="C187" s="868"/>
      <c r="D187" s="395">
        <f t="shared" si="50"/>
        <v>50.02909171257744</v>
      </c>
      <c r="E187" s="387">
        <f t="shared" si="75"/>
        <v>51.855801372900679</v>
      </c>
      <c r="F187" s="387">
        <f t="shared" si="51"/>
        <v>51.857427198366778</v>
      </c>
      <c r="G187" s="110">
        <f t="shared" si="76"/>
        <v>0.81060599550978685</v>
      </c>
      <c r="H187" s="416" t="b">
        <f>Wh_hp&gt;='2025'!Maxi_hp</f>
        <v>0</v>
      </c>
      <c r="I187" s="392">
        <f>IF(H187,Wh_hp,'2025'!Maxi_hp)</f>
        <v>63.646514520182144</v>
      </c>
      <c r="J187" s="85">
        <f>IF(H187,An,'2025'!An_max)</f>
        <v>2020</v>
      </c>
      <c r="K187" s="199">
        <f t="shared" si="52"/>
        <v>46195</v>
      </c>
      <c r="L187" s="147">
        <f>IF(t&lt;Tvie,1-EXP((T0-t)*PertePVj)+'2025'!Pspv,1-EXP((T0-t)*PertePVj)+Pspv)</f>
        <v>6.4869447157780868E-2</v>
      </c>
      <c r="M187" s="872"/>
      <c r="N187" s="872"/>
      <c r="O187" s="48">
        <f>IF(t&lt;Tnet,'2025'!Resal+('2025'!Salim-'2025'!Resal)*(1-EXP(('2025'!Tnet-t)/('2025'!Tau_j))),Resal+(Salim-Resal)*(1-EXP((Tnet-t)/(Tau_j))))*Salcycl</f>
        <v>3.5226717396327038E-2</v>
      </c>
      <c r="P187" s="171">
        <f>(INDEX(Models!$BJ187:$BT187,,T187)*(1-R187)+INDEX(Models!$BJ187:$BT187,,T187+1)*R187-ERP_i)*Q187*Ramure*Pc/MaxiM</f>
        <v>4.2980065015784204E-5</v>
      </c>
      <c r="Q187" s="307">
        <f t="shared" si="53"/>
        <v>0.9</v>
      </c>
      <c r="R187" s="179">
        <f t="shared" si="54"/>
        <v>0.29916077584478185</v>
      </c>
      <c r="S187" s="839">
        <f t="shared" si="55"/>
        <v>-2</v>
      </c>
      <c r="T187" s="178">
        <f t="shared" si="56"/>
        <v>4</v>
      </c>
      <c r="U187" s="253">
        <f t="shared" si="57"/>
        <v>-1.7008392241552182</v>
      </c>
      <c r="V187" s="385">
        <f t="shared" si="58"/>
        <v>57.713844236826937</v>
      </c>
      <c r="W187" s="404">
        <f t="shared" si="59"/>
        <v>46.783732191376622</v>
      </c>
      <c r="X187" s="157">
        <f t="shared" si="60"/>
        <v>46195</v>
      </c>
      <c r="Y187" s="387">
        <f t="shared" si="61"/>
        <v>41.469582173111824</v>
      </c>
      <c r="Z187" s="387">
        <f t="shared" si="62"/>
        <v>44.346302285889294</v>
      </c>
      <c r="AA187" s="388">
        <f t="shared" si="63"/>
        <v>51.835341269681443</v>
      </c>
      <c r="AB187" s="199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0.14447747039667894</v>
      </c>
      <c r="AD187" s="233">
        <f>(INDEX(Models!$BJ187:$BT187,,AH187)*(1-AF187)+INDEX(Models!$BJ187:$BT187,,AH187+1)*AF187-ERP_i)*AE187*Ramure*Pc/MaxiM</f>
        <v>5.8386011944248331E-4</v>
      </c>
      <c r="AE187" s="307">
        <f t="shared" si="65"/>
        <v>0.9</v>
      </c>
      <c r="AF187" s="179">
        <f t="shared" si="66"/>
        <v>0.9348164281517608</v>
      </c>
      <c r="AG187" s="839">
        <f t="shared" si="74"/>
        <v>2</v>
      </c>
      <c r="AH187" s="178">
        <f t="shared" si="67"/>
        <v>8</v>
      </c>
      <c r="AI187" s="227">
        <f t="shared" si="68"/>
        <v>2.9348164281517608</v>
      </c>
      <c r="AJ187" s="267" t="b">
        <f t="shared" si="69"/>
        <v>0</v>
      </c>
      <c r="AK187" s="267" t="b">
        <f t="shared" si="70"/>
        <v>0</v>
      </c>
      <c r="AL187" s="267"/>
      <c r="AM187" s="267"/>
      <c r="AN187" s="75"/>
    </row>
    <row r="188" spans="1:40" s="6" customFormat="1" ht="11.25" x14ac:dyDescent="0.2">
      <c r="A188" s="56">
        <f t="shared" si="71"/>
        <v>46196</v>
      </c>
      <c r="B188" s="413">
        <f>'2025'!Wh/'2025'!Env_an*'2026'!Env_an</f>
        <v>41.460515763379526</v>
      </c>
      <c r="C188" s="868"/>
      <c r="D188" s="395">
        <f t="shared" si="50"/>
        <v>44.337638746363154</v>
      </c>
      <c r="E188" s="387">
        <f t="shared" si="75"/>
        <v>45.967792410129462</v>
      </c>
      <c r="F188" s="387">
        <f t="shared" si="51"/>
        <v>45.968983438372021</v>
      </c>
      <c r="G188" s="110">
        <f t="shared" si="76"/>
        <v>0.71920809497063798</v>
      </c>
      <c r="H188" s="416" t="b">
        <f>Wh_hp&gt;='2025'!Maxi_hp</f>
        <v>0</v>
      </c>
      <c r="I188" s="392">
        <f>IF(H188,Wh_hp,'2025'!Maxi_hp)</f>
        <v>56.737228376806002</v>
      </c>
      <c r="J188" s="85">
        <f>IF(H188,An,'2025'!An_max)</f>
        <v>2020</v>
      </c>
      <c r="K188" s="199">
        <f t="shared" si="52"/>
        <v>46196</v>
      </c>
      <c r="L188" s="147">
        <f>IF(t&lt;Tvie,1-EXP((T0-t)*PertePVj)+'2025'!Pspv,1-EXP((T0-t)*PertePVj)+Pspv)</f>
        <v>6.4891209011883388E-2</v>
      </c>
      <c r="M188" s="872"/>
      <c r="N188" s="872"/>
      <c r="O188" s="48">
        <f>IF(t&lt;Tnet,'2025'!Resal+('2025'!Salim-'2025'!Resal)*(1-EXP(('2025'!Tnet-t)/('2025'!Tau_j))),Resal+(Salim-Resal)*(1-EXP((Tnet-t)/(Tau_j))))*Salcycl</f>
        <v>3.5462953043772609E-2</v>
      </c>
      <c r="P188" s="171">
        <f>(INDEX(Models!$BJ188:$BT188,,T188)*(1-R188)+INDEX(Models!$BJ188:$BT188,,T188+1)*R188-ERP_i)*Q188*Ramure*Pc/MaxiM</f>
        <v>4.326259935329471E-5</v>
      </c>
      <c r="Q188" s="307">
        <f t="shared" si="53"/>
        <v>0.9</v>
      </c>
      <c r="R188" s="179">
        <f t="shared" si="54"/>
        <v>0.30590963660849235</v>
      </c>
      <c r="S188" s="839">
        <f t="shared" si="55"/>
        <v>-2</v>
      </c>
      <c r="T188" s="178">
        <f t="shared" si="56"/>
        <v>4</v>
      </c>
      <c r="U188" s="253">
        <f t="shared" si="57"/>
        <v>-1.6940903633915076</v>
      </c>
      <c r="V188" s="385">
        <f t="shared" si="58"/>
        <v>57.646453872784818</v>
      </c>
      <c r="W188" s="404">
        <f t="shared" si="59"/>
        <v>41.460515763379526</v>
      </c>
      <c r="X188" s="157">
        <f t="shared" si="60"/>
        <v>46196</v>
      </c>
      <c r="Y188" s="387">
        <f t="shared" si="61"/>
        <v>36.755039117378956</v>
      </c>
      <c r="Z188" s="387">
        <f t="shared" si="62"/>
        <v>39.305628897510857</v>
      </c>
      <c r="AA188" s="388">
        <f t="shared" si="63"/>
        <v>45.952810703001347</v>
      </c>
      <c r="AB188" s="199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0.14465234452038292</v>
      </c>
      <c r="AD188" s="233">
        <f>(INDEX(Models!$BJ188:$BT188,,AH188)*(1-AF188)+INDEX(Models!$BJ188:$BT188,,AH188+1)*AF188-ERP_i)*AE188*Ramure*Pc/MaxiM</f>
        <v>5.8745422298879686E-4</v>
      </c>
      <c r="AE188" s="307">
        <f t="shared" si="65"/>
        <v>0.9</v>
      </c>
      <c r="AF188" s="179">
        <f t="shared" si="66"/>
        <v>0.94156528891547131</v>
      </c>
      <c r="AG188" s="839">
        <f t="shared" si="74"/>
        <v>2</v>
      </c>
      <c r="AH188" s="178">
        <f t="shared" si="67"/>
        <v>8</v>
      </c>
      <c r="AI188" s="227">
        <f t="shared" si="68"/>
        <v>2.9415652889154713</v>
      </c>
      <c r="AJ188" s="267" t="b">
        <f t="shared" si="69"/>
        <v>0</v>
      </c>
      <c r="AK188" s="267" t="b">
        <f t="shared" si="70"/>
        <v>0</v>
      </c>
      <c r="AL188" s="267"/>
      <c r="AM188" s="267"/>
      <c r="AN188" s="75"/>
    </row>
    <row r="189" spans="1:40" s="6" customFormat="1" ht="11.25" x14ac:dyDescent="0.2">
      <c r="A189" s="56">
        <f t="shared" si="71"/>
        <v>46197</v>
      </c>
      <c r="B189" s="413">
        <f>'2025'!Wh/'2025'!Env_an*'2026'!Env_an</f>
        <v>43.844252616478236</v>
      </c>
      <c r="C189" s="868"/>
      <c r="D189" s="395">
        <f t="shared" si="50"/>
        <v>46.887884471391978</v>
      </c>
      <c r="E189" s="387">
        <f t="shared" si="75"/>
        <v>48.623669784340173</v>
      </c>
      <c r="F189" s="387">
        <f t="shared" si="51"/>
        <v>48.625064401121101</v>
      </c>
      <c r="G189" s="110">
        <f t="shared" si="76"/>
        <v>0.76147339729271113</v>
      </c>
      <c r="H189" s="416" t="b">
        <f>Wh_hp&gt;='2025'!Maxi_hp</f>
        <v>0</v>
      </c>
      <c r="I189" s="392">
        <f>IF(H189,Wh_hp,'2025'!Maxi_hp)</f>
        <v>62.884228215867878</v>
      </c>
      <c r="J189" s="85">
        <f>IF(H189,An,'2025'!An_max)</f>
        <v>2020</v>
      </c>
      <c r="K189" s="199">
        <f t="shared" si="52"/>
        <v>46197</v>
      </c>
      <c r="L189" s="147">
        <f>IF(t&lt;Tvie,1-EXP((T0-t)*PertePVj)+'2025'!Pspv,1-EXP((T0-t)*PertePVj)+Pspv)</f>
        <v>6.4912970359555677E-2</v>
      </c>
      <c r="M189" s="872"/>
      <c r="N189" s="872"/>
      <c r="O189" s="48">
        <f>IF(t&lt;Tnet,'2025'!Resal+('2025'!Salim-'2025'!Resal)*(1-EXP(('2025'!Tnet-t)/('2025'!Tau_j))),Resal+(Salim-Resal)*(1-EXP((Tnet-t)/(Tau_j))))*Salcycl</f>
        <v>3.5698360914486679E-2</v>
      </c>
      <c r="P189" s="171">
        <f>(INDEX(Models!$BJ189:$BT189,,T189)*(1-R189)+INDEX(Models!$BJ189:$BT189,,T189+1)*R189-ERP_i)*Q189*Ramure*Pc/MaxiM</f>
        <v>4.3504626415781885E-5</v>
      </c>
      <c r="Q189" s="307">
        <f t="shared" si="53"/>
        <v>0.9</v>
      </c>
      <c r="R189" s="179">
        <f t="shared" si="54"/>
        <v>0.31258651994265185</v>
      </c>
      <c r="S189" s="839">
        <f t="shared" si="55"/>
        <v>-2</v>
      </c>
      <c r="T189" s="178">
        <f t="shared" si="56"/>
        <v>4</v>
      </c>
      <c r="U189" s="253">
        <f t="shared" si="57"/>
        <v>-1.6874134800573481</v>
      </c>
      <c r="V189" s="385">
        <f t="shared" si="58"/>
        <v>57.577326829898979</v>
      </c>
      <c r="W189" s="404">
        <f t="shared" si="59"/>
        <v>43.844252616478236</v>
      </c>
      <c r="X189" s="157">
        <f t="shared" si="60"/>
        <v>46197</v>
      </c>
      <c r="Y189" s="387">
        <f t="shared" si="61"/>
        <v>38.868485095248062</v>
      </c>
      <c r="Z189" s="387">
        <f t="shared" si="62"/>
        <v>41.566703272735595</v>
      </c>
      <c r="AA189" s="388">
        <f t="shared" si="63"/>
        <v>48.606015086803943</v>
      </c>
      <c r="AB189" s="199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0.14482388242477945</v>
      </c>
      <c r="AD189" s="233">
        <f>(INDEX(Models!$BJ189:$BT189,,AH189)*(1-AF189)+INDEX(Models!$BJ189:$BT189,,AH189+1)*AF189-ERP_i)*AE189*Ramure*Pc/MaxiM</f>
        <v>5.9423729455756092E-4</v>
      </c>
      <c r="AE189" s="307">
        <f t="shared" si="65"/>
        <v>0.9</v>
      </c>
      <c r="AF189" s="179">
        <f t="shared" si="66"/>
        <v>0.94824217224963059</v>
      </c>
      <c r="AG189" s="839">
        <f t="shared" si="74"/>
        <v>2</v>
      </c>
      <c r="AH189" s="178">
        <f t="shared" si="67"/>
        <v>8</v>
      </c>
      <c r="AI189" s="227">
        <f t="shared" si="68"/>
        <v>2.9482421722496306</v>
      </c>
      <c r="AJ189" s="267" t="b">
        <f t="shared" si="69"/>
        <v>0</v>
      </c>
      <c r="AK189" s="267" t="b">
        <f t="shared" si="70"/>
        <v>0</v>
      </c>
      <c r="AL189" s="267"/>
      <c r="AM189" s="267"/>
      <c r="AN189" s="75"/>
    </row>
    <row r="190" spans="1:40" s="6" customFormat="1" ht="11.25" x14ac:dyDescent="0.2">
      <c r="A190" s="56">
        <f t="shared" si="71"/>
        <v>46198</v>
      </c>
      <c r="B190" s="413">
        <f>'2025'!Wh/'2025'!Env_an*'2026'!Env_an</f>
        <v>30.709911284904305</v>
      </c>
      <c r="C190" s="868"/>
      <c r="D190" s="395">
        <f t="shared" si="50"/>
        <v>32.842532291186401</v>
      </c>
      <c r="E190" s="387">
        <f t="shared" si="75"/>
        <v>34.066646618093991</v>
      </c>
      <c r="F190" s="387">
        <f t="shared" si="51"/>
        <v>34.067144408104944</v>
      </c>
      <c r="G190" s="110">
        <f t="shared" si="76"/>
        <v>0.53400795683887226</v>
      </c>
      <c r="H190" s="416" t="b">
        <f>Wh_hp&gt;='2025'!Maxi_hp</f>
        <v>0</v>
      </c>
      <c r="I190" s="392">
        <f>IF(H190,Wh_hp,'2025'!Maxi_hp)</f>
        <v>58.027223678853936</v>
      </c>
      <c r="J190" s="85">
        <f>IF(H190,An,'2025'!An_max)</f>
        <v>2021</v>
      </c>
      <c r="K190" s="199">
        <f t="shared" si="52"/>
        <v>46198</v>
      </c>
      <c r="L190" s="147">
        <f>IF(t&lt;Tvie,1-EXP((T0-t)*PertePVj)+'2025'!Pspv,1-EXP((T0-t)*PertePVj)+Pspv)</f>
        <v>6.4934731200809614E-2</v>
      </c>
      <c r="M190" s="872"/>
      <c r="N190" s="872"/>
      <c r="O190" s="48">
        <f>IF(t&lt;Tnet,'2025'!Resal+('2025'!Salim-'2025'!Resal)*(1-EXP(('2025'!Tnet-t)/('2025'!Tau_j))),Resal+(Salim-Resal)*(1-EXP((Tnet-t)/(Tau_j))))*Salcycl</f>
        <v>3.5932927024799111E-2</v>
      </c>
      <c r="P190" s="171">
        <f>(INDEX(Models!$BJ190:$BT190,,T190)*(1-R190)+INDEX(Models!$BJ190:$BT190,,T190+1)*R190-ERP_i)*Q190*Ramure*Pc/MaxiM</f>
        <v>4.3706801560539444E-5</v>
      </c>
      <c r="Q190" s="307">
        <f t="shared" si="53"/>
        <v>0.9</v>
      </c>
      <c r="R190" s="179">
        <f t="shared" si="54"/>
        <v>0.31918702629001805</v>
      </c>
      <c r="S190" s="839">
        <f t="shared" si="55"/>
        <v>-2</v>
      </c>
      <c r="T190" s="178">
        <f t="shared" si="56"/>
        <v>4</v>
      </c>
      <c r="U190" s="253">
        <f t="shared" si="57"/>
        <v>-1.680812973709982</v>
      </c>
      <c r="V190" s="385">
        <f t="shared" si="58"/>
        <v>57.506667046064102</v>
      </c>
      <c r="W190" s="404">
        <f t="shared" si="59"/>
        <v>30.709911284904305</v>
      </c>
      <c r="X190" s="157">
        <f t="shared" si="60"/>
        <v>46198</v>
      </c>
      <c r="Y190" s="387">
        <f t="shared" si="61"/>
        <v>27.230778223160645</v>
      </c>
      <c r="Z190" s="387">
        <f t="shared" si="62"/>
        <v>29.121794094791237</v>
      </c>
      <c r="AA190" s="388">
        <f t="shared" si="63"/>
        <v>34.060262457121361</v>
      </c>
      <c r="AB190" s="199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0.14499208185923948</v>
      </c>
      <c r="AD190" s="233">
        <f>(INDEX(Models!$BJ190:$BT190,,AH190)*(1-AF190)+INDEX(Models!$BJ190:$BT190,,AH190+1)*AF190-ERP_i)*AE190*Ramure*Pc/MaxiM</f>
        <v>6.0424688999132945E-4</v>
      </c>
      <c r="AE190" s="307">
        <f t="shared" si="65"/>
        <v>0.9</v>
      </c>
      <c r="AF190" s="179">
        <f t="shared" si="66"/>
        <v>0.95484267859699701</v>
      </c>
      <c r="AG190" s="839">
        <f t="shared" si="74"/>
        <v>2</v>
      </c>
      <c r="AH190" s="178">
        <f t="shared" si="67"/>
        <v>8</v>
      </c>
      <c r="AI190" s="227">
        <f t="shared" si="68"/>
        <v>2.954842678596997</v>
      </c>
      <c r="AJ190" s="267" t="b">
        <f t="shared" si="69"/>
        <v>0</v>
      </c>
      <c r="AK190" s="267" t="b">
        <f t="shared" si="70"/>
        <v>0</v>
      </c>
      <c r="AL190" s="267"/>
      <c r="AM190" s="267"/>
      <c r="AN190" s="75"/>
    </row>
    <row r="191" spans="1:40" s="6" customFormat="1" ht="11.25" x14ac:dyDescent="0.2">
      <c r="A191" s="56">
        <f t="shared" si="71"/>
        <v>46199</v>
      </c>
      <c r="B191" s="413">
        <f>'2025'!Wh/'2025'!Env_an*'2026'!Env_an</f>
        <v>11.735243952016603</v>
      </c>
      <c r="C191" s="868"/>
      <c r="D191" s="395">
        <f t="shared" si="50"/>
        <v>12.550479037376382</v>
      </c>
      <c r="E191" s="387">
        <f t="shared" si="75"/>
        <v>13.021420045300378</v>
      </c>
      <c r="F191" s="387">
        <f t="shared" si="51"/>
        <v>13.021420045300378</v>
      </c>
      <c r="G191" s="110">
        <f t="shared" si="76"/>
        <v>0.20431459288274331</v>
      </c>
      <c r="H191" s="416" t="b">
        <f>Wh_hp&gt;='2025'!Maxi_hp</f>
        <v>0</v>
      </c>
      <c r="I191" s="392">
        <f>IF(H191,Wh_hp,'2025'!Maxi_hp)</f>
        <v>61.058572386734099</v>
      </c>
      <c r="J191" s="85">
        <f>IF(H191,An,'2025'!An_max)</f>
        <v>2019</v>
      </c>
      <c r="K191" s="199">
        <f t="shared" si="52"/>
        <v>46199</v>
      </c>
      <c r="L191" s="147">
        <f>IF(t&lt;Tvie,1-EXP((T0-t)*PertePVj)+'2025'!Pspv,1-EXP((T0-t)*PertePVj)+Pspv)</f>
        <v>6.4956491535656968E-2</v>
      </c>
      <c r="M191" s="872"/>
      <c r="N191" s="872"/>
      <c r="O191" s="48">
        <f>IF(t&lt;Tnet,'2025'!Resal+('2025'!Salim-'2025'!Resal)*(1-EXP(('2025'!Tnet-t)/('2025'!Tau_j))),Resal+(Salim-Resal)*(1-EXP((Tnet-t)/(Tau_j))))*Salcycl</f>
        <v>3.6166639758615719E-2</v>
      </c>
      <c r="P191" s="171">
        <f>(INDEX(Models!$BJ191:$BT191,,T191)*(1-R191)+INDEX(Models!$BJ191:$BT191,,T191+1)*R191-ERP_i)*Q191*Ramure*Pc/MaxiM</f>
        <v>4.3869807663462345E-5</v>
      </c>
      <c r="Q191" s="307">
        <f t="shared" si="53"/>
        <v>0.9</v>
      </c>
      <c r="R191" s="179">
        <f t="shared" si="54"/>
        <v>0.32570698356718308</v>
      </c>
      <c r="S191" s="839">
        <f t="shared" si="55"/>
        <v>-2</v>
      </c>
      <c r="T191" s="178">
        <f t="shared" si="56"/>
        <v>4</v>
      </c>
      <c r="U191" s="253">
        <f t="shared" si="57"/>
        <v>-1.6742930164328169</v>
      </c>
      <c r="V191" s="385">
        <f t="shared" si="58"/>
        <v>57.434610830055277</v>
      </c>
      <c r="W191" s="404">
        <f t="shared" si="59"/>
        <v>11.735243952016603</v>
      </c>
      <c r="X191" s="157">
        <f t="shared" si="60"/>
        <v>46199</v>
      </c>
      <c r="Y191" s="387">
        <f t="shared" si="61"/>
        <v>10.408222155287882</v>
      </c>
      <c r="Z191" s="387">
        <f t="shared" si="62"/>
        <v>11.131270428668817</v>
      </c>
      <c r="AA191" s="388">
        <f t="shared" si="63"/>
        <v>13.021420045300378</v>
      </c>
      <c r="AB191" s="199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0.14515694986075989</v>
      </c>
      <c r="AD191" s="233">
        <f>(INDEX(Models!$BJ191:$BT191,,AH191)*(1-AF191)+INDEX(Models!$BJ191:$BT191,,AH191+1)*AF191-ERP_i)*AE191*Ramure*Pc/MaxiM</f>
        <v>6.1752097963139812E-4</v>
      </c>
      <c r="AE191" s="307">
        <f t="shared" si="65"/>
        <v>0.9</v>
      </c>
      <c r="AF191" s="179">
        <f t="shared" si="66"/>
        <v>0.96136263587416204</v>
      </c>
      <c r="AG191" s="839">
        <f t="shared" si="74"/>
        <v>2</v>
      </c>
      <c r="AH191" s="178">
        <f t="shared" si="67"/>
        <v>8</v>
      </c>
      <c r="AI191" s="227">
        <f t="shared" si="68"/>
        <v>2.961362635874162</v>
      </c>
      <c r="AJ191" s="267" t="b">
        <f t="shared" si="69"/>
        <v>0</v>
      </c>
      <c r="AK191" s="267" t="b">
        <f t="shared" si="70"/>
        <v>0</v>
      </c>
      <c r="AL191" s="267"/>
      <c r="AM191" s="267"/>
      <c r="AN191" s="75"/>
    </row>
    <row r="192" spans="1:40" s="6" customFormat="1" ht="11.25" x14ac:dyDescent="0.2">
      <c r="A192" s="56">
        <f t="shared" si="71"/>
        <v>46200</v>
      </c>
      <c r="B192" s="413">
        <f>'2025'!Wh/'2025'!Env_an*'2026'!Env_an</f>
        <v>17.423956561120534</v>
      </c>
      <c r="C192" s="868"/>
      <c r="D192" s="395">
        <f t="shared" si="50"/>
        <v>18.634814202493647</v>
      </c>
      <c r="E192" s="387">
        <f t="shared" si="75"/>
        <v>19.338734264499475</v>
      </c>
      <c r="F192" s="387">
        <f t="shared" si="51"/>
        <v>19.338738839058983</v>
      </c>
      <c r="G192" s="110">
        <f t="shared" si="76"/>
        <v>0.30374621199622082</v>
      </c>
      <c r="H192" s="416" t="b">
        <f>Wh_hp&gt;='2025'!Maxi_hp</f>
        <v>0</v>
      </c>
      <c r="I192" s="392">
        <f>IF(H192,Wh_hp,'2025'!Maxi_hp)</f>
        <v>60.869890690098934</v>
      </c>
      <c r="J192" s="85">
        <f>IF(H192,An,'2025'!An_max)</f>
        <v>2019</v>
      </c>
      <c r="K192" s="199">
        <f t="shared" si="52"/>
        <v>46200</v>
      </c>
      <c r="L192" s="147">
        <f>IF(t&lt;Tvie,1-EXP((T0-t)*PertePVj)+'2025'!Pspv,1-EXP((T0-t)*PertePVj)+Pspv)</f>
        <v>6.4978251364109618E-2</v>
      </c>
      <c r="M192" s="872"/>
      <c r="N192" s="872"/>
      <c r="O192" s="48">
        <f>IF(t&lt;Tnet,'2025'!Resal+('2025'!Salim-'2025'!Resal)*(1-EXP(('2025'!Tnet-t)/('2025'!Tau_j))),Resal+(Salim-Resal)*(1-EXP((Tnet-t)/(Tau_j))))*Salcycl</f>
        <v>3.6399489872407466E-2</v>
      </c>
      <c r="P192" s="171">
        <f>(INDEX(Models!$BJ192:$BT192,,T192)*(1-R192)+INDEX(Models!$BJ192:$BT192,,T192+1)*R192-ERP_i)*Q192*Ramure*Pc/MaxiM</f>
        <v>4.4044014455611398E-5</v>
      </c>
      <c r="Q192" s="307">
        <f t="shared" si="53"/>
        <v>0.9</v>
      </c>
      <c r="R192" s="179">
        <f t="shared" si="54"/>
        <v>0.33214245515198715</v>
      </c>
      <c r="S192" s="839">
        <f t="shared" si="55"/>
        <v>-2</v>
      </c>
      <c r="T192" s="178">
        <f t="shared" si="56"/>
        <v>4</v>
      </c>
      <c r="U192" s="253">
        <f t="shared" si="57"/>
        <v>-1.6678575448480129</v>
      </c>
      <c r="V192" s="385">
        <f t="shared" si="58"/>
        <v>57.36102237147162</v>
      </c>
      <c r="W192" s="404">
        <f t="shared" si="59"/>
        <v>17.423956561120534</v>
      </c>
      <c r="X192" s="157">
        <f t="shared" si="60"/>
        <v>46200</v>
      </c>
      <c r="Y192" s="387">
        <f t="shared" si="61"/>
        <v>15.454418870817731</v>
      </c>
      <c r="Z192" s="387">
        <f t="shared" si="62"/>
        <v>16.528405775977177</v>
      </c>
      <c r="AA192" s="388">
        <f t="shared" si="63"/>
        <v>19.338672739367425</v>
      </c>
      <c r="AB192" s="199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0.14531850252936085</v>
      </c>
      <c r="AD192" s="233">
        <f>(INDEX(Models!$BJ192:$BT192,,AH192)*(1-AF192)+INDEX(Models!$BJ192:$BT192,,AH192+1)*AF192-ERP_i)*AE192*Ramure*Pc/MaxiM</f>
        <v>6.3641007751807769E-4</v>
      </c>
      <c r="AE192" s="307">
        <f t="shared" si="65"/>
        <v>0.9</v>
      </c>
      <c r="AF192" s="179">
        <f t="shared" si="66"/>
        <v>0.96779810745896633</v>
      </c>
      <c r="AG192" s="839">
        <f t="shared" si="74"/>
        <v>2</v>
      </c>
      <c r="AH192" s="178">
        <f t="shared" si="67"/>
        <v>8</v>
      </c>
      <c r="AI192" s="227">
        <f t="shared" si="68"/>
        <v>2.9677981074589663</v>
      </c>
      <c r="AJ192" s="267" t="b">
        <f t="shared" si="69"/>
        <v>0</v>
      </c>
      <c r="AK192" s="267" t="b">
        <f t="shared" si="70"/>
        <v>0</v>
      </c>
      <c r="AL192" s="267"/>
      <c r="AM192" s="267"/>
      <c r="AN192" s="75"/>
    </row>
    <row r="193" spans="1:40" s="6" customFormat="1" ht="11.25" x14ac:dyDescent="0.2">
      <c r="A193" s="56">
        <f t="shared" si="71"/>
        <v>46201</v>
      </c>
      <c r="B193" s="413">
        <f>'2025'!Wh/'2025'!Env_an*'2026'!Env_an</f>
        <v>59.450991552343936</v>
      </c>
      <c r="C193" s="868"/>
      <c r="D193" s="395">
        <f t="shared" si="50"/>
        <v>63.583948911030383</v>
      </c>
      <c r="E193" s="387">
        <f t="shared" si="75"/>
        <v>66.001687789283451</v>
      </c>
      <c r="F193" s="387">
        <f t="shared" si="51"/>
        <v>66.004608536540786</v>
      </c>
      <c r="G193" s="110">
        <f t="shared" si="76"/>
        <v>1.0377981106491905</v>
      </c>
      <c r="H193" s="416" t="b">
        <f>Wh_hp&gt;='2025'!Maxi_hp</f>
        <v>1</v>
      </c>
      <c r="I193" s="392">
        <f>IF(H193,Wh_hp,'2025'!Maxi_hp)</f>
        <v>66.004608536540786</v>
      </c>
      <c r="J193" s="85">
        <f>IF(H193,An,'2025'!An_max)</f>
        <v>2026</v>
      </c>
      <c r="K193" s="199">
        <f t="shared" si="52"/>
        <v>46201</v>
      </c>
      <c r="L193" s="147">
        <f>IF(t&lt;Tvie,1-EXP((T0-t)*PertePVj)+'2025'!Pspv,1-EXP((T0-t)*PertePVj)+Pspv)</f>
        <v>6.5000010686179222E-2</v>
      </c>
      <c r="M193" s="872"/>
      <c r="N193" s="872"/>
      <c r="O193" s="48">
        <f>IF(t&lt;Tnet,'2025'!Resal+('2025'!Salim-'2025'!Resal)*(1-EXP(('2025'!Tnet-t)/('2025'!Tau_j))),Resal+(Salim-Resal)*(1-EXP((Tnet-t)/(Tau_j))))*Salcycl</f>
        <v>3.6631470485602148E-2</v>
      </c>
      <c r="P193" s="171">
        <f>(INDEX(Models!$BJ193:$BT193,,T193)*(1-R193)+INDEX(Models!$BJ193:$BT193,,T193+1)*R193-ERP_i)*Q193*Ramure*Pc/MaxiM</f>
        <v>4.4250656463207136E-5</v>
      </c>
      <c r="Q193" s="307">
        <f t="shared" si="53"/>
        <v>0.9</v>
      </c>
      <c r="R193" s="179">
        <f t="shared" si="54"/>
        <v>0.3384897464951484</v>
      </c>
      <c r="S193" s="839">
        <f t="shared" si="55"/>
        <v>-2</v>
      </c>
      <c r="T193" s="178">
        <f t="shared" si="56"/>
        <v>4</v>
      </c>
      <c r="U193" s="253">
        <f t="shared" si="57"/>
        <v>-1.6615102535048516</v>
      </c>
      <c r="V193" s="385">
        <f t="shared" si="58"/>
        <v>57.285700313286</v>
      </c>
      <c r="W193" s="404">
        <f t="shared" si="59"/>
        <v>59.450991552343936</v>
      </c>
      <c r="X193" s="157">
        <f t="shared" si="60"/>
        <v>46201</v>
      </c>
      <c r="Y193" s="387">
        <f t="shared" si="61"/>
        <v>52.701537763702255</v>
      </c>
      <c r="Z193" s="387">
        <f t="shared" si="62"/>
        <v>56.365281674900274</v>
      </c>
      <c r="AA193" s="388">
        <f t="shared" si="63"/>
        <v>65.961087247320748</v>
      </c>
      <c r="AB193" s="199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0.14547676475436266</v>
      </c>
      <c r="AD193" s="233">
        <f>(INDEX(Models!$BJ193:$BT193,,AH193)*(1-AF193)+INDEX(Models!$BJ193:$BT193,,AH193+1)*AF193-ERP_i)*AE193*Ramure*Pc/MaxiM</f>
        <v>6.5936743183532401E-4</v>
      </c>
      <c r="AE193" s="307">
        <f t="shared" si="65"/>
        <v>0.9</v>
      </c>
      <c r="AF193" s="179">
        <f t="shared" si="66"/>
        <v>0.97414539880212736</v>
      </c>
      <c r="AG193" s="839">
        <f t="shared" si="74"/>
        <v>2</v>
      </c>
      <c r="AH193" s="178">
        <f t="shared" si="67"/>
        <v>8</v>
      </c>
      <c r="AI193" s="227">
        <f t="shared" si="68"/>
        <v>2.9741453988021274</v>
      </c>
      <c r="AJ193" s="267" t="b">
        <f t="shared" si="69"/>
        <v>0</v>
      </c>
      <c r="AK193" s="267" t="b">
        <f t="shared" si="70"/>
        <v>0</v>
      </c>
      <c r="AL193" s="267"/>
      <c r="AM193" s="267"/>
      <c r="AN193" s="75"/>
    </row>
    <row r="194" spans="1:40" s="6" customFormat="1" ht="11.25" x14ac:dyDescent="0.2">
      <c r="A194" s="56">
        <f t="shared" si="71"/>
        <v>46202</v>
      </c>
      <c r="B194" s="413">
        <f>'2025'!Wh/'2025'!Env_an*'2026'!Env_an</f>
        <v>55.206004147947844</v>
      </c>
      <c r="C194" s="868"/>
      <c r="D194" s="395">
        <f t="shared" si="50"/>
        <v>59.045229447252581</v>
      </c>
      <c r="E194" s="387">
        <f t="shared" si="75"/>
        <v>61.305093168117168</v>
      </c>
      <c r="F194" s="387">
        <f t="shared" si="51"/>
        <v>61.307684439632332</v>
      </c>
      <c r="G194" s="110">
        <f t="shared" si="76"/>
        <v>0.96499532230673679</v>
      </c>
      <c r="H194" s="416" t="b">
        <f>Wh_hp&gt;='2025'!Maxi_hp</f>
        <v>0</v>
      </c>
      <c r="I194" s="392">
        <f>IF(H194,Wh_hp,'2025'!Maxi_hp)</f>
        <v>61.307770825327616</v>
      </c>
      <c r="J194" s="85">
        <f>IF(H194,An,'2025'!An_max)</f>
        <v>2025</v>
      </c>
      <c r="K194" s="199">
        <f t="shared" si="52"/>
        <v>46202</v>
      </c>
      <c r="L194" s="147">
        <f>IF(t&lt;Tvie,1-EXP((T0-t)*PertePVj)+'2025'!Pspv,1-EXP((T0-t)*PertePVj)+Pspv)</f>
        <v>6.5021769501877658E-2</v>
      </c>
      <c r="M194" s="872"/>
      <c r="N194" s="872"/>
      <c r="O194" s="48">
        <f>IF(t&lt;Tnet,'2025'!Resal+('2025'!Salim-'2025'!Resal)*(1-EXP(('2025'!Tnet-t)/('2025'!Tau_j))),Resal+(Salim-Resal)*(1-EXP((Tnet-t)/(Tau_j))))*Salcycl</f>
        <v>3.6862577056482979E-2</v>
      </c>
      <c r="P194" s="171">
        <f>(INDEX(Models!$BJ194:$BT194,,T194)*(1-R194)+INDEX(Models!$BJ194:$BT194,,T194+1)*R194-ERP_i)*Q194*Ramure*Pc/MaxiM</f>
        <v>4.4491398295373291E-5</v>
      </c>
      <c r="Q194" s="307">
        <f t="shared" si="53"/>
        <v>0.9</v>
      </c>
      <c r="R194" s="179">
        <f t="shared" si="54"/>
        <v>0.34474541035962969</v>
      </c>
      <c r="S194" s="839">
        <f t="shared" si="55"/>
        <v>-2</v>
      </c>
      <c r="T194" s="178">
        <f t="shared" si="56"/>
        <v>4</v>
      </c>
      <c r="U194" s="253">
        <f t="shared" si="57"/>
        <v>-1.6552545896403703</v>
      </c>
      <c r="V194" s="385">
        <f t="shared" si="58"/>
        <v>57.208444484783342</v>
      </c>
      <c r="W194" s="404">
        <f t="shared" si="59"/>
        <v>55.206004147947844</v>
      </c>
      <c r="X194" s="157">
        <f t="shared" si="60"/>
        <v>46202</v>
      </c>
      <c r="Y194" s="387">
        <f t="shared" si="61"/>
        <v>48.941604195805603</v>
      </c>
      <c r="Z194" s="387">
        <f t="shared" si="62"/>
        <v>52.345180453807252</v>
      </c>
      <c r="AA194" s="388">
        <f t="shared" si="63"/>
        <v>61.2677047311238</v>
      </c>
      <c r="AB194" s="199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0.14563176989367341</v>
      </c>
      <c r="AD194" s="233">
        <f>(INDEX(Models!$BJ194:$BT194,,AH194)*(1-AF194)+INDEX(Models!$BJ194:$BT194,,AH194+1)*AF194-ERP_i)*AE194*Ramure*Pc/MaxiM</f>
        <v>6.864402763562123E-4</v>
      </c>
      <c r="AE194" s="307">
        <f t="shared" si="65"/>
        <v>0.9</v>
      </c>
      <c r="AF194" s="179">
        <f t="shared" si="66"/>
        <v>0.98040106266660887</v>
      </c>
      <c r="AG194" s="839">
        <f t="shared" si="74"/>
        <v>2</v>
      </c>
      <c r="AH194" s="178">
        <f t="shared" si="67"/>
        <v>8</v>
      </c>
      <c r="AI194" s="227">
        <f t="shared" si="68"/>
        <v>2.9804010626666089</v>
      </c>
      <c r="AJ194" s="267" t="b">
        <f t="shared" si="69"/>
        <v>0</v>
      </c>
      <c r="AK194" s="267" t="b">
        <f t="shared" si="70"/>
        <v>0</v>
      </c>
      <c r="AL194" s="267"/>
      <c r="AM194" s="267"/>
      <c r="AN194" s="75"/>
    </row>
    <row r="195" spans="1:40" s="6" customFormat="1" ht="11.25" x14ac:dyDescent="0.2">
      <c r="A195" s="56">
        <f t="shared" si="71"/>
        <v>46203</v>
      </c>
      <c r="B195" s="413">
        <f>'2025'!Wh/'2025'!Env_an*'2026'!Env_an</f>
        <v>13.371771495929439</v>
      </c>
      <c r="C195" s="868"/>
      <c r="D195" s="395">
        <f t="shared" si="50"/>
        <v>14.302025702464418</v>
      </c>
      <c r="E195" s="387">
        <f t="shared" si="75"/>
        <v>14.852963828229655</v>
      </c>
      <c r="F195" s="387">
        <f t="shared" si="51"/>
        <v>14.852963828229655</v>
      </c>
      <c r="G195" s="110">
        <f t="shared" si="76"/>
        <v>0.2340520584651872</v>
      </c>
      <c r="H195" s="416" t="b">
        <f>Wh_hp&gt;='2025'!Maxi_hp</f>
        <v>0</v>
      </c>
      <c r="I195" s="392">
        <f>IF(H195,Wh_hp,'2025'!Maxi_hp)</f>
        <v>57.379355434694759</v>
      </c>
      <c r="J195" s="85">
        <f>IF(H195,An,'2025'!An_max)</f>
        <v>2019</v>
      </c>
      <c r="K195" s="199">
        <f t="shared" si="52"/>
        <v>46203</v>
      </c>
      <c r="L195" s="147">
        <f>IF(t&lt;Tvie,1-EXP((T0-t)*PertePVj)+'2025'!Pspv,1-EXP((T0-t)*PertePVj)+Pspv)</f>
        <v>6.5043527811216584E-2</v>
      </c>
      <c r="M195" s="872"/>
      <c r="N195" s="872"/>
      <c r="O195" s="48">
        <f>IF(t&lt;Tnet,'2025'!Resal+('2025'!Salim-'2025'!Resal)*(1-EXP(('2025'!Tnet-t)/('2025'!Tau_j))),Resal+(Salim-Resal)*(1-EXP((Tnet-t)/(Tau_j))))*Salcycl</f>
        <v>3.7092807343819097E-2</v>
      </c>
      <c r="P195" s="171">
        <f>(INDEX(Models!$BJ195:$BT195,,T195)*(1-R195)+INDEX(Models!$BJ195:$BT195,,T195+1)*R195-ERP_i)*Q195*Ramure*Pc/MaxiM</f>
        <v>4.4767877789555181E-5</v>
      </c>
      <c r="Q195" s="307">
        <f t="shared" si="53"/>
        <v>0.9</v>
      </c>
      <c r="R195" s="179">
        <f t="shared" si="54"/>
        <v>0.35090625070340753</v>
      </c>
      <c r="S195" s="839">
        <f t="shared" si="55"/>
        <v>-2</v>
      </c>
      <c r="T195" s="178">
        <f t="shared" si="56"/>
        <v>4</v>
      </c>
      <c r="U195" s="253">
        <f t="shared" si="57"/>
        <v>-1.6490937492965925</v>
      </c>
      <c r="V195" s="385">
        <f t="shared" si="58"/>
        <v>57.129054782853373</v>
      </c>
      <c r="W195" s="404">
        <f t="shared" si="59"/>
        <v>13.371771495929439</v>
      </c>
      <c r="X195" s="157">
        <f t="shared" si="60"/>
        <v>46203</v>
      </c>
      <c r="Y195" s="387">
        <f t="shared" si="61"/>
        <v>11.862396645045196</v>
      </c>
      <c r="Z195" s="387">
        <f t="shared" si="62"/>
        <v>12.687645893583353</v>
      </c>
      <c r="AA195" s="388">
        <f t="shared" si="63"/>
        <v>14.852963828229655</v>
      </c>
      <c r="AB195" s="199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0.14578355940858637</v>
      </c>
      <c r="AD195" s="233">
        <f>(INDEX(Models!$BJ195:$BT195,,AH195)*(1-AF195)+INDEX(Models!$BJ195:$BT195,,AH195+1)*AF195-ERP_i)*AE195*Ramure*Pc/MaxiM</f>
        <v>7.1767609634862547E-4</v>
      </c>
      <c r="AE195" s="307">
        <f t="shared" si="65"/>
        <v>0.9</v>
      </c>
      <c r="AF195" s="179">
        <f t="shared" si="66"/>
        <v>0.98656190301038649</v>
      </c>
      <c r="AG195" s="839">
        <f t="shared" si="74"/>
        <v>2</v>
      </c>
      <c r="AH195" s="178">
        <f t="shared" si="67"/>
        <v>8</v>
      </c>
      <c r="AI195" s="227">
        <f t="shared" si="68"/>
        <v>2.9865619030103865</v>
      </c>
      <c r="AJ195" s="267" t="b">
        <f t="shared" si="69"/>
        <v>0</v>
      </c>
      <c r="AK195" s="267" t="b">
        <f t="shared" si="70"/>
        <v>0</v>
      </c>
      <c r="AL195" s="267"/>
      <c r="AM195" s="267"/>
      <c r="AN195" s="75"/>
    </row>
    <row r="196" spans="1:40" s="6" customFormat="1" ht="11.25" x14ac:dyDescent="0.2">
      <c r="A196" s="56">
        <f t="shared" si="71"/>
        <v>46204</v>
      </c>
      <c r="B196" s="413">
        <f>'2025'!Wh/'2025'!Env_an*'2026'!Env_an</f>
        <v>54.545650972945978</v>
      </c>
      <c r="C196" s="868"/>
      <c r="D196" s="395">
        <f t="shared" si="50"/>
        <v>58.341668282987968</v>
      </c>
      <c r="E196" s="387">
        <f t="shared" si="75"/>
        <v>60.603522737242805</v>
      </c>
      <c r="F196" s="387">
        <f t="shared" si="51"/>
        <v>60.606083797884509</v>
      </c>
      <c r="G196" s="110">
        <f t="shared" si="76"/>
        <v>0.95614458722931495</v>
      </c>
      <c r="H196" s="416" t="b">
        <f>Wh_hp&gt;='2025'!Maxi_hp</f>
        <v>0</v>
      </c>
      <c r="I196" s="392">
        <f>IF(H196,Wh_hp,'2025'!Maxi_hp)</f>
        <v>60.60619217785225</v>
      </c>
      <c r="J196" s="85">
        <f>IF(H196,An,'2025'!An_max)</f>
        <v>2025</v>
      </c>
      <c r="K196" s="199">
        <f t="shared" si="52"/>
        <v>46204</v>
      </c>
      <c r="L196" s="147">
        <f>IF(t&lt;Tvie,1-EXP((T0-t)*PertePVj)+'2025'!Pspv,1-EXP((T0-t)*PertePVj)+Pspv)</f>
        <v>6.5065285614207991E-2</v>
      </c>
      <c r="M196" s="872"/>
      <c r="N196" s="872"/>
      <c r="O196" s="48">
        <f>IF(t&lt;Tnet,'2025'!Resal+('2025'!Salim-'2025'!Resal)*(1-EXP(('2025'!Tnet-t)/('2025'!Tau_j))),Resal+(Salim-Resal)*(1-EXP((Tnet-t)/(Tau_j))))*Salcycl</f>
        <v>3.7322161354571816E-2</v>
      </c>
      <c r="P196" s="171">
        <f>(INDEX(Models!$BJ196:$BT196,,T196)*(1-R196)+INDEX(Models!$BJ196:$BT196,,T196+1)*R196-ERP_i)*Q196*Ramure*Pc/MaxiM</f>
        <v>4.5081705961679039E-5</v>
      </c>
      <c r="Q196" s="307">
        <f t="shared" si="53"/>
        <v>0.9</v>
      </c>
      <c r="R196" s="179">
        <f t="shared" si="54"/>
        <v>0.35696932523272773</v>
      </c>
      <c r="S196" s="839">
        <f t="shared" si="55"/>
        <v>-2</v>
      </c>
      <c r="T196" s="178">
        <f t="shared" si="56"/>
        <v>4</v>
      </c>
      <c r="U196" s="253">
        <f t="shared" si="57"/>
        <v>-1.6430306747672723</v>
      </c>
      <c r="V196" s="385">
        <f t="shared" si="58"/>
        <v>57.047331173513783</v>
      </c>
      <c r="W196" s="404">
        <f t="shared" si="59"/>
        <v>54.545650972945978</v>
      </c>
      <c r="X196" s="157">
        <f t="shared" si="60"/>
        <v>46204</v>
      </c>
      <c r="Y196" s="387">
        <f t="shared" si="61"/>
        <v>48.359652321157824</v>
      </c>
      <c r="Z196" s="387">
        <f t="shared" si="62"/>
        <v>51.725164952215763</v>
      </c>
      <c r="AA196" s="388">
        <f t="shared" si="63"/>
        <v>60.563299412236077</v>
      </c>
      <c r="AB196" s="199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0.14593218245693326</v>
      </c>
      <c r="AD196" s="233">
        <f>(INDEX(Models!$BJ196:$BT196,,AH196)*(1-AF196)+INDEX(Models!$BJ196:$BT196,,AH196+1)*AF196-ERP_i)*AE196*Ramure*Pc/MaxiM</f>
        <v>7.5312277348974822E-4</v>
      </c>
      <c r="AE196" s="307">
        <f t="shared" si="65"/>
        <v>0.9</v>
      </c>
      <c r="AF196" s="179">
        <f t="shared" si="66"/>
        <v>0.99262497753970669</v>
      </c>
      <c r="AG196" s="839">
        <f t="shared" si="74"/>
        <v>2</v>
      </c>
      <c r="AH196" s="178">
        <f t="shared" si="67"/>
        <v>8</v>
      </c>
      <c r="AI196" s="227">
        <f t="shared" si="68"/>
        <v>2.9926249775397067</v>
      </c>
      <c r="AJ196" s="267" t="b">
        <f t="shared" si="69"/>
        <v>0</v>
      </c>
      <c r="AK196" s="267" t="b">
        <f t="shared" si="70"/>
        <v>0</v>
      </c>
      <c r="AL196" s="267"/>
      <c r="AM196" s="267"/>
      <c r="AN196" s="75"/>
    </row>
    <row r="197" spans="1:40" s="6" customFormat="1" ht="11.25" x14ac:dyDescent="0.2">
      <c r="A197" s="56">
        <f t="shared" si="71"/>
        <v>46205</v>
      </c>
      <c r="B197" s="413">
        <f>'2025'!Wh/'2025'!Env_an*'2026'!Env_an</f>
        <v>50.792223730075641</v>
      </c>
      <c r="C197" s="868"/>
      <c r="D197" s="395">
        <f t="shared" si="50"/>
        <v>54.328291575097943</v>
      </c>
      <c r="E197" s="387">
        <f t="shared" si="75"/>
        <v>56.447948229968311</v>
      </c>
      <c r="F197" s="387">
        <f t="shared" si="51"/>
        <v>56.450116090167135</v>
      </c>
      <c r="G197" s="110">
        <f t="shared" si="76"/>
        <v>0.89166302458542879</v>
      </c>
      <c r="H197" s="416" t="b">
        <f>Wh_hp&gt;='2025'!Maxi_hp</f>
        <v>0</v>
      </c>
      <c r="I197" s="392">
        <f>IF(H197,Wh_hp,'2025'!Maxi_hp)</f>
        <v>56.741115224464892</v>
      </c>
      <c r="J197" s="85">
        <f>IF(H197,An,'2025'!An_max)</f>
        <v>2021</v>
      </c>
      <c r="K197" s="199">
        <f t="shared" si="52"/>
        <v>46205</v>
      </c>
      <c r="L197" s="147">
        <f>IF(t&lt;Tvie,1-EXP((T0-t)*PertePVj)+'2025'!Pspv,1-EXP((T0-t)*PertePVj)+Pspv)</f>
        <v>6.5087042910863424E-2</v>
      </c>
      <c r="M197" s="872"/>
      <c r="N197" s="872"/>
      <c r="O197" s="48">
        <f>IF(t&lt;Tnet,'2025'!Resal+('2025'!Salim-'2025'!Resal)*(1-EXP(('2025'!Tnet-t)/('2025'!Tau_j))),Resal+(Salim-Resal)*(1-EXP((Tnet-t)/(Tau_j))))*Salcycl</f>
        <v>3.7550641278136683E-2</v>
      </c>
      <c r="P197" s="171">
        <f>(INDEX(Models!$BJ197:$BT197,,T197)*(1-R197)+INDEX(Models!$BJ197:$BT197,,T197+1)*R197-ERP_i)*Q197*Ramure*Pc/MaxiM</f>
        <v>4.5434467357071214E-5</v>
      </c>
      <c r="Q197" s="307">
        <f t="shared" si="53"/>
        <v>0.9</v>
      </c>
      <c r="R197" s="179">
        <f t="shared" si="54"/>
        <v>0.36293194666345263</v>
      </c>
      <c r="S197" s="839">
        <f t="shared" si="55"/>
        <v>-2</v>
      </c>
      <c r="T197" s="178">
        <f t="shared" si="56"/>
        <v>4</v>
      </c>
      <c r="U197" s="253">
        <f t="shared" si="57"/>
        <v>-1.6370680533365474</v>
      </c>
      <c r="V197" s="385">
        <f t="shared" si="58"/>
        <v>56.963073692398645</v>
      </c>
      <c r="W197" s="404">
        <f t="shared" si="59"/>
        <v>50.792223730075641</v>
      </c>
      <c r="X197" s="157">
        <f t="shared" si="60"/>
        <v>46205</v>
      </c>
      <c r="Y197" s="387">
        <f t="shared" si="61"/>
        <v>45.036356003601313</v>
      </c>
      <c r="Z197" s="387">
        <f t="shared" si="62"/>
        <v>48.171710170562385</v>
      </c>
      <c r="AA197" s="388">
        <f t="shared" si="63"/>
        <v>56.412287059092002</v>
      </c>
      <c r="AB197" s="199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0.14607769544775931</v>
      </c>
      <c r="AD197" s="233">
        <f>(INDEX(Models!$BJ197:$BT197,,AH197)*(1-AF197)+INDEX(Models!$BJ197:$BT197,,AH197+1)*AF197-ERP_i)*AE197*Ramure*Pc/MaxiM</f>
        <v>7.9282874350675668E-4</v>
      </c>
      <c r="AE197" s="307">
        <f t="shared" si="65"/>
        <v>0.9</v>
      </c>
      <c r="AF197" s="179">
        <f t="shared" si="66"/>
        <v>0.99858759897043159</v>
      </c>
      <c r="AG197" s="839">
        <f t="shared" si="74"/>
        <v>2</v>
      </c>
      <c r="AH197" s="178">
        <f t="shared" si="67"/>
        <v>8</v>
      </c>
      <c r="AI197" s="227">
        <f t="shared" si="68"/>
        <v>2.9985875989704316</v>
      </c>
      <c r="AJ197" s="267" t="b">
        <f t="shared" si="69"/>
        <v>0</v>
      </c>
      <c r="AK197" s="267" t="b">
        <f t="shared" si="70"/>
        <v>0</v>
      </c>
      <c r="AL197" s="267"/>
      <c r="AM197" s="267"/>
      <c r="AN197" s="75"/>
    </row>
    <row r="198" spans="1:40" s="6" customFormat="1" ht="11.25" x14ac:dyDescent="0.2">
      <c r="A198" s="56">
        <f t="shared" si="71"/>
        <v>46206</v>
      </c>
      <c r="B198" s="413">
        <f>'2025'!Wh/'2025'!Env_an*'2026'!Env_an</f>
        <v>42.977865089760797</v>
      </c>
      <c r="C198" s="868"/>
      <c r="D198" s="395">
        <f t="shared" si="50"/>
        <v>45.970980447804436</v>
      </c>
      <c r="E198" s="387">
        <f t="shared" si="75"/>
        <v>47.775869247455873</v>
      </c>
      <c r="F198" s="387">
        <f t="shared" si="51"/>
        <v>47.777301057079896</v>
      </c>
      <c r="G198" s="110">
        <f t="shared" si="76"/>
        <v>0.75562840505224904</v>
      </c>
      <c r="H198" s="416" t="b">
        <f>Wh_hp&gt;='2025'!Maxi_hp</f>
        <v>0</v>
      </c>
      <c r="I198" s="392">
        <f>IF(H198,Wh_hp,'2025'!Maxi_hp)</f>
        <v>51.509935845707219</v>
      </c>
      <c r="J198" s="85">
        <f>IF(H198,An,'2025'!An_max)</f>
        <v>2019</v>
      </c>
      <c r="K198" s="199">
        <f t="shared" si="52"/>
        <v>46206</v>
      </c>
      <c r="L198" s="147">
        <f>IF(t&lt;Tvie,1-EXP((T0-t)*PertePVj)+'2025'!Pspv,1-EXP((T0-t)*PertePVj)+Pspv)</f>
        <v>6.5108799701194764E-2</v>
      </c>
      <c r="M198" s="872"/>
      <c r="N198" s="872"/>
      <c r="O198" s="48">
        <f>IF(t&lt;Tnet,'2025'!Resal+('2025'!Salim-'2025'!Resal)*(1-EXP(('2025'!Tnet-t)/('2025'!Tau_j))),Resal+(Salim-Resal)*(1-EXP((Tnet-t)/(Tau_j))))*Salcycl</f>
        <v>3.7778251407692615E-2</v>
      </c>
      <c r="P198" s="171">
        <f>(INDEX(Models!$BJ198:$BT198,,T198)*(1-R198)+INDEX(Models!$BJ198:$BT198,,T198+1)*R198-ERP_i)*Q198*Ramure*Pc/MaxiM</f>
        <v>4.6040426379185119E-5</v>
      </c>
      <c r="Q198" s="307">
        <f t="shared" si="53"/>
        <v>0.9</v>
      </c>
      <c r="R198" s="179">
        <f t="shared" si="54"/>
        <v>0.3687916827376676</v>
      </c>
      <c r="S198" s="839">
        <f t="shared" si="55"/>
        <v>-2</v>
      </c>
      <c r="T198" s="178">
        <f t="shared" si="56"/>
        <v>4</v>
      </c>
      <c r="U198" s="253">
        <f t="shared" si="57"/>
        <v>-1.6312083172623324</v>
      </c>
      <c r="V198" s="385">
        <f t="shared" si="58"/>
        <v>56.876070355012608</v>
      </c>
      <c r="W198" s="404">
        <f t="shared" si="59"/>
        <v>42.977865089760797</v>
      </c>
      <c r="X198" s="157">
        <f t="shared" si="60"/>
        <v>46206</v>
      </c>
      <c r="Y198" s="387">
        <f t="shared" si="61"/>
        <v>38.11457894758086</v>
      </c>
      <c r="Z198" s="387">
        <f t="shared" si="62"/>
        <v>40.768999574922589</v>
      </c>
      <c r="AA198" s="388">
        <f t="shared" si="63"/>
        <v>47.751185656317659</v>
      </c>
      <c r="AB198" s="199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0.14622016156097911</v>
      </c>
      <c r="AD198" s="233">
        <f>(INDEX(Models!$BJ198:$BT198,,AH198)*(1-AF198)+INDEX(Models!$BJ198:$BT198,,AH198+1)*AF198-ERP_i)*AE198*Ramure*Pc/MaxiM</f>
        <v>8.3975143481541047E-4</v>
      </c>
      <c r="AE198" s="307">
        <f t="shared" si="65"/>
        <v>0.9</v>
      </c>
      <c r="AF198" s="179">
        <f t="shared" si="66"/>
        <v>4.4473350446465609E-3</v>
      </c>
      <c r="AG198" s="839">
        <f t="shared" si="74"/>
        <v>3</v>
      </c>
      <c r="AH198" s="178">
        <f t="shared" si="67"/>
        <v>9</v>
      </c>
      <c r="AI198" s="227">
        <f t="shared" si="68"/>
        <v>3.0044473350446466</v>
      </c>
      <c r="AJ198" s="267" t="b">
        <f t="shared" si="69"/>
        <v>0</v>
      </c>
      <c r="AK198" s="267" t="b">
        <f t="shared" si="70"/>
        <v>0</v>
      </c>
      <c r="AL198" s="267"/>
      <c r="AM198" s="267"/>
      <c r="AN198" s="75"/>
    </row>
    <row r="199" spans="1:40" s="6" customFormat="1" ht="11.25" x14ac:dyDescent="0.2">
      <c r="A199" s="56">
        <f t="shared" si="71"/>
        <v>46207</v>
      </c>
      <c r="B199" s="413">
        <f>'2025'!Wh/'2025'!Env_an*'2026'!Env_an</f>
        <v>45.097662140162207</v>
      </c>
      <c r="C199" s="868"/>
      <c r="D199" s="395">
        <f t="shared" si="50"/>
        <v>48.239529518144067</v>
      </c>
      <c r="E199" s="387">
        <f t="shared" si="75"/>
        <v>50.145301607937199</v>
      </c>
      <c r="F199" s="387">
        <f t="shared" si="51"/>
        <v>50.146962854461869</v>
      </c>
      <c r="G199" s="110">
        <f t="shared" si="76"/>
        <v>0.79415603398667711</v>
      </c>
      <c r="H199" s="416" t="b">
        <f>Wh_hp&gt;='2025'!Maxi_hp</f>
        <v>0</v>
      </c>
      <c r="I199" s="392">
        <f>IF(H199,Wh_hp,'2025'!Maxi_hp)</f>
        <v>59.188715550013768</v>
      </c>
      <c r="J199" s="85">
        <f>IF(H199,An,'2025'!An_max)</f>
        <v>2019</v>
      </c>
      <c r="K199" s="199">
        <f t="shared" si="52"/>
        <v>46207</v>
      </c>
      <c r="L199" s="147">
        <f>IF(t&lt;Tvie,1-EXP((T0-t)*PertePVj)+'2025'!Pspv,1-EXP((T0-t)*PertePVj)+Pspv)</f>
        <v>6.5130555985213889E-2</v>
      </c>
      <c r="M199" s="872"/>
      <c r="N199" s="872"/>
      <c r="O199" s="48">
        <f>IF(t&lt;Tnet,'2025'!Resal+('2025'!Salim-'2025'!Resal)*(1-EXP(('2025'!Tnet-t)/('2025'!Tau_j))),Resal+(Salim-Resal)*(1-EXP((Tnet-t)/(Tau_j))))*Salcycl</f>
        <v>3.800499804933833E-2</v>
      </c>
      <c r="P199" s="171">
        <f>(INDEX(Models!$BJ199:$BT199,,T199)*(1-R199)+INDEX(Models!$BJ199:$BT199,,T199+1)*R199-ERP_i)*Q199*Ramure*Pc/MaxiM</f>
        <v>4.6926023793535743E-5</v>
      </c>
      <c r="Q199" s="307">
        <f t="shared" si="53"/>
        <v>0.9</v>
      </c>
      <c r="R199" s="179">
        <f t="shared" si="54"/>
        <v>0.37454635505120759</v>
      </c>
      <c r="S199" s="839">
        <f t="shared" si="55"/>
        <v>-2</v>
      </c>
      <c r="T199" s="178">
        <f t="shared" si="56"/>
        <v>4</v>
      </c>
      <c r="U199" s="253">
        <f t="shared" si="57"/>
        <v>-1.6254536449487924</v>
      </c>
      <c r="V199" s="385">
        <f t="shared" si="58"/>
        <v>56.786119995467786</v>
      </c>
      <c r="W199" s="404">
        <f t="shared" si="59"/>
        <v>45.097662140162207</v>
      </c>
      <c r="X199" s="157">
        <f t="shared" si="60"/>
        <v>46207</v>
      </c>
      <c r="Y199" s="387">
        <f t="shared" si="61"/>
        <v>39.994217287564048</v>
      </c>
      <c r="Z199" s="387">
        <f t="shared" si="62"/>
        <v>42.78053747891186</v>
      </c>
      <c r="AA199" s="388">
        <f t="shared" si="63"/>
        <v>50.115411590754618</v>
      </c>
      <c r="AB199" s="199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0.14635965023573524</v>
      </c>
      <c r="AD199" s="233">
        <f>(INDEX(Models!$BJ199:$BT199,,AH199)*(1-AF199)+INDEX(Models!$BJ199:$BT199,,AH199+1)*AF199-ERP_i)*AE199*Ramure*Pc/MaxiM</f>
        <v>8.9124361102007948E-4</v>
      </c>
      <c r="AE199" s="307">
        <f t="shared" si="65"/>
        <v>0.9</v>
      </c>
      <c r="AF199" s="179">
        <f t="shared" si="66"/>
        <v>1.0202007358186549E-2</v>
      </c>
      <c r="AG199" s="839">
        <f t="shared" si="74"/>
        <v>3</v>
      </c>
      <c r="AH199" s="178">
        <f t="shared" si="67"/>
        <v>9</v>
      </c>
      <c r="AI199" s="227">
        <f t="shared" si="68"/>
        <v>3.0102020073581865</v>
      </c>
      <c r="AJ199" s="267" t="b">
        <f t="shared" si="69"/>
        <v>0</v>
      </c>
      <c r="AK199" s="267" t="b">
        <f t="shared" si="70"/>
        <v>0</v>
      </c>
      <c r="AL199" s="267"/>
      <c r="AM199" s="267"/>
      <c r="AN199" s="75"/>
    </row>
    <row r="200" spans="1:40" s="6" customFormat="1" ht="11.25" x14ac:dyDescent="0.2">
      <c r="A200" s="56">
        <f t="shared" si="71"/>
        <v>46208</v>
      </c>
      <c r="B200" s="413">
        <f>'2025'!Wh/'2025'!Env_an*'2026'!Env_an</f>
        <v>54.366981388761985</v>
      </c>
      <c r="C200" s="868"/>
      <c r="D200" s="395">
        <f t="shared" si="50"/>
        <v>58.155977784238893</v>
      </c>
      <c r="E200" s="387">
        <f t="shared" si="75"/>
        <v>60.467712202937385</v>
      </c>
      <c r="F200" s="387">
        <f t="shared" si="51"/>
        <v>60.470450288597398</v>
      </c>
      <c r="G200" s="110">
        <f t="shared" si="76"/>
        <v>0.95896859277050062</v>
      </c>
      <c r="H200" s="416" t="b">
        <f>Wh_hp&gt;='2025'!Maxi_hp</f>
        <v>0</v>
      </c>
      <c r="I200" s="392">
        <f>IF(H200,Wh_hp,'2025'!Maxi_hp)</f>
        <v>62.028584740771763</v>
      </c>
      <c r="J200" s="85">
        <f>IF(H200,An,'2025'!An_max)</f>
        <v>2021</v>
      </c>
      <c r="K200" s="199">
        <f t="shared" si="52"/>
        <v>46208</v>
      </c>
      <c r="L200" s="147">
        <f>IF(t&lt;Tvie,1-EXP((T0-t)*PertePVj)+'2025'!Pspv,1-EXP((T0-t)*PertePVj)+Pspv)</f>
        <v>6.5152311762932458E-2</v>
      </c>
      <c r="M200" s="872"/>
      <c r="N200" s="872"/>
      <c r="O200" s="48">
        <f>IF(t&lt;Tnet,'2025'!Resal+('2025'!Salim-'2025'!Resal)*(1-EXP(('2025'!Tnet-t)/('2025'!Tau_j))),Resal+(Salim-Resal)*(1-EXP((Tnet-t)/(Tau_j))))*Salcycl</f>
        <v>3.8230889419795057E-2</v>
      </c>
      <c r="P200" s="171">
        <f>(INDEX(Models!$BJ200:$BT200,,T200)*(1-R200)+INDEX(Models!$BJ200:$BT200,,T200+1)*R200-ERP_i)*Q200*Ramure*Pc/MaxiM</f>
        <v>4.809892501946234E-5</v>
      </c>
      <c r="Q200" s="307">
        <f t="shared" si="53"/>
        <v>0.9</v>
      </c>
      <c r="R200" s="179">
        <f t="shared" si="54"/>
        <v>0.38019403675517083</v>
      </c>
      <c r="S200" s="839">
        <f t="shared" si="55"/>
        <v>-2</v>
      </c>
      <c r="T200" s="178">
        <f t="shared" si="56"/>
        <v>4</v>
      </c>
      <c r="U200" s="253">
        <f t="shared" si="57"/>
        <v>-1.6198059632448292</v>
      </c>
      <c r="V200" s="385">
        <f t="shared" si="58"/>
        <v>56.693022608413649</v>
      </c>
      <c r="W200" s="404">
        <f t="shared" si="59"/>
        <v>54.366981388761985</v>
      </c>
      <c r="X200" s="157">
        <f t="shared" si="60"/>
        <v>46208</v>
      </c>
      <c r="Y200" s="387">
        <f t="shared" si="61"/>
        <v>48.206125971195171</v>
      </c>
      <c r="Z200" s="387">
        <f t="shared" si="62"/>
        <v>51.565754055724426</v>
      </c>
      <c r="AA200" s="388">
        <f t="shared" si="63"/>
        <v>60.416551477413137</v>
      </c>
      <c r="AB200" s="199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0.14649623663140718</v>
      </c>
      <c r="AD200" s="233">
        <f>(INDEX(Models!$BJ200:$BT200,,AH200)*(1-AF200)+INDEX(Models!$BJ200:$BT200,,AH200+1)*AF200-ERP_i)*AE200*Ramure*Pc/MaxiM</f>
        <v>9.4682022394284725E-4</v>
      </c>
      <c r="AE200" s="307">
        <f t="shared" si="65"/>
        <v>0.9</v>
      </c>
      <c r="AF200" s="179">
        <f t="shared" si="66"/>
        <v>1.5849689062149785E-2</v>
      </c>
      <c r="AG200" s="839">
        <f t="shared" si="74"/>
        <v>3</v>
      </c>
      <c r="AH200" s="178">
        <f t="shared" si="67"/>
        <v>9</v>
      </c>
      <c r="AI200" s="227">
        <f t="shared" si="68"/>
        <v>3.0158496890621498</v>
      </c>
      <c r="AJ200" s="267" t="b">
        <f t="shared" si="69"/>
        <v>0</v>
      </c>
      <c r="AK200" s="267" t="b">
        <f t="shared" si="70"/>
        <v>0</v>
      </c>
      <c r="AL200" s="267"/>
      <c r="AM200" s="267"/>
      <c r="AN200" s="75"/>
    </row>
    <row r="201" spans="1:40" s="6" customFormat="1" ht="11.25" x14ac:dyDescent="0.2">
      <c r="A201" s="56">
        <f t="shared" si="71"/>
        <v>46209</v>
      </c>
      <c r="B201" s="413">
        <f>'2025'!Wh/'2025'!Env_an*'2026'!Env_an</f>
        <v>42.120514300776485</v>
      </c>
      <c r="C201" s="868"/>
      <c r="D201" s="395">
        <f t="shared" si="50"/>
        <v>45.057066578323891</v>
      </c>
      <c r="E201" s="387">
        <f t="shared" si="75"/>
        <v>46.859076191506183</v>
      </c>
      <c r="F201" s="387">
        <f t="shared" si="51"/>
        <v>46.860550203118152</v>
      </c>
      <c r="G201" s="110">
        <f t="shared" si="76"/>
        <v>0.74421020997022436</v>
      </c>
      <c r="H201" s="416" t="b">
        <f>Wh_hp&gt;='2025'!Maxi_hp</f>
        <v>0</v>
      </c>
      <c r="I201" s="392">
        <f>IF(H201,Wh_hp,'2025'!Maxi_hp)</f>
        <v>61.321046316933298</v>
      </c>
      <c r="J201" s="85">
        <f>IF(H201,An,'2025'!An_max)</f>
        <v>2020</v>
      </c>
      <c r="K201" s="199">
        <f t="shared" si="52"/>
        <v>46209</v>
      </c>
      <c r="L201" s="147">
        <f>IF(t&lt;Tvie,1-EXP((T0-t)*PertePVj)+'2025'!Pspv,1-EXP((T0-t)*PertePVj)+Pspv)</f>
        <v>6.5174067034362348E-2</v>
      </c>
      <c r="M201" s="872"/>
      <c r="N201" s="872"/>
      <c r="O201" s="48">
        <f>IF(t&lt;Tnet,'2025'!Resal+('2025'!Salim-'2025'!Resal)*(1-EXP(('2025'!Tnet-t)/('2025'!Tau_j))),Resal+(Salim-Resal)*(1-EXP((Tnet-t)/(Tau_j))))*Salcycl</f>
        <v>3.8455935533550555E-2</v>
      </c>
      <c r="P201" s="171">
        <f>(INDEX(Models!$BJ201:$BT201,,T201)*(1-R201)+INDEX(Models!$BJ201:$BT201,,T201+1)*R201-ERP_i)*Q201*Ramure*Pc/MaxiM</f>
        <v>4.9566681835357529E-5</v>
      </c>
      <c r="Q201" s="307">
        <f t="shared" si="53"/>
        <v>0.9</v>
      </c>
      <c r="R201" s="179">
        <f t="shared" si="54"/>
        <v>0.38573304920074758</v>
      </c>
      <c r="S201" s="839">
        <f t="shared" si="55"/>
        <v>-2</v>
      </c>
      <c r="T201" s="178">
        <f t="shared" si="56"/>
        <v>4</v>
      </c>
      <c r="U201" s="253">
        <f t="shared" si="57"/>
        <v>-1.6142669507992524</v>
      </c>
      <c r="V201" s="385">
        <f t="shared" si="58"/>
        <v>56.596578293115549</v>
      </c>
      <c r="W201" s="404">
        <f t="shared" si="59"/>
        <v>42.120514300776485</v>
      </c>
      <c r="X201" s="157">
        <f t="shared" si="60"/>
        <v>46209</v>
      </c>
      <c r="Y201" s="387">
        <f t="shared" si="61"/>
        <v>37.359239443990766</v>
      </c>
      <c r="Z201" s="387">
        <f t="shared" si="62"/>
        <v>39.963845809746076</v>
      </c>
      <c r="AA201" s="388">
        <f t="shared" si="63"/>
        <v>46.830619613579138</v>
      </c>
      <c r="AB201" s="199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0.14663000106541305</v>
      </c>
      <c r="AD201" s="233">
        <f>(INDEX(Models!$BJ201:$BT201,,AH201)*(1-AF201)+INDEX(Models!$BJ201:$BT201,,AH201+1)*AF201-ERP_i)*AE201*Ramure*Pc/MaxiM</f>
        <v>1.0064778301485033E-3</v>
      </c>
      <c r="AE201" s="307">
        <f t="shared" si="65"/>
        <v>0.9</v>
      </c>
      <c r="AF201" s="179">
        <f t="shared" si="66"/>
        <v>2.1388701507726537E-2</v>
      </c>
      <c r="AG201" s="839">
        <f t="shared" si="74"/>
        <v>3</v>
      </c>
      <c r="AH201" s="178">
        <f t="shared" si="67"/>
        <v>9</v>
      </c>
      <c r="AI201" s="227">
        <f t="shared" si="68"/>
        <v>3.0213887015077265</v>
      </c>
      <c r="AJ201" s="267" t="b">
        <f t="shared" si="69"/>
        <v>0</v>
      </c>
      <c r="AK201" s="267" t="b">
        <f t="shared" si="70"/>
        <v>0</v>
      </c>
      <c r="AL201" s="267"/>
      <c r="AM201" s="267"/>
      <c r="AN201" s="75"/>
    </row>
    <row r="202" spans="1:40" s="6" customFormat="1" ht="11.25" x14ac:dyDescent="0.2">
      <c r="A202" s="56">
        <f t="shared" si="71"/>
        <v>46210</v>
      </c>
      <c r="B202" s="413">
        <f>'2025'!Wh/'2025'!Env_an*'2026'!Env_an</f>
        <v>52.306166110873995</v>
      </c>
      <c r="C202" s="868"/>
      <c r="D202" s="395">
        <f t="shared" si="50"/>
        <v>55.95414240826814</v>
      </c>
      <c r="E202" s="387">
        <f t="shared" si="75"/>
        <v>58.205541367461599</v>
      </c>
      <c r="F202" s="387">
        <f t="shared" si="51"/>
        <v>58.208212959107158</v>
      </c>
      <c r="G202" s="110">
        <f t="shared" si="76"/>
        <v>0.92582373753303637</v>
      </c>
      <c r="H202" s="416" t="b">
        <f>Wh_hp&gt;='2025'!Maxi_hp</f>
        <v>0</v>
      </c>
      <c r="I202" s="392">
        <f>IF(H202,Wh_hp,'2025'!Maxi_hp)</f>
        <v>58.208418440171876</v>
      </c>
      <c r="J202" s="85">
        <f>IF(H202,An,'2025'!An_max)</f>
        <v>2025</v>
      </c>
      <c r="K202" s="199">
        <f t="shared" si="52"/>
        <v>46210</v>
      </c>
      <c r="L202" s="147">
        <f>IF(t&lt;Tvie,1-EXP((T0-t)*PertePVj)+'2025'!Pspv,1-EXP((T0-t)*PertePVj)+Pspv)</f>
        <v>6.5195821799515219E-2</v>
      </c>
      <c r="M202" s="872"/>
      <c r="N202" s="872"/>
      <c r="O202" s="48">
        <f>IF(t&lt;Tnet,'2025'!Resal+('2025'!Salim-'2025'!Resal)*(1-EXP(('2025'!Tnet-t)/('2025'!Tau_j))),Resal+(Salim-Resal)*(1-EXP((Tnet-t)/(Tau_j))))*Salcycl</f>
        <v>3.8680148080403362E-2</v>
      </c>
      <c r="P202" s="171">
        <f>(INDEX(Models!$BJ202:$BT202,,T202)*(1-R202)+INDEX(Models!$BJ202:$BT202,,T202+1)*R202-ERP_i)*Q202*Ramure*Pc/MaxiM</f>
        <v>5.1336744369694191E-5</v>
      </c>
      <c r="Q202" s="307">
        <f t="shared" si="53"/>
        <v>0.9</v>
      </c>
      <c r="R202" s="179">
        <f t="shared" si="54"/>
        <v>0.39116195760180306</v>
      </c>
      <c r="S202" s="839">
        <f t="shared" si="55"/>
        <v>-2</v>
      </c>
      <c r="T202" s="178">
        <f t="shared" si="56"/>
        <v>4</v>
      </c>
      <c r="U202" s="253">
        <f t="shared" si="57"/>
        <v>-1.6088380423981969</v>
      </c>
      <c r="V202" s="385">
        <f t="shared" si="58"/>
        <v>56.49658725900661</v>
      </c>
      <c r="W202" s="404">
        <f t="shared" si="59"/>
        <v>52.306166110873995</v>
      </c>
      <c r="X202" s="157">
        <f t="shared" si="60"/>
        <v>46210</v>
      </c>
      <c r="Y202" s="387">
        <f t="shared" si="61"/>
        <v>46.383108972778345</v>
      </c>
      <c r="Z202" s="387">
        <f t="shared" si="62"/>
        <v>49.617994928164187</v>
      </c>
      <c r="AA202" s="388">
        <f t="shared" si="63"/>
        <v>58.152518323192382</v>
      </c>
      <c r="AB202" s="199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0.14676102843209898</v>
      </c>
      <c r="AD202" s="233">
        <f>(INDEX(Models!$BJ202:$BT202,,AH202)*(1-AF202)+INDEX(Models!$BJ202:$BT202,,AH202+1)*AF202-ERP_i)*AE202*Ramure*Pc/MaxiM</f>
        <v>1.0702164350116332E-3</v>
      </c>
      <c r="AE202" s="307">
        <f t="shared" si="65"/>
        <v>0.9</v>
      </c>
      <c r="AF202" s="179">
        <f t="shared" si="66"/>
        <v>2.6817609908782014E-2</v>
      </c>
      <c r="AG202" s="839">
        <f t="shared" si="74"/>
        <v>3</v>
      </c>
      <c r="AH202" s="178">
        <f t="shared" si="67"/>
        <v>9</v>
      </c>
      <c r="AI202" s="227">
        <f t="shared" si="68"/>
        <v>3.026817609908782</v>
      </c>
      <c r="AJ202" s="267" t="b">
        <f t="shared" si="69"/>
        <v>0</v>
      </c>
      <c r="AK202" s="267" t="b">
        <f t="shared" si="70"/>
        <v>0</v>
      </c>
      <c r="AL202" s="267"/>
      <c r="AM202" s="267"/>
      <c r="AN202" s="75"/>
    </row>
    <row r="203" spans="1:40" s="6" customFormat="1" ht="11.25" x14ac:dyDescent="0.2">
      <c r="A203" s="56">
        <f t="shared" si="71"/>
        <v>46211</v>
      </c>
      <c r="B203" s="413">
        <f>'2025'!Wh/'2025'!Env_an*'2026'!Env_an</f>
        <v>57.406111622822003</v>
      </c>
      <c r="C203" s="868"/>
      <c r="D203" s="395">
        <f t="shared" si="50"/>
        <v>61.411201315450278</v>
      </c>
      <c r="E203" s="387">
        <f t="shared" si="75"/>
        <v>63.897021672792704</v>
      </c>
      <c r="F203" s="387">
        <f t="shared" si="51"/>
        <v>63.900435008789167</v>
      </c>
      <c r="G203" s="110">
        <f t="shared" si="76"/>
        <v>1.0179679125142833</v>
      </c>
      <c r="H203" s="416" t="b">
        <f>Wh_hp&gt;='2025'!Maxi_hp</f>
        <v>1</v>
      </c>
      <c r="I203" s="392">
        <f>IF(H203,Wh_hp,'2025'!Maxi_hp)</f>
        <v>63.900435008789167</v>
      </c>
      <c r="J203" s="85">
        <f>IF(H203,An,'2025'!An_max)</f>
        <v>2026</v>
      </c>
      <c r="K203" s="199">
        <f t="shared" si="52"/>
        <v>46211</v>
      </c>
      <c r="L203" s="147">
        <f>IF(t&lt;Tvie,1-EXP((T0-t)*PertePVj)+'2025'!Pspv,1-EXP((T0-t)*PertePVj)+Pspv)</f>
        <v>6.5217576058402948E-2</v>
      </c>
      <c r="M203" s="872"/>
      <c r="N203" s="872"/>
      <c r="O203" s="48">
        <f>IF(t&lt;Tnet,'2025'!Resal+('2025'!Salim-'2025'!Resal)*(1-EXP(('2025'!Tnet-t)/('2025'!Tau_j))),Resal+(Salim-Resal)*(1-EXP((Tnet-t)/(Tau_j))))*Salcycl</f>
        <v>3.8903540294443519E-2</v>
      </c>
      <c r="P203" s="171">
        <f>(INDEX(Models!$BJ203:$BT203,,T203)*(1-R203)+INDEX(Models!$BJ203:$BT203,,T203+1)*R203-ERP_i)*Q203*Ramure*Pc/MaxiM</f>
        <v>5.3416475114646557E-5</v>
      </c>
      <c r="Q203" s="307">
        <f t="shared" si="53"/>
        <v>0.9</v>
      </c>
      <c r="R203" s="179">
        <f t="shared" si="54"/>
        <v>0.3964795657936464</v>
      </c>
      <c r="S203" s="839">
        <f t="shared" si="55"/>
        <v>-2</v>
      </c>
      <c r="T203" s="178">
        <f t="shared" si="56"/>
        <v>4</v>
      </c>
      <c r="U203" s="253">
        <f t="shared" si="57"/>
        <v>-1.6035204342063536</v>
      </c>
      <c r="V203" s="385">
        <f t="shared" si="58"/>
        <v>56.392849830634056</v>
      </c>
      <c r="W203" s="404">
        <f t="shared" si="59"/>
        <v>57.406111622822003</v>
      </c>
      <c r="X203" s="157">
        <f t="shared" si="60"/>
        <v>46211</v>
      </c>
      <c r="Y203" s="387">
        <f t="shared" si="61"/>
        <v>50.900864820822974</v>
      </c>
      <c r="Z203" s="387">
        <f t="shared" si="62"/>
        <v>54.45209870998081</v>
      </c>
      <c r="AA203" s="388">
        <f t="shared" si="63"/>
        <v>63.827713775360813</v>
      </c>
      <c r="AB203" s="199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0.14688940760712688</v>
      </c>
      <c r="AD203" s="233">
        <f>(INDEX(Models!$BJ203:$BT203,,AH203)*(1-AF203)+INDEX(Models!$BJ203:$BT203,,AH203+1)*AF203-ERP_i)*AE203*Ramure*Pc/MaxiM</f>
        <v>1.1380397241169584E-3</v>
      </c>
      <c r="AE203" s="307">
        <f t="shared" si="65"/>
        <v>0.9</v>
      </c>
      <c r="AF203" s="179">
        <f t="shared" si="66"/>
        <v>3.2135218100625362E-2</v>
      </c>
      <c r="AG203" s="839">
        <f t="shared" si="74"/>
        <v>3</v>
      </c>
      <c r="AH203" s="178">
        <f t="shared" si="67"/>
        <v>9</v>
      </c>
      <c r="AI203" s="227">
        <f t="shared" si="68"/>
        <v>3.0321352181006254</v>
      </c>
      <c r="AJ203" s="267" t="b">
        <f t="shared" si="69"/>
        <v>0</v>
      </c>
      <c r="AK203" s="267" t="b">
        <f t="shared" si="70"/>
        <v>0</v>
      </c>
      <c r="AL203" s="267"/>
      <c r="AM203" s="267"/>
      <c r="AN203" s="75"/>
    </row>
    <row r="204" spans="1:40" s="6" customFormat="1" ht="11.25" x14ac:dyDescent="0.2">
      <c r="A204" s="56">
        <f t="shared" si="71"/>
        <v>46212</v>
      </c>
      <c r="B204" s="413">
        <f>'2025'!Wh/'2025'!Env_an*'2026'!Env_an</f>
        <v>56.388978004801771</v>
      </c>
      <c r="C204" s="868"/>
      <c r="D204" s="395">
        <f t="shared" si="50"/>
        <v>60.324508511256354</v>
      </c>
      <c r="E204" s="387">
        <f t="shared" si="75"/>
        <v>62.780881231930273</v>
      </c>
      <c r="F204" s="387">
        <f t="shared" si="51"/>
        <v>62.784385427188184</v>
      </c>
      <c r="G204" s="110">
        <f t="shared" si="76"/>
        <v>1.0018443855288932</v>
      </c>
      <c r="H204" s="416" t="b">
        <f>Wh_hp&gt;='2025'!Maxi_hp</f>
        <v>1</v>
      </c>
      <c r="I204" s="392">
        <f>IF(H204,Wh_hp,'2025'!Maxi_hp)</f>
        <v>62.784385427188184</v>
      </c>
      <c r="J204" s="85">
        <f>IF(H204,An,'2025'!An_max)</f>
        <v>2026</v>
      </c>
      <c r="K204" s="199">
        <f t="shared" si="52"/>
        <v>46212</v>
      </c>
      <c r="L204" s="147">
        <f>IF(t&lt;Tvie,1-EXP((T0-t)*PertePVj)+'2025'!Pspv,1-EXP((T0-t)*PertePVj)+Pspv)</f>
        <v>6.5239329811037305E-2</v>
      </c>
      <c r="M204" s="872"/>
      <c r="N204" s="872"/>
      <c r="O204" s="48">
        <f>IF(t&lt;Tnet,'2025'!Resal+('2025'!Salim-'2025'!Resal)*(1-EXP(('2025'!Tnet-t)/('2025'!Tau_j))),Resal+(Salim-Resal)*(1-EXP((Tnet-t)/(Tau_j))))*Salcycl</f>
        <v>3.9126126815572787E-2</v>
      </c>
      <c r="P204" s="171">
        <f>(INDEX(Models!$BJ204:$BT204,,T204)*(1-R204)+INDEX(Models!$BJ204:$BT204,,T204+1)*R204-ERP_i)*Q204*Ramure*Pc/MaxiM</f>
        <v>5.5813164914654966E-5</v>
      </c>
      <c r="Q204" s="307">
        <f t="shared" si="53"/>
        <v>0.9</v>
      </c>
      <c r="R204" s="179">
        <f t="shared" si="54"/>
        <v>0.40168491016927921</v>
      </c>
      <c r="S204" s="839">
        <f t="shared" si="55"/>
        <v>-2</v>
      </c>
      <c r="T204" s="178">
        <f t="shared" si="56"/>
        <v>4</v>
      </c>
      <c r="U204" s="253">
        <f t="shared" si="57"/>
        <v>-1.5983150898307208</v>
      </c>
      <c r="V204" s="385">
        <f t="shared" si="58"/>
        <v>56.285166458294746</v>
      </c>
      <c r="W204" s="404">
        <f t="shared" si="59"/>
        <v>56.388978004801771</v>
      </c>
      <c r="X204" s="157">
        <f t="shared" si="60"/>
        <v>46212</v>
      </c>
      <c r="Y204" s="387">
        <f t="shared" si="61"/>
        <v>49.999718606584381</v>
      </c>
      <c r="Z204" s="387">
        <f t="shared" si="62"/>
        <v>53.489326413869009</v>
      </c>
      <c r="AA204" s="388">
        <f t="shared" si="63"/>
        <v>62.708419127647332</v>
      </c>
      <c r="AB204" s="199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0.14701523084184631</v>
      </c>
      <c r="AD204" s="233">
        <f>(INDEX(Models!$BJ204:$BT204,,AH204)*(1-AF204)+INDEX(Models!$BJ204:$BT204,,AH204+1)*AF204-ERP_i)*AE204*Ramure*Pc/MaxiM</f>
        <v>1.20995529420206E-3</v>
      </c>
      <c r="AE204" s="307">
        <f t="shared" si="65"/>
        <v>0.9</v>
      </c>
      <c r="AF204" s="179">
        <f t="shared" si="66"/>
        <v>3.7340562476257944E-2</v>
      </c>
      <c r="AG204" s="839">
        <f t="shared" si="74"/>
        <v>3</v>
      </c>
      <c r="AH204" s="178">
        <f t="shared" si="67"/>
        <v>9</v>
      </c>
      <c r="AI204" s="227">
        <f t="shared" si="68"/>
        <v>3.0373405624762579</v>
      </c>
      <c r="AJ204" s="267" t="b">
        <f t="shared" si="69"/>
        <v>0</v>
      </c>
      <c r="AK204" s="267" t="b">
        <f t="shared" si="70"/>
        <v>0</v>
      </c>
      <c r="AL204" s="267"/>
      <c r="AM204" s="267"/>
      <c r="AN204" s="75"/>
    </row>
    <row r="205" spans="1:40" s="6" customFormat="1" ht="11.25" x14ac:dyDescent="0.2">
      <c r="A205" s="56">
        <f t="shared" si="71"/>
        <v>46213</v>
      </c>
      <c r="B205" s="413">
        <f>'2025'!Wh/'2025'!Env_an*'2026'!Env_an</f>
        <v>55.822283933194207</v>
      </c>
      <c r="C205" s="868"/>
      <c r="D205" s="395">
        <f t="shared" si="50"/>
        <v>59.719653179502643</v>
      </c>
      <c r="E205" s="387">
        <f t="shared" si="75"/>
        <v>62.165746208411854</v>
      </c>
      <c r="F205" s="387">
        <f t="shared" si="51"/>
        <v>62.169352733453351</v>
      </c>
      <c r="G205" s="110">
        <f t="shared" si="76"/>
        <v>0.99374882133318687</v>
      </c>
      <c r="H205" s="416" t="b">
        <f>Wh_hp&gt;='2025'!Maxi_hp</f>
        <v>0</v>
      </c>
      <c r="I205" s="392">
        <f>IF(H205,Wh_hp,'2025'!Maxi_hp)</f>
        <v>62.966191858436069</v>
      </c>
      <c r="J205" s="85">
        <f>IF(H205,An,'2025'!An_max)</f>
        <v>2019</v>
      </c>
      <c r="K205" s="199">
        <f t="shared" si="52"/>
        <v>46213</v>
      </c>
      <c r="L205" s="147">
        <f>IF(t&lt;Tvie,1-EXP((T0-t)*PertePVj)+'2025'!Pspv,1-EXP((T0-t)*PertePVj)+Pspv)</f>
        <v>6.5261083057430058E-2</v>
      </c>
      <c r="M205" s="872"/>
      <c r="N205" s="872"/>
      <c r="O205" s="48">
        <f>IF(t&lt;Tnet,'2025'!Resal+('2025'!Salim-'2025'!Resal)*(1-EXP(('2025'!Tnet-t)/('2025'!Tau_j))),Resal+(Salim-Resal)*(1-EXP((Tnet-t)/(Tau_j))))*Salcycl</f>
        <v>3.9347923544722496E-2</v>
      </c>
      <c r="P205" s="171">
        <f>(INDEX(Models!$BJ205:$BT205,,T205)*(1-R205)+INDEX(Models!$BJ205:$BT205,,T205+1)*R205-ERP_i)*Q205*Ramure*Pc/MaxiM</f>
        <v>5.8533981069578289E-5</v>
      </c>
      <c r="Q205" s="307">
        <f t="shared" si="53"/>
        <v>0.9</v>
      </c>
      <c r="R205" s="179">
        <f t="shared" si="54"/>
        <v>0.40677725287623945</v>
      </c>
      <c r="S205" s="839">
        <f t="shared" si="55"/>
        <v>-2</v>
      </c>
      <c r="T205" s="178">
        <f t="shared" si="56"/>
        <v>4</v>
      </c>
      <c r="U205" s="253">
        <f t="shared" si="57"/>
        <v>-1.5932227471237606</v>
      </c>
      <c r="V205" s="385">
        <f t="shared" si="58"/>
        <v>56.173404743688629</v>
      </c>
      <c r="W205" s="404">
        <f t="shared" si="59"/>
        <v>55.822283933194207</v>
      </c>
      <c r="X205" s="157">
        <f t="shared" si="60"/>
        <v>46213</v>
      </c>
      <c r="Y205" s="387">
        <f t="shared" si="61"/>
        <v>49.498413076041253</v>
      </c>
      <c r="Z205" s="387">
        <f t="shared" si="62"/>
        <v>52.954265815683826</v>
      </c>
      <c r="AA205" s="388">
        <f t="shared" si="63"/>
        <v>62.090118500498654</v>
      </c>
      <c r="AB205" s="199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0.14713859315216898</v>
      </c>
      <c r="AD205" s="233">
        <f>(INDEX(Models!$BJ205:$BT205,,AH205)*(1-AF205)+INDEX(Models!$BJ205:$BT205,,AH205+1)*AF205-ERP_i)*AE205*Ramure*Pc/MaxiM</f>
        <v>1.2859733506522485E-3</v>
      </c>
      <c r="AE205" s="307">
        <f t="shared" si="65"/>
        <v>0.9</v>
      </c>
      <c r="AF205" s="179">
        <f t="shared" si="66"/>
        <v>4.2432905183218406E-2</v>
      </c>
      <c r="AG205" s="839">
        <f t="shared" si="74"/>
        <v>3</v>
      </c>
      <c r="AH205" s="178">
        <f t="shared" si="67"/>
        <v>9</v>
      </c>
      <c r="AI205" s="227">
        <f t="shared" si="68"/>
        <v>3.0424329051832184</v>
      </c>
      <c r="AJ205" s="267" t="b">
        <f t="shared" si="69"/>
        <v>0</v>
      </c>
      <c r="AK205" s="267" t="b">
        <f t="shared" si="70"/>
        <v>0</v>
      </c>
      <c r="AL205" s="267"/>
      <c r="AM205" s="267"/>
      <c r="AN205" s="75"/>
    </row>
    <row r="206" spans="1:40" s="6" customFormat="1" ht="11.25" x14ac:dyDescent="0.2">
      <c r="A206" s="56">
        <f t="shared" si="71"/>
        <v>46214</v>
      </c>
      <c r="B206" s="413">
        <f>'2025'!Wh/'2025'!Env_an*'2026'!Env_an</f>
        <v>53.900204354028119</v>
      </c>
      <c r="C206" s="868"/>
      <c r="D206" s="395">
        <f t="shared" si="50"/>
        <v>57.664720857053155</v>
      </c>
      <c r="E206" s="387">
        <f t="shared" si="75"/>
        <v>60.040458611360108</v>
      </c>
      <c r="F206" s="387">
        <f t="shared" si="51"/>
        <v>60.043971386357235</v>
      </c>
      <c r="G206" s="110">
        <f t="shared" si="76"/>
        <v>0.96150997714659814</v>
      </c>
      <c r="H206" s="416" t="b">
        <f>Wh_hp&gt;='2025'!Maxi_hp</f>
        <v>0</v>
      </c>
      <c r="I206" s="392">
        <f>IF(H206,Wh_hp,'2025'!Maxi_hp)</f>
        <v>62.533277298191116</v>
      </c>
      <c r="J206" s="85">
        <f>IF(H206,An,'2025'!An_max)</f>
        <v>2019</v>
      </c>
      <c r="K206" s="199">
        <f t="shared" si="52"/>
        <v>46214</v>
      </c>
      <c r="L206" s="147">
        <f>IF(t&lt;Tvie,1-EXP((T0-t)*PertePVj)+'2025'!Pspv,1-EXP((T0-t)*PertePVj)+Pspv)</f>
        <v>6.5282835797592975E-2</v>
      </c>
      <c r="M206" s="872"/>
      <c r="N206" s="872"/>
      <c r="O206" s="48">
        <f>IF(t&lt;Tnet,'2025'!Resal+('2025'!Salim-'2025'!Resal)*(1-EXP(('2025'!Tnet-t)/('2025'!Tau_j))),Resal+(Salim-Resal)*(1-EXP((Tnet-t)/(Tau_j))))*Salcycl</f>
        <v>3.9568947493972731E-2</v>
      </c>
      <c r="P206" s="171">
        <f>(INDEX(Models!$BJ206:$BT206,,T206)*(1-R206)+INDEX(Models!$BJ206:$BT206,,T206+1)*R206-ERP_i)*Q206*Ramure*Pc/MaxiM</f>
        <v>6.1907093712961872E-5</v>
      </c>
      <c r="Q206" s="307">
        <f t="shared" si="53"/>
        <v>0.9</v>
      </c>
      <c r="R206" s="179">
        <f t="shared" si="54"/>
        <v>0.41175607435794936</v>
      </c>
      <c r="S206" s="839">
        <f t="shared" si="55"/>
        <v>-2</v>
      </c>
      <c r="T206" s="178">
        <f t="shared" si="56"/>
        <v>4</v>
      </c>
      <c r="U206" s="253">
        <f t="shared" si="57"/>
        <v>-1.5882439256420506</v>
      </c>
      <c r="V206" s="385">
        <f t="shared" si="58"/>
        <v>56.057682357218596</v>
      </c>
      <c r="W206" s="404">
        <f t="shared" si="59"/>
        <v>53.900204354028119</v>
      </c>
      <c r="X206" s="157">
        <f t="shared" si="60"/>
        <v>46214</v>
      </c>
      <c r="Y206" s="387">
        <f t="shared" si="61"/>
        <v>47.79748427330464</v>
      </c>
      <c r="Z206" s="387">
        <f t="shared" si="62"/>
        <v>51.135772513699557</v>
      </c>
      <c r="AA206" s="388">
        <f t="shared" si="63"/>
        <v>59.966400110004898</v>
      </c>
      <c r="AB206" s="199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0.14725959170645675</v>
      </c>
      <c r="AD206" s="233">
        <f>(INDEX(Models!$BJ206:$BT206,,AH206)*(1-AF206)+INDEX(Models!$BJ206:$BT206,,AH206+1)*AF206-ERP_i)*AE206*Ramure*Pc/MaxiM</f>
        <v>1.3670708424267626E-3</v>
      </c>
      <c r="AE206" s="307">
        <f t="shared" si="65"/>
        <v>0.9</v>
      </c>
      <c r="AF206" s="179">
        <f t="shared" si="66"/>
        <v>4.7411726664928544E-2</v>
      </c>
      <c r="AG206" s="839">
        <f t="shared" si="74"/>
        <v>3</v>
      </c>
      <c r="AH206" s="178">
        <f t="shared" si="67"/>
        <v>9</v>
      </c>
      <c r="AI206" s="227">
        <f t="shared" si="68"/>
        <v>3.0474117266649285</v>
      </c>
      <c r="AJ206" s="267" t="b">
        <f t="shared" si="69"/>
        <v>0</v>
      </c>
      <c r="AK206" s="267" t="b">
        <f t="shared" si="70"/>
        <v>0</v>
      </c>
      <c r="AL206" s="267"/>
      <c r="AM206" s="267"/>
      <c r="AN206" s="75"/>
    </row>
    <row r="207" spans="1:40" s="6" customFormat="1" ht="11.25" x14ac:dyDescent="0.2">
      <c r="A207" s="56">
        <f t="shared" si="71"/>
        <v>46215</v>
      </c>
      <c r="B207" s="413">
        <f>'2025'!Wh/'2025'!Env_an*'2026'!Env_an</f>
        <v>54.008650778004601</v>
      </c>
      <c r="C207" s="868"/>
      <c r="D207" s="395">
        <f t="shared" ref="D207:D270" si="77">Wh/(1-Ppv)</f>
        <v>57.782086106812862</v>
      </c>
      <c r="E207" s="387">
        <f t="shared" si="75"/>
        <v>60.176460322792082</v>
      </c>
      <c r="F207" s="387">
        <f t="shared" ref="F207:F270" si="78">Wh_sa/(1-Pvg*MEDIAN((-Sdif+Wh/Env_an)/Csdif,0,1))</f>
        <v>60.180230213452425</v>
      </c>
      <c r="G207" s="110">
        <f t="shared" si="76"/>
        <v>0.96550248193949184</v>
      </c>
      <c r="H207" s="416" t="b">
        <f>Wh_hp&gt;='2025'!Maxi_hp</f>
        <v>0</v>
      </c>
      <c r="I207" s="392">
        <f>IF(H207,Wh_hp,'2025'!Maxi_hp)</f>
        <v>63.366086116985848</v>
      </c>
      <c r="J207" s="85">
        <f>IF(H207,An,'2025'!An_max)</f>
        <v>2019</v>
      </c>
      <c r="K207" s="199">
        <f t="shared" ref="K207:K270" si="79">t</f>
        <v>46215</v>
      </c>
      <c r="L207" s="147">
        <f>IF(t&lt;Tvie,1-EXP((T0-t)*PertePVj)+'2025'!Pspv,1-EXP((T0-t)*PertePVj)+Pspv)</f>
        <v>6.5304588031537825E-2</v>
      </c>
      <c r="M207" s="872"/>
      <c r="N207" s="872"/>
      <c r="O207" s="48">
        <f>IF(t&lt;Tnet,'2025'!Resal+('2025'!Salim-'2025'!Resal)*(1-EXP(('2025'!Tnet-t)/('2025'!Tau_j))),Resal+(Salim-Resal)*(1-EXP((Tnet-t)/(Tau_j))))*Salcycl</f>
        <v>3.9789216632809168E-2</v>
      </c>
      <c r="P207" s="171">
        <f>(INDEX(Models!$BJ207:$BT207,,T207)*(1-R207)+INDEX(Models!$BJ207:$BT207,,T207+1)*R207-ERP_i)*Q207*Ramure*Pc/MaxiM</f>
        <v>6.5890260451521022E-5</v>
      </c>
      <c r="Q207" s="307">
        <f t="shared" ref="Q207:Q270" si="80">IF(OR(t&lt;Ttai,Notai),Dd+PousD*Croivg,Dens+PousD*(Croivg-Croi_tai))</f>
        <v>0.9</v>
      </c>
      <c r="R207" s="179">
        <f t="shared" ref="R207:R270" si="81">(Hp_vg-S207)/(INDEX(Echel_vg,T207+1)-S207)</f>
        <v>0.41662106532335486</v>
      </c>
      <c r="S207" s="839">
        <f t="shared" ref="S207:S270" si="82">INDEX(Echel_vg,T207)</f>
        <v>-2</v>
      </c>
      <c r="T207" s="178">
        <f t="shared" ref="T207:T270" si="83">MIN(MATCH(Hp_vg,Echel_vg),10)</f>
        <v>4</v>
      </c>
      <c r="U207" s="253">
        <f t="shared" ref="U207:U270" si="84">IF(OR(t&lt;Ttai,Notai),Hdd+PousH*Croivg,Hdtf+PousH*(Croivg-Croi_tai))</f>
        <v>-1.5833789346766451</v>
      </c>
      <c r="V207" s="385">
        <f t="shared" ref="V207:V270" si="85">MaxiM*(1-Ppv)*(1-Pvg)*(1-Psa)</f>
        <v>55.938204629746913</v>
      </c>
      <c r="W207" s="404">
        <f t="shared" ref="W207:W270" si="86">Wh*(A207&gt;Tmaj)</f>
        <v>54.008650778004601</v>
      </c>
      <c r="X207" s="157">
        <f t="shared" ref="X207:X270" si="87">t</f>
        <v>46215</v>
      </c>
      <c r="Y207" s="387">
        <f t="shared" ref="Y207:Y270" si="88">Wh_pvt_s*(1-Ppv)</f>
        <v>47.893972343697371</v>
      </c>
      <c r="Z207" s="387">
        <f t="shared" ref="Z207:Z270" si="89">Wh_sa_s*(1-Psa_s)</f>
        <v>51.240191971021865</v>
      </c>
      <c r="AA207" s="388">
        <f t="shared" ref="AA207:AA270" si="90">Wh_hp*(1-Pvg_s*MEDIAN((-Sdif+Wh/Env_an)/Csdif,0,1))</f>
        <v>60.097219536503161</v>
      </c>
      <c r="AB207" s="199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0.14737832521688501</v>
      </c>
      <c r="AD207" s="233">
        <f>(INDEX(Models!$BJ207:$BT207,,AH207)*(1-AF207)+INDEX(Models!$BJ207:$BT207,,AH207+1)*AF207-ERP_i)*AE207*Ramure*Pc/MaxiM</f>
        <v>1.4508630666615972E-3</v>
      </c>
      <c r="AE207" s="307">
        <f t="shared" ref="AE207:AE270" si="92">IF(OR(t&lt;Ttai,Notai),Dd_s+PousD*Croivg,Dens_s+PousD*(Croivg-Croi_tai))</f>
        <v>0.9</v>
      </c>
      <c r="AF207" s="179">
        <f t="shared" ref="AF207:AF270" si="93">(Hp_vg_s-AG207)/(INDEX(Echel_vg,AH207+1)-AG207)</f>
        <v>5.2276717630333813E-2</v>
      </c>
      <c r="AG207" s="839">
        <f t="shared" si="74"/>
        <v>3</v>
      </c>
      <c r="AH207" s="178">
        <f t="shared" ref="AH207:AH270" si="94">MIN(MATCH(Hp_vg_s,Echel_vg),10)</f>
        <v>9</v>
      </c>
      <c r="AI207" s="227">
        <f t="shared" ref="AI207:AI270" si="95">IF(OR(t&lt;Ttai,Notai),Hdd_s+PousH*Croivg,Hdtai_s+PousH*(Croivg-Croi_tai))</f>
        <v>3.0522767176303338</v>
      </c>
      <c r="AJ207" s="267" t="b">
        <f t="shared" ref="AJ207:AJ270" si="96">t&lt;Tnet</f>
        <v>0</v>
      </c>
      <c r="AK207" s="267" t="b">
        <f t="shared" ref="AK207:AK270" si="97">t&lt;Ttai</f>
        <v>0</v>
      </c>
      <c r="AL207" s="267"/>
      <c r="AM207" s="267"/>
      <c r="AN207" s="75"/>
    </row>
    <row r="208" spans="1:40" s="6" customFormat="1" ht="11.25" x14ac:dyDescent="0.2">
      <c r="A208" s="56">
        <f t="shared" ref="A208:A271" si="98">A207+1</f>
        <v>46216</v>
      </c>
      <c r="B208" s="413">
        <f>'2025'!Wh/'2025'!Env_an*'2026'!Env_an</f>
        <v>53.677490297667809</v>
      </c>
      <c r="C208" s="868"/>
      <c r="D208" s="395">
        <f t="shared" si="77"/>
        <v>57.429124817578867</v>
      </c>
      <c r="E208" s="387">
        <f t="shared" si="75"/>
        <v>59.822550259216335</v>
      </c>
      <c r="F208" s="387">
        <f t="shared" si="78"/>
        <v>59.82653700214847</v>
      </c>
      <c r="G208" s="110">
        <f t="shared" si="76"/>
        <v>0.96169696855698661</v>
      </c>
      <c r="H208" s="416" t="b">
        <f>Wh_hp&gt;='2025'!Maxi_hp</f>
        <v>0</v>
      </c>
      <c r="I208" s="392">
        <f>IF(H208,Wh_hp,'2025'!Maxi_hp)</f>
        <v>59.826693452621264</v>
      </c>
      <c r="J208" s="85">
        <f>IF(H208,An,'2025'!An_max)</f>
        <v>2025</v>
      </c>
      <c r="K208" s="199">
        <f t="shared" si="79"/>
        <v>46216</v>
      </c>
      <c r="L208" s="147">
        <f>IF(t&lt;Tvie,1-EXP((T0-t)*PertePVj)+'2025'!Pspv,1-EXP((T0-t)*PertePVj)+Pspv)</f>
        <v>6.5326339759276486E-2</v>
      </c>
      <c r="M208" s="872"/>
      <c r="N208" s="872"/>
      <c r="O208" s="48">
        <f>IF(t&lt;Tnet,'2025'!Resal+('2025'!Salim-'2025'!Resal)*(1-EXP(('2025'!Tnet-t)/('2025'!Tau_j))),Resal+(Salim-Resal)*(1-EXP((Tnet-t)/(Tau_j))))*Salcycl</f>
        <v>4.0008749731774179E-2</v>
      </c>
      <c r="P208" s="171">
        <f>(INDEX(Models!$BJ208:$BT208,,T208)*(1-R208)+INDEX(Models!$BJ208:$BT208,,T208+1)*R208-ERP_i)*Q208*Ramure*Pc/MaxiM</f>
        <v>7.0495407996656569E-5</v>
      </c>
      <c r="Q208" s="307">
        <f t="shared" si="80"/>
        <v>0.9</v>
      </c>
      <c r="R208" s="179">
        <f t="shared" si="81"/>
        <v>0.42137211822763865</v>
      </c>
      <c r="S208" s="839">
        <f t="shared" si="82"/>
        <v>-2</v>
      </c>
      <c r="T208" s="178">
        <f t="shared" si="83"/>
        <v>4</v>
      </c>
      <c r="U208" s="253">
        <f t="shared" si="84"/>
        <v>-1.5786278817723614</v>
      </c>
      <c r="V208" s="385">
        <f t="shared" si="85"/>
        <v>55.815173597057182</v>
      </c>
      <c r="W208" s="404">
        <f t="shared" si="86"/>
        <v>53.677490297667809</v>
      </c>
      <c r="X208" s="157">
        <f t="shared" si="87"/>
        <v>46216</v>
      </c>
      <c r="Y208" s="387">
        <f t="shared" si="88"/>
        <v>47.601349158609935</v>
      </c>
      <c r="Z208" s="387">
        <f t="shared" si="89"/>
        <v>50.928309187990052</v>
      </c>
      <c r="AA208" s="388">
        <f t="shared" si="90"/>
        <v>59.739594273446436</v>
      </c>
      <c r="AB208" s="199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0.14749489333865295</v>
      </c>
      <c r="AD208" s="233">
        <f>(INDEX(Models!$BJ208:$BT208,,AH208)*(1-AF208)+INDEX(Models!$BJ208:$BT208,,AH208+1)*AF208-ERP_i)*AE208*Ramure*Pc/MaxiM</f>
        <v>1.5373610078524285E-3</v>
      </c>
      <c r="AE208" s="307">
        <f t="shared" si="92"/>
        <v>0.9</v>
      </c>
      <c r="AF208" s="179">
        <f t="shared" si="93"/>
        <v>5.7027770534617606E-2</v>
      </c>
      <c r="AG208" s="839">
        <f t="shared" ref="AG208:AG271" si="99">INDEX(Echel_vg,AH208)</f>
        <v>3</v>
      </c>
      <c r="AH208" s="178">
        <f t="shared" si="94"/>
        <v>9</v>
      </c>
      <c r="AI208" s="227">
        <f t="shared" si="95"/>
        <v>3.0570277705346176</v>
      </c>
      <c r="AJ208" s="267" t="b">
        <f t="shared" si="96"/>
        <v>0</v>
      </c>
      <c r="AK208" s="267" t="b">
        <f t="shared" si="97"/>
        <v>0</v>
      </c>
      <c r="AL208" s="267"/>
      <c r="AM208" s="267"/>
      <c r="AN208" s="75"/>
    </row>
    <row r="209" spans="1:40" s="6" customFormat="1" ht="11.25" x14ac:dyDescent="0.2">
      <c r="A209" s="56">
        <f t="shared" si="98"/>
        <v>46217</v>
      </c>
      <c r="B209" s="413">
        <f>'2025'!Wh/'2025'!Env_an*'2026'!Env_an</f>
        <v>53.000286945147032</v>
      </c>
      <c r="C209" s="868"/>
      <c r="D209" s="395">
        <f t="shared" si="77"/>
        <v>56.705909904753049</v>
      </c>
      <c r="E209" s="387">
        <f t="shared" si="75"/>
        <v>59.082661585227292</v>
      </c>
      <c r="F209" s="387">
        <f t="shared" si="78"/>
        <v>59.086827861689578</v>
      </c>
      <c r="G209" s="110">
        <f t="shared" si="76"/>
        <v>0.95171773476035237</v>
      </c>
      <c r="H209" s="416" t="b">
        <f>Wh_hp&gt;='2025'!Maxi_hp</f>
        <v>0</v>
      </c>
      <c r="I209" s="392">
        <f>IF(H209,Wh_hp,'2025'!Maxi_hp)</f>
        <v>62.288044884961785</v>
      </c>
      <c r="J209" s="85">
        <f>IF(H209,An,'2025'!An_max)</f>
        <v>2019</v>
      </c>
      <c r="K209" s="199">
        <f t="shared" si="79"/>
        <v>46217</v>
      </c>
      <c r="L209" s="147">
        <f>IF(t&lt;Tvie,1-EXP((T0-t)*PertePVj)+'2025'!Pspv,1-EXP((T0-t)*PertePVj)+Pspv)</f>
        <v>6.5348090980820617E-2</v>
      </c>
      <c r="M209" s="872"/>
      <c r="N209" s="872"/>
      <c r="O209" s="48">
        <f>IF(t&lt;Tnet,'2025'!Resal+('2025'!Salim-'2025'!Resal)*(1-EXP(('2025'!Tnet-t)/('2025'!Tau_j))),Resal+(Salim-Resal)*(1-EXP((Tnet-t)/(Tau_j))))*Salcycl</f>
        <v>4.0227566204778339E-2</v>
      </c>
      <c r="P209" s="171">
        <f>(INDEX(Models!$BJ209:$BT209,,T209)*(1-R209)+INDEX(Models!$BJ209:$BT209,,T209+1)*R209-ERP_i)*Q209*Ramure*Pc/MaxiM</f>
        <v>7.5734296905396567E-5</v>
      </c>
      <c r="Q209" s="307">
        <f t="shared" si="80"/>
        <v>0.9</v>
      </c>
      <c r="R209" s="179">
        <f t="shared" si="81"/>
        <v>0.42600931834502465</v>
      </c>
      <c r="S209" s="839">
        <f t="shared" si="82"/>
        <v>-2</v>
      </c>
      <c r="T209" s="178">
        <f t="shared" si="83"/>
        <v>4</v>
      </c>
      <c r="U209" s="253">
        <f t="shared" si="84"/>
        <v>-1.5739906816549754</v>
      </c>
      <c r="V209" s="385">
        <f t="shared" si="85"/>
        <v>55.688791075591354</v>
      </c>
      <c r="W209" s="404">
        <f t="shared" si="86"/>
        <v>53.000286945147032</v>
      </c>
      <c r="X209" s="157">
        <f t="shared" si="87"/>
        <v>46217</v>
      </c>
      <c r="Y209" s="387">
        <f t="shared" si="88"/>
        <v>47.002508216300029</v>
      </c>
      <c r="Z209" s="387">
        <f t="shared" si="89"/>
        <v>50.288784265817533</v>
      </c>
      <c r="AA209" s="388">
        <f t="shared" si="90"/>
        <v>58.99734703154116</v>
      </c>
      <c r="AB209" s="199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0.14760939608128232</v>
      </c>
      <c r="AD209" s="233">
        <f>(INDEX(Models!$BJ209:$BT209,,AH209)*(1-AF209)+INDEX(Models!$BJ209:$BT209,,AH209+1)*AF209-ERP_i)*AE209*Ramure*Pc/MaxiM</f>
        <v>1.6265765892258639E-3</v>
      </c>
      <c r="AE209" s="307">
        <f t="shared" si="92"/>
        <v>0.9</v>
      </c>
      <c r="AF209" s="179">
        <f t="shared" si="93"/>
        <v>6.1664970652003603E-2</v>
      </c>
      <c r="AG209" s="839">
        <f t="shared" si="99"/>
        <v>3</v>
      </c>
      <c r="AH209" s="178">
        <f t="shared" si="94"/>
        <v>9</v>
      </c>
      <c r="AI209" s="227">
        <f t="shared" si="95"/>
        <v>3.0616649706520036</v>
      </c>
      <c r="AJ209" s="267" t="b">
        <f t="shared" si="96"/>
        <v>0</v>
      </c>
      <c r="AK209" s="267" t="b">
        <f t="shared" si="97"/>
        <v>0</v>
      </c>
      <c r="AL209" s="267"/>
      <c r="AM209" s="267"/>
      <c r="AN209" s="75"/>
    </row>
    <row r="210" spans="1:40" s="6" customFormat="1" ht="11.25" x14ac:dyDescent="0.2">
      <c r="A210" s="56">
        <f t="shared" si="98"/>
        <v>46218</v>
      </c>
      <c r="B210" s="413">
        <f>'2025'!Wh/'2025'!Env_an*'2026'!Env_an</f>
        <v>51.209749216802628</v>
      </c>
      <c r="C210" s="868"/>
      <c r="D210" s="395">
        <f t="shared" si="77"/>
        <v>54.791458163236371</v>
      </c>
      <c r="E210" s="387">
        <f t="shared" si="75"/>
        <v>57.100945054432273</v>
      </c>
      <c r="F210" s="387">
        <f t="shared" si="78"/>
        <v>57.105084632853433</v>
      </c>
      <c r="G210" s="110">
        <f t="shared" si="76"/>
        <v>0.92170563416318363</v>
      </c>
      <c r="H210" s="416" t="b">
        <f>Wh_hp&gt;='2025'!Maxi_hp</f>
        <v>0</v>
      </c>
      <c r="I210" s="392">
        <f>IF(H210,Wh_hp,'2025'!Maxi_hp)</f>
        <v>63.922354684310292</v>
      </c>
      <c r="J210" s="85">
        <f>IF(H210,An,'2025'!An_max)</f>
        <v>2019</v>
      </c>
      <c r="K210" s="199">
        <f t="shared" si="79"/>
        <v>46218</v>
      </c>
      <c r="L210" s="147">
        <f>IF(t&lt;Tvie,1-EXP((T0-t)*PertePVj)+'2025'!Pspv,1-EXP((T0-t)*PertePVj)+Pspv)</f>
        <v>6.5369841696182096E-2</v>
      </c>
      <c r="M210" s="872"/>
      <c r="N210" s="872"/>
      <c r="O210" s="48">
        <f>IF(t&lt;Tnet,'2025'!Resal+('2025'!Salim-'2025'!Resal)*(1-EXP(('2025'!Tnet-t)/('2025'!Tau_j))),Resal+(Salim-Resal)*(1-EXP((Tnet-t)/(Tau_j))))*Salcycl</f>
        <v>4.0445685951333223E-2</v>
      </c>
      <c r="P210" s="171">
        <f>(INDEX(Models!$BJ210:$BT210,,T210)*(1-R210)+INDEX(Models!$BJ210:$BT210,,T210+1)*R210-ERP_i)*Q210*Ramure*Pc/MaxiM</f>
        <v>8.1618516008767023E-5</v>
      </c>
      <c r="Q210" s="307">
        <f t="shared" si="80"/>
        <v>0.9</v>
      </c>
      <c r="R210" s="179">
        <f t="shared" si="81"/>
        <v>0.43053293451223795</v>
      </c>
      <c r="S210" s="839">
        <f t="shared" si="82"/>
        <v>-2</v>
      </c>
      <c r="T210" s="178">
        <f t="shared" si="83"/>
        <v>4</v>
      </c>
      <c r="U210" s="253">
        <f t="shared" si="84"/>
        <v>-1.569467065487762</v>
      </c>
      <c r="V210" s="385">
        <f t="shared" si="85"/>
        <v>55.559258665099911</v>
      </c>
      <c r="W210" s="404">
        <f t="shared" si="86"/>
        <v>51.209749216802628</v>
      </c>
      <c r="X210" s="157">
        <f t="shared" si="87"/>
        <v>46218</v>
      </c>
      <c r="Y210" s="387">
        <f t="shared" si="88"/>
        <v>45.418469974326705</v>
      </c>
      <c r="Z210" s="387">
        <f t="shared" si="89"/>
        <v>48.595125644942684</v>
      </c>
      <c r="AA210" s="388">
        <f t="shared" si="90"/>
        <v>57.017923539270619</v>
      </c>
      <c r="AB210" s="199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0.14772193323607796</v>
      </c>
      <c r="AD210" s="233">
        <f>(INDEX(Models!$BJ210:$BT210,,AH210)*(1-AF210)+INDEX(Models!$BJ210:$BT210,,AH210+1)*AF210-ERP_i)*AE210*Ramure*Pc/MaxiM</f>
        <v>1.7185226098312403E-3</v>
      </c>
      <c r="AE210" s="307">
        <f t="shared" si="92"/>
        <v>0.9</v>
      </c>
      <c r="AF210" s="179">
        <f t="shared" si="93"/>
        <v>6.6188586819216688E-2</v>
      </c>
      <c r="AG210" s="839">
        <f t="shared" si="99"/>
        <v>3</v>
      </c>
      <c r="AH210" s="178">
        <f t="shared" si="94"/>
        <v>9</v>
      </c>
      <c r="AI210" s="227">
        <f t="shared" si="95"/>
        <v>3.0661885868192167</v>
      </c>
      <c r="AJ210" s="267" t="b">
        <f t="shared" si="96"/>
        <v>0</v>
      </c>
      <c r="AK210" s="267" t="b">
        <f t="shared" si="97"/>
        <v>0</v>
      </c>
      <c r="AL210" s="267"/>
      <c r="AM210" s="267"/>
      <c r="AN210" s="75"/>
    </row>
    <row r="211" spans="1:40" s="6" customFormat="1" ht="11.25" x14ac:dyDescent="0.2">
      <c r="A211" s="56">
        <f t="shared" si="98"/>
        <v>46219</v>
      </c>
      <c r="B211" s="413">
        <f>'2025'!Wh/'2025'!Env_an*'2026'!Env_an</f>
        <v>52.738999111374611</v>
      </c>
      <c r="C211" s="868"/>
      <c r="D211" s="395">
        <f t="shared" si="77"/>
        <v>56.428979939194896</v>
      </c>
      <c r="E211" s="387">
        <f t="shared" si="75"/>
        <v>58.820818480723396</v>
      </c>
      <c r="F211" s="387">
        <f t="shared" si="78"/>
        <v>58.825645256654013</v>
      </c>
      <c r="G211" s="110">
        <f t="shared" si="76"/>
        <v>0.95150176722897961</v>
      </c>
      <c r="H211" s="416" t="b">
        <f>Wh_hp&gt;='2025'!Maxi_hp</f>
        <v>0</v>
      </c>
      <c r="I211" s="392">
        <f>IF(H211,Wh_hp,'2025'!Maxi_hp)</f>
        <v>61.80609820864801</v>
      </c>
      <c r="J211" s="85">
        <f>IF(H211,An,'2025'!An_max)</f>
        <v>2019</v>
      </c>
      <c r="K211" s="199">
        <f t="shared" si="79"/>
        <v>46219</v>
      </c>
      <c r="L211" s="147">
        <f>IF(t&lt;Tvie,1-EXP((T0-t)*PertePVj)+'2025'!Pspv,1-EXP((T0-t)*PertePVj)+Pspv)</f>
        <v>6.5391591905372581E-2</v>
      </c>
      <c r="M211" s="872"/>
      <c r="N211" s="872"/>
      <c r="O211" s="48">
        <f>IF(t&lt;Tnet,'2025'!Resal+('2025'!Salim-'2025'!Resal)*(1-EXP(('2025'!Tnet-t)/('2025'!Tau_j))),Resal+(Salim-Resal)*(1-EXP((Tnet-t)/(Tau_j))))*Salcycl</f>
        <v>4.0663129199950639E-2</v>
      </c>
      <c r="P211" s="171">
        <f>(INDEX(Models!$BJ211:$BT211,,T211)*(1-R211)+INDEX(Models!$BJ211:$BT211,,T211+1)*R211-ERP_i)*Q211*Ramure*Pc/MaxiM</f>
        <v>8.8159477322296605E-5</v>
      </c>
      <c r="Q211" s="307">
        <f t="shared" si="80"/>
        <v>0.9</v>
      </c>
      <c r="R211" s="179">
        <f t="shared" si="81"/>
        <v>0.43494340961811595</v>
      </c>
      <c r="S211" s="839">
        <f t="shared" si="82"/>
        <v>-2</v>
      </c>
      <c r="T211" s="178">
        <f t="shared" si="83"/>
        <v>4</v>
      </c>
      <c r="U211" s="253">
        <f t="shared" si="84"/>
        <v>-1.565056590381884</v>
      </c>
      <c r="V211" s="385">
        <f t="shared" si="85"/>
        <v>55.426777765132762</v>
      </c>
      <c r="W211" s="404">
        <f t="shared" si="86"/>
        <v>52.738999111374611</v>
      </c>
      <c r="X211" s="157">
        <f t="shared" si="87"/>
        <v>46219</v>
      </c>
      <c r="Y211" s="387">
        <f t="shared" si="88"/>
        <v>46.772196107306264</v>
      </c>
      <c r="Z211" s="387">
        <f t="shared" si="89"/>
        <v>50.044698616247267</v>
      </c>
      <c r="AA211" s="388">
        <f t="shared" si="90"/>
        <v>58.726370946359253</v>
      </c>
      <c r="AB211" s="199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0.14783260382361849</v>
      </c>
      <c r="AD211" s="233">
        <f>(INDEX(Models!$BJ211:$BT211,,AH211)*(1-AF211)+INDEX(Models!$BJ211:$BT211,,AH211+1)*AF211-ERP_i)*AE211*Ramure*Pc/MaxiM</f>
        <v>1.8132126771429025E-3</v>
      </c>
      <c r="AE211" s="307">
        <f t="shared" si="92"/>
        <v>0.9</v>
      </c>
      <c r="AF211" s="179">
        <f t="shared" si="93"/>
        <v>7.0599061925094908E-2</v>
      </c>
      <c r="AG211" s="839">
        <f t="shared" si="99"/>
        <v>3</v>
      </c>
      <c r="AH211" s="178">
        <f t="shared" si="94"/>
        <v>9</v>
      </c>
      <c r="AI211" s="227">
        <f t="shared" si="95"/>
        <v>3.0705990619250949</v>
      </c>
      <c r="AJ211" s="267" t="b">
        <f t="shared" si="96"/>
        <v>0</v>
      </c>
      <c r="AK211" s="267" t="b">
        <f t="shared" si="97"/>
        <v>0</v>
      </c>
      <c r="AL211" s="267"/>
      <c r="AM211" s="267"/>
      <c r="AN211" s="75"/>
    </row>
    <row r="212" spans="1:40" s="6" customFormat="1" ht="11.25" x14ac:dyDescent="0.2">
      <c r="A212" s="56">
        <f t="shared" si="98"/>
        <v>46220</v>
      </c>
      <c r="B212" s="413">
        <f>'2025'!Wh/'2025'!Env_an*'2026'!Env_an</f>
        <v>51.840629000008676</v>
      </c>
      <c r="C212" s="868"/>
      <c r="D212" s="395">
        <f t="shared" si="77"/>
        <v>55.469044560538997</v>
      </c>
      <c r="E212" s="387">
        <f t="shared" si="75"/>
        <v>57.833263536380706</v>
      </c>
      <c r="F212" s="387">
        <f t="shared" si="78"/>
        <v>57.838293439449899</v>
      </c>
      <c r="G212" s="110">
        <f t="shared" si="76"/>
        <v>0.93757895574201955</v>
      </c>
      <c r="H212" s="416" t="b">
        <f>Wh_hp&gt;='2025'!Maxi_hp</f>
        <v>0</v>
      </c>
      <c r="I212" s="392">
        <f>IF(H212,Wh_hp,'2025'!Maxi_hp)</f>
        <v>61.03216766608417</v>
      </c>
      <c r="J212" s="85">
        <f>IF(H212,An,'2025'!An_max)</f>
        <v>2021</v>
      </c>
      <c r="K212" s="199">
        <f t="shared" si="79"/>
        <v>46220</v>
      </c>
      <c r="L212" s="147">
        <f>IF(t&lt;Tvie,1-EXP((T0-t)*PertePVj)+'2025'!Pspv,1-EXP((T0-t)*PertePVj)+Pspv)</f>
        <v>6.5413341608403952E-2</v>
      </c>
      <c r="M212" s="872"/>
      <c r="N212" s="872"/>
      <c r="O212" s="48">
        <f>IF(t&lt;Tnet,'2025'!Resal+('2025'!Salim-'2025'!Resal)*(1-EXP(('2025'!Tnet-t)/('2025'!Tau_j))),Resal+(Salim-Resal)*(1-EXP((Tnet-t)/(Tau_j))))*Salcycl</f>
        <v>4.0879916353924441E-2</v>
      </c>
      <c r="P212" s="171">
        <f>(INDEX(Models!$BJ212:$BT212,,T212)*(1-R212)+INDEX(Models!$BJ212:$BT212,,T212+1)*R212-ERP_i)*Q212*Ramure*Pc/MaxiM</f>
        <v>9.5477881532512223E-5</v>
      </c>
      <c r="Q212" s="307">
        <f t="shared" si="80"/>
        <v>0.9</v>
      </c>
      <c r="R212" s="179">
        <f t="shared" si="81"/>
        <v>0.43924135091132266</v>
      </c>
      <c r="S212" s="839">
        <f t="shared" si="82"/>
        <v>-2</v>
      </c>
      <c r="T212" s="178">
        <f t="shared" si="83"/>
        <v>4</v>
      </c>
      <c r="U212" s="253">
        <f t="shared" si="84"/>
        <v>-1.5607586490886773</v>
      </c>
      <c r="V212" s="385">
        <f t="shared" si="85"/>
        <v>55.291543530617155</v>
      </c>
      <c r="W212" s="404">
        <f t="shared" si="86"/>
        <v>51.840629000008676</v>
      </c>
      <c r="X212" s="157">
        <f t="shared" si="87"/>
        <v>46220</v>
      </c>
      <c r="Y212" s="387">
        <f t="shared" si="88"/>
        <v>45.977346834841981</v>
      </c>
      <c r="Z212" s="387">
        <f t="shared" si="89"/>
        <v>49.1953811045923</v>
      </c>
      <c r="AA212" s="388">
        <f t="shared" si="90"/>
        <v>57.737093668913268</v>
      </c>
      <c r="AB212" s="199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0.14794150556490498</v>
      </c>
      <c r="AD212" s="233">
        <f>(INDEX(Models!$BJ212:$BT212,,AH212)*(1-AF212)+INDEX(Models!$BJ212:$BT212,,AH212+1)*AF212-ERP_i)*AE212*Ramure*Pc/MaxiM</f>
        <v>1.9209793050660806E-3</v>
      </c>
      <c r="AE212" s="307">
        <f t="shared" si="92"/>
        <v>0.9</v>
      </c>
      <c r="AF212" s="179">
        <f t="shared" si="93"/>
        <v>7.4897003218301617E-2</v>
      </c>
      <c r="AG212" s="839">
        <f t="shared" si="99"/>
        <v>3</v>
      </c>
      <c r="AH212" s="178">
        <f t="shared" si="94"/>
        <v>9</v>
      </c>
      <c r="AI212" s="227">
        <f t="shared" si="95"/>
        <v>3.0748970032183016</v>
      </c>
      <c r="AJ212" s="267" t="b">
        <f t="shared" si="96"/>
        <v>0</v>
      </c>
      <c r="AK212" s="267" t="b">
        <f t="shared" si="97"/>
        <v>0</v>
      </c>
      <c r="AL212" s="267"/>
      <c r="AM212" s="267"/>
      <c r="AN212" s="75"/>
    </row>
    <row r="213" spans="1:40" s="6" customFormat="1" ht="11.25" x14ac:dyDescent="0.2">
      <c r="A213" s="56">
        <f t="shared" si="98"/>
        <v>46221</v>
      </c>
      <c r="B213" s="413">
        <f>'2025'!Wh/'2025'!Env_an*'2026'!Env_an</f>
        <v>52.123308932144646</v>
      </c>
      <c r="C213" s="868"/>
      <c r="D213" s="395">
        <f t="shared" si="77"/>
        <v>55.772807666251687</v>
      </c>
      <c r="E213" s="387">
        <f t="shared" si="75"/>
        <v>58.163081614086579</v>
      </c>
      <c r="F213" s="387">
        <f t="shared" si="78"/>
        <v>58.168620979341419</v>
      </c>
      <c r="G213" s="110">
        <f t="shared" si="76"/>
        <v>0.94504665117459474</v>
      </c>
      <c r="H213" s="416" t="b">
        <f>Wh_hp&gt;='2025'!Maxi_hp</f>
        <v>0</v>
      </c>
      <c r="I213" s="392">
        <f>IF(H213,Wh_hp,'2025'!Maxi_hp)</f>
        <v>58.168947992862748</v>
      </c>
      <c r="J213" s="85">
        <f>IF(H213,An,'2025'!An_max)</f>
        <v>2025</v>
      </c>
      <c r="K213" s="199">
        <f t="shared" si="79"/>
        <v>46221</v>
      </c>
      <c r="L213" s="147">
        <f>IF(t&lt;Tvie,1-EXP((T0-t)*PertePVj)+'2025'!Pspv,1-EXP((T0-t)*PertePVj)+Pspv)</f>
        <v>6.5435090805287977E-2</v>
      </c>
      <c r="M213" s="872"/>
      <c r="N213" s="872"/>
      <c r="O213" s="48">
        <f>IF(t&lt;Tnet,'2025'!Resal+('2025'!Salim-'2025'!Resal)*(1-EXP(('2025'!Tnet-t)/('2025'!Tau_j))),Resal+(Salim-Resal)*(1-EXP((Tnet-t)/(Tau_j))))*Salcycl</f>
        <v>4.1096067840669409E-2</v>
      </c>
      <c r="P213" s="171">
        <f>(INDEX(Models!$BJ213:$BT213,,T213)*(1-R213)+INDEX(Models!$BJ213:$BT213,,T213+1)*R213-ERP_i)*Q213*Ramure*Pc/MaxiM</f>
        <v>1.0334107810583256E-4</v>
      </c>
      <c r="Q213" s="307">
        <f t="shared" si="80"/>
        <v>0.9</v>
      </c>
      <c r="R213" s="179">
        <f t="shared" si="81"/>
        <v>0.44342752019412934</v>
      </c>
      <c r="S213" s="839">
        <f t="shared" si="82"/>
        <v>-2</v>
      </c>
      <c r="T213" s="178">
        <f t="shared" si="83"/>
        <v>4</v>
      </c>
      <c r="U213" s="253">
        <f t="shared" si="84"/>
        <v>-1.5565724798058707</v>
      </c>
      <c r="V213" s="385">
        <f t="shared" si="85"/>
        <v>55.153770474423546</v>
      </c>
      <c r="W213" s="404">
        <f t="shared" si="86"/>
        <v>52.123308932144646</v>
      </c>
      <c r="X213" s="157">
        <f t="shared" si="87"/>
        <v>46221</v>
      </c>
      <c r="Y213" s="387">
        <f t="shared" si="88"/>
        <v>46.226979190137783</v>
      </c>
      <c r="Z213" s="387">
        <f t="shared" si="89"/>
        <v>49.463636752604216</v>
      </c>
      <c r="AA213" s="388">
        <f t="shared" si="90"/>
        <v>58.059232668173699</v>
      </c>
      <c r="AB213" s="199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0.14804873437952493</v>
      </c>
      <c r="AD213" s="233">
        <f>(INDEX(Models!$BJ213:$BT213,,AH213)*(1-AF213)+INDEX(Models!$BJ213:$BT213,,AH213+1)*AF213-ERP_i)*AE213*Ramure*Pc/MaxiM</f>
        <v>2.0407222647710541E-3</v>
      </c>
      <c r="AE213" s="307">
        <f t="shared" si="92"/>
        <v>0.9</v>
      </c>
      <c r="AF213" s="179">
        <f t="shared" si="93"/>
        <v>7.9083172501108301E-2</v>
      </c>
      <c r="AG213" s="839">
        <f t="shared" si="99"/>
        <v>3</v>
      </c>
      <c r="AH213" s="178">
        <f t="shared" si="94"/>
        <v>9</v>
      </c>
      <c r="AI213" s="227">
        <f t="shared" si="95"/>
        <v>3.0790831725011083</v>
      </c>
      <c r="AJ213" s="267" t="b">
        <f t="shared" si="96"/>
        <v>0</v>
      </c>
      <c r="AK213" s="267" t="b">
        <f t="shared" si="97"/>
        <v>0</v>
      </c>
      <c r="AL213" s="267"/>
      <c r="AM213" s="267"/>
      <c r="AN213" s="75"/>
    </row>
    <row r="214" spans="1:40" s="6" customFormat="1" ht="11.25" x14ac:dyDescent="0.2">
      <c r="A214" s="56">
        <f t="shared" si="98"/>
        <v>46222</v>
      </c>
      <c r="B214" s="413">
        <f>'2025'!Wh/'2025'!Env_an*'2026'!Env_an</f>
        <v>42.156032686351317</v>
      </c>
      <c r="C214" s="868"/>
      <c r="D214" s="395">
        <f t="shared" si="77"/>
        <v>45.108706015908531</v>
      </c>
      <c r="E214" s="387">
        <f t="shared" si="75"/>
        <v>47.05252113461124</v>
      </c>
      <c r="F214" s="387">
        <f t="shared" si="78"/>
        <v>47.056024068308083</v>
      </c>
      <c r="G214" s="110">
        <f t="shared" si="76"/>
        <v>0.76625441476035594</v>
      </c>
      <c r="H214" s="416" t="b">
        <f>Wh_hp&gt;='2025'!Maxi_hp</f>
        <v>0</v>
      </c>
      <c r="I214" s="392">
        <f>IF(H214,Wh_hp,'2025'!Maxi_hp)</f>
        <v>60.668630393036239</v>
      </c>
      <c r="J214" s="85">
        <f>IF(H214,An,'2025'!An_max)</f>
        <v>2020</v>
      </c>
      <c r="K214" s="199">
        <f t="shared" si="79"/>
        <v>46222</v>
      </c>
      <c r="L214" s="147">
        <f>IF(t&lt;Tvie,1-EXP((T0-t)*PertePVj)+'2025'!Pspv,1-EXP((T0-t)*PertePVj)+Pspv)</f>
        <v>6.5456839496036423E-2</v>
      </c>
      <c r="M214" s="872"/>
      <c r="N214" s="872"/>
      <c r="O214" s="48">
        <f>IF(t&lt;Tnet,'2025'!Resal+('2025'!Salim-'2025'!Resal)*(1-EXP(('2025'!Tnet-t)/('2025'!Tau_j))),Resal+(Salim-Resal)*(1-EXP((Tnet-t)/(Tau_j))))*Salcycl</f>
        <v>4.1311603965740885E-2</v>
      </c>
      <c r="P214" s="171">
        <f>(INDEX(Models!$BJ214:$BT214,,T214)*(1-R214)+INDEX(Models!$BJ214:$BT214,,T214+1)*R214-ERP_i)*Q214*Ramure*Pc/MaxiM</f>
        <v>1.1175453026403365E-4</v>
      </c>
      <c r="Q214" s="307">
        <f t="shared" si="80"/>
        <v>0.9</v>
      </c>
      <c r="R214" s="179">
        <f t="shared" si="81"/>
        <v>0.44750282396591867</v>
      </c>
      <c r="S214" s="839">
        <f t="shared" si="82"/>
        <v>-2</v>
      </c>
      <c r="T214" s="178">
        <f t="shared" si="83"/>
        <v>4</v>
      </c>
      <c r="U214" s="253">
        <f t="shared" si="84"/>
        <v>-1.5524971760340813</v>
      </c>
      <c r="V214" s="385">
        <f t="shared" si="85"/>
        <v>55.013659692218198</v>
      </c>
      <c r="W214" s="404">
        <f t="shared" si="86"/>
        <v>42.156032686351317</v>
      </c>
      <c r="X214" s="157">
        <f t="shared" si="87"/>
        <v>46222</v>
      </c>
      <c r="Y214" s="387">
        <f t="shared" si="88"/>
        <v>37.406451406553067</v>
      </c>
      <c r="Z214" s="387">
        <f t="shared" si="89"/>
        <v>40.026456762447644</v>
      </c>
      <c r="AA214" s="388">
        <f t="shared" si="90"/>
        <v>46.987923640850596</v>
      </c>
      <c r="AB214" s="199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0.14815438391388627</v>
      </c>
      <c r="AD214" s="233">
        <f>(INDEX(Models!$BJ214:$BT214,,AH214)*(1-AF214)+INDEX(Models!$BJ214:$BT214,,AH214+1)*AF214-ERP_i)*AE214*Ramure*Pc/MaxiM</f>
        <v>2.1726164238128568E-3</v>
      </c>
      <c r="AE214" s="307">
        <f t="shared" si="92"/>
        <v>0.9</v>
      </c>
      <c r="AF214" s="179">
        <f t="shared" si="93"/>
        <v>8.315847627289763E-2</v>
      </c>
      <c r="AG214" s="839">
        <f t="shared" si="99"/>
        <v>3</v>
      </c>
      <c r="AH214" s="178">
        <f t="shared" si="94"/>
        <v>9</v>
      </c>
      <c r="AI214" s="227">
        <f t="shared" si="95"/>
        <v>3.0831584762728976</v>
      </c>
      <c r="AJ214" s="267" t="b">
        <f t="shared" si="96"/>
        <v>0</v>
      </c>
      <c r="AK214" s="267" t="b">
        <f t="shared" si="97"/>
        <v>0</v>
      </c>
      <c r="AL214" s="267"/>
      <c r="AM214" s="267"/>
      <c r="AN214" s="75"/>
    </row>
    <row r="215" spans="1:40" s="6" customFormat="1" ht="11.25" x14ac:dyDescent="0.2">
      <c r="A215" s="56">
        <f t="shared" si="98"/>
        <v>46223</v>
      </c>
      <c r="B215" s="413">
        <f>'2025'!Wh/'2025'!Env_an*'2026'!Env_an</f>
        <v>40.436275646030978</v>
      </c>
      <c r="C215" s="868"/>
      <c r="D215" s="395">
        <f t="shared" si="77"/>
        <v>43.269501493469619</v>
      </c>
      <c r="E215" s="387">
        <f t="shared" si="75"/>
        <v>45.144183448673083</v>
      </c>
      <c r="F215" s="387">
        <f t="shared" si="78"/>
        <v>45.147585483072341</v>
      </c>
      <c r="G215" s="110">
        <f t="shared" si="76"/>
        <v>0.73689448410670211</v>
      </c>
      <c r="H215" s="416" t="b">
        <f>Wh_hp&gt;='2025'!Maxi_hp</f>
        <v>0</v>
      </c>
      <c r="I215" s="392">
        <f>IF(H215,Wh_hp,'2025'!Maxi_hp)</f>
        <v>59.226165984778646</v>
      </c>
      <c r="J215" s="85">
        <f>IF(H215,An,'2025'!An_max)</f>
        <v>2020</v>
      </c>
      <c r="K215" s="199">
        <f t="shared" si="79"/>
        <v>46223</v>
      </c>
      <c r="L215" s="147">
        <f>IF(t&lt;Tvie,1-EXP((T0-t)*PertePVj)+'2025'!Pspv,1-EXP((T0-t)*PertePVj)+Pspv)</f>
        <v>6.5478587680660949E-2</v>
      </c>
      <c r="M215" s="872"/>
      <c r="N215" s="872"/>
      <c r="O215" s="48">
        <f>IF(t&lt;Tnet,'2025'!Resal+('2025'!Salim-'2025'!Resal)*(1-EXP(('2025'!Tnet-t)/('2025'!Tau_j))),Resal+(Salim-Resal)*(1-EXP((Tnet-t)/(Tau_j))))*Salcycl</f>
        <v>4.1526544772592822E-2</v>
      </c>
      <c r="P215" s="171">
        <f>(INDEX(Models!$BJ215:$BT215,,T215)*(1-R215)+INDEX(Models!$BJ215:$BT215,,T215+1)*R215-ERP_i)*Q215*Ramure*Pc/MaxiM</f>
        <v>1.207236654833144E-4</v>
      </c>
      <c r="Q215" s="307">
        <f t="shared" si="80"/>
        <v>0.9</v>
      </c>
      <c r="R215" s="179">
        <f t="shared" si="81"/>
        <v>0.45146830357552781</v>
      </c>
      <c r="S215" s="839">
        <f t="shared" si="82"/>
        <v>-2</v>
      </c>
      <c r="T215" s="178">
        <f t="shared" si="83"/>
        <v>4</v>
      </c>
      <c r="U215" s="253">
        <f t="shared" si="84"/>
        <v>-1.5485316964244722</v>
      </c>
      <c r="V215" s="385">
        <f t="shared" si="85"/>
        <v>54.87141210113095</v>
      </c>
      <c r="W215" s="404">
        <f t="shared" si="86"/>
        <v>40.436275646030978</v>
      </c>
      <c r="X215" s="157">
        <f t="shared" si="87"/>
        <v>46223</v>
      </c>
      <c r="Y215" s="387">
        <f t="shared" si="88"/>
        <v>35.884183632634162</v>
      </c>
      <c r="Z215" s="387">
        <f t="shared" si="89"/>
        <v>38.398460601962142</v>
      </c>
      <c r="AA215" s="388">
        <f t="shared" si="90"/>
        <v>45.082296254526909</v>
      </c>
      <c r="AB215" s="199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0.14825854510224987</v>
      </c>
      <c r="AD215" s="233">
        <f>(INDEX(Models!$BJ215:$BT215,,AH215)*(1-AF215)+INDEX(Models!$BJ215:$BT215,,AH215+1)*AF215-ERP_i)*AE215*Ramure*Pc/MaxiM</f>
        <v>2.3168357698896149E-3</v>
      </c>
      <c r="AE215" s="307">
        <f t="shared" si="92"/>
        <v>0.9</v>
      </c>
      <c r="AF215" s="179">
        <f t="shared" si="93"/>
        <v>8.7123955882506543E-2</v>
      </c>
      <c r="AG215" s="839">
        <f t="shared" si="99"/>
        <v>3</v>
      </c>
      <c r="AH215" s="178">
        <f t="shared" si="94"/>
        <v>9</v>
      </c>
      <c r="AI215" s="227">
        <f t="shared" si="95"/>
        <v>3.0871239558825065</v>
      </c>
      <c r="AJ215" s="267" t="b">
        <f t="shared" si="96"/>
        <v>0</v>
      </c>
      <c r="AK215" s="267" t="b">
        <f t="shared" si="97"/>
        <v>0</v>
      </c>
      <c r="AL215" s="267"/>
      <c r="AM215" s="267"/>
      <c r="AN215" s="75"/>
    </row>
    <row r="216" spans="1:40" s="6" customFormat="1" ht="11.25" x14ac:dyDescent="0.2">
      <c r="A216" s="56">
        <f t="shared" si="98"/>
        <v>46224</v>
      </c>
      <c r="B216" s="413">
        <f>'2025'!Wh/'2025'!Env_an*'2026'!Env_an</f>
        <v>51.15019816154129</v>
      </c>
      <c r="C216" s="868"/>
      <c r="D216" s="395">
        <f t="shared" si="77"/>
        <v>54.735384181438732</v>
      </c>
      <c r="E216" s="387">
        <f t="shared" si="75"/>
        <v>57.119608618838456</v>
      </c>
      <c r="F216" s="387">
        <f t="shared" si="78"/>
        <v>57.126354766053268</v>
      </c>
      <c r="G216" s="110">
        <f t="shared" si="76"/>
        <v>0.93462755993467961</v>
      </c>
      <c r="H216" s="416" t="b">
        <f>Wh_hp&gt;='2025'!Maxi_hp</f>
        <v>0</v>
      </c>
      <c r="I216" s="392">
        <f>IF(H216,Wh_hp,'2025'!Maxi_hp)</f>
        <v>57.12683628648557</v>
      </c>
      <c r="J216" s="85">
        <f>IF(H216,An,'2025'!An_max)</f>
        <v>2025</v>
      </c>
      <c r="K216" s="199">
        <f t="shared" si="79"/>
        <v>46224</v>
      </c>
      <c r="L216" s="147">
        <f>IF(t&lt;Tvie,1-EXP((T0-t)*PertePVj)+'2025'!Pspv,1-EXP((T0-t)*PertePVj)+Pspv)</f>
        <v>6.5500335359173545E-2</v>
      </c>
      <c r="M216" s="872"/>
      <c r="N216" s="872"/>
      <c r="O216" s="48">
        <f>IF(t&lt;Tnet,'2025'!Resal+('2025'!Salim-'2025'!Resal)*(1-EXP(('2025'!Tnet-t)/('2025'!Tau_j))),Resal+(Salim-Resal)*(1-EXP((Tnet-t)/(Tau_j))))*Salcycl</f>
        <v>4.1740909909060347E-2</v>
      </c>
      <c r="P216" s="171">
        <f>(INDEX(Models!$BJ216:$BT216,,T216)*(1-R216)+INDEX(Models!$BJ216:$BT216,,T216+1)*R216-ERP_i)*Q216*Ramure*Pc/MaxiM</f>
        <v>1.3025386938010042E-4</v>
      </c>
      <c r="Q216" s="307">
        <f t="shared" si="80"/>
        <v>0.9</v>
      </c>
      <c r="R216" s="179">
        <f t="shared" si="81"/>
        <v>0.45532512543681181</v>
      </c>
      <c r="S216" s="839">
        <f t="shared" si="82"/>
        <v>-2</v>
      </c>
      <c r="T216" s="178">
        <f t="shared" si="83"/>
        <v>4</v>
      </c>
      <c r="U216" s="253">
        <f t="shared" si="84"/>
        <v>-1.5446748745631882</v>
      </c>
      <c r="V216" s="385">
        <f t="shared" si="85"/>
        <v>54.7272284515698</v>
      </c>
      <c r="W216" s="404">
        <f t="shared" si="86"/>
        <v>51.15019816154129</v>
      </c>
      <c r="X216" s="157">
        <f t="shared" si="87"/>
        <v>46224</v>
      </c>
      <c r="Y216" s="387">
        <f t="shared" si="88"/>
        <v>45.362398513654902</v>
      </c>
      <c r="Z216" s="387">
        <f t="shared" si="89"/>
        <v>48.541909890454455</v>
      </c>
      <c r="AA216" s="388">
        <f t="shared" si="90"/>
        <v>56.998243761036008</v>
      </c>
      <c r="AB216" s="199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0.14836130576293821</v>
      </c>
      <c r="AD216" s="233">
        <f>(INDEX(Models!$BJ216:$BT216,,AH216)*(1-AF216)+INDEX(Models!$BJ216:$BT216,,AH216+1)*AF216-ERP_i)*AE216*Ramure*Pc/MaxiM</f>
        <v>2.4735532122740879E-3</v>
      </c>
      <c r="AE216" s="307">
        <f t="shared" si="92"/>
        <v>0.9</v>
      </c>
      <c r="AF216" s="179">
        <f t="shared" si="93"/>
        <v>9.0980777743790764E-2</v>
      </c>
      <c r="AG216" s="839">
        <f t="shared" si="99"/>
        <v>3</v>
      </c>
      <c r="AH216" s="178">
        <f t="shared" si="94"/>
        <v>9</v>
      </c>
      <c r="AI216" s="227">
        <f t="shared" si="95"/>
        <v>3.0909807777437908</v>
      </c>
      <c r="AJ216" s="267" t="b">
        <f t="shared" si="96"/>
        <v>0</v>
      </c>
      <c r="AK216" s="267" t="b">
        <f t="shared" si="97"/>
        <v>0</v>
      </c>
      <c r="AL216" s="267"/>
      <c r="AM216" s="267"/>
      <c r="AN216" s="75"/>
    </row>
    <row r="217" spans="1:40" s="6" customFormat="1" ht="11.25" x14ac:dyDescent="0.2">
      <c r="A217" s="56">
        <f t="shared" si="98"/>
        <v>46225</v>
      </c>
      <c r="B217" s="413">
        <f>'2025'!Wh/'2025'!Env_an*'2026'!Env_an</f>
        <v>38.527201041526126</v>
      </c>
      <c r="C217" s="868"/>
      <c r="D217" s="395">
        <f t="shared" si="77"/>
        <v>41.228583705755</v>
      </c>
      <c r="E217" s="387">
        <f t="shared" si="75"/>
        <v>43.03406582334717</v>
      </c>
      <c r="F217" s="387">
        <f t="shared" si="78"/>
        <v>43.037568083644949</v>
      </c>
      <c r="G217" s="110">
        <f t="shared" si="76"/>
        <v>0.70582639439676542</v>
      </c>
      <c r="H217" s="416" t="b">
        <f>Wh_hp&gt;='2025'!Maxi_hp</f>
        <v>0</v>
      </c>
      <c r="I217" s="392">
        <f>IF(H217,Wh_hp,'2025'!Maxi_hp)</f>
        <v>55.801996612148457</v>
      </c>
      <c r="J217" s="85">
        <f>IF(H217,An,'2025'!An_max)</f>
        <v>2021</v>
      </c>
      <c r="K217" s="199">
        <f t="shared" si="79"/>
        <v>46225</v>
      </c>
      <c r="L217" s="147">
        <f>IF(t&lt;Tvie,1-EXP((T0-t)*PertePVj)+'2025'!Pspv,1-EXP((T0-t)*PertePVj)+Pspv)</f>
        <v>6.5522082531585868E-2</v>
      </c>
      <c r="M217" s="872"/>
      <c r="N217" s="872"/>
      <c r="O217" s="48">
        <f>IF(t&lt;Tnet,'2025'!Resal+('2025'!Salim-'2025'!Resal)*(1-EXP(('2025'!Tnet-t)/('2025'!Tau_j))),Resal+(Salim-Resal)*(1-EXP((Tnet-t)/(Tau_j))))*Salcycl</f>
        <v>4.1954718501467848E-2</v>
      </c>
      <c r="P217" s="171">
        <f>(INDEX(Models!$BJ217:$BT217,,T217)*(1-R217)+INDEX(Models!$BJ217:$BT217,,T217+1)*R217-ERP_i)*Q217*Ramure*Pc/MaxiM</f>
        <v>1.4035047913198948E-4</v>
      </c>
      <c r="Q217" s="307">
        <f t="shared" si="80"/>
        <v>0.9</v>
      </c>
      <c r="R217" s="179">
        <f t="shared" si="81"/>
        <v>0.45907457135700236</v>
      </c>
      <c r="S217" s="839">
        <f t="shared" si="82"/>
        <v>-2</v>
      </c>
      <c r="T217" s="178">
        <f t="shared" si="83"/>
        <v>4</v>
      </c>
      <c r="U217" s="253">
        <f t="shared" si="84"/>
        <v>-1.5409254286429976</v>
      </c>
      <c r="V217" s="385">
        <f t="shared" si="85"/>
        <v>54.581309330887237</v>
      </c>
      <c r="W217" s="404">
        <f t="shared" si="86"/>
        <v>38.527201041526126</v>
      </c>
      <c r="X217" s="157">
        <f t="shared" si="87"/>
        <v>46225</v>
      </c>
      <c r="Y217" s="387">
        <f t="shared" si="88"/>
        <v>34.194352939027404</v>
      </c>
      <c r="Z217" s="387">
        <f t="shared" si="89"/>
        <v>36.591932564509413</v>
      </c>
      <c r="AA217" s="388">
        <f t="shared" si="90"/>
        <v>42.97161700732083</v>
      </c>
      <c r="AB217" s="199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0.14846275023172961</v>
      </c>
      <c r="AD217" s="233">
        <f>(INDEX(Models!$BJ217:$BT217,,AH217)*(1-AF217)+INDEX(Models!$BJ217:$BT217,,AH217+1)*AF217-ERP_i)*AE217*Ramure*Pc/MaxiM</f>
        <v>2.6429403797401411E-3</v>
      </c>
      <c r="AE217" s="307">
        <f t="shared" si="92"/>
        <v>0.9</v>
      </c>
      <c r="AF217" s="179">
        <f t="shared" si="93"/>
        <v>9.4730223663981317E-2</v>
      </c>
      <c r="AG217" s="839">
        <f t="shared" si="99"/>
        <v>3</v>
      </c>
      <c r="AH217" s="178">
        <f t="shared" si="94"/>
        <v>9</v>
      </c>
      <c r="AI217" s="227">
        <f t="shared" si="95"/>
        <v>3.0947302236639813</v>
      </c>
      <c r="AJ217" s="267" t="b">
        <f t="shared" si="96"/>
        <v>0</v>
      </c>
      <c r="AK217" s="267" t="b">
        <f t="shared" si="97"/>
        <v>0</v>
      </c>
      <c r="AL217" s="267"/>
      <c r="AM217" s="267"/>
      <c r="AN217" s="75"/>
    </row>
    <row r="218" spans="1:40" s="6" customFormat="1" ht="11.25" x14ac:dyDescent="0.2">
      <c r="A218" s="56">
        <f t="shared" si="98"/>
        <v>46226</v>
      </c>
      <c r="B218" s="413">
        <f>'2025'!Wh/'2025'!Env_an*'2026'!Env_an</f>
        <v>48.11237565765628</v>
      </c>
      <c r="C218" s="868"/>
      <c r="D218" s="395">
        <f t="shared" si="77"/>
        <v>51.487032951325084</v>
      </c>
      <c r="E218" s="387">
        <f t="shared" si="75"/>
        <v>53.753719192961043</v>
      </c>
      <c r="F218" s="387">
        <f t="shared" si="78"/>
        <v>53.760491104216769</v>
      </c>
      <c r="G218" s="110">
        <f t="shared" si="76"/>
        <v>0.8838464578202001</v>
      </c>
      <c r="H218" s="416" t="b">
        <f>Wh_hp&gt;='2025'!Maxi_hp</f>
        <v>0</v>
      </c>
      <c r="I218" s="392">
        <f>IF(H218,Wh_hp,'2025'!Maxi_hp)</f>
        <v>56.868046767934125</v>
      </c>
      <c r="J218" s="85">
        <f>IF(H218,An,'2025'!An_max)</f>
        <v>2019</v>
      </c>
      <c r="K218" s="199">
        <f t="shared" si="79"/>
        <v>46226</v>
      </c>
      <c r="L218" s="147">
        <f>IF(t&lt;Tvie,1-EXP((T0-t)*PertePVj)+'2025'!Pspv,1-EXP((T0-t)*PertePVj)+Pspv)</f>
        <v>6.5543829197909798E-2</v>
      </c>
      <c r="M218" s="872"/>
      <c r="N218" s="872"/>
      <c r="O218" s="48">
        <f>IF(t&lt;Tnet,'2025'!Resal+('2025'!Salim-'2025'!Resal)*(1-EXP(('2025'!Tnet-t)/('2025'!Tau_j))),Resal+(Salim-Resal)*(1-EXP((Tnet-t)/(Tau_j))))*Salcycl</f>
        <v>4.2167989037171248E-2</v>
      </c>
      <c r="P218" s="171">
        <f>(INDEX(Models!$BJ218:$BT218,,T218)*(1-R218)+INDEX(Models!$BJ218:$BT218,,T218+1)*R218-ERP_i)*Q218*Ramure*Pc/MaxiM</f>
        <v>1.5101877633589783E-4</v>
      </c>
      <c r="Q218" s="307">
        <f t="shared" si="80"/>
        <v>0.9</v>
      </c>
      <c r="R218" s="179">
        <f t="shared" si="81"/>
        <v>0.46271802902258741</v>
      </c>
      <c r="S218" s="839">
        <f t="shared" si="82"/>
        <v>-2</v>
      </c>
      <c r="T218" s="178">
        <f t="shared" si="83"/>
        <v>4</v>
      </c>
      <c r="U218" s="253">
        <f t="shared" si="84"/>
        <v>-1.5372819709774126</v>
      </c>
      <c r="V218" s="385">
        <f t="shared" si="85"/>
        <v>54.433855176377719</v>
      </c>
      <c r="W218" s="404">
        <f t="shared" si="86"/>
        <v>48.11237565765628</v>
      </c>
      <c r="X218" s="157">
        <f t="shared" si="87"/>
        <v>46226</v>
      </c>
      <c r="Y218" s="387">
        <f t="shared" si="88"/>
        <v>42.672697330644787</v>
      </c>
      <c r="Z218" s="387">
        <f t="shared" si="89"/>
        <v>45.665809338084514</v>
      </c>
      <c r="AA218" s="388">
        <f t="shared" si="90"/>
        <v>53.633806307366577</v>
      </c>
      <c r="AB218" s="199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0.14856295903406089</v>
      </c>
      <c r="AD218" s="233">
        <f>(INDEX(Models!$BJ218:$BT218,,AH218)*(1-AF218)+INDEX(Models!$BJ218:$BT218,,AH218+1)*AF218-ERP_i)*AE218*Ramure*Pc/MaxiM</f>
        <v>2.8251674125961547E-3</v>
      </c>
      <c r="AE218" s="307">
        <f t="shared" si="92"/>
        <v>0.9</v>
      </c>
      <c r="AF218" s="179">
        <f t="shared" si="93"/>
        <v>9.8373681329566587E-2</v>
      </c>
      <c r="AG218" s="839">
        <f t="shared" si="99"/>
        <v>3</v>
      </c>
      <c r="AH218" s="178">
        <f t="shared" si="94"/>
        <v>9</v>
      </c>
      <c r="AI218" s="227">
        <f t="shared" si="95"/>
        <v>3.0983736813295666</v>
      </c>
      <c r="AJ218" s="267" t="b">
        <f t="shared" si="96"/>
        <v>0</v>
      </c>
      <c r="AK218" s="267" t="b">
        <f t="shared" si="97"/>
        <v>0</v>
      </c>
      <c r="AL218" s="267"/>
      <c r="AM218" s="267"/>
      <c r="AN218" s="75"/>
    </row>
    <row r="219" spans="1:40" s="6" customFormat="1" ht="11.25" x14ac:dyDescent="0.2">
      <c r="A219" s="56">
        <f t="shared" si="98"/>
        <v>46227</v>
      </c>
      <c r="B219" s="413">
        <f>'2025'!Wh/'2025'!Env_an*'2026'!Env_an</f>
        <v>50.703010780146002</v>
      </c>
      <c r="C219" s="868"/>
      <c r="D219" s="395">
        <f t="shared" si="77"/>
        <v>54.260640921464159</v>
      </c>
      <c r="E219" s="387">
        <f t="shared" si="75"/>
        <v>56.662019182155419</v>
      </c>
      <c r="F219" s="387">
        <f t="shared" si="78"/>
        <v>56.670347924265386</v>
      </c>
      <c r="G219" s="110">
        <f t="shared" si="76"/>
        <v>0.93400083986794646</v>
      </c>
      <c r="H219" s="416" t="b">
        <f>Wh_hp&gt;='2025'!Maxi_hp</f>
        <v>0</v>
      </c>
      <c r="I219" s="392">
        <f>IF(H219,Wh_hp,'2025'!Maxi_hp)</f>
        <v>57.12402573643886</v>
      </c>
      <c r="J219" s="85">
        <f>IF(H219,An,'2025'!An_max)</f>
        <v>2019</v>
      </c>
      <c r="K219" s="199">
        <f t="shared" si="79"/>
        <v>46227</v>
      </c>
      <c r="L219" s="147">
        <f>IF(t&lt;Tvie,1-EXP((T0-t)*PertePVj)+'2025'!Pspv,1-EXP((T0-t)*PertePVj)+Pspv)</f>
        <v>6.5565575358156991E-2</v>
      </c>
      <c r="M219" s="872"/>
      <c r="N219" s="872"/>
      <c r="O219" s="48">
        <f>IF(t&lt;Tnet,'2025'!Resal+('2025'!Salim-'2025'!Resal)*(1-EXP(('2025'!Tnet-t)/('2025'!Tau_j))),Resal+(Salim-Resal)*(1-EXP((Tnet-t)/(Tau_j))))*Salcycl</f>
        <v>4.2380739256244686E-2</v>
      </c>
      <c r="P219" s="171">
        <f>(INDEX(Models!$BJ219:$BT219,,T219)*(1-R219)+INDEX(Models!$BJ219:$BT219,,T219+1)*R219-ERP_i)*Q219*Ramure*Pc/MaxiM</f>
        <v>1.6226391685542776E-4</v>
      </c>
      <c r="Q219" s="307">
        <f t="shared" si="80"/>
        <v>0.9</v>
      </c>
      <c r="R219" s="179">
        <f t="shared" si="81"/>
        <v>0.46625698268261573</v>
      </c>
      <c r="S219" s="839">
        <f t="shared" si="82"/>
        <v>-2</v>
      </c>
      <c r="T219" s="178">
        <f t="shared" si="83"/>
        <v>4</v>
      </c>
      <c r="U219" s="253">
        <f t="shared" si="84"/>
        <v>-1.5337430173173843</v>
      </c>
      <c r="V219" s="385">
        <f t="shared" si="85"/>
        <v>54.284999505117774</v>
      </c>
      <c r="W219" s="404">
        <f t="shared" si="86"/>
        <v>50.703010780146002</v>
      </c>
      <c r="X219" s="157">
        <f t="shared" si="87"/>
        <v>46227</v>
      </c>
      <c r="Y219" s="387">
        <f t="shared" si="88"/>
        <v>44.959037118454852</v>
      </c>
      <c r="Z219" s="387">
        <f t="shared" si="89"/>
        <v>48.113635299434826</v>
      </c>
      <c r="AA219" s="388">
        <f t="shared" si="90"/>
        <v>56.515315638808758</v>
      </c>
      <c r="AB219" s="199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0.14866200859726855</v>
      </c>
      <c r="AD219" s="233">
        <f>(INDEX(Models!$BJ219:$BT219,,AH219)*(1-AF219)+INDEX(Models!$BJ219:$BT219,,AH219+1)*AF219-ERP_i)*AE219*Ramure*Pc/MaxiM</f>
        <v>3.0204015858683961E-3</v>
      </c>
      <c r="AE219" s="307">
        <f t="shared" si="92"/>
        <v>0.9</v>
      </c>
      <c r="AF219" s="179">
        <f t="shared" si="93"/>
        <v>0.10191263498959469</v>
      </c>
      <c r="AG219" s="839">
        <f t="shared" si="99"/>
        <v>3</v>
      </c>
      <c r="AH219" s="178">
        <f t="shared" si="94"/>
        <v>9</v>
      </c>
      <c r="AI219" s="227">
        <f t="shared" si="95"/>
        <v>3.1019126349895947</v>
      </c>
      <c r="AJ219" s="267" t="b">
        <f t="shared" si="96"/>
        <v>0</v>
      </c>
      <c r="AK219" s="267" t="b">
        <f t="shared" si="97"/>
        <v>0</v>
      </c>
      <c r="AL219" s="267"/>
      <c r="AM219" s="267"/>
      <c r="AN219" s="75"/>
    </row>
    <row r="220" spans="1:40" s="6" customFormat="1" ht="11.25" x14ac:dyDescent="0.2">
      <c r="A220" s="56">
        <f t="shared" si="98"/>
        <v>46228</v>
      </c>
      <c r="B220" s="413">
        <f>'2025'!Wh/'2025'!Env_an*'2026'!Env_an</f>
        <v>30.63354107044254</v>
      </c>
      <c r="C220" s="868"/>
      <c r="D220" s="395">
        <f t="shared" si="77"/>
        <v>32.783738662055406</v>
      </c>
      <c r="E220" s="387">
        <f t="shared" si="75"/>
        <v>34.242216930183531</v>
      </c>
      <c r="F220" s="387">
        <f t="shared" si="78"/>
        <v>34.244489465363444</v>
      </c>
      <c r="G220" s="110">
        <f t="shared" si="76"/>
        <v>0.5658162394363464</v>
      </c>
      <c r="H220" s="416" t="b">
        <f>Wh_hp&gt;='2025'!Maxi_hp</f>
        <v>0</v>
      </c>
      <c r="I220" s="392">
        <f>IF(H220,Wh_hp,'2025'!Maxi_hp)</f>
        <v>58.709047096297212</v>
      </c>
      <c r="J220" s="85">
        <f>IF(H220,An,'2025'!An_max)</f>
        <v>2020</v>
      </c>
      <c r="K220" s="199">
        <f t="shared" si="79"/>
        <v>46228</v>
      </c>
      <c r="L220" s="147">
        <f>IF(t&lt;Tvie,1-EXP((T0-t)*PertePVj)+'2025'!Pspv,1-EXP((T0-t)*PertePVj)+Pspv)</f>
        <v>6.5587321012339217E-2</v>
      </c>
      <c r="M220" s="872"/>
      <c r="N220" s="872"/>
      <c r="O220" s="48">
        <f>IF(t&lt;Tnet,'2025'!Resal+('2025'!Salim-'2025'!Resal)*(1-EXP(('2025'!Tnet-t)/('2025'!Tau_j))),Resal+(Salim-Resal)*(1-EXP((Tnet-t)/(Tau_j))))*Salcycl</f>
        <v>4.2592986052912819E-2</v>
      </c>
      <c r="P220" s="171">
        <f>(INDEX(Models!$BJ220:$BT220,,T220)*(1-R220)+INDEX(Models!$BJ220:$BT220,,T220+1)*R220-ERP_i)*Q220*Ramure*Pc/MaxiM</f>
        <v>1.7471744721124795E-4</v>
      </c>
      <c r="Q220" s="307">
        <f t="shared" si="80"/>
        <v>0.9</v>
      </c>
      <c r="R220" s="179">
        <f t="shared" si="81"/>
        <v>0.46969300406460457</v>
      </c>
      <c r="S220" s="839">
        <f t="shared" si="82"/>
        <v>-2</v>
      </c>
      <c r="T220" s="178">
        <f t="shared" si="83"/>
        <v>4</v>
      </c>
      <c r="U220" s="253">
        <f t="shared" si="84"/>
        <v>-1.5303069959353954</v>
      </c>
      <c r="V220" s="385">
        <f t="shared" si="85"/>
        <v>54.13457480779028</v>
      </c>
      <c r="W220" s="404">
        <f t="shared" si="86"/>
        <v>30.63354107044254</v>
      </c>
      <c r="X220" s="157">
        <f t="shared" si="87"/>
        <v>46228</v>
      </c>
      <c r="Y220" s="387">
        <f t="shared" si="88"/>
        <v>27.20486250867441</v>
      </c>
      <c r="Z220" s="387">
        <f t="shared" si="89"/>
        <v>29.114397867704511</v>
      </c>
      <c r="AA220" s="388">
        <f t="shared" si="90"/>
        <v>34.202336445612318</v>
      </c>
      <c r="AB220" s="199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0.14875997100369201</v>
      </c>
      <c r="AD220" s="233">
        <f>(INDEX(Models!$BJ220:$BT220,,AH220)*(1-AF220)+INDEX(Models!$BJ220:$BT220,,AH220+1)*AF220-ERP_i)*AE220*Ramure*Pc/MaxiM</f>
        <v>3.2408158378581416E-3</v>
      </c>
      <c r="AE220" s="307">
        <f t="shared" si="92"/>
        <v>0.9</v>
      </c>
      <c r="AF220" s="179">
        <f t="shared" si="93"/>
        <v>0.10534865637158353</v>
      </c>
      <c r="AG220" s="839">
        <f t="shared" si="99"/>
        <v>3</v>
      </c>
      <c r="AH220" s="178">
        <f t="shared" si="94"/>
        <v>9</v>
      </c>
      <c r="AI220" s="227">
        <f t="shared" si="95"/>
        <v>3.1053486563715835</v>
      </c>
      <c r="AJ220" s="267" t="b">
        <f t="shared" si="96"/>
        <v>0</v>
      </c>
      <c r="AK220" s="267" t="b">
        <f t="shared" si="97"/>
        <v>0</v>
      </c>
      <c r="AL220" s="267"/>
      <c r="AM220" s="267"/>
      <c r="AN220" s="75"/>
    </row>
    <row r="221" spans="1:40" s="6" customFormat="1" ht="11.25" x14ac:dyDescent="0.2">
      <c r="A221" s="56">
        <f t="shared" si="98"/>
        <v>46229</v>
      </c>
      <c r="B221" s="413">
        <f>'2025'!Wh/'2025'!Env_an*'2026'!Env_an</f>
        <v>51.842938852216911</v>
      </c>
      <c r="C221" s="868"/>
      <c r="D221" s="395">
        <f t="shared" si="77"/>
        <v>55.483135564241465</v>
      </c>
      <c r="E221" s="387">
        <f t="shared" si="75"/>
        <v>57.964281892189689</v>
      </c>
      <c r="F221" s="387">
        <f t="shared" si="78"/>
        <v>57.974566395658812</v>
      </c>
      <c r="G221" s="110">
        <f t="shared" si="76"/>
        <v>0.96035721149104192</v>
      </c>
      <c r="H221" s="416" t="b">
        <f>Wh_hp&gt;='2025'!Maxi_hp</f>
        <v>0</v>
      </c>
      <c r="I221" s="392">
        <f>IF(H221,Wh_hp,'2025'!Maxi_hp)</f>
        <v>58.036306990108471</v>
      </c>
      <c r="J221" s="85">
        <f>IF(H221,An,'2025'!An_max)</f>
        <v>2020</v>
      </c>
      <c r="K221" s="199">
        <f t="shared" si="79"/>
        <v>46229</v>
      </c>
      <c r="L221" s="147">
        <f>IF(t&lt;Tvie,1-EXP((T0-t)*PertePVj)+'2025'!Pspv,1-EXP((T0-t)*PertePVj)+Pspv)</f>
        <v>6.5609066160468354E-2</v>
      </c>
      <c r="M221" s="872"/>
      <c r="N221" s="872"/>
      <c r="O221" s="48">
        <f>IF(t&lt;Tnet,'2025'!Resal+('2025'!Salim-'2025'!Resal)*(1-EXP(('2025'!Tnet-t)/('2025'!Tau_j))),Resal+(Salim-Resal)*(1-EXP((Tnet-t)/(Tau_j))))*Salcycl</f>
        <v>4.2804745387219983E-2</v>
      </c>
      <c r="P221" s="171">
        <f>(INDEX(Models!$BJ221:$BT221,,T221)*(1-R221)+INDEX(Models!$BJ221:$BT221,,T221+1)*R221-ERP_i)*Q221*Ramure*Pc/MaxiM</f>
        <v>1.8804344950140503E-4</v>
      </c>
      <c r="Q221" s="307">
        <f t="shared" si="80"/>
        <v>0.9</v>
      </c>
      <c r="R221" s="179">
        <f t="shared" si="81"/>
        <v>0.47302774355360722</v>
      </c>
      <c r="S221" s="839">
        <f t="shared" si="82"/>
        <v>-2</v>
      </c>
      <c r="T221" s="178">
        <f t="shared" si="83"/>
        <v>4</v>
      </c>
      <c r="U221" s="253">
        <f t="shared" si="84"/>
        <v>-1.5269722564463928</v>
      </c>
      <c r="V221" s="385">
        <f t="shared" si="85"/>
        <v>53.982399654196122</v>
      </c>
      <c r="W221" s="404">
        <f t="shared" si="86"/>
        <v>51.842938852216911</v>
      </c>
      <c r="X221" s="157">
        <f t="shared" si="87"/>
        <v>46229</v>
      </c>
      <c r="Y221" s="387">
        <f t="shared" si="88"/>
        <v>45.955580419278199</v>
      </c>
      <c r="Z221" s="387">
        <f t="shared" si="89"/>
        <v>49.182391175865604</v>
      </c>
      <c r="AA221" s="388">
        <f t="shared" si="90"/>
        <v>57.783928428040419</v>
      </c>
      <c r="AB221" s="199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0.14885691378505875</v>
      </c>
      <c r="AD221" s="233">
        <f>(INDEX(Models!$BJ221:$BT221,,AH221)*(1-AF221)+INDEX(Models!$BJ221:$BT221,,AH221+1)*AF221-ERP_i)*AE221*Ramure*Pc/MaxiM</f>
        <v>3.4856540371188058E-3</v>
      </c>
      <c r="AE221" s="307">
        <f t="shared" si="92"/>
        <v>0.9</v>
      </c>
      <c r="AF221" s="179">
        <f t="shared" si="93"/>
        <v>0.10868339586058617</v>
      </c>
      <c r="AG221" s="839">
        <f t="shared" si="99"/>
        <v>3</v>
      </c>
      <c r="AH221" s="178">
        <f t="shared" si="94"/>
        <v>9</v>
      </c>
      <c r="AI221" s="227">
        <f t="shared" si="95"/>
        <v>3.1086833958605862</v>
      </c>
      <c r="AJ221" s="267" t="b">
        <f t="shared" si="96"/>
        <v>0</v>
      </c>
      <c r="AK221" s="267" t="b">
        <f t="shared" si="97"/>
        <v>0</v>
      </c>
      <c r="AL221" s="267"/>
      <c r="AM221" s="267"/>
      <c r="AN221" s="75"/>
    </row>
    <row r="222" spans="1:40" s="6" customFormat="1" ht="11.25" x14ac:dyDescent="0.2">
      <c r="A222" s="56">
        <f t="shared" si="98"/>
        <v>46230</v>
      </c>
      <c r="B222" s="413">
        <f>'2025'!Wh/'2025'!Env_an*'2026'!Env_an</f>
        <v>54.56373314501441</v>
      </c>
      <c r="C222" s="868"/>
      <c r="D222" s="395">
        <f t="shared" si="77"/>
        <v>58.396331745357251</v>
      </c>
      <c r="E222" s="387">
        <f t="shared" si="75"/>
        <v>61.02122262303935</v>
      </c>
      <c r="F222" s="387">
        <f t="shared" si="78"/>
        <v>61.033566863458461</v>
      </c>
      <c r="G222" s="110">
        <f t="shared" si="76"/>
        <v>1.0136630640953654</v>
      </c>
      <c r="H222" s="416" t="b">
        <f>Wh_hp&gt;='2025'!Maxi_hp</f>
        <v>1</v>
      </c>
      <c r="I222" s="392">
        <f>IF(H222,Wh_hp,'2025'!Maxi_hp)</f>
        <v>61.033566863458461</v>
      </c>
      <c r="J222" s="85">
        <f>IF(H222,An,'2025'!An_max)</f>
        <v>2026</v>
      </c>
      <c r="K222" s="199">
        <f t="shared" si="79"/>
        <v>46230</v>
      </c>
      <c r="L222" s="147">
        <f>IF(t&lt;Tvie,1-EXP((T0-t)*PertePVj)+'2025'!Pspv,1-EXP((T0-t)*PertePVj)+Pspv)</f>
        <v>6.5630810802556061E-2</v>
      </c>
      <c r="M222" s="872"/>
      <c r="N222" s="872"/>
      <c r="O222" s="48">
        <f>IF(t&lt;Tnet,'2025'!Resal+('2025'!Salim-'2025'!Resal)*(1-EXP(('2025'!Tnet-t)/('2025'!Tau_j))),Resal+(Salim-Resal)*(1-EXP((Tnet-t)/(Tau_j))))*Salcycl</f>
        <v>4.301603220731013E-2</v>
      </c>
      <c r="P222" s="171">
        <f>(INDEX(Models!$BJ222:$BT222,,T222)*(1-R222)+INDEX(Models!$BJ222:$BT222,,T222+1)*R222-ERP_i)*Q222*Ramure*Pc/MaxiM</f>
        <v>2.0225330180567613E-4</v>
      </c>
      <c r="Q222" s="307">
        <f t="shared" si="80"/>
        <v>0.9</v>
      </c>
      <c r="R222" s="179">
        <f t="shared" si="81"/>
        <v>0.47626292166055917</v>
      </c>
      <c r="S222" s="839">
        <f t="shared" si="82"/>
        <v>-2</v>
      </c>
      <c r="T222" s="178">
        <f t="shared" si="83"/>
        <v>4</v>
      </c>
      <c r="U222" s="253">
        <f t="shared" si="84"/>
        <v>-1.5237370783394408</v>
      </c>
      <c r="V222" s="385">
        <f t="shared" si="85"/>
        <v>53.82827398738192</v>
      </c>
      <c r="W222" s="404">
        <f t="shared" si="86"/>
        <v>54.56373314501441</v>
      </c>
      <c r="X222" s="157">
        <f t="shared" si="87"/>
        <v>46230</v>
      </c>
      <c r="Y222" s="387">
        <f t="shared" si="88"/>
        <v>48.351162089372558</v>
      </c>
      <c r="Z222" s="387">
        <f t="shared" si="89"/>
        <v>51.74738491848467</v>
      </c>
      <c r="AA222" s="388">
        <f t="shared" si="90"/>
        <v>60.804372523894507</v>
      </c>
      <c r="AB222" s="199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0.14895289975816589</v>
      </c>
      <c r="AD222" s="233">
        <f>(INDEX(Models!$BJ222:$BT222,,AH222)*(1-AF222)+INDEX(Models!$BJ222:$BT222,,AH222+1)*AF222-ERP_i)*AE222*Ramure*Pc/MaxiM</f>
        <v>3.7552178472003346E-3</v>
      </c>
      <c r="AE222" s="307">
        <f t="shared" si="92"/>
        <v>0.9</v>
      </c>
      <c r="AF222" s="179">
        <f t="shared" si="93"/>
        <v>0.11191857396753813</v>
      </c>
      <c r="AG222" s="839">
        <f t="shared" si="99"/>
        <v>3</v>
      </c>
      <c r="AH222" s="178">
        <f t="shared" si="94"/>
        <v>9</v>
      </c>
      <c r="AI222" s="227">
        <f t="shared" si="95"/>
        <v>3.1119185739675381</v>
      </c>
      <c r="AJ222" s="267" t="b">
        <f t="shared" si="96"/>
        <v>0</v>
      </c>
      <c r="AK222" s="267" t="b">
        <f t="shared" si="97"/>
        <v>0</v>
      </c>
      <c r="AL222" s="267"/>
      <c r="AM222" s="267"/>
      <c r="AN222" s="75"/>
    </row>
    <row r="223" spans="1:40" s="6" customFormat="1" ht="11.25" x14ac:dyDescent="0.2">
      <c r="A223" s="56">
        <f t="shared" si="98"/>
        <v>46231</v>
      </c>
      <c r="B223" s="413">
        <f>'2025'!Wh/'2025'!Env_an*'2026'!Env_an</f>
        <v>46.523114581029837</v>
      </c>
      <c r="C223" s="868"/>
      <c r="D223" s="395">
        <f t="shared" si="77"/>
        <v>49.792092681297277</v>
      </c>
      <c r="E223" s="387">
        <f t="shared" si="75"/>
        <v>52.041691618983968</v>
      </c>
      <c r="F223" s="387">
        <f t="shared" si="78"/>
        <v>52.05085255567672</v>
      </c>
      <c r="G223" s="110">
        <f t="shared" si="76"/>
        <v>0.86676836730132889</v>
      </c>
      <c r="H223" s="416" t="b">
        <f>Wh_hp&gt;='2025'!Maxi_hp</f>
        <v>0</v>
      </c>
      <c r="I223" s="392">
        <f>IF(H223,Wh_hp,'2025'!Maxi_hp)</f>
        <v>61.3460462503919</v>
      </c>
      <c r="J223" s="85">
        <f>IF(H223,An,'2025'!An_max)</f>
        <v>2019</v>
      </c>
      <c r="K223" s="199">
        <f t="shared" si="79"/>
        <v>46231</v>
      </c>
      <c r="L223" s="147">
        <f>IF(t&lt;Tvie,1-EXP((T0-t)*PertePVj)+'2025'!Pspv,1-EXP((T0-t)*PertePVj)+Pspv)</f>
        <v>6.5652554938614216E-2</v>
      </c>
      <c r="M223" s="872"/>
      <c r="N223" s="872"/>
      <c r="O223" s="48">
        <f>IF(t&lt;Tnet,'2025'!Resal+('2025'!Salim-'2025'!Resal)*(1-EXP(('2025'!Tnet-t)/('2025'!Tau_j))),Resal+(Salim-Resal)*(1-EXP((Tnet-t)/(Tau_j))))*Salcycl</f>
        <v>4.3226860382572084E-2</v>
      </c>
      <c r="P223" s="171">
        <f>(INDEX(Models!$BJ223:$BT223,,T223)*(1-R223)+INDEX(Models!$BJ223:$BT223,,T223+1)*R223-ERP_i)*Q223*Ramure*Pc/MaxiM</f>
        <v>2.1735868438198391E-4</v>
      </c>
      <c r="Q223" s="307">
        <f t="shared" si="80"/>
        <v>0.9</v>
      </c>
      <c r="R223" s="179">
        <f t="shared" si="81"/>
        <v>0.47940032080177342</v>
      </c>
      <c r="S223" s="839">
        <f t="shared" si="82"/>
        <v>-2</v>
      </c>
      <c r="T223" s="178">
        <f t="shared" si="83"/>
        <v>4</v>
      </c>
      <c r="U223" s="253">
        <f t="shared" si="84"/>
        <v>-1.5205996791982266</v>
      </c>
      <c r="V223" s="385">
        <f t="shared" si="85"/>
        <v>53.67199802227784</v>
      </c>
      <c r="W223" s="404">
        <f t="shared" si="86"/>
        <v>46.523114581029837</v>
      </c>
      <c r="X223" s="157">
        <f t="shared" si="87"/>
        <v>46231</v>
      </c>
      <c r="Y223" s="387">
        <f t="shared" si="88"/>
        <v>41.24913375979304</v>
      </c>
      <c r="Z223" s="387">
        <f t="shared" si="89"/>
        <v>44.147532031923099</v>
      </c>
      <c r="AA223" s="388">
        <f t="shared" si="90"/>
        <v>51.880166392897927</v>
      </c>
      <c r="AB223" s="199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0.14904798690147186</v>
      </c>
      <c r="AD223" s="233">
        <f>(INDEX(Models!$BJ223:$BT223,,AH223)*(1-AF223)+INDEX(Models!$BJ223:$BT223,,AH223+1)*AF223-ERP_i)*AE223*Ramure*Pc/MaxiM</f>
        <v>4.0498172870432839E-3</v>
      </c>
      <c r="AE223" s="307">
        <f t="shared" si="92"/>
        <v>0.9</v>
      </c>
      <c r="AF223" s="179">
        <f t="shared" si="93"/>
        <v>0.1150559731087526</v>
      </c>
      <c r="AG223" s="839">
        <f t="shared" si="99"/>
        <v>3</v>
      </c>
      <c r="AH223" s="178">
        <f t="shared" si="94"/>
        <v>9</v>
      </c>
      <c r="AI223" s="227">
        <f t="shared" si="95"/>
        <v>3.1150559731087526</v>
      </c>
      <c r="AJ223" s="267" t="b">
        <f t="shared" si="96"/>
        <v>0</v>
      </c>
      <c r="AK223" s="267" t="b">
        <f t="shared" si="97"/>
        <v>0</v>
      </c>
      <c r="AL223" s="267"/>
      <c r="AM223" s="267"/>
      <c r="AN223" s="75"/>
    </row>
    <row r="224" spans="1:40" s="6" customFormat="1" ht="11.25" x14ac:dyDescent="0.2">
      <c r="A224" s="56">
        <f t="shared" si="98"/>
        <v>46232</v>
      </c>
      <c r="B224" s="413">
        <f>'2025'!Wh/'2025'!Env_an*'2026'!Env_an</f>
        <v>26.959038107282474</v>
      </c>
      <c r="C224" s="868"/>
      <c r="D224" s="395">
        <f t="shared" si="77"/>
        <v>28.854004621709997</v>
      </c>
      <c r="E224" s="387">
        <f t="shared" si="75"/>
        <v>30.164256761969757</v>
      </c>
      <c r="F224" s="387">
        <f t="shared" si="78"/>
        <v>30.166306208364468</v>
      </c>
      <c r="G224" s="110">
        <f t="shared" si="76"/>
        <v>0.5036979870344106</v>
      </c>
      <c r="H224" s="416" t="b">
        <f>Wh_hp&gt;='2025'!Maxi_hp</f>
        <v>0</v>
      </c>
      <c r="I224" s="392">
        <f>IF(H224,Wh_hp,'2025'!Maxi_hp)</f>
        <v>60.078998480863916</v>
      </c>
      <c r="J224" s="85">
        <f>IF(H224,An,'2025'!An_max)</f>
        <v>2019</v>
      </c>
      <c r="K224" s="199">
        <f t="shared" si="79"/>
        <v>46232</v>
      </c>
      <c r="L224" s="147">
        <f>IF(t&lt;Tvie,1-EXP((T0-t)*PertePVj)+'2025'!Pspv,1-EXP((T0-t)*PertePVj)+Pspv)</f>
        <v>6.5674298568654588E-2</v>
      </c>
      <c r="M224" s="872"/>
      <c r="N224" s="872"/>
      <c r="O224" s="48">
        <f>IF(t&lt;Tnet,'2025'!Resal+('2025'!Salim-'2025'!Resal)*(1-EXP(('2025'!Tnet-t)/('2025'!Tau_j))),Resal+(Salim-Resal)*(1-EXP((Tnet-t)/(Tau_j))))*Salcycl</f>
        <v>4.3437242647784716E-2</v>
      </c>
      <c r="P224" s="171">
        <f>(INDEX(Models!$BJ224:$BT224,,T224)*(1-R224)+INDEX(Models!$BJ224:$BT224,,T224+1)*R224-ERP_i)*Q224*Ramure*Pc/MaxiM</f>
        <v>2.3337163312075625E-4</v>
      </c>
      <c r="Q224" s="307">
        <f t="shared" si="80"/>
        <v>0.9</v>
      </c>
      <c r="R224" s="179">
        <f t="shared" si="81"/>
        <v>0.48244177740742011</v>
      </c>
      <c r="S224" s="839">
        <f t="shared" si="82"/>
        <v>-2</v>
      </c>
      <c r="T224" s="178">
        <f t="shared" si="83"/>
        <v>4</v>
      </c>
      <c r="U224" s="253">
        <f t="shared" si="84"/>
        <v>-1.5175582225925799</v>
      </c>
      <c r="V224" s="385">
        <f t="shared" si="85"/>
        <v>53.513372245910453</v>
      </c>
      <c r="W224" s="404">
        <f t="shared" si="86"/>
        <v>26.959038107282474</v>
      </c>
      <c r="X224" s="157">
        <f t="shared" si="87"/>
        <v>46232</v>
      </c>
      <c r="Y224" s="387">
        <f t="shared" si="88"/>
        <v>23.951051142019132</v>
      </c>
      <c r="Z224" s="387">
        <f t="shared" si="89"/>
        <v>25.634584498025887</v>
      </c>
      <c r="AA224" s="388">
        <f t="shared" si="90"/>
        <v>30.127931306262273</v>
      </c>
      <c r="AB224" s="199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0.1491422282718235</v>
      </c>
      <c r="AD224" s="233">
        <f>(INDEX(Models!$BJ224:$BT224,,AH224)*(1-AF224)+INDEX(Models!$BJ224:$BT224,,AH224+1)*AF224-ERP_i)*AE224*Ramure*Pc/MaxiM</f>
        <v>4.3697720504145849E-3</v>
      </c>
      <c r="AE224" s="307">
        <f t="shared" si="92"/>
        <v>0.9</v>
      </c>
      <c r="AF224" s="179">
        <f t="shared" si="93"/>
        <v>0.11809742971439885</v>
      </c>
      <c r="AG224" s="839">
        <f t="shared" si="99"/>
        <v>3</v>
      </c>
      <c r="AH224" s="178">
        <f t="shared" si="94"/>
        <v>9</v>
      </c>
      <c r="AI224" s="227">
        <f t="shared" si="95"/>
        <v>3.1180974297143988</v>
      </c>
      <c r="AJ224" s="267" t="b">
        <f t="shared" si="96"/>
        <v>0</v>
      </c>
      <c r="AK224" s="267" t="b">
        <f t="shared" si="97"/>
        <v>0</v>
      </c>
      <c r="AL224" s="267"/>
      <c r="AM224" s="267"/>
      <c r="AN224" s="75"/>
    </row>
    <row r="225" spans="1:40" s="6" customFormat="1" ht="11.25" x14ac:dyDescent="0.2">
      <c r="A225" s="56">
        <f t="shared" si="98"/>
        <v>46233</v>
      </c>
      <c r="B225" s="413">
        <f>'2025'!Wh/'2025'!Env_an*'2026'!Env_an</f>
        <v>45.7492275602578</v>
      </c>
      <c r="C225" s="868"/>
      <c r="D225" s="395">
        <f t="shared" si="77"/>
        <v>48.966106964956225</v>
      </c>
      <c r="E225" s="387">
        <f t="shared" si="75"/>
        <v>51.200881600944285</v>
      </c>
      <c r="F225" s="387">
        <f t="shared" si="78"/>
        <v>51.211090421341851</v>
      </c>
      <c r="G225" s="110">
        <f t="shared" si="76"/>
        <v>0.85745101568677307</v>
      </c>
      <c r="H225" s="416" t="b">
        <f>Wh_hp&gt;='2025'!Maxi_hp</f>
        <v>0</v>
      </c>
      <c r="I225" s="392">
        <f>IF(H225,Wh_hp,'2025'!Maxi_hp)</f>
        <v>51.973078310921963</v>
      </c>
      <c r="J225" s="85">
        <f>IF(H225,An,'2025'!An_max)</f>
        <v>2020</v>
      </c>
      <c r="K225" s="199">
        <f t="shared" si="79"/>
        <v>46233</v>
      </c>
      <c r="L225" s="147">
        <f>IF(t&lt;Tvie,1-EXP((T0-t)*PertePVj)+'2025'!Pspv,1-EXP((T0-t)*PertePVj)+Pspv)</f>
        <v>6.5696041692688834E-2</v>
      </c>
      <c r="M225" s="872"/>
      <c r="N225" s="872"/>
      <c r="O225" s="48">
        <f>IF(t&lt;Tnet,'2025'!Resal+('2025'!Salim-'2025'!Resal)*(1-EXP(('2025'!Tnet-t)/('2025'!Tau_j))),Resal+(Salim-Resal)*(1-EXP((Tnet-t)/(Tau_j))))*Salcycl</f>
        <v>4.3647190558274353E-2</v>
      </c>
      <c r="P225" s="171">
        <f>(INDEX(Models!$BJ225:$BT225,,T225)*(1-R225)+INDEX(Models!$BJ225:$BT225,,T225+1)*R225-ERP_i)*Q225*Ramure*Pc/MaxiM</f>
        <v>2.5030459481409259E-4</v>
      </c>
      <c r="Q225" s="307">
        <f t="shared" si="80"/>
        <v>0.9</v>
      </c>
      <c r="R225" s="179">
        <f t="shared" si="81"/>
        <v>0.48538917437305562</v>
      </c>
      <c r="S225" s="839">
        <f t="shared" si="82"/>
        <v>-2</v>
      </c>
      <c r="T225" s="178">
        <f t="shared" si="83"/>
        <v>4</v>
      </c>
      <c r="U225" s="253">
        <f t="shared" si="84"/>
        <v>-1.5146108256269444</v>
      </c>
      <c r="V225" s="385">
        <f t="shared" si="85"/>
        <v>53.352197415906943</v>
      </c>
      <c r="W225" s="404">
        <f t="shared" si="86"/>
        <v>45.7492275602578</v>
      </c>
      <c r="X225" s="157">
        <f t="shared" si="87"/>
        <v>46233</v>
      </c>
      <c r="Y225" s="387">
        <f t="shared" si="88"/>
        <v>40.553415824582295</v>
      </c>
      <c r="Z225" s="387">
        <f t="shared" si="89"/>
        <v>43.404949175269863</v>
      </c>
      <c r="AA225" s="388">
        <f t="shared" si="90"/>
        <v>51.018769528425253</v>
      </c>
      <c r="AB225" s="199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0.14923567196016621</v>
      </c>
      <c r="AD225" s="233">
        <f>(INDEX(Models!$BJ225:$BT225,,AH225)*(1-AF225)+INDEX(Models!$BJ225:$BT225,,AH225+1)*AF225-ERP_i)*AE225*Ramure*Pc/MaxiM</f>
        <v>4.7154128783819926E-3</v>
      </c>
      <c r="AE225" s="307">
        <f t="shared" si="92"/>
        <v>0.9</v>
      </c>
      <c r="AF225" s="179">
        <f t="shared" si="93"/>
        <v>0.12104482668003458</v>
      </c>
      <c r="AG225" s="839">
        <f t="shared" si="99"/>
        <v>3</v>
      </c>
      <c r="AH225" s="178">
        <f t="shared" si="94"/>
        <v>9</v>
      </c>
      <c r="AI225" s="227">
        <f t="shared" si="95"/>
        <v>3.1210448266800346</v>
      </c>
      <c r="AJ225" s="267" t="b">
        <f t="shared" si="96"/>
        <v>0</v>
      </c>
      <c r="AK225" s="267" t="b">
        <f t="shared" si="97"/>
        <v>0</v>
      </c>
      <c r="AL225" s="267"/>
      <c r="AM225" s="267"/>
      <c r="AN225" s="75"/>
    </row>
    <row r="226" spans="1:40" s="6" customFormat="1" ht="11.25" x14ac:dyDescent="0.2">
      <c r="A226" s="56">
        <f t="shared" si="98"/>
        <v>46234</v>
      </c>
      <c r="B226" s="413">
        <f>'2025'!Wh/'2025'!Env_an*'2026'!Env_an</f>
        <v>50.505237634964296</v>
      </c>
      <c r="C226" s="868"/>
      <c r="D226" s="395">
        <f t="shared" si="77"/>
        <v>54.057796227774517</v>
      </c>
      <c r="E226" s="387">
        <f t="shared" si="75"/>
        <v>56.53733812188721</v>
      </c>
      <c r="F226" s="387">
        <f t="shared" si="78"/>
        <v>56.55149767642645</v>
      </c>
      <c r="G226" s="110">
        <f t="shared" si="76"/>
        <v>0.94953896290681916</v>
      </c>
      <c r="H226" s="416" t="b">
        <f>Wh_hp&gt;='2025'!Maxi_hp</f>
        <v>0</v>
      </c>
      <c r="I226" s="392">
        <f>IF(H226,Wh_hp,'2025'!Maxi_hp)</f>
        <v>56.552234243636178</v>
      </c>
      <c r="J226" s="85">
        <f>IF(H226,An,'2025'!An_max)</f>
        <v>2025</v>
      </c>
      <c r="K226" s="199">
        <f t="shared" si="79"/>
        <v>46234</v>
      </c>
      <c r="L226" s="147">
        <f>IF(t&lt;Tvie,1-EXP((T0-t)*PertePVj)+'2025'!Pspv,1-EXP((T0-t)*PertePVj)+Pspv)</f>
        <v>6.5717784310728944E-2</v>
      </c>
      <c r="M226" s="872"/>
      <c r="N226" s="872"/>
      <c r="O226" s="48">
        <f>IF(t&lt;Tnet,'2025'!Resal+('2025'!Salim-'2025'!Resal)*(1-EXP(('2025'!Tnet-t)/('2025'!Tau_j))),Resal+(Salim-Resal)*(1-EXP((Tnet-t)/(Tau_j))))*Salcycl</f>
        <v>4.385671445597801E-2</v>
      </c>
      <c r="P226" s="171">
        <f>(INDEX(Models!$BJ226:$BT226,,T226)*(1-R226)+INDEX(Models!$BJ226:$BT226,,T226+1)*R226-ERP_i)*Q226*Ramure*Pc/MaxiM</f>
        <v>2.698273476281925E-4</v>
      </c>
      <c r="Q226" s="307">
        <f t="shared" si="80"/>
        <v>0.9</v>
      </c>
      <c r="R226" s="179">
        <f t="shared" si="81"/>
        <v>0.48824443386471783</v>
      </c>
      <c r="S226" s="839">
        <f t="shared" si="82"/>
        <v>-2</v>
      </c>
      <c r="T226" s="178">
        <f t="shared" si="83"/>
        <v>4</v>
      </c>
      <c r="U226" s="253">
        <f t="shared" si="84"/>
        <v>-1.5117555661352822</v>
      </c>
      <c r="V226" s="385">
        <f t="shared" si="85"/>
        <v>53.188186413832717</v>
      </c>
      <c r="W226" s="404">
        <f t="shared" si="86"/>
        <v>50.505237634964296</v>
      </c>
      <c r="X226" s="157">
        <f t="shared" si="87"/>
        <v>46234</v>
      </c>
      <c r="Y226" s="387">
        <f t="shared" si="88"/>
        <v>44.733100408579169</v>
      </c>
      <c r="Z226" s="387">
        <f t="shared" si="89"/>
        <v>47.879644562833853</v>
      </c>
      <c r="AA226" s="388">
        <f t="shared" si="90"/>
        <v>56.284519634258892</v>
      </c>
      <c r="AB226" s="199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0.1493283610847273</v>
      </c>
      <c r="AD226" s="233">
        <f>(INDEX(Models!$BJ226:$BT226,,AH226)*(1-AF226)+INDEX(Models!$BJ226:$BT226,,AH226+1)*AF226-ERP_i)*AE226*Ramure*Pc/MaxiM</f>
        <v>5.0875878046440504E-3</v>
      </c>
      <c r="AE226" s="307">
        <f t="shared" si="92"/>
        <v>0.9</v>
      </c>
      <c r="AF226" s="179">
        <f t="shared" si="93"/>
        <v>0.12390008617169679</v>
      </c>
      <c r="AG226" s="839">
        <f t="shared" si="99"/>
        <v>3</v>
      </c>
      <c r="AH226" s="178">
        <f t="shared" si="94"/>
        <v>9</v>
      </c>
      <c r="AI226" s="227">
        <f t="shared" si="95"/>
        <v>3.1239000861716968</v>
      </c>
      <c r="AJ226" s="267" t="b">
        <f t="shared" si="96"/>
        <v>0</v>
      </c>
      <c r="AK226" s="267" t="b">
        <f t="shared" si="97"/>
        <v>0</v>
      </c>
      <c r="AL226" s="267"/>
      <c r="AM226" s="267"/>
      <c r="AN226" s="75"/>
    </row>
    <row r="227" spans="1:40" s="6" customFormat="1" ht="11.25" x14ac:dyDescent="0.2">
      <c r="A227" s="56">
        <f t="shared" si="98"/>
        <v>46235</v>
      </c>
      <c r="B227" s="413">
        <f>'2025'!Wh/'2025'!Env_an*'2026'!Env_an</f>
        <v>52.43531471641213</v>
      </c>
      <c r="C227" s="868"/>
      <c r="D227" s="395">
        <f t="shared" si="77"/>
        <v>56.124941811614086</v>
      </c>
      <c r="E227" s="387">
        <f t="shared" si="75"/>
        <v>58.71214063498298</v>
      </c>
      <c r="F227" s="387">
        <f t="shared" si="78"/>
        <v>58.729011141573316</v>
      </c>
      <c r="G227" s="110">
        <f t="shared" si="76"/>
        <v>0.98894643170746321</v>
      </c>
      <c r="H227" s="416" t="b">
        <f>Wh_hp&gt;='2025'!Maxi_hp</f>
        <v>0</v>
      </c>
      <c r="I227" s="392">
        <f>IF(H227,Wh_hp,'2025'!Maxi_hp)</f>
        <v>58.729191428163915</v>
      </c>
      <c r="J227" s="85">
        <f>IF(H227,An,'2025'!An_max)</f>
        <v>2025</v>
      </c>
      <c r="K227" s="199">
        <f t="shared" si="79"/>
        <v>46235</v>
      </c>
      <c r="L227" s="147">
        <f>IF(t&lt;Tvie,1-EXP((T0-t)*PertePVj)+'2025'!Pspv,1-EXP((T0-t)*PertePVj)+Pspv)</f>
        <v>6.5739526422786465E-2</v>
      </c>
      <c r="M227" s="872"/>
      <c r="N227" s="872"/>
      <c r="O227" s="48">
        <f>IF(t&lt;Tnet,'2025'!Resal+('2025'!Salim-'2025'!Resal)*(1-EXP(('2025'!Tnet-t)/('2025'!Tau_j))),Resal+(Salim-Resal)*(1-EXP((Tnet-t)/(Tau_j))))*Salcycl</f>
        <v>4.4065823446187563E-2</v>
      </c>
      <c r="P227" s="171">
        <f>(INDEX(Models!$BJ227:$BT227,,T227)*(1-R227)+INDEX(Models!$BJ227:$BT227,,T227+1)*R227-ERP_i)*Q227*Ramure*Pc/MaxiM</f>
        <v>2.9186710306161883E-4</v>
      </c>
      <c r="Q227" s="307">
        <f t="shared" si="80"/>
        <v>0.9</v>
      </c>
      <c r="R227" s="179">
        <f t="shared" si="81"/>
        <v>0.49100951048485486</v>
      </c>
      <c r="S227" s="839">
        <f t="shared" si="82"/>
        <v>-2</v>
      </c>
      <c r="T227" s="178">
        <f t="shared" si="83"/>
        <v>4</v>
      </c>
      <c r="U227" s="253">
        <f t="shared" si="84"/>
        <v>-1.5089904895151451</v>
      </c>
      <c r="V227" s="385">
        <f t="shared" si="85"/>
        <v>53.02114593937771</v>
      </c>
      <c r="W227" s="404">
        <f t="shared" si="86"/>
        <v>52.43531471641213</v>
      </c>
      <c r="X227" s="157">
        <f t="shared" si="87"/>
        <v>46235</v>
      </c>
      <c r="Y227" s="387">
        <f t="shared" si="88"/>
        <v>46.418259352275221</v>
      </c>
      <c r="Z227" s="387">
        <f t="shared" si="89"/>
        <v>49.684494490645818</v>
      </c>
      <c r="AA227" s="388">
        <f t="shared" si="90"/>
        <v>58.412511450892374</v>
      </c>
      <c r="AB227" s="199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0.14942033381982264</v>
      </c>
      <c r="AD227" s="233">
        <f>(INDEX(Models!$BJ227:$BT227,,AH227)*(1-AF227)+INDEX(Models!$BJ227:$BT227,,AH227+1)*AF227-ERP_i)*AE227*Ramure*Pc/MaxiM</f>
        <v>5.4755823332453685E-3</v>
      </c>
      <c r="AE227" s="307">
        <f t="shared" si="92"/>
        <v>0.9</v>
      </c>
      <c r="AF227" s="179">
        <f t="shared" si="93"/>
        <v>0.12666516279183382</v>
      </c>
      <c r="AG227" s="839">
        <f t="shared" si="99"/>
        <v>3</v>
      </c>
      <c r="AH227" s="178">
        <f t="shared" si="94"/>
        <v>9</v>
      </c>
      <c r="AI227" s="227">
        <f t="shared" si="95"/>
        <v>3.1266651627918338</v>
      </c>
      <c r="AJ227" s="267" t="b">
        <f t="shared" si="96"/>
        <v>0</v>
      </c>
      <c r="AK227" s="267" t="b">
        <f t="shared" si="97"/>
        <v>0</v>
      </c>
      <c r="AL227" s="267"/>
      <c r="AM227" s="267"/>
      <c r="AN227" s="75"/>
    </row>
    <row r="228" spans="1:40" s="6" customFormat="1" ht="11.25" x14ac:dyDescent="0.2">
      <c r="A228" s="56">
        <f t="shared" si="98"/>
        <v>46236</v>
      </c>
      <c r="B228" s="413">
        <f>'2025'!Wh/'2025'!Env_an*'2026'!Env_an</f>
        <v>50.575999550174544</v>
      </c>
      <c r="C228" s="868"/>
      <c r="D228" s="395">
        <f t="shared" si="77"/>
        <v>54.136055185236771</v>
      </c>
      <c r="E228" s="387">
        <f t="shared" si="75"/>
        <v>56.643938686497926</v>
      </c>
      <c r="F228" s="387">
        <f t="shared" si="78"/>
        <v>56.660767162590687</v>
      </c>
      <c r="G228" s="110">
        <f t="shared" si="76"/>
        <v>0.95693804773512114</v>
      </c>
      <c r="H228" s="416" t="b">
        <f>Wh_hp&gt;='2025'!Maxi_hp</f>
        <v>0</v>
      </c>
      <c r="I228" s="392">
        <f>IF(H228,Wh_hp,'2025'!Maxi_hp)</f>
        <v>57.016794472934762</v>
      </c>
      <c r="J228" s="85">
        <f>IF(H228,An,'2025'!An_max)</f>
        <v>2019</v>
      </c>
      <c r="K228" s="199">
        <f t="shared" si="79"/>
        <v>46236</v>
      </c>
      <c r="L228" s="147">
        <f>IF(t&lt;Tvie,1-EXP((T0-t)*PertePVj)+'2025'!Pspv,1-EXP((T0-t)*PertePVj)+Pspv)</f>
        <v>6.5761268028873276E-2</v>
      </c>
      <c r="M228" s="872"/>
      <c r="N228" s="872"/>
      <c r="O228" s="48">
        <f>IF(t&lt;Tnet,'2025'!Resal+('2025'!Salim-'2025'!Resal)*(1-EXP(('2025'!Tnet-t)/('2025'!Tau_j))),Resal+(Salim-Resal)*(1-EXP((Tnet-t)/(Tau_j))))*Salcycl</f>
        <v>4.4274525384636623E-2</v>
      </c>
      <c r="P228" s="171">
        <f>(INDEX(Models!$BJ228:$BT228,,T228)*(1-R228)+INDEX(Models!$BJ228:$BT228,,T228+1)*R228-ERP_i)*Q228*Ramure*Pc/MaxiM</f>
        <v>3.1646351678742525E-4</v>
      </c>
      <c r="Q228" s="307">
        <f t="shared" si="80"/>
        <v>0.9</v>
      </c>
      <c r="R228" s="179">
        <f t="shared" si="81"/>
        <v>0.49368638480334637</v>
      </c>
      <c r="S228" s="839">
        <f t="shared" si="82"/>
        <v>-2</v>
      </c>
      <c r="T228" s="178">
        <f t="shared" si="83"/>
        <v>4</v>
      </c>
      <c r="U228" s="253">
        <f t="shared" si="84"/>
        <v>-1.5063136151966536</v>
      </c>
      <c r="V228" s="385">
        <f t="shared" si="85"/>
        <v>52.85087701800574</v>
      </c>
      <c r="W228" s="404">
        <f t="shared" si="86"/>
        <v>50.575999550174544</v>
      </c>
      <c r="X228" s="157">
        <f t="shared" si="87"/>
        <v>46236</v>
      </c>
      <c r="Y228" s="387">
        <f t="shared" si="88"/>
        <v>44.771908254798568</v>
      </c>
      <c r="Z228" s="387">
        <f t="shared" si="89"/>
        <v>47.923412638154538</v>
      </c>
      <c r="AA228" s="388">
        <f t="shared" si="90"/>
        <v>56.348110050619866</v>
      </c>
      <c r="AB228" s="199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0.14951162345812608</v>
      </c>
      <c r="AD228" s="233">
        <f>(INDEX(Models!$BJ228:$BT228,,AH228)*(1-AF228)+INDEX(Models!$BJ228:$BT228,,AH228+1)*AF228-ERP_i)*AE228*Ramure*Pc/MaxiM</f>
        <v>5.8795917501655113E-3</v>
      </c>
      <c r="AE228" s="307">
        <f t="shared" si="92"/>
        <v>0.9</v>
      </c>
      <c r="AF228" s="179">
        <f t="shared" si="93"/>
        <v>0.12934203711032533</v>
      </c>
      <c r="AG228" s="839">
        <f t="shared" si="99"/>
        <v>3</v>
      </c>
      <c r="AH228" s="178">
        <f t="shared" si="94"/>
        <v>9</v>
      </c>
      <c r="AI228" s="227">
        <f t="shared" si="95"/>
        <v>3.1293420371103253</v>
      </c>
      <c r="AJ228" s="267" t="b">
        <f t="shared" si="96"/>
        <v>0</v>
      </c>
      <c r="AK228" s="267" t="b">
        <f t="shared" si="97"/>
        <v>0</v>
      </c>
      <c r="AL228" s="267"/>
      <c r="AM228" s="267"/>
      <c r="AN228" s="75"/>
    </row>
    <row r="229" spans="1:40" s="6" customFormat="1" ht="11.25" x14ac:dyDescent="0.2">
      <c r="A229" s="56">
        <f t="shared" si="98"/>
        <v>46237</v>
      </c>
      <c r="B229" s="413">
        <f>'2025'!Wh/'2025'!Env_an*'2026'!Env_an</f>
        <v>48.712637048030828</v>
      </c>
      <c r="C229" s="868"/>
      <c r="D229" s="395">
        <f t="shared" si="77"/>
        <v>52.142743628131363</v>
      </c>
      <c r="E229" s="387">
        <f t="shared" si="75"/>
        <v>54.570179474191306</v>
      </c>
      <c r="F229" s="387">
        <f t="shared" si="78"/>
        <v>54.586921749747908</v>
      </c>
      <c r="G229" s="110">
        <f t="shared" si="76"/>
        <v>0.92470469607296202</v>
      </c>
      <c r="H229" s="416" t="b">
        <f>Wh_hp&gt;='2025'!Maxi_hp</f>
        <v>0</v>
      </c>
      <c r="I229" s="392">
        <f>IF(H229,Wh_hp,'2025'!Maxi_hp)</f>
        <v>57.318775039173993</v>
      </c>
      <c r="J229" s="85">
        <f>IF(H229,An,'2025'!An_max)</f>
        <v>2019</v>
      </c>
      <c r="K229" s="199">
        <f t="shared" si="79"/>
        <v>46237</v>
      </c>
      <c r="L229" s="147">
        <f>IF(t&lt;Tvie,1-EXP((T0-t)*PertePVj)+'2025'!Pspv,1-EXP((T0-t)*PertePVj)+Pspv)</f>
        <v>6.5783009129001258E-2</v>
      </c>
      <c r="M229" s="872"/>
      <c r="N229" s="872"/>
      <c r="O229" s="48">
        <f>IF(t&lt;Tnet,'2025'!Resal+('2025'!Salim-'2025'!Resal)*(1-EXP(('2025'!Tnet-t)/('2025'!Tau_j))),Resal+(Salim-Resal)*(1-EXP((Tnet-t)/(Tau_j))))*Salcycl</f>
        <v>4.4482826874483496E-2</v>
      </c>
      <c r="P229" s="171">
        <f>(INDEX(Models!$BJ229:$BT229,,T229)*(1-R229)+INDEX(Models!$BJ229:$BT229,,T229+1)*R229-ERP_i)*Q229*Ramure*Pc/MaxiM</f>
        <v>3.4365715503001441E-4</v>
      </c>
      <c r="Q229" s="307">
        <f t="shared" si="80"/>
        <v>0.9</v>
      </c>
      <c r="R229" s="179">
        <f t="shared" si="81"/>
        <v>0.49627705725515847</v>
      </c>
      <c r="S229" s="839">
        <f t="shared" si="82"/>
        <v>-2</v>
      </c>
      <c r="T229" s="178">
        <f t="shared" si="83"/>
        <v>4</v>
      </c>
      <c r="U229" s="253">
        <f t="shared" si="84"/>
        <v>-1.5037229427448415</v>
      </c>
      <c r="V229" s="385">
        <f t="shared" si="85"/>
        <v>52.677180983995505</v>
      </c>
      <c r="W229" s="404">
        <f t="shared" si="86"/>
        <v>48.712637048030828</v>
      </c>
      <c r="X229" s="157">
        <f t="shared" si="87"/>
        <v>46237</v>
      </c>
      <c r="Y229" s="387">
        <f t="shared" si="88"/>
        <v>43.123078291896363</v>
      </c>
      <c r="Z229" s="387">
        <f t="shared" si="89"/>
        <v>46.15959537590021</v>
      </c>
      <c r="AA229" s="388">
        <f t="shared" si="90"/>
        <v>54.280007017298601</v>
      </c>
      <c r="AB229" s="199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0.14960225850395492</v>
      </c>
      <c r="AD229" s="233">
        <f>(INDEX(Models!$BJ229:$BT229,,AH229)*(1-AF229)+INDEX(Models!$BJ229:$BT229,,AH229+1)*AF229-ERP_i)*AE229*Ramure*Pc/MaxiM</f>
        <v>6.2998272507069786E-3</v>
      </c>
      <c r="AE229" s="307">
        <f t="shared" si="92"/>
        <v>0.9</v>
      </c>
      <c r="AF229" s="179">
        <f t="shared" si="93"/>
        <v>0.13193270956213743</v>
      </c>
      <c r="AG229" s="839">
        <f t="shared" si="99"/>
        <v>3</v>
      </c>
      <c r="AH229" s="178">
        <f t="shared" si="94"/>
        <v>9</v>
      </c>
      <c r="AI229" s="227">
        <f t="shared" si="95"/>
        <v>3.1319327095621374</v>
      </c>
      <c r="AJ229" s="267" t="b">
        <f t="shared" si="96"/>
        <v>0</v>
      </c>
      <c r="AK229" s="267" t="b">
        <f t="shared" si="97"/>
        <v>0</v>
      </c>
      <c r="AL229" s="267"/>
      <c r="AM229" s="267"/>
      <c r="AN229" s="75"/>
    </row>
    <row r="230" spans="1:40" s="6" customFormat="1" ht="11.25" x14ac:dyDescent="0.2">
      <c r="A230" s="56">
        <f t="shared" si="98"/>
        <v>46238</v>
      </c>
      <c r="B230" s="413">
        <f>'2025'!Wh/'2025'!Env_an*'2026'!Env_an</f>
        <v>45.247889834193366</v>
      </c>
      <c r="C230" s="868"/>
      <c r="D230" s="395">
        <f t="shared" si="77"/>
        <v>48.435152952004032</v>
      </c>
      <c r="E230" s="387">
        <f t="shared" si="75"/>
        <v>50.701018653289388</v>
      </c>
      <c r="F230" s="387">
        <f t="shared" si="78"/>
        <v>50.716222759138475</v>
      </c>
      <c r="G230" s="110">
        <f t="shared" si="76"/>
        <v>0.86180333511152074</v>
      </c>
      <c r="H230" s="416" t="b">
        <f>Wh_hp&gt;='2025'!Maxi_hp</f>
        <v>0</v>
      </c>
      <c r="I230" s="392">
        <f>IF(H230,Wh_hp,'2025'!Maxi_hp)</f>
        <v>52.926175209989978</v>
      </c>
      <c r="J230" s="85">
        <f>IF(H230,An,'2025'!An_max)</f>
        <v>2019</v>
      </c>
      <c r="K230" s="199">
        <f t="shared" si="79"/>
        <v>46238</v>
      </c>
      <c r="L230" s="147">
        <f>IF(t&lt;Tvie,1-EXP((T0-t)*PertePVj)+'2025'!Pspv,1-EXP((T0-t)*PertePVj)+Pspv)</f>
        <v>6.5804749723181954E-2</v>
      </c>
      <c r="M230" s="872"/>
      <c r="N230" s="872"/>
      <c r="O230" s="48">
        <f>IF(t&lt;Tnet,'2025'!Resal+('2025'!Salim-'2025'!Resal)*(1-EXP(('2025'!Tnet-t)/('2025'!Tau_j))),Resal+(Salim-Resal)*(1-EXP((Tnet-t)/(Tau_j))))*Salcycl</f>
        <v>4.4690733272641059E-2</v>
      </c>
      <c r="P230" s="171">
        <f>(INDEX(Models!$BJ230:$BT230,,T230)*(1-R230)+INDEX(Models!$BJ230:$BT230,,T230+1)*R230-ERP_i)*Q230*Ramure*Pc/MaxiM</f>
        <v>3.7348966999825844E-4</v>
      </c>
      <c r="Q230" s="307">
        <f t="shared" si="80"/>
        <v>0.9</v>
      </c>
      <c r="R230" s="179">
        <f t="shared" si="81"/>
        <v>0.49878354240370593</v>
      </c>
      <c r="S230" s="839">
        <f t="shared" si="82"/>
        <v>-2</v>
      </c>
      <c r="T230" s="178">
        <f t="shared" si="83"/>
        <v>4</v>
      </c>
      <c r="U230" s="253">
        <f t="shared" si="84"/>
        <v>-1.5012164575962941</v>
      </c>
      <c r="V230" s="385">
        <f t="shared" si="85"/>
        <v>52.499859466303526</v>
      </c>
      <c r="W230" s="404">
        <f t="shared" si="86"/>
        <v>45.247889834193366</v>
      </c>
      <c r="X230" s="157">
        <f t="shared" si="87"/>
        <v>46238</v>
      </c>
      <c r="Y230" s="387">
        <f t="shared" si="88"/>
        <v>40.068769572896635</v>
      </c>
      <c r="Z230" s="387">
        <f t="shared" si="89"/>
        <v>42.891215258291638</v>
      </c>
      <c r="AA230" s="388">
        <f t="shared" si="90"/>
        <v>50.441991036410435</v>
      </c>
      <c r="AB230" s="199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0.1496922627948693</v>
      </c>
      <c r="AD230" s="233">
        <f>(INDEX(Models!$BJ230:$BT230,,AH230)*(1-AF230)+INDEX(Models!$BJ230:$BT230,,AH230+1)*AF230-ERP_i)*AE230*Ramure*Pc/MaxiM</f>
        <v>6.7365168752019861E-3</v>
      </c>
      <c r="AE230" s="307">
        <f t="shared" si="92"/>
        <v>0.9</v>
      </c>
      <c r="AF230" s="179">
        <f t="shared" si="93"/>
        <v>0.13443919471068488</v>
      </c>
      <c r="AG230" s="839">
        <f t="shared" si="99"/>
        <v>3</v>
      </c>
      <c r="AH230" s="178">
        <f t="shared" si="94"/>
        <v>9</v>
      </c>
      <c r="AI230" s="227">
        <f t="shared" si="95"/>
        <v>3.1344391947106849</v>
      </c>
      <c r="AJ230" s="267" t="b">
        <f t="shared" si="96"/>
        <v>0</v>
      </c>
      <c r="AK230" s="267" t="b">
        <f t="shared" si="97"/>
        <v>0</v>
      </c>
      <c r="AL230" s="267"/>
      <c r="AM230" s="267"/>
      <c r="AN230" s="75"/>
    </row>
    <row r="231" spans="1:40" s="6" customFormat="1" ht="11.25" x14ac:dyDescent="0.2">
      <c r="A231" s="56">
        <f t="shared" si="98"/>
        <v>46239</v>
      </c>
      <c r="B231" s="413">
        <f>'2025'!Wh/'2025'!Env_an*'2026'!Env_an</f>
        <v>44.286181248171637</v>
      </c>
      <c r="C231" s="868"/>
      <c r="D231" s="395">
        <f t="shared" si="77"/>
        <v>47.406804801424961</v>
      </c>
      <c r="E231" s="387">
        <f t="shared" si="75"/>
        <v>49.635344859474642</v>
      </c>
      <c r="F231" s="387">
        <f t="shared" si="78"/>
        <v>49.651082030841152</v>
      </c>
      <c r="G231" s="110">
        <f t="shared" si="76"/>
        <v>0.84639381686558612</v>
      </c>
      <c r="H231" s="416" t="b">
        <f>Wh_hp&gt;='2025'!Maxi_hp</f>
        <v>0</v>
      </c>
      <c r="I231" s="392">
        <f>IF(H231,Wh_hp,'2025'!Maxi_hp)</f>
        <v>57.776003242992068</v>
      </c>
      <c r="J231" s="85">
        <f>IF(H231,An,'2025'!An_max)</f>
        <v>2020</v>
      </c>
      <c r="K231" s="199">
        <f t="shared" si="79"/>
        <v>46239</v>
      </c>
      <c r="L231" s="147">
        <f>IF(t&lt;Tvie,1-EXP((T0-t)*PertePVj)+'2025'!Pspv,1-EXP((T0-t)*PertePVj)+Pspv)</f>
        <v>6.5826489811427358E-2</v>
      </c>
      <c r="M231" s="872"/>
      <c r="N231" s="872"/>
      <c r="O231" s="48">
        <f>IF(t&lt;Tnet,'2025'!Resal+('2025'!Salim-'2025'!Resal)*(1-EXP(('2025'!Tnet-t)/('2025'!Tau_j))),Resal+(Salim-Resal)*(1-EXP((Tnet-t)/(Tau_j))))*Salcycl</f>
        <v>4.4898248704809463E-2</v>
      </c>
      <c r="P231" s="171">
        <f>(INDEX(Models!$BJ231:$BT231,,T231)*(1-R231)+INDEX(Models!$BJ231:$BT231,,T231+1)*R231-ERP_i)*Q231*Ramure*Pc/MaxiM</f>
        <v>4.0600398209194352E-4</v>
      </c>
      <c r="Q231" s="307">
        <f t="shared" si="80"/>
        <v>0.9</v>
      </c>
      <c r="R231" s="179">
        <f t="shared" si="81"/>
        <v>0.50120786356680513</v>
      </c>
      <c r="S231" s="839">
        <f t="shared" si="82"/>
        <v>-2</v>
      </c>
      <c r="T231" s="178">
        <f t="shared" si="83"/>
        <v>4</v>
      </c>
      <c r="U231" s="253">
        <f t="shared" si="84"/>
        <v>-1.4987921364331949</v>
      </c>
      <c r="V231" s="385">
        <f t="shared" si="85"/>
        <v>52.318714394373337</v>
      </c>
      <c r="W231" s="404">
        <f t="shared" si="86"/>
        <v>44.286181248171637</v>
      </c>
      <c r="X231" s="157">
        <f t="shared" si="87"/>
        <v>46239</v>
      </c>
      <c r="Y231" s="387">
        <f t="shared" si="88"/>
        <v>39.214095114099209</v>
      </c>
      <c r="Z231" s="387">
        <f t="shared" si="89"/>
        <v>41.977314370842556</v>
      </c>
      <c r="AA231" s="388">
        <f t="shared" si="90"/>
        <v>49.372393161980867</v>
      </c>
      <c r="AB231" s="199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0.14978165564866486</v>
      </c>
      <c r="AD231" s="233">
        <f>(INDEX(Models!$BJ231:$BT231,,AH231)*(1-AF231)+INDEX(Models!$BJ231:$BT231,,AH231+1)*AF231-ERP_i)*AE231*Ramure*Pc/MaxiM</f>
        <v>7.1899064887099729E-3</v>
      </c>
      <c r="AE231" s="307">
        <f t="shared" si="92"/>
        <v>0.9</v>
      </c>
      <c r="AF231" s="179">
        <f t="shared" si="93"/>
        <v>0.13686351587378409</v>
      </c>
      <c r="AG231" s="839">
        <f t="shared" si="99"/>
        <v>3</v>
      </c>
      <c r="AH231" s="178">
        <f t="shared" si="94"/>
        <v>9</v>
      </c>
      <c r="AI231" s="227">
        <f t="shared" si="95"/>
        <v>3.1368635158737841</v>
      </c>
      <c r="AJ231" s="267" t="b">
        <f t="shared" si="96"/>
        <v>0</v>
      </c>
      <c r="AK231" s="267" t="b">
        <f t="shared" si="97"/>
        <v>0</v>
      </c>
      <c r="AL231" s="267"/>
      <c r="AM231" s="267"/>
      <c r="AN231" s="75"/>
    </row>
    <row r="232" spans="1:40" s="6" customFormat="1" ht="11.25" x14ac:dyDescent="0.2">
      <c r="A232" s="56">
        <f t="shared" si="98"/>
        <v>46240</v>
      </c>
      <c r="B232" s="413">
        <f>'2025'!Wh/'2025'!Env_an*'2026'!Env_an</f>
        <v>46.94697482031588</v>
      </c>
      <c r="C232" s="868"/>
      <c r="D232" s="395">
        <f t="shared" si="77"/>
        <v>50.25626059654951</v>
      </c>
      <c r="E232" s="387">
        <f t="shared" si="75"/>
        <v>52.630163934409531</v>
      </c>
      <c r="F232" s="387">
        <f t="shared" si="78"/>
        <v>52.650093751479702</v>
      </c>
      <c r="G232" s="110">
        <f t="shared" si="76"/>
        <v>0.90045721854395222</v>
      </c>
      <c r="H232" s="416" t="b">
        <f>Wh_hp&gt;='2025'!Maxi_hp</f>
        <v>0</v>
      </c>
      <c r="I232" s="392">
        <f>IF(H232,Wh_hp,'2025'!Maxi_hp)</f>
        <v>56.847097363544755</v>
      </c>
      <c r="J232" s="85">
        <f>IF(H232,An,'2025'!An_max)</f>
        <v>2020</v>
      </c>
      <c r="K232" s="199">
        <f t="shared" si="79"/>
        <v>46240</v>
      </c>
      <c r="L232" s="147">
        <f>IF(t&lt;Tvie,1-EXP((T0-t)*PertePVj)+'2025'!Pspv,1-EXP((T0-t)*PertePVj)+Pspv)</f>
        <v>6.5848229393749125E-2</v>
      </c>
      <c r="M232" s="872"/>
      <c r="N232" s="872"/>
      <c r="O232" s="48">
        <f>IF(t&lt;Tnet,'2025'!Resal+('2025'!Salim-'2025'!Resal)*(1-EXP(('2025'!Tnet-t)/('2025'!Tau_j))),Resal+(Salim-Resal)*(1-EXP((Tnet-t)/(Tau_j))))*Salcycl</f>
        <v>4.5105376088482321E-2</v>
      </c>
      <c r="P232" s="171">
        <f>(INDEX(Models!$BJ232:$BT232,,T232)*(1-R232)+INDEX(Models!$BJ232:$BT232,,T232+1)*R232-ERP_i)*Q232*Ramure*Pc/MaxiM</f>
        <v>4.4124446954578255E-4</v>
      </c>
      <c r="Q232" s="307">
        <f t="shared" si="80"/>
        <v>0.9</v>
      </c>
      <c r="R232" s="179">
        <f t="shared" si="81"/>
        <v>0.50355204780014939</v>
      </c>
      <c r="S232" s="839">
        <f t="shared" si="82"/>
        <v>-2</v>
      </c>
      <c r="T232" s="178">
        <f t="shared" si="83"/>
        <v>4</v>
      </c>
      <c r="U232" s="253">
        <f t="shared" si="84"/>
        <v>-1.4964479521998506</v>
      </c>
      <c r="V232" s="385">
        <f t="shared" si="85"/>
        <v>52.133547982037385</v>
      </c>
      <c r="W232" s="404">
        <f t="shared" si="86"/>
        <v>46.94697482031588</v>
      </c>
      <c r="X232" s="157">
        <f t="shared" si="87"/>
        <v>46240</v>
      </c>
      <c r="Y232" s="387">
        <f t="shared" si="88"/>
        <v>41.537302609328634</v>
      </c>
      <c r="Z232" s="387">
        <f t="shared" si="89"/>
        <v>44.465261337963888</v>
      </c>
      <c r="AA232" s="388">
        <f t="shared" si="90"/>
        <v>52.30410052712535</v>
      </c>
      <c r="AB232" s="199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0.14987045203265037</v>
      </c>
      <c r="AD232" s="233">
        <f>(INDEX(Models!$BJ232:$BT232,,AH232)*(1-AF232)+INDEX(Models!$BJ232:$BT232,,AH232+1)*AF232-ERP_i)*AE232*Ramure*Pc/MaxiM</f>
        <v>7.6602608146942863E-3</v>
      </c>
      <c r="AE232" s="307">
        <f t="shared" si="92"/>
        <v>0.9</v>
      </c>
      <c r="AF232" s="179">
        <f t="shared" si="93"/>
        <v>0.13920770010712857</v>
      </c>
      <c r="AG232" s="839">
        <f t="shared" si="99"/>
        <v>3</v>
      </c>
      <c r="AH232" s="178">
        <f t="shared" si="94"/>
        <v>9</v>
      </c>
      <c r="AI232" s="227">
        <f t="shared" si="95"/>
        <v>3.1392077001071286</v>
      </c>
      <c r="AJ232" s="267" t="b">
        <f t="shared" si="96"/>
        <v>0</v>
      </c>
      <c r="AK232" s="267" t="b">
        <f t="shared" si="97"/>
        <v>0</v>
      </c>
      <c r="AL232" s="267"/>
      <c r="AM232" s="267"/>
      <c r="AN232" s="75"/>
    </row>
    <row r="233" spans="1:40" s="6" customFormat="1" ht="11.25" x14ac:dyDescent="0.2">
      <c r="A233" s="56">
        <f t="shared" si="98"/>
        <v>46241</v>
      </c>
      <c r="B233" s="413">
        <f>'2025'!Wh/'2025'!Env_an*'2026'!Env_an</f>
        <v>49.988453687051667</v>
      </c>
      <c r="C233" s="868"/>
      <c r="D233" s="395">
        <f t="shared" si="77"/>
        <v>53.513378223355808</v>
      </c>
      <c r="E233" s="387">
        <f t="shared" ref="E233:E296" si="100">Wh_pvt/(1-Psa)</f>
        <v>56.053270587597041</v>
      </c>
      <c r="F233" s="387">
        <f t="shared" si="78"/>
        <v>56.078699508366128</v>
      </c>
      <c r="G233" s="110">
        <f t="shared" ref="G233:G296" si="101">+Wh_hp/MaxiM</f>
        <v>0.96229967007214334</v>
      </c>
      <c r="H233" s="416" t="b">
        <f>Wh_hp&gt;='2025'!Maxi_hp</f>
        <v>0</v>
      </c>
      <c r="I233" s="392">
        <f>IF(H233,Wh_hp,'2025'!Maxi_hp)</f>
        <v>56.079633829988339</v>
      </c>
      <c r="J233" s="85">
        <f>IF(H233,An,'2025'!An_max)</f>
        <v>2025</v>
      </c>
      <c r="K233" s="199">
        <f t="shared" si="79"/>
        <v>46241</v>
      </c>
      <c r="L233" s="147">
        <f>IF(t&lt;Tvie,1-EXP((T0-t)*PertePVj)+'2025'!Pspv,1-EXP((T0-t)*PertePVj)+Pspv)</f>
        <v>6.5869968470159024E-2</v>
      </c>
      <c r="M233" s="872"/>
      <c r="N233" s="872"/>
      <c r="O233" s="48">
        <f>IF(t&lt;Tnet,'2025'!Resal+('2025'!Salim-'2025'!Resal)*(1-EXP(('2025'!Tnet-t)/('2025'!Tau_j))),Resal+(Salim-Resal)*(1-EXP((Tnet-t)/(Tau_j))))*Salcycl</f>
        <v>4.5312117163119392E-2</v>
      </c>
      <c r="P233" s="171">
        <f>(INDEX(Models!$BJ233:$BT233,,T233)*(1-R233)+INDEX(Models!$BJ233:$BT233,,T233+1)*R233-ERP_i)*Q233*Ramure*Pc/MaxiM</f>
        <v>4.7924458279954737E-4</v>
      </c>
      <c r="Q233" s="307">
        <f t="shared" si="80"/>
        <v>0.9</v>
      </c>
      <c r="R233" s="179">
        <f t="shared" si="81"/>
        <v>0.50581812123153846</v>
      </c>
      <c r="S233" s="839">
        <f t="shared" si="82"/>
        <v>-2</v>
      </c>
      <c r="T233" s="178">
        <f t="shared" si="83"/>
        <v>4</v>
      </c>
      <c r="U233" s="253">
        <f t="shared" si="84"/>
        <v>-1.4941818787684615</v>
      </c>
      <c r="V233" s="385">
        <f t="shared" si="85"/>
        <v>51.945527215845885</v>
      </c>
      <c r="W233" s="404">
        <f t="shared" si="86"/>
        <v>49.988453687051667</v>
      </c>
      <c r="X233" s="157">
        <f t="shared" si="87"/>
        <v>46241</v>
      </c>
      <c r="Y233" s="387">
        <f t="shared" si="88"/>
        <v>44.185961607989874</v>
      </c>
      <c r="Z233" s="387">
        <f t="shared" si="89"/>
        <v>47.301724724154042</v>
      </c>
      <c r="AA233" s="388">
        <f t="shared" si="90"/>
        <v>55.646381712788752</v>
      </c>
      <c r="AB233" s="199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0.1499586627519561</v>
      </c>
      <c r="AD233" s="233">
        <f>(INDEX(Models!$BJ233:$BT233,,AH233)*(1-AF233)+INDEX(Models!$BJ233:$BT233,,AH233+1)*AF233-ERP_i)*AE233*Ramure*Pc/MaxiM</f>
        <v>8.1476506006564666E-3</v>
      </c>
      <c r="AE233" s="307">
        <f t="shared" si="92"/>
        <v>0.9</v>
      </c>
      <c r="AF233" s="179">
        <f t="shared" si="93"/>
        <v>0.1414737735385172</v>
      </c>
      <c r="AG233" s="839">
        <f t="shared" si="99"/>
        <v>3</v>
      </c>
      <c r="AH233" s="178">
        <f t="shared" si="94"/>
        <v>9</v>
      </c>
      <c r="AI233" s="227">
        <f t="shared" si="95"/>
        <v>3.1414737735385172</v>
      </c>
      <c r="AJ233" s="267" t="b">
        <f t="shared" si="96"/>
        <v>0</v>
      </c>
      <c r="AK233" s="267" t="b">
        <f t="shared" si="97"/>
        <v>0</v>
      </c>
      <c r="AL233" s="267"/>
      <c r="AM233" s="267"/>
      <c r="AN233" s="75"/>
    </row>
    <row r="234" spans="1:40" s="6" customFormat="1" ht="11.25" x14ac:dyDescent="0.2">
      <c r="A234" s="56">
        <f t="shared" si="98"/>
        <v>46242</v>
      </c>
      <c r="B234" s="413">
        <f>'2025'!Wh/'2025'!Env_an*'2026'!Env_an</f>
        <v>50.687403668810788</v>
      </c>
      <c r="C234" s="868"/>
      <c r="D234" s="395">
        <f t="shared" si="77"/>
        <v>54.26287728185023</v>
      </c>
      <c r="E234" s="387">
        <f t="shared" si="100"/>
        <v>56.850631175115389</v>
      </c>
      <c r="F234" s="387">
        <f t="shared" si="78"/>
        <v>56.879382936909536</v>
      </c>
      <c r="G234" s="110">
        <f t="shared" si="101"/>
        <v>0.97934489379855338</v>
      </c>
      <c r="H234" s="416" t="b">
        <f>Wh_hp&gt;='2025'!Maxi_hp</f>
        <v>0</v>
      </c>
      <c r="I234" s="392">
        <f>IF(H234,Wh_hp,'2025'!Maxi_hp)</f>
        <v>56.879944569881722</v>
      </c>
      <c r="J234" s="85">
        <f>IF(H234,An,'2025'!An_max)</f>
        <v>2025</v>
      </c>
      <c r="K234" s="199">
        <f t="shared" si="79"/>
        <v>46242</v>
      </c>
      <c r="L234" s="147">
        <f>IF(t&lt;Tvie,1-EXP((T0-t)*PertePVj)+'2025'!Pspv,1-EXP((T0-t)*PertePVj)+Pspv)</f>
        <v>6.5891707040668823E-2</v>
      </c>
      <c r="M234" s="872"/>
      <c r="N234" s="872"/>
      <c r="O234" s="48">
        <f>IF(t&lt;Tnet,'2025'!Resal+('2025'!Salim-'2025'!Resal)*(1-EXP(('2025'!Tnet-t)/('2025'!Tau_j))),Resal+(Salim-Resal)*(1-EXP((Tnet-t)/(Tau_j))))*Salcycl</f>
        <v>4.5518472526614069E-2</v>
      </c>
      <c r="P234" s="171">
        <f>(INDEX(Models!$BJ234:$BT234,,T234)*(1-R234)+INDEX(Models!$BJ234:$BT234,,T234+1)*R234-ERP_i)*Q234*Ramure*Pc/MaxiM</f>
        <v>5.2084402942421352E-4</v>
      </c>
      <c r="Q234" s="307">
        <f t="shared" si="80"/>
        <v>0.9</v>
      </c>
      <c r="R234" s="179">
        <f t="shared" si="81"/>
        <v>0.50800810473762859</v>
      </c>
      <c r="S234" s="839">
        <f t="shared" si="82"/>
        <v>-2</v>
      </c>
      <c r="T234" s="178">
        <f t="shared" si="83"/>
        <v>4</v>
      </c>
      <c r="U234" s="253">
        <f t="shared" si="84"/>
        <v>-1.4919918952623714</v>
      </c>
      <c r="V234" s="385">
        <f t="shared" si="85"/>
        <v>51.755643149016784</v>
      </c>
      <c r="W234" s="404">
        <f t="shared" si="86"/>
        <v>50.687403668810788</v>
      </c>
      <c r="X234" s="157">
        <f t="shared" si="87"/>
        <v>46242</v>
      </c>
      <c r="Y234" s="387">
        <f t="shared" si="88"/>
        <v>44.780305173837412</v>
      </c>
      <c r="Z234" s="387">
        <f t="shared" si="89"/>
        <v>47.939093905236362</v>
      </c>
      <c r="AA234" s="388">
        <f t="shared" si="90"/>
        <v>56.402005901831522</v>
      </c>
      <c r="AB234" s="199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0.15004629465350894</v>
      </c>
      <c r="AD234" s="233">
        <f>(INDEX(Models!$BJ234:$BT234,,AH234)*(1-AF234)+INDEX(Models!$BJ234:$BT234,,AH234+1)*AF234-ERP_i)*AE234*Ramure*Pc/MaxiM</f>
        <v>8.6477823614699561E-3</v>
      </c>
      <c r="AE234" s="307">
        <f t="shared" si="92"/>
        <v>0.9</v>
      </c>
      <c r="AF234" s="179">
        <f t="shared" si="93"/>
        <v>0.14366375704460754</v>
      </c>
      <c r="AG234" s="839">
        <f t="shared" si="99"/>
        <v>3</v>
      </c>
      <c r="AH234" s="178">
        <f t="shared" si="94"/>
        <v>9</v>
      </c>
      <c r="AI234" s="227">
        <f t="shared" si="95"/>
        <v>3.1436637570446075</v>
      </c>
      <c r="AJ234" s="267" t="b">
        <f t="shared" si="96"/>
        <v>0</v>
      </c>
      <c r="AK234" s="267" t="b">
        <f t="shared" si="97"/>
        <v>0</v>
      </c>
      <c r="AL234" s="267"/>
      <c r="AM234" s="267"/>
      <c r="AN234" s="75"/>
    </row>
    <row r="235" spans="1:40" s="6" customFormat="1" ht="11.25" x14ac:dyDescent="0.2">
      <c r="A235" s="56">
        <f t="shared" si="98"/>
        <v>46243</v>
      </c>
      <c r="B235" s="413">
        <f>'2025'!Wh/'2025'!Env_an*'2026'!Env_an</f>
        <v>48.748014648707972</v>
      </c>
      <c r="C235" s="868"/>
      <c r="D235" s="395">
        <f t="shared" si="77"/>
        <v>52.187898855050811</v>
      </c>
      <c r="E235" s="387">
        <f t="shared" si="100"/>
        <v>54.688499982929947</v>
      </c>
      <c r="F235" s="387">
        <f t="shared" si="78"/>
        <v>54.717024835867143</v>
      </c>
      <c r="G235" s="110">
        <f t="shared" si="101"/>
        <v>0.94535539668789692</v>
      </c>
      <c r="H235" s="416" t="b">
        <f>Wh_hp&gt;='2025'!Maxi_hp</f>
        <v>0</v>
      </c>
      <c r="I235" s="392">
        <f>IF(H235,Wh_hp,'2025'!Maxi_hp)</f>
        <v>56.037140301395539</v>
      </c>
      <c r="J235" s="85">
        <f>IF(H235,An,'2025'!An_max)</f>
        <v>2021</v>
      </c>
      <c r="K235" s="199">
        <f t="shared" si="79"/>
        <v>46243</v>
      </c>
      <c r="L235" s="147">
        <f>IF(t&lt;Tvie,1-EXP((T0-t)*PertePVj)+'2025'!Pspv,1-EXP((T0-t)*PertePVj)+Pspv)</f>
        <v>6.5913445105290402E-2</v>
      </c>
      <c r="M235" s="872"/>
      <c r="N235" s="872"/>
      <c r="O235" s="48">
        <f>IF(t&lt;Tnet,'2025'!Resal+('2025'!Salim-'2025'!Resal)*(1-EXP(('2025'!Tnet-t)/('2025'!Tau_j))),Resal+(Salim-Resal)*(1-EXP((Tnet-t)/(Tau_j))))*Salcycl</f>
        <v>4.5724441677128712E-2</v>
      </c>
      <c r="P235" s="171">
        <f>(INDEX(Models!$BJ235:$BT235,,T235)*(1-R235)+INDEX(Models!$BJ235:$BT235,,T235+1)*R235-ERP_i)*Q235*Ramure*Pc/MaxiM</f>
        <v>5.6542103199540468E-4</v>
      </c>
      <c r="Q235" s="307">
        <f t="shared" si="80"/>
        <v>0.9</v>
      </c>
      <c r="R235" s="179">
        <f t="shared" si="81"/>
        <v>0.51012400995370832</v>
      </c>
      <c r="S235" s="839">
        <f t="shared" si="82"/>
        <v>-2</v>
      </c>
      <c r="T235" s="178">
        <f t="shared" si="83"/>
        <v>4</v>
      </c>
      <c r="U235" s="253">
        <f t="shared" si="84"/>
        <v>-1.4898759900462917</v>
      </c>
      <c r="V235" s="385">
        <f t="shared" si="85"/>
        <v>51.563532253115163</v>
      </c>
      <c r="W235" s="404">
        <f t="shared" si="86"/>
        <v>48.748014648707972</v>
      </c>
      <c r="X235" s="157">
        <f t="shared" si="87"/>
        <v>46243</v>
      </c>
      <c r="Y235" s="387">
        <f t="shared" si="88"/>
        <v>43.070683193303815</v>
      </c>
      <c r="Z235" s="387">
        <f t="shared" si="89"/>
        <v>46.109948770388577</v>
      </c>
      <c r="AA235" s="388">
        <f t="shared" si="90"/>
        <v>54.255510339280676</v>
      </c>
      <c r="AB235" s="199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0.15013335084224164</v>
      </c>
      <c r="AD235" s="233">
        <f>(INDEX(Models!$BJ235:$BT235,,AH235)*(1-AF235)+INDEX(Models!$BJ235:$BT235,,AH235+1)*AF235-ERP_i)*AE235*Ramure*Pc/MaxiM</f>
        <v>9.1481629551359318E-3</v>
      </c>
      <c r="AE235" s="307">
        <f t="shared" si="92"/>
        <v>0.9</v>
      </c>
      <c r="AF235" s="179">
        <f t="shared" si="93"/>
        <v>0.14577966226068728</v>
      </c>
      <c r="AG235" s="839">
        <f t="shared" si="99"/>
        <v>3</v>
      </c>
      <c r="AH235" s="178">
        <f t="shared" si="94"/>
        <v>9</v>
      </c>
      <c r="AI235" s="227">
        <f t="shared" si="95"/>
        <v>3.1457796622606873</v>
      </c>
      <c r="AJ235" s="267" t="b">
        <f t="shared" si="96"/>
        <v>0</v>
      </c>
      <c r="AK235" s="267" t="b">
        <f t="shared" si="97"/>
        <v>0</v>
      </c>
      <c r="AL235" s="267"/>
      <c r="AM235" s="267"/>
      <c r="AN235" s="75"/>
    </row>
    <row r="236" spans="1:40" s="6" customFormat="1" ht="11.25" x14ac:dyDescent="0.2">
      <c r="A236" s="56">
        <f t="shared" si="98"/>
        <v>46244</v>
      </c>
      <c r="B236" s="413">
        <f>'2025'!Wh/'2025'!Env_an*'2026'!Env_an</f>
        <v>46.941870141222097</v>
      </c>
      <c r="C236" s="868"/>
      <c r="D236" s="395">
        <f t="shared" si="77"/>
        <v>50.25547399922894</v>
      </c>
      <c r="E236" s="387">
        <f t="shared" si="100"/>
        <v>52.674830163274351</v>
      </c>
      <c r="F236" s="387">
        <f t="shared" si="78"/>
        <v>52.703160930841889</v>
      </c>
      <c r="G236" s="110">
        <f t="shared" si="101"/>
        <v>0.91375170522795224</v>
      </c>
      <c r="H236" s="416" t="b">
        <f>Wh_hp&gt;='2025'!Maxi_hp</f>
        <v>0</v>
      </c>
      <c r="I236" s="392">
        <f>IF(H236,Wh_hp,'2025'!Maxi_hp)</f>
        <v>52.705696675756691</v>
      </c>
      <c r="J236" s="85">
        <f>IF(H236,An,'2025'!An_max)</f>
        <v>2025</v>
      </c>
      <c r="K236" s="199">
        <f t="shared" si="79"/>
        <v>46244</v>
      </c>
      <c r="L236" s="147">
        <f>IF(t&lt;Tvie,1-EXP((T0-t)*PertePVj)+'2025'!Pspv,1-EXP((T0-t)*PertePVj)+Pspv)</f>
        <v>6.5935182664035419E-2</v>
      </c>
      <c r="M236" s="872"/>
      <c r="N236" s="872"/>
      <c r="O236" s="48">
        <f>IF(t&lt;Tnet,'2025'!Resal+('2025'!Salim-'2025'!Resal)*(1-EXP(('2025'!Tnet-t)/('2025'!Tau_j))),Resal+(Salim-Resal)*(1-EXP((Tnet-t)/(Tau_j))))*Salcycl</f>
        <v>4.5930023059328556E-2</v>
      </c>
      <c r="P236" s="171">
        <f>(INDEX(Models!$BJ236:$BT236,,T236)*(1-R236)+INDEX(Models!$BJ236:$BT236,,T236+1)*R236-ERP_i)*Q236*Ramure*Pc/MaxiM</f>
        <v>6.1302499255900243E-4</v>
      </c>
      <c r="Q236" s="307">
        <f t="shared" si="80"/>
        <v>0.9</v>
      </c>
      <c r="R236" s="179">
        <f t="shared" si="81"/>
        <v>0.51216783560596424</v>
      </c>
      <c r="S236" s="839">
        <f t="shared" si="82"/>
        <v>-2</v>
      </c>
      <c r="T236" s="178">
        <f t="shared" si="83"/>
        <v>4</v>
      </c>
      <c r="U236" s="253">
        <f t="shared" si="84"/>
        <v>-1.4878321643940358</v>
      </c>
      <c r="V236" s="385">
        <f t="shared" si="85"/>
        <v>51.3687965705276</v>
      </c>
      <c r="W236" s="404">
        <f t="shared" si="86"/>
        <v>46.941870141222097</v>
      </c>
      <c r="X236" s="157">
        <f t="shared" si="87"/>
        <v>46244</v>
      </c>
      <c r="Y236" s="387">
        <f t="shared" si="88"/>
        <v>41.479173230219892</v>
      </c>
      <c r="Z236" s="387">
        <f t="shared" si="89"/>
        <v>44.407167961343582</v>
      </c>
      <c r="AA236" s="388">
        <f t="shared" si="90"/>
        <v>52.257242021419039</v>
      </c>
      <c r="AB236" s="199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0.15021983090607596</v>
      </c>
      <c r="AD236" s="233">
        <f>(INDEX(Models!$BJ236:$BT236,,AH236)*(1-AF236)+INDEX(Models!$BJ236:$BT236,,AH236+1)*AF236-ERP_i)*AE236*Ramure*Pc/MaxiM</f>
        <v>9.6488538645913505E-3</v>
      </c>
      <c r="AE236" s="307">
        <f t="shared" si="92"/>
        <v>0.9</v>
      </c>
      <c r="AF236" s="179">
        <f t="shared" si="93"/>
        <v>0.1478234879129432</v>
      </c>
      <c r="AG236" s="839">
        <f t="shared" si="99"/>
        <v>3</v>
      </c>
      <c r="AH236" s="178">
        <f t="shared" si="94"/>
        <v>9</v>
      </c>
      <c r="AI236" s="227">
        <f t="shared" si="95"/>
        <v>3.1478234879129432</v>
      </c>
      <c r="AJ236" s="267" t="b">
        <f t="shared" si="96"/>
        <v>0</v>
      </c>
      <c r="AK236" s="267" t="b">
        <f t="shared" si="97"/>
        <v>0</v>
      </c>
      <c r="AL236" s="267"/>
      <c r="AM236" s="267"/>
      <c r="AN236" s="75"/>
    </row>
    <row r="237" spans="1:40" s="6" customFormat="1" ht="11.25" x14ac:dyDescent="0.2">
      <c r="A237" s="56">
        <f t="shared" si="98"/>
        <v>46245</v>
      </c>
      <c r="B237" s="413">
        <f>'2025'!Wh/'2025'!Env_an*'2026'!Env_an</f>
        <v>42.524875424808435</v>
      </c>
      <c r="C237" s="868"/>
      <c r="D237" s="395">
        <f t="shared" si="77"/>
        <v>45.527745264083805</v>
      </c>
      <c r="E237" s="387">
        <f t="shared" si="100"/>
        <v>47.729768346355236</v>
      </c>
      <c r="F237" s="387">
        <f t="shared" si="78"/>
        <v>47.753812487116228</v>
      </c>
      <c r="G237" s="110">
        <f t="shared" si="101"/>
        <v>0.8309008459907451</v>
      </c>
      <c r="H237" s="416" t="b">
        <f>Wh_hp&gt;='2025'!Maxi_hp</f>
        <v>0</v>
      </c>
      <c r="I237" s="392">
        <f>IF(H237,Wh_hp,'2025'!Maxi_hp)</f>
        <v>51.041583493059605</v>
      </c>
      <c r="J237" s="85">
        <f>IF(H237,An,'2025'!An_max)</f>
        <v>2021</v>
      </c>
      <c r="K237" s="199">
        <f t="shared" si="79"/>
        <v>46245</v>
      </c>
      <c r="L237" s="147">
        <f>IF(t&lt;Tvie,1-EXP((T0-t)*PertePVj)+'2025'!Pspv,1-EXP((T0-t)*PertePVj)+Pspv)</f>
        <v>6.5956919716915752E-2</v>
      </c>
      <c r="M237" s="872"/>
      <c r="N237" s="872"/>
      <c r="O237" s="48">
        <f>IF(t&lt;Tnet,'2025'!Resal+('2025'!Salim-'2025'!Resal)*(1-EXP(('2025'!Tnet-t)/('2025'!Tau_j))),Resal+(Salim-Resal)*(1-EXP((Tnet-t)/(Tau_j))))*Salcycl</f>
        <v>4.6135214114015E-2</v>
      </c>
      <c r="P237" s="171">
        <f>(INDEX(Models!$BJ237:$BT237,,T237)*(1-R237)+INDEX(Models!$BJ237:$BT237,,T237+1)*R237-ERP_i)*Q237*Ramure*Pc/MaxiM</f>
        <v>6.6370774174162616E-4</v>
      </c>
      <c r="Q237" s="307">
        <f t="shared" si="80"/>
        <v>0.9</v>
      </c>
      <c r="R237" s="179">
        <f t="shared" si="81"/>
        <v>0.51414156415484369</v>
      </c>
      <c r="S237" s="839">
        <f t="shared" si="82"/>
        <v>-2</v>
      </c>
      <c r="T237" s="178">
        <f t="shared" si="83"/>
        <v>4</v>
      </c>
      <c r="U237" s="253">
        <f t="shared" si="84"/>
        <v>-1.4858584358451563</v>
      </c>
      <c r="V237" s="385">
        <f t="shared" si="85"/>
        <v>51.171038601535749</v>
      </c>
      <c r="W237" s="404">
        <f t="shared" si="86"/>
        <v>42.524875424808435</v>
      </c>
      <c r="X237" s="157">
        <f t="shared" si="87"/>
        <v>46245</v>
      </c>
      <c r="Y237" s="387">
        <f t="shared" si="88"/>
        <v>37.608036597204432</v>
      </c>
      <c r="Z237" s="387">
        <f t="shared" si="89"/>
        <v>40.263706665228341</v>
      </c>
      <c r="AA237" s="388">
        <f t="shared" si="90"/>
        <v>47.386110676659953</v>
      </c>
      <c r="AB237" s="199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0.15030573114623119</v>
      </c>
      <c r="AD237" s="233">
        <f>(INDEX(Models!$BJ237:$BT237,,AH237)*(1-AF237)+INDEX(Models!$BJ237:$BT237,,AH237+1)*AF237-ERP_i)*AE237*Ramure*Pc/MaxiM</f>
        <v>1.01499380110174E-2</v>
      </c>
      <c r="AE237" s="307">
        <f t="shared" si="92"/>
        <v>0.9</v>
      </c>
      <c r="AF237" s="179">
        <f t="shared" si="93"/>
        <v>0.14979721646182265</v>
      </c>
      <c r="AG237" s="839">
        <f t="shared" si="99"/>
        <v>3</v>
      </c>
      <c r="AH237" s="178">
        <f t="shared" si="94"/>
        <v>9</v>
      </c>
      <c r="AI237" s="227">
        <f t="shared" si="95"/>
        <v>3.1497972164618226</v>
      </c>
      <c r="AJ237" s="267" t="b">
        <f t="shared" si="96"/>
        <v>0</v>
      </c>
      <c r="AK237" s="267" t="b">
        <f t="shared" si="97"/>
        <v>0</v>
      </c>
      <c r="AL237" s="267"/>
      <c r="AM237" s="267"/>
      <c r="AN237" s="75"/>
    </row>
    <row r="238" spans="1:40" s="6" customFormat="1" ht="11.25" x14ac:dyDescent="0.2">
      <c r="A238" s="56">
        <f t="shared" si="98"/>
        <v>46246</v>
      </c>
      <c r="B238" s="413">
        <f>'2025'!Wh/'2025'!Env_an*'2026'!Env_an</f>
        <v>45.214253881993749</v>
      </c>
      <c r="C238" s="868"/>
      <c r="D238" s="395">
        <f t="shared" si="77"/>
        <v>48.408159176682311</v>
      </c>
      <c r="E238" s="387">
        <f t="shared" si="100"/>
        <v>50.760396526859502</v>
      </c>
      <c r="F238" s="387">
        <f t="shared" si="78"/>
        <v>50.790961268074923</v>
      </c>
      <c r="G238" s="110">
        <f t="shared" si="101"/>
        <v>0.88697548096908041</v>
      </c>
      <c r="H238" s="416" t="b">
        <f>Wh_hp&gt;='2025'!Maxi_hp</f>
        <v>0</v>
      </c>
      <c r="I238" s="392">
        <f>IF(H238,Wh_hp,'2025'!Maxi_hp)</f>
        <v>50.79468108662175</v>
      </c>
      <c r="J238" s="85">
        <f>IF(H238,An,'2025'!An_max)</f>
        <v>2025</v>
      </c>
      <c r="K238" s="199">
        <f t="shared" si="79"/>
        <v>46246</v>
      </c>
      <c r="L238" s="147">
        <f>IF(t&lt;Tvie,1-EXP((T0-t)*PertePVj)+'2025'!Pspv,1-EXP((T0-t)*PertePVj)+Pspv)</f>
        <v>6.5978656263943058E-2</v>
      </c>
      <c r="M238" s="872"/>
      <c r="N238" s="872"/>
      <c r="O238" s="48">
        <f>IF(t&lt;Tnet,'2025'!Resal+('2025'!Salim-'2025'!Resal)*(1-EXP(('2025'!Tnet-t)/('2025'!Tau_j))),Resal+(Salim-Resal)*(1-EXP((Tnet-t)/(Tau_j))))*Salcycl</f>
        <v>4.6340011330142421E-2</v>
      </c>
      <c r="P238" s="171">
        <f>(INDEX(Models!$BJ238:$BT238,,T238)*(1-R238)+INDEX(Models!$BJ238:$BT238,,T238+1)*R238-ERP_i)*Q238*Ramure*Pc/MaxiM</f>
        <v>7.17523882973838E-4</v>
      </c>
      <c r="Q238" s="307">
        <f t="shared" si="80"/>
        <v>0.9</v>
      </c>
      <c r="R238" s="179">
        <f t="shared" si="81"/>
        <v>0.51604715873743623</v>
      </c>
      <c r="S238" s="839">
        <f t="shared" si="82"/>
        <v>-2</v>
      </c>
      <c r="T238" s="178">
        <f t="shared" si="83"/>
        <v>4</v>
      </c>
      <c r="U238" s="253">
        <f t="shared" si="84"/>
        <v>-1.4839528412625638</v>
      </c>
      <c r="V238" s="385">
        <f t="shared" si="85"/>
        <v>50.969861299078133</v>
      </c>
      <c r="W238" s="404">
        <f t="shared" si="86"/>
        <v>45.214253881993749</v>
      </c>
      <c r="X238" s="157">
        <f t="shared" si="87"/>
        <v>46246</v>
      </c>
      <c r="Y238" s="387">
        <f t="shared" si="88"/>
        <v>39.945257031783449</v>
      </c>
      <c r="Z238" s="387">
        <f t="shared" si="89"/>
        <v>42.766963838324763</v>
      </c>
      <c r="AA238" s="388">
        <f t="shared" si="90"/>
        <v>50.337232884667131</v>
      </c>
      <c r="AB238" s="199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0.15039104480946339</v>
      </c>
      <c r="AD238" s="233">
        <f>(INDEX(Models!$BJ238:$BT238,,AH238)*(1-AF238)+INDEX(Models!$BJ238:$BT238,,AH238+1)*AF238-ERP_i)*AE238*Ramure*Pc/MaxiM</f>
        <v>1.0651519971449178E-2</v>
      </c>
      <c r="AE238" s="307">
        <f t="shared" si="92"/>
        <v>0.9</v>
      </c>
      <c r="AF238" s="179">
        <f t="shared" si="93"/>
        <v>0.15170281104441496</v>
      </c>
      <c r="AG238" s="839">
        <f t="shared" si="99"/>
        <v>3</v>
      </c>
      <c r="AH238" s="178">
        <f t="shared" si="94"/>
        <v>9</v>
      </c>
      <c r="AI238" s="227">
        <f t="shared" si="95"/>
        <v>3.151702811044415</v>
      </c>
      <c r="AJ238" s="267" t="b">
        <f t="shared" si="96"/>
        <v>0</v>
      </c>
      <c r="AK238" s="267" t="b">
        <f t="shared" si="97"/>
        <v>0</v>
      </c>
      <c r="AL238" s="267"/>
      <c r="AM238" s="267"/>
      <c r="AN238" s="75"/>
    </row>
    <row r="239" spans="1:40" s="6" customFormat="1" ht="11.25" x14ac:dyDescent="0.2">
      <c r="A239" s="56">
        <f t="shared" si="98"/>
        <v>46247</v>
      </c>
      <c r="B239" s="413">
        <f>'2025'!Wh/'2025'!Env_an*'2026'!Env_an</f>
        <v>30.497603003496828</v>
      </c>
      <c r="C239" s="868"/>
      <c r="D239" s="395">
        <f t="shared" si="77"/>
        <v>32.65269359027409</v>
      </c>
      <c r="E239" s="387">
        <f t="shared" si="100"/>
        <v>34.246685365268441</v>
      </c>
      <c r="F239" s="387">
        <f t="shared" si="78"/>
        <v>34.258085943803216</v>
      </c>
      <c r="G239" s="110">
        <f t="shared" si="101"/>
        <v>0.600496514336472</v>
      </c>
      <c r="H239" s="416" t="b">
        <f>Wh_hp&gt;='2025'!Maxi_hp</f>
        <v>0</v>
      </c>
      <c r="I239" s="392">
        <f>IF(H239,Wh_hp,'2025'!Maxi_hp)</f>
        <v>52.03553309327885</v>
      </c>
      <c r="J239" s="85">
        <f>IF(H239,An,'2025'!An_max)</f>
        <v>2019</v>
      </c>
      <c r="K239" s="199">
        <f t="shared" si="79"/>
        <v>46247</v>
      </c>
      <c r="L239" s="147">
        <f>IF(t&lt;Tvie,1-EXP((T0-t)*PertePVj)+'2025'!Pspv,1-EXP((T0-t)*PertePVj)+Pspv)</f>
        <v>6.6000392305129107E-2</v>
      </c>
      <c r="M239" s="872"/>
      <c r="N239" s="872"/>
      <c r="O239" s="48">
        <f>IF(t&lt;Tnet,'2025'!Resal+('2025'!Salim-'2025'!Resal)*(1-EXP(('2025'!Tnet-t)/('2025'!Tau_j))),Resal+(Salim-Resal)*(1-EXP((Tnet-t)/(Tau_j))))*Salcycl</f>
        <v>4.6544410298198009E-2</v>
      </c>
      <c r="P239" s="171">
        <f>(INDEX(Models!$BJ239:$BT239,,T239)*(1-R239)+INDEX(Models!$BJ239:$BT239,,T239+1)*R239-ERP_i)*Q239*Ramure*Pc/MaxiM</f>
        <v>7.7453115350963053E-4</v>
      </c>
      <c r="Q239" s="307">
        <f t="shared" si="80"/>
        <v>0.9</v>
      </c>
      <c r="R239" s="179">
        <f t="shared" si="81"/>
        <v>0.51788656039627723</v>
      </c>
      <c r="S239" s="839">
        <f t="shared" si="82"/>
        <v>-2</v>
      </c>
      <c r="T239" s="178">
        <f t="shared" si="83"/>
        <v>4</v>
      </c>
      <c r="U239" s="253">
        <f t="shared" si="84"/>
        <v>-1.4821134396037228</v>
      </c>
      <c r="V239" s="385">
        <f t="shared" si="85"/>
        <v>50.764868060515269</v>
      </c>
      <c r="W239" s="404">
        <f t="shared" si="86"/>
        <v>30.497603003496828</v>
      </c>
      <c r="X239" s="157">
        <f t="shared" si="87"/>
        <v>46247</v>
      </c>
      <c r="Y239" s="387">
        <f t="shared" si="88"/>
        <v>27.051994210412424</v>
      </c>
      <c r="Z239" s="387">
        <f t="shared" si="89"/>
        <v>28.963603397197637</v>
      </c>
      <c r="AA239" s="388">
        <f t="shared" si="90"/>
        <v>34.093910582538655</v>
      </c>
      <c r="AB239" s="199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0.15047576231893231</v>
      </c>
      <c r="AD239" s="233">
        <f>(INDEX(Models!$BJ239:$BT239,,AH239)*(1-AF239)+INDEX(Models!$BJ239:$BT239,,AH239+1)*AF239-ERP_i)*AE239*Ramure*Pc/MaxiM</f>
        <v>1.115372623856346E-2</v>
      </c>
      <c r="AE239" s="307">
        <f t="shared" si="92"/>
        <v>0.9</v>
      </c>
      <c r="AF239" s="179">
        <f t="shared" si="93"/>
        <v>0.15354221270325619</v>
      </c>
      <c r="AG239" s="839">
        <f t="shared" si="99"/>
        <v>3</v>
      </c>
      <c r="AH239" s="178">
        <f t="shared" si="94"/>
        <v>9</v>
      </c>
      <c r="AI239" s="227">
        <f t="shared" si="95"/>
        <v>3.1535422127032562</v>
      </c>
      <c r="AJ239" s="267" t="b">
        <f t="shared" si="96"/>
        <v>0</v>
      </c>
      <c r="AK239" s="267" t="b">
        <f t="shared" si="97"/>
        <v>0</v>
      </c>
      <c r="AL239" s="267"/>
      <c r="AM239" s="267"/>
      <c r="AN239" s="75"/>
    </row>
    <row r="240" spans="1:40" s="6" customFormat="1" ht="11.25" x14ac:dyDescent="0.2">
      <c r="A240" s="56">
        <f t="shared" si="98"/>
        <v>46248</v>
      </c>
      <c r="B240" s="413">
        <f>'2025'!Wh/'2025'!Env_an*'2026'!Env_an</f>
        <v>32.816120819228715</v>
      </c>
      <c r="C240" s="868"/>
      <c r="D240" s="395">
        <f t="shared" si="77"/>
        <v>35.135865417616706</v>
      </c>
      <c r="E240" s="387">
        <f t="shared" si="100"/>
        <v>36.858963184608726</v>
      </c>
      <c r="F240" s="387">
        <f t="shared" si="78"/>
        <v>36.874307683141225</v>
      </c>
      <c r="G240" s="110">
        <f t="shared" si="101"/>
        <v>0.64883683653160884</v>
      </c>
      <c r="H240" s="416" t="b">
        <f>Wh_hp&gt;='2025'!Maxi_hp</f>
        <v>0</v>
      </c>
      <c r="I240" s="392">
        <f>IF(H240,Wh_hp,'2025'!Maxi_hp)</f>
        <v>56.382758921997223</v>
      </c>
      <c r="J240" s="85">
        <f>IF(H240,An,'2025'!An_max)</f>
        <v>2019</v>
      </c>
      <c r="K240" s="199">
        <f t="shared" si="79"/>
        <v>46248</v>
      </c>
      <c r="L240" s="147">
        <f>IF(t&lt;Tvie,1-EXP((T0-t)*PertePVj)+'2025'!Pspv,1-EXP((T0-t)*PertePVj)+Pspv)</f>
        <v>6.6022127840485778E-2</v>
      </c>
      <c r="M240" s="872"/>
      <c r="N240" s="872"/>
      <c r="O240" s="48">
        <f>IF(t&lt;Tnet,'2025'!Resal+('2025'!Salim-'2025'!Resal)*(1-EXP(('2025'!Tnet-t)/('2025'!Tau_j))),Resal+(Salim-Resal)*(1-EXP((Tnet-t)/(Tau_j))))*Salcycl</f>
        <v>4.6748405763934672E-2</v>
      </c>
      <c r="P240" s="171">
        <f>(INDEX(Models!$BJ240:$BT240,,T240)*(1-R240)+INDEX(Models!$BJ240:$BT240,,T240+1)*R240-ERP_i)*Q240*Ramure*Pc/MaxiM</f>
        <v>8.3438504846562668E-4</v>
      </c>
      <c r="Q240" s="307">
        <f t="shared" si="80"/>
        <v>0.9</v>
      </c>
      <c r="R240" s="179">
        <f t="shared" si="81"/>
        <v>0.51966168558160586</v>
      </c>
      <c r="S240" s="839">
        <f t="shared" si="82"/>
        <v>-2</v>
      </c>
      <c r="T240" s="178">
        <f t="shared" si="83"/>
        <v>4</v>
      </c>
      <c r="U240" s="253">
        <f t="shared" si="84"/>
        <v>-1.4803383144183941</v>
      </c>
      <c r="V240" s="385">
        <f t="shared" si="85"/>
        <v>50.555683253217765</v>
      </c>
      <c r="W240" s="404">
        <f t="shared" si="86"/>
        <v>32.816120819228715</v>
      </c>
      <c r="X240" s="157">
        <f t="shared" si="87"/>
        <v>46248</v>
      </c>
      <c r="Y240" s="387">
        <f t="shared" si="88"/>
        <v>29.084603633418642</v>
      </c>
      <c r="Z240" s="387">
        <f t="shared" si="89"/>
        <v>31.140570350098486</v>
      </c>
      <c r="AA240" s="388">
        <f t="shared" si="90"/>
        <v>36.660112120094823</v>
      </c>
      <c r="AB240" s="199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0.15055987150052558</v>
      </c>
      <c r="AD240" s="233">
        <f>(INDEX(Models!$BJ240:$BT240,,AH240)*(1-AF240)+INDEX(Models!$BJ240:$BT240,,AH240+1)*AF240-ERP_i)*AE240*Ramure*Pc/MaxiM</f>
        <v>1.1647273768843645E-2</v>
      </c>
      <c r="AE240" s="307">
        <f t="shared" si="92"/>
        <v>0.9</v>
      </c>
      <c r="AF240" s="179">
        <f t="shared" si="93"/>
        <v>0.15531733788858482</v>
      </c>
      <c r="AG240" s="839">
        <f t="shared" si="99"/>
        <v>3</v>
      </c>
      <c r="AH240" s="178">
        <f t="shared" si="94"/>
        <v>9</v>
      </c>
      <c r="AI240" s="227">
        <f t="shared" si="95"/>
        <v>3.1553173378885848</v>
      </c>
      <c r="AJ240" s="267" t="b">
        <f t="shared" si="96"/>
        <v>0</v>
      </c>
      <c r="AK240" s="267" t="b">
        <f t="shared" si="97"/>
        <v>0</v>
      </c>
      <c r="AL240" s="267"/>
      <c r="AM240" s="267"/>
      <c r="AN240" s="75"/>
    </row>
    <row r="241" spans="1:40" s="6" customFormat="1" ht="11.25" x14ac:dyDescent="0.2">
      <c r="A241" s="56">
        <f t="shared" si="98"/>
        <v>46249</v>
      </c>
      <c r="B241" s="413">
        <f>'2025'!Wh/'2025'!Env_an*'2026'!Env_an</f>
        <v>38.488893497345863</v>
      </c>
      <c r="C241" s="868"/>
      <c r="D241" s="395">
        <f t="shared" si="77"/>
        <v>41.21060076292374</v>
      </c>
      <c r="E241" s="387">
        <f t="shared" si="100"/>
        <v>43.24084453587168</v>
      </c>
      <c r="F241" s="387">
        <f t="shared" si="78"/>
        <v>43.266553097777155</v>
      </c>
      <c r="G241" s="110">
        <f t="shared" si="101"/>
        <v>0.76431794646403706</v>
      </c>
      <c r="H241" s="416" t="b">
        <f>Wh_hp&gt;='2025'!Maxi_hp</f>
        <v>0</v>
      </c>
      <c r="I241" s="392">
        <f>IF(H241,Wh_hp,'2025'!Maxi_hp)</f>
        <v>51.37885714144074</v>
      </c>
      <c r="J241" s="85">
        <f>IF(H241,An,'2025'!An_max)</f>
        <v>2020</v>
      </c>
      <c r="K241" s="199">
        <f t="shared" si="79"/>
        <v>46249</v>
      </c>
      <c r="L241" s="147">
        <f>IF(t&lt;Tvie,1-EXP((T0-t)*PertePVj)+'2025'!Pspv,1-EXP((T0-t)*PertePVj)+Pspv)</f>
        <v>6.6043862870024839E-2</v>
      </c>
      <c r="M241" s="872"/>
      <c r="N241" s="872"/>
      <c r="O241" s="48">
        <f>IF(t&lt;Tnet,'2025'!Resal+('2025'!Salim-'2025'!Resal)*(1-EXP(('2025'!Tnet-t)/('2025'!Tau_j))),Resal+(Salim-Resal)*(1-EXP((Tnet-t)/(Tau_j))))*Salcycl</f>
        <v>4.6951991681468887E-2</v>
      </c>
      <c r="P241" s="171">
        <f>(INDEX(Models!$BJ241:$BT241,,T241)*(1-R241)+INDEX(Models!$BJ241:$BT241,,T241+1)*R241-ERP_i)*Q241*Ramure*Pc/MaxiM</f>
        <v>8.9534954800551904E-4</v>
      </c>
      <c r="Q241" s="307">
        <f t="shared" si="80"/>
        <v>0.9</v>
      </c>
      <c r="R241" s="179">
        <f t="shared" si="81"/>
        <v>0.52137442391386202</v>
      </c>
      <c r="S241" s="839">
        <f t="shared" si="82"/>
        <v>-2</v>
      </c>
      <c r="T241" s="178">
        <f t="shared" si="83"/>
        <v>4</v>
      </c>
      <c r="U241" s="253">
        <f t="shared" si="84"/>
        <v>-1.478625576086138</v>
      </c>
      <c r="V241" s="385">
        <f t="shared" si="85"/>
        <v>50.342001641876891</v>
      </c>
      <c r="W241" s="404">
        <f t="shared" si="86"/>
        <v>38.488893497345863</v>
      </c>
      <c r="X241" s="157">
        <f t="shared" si="87"/>
        <v>46249</v>
      </c>
      <c r="Y241" s="387">
        <f t="shared" si="88"/>
        <v>34.04537607070877</v>
      </c>
      <c r="Z241" s="387">
        <f t="shared" si="89"/>
        <v>36.452864023496218</v>
      </c>
      <c r="AA241" s="388">
        <f t="shared" si="90"/>
        <v>42.918206807856841</v>
      </c>
      <c r="AB241" s="199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0.15064335780163673</v>
      </c>
      <c r="AD241" s="233">
        <f>(INDEX(Models!$BJ241:$BT241,,AH241)*(1-AF241)+INDEX(Models!$BJ241:$BT241,,AH241+1)*AF241-ERP_i)*AE241*Ramure*Pc/MaxiM</f>
        <v>1.2131821856715512E-2</v>
      </c>
      <c r="AE241" s="307">
        <f t="shared" si="92"/>
        <v>0.9</v>
      </c>
      <c r="AF241" s="179">
        <f t="shared" si="93"/>
        <v>0.15703007622084098</v>
      </c>
      <c r="AG241" s="839">
        <f t="shared" si="99"/>
        <v>3</v>
      </c>
      <c r="AH241" s="178">
        <f t="shared" si="94"/>
        <v>9</v>
      </c>
      <c r="AI241" s="227">
        <f t="shared" si="95"/>
        <v>3.157030076220841</v>
      </c>
      <c r="AJ241" s="267" t="b">
        <f t="shared" si="96"/>
        <v>0</v>
      </c>
      <c r="AK241" s="267" t="b">
        <f t="shared" si="97"/>
        <v>0</v>
      </c>
      <c r="AL241" s="267"/>
      <c r="AM241" s="267"/>
      <c r="AN241" s="75"/>
    </row>
    <row r="242" spans="1:40" s="6" customFormat="1" ht="11.25" x14ac:dyDescent="0.2">
      <c r="A242" s="56">
        <f t="shared" si="98"/>
        <v>46250</v>
      </c>
      <c r="B242" s="413">
        <f>'2025'!Wh/'2025'!Env_an*'2026'!Env_an</f>
        <v>30.708968313187718</v>
      </c>
      <c r="C242" s="868"/>
      <c r="D242" s="395">
        <f t="shared" si="77"/>
        <v>32.881290407004087</v>
      </c>
      <c r="E242" s="387">
        <f t="shared" si="100"/>
        <v>34.508546481345498</v>
      </c>
      <c r="F242" s="387">
        <f t="shared" si="78"/>
        <v>34.523310877543516</v>
      </c>
      <c r="G242" s="110">
        <f t="shared" si="101"/>
        <v>0.61234223169704083</v>
      </c>
      <c r="H242" s="416" t="b">
        <f>Wh_hp&gt;='2025'!Maxi_hp</f>
        <v>0</v>
      </c>
      <c r="I242" s="392">
        <f>IF(H242,Wh_hp,'2025'!Maxi_hp)</f>
        <v>55.398390259601427</v>
      </c>
      <c r="J242" s="85">
        <f>IF(H242,An,'2025'!An_max)</f>
        <v>2019</v>
      </c>
      <c r="K242" s="199">
        <f t="shared" si="79"/>
        <v>46250</v>
      </c>
      <c r="L242" s="147">
        <f>IF(t&lt;Tvie,1-EXP((T0-t)*PertePVj)+'2025'!Pspv,1-EXP((T0-t)*PertePVj)+Pspv)</f>
        <v>6.6065597393757947E-2</v>
      </c>
      <c r="M242" s="872"/>
      <c r="N242" s="872"/>
      <c r="O242" s="48">
        <f>IF(t&lt;Tnet,'2025'!Resal+('2025'!Salim-'2025'!Resal)*(1-EXP(('2025'!Tnet-t)/('2025'!Tau_j))),Resal+(Salim-Resal)*(1-EXP((Tnet-t)/(Tau_j))))*Salcycl</f>
        <v>4.7155161264791745E-2</v>
      </c>
      <c r="P242" s="171">
        <f>(INDEX(Models!$BJ242:$BT242,,T242)*(1-R242)+INDEX(Models!$BJ242:$BT242,,T242+1)*R242-ERP_i)*Q242*Ramure*Pc/MaxiM</f>
        <v>9.5745705805567582E-4</v>
      </c>
      <c r="Q242" s="307">
        <f t="shared" si="80"/>
        <v>0.9</v>
      </c>
      <c r="R242" s="179">
        <f t="shared" si="81"/>
        <v>0.5230266361930882</v>
      </c>
      <c r="S242" s="839">
        <f t="shared" si="82"/>
        <v>-2</v>
      </c>
      <c r="T242" s="178">
        <f t="shared" si="83"/>
        <v>4</v>
      </c>
      <c r="U242" s="253">
        <f t="shared" si="84"/>
        <v>-1.4769733638069118</v>
      </c>
      <c r="V242" s="385">
        <f t="shared" si="85"/>
        <v>50.123428341628042</v>
      </c>
      <c r="W242" s="404">
        <f t="shared" si="86"/>
        <v>30.708968313187718</v>
      </c>
      <c r="X242" s="157">
        <f t="shared" si="87"/>
        <v>46250</v>
      </c>
      <c r="Y242" s="387">
        <f t="shared" si="88"/>
        <v>27.228515697321008</v>
      </c>
      <c r="Z242" s="387">
        <f t="shared" si="89"/>
        <v>29.154634009987184</v>
      </c>
      <c r="AA242" s="388">
        <f t="shared" si="90"/>
        <v>34.328898600726191</v>
      </c>
      <c r="AB242" s="199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0.15072620449959756</v>
      </c>
      <c r="AD242" s="233">
        <f>(INDEX(Models!$BJ242:$BT242,,AH242)*(1-AF242)+INDEX(Models!$BJ242:$BT242,,AH242+1)*AF242-ERP_i)*AE242*Ramure*Pc/MaxiM</f>
        <v>1.2607451338674356E-2</v>
      </c>
      <c r="AE242" s="307">
        <f t="shared" si="92"/>
        <v>0.9</v>
      </c>
      <c r="AF242" s="179">
        <f t="shared" si="93"/>
        <v>0.15868228850006716</v>
      </c>
      <c r="AG242" s="839">
        <f t="shared" si="99"/>
        <v>3</v>
      </c>
      <c r="AH242" s="178">
        <f t="shared" si="94"/>
        <v>9</v>
      </c>
      <c r="AI242" s="227">
        <f t="shared" si="95"/>
        <v>3.1586822885000672</v>
      </c>
      <c r="AJ242" s="267" t="b">
        <f t="shared" si="96"/>
        <v>0</v>
      </c>
      <c r="AK242" s="267" t="b">
        <f t="shared" si="97"/>
        <v>0</v>
      </c>
      <c r="AL242" s="267"/>
      <c r="AM242" s="267"/>
      <c r="AN242" s="75"/>
    </row>
    <row r="243" spans="1:40" s="6" customFormat="1" ht="11.25" x14ac:dyDescent="0.2">
      <c r="A243" s="56">
        <f t="shared" si="98"/>
        <v>46251</v>
      </c>
      <c r="B243" s="413">
        <f>'2025'!Wh/'2025'!Env_an*'2026'!Env_an</f>
        <v>22.254304541318923</v>
      </c>
      <c r="C243" s="868"/>
      <c r="D243" s="395">
        <f t="shared" si="77"/>
        <v>23.82910660689334</v>
      </c>
      <c r="E243" s="387">
        <f t="shared" si="100"/>
        <v>25.013703239558183</v>
      </c>
      <c r="F243" s="387">
        <f t="shared" si="78"/>
        <v>25.019029077849794</v>
      </c>
      <c r="G243" s="110">
        <f t="shared" si="101"/>
        <v>0.44562152735055632</v>
      </c>
      <c r="H243" s="416" t="b">
        <f>Wh_hp&gt;='2025'!Maxi_hp</f>
        <v>0</v>
      </c>
      <c r="I243" s="392">
        <f>IF(H243,Wh_hp,'2025'!Maxi_hp)</f>
        <v>54.145647175100791</v>
      </c>
      <c r="J243" s="85">
        <f>IF(H243,An,'2025'!An_max)</f>
        <v>2019</v>
      </c>
      <c r="K243" s="199">
        <f t="shared" si="79"/>
        <v>46251</v>
      </c>
      <c r="L243" s="147">
        <f>IF(t&lt;Tvie,1-EXP((T0-t)*PertePVj)+'2025'!Pspv,1-EXP((T0-t)*PertePVj)+Pspv)</f>
        <v>6.608733141169687E-2</v>
      </c>
      <c r="M243" s="872"/>
      <c r="N243" s="872"/>
      <c r="O243" s="48">
        <f>IF(t&lt;Tnet,'2025'!Resal+('2025'!Salim-'2025'!Resal)*(1-EXP(('2025'!Tnet-t)/('2025'!Tau_j))),Resal+(Salim-Resal)*(1-EXP((Tnet-t)/(Tau_j))))*Salcycl</f>
        <v>4.7357907036789638E-2</v>
      </c>
      <c r="P243" s="171">
        <f>(INDEX(Models!$BJ243:$BT243,,T243)*(1-R243)+INDEX(Models!$BJ243:$BT243,,T243+1)*R243-ERP_i)*Q243*Ramure*Pc/MaxiM</f>
        <v>1.0207433313809276E-3</v>
      </c>
      <c r="Q243" s="307">
        <f t="shared" si="80"/>
        <v>0.9</v>
      </c>
      <c r="R243" s="179">
        <f t="shared" si="81"/>
        <v>0.52462015264188189</v>
      </c>
      <c r="S243" s="839">
        <f t="shared" si="82"/>
        <v>-2</v>
      </c>
      <c r="T243" s="178">
        <f t="shared" si="83"/>
        <v>4</v>
      </c>
      <c r="U243" s="253">
        <f t="shared" si="84"/>
        <v>-1.4753798473581181</v>
      </c>
      <c r="V243" s="385">
        <f t="shared" si="85"/>
        <v>49.899568855763505</v>
      </c>
      <c r="W243" s="404">
        <f t="shared" si="86"/>
        <v>22.254304541318923</v>
      </c>
      <c r="X243" s="157">
        <f t="shared" si="87"/>
        <v>46251</v>
      </c>
      <c r="Y243" s="387">
        <f t="shared" si="88"/>
        <v>19.787761014393109</v>
      </c>
      <c r="Z243" s="387">
        <f t="shared" si="89"/>
        <v>21.188020764622639</v>
      </c>
      <c r="AA243" s="388">
        <f t="shared" si="90"/>
        <v>24.950812734607851</v>
      </c>
      <c r="AB243" s="199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0.15080839289720041</v>
      </c>
      <c r="AD243" s="233">
        <f>(INDEX(Models!$BJ243:$BT243,,AH243)*(1-AF243)+INDEX(Models!$BJ243:$BT243,,AH243+1)*AF243-ERP_i)*AE243*Ramure*Pc/MaxiM</f>
        <v>1.3074256791663982E-2</v>
      </c>
      <c r="AE243" s="307">
        <f t="shared" si="92"/>
        <v>0.9</v>
      </c>
      <c r="AF243" s="179">
        <f t="shared" si="93"/>
        <v>0.16027580494886084</v>
      </c>
      <c r="AG243" s="839">
        <f t="shared" si="99"/>
        <v>3</v>
      </c>
      <c r="AH243" s="178">
        <f t="shared" si="94"/>
        <v>9</v>
      </c>
      <c r="AI243" s="227">
        <f t="shared" si="95"/>
        <v>3.1602758049488608</v>
      </c>
      <c r="AJ243" s="267" t="b">
        <f t="shared" si="96"/>
        <v>0</v>
      </c>
      <c r="AK243" s="267" t="b">
        <f t="shared" si="97"/>
        <v>0</v>
      </c>
      <c r="AL243" s="267"/>
      <c r="AM243" s="267"/>
      <c r="AN243" s="75"/>
    </row>
    <row r="244" spans="1:40" s="6" customFormat="1" ht="11.25" x14ac:dyDescent="0.2">
      <c r="A244" s="56">
        <f t="shared" si="98"/>
        <v>46252</v>
      </c>
      <c r="B244" s="413">
        <f>'2025'!Wh/'2025'!Env_an*'2026'!Env_an</f>
        <v>37.521379281651669</v>
      </c>
      <c r="C244" s="868"/>
      <c r="D244" s="395">
        <f t="shared" si="77"/>
        <v>40.177474555518948</v>
      </c>
      <c r="E244" s="387">
        <f t="shared" si="100"/>
        <v>42.183742674446911</v>
      </c>
      <c r="F244" s="387">
        <f t="shared" si="78"/>
        <v>42.213547595190285</v>
      </c>
      <c r="G244" s="110">
        <f t="shared" si="101"/>
        <v>0.75512621910102384</v>
      </c>
      <c r="H244" s="416" t="b">
        <f>Wh_hp&gt;='2025'!Maxi_hp</f>
        <v>0</v>
      </c>
      <c r="I244" s="392">
        <f>IF(H244,Wh_hp,'2025'!Maxi_hp)</f>
        <v>53.373753498683605</v>
      </c>
      <c r="J244" s="85">
        <f>IF(H244,An,'2025'!An_max)</f>
        <v>2021</v>
      </c>
      <c r="K244" s="199">
        <f t="shared" si="79"/>
        <v>46252</v>
      </c>
      <c r="L244" s="147">
        <f>IF(t&lt;Tvie,1-EXP((T0-t)*PertePVj)+'2025'!Pspv,1-EXP((T0-t)*PertePVj)+Pspv)</f>
        <v>6.61090649238536E-2</v>
      </c>
      <c r="M244" s="872"/>
      <c r="N244" s="872"/>
      <c r="O244" s="48">
        <f>IF(t&lt;Tnet,'2025'!Resal+('2025'!Salim-'2025'!Resal)*(1-EXP(('2025'!Tnet-t)/('2025'!Tau_j))),Resal+(Salim-Resal)*(1-EXP((Tnet-t)/(Tau_j))))*Salcycl</f>
        <v>4.7560220874931412E-2</v>
      </c>
      <c r="P244" s="171">
        <f>(INDEX(Models!$BJ244:$BT244,,T244)*(1-R244)+INDEX(Models!$BJ244:$BT244,,T244+1)*R244-ERP_i)*Q244*Ramure*Pc/MaxiM</f>
        <v>1.0852476617488516E-3</v>
      </c>
      <c r="Q244" s="307">
        <f t="shared" si="80"/>
        <v>0.9</v>
      </c>
      <c r="R244" s="179">
        <f t="shared" si="81"/>
        <v>0.52615677136862105</v>
      </c>
      <c r="S244" s="839">
        <f t="shared" si="82"/>
        <v>-2</v>
      </c>
      <c r="T244" s="178">
        <f t="shared" si="83"/>
        <v>4</v>
      </c>
      <c r="U244" s="253">
        <f t="shared" si="84"/>
        <v>-1.473843228631379</v>
      </c>
      <c r="V244" s="385">
        <f t="shared" si="85"/>
        <v>49.67002906434292</v>
      </c>
      <c r="W244" s="404">
        <f t="shared" si="86"/>
        <v>37.521379281651669</v>
      </c>
      <c r="X244" s="157">
        <f t="shared" si="87"/>
        <v>46252</v>
      </c>
      <c r="Y244" s="387">
        <f t="shared" si="88"/>
        <v>33.179631224507965</v>
      </c>
      <c r="Z244" s="387">
        <f t="shared" si="89"/>
        <v>35.528379148259539</v>
      </c>
      <c r="AA244" s="388">
        <f t="shared" si="90"/>
        <v>41.841899246034536</v>
      </c>
      <c r="AB244" s="199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0.15088990250301196</v>
      </c>
      <c r="AD244" s="233">
        <f>(INDEX(Models!$BJ244:$BT244,,AH244)*(1-AF244)+INDEX(Models!$BJ244:$BT244,,AH244+1)*AF244-ERP_i)*AE244*Ramure*Pc/MaxiM</f>
        <v>1.353234606415854E-2</v>
      </c>
      <c r="AE244" s="307">
        <f t="shared" si="92"/>
        <v>0.9</v>
      </c>
      <c r="AF244" s="179">
        <f t="shared" si="93"/>
        <v>0.16181242367559978</v>
      </c>
      <c r="AG244" s="839">
        <f t="shared" si="99"/>
        <v>3</v>
      </c>
      <c r="AH244" s="178">
        <f t="shared" si="94"/>
        <v>9</v>
      </c>
      <c r="AI244" s="227">
        <f t="shared" si="95"/>
        <v>3.1618124236755998</v>
      </c>
      <c r="AJ244" s="267" t="b">
        <f t="shared" si="96"/>
        <v>0</v>
      </c>
      <c r="AK244" s="267" t="b">
        <f t="shared" si="97"/>
        <v>0</v>
      </c>
      <c r="AL244" s="267"/>
      <c r="AM244" s="267"/>
      <c r="AN244" s="75"/>
    </row>
    <row r="245" spans="1:40" s="6" customFormat="1" ht="11.25" x14ac:dyDescent="0.2">
      <c r="A245" s="56">
        <f t="shared" si="98"/>
        <v>46253</v>
      </c>
      <c r="B245" s="413">
        <f>'2025'!Wh/'2025'!Env_an*'2026'!Env_an</f>
        <v>38.848754478828404</v>
      </c>
      <c r="C245" s="868"/>
      <c r="D245" s="395">
        <f t="shared" si="77"/>
        <v>41.599781203542022</v>
      </c>
      <c r="E245" s="387">
        <f t="shared" si="100"/>
        <v>43.686331896402059</v>
      </c>
      <c r="F245" s="387">
        <f t="shared" si="78"/>
        <v>43.721261215413953</v>
      </c>
      <c r="G245" s="110">
        <f t="shared" si="101"/>
        <v>0.78558762286045025</v>
      </c>
      <c r="H245" s="416" t="b">
        <f>Wh_hp&gt;='2025'!Maxi_hp</f>
        <v>0</v>
      </c>
      <c r="I245" s="392">
        <f>IF(H245,Wh_hp,'2025'!Maxi_hp)</f>
        <v>48.36638609373653</v>
      </c>
      <c r="J245" s="85">
        <f>IF(H245,An,'2025'!An_max)</f>
        <v>2021</v>
      </c>
      <c r="K245" s="199">
        <f t="shared" si="79"/>
        <v>46253</v>
      </c>
      <c r="L245" s="147">
        <f>IF(t&lt;Tvie,1-EXP((T0-t)*PertePVj)+'2025'!Pspv,1-EXP((T0-t)*PertePVj)+Pspv)</f>
        <v>6.6130797930239571E-2</v>
      </c>
      <c r="M245" s="872"/>
      <c r="N245" s="872"/>
      <c r="O245" s="48">
        <f>IF(t&lt;Tnet,'2025'!Resal+('2025'!Salim-'2025'!Resal)*(1-EXP(('2025'!Tnet-t)/('2025'!Tau_j))),Resal+(Salim-Resal)*(1-EXP((Tnet-t)/(Tau_j))))*Salcycl</f>
        <v>4.7762094052851367E-2</v>
      </c>
      <c r="P245" s="171">
        <f>(INDEX(Models!$BJ245:$BT245,,T245)*(1-R245)+INDEX(Models!$BJ245:$BT245,,T245+1)*R245-ERP_i)*Q245*Ramure*Pc/MaxiM</f>
        <v>1.1510130941208274E-3</v>
      </c>
      <c r="Q245" s="307">
        <f t="shared" si="80"/>
        <v>0.9</v>
      </c>
      <c r="R245" s="179">
        <f t="shared" si="81"/>
        <v>0.52763825703783596</v>
      </c>
      <c r="S245" s="839">
        <f t="shared" si="82"/>
        <v>-2</v>
      </c>
      <c r="T245" s="178">
        <f t="shared" si="83"/>
        <v>4</v>
      </c>
      <c r="U245" s="253">
        <f t="shared" si="84"/>
        <v>-1.472361742962164</v>
      </c>
      <c r="V245" s="385">
        <f t="shared" si="85"/>
        <v>49.434415226520606</v>
      </c>
      <c r="W245" s="404">
        <f t="shared" si="86"/>
        <v>38.848754478828404</v>
      </c>
      <c r="X245" s="157">
        <f t="shared" si="87"/>
        <v>46253</v>
      </c>
      <c r="Y245" s="387">
        <f t="shared" si="88"/>
        <v>34.329393497704565</v>
      </c>
      <c r="Z245" s="387">
        <f t="shared" si="89"/>
        <v>36.760387237976552</v>
      </c>
      <c r="AA245" s="388">
        <f t="shared" si="90"/>
        <v>43.296960096268982</v>
      </c>
      <c r="AB245" s="199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0.15097071119447261</v>
      </c>
      <c r="AD245" s="233">
        <f>(INDEX(Models!$BJ245:$BT245,,AH245)*(1-AF245)+INDEX(Models!$BJ245:$BT245,,AH245+1)*AF245-ERP_i)*AE245*Ramure*Pc/MaxiM</f>
        <v>1.3981839835459704E-2</v>
      </c>
      <c r="AE245" s="307">
        <f t="shared" si="92"/>
        <v>0.9</v>
      </c>
      <c r="AF245" s="179">
        <f t="shared" si="93"/>
        <v>0.16329390934481491</v>
      </c>
      <c r="AG245" s="839">
        <f t="shared" si="99"/>
        <v>3</v>
      </c>
      <c r="AH245" s="178">
        <f t="shared" si="94"/>
        <v>9</v>
      </c>
      <c r="AI245" s="227">
        <f t="shared" si="95"/>
        <v>3.1632939093448149</v>
      </c>
      <c r="AJ245" s="267" t="b">
        <f t="shared" si="96"/>
        <v>0</v>
      </c>
      <c r="AK245" s="267" t="b">
        <f t="shared" si="97"/>
        <v>0</v>
      </c>
      <c r="AL245" s="267"/>
      <c r="AM245" s="267"/>
      <c r="AN245" s="75"/>
    </row>
    <row r="246" spans="1:40" s="6" customFormat="1" ht="11.25" x14ac:dyDescent="0.2">
      <c r="A246" s="56">
        <f t="shared" si="98"/>
        <v>46254</v>
      </c>
      <c r="B246" s="413">
        <f>'2025'!Wh/'2025'!Env_an*'2026'!Env_an</f>
        <v>45.789663634125205</v>
      </c>
      <c r="C246" s="868"/>
      <c r="D246" s="395">
        <f t="shared" si="77"/>
        <v>49.033343373786778</v>
      </c>
      <c r="E246" s="387">
        <f t="shared" si="100"/>
        <v>51.503639055458834</v>
      </c>
      <c r="F246" s="387">
        <f t="shared" si="78"/>
        <v>51.560237811085734</v>
      </c>
      <c r="G246" s="110">
        <f t="shared" si="101"/>
        <v>0.93071709311694606</v>
      </c>
      <c r="H246" s="416" t="b">
        <f>Wh_hp&gt;='2025'!Maxi_hp</f>
        <v>0</v>
      </c>
      <c r="I246" s="392">
        <f>IF(H246,Wh_hp,'2025'!Maxi_hp)</f>
        <v>52.08934331759658</v>
      </c>
      <c r="J246" s="85">
        <f>IF(H246,An,'2025'!An_max)</f>
        <v>2021</v>
      </c>
      <c r="K246" s="199">
        <f t="shared" si="79"/>
        <v>46254</v>
      </c>
      <c r="L246" s="147">
        <f>IF(t&lt;Tvie,1-EXP((T0-t)*PertePVj)+'2025'!Pspv,1-EXP((T0-t)*PertePVj)+Pspv)</f>
        <v>6.6152530430866885E-2</v>
      </c>
      <c r="M246" s="872"/>
      <c r="N246" s="872"/>
      <c r="O246" s="48">
        <f>IF(t&lt;Tnet,'2025'!Resal+('2025'!Salim-'2025'!Resal)*(1-EXP(('2025'!Tnet-t)/('2025'!Tau_j))),Resal+(Salim-Resal)*(1-EXP((Tnet-t)/(Tau_j))))*Salcycl</f>
        <v>4.7963517277139517E-2</v>
      </c>
      <c r="P246" s="171">
        <f>(INDEX(Models!$BJ246:$BT246,,T246)*(1-R246)+INDEX(Models!$BJ246:$BT246,,T246+1)*R246-ERP_i)*Q246*Ramure*Pc/MaxiM</f>
        <v>1.2180866534990931E-3</v>
      </c>
      <c r="Q246" s="307">
        <f t="shared" si="80"/>
        <v>0.9</v>
      </c>
      <c r="R246" s="179">
        <f t="shared" si="81"/>
        <v>0.52906633973483563</v>
      </c>
      <c r="S246" s="839">
        <f t="shared" si="82"/>
        <v>-2</v>
      </c>
      <c r="T246" s="178">
        <f t="shared" si="83"/>
        <v>4</v>
      </c>
      <c r="U246" s="253">
        <f t="shared" si="84"/>
        <v>-1.4709336602651644</v>
      </c>
      <c r="V246" s="385">
        <f t="shared" si="85"/>
        <v>49.192333968106887</v>
      </c>
      <c r="W246" s="404">
        <f t="shared" si="86"/>
        <v>45.789663634125205</v>
      </c>
      <c r="X246" s="157">
        <f t="shared" si="87"/>
        <v>46254</v>
      </c>
      <c r="Y246" s="387">
        <f t="shared" si="88"/>
        <v>40.345094933602127</v>
      </c>
      <c r="Z246" s="387">
        <f t="shared" si="89"/>
        <v>43.203088564577797</v>
      </c>
      <c r="AA246" s="388">
        <f t="shared" si="90"/>
        <v>50.890074846120591</v>
      </c>
      <c r="AB246" s="199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0.15105079536208973</v>
      </c>
      <c r="AD246" s="233">
        <f>(INDEX(Models!$BJ246:$BT246,,AH246)*(1-AF246)+INDEX(Models!$BJ246:$BT246,,AH246+1)*AF246-ERP_i)*AE246*Ramure*Pc/MaxiM</f>
        <v>1.4422871214245571E-2</v>
      </c>
      <c r="AE246" s="307">
        <f t="shared" si="92"/>
        <v>0.9</v>
      </c>
      <c r="AF246" s="179">
        <f t="shared" si="93"/>
        <v>0.16472199204181459</v>
      </c>
      <c r="AG246" s="839">
        <f t="shared" si="99"/>
        <v>3</v>
      </c>
      <c r="AH246" s="178">
        <f t="shared" si="94"/>
        <v>9</v>
      </c>
      <c r="AI246" s="227">
        <f t="shared" si="95"/>
        <v>3.1647219920418146</v>
      </c>
      <c r="AJ246" s="267" t="b">
        <f t="shared" si="96"/>
        <v>0</v>
      </c>
      <c r="AK246" s="267" t="b">
        <f t="shared" si="97"/>
        <v>0</v>
      </c>
      <c r="AL246" s="267"/>
      <c r="AM246" s="267"/>
      <c r="AN246" s="75"/>
    </row>
    <row r="247" spans="1:40" s="6" customFormat="1" ht="11.25" x14ac:dyDescent="0.2">
      <c r="A247" s="56">
        <f t="shared" si="98"/>
        <v>46255</v>
      </c>
      <c r="B247" s="413">
        <f>'2025'!Wh/'2025'!Env_an*'2026'!Env_an</f>
        <v>30.066915200209106</v>
      </c>
      <c r="C247" s="868"/>
      <c r="D247" s="395">
        <f t="shared" si="77"/>
        <v>32.197565338381288</v>
      </c>
      <c r="E247" s="387">
        <f t="shared" si="100"/>
        <v>33.826816383879127</v>
      </c>
      <c r="F247" s="387">
        <f t="shared" si="78"/>
        <v>33.846367221224696</v>
      </c>
      <c r="G247" s="110">
        <f t="shared" si="101"/>
        <v>0.61386661335564452</v>
      </c>
      <c r="H247" s="416" t="b">
        <f>Wh_hp&gt;='2025'!Maxi_hp</f>
        <v>0</v>
      </c>
      <c r="I247" s="392">
        <f>IF(H247,Wh_hp,'2025'!Maxi_hp)</f>
        <v>51.212941565413232</v>
      </c>
      <c r="J247" s="85">
        <f>IF(H247,An,'2025'!An_max)</f>
        <v>2020</v>
      </c>
      <c r="K247" s="199">
        <f t="shared" si="79"/>
        <v>46255</v>
      </c>
      <c r="L247" s="147">
        <f>IF(t&lt;Tvie,1-EXP((T0-t)*PertePVj)+'2025'!Pspv,1-EXP((T0-t)*PertePVj)+Pspv)</f>
        <v>6.6174262425747088E-2</v>
      </c>
      <c r="M247" s="872"/>
      <c r="N247" s="872"/>
      <c r="O247" s="48">
        <f>IF(t&lt;Tnet,'2025'!Resal+('2025'!Salim-'2025'!Resal)*(1-EXP(('2025'!Tnet-t)/('2025'!Tau_j))),Resal+(Salim-Resal)*(1-EXP((Tnet-t)/(Tau_j))))*Salcycl</f>
        <v>4.8164480718743921E-2</v>
      </c>
      <c r="P247" s="171">
        <f>(INDEX(Models!$BJ247:$BT247,,T247)*(1-R247)+INDEX(Models!$BJ247:$BT247,,T247+1)*R247-ERP_i)*Q247*Ramure*Pc/MaxiM</f>
        <v>1.2864821517988851E-3</v>
      </c>
      <c r="Q247" s="307">
        <f t="shared" si="80"/>
        <v>0.9</v>
      </c>
      <c r="R247" s="179">
        <f t="shared" si="81"/>
        <v>0.53044271401196541</v>
      </c>
      <c r="S247" s="839">
        <f t="shared" si="82"/>
        <v>-2</v>
      </c>
      <c r="T247" s="178">
        <f t="shared" si="83"/>
        <v>4</v>
      </c>
      <c r="U247" s="253">
        <f t="shared" si="84"/>
        <v>-1.4695572859880346</v>
      </c>
      <c r="V247" s="385">
        <f t="shared" si="85"/>
        <v>48.94481858627686</v>
      </c>
      <c r="W247" s="404">
        <f t="shared" si="86"/>
        <v>30.066915200209106</v>
      </c>
      <c r="X247" s="157">
        <f t="shared" si="87"/>
        <v>46255</v>
      </c>
      <c r="Y247" s="387">
        <f t="shared" si="88"/>
        <v>26.650942169838991</v>
      </c>
      <c r="Z247" s="387">
        <f t="shared" si="89"/>
        <v>28.539524129061444</v>
      </c>
      <c r="AA247" s="388">
        <f t="shared" si="90"/>
        <v>33.620611519859196</v>
      </c>
      <c r="AB247" s="199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0.15113013003337039</v>
      </c>
      <c r="AD247" s="233">
        <f>(INDEX(Models!$BJ247:$BT247,,AH247)*(1-AF247)+INDEX(Models!$BJ247:$BT247,,AH247+1)*AF247-ERP_i)*AE247*Ramure*Pc/MaxiM</f>
        <v>1.4855153021841257E-2</v>
      </c>
      <c r="AE247" s="307">
        <f t="shared" si="92"/>
        <v>0.9</v>
      </c>
      <c r="AF247" s="179">
        <f t="shared" si="93"/>
        <v>0.16609836631894437</v>
      </c>
      <c r="AG247" s="839">
        <f t="shared" si="99"/>
        <v>3</v>
      </c>
      <c r="AH247" s="178">
        <f t="shared" si="94"/>
        <v>9</v>
      </c>
      <c r="AI247" s="227">
        <f t="shared" si="95"/>
        <v>3.1660983663189444</v>
      </c>
      <c r="AJ247" s="267" t="b">
        <f t="shared" si="96"/>
        <v>0</v>
      </c>
      <c r="AK247" s="267" t="b">
        <f t="shared" si="97"/>
        <v>0</v>
      </c>
      <c r="AL247" s="267"/>
      <c r="AM247" s="267"/>
      <c r="AN247" s="75"/>
    </row>
    <row r="248" spans="1:40" s="6" customFormat="1" ht="11.25" x14ac:dyDescent="0.2">
      <c r="A248" s="56">
        <f t="shared" si="98"/>
        <v>46256</v>
      </c>
      <c r="B248" s="413">
        <f>'2025'!Wh/'2025'!Env_an*'2026'!Env_an</f>
        <v>24.115827536461019</v>
      </c>
      <c r="C248" s="868"/>
      <c r="D248" s="395">
        <f t="shared" si="77"/>
        <v>25.82536311614739</v>
      </c>
      <c r="E248" s="387">
        <f t="shared" si="100"/>
        <v>27.137886281617302</v>
      </c>
      <c r="F248" s="387">
        <f t="shared" si="78"/>
        <v>27.148152461642066</v>
      </c>
      <c r="G248" s="110">
        <f t="shared" si="101"/>
        <v>0.49477779651265008</v>
      </c>
      <c r="H248" s="416" t="b">
        <f>Wh_hp&gt;='2025'!Maxi_hp</f>
        <v>0</v>
      </c>
      <c r="I248" s="392">
        <f>IF(H248,Wh_hp,'2025'!Maxi_hp)</f>
        <v>55.17534928654144</v>
      </c>
      <c r="J248" s="85">
        <f>IF(H248,An,'2025'!An_max)</f>
        <v>2019</v>
      </c>
      <c r="K248" s="199">
        <f t="shared" si="79"/>
        <v>46256</v>
      </c>
      <c r="L248" s="147">
        <f>IF(t&lt;Tvie,1-EXP((T0-t)*PertePVj)+'2025'!Pspv,1-EXP((T0-t)*PertePVj)+Pspv)</f>
        <v>6.619599391489206E-2</v>
      </c>
      <c r="M248" s="872"/>
      <c r="N248" s="872"/>
      <c r="O248" s="48">
        <f>IF(t&lt;Tnet,'2025'!Resal+('2025'!Salim-'2025'!Resal)*(1-EXP(('2025'!Tnet-t)/('2025'!Tau_j))),Resal+(Salim-Resal)*(1-EXP((Tnet-t)/(Tau_j))))*Salcycl</f>
        <v>4.8364974038489994E-2</v>
      </c>
      <c r="P248" s="171">
        <f>(INDEX(Models!$BJ248:$BT248,,T248)*(1-R248)+INDEX(Models!$BJ248:$BT248,,T248+1)*R248-ERP_i)*Q248*Ramure*Pc/MaxiM</f>
        <v>1.3556534530201783E-3</v>
      </c>
      <c r="Q248" s="307">
        <f t="shared" si="80"/>
        <v>0.9</v>
      </c>
      <c r="R248" s="179">
        <f t="shared" si="81"/>
        <v>0.53176903810423104</v>
      </c>
      <c r="S248" s="839">
        <f t="shared" si="82"/>
        <v>-2</v>
      </c>
      <c r="T248" s="178">
        <f t="shared" si="83"/>
        <v>4</v>
      </c>
      <c r="U248" s="253">
        <f t="shared" si="84"/>
        <v>-1.468230961895769</v>
      </c>
      <c r="V248" s="385">
        <f t="shared" si="85"/>
        <v>48.693060962355261</v>
      </c>
      <c r="W248" s="404">
        <f t="shared" si="86"/>
        <v>24.115827536461019</v>
      </c>
      <c r="X248" s="157">
        <f t="shared" si="87"/>
        <v>46256</v>
      </c>
      <c r="Y248" s="387">
        <f t="shared" si="88"/>
        <v>21.426092174451853</v>
      </c>
      <c r="Z248" s="387">
        <f t="shared" si="89"/>
        <v>22.944956366463749</v>
      </c>
      <c r="AA248" s="388">
        <f t="shared" si="90"/>
        <v>27.032506186672212</v>
      </c>
      <c r="AB248" s="199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0.15120868897548759</v>
      </c>
      <c r="AD248" s="233">
        <f>(INDEX(Models!$BJ248:$BT248,,AH248)*(1-AF248)+INDEX(Models!$BJ248:$BT248,,AH248+1)*AF248-ERP_i)*AE248*Ramure*Pc/MaxiM</f>
        <v>1.5271139957958183E-2</v>
      </c>
      <c r="AE248" s="307">
        <f t="shared" si="92"/>
        <v>0.9</v>
      </c>
      <c r="AF248" s="179">
        <f t="shared" si="93"/>
        <v>0.16742469041121</v>
      </c>
      <c r="AG248" s="839">
        <f t="shared" si="99"/>
        <v>3</v>
      </c>
      <c r="AH248" s="178">
        <f t="shared" si="94"/>
        <v>9</v>
      </c>
      <c r="AI248" s="227">
        <f t="shared" si="95"/>
        <v>3.16742469041121</v>
      </c>
      <c r="AJ248" s="267" t="b">
        <f t="shared" si="96"/>
        <v>0</v>
      </c>
      <c r="AK248" s="267" t="b">
        <f t="shared" si="97"/>
        <v>0</v>
      </c>
      <c r="AL248" s="267"/>
      <c r="AM248" s="267"/>
      <c r="AN248" s="75"/>
    </row>
    <row r="249" spans="1:40" s="6" customFormat="1" ht="11.25" x14ac:dyDescent="0.2">
      <c r="A249" s="56">
        <f t="shared" si="98"/>
        <v>46257</v>
      </c>
      <c r="B249" s="413">
        <f>'2025'!Wh/'2025'!Env_an*'2026'!Env_an</f>
        <v>42.749789509312897</v>
      </c>
      <c r="C249" s="868"/>
      <c r="D249" s="395">
        <f t="shared" si="77"/>
        <v>45.781324671918362</v>
      </c>
      <c r="E249" s="387">
        <f t="shared" si="100"/>
        <v>48.118183604571762</v>
      </c>
      <c r="F249" s="387">
        <f t="shared" si="78"/>
        <v>48.175308471458315</v>
      </c>
      <c r="G249" s="110">
        <f t="shared" si="101"/>
        <v>0.88237590816772016</v>
      </c>
      <c r="H249" s="416" t="b">
        <f>Wh_hp&gt;='2025'!Maxi_hp</f>
        <v>0</v>
      </c>
      <c r="I249" s="392">
        <f>IF(H249,Wh_hp,'2025'!Maxi_hp)</f>
        <v>52.366514381661467</v>
      </c>
      <c r="J249" s="85">
        <f>IF(H249,An,'2025'!An_max)</f>
        <v>2019</v>
      </c>
      <c r="K249" s="199">
        <f t="shared" si="79"/>
        <v>46257</v>
      </c>
      <c r="L249" s="147">
        <f>IF(t&lt;Tvie,1-EXP((T0-t)*PertePVj)+'2025'!Pspv,1-EXP((T0-t)*PertePVj)+Pspv)</f>
        <v>6.6217724898313568E-2</v>
      </c>
      <c r="M249" s="872"/>
      <c r="N249" s="872"/>
      <c r="O249" s="48">
        <f>IF(t&lt;Tnet,'2025'!Resal+('2025'!Salim-'2025'!Resal)*(1-EXP(('2025'!Tnet-t)/('2025'!Tau_j))),Resal+(Salim-Resal)*(1-EXP((Tnet-t)/(Tau_j))))*Salcycl</f>
        <v>4.8564986406331646E-2</v>
      </c>
      <c r="P249" s="171">
        <f>(INDEX(Models!$BJ249:$BT249,,T249)*(1-R249)+INDEX(Models!$BJ249:$BT249,,T249+1)*R249-ERP_i)*Q249*Ramure*Pc/MaxiM</f>
        <v>1.4247474571450359E-3</v>
      </c>
      <c r="Q249" s="307">
        <f t="shared" si="80"/>
        <v>0.9</v>
      </c>
      <c r="R249" s="179">
        <f t="shared" si="81"/>
        <v>0.53304693330237196</v>
      </c>
      <c r="S249" s="839">
        <f t="shared" si="82"/>
        <v>-2</v>
      </c>
      <c r="T249" s="178">
        <f t="shared" si="83"/>
        <v>4</v>
      </c>
      <c r="U249" s="253">
        <f t="shared" si="84"/>
        <v>-1.466953066697628</v>
      </c>
      <c r="V249" s="385">
        <f t="shared" si="85"/>
        <v>48.436908552319395</v>
      </c>
      <c r="W249" s="404">
        <f t="shared" si="86"/>
        <v>42.749789509312897</v>
      </c>
      <c r="X249" s="157">
        <f t="shared" si="87"/>
        <v>46257</v>
      </c>
      <c r="Y249" s="387">
        <f t="shared" si="88"/>
        <v>37.681490408370287</v>
      </c>
      <c r="Z249" s="387">
        <f t="shared" si="89"/>
        <v>40.353614984035623</v>
      </c>
      <c r="AA249" s="388">
        <f t="shared" si="90"/>
        <v>47.546801551186505</v>
      </c>
      <c r="AB249" s="199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0.1512864447760395</v>
      </c>
      <c r="AD249" s="233">
        <f>(INDEX(Models!$BJ249:$BT249,,AH249)*(1-AF249)+INDEX(Models!$BJ249:$BT249,,AH249+1)*AF249-ERP_i)*AE249*Ramure*Pc/MaxiM</f>
        <v>1.5675548762915374E-2</v>
      </c>
      <c r="AE249" s="307">
        <f t="shared" si="92"/>
        <v>0.9</v>
      </c>
      <c r="AF249" s="179">
        <f t="shared" si="93"/>
        <v>0.16870258560935092</v>
      </c>
      <c r="AG249" s="839">
        <f t="shared" si="99"/>
        <v>3</v>
      </c>
      <c r="AH249" s="178">
        <f t="shared" si="94"/>
        <v>9</v>
      </c>
      <c r="AI249" s="227">
        <f t="shared" si="95"/>
        <v>3.1687025856093509</v>
      </c>
      <c r="AJ249" s="267" t="b">
        <f t="shared" si="96"/>
        <v>0</v>
      </c>
      <c r="AK249" s="267" t="b">
        <f t="shared" si="97"/>
        <v>0</v>
      </c>
      <c r="AL249" s="267"/>
      <c r="AM249" s="267"/>
      <c r="AN249" s="75"/>
    </row>
    <row r="250" spans="1:40" s="6" customFormat="1" ht="11.25" x14ac:dyDescent="0.2">
      <c r="A250" s="56">
        <f t="shared" si="98"/>
        <v>46258</v>
      </c>
      <c r="B250" s="413">
        <f>'2025'!Wh/'2025'!Env_an*'2026'!Env_an</f>
        <v>43.166680725887069</v>
      </c>
      <c r="C250" s="868"/>
      <c r="D250" s="395">
        <f t="shared" si="77"/>
        <v>46.22885489691599</v>
      </c>
      <c r="E250" s="387">
        <f t="shared" si="100"/>
        <v>48.598748904441962</v>
      </c>
      <c r="F250" s="387">
        <f t="shared" si="78"/>
        <v>48.66063953947593</v>
      </c>
      <c r="G250" s="110">
        <f t="shared" si="101"/>
        <v>0.89581827092101962</v>
      </c>
      <c r="H250" s="416" t="b">
        <f>Wh_hp&gt;='2025'!Maxi_hp</f>
        <v>0</v>
      </c>
      <c r="I250" s="392">
        <f>IF(H250,Wh_hp,'2025'!Maxi_hp)</f>
        <v>52.23999379446547</v>
      </c>
      <c r="J250" s="85">
        <f>IF(H250,An,'2025'!An_max)</f>
        <v>2019</v>
      </c>
      <c r="K250" s="199">
        <f t="shared" si="79"/>
        <v>46258</v>
      </c>
      <c r="L250" s="147">
        <f>IF(t&lt;Tvie,1-EXP((T0-t)*PertePVj)+'2025'!Pspv,1-EXP((T0-t)*PertePVj)+Pspv)</f>
        <v>6.6239455376023271E-2</v>
      </c>
      <c r="M250" s="872"/>
      <c r="N250" s="872"/>
      <c r="O250" s="48">
        <f>IF(t&lt;Tnet,'2025'!Resal+('2025'!Salim-'2025'!Resal)*(1-EXP(('2025'!Tnet-t)/('2025'!Tau_j))),Resal+(Salim-Resal)*(1-EXP((Tnet-t)/(Tau_j))))*Salcycl</f>
        <v>4.8764506514062958E-2</v>
      </c>
      <c r="P250" s="171">
        <f>(INDEX(Models!$BJ250:$BT250,,T250)*(1-R250)+INDEX(Models!$BJ250:$BT250,,T250+1)*R250-ERP_i)*Q250*Ramure*Pc/MaxiM</f>
        <v>1.4937787142159696E-3</v>
      </c>
      <c r="Q250" s="307">
        <f t="shared" si="80"/>
        <v>0.9</v>
      </c>
      <c r="R250" s="179">
        <f t="shared" si="81"/>
        <v>0.53427798347190203</v>
      </c>
      <c r="S250" s="839">
        <f t="shared" si="82"/>
        <v>-2</v>
      </c>
      <c r="T250" s="178">
        <f t="shared" si="83"/>
        <v>4</v>
      </c>
      <c r="U250" s="253">
        <f t="shared" si="84"/>
        <v>-1.465722016528098</v>
      </c>
      <c r="V250" s="385">
        <f t="shared" si="85"/>
        <v>48.17616633028809</v>
      </c>
      <c r="W250" s="404">
        <f t="shared" si="86"/>
        <v>43.166680725887069</v>
      </c>
      <c r="X250" s="157">
        <f t="shared" si="87"/>
        <v>46258</v>
      </c>
      <c r="Y250" s="387">
        <f t="shared" si="88"/>
        <v>38.032273373827387</v>
      </c>
      <c r="Z250" s="387">
        <f t="shared" si="89"/>
        <v>40.730221032355672</v>
      </c>
      <c r="AA250" s="388">
        <f t="shared" si="90"/>
        <v>47.994889143118307</v>
      </c>
      <c r="AB250" s="199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0.15136336890162963</v>
      </c>
      <c r="AD250" s="233">
        <f>(INDEX(Models!$BJ250:$BT250,,AH250)*(1-AF250)+INDEX(Models!$BJ250:$BT250,,AH250+1)*AF250-ERP_i)*AE250*Ramure*Pc/MaxiM</f>
        <v>1.6068404703135142E-2</v>
      </c>
      <c r="AE250" s="307">
        <f t="shared" si="92"/>
        <v>0.9</v>
      </c>
      <c r="AF250" s="179">
        <f t="shared" si="93"/>
        <v>0.16993363577888099</v>
      </c>
      <c r="AG250" s="839">
        <f t="shared" si="99"/>
        <v>3</v>
      </c>
      <c r="AH250" s="178">
        <f t="shared" si="94"/>
        <v>9</v>
      </c>
      <c r="AI250" s="227">
        <f t="shared" si="95"/>
        <v>3.169933635778881</v>
      </c>
      <c r="AJ250" s="267" t="b">
        <f t="shared" si="96"/>
        <v>0</v>
      </c>
      <c r="AK250" s="267" t="b">
        <f t="shared" si="97"/>
        <v>0</v>
      </c>
      <c r="AL250" s="267"/>
      <c r="AM250" s="267"/>
      <c r="AN250" s="75"/>
    </row>
    <row r="251" spans="1:40" s="6" customFormat="1" ht="11.25" x14ac:dyDescent="0.2">
      <c r="A251" s="56">
        <f t="shared" si="98"/>
        <v>46259</v>
      </c>
      <c r="B251" s="413">
        <f>'2025'!Wh/'2025'!Env_an*'2026'!Env_an</f>
        <v>32.890532228473724</v>
      </c>
      <c r="C251" s="868"/>
      <c r="D251" s="395">
        <f t="shared" si="77"/>
        <v>35.224552853929538</v>
      </c>
      <c r="E251" s="387">
        <f t="shared" si="100"/>
        <v>37.038067088170344</v>
      </c>
      <c r="F251" s="387">
        <f t="shared" si="78"/>
        <v>37.070053487470474</v>
      </c>
      <c r="G251" s="110">
        <f t="shared" si="101"/>
        <v>0.68601656444486148</v>
      </c>
      <c r="H251" s="416" t="b">
        <f>Wh_hp&gt;='2025'!Maxi_hp</f>
        <v>0</v>
      </c>
      <c r="I251" s="392">
        <f>IF(H251,Wh_hp,'2025'!Maxi_hp)</f>
        <v>48.806443569925385</v>
      </c>
      <c r="J251" s="85">
        <f>IF(H251,An,'2025'!An_max)</f>
        <v>2021</v>
      </c>
      <c r="K251" s="199">
        <f t="shared" si="79"/>
        <v>46259</v>
      </c>
      <c r="L251" s="147">
        <f>IF(t&lt;Tvie,1-EXP((T0-t)*PertePVj)+'2025'!Pspv,1-EXP((T0-t)*PertePVj)+Pspv)</f>
        <v>6.6261185348033047E-2</v>
      </c>
      <c r="M251" s="872"/>
      <c r="N251" s="872"/>
      <c r="O251" s="48">
        <f>IF(t&lt;Tnet,'2025'!Resal+('2025'!Salim-'2025'!Resal)*(1-EXP(('2025'!Tnet-t)/('2025'!Tau_j))),Resal+(Salim-Resal)*(1-EXP((Tnet-t)/(Tau_j))))*Salcycl</f>
        <v>4.8963522581339812E-2</v>
      </c>
      <c r="P251" s="171">
        <f>(INDEX(Models!$BJ251:$BT251,,T251)*(1-R251)+INDEX(Models!$BJ251:$BT251,,T251+1)*R251-ERP_i)*Q251*Ramure*Pc/MaxiM</f>
        <v>1.5627645033260463E-3</v>
      </c>
      <c r="Q251" s="307">
        <f t="shared" si="80"/>
        <v>0.9</v>
      </c>
      <c r="R251" s="179">
        <f t="shared" si="81"/>
        <v>0.53546373470705233</v>
      </c>
      <c r="S251" s="839">
        <f t="shared" si="82"/>
        <v>-2</v>
      </c>
      <c r="T251" s="178">
        <f t="shared" si="83"/>
        <v>4</v>
      </c>
      <c r="U251" s="253">
        <f t="shared" si="84"/>
        <v>-1.4645362652929477</v>
      </c>
      <c r="V251" s="385">
        <f t="shared" si="85"/>
        <v>47.910639389639066</v>
      </c>
      <c r="W251" s="404">
        <f t="shared" si="86"/>
        <v>32.890532228473724</v>
      </c>
      <c r="X251" s="157">
        <f t="shared" si="87"/>
        <v>46259</v>
      </c>
      <c r="Y251" s="387">
        <f t="shared" si="88"/>
        <v>29.105090225688446</v>
      </c>
      <c r="Z251" s="387">
        <f t="shared" si="89"/>
        <v>31.170483403902196</v>
      </c>
      <c r="AA251" s="388">
        <f t="shared" si="90"/>
        <v>36.733363026296857</v>
      </c>
      <c r="AB251" s="199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0.15143943173436861</v>
      </c>
      <c r="AD251" s="233">
        <f>(INDEX(Models!$BJ251:$BT251,,AH251)*(1-AF251)+INDEX(Models!$BJ251:$BT251,,AH251+1)*AF251-ERP_i)*AE251*Ramure*Pc/MaxiM</f>
        <v>1.6449738415178546E-2</v>
      </c>
      <c r="AE251" s="307">
        <f t="shared" si="92"/>
        <v>0.9</v>
      </c>
      <c r="AF251" s="179">
        <f t="shared" si="93"/>
        <v>0.17111938701403151</v>
      </c>
      <c r="AG251" s="839">
        <f t="shared" si="99"/>
        <v>3</v>
      </c>
      <c r="AH251" s="178">
        <f t="shared" si="94"/>
        <v>9</v>
      </c>
      <c r="AI251" s="227">
        <f t="shared" si="95"/>
        <v>3.1711193870140315</v>
      </c>
      <c r="AJ251" s="267" t="b">
        <f t="shared" si="96"/>
        <v>0</v>
      </c>
      <c r="AK251" s="267" t="b">
        <f t="shared" si="97"/>
        <v>0</v>
      </c>
      <c r="AL251" s="267"/>
      <c r="AM251" s="267"/>
      <c r="AN251" s="75"/>
    </row>
    <row r="252" spans="1:40" s="6" customFormat="1" ht="11.25" x14ac:dyDescent="0.2">
      <c r="A252" s="56">
        <f t="shared" si="98"/>
        <v>46260</v>
      </c>
      <c r="B252" s="413">
        <f>'2025'!Wh/'2025'!Env_an*'2026'!Env_an</f>
        <v>39.839969159279676</v>
      </c>
      <c r="C252" s="868"/>
      <c r="D252" s="395">
        <f t="shared" si="77"/>
        <v>42.668137695433224</v>
      </c>
      <c r="E252" s="387">
        <f t="shared" si="100"/>
        <v>44.874246400118913</v>
      </c>
      <c r="F252" s="387">
        <f t="shared" si="78"/>
        <v>44.930412160445854</v>
      </c>
      <c r="G252" s="110">
        <f t="shared" si="101"/>
        <v>0.83594948617336351</v>
      </c>
      <c r="H252" s="416" t="b">
        <f>Wh_hp&gt;='2025'!Maxi_hp</f>
        <v>0</v>
      </c>
      <c r="I252" s="392">
        <f>IF(H252,Wh_hp,'2025'!Maxi_hp)</f>
        <v>50.962123018222243</v>
      </c>
      <c r="J252" s="85">
        <f>IF(H252,An,'2025'!An_max)</f>
        <v>2021</v>
      </c>
      <c r="K252" s="199">
        <f t="shared" si="79"/>
        <v>46260</v>
      </c>
      <c r="L252" s="147">
        <f>IF(t&lt;Tvie,1-EXP((T0-t)*PertePVj)+'2025'!Pspv,1-EXP((T0-t)*PertePVj)+Pspv)</f>
        <v>6.6282914814354554E-2</v>
      </c>
      <c r="M252" s="872"/>
      <c r="N252" s="872"/>
      <c r="O252" s="48">
        <f>IF(t&lt;Tnet,'2025'!Resal+('2025'!Salim-'2025'!Resal)*(1-EXP(('2025'!Tnet-t)/('2025'!Tau_j))),Resal+(Salim-Resal)*(1-EXP((Tnet-t)/(Tau_j))))*Salcycl</f>
        <v>4.9162022354983625E-2</v>
      </c>
      <c r="P252" s="171">
        <f>(INDEX(Models!$BJ252:$BT252,,T252)*(1-R252)+INDEX(Models!$BJ252:$BT252,,T252+1)*R252-ERP_i)*Q252*Ramure*Pc/MaxiM</f>
        <v>1.631723395192689E-3</v>
      </c>
      <c r="Q252" s="307">
        <f t="shared" si="80"/>
        <v>0.9</v>
      </c>
      <c r="R252" s="179">
        <f t="shared" si="81"/>
        <v>0.53660569510901746</v>
      </c>
      <c r="S252" s="839">
        <f t="shared" si="82"/>
        <v>-2</v>
      </c>
      <c r="T252" s="178">
        <f t="shared" si="83"/>
        <v>4</v>
      </c>
      <c r="U252" s="253">
        <f t="shared" si="84"/>
        <v>-1.4633943048909825</v>
      </c>
      <c r="V252" s="385">
        <f t="shared" si="85"/>
        <v>47.640133013199346</v>
      </c>
      <c r="W252" s="404">
        <f t="shared" si="86"/>
        <v>39.839969159279676</v>
      </c>
      <c r="X252" s="157">
        <f t="shared" si="87"/>
        <v>46260</v>
      </c>
      <c r="Y252" s="387">
        <f t="shared" si="88"/>
        <v>35.137239117792738</v>
      </c>
      <c r="Z252" s="387">
        <f t="shared" si="89"/>
        <v>37.631569214358557</v>
      </c>
      <c r="AA252" s="388">
        <f t="shared" si="90"/>
        <v>44.351463595113977</v>
      </c>
      <c r="AB252" s="199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0.15151460258677299</v>
      </c>
      <c r="AD252" s="233">
        <f>(INDEX(Models!$BJ252:$BT252,,AH252)*(1-AF252)+INDEX(Models!$BJ252:$BT252,,AH252+1)*AF252-ERP_i)*AE252*Ramure*Pc/MaxiM</f>
        <v>1.6819569666044705E-2</v>
      </c>
      <c r="AE252" s="307">
        <f t="shared" si="92"/>
        <v>0.9</v>
      </c>
      <c r="AF252" s="179">
        <f t="shared" si="93"/>
        <v>0.17226134741599619</v>
      </c>
      <c r="AG252" s="839">
        <f t="shared" si="99"/>
        <v>3</v>
      </c>
      <c r="AH252" s="178">
        <f t="shared" si="94"/>
        <v>9</v>
      </c>
      <c r="AI252" s="227">
        <f t="shared" si="95"/>
        <v>3.1722613474159962</v>
      </c>
      <c r="AJ252" s="267" t="b">
        <f t="shared" si="96"/>
        <v>0</v>
      </c>
      <c r="AK252" s="267" t="b">
        <f t="shared" si="97"/>
        <v>0</v>
      </c>
      <c r="AL252" s="267"/>
      <c r="AM252" s="267"/>
      <c r="AN252" s="75"/>
    </row>
    <row r="253" spans="1:40" s="6" customFormat="1" ht="11.25" x14ac:dyDescent="0.2">
      <c r="A253" s="56">
        <f t="shared" si="98"/>
        <v>46261</v>
      </c>
      <c r="B253" s="413">
        <f>'2025'!Wh/'2025'!Env_an*'2026'!Env_an</f>
        <v>46.35425531123952</v>
      </c>
      <c r="C253" s="868"/>
      <c r="D253" s="395">
        <f t="shared" si="77"/>
        <v>49.646016767881569</v>
      </c>
      <c r="E253" s="387">
        <f t="shared" si="100"/>
        <v>52.223782302053827</v>
      </c>
      <c r="F253" s="387">
        <f t="shared" si="78"/>
        <v>52.310034150061881</v>
      </c>
      <c r="G253" s="110">
        <f t="shared" si="101"/>
        <v>0.97862102919301086</v>
      </c>
      <c r="H253" s="416" t="b">
        <f>Wh_hp&gt;='2025'!Maxi_hp</f>
        <v>0</v>
      </c>
      <c r="I253" s="392">
        <f>IF(H253,Wh_hp,'2025'!Maxi_hp)</f>
        <v>52.311688254107636</v>
      </c>
      <c r="J253" s="85">
        <f>IF(H253,An,'2025'!An_max)</f>
        <v>2025</v>
      </c>
      <c r="K253" s="199">
        <f t="shared" si="79"/>
        <v>46261</v>
      </c>
      <c r="L253" s="147">
        <f>IF(t&lt;Tvie,1-EXP((T0-t)*PertePVj)+'2025'!Pspv,1-EXP((T0-t)*PertePVj)+Pspv)</f>
        <v>6.6304643774999672E-2</v>
      </c>
      <c r="M253" s="872"/>
      <c r="N253" s="872"/>
      <c r="O253" s="48">
        <f>IF(t&lt;Tnet,'2025'!Resal+('2025'!Salim-'2025'!Resal)*(1-EXP(('2025'!Tnet-t)/('2025'!Tau_j))),Resal+(Salim-Resal)*(1-EXP((Tnet-t)/(Tau_j))))*Salcycl</f>
        <v>4.9359993101665514E-2</v>
      </c>
      <c r="P253" s="171">
        <f>(INDEX(Models!$BJ253:$BT253,,T253)*(1-R253)+INDEX(Models!$BJ253:$BT253,,T253+1)*R253-ERP_i)*Q253*Ramure*Pc/MaxiM</f>
        <v>1.7006761656367625E-3</v>
      </c>
      <c r="Q253" s="307">
        <f t="shared" si="80"/>
        <v>0.9</v>
      </c>
      <c r="R253" s="179">
        <f t="shared" si="81"/>
        <v>0.53770533467836357</v>
      </c>
      <c r="S253" s="839">
        <f t="shared" si="82"/>
        <v>-2</v>
      </c>
      <c r="T253" s="178">
        <f t="shared" si="83"/>
        <v>4</v>
      </c>
      <c r="U253" s="253">
        <f t="shared" si="84"/>
        <v>-1.4622946653216364</v>
      </c>
      <c r="V253" s="385">
        <f t="shared" si="85"/>
        <v>47.364452628076691</v>
      </c>
      <c r="W253" s="404">
        <f t="shared" si="86"/>
        <v>46.35425531123952</v>
      </c>
      <c r="X253" s="157">
        <f t="shared" si="87"/>
        <v>46261</v>
      </c>
      <c r="Y253" s="387">
        <f t="shared" si="88"/>
        <v>40.747661836639104</v>
      </c>
      <c r="Z253" s="387">
        <f t="shared" si="89"/>
        <v>43.641281457567622</v>
      </c>
      <c r="AA253" s="388">
        <f t="shared" si="90"/>
        <v>51.438835335821643</v>
      </c>
      <c r="AB253" s="199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0.15158884969590017</v>
      </c>
      <c r="AD253" s="233">
        <f>(INDEX(Models!$BJ253:$BT253,,AH253)*(1-AF253)+INDEX(Models!$BJ253:$BT253,,AH253+1)*AF253-ERP_i)*AE253*Ramure*Pc/MaxiM</f>
        <v>1.7177916683836923E-2</v>
      </c>
      <c r="AE253" s="307">
        <f t="shared" si="92"/>
        <v>0.9</v>
      </c>
      <c r="AF253" s="179">
        <f t="shared" si="93"/>
        <v>0.17336098698534252</v>
      </c>
      <c r="AG253" s="839">
        <f t="shared" si="99"/>
        <v>3</v>
      </c>
      <c r="AH253" s="178">
        <f t="shared" si="94"/>
        <v>9</v>
      </c>
      <c r="AI253" s="227">
        <f t="shared" si="95"/>
        <v>3.1733609869853425</v>
      </c>
      <c r="AJ253" s="267" t="b">
        <f t="shared" si="96"/>
        <v>0</v>
      </c>
      <c r="AK253" s="267" t="b">
        <f t="shared" si="97"/>
        <v>0</v>
      </c>
      <c r="AL253" s="267"/>
      <c r="AM253" s="267"/>
      <c r="AN253" s="75"/>
    </row>
    <row r="254" spans="1:40" s="6" customFormat="1" ht="11.25" x14ac:dyDescent="0.2">
      <c r="A254" s="56">
        <f t="shared" si="98"/>
        <v>46262</v>
      </c>
      <c r="B254" s="413">
        <f>'2025'!Wh/'2025'!Env_an*'2026'!Env_an</f>
        <v>44.707062493931922</v>
      </c>
      <c r="C254" s="868"/>
      <c r="D254" s="395">
        <f t="shared" si="77"/>
        <v>47.882965914663338</v>
      </c>
      <c r="E254" s="387">
        <f t="shared" si="100"/>
        <v>50.379651546102103</v>
      </c>
      <c r="F254" s="387">
        <f t="shared" si="78"/>
        <v>50.462469722942139</v>
      </c>
      <c r="G254" s="110">
        <f t="shared" si="101"/>
        <v>0.94940693039943302</v>
      </c>
      <c r="H254" s="416" t="b">
        <f>Wh_hp&gt;='2025'!Maxi_hp</f>
        <v>0</v>
      </c>
      <c r="I254" s="392">
        <f>IF(H254,Wh_hp,'2025'!Maxi_hp)</f>
        <v>52.43587821164941</v>
      </c>
      <c r="J254" s="85">
        <f>IF(H254,An,'2025'!An_max)</f>
        <v>2021</v>
      </c>
      <c r="K254" s="199">
        <f t="shared" si="79"/>
        <v>46262</v>
      </c>
      <c r="L254" s="147">
        <f>IF(t&lt;Tvie,1-EXP((T0-t)*PertePVj)+'2025'!Pspv,1-EXP((T0-t)*PertePVj)+Pspv)</f>
        <v>6.6326372229980168E-2</v>
      </c>
      <c r="M254" s="872"/>
      <c r="N254" s="872"/>
      <c r="O254" s="48">
        <f>IF(t&lt;Tnet,'2025'!Resal+('2025'!Salim-'2025'!Resal)*(1-EXP(('2025'!Tnet-t)/('2025'!Tau_j))),Resal+(Salim-Resal)*(1-EXP((Tnet-t)/(Tau_j))))*Salcycl</f>
        <v>4.9557421594193976E-2</v>
      </c>
      <c r="P254" s="171">
        <f>(INDEX(Models!$BJ254:$BT254,,T254)*(1-R254)+INDEX(Models!$BJ254:$BT254,,T254+1)*R254-ERP_i)*Q254*Ramure*Pc/MaxiM</f>
        <v>1.7687122278678728E-3</v>
      </c>
      <c r="Q254" s="307">
        <f t="shared" si="80"/>
        <v>0.9</v>
      </c>
      <c r="R254" s="179">
        <f t="shared" si="81"/>
        <v>0.53876408531194731</v>
      </c>
      <c r="S254" s="839">
        <f t="shared" si="82"/>
        <v>-2</v>
      </c>
      <c r="T254" s="178">
        <f t="shared" si="83"/>
        <v>4</v>
      </c>
      <c r="U254" s="253">
        <f t="shared" si="84"/>
        <v>-1.4612359146880527</v>
      </c>
      <c r="V254" s="385">
        <f t="shared" si="85"/>
        <v>47.0834478441488</v>
      </c>
      <c r="W254" s="404">
        <f t="shared" si="86"/>
        <v>44.707062493931922</v>
      </c>
      <c r="X254" s="157">
        <f t="shared" si="87"/>
        <v>46262</v>
      </c>
      <c r="Y254" s="387">
        <f t="shared" si="88"/>
        <v>39.3196589037086</v>
      </c>
      <c r="Z254" s="387">
        <f t="shared" si="89"/>
        <v>42.11285157279147</v>
      </c>
      <c r="AA254" s="388">
        <f t="shared" si="90"/>
        <v>49.641603385019714</v>
      </c>
      <c r="AB254" s="199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0.15166214019791688</v>
      </c>
      <c r="AD254" s="233">
        <f>(INDEX(Models!$BJ254:$BT254,,AH254)*(1-AF254)+INDEX(Models!$BJ254:$BT254,,AH254+1)*AF254-ERP_i)*AE254*Ramure*Pc/MaxiM</f>
        <v>1.7530889772336557E-2</v>
      </c>
      <c r="AE254" s="307">
        <f t="shared" si="92"/>
        <v>0.9</v>
      </c>
      <c r="AF254" s="179">
        <f t="shared" si="93"/>
        <v>0.17441973761892626</v>
      </c>
      <c r="AG254" s="839">
        <f t="shared" si="99"/>
        <v>3</v>
      </c>
      <c r="AH254" s="178">
        <f t="shared" si="94"/>
        <v>9</v>
      </c>
      <c r="AI254" s="227">
        <f t="shared" si="95"/>
        <v>3.1744197376189263</v>
      </c>
      <c r="AJ254" s="267" t="b">
        <f t="shared" si="96"/>
        <v>0</v>
      </c>
      <c r="AK254" s="267" t="b">
        <f t="shared" si="97"/>
        <v>0</v>
      </c>
      <c r="AL254" s="267"/>
      <c r="AM254" s="267"/>
      <c r="AN254" s="75"/>
    </row>
    <row r="255" spans="1:40" s="6" customFormat="1" ht="11.25" x14ac:dyDescent="0.2">
      <c r="A255" s="56">
        <f t="shared" si="98"/>
        <v>46263</v>
      </c>
      <c r="B255" s="413">
        <f>'2025'!Wh/'2025'!Env_an*'2026'!Env_an</f>
        <v>31.415895585578895</v>
      </c>
      <c r="C255" s="868"/>
      <c r="D255" s="395">
        <f t="shared" si="77"/>
        <v>33.648403212816589</v>
      </c>
      <c r="E255" s="387">
        <f t="shared" si="100"/>
        <v>35.410213383343248</v>
      </c>
      <c r="F255" s="387">
        <f t="shared" si="78"/>
        <v>35.444739426703805</v>
      </c>
      <c r="G255" s="110">
        <f t="shared" si="101"/>
        <v>0.6707448549199142</v>
      </c>
      <c r="H255" s="416" t="b">
        <f>Wh_hp&gt;='2025'!Maxi_hp</f>
        <v>0</v>
      </c>
      <c r="I255" s="392">
        <f>IF(H255,Wh_hp,'2025'!Maxi_hp)</f>
        <v>51.701518118132348</v>
      </c>
      <c r="J255" s="85">
        <f>IF(H255,An,'2025'!An_max)</f>
        <v>2021</v>
      </c>
      <c r="K255" s="199">
        <f t="shared" si="79"/>
        <v>46263</v>
      </c>
      <c r="L255" s="147">
        <f>IF(t&lt;Tvie,1-EXP((T0-t)*PertePVj)+'2025'!Pspv,1-EXP((T0-t)*PertePVj)+Pspv)</f>
        <v>6.6348100179307812E-2</v>
      </c>
      <c r="M255" s="872"/>
      <c r="N255" s="872"/>
      <c r="O255" s="48">
        <f>IF(t&lt;Tnet,'2025'!Resal+('2025'!Salim-'2025'!Resal)*(1-EXP(('2025'!Tnet-t)/('2025'!Tau_j))),Resal+(Salim-Resal)*(1-EXP((Tnet-t)/(Tau_j))))*Salcycl</f>
        <v>4.9754294091755073E-2</v>
      </c>
      <c r="P255" s="171">
        <f>(INDEX(Models!$BJ255:$BT255,,T255)*(1-R255)+INDEX(Models!$BJ255:$BT255,,T255+1)*R255-ERP_i)*Q255*Ramure*Pc/MaxiM</f>
        <v>1.8362836462789626E-3</v>
      </c>
      <c r="Q255" s="307">
        <f t="shared" si="80"/>
        <v>0.9</v>
      </c>
      <c r="R255" s="179">
        <f t="shared" si="81"/>
        <v>0.53978334089515978</v>
      </c>
      <c r="S255" s="839">
        <f t="shared" si="82"/>
        <v>-2</v>
      </c>
      <c r="T255" s="178">
        <f t="shared" si="83"/>
        <v>4</v>
      </c>
      <c r="U255" s="253">
        <f t="shared" si="84"/>
        <v>-1.4602166591048402</v>
      </c>
      <c r="V255" s="385">
        <f t="shared" si="85"/>
        <v>46.796903581260814</v>
      </c>
      <c r="W255" s="404">
        <f t="shared" si="86"/>
        <v>31.415895585578895</v>
      </c>
      <c r="X255" s="157">
        <f t="shared" si="87"/>
        <v>46263</v>
      </c>
      <c r="Y255" s="387">
        <f t="shared" si="88"/>
        <v>27.805309832652615</v>
      </c>
      <c r="Z255" s="387">
        <f t="shared" si="89"/>
        <v>29.781238423006073</v>
      </c>
      <c r="AA255" s="388">
        <f t="shared" si="90"/>
        <v>35.108390379514731</v>
      </c>
      <c r="AB255" s="199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0.15173444008464074</v>
      </c>
      <c r="AD255" s="233">
        <f>(INDEX(Models!$BJ255:$BT255,,AH255)*(1-AF255)+INDEX(Models!$BJ255:$BT255,,AH255+1)*AF255-ERP_i)*AE255*Ramure*Pc/MaxiM</f>
        <v>1.7888880238746255E-2</v>
      </c>
      <c r="AE255" s="307">
        <f t="shared" si="92"/>
        <v>0.9</v>
      </c>
      <c r="AF255" s="179">
        <f t="shared" si="93"/>
        <v>0.17543899320213896</v>
      </c>
      <c r="AG255" s="839">
        <f t="shared" si="99"/>
        <v>3</v>
      </c>
      <c r="AH255" s="178">
        <f t="shared" si="94"/>
        <v>9</v>
      </c>
      <c r="AI255" s="227">
        <f t="shared" si="95"/>
        <v>3.175438993202139</v>
      </c>
      <c r="AJ255" s="267" t="b">
        <f t="shared" si="96"/>
        <v>0</v>
      </c>
      <c r="AK255" s="267" t="b">
        <f t="shared" si="97"/>
        <v>0</v>
      </c>
      <c r="AL255" s="267"/>
      <c r="AM255" s="267"/>
      <c r="AN255" s="75"/>
    </row>
    <row r="256" spans="1:40" s="6" customFormat="1" ht="11.25" x14ac:dyDescent="0.2">
      <c r="A256" s="56">
        <f t="shared" si="98"/>
        <v>46264</v>
      </c>
      <c r="B256" s="413">
        <f>'2025'!Wh/'2025'!Env_an*'2026'!Env_an</f>
        <v>43.744382809367259</v>
      </c>
      <c r="C256" s="868"/>
      <c r="D256" s="395">
        <f t="shared" si="77"/>
        <v>46.854080023993703</v>
      </c>
      <c r="E256" s="387">
        <f t="shared" si="100"/>
        <v>49.317519533444987</v>
      </c>
      <c r="F256" s="387">
        <f t="shared" si="78"/>
        <v>49.403581269223139</v>
      </c>
      <c r="G256" s="110">
        <f t="shared" si="101"/>
        <v>0.94049376239903171</v>
      </c>
      <c r="H256" s="416" t="b">
        <f>Wh_hp&gt;='2025'!Maxi_hp</f>
        <v>0</v>
      </c>
      <c r="I256" s="392">
        <f>IF(H256,Wh_hp,'2025'!Maxi_hp)</f>
        <v>49.974130891350057</v>
      </c>
      <c r="J256" s="85">
        <f>IF(H256,An,'2025'!An_max)</f>
        <v>2021</v>
      </c>
      <c r="K256" s="199">
        <f t="shared" si="79"/>
        <v>46264</v>
      </c>
      <c r="L256" s="147">
        <f>IF(t&lt;Tvie,1-EXP((T0-t)*PertePVj)+'2025'!Pspv,1-EXP((T0-t)*PertePVj)+Pspv)</f>
        <v>6.636982762299426E-2</v>
      </c>
      <c r="M256" s="872"/>
      <c r="N256" s="872"/>
      <c r="O256" s="48">
        <f>IF(t&lt;Tnet,'2025'!Resal+('2025'!Salim-'2025'!Resal)*(1-EXP(('2025'!Tnet-t)/('2025'!Tau_j))),Resal+(Salim-Resal)*(1-EXP((Tnet-t)/(Tau_j))))*Salcycl</f>
        <v>4.9950596314575123E-2</v>
      </c>
      <c r="P256" s="171">
        <f>(INDEX(Models!$BJ256:$BT256,,T256)*(1-R256)+INDEX(Models!$BJ256:$BT256,,T256+1)*R256-ERP_i)*Q256*Ramure*Pc/MaxiM</f>
        <v>1.9034071567528258E-3</v>
      </c>
      <c r="Q256" s="307">
        <f t="shared" si="80"/>
        <v>0.9</v>
      </c>
      <c r="R256" s="179">
        <f t="shared" si="81"/>
        <v>0.54076445748080437</v>
      </c>
      <c r="S256" s="839">
        <f t="shared" si="82"/>
        <v>-2</v>
      </c>
      <c r="T256" s="178">
        <f t="shared" si="83"/>
        <v>4</v>
      </c>
      <c r="U256" s="253">
        <f t="shared" si="84"/>
        <v>-1.4592355425191956</v>
      </c>
      <c r="V256" s="385">
        <f t="shared" si="85"/>
        <v>46.504625760132861</v>
      </c>
      <c r="W256" s="404">
        <f t="shared" si="86"/>
        <v>43.744382809367259</v>
      </c>
      <c r="X256" s="157">
        <f t="shared" si="87"/>
        <v>46264</v>
      </c>
      <c r="Y256" s="387">
        <f t="shared" si="88"/>
        <v>38.469154818017913</v>
      </c>
      <c r="Z256" s="387">
        <f t="shared" si="89"/>
        <v>41.203847043713395</v>
      </c>
      <c r="AA256" s="388">
        <f t="shared" si="90"/>
        <v>48.57831245836131</v>
      </c>
      <c r="AB256" s="199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0.15180571414391777</v>
      </c>
      <c r="AD256" s="233">
        <f>(INDEX(Models!$BJ256:$BT256,,AH256)*(1-AF256)+INDEX(Models!$BJ256:$BT256,,AH256+1)*AF256-ERP_i)*AE256*Ramure*Pc/MaxiM</f>
        <v>1.8252276074102736E-2</v>
      </c>
      <c r="AE256" s="307">
        <f t="shared" si="92"/>
        <v>0.9</v>
      </c>
      <c r="AF256" s="179">
        <f t="shared" si="93"/>
        <v>0.17642010978778355</v>
      </c>
      <c r="AG256" s="839">
        <f t="shared" si="99"/>
        <v>3</v>
      </c>
      <c r="AH256" s="178">
        <f t="shared" si="94"/>
        <v>9</v>
      </c>
      <c r="AI256" s="227">
        <f t="shared" si="95"/>
        <v>3.1764201097877836</v>
      </c>
      <c r="AJ256" s="267" t="b">
        <f t="shared" si="96"/>
        <v>0</v>
      </c>
      <c r="AK256" s="267" t="b">
        <f t="shared" si="97"/>
        <v>0</v>
      </c>
      <c r="AL256" s="267"/>
      <c r="AM256" s="267"/>
      <c r="AN256" s="75"/>
    </row>
    <row r="257" spans="1:40" s="6" customFormat="1" ht="11.25" x14ac:dyDescent="0.2">
      <c r="A257" s="56">
        <f t="shared" si="98"/>
        <v>46265</v>
      </c>
      <c r="B257" s="413">
        <f>'2025'!Wh/'2025'!Env_an*'2026'!Env_an</f>
        <v>20.542836834176143</v>
      </c>
      <c r="C257" s="868"/>
      <c r="D257" s="395">
        <f t="shared" si="77"/>
        <v>22.003696447409119</v>
      </c>
      <c r="E257" s="387">
        <f t="shared" si="100"/>
        <v>23.165353525642725</v>
      </c>
      <c r="F257" s="387">
        <f t="shared" si="78"/>
        <v>23.174784130830012</v>
      </c>
      <c r="G257" s="110">
        <f t="shared" si="101"/>
        <v>0.44389311420928812</v>
      </c>
      <c r="H257" s="416" t="b">
        <f>Wh_hp&gt;='2025'!Maxi_hp</f>
        <v>0</v>
      </c>
      <c r="I257" s="392">
        <f>IF(H257,Wh_hp,'2025'!Maxi_hp)</f>
        <v>49.874216739239351</v>
      </c>
      <c r="J257" s="85">
        <f>IF(H257,An,'2025'!An_max)</f>
        <v>2021</v>
      </c>
      <c r="K257" s="199">
        <f t="shared" si="79"/>
        <v>46265</v>
      </c>
      <c r="L257" s="147">
        <f>IF(t&lt;Tvie,1-EXP((T0-t)*PertePVj)+'2025'!Pspv,1-EXP((T0-t)*PertePVj)+Pspv)</f>
        <v>6.6391554561051391E-2</v>
      </c>
      <c r="M257" s="872"/>
      <c r="N257" s="872"/>
      <c r="O257" s="48">
        <f>IF(t&lt;Tnet,'2025'!Resal+('2025'!Salim-'2025'!Resal)*(1-EXP(('2025'!Tnet-t)/('2025'!Tau_j))),Resal+(Salim-Resal)*(1-EXP((Tnet-t)/(Tau_j))))*Salcycl</f>
        <v>5.0146313413594823E-2</v>
      </c>
      <c r="P257" s="171">
        <f>(INDEX(Models!$BJ257:$BT257,,T257)*(1-R257)+INDEX(Models!$BJ257:$BT257,,T257+1)*R257-ERP_i)*Q257*Ramure*Pc/MaxiM</f>
        <v>1.9701013324243625E-3</v>
      </c>
      <c r="Q257" s="307">
        <f t="shared" si="80"/>
        <v>0.9</v>
      </c>
      <c r="R257" s="179">
        <f t="shared" si="81"/>
        <v>0.5417087535463847</v>
      </c>
      <c r="S257" s="839">
        <f t="shared" si="82"/>
        <v>-2</v>
      </c>
      <c r="T257" s="178">
        <f t="shared" si="83"/>
        <v>4</v>
      </c>
      <c r="U257" s="253">
        <f t="shared" si="84"/>
        <v>-1.4582912464536153</v>
      </c>
      <c r="V257" s="385">
        <f t="shared" si="85"/>
        <v>46.206420445102715</v>
      </c>
      <c r="W257" s="404">
        <f t="shared" si="86"/>
        <v>20.542836834176143</v>
      </c>
      <c r="X257" s="157">
        <f t="shared" si="87"/>
        <v>46265</v>
      </c>
      <c r="Y257" s="387">
        <f t="shared" si="88"/>
        <v>18.279578950305705</v>
      </c>
      <c r="Z257" s="387">
        <f t="shared" si="89"/>
        <v>19.579491851866564</v>
      </c>
      <c r="AA257" s="388">
        <f t="shared" si="90"/>
        <v>23.085645661362104</v>
      </c>
      <c r="AB257" s="199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0.15187592588600224</v>
      </c>
      <c r="AD257" s="233">
        <f>(INDEX(Models!$BJ257:$BT257,,AH257)*(1-AF257)+INDEX(Models!$BJ257:$BT257,,AH257+1)*AF257-ERP_i)*AE257*Ramure*Pc/MaxiM</f>
        <v>1.8621479107802277E-2</v>
      </c>
      <c r="AE257" s="307">
        <f t="shared" si="92"/>
        <v>0.9</v>
      </c>
      <c r="AF257" s="179">
        <f t="shared" si="93"/>
        <v>0.17736440585336366</v>
      </c>
      <c r="AG257" s="839">
        <f t="shared" si="99"/>
        <v>3</v>
      </c>
      <c r="AH257" s="178">
        <f t="shared" si="94"/>
        <v>9</v>
      </c>
      <c r="AI257" s="227">
        <f t="shared" si="95"/>
        <v>3.1773644058533637</v>
      </c>
      <c r="AJ257" s="267" t="b">
        <f t="shared" si="96"/>
        <v>0</v>
      </c>
      <c r="AK257" s="267" t="b">
        <f t="shared" si="97"/>
        <v>0</v>
      </c>
      <c r="AL257" s="267"/>
      <c r="AM257" s="267"/>
      <c r="AN257" s="75"/>
    </row>
    <row r="258" spans="1:40" s="6" customFormat="1" ht="11.25" x14ac:dyDescent="0.2">
      <c r="A258" s="56">
        <f t="shared" si="98"/>
        <v>46266</v>
      </c>
      <c r="B258" s="413">
        <f>'2025'!Wh/'2025'!Env_an*'2026'!Env_an</f>
        <v>41.393721645999307</v>
      </c>
      <c r="C258" s="868"/>
      <c r="D258" s="395">
        <f t="shared" si="77"/>
        <v>44.338378860026076</v>
      </c>
      <c r="E258" s="387">
        <f t="shared" si="100"/>
        <v>46.68875768375495</v>
      </c>
      <c r="F258" s="387">
        <f t="shared" si="78"/>
        <v>46.770637205160021</v>
      </c>
      <c r="G258" s="110">
        <f t="shared" si="101"/>
        <v>0.90152474941243765</v>
      </c>
      <c r="H258" s="416" t="b">
        <f>Wh_hp&gt;='2025'!Maxi_hp</f>
        <v>0</v>
      </c>
      <c r="I258" s="392">
        <f>IF(H258,Wh_hp,'2025'!Maxi_hp)</f>
        <v>46.778674459955361</v>
      </c>
      <c r="J258" s="85">
        <f>IF(H258,An,'2025'!An_max)</f>
        <v>2025</v>
      </c>
      <c r="K258" s="199">
        <f t="shared" si="79"/>
        <v>46266</v>
      </c>
      <c r="L258" s="147">
        <f>IF(t&lt;Tvie,1-EXP((T0-t)*PertePVj)+'2025'!Pspv,1-EXP((T0-t)*PertePVj)+Pspv)</f>
        <v>6.6413280993490864E-2</v>
      </c>
      <c r="M258" s="872"/>
      <c r="N258" s="872"/>
      <c r="O258" s="48">
        <f>IF(t&lt;Tnet,'2025'!Resal+('2025'!Salim-'2025'!Resal)*(1-EXP(('2025'!Tnet-t)/('2025'!Tau_j))),Resal+(Salim-Resal)*(1-EXP((Tnet-t)/(Tau_j))))*Salcycl</f>
        <v>5.0341429935855268E-2</v>
      </c>
      <c r="P258" s="171">
        <f>(INDEX(Models!$BJ258:$BT258,,T258)*(1-R258)+INDEX(Models!$BJ258:$BT258,,T258+1)*R258-ERP_i)*Q258*Ramure*Pc/MaxiM</f>
        <v>2.0363866061344983E-3</v>
      </c>
      <c r="Q258" s="307">
        <f t="shared" si="80"/>
        <v>0.9</v>
      </c>
      <c r="R258" s="179">
        <f t="shared" si="81"/>
        <v>0.54261751032205474</v>
      </c>
      <c r="S258" s="839">
        <f t="shared" si="82"/>
        <v>-2</v>
      </c>
      <c r="T258" s="178">
        <f t="shared" si="83"/>
        <v>4</v>
      </c>
      <c r="U258" s="253">
        <f t="shared" si="84"/>
        <v>-1.4573824896779453</v>
      </c>
      <c r="V258" s="385">
        <f t="shared" si="85"/>
        <v>45.902093843669064</v>
      </c>
      <c r="W258" s="404">
        <f t="shared" si="86"/>
        <v>41.393721645999307</v>
      </c>
      <c r="X258" s="157">
        <f t="shared" si="87"/>
        <v>46266</v>
      </c>
      <c r="Y258" s="387">
        <f t="shared" si="88"/>
        <v>36.425098864630222</v>
      </c>
      <c r="Z258" s="387">
        <f t="shared" si="89"/>
        <v>39.016299314318182</v>
      </c>
      <c r="AA258" s="388">
        <f t="shared" si="90"/>
        <v>46.006805027573122</v>
      </c>
      <c r="AB258" s="199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0.15194503745837909</v>
      </c>
      <c r="AD258" s="233">
        <f>(INDEX(Models!$BJ258:$BT258,,AH258)*(1-AF258)+INDEX(Models!$BJ258:$BT258,,AH258+1)*AF258-ERP_i)*AE258*Ramure*Pc/MaxiM</f>
        <v>1.8996906541226766E-2</v>
      </c>
      <c r="AE258" s="307">
        <f t="shared" si="92"/>
        <v>0.9</v>
      </c>
      <c r="AF258" s="179">
        <f t="shared" si="93"/>
        <v>0.1782731626290337</v>
      </c>
      <c r="AG258" s="839">
        <f t="shared" si="99"/>
        <v>3</v>
      </c>
      <c r="AH258" s="178">
        <f t="shared" si="94"/>
        <v>9</v>
      </c>
      <c r="AI258" s="227">
        <f t="shared" si="95"/>
        <v>3.1782731626290337</v>
      </c>
      <c r="AJ258" s="267" t="b">
        <f t="shared" si="96"/>
        <v>0</v>
      </c>
      <c r="AK258" s="267" t="b">
        <f t="shared" si="97"/>
        <v>0</v>
      </c>
      <c r="AL258" s="267"/>
      <c r="AM258" s="267"/>
      <c r="AN258" s="75"/>
    </row>
    <row r="259" spans="1:40" s="6" customFormat="1" ht="11.25" x14ac:dyDescent="0.2">
      <c r="A259" s="56">
        <f t="shared" si="98"/>
        <v>46267</v>
      </c>
      <c r="B259" s="413">
        <f>'2025'!Wh/'2025'!Env_an*'2026'!Env_an</f>
        <v>35.981598076699761</v>
      </c>
      <c r="C259" s="868"/>
      <c r="D259" s="395">
        <f t="shared" si="77"/>
        <v>38.542145799621792</v>
      </c>
      <c r="E259" s="387">
        <f t="shared" si="100"/>
        <v>40.593580114043782</v>
      </c>
      <c r="F259" s="387">
        <f t="shared" si="78"/>
        <v>40.653310045638285</v>
      </c>
      <c r="G259" s="110">
        <f t="shared" si="101"/>
        <v>0.78871773479628293</v>
      </c>
      <c r="H259" s="416" t="b">
        <f>Wh_hp&gt;='2025'!Maxi_hp</f>
        <v>0</v>
      </c>
      <c r="I259" s="392">
        <f>IF(H259,Wh_hp,'2025'!Maxi_hp)</f>
        <v>49.068004680732784</v>
      </c>
      <c r="J259" s="85">
        <f>IF(H259,An,'2025'!An_max)</f>
        <v>2019</v>
      </c>
      <c r="K259" s="199">
        <f t="shared" si="79"/>
        <v>46267</v>
      </c>
      <c r="L259" s="147">
        <f>IF(t&lt;Tvie,1-EXP((T0-t)*PertePVj)+'2025'!Pspv,1-EXP((T0-t)*PertePVj)+Pspv)</f>
        <v>6.6435006920324557E-2</v>
      </c>
      <c r="M259" s="872"/>
      <c r="N259" s="872"/>
      <c r="O259" s="48">
        <f>IF(t&lt;Tnet,'2025'!Resal+('2025'!Salim-'2025'!Resal)*(1-EXP(('2025'!Tnet-t)/('2025'!Tau_j))),Resal+(Salim-Resal)*(1-EXP((Tnet-t)/(Tau_j))))*Salcycl</f>
        <v>5.0535929786401729E-2</v>
      </c>
      <c r="P259" s="171">
        <f>(INDEX(Models!$BJ259:$BT259,,T259)*(1-R259)+INDEX(Models!$BJ259:$BT259,,T259+1)*R259-ERP_i)*Q259*Ramure*Pc/MaxiM</f>
        <v>2.1022853005732232E-3</v>
      </c>
      <c r="Q259" s="307">
        <f t="shared" si="80"/>
        <v>0.9</v>
      </c>
      <c r="R259" s="179">
        <f t="shared" si="81"/>
        <v>0.54349197218194401</v>
      </c>
      <c r="S259" s="839">
        <f t="shared" si="82"/>
        <v>-2</v>
      </c>
      <c r="T259" s="178">
        <f t="shared" si="83"/>
        <v>4</v>
      </c>
      <c r="U259" s="253">
        <f t="shared" si="84"/>
        <v>-1.456508027818056</v>
      </c>
      <c r="V259" s="385">
        <f t="shared" si="85"/>
        <v>45.591452306329444</v>
      </c>
      <c r="W259" s="404">
        <f t="shared" si="86"/>
        <v>35.981598076699761</v>
      </c>
      <c r="X259" s="157">
        <f t="shared" si="87"/>
        <v>46267</v>
      </c>
      <c r="Y259" s="387">
        <f t="shared" si="88"/>
        <v>31.747353925606237</v>
      </c>
      <c r="Z259" s="387">
        <f t="shared" si="89"/>
        <v>34.006581395985087</v>
      </c>
      <c r="AA259" s="388">
        <f t="shared" si="90"/>
        <v>40.102715936724159</v>
      </c>
      <c r="AB259" s="199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0.15201300955171773</v>
      </c>
      <c r="AD259" s="233">
        <f>(INDEX(Models!$BJ259:$BT259,,AH259)*(1-AF259)+INDEX(Models!$BJ259:$BT259,,AH259+1)*AF259-ERP_i)*AE259*Ramure*Pc/MaxiM</f>
        <v>1.9378992589687075E-2</v>
      </c>
      <c r="AE259" s="307">
        <f t="shared" si="92"/>
        <v>0.9</v>
      </c>
      <c r="AF259" s="179">
        <f t="shared" si="93"/>
        <v>0.17914762448892319</v>
      </c>
      <c r="AG259" s="839">
        <f t="shared" si="99"/>
        <v>3</v>
      </c>
      <c r="AH259" s="178">
        <f t="shared" si="94"/>
        <v>9</v>
      </c>
      <c r="AI259" s="227">
        <f t="shared" si="95"/>
        <v>3.1791476244889232</v>
      </c>
      <c r="AJ259" s="267" t="b">
        <f t="shared" si="96"/>
        <v>0</v>
      </c>
      <c r="AK259" s="267" t="b">
        <f t="shared" si="97"/>
        <v>0</v>
      </c>
      <c r="AL259" s="267"/>
      <c r="AM259" s="267"/>
      <c r="AN259" s="75"/>
    </row>
    <row r="260" spans="1:40" s="6" customFormat="1" ht="11.25" x14ac:dyDescent="0.2">
      <c r="A260" s="56">
        <f t="shared" si="98"/>
        <v>46268</v>
      </c>
      <c r="B260" s="413">
        <f>'2025'!Wh/'2025'!Env_an*'2026'!Env_an</f>
        <v>29.613240976188916</v>
      </c>
      <c r="C260" s="868"/>
      <c r="D260" s="395">
        <f t="shared" si="77"/>
        <v>31.721337405674259</v>
      </c>
      <c r="E260" s="387">
        <f t="shared" si="100"/>
        <v>33.416552292779485</v>
      </c>
      <c r="F260" s="387">
        <f t="shared" si="78"/>
        <v>33.453235824857934</v>
      </c>
      <c r="G260" s="110">
        <f t="shared" si="101"/>
        <v>0.65338351217573265</v>
      </c>
      <c r="H260" s="416" t="b">
        <f>Wh_hp&gt;='2025'!Maxi_hp</f>
        <v>0</v>
      </c>
      <c r="I260" s="392">
        <f>IF(H260,Wh_hp,'2025'!Maxi_hp)</f>
        <v>51.035952311623831</v>
      </c>
      <c r="J260" s="85">
        <f>IF(H260,An,'2025'!An_max)</f>
        <v>2019</v>
      </c>
      <c r="K260" s="199">
        <f t="shared" si="79"/>
        <v>46268</v>
      </c>
      <c r="L260" s="147">
        <f>IF(t&lt;Tvie,1-EXP((T0-t)*PertePVj)+'2025'!Pspv,1-EXP((T0-t)*PertePVj)+Pspv)</f>
        <v>6.645673234156424E-2</v>
      </c>
      <c r="M260" s="872"/>
      <c r="N260" s="872"/>
      <c r="O260" s="48">
        <f>IF(t&lt;Tnet,'2025'!Resal+('2025'!Salim-'2025'!Resal)*(1-EXP(('2025'!Tnet-t)/('2025'!Tau_j))),Resal+(Salim-Resal)*(1-EXP((Tnet-t)/(Tau_j))))*Salcycl</f>
        <v>5.0729796187607382E-2</v>
      </c>
      <c r="P260" s="171">
        <f>(INDEX(Models!$BJ260:$BT260,,T260)*(1-R260)+INDEX(Models!$BJ260:$BT260,,T260+1)*R260-ERP_i)*Q260*Ramure*Pc/MaxiM</f>
        <v>2.167821666668456E-3</v>
      </c>
      <c r="Q260" s="307">
        <f t="shared" si="80"/>
        <v>0.9</v>
      </c>
      <c r="R260" s="179">
        <f t="shared" si="81"/>
        <v>0.54433334709201953</v>
      </c>
      <c r="S260" s="839">
        <f t="shared" si="82"/>
        <v>-2</v>
      </c>
      <c r="T260" s="178">
        <f t="shared" si="83"/>
        <v>4</v>
      </c>
      <c r="U260" s="253">
        <f t="shared" si="84"/>
        <v>-1.4556666529079805</v>
      </c>
      <c r="V260" s="385">
        <f t="shared" si="85"/>
        <v>45.274302329295367</v>
      </c>
      <c r="W260" s="404">
        <f t="shared" si="86"/>
        <v>29.613240976188916</v>
      </c>
      <c r="X260" s="157">
        <f t="shared" si="87"/>
        <v>46268</v>
      </c>
      <c r="Y260" s="387">
        <f t="shared" si="88"/>
        <v>26.215792901499789</v>
      </c>
      <c r="Z260" s="387">
        <f t="shared" si="89"/>
        <v>28.082033055902887</v>
      </c>
      <c r="AA260" s="388">
        <f t="shared" si="90"/>
        <v>33.118721666204621</v>
      </c>
      <c r="AB260" s="199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0.15207980129985896</v>
      </c>
      <c r="AD260" s="233">
        <f>(INDEX(Models!$BJ260:$BT260,,AH260)*(1-AF260)+INDEX(Models!$BJ260:$BT260,,AH260+1)*AF260-ERP_i)*AE260*Ramure*Pc/MaxiM</f>
        <v>1.9768190243656853E-2</v>
      </c>
      <c r="AE260" s="307">
        <f t="shared" si="92"/>
        <v>0.9</v>
      </c>
      <c r="AF260" s="179">
        <f t="shared" si="93"/>
        <v>0.17998899939899848</v>
      </c>
      <c r="AG260" s="839">
        <f t="shared" si="99"/>
        <v>3</v>
      </c>
      <c r="AH260" s="178">
        <f t="shared" si="94"/>
        <v>9</v>
      </c>
      <c r="AI260" s="227">
        <f t="shared" si="95"/>
        <v>3.1799889993989985</v>
      </c>
      <c r="AJ260" s="267" t="b">
        <f t="shared" si="96"/>
        <v>0</v>
      </c>
      <c r="AK260" s="267" t="b">
        <f t="shared" si="97"/>
        <v>0</v>
      </c>
      <c r="AL260" s="267"/>
      <c r="AM260" s="267"/>
      <c r="AN260" s="75"/>
    </row>
    <row r="261" spans="1:40" s="6" customFormat="1" ht="11.25" x14ac:dyDescent="0.2">
      <c r="A261" s="56">
        <f t="shared" si="98"/>
        <v>46269</v>
      </c>
      <c r="B261" s="413">
        <f>'2025'!Wh/'2025'!Env_an*'2026'!Env_an</f>
        <v>43.099828157253299</v>
      </c>
      <c r="C261" s="868"/>
      <c r="D261" s="395">
        <f t="shared" si="77"/>
        <v>46.169077181252561</v>
      </c>
      <c r="E261" s="387">
        <f t="shared" si="100"/>
        <v>48.646292921801802</v>
      </c>
      <c r="F261" s="387">
        <f t="shared" si="78"/>
        <v>48.748750795553086</v>
      </c>
      <c r="G261" s="110">
        <f t="shared" si="101"/>
        <v>0.95871590961984554</v>
      </c>
      <c r="H261" s="416" t="b">
        <f>Wh_hp&gt;='2025'!Maxi_hp</f>
        <v>0</v>
      </c>
      <c r="I261" s="392">
        <f>IF(H261,Wh_hp,'2025'!Maxi_hp)</f>
        <v>50.502994047654042</v>
      </c>
      <c r="J261" s="85">
        <f>IF(H261,An,'2025'!An_max)</f>
        <v>2019</v>
      </c>
      <c r="K261" s="199">
        <f t="shared" si="79"/>
        <v>46269</v>
      </c>
      <c r="L261" s="147">
        <f>IF(t&lt;Tvie,1-EXP((T0-t)*PertePVj)+'2025'!Pspv,1-EXP((T0-t)*PertePVj)+Pspv)</f>
        <v>6.6478457257221568E-2</v>
      </c>
      <c r="M261" s="872"/>
      <c r="N261" s="872"/>
      <c r="O261" s="48">
        <f>IF(t&lt;Tnet,'2025'!Resal+('2025'!Salim-'2025'!Resal)*(1-EXP(('2025'!Tnet-t)/('2025'!Tau_j))),Resal+(Salim-Resal)*(1-EXP((Tnet-t)/(Tau_j))))*Salcycl</f>
        <v>5.0923011636905872E-2</v>
      </c>
      <c r="P261" s="171">
        <f>(INDEX(Models!$BJ261:$BT261,,T261)*(1-R261)+INDEX(Models!$BJ261:$BT261,,T261+1)*R261-ERP_i)*Q261*Ramure*Pc/MaxiM</f>
        <v>2.2330506111994512E-3</v>
      </c>
      <c r="Q261" s="307">
        <f t="shared" si="80"/>
        <v>0.9</v>
      </c>
      <c r="R261" s="179">
        <f t="shared" si="81"/>
        <v>0.54514280710808949</v>
      </c>
      <c r="S261" s="839">
        <f t="shared" si="82"/>
        <v>-2</v>
      </c>
      <c r="T261" s="178">
        <f t="shared" si="83"/>
        <v>4</v>
      </c>
      <c r="U261" s="253">
        <f t="shared" si="84"/>
        <v>-1.4548571928919105</v>
      </c>
      <c r="V261" s="385">
        <f t="shared" si="85"/>
        <v>44.949871945994126</v>
      </c>
      <c r="W261" s="404">
        <f t="shared" si="86"/>
        <v>43.099828157253299</v>
      </c>
      <c r="X261" s="157">
        <f t="shared" si="87"/>
        <v>46269</v>
      </c>
      <c r="Y261" s="387">
        <f t="shared" si="88"/>
        <v>37.851864860008384</v>
      </c>
      <c r="Z261" s="387">
        <f t="shared" si="89"/>
        <v>40.547392991913043</v>
      </c>
      <c r="AA261" s="388">
        <f t="shared" si="90"/>
        <v>47.823520171581499</v>
      </c>
      <c r="AB261" s="199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0.15214537017691562</v>
      </c>
      <c r="AD261" s="233">
        <f>(INDEX(Models!$BJ261:$BT261,,AH261)*(1-AF261)+INDEX(Models!$BJ261:$BT261,,AH261+1)*AF261-ERP_i)*AE261*Ramure*Pc/MaxiM</f>
        <v>2.016523215556449E-2</v>
      </c>
      <c r="AE261" s="307">
        <f t="shared" si="92"/>
        <v>0.9</v>
      </c>
      <c r="AF261" s="179">
        <f t="shared" si="93"/>
        <v>0.18079845941506845</v>
      </c>
      <c r="AG261" s="839">
        <f t="shared" si="99"/>
        <v>3</v>
      </c>
      <c r="AH261" s="178">
        <f t="shared" si="94"/>
        <v>9</v>
      </c>
      <c r="AI261" s="227">
        <f t="shared" si="95"/>
        <v>3.1807984594150684</v>
      </c>
      <c r="AJ261" s="267" t="b">
        <f t="shared" si="96"/>
        <v>0</v>
      </c>
      <c r="AK261" s="267" t="b">
        <f t="shared" si="97"/>
        <v>0</v>
      </c>
      <c r="AL261" s="267"/>
      <c r="AM261" s="267"/>
      <c r="AN261" s="75"/>
    </row>
    <row r="262" spans="1:40" s="6" customFormat="1" ht="11.25" x14ac:dyDescent="0.2">
      <c r="A262" s="56">
        <f t="shared" si="98"/>
        <v>46270</v>
      </c>
      <c r="B262" s="413">
        <f>'2025'!Wh/'2025'!Env_an*'2026'!Env_an</f>
        <v>37.213972935567426</v>
      </c>
      <c r="C262" s="868"/>
      <c r="D262" s="395">
        <f t="shared" si="77"/>
        <v>39.865002868489768</v>
      </c>
      <c r="E262" s="387">
        <f t="shared" si="100"/>
        <v>42.01249498700912</v>
      </c>
      <c r="F262" s="387">
        <f t="shared" si="78"/>
        <v>42.08626138416632</v>
      </c>
      <c r="G262" s="110">
        <f t="shared" si="101"/>
        <v>0.83360456792371318</v>
      </c>
      <c r="H262" s="416" t="b">
        <f>Wh_hp&gt;='2025'!Maxi_hp</f>
        <v>0</v>
      </c>
      <c r="I262" s="392">
        <f>IF(H262,Wh_hp,'2025'!Maxi_hp)</f>
        <v>48.405506175605858</v>
      </c>
      <c r="J262" s="85">
        <f>IF(H262,An,'2025'!An_max)</f>
        <v>2020</v>
      </c>
      <c r="K262" s="199">
        <f t="shared" si="79"/>
        <v>46270</v>
      </c>
      <c r="L262" s="147">
        <f>IF(t&lt;Tvie,1-EXP((T0-t)*PertePVj)+'2025'!Pspv,1-EXP((T0-t)*PertePVj)+Pspv)</f>
        <v>6.6500181667308422E-2</v>
      </c>
      <c r="M262" s="872"/>
      <c r="N262" s="872"/>
      <c r="O262" s="48">
        <f>IF(t&lt;Tnet,'2025'!Resal+('2025'!Salim-'2025'!Resal)*(1-EXP(('2025'!Tnet-t)/('2025'!Tau_j))),Resal+(Salim-Resal)*(1-EXP((Tnet-t)/(Tau_j))))*Salcycl</f>
        <v>5.1115557863996977E-2</v>
      </c>
      <c r="P262" s="171">
        <f>(INDEX(Models!$BJ262:$BT262,,T262)*(1-R262)+INDEX(Models!$BJ262:$BT262,,T262+1)*R262-ERP_i)*Q262*Ramure*Pc/MaxiM</f>
        <v>2.2973466967132448E-3</v>
      </c>
      <c r="Q262" s="307">
        <f t="shared" si="80"/>
        <v>0.9</v>
      </c>
      <c r="R262" s="179">
        <f t="shared" si="81"/>
        <v>0.54592148891797021</v>
      </c>
      <c r="S262" s="839">
        <f t="shared" si="82"/>
        <v>-2</v>
      </c>
      <c r="T262" s="178">
        <f t="shared" si="83"/>
        <v>4</v>
      </c>
      <c r="U262" s="253">
        <f t="shared" si="84"/>
        <v>-1.4540785110820298</v>
      </c>
      <c r="V262" s="385">
        <f t="shared" si="85"/>
        <v>44.6178822813389</v>
      </c>
      <c r="W262" s="404">
        <f t="shared" si="86"/>
        <v>37.213972935567426</v>
      </c>
      <c r="X262" s="157">
        <f t="shared" si="87"/>
        <v>46270</v>
      </c>
      <c r="Y262" s="387">
        <f t="shared" si="88"/>
        <v>32.784274101538266</v>
      </c>
      <c r="Z262" s="387">
        <f t="shared" si="89"/>
        <v>35.119743419011812</v>
      </c>
      <c r="AA262" s="388">
        <f t="shared" si="90"/>
        <v>41.42503429769031</v>
      </c>
      <c r="AB262" s="199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0.1522096718947088</v>
      </c>
      <c r="AD262" s="233">
        <f>(INDEX(Models!$BJ262:$BT262,,AH262)*(1-AF262)+INDEX(Models!$BJ262:$BT262,,AH262+1)*AF262-ERP_i)*AE262*Ramure*Pc/MaxiM</f>
        <v>2.0592951824063888E-2</v>
      </c>
      <c r="AE262" s="307">
        <f t="shared" si="92"/>
        <v>0.9</v>
      </c>
      <c r="AF262" s="179">
        <f t="shared" si="93"/>
        <v>0.18157714122494895</v>
      </c>
      <c r="AG262" s="839">
        <f t="shared" si="99"/>
        <v>3</v>
      </c>
      <c r="AH262" s="178">
        <f t="shared" si="94"/>
        <v>9</v>
      </c>
      <c r="AI262" s="227">
        <f t="shared" si="95"/>
        <v>3.1815771412249489</v>
      </c>
      <c r="AJ262" s="267" t="b">
        <f t="shared" si="96"/>
        <v>0</v>
      </c>
      <c r="AK262" s="267" t="b">
        <f t="shared" si="97"/>
        <v>0</v>
      </c>
      <c r="AL262" s="267"/>
      <c r="AM262" s="267"/>
      <c r="AN262" s="75"/>
    </row>
    <row r="263" spans="1:40" s="6" customFormat="1" ht="11.25" x14ac:dyDescent="0.2">
      <c r="A263" s="56">
        <f t="shared" si="98"/>
        <v>46271</v>
      </c>
      <c r="B263" s="413">
        <f>'2025'!Wh/'2025'!Env_an*'2026'!Env_an</f>
        <v>41.746413041638412</v>
      </c>
      <c r="C263" s="868"/>
      <c r="D263" s="395">
        <f t="shared" si="77"/>
        <v>44.721363351554295</v>
      </c>
      <c r="E263" s="387">
        <f t="shared" si="100"/>
        <v>47.139994657733489</v>
      </c>
      <c r="F263" s="387">
        <f t="shared" si="78"/>
        <v>47.242434594452639</v>
      </c>
      <c r="G263" s="110">
        <f t="shared" si="101"/>
        <v>0.94262570015905445</v>
      </c>
      <c r="H263" s="416" t="b">
        <f>Wh_hp&gt;='2025'!Maxi_hp</f>
        <v>0</v>
      </c>
      <c r="I263" s="392">
        <f>IF(H263,Wh_hp,'2025'!Maxi_hp)</f>
        <v>51.846079488865243</v>
      </c>
      <c r="J263" s="85">
        <f>IF(H263,An,'2025'!An_max)</f>
        <v>2019</v>
      </c>
      <c r="K263" s="199">
        <f t="shared" si="79"/>
        <v>46271</v>
      </c>
      <c r="L263" s="147">
        <f>IF(t&lt;Tvie,1-EXP((T0-t)*PertePVj)+'2025'!Pspv,1-EXP((T0-t)*PertePVj)+Pspv)</f>
        <v>6.6521905571836459E-2</v>
      </c>
      <c r="M263" s="872"/>
      <c r="N263" s="872"/>
      <c r="O263" s="48">
        <f>IF(t&lt;Tnet,'2025'!Resal+('2025'!Salim-'2025'!Resal)*(1-EXP(('2025'!Tnet-t)/('2025'!Tau_j))),Resal+(Salim-Resal)*(1-EXP((Tnet-t)/(Tau_j))))*Salcycl</f>
        <v>5.1307415788652631E-2</v>
      </c>
      <c r="P263" s="171">
        <f>(INDEX(Models!$BJ263:$BT263,,T263)*(1-R263)+INDEX(Models!$BJ263:$BT263,,T263+1)*R263-ERP_i)*Q263*Ramure*Pc/MaxiM</f>
        <v>2.3613143491598865E-3</v>
      </c>
      <c r="Q263" s="307">
        <f t="shared" si="80"/>
        <v>0.9</v>
      </c>
      <c r="R263" s="179">
        <f t="shared" si="81"/>
        <v>0.54667049442225446</v>
      </c>
      <c r="S263" s="839">
        <f t="shared" si="82"/>
        <v>-2</v>
      </c>
      <c r="T263" s="178">
        <f t="shared" si="83"/>
        <v>4</v>
      </c>
      <c r="U263" s="253">
        <f t="shared" si="84"/>
        <v>-1.4533295055777455</v>
      </c>
      <c r="V263" s="385">
        <f t="shared" si="85"/>
        <v>44.278807120271068</v>
      </c>
      <c r="W263" s="404">
        <f t="shared" si="86"/>
        <v>41.746413041638412</v>
      </c>
      <c r="X263" s="157">
        <f t="shared" si="87"/>
        <v>46271</v>
      </c>
      <c r="Y263" s="387">
        <f t="shared" si="88"/>
        <v>36.661596590909525</v>
      </c>
      <c r="Z263" s="387">
        <f t="shared" si="89"/>
        <v>39.274190588658577</v>
      </c>
      <c r="AA263" s="388">
        <f t="shared" si="90"/>
        <v>46.328800251666003</v>
      </c>
      <c r="AB263" s="199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0.15227266030386233</v>
      </c>
      <c r="AD263" s="233">
        <f>(INDEX(Models!$BJ263:$BT263,,AH263)*(1-AF263)+INDEX(Models!$BJ263:$BT263,,AH263+1)*AF263-ERP_i)*AE263*Ramure*Pc/MaxiM</f>
        <v>2.1059929873071887E-2</v>
      </c>
      <c r="AE263" s="307">
        <f t="shared" si="92"/>
        <v>0.9</v>
      </c>
      <c r="AF263" s="179">
        <f t="shared" si="93"/>
        <v>0.18232614672923342</v>
      </c>
      <c r="AG263" s="839">
        <f t="shared" si="99"/>
        <v>3</v>
      </c>
      <c r="AH263" s="178">
        <f t="shared" si="94"/>
        <v>9</v>
      </c>
      <c r="AI263" s="227">
        <f t="shared" si="95"/>
        <v>3.1823261467292334</v>
      </c>
      <c r="AJ263" s="267" t="b">
        <f t="shared" si="96"/>
        <v>0</v>
      </c>
      <c r="AK263" s="267" t="b">
        <f t="shared" si="97"/>
        <v>0</v>
      </c>
      <c r="AL263" s="267"/>
      <c r="AM263" s="267"/>
      <c r="AN263" s="75"/>
    </row>
    <row r="264" spans="1:40" s="6" customFormat="1" ht="11.25" x14ac:dyDescent="0.2">
      <c r="A264" s="56">
        <f t="shared" si="98"/>
        <v>46272</v>
      </c>
      <c r="B264" s="413">
        <f>'2025'!Wh/'2025'!Env_an*'2026'!Env_an</f>
        <v>33.663451888064216</v>
      </c>
      <c r="C264" s="868"/>
      <c r="D264" s="395">
        <f t="shared" si="77"/>
        <v>36.063230090709624</v>
      </c>
      <c r="E264" s="387">
        <f t="shared" si="100"/>
        <v>38.021271005216008</v>
      </c>
      <c r="F264" s="387">
        <f t="shared" si="78"/>
        <v>38.082780921424146</v>
      </c>
      <c r="G264" s="110">
        <f t="shared" si="101"/>
        <v>0.76562117001240992</v>
      </c>
      <c r="H264" s="416" t="b">
        <f>Wh_hp&gt;='2025'!Maxi_hp</f>
        <v>0</v>
      </c>
      <c r="I264" s="392">
        <f>IF(H264,Wh_hp,'2025'!Maxi_hp)</f>
        <v>50.605106354797776</v>
      </c>
      <c r="J264" s="85">
        <f>IF(H264,An,'2025'!An_max)</f>
        <v>2019</v>
      </c>
      <c r="K264" s="199">
        <f t="shared" si="79"/>
        <v>46272</v>
      </c>
      <c r="L264" s="147">
        <f>IF(t&lt;Tvie,1-EXP((T0-t)*PertePVj)+'2025'!Pspv,1-EXP((T0-t)*PertePVj)+Pspv)</f>
        <v>6.6543628970817559E-2</v>
      </c>
      <c r="M264" s="872"/>
      <c r="N264" s="872"/>
      <c r="O264" s="48">
        <f>IF(t&lt;Tnet,'2025'!Resal+('2025'!Salim-'2025'!Resal)*(1-EXP(('2025'!Tnet-t)/('2025'!Tau_j))),Resal+(Salim-Resal)*(1-EXP((Tnet-t)/(Tau_j))))*Salcycl</f>
        <v>5.1498565480300879E-2</v>
      </c>
      <c r="P264" s="171">
        <f>(INDEX(Models!$BJ264:$BT264,,T264)*(1-R264)+INDEX(Models!$BJ264:$BT264,,T264+1)*R264-ERP_i)*Q264*Ramure*Pc/MaxiM</f>
        <v>2.424948434608509E-3</v>
      </c>
      <c r="Q264" s="307">
        <f t="shared" si="80"/>
        <v>0.9</v>
      </c>
      <c r="R264" s="179">
        <f t="shared" si="81"/>
        <v>0.54739089134850705</v>
      </c>
      <c r="S264" s="839">
        <f t="shared" si="82"/>
        <v>-2</v>
      </c>
      <c r="T264" s="178">
        <f t="shared" si="83"/>
        <v>4</v>
      </c>
      <c r="U264" s="253">
        <f t="shared" si="84"/>
        <v>-1.452609108651493</v>
      </c>
      <c r="V264" s="385">
        <f t="shared" si="85"/>
        <v>43.933147288957336</v>
      </c>
      <c r="W264" s="404">
        <f t="shared" si="86"/>
        <v>33.663451888064216</v>
      </c>
      <c r="X264" s="157">
        <f t="shared" si="87"/>
        <v>46272</v>
      </c>
      <c r="Y264" s="387">
        <f t="shared" si="88"/>
        <v>29.700475375362593</v>
      </c>
      <c r="Z264" s="387">
        <f t="shared" si="89"/>
        <v>31.817743493052955</v>
      </c>
      <c r="AA264" s="388">
        <f t="shared" si="90"/>
        <v>37.535720764001745</v>
      </c>
      <c r="AB264" s="199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0.15233428730193879</v>
      </c>
      <c r="AD264" s="233">
        <f>(INDEX(Models!$BJ264:$BT264,,AH264)*(1-AF264)+INDEX(Models!$BJ264:$BT264,,AH264+1)*AF264-ERP_i)*AE264*Ramure*Pc/MaxiM</f>
        <v>2.1567135092319091E-2</v>
      </c>
      <c r="AE264" s="307">
        <f t="shared" si="92"/>
        <v>0.9</v>
      </c>
      <c r="AF264" s="179">
        <f t="shared" si="93"/>
        <v>0.183046543655486</v>
      </c>
      <c r="AG264" s="839">
        <f t="shared" si="99"/>
        <v>3</v>
      </c>
      <c r="AH264" s="178">
        <f t="shared" si="94"/>
        <v>9</v>
      </c>
      <c r="AI264" s="227">
        <f t="shared" si="95"/>
        <v>3.183046543655486</v>
      </c>
      <c r="AJ264" s="267" t="b">
        <f t="shared" si="96"/>
        <v>0</v>
      </c>
      <c r="AK264" s="267" t="b">
        <f t="shared" si="97"/>
        <v>0</v>
      </c>
      <c r="AL264" s="267"/>
      <c r="AM264" s="267"/>
      <c r="AN264" s="75"/>
    </row>
    <row r="265" spans="1:40" s="6" customFormat="1" ht="11.25" x14ac:dyDescent="0.2">
      <c r="A265" s="56">
        <f t="shared" si="98"/>
        <v>46273</v>
      </c>
      <c r="B265" s="413">
        <f>'2025'!Wh/'2025'!Env_an*'2026'!Env_an</f>
        <v>36.233079376270744</v>
      </c>
      <c r="C265" s="868"/>
      <c r="D265" s="395">
        <f t="shared" si="77"/>
        <v>38.816942834333126</v>
      </c>
      <c r="E265" s="387">
        <f t="shared" si="100"/>
        <v>40.932713283101904</v>
      </c>
      <c r="F265" s="387">
        <f t="shared" si="78"/>
        <v>41.010176972497106</v>
      </c>
      <c r="G265" s="110">
        <f t="shared" si="101"/>
        <v>0.83088930887294732</v>
      </c>
      <c r="H265" s="416" t="b">
        <f>Wh_hp&gt;='2025'!Maxi_hp</f>
        <v>0</v>
      </c>
      <c r="I265" s="392">
        <f>IF(H265,Wh_hp,'2025'!Maxi_hp)</f>
        <v>44.460234506845794</v>
      </c>
      <c r="J265" s="85">
        <f>IF(H265,An,'2025'!An_max)</f>
        <v>2019</v>
      </c>
      <c r="K265" s="199">
        <f t="shared" si="79"/>
        <v>46273</v>
      </c>
      <c r="L265" s="147">
        <f>IF(t&lt;Tvie,1-EXP((T0-t)*PertePVj)+'2025'!Pspv,1-EXP((T0-t)*PertePVj)+Pspv)</f>
        <v>6.6565351864263378E-2</v>
      </c>
      <c r="M265" s="872"/>
      <c r="N265" s="872"/>
      <c r="O265" s="48">
        <f>IF(t&lt;Tnet,'2025'!Resal+('2025'!Salim-'2025'!Resal)*(1-EXP(('2025'!Tnet-t)/('2025'!Tau_j))),Resal+(Salim-Resal)*(1-EXP((Tnet-t)/(Tau_j))))*Salcycl</f>
        <v>5.1688986120600557E-2</v>
      </c>
      <c r="P265" s="171">
        <f>(INDEX(Models!$BJ265:$BT265,,T265)*(1-R265)+INDEX(Models!$BJ265:$BT265,,T265+1)*R265-ERP_i)*Q265*Ramure*Pc/MaxiM</f>
        <v>2.4882406759198926E-3</v>
      </c>
      <c r="Q265" s="307">
        <f t="shared" si="80"/>
        <v>0.9</v>
      </c>
      <c r="R265" s="179">
        <f t="shared" si="81"/>
        <v>0.5480837138940915</v>
      </c>
      <c r="S265" s="839">
        <f t="shared" si="82"/>
        <v>-2</v>
      </c>
      <c r="T265" s="178">
        <f t="shared" si="83"/>
        <v>4</v>
      </c>
      <c r="U265" s="253">
        <f t="shared" si="84"/>
        <v>-1.4519162861059085</v>
      </c>
      <c r="V265" s="385">
        <f t="shared" si="85"/>
        <v>43.581403143052185</v>
      </c>
      <c r="W265" s="404">
        <f t="shared" si="86"/>
        <v>36.233079376270744</v>
      </c>
      <c r="X265" s="157">
        <f t="shared" si="87"/>
        <v>46273</v>
      </c>
      <c r="Y265" s="387">
        <f t="shared" si="88"/>
        <v>31.901879201511896</v>
      </c>
      <c r="Z265" s="387">
        <f t="shared" si="89"/>
        <v>34.176874905197266</v>
      </c>
      <c r="AA265" s="388">
        <f t="shared" si="90"/>
        <v>40.321676789689519</v>
      </c>
      <c r="AB265" s="199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0.15239450275201641</v>
      </c>
      <c r="AD265" s="233">
        <f>(INDEX(Models!$BJ265:$BT265,,AH265)*(1-AF265)+INDEX(Models!$BJ265:$BT265,,AH265+1)*AF265-ERP_i)*AE265*Ramure*Pc/MaxiM</f>
        <v>2.2115576647790427E-2</v>
      </c>
      <c r="AE265" s="307">
        <f t="shared" si="92"/>
        <v>0.9</v>
      </c>
      <c r="AF265" s="179">
        <f t="shared" si="93"/>
        <v>0.18373936620107045</v>
      </c>
      <c r="AG265" s="839">
        <f t="shared" si="99"/>
        <v>3</v>
      </c>
      <c r="AH265" s="178">
        <f t="shared" si="94"/>
        <v>9</v>
      </c>
      <c r="AI265" s="227">
        <f t="shared" si="95"/>
        <v>3.1837393662010705</v>
      </c>
      <c r="AJ265" s="267" t="b">
        <f t="shared" si="96"/>
        <v>0</v>
      </c>
      <c r="AK265" s="267" t="b">
        <f t="shared" si="97"/>
        <v>0</v>
      </c>
      <c r="AL265" s="267"/>
      <c r="AM265" s="267"/>
      <c r="AN265" s="75"/>
    </row>
    <row r="266" spans="1:40" s="6" customFormat="1" ht="11.25" x14ac:dyDescent="0.2">
      <c r="A266" s="56">
        <f t="shared" si="98"/>
        <v>46274</v>
      </c>
      <c r="B266" s="413">
        <f>'2025'!Wh/'2025'!Env_an*'2026'!Env_an</f>
        <v>20.605635327255779</v>
      </c>
      <c r="C266" s="868"/>
      <c r="D266" s="395">
        <f t="shared" si="77"/>
        <v>22.075583869536992</v>
      </c>
      <c r="E266" s="387">
        <f t="shared" si="100"/>
        <v>23.283500586233075</v>
      </c>
      <c r="F266" s="387">
        <f t="shared" si="78"/>
        <v>23.298506017669606</v>
      </c>
      <c r="G266" s="110">
        <f t="shared" si="101"/>
        <v>0.47580688814275846</v>
      </c>
      <c r="H266" s="416" t="b">
        <f>Wh_hp&gt;='2025'!Maxi_hp</f>
        <v>0</v>
      </c>
      <c r="I266" s="392">
        <f>IF(H266,Wh_hp,'2025'!Maxi_hp)</f>
        <v>45.722632872468637</v>
      </c>
      <c r="J266" s="85">
        <f>IF(H266,An,'2025'!An_max)</f>
        <v>2020</v>
      </c>
      <c r="K266" s="199">
        <f t="shared" si="79"/>
        <v>46274</v>
      </c>
      <c r="L266" s="147">
        <f>IF(t&lt;Tvie,1-EXP((T0-t)*PertePVj)+'2025'!Pspv,1-EXP((T0-t)*PertePVj)+Pspv)</f>
        <v>6.6587074252185685E-2</v>
      </c>
      <c r="M266" s="872"/>
      <c r="N266" s="872"/>
      <c r="O266" s="48">
        <f>IF(t&lt;Tnet,'2025'!Resal+('2025'!Salim-'2025'!Resal)*(1-EXP(('2025'!Tnet-t)/('2025'!Tau_j))),Resal+(Salim-Resal)*(1-EXP((Tnet-t)/(Tau_j))))*Salcycl</f>
        <v>5.1878655970240696E-2</v>
      </c>
      <c r="P266" s="171">
        <f>(INDEX(Models!$BJ266:$BT266,,T266)*(1-R266)+INDEX(Models!$BJ266:$BT266,,T266+1)*R266-ERP_i)*Q266*Ramure*Pc/MaxiM</f>
        <v>2.5511795382739733E-3</v>
      </c>
      <c r="Q266" s="307">
        <f t="shared" si="80"/>
        <v>0.9</v>
      </c>
      <c r="R266" s="179">
        <f t="shared" si="81"/>
        <v>0.54874996339318871</v>
      </c>
      <c r="S266" s="839">
        <f t="shared" si="82"/>
        <v>-2</v>
      </c>
      <c r="T266" s="178">
        <f t="shared" si="83"/>
        <v>4</v>
      </c>
      <c r="U266" s="253">
        <f t="shared" si="84"/>
        <v>-1.4512500366068113</v>
      </c>
      <c r="V266" s="385">
        <f t="shared" si="85"/>
        <v>43.224074563315462</v>
      </c>
      <c r="W266" s="404">
        <f t="shared" si="86"/>
        <v>20.605635327255779</v>
      </c>
      <c r="X266" s="157">
        <f t="shared" si="87"/>
        <v>46274</v>
      </c>
      <c r="Y266" s="387">
        <f t="shared" si="88"/>
        <v>18.32605111436105</v>
      </c>
      <c r="Z266" s="387">
        <f t="shared" si="89"/>
        <v>19.633380478076116</v>
      </c>
      <c r="AA266" s="388">
        <f t="shared" si="90"/>
        <v>23.164952942538289</v>
      </c>
      <c r="AB266" s="199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0.1524532544150812</v>
      </c>
      <c r="AD266" s="233">
        <f>(INDEX(Models!$BJ266:$BT266,,AH266)*(1-AF266)+INDEX(Models!$BJ266:$BT266,,AH266+1)*AF266-ERP_i)*AE266*Ramure*Pc/MaxiM</f>
        <v>2.2706302980341476E-2</v>
      </c>
      <c r="AE266" s="307">
        <f t="shared" si="92"/>
        <v>0.9</v>
      </c>
      <c r="AF266" s="179">
        <f t="shared" si="93"/>
        <v>0.18440561570016767</v>
      </c>
      <c r="AG266" s="839">
        <f t="shared" si="99"/>
        <v>3</v>
      </c>
      <c r="AH266" s="178">
        <f t="shared" si="94"/>
        <v>9</v>
      </c>
      <c r="AI266" s="227">
        <f t="shared" si="95"/>
        <v>3.1844056157001677</v>
      </c>
      <c r="AJ266" s="267" t="b">
        <f t="shared" si="96"/>
        <v>0</v>
      </c>
      <c r="AK266" s="267" t="b">
        <f t="shared" si="97"/>
        <v>0</v>
      </c>
      <c r="AL266" s="267"/>
      <c r="AM266" s="267"/>
      <c r="AN266" s="75"/>
    </row>
    <row r="267" spans="1:40" s="6" customFormat="1" ht="11.25" x14ac:dyDescent="0.2">
      <c r="A267" s="56">
        <f t="shared" si="98"/>
        <v>46275</v>
      </c>
      <c r="B267" s="413">
        <f>'2025'!Wh/'2025'!Env_an*'2026'!Env_an</f>
        <v>40.52652367517441</v>
      </c>
      <c r="C267" s="868"/>
      <c r="D267" s="395">
        <f t="shared" si="77"/>
        <v>43.418583234279538</v>
      </c>
      <c r="E267" s="387">
        <f t="shared" si="100"/>
        <v>45.803457136122717</v>
      </c>
      <c r="F267" s="387">
        <f t="shared" si="78"/>
        <v>45.914124994095737</v>
      </c>
      <c r="G267" s="110">
        <f t="shared" si="101"/>
        <v>0.94532639745593927</v>
      </c>
      <c r="H267" s="416" t="b">
        <f>Wh_hp&gt;='2025'!Maxi_hp</f>
        <v>0</v>
      </c>
      <c r="I267" s="392">
        <f>IF(H267,Wh_hp,'2025'!Maxi_hp)</f>
        <v>45.919588891622695</v>
      </c>
      <c r="J267" s="85">
        <f>IF(H267,An,'2025'!An_max)</f>
        <v>2025</v>
      </c>
      <c r="K267" s="199">
        <f t="shared" si="79"/>
        <v>46275</v>
      </c>
      <c r="L267" s="147">
        <f>IF(t&lt;Tvie,1-EXP((T0-t)*PertePVj)+'2025'!Pspv,1-EXP((T0-t)*PertePVj)+Pspv)</f>
        <v>6.660879613459636E-2</v>
      </c>
      <c r="M267" s="872"/>
      <c r="N267" s="872"/>
      <c r="O267" s="48">
        <f>IF(t&lt;Tnet,'2025'!Resal+('2025'!Salim-'2025'!Resal)*(1-EXP(('2025'!Tnet-t)/('2025'!Tau_j))),Resal+(Salim-Resal)*(1-EXP((Tnet-t)/(Tau_j))))*Salcycl</f>
        <v>5.2067552341204276E-2</v>
      </c>
      <c r="P267" s="171">
        <f>(INDEX(Models!$BJ267:$BT267,,T267)*(1-R267)+INDEX(Models!$BJ267:$BT267,,T267+1)*R267-ERP_i)*Q267*Ramure*Pc/MaxiM</f>
        <v>2.6137501042303923E-3</v>
      </c>
      <c r="Q267" s="307">
        <f t="shared" si="80"/>
        <v>0.9</v>
      </c>
      <c r="R267" s="179">
        <f t="shared" si="81"/>
        <v>0.54939060900391956</v>
      </c>
      <c r="S267" s="839">
        <f t="shared" si="82"/>
        <v>-2</v>
      </c>
      <c r="T267" s="178">
        <f t="shared" si="83"/>
        <v>4</v>
      </c>
      <c r="U267" s="253">
        <f t="shared" si="84"/>
        <v>-1.4506093909960804</v>
      </c>
      <c r="V267" s="385">
        <f t="shared" si="85"/>
        <v>42.861660966747898</v>
      </c>
      <c r="W267" s="404">
        <f t="shared" si="86"/>
        <v>40.52652367517441</v>
      </c>
      <c r="X267" s="157">
        <f t="shared" si="87"/>
        <v>46275</v>
      </c>
      <c r="Y267" s="387">
        <f t="shared" si="88"/>
        <v>35.538132670566995</v>
      </c>
      <c r="Z267" s="387">
        <f t="shared" si="89"/>
        <v>38.074209959762641</v>
      </c>
      <c r="AA267" s="388">
        <f t="shared" si="90"/>
        <v>44.925877448792939</v>
      </c>
      <c r="AB267" s="199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0.1525104878995388</v>
      </c>
      <c r="AD267" s="233">
        <f>(INDEX(Models!$BJ267:$BT267,,AH267)*(1-AF267)+INDEX(Models!$BJ267:$BT267,,AH267+1)*AF267-ERP_i)*AE267*Ramure*Pc/MaxiM</f>
        <v>2.3340400472650118E-2</v>
      </c>
      <c r="AE267" s="307">
        <f t="shared" si="92"/>
        <v>0.9</v>
      </c>
      <c r="AF267" s="179">
        <f t="shared" si="93"/>
        <v>0.18504626131089852</v>
      </c>
      <c r="AG267" s="839">
        <f t="shared" si="99"/>
        <v>3</v>
      </c>
      <c r="AH267" s="178">
        <f t="shared" si="94"/>
        <v>9</v>
      </c>
      <c r="AI267" s="227">
        <f t="shared" si="95"/>
        <v>3.1850462613108985</v>
      </c>
      <c r="AJ267" s="267" t="b">
        <f t="shared" si="96"/>
        <v>0</v>
      </c>
      <c r="AK267" s="267" t="b">
        <f t="shared" si="97"/>
        <v>0</v>
      </c>
      <c r="AL267" s="267"/>
      <c r="AM267" s="267"/>
      <c r="AN267" s="75"/>
    </row>
    <row r="268" spans="1:40" s="6" customFormat="1" ht="11.25" x14ac:dyDescent="0.2">
      <c r="A268" s="56">
        <f t="shared" si="98"/>
        <v>46276</v>
      </c>
      <c r="B268" s="413">
        <f>'2025'!Wh/'2025'!Env_an*'2026'!Env_an</f>
        <v>40.377093879675314</v>
      </c>
      <c r="C268" s="868"/>
      <c r="D268" s="395">
        <f t="shared" si="77"/>
        <v>43.259496520096597</v>
      </c>
      <c r="E268" s="387">
        <f t="shared" si="100"/>
        <v>45.644689511491251</v>
      </c>
      <c r="F268" s="387">
        <f t="shared" si="78"/>
        <v>45.758362936233056</v>
      </c>
      <c r="G268" s="110">
        <f t="shared" si="101"/>
        <v>0.94998600161288416</v>
      </c>
      <c r="H268" s="416" t="b">
        <f>Wh_hp&gt;='2025'!Maxi_hp</f>
        <v>0</v>
      </c>
      <c r="I268" s="392">
        <f>IF(H268,Wh_hp,'2025'!Maxi_hp)</f>
        <v>45.763447540652763</v>
      </c>
      <c r="J268" s="85">
        <f>IF(H268,An,'2025'!An_max)</f>
        <v>2025</v>
      </c>
      <c r="K268" s="199">
        <f t="shared" si="79"/>
        <v>46276</v>
      </c>
      <c r="L268" s="147">
        <f>IF(t&lt;Tvie,1-EXP((T0-t)*PertePVj)+'2025'!Pspv,1-EXP((T0-t)*PertePVj)+Pspv)</f>
        <v>6.663051751150717E-2</v>
      </c>
      <c r="M268" s="872"/>
      <c r="N268" s="872"/>
      <c r="O268" s="48">
        <f>IF(t&lt;Tnet,'2025'!Resal+('2025'!Salim-'2025'!Resal)*(1-EXP(('2025'!Tnet-t)/('2025'!Tau_j))),Resal+(Salim-Resal)*(1-EXP((Tnet-t)/(Tau_j))))*Salcycl</f>
        <v>5.2255651575725322E-2</v>
      </c>
      <c r="P268" s="171">
        <f>(INDEX(Models!$BJ268:$BT268,,T268)*(1-R268)+INDEX(Models!$BJ268:$BT268,,T268+1)*R268-ERP_i)*Q268*Ramure*Pc/MaxiM</f>
        <v>2.6746153784866864E-3</v>
      </c>
      <c r="Q268" s="307">
        <f t="shared" si="80"/>
        <v>0.9</v>
      </c>
      <c r="R268" s="179">
        <f t="shared" si="81"/>
        <v>0.55000658841179084</v>
      </c>
      <c r="S268" s="839">
        <f t="shared" si="82"/>
        <v>-2</v>
      </c>
      <c r="T268" s="178">
        <f t="shared" si="83"/>
        <v>4</v>
      </c>
      <c r="U268" s="253">
        <f t="shared" si="84"/>
        <v>-1.4499934115882092</v>
      </c>
      <c r="V268" s="385">
        <f t="shared" si="85"/>
        <v>42.494717486561207</v>
      </c>
      <c r="W268" s="404">
        <f t="shared" si="86"/>
        <v>40.377093879675314</v>
      </c>
      <c r="X268" s="157">
        <f t="shared" si="87"/>
        <v>46276</v>
      </c>
      <c r="Y268" s="387">
        <f t="shared" si="88"/>
        <v>35.385065593435804</v>
      </c>
      <c r="Z268" s="387">
        <f t="shared" si="89"/>
        <v>37.911101934781819</v>
      </c>
      <c r="AA268" s="388">
        <f t="shared" si="90"/>
        <v>44.736355273118669</v>
      </c>
      <c r="AB268" s="199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0.15256614663103837</v>
      </c>
      <c r="AD268" s="233">
        <f>(INDEX(Models!$BJ268:$BT268,,AH268)*(1-AF268)+INDEX(Models!$BJ268:$BT268,,AH268+1)*AF268-ERP_i)*AE268*Ramure*Pc/MaxiM</f>
        <v>2.4046758676496006E-2</v>
      </c>
      <c r="AE268" s="307">
        <f t="shared" si="92"/>
        <v>0.9</v>
      </c>
      <c r="AF268" s="179">
        <f t="shared" si="93"/>
        <v>0.18566224071877002</v>
      </c>
      <c r="AG268" s="839">
        <f t="shared" si="99"/>
        <v>3</v>
      </c>
      <c r="AH268" s="178">
        <f t="shared" si="94"/>
        <v>9</v>
      </c>
      <c r="AI268" s="227">
        <f t="shared" si="95"/>
        <v>3.18566224071877</v>
      </c>
      <c r="AJ268" s="267" t="b">
        <f t="shared" si="96"/>
        <v>0</v>
      </c>
      <c r="AK268" s="267" t="b">
        <f t="shared" si="97"/>
        <v>0</v>
      </c>
      <c r="AL268" s="267"/>
      <c r="AM268" s="267"/>
      <c r="AN268" s="75"/>
    </row>
    <row r="269" spans="1:40" s="6" customFormat="1" ht="11.25" x14ac:dyDescent="0.2">
      <c r="A269" s="56">
        <f t="shared" si="98"/>
        <v>46277</v>
      </c>
      <c r="B269" s="413">
        <f>'2025'!Wh/'2025'!Env_an*'2026'!Env_an</f>
        <v>28.068537490615935</v>
      </c>
      <c r="C269" s="868"/>
      <c r="D269" s="395">
        <f t="shared" si="77"/>
        <v>30.072968131391701</v>
      </c>
      <c r="E269" s="387">
        <f t="shared" si="100"/>
        <v>31.737368706146835</v>
      </c>
      <c r="F269" s="387">
        <f t="shared" si="78"/>
        <v>31.782856562993125</v>
      </c>
      <c r="G269" s="110">
        <f t="shared" si="101"/>
        <v>0.66546616627605315</v>
      </c>
      <c r="H269" s="416" t="b">
        <f>Wh_hp&gt;='2025'!Maxi_hp</f>
        <v>0</v>
      </c>
      <c r="I269" s="392">
        <f>IF(H269,Wh_hp,'2025'!Maxi_hp)</f>
        <v>47.211932330727613</v>
      </c>
      <c r="J269" s="85">
        <f>IF(H269,An,'2025'!An_max)</f>
        <v>2019</v>
      </c>
      <c r="K269" s="199">
        <f t="shared" si="79"/>
        <v>46277</v>
      </c>
      <c r="L269" s="147">
        <f>IF(t&lt;Tvie,1-EXP((T0-t)*PertePVj)+'2025'!Pspv,1-EXP((T0-t)*PertePVj)+Pspv)</f>
        <v>6.6652238382929663E-2</v>
      </c>
      <c r="M269" s="872"/>
      <c r="N269" s="872"/>
      <c r="O269" s="48">
        <f>IF(t&lt;Tnet,'2025'!Resal+('2025'!Salim-'2025'!Resal)*(1-EXP(('2025'!Tnet-t)/('2025'!Tau_j))),Resal+(Salim-Resal)*(1-EXP((Tnet-t)/(Tau_j))))*Salcycl</f>
        <v>5.2442929033142363E-2</v>
      </c>
      <c r="P269" s="171">
        <f>(INDEX(Models!$BJ269:$BT269,,T269)*(1-R269)+INDEX(Models!$BJ269:$BT269,,T269+1)*R269-ERP_i)*Q269*Ramure*Pc/MaxiM</f>
        <v>2.7347709738978999E-3</v>
      </c>
      <c r="Q269" s="307">
        <f t="shared" si="80"/>
        <v>0.9</v>
      </c>
      <c r="R269" s="179">
        <f t="shared" si="81"/>
        <v>0.55059880854601273</v>
      </c>
      <c r="S269" s="839">
        <f t="shared" si="82"/>
        <v>-2</v>
      </c>
      <c r="T269" s="178">
        <f t="shared" si="83"/>
        <v>4</v>
      </c>
      <c r="U269" s="253">
        <f t="shared" si="84"/>
        <v>-1.4494011914539873</v>
      </c>
      <c r="V269" s="385">
        <f t="shared" si="85"/>
        <v>42.123698159455877</v>
      </c>
      <c r="W269" s="404">
        <f t="shared" si="86"/>
        <v>28.068537490615935</v>
      </c>
      <c r="X269" s="157">
        <f t="shared" si="87"/>
        <v>46277</v>
      </c>
      <c r="Y269" s="387">
        <f t="shared" si="88"/>
        <v>24.810550857248661</v>
      </c>
      <c r="Z269" s="387">
        <f t="shared" si="89"/>
        <v>26.582322128531359</v>
      </c>
      <c r="AA269" s="388">
        <f t="shared" si="90"/>
        <v>31.370019966641493</v>
      </c>
      <c r="AB269" s="199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0.15262017184564486</v>
      </c>
      <c r="AD269" s="233">
        <f>(INDEX(Models!$BJ269:$BT269,,AH269)*(1-AF269)+INDEX(Models!$BJ269:$BT269,,AH269+1)*AF269-ERP_i)*AE269*Ramure*Pc/MaxiM</f>
        <v>2.4820108462801398E-2</v>
      </c>
      <c r="AE269" s="307">
        <f t="shared" si="92"/>
        <v>0.9</v>
      </c>
      <c r="AF269" s="179">
        <f t="shared" si="93"/>
        <v>0.18625446085299169</v>
      </c>
      <c r="AG269" s="839">
        <f t="shared" si="99"/>
        <v>3</v>
      </c>
      <c r="AH269" s="178">
        <f t="shared" si="94"/>
        <v>9</v>
      </c>
      <c r="AI269" s="227">
        <f t="shared" si="95"/>
        <v>3.1862544608529917</v>
      </c>
      <c r="AJ269" s="267" t="b">
        <f t="shared" si="96"/>
        <v>0</v>
      </c>
      <c r="AK269" s="267" t="b">
        <f t="shared" si="97"/>
        <v>0</v>
      </c>
      <c r="AL269" s="267"/>
      <c r="AM269" s="267"/>
      <c r="AN269" s="75"/>
    </row>
    <row r="270" spans="1:40" s="6" customFormat="1" ht="11.25" x14ac:dyDescent="0.2">
      <c r="A270" s="56">
        <f t="shared" si="98"/>
        <v>46278</v>
      </c>
      <c r="B270" s="413">
        <f>'2025'!Wh/'2025'!Env_an*'2026'!Env_an</f>
        <v>11.654354953267481</v>
      </c>
      <c r="C270" s="868"/>
      <c r="D270" s="395">
        <f t="shared" si="77"/>
        <v>12.486906438016891</v>
      </c>
      <c r="E270" s="387">
        <f t="shared" si="100"/>
        <v>13.18059257775532</v>
      </c>
      <c r="F270" s="387">
        <f t="shared" si="78"/>
        <v>13.18059257775532</v>
      </c>
      <c r="G270" s="110">
        <f t="shared" si="101"/>
        <v>0.27837223496605223</v>
      </c>
      <c r="H270" s="416" t="b">
        <f>Wh_hp&gt;='2025'!Maxi_hp</f>
        <v>0</v>
      </c>
      <c r="I270" s="392">
        <f>IF(H270,Wh_hp,'2025'!Maxi_hp)</f>
        <v>44.152198897789638</v>
      </c>
      <c r="J270" s="85">
        <f>IF(H270,An,'2025'!An_max)</f>
        <v>2020</v>
      </c>
      <c r="K270" s="199">
        <f t="shared" si="79"/>
        <v>46278</v>
      </c>
      <c r="L270" s="147">
        <f>IF(t&lt;Tvie,1-EXP((T0-t)*PertePVj)+'2025'!Pspv,1-EXP((T0-t)*PertePVj)+Pspv)</f>
        <v>6.6673958748875828E-2</v>
      </c>
      <c r="M270" s="872"/>
      <c r="N270" s="872"/>
      <c r="O270" s="48">
        <f>IF(t&lt;Tnet,'2025'!Resal+('2025'!Salim-'2025'!Resal)*(1-EXP(('2025'!Tnet-t)/('2025'!Tau_j))),Resal+(Salim-Resal)*(1-EXP((Tnet-t)/(Tau_j))))*Salcycl</f>
        <v>5.2629359085808604E-2</v>
      </c>
      <c r="P270" s="171">
        <f>(INDEX(Models!$BJ270:$BT270,,T270)*(1-R270)+INDEX(Models!$BJ270:$BT270,,T270+1)*R270-ERP_i)*Q270*Ramure*Pc/MaxiM</f>
        <v>2.7941827784094928E-3</v>
      </c>
      <c r="Q270" s="307">
        <f t="shared" si="80"/>
        <v>0.9</v>
      </c>
      <c r="R270" s="179">
        <f t="shared" si="81"/>
        <v>0.5511681463055067</v>
      </c>
      <c r="S270" s="839">
        <f t="shared" si="82"/>
        <v>-2</v>
      </c>
      <c r="T270" s="178">
        <f t="shared" si="83"/>
        <v>4</v>
      </c>
      <c r="U270" s="253">
        <f t="shared" si="84"/>
        <v>-1.4488318536944933</v>
      </c>
      <c r="V270" s="385">
        <f t="shared" si="85"/>
        <v>41.749101007795844</v>
      </c>
      <c r="W270" s="404">
        <f t="shared" si="86"/>
        <v>11.654354953267481</v>
      </c>
      <c r="X270" s="157">
        <f t="shared" si="87"/>
        <v>46278</v>
      </c>
      <c r="Y270" s="387">
        <f t="shared" si="88"/>
        <v>10.423645181496228</v>
      </c>
      <c r="Z270" s="387">
        <f t="shared" si="89"/>
        <v>11.168278523037165</v>
      </c>
      <c r="AA270" s="388">
        <f t="shared" si="90"/>
        <v>13.18059257775532</v>
      </c>
      <c r="AB270" s="199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0.15267250260920029</v>
      </c>
      <c r="AD270" s="233">
        <f>(INDEX(Models!$BJ270:$BT270,,AH270)*(1-AF270)+INDEX(Models!$BJ270:$BT270,,AH270+1)*AF270-ERP_i)*AE270*Ramure*Pc/MaxiM</f>
        <v>2.5662130818684282E-2</v>
      </c>
      <c r="AE270" s="307">
        <f t="shared" si="92"/>
        <v>0.9</v>
      </c>
      <c r="AF270" s="179">
        <f t="shared" si="93"/>
        <v>0.18682379861248588</v>
      </c>
      <c r="AG270" s="839">
        <f t="shared" si="99"/>
        <v>3</v>
      </c>
      <c r="AH270" s="178">
        <f t="shared" si="94"/>
        <v>9</v>
      </c>
      <c r="AI270" s="227">
        <f t="shared" si="95"/>
        <v>3.1868237986124859</v>
      </c>
      <c r="AJ270" s="267" t="b">
        <f t="shared" si="96"/>
        <v>0</v>
      </c>
      <c r="AK270" s="267" t="b">
        <f t="shared" si="97"/>
        <v>0</v>
      </c>
      <c r="AL270" s="267"/>
      <c r="AM270" s="267"/>
      <c r="AN270" s="75"/>
    </row>
    <row r="271" spans="1:40" s="6" customFormat="1" ht="11.25" x14ac:dyDescent="0.2">
      <c r="A271" s="56">
        <f t="shared" si="98"/>
        <v>46279</v>
      </c>
      <c r="B271" s="413">
        <f>'2025'!Wh/'2025'!Env_an*'2026'!Env_an</f>
        <v>34.076973122077362</v>
      </c>
      <c r="C271" s="868"/>
      <c r="D271" s="395">
        <f t="shared" ref="D271:D334" si="102">Wh/(1-Ppv)</f>
        <v>36.512177583515275</v>
      </c>
      <c r="E271" s="387">
        <f t="shared" si="100"/>
        <v>38.548091779063441</v>
      </c>
      <c r="F271" s="387">
        <f t="shared" ref="F271:F334" si="103">Wh_sa/(1-Pvg*MEDIAN((-Sdif+Wh/Env_an)/Csdif,0,1))</f>
        <v>38.630538824923136</v>
      </c>
      <c r="G271" s="110">
        <f t="shared" si="101"/>
        <v>0.82309070378098959</v>
      </c>
      <c r="H271" s="416" t="b">
        <f>Wh_hp&gt;='2025'!Maxi_hp</f>
        <v>0</v>
      </c>
      <c r="I271" s="392">
        <f>IF(H271,Wh_hp,'2025'!Maxi_hp)</f>
        <v>43.575578607161226</v>
      </c>
      <c r="J271" s="85">
        <f>IF(H271,An,'2025'!An_max)</f>
        <v>2020</v>
      </c>
      <c r="K271" s="199">
        <f t="shared" ref="K271:K334" si="104">t</f>
        <v>46279</v>
      </c>
      <c r="L271" s="147">
        <f>IF(t&lt;Tvie,1-EXP((T0-t)*PertePVj)+'2025'!Pspv,1-EXP((T0-t)*PertePVj)+Pspv)</f>
        <v>6.6695678609357323E-2</v>
      </c>
      <c r="M271" s="872"/>
      <c r="N271" s="872"/>
      <c r="O271" s="48">
        <f>IF(t&lt;Tnet,'2025'!Resal+('2025'!Salim-'2025'!Resal)*(1-EXP(('2025'!Tnet-t)/('2025'!Tau_j))),Resal+(Salim-Resal)*(1-EXP((Tnet-t)/(Tau_j))))*Salcycl</f>
        <v>5.2814915125161371E-2</v>
      </c>
      <c r="P271" s="171">
        <f>(INDEX(Models!$BJ271:$BT271,,T271)*(1-R271)+INDEX(Models!$BJ271:$BT271,,T271+1)*R271-ERP_i)*Q271*Ramure*Pc/MaxiM</f>
        <v>2.8528123074092722E-3</v>
      </c>
      <c r="Q271" s="307">
        <f t="shared" ref="Q271:Q334" si="105">IF(OR(t&lt;Ttai,Notai),Dd+PousD*Croivg,Dens+PousD*(Croivg-Croi_tai))</f>
        <v>0.9</v>
      </c>
      <c r="R271" s="179">
        <f t="shared" ref="R271:R334" si="106">(Hp_vg-S271)/(INDEX(Echel_vg,T271+1)-S271)</f>
        <v>0.55171544929171645</v>
      </c>
      <c r="S271" s="839">
        <f t="shared" ref="S271:S334" si="107">INDEX(Echel_vg,T271)</f>
        <v>-2</v>
      </c>
      <c r="T271" s="178">
        <f t="shared" ref="T271:T334" si="108">MIN(MATCH(Hp_vg,Echel_vg),10)</f>
        <v>4</v>
      </c>
      <c r="U271" s="253">
        <f t="shared" ref="U271:U334" si="109">IF(OR(t&lt;Ttai,Notai),Hdd+PousH*Croivg,Hdtf+PousH*(Croivg-Croi_tai))</f>
        <v>-1.4482845507082835</v>
      </c>
      <c r="V271" s="385">
        <f t="shared" ref="V271:V334" si="110">MaxiM*(1-Ppv)*(1-Pvg)*(1-Psa)</f>
        <v>41.371423592608274</v>
      </c>
      <c r="W271" s="404">
        <f t="shared" ref="W271:W334" si="111">Wh*(A271&gt;Tmaj)</f>
        <v>34.076973122077362</v>
      </c>
      <c r="X271" s="157">
        <f t="shared" ref="X271:X334" si="112">t</f>
        <v>46279</v>
      </c>
      <c r="Y271" s="387">
        <f t="shared" ref="Y271:Y334" si="113">Wh_pvt_s*(1-Ppv)</f>
        <v>29.94044466009079</v>
      </c>
      <c r="Z271" s="387">
        <f t="shared" ref="Z271:Z334" si="114">Wh_sa_s*(1-Psa_s)</f>
        <v>32.080045033413015</v>
      </c>
      <c r="AA271" s="388">
        <f t="shared" ref="AA271:AA334" si="115">Wh_hp*(1-Pvg_s*MEDIAN((-Sdif+Wh/Env_an)/Csdif,0,1))</f>
        <v>37.862526547837042</v>
      </c>
      <c r="AB271" s="199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0.15272307586547892</v>
      </c>
      <c r="AD271" s="233">
        <f>(INDEX(Models!$BJ271:$BT271,,AH271)*(1-AF271)+INDEX(Models!$BJ271:$BT271,,AH271+1)*AF271-ERP_i)*AE271*Ramure*Pc/MaxiM</f>
        <v>2.6574571028792807E-2</v>
      </c>
      <c r="AE271" s="307">
        <f t="shared" ref="AE271:AE334" si="117">IF(OR(t&lt;Ttai,Notai),Dd_s+PousD*Croivg,Dens_s+PousD*(Croivg-Croi_tai))</f>
        <v>0.9</v>
      </c>
      <c r="AF271" s="179">
        <f t="shared" ref="AF271:AF334" si="118">(Hp_vg_s-AG271)/(INDEX(Echel_vg,AH271+1)-AG271)</f>
        <v>0.18737110159869541</v>
      </c>
      <c r="AG271" s="839">
        <f t="shared" si="99"/>
        <v>3</v>
      </c>
      <c r="AH271" s="178">
        <f t="shared" ref="AH271:AH334" si="119">MIN(MATCH(Hp_vg_s,Echel_vg),10)</f>
        <v>9</v>
      </c>
      <c r="AI271" s="227">
        <f t="shared" ref="AI271:AI334" si="120">IF(OR(t&lt;Ttai,Notai),Hdd_s+PousH*Croivg,Hdtai_s+PousH*(Croivg-Croi_tai))</f>
        <v>3.1873711015986954</v>
      </c>
      <c r="AJ271" s="267" t="b">
        <f t="shared" ref="AJ271:AJ334" si="121">t&lt;Tnet</f>
        <v>0</v>
      </c>
      <c r="AK271" s="267" t="b">
        <f t="shared" ref="AK271:AK334" si="122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23">A271+1</f>
        <v>46280</v>
      </c>
      <c r="B272" s="413">
        <f>'2025'!Wh/'2025'!Env_an*'2026'!Env_an</f>
        <v>37.18930130125338</v>
      </c>
      <c r="C272" s="868"/>
      <c r="D272" s="395">
        <f t="shared" si="102"/>
        <v>39.84784589377167</v>
      </c>
      <c r="E272" s="387">
        <f t="shared" si="100"/>
        <v>42.077959643646594</v>
      </c>
      <c r="F272" s="387">
        <f t="shared" si="103"/>
        <v>42.18447404102686</v>
      </c>
      <c r="G272" s="110">
        <f t="shared" si="101"/>
        <v>0.90690090771041476</v>
      </c>
      <c r="H272" s="416" t="b">
        <f>Wh_hp&gt;='2025'!Maxi_hp</f>
        <v>0</v>
      </c>
      <c r="I272" s="392">
        <f>IF(H272,Wh_hp,'2025'!Maxi_hp)</f>
        <v>44.117844760090314</v>
      </c>
      <c r="J272" s="85">
        <f>IF(H272,An,'2025'!An_max)</f>
        <v>2020</v>
      </c>
      <c r="K272" s="199">
        <f t="shared" si="104"/>
        <v>46280</v>
      </c>
      <c r="L272" s="147">
        <f>IF(t&lt;Tvie,1-EXP((T0-t)*PertePVj)+'2025'!Pspv,1-EXP((T0-t)*PertePVj)+Pspv)</f>
        <v>6.6717397964386027E-2</v>
      </c>
      <c r="M272" s="872"/>
      <c r="N272" s="872"/>
      <c r="O272" s="48">
        <f>IF(t&lt;Tnet,'2025'!Resal+('2025'!Salim-'2025'!Resal)*(1-EXP(('2025'!Tnet-t)/('2025'!Tau_j))),Resal+(Salim-Resal)*(1-EXP((Tnet-t)/(Tau_j))))*Salcycl</f>
        <v>5.2999569578979187E-2</v>
      </c>
      <c r="P272" s="171">
        <f>(INDEX(Models!$BJ272:$BT272,,T272)*(1-R272)+INDEX(Models!$BJ272:$BT272,,T272+1)*R272-ERP_i)*Q272*Ramure*Pc/MaxiM</f>
        <v>2.9106165520518751E-3</v>
      </c>
      <c r="Q272" s="307">
        <f t="shared" si="105"/>
        <v>0.9</v>
      </c>
      <c r="R272" s="179">
        <f t="shared" si="106"/>
        <v>0.55224153654557373</v>
      </c>
      <c r="S272" s="839">
        <f t="shared" si="107"/>
        <v>-2</v>
      </c>
      <c r="T272" s="178">
        <f t="shared" si="108"/>
        <v>4</v>
      </c>
      <c r="U272" s="253">
        <f t="shared" si="109"/>
        <v>-1.4477584634544263</v>
      </c>
      <c r="V272" s="385">
        <f t="shared" si="110"/>
        <v>40.991163021619549</v>
      </c>
      <c r="W272" s="404">
        <f t="shared" si="111"/>
        <v>37.18930130125338</v>
      </c>
      <c r="X272" s="157">
        <f t="shared" si="112"/>
        <v>46280</v>
      </c>
      <c r="Y272" s="387">
        <f t="shared" si="113"/>
        <v>32.557952389645926</v>
      </c>
      <c r="Z272" s="387">
        <f t="shared" si="114"/>
        <v>34.885416612966623</v>
      </c>
      <c r="AA272" s="388">
        <f t="shared" si="115"/>
        <v>41.175940206860311</v>
      </c>
      <c r="AB272" s="199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0.15277182651546661</v>
      </c>
      <c r="AD272" s="233">
        <f>(INDEX(Models!$BJ272:$BT272,,AH272)*(1-AF272)+INDEX(Models!$BJ272:$BT272,,AH272+1)*AF272-ERP_i)*AE272*Ramure*Pc/MaxiM</f>
        <v>2.7559234650219359E-2</v>
      </c>
      <c r="AE272" s="307">
        <f t="shared" si="117"/>
        <v>0.9</v>
      </c>
      <c r="AF272" s="179">
        <f t="shared" si="118"/>
        <v>0.18789718885255269</v>
      </c>
      <c r="AG272" s="839">
        <f t="shared" ref="AG272:AG335" si="124">INDEX(Echel_vg,AH272)</f>
        <v>3</v>
      </c>
      <c r="AH272" s="178">
        <f t="shared" si="119"/>
        <v>9</v>
      </c>
      <c r="AI272" s="227">
        <f t="shared" si="120"/>
        <v>3.1878971888525527</v>
      </c>
      <c r="AJ272" s="267" t="b">
        <f t="shared" si="121"/>
        <v>0</v>
      </c>
      <c r="AK272" s="267" t="b">
        <f t="shared" si="122"/>
        <v>0</v>
      </c>
      <c r="AL272" s="267"/>
      <c r="AM272" s="267"/>
      <c r="AN272" s="75"/>
    </row>
    <row r="273" spans="1:40" s="6" customFormat="1" ht="11.25" x14ac:dyDescent="0.2">
      <c r="A273" s="56">
        <f t="shared" si="123"/>
        <v>46281</v>
      </c>
      <c r="B273" s="413">
        <f>'2025'!Wh/'2025'!Env_an*'2026'!Env_an</f>
        <v>25.670197516509987</v>
      </c>
      <c r="C273" s="868"/>
      <c r="D273" s="395">
        <f t="shared" si="102"/>
        <v>27.505918204645418</v>
      </c>
      <c r="E273" s="387">
        <f t="shared" si="100"/>
        <v>29.05094304802498</v>
      </c>
      <c r="F273" s="387">
        <f t="shared" si="103"/>
        <v>29.091905380855927</v>
      </c>
      <c r="G273" s="110">
        <f t="shared" si="101"/>
        <v>0.63114639985595644</v>
      </c>
      <c r="H273" s="416" t="b">
        <f>Wh_hp&gt;='2025'!Maxi_hp</f>
        <v>0</v>
      </c>
      <c r="I273" s="392">
        <f>IF(H273,Wh_hp,'2025'!Maxi_hp)</f>
        <v>41.206187812934779</v>
      </c>
      <c r="J273" s="85">
        <f>IF(H273,An,'2025'!An_max)</f>
        <v>2019</v>
      </c>
      <c r="K273" s="199">
        <f t="shared" si="104"/>
        <v>46281</v>
      </c>
      <c r="L273" s="147">
        <f>IF(t&lt;Tvie,1-EXP((T0-t)*PertePVj)+'2025'!Pspv,1-EXP((T0-t)*PertePVj)+Pspv)</f>
        <v>6.6739116813973487E-2</v>
      </c>
      <c r="M273" s="872"/>
      <c r="N273" s="872"/>
      <c r="O273" s="48">
        <f>IF(t&lt;Tnet,'2025'!Resal+('2025'!Salim-'2025'!Resal)*(1-EXP(('2025'!Tnet-t)/('2025'!Tau_j))),Resal+(Salim-Resal)*(1-EXP((Tnet-t)/(Tau_j))))*Salcycl</f>
        <v>5.3183293940765972E-2</v>
      </c>
      <c r="P273" s="171">
        <f>(INDEX(Models!$BJ273:$BT273,,T273)*(1-R273)+INDEX(Models!$BJ273:$BT273,,T273+1)*R273-ERP_i)*Q273*Ramure*Pc/MaxiM</f>
        <v>2.9675478248881418E-3</v>
      </c>
      <c r="Q273" s="307">
        <f t="shared" si="105"/>
        <v>0.9</v>
      </c>
      <c r="R273" s="179">
        <f t="shared" si="106"/>
        <v>0.55274719928622762</v>
      </c>
      <c r="S273" s="839">
        <f t="shared" si="107"/>
        <v>-2</v>
      </c>
      <c r="T273" s="178">
        <f t="shared" si="108"/>
        <v>4</v>
      </c>
      <c r="U273" s="253">
        <f t="shared" si="109"/>
        <v>-1.4472528007137724</v>
      </c>
      <c r="V273" s="385">
        <f t="shared" si="110"/>
        <v>40.608815949811657</v>
      </c>
      <c r="W273" s="404">
        <f t="shared" si="111"/>
        <v>25.670197516509987</v>
      </c>
      <c r="X273" s="157">
        <f t="shared" si="112"/>
        <v>46281</v>
      </c>
      <c r="Y273" s="387">
        <f t="shared" si="113"/>
        <v>22.688934361321643</v>
      </c>
      <c r="Z273" s="387">
        <f t="shared" si="114"/>
        <v>24.311459710884577</v>
      </c>
      <c r="AA273" s="388">
        <f t="shared" si="115"/>
        <v>28.696879113158417</v>
      </c>
      <c r="AB273" s="199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0.15281868752978742</v>
      </c>
      <c r="AD273" s="233">
        <f>(INDEX(Models!$BJ273:$BT273,,AH273)*(1-AF273)+INDEX(Models!$BJ273:$BT273,,AH273+1)*AF273-ERP_i)*AE273*Ramure*Pc/MaxiM</f>
        <v>2.861798292390566E-2</v>
      </c>
      <c r="AE273" s="307">
        <f t="shared" si="117"/>
        <v>0.9</v>
      </c>
      <c r="AF273" s="179">
        <f t="shared" si="118"/>
        <v>0.18840285159320658</v>
      </c>
      <c r="AG273" s="839">
        <f t="shared" si="124"/>
        <v>3</v>
      </c>
      <c r="AH273" s="178">
        <f t="shared" si="119"/>
        <v>9</v>
      </c>
      <c r="AI273" s="227">
        <f t="shared" si="120"/>
        <v>3.1884028515932066</v>
      </c>
      <c r="AJ273" s="267" t="b">
        <f t="shared" si="121"/>
        <v>0</v>
      </c>
      <c r="AK273" s="267" t="b">
        <f t="shared" si="122"/>
        <v>0</v>
      </c>
      <c r="AL273" s="267"/>
      <c r="AM273" s="267"/>
      <c r="AN273" s="75"/>
    </row>
    <row r="274" spans="1:40" s="6" customFormat="1" ht="11.25" x14ac:dyDescent="0.2">
      <c r="A274" s="56">
        <f t="shared" si="123"/>
        <v>46282</v>
      </c>
      <c r="B274" s="413">
        <f>'2025'!Wh/'2025'!Env_an*'2026'!Env_an</f>
        <v>40.300510788876565</v>
      </c>
      <c r="C274" s="868"/>
      <c r="D274" s="395">
        <f t="shared" si="102"/>
        <v>43.183475691041359</v>
      </c>
      <c r="E274" s="387">
        <f t="shared" si="100"/>
        <v>45.617924534643002</v>
      </c>
      <c r="F274" s="387">
        <f t="shared" si="103"/>
        <v>45.756271072960011</v>
      </c>
      <c r="G274" s="110">
        <f t="shared" si="101"/>
        <v>1.0018802347220361</v>
      </c>
      <c r="H274" s="416" t="b">
        <f>Wh_hp&gt;='2025'!Maxi_hp</f>
        <v>1</v>
      </c>
      <c r="I274" s="392">
        <f>IF(H274,Wh_hp,'2025'!Maxi_hp)</f>
        <v>45.756271072960011</v>
      </c>
      <c r="J274" s="85">
        <f>IF(H274,An,'2025'!An_max)</f>
        <v>2026</v>
      </c>
      <c r="K274" s="199">
        <f t="shared" si="104"/>
        <v>46282</v>
      </c>
      <c r="L274" s="147">
        <f>IF(t&lt;Tvie,1-EXP((T0-t)*PertePVj)+'2025'!Pspv,1-EXP((T0-t)*PertePVj)+Pspv)</f>
        <v>6.6760835158131582E-2</v>
      </c>
      <c r="M274" s="872"/>
      <c r="N274" s="872"/>
      <c r="O274" s="48">
        <f>IF(t&lt;Tnet,'2025'!Resal+('2025'!Salim-'2025'!Resal)*(1-EXP(('2025'!Tnet-t)/('2025'!Tau_j))),Resal+(Salim-Resal)*(1-EXP((Tnet-t)/(Tau_j))))*Salcycl</f>
        <v>5.3366058812098827E-2</v>
      </c>
      <c r="P274" s="171">
        <f>(INDEX(Models!$BJ274:$BT274,,T274)*(1-R274)+INDEX(Models!$BJ274:$BT274,,T274+1)*R274-ERP_i)*Q274*Ramure*Pc/MaxiM</f>
        <v>3.0235536041915353E-3</v>
      </c>
      <c r="Q274" s="307">
        <f t="shared" si="105"/>
        <v>0.9</v>
      </c>
      <c r="R274" s="179">
        <f t="shared" si="106"/>
        <v>0.55323320164936529</v>
      </c>
      <c r="S274" s="839">
        <f t="shared" si="107"/>
        <v>-2</v>
      </c>
      <c r="T274" s="178">
        <f t="shared" si="108"/>
        <v>4</v>
      </c>
      <c r="U274" s="253">
        <f t="shared" si="109"/>
        <v>-1.4467667983506347</v>
      </c>
      <c r="V274" s="385">
        <f t="shared" si="110"/>
        <v>40.224878575489235</v>
      </c>
      <c r="W274" s="404">
        <f t="shared" si="111"/>
        <v>40.300510788876565</v>
      </c>
      <c r="X274" s="157">
        <f t="shared" si="112"/>
        <v>46282</v>
      </c>
      <c r="Y274" s="387">
        <f t="shared" si="113"/>
        <v>35.097756708999697</v>
      </c>
      <c r="Z274" s="387">
        <f t="shared" si="114"/>
        <v>37.608533837032859</v>
      </c>
      <c r="AA274" s="388">
        <f t="shared" si="115"/>
        <v>44.39489720586198</v>
      </c>
      <c r="AB274" s="199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0.15286359009595901</v>
      </c>
      <c r="AD274" s="233">
        <f>(INDEX(Models!$BJ274:$BT274,,AH274)*(1-AF274)+INDEX(Models!$BJ274:$BT274,,AH274+1)*AF274-ERP_i)*AE274*Ramure*Pc/MaxiM</f>
        <v>2.9752727553503416E-2</v>
      </c>
      <c r="AE274" s="307">
        <f t="shared" si="117"/>
        <v>0.9</v>
      </c>
      <c r="AF274" s="179">
        <f t="shared" si="118"/>
        <v>0.18888885395634425</v>
      </c>
      <c r="AG274" s="839">
        <f t="shared" si="124"/>
        <v>3</v>
      </c>
      <c r="AH274" s="178">
        <f t="shared" si="119"/>
        <v>9</v>
      </c>
      <c r="AI274" s="227">
        <f t="shared" si="120"/>
        <v>3.1888888539563442</v>
      </c>
      <c r="AJ274" s="267" t="b">
        <f t="shared" si="121"/>
        <v>0</v>
      </c>
      <c r="AK274" s="267" t="b">
        <f t="shared" si="122"/>
        <v>0</v>
      </c>
      <c r="AL274" s="267"/>
      <c r="AM274" s="267"/>
      <c r="AN274" s="75"/>
    </row>
    <row r="275" spans="1:40" s="6" customFormat="1" ht="11.25" x14ac:dyDescent="0.2">
      <c r="A275" s="56">
        <f t="shared" si="123"/>
        <v>46283</v>
      </c>
      <c r="B275" s="413">
        <f>'2025'!Wh/'2025'!Env_an*'2026'!Env_an</f>
        <v>40.619986064693613</v>
      </c>
      <c r="C275" s="868"/>
      <c r="D275" s="395">
        <f t="shared" si="102"/>
        <v>43.526818101330967</v>
      </c>
      <c r="E275" s="387">
        <f t="shared" si="100"/>
        <v>45.989453733713255</v>
      </c>
      <c r="F275" s="387">
        <f t="shared" si="103"/>
        <v>46.131484277355973</v>
      </c>
      <c r="G275" s="110">
        <f t="shared" si="101"/>
        <v>1.0196628736548778</v>
      </c>
      <c r="H275" s="416" t="b">
        <f>Wh_hp&gt;='2025'!Maxi_hp</f>
        <v>1</v>
      </c>
      <c r="I275" s="392">
        <f>IF(H275,Wh_hp,'2025'!Maxi_hp)</f>
        <v>46.131484277355973</v>
      </c>
      <c r="J275" s="85">
        <f>IF(H275,An,'2025'!An_max)</f>
        <v>2026</v>
      </c>
      <c r="K275" s="199">
        <f t="shared" si="104"/>
        <v>46283</v>
      </c>
      <c r="L275" s="147">
        <f>IF(t&lt;Tvie,1-EXP((T0-t)*PertePVj)+'2025'!Pspv,1-EXP((T0-t)*PertePVj)+Pspv)</f>
        <v>6.6782552996872191E-2</v>
      </c>
      <c r="M275" s="872"/>
      <c r="N275" s="872"/>
      <c r="O275" s="48">
        <f>IF(t&lt;Tnet,'2025'!Resal+('2025'!Salim-'2025'!Resal)*(1-EXP(('2025'!Tnet-t)/('2025'!Tau_j))),Resal+(Salim-Resal)*(1-EXP((Tnet-t)/(Tau_j))))*Salcycl</f>
        <v>5.3547833958658628E-2</v>
      </c>
      <c r="P275" s="171">
        <f>(INDEX(Models!$BJ275:$BT275,,T275)*(1-R275)+INDEX(Models!$BJ275:$BT275,,T275+1)*R275-ERP_i)*Q275*Ramure*Pc/MaxiM</f>
        <v>3.0788201565072251E-3</v>
      </c>
      <c r="Q275" s="307">
        <f t="shared" si="105"/>
        <v>0.9</v>
      </c>
      <c r="R275" s="179">
        <f t="shared" si="106"/>
        <v>0.55370028142316619</v>
      </c>
      <c r="S275" s="839">
        <f t="shared" si="107"/>
        <v>-2</v>
      </c>
      <c r="T275" s="178">
        <f t="shared" si="108"/>
        <v>4</v>
      </c>
      <c r="U275" s="253">
        <f t="shared" si="109"/>
        <v>-1.4462997185768338</v>
      </c>
      <c r="V275" s="385">
        <f t="shared" si="110"/>
        <v>39.836682411604734</v>
      </c>
      <c r="W275" s="404">
        <f t="shared" si="111"/>
        <v>40.619986064693613</v>
      </c>
      <c r="X275" s="157">
        <f t="shared" si="112"/>
        <v>46283</v>
      </c>
      <c r="Y275" s="387">
        <f t="shared" si="113"/>
        <v>35.338639018406624</v>
      </c>
      <c r="Z275" s="387">
        <f t="shared" si="114"/>
        <v>37.867529300797763</v>
      </c>
      <c r="AA275" s="388">
        <f t="shared" si="115"/>
        <v>44.70289015632062</v>
      </c>
      <c r="AB275" s="199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0.15290646380179052</v>
      </c>
      <c r="AD275" s="233">
        <f>(INDEX(Models!$BJ275:$BT275,,AH275)*(1-AF275)+INDEX(Models!$BJ275:$BT275,,AH275+1)*AF275-ERP_i)*AE275*Ramure*Pc/MaxiM</f>
        <v>3.0967876785542629E-2</v>
      </c>
      <c r="AE275" s="307">
        <f t="shared" si="117"/>
        <v>0.9</v>
      </c>
      <c r="AF275" s="179">
        <f t="shared" si="118"/>
        <v>0.18935593373014514</v>
      </c>
      <c r="AG275" s="839">
        <f t="shared" si="124"/>
        <v>3</v>
      </c>
      <c r="AH275" s="178">
        <f t="shared" si="119"/>
        <v>9</v>
      </c>
      <c r="AI275" s="227">
        <f t="shared" si="120"/>
        <v>3.1893559337301451</v>
      </c>
      <c r="AJ275" s="267" t="b">
        <f t="shared" si="121"/>
        <v>0</v>
      </c>
      <c r="AK275" s="267" t="b">
        <f t="shared" si="122"/>
        <v>0</v>
      </c>
      <c r="AL275" s="267"/>
      <c r="AM275" s="267"/>
      <c r="AN275" s="75"/>
    </row>
    <row r="276" spans="1:40" s="6" customFormat="1" ht="11.25" x14ac:dyDescent="0.2">
      <c r="A276" s="56">
        <f t="shared" si="123"/>
        <v>46284</v>
      </c>
      <c r="B276" s="413">
        <f>'2025'!Wh/'2025'!Env_an*'2026'!Env_an</f>
        <v>38.95089904345906</v>
      </c>
      <c r="C276" s="868"/>
      <c r="D276" s="395">
        <f t="shared" si="102"/>
        <v>41.739259841278582</v>
      </c>
      <c r="E276" s="387">
        <f t="shared" si="100"/>
        <v>44.109184034044993</v>
      </c>
      <c r="F276" s="387">
        <f t="shared" si="103"/>
        <v>44.245262120270645</v>
      </c>
      <c r="G276" s="110">
        <f t="shared" si="101"/>
        <v>0.98749571762695909</v>
      </c>
      <c r="H276" s="416" t="b">
        <f>Wh_hp&gt;='2025'!Maxi_hp</f>
        <v>0</v>
      </c>
      <c r="I276" s="392">
        <f>IF(H276,Wh_hp,'2025'!Maxi_hp)</f>
        <v>44.246682640165446</v>
      </c>
      <c r="J276" s="85">
        <f>IF(H276,An,'2025'!An_max)</f>
        <v>2025</v>
      </c>
      <c r="K276" s="199">
        <f t="shared" si="104"/>
        <v>46284</v>
      </c>
      <c r="L276" s="147">
        <f>IF(t&lt;Tvie,1-EXP((T0-t)*PertePVj)+'2025'!Pspv,1-EXP((T0-t)*PertePVj)+Pspv)</f>
        <v>6.6804270330206861E-2</v>
      </c>
      <c r="M276" s="872"/>
      <c r="N276" s="872"/>
      <c r="O276" s="48">
        <f>IF(t&lt;Tnet,'2025'!Resal+('2025'!Salim-'2025'!Resal)*(1-EXP(('2025'!Tnet-t)/('2025'!Tau_j))),Resal+(Salim-Resal)*(1-EXP((Tnet-t)/(Tau_j))))*Salcycl</f>
        <v>5.3728588380533765E-2</v>
      </c>
      <c r="P276" s="171">
        <f>(INDEX(Models!$BJ276:$BT276,,T276)*(1-R276)+INDEX(Models!$BJ276:$BT276,,T276+1)*R276-ERP_i)*Q276*Ramure*Pc/MaxiM</f>
        <v>3.1312274637378128E-3</v>
      </c>
      <c r="Q276" s="307">
        <f t="shared" si="105"/>
        <v>0.9</v>
      </c>
      <c r="R276" s="179">
        <f t="shared" si="106"/>
        <v>0.5541491507801326</v>
      </c>
      <c r="S276" s="839">
        <f t="shared" si="107"/>
        <v>-2</v>
      </c>
      <c r="T276" s="178">
        <f t="shared" si="108"/>
        <v>4</v>
      </c>
      <c r="U276" s="253">
        <f t="shared" si="109"/>
        <v>-1.4458508492198674</v>
      </c>
      <c r="V276" s="385">
        <f t="shared" si="110"/>
        <v>39.441916143075915</v>
      </c>
      <c r="W276" s="404">
        <f t="shared" si="111"/>
        <v>38.95089904345906</v>
      </c>
      <c r="X276" s="157">
        <f t="shared" si="112"/>
        <v>46284</v>
      </c>
      <c r="Y276" s="387">
        <f t="shared" si="113"/>
        <v>33.865618466869087</v>
      </c>
      <c r="Z276" s="387">
        <f t="shared" si="114"/>
        <v>36.289941531185825</v>
      </c>
      <c r="AA276" s="388">
        <f t="shared" si="115"/>
        <v>42.842598608003911</v>
      </c>
      <c r="AB276" s="199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0.15294723685584066</v>
      </c>
      <c r="AD276" s="233">
        <f>(INDEX(Models!$BJ276:$BT276,,AH276)*(1-AF276)+INDEX(Models!$BJ276:$BT276,,AH276+1)*AF276-ERP_i)*AE276*Ramure*Pc/MaxiM</f>
        <v>3.2276016174341698E-2</v>
      </c>
      <c r="AE276" s="307">
        <f t="shared" si="117"/>
        <v>0.9</v>
      </c>
      <c r="AF276" s="179">
        <f t="shared" si="118"/>
        <v>0.18980480308711156</v>
      </c>
      <c r="AG276" s="839">
        <f t="shared" si="124"/>
        <v>3</v>
      </c>
      <c r="AH276" s="178">
        <f t="shared" si="119"/>
        <v>9</v>
      </c>
      <c r="AI276" s="227">
        <f t="shared" si="120"/>
        <v>3.1898048030871116</v>
      </c>
      <c r="AJ276" s="267" t="b">
        <f t="shared" si="121"/>
        <v>0</v>
      </c>
      <c r="AK276" s="267" t="b">
        <f t="shared" si="122"/>
        <v>0</v>
      </c>
      <c r="AL276" s="267"/>
      <c r="AM276" s="267"/>
      <c r="AN276" s="75"/>
    </row>
    <row r="277" spans="1:40" s="6" customFormat="1" ht="11.25" x14ac:dyDescent="0.2">
      <c r="A277" s="56">
        <f t="shared" si="123"/>
        <v>46285</v>
      </c>
      <c r="B277" s="413">
        <f>'2025'!Wh/'2025'!Env_an*'2026'!Env_an</f>
        <v>39.93396805628182</v>
      </c>
      <c r="C277" s="868"/>
      <c r="D277" s="395">
        <f t="shared" si="102"/>
        <v>42.793699253013315</v>
      </c>
      <c r="E277" s="387">
        <f t="shared" si="100"/>
        <v>45.232083548202311</v>
      </c>
      <c r="F277" s="387">
        <f t="shared" si="103"/>
        <v>45.376444173129038</v>
      </c>
      <c r="G277" s="110">
        <f t="shared" si="101"/>
        <v>1.0228609327305087</v>
      </c>
      <c r="H277" s="416" t="b">
        <f>Wh_hp&gt;='2025'!Maxi_hp</f>
        <v>1</v>
      </c>
      <c r="I277" s="392">
        <f>IF(H277,Wh_hp,'2025'!Maxi_hp)</f>
        <v>45.376444173129038</v>
      </c>
      <c r="J277" s="85">
        <f>IF(H277,An,'2025'!An_max)</f>
        <v>2026</v>
      </c>
      <c r="K277" s="199">
        <f t="shared" si="104"/>
        <v>46285</v>
      </c>
      <c r="L277" s="147">
        <f>IF(t&lt;Tvie,1-EXP((T0-t)*PertePVj)+'2025'!Pspv,1-EXP((T0-t)*PertePVj)+Pspv)</f>
        <v>6.6825987158147471E-2</v>
      </c>
      <c r="M277" s="872"/>
      <c r="N277" s="872"/>
      <c r="O277" s="48">
        <f>IF(t&lt;Tnet,'2025'!Resal+('2025'!Salim-'2025'!Resal)*(1-EXP(('2025'!Tnet-t)/('2025'!Tau_j))),Resal+(Salim-Resal)*(1-EXP((Tnet-t)/(Tau_j))))*Salcycl</f>
        <v>5.3908290397246317E-2</v>
      </c>
      <c r="P277" s="171">
        <f>(INDEX(Models!$BJ277:$BT277,,T277)*(1-R277)+INDEX(Models!$BJ277:$BT277,,T277+1)*R277-ERP_i)*Q277*Ramure*Pc/MaxiM</f>
        <v>3.1814001197610982E-3</v>
      </c>
      <c r="Q277" s="307">
        <f t="shared" si="105"/>
        <v>0.9</v>
      </c>
      <c r="R277" s="179">
        <f t="shared" si="106"/>
        <v>0.55458049700321488</v>
      </c>
      <c r="S277" s="839">
        <f t="shared" si="107"/>
        <v>-2</v>
      </c>
      <c r="T277" s="178">
        <f t="shared" si="108"/>
        <v>4</v>
      </c>
      <c r="U277" s="253">
        <f t="shared" si="109"/>
        <v>-1.4454195029967851</v>
      </c>
      <c r="V277" s="385">
        <f t="shared" si="110"/>
        <v>39.041444226126444</v>
      </c>
      <c r="W277" s="404">
        <f t="shared" si="111"/>
        <v>39.93396805628182</v>
      </c>
      <c r="X277" s="157">
        <f t="shared" si="112"/>
        <v>46285</v>
      </c>
      <c r="Y277" s="387">
        <f t="shared" si="113"/>
        <v>34.659022832507802</v>
      </c>
      <c r="Z277" s="387">
        <f t="shared" si="114"/>
        <v>37.141007310049858</v>
      </c>
      <c r="AA277" s="388">
        <f t="shared" si="115"/>
        <v>43.849334407585218</v>
      </c>
      <c r="AB277" s="199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0.15298583634544133</v>
      </c>
      <c r="AD277" s="233">
        <f>(INDEX(Models!$BJ277:$BT277,,AH277)*(1-AF277)+INDEX(Models!$BJ277:$BT277,,AH277+1)*AF277-ERP_i)*AE277*Ramure*Pc/MaxiM</f>
        <v>3.3654240506754772E-2</v>
      </c>
      <c r="AE277" s="307">
        <f t="shared" si="117"/>
        <v>0.9</v>
      </c>
      <c r="AF277" s="179">
        <f t="shared" si="118"/>
        <v>0.19023614931019406</v>
      </c>
      <c r="AG277" s="839">
        <f t="shared" si="124"/>
        <v>3</v>
      </c>
      <c r="AH277" s="178">
        <f t="shared" si="119"/>
        <v>9</v>
      </c>
      <c r="AI277" s="227">
        <f t="shared" si="120"/>
        <v>3.1902361493101941</v>
      </c>
      <c r="AJ277" s="267" t="b">
        <f t="shared" si="121"/>
        <v>0</v>
      </c>
      <c r="AK277" s="267" t="b">
        <f t="shared" si="122"/>
        <v>0</v>
      </c>
      <c r="AL277" s="267"/>
      <c r="AM277" s="267"/>
      <c r="AN277" s="75"/>
    </row>
    <row r="278" spans="1:40" s="6" customFormat="1" ht="11.25" x14ac:dyDescent="0.2">
      <c r="A278" s="56">
        <f t="shared" si="123"/>
        <v>46286</v>
      </c>
      <c r="B278" s="413">
        <f>'2025'!Wh/'2025'!Env_an*'2026'!Env_an</f>
        <v>38.786786800217229</v>
      </c>
      <c r="C278" s="868"/>
      <c r="D278" s="395">
        <f t="shared" si="102"/>
        <v>41.565333916975746</v>
      </c>
      <c r="E278" s="387">
        <f t="shared" si="100"/>
        <v>43.942022007549852</v>
      </c>
      <c r="F278" s="387">
        <f t="shared" si="103"/>
        <v>44.08437994879354</v>
      </c>
      <c r="G278" s="110">
        <f t="shared" si="101"/>
        <v>1.0038985965821807</v>
      </c>
      <c r="H278" s="416" t="b">
        <f>Wh_hp&gt;='2025'!Maxi_hp</f>
        <v>1</v>
      </c>
      <c r="I278" s="392">
        <f>IF(H278,Wh_hp,'2025'!Maxi_hp)</f>
        <v>44.08437994879354</v>
      </c>
      <c r="J278" s="85">
        <f>IF(H278,An,'2025'!An_max)</f>
        <v>2026</v>
      </c>
      <c r="K278" s="199">
        <f t="shared" si="104"/>
        <v>46286</v>
      </c>
      <c r="L278" s="147">
        <f>IF(t&lt;Tvie,1-EXP((T0-t)*PertePVj)+'2025'!Pspv,1-EXP((T0-t)*PertePVj)+Pspv)</f>
        <v>6.6847703480705789E-2</v>
      </c>
      <c r="M278" s="872"/>
      <c r="N278" s="872"/>
      <c r="O278" s="48">
        <f>IF(t&lt;Tnet,'2025'!Resal+('2025'!Salim-'2025'!Resal)*(1-EXP(('2025'!Tnet-t)/('2025'!Tau_j))),Resal+(Salim-Resal)*(1-EXP((Tnet-t)/(Tau_j))))*Salcycl</f>
        <v>5.4086907747799146E-2</v>
      </c>
      <c r="P278" s="171">
        <f>(INDEX(Models!$BJ278:$BT278,,T278)*(1-R278)+INDEX(Models!$BJ278:$BT278,,T278+1)*R278-ERP_i)*Q278*Ramure*Pc/MaxiM</f>
        <v>3.2292150056107199E-3</v>
      </c>
      <c r="Q278" s="307">
        <f t="shared" si="105"/>
        <v>0.9</v>
      </c>
      <c r="R278" s="179">
        <f t="shared" si="106"/>
        <v>0.55499498320483753</v>
      </c>
      <c r="S278" s="839">
        <f t="shared" si="107"/>
        <v>-2</v>
      </c>
      <c r="T278" s="178">
        <f t="shared" si="108"/>
        <v>4</v>
      </c>
      <c r="U278" s="253">
        <f t="shared" si="109"/>
        <v>-1.4450050167951625</v>
      </c>
      <c r="V278" s="385">
        <f t="shared" si="110"/>
        <v>38.636159998896943</v>
      </c>
      <c r="W278" s="404">
        <f t="shared" si="111"/>
        <v>38.786786800217229</v>
      </c>
      <c r="X278" s="157">
        <f t="shared" si="112"/>
        <v>46286</v>
      </c>
      <c r="Y278" s="387">
        <f t="shared" si="113"/>
        <v>33.619370671376934</v>
      </c>
      <c r="Z278" s="387">
        <f t="shared" si="114"/>
        <v>36.027742520464137</v>
      </c>
      <c r="AA278" s="388">
        <f t="shared" si="115"/>
        <v>42.536819775756882</v>
      </c>
      <c r="AB278" s="199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0.15302218853235666</v>
      </c>
      <c r="AD278" s="233">
        <f>(INDEX(Models!$BJ278:$BT278,,AH278)*(1-AF278)+INDEX(Models!$BJ278:$BT278,,AH278+1)*AF278-ERP_i)*AE278*Ramure*Pc/MaxiM</f>
        <v>3.5104501295792997E-2</v>
      </c>
      <c r="AE278" s="307">
        <f t="shared" si="117"/>
        <v>0.9</v>
      </c>
      <c r="AF278" s="179">
        <f t="shared" si="118"/>
        <v>0.19065063551181627</v>
      </c>
      <c r="AG278" s="839">
        <f t="shared" si="124"/>
        <v>3</v>
      </c>
      <c r="AH278" s="178">
        <f t="shared" si="119"/>
        <v>9</v>
      </c>
      <c r="AI278" s="227">
        <f t="shared" si="120"/>
        <v>3.1906506355118163</v>
      </c>
      <c r="AJ278" s="267" t="b">
        <f t="shared" si="121"/>
        <v>0</v>
      </c>
      <c r="AK278" s="267" t="b">
        <f t="shared" si="122"/>
        <v>0</v>
      </c>
      <c r="AL278" s="267"/>
      <c r="AM278" s="267"/>
      <c r="AN278" s="75"/>
    </row>
    <row r="279" spans="1:40" s="6" customFormat="1" ht="11.25" x14ac:dyDescent="0.2">
      <c r="A279" s="56">
        <f t="shared" si="123"/>
        <v>46287</v>
      </c>
      <c r="B279" s="413">
        <f>'2025'!Wh/'2025'!Env_an*'2026'!Env_an</f>
        <v>37.486192222818396</v>
      </c>
      <c r="C279" s="868"/>
      <c r="D279" s="395">
        <f t="shared" si="102"/>
        <v>40.172504254027366</v>
      </c>
      <c r="E279" s="387">
        <f t="shared" si="100"/>
        <v>42.47752181619704</v>
      </c>
      <c r="F279" s="387">
        <f t="shared" si="103"/>
        <v>42.613197502422082</v>
      </c>
      <c r="G279" s="110">
        <f t="shared" si="101"/>
        <v>0.98053277692503571</v>
      </c>
      <c r="H279" s="416" t="b">
        <f>Wh_hp&gt;='2025'!Maxi_hp</f>
        <v>0</v>
      </c>
      <c r="I279" s="392">
        <f>IF(H279,Wh_hp,'2025'!Maxi_hp)</f>
        <v>42.615419513349103</v>
      </c>
      <c r="J279" s="85">
        <f>IF(H279,An,'2025'!An_max)</f>
        <v>2025</v>
      </c>
      <c r="K279" s="199">
        <f t="shared" si="104"/>
        <v>46287</v>
      </c>
      <c r="L279" s="147">
        <f>IF(t&lt;Tvie,1-EXP((T0-t)*PertePVj)+'2025'!Pspv,1-EXP((T0-t)*PertePVj)+Pspv)</f>
        <v>6.6869419297893584E-2</v>
      </c>
      <c r="M279" s="872"/>
      <c r="N279" s="872"/>
      <c r="O279" s="48">
        <f>IF(t&lt;Tnet,'2025'!Resal+('2025'!Salim-'2025'!Resal)*(1-EXP(('2025'!Tnet-t)/('2025'!Tau_j))),Resal+(Salim-Resal)*(1-EXP((Tnet-t)/(Tau_j))))*Salcycl</f>
        <v>5.4264407705883484E-2</v>
      </c>
      <c r="P279" s="171">
        <f>(INDEX(Models!$BJ279:$BT279,,T279)*(1-R279)+INDEX(Models!$BJ279:$BT279,,T279+1)*R279-ERP_i)*Q279*Ramure*Pc/MaxiM</f>
        <v>3.2745376713110355E-3</v>
      </c>
      <c r="Q279" s="307">
        <f t="shared" si="105"/>
        <v>0.9</v>
      </c>
      <c r="R279" s="179">
        <f t="shared" si="106"/>
        <v>0.55539324903757192</v>
      </c>
      <c r="S279" s="839">
        <f t="shared" si="107"/>
        <v>-2</v>
      </c>
      <c r="T279" s="178">
        <f t="shared" si="108"/>
        <v>4</v>
      </c>
      <c r="U279" s="253">
        <f t="shared" si="109"/>
        <v>-1.4446067509624281</v>
      </c>
      <c r="V279" s="385">
        <f t="shared" si="110"/>
        <v>38.226955970997608</v>
      </c>
      <c r="W279" s="404">
        <f t="shared" si="111"/>
        <v>37.486192222818396</v>
      </c>
      <c r="X279" s="157">
        <f t="shared" si="112"/>
        <v>46287</v>
      </c>
      <c r="Y279" s="387">
        <f t="shared" si="113"/>
        <v>32.478179343897658</v>
      </c>
      <c r="Z279" s="387">
        <f t="shared" si="114"/>
        <v>34.805610292463477</v>
      </c>
      <c r="AA279" s="388">
        <f t="shared" si="115"/>
        <v>41.095537957666643</v>
      </c>
      <c r="AB279" s="199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0.15305621918570703</v>
      </c>
      <c r="AD279" s="233">
        <f>(INDEX(Models!$BJ279:$BT279,,AH279)*(1-AF279)+INDEX(Models!$BJ279:$BT279,,AH279+1)*AF279-ERP_i)*AE279*Ramure*Pc/MaxiM</f>
        <v>3.6628768866394282E-2</v>
      </c>
      <c r="AE279" s="307">
        <f t="shared" si="117"/>
        <v>0.9</v>
      </c>
      <c r="AF279" s="179">
        <f t="shared" si="118"/>
        <v>0.19104890134455088</v>
      </c>
      <c r="AG279" s="839">
        <f t="shared" si="124"/>
        <v>3</v>
      </c>
      <c r="AH279" s="178">
        <f t="shared" si="119"/>
        <v>9</v>
      </c>
      <c r="AI279" s="227">
        <f t="shared" si="120"/>
        <v>3.1910489013445509</v>
      </c>
      <c r="AJ279" s="267" t="b">
        <f t="shared" si="121"/>
        <v>0</v>
      </c>
      <c r="AK279" s="267" t="b">
        <f t="shared" si="122"/>
        <v>0</v>
      </c>
      <c r="AL279" s="267"/>
      <c r="AM279" s="267"/>
      <c r="AN279" s="75"/>
    </row>
    <row r="280" spans="1:40" s="6" customFormat="1" ht="11.25" x14ac:dyDescent="0.2">
      <c r="A280" s="56">
        <f t="shared" si="123"/>
        <v>46288</v>
      </c>
      <c r="B280" s="413">
        <f>'2025'!Wh/'2025'!Env_an*'2026'!Env_an</f>
        <v>24.142549258533474</v>
      </c>
      <c r="C280" s="868"/>
      <c r="D280" s="395">
        <f t="shared" si="102"/>
        <v>25.873239612224381</v>
      </c>
      <c r="E280" s="387">
        <f t="shared" si="100"/>
        <v>27.362896412379104</v>
      </c>
      <c r="F280" s="387">
        <f t="shared" si="103"/>
        <v>27.406852968571386</v>
      </c>
      <c r="G280" s="110">
        <f t="shared" si="101"/>
        <v>0.63734744749397054</v>
      </c>
      <c r="H280" s="416" t="b">
        <f>Wh_hp&gt;='2025'!Maxi_hp</f>
        <v>0</v>
      </c>
      <c r="I280" s="392">
        <f>IF(H280,Wh_hp,'2025'!Maxi_hp)</f>
        <v>39.039212402737128</v>
      </c>
      <c r="J280" s="85">
        <f>IF(H280,An,'2025'!An_max)</f>
        <v>2019</v>
      </c>
      <c r="K280" s="199">
        <f t="shared" si="104"/>
        <v>46288</v>
      </c>
      <c r="L280" s="147">
        <f>IF(t&lt;Tvie,1-EXP((T0-t)*PertePVj)+'2025'!Pspv,1-EXP((T0-t)*PertePVj)+Pspv)</f>
        <v>6.6891134609722513E-2</v>
      </c>
      <c r="M280" s="872"/>
      <c r="N280" s="872"/>
      <c r="O280" s="48">
        <f>IF(t&lt;Tnet,'2025'!Resal+('2025'!Salim-'2025'!Resal)*(1-EXP(('2025'!Tnet-t)/('2025'!Tau_j))),Resal+(Salim-Resal)*(1-EXP((Tnet-t)/(Tau_j))))*Salcycl</f>
        <v>5.4440757210219702E-2</v>
      </c>
      <c r="P280" s="171">
        <f>(INDEX(Models!$BJ280:$BT280,,T280)*(1-R280)+INDEX(Models!$BJ280:$BT280,,T280+1)*R280-ERP_i)*Q280*Ramure*Pc/MaxiM</f>
        <v>3.31723973949071E-3</v>
      </c>
      <c r="Q280" s="307">
        <f t="shared" si="105"/>
        <v>0.9</v>
      </c>
      <c r="R280" s="179">
        <f t="shared" si="106"/>
        <v>0.55577591139536309</v>
      </c>
      <c r="S280" s="839">
        <f t="shared" si="107"/>
        <v>-2</v>
      </c>
      <c r="T280" s="178">
        <f t="shared" si="108"/>
        <v>4</v>
      </c>
      <c r="U280" s="253">
        <f t="shared" si="109"/>
        <v>-1.4442240886046369</v>
      </c>
      <c r="V280" s="385">
        <f t="shared" si="110"/>
        <v>37.814723150514439</v>
      </c>
      <c r="W280" s="404">
        <f t="shared" si="111"/>
        <v>24.142549258533474</v>
      </c>
      <c r="X280" s="157">
        <f t="shared" si="112"/>
        <v>46288</v>
      </c>
      <c r="Y280" s="387">
        <f t="shared" si="113"/>
        <v>21.258248179721694</v>
      </c>
      <c r="Z280" s="387">
        <f t="shared" si="114"/>
        <v>22.782173622185365</v>
      </c>
      <c r="AA280" s="388">
        <f t="shared" si="115"/>
        <v>26.900279714345</v>
      </c>
      <c r="AB280" s="199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0.15308785395133231</v>
      </c>
      <c r="AD280" s="233">
        <f>(INDEX(Models!$BJ280:$BT280,,AH280)*(1-AF280)+INDEX(Models!$BJ280:$BT280,,AH280+1)*AF280-ERP_i)*AE280*Ramure*Pc/MaxiM</f>
        <v>3.8229221655403323E-2</v>
      </c>
      <c r="AE280" s="307">
        <f t="shared" si="117"/>
        <v>0.9</v>
      </c>
      <c r="AF280" s="179">
        <f t="shared" si="118"/>
        <v>0.19143156370234227</v>
      </c>
      <c r="AG280" s="839">
        <f t="shared" si="124"/>
        <v>3</v>
      </c>
      <c r="AH280" s="178">
        <f t="shared" si="119"/>
        <v>9</v>
      </c>
      <c r="AI280" s="227">
        <f t="shared" si="120"/>
        <v>3.1914315637023423</v>
      </c>
      <c r="AJ280" s="267" t="b">
        <f t="shared" si="121"/>
        <v>0</v>
      </c>
      <c r="AK280" s="267" t="b">
        <f t="shared" si="122"/>
        <v>0</v>
      </c>
      <c r="AL280" s="267"/>
      <c r="AM280" s="267"/>
      <c r="AN280" s="75"/>
    </row>
    <row r="281" spans="1:40" s="6" customFormat="1" ht="11.25" x14ac:dyDescent="0.2">
      <c r="A281" s="56">
        <f t="shared" si="123"/>
        <v>46289</v>
      </c>
      <c r="B281" s="413">
        <f>'2025'!Wh/'2025'!Env_an*'2026'!Env_an</f>
        <v>16.201520643879604</v>
      </c>
      <c r="C281" s="868"/>
      <c r="D281" s="395">
        <f t="shared" si="102"/>
        <v>17.363352001732054</v>
      </c>
      <c r="E281" s="387">
        <f t="shared" si="100"/>
        <v>18.366452772308175</v>
      </c>
      <c r="F281" s="387">
        <f t="shared" si="103"/>
        <v>18.378192431995206</v>
      </c>
      <c r="G281" s="110">
        <f t="shared" si="101"/>
        <v>0.43201332443308926</v>
      </c>
      <c r="H281" s="416" t="b">
        <f>Wh_hp&gt;='2025'!Maxi_hp</f>
        <v>0</v>
      </c>
      <c r="I281" s="392">
        <f>IF(H281,Wh_hp,'2025'!Maxi_hp)</f>
        <v>35.529783803479539</v>
      </c>
      <c r="J281" s="85">
        <f>IF(H281,An,'2025'!An_max)</f>
        <v>2021</v>
      </c>
      <c r="K281" s="199">
        <f t="shared" si="104"/>
        <v>46289</v>
      </c>
      <c r="L281" s="147">
        <f>IF(t&lt;Tvie,1-EXP((T0-t)*PertePVj)+'2025'!Pspv,1-EXP((T0-t)*PertePVj)+Pspv)</f>
        <v>6.6912849416204456E-2</v>
      </c>
      <c r="M281" s="872"/>
      <c r="N281" s="872"/>
      <c r="O281" s="48">
        <f>IF(t&lt;Tnet,'2025'!Resal+('2025'!Salim-'2025'!Resal)*(1-EXP(('2025'!Tnet-t)/('2025'!Tau_j))),Resal+(Salim-Resal)*(1-EXP((Tnet-t)/(Tau_j))))*Salcycl</f>
        <v>5.4615923009833173E-2</v>
      </c>
      <c r="P281" s="171">
        <f>(INDEX(Models!$BJ281:$BT281,,T281)*(1-R281)+INDEX(Models!$BJ281:$BT281,,T281+1)*R281-ERP_i)*Q281*Ramure*Pc/MaxiM</f>
        <v>3.3571729627163201E-3</v>
      </c>
      <c r="Q281" s="307">
        <f t="shared" si="105"/>
        <v>0.9</v>
      </c>
      <c r="R281" s="179">
        <f t="shared" si="106"/>
        <v>0.55614356510435359</v>
      </c>
      <c r="S281" s="839">
        <f t="shared" si="107"/>
        <v>-2</v>
      </c>
      <c r="T281" s="178">
        <f t="shared" si="108"/>
        <v>4</v>
      </c>
      <c r="U281" s="253">
        <f t="shared" si="109"/>
        <v>-1.4438564348956464</v>
      </c>
      <c r="V281" s="385">
        <f t="shared" si="110"/>
        <v>37.400352055223465</v>
      </c>
      <c r="W281" s="404">
        <f t="shared" si="111"/>
        <v>16.201520643879604</v>
      </c>
      <c r="X281" s="157">
        <f t="shared" si="112"/>
        <v>46289</v>
      </c>
      <c r="Y281" s="387">
        <f t="shared" si="113"/>
        <v>14.412457375631419</v>
      </c>
      <c r="Z281" s="387">
        <f t="shared" si="114"/>
        <v>15.445992763499227</v>
      </c>
      <c r="AA281" s="388">
        <f t="shared" si="115"/>
        <v>18.238638755989818</v>
      </c>
      <c r="AB281" s="199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0.15311701875631747</v>
      </c>
      <c r="AD281" s="233">
        <f>(INDEX(Models!$BJ281:$BT281,,AH281)*(1-AF281)+INDEX(Models!$BJ281:$BT281,,AH281+1)*AF281-ERP_i)*AE281*Ramure*Pc/MaxiM</f>
        <v>3.9907956484501649E-2</v>
      </c>
      <c r="AE281" s="307">
        <f t="shared" si="117"/>
        <v>0.9</v>
      </c>
      <c r="AF281" s="179">
        <f t="shared" si="118"/>
        <v>0.19179921741133255</v>
      </c>
      <c r="AG281" s="839">
        <f t="shared" si="124"/>
        <v>3</v>
      </c>
      <c r="AH281" s="178">
        <f t="shared" si="119"/>
        <v>9</v>
      </c>
      <c r="AI281" s="227">
        <f t="shared" si="120"/>
        <v>3.1917992174113325</v>
      </c>
      <c r="AJ281" s="267" t="b">
        <f t="shared" si="121"/>
        <v>0</v>
      </c>
      <c r="AK281" s="267" t="b">
        <f t="shared" si="122"/>
        <v>0</v>
      </c>
      <c r="AL281" s="267"/>
      <c r="AM281" s="267"/>
      <c r="AN281" s="75"/>
    </row>
    <row r="282" spans="1:40" s="6" customFormat="1" ht="11.25" x14ac:dyDescent="0.2">
      <c r="A282" s="56">
        <f t="shared" si="123"/>
        <v>46290</v>
      </c>
      <c r="B282" s="413">
        <f>'2025'!Wh/'2025'!Env_an*'2026'!Env_an</f>
        <v>27.061608140113584</v>
      </c>
      <c r="C282" s="868"/>
      <c r="D282" s="395">
        <f t="shared" si="102"/>
        <v>29.002904928005442</v>
      </c>
      <c r="E282" s="387">
        <f t="shared" si="100"/>
        <v>30.684081838997908</v>
      </c>
      <c r="F282" s="387">
        <f t="shared" si="103"/>
        <v>30.748416395240312</v>
      </c>
      <c r="G282" s="110">
        <f t="shared" si="101"/>
        <v>0.73074215532249343</v>
      </c>
      <c r="H282" s="416" t="b">
        <f>Wh_hp&gt;='2025'!Maxi_hp</f>
        <v>0</v>
      </c>
      <c r="I282" s="392">
        <f>IF(H282,Wh_hp,'2025'!Maxi_hp)</f>
        <v>30.771368796145119</v>
      </c>
      <c r="J282" s="85">
        <f>IF(H282,An,'2025'!An_max)</f>
        <v>2025</v>
      </c>
      <c r="K282" s="199">
        <f t="shared" si="104"/>
        <v>46290</v>
      </c>
      <c r="L282" s="147">
        <f>IF(t&lt;Tvie,1-EXP((T0-t)*PertePVj)+'2025'!Pspv,1-EXP((T0-t)*PertePVj)+Pspv)</f>
        <v>6.6934563717351181E-2</v>
      </c>
      <c r="M282" s="872"/>
      <c r="N282" s="872"/>
      <c r="O282" s="48">
        <f>IF(t&lt;Tnet,'2025'!Resal+('2025'!Salim-'2025'!Resal)*(1-EXP(('2025'!Tnet-t)/('2025'!Tau_j))),Resal+(Salim-Resal)*(1-EXP((Tnet-t)/(Tau_j))))*Salcycl</f>
        <v>5.4789871823890626E-2</v>
      </c>
      <c r="P282" s="171">
        <f>(INDEX(Models!$BJ282:$BT282,,T282)*(1-R282)+INDEX(Models!$BJ282:$BT282,,T282+1)*R282-ERP_i)*Q282*Ramure*Pc/MaxiM</f>
        <v>3.3926724960159143E-3</v>
      </c>
      <c r="Q282" s="307">
        <f t="shared" si="105"/>
        <v>0.9</v>
      </c>
      <c r="R282" s="179">
        <f t="shared" si="106"/>
        <v>0.55649678360245924</v>
      </c>
      <c r="S282" s="839">
        <f t="shared" si="107"/>
        <v>-2</v>
      </c>
      <c r="T282" s="178">
        <f t="shared" si="108"/>
        <v>4</v>
      </c>
      <c r="U282" s="253">
        <f t="shared" si="109"/>
        <v>-1.4435032163975408</v>
      </c>
      <c r="V282" s="385">
        <f t="shared" si="110"/>
        <v>36.984788241038203</v>
      </c>
      <c r="W282" s="404">
        <f t="shared" si="111"/>
        <v>27.061608140113584</v>
      </c>
      <c r="X282" s="157">
        <f t="shared" si="112"/>
        <v>46290</v>
      </c>
      <c r="Y282" s="387">
        <f t="shared" si="113"/>
        <v>23.672406156281127</v>
      </c>
      <c r="Z282" s="387">
        <f t="shared" si="114"/>
        <v>25.370574491101571</v>
      </c>
      <c r="AA282" s="388">
        <f t="shared" si="115"/>
        <v>29.958533343836198</v>
      </c>
      <c r="AB282" s="199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0.15314364024694738</v>
      </c>
      <c r="AD282" s="233">
        <f>(INDEX(Models!$BJ282:$BT282,,AH282)*(1-AF282)+INDEX(Models!$BJ282:$BT282,,AH282+1)*AF282-ERP_i)*AE282*Ramure*Pc/MaxiM</f>
        <v>4.1654355918314463E-2</v>
      </c>
      <c r="AE282" s="307">
        <f t="shared" si="117"/>
        <v>0.9</v>
      </c>
      <c r="AF282" s="179">
        <f t="shared" si="118"/>
        <v>0.19215243590943842</v>
      </c>
      <c r="AG282" s="839">
        <f t="shared" si="124"/>
        <v>3</v>
      </c>
      <c r="AH282" s="178">
        <f t="shared" si="119"/>
        <v>9</v>
      </c>
      <c r="AI282" s="227">
        <f t="shared" si="120"/>
        <v>3.1921524359094384</v>
      </c>
      <c r="AJ282" s="267" t="b">
        <f t="shared" si="121"/>
        <v>0</v>
      </c>
      <c r="AK282" s="267" t="b">
        <f t="shared" si="122"/>
        <v>0</v>
      </c>
      <c r="AL282" s="267"/>
      <c r="AM282" s="267"/>
      <c r="AN282" s="75"/>
    </row>
    <row r="283" spans="1:40" s="6" customFormat="1" ht="11.25" x14ac:dyDescent="0.2">
      <c r="A283" s="56">
        <f t="shared" si="123"/>
        <v>46291</v>
      </c>
      <c r="B283" s="413">
        <f>'2025'!Wh/'2025'!Env_an*'2026'!Env_an</f>
        <v>29.057724697774507</v>
      </c>
      <c r="C283" s="868"/>
      <c r="D283" s="395">
        <f t="shared" si="102"/>
        <v>31.142940033214568</v>
      </c>
      <c r="E283" s="387">
        <f t="shared" si="100"/>
        <v>32.954186851841406</v>
      </c>
      <c r="F283" s="387">
        <f t="shared" si="103"/>
        <v>33.034131080718119</v>
      </c>
      <c r="G283" s="110">
        <f t="shared" si="101"/>
        <v>0.79380236110497371</v>
      </c>
      <c r="H283" s="416" t="b">
        <f>Wh_hp&gt;='2025'!Maxi_hp</f>
        <v>0</v>
      </c>
      <c r="I283" s="392">
        <f>IF(H283,Wh_hp,'2025'!Maxi_hp)</f>
        <v>33.053183581550016</v>
      </c>
      <c r="J283" s="85">
        <f>IF(H283,An,'2025'!An_max)</f>
        <v>2025</v>
      </c>
      <c r="K283" s="199">
        <f t="shared" si="104"/>
        <v>46291</v>
      </c>
      <c r="L283" s="147">
        <f>IF(t&lt;Tvie,1-EXP((T0-t)*PertePVj)+'2025'!Pspv,1-EXP((T0-t)*PertePVj)+Pspv)</f>
        <v>6.6956277513174345E-2</v>
      </c>
      <c r="M283" s="872"/>
      <c r="N283" s="872"/>
      <c r="O283" s="48">
        <f>IF(t&lt;Tnet,'2025'!Resal+('2025'!Salim-'2025'!Resal)*(1-EXP(('2025'!Tnet-t)/('2025'!Tau_j))),Resal+(Salim-Resal)*(1-EXP((Tnet-t)/(Tau_j))))*Salcycl</f>
        <v>5.4962570515546767E-2</v>
      </c>
      <c r="P283" s="171">
        <f>(INDEX(Models!$BJ283:$BT283,,T283)*(1-R283)+INDEX(Models!$BJ283:$BT283,,T283+1)*R283-ERP_i)*Q283*Ramure*Pc/MaxiM</f>
        <v>3.4250399444708916E-3</v>
      </c>
      <c r="Q283" s="307">
        <f t="shared" si="105"/>
        <v>0.9</v>
      </c>
      <c r="R283" s="179">
        <f t="shared" si="106"/>
        <v>0.55683611960698842</v>
      </c>
      <c r="S283" s="839">
        <f t="shared" si="107"/>
        <v>-2</v>
      </c>
      <c r="T283" s="178">
        <f t="shared" si="108"/>
        <v>4</v>
      </c>
      <c r="U283" s="253">
        <f t="shared" si="109"/>
        <v>-1.4431638803930116</v>
      </c>
      <c r="V283" s="385">
        <f t="shared" si="110"/>
        <v>36.568864666878916</v>
      </c>
      <c r="W283" s="404">
        <f t="shared" si="111"/>
        <v>29.057724697774507</v>
      </c>
      <c r="X283" s="157">
        <f t="shared" si="112"/>
        <v>46291</v>
      </c>
      <c r="Y283" s="387">
        <f t="shared" si="113"/>
        <v>25.300208165351503</v>
      </c>
      <c r="Z283" s="387">
        <f t="shared" si="114"/>
        <v>27.115779845685349</v>
      </c>
      <c r="AA283" s="388">
        <f t="shared" si="115"/>
        <v>32.020245478178637</v>
      </c>
      <c r="AB283" s="199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0.15316764625791571</v>
      </c>
      <c r="AD283" s="233">
        <f>(INDEX(Models!$BJ283:$BT283,,AH283)*(1-AF283)+INDEX(Models!$BJ283:$BT283,,AH283+1)*AF283-ERP_i)*AE283*Ramure*Pc/MaxiM</f>
        <v>4.3437765760139462E-2</v>
      </c>
      <c r="AE283" s="307">
        <f t="shared" si="117"/>
        <v>0.9</v>
      </c>
      <c r="AF283" s="179">
        <f t="shared" si="118"/>
        <v>0.19249177191396738</v>
      </c>
      <c r="AG283" s="839">
        <f t="shared" si="124"/>
        <v>3</v>
      </c>
      <c r="AH283" s="178">
        <f t="shared" si="119"/>
        <v>9</v>
      </c>
      <c r="AI283" s="227">
        <f t="shared" si="120"/>
        <v>3.1924917719139674</v>
      </c>
      <c r="AJ283" s="267" t="b">
        <f t="shared" si="121"/>
        <v>0</v>
      </c>
      <c r="AK283" s="267" t="b">
        <f t="shared" si="122"/>
        <v>0</v>
      </c>
      <c r="AL283" s="267"/>
      <c r="AM283" s="267"/>
      <c r="AN283" s="75"/>
    </row>
    <row r="284" spans="1:40" s="6" customFormat="1" ht="11.25" x14ac:dyDescent="0.2">
      <c r="A284" s="56">
        <f t="shared" si="123"/>
        <v>46292</v>
      </c>
      <c r="B284" s="413">
        <f>'2025'!Wh/'2025'!Env_an*'2026'!Env_an</f>
        <v>14.196740699742605</v>
      </c>
      <c r="C284" s="868"/>
      <c r="D284" s="395">
        <f t="shared" si="102"/>
        <v>15.215869036113503</v>
      </c>
      <c r="E284" s="387">
        <f t="shared" si="100"/>
        <v>16.103731973798805</v>
      </c>
      <c r="F284" s="387">
        <f t="shared" si="103"/>
        <v>16.111099889198549</v>
      </c>
      <c r="G284" s="110">
        <f t="shared" si="101"/>
        <v>0.3915025879431015</v>
      </c>
      <c r="H284" s="416" t="b">
        <f>Wh_hp&gt;='2025'!Maxi_hp</f>
        <v>0</v>
      </c>
      <c r="I284" s="392">
        <f>IF(H284,Wh_hp,'2025'!Maxi_hp)</f>
        <v>32.432173480535852</v>
      </c>
      <c r="J284" s="85">
        <f>IF(H284,An,'2025'!An_max)</f>
        <v>2019</v>
      </c>
      <c r="K284" s="199">
        <f t="shared" si="104"/>
        <v>46292</v>
      </c>
      <c r="L284" s="147">
        <f>IF(t&lt;Tvie,1-EXP((T0-t)*PertePVj)+'2025'!Pspv,1-EXP((T0-t)*PertePVj)+Pspv)</f>
        <v>6.6977990803685827E-2</v>
      </c>
      <c r="M284" s="872"/>
      <c r="N284" s="872"/>
      <c r="O284" s="48">
        <f>IF(t&lt;Tnet,'2025'!Resal+('2025'!Salim-'2025'!Resal)*(1-EXP(('2025'!Tnet-t)/('2025'!Tau_j))),Resal+(Salim-Resal)*(1-EXP((Tnet-t)/(Tau_j))))*Salcycl</f>
        <v>5.5133986279073517E-2</v>
      </c>
      <c r="P284" s="171">
        <f>(INDEX(Models!$BJ284:$BT284,,T284)*(1-R284)+INDEX(Models!$BJ284:$BT284,,T284+1)*R284-ERP_i)*Q284*Ramure*Pc/MaxiM</f>
        <v>3.454076547472042E-3</v>
      </c>
      <c r="Q284" s="307">
        <f t="shared" si="105"/>
        <v>0.9</v>
      </c>
      <c r="R284" s="179">
        <f t="shared" si="106"/>
        <v>0.55716210576968539</v>
      </c>
      <c r="S284" s="839">
        <f t="shared" si="107"/>
        <v>-2</v>
      </c>
      <c r="T284" s="178">
        <f t="shared" si="108"/>
        <v>4</v>
      </c>
      <c r="U284" s="253">
        <f t="shared" si="109"/>
        <v>-1.4428378942303146</v>
      </c>
      <c r="V284" s="385">
        <f t="shared" si="110"/>
        <v>36.153469947685096</v>
      </c>
      <c r="W284" s="404">
        <f t="shared" si="111"/>
        <v>14.196740699742605</v>
      </c>
      <c r="X284" s="157">
        <f t="shared" si="112"/>
        <v>46292</v>
      </c>
      <c r="Y284" s="387">
        <f t="shared" si="113"/>
        <v>12.652996151652969</v>
      </c>
      <c r="Z284" s="387">
        <f t="shared" si="114"/>
        <v>13.56130512135721</v>
      </c>
      <c r="AA284" s="388">
        <f t="shared" si="115"/>
        <v>16.014558835241331</v>
      </c>
      <c r="AB284" s="199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0.15318896631017648</v>
      </c>
      <c r="AD284" s="233">
        <f>(INDEX(Models!$BJ284:$BT284,,AH284)*(1-AF284)+INDEX(Models!$BJ284:$BT284,,AH284+1)*AF284-ERP_i)*AE284*Ramure*Pc/MaxiM</f>
        <v>4.5258417374538375E-2</v>
      </c>
      <c r="AE284" s="307">
        <f t="shared" si="117"/>
        <v>0.9</v>
      </c>
      <c r="AF284" s="179">
        <f t="shared" si="118"/>
        <v>0.19281775807666435</v>
      </c>
      <c r="AG284" s="839">
        <f t="shared" si="124"/>
        <v>3</v>
      </c>
      <c r="AH284" s="178">
        <f t="shared" si="119"/>
        <v>9</v>
      </c>
      <c r="AI284" s="227">
        <f t="shared" si="120"/>
        <v>3.1928177580766643</v>
      </c>
      <c r="AJ284" s="267" t="b">
        <f t="shared" si="121"/>
        <v>0</v>
      </c>
      <c r="AK284" s="267" t="b">
        <f t="shared" si="122"/>
        <v>0</v>
      </c>
      <c r="AL284" s="267"/>
      <c r="AM284" s="267"/>
      <c r="AN284" s="75"/>
    </row>
    <row r="285" spans="1:40" s="6" customFormat="1" ht="11.25" x14ac:dyDescent="0.2">
      <c r="A285" s="56">
        <f t="shared" si="123"/>
        <v>46293</v>
      </c>
      <c r="B285" s="413">
        <f>'2025'!Wh/'2025'!Env_an*'2026'!Env_an</f>
        <v>16.704268705956299</v>
      </c>
      <c r="C285" s="868"/>
      <c r="D285" s="395">
        <f t="shared" si="102"/>
        <v>17.903819291602868</v>
      </c>
      <c r="E285" s="387">
        <f t="shared" si="100"/>
        <v>18.951938970184369</v>
      </c>
      <c r="F285" s="387">
        <f t="shared" si="103"/>
        <v>18.967721313104089</v>
      </c>
      <c r="G285" s="110">
        <f t="shared" si="101"/>
        <v>0.46615120426031403</v>
      </c>
      <c r="H285" s="416" t="b">
        <f>Wh_hp&gt;='2025'!Maxi_hp</f>
        <v>0</v>
      </c>
      <c r="I285" s="392">
        <f>IF(H285,Wh_hp,'2025'!Maxi_hp)</f>
        <v>28.532869501688754</v>
      </c>
      <c r="J285" s="85">
        <f>IF(H285,An,'2025'!An_max)</f>
        <v>2019</v>
      </c>
      <c r="K285" s="199">
        <f t="shared" si="104"/>
        <v>46293</v>
      </c>
      <c r="L285" s="147">
        <f>IF(t&lt;Tvie,1-EXP((T0-t)*PertePVj)+'2025'!Pspv,1-EXP((T0-t)*PertePVj)+Pspv)</f>
        <v>6.6999703588897175E-2</v>
      </c>
      <c r="M285" s="872"/>
      <c r="N285" s="872"/>
      <c r="O285" s="48">
        <f>IF(t&lt;Tnet,'2025'!Resal+('2025'!Salim-'2025'!Resal)*(1-EXP(('2025'!Tnet-t)/('2025'!Tau_j))),Resal+(Salim-Resal)*(1-EXP((Tnet-t)/(Tau_j))))*Salcycl</f>
        <v>5.5304086839369181E-2</v>
      </c>
      <c r="P285" s="171">
        <f>(INDEX(Models!$BJ285:$BT285,,T285)*(1-R285)+INDEX(Models!$BJ285:$BT285,,T285+1)*R285-ERP_i)*Q285*Ramure*Pc/MaxiM</f>
        <v>3.4795713582058715E-3</v>
      </c>
      <c r="Q285" s="307">
        <f t="shared" si="105"/>
        <v>0.9</v>
      </c>
      <c r="R285" s="179">
        <f t="shared" si="106"/>
        <v>0.55747525531868658</v>
      </c>
      <c r="S285" s="839">
        <f t="shared" si="107"/>
        <v>-2</v>
      </c>
      <c r="T285" s="178">
        <f t="shared" si="108"/>
        <v>4</v>
      </c>
      <c r="U285" s="253">
        <f t="shared" si="109"/>
        <v>-1.4425247446813134</v>
      </c>
      <c r="V285" s="385">
        <f t="shared" si="110"/>
        <v>35.739491902335999</v>
      </c>
      <c r="W285" s="404">
        <f t="shared" si="111"/>
        <v>16.704268705956299</v>
      </c>
      <c r="X285" s="157">
        <f t="shared" si="112"/>
        <v>46293</v>
      </c>
      <c r="Y285" s="387">
        <f t="shared" si="113"/>
        <v>14.816752446122109</v>
      </c>
      <c r="Z285" s="387">
        <f t="shared" si="114"/>
        <v>15.88075856258194</v>
      </c>
      <c r="AA285" s="388">
        <f t="shared" si="115"/>
        <v>18.754014903569836</v>
      </c>
      <c r="AB285" s="199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0.15320753213441082</v>
      </c>
      <c r="AD285" s="233">
        <f>(INDEX(Models!$BJ285:$BT285,,AH285)*(1-AF285)+INDEX(Models!$BJ285:$BT285,,AH285+1)*AF285-ERP_i)*AE285*Ramure*Pc/MaxiM</f>
        <v>4.7116369569640014E-2</v>
      </c>
      <c r="AE285" s="307">
        <f t="shared" si="117"/>
        <v>0.9</v>
      </c>
      <c r="AF285" s="179">
        <f t="shared" si="118"/>
        <v>0.19313090762566532</v>
      </c>
      <c r="AG285" s="839">
        <f t="shared" si="124"/>
        <v>3</v>
      </c>
      <c r="AH285" s="178">
        <f t="shared" si="119"/>
        <v>9</v>
      </c>
      <c r="AI285" s="227">
        <f t="shared" si="120"/>
        <v>3.1931309076256653</v>
      </c>
      <c r="AJ285" s="267" t="b">
        <f t="shared" si="121"/>
        <v>0</v>
      </c>
      <c r="AK285" s="267" t="b">
        <f t="shared" si="122"/>
        <v>0</v>
      </c>
      <c r="AL285" s="267"/>
      <c r="AM285" s="267"/>
      <c r="AN285" s="75"/>
    </row>
    <row r="286" spans="1:40" s="6" customFormat="1" ht="11.25" x14ac:dyDescent="0.2">
      <c r="A286" s="56">
        <f t="shared" si="123"/>
        <v>46294</v>
      </c>
      <c r="B286" s="413">
        <f>'2025'!Wh/'2025'!Env_an*'2026'!Env_an</f>
        <v>22.334369754319479</v>
      </c>
      <c r="C286" s="868"/>
      <c r="D286" s="395">
        <f t="shared" si="102"/>
        <v>23.938780733234065</v>
      </c>
      <c r="E286" s="387">
        <f t="shared" si="100"/>
        <v>25.344724602765172</v>
      </c>
      <c r="F286" s="387">
        <f t="shared" si="103"/>
        <v>25.386908381490944</v>
      </c>
      <c r="G286" s="110">
        <f t="shared" si="101"/>
        <v>0.63103851640317621</v>
      </c>
      <c r="H286" s="416" t="b">
        <f>Wh_hp&gt;='2025'!Maxi_hp</f>
        <v>0</v>
      </c>
      <c r="I286" s="392">
        <f>IF(H286,Wh_hp,'2025'!Maxi_hp)</f>
        <v>39.545102096867112</v>
      </c>
      <c r="J286" s="85">
        <f>IF(H286,An,'2025'!An_max)</f>
        <v>2019</v>
      </c>
      <c r="K286" s="199">
        <f t="shared" si="104"/>
        <v>46294</v>
      </c>
      <c r="L286" s="147">
        <f>IF(t&lt;Tvie,1-EXP((T0-t)*PertePVj)+'2025'!Pspv,1-EXP((T0-t)*PertePVj)+Pspv)</f>
        <v>6.7021415868820378E-2</v>
      </c>
      <c r="M286" s="872"/>
      <c r="N286" s="872"/>
      <c r="O286" s="48">
        <f>IF(t&lt;Tnet,'2025'!Resal+('2025'!Salim-'2025'!Resal)*(1-EXP(('2025'!Tnet-t)/('2025'!Tau_j))),Resal+(Salim-Resal)*(1-EXP((Tnet-t)/(Tau_j))))*Salcycl</f>
        <v>5.5472840662775018E-2</v>
      </c>
      <c r="P286" s="171">
        <f>(INDEX(Models!$BJ286:$BT286,,T286)*(1-R286)+INDEX(Models!$BJ286:$BT286,,T286+1)*R286-ERP_i)*Q286*Ramure*Pc/MaxiM</f>
        <v>3.501301472973247E-3</v>
      </c>
      <c r="Q286" s="307">
        <f t="shared" si="105"/>
        <v>0.9</v>
      </c>
      <c r="R286" s="179">
        <f t="shared" si="106"/>
        <v>0.557776062686961</v>
      </c>
      <c r="S286" s="839">
        <f t="shared" si="107"/>
        <v>-2</v>
      </c>
      <c r="T286" s="178">
        <f t="shared" si="108"/>
        <v>4</v>
      </c>
      <c r="U286" s="253">
        <f t="shared" si="109"/>
        <v>-1.442223937313039</v>
      </c>
      <c r="V286" s="385">
        <f t="shared" si="110"/>
        <v>35.327817557698189</v>
      </c>
      <c r="W286" s="404">
        <f t="shared" si="111"/>
        <v>22.334369754319479</v>
      </c>
      <c r="X286" s="157">
        <f t="shared" si="112"/>
        <v>46294</v>
      </c>
      <c r="Y286" s="387">
        <f t="shared" si="113"/>
        <v>19.589777774640041</v>
      </c>
      <c r="Z286" s="387">
        <f t="shared" si="114"/>
        <v>20.997028343241862</v>
      </c>
      <c r="AA286" s="388">
        <f t="shared" si="115"/>
        <v>24.796416579593824</v>
      </c>
      <c r="AB286" s="199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0.15322327821668652</v>
      </c>
      <c r="AD286" s="233">
        <f>(INDEX(Models!$BJ286:$BT286,,AH286)*(1-AF286)+INDEX(Models!$BJ286:$BT286,,AH286+1)*AF286-ERP_i)*AE286*Ramure*Pc/MaxiM</f>
        <v>4.901148920776479E-2</v>
      </c>
      <c r="AE286" s="307">
        <f t="shared" si="117"/>
        <v>0.9</v>
      </c>
      <c r="AF286" s="179">
        <f t="shared" si="118"/>
        <v>0.19343171499393996</v>
      </c>
      <c r="AG286" s="839">
        <f t="shared" si="124"/>
        <v>3</v>
      </c>
      <c r="AH286" s="178">
        <f t="shared" si="119"/>
        <v>9</v>
      </c>
      <c r="AI286" s="227">
        <f t="shared" si="120"/>
        <v>3.19343171499394</v>
      </c>
      <c r="AJ286" s="267" t="b">
        <f t="shared" si="121"/>
        <v>0</v>
      </c>
      <c r="AK286" s="267" t="b">
        <f t="shared" si="122"/>
        <v>0</v>
      </c>
      <c r="AL286" s="267"/>
      <c r="AM286" s="267"/>
      <c r="AN286" s="75"/>
    </row>
    <row r="287" spans="1:40" s="6" customFormat="1" ht="11.25" x14ac:dyDescent="0.2">
      <c r="A287" s="56">
        <f t="shared" si="123"/>
        <v>46295</v>
      </c>
      <c r="B287" s="413">
        <f>'2025'!Wh/'2025'!Env_an*'2026'!Env_an</f>
        <v>25.802310912284604</v>
      </c>
      <c r="C287" s="868"/>
      <c r="D287" s="395">
        <f t="shared" si="102"/>
        <v>27.656488393843091</v>
      </c>
      <c r="E287" s="387">
        <f t="shared" si="100"/>
        <v>29.28596589659605</v>
      </c>
      <c r="F287" s="387">
        <f t="shared" si="103"/>
        <v>29.350728077017937</v>
      </c>
      <c r="G287" s="110">
        <f t="shared" si="101"/>
        <v>0.73793990745534443</v>
      </c>
      <c r="H287" s="416" t="b">
        <f>Wh_hp&gt;='2025'!Maxi_hp</f>
        <v>0</v>
      </c>
      <c r="I287" s="392">
        <f>IF(H287,Wh_hp,'2025'!Maxi_hp)</f>
        <v>31.942652402822652</v>
      </c>
      <c r="J287" s="85">
        <f>IF(H287,An,'2025'!An_max)</f>
        <v>2020</v>
      </c>
      <c r="K287" s="199">
        <f t="shared" si="104"/>
        <v>46295</v>
      </c>
      <c r="L287" s="147">
        <f>IF(t&lt;Tvie,1-EXP((T0-t)*PertePVj)+'2025'!Pspv,1-EXP((T0-t)*PertePVj)+Pspv)</f>
        <v>6.7043127643467093E-2</v>
      </c>
      <c r="M287" s="872"/>
      <c r="N287" s="872"/>
      <c r="O287" s="48">
        <f>IF(t&lt;Tnet,'2025'!Resal+('2025'!Salim-'2025'!Resal)*(1-EXP(('2025'!Tnet-t)/('2025'!Tau_j))),Resal+(Salim-Resal)*(1-EXP((Tnet-t)/(Tau_j))))*Salcycl</f>
        <v>5.5640217177960832E-2</v>
      </c>
      <c r="P287" s="171">
        <f>(INDEX(Models!$BJ287:$BT287,,T287)*(1-R287)+INDEX(Models!$BJ287:$BT287,,T287+1)*R287-ERP_i)*Q287*Ramure*Pc/MaxiM</f>
        <v>3.5190323928091273E-3</v>
      </c>
      <c r="Q287" s="307">
        <f t="shared" si="105"/>
        <v>0.9</v>
      </c>
      <c r="R287" s="179">
        <f t="shared" si="106"/>
        <v>0.55806500412689353</v>
      </c>
      <c r="S287" s="839">
        <f t="shared" si="107"/>
        <v>-2</v>
      </c>
      <c r="T287" s="178">
        <f t="shared" si="108"/>
        <v>4</v>
      </c>
      <c r="U287" s="253">
        <f t="shared" si="109"/>
        <v>-1.4419349958731065</v>
      </c>
      <c r="V287" s="385">
        <f t="shared" si="110"/>
        <v>34.919333152670731</v>
      </c>
      <c r="W287" s="404">
        <f t="shared" si="111"/>
        <v>25.802310912284604</v>
      </c>
      <c r="X287" s="157">
        <f t="shared" si="112"/>
        <v>46295</v>
      </c>
      <c r="Y287" s="387">
        <f t="shared" si="113"/>
        <v>22.446258488600748</v>
      </c>
      <c r="Z287" s="387">
        <f t="shared" si="114"/>
        <v>24.05926699688089</v>
      </c>
      <c r="AA287" s="388">
        <f t="shared" si="115"/>
        <v>28.41319546161019</v>
      </c>
      <c r="AB287" s="199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0.15323614236251626</v>
      </c>
      <c r="AD287" s="233">
        <f>(INDEX(Models!$BJ287:$BT287,,AH287)*(1-AF287)+INDEX(Models!$BJ287:$BT287,,AH287+1)*AF287-ERP_i)*AE287*Ramure*Pc/MaxiM</f>
        <v>5.0943430586222999E-2</v>
      </c>
      <c r="AE287" s="307">
        <f t="shared" si="117"/>
        <v>0.9</v>
      </c>
      <c r="AF287" s="179">
        <f t="shared" si="118"/>
        <v>0.19372065643387248</v>
      </c>
      <c r="AG287" s="839">
        <f t="shared" si="124"/>
        <v>3</v>
      </c>
      <c r="AH287" s="178">
        <f t="shared" si="119"/>
        <v>9</v>
      </c>
      <c r="AI287" s="227">
        <f t="shared" si="120"/>
        <v>3.1937206564338725</v>
      </c>
      <c r="AJ287" s="267" t="b">
        <f t="shared" si="121"/>
        <v>0</v>
      </c>
      <c r="AK287" s="267" t="b">
        <f t="shared" si="122"/>
        <v>0</v>
      </c>
      <c r="AL287" s="267"/>
      <c r="AM287" s="267"/>
      <c r="AN287" s="75"/>
    </row>
    <row r="288" spans="1:40" s="6" customFormat="1" ht="11.25" x14ac:dyDescent="0.2">
      <c r="A288" s="56">
        <f t="shared" si="123"/>
        <v>46296</v>
      </c>
      <c r="B288" s="413">
        <f>'2025'!Wh/'2025'!Env_an*'2026'!Env_an</f>
        <v>31.052784244604094</v>
      </c>
      <c r="C288" s="868"/>
      <c r="D288" s="395">
        <f t="shared" si="102"/>
        <v>33.285040096911167</v>
      </c>
      <c r="E288" s="387">
        <f t="shared" si="100"/>
        <v>35.25233870294862</v>
      </c>
      <c r="F288" s="387">
        <f t="shared" si="103"/>
        <v>35.359347270354085</v>
      </c>
      <c r="G288" s="110">
        <f t="shared" si="101"/>
        <v>0.89923470230573643</v>
      </c>
      <c r="H288" s="416" t="b">
        <f>Wh_hp&gt;='2025'!Maxi_hp</f>
        <v>0</v>
      </c>
      <c r="I288" s="392">
        <f>IF(H288,Wh_hp,'2025'!Maxi_hp)</f>
        <v>37.95557881687494</v>
      </c>
      <c r="J288" s="85">
        <f>IF(H288,An,'2025'!An_max)</f>
        <v>2020</v>
      </c>
      <c r="K288" s="199">
        <f t="shared" si="104"/>
        <v>46296</v>
      </c>
      <c r="L288" s="147">
        <f>IF(t&lt;Tvie,1-EXP((T0-t)*PertePVj)+'2025'!Pspv,1-EXP((T0-t)*PertePVj)+Pspv)</f>
        <v>6.706483891284909E-2</v>
      </c>
      <c r="M288" s="872"/>
      <c r="N288" s="872"/>
      <c r="O288" s="48">
        <f>IF(t&lt;Tnet,'2025'!Resal+('2025'!Salim-'2025'!Resal)*(1-EXP(('2025'!Tnet-t)/('2025'!Tau_j))),Resal+(Salim-Resal)*(1-EXP((Tnet-t)/(Tau_j))))*Salcycl</f>
        <v>5.5806187005485217E-2</v>
      </c>
      <c r="P288" s="171">
        <f>(INDEX(Models!$BJ288:$BT288,,T288)*(1-R288)+INDEX(Models!$BJ288:$BT288,,T288+1)*R288-ERP_i)*Q288*Ramure*Pc/MaxiM</f>
        <v>3.5325185379204188E-3</v>
      </c>
      <c r="Q288" s="307">
        <f t="shared" si="105"/>
        <v>0.9</v>
      </c>
      <c r="R288" s="179">
        <f t="shared" si="106"/>
        <v>0.55834253831074099</v>
      </c>
      <c r="S288" s="839">
        <f t="shared" si="107"/>
        <v>-2</v>
      </c>
      <c r="T288" s="178">
        <f t="shared" si="108"/>
        <v>4</v>
      </c>
      <c r="U288" s="253">
        <f t="shared" si="109"/>
        <v>-1.441657461689259</v>
      </c>
      <c r="V288" s="385">
        <f t="shared" si="110"/>
        <v>34.514924145726525</v>
      </c>
      <c r="W288" s="404">
        <f t="shared" si="111"/>
        <v>31.052784244604094</v>
      </c>
      <c r="X288" s="157">
        <f t="shared" si="112"/>
        <v>46296</v>
      </c>
      <c r="Y288" s="387">
        <f t="shared" si="113"/>
        <v>26.666525260424439</v>
      </c>
      <c r="Z288" s="387">
        <f t="shared" si="114"/>
        <v>28.583471148573597</v>
      </c>
      <c r="AA288" s="388">
        <f t="shared" si="115"/>
        <v>33.756525963613456</v>
      </c>
      <c r="AB288" s="199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0.15324606627518342</v>
      </c>
      <c r="AD288" s="233">
        <f>(INDEX(Models!$BJ288:$BT288,,AH288)*(1-AF288)+INDEX(Models!$BJ288:$BT288,,AH288+1)*AF288-ERP_i)*AE288*Ramure*Pc/MaxiM</f>
        <v>5.2911613680251456E-2</v>
      </c>
      <c r="AE288" s="307">
        <f t="shared" si="117"/>
        <v>0.9</v>
      </c>
      <c r="AF288" s="179">
        <f t="shared" si="118"/>
        <v>0.19399819061771995</v>
      </c>
      <c r="AG288" s="839">
        <f t="shared" si="124"/>
        <v>3</v>
      </c>
      <c r="AH288" s="178">
        <f t="shared" si="119"/>
        <v>9</v>
      </c>
      <c r="AI288" s="227">
        <f t="shared" si="120"/>
        <v>3.1939981906177199</v>
      </c>
      <c r="AJ288" s="267" t="b">
        <f t="shared" si="121"/>
        <v>0</v>
      </c>
      <c r="AK288" s="267" t="b">
        <f t="shared" si="122"/>
        <v>0</v>
      </c>
      <c r="AL288" s="267"/>
      <c r="AM288" s="267"/>
      <c r="AN288" s="75"/>
    </row>
    <row r="289" spans="1:40" s="6" customFormat="1" ht="11.25" x14ac:dyDescent="0.2">
      <c r="A289" s="56">
        <f t="shared" si="123"/>
        <v>46297</v>
      </c>
      <c r="B289" s="413">
        <f>'2025'!Wh/'2025'!Env_an*'2026'!Env_an</f>
        <v>32.80807885214216</v>
      </c>
      <c r="C289" s="868"/>
      <c r="D289" s="395">
        <f t="shared" si="102"/>
        <v>35.167333948055244</v>
      </c>
      <c r="E289" s="387">
        <f t="shared" si="100"/>
        <v>37.252376356170984</v>
      </c>
      <c r="F289" s="387">
        <f t="shared" si="103"/>
        <v>37.377541235377727</v>
      </c>
      <c r="G289" s="110">
        <f t="shared" si="101"/>
        <v>0.96161356192591263</v>
      </c>
      <c r="H289" s="416" t="b">
        <f>Wh_hp&gt;='2025'!Maxi_hp</f>
        <v>0</v>
      </c>
      <c r="I289" s="392">
        <f>IF(H289,Wh_hp,'2025'!Maxi_hp)</f>
        <v>37.381684663507535</v>
      </c>
      <c r="J289" s="85">
        <f>IF(H289,An,'2025'!An_max)</f>
        <v>2025</v>
      </c>
      <c r="K289" s="199">
        <f t="shared" si="104"/>
        <v>46297</v>
      </c>
      <c r="L289" s="147">
        <f>IF(t&lt;Tvie,1-EXP((T0-t)*PertePVj)+'2025'!Pspv,1-EXP((T0-t)*PertePVj)+Pspv)</f>
        <v>6.7086549676978136E-2</v>
      </c>
      <c r="M289" s="872"/>
      <c r="N289" s="872"/>
      <c r="O289" s="48">
        <f>IF(t&lt;Tnet,'2025'!Resal+('2025'!Salim-'2025'!Resal)*(1-EXP(('2025'!Tnet-t)/('2025'!Tau_j))),Resal+(Salim-Resal)*(1-EXP((Tnet-t)/(Tau_j))))*Salcycl</f>
        <v>5.5970722194487496E-2</v>
      </c>
      <c r="P289" s="171">
        <f>(INDEX(Models!$BJ289:$BT289,,T289)*(1-R289)+INDEX(Models!$BJ289:$BT289,,T289+1)*R289-ERP_i)*Q289*Ramure*Pc/MaxiM</f>
        <v>3.5419544526181807E-3</v>
      </c>
      <c r="Q289" s="307">
        <f t="shared" si="105"/>
        <v>0.9</v>
      </c>
      <c r="R289" s="179">
        <f t="shared" si="106"/>
        <v>0.55860910691676002</v>
      </c>
      <c r="S289" s="839">
        <f t="shared" si="107"/>
        <v>-2</v>
      </c>
      <c r="T289" s="178">
        <f t="shared" si="108"/>
        <v>4</v>
      </c>
      <c r="U289" s="253">
        <f t="shared" si="109"/>
        <v>-1.44139089308324</v>
      </c>
      <c r="V289" s="385">
        <f t="shared" si="110"/>
        <v>34.111120518483688</v>
      </c>
      <c r="W289" s="404">
        <f t="shared" si="111"/>
        <v>32.80807885214216</v>
      </c>
      <c r="X289" s="157">
        <f t="shared" si="112"/>
        <v>46297</v>
      </c>
      <c r="Y289" s="387">
        <f t="shared" si="113"/>
        <v>27.992935380317803</v>
      </c>
      <c r="Z289" s="387">
        <f t="shared" si="114"/>
        <v>30.005929671852446</v>
      </c>
      <c r="AA289" s="388">
        <f t="shared" si="115"/>
        <v>35.436711951981913</v>
      </c>
      <c r="AB289" s="199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0.1532529961438969</v>
      </c>
      <c r="AD289" s="233">
        <f>(INDEX(Models!$BJ289:$BT289,,AH289)*(1-AF289)+INDEX(Models!$BJ289:$BT289,,AH289+1)*AF289-ERP_i)*AE289*Ramure*Pc/MaxiM</f>
        <v>5.4922187163547659E-2</v>
      </c>
      <c r="AE289" s="307">
        <f t="shared" si="117"/>
        <v>0.9</v>
      </c>
      <c r="AF289" s="179">
        <f t="shared" si="118"/>
        <v>0.19426475922373898</v>
      </c>
      <c r="AG289" s="839">
        <f t="shared" si="124"/>
        <v>3</v>
      </c>
      <c r="AH289" s="178">
        <f t="shared" si="119"/>
        <v>9</v>
      </c>
      <c r="AI289" s="227">
        <f t="shared" si="120"/>
        <v>3.194264759223739</v>
      </c>
      <c r="AJ289" s="267" t="b">
        <f t="shared" si="121"/>
        <v>0</v>
      </c>
      <c r="AK289" s="267" t="b">
        <f t="shared" si="122"/>
        <v>0</v>
      </c>
      <c r="AL289" s="267"/>
      <c r="AM289" s="267"/>
      <c r="AN289" s="75"/>
    </row>
    <row r="290" spans="1:40" s="6" customFormat="1" ht="11.25" x14ac:dyDescent="0.2">
      <c r="A290" s="56">
        <f t="shared" si="123"/>
        <v>46298</v>
      </c>
      <c r="B290" s="413">
        <f>'2025'!Wh/'2025'!Env_an*'2026'!Env_an</f>
        <v>30.958800896381263</v>
      </c>
      <c r="C290" s="868"/>
      <c r="D290" s="395">
        <f t="shared" si="102"/>
        <v>33.185845223855154</v>
      </c>
      <c r="E290" s="387">
        <f t="shared" si="100"/>
        <v>35.159480336895776</v>
      </c>
      <c r="F290" s="387">
        <f t="shared" si="103"/>
        <v>35.270024797421911</v>
      </c>
      <c r="G290" s="110">
        <f t="shared" si="101"/>
        <v>0.91815473232154976</v>
      </c>
      <c r="H290" s="416" t="b">
        <f>Wh_hp&gt;='2025'!Maxi_hp</f>
        <v>0</v>
      </c>
      <c r="I290" s="392">
        <f>IF(H290,Wh_hp,'2025'!Maxi_hp)</f>
        <v>36.035375229537863</v>
      </c>
      <c r="J290" s="85">
        <f>IF(H290,An,'2025'!An_max)</f>
        <v>2018</v>
      </c>
      <c r="K290" s="199">
        <f t="shared" si="104"/>
        <v>46298</v>
      </c>
      <c r="L290" s="147">
        <f>IF(t&lt;Tvie,1-EXP((T0-t)*PertePVj)+'2025'!Pspv,1-EXP((T0-t)*PertePVj)+Pspv)</f>
        <v>6.7108259935865999E-2</v>
      </c>
      <c r="M290" s="872"/>
      <c r="N290" s="872"/>
      <c r="O290" s="48">
        <f>IF(t&lt;Tnet,'2025'!Resal+('2025'!Salim-'2025'!Resal)*(1-EXP(('2025'!Tnet-t)/('2025'!Tau_j))),Resal+(Salim-Resal)*(1-EXP((Tnet-t)/(Tau_j))))*Salcycl</f>
        <v>5.6133796464833553E-2</v>
      </c>
      <c r="P290" s="171">
        <f>(INDEX(Models!$BJ290:$BT290,,T290)*(1-R290)+INDEX(Models!$BJ290:$BT290,,T290+1)*R290-ERP_i)*Q290*Ramure*Pc/MaxiM</f>
        <v>3.5470304308826274E-3</v>
      </c>
      <c r="Q290" s="307">
        <f t="shared" si="105"/>
        <v>0.9</v>
      </c>
      <c r="R290" s="179">
        <f t="shared" si="106"/>
        <v>0.55886513520086334</v>
      </c>
      <c r="S290" s="839">
        <f t="shared" si="107"/>
        <v>-2</v>
      </c>
      <c r="T290" s="178">
        <f t="shared" si="108"/>
        <v>4</v>
      </c>
      <c r="U290" s="253">
        <f t="shared" si="109"/>
        <v>-1.4411348647991367</v>
      </c>
      <c r="V290" s="385">
        <f t="shared" si="110"/>
        <v>33.704537916862662</v>
      </c>
      <c r="W290" s="404">
        <f t="shared" si="111"/>
        <v>30.958800896381263</v>
      </c>
      <c r="X290" s="157">
        <f t="shared" si="112"/>
        <v>46298</v>
      </c>
      <c r="Y290" s="387">
        <f t="shared" si="113"/>
        <v>26.458140162338026</v>
      </c>
      <c r="Z290" s="387">
        <f t="shared" si="114"/>
        <v>28.361426118446598</v>
      </c>
      <c r="AA290" s="388">
        <f t="shared" si="115"/>
        <v>33.494722964942881</v>
      </c>
      <c r="AB290" s="199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0.15325688323707076</v>
      </c>
      <c r="AD290" s="233">
        <f>(INDEX(Models!$BJ290:$BT290,,AH290)*(1-AF290)+INDEX(Models!$BJ290:$BT290,,AH290+1)*AF290-ERP_i)*AE290*Ramure*Pc/MaxiM</f>
        <v>5.6963954537697647E-2</v>
      </c>
      <c r="AE290" s="307">
        <f t="shared" si="117"/>
        <v>0.9</v>
      </c>
      <c r="AF290" s="179">
        <f t="shared" si="118"/>
        <v>0.1945207875078423</v>
      </c>
      <c r="AG290" s="839">
        <f t="shared" si="124"/>
        <v>3</v>
      </c>
      <c r="AH290" s="178">
        <f t="shared" si="119"/>
        <v>9</v>
      </c>
      <c r="AI290" s="227">
        <f t="shared" si="120"/>
        <v>3.1945207875078423</v>
      </c>
      <c r="AJ290" s="267" t="b">
        <f t="shared" si="121"/>
        <v>0</v>
      </c>
      <c r="AK290" s="267" t="b">
        <f t="shared" si="122"/>
        <v>0</v>
      </c>
      <c r="AL290" s="267"/>
      <c r="AM290" s="267"/>
      <c r="AN290" s="75"/>
    </row>
    <row r="291" spans="1:40" s="6" customFormat="1" ht="11.25" x14ac:dyDescent="0.2">
      <c r="A291" s="56">
        <f t="shared" si="123"/>
        <v>46299</v>
      </c>
      <c r="B291" s="413">
        <f>'2025'!Wh/'2025'!Env_an*'2026'!Env_an</f>
        <v>33.108778235865287</v>
      </c>
      <c r="C291" s="868"/>
      <c r="D291" s="395">
        <f t="shared" si="102"/>
        <v>35.491308714083253</v>
      </c>
      <c r="E291" s="387">
        <f t="shared" si="100"/>
        <v>37.608493343138583</v>
      </c>
      <c r="F291" s="387">
        <f t="shared" si="103"/>
        <v>37.741407076489239</v>
      </c>
      <c r="G291" s="110">
        <f t="shared" si="101"/>
        <v>0.99434645467160954</v>
      </c>
      <c r="H291" s="416" t="b">
        <f>Wh_hp&gt;='2025'!Maxi_hp</f>
        <v>0</v>
      </c>
      <c r="I291" s="392">
        <f>IF(H291,Wh_hp,'2025'!Maxi_hp)</f>
        <v>37.74202474277137</v>
      </c>
      <c r="J291" s="85">
        <f>IF(H291,An,'2025'!An_max)</f>
        <v>2025</v>
      </c>
      <c r="K291" s="199">
        <f t="shared" si="104"/>
        <v>46299</v>
      </c>
      <c r="L291" s="147">
        <f>IF(t&lt;Tvie,1-EXP((T0-t)*PertePVj)+'2025'!Pspv,1-EXP((T0-t)*PertePVj)+Pspv)</f>
        <v>6.7129969689524449E-2</v>
      </c>
      <c r="M291" s="872"/>
      <c r="N291" s="872"/>
      <c r="O291" s="48">
        <f>IF(t&lt;Tnet,'2025'!Resal+('2025'!Salim-'2025'!Resal)*(1-EXP(('2025'!Tnet-t)/('2025'!Tau_j))),Resal+(Salim-Resal)*(1-EXP((Tnet-t)/(Tau_j))))*Salcycl</f>
        <v>5.629538545291389E-2</v>
      </c>
      <c r="P291" s="171">
        <f>(INDEX(Models!$BJ291:$BT291,,T291)*(1-R291)+INDEX(Models!$BJ291:$BT291,,T291+1)*R291-ERP_i)*Q291*Ramure*Pc/MaxiM</f>
        <v>3.5502242077486996E-3</v>
      </c>
      <c r="Q291" s="307">
        <f t="shared" si="105"/>
        <v>0.9</v>
      </c>
      <c r="R291" s="179">
        <f t="shared" si="106"/>
        <v>0.55911103255372585</v>
      </c>
      <c r="S291" s="839">
        <f t="shared" si="107"/>
        <v>-2</v>
      </c>
      <c r="T291" s="178">
        <f t="shared" si="108"/>
        <v>4</v>
      </c>
      <c r="U291" s="253">
        <f t="shared" si="109"/>
        <v>-1.4408889674462741</v>
      </c>
      <c r="V291" s="385">
        <f t="shared" si="110"/>
        <v>33.296071185833775</v>
      </c>
      <c r="W291" s="404">
        <f t="shared" si="111"/>
        <v>33.108778235865287</v>
      </c>
      <c r="X291" s="157">
        <f t="shared" si="112"/>
        <v>46299</v>
      </c>
      <c r="Y291" s="387">
        <f t="shared" si="113"/>
        <v>28.066368372860893</v>
      </c>
      <c r="Z291" s="387">
        <f t="shared" si="114"/>
        <v>30.086043565489945</v>
      </c>
      <c r="AA291" s="388">
        <f t="shared" si="115"/>
        <v>35.531522417862014</v>
      </c>
      <c r="AB291" s="199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0.15325768449579802</v>
      </c>
      <c r="AD291" s="233">
        <f>(INDEX(Models!$BJ291:$BT291,,AH291)*(1-AF291)+INDEX(Models!$BJ291:$BT291,,AH291+1)*AF291-ERP_i)*AE291*Ramure*Pc/MaxiM</f>
        <v>5.9027655108390267E-2</v>
      </c>
      <c r="AE291" s="307">
        <f t="shared" si="117"/>
        <v>0.9</v>
      </c>
      <c r="AF291" s="179">
        <f t="shared" si="118"/>
        <v>0.19476668486070459</v>
      </c>
      <c r="AG291" s="839">
        <f t="shared" si="124"/>
        <v>3</v>
      </c>
      <c r="AH291" s="178">
        <f t="shared" si="119"/>
        <v>9</v>
      </c>
      <c r="AI291" s="227">
        <f t="shared" si="120"/>
        <v>3.1947666848607046</v>
      </c>
      <c r="AJ291" s="267" t="b">
        <f t="shared" si="121"/>
        <v>0</v>
      </c>
      <c r="AK291" s="267" t="b">
        <f t="shared" si="122"/>
        <v>0</v>
      </c>
      <c r="AL291" s="267"/>
      <c r="AM291" s="267"/>
      <c r="AN291" s="75"/>
    </row>
    <row r="292" spans="1:40" s="6" customFormat="1" ht="11.25" x14ac:dyDescent="0.2">
      <c r="A292" s="56">
        <f t="shared" si="123"/>
        <v>46300</v>
      </c>
      <c r="B292" s="413">
        <f>'2025'!Wh/'2025'!Env_an*'2026'!Env_an</f>
        <v>33.44534186536999</v>
      </c>
      <c r="C292" s="868"/>
      <c r="D292" s="395">
        <f t="shared" si="102"/>
        <v>35.852926044067843</v>
      </c>
      <c r="E292" s="387">
        <f t="shared" si="100"/>
        <v>37.998128110098357</v>
      </c>
      <c r="F292" s="387">
        <f t="shared" si="103"/>
        <v>38.133553863021795</v>
      </c>
      <c r="G292" s="110">
        <f t="shared" si="101"/>
        <v>1.0169866760164805</v>
      </c>
      <c r="H292" s="416" t="b">
        <f>Wh_hp&gt;='2025'!Maxi_hp</f>
        <v>1</v>
      </c>
      <c r="I292" s="392">
        <f>IF(H292,Wh_hp,'2025'!Maxi_hp)</f>
        <v>38.133553863021795</v>
      </c>
      <c r="J292" s="85">
        <f>IF(H292,An,'2025'!An_max)</f>
        <v>2026</v>
      </c>
      <c r="K292" s="199">
        <f t="shared" si="104"/>
        <v>46300</v>
      </c>
      <c r="L292" s="147">
        <f>IF(t&lt;Tvie,1-EXP((T0-t)*PertePVj)+'2025'!Pspv,1-EXP((T0-t)*PertePVj)+Pspv)</f>
        <v>6.7151678937965142E-2</v>
      </c>
      <c r="M292" s="872"/>
      <c r="N292" s="872"/>
      <c r="O292" s="48">
        <f>IF(t&lt;Tnet,'2025'!Resal+('2025'!Salim-'2025'!Resal)*(1-EXP(('2025'!Tnet-t)/('2025'!Tau_j))),Resal+(Salim-Resal)*(1-EXP((Tnet-t)/(Tau_j))))*Salcycl</f>
        <v>5.6455466959184374E-2</v>
      </c>
      <c r="P292" s="171">
        <f>(INDEX(Models!$BJ292:$BT292,,T292)*(1-R292)+INDEX(Models!$BJ292:$BT292,,T292+1)*R292-ERP_i)*Q292*Ramure*Pc/MaxiM</f>
        <v>3.5513541016894646E-3</v>
      </c>
      <c r="Q292" s="307">
        <f t="shared" si="105"/>
        <v>0.9</v>
      </c>
      <c r="R292" s="179">
        <f t="shared" si="106"/>
        <v>0.55934719304330027</v>
      </c>
      <c r="S292" s="839">
        <f t="shared" si="107"/>
        <v>-2</v>
      </c>
      <c r="T292" s="178">
        <f t="shared" si="108"/>
        <v>4</v>
      </c>
      <c r="U292" s="253">
        <f t="shared" si="109"/>
        <v>-1.4406528069566997</v>
      </c>
      <c r="V292" s="385">
        <f t="shared" si="110"/>
        <v>32.886706044542116</v>
      </c>
      <c r="W292" s="404">
        <f t="shared" si="111"/>
        <v>33.44534186536999</v>
      </c>
      <c r="X292" s="157">
        <f t="shared" si="112"/>
        <v>46300</v>
      </c>
      <c r="Y292" s="387">
        <f t="shared" si="113"/>
        <v>28.28031724110263</v>
      </c>
      <c r="Z292" s="387">
        <f t="shared" si="114"/>
        <v>30.31609384139308</v>
      </c>
      <c r="AA292" s="388">
        <f t="shared" si="115"/>
        <v>35.803112911567943</v>
      </c>
      <c r="AB292" s="199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0.1532553631224064</v>
      </c>
      <c r="AD292" s="233">
        <f>(INDEX(Models!$BJ292:$BT292,,AH292)*(1-AF292)+INDEX(Models!$BJ292:$BT292,,AH292+1)*AF292-ERP_i)*AE292*Ramure*Pc/MaxiM</f>
        <v>6.1112608592027634E-2</v>
      </c>
      <c r="AE292" s="307">
        <f t="shared" si="117"/>
        <v>0.9</v>
      </c>
      <c r="AF292" s="179">
        <f t="shared" si="118"/>
        <v>0.19500284535027923</v>
      </c>
      <c r="AG292" s="839">
        <f t="shared" si="124"/>
        <v>3</v>
      </c>
      <c r="AH292" s="178">
        <f t="shared" si="119"/>
        <v>9</v>
      </c>
      <c r="AI292" s="227">
        <f t="shared" si="120"/>
        <v>3.1950028453502792</v>
      </c>
      <c r="AJ292" s="267" t="b">
        <f t="shared" si="121"/>
        <v>0</v>
      </c>
      <c r="AK292" s="267" t="b">
        <f t="shared" si="122"/>
        <v>0</v>
      </c>
      <c r="AL292" s="267"/>
      <c r="AM292" s="267"/>
      <c r="AN292" s="75"/>
    </row>
    <row r="293" spans="1:40" s="6" customFormat="1" ht="11.25" x14ac:dyDescent="0.2">
      <c r="A293" s="56">
        <f t="shared" si="123"/>
        <v>46301</v>
      </c>
      <c r="B293" s="413">
        <f>'2025'!Wh/'2025'!Env_an*'2026'!Env_an</f>
        <v>14.375214576017269</v>
      </c>
      <c r="C293" s="868"/>
      <c r="D293" s="395">
        <f t="shared" si="102"/>
        <v>15.410382150530284</v>
      </c>
      <c r="E293" s="387">
        <f t="shared" si="100"/>
        <v>16.335182519946017</v>
      </c>
      <c r="F293" s="387">
        <f t="shared" si="103"/>
        <v>16.34700700419129</v>
      </c>
      <c r="G293" s="110">
        <f t="shared" si="101"/>
        <v>0.44136956794178933</v>
      </c>
      <c r="H293" s="416" t="b">
        <f>Wh_hp&gt;='2025'!Maxi_hp</f>
        <v>0</v>
      </c>
      <c r="I293" s="392">
        <f>IF(H293,Wh_hp,'2025'!Maxi_hp)</f>
        <v>33.977858149363783</v>
      </c>
      <c r="J293" s="85">
        <f>IF(H293,An,'2025'!An_max)</f>
        <v>2018</v>
      </c>
      <c r="K293" s="199">
        <f t="shared" si="104"/>
        <v>46301</v>
      </c>
      <c r="L293" s="147">
        <f>IF(t&lt;Tvie,1-EXP((T0-t)*PertePVj)+'2025'!Pspv,1-EXP((T0-t)*PertePVj)+Pspv)</f>
        <v>6.7173387681199959E-2</v>
      </c>
      <c r="M293" s="872"/>
      <c r="N293" s="872"/>
      <c r="O293" s="48">
        <f>IF(t&lt;Tnet,'2025'!Resal+('2025'!Salim-'2025'!Resal)*(1-EXP(('2025'!Tnet-t)/('2025'!Tau_j))),Resal+(Salim-Resal)*(1-EXP((Tnet-t)/(Tau_j))))*Salcycl</f>
        <v>5.6614021195447832E-2</v>
      </c>
      <c r="P293" s="171">
        <f>(INDEX(Models!$BJ293:$BT293,,T293)*(1-R293)+INDEX(Models!$BJ293:$BT293,,T293+1)*R293-ERP_i)*Q293*Ramure*Pc/MaxiM</f>
        <v>3.550228809954736E-3</v>
      </c>
      <c r="Q293" s="307">
        <f t="shared" si="105"/>
        <v>0.9</v>
      </c>
      <c r="R293" s="179">
        <f t="shared" si="106"/>
        <v>0.55957399594275503</v>
      </c>
      <c r="S293" s="839">
        <f t="shared" si="107"/>
        <v>-2</v>
      </c>
      <c r="T293" s="178">
        <f t="shared" si="108"/>
        <v>4</v>
      </c>
      <c r="U293" s="253">
        <f t="shared" si="109"/>
        <v>-1.440426004057245</v>
      </c>
      <c r="V293" s="385">
        <f t="shared" si="110"/>
        <v>32.47742731600421</v>
      </c>
      <c r="W293" s="404">
        <f t="shared" si="111"/>
        <v>14.375214576017269</v>
      </c>
      <c r="X293" s="157">
        <f t="shared" si="112"/>
        <v>46301</v>
      </c>
      <c r="Y293" s="387">
        <f t="shared" si="113"/>
        <v>12.745716083040159</v>
      </c>
      <c r="Z293" s="387">
        <f t="shared" si="114"/>
        <v>13.663542521966795</v>
      </c>
      <c r="AA293" s="388">
        <f t="shared" si="115"/>
        <v>16.136452002815361</v>
      </c>
      <c r="AB293" s="199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0.15324988915885052</v>
      </c>
      <c r="AD293" s="233">
        <f>(INDEX(Models!$BJ293:$BT293,,AH293)*(1-AF293)+INDEX(Models!$BJ293:$BT293,,AH293+1)*AF293-ERP_i)*AE293*Ramure*Pc/MaxiM</f>
        <v>6.3217846669611083E-2</v>
      </c>
      <c r="AE293" s="307">
        <f t="shared" si="117"/>
        <v>0.9</v>
      </c>
      <c r="AF293" s="179">
        <f t="shared" si="118"/>
        <v>0.19522964824973421</v>
      </c>
      <c r="AG293" s="839">
        <f t="shared" si="124"/>
        <v>3</v>
      </c>
      <c r="AH293" s="178">
        <f t="shared" si="119"/>
        <v>9</v>
      </c>
      <c r="AI293" s="227">
        <f t="shared" si="120"/>
        <v>3.1952296482497342</v>
      </c>
      <c r="AJ293" s="267" t="b">
        <f t="shared" si="121"/>
        <v>0</v>
      </c>
      <c r="AK293" s="267" t="b">
        <f t="shared" si="122"/>
        <v>0</v>
      </c>
      <c r="AL293" s="267"/>
      <c r="AM293" s="267"/>
      <c r="AN293" s="75"/>
    </row>
    <row r="294" spans="1:40" s="6" customFormat="1" ht="11.25" x14ac:dyDescent="0.2">
      <c r="A294" s="56">
        <f t="shared" si="123"/>
        <v>46302</v>
      </c>
      <c r="B294" s="413">
        <f>'2025'!Wh/'2025'!Env_an*'2026'!Env_an</f>
        <v>24.69178445179725</v>
      </c>
      <c r="C294" s="868"/>
      <c r="D294" s="395">
        <f t="shared" si="102"/>
        <v>26.47047023850071</v>
      </c>
      <c r="E294" s="387">
        <f t="shared" si="100"/>
        <v>28.063673942712619</v>
      </c>
      <c r="F294" s="387">
        <f t="shared" si="103"/>
        <v>28.130655317573439</v>
      </c>
      <c r="G294" s="110">
        <f t="shared" si="101"/>
        <v>0.76905321267398707</v>
      </c>
      <c r="H294" s="416" t="b">
        <f>Wh_hp&gt;='2025'!Maxi_hp</f>
        <v>0</v>
      </c>
      <c r="I294" s="392">
        <f>IF(H294,Wh_hp,'2025'!Maxi_hp)</f>
        <v>36.648914494338172</v>
      </c>
      <c r="J294" s="85">
        <f>IF(H294,An,'2025'!An_max)</f>
        <v>2021</v>
      </c>
      <c r="K294" s="199">
        <f t="shared" si="104"/>
        <v>46302</v>
      </c>
      <c r="L294" s="147">
        <f>IF(t&lt;Tvie,1-EXP((T0-t)*PertePVj)+'2025'!Pspv,1-EXP((T0-t)*PertePVj)+Pspv)</f>
        <v>6.7195095919240555E-2</v>
      </c>
      <c r="M294" s="872"/>
      <c r="N294" s="872"/>
      <c r="O294" s="48">
        <f>IF(t&lt;Tnet,'2025'!Resal+('2025'!Salim-'2025'!Resal)*(1-EXP(('2025'!Tnet-t)/('2025'!Tau_j))),Resal+(Salim-Resal)*(1-EXP((Tnet-t)/(Tau_j))))*Salcycl</f>
        <v>5.6771031029799336E-2</v>
      </c>
      <c r="P294" s="171">
        <f>(INDEX(Models!$BJ294:$BT294,,T294)*(1-R294)+INDEX(Models!$BJ294:$BT294,,T294+1)*R294-ERP_i)*Q294*Ramure*Pc/MaxiM</f>
        <v>3.5466474495703809E-3</v>
      </c>
      <c r="Q294" s="307">
        <f t="shared" si="105"/>
        <v>0.9</v>
      </c>
      <c r="R294" s="179">
        <f t="shared" si="106"/>
        <v>0.55979180624388691</v>
      </c>
      <c r="S294" s="839">
        <f t="shared" si="107"/>
        <v>-2</v>
      </c>
      <c r="T294" s="178">
        <f t="shared" si="108"/>
        <v>4</v>
      </c>
      <c r="U294" s="253">
        <f t="shared" si="109"/>
        <v>-1.4402081937561131</v>
      </c>
      <c r="V294" s="385">
        <f t="shared" si="110"/>
        <v>32.069218935946594</v>
      </c>
      <c r="W294" s="404">
        <f t="shared" si="111"/>
        <v>24.69178445179725</v>
      </c>
      <c r="X294" s="157">
        <f t="shared" si="112"/>
        <v>46302</v>
      </c>
      <c r="Y294" s="387">
        <f t="shared" si="113"/>
        <v>21.244580461656838</v>
      </c>
      <c r="Z294" s="387">
        <f t="shared" si="114"/>
        <v>22.774945080925033</v>
      </c>
      <c r="AA294" s="388">
        <f t="shared" si="115"/>
        <v>26.89661584635903</v>
      </c>
      <c r="AB294" s="199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0.15324124004960807</v>
      </c>
      <c r="AD294" s="233">
        <f>(INDEX(Models!$BJ294:$BT294,,AH294)*(1-AF294)+INDEX(Models!$BJ294:$BT294,,AH294+1)*AF294-ERP_i)*AE294*Ramure*Pc/MaxiM</f>
        <v>6.5342088787308308E-2</v>
      </c>
      <c r="AE294" s="307">
        <f t="shared" si="117"/>
        <v>0.9</v>
      </c>
      <c r="AF294" s="179">
        <f t="shared" si="118"/>
        <v>0.19544745855086587</v>
      </c>
      <c r="AG294" s="839">
        <f t="shared" si="124"/>
        <v>3</v>
      </c>
      <c r="AH294" s="178">
        <f t="shared" si="119"/>
        <v>9</v>
      </c>
      <c r="AI294" s="227">
        <f t="shared" si="120"/>
        <v>3.1954474585508659</v>
      </c>
      <c r="AJ294" s="267" t="b">
        <f t="shared" si="121"/>
        <v>0</v>
      </c>
      <c r="AK294" s="267" t="b">
        <f t="shared" si="122"/>
        <v>0</v>
      </c>
      <c r="AL294" s="267"/>
      <c r="AM294" s="267"/>
      <c r="AN294" s="75"/>
    </row>
    <row r="295" spans="1:40" s="6" customFormat="1" ht="11.25" x14ac:dyDescent="0.2">
      <c r="A295" s="56">
        <f t="shared" si="123"/>
        <v>46303</v>
      </c>
      <c r="B295" s="413">
        <f>'2025'!Wh/'2025'!Env_an*'2026'!Env_an</f>
        <v>15.127170983821582</v>
      </c>
      <c r="C295" s="868"/>
      <c r="D295" s="395">
        <f t="shared" si="102"/>
        <v>16.217242166291751</v>
      </c>
      <c r="E295" s="387">
        <f t="shared" si="100"/>
        <v>17.196159006340633</v>
      </c>
      <c r="F295" s="387">
        <f t="shared" si="103"/>
        <v>17.211632803878846</v>
      </c>
      <c r="G295" s="110">
        <f t="shared" si="101"/>
        <v>0.47649142904924779</v>
      </c>
      <c r="H295" s="416" t="b">
        <f>Wh_hp&gt;='2025'!Maxi_hp</f>
        <v>0</v>
      </c>
      <c r="I295" s="392">
        <f>IF(H295,Wh_hp,'2025'!Maxi_hp)</f>
        <v>35.752420228658309</v>
      </c>
      <c r="J295" s="85">
        <f>IF(H295,An,'2025'!An_max)</f>
        <v>2021</v>
      </c>
      <c r="K295" s="199">
        <f t="shared" si="104"/>
        <v>46303</v>
      </c>
      <c r="L295" s="147">
        <f>IF(t&lt;Tvie,1-EXP((T0-t)*PertePVj)+'2025'!Pspv,1-EXP((T0-t)*PertePVj)+Pspv)</f>
        <v>6.7216803652098811E-2</v>
      </c>
      <c r="M295" s="872"/>
      <c r="N295" s="872"/>
      <c r="O295" s="48">
        <f>IF(t&lt;Tnet,'2025'!Resal+('2025'!Salim-'2025'!Resal)*(1-EXP(('2025'!Tnet-t)/('2025'!Tau_j))),Resal+(Salim-Resal)*(1-EXP((Tnet-t)/(Tau_j))))*Salcycl</f>
        <v>5.692648222710258E-2</v>
      </c>
      <c r="P295" s="171">
        <f>(INDEX(Models!$BJ295:$BT295,,T295)*(1-R295)+INDEX(Models!$BJ295:$BT295,,T295+1)*R295-ERP_i)*Q295*Ramure*Pc/MaxiM</f>
        <v>3.540399721675247E-3</v>
      </c>
      <c r="Q295" s="307">
        <f t="shared" si="105"/>
        <v>0.9</v>
      </c>
      <c r="R295" s="179">
        <f t="shared" si="106"/>
        <v>0.56000097515609282</v>
      </c>
      <c r="S295" s="839">
        <f t="shared" si="107"/>
        <v>-2</v>
      </c>
      <c r="T295" s="178">
        <f t="shared" si="108"/>
        <v>4</v>
      </c>
      <c r="U295" s="253">
        <f t="shared" si="109"/>
        <v>-1.4399990248439072</v>
      </c>
      <c r="V295" s="385">
        <f t="shared" si="110"/>
        <v>31.663063968606146</v>
      </c>
      <c r="W295" s="404">
        <f t="shared" si="111"/>
        <v>15.127170983821582</v>
      </c>
      <c r="X295" s="157">
        <f t="shared" si="112"/>
        <v>46303</v>
      </c>
      <c r="Y295" s="387">
        <f t="shared" si="113"/>
        <v>13.361701759830236</v>
      </c>
      <c r="Z295" s="387">
        <f t="shared" si="114"/>
        <v>14.324552384889561</v>
      </c>
      <c r="AA295" s="388">
        <f t="shared" si="115"/>
        <v>16.916686059853866</v>
      </c>
      <c r="AB295" s="199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0.15322940118371489</v>
      </c>
      <c r="AD295" s="233">
        <f>(INDEX(Models!$BJ295:$BT295,,AH295)*(1-AF295)+INDEX(Models!$BJ295:$BT295,,AH295+1)*AF295-ERP_i)*AE295*Ramure*Pc/MaxiM</f>
        <v>6.7483716771926758E-2</v>
      </c>
      <c r="AE295" s="307">
        <f t="shared" si="117"/>
        <v>0.9</v>
      </c>
      <c r="AF295" s="179">
        <f t="shared" si="118"/>
        <v>0.19565662746307177</v>
      </c>
      <c r="AG295" s="839">
        <f t="shared" si="124"/>
        <v>3</v>
      </c>
      <c r="AH295" s="178">
        <f t="shared" si="119"/>
        <v>9</v>
      </c>
      <c r="AI295" s="227">
        <f t="shared" si="120"/>
        <v>3.1956566274630718</v>
      </c>
      <c r="AJ295" s="267" t="b">
        <f t="shared" si="121"/>
        <v>0</v>
      </c>
      <c r="AK295" s="267" t="b">
        <f t="shared" si="122"/>
        <v>0</v>
      </c>
      <c r="AL295" s="267"/>
      <c r="AM295" s="267"/>
      <c r="AN295" s="75"/>
    </row>
    <row r="296" spans="1:40" s="6" customFormat="1" ht="11.25" x14ac:dyDescent="0.2">
      <c r="A296" s="56">
        <f t="shared" si="123"/>
        <v>46304</v>
      </c>
      <c r="B296" s="413">
        <f>'2025'!Wh/'2025'!Env_an*'2026'!Env_an</f>
        <v>30.567878724024993</v>
      </c>
      <c r="C296" s="868"/>
      <c r="D296" s="395">
        <f t="shared" si="102"/>
        <v>32.771377335546738</v>
      </c>
      <c r="E296" s="387">
        <f t="shared" si="100"/>
        <v>34.755217807897353</v>
      </c>
      <c r="F296" s="387">
        <f t="shared" si="103"/>
        <v>34.874805359856978</v>
      </c>
      <c r="G296" s="110">
        <f t="shared" si="101"/>
        <v>0.97776064233261273</v>
      </c>
      <c r="H296" s="416" t="b">
        <f>Wh_hp&gt;='2025'!Maxi_hp</f>
        <v>0</v>
      </c>
      <c r="I296" s="392">
        <f>IF(H296,Wh_hp,'2025'!Maxi_hp)</f>
        <v>34.877052862366412</v>
      </c>
      <c r="J296" s="85">
        <f>IF(H296,An,'2025'!An_max)</f>
        <v>2025</v>
      </c>
      <c r="K296" s="199">
        <f t="shared" si="104"/>
        <v>46304</v>
      </c>
      <c r="L296" s="147">
        <f>IF(t&lt;Tvie,1-EXP((T0-t)*PertePVj)+'2025'!Pspv,1-EXP((T0-t)*PertePVj)+Pspv)</f>
        <v>6.7238510879786384E-2</v>
      </c>
      <c r="M296" s="872"/>
      <c r="N296" s="872"/>
      <c r="O296" s="48">
        <f>IF(t&lt;Tnet,'2025'!Resal+('2025'!Salim-'2025'!Resal)*(1-EXP(('2025'!Tnet-t)/('2025'!Tau_j))),Resal+(Salim-Resal)*(1-EXP((Tnet-t)/(Tau_j))))*Salcycl</f>
        <v>5.7080363682826145E-2</v>
      </c>
      <c r="P296" s="171">
        <f>(INDEX(Models!$BJ296:$BT296,,T296)*(1-R296)+INDEX(Models!$BJ296:$BT296,,T296+1)*R296-ERP_i)*Q296*Ramure*Pc/MaxiM</f>
        <v>3.5409965058246133E-3</v>
      </c>
      <c r="Q296" s="307">
        <f t="shared" si="105"/>
        <v>0.9</v>
      </c>
      <c r="R296" s="179">
        <f t="shared" si="106"/>
        <v>0.56020184059102029</v>
      </c>
      <c r="S296" s="839">
        <f t="shared" si="107"/>
        <v>-2</v>
      </c>
      <c r="T296" s="178">
        <f t="shared" si="108"/>
        <v>4</v>
      </c>
      <c r="U296" s="253">
        <f t="shared" si="109"/>
        <v>-1.4397981594089797</v>
      </c>
      <c r="V296" s="385">
        <f t="shared" si="110"/>
        <v>31.259639371378285</v>
      </c>
      <c r="W296" s="404">
        <f t="shared" si="111"/>
        <v>30.567878724024993</v>
      </c>
      <c r="X296" s="157">
        <f t="shared" si="112"/>
        <v>46304</v>
      </c>
      <c r="Y296" s="387">
        <f t="shared" si="113"/>
        <v>25.687996868808845</v>
      </c>
      <c r="Z296" s="387">
        <f t="shared" si="114"/>
        <v>27.539727109700813</v>
      </c>
      <c r="AA296" s="388">
        <f t="shared" si="115"/>
        <v>32.522666915076982</v>
      </c>
      <c r="AB296" s="199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0.15321436641058975</v>
      </c>
      <c r="AD296" s="233">
        <f>(INDEX(Models!$BJ296:$BT296,,AH296)*(1-AF296)+INDEX(Models!$BJ296:$BT296,,AH296+1)*AF296-ERP_i)*AE296*Ramure*Pc/MaxiM</f>
        <v>6.964699818417161E-2</v>
      </c>
      <c r="AE296" s="307">
        <f t="shared" si="117"/>
        <v>0.9</v>
      </c>
      <c r="AF296" s="179">
        <f t="shared" si="118"/>
        <v>0.19585749289799903</v>
      </c>
      <c r="AG296" s="839">
        <f t="shared" si="124"/>
        <v>3</v>
      </c>
      <c r="AH296" s="178">
        <f t="shared" si="119"/>
        <v>9</v>
      </c>
      <c r="AI296" s="227">
        <f t="shared" si="120"/>
        <v>3.195857492897999</v>
      </c>
      <c r="AJ296" s="267" t="b">
        <f t="shared" si="121"/>
        <v>0</v>
      </c>
      <c r="AK296" s="267" t="b">
        <f t="shared" si="122"/>
        <v>0</v>
      </c>
      <c r="AL296" s="267"/>
      <c r="AM296" s="267"/>
      <c r="AN296" s="75"/>
    </row>
    <row r="297" spans="1:40" s="6" customFormat="1" ht="11.25" x14ac:dyDescent="0.2">
      <c r="A297" s="56">
        <f t="shared" si="123"/>
        <v>46305</v>
      </c>
      <c r="B297" s="413">
        <f>'2025'!Wh/'2025'!Env_an*'2026'!Env_an</f>
        <v>26.12006963748815</v>
      </c>
      <c r="C297" s="868"/>
      <c r="D297" s="395">
        <f t="shared" si="102"/>
        <v>28.003597713334738</v>
      </c>
      <c r="E297" s="387">
        <f t="shared" ref="E297:E360" si="125">Wh_pvt/(1-Psa)</f>
        <v>29.703614828775869</v>
      </c>
      <c r="F297" s="387">
        <f t="shared" si="103"/>
        <v>29.786163952364547</v>
      </c>
      <c r="G297" s="110">
        <f t="shared" ref="G297:G360" si="126">+Wh_hp/MaxiM</f>
        <v>0.84574773049135499</v>
      </c>
      <c r="H297" s="416" t="b">
        <f>Wh_hp&gt;='2025'!Maxi_hp</f>
        <v>0</v>
      </c>
      <c r="I297" s="392">
        <f>IF(H297,Wh_hp,'2025'!Maxi_hp)</f>
        <v>29.799578792534557</v>
      </c>
      <c r="J297" s="85">
        <f>IF(H297,An,'2025'!An_max)</f>
        <v>2025</v>
      </c>
      <c r="K297" s="199">
        <f t="shared" si="104"/>
        <v>46305</v>
      </c>
      <c r="L297" s="147">
        <f>IF(t&lt;Tvie,1-EXP((T0-t)*PertePVj)+'2025'!Pspv,1-EXP((T0-t)*PertePVj)+Pspv)</f>
        <v>6.7260217602315042E-2</v>
      </c>
      <c r="M297" s="872"/>
      <c r="N297" s="872"/>
      <c r="O297" s="48">
        <f>IF(t&lt;Tnet,'2025'!Resal+('2025'!Salim-'2025'!Resal)*(1-EXP(('2025'!Tnet-t)/('2025'!Tau_j))),Resal+(Salim-Resal)*(1-EXP((Tnet-t)/(Tau_j))))*Salcycl</f>
        <v>5.7232667648053751E-2</v>
      </c>
      <c r="P297" s="171">
        <f>(INDEX(Models!$BJ297:$BT297,,T297)*(1-R297)+INDEX(Models!$BJ297:$BT297,,T297+1)*R297-ERP_i)*Q297*Ramure*Pc/MaxiM</f>
        <v>3.5504070219664558E-3</v>
      </c>
      <c r="Q297" s="307">
        <f t="shared" si="105"/>
        <v>0.9</v>
      </c>
      <c r="R297" s="179">
        <f t="shared" si="106"/>
        <v>0.56039472763304765</v>
      </c>
      <c r="S297" s="839">
        <f t="shared" si="107"/>
        <v>-2</v>
      </c>
      <c r="T297" s="178">
        <f t="shared" si="108"/>
        <v>4</v>
      </c>
      <c r="U297" s="253">
        <f t="shared" si="109"/>
        <v>-1.4396052723669523</v>
      </c>
      <c r="V297" s="385">
        <f t="shared" si="110"/>
        <v>30.859870159590201</v>
      </c>
      <c r="W297" s="404">
        <f t="shared" si="111"/>
        <v>26.12006963748815</v>
      </c>
      <c r="X297" s="157">
        <f t="shared" si="112"/>
        <v>46305</v>
      </c>
      <c r="Y297" s="387">
        <f t="shared" si="113"/>
        <v>22.207139778298416</v>
      </c>
      <c r="Z297" s="387">
        <f t="shared" si="114"/>
        <v>23.808505005772481</v>
      </c>
      <c r="AA297" s="388">
        <f t="shared" si="115"/>
        <v>28.115725599413409</v>
      </c>
      <c r="AB297" s="199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0.15319613852437056</v>
      </c>
      <c r="AD297" s="233">
        <f>(INDEX(Models!$BJ297:$BT297,,AH297)*(1-AF297)+INDEX(Models!$BJ297:$BT297,,AH297+1)*AF297-ERP_i)*AE297*Ramure*Pc/MaxiM</f>
        <v>7.18449306334418E-2</v>
      </c>
      <c r="AE297" s="307">
        <f t="shared" si="117"/>
        <v>0.9</v>
      </c>
      <c r="AF297" s="179">
        <f t="shared" si="118"/>
        <v>0.19605037994002661</v>
      </c>
      <c r="AG297" s="839">
        <f t="shared" si="124"/>
        <v>3</v>
      </c>
      <c r="AH297" s="178">
        <f t="shared" si="119"/>
        <v>9</v>
      </c>
      <c r="AI297" s="227">
        <f t="shared" si="120"/>
        <v>3.1960503799400266</v>
      </c>
      <c r="AJ297" s="267" t="b">
        <f t="shared" si="121"/>
        <v>0</v>
      </c>
      <c r="AK297" s="267" t="b">
        <f t="shared" si="122"/>
        <v>0</v>
      </c>
      <c r="AL297" s="267"/>
      <c r="AM297" s="267"/>
      <c r="AN297" s="75"/>
    </row>
    <row r="298" spans="1:40" s="6" customFormat="1" ht="11.25" x14ac:dyDescent="0.2">
      <c r="A298" s="56">
        <f t="shared" si="123"/>
        <v>46306</v>
      </c>
      <c r="B298" s="413">
        <f>'2025'!Wh/'2025'!Env_an*'2026'!Env_an</f>
        <v>22.590008496472286</v>
      </c>
      <c r="C298" s="868"/>
      <c r="D298" s="395">
        <f t="shared" si="102"/>
        <v>24.219546155879815</v>
      </c>
      <c r="E298" s="387">
        <f t="shared" si="125"/>
        <v>25.693952236241326</v>
      </c>
      <c r="F298" s="387">
        <f t="shared" si="103"/>
        <v>25.751920046555146</v>
      </c>
      <c r="G298" s="110">
        <f t="shared" si="126"/>
        <v>0.74053392638754445</v>
      </c>
      <c r="H298" s="416" t="b">
        <f>Wh_hp&gt;='2025'!Maxi_hp</f>
        <v>0</v>
      </c>
      <c r="I298" s="392">
        <f>IF(H298,Wh_hp,'2025'!Maxi_hp)</f>
        <v>35.147507739823403</v>
      </c>
      <c r="J298" s="85">
        <f>IF(H298,An,'2025'!An_max)</f>
        <v>2019</v>
      </c>
      <c r="K298" s="199">
        <f t="shared" si="104"/>
        <v>46306</v>
      </c>
      <c r="L298" s="147">
        <f>IF(t&lt;Tvie,1-EXP((T0-t)*PertePVj)+'2025'!Pspv,1-EXP((T0-t)*PertePVj)+Pspv)</f>
        <v>6.7281923819696554E-2</v>
      </c>
      <c r="M298" s="872"/>
      <c r="N298" s="872"/>
      <c r="O298" s="48">
        <f>IF(t&lt;Tnet,'2025'!Resal+('2025'!Salim-'2025'!Resal)*(1-EXP(('2025'!Tnet-t)/('2025'!Tau_j))),Resal+(Salim-Resal)*(1-EXP((Tnet-t)/(Tau_j))))*Salcycl</f>
        <v>5.7383389943484929E-2</v>
      </c>
      <c r="P298" s="171">
        <f>(INDEX(Models!$BJ298:$BT298,,T298)*(1-R298)+INDEX(Models!$BJ298:$BT298,,T298+1)*R298-ERP_i)*Q298*Ramure*Pc/MaxiM</f>
        <v>3.5688762026465808E-3</v>
      </c>
      <c r="Q298" s="307">
        <f t="shared" si="105"/>
        <v>0.9</v>
      </c>
      <c r="R298" s="179">
        <f t="shared" si="106"/>
        <v>0.5605799489957608</v>
      </c>
      <c r="S298" s="839">
        <f t="shared" si="107"/>
        <v>-2</v>
      </c>
      <c r="T298" s="178">
        <f t="shared" si="108"/>
        <v>4</v>
      </c>
      <c r="U298" s="253">
        <f t="shared" si="109"/>
        <v>-1.4394200510042392</v>
      </c>
      <c r="V298" s="385">
        <f t="shared" si="110"/>
        <v>30.464736188114621</v>
      </c>
      <c r="W298" s="404">
        <f t="shared" si="111"/>
        <v>22.590008496472286</v>
      </c>
      <c r="X298" s="157">
        <f t="shared" si="112"/>
        <v>46306</v>
      </c>
      <c r="Y298" s="387">
        <f t="shared" si="113"/>
        <v>19.389803608971754</v>
      </c>
      <c r="Z298" s="387">
        <f t="shared" si="114"/>
        <v>20.788493440995044</v>
      </c>
      <c r="AA298" s="388">
        <f t="shared" si="115"/>
        <v>24.548740065250229</v>
      </c>
      <c r="AB298" s="199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0.15317472971160639</v>
      </c>
      <c r="AD298" s="233">
        <f>(INDEX(Models!$BJ298:$BT298,,AH298)*(1-AF298)+INDEX(Models!$BJ298:$BT298,,AH298+1)*AF298-ERP_i)*AE298*Ramure*Pc/MaxiM</f>
        <v>7.4075601261002377E-2</v>
      </c>
      <c r="AE298" s="307">
        <f t="shared" si="117"/>
        <v>0.9</v>
      </c>
      <c r="AF298" s="179">
        <f t="shared" si="118"/>
        <v>0.19623560130273976</v>
      </c>
      <c r="AG298" s="839">
        <f t="shared" si="124"/>
        <v>3</v>
      </c>
      <c r="AH298" s="178">
        <f t="shared" si="119"/>
        <v>9</v>
      </c>
      <c r="AI298" s="227">
        <f t="shared" si="120"/>
        <v>3.1962356013027398</v>
      </c>
      <c r="AJ298" s="267" t="b">
        <f t="shared" si="121"/>
        <v>0</v>
      </c>
      <c r="AK298" s="267" t="b">
        <f t="shared" si="122"/>
        <v>0</v>
      </c>
      <c r="AL298" s="267"/>
      <c r="AM298" s="267"/>
      <c r="AN298" s="75"/>
    </row>
    <row r="299" spans="1:40" s="6" customFormat="1" ht="11.25" x14ac:dyDescent="0.2">
      <c r="A299" s="56">
        <f t="shared" si="123"/>
        <v>46307</v>
      </c>
      <c r="B299" s="413">
        <f>'2025'!Wh/'2025'!Env_an*'2026'!Env_an</f>
        <v>24.380708259214902</v>
      </c>
      <c r="C299" s="868"/>
      <c r="D299" s="395">
        <f t="shared" si="102"/>
        <v>26.140026948941458</v>
      </c>
      <c r="E299" s="387">
        <f t="shared" si="125"/>
        <v>27.735733895819905</v>
      </c>
      <c r="F299" s="387">
        <f t="shared" si="103"/>
        <v>27.808698267337949</v>
      </c>
      <c r="G299" s="110">
        <f t="shared" si="126"/>
        <v>0.80986705345973053</v>
      </c>
      <c r="H299" s="416" t="b">
        <f>Wh_hp&gt;='2025'!Maxi_hp</f>
        <v>0</v>
      </c>
      <c r="I299" s="392">
        <f>IF(H299,Wh_hp,'2025'!Maxi_hp)</f>
        <v>33.883133366229487</v>
      </c>
      <c r="J299" s="85">
        <f>IF(H299,An,'2025'!An_max)</f>
        <v>2021</v>
      </c>
      <c r="K299" s="199">
        <f t="shared" si="104"/>
        <v>46307</v>
      </c>
      <c r="L299" s="147">
        <f>IF(t&lt;Tvie,1-EXP((T0-t)*PertePVj)+'2025'!Pspv,1-EXP((T0-t)*PertePVj)+Pspv)</f>
        <v>6.7303629531942688E-2</v>
      </c>
      <c r="M299" s="872"/>
      <c r="N299" s="872"/>
      <c r="O299" s="48">
        <f>IF(t&lt;Tnet,'2025'!Resal+('2025'!Salim-'2025'!Resal)*(1-EXP(('2025'!Tnet-t)/('2025'!Tau_j))),Resal+(Salim-Resal)*(1-EXP((Tnet-t)/(Tau_j))))*Salcycl</f>
        <v>5.7532530160268748E-2</v>
      </c>
      <c r="P299" s="171">
        <f>(INDEX(Models!$BJ299:$BT299,,T299)*(1-R299)+INDEX(Models!$BJ299:$BT299,,T299+1)*R299-ERP_i)*Q299*Ramure*Pc/MaxiM</f>
        <v>3.5966507939582883E-3</v>
      </c>
      <c r="Q299" s="307">
        <f t="shared" si="105"/>
        <v>0.9</v>
      </c>
      <c r="R299" s="179">
        <f t="shared" si="106"/>
        <v>0.56075780546462273</v>
      </c>
      <c r="S299" s="839">
        <f t="shared" si="107"/>
        <v>-2</v>
      </c>
      <c r="T299" s="178">
        <f t="shared" si="108"/>
        <v>4</v>
      </c>
      <c r="U299" s="253">
        <f t="shared" si="109"/>
        <v>-1.4392421945353773</v>
      </c>
      <c r="V299" s="385">
        <f t="shared" si="110"/>
        <v>30.07521652693816</v>
      </c>
      <c r="W299" s="404">
        <f t="shared" si="111"/>
        <v>24.380708259214902</v>
      </c>
      <c r="X299" s="157">
        <f t="shared" si="112"/>
        <v>46307</v>
      </c>
      <c r="Y299" s="387">
        <f t="shared" si="113"/>
        <v>20.741619228011132</v>
      </c>
      <c r="Z299" s="387">
        <f t="shared" si="114"/>
        <v>22.23834024099645</v>
      </c>
      <c r="AA299" s="388">
        <f t="shared" si="115"/>
        <v>26.26007497668763</v>
      </c>
      <c r="AB299" s="199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0.15315016195732395</v>
      </c>
      <c r="AD299" s="233">
        <f>(INDEX(Models!$BJ299:$BT299,,AH299)*(1-AF299)+INDEX(Models!$BJ299:$BT299,,AH299+1)*AF299-ERP_i)*AE299*Ramure*Pc/MaxiM</f>
        <v>7.6336670514353833E-2</v>
      </c>
      <c r="AE299" s="307">
        <f t="shared" si="117"/>
        <v>0.9</v>
      </c>
      <c r="AF299" s="179">
        <f t="shared" si="118"/>
        <v>0.19641345777160168</v>
      </c>
      <c r="AG299" s="839">
        <f t="shared" si="124"/>
        <v>3</v>
      </c>
      <c r="AH299" s="178">
        <f t="shared" si="119"/>
        <v>9</v>
      </c>
      <c r="AI299" s="227">
        <f t="shared" si="120"/>
        <v>3.1964134577716017</v>
      </c>
      <c r="AJ299" s="267" t="b">
        <f t="shared" si="121"/>
        <v>0</v>
      </c>
      <c r="AK299" s="267" t="b">
        <f t="shared" si="122"/>
        <v>0</v>
      </c>
      <c r="AL299" s="267"/>
      <c r="AM299" s="267"/>
      <c r="AN299" s="75"/>
    </row>
    <row r="300" spans="1:40" s="6" customFormat="1" ht="11.25" x14ac:dyDescent="0.2">
      <c r="A300" s="56">
        <f t="shared" si="123"/>
        <v>46308</v>
      </c>
      <c r="B300" s="413">
        <f>'2025'!Wh/'2025'!Env_an*'2026'!Env_an</f>
        <v>20.11962695601294</v>
      </c>
      <c r="C300" s="868"/>
      <c r="D300" s="395">
        <f t="shared" si="102"/>
        <v>21.571966844820498</v>
      </c>
      <c r="E300" s="387">
        <f t="shared" si="125"/>
        <v>22.89240273727188</v>
      </c>
      <c r="F300" s="387">
        <f t="shared" si="103"/>
        <v>22.937366707452902</v>
      </c>
      <c r="G300" s="110">
        <f t="shared" si="126"/>
        <v>0.67646811027095488</v>
      </c>
      <c r="H300" s="416" t="b">
        <f>Wh_hp&gt;='2025'!Maxi_hp</f>
        <v>0</v>
      </c>
      <c r="I300" s="392">
        <f>IF(H300,Wh_hp,'2025'!Maxi_hp)</f>
        <v>32.567800155049106</v>
      </c>
      <c r="J300" s="85">
        <f>IF(H300,An,'2025'!An_max)</f>
        <v>2021</v>
      </c>
      <c r="K300" s="199">
        <f t="shared" si="104"/>
        <v>46308</v>
      </c>
      <c r="L300" s="147">
        <f>IF(t&lt;Tvie,1-EXP((T0-t)*PertePVj)+'2025'!Pspv,1-EXP((T0-t)*PertePVj)+Pspv)</f>
        <v>6.7325334739065212E-2</v>
      </c>
      <c r="M300" s="872"/>
      <c r="N300" s="872"/>
      <c r="O300" s="48">
        <f>IF(t&lt;Tnet,'2025'!Resal+('2025'!Salim-'2025'!Resal)*(1-EXP(('2025'!Tnet-t)/('2025'!Tau_j))),Resal+(Salim-Resal)*(1-EXP((Tnet-t)/(Tau_j))))*Salcycl</f>
        <v>5.7680091845559688E-2</v>
      </c>
      <c r="P300" s="171">
        <f>(INDEX(Models!$BJ300:$BT300,,T300)*(1-R300)+INDEX(Models!$BJ300:$BT300,,T300+1)*R300-ERP_i)*Q300*Ramure*Pc/MaxiM</f>
        <v>3.6339759578458532E-3</v>
      </c>
      <c r="Q300" s="307">
        <f t="shared" si="105"/>
        <v>0.9</v>
      </c>
      <c r="R300" s="179">
        <f t="shared" si="106"/>
        <v>0.56092858632605447</v>
      </c>
      <c r="S300" s="839">
        <f t="shared" si="107"/>
        <v>-2</v>
      </c>
      <c r="T300" s="178">
        <f t="shared" si="108"/>
        <v>4</v>
      </c>
      <c r="U300" s="253">
        <f t="shared" si="109"/>
        <v>-1.4390714136739455</v>
      </c>
      <c r="V300" s="385">
        <f t="shared" si="110"/>
        <v>29.692289471498569</v>
      </c>
      <c r="W300" s="404">
        <f t="shared" si="111"/>
        <v>20.11962695601294</v>
      </c>
      <c r="X300" s="157">
        <f t="shared" si="112"/>
        <v>46308</v>
      </c>
      <c r="Y300" s="387">
        <f t="shared" si="113"/>
        <v>17.34892128213346</v>
      </c>
      <c r="Z300" s="387">
        <f t="shared" si="114"/>
        <v>18.601257146059332</v>
      </c>
      <c r="AA300" s="388">
        <f t="shared" si="115"/>
        <v>21.964518398610856</v>
      </c>
      <c r="AB300" s="199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0.15312246740471364</v>
      </c>
      <c r="AD300" s="233">
        <f>(INDEX(Models!$BJ300:$BT300,,AH300)*(1-AF300)+INDEX(Models!$BJ300:$BT300,,AH300+1)*AF300-ERP_i)*AE300*Ramure*Pc/MaxiM</f>
        <v>7.8625338259275937E-2</v>
      </c>
      <c r="AE300" s="307">
        <f t="shared" si="117"/>
        <v>0.9</v>
      </c>
      <c r="AF300" s="179">
        <f t="shared" si="118"/>
        <v>0.19658423863303343</v>
      </c>
      <c r="AG300" s="839">
        <f t="shared" si="124"/>
        <v>3</v>
      </c>
      <c r="AH300" s="178">
        <f t="shared" si="119"/>
        <v>9</v>
      </c>
      <c r="AI300" s="227">
        <f t="shared" si="120"/>
        <v>3.1965842386330334</v>
      </c>
      <c r="AJ300" s="267" t="b">
        <f t="shared" si="121"/>
        <v>0</v>
      </c>
      <c r="AK300" s="267" t="b">
        <f t="shared" si="122"/>
        <v>0</v>
      </c>
      <c r="AL300" s="267"/>
      <c r="AM300" s="267"/>
      <c r="AN300" s="75"/>
    </row>
    <row r="301" spans="1:40" s="6" customFormat="1" ht="11.25" x14ac:dyDescent="0.2">
      <c r="A301" s="56">
        <f t="shared" si="123"/>
        <v>46309</v>
      </c>
      <c r="B301" s="413">
        <f>'2025'!Wh/'2025'!Env_an*'2026'!Env_an</f>
        <v>16.893754985480314</v>
      </c>
      <c r="C301" s="868"/>
      <c r="D301" s="395">
        <f t="shared" si="102"/>
        <v>18.113656097071896</v>
      </c>
      <c r="E301" s="387">
        <f t="shared" si="125"/>
        <v>19.225384787150698</v>
      </c>
      <c r="F301" s="387">
        <f t="shared" si="103"/>
        <v>19.253354011103248</v>
      </c>
      <c r="G301" s="110">
        <f t="shared" si="126"/>
        <v>0.57495968132433373</v>
      </c>
      <c r="H301" s="416" t="b">
        <f>Wh_hp&gt;='2025'!Maxi_hp</f>
        <v>0</v>
      </c>
      <c r="I301" s="392">
        <f>IF(H301,Wh_hp,'2025'!Maxi_hp)</f>
        <v>34.446907354425804</v>
      </c>
      <c r="J301" s="85">
        <f>IF(H301,An,'2025'!An_max)</f>
        <v>2021</v>
      </c>
      <c r="K301" s="199">
        <f t="shared" si="104"/>
        <v>46309</v>
      </c>
      <c r="L301" s="147">
        <f>IF(t&lt;Tvie,1-EXP((T0-t)*PertePVj)+'2025'!Pspv,1-EXP((T0-t)*PertePVj)+Pspv)</f>
        <v>6.7347039441075784E-2</v>
      </c>
      <c r="M301" s="872"/>
      <c r="N301" s="872"/>
      <c r="O301" s="48">
        <f>IF(t&lt;Tnet,'2025'!Resal+('2025'!Salim-'2025'!Resal)*(1-EXP(('2025'!Tnet-t)/('2025'!Tau_j))),Resal+(Salim-Resal)*(1-EXP((Tnet-t)/(Tau_j))))*Salcycl</f>
        <v>5.7826082670752448E-2</v>
      </c>
      <c r="P301" s="171">
        <f>(INDEX(Models!$BJ301:$BT301,,T301)*(1-R301)+INDEX(Models!$BJ301:$BT301,,T301+1)*R301-ERP_i)*Q301*Ramure*Pc/MaxiM</f>
        <v>3.681091441561448E-3</v>
      </c>
      <c r="Q301" s="307">
        <f t="shared" si="105"/>
        <v>0.9</v>
      </c>
      <c r="R301" s="179">
        <f t="shared" si="106"/>
        <v>0.5610925697831477</v>
      </c>
      <c r="S301" s="839">
        <f t="shared" si="107"/>
        <v>-2</v>
      </c>
      <c r="T301" s="178">
        <f t="shared" si="108"/>
        <v>4</v>
      </c>
      <c r="U301" s="253">
        <f t="shared" si="109"/>
        <v>-1.4389074302168523</v>
      </c>
      <c r="V301" s="385">
        <f t="shared" si="110"/>
        <v>29.316932574579106</v>
      </c>
      <c r="W301" s="404">
        <f t="shared" si="111"/>
        <v>16.893754985480314</v>
      </c>
      <c r="X301" s="157">
        <f t="shared" si="112"/>
        <v>46309</v>
      </c>
      <c r="Y301" s="387">
        <f t="shared" si="113"/>
        <v>14.721924665287306</v>
      </c>
      <c r="Z301" s="387">
        <f t="shared" si="114"/>
        <v>15.784997515543926</v>
      </c>
      <c r="AA301" s="388">
        <f t="shared" si="115"/>
        <v>18.638378327687274</v>
      </c>
      <c r="AB301" s="199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0.1530916886639572</v>
      </c>
      <c r="AD301" s="233">
        <f>(INDEX(Models!$BJ301:$BT301,,AH301)*(1-AF301)+INDEX(Models!$BJ301:$BT301,,AH301+1)*AF301-ERP_i)*AE301*Ramure*Pc/MaxiM</f>
        <v>8.0938310223817714E-2</v>
      </c>
      <c r="AE301" s="307">
        <f t="shared" si="117"/>
        <v>0.9</v>
      </c>
      <c r="AF301" s="179">
        <f t="shared" si="118"/>
        <v>0.19674822209012666</v>
      </c>
      <c r="AG301" s="839">
        <f t="shared" si="124"/>
        <v>3</v>
      </c>
      <c r="AH301" s="178">
        <f t="shared" si="119"/>
        <v>9</v>
      </c>
      <c r="AI301" s="227">
        <f t="shared" si="120"/>
        <v>3.1967482220901267</v>
      </c>
      <c r="AJ301" s="267" t="b">
        <f t="shared" si="121"/>
        <v>0</v>
      </c>
      <c r="AK301" s="267" t="b">
        <f t="shared" si="122"/>
        <v>0</v>
      </c>
      <c r="AL301" s="267"/>
      <c r="AM301" s="267"/>
      <c r="AN301" s="75"/>
    </row>
    <row r="302" spans="1:40" s="6" customFormat="1" ht="11.25" x14ac:dyDescent="0.2">
      <c r="A302" s="56">
        <f t="shared" si="123"/>
        <v>46310</v>
      </c>
      <c r="B302" s="413">
        <f>'2025'!Wh/'2025'!Env_an*'2026'!Env_an</f>
        <v>28.637282385461646</v>
      </c>
      <c r="C302" s="868"/>
      <c r="D302" s="395">
        <f t="shared" si="102"/>
        <v>30.705900311736592</v>
      </c>
      <c r="E302" s="387">
        <f t="shared" si="125"/>
        <v>32.595476879432169</v>
      </c>
      <c r="F302" s="387">
        <f t="shared" si="103"/>
        <v>32.71588832088888</v>
      </c>
      <c r="G302" s="110">
        <f t="shared" si="126"/>
        <v>0.9891365228030079</v>
      </c>
      <c r="H302" s="416" t="b">
        <f>Wh_hp&gt;='2025'!Maxi_hp</f>
        <v>0</v>
      </c>
      <c r="I302" s="392">
        <f>IF(H302,Wh_hp,'2025'!Maxi_hp)</f>
        <v>32.717038604605101</v>
      </c>
      <c r="J302" s="85">
        <f>IF(H302,An,'2025'!An_max)</f>
        <v>2025</v>
      </c>
      <c r="K302" s="199">
        <f t="shared" si="104"/>
        <v>46310</v>
      </c>
      <c r="L302" s="147">
        <f>IF(t&lt;Tvie,1-EXP((T0-t)*PertePVj)+'2025'!Pspv,1-EXP((T0-t)*PertePVj)+Pspv)</f>
        <v>6.7368743637986284E-2</v>
      </c>
      <c r="M302" s="872"/>
      <c r="N302" s="872"/>
      <c r="O302" s="48">
        <f>IF(t&lt;Tnet,'2025'!Resal+('2025'!Salim-'2025'!Resal)*(1-EXP(('2025'!Tnet-t)/('2025'!Tau_j))),Resal+(Salim-Resal)*(1-EXP((Tnet-t)/(Tau_j))))*Salcycl</f>
        <v>5.7970514580441806E-2</v>
      </c>
      <c r="P302" s="171">
        <f>(INDEX(Models!$BJ302:$BT302,,T302)*(1-R302)+INDEX(Models!$BJ302:$BT302,,T302+1)*R302-ERP_i)*Q302*Ramure*Pc/MaxiM</f>
        <v>3.7382273003232743E-3</v>
      </c>
      <c r="Q302" s="307">
        <f t="shared" si="105"/>
        <v>0.9</v>
      </c>
      <c r="R302" s="179">
        <f t="shared" si="106"/>
        <v>0.56125002335826002</v>
      </c>
      <c r="S302" s="839">
        <f t="shared" si="107"/>
        <v>-2</v>
      </c>
      <c r="T302" s="178">
        <f t="shared" si="108"/>
        <v>4</v>
      </c>
      <c r="U302" s="253">
        <f t="shared" si="109"/>
        <v>-1.43874997664174</v>
      </c>
      <c r="V302" s="385">
        <f t="shared" si="110"/>
        <v>28.950122662792531</v>
      </c>
      <c r="W302" s="404">
        <f t="shared" si="111"/>
        <v>28.637282385461646</v>
      </c>
      <c r="X302" s="157">
        <f t="shared" si="112"/>
        <v>46310</v>
      </c>
      <c r="Y302" s="387">
        <f t="shared" si="113"/>
        <v>23.72310844478957</v>
      </c>
      <c r="Z302" s="387">
        <f t="shared" si="114"/>
        <v>25.436750358687441</v>
      </c>
      <c r="AA302" s="388">
        <f t="shared" si="115"/>
        <v>30.033634802148306</v>
      </c>
      <c r="AB302" s="199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0.15305787906604132</v>
      </c>
      <c r="AD302" s="233">
        <f>(INDEX(Models!$BJ302:$BT302,,AH302)*(1-AF302)+INDEX(Models!$BJ302:$BT302,,AH302+1)*AF302-ERP_i)*AE302*Ramure*Pc/MaxiM</f>
        <v>8.3271765613311219E-2</v>
      </c>
      <c r="AE302" s="307">
        <f t="shared" si="117"/>
        <v>0.9</v>
      </c>
      <c r="AF302" s="179">
        <f t="shared" si="118"/>
        <v>0.19690567566523898</v>
      </c>
      <c r="AG302" s="839">
        <f t="shared" si="124"/>
        <v>3</v>
      </c>
      <c r="AH302" s="178">
        <f t="shared" si="119"/>
        <v>9</v>
      </c>
      <c r="AI302" s="227">
        <f t="shared" si="120"/>
        <v>3.196905675665239</v>
      </c>
      <c r="AJ302" s="267" t="b">
        <f t="shared" si="121"/>
        <v>0</v>
      </c>
      <c r="AK302" s="267" t="b">
        <f t="shared" si="122"/>
        <v>0</v>
      </c>
      <c r="AL302" s="267"/>
      <c r="AM302" s="267"/>
      <c r="AN302" s="75"/>
    </row>
    <row r="303" spans="1:40" s="6" customFormat="1" ht="11.25" x14ac:dyDescent="0.2">
      <c r="A303" s="56">
        <f t="shared" si="123"/>
        <v>46311</v>
      </c>
      <c r="B303" s="413">
        <f>'2025'!Wh/'2025'!Env_an*'2026'!Env_an</f>
        <v>26.653110894716665</v>
      </c>
      <c r="C303" s="868"/>
      <c r="D303" s="395">
        <f t="shared" si="102"/>
        <v>28.579067004412597</v>
      </c>
      <c r="E303" s="387">
        <f t="shared" si="125"/>
        <v>30.342365124806573</v>
      </c>
      <c r="F303" s="387">
        <f t="shared" si="103"/>
        <v>30.447021434765439</v>
      </c>
      <c r="G303" s="110">
        <f t="shared" si="126"/>
        <v>0.93187504887163397</v>
      </c>
      <c r="H303" s="416" t="b">
        <f>Wh_hp&gt;='2025'!Maxi_hp</f>
        <v>0</v>
      </c>
      <c r="I303" s="392">
        <f>IF(H303,Wh_hp,'2025'!Maxi_hp)</f>
        <v>31.515402769838211</v>
      </c>
      <c r="J303" s="85">
        <f>IF(H303,An,'2025'!An_max)</f>
        <v>2021</v>
      </c>
      <c r="K303" s="199">
        <f t="shared" si="104"/>
        <v>46311</v>
      </c>
      <c r="L303" s="147">
        <f>IF(t&lt;Tvie,1-EXP((T0-t)*PertePVj)+'2025'!Pspv,1-EXP((T0-t)*PertePVj)+Pspv)</f>
        <v>6.7390447329808367E-2</v>
      </c>
      <c r="M303" s="872"/>
      <c r="N303" s="872"/>
      <c r="O303" s="48">
        <f>IF(t&lt;Tnet,'2025'!Resal+('2025'!Salim-'2025'!Resal)*(1-EXP(('2025'!Tnet-t)/('2025'!Tau_j))),Resal+(Salim-Resal)*(1-EXP((Tnet-t)/(Tau_j))))*Salcycl</f>
        <v>5.8113403920262645E-2</v>
      </c>
      <c r="P303" s="171">
        <f>(INDEX(Models!$BJ303:$BT303,,T303)*(1-R303)+INDEX(Models!$BJ303:$BT303,,T303+1)*R303-ERP_i)*Q303*Ramure*Pc/MaxiM</f>
        <v>3.805840399492054E-3</v>
      </c>
      <c r="Q303" s="307">
        <f t="shared" si="105"/>
        <v>0.9</v>
      </c>
      <c r="R303" s="179">
        <f t="shared" si="106"/>
        <v>0.56140120428274631</v>
      </c>
      <c r="S303" s="839">
        <f t="shared" si="107"/>
        <v>-2</v>
      </c>
      <c r="T303" s="178">
        <f t="shared" si="108"/>
        <v>4</v>
      </c>
      <c r="U303" s="253">
        <f t="shared" si="109"/>
        <v>-1.4385987957172537</v>
      </c>
      <c r="V303" s="385">
        <f t="shared" si="110"/>
        <v>28.591016541104203</v>
      </c>
      <c r="W303" s="404">
        <f t="shared" si="111"/>
        <v>26.653110894716665</v>
      </c>
      <c r="X303" s="157">
        <f t="shared" si="112"/>
        <v>46311</v>
      </c>
      <c r="Y303" s="387">
        <f t="shared" si="113"/>
        <v>22.190190051909372</v>
      </c>
      <c r="Z303" s="387">
        <f t="shared" si="114"/>
        <v>23.793655113627942</v>
      </c>
      <c r="AA303" s="388">
        <f t="shared" si="115"/>
        <v>28.092382459479879</v>
      </c>
      <c r="AB303" s="199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0.15302110285777196</v>
      </c>
      <c r="AD303" s="233">
        <f>(INDEX(Models!$BJ303:$BT303,,AH303)*(1-AF303)+INDEX(Models!$BJ303:$BT303,,AH303+1)*AF303-ERP_i)*AE303*Ramure*Pc/MaxiM</f>
        <v>8.5626754295873075E-2</v>
      </c>
      <c r="AE303" s="307">
        <f t="shared" si="117"/>
        <v>0.9</v>
      </c>
      <c r="AF303" s="179">
        <f t="shared" si="118"/>
        <v>0.19705685658972527</v>
      </c>
      <c r="AG303" s="839">
        <f t="shared" si="124"/>
        <v>3</v>
      </c>
      <c r="AH303" s="178">
        <f t="shared" si="119"/>
        <v>9</v>
      </c>
      <c r="AI303" s="227">
        <f t="shared" si="120"/>
        <v>3.1970568565897253</v>
      </c>
      <c r="AJ303" s="267" t="b">
        <f t="shared" si="121"/>
        <v>0</v>
      </c>
      <c r="AK303" s="267" t="b">
        <f t="shared" si="122"/>
        <v>0</v>
      </c>
      <c r="AL303" s="267"/>
      <c r="AM303" s="267"/>
      <c r="AN303" s="75"/>
    </row>
    <row r="304" spans="1:40" s="6" customFormat="1" ht="11.25" x14ac:dyDescent="0.2">
      <c r="A304" s="56">
        <f t="shared" si="123"/>
        <v>46312</v>
      </c>
      <c r="B304" s="413">
        <f>'2025'!Wh/'2025'!Env_an*'2026'!Env_an</f>
        <v>16.996153619697022</v>
      </c>
      <c r="C304" s="868"/>
      <c r="D304" s="395">
        <f t="shared" si="102"/>
        <v>18.224721273294598</v>
      </c>
      <c r="E304" s="387">
        <f t="shared" si="125"/>
        <v>19.352071794548369</v>
      </c>
      <c r="F304" s="387">
        <f t="shared" si="103"/>
        <v>19.384736858515886</v>
      </c>
      <c r="G304" s="110">
        <f t="shared" si="126"/>
        <v>0.60056509442012884</v>
      </c>
      <c r="H304" s="416" t="b">
        <f>Wh_hp&gt;='2025'!Maxi_hp</f>
        <v>0</v>
      </c>
      <c r="I304" s="392">
        <f>IF(H304,Wh_hp,'2025'!Maxi_hp)</f>
        <v>29.529771052990444</v>
      </c>
      <c r="J304" s="85">
        <f>IF(H304,An,'2025'!An_max)</f>
        <v>2021</v>
      </c>
      <c r="K304" s="199">
        <f t="shared" si="104"/>
        <v>46312</v>
      </c>
      <c r="L304" s="147">
        <f>IF(t&lt;Tvie,1-EXP((T0-t)*PertePVj)+'2025'!Pspv,1-EXP((T0-t)*PertePVj)+Pspv)</f>
        <v>6.7412150516553915E-2</v>
      </c>
      <c r="M304" s="872"/>
      <c r="N304" s="872"/>
      <c r="O304" s="48">
        <f>IF(t&lt;Tnet,'2025'!Resal+('2025'!Salim-'2025'!Resal)*(1-EXP(('2025'!Tnet-t)/('2025'!Tau_j))),Resal+(Salim-Resal)*(1-EXP((Tnet-t)/(Tau_j))))*Salcycl</f>
        <v>5.8254771541895345E-2</v>
      </c>
      <c r="P304" s="171">
        <f>(INDEX(Models!$BJ304:$BT304,,T304)*(1-R304)+INDEX(Models!$BJ304:$BT304,,T304+1)*R304-ERP_i)*Q304*Ramure*Pc/MaxiM</f>
        <v>3.9070742352686179E-3</v>
      </c>
      <c r="Q304" s="307">
        <f t="shared" si="105"/>
        <v>0.9</v>
      </c>
      <c r="R304" s="179">
        <f t="shared" si="106"/>
        <v>0.56154635987408907</v>
      </c>
      <c r="S304" s="839">
        <f t="shared" si="107"/>
        <v>-2</v>
      </c>
      <c r="T304" s="178">
        <f t="shared" si="108"/>
        <v>4</v>
      </c>
      <c r="U304" s="253">
        <f t="shared" si="109"/>
        <v>-1.4384536401259109</v>
      </c>
      <c r="V304" s="385">
        <f t="shared" si="110"/>
        <v>28.237279988079028</v>
      </c>
      <c r="W304" s="404">
        <f t="shared" si="111"/>
        <v>16.996153619697022</v>
      </c>
      <c r="X304" s="157">
        <f t="shared" si="112"/>
        <v>46312</v>
      </c>
      <c r="Y304" s="387">
        <f t="shared" si="113"/>
        <v>14.730925908648512</v>
      </c>
      <c r="Z304" s="387">
        <f t="shared" si="114"/>
        <v>15.795751485297465</v>
      </c>
      <c r="AA304" s="388">
        <f t="shared" si="115"/>
        <v>18.648648499856193</v>
      </c>
      <c r="AB304" s="199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0.15298143533461575</v>
      </c>
      <c r="AD304" s="233">
        <f>(INDEX(Models!$BJ304:$BT304,,AH304)*(1-AF304)+INDEX(Models!$BJ304:$BT304,,AH304+1)*AF304-ERP_i)*AE304*Ramure*Pc/MaxiM</f>
        <v>8.8043662301114642E-2</v>
      </c>
      <c r="AE304" s="307">
        <f t="shared" si="117"/>
        <v>0.9</v>
      </c>
      <c r="AF304" s="179">
        <f t="shared" si="118"/>
        <v>0.19720201218106803</v>
      </c>
      <c r="AG304" s="839">
        <f t="shared" si="124"/>
        <v>3</v>
      </c>
      <c r="AH304" s="178">
        <f t="shared" si="119"/>
        <v>9</v>
      </c>
      <c r="AI304" s="227">
        <f t="shared" si="120"/>
        <v>3.197202012181068</v>
      </c>
      <c r="AJ304" s="267" t="b">
        <f t="shared" si="121"/>
        <v>0</v>
      </c>
      <c r="AK304" s="267" t="b">
        <f t="shared" si="122"/>
        <v>0</v>
      </c>
      <c r="AL304" s="267"/>
      <c r="AM304" s="267"/>
      <c r="AN304" s="75"/>
    </row>
    <row r="305" spans="1:40" s="6" customFormat="1" ht="11.25" x14ac:dyDescent="0.2">
      <c r="A305" s="56">
        <f t="shared" si="123"/>
        <v>46313</v>
      </c>
      <c r="B305" s="413">
        <f>'2025'!Wh/'2025'!Env_an*'2026'!Env_an</f>
        <v>26.584614387400052</v>
      </c>
      <c r="C305" s="868"/>
      <c r="D305" s="395">
        <f t="shared" si="102"/>
        <v>28.506947714724536</v>
      </c>
      <c r="E305" s="387">
        <f t="shared" si="125"/>
        <v>30.274835948286395</v>
      </c>
      <c r="F305" s="387">
        <f t="shared" si="103"/>
        <v>30.389517883395015</v>
      </c>
      <c r="G305" s="110">
        <f t="shared" si="126"/>
        <v>0.95298482015838304</v>
      </c>
      <c r="H305" s="416" t="b">
        <f>Wh_hp&gt;='2025'!Maxi_hp</f>
        <v>0</v>
      </c>
      <c r="I305" s="392">
        <f>IF(H305,Wh_hp,'2025'!Maxi_hp)</f>
        <v>32.248415453098012</v>
      </c>
      <c r="J305" s="85">
        <f>IF(H305,An,'2025'!An_max)</f>
        <v>2020</v>
      </c>
      <c r="K305" s="199">
        <f t="shared" si="104"/>
        <v>46313</v>
      </c>
      <c r="L305" s="147">
        <f>IF(t&lt;Tvie,1-EXP((T0-t)*PertePVj)+'2025'!Pspv,1-EXP((T0-t)*PertePVj)+Pspv)</f>
        <v>6.7433853198234583E-2</v>
      </c>
      <c r="M305" s="872"/>
      <c r="N305" s="872"/>
      <c r="O305" s="48">
        <f>IF(t&lt;Tnet,'2025'!Resal+('2025'!Salim-'2025'!Resal)*(1-EXP(('2025'!Tnet-t)/('2025'!Tau_j))),Resal+(Salim-Resal)*(1-EXP((Tnet-t)/(Tau_j))))*Salcycl</f>
        <v>5.839464288366935E-2</v>
      </c>
      <c r="P305" s="171">
        <f>(INDEX(Models!$BJ305:$BT305,,T305)*(1-R305)+INDEX(Models!$BJ305:$BT305,,T305+1)*R305-ERP_i)*Q305*Ramure*Pc/MaxiM</f>
        <v>4.0438430768229292E-3</v>
      </c>
      <c r="Q305" s="307">
        <f t="shared" si="105"/>
        <v>0.9</v>
      </c>
      <c r="R305" s="179">
        <f t="shared" si="106"/>
        <v>0.5616857279007057</v>
      </c>
      <c r="S305" s="839">
        <f t="shared" si="107"/>
        <v>-2</v>
      </c>
      <c r="T305" s="178">
        <f t="shared" si="108"/>
        <v>4</v>
      </c>
      <c r="U305" s="253">
        <f t="shared" si="109"/>
        <v>-1.4383142720992943</v>
      </c>
      <c r="V305" s="385">
        <f t="shared" si="110"/>
        <v>27.888593668624871</v>
      </c>
      <c r="W305" s="404">
        <f t="shared" si="111"/>
        <v>26.584614387400052</v>
      </c>
      <c r="X305" s="157">
        <f t="shared" si="112"/>
        <v>46313</v>
      </c>
      <c r="Y305" s="387">
        <f t="shared" si="113"/>
        <v>21.977452005029559</v>
      </c>
      <c r="Z305" s="387">
        <f t="shared" si="114"/>
        <v>23.56664144457871</v>
      </c>
      <c r="AA305" s="388">
        <f t="shared" si="115"/>
        <v>27.821656778709198</v>
      </c>
      <c r="AB305" s="199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0.15293896290844483</v>
      </c>
      <c r="AD305" s="233">
        <f>(INDEX(Models!$BJ305:$BT305,,AH305)*(1-AF305)+INDEX(Models!$BJ305:$BT305,,AH305+1)*AF305-ERP_i)*AE305*Ramure*Pc/MaxiM</f>
        <v>9.0546321359082624E-2</v>
      </c>
      <c r="AE305" s="307">
        <f t="shared" si="117"/>
        <v>0.9</v>
      </c>
      <c r="AF305" s="179">
        <f t="shared" si="118"/>
        <v>0.19734138020768466</v>
      </c>
      <c r="AG305" s="839">
        <f t="shared" si="124"/>
        <v>3</v>
      </c>
      <c r="AH305" s="178">
        <f t="shared" si="119"/>
        <v>9</v>
      </c>
      <c r="AI305" s="227">
        <f t="shared" si="120"/>
        <v>3.1973413802076847</v>
      </c>
      <c r="AJ305" s="267" t="b">
        <f t="shared" si="121"/>
        <v>0</v>
      </c>
      <c r="AK305" s="267" t="b">
        <f t="shared" si="122"/>
        <v>0</v>
      </c>
      <c r="AL305" s="267"/>
      <c r="AM305" s="267"/>
      <c r="AN305" s="75"/>
    </row>
    <row r="306" spans="1:40" s="6" customFormat="1" ht="11.25" x14ac:dyDescent="0.2">
      <c r="A306" s="56">
        <f t="shared" si="123"/>
        <v>46314</v>
      </c>
      <c r="B306" s="413">
        <f>'2025'!Wh/'2025'!Env_an*'2026'!Env_an</f>
        <v>14.382690774803905</v>
      </c>
      <c r="C306" s="868"/>
      <c r="D306" s="395">
        <f t="shared" si="102"/>
        <v>15.423061986697508</v>
      </c>
      <c r="E306" s="387">
        <f t="shared" si="125"/>
        <v>16.381947294431448</v>
      </c>
      <c r="F306" s="387">
        <f t="shared" si="103"/>
        <v>16.403903975156091</v>
      </c>
      <c r="G306" s="110">
        <f t="shared" si="126"/>
        <v>0.52065372809479571</v>
      </c>
      <c r="H306" s="416" t="b">
        <f>Wh_hp&gt;='2025'!Maxi_hp</f>
        <v>0</v>
      </c>
      <c r="I306" s="392">
        <f>IF(H306,Wh_hp,'2025'!Maxi_hp)</f>
        <v>30.51278811937587</v>
      </c>
      <c r="J306" s="85">
        <f>IF(H306,An,'2025'!An_max)</f>
        <v>2020</v>
      </c>
      <c r="K306" s="199">
        <f t="shared" si="104"/>
        <v>46314</v>
      </c>
      <c r="L306" s="147">
        <f>IF(t&lt;Tvie,1-EXP((T0-t)*PertePVj)+'2025'!Pspv,1-EXP((T0-t)*PertePVj)+Pspv)</f>
        <v>6.7455555374862031E-2</v>
      </c>
      <c r="M306" s="872"/>
      <c r="N306" s="872"/>
      <c r="O306" s="48">
        <f>IF(t&lt;Tnet,'2025'!Resal+('2025'!Salim-'2025'!Resal)*(1-EXP(('2025'!Tnet-t)/('2025'!Tau_j))),Resal+(Salim-Resal)*(1-EXP((Tnet-t)/(Tau_j))))*Salcycl</f>
        <v>5.8533048025364125E-2</v>
      </c>
      <c r="P306" s="171">
        <f>(INDEX(Models!$BJ306:$BT306,,T306)*(1-R306)+INDEX(Models!$BJ306:$BT306,,T306+1)*R306-ERP_i)*Q306*Ramure*Pc/MaxiM</f>
        <v>4.2174849312489864E-3</v>
      </c>
      <c r="Q306" s="307">
        <f t="shared" si="105"/>
        <v>0.9</v>
      </c>
      <c r="R306" s="179">
        <f t="shared" si="106"/>
        <v>0.56181953693470787</v>
      </c>
      <c r="S306" s="839">
        <f t="shared" si="107"/>
        <v>-2</v>
      </c>
      <c r="T306" s="178">
        <f t="shared" si="108"/>
        <v>4</v>
      </c>
      <c r="U306" s="253">
        <f t="shared" si="109"/>
        <v>-1.4381804630652921</v>
      </c>
      <c r="V306" s="385">
        <f t="shared" si="110"/>
        <v>27.544655883577988</v>
      </c>
      <c r="W306" s="404">
        <f t="shared" si="111"/>
        <v>14.382690774803905</v>
      </c>
      <c r="X306" s="157">
        <f t="shared" si="112"/>
        <v>46314</v>
      </c>
      <c r="Y306" s="387">
        <f t="shared" si="113"/>
        <v>12.575456889221417</v>
      </c>
      <c r="Z306" s="387">
        <f t="shared" si="114"/>
        <v>13.485101929138049</v>
      </c>
      <c r="AA306" s="388">
        <f t="shared" si="115"/>
        <v>15.919021322509414</v>
      </c>
      <c r="AB306" s="199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0.15289378310774776</v>
      </c>
      <c r="AD306" s="233">
        <f>(INDEX(Models!$BJ306:$BT306,,AH306)*(1-AF306)+INDEX(Models!$BJ306:$BT306,,AH306+1)*AF306-ERP_i)*AE306*Ramure*Pc/MaxiM</f>
        <v>9.3137269089411251E-2</v>
      </c>
      <c r="AE306" s="307">
        <f t="shared" si="117"/>
        <v>0.9</v>
      </c>
      <c r="AF306" s="179">
        <f t="shared" si="118"/>
        <v>0.19747518924168705</v>
      </c>
      <c r="AG306" s="839">
        <f t="shared" si="124"/>
        <v>3</v>
      </c>
      <c r="AH306" s="178">
        <f t="shared" si="119"/>
        <v>9</v>
      </c>
      <c r="AI306" s="227">
        <f t="shared" si="120"/>
        <v>3.1974751892416871</v>
      </c>
      <c r="AJ306" s="267" t="b">
        <f t="shared" si="121"/>
        <v>0</v>
      </c>
      <c r="AK306" s="267" t="b">
        <f t="shared" si="122"/>
        <v>0</v>
      </c>
      <c r="AL306" s="267"/>
      <c r="AM306" s="267"/>
      <c r="AN306" s="75"/>
    </row>
    <row r="307" spans="1:40" s="6" customFormat="1" ht="11.25" x14ac:dyDescent="0.2">
      <c r="A307" s="56">
        <f t="shared" si="123"/>
        <v>46315</v>
      </c>
      <c r="B307" s="413">
        <f>'2025'!Wh/'2025'!Env_an*'2026'!Env_an</f>
        <v>7.9750164757038711</v>
      </c>
      <c r="C307" s="868"/>
      <c r="D307" s="395">
        <f t="shared" si="102"/>
        <v>8.5520879098828591</v>
      </c>
      <c r="E307" s="387">
        <f t="shared" si="125"/>
        <v>9.0851116050429184</v>
      </c>
      <c r="F307" s="387">
        <f t="shared" si="103"/>
        <v>9.0851116050429184</v>
      </c>
      <c r="G307" s="110">
        <f t="shared" si="126"/>
        <v>0.29184502953430252</v>
      </c>
      <c r="H307" s="416" t="b">
        <f>Wh_hp&gt;='2025'!Maxi_hp</f>
        <v>0</v>
      </c>
      <c r="I307" s="392">
        <f>IF(H307,Wh_hp,'2025'!Maxi_hp)</f>
        <v>26.828949468096958</v>
      </c>
      <c r="J307" s="85">
        <f>IF(H307,An,'2025'!An_max)</f>
        <v>2020</v>
      </c>
      <c r="K307" s="199">
        <f t="shared" si="104"/>
        <v>46315</v>
      </c>
      <c r="L307" s="147">
        <f>IF(t&lt;Tvie,1-EXP((T0-t)*PertePVj)+'2025'!Pspv,1-EXP((T0-t)*PertePVj)+Pspv)</f>
        <v>6.7477257046448247E-2</v>
      </c>
      <c r="M307" s="872"/>
      <c r="N307" s="872"/>
      <c r="O307" s="48">
        <f>IF(t&lt;Tnet,'2025'!Resal+('2025'!Salim-'2025'!Resal)*(1-EXP(('2025'!Tnet-t)/('2025'!Tau_j))),Resal+(Salim-Resal)*(1-EXP((Tnet-t)/(Tau_j))))*Salcycl</f>
        <v>5.8670021715989749E-2</v>
      </c>
      <c r="P307" s="171">
        <f>(INDEX(Models!$BJ307:$BT307,,T307)*(1-R307)+INDEX(Models!$BJ307:$BT307,,T307+1)*R307-ERP_i)*Q307*Ramure*Pc/MaxiM</f>
        <v>4.4293624510714103E-3</v>
      </c>
      <c r="Q307" s="307">
        <f t="shared" si="105"/>
        <v>0.9</v>
      </c>
      <c r="R307" s="179">
        <f t="shared" si="106"/>
        <v>0.56194800669289857</v>
      </c>
      <c r="S307" s="839">
        <f t="shared" si="107"/>
        <v>-2</v>
      </c>
      <c r="T307" s="178">
        <f t="shared" si="108"/>
        <v>4</v>
      </c>
      <c r="U307" s="253">
        <f t="shared" si="109"/>
        <v>-1.4380519933071014</v>
      </c>
      <c r="V307" s="385">
        <f t="shared" si="110"/>
        <v>27.205165185951905</v>
      </c>
      <c r="W307" s="404">
        <f t="shared" si="111"/>
        <v>7.9750164757038711</v>
      </c>
      <c r="X307" s="157">
        <f t="shared" si="112"/>
        <v>46315</v>
      </c>
      <c r="Y307" s="387">
        <f t="shared" si="113"/>
        <v>7.1771506563722758</v>
      </c>
      <c r="Z307" s="387">
        <f t="shared" si="114"/>
        <v>7.6964885956993374</v>
      </c>
      <c r="AA307" s="388">
        <f t="shared" si="115"/>
        <v>9.0851116050429184</v>
      </c>
      <c r="AB307" s="199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0.15284600450838615</v>
      </c>
      <c r="AD307" s="233">
        <f>(INDEX(Models!$BJ307:$BT307,,AH307)*(1-AF307)+INDEX(Models!$BJ307:$BT307,,AH307+1)*AF307-ERP_i)*AE307*Ramure*Pc/MaxiM</f>
        <v>9.5819162119142681E-2</v>
      </c>
      <c r="AE307" s="307">
        <f t="shared" si="117"/>
        <v>0.9</v>
      </c>
      <c r="AF307" s="179">
        <f t="shared" si="118"/>
        <v>0.19760365899987775</v>
      </c>
      <c r="AG307" s="839">
        <f t="shared" si="124"/>
        <v>3</v>
      </c>
      <c r="AH307" s="178">
        <f t="shared" si="119"/>
        <v>9</v>
      </c>
      <c r="AI307" s="227">
        <f t="shared" si="120"/>
        <v>3.1976036589998778</v>
      </c>
      <c r="AJ307" s="267" t="b">
        <f t="shared" si="121"/>
        <v>0</v>
      </c>
      <c r="AK307" s="267" t="b">
        <f t="shared" si="122"/>
        <v>0</v>
      </c>
      <c r="AL307" s="267"/>
      <c r="AM307" s="267"/>
      <c r="AN307" s="75"/>
    </row>
    <row r="308" spans="1:40" s="6" customFormat="1" ht="11.25" x14ac:dyDescent="0.2">
      <c r="A308" s="56">
        <f t="shared" si="123"/>
        <v>46316</v>
      </c>
      <c r="B308" s="413">
        <f>'2025'!Wh/'2025'!Env_an*'2026'!Env_an</f>
        <v>13.957829536170344</v>
      </c>
      <c r="C308" s="868"/>
      <c r="D308" s="395">
        <f t="shared" si="102"/>
        <v>14.968165085823715</v>
      </c>
      <c r="E308" s="387">
        <f t="shared" si="125"/>
        <v>15.903372501445149</v>
      </c>
      <c r="F308" s="387">
        <f t="shared" si="103"/>
        <v>15.926745419966329</v>
      </c>
      <c r="G308" s="110">
        <f t="shared" si="126"/>
        <v>0.51778955625829626</v>
      </c>
      <c r="H308" s="416" t="b">
        <f>Wh_hp&gt;='2025'!Maxi_hp</f>
        <v>0</v>
      </c>
      <c r="I308" s="392">
        <f>IF(H308,Wh_hp,'2025'!Maxi_hp)</f>
        <v>22.431533601951021</v>
      </c>
      <c r="J308" s="85">
        <f>IF(H308,An,'2025'!An_max)</f>
        <v>2019</v>
      </c>
      <c r="K308" s="199">
        <f t="shared" si="104"/>
        <v>46316</v>
      </c>
      <c r="L308" s="147">
        <f>IF(t&lt;Tvie,1-EXP((T0-t)*PertePVj)+'2025'!Pspv,1-EXP((T0-t)*PertePVj)+Pspv)</f>
        <v>6.7498958213004778E-2</v>
      </c>
      <c r="M308" s="872"/>
      <c r="N308" s="872"/>
      <c r="O308" s="48">
        <f>IF(t&lt;Tnet,'2025'!Resal+('2025'!Salim-'2025'!Resal)*(1-EXP(('2025'!Tnet-t)/('2025'!Tau_j))),Resal+(Salim-Resal)*(1-EXP((Tnet-t)/(Tau_j))))*Salcycl</f>
        <v>5.8805603373526687E-2</v>
      </c>
      <c r="P308" s="171">
        <f>(INDEX(Models!$BJ308:$BT308,,T308)*(1-R308)+INDEX(Models!$BJ308:$BT308,,T308+1)*R308-ERP_i)*Q308*Ramure*Pc/MaxiM</f>
        <v>4.6808655678828278E-3</v>
      </c>
      <c r="Q308" s="307">
        <f t="shared" si="105"/>
        <v>0.9</v>
      </c>
      <c r="R308" s="179">
        <f t="shared" si="106"/>
        <v>0.56207134836629802</v>
      </c>
      <c r="S308" s="839">
        <f t="shared" si="107"/>
        <v>-2</v>
      </c>
      <c r="T308" s="178">
        <f t="shared" si="108"/>
        <v>4</v>
      </c>
      <c r="U308" s="253">
        <f t="shared" si="109"/>
        <v>-1.437928651633702</v>
      </c>
      <c r="V308" s="385">
        <f t="shared" si="110"/>
        <v>26.869820392873848</v>
      </c>
      <c r="W308" s="404">
        <f t="shared" si="111"/>
        <v>13.957829536170344</v>
      </c>
      <c r="X308" s="157">
        <f t="shared" si="112"/>
        <v>46316</v>
      </c>
      <c r="Y308" s="387">
        <f t="shared" si="113"/>
        <v>12.19349304614358</v>
      </c>
      <c r="Z308" s="387">
        <f t="shared" si="114"/>
        <v>13.076117344358801</v>
      </c>
      <c r="AA308" s="388">
        <f t="shared" si="115"/>
        <v>15.434433068273336</v>
      </c>
      <c r="AB308" s="199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0.1527957465935198</v>
      </c>
      <c r="AD308" s="233">
        <f>(INDEX(Models!$BJ308:$BT308,,AH308)*(1-AF308)+INDEX(Models!$BJ308:$BT308,,AH308+1)*AF308-ERP_i)*AE308*Ramure*Pc/MaxiM</f>
        <v>9.8594787535625367E-2</v>
      </c>
      <c r="AE308" s="307">
        <f t="shared" si="117"/>
        <v>0.9</v>
      </c>
      <c r="AF308" s="179">
        <f t="shared" si="118"/>
        <v>0.19772700067327698</v>
      </c>
      <c r="AG308" s="839">
        <f t="shared" si="124"/>
        <v>3</v>
      </c>
      <c r="AH308" s="178">
        <f t="shared" si="119"/>
        <v>9</v>
      </c>
      <c r="AI308" s="227">
        <f t="shared" si="120"/>
        <v>3.197727000673277</v>
      </c>
      <c r="AJ308" s="267" t="b">
        <f t="shared" si="121"/>
        <v>0</v>
      </c>
      <c r="AK308" s="267" t="b">
        <f t="shared" si="122"/>
        <v>0</v>
      </c>
      <c r="AL308" s="267"/>
      <c r="AM308" s="267"/>
      <c r="AN308" s="75"/>
    </row>
    <row r="309" spans="1:40" s="6" customFormat="1" ht="11.25" x14ac:dyDescent="0.2">
      <c r="A309" s="56">
        <f t="shared" si="123"/>
        <v>46317</v>
      </c>
      <c r="B309" s="413">
        <f>'2025'!Wh/'2025'!Env_an*'2026'!Env_an</f>
        <v>24.758643565691994</v>
      </c>
      <c r="C309" s="868"/>
      <c r="D309" s="395">
        <f t="shared" si="102"/>
        <v>26.551412426799221</v>
      </c>
      <c r="E309" s="387">
        <f t="shared" si="125"/>
        <v>28.214362346112839</v>
      </c>
      <c r="F309" s="387">
        <f t="shared" si="103"/>
        <v>28.341814260806895</v>
      </c>
      <c r="G309" s="110">
        <f t="shared" si="126"/>
        <v>0.93249283599337418</v>
      </c>
      <c r="H309" s="416" t="b">
        <f>Wh_hp&gt;='2025'!Maxi_hp</f>
        <v>0</v>
      </c>
      <c r="I309" s="392">
        <f>IF(H309,Wh_hp,'2025'!Maxi_hp)</f>
        <v>28.351350705771125</v>
      </c>
      <c r="J309" s="85">
        <f>IF(H309,An,'2025'!An_max)</f>
        <v>2025</v>
      </c>
      <c r="K309" s="199">
        <f t="shared" si="104"/>
        <v>46317</v>
      </c>
      <c r="L309" s="147">
        <f>IF(t&lt;Tvie,1-EXP((T0-t)*PertePVj)+'2025'!Pspv,1-EXP((T0-t)*PertePVj)+Pspv)</f>
        <v>6.7520658874543504E-2</v>
      </c>
      <c r="M309" s="872"/>
      <c r="N309" s="872"/>
      <c r="O309" s="48">
        <f>IF(t&lt;Tnet,'2025'!Resal+('2025'!Salim-'2025'!Resal)*(1-EXP(('2025'!Tnet-t)/('2025'!Tau_j))),Resal+(Salim-Resal)*(1-EXP((Tnet-t)/(Tau_j))))*Salcycl</f>
        <v>5.8939837055815208E-2</v>
      </c>
      <c r="P309" s="171">
        <f>(INDEX(Models!$BJ309:$BT309,,T309)*(1-R309)+INDEX(Models!$BJ309:$BT309,,T309+1)*R309-ERP_i)*Q309*Ramure*Pc/MaxiM</f>
        <v>4.9734145421287713E-3</v>
      </c>
      <c r="Q309" s="307">
        <f t="shared" si="105"/>
        <v>0.9</v>
      </c>
      <c r="R309" s="179">
        <f t="shared" si="106"/>
        <v>0.56218976493848238</v>
      </c>
      <c r="S309" s="839">
        <f t="shared" si="107"/>
        <v>-2</v>
      </c>
      <c r="T309" s="178">
        <f t="shared" si="108"/>
        <v>4</v>
      </c>
      <c r="U309" s="253">
        <f t="shared" si="109"/>
        <v>-1.4378102350615176</v>
      </c>
      <c r="V309" s="385">
        <f t="shared" si="110"/>
        <v>26.538320591449921</v>
      </c>
      <c r="W309" s="404">
        <f t="shared" si="111"/>
        <v>24.758643565691994</v>
      </c>
      <c r="X309" s="157">
        <f t="shared" si="112"/>
        <v>46317</v>
      </c>
      <c r="Y309" s="387">
        <f t="shared" si="113"/>
        <v>20.337102221361668</v>
      </c>
      <c r="Z309" s="387">
        <f t="shared" si="114"/>
        <v>21.809708080841546</v>
      </c>
      <c r="AA309" s="388">
        <f t="shared" si="115"/>
        <v>25.741553829436107</v>
      </c>
      <c r="AB309" s="199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0.15274313954188723</v>
      </c>
      <c r="AD309" s="233">
        <f>(INDEX(Models!$BJ309:$BT309,,AH309)*(1-AF309)+INDEX(Models!$BJ309:$BT309,,AH309+1)*AF309-ERP_i)*AE309*Ramure*Pc/MaxiM</f>
        <v>0.10146707543582066</v>
      </c>
      <c r="AE309" s="307">
        <f t="shared" si="117"/>
        <v>0.9</v>
      </c>
      <c r="AF309" s="179">
        <f t="shared" si="118"/>
        <v>0.19784541724546134</v>
      </c>
      <c r="AG309" s="839">
        <f t="shared" si="124"/>
        <v>3</v>
      </c>
      <c r="AH309" s="178">
        <f t="shared" si="119"/>
        <v>9</v>
      </c>
      <c r="AI309" s="227">
        <f t="shared" si="120"/>
        <v>3.1978454172454613</v>
      </c>
      <c r="AJ309" s="267" t="b">
        <f t="shared" si="121"/>
        <v>0</v>
      </c>
      <c r="AK309" s="267" t="b">
        <f t="shared" si="122"/>
        <v>0</v>
      </c>
      <c r="AL309" s="267"/>
      <c r="AM309" s="267"/>
      <c r="AN309" s="75"/>
    </row>
    <row r="310" spans="1:40" s="6" customFormat="1" ht="11.25" x14ac:dyDescent="0.2">
      <c r="A310" s="56">
        <f t="shared" si="123"/>
        <v>46318</v>
      </c>
      <c r="B310" s="413">
        <f>'2025'!Wh/'2025'!Env_an*'2026'!Env_an</f>
        <v>16.743386142177254</v>
      </c>
      <c r="C310" s="868"/>
      <c r="D310" s="395">
        <f t="shared" si="102"/>
        <v>17.956189543129351</v>
      </c>
      <c r="E310" s="387">
        <f t="shared" si="125"/>
        <v>19.083505076035038</v>
      </c>
      <c r="F310" s="387">
        <f t="shared" si="103"/>
        <v>19.132742958930642</v>
      </c>
      <c r="G310" s="110">
        <f t="shared" si="126"/>
        <v>0.63705618529981578</v>
      </c>
      <c r="H310" s="416" t="b">
        <f>Wh_hp&gt;='2025'!Maxi_hp</f>
        <v>0</v>
      </c>
      <c r="I310" s="392">
        <f>IF(H310,Wh_hp,'2025'!Maxi_hp)</f>
        <v>30.486938678311564</v>
      </c>
      <c r="J310" s="85">
        <f>IF(H310,An,'2025'!An_max)</f>
        <v>2021</v>
      </c>
      <c r="K310" s="199">
        <f t="shared" si="104"/>
        <v>46318</v>
      </c>
      <c r="L310" s="147">
        <f>IF(t&lt;Tvie,1-EXP((T0-t)*PertePVj)+'2025'!Pspv,1-EXP((T0-t)*PertePVj)+Pspv)</f>
        <v>6.7542359031076193E-2</v>
      </c>
      <c r="M310" s="872"/>
      <c r="N310" s="872"/>
      <c r="O310" s="48">
        <f>IF(t&lt;Tnet,'2025'!Resal+('2025'!Salim-'2025'!Resal)*(1-EXP(('2025'!Tnet-t)/('2025'!Tau_j))),Resal+(Salim-Resal)*(1-EXP((Tnet-t)/(Tau_j))))*Salcycl</f>
        <v>5.9072771402008561E-2</v>
      </c>
      <c r="P310" s="171">
        <f>(INDEX(Models!$BJ310:$BT310,,T310)*(1-R310)+INDEX(Models!$BJ310:$BT310,,T310+1)*R310-ERP_i)*Q310*Ramure*Pc/MaxiM</f>
        <v>5.3169159408372789E-3</v>
      </c>
      <c r="Q310" s="307">
        <f t="shared" si="105"/>
        <v>0.9</v>
      </c>
      <c r="R310" s="179">
        <f t="shared" si="106"/>
        <v>0.56230345149303274</v>
      </c>
      <c r="S310" s="839">
        <f t="shared" si="107"/>
        <v>-2</v>
      </c>
      <c r="T310" s="178">
        <f t="shared" si="108"/>
        <v>4</v>
      </c>
      <c r="U310" s="253">
        <f t="shared" si="109"/>
        <v>-1.4376965485069673</v>
      </c>
      <c r="V310" s="385">
        <f t="shared" si="110"/>
        <v>26.210142427742209</v>
      </c>
      <c r="W310" s="404">
        <f t="shared" si="111"/>
        <v>16.743386142177254</v>
      </c>
      <c r="X310" s="157">
        <f t="shared" si="112"/>
        <v>46318</v>
      </c>
      <c r="Y310" s="387">
        <f t="shared" si="113"/>
        <v>14.352378395414046</v>
      </c>
      <c r="Z310" s="387">
        <f t="shared" si="114"/>
        <v>15.39198968920495</v>
      </c>
      <c r="AA310" s="388">
        <f t="shared" si="115"/>
        <v>18.165676366994283</v>
      </c>
      <c r="AB310" s="199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0.1526883239442117</v>
      </c>
      <c r="AD310" s="233">
        <f>(INDEX(Models!$BJ310:$BT310,,AH310)*(1-AF310)+INDEX(Models!$BJ310:$BT310,,AH310+1)*AF310-ERP_i)*AE310*Ramure*Pc/MaxiM</f>
        <v>0.10442796229520342</v>
      </c>
      <c r="AE310" s="307">
        <f t="shared" si="117"/>
        <v>0.9</v>
      </c>
      <c r="AF310" s="179">
        <f t="shared" si="118"/>
        <v>0.19795910380001169</v>
      </c>
      <c r="AG310" s="839">
        <f t="shared" si="124"/>
        <v>3</v>
      </c>
      <c r="AH310" s="178">
        <f t="shared" si="119"/>
        <v>9</v>
      </c>
      <c r="AI310" s="227">
        <f t="shared" si="120"/>
        <v>3.1979591038000117</v>
      </c>
      <c r="AJ310" s="267" t="b">
        <f t="shared" si="121"/>
        <v>0</v>
      </c>
      <c r="AK310" s="267" t="b">
        <f t="shared" si="122"/>
        <v>0</v>
      </c>
      <c r="AL310" s="267"/>
      <c r="AM310" s="267"/>
      <c r="AN310" s="75"/>
    </row>
    <row r="311" spans="1:40" s="6" customFormat="1" ht="11.25" x14ac:dyDescent="0.2">
      <c r="A311" s="56">
        <f t="shared" si="123"/>
        <v>46319</v>
      </c>
      <c r="B311" s="413">
        <f>'2025'!Wh/'2025'!Env_an*'2026'!Env_an</f>
        <v>19.807596351518445</v>
      </c>
      <c r="C311" s="868"/>
      <c r="D311" s="395">
        <f t="shared" si="102"/>
        <v>21.242849480398004</v>
      </c>
      <c r="E311" s="387">
        <f t="shared" si="125"/>
        <v>22.579666427954137</v>
      </c>
      <c r="F311" s="387">
        <f t="shared" si="103"/>
        <v>22.665547358620838</v>
      </c>
      <c r="G311" s="110">
        <f t="shared" si="126"/>
        <v>0.76373769577281136</v>
      </c>
      <c r="H311" s="416" t="b">
        <f>Wh_hp&gt;='2025'!Maxi_hp</f>
        <v>0</v>
      </c>
      <c r="I311" s="392">
        <f>IF(H311,Wh_hp,'2025'!Maxi_hp)</f>
        <v>30.713396956245166</v>
      </c>
      <c r="J311" s="85">
        <f>IF(H311,An,'2025'!An_max)</f>
        <v>2021</v>
      </c>
      <c r="K311" s="199">
        <f t="shared" si="104"/>
        <v>46319</v>
      </c>
      <c r="L311" s="147">
        <f>IF(t&lt;Tvie,1-EXP((T0-t)*PertePVj)+'2025'!Pspv,1-EXP((T0-t)*PertePVj)+Pspv)</f>
        <v>6.7564058682614503E-2</v>
      </c>
      <c r="M311" s="872"/>
      <c r="N311" s="872"/>
      <c r="O311" s="48">
        <f>IF(t&lt;Tnet,'2025'!Resal+('2025'!Salim-'2025'!Resal)*(1-EXP(('2025'!Tnet-t)/('2025'!Tau_j))),Resal+(Salim-Resal)*(1-EXP((Tnet-t)/(Tau_j))))*Salcycl</f>
        <v>5.92044595442352E-2</v>
      </c>
      <c r="P311" s="171">
        <f>(INDEX(Models!$BJ311:$BT311,,T311)*(1-R311)+INDEX(Models!$BJ311:$BT311,,T311+1)*R311-ERP_i)*Q311*Ramure*Pc/MaxiM</f>
        <v>5.7014154613491694E-3</v>
      </c>
      <c r="Q311" s="307">
        <f t="shared" si="105"/>
        <v>0.9</v>
      </c>
      <c r="R311" s="179">
        <f t="shared" si="106"/>
        <v>0.56241259551038247</v>
      </c>
      <c r="S311" s="839">
        <f t="shared" si="107"/>
        <v>-2</v>
      </c>
      <c r="T311" s="178">
        <f t="shared" si="108"/>
        <v>4</v>
      </c>
      <c r="U311" s="253">
        <f t="shared" si="109"/>
        <v>-1.4375874044896175</v>
      </c>
      <c r="V311" s="385">
        <f t="shared" si="110"/>
        <v>25.88529158475292</v>
      </c>
      <c r="W311" s="404">
        <f t="shared" si="111"/>
        <v>19.807596351518445</v>
      </c>
      <c r="X311" s="157">
        <f t="shared" si="112"/>
        <v>46319</v>
      </c>
      <c r="Y311" s="387">
        <f t="shared" si="113"/>
        <v>16.629319887499108</v>
      </c>
      <c r="Z311" s="387">
        <f t="shared" si="114"/>
        <v>17.83427595466182</v>
      </c>
      <c r="AA311" s="388">
        <f t="shared" si="115"/>
        <v>21.046657872885028</v>
      </c>
      <c r="AB311" s="199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0.15263145044809251</v>
      </c>
      <c r="AD311" s="233">
        <f>(INDEX(Models!$BJ311:$BT311,,AH311)*(1-AF311)+INDEX(Models!$BJ311:$BT311,,AH311+1)*AF311-ERP_i)*AE311*Ramure*Pc/MaxiM</f>
        <v>0.1074739348134339</v>
      </c>
      <c r="AE311" s="307">
        <f t="shared" si="117"/>
        <v>0.9</v>
      </c>
      <c r="AF311" s="179">
        <f t="shared" si="118"/>
        <v>0.19806824781736143</v>
      </c>
      <c r="AG311" s="839">
        <f t="shared" si="124"/>
        <v>3</v>
      </c>
      <c r="AH311" s="178">
        <f t="shared" si="119"/>
        <v>9</v>
      </c>
      <c r="AI311" s="227">
        <f t="shared" si="120"/>
        <v>3.1980682478173614</v>
      </c>
      <c r="AJ311" s="267" t="b">
        <f t="shared" si="121"/>
        <v>0</v>
      </c>
      <c r="AK311" s="267" t="b">
        <f t="shared" si="122"/>
        <v>0</v>
      </c>
      <c r="AL311" s="267"/>
      <c r="AM311" s="267"/>
      <c r="AN311" s="75"/>
    </row>
    <row r="312" spans="1:40" s="6" customFormat="1" ht="11.25" x14ac:dyDescent="0.2">
      <c r="A312" s="56">
        <f t="shared" si="123"/>
        <v>46320</v>
      </c>
      <c r="B312" s="413">
        <f>'2025'!Wh/'2025'!Env_an*'2026'!Env_an</f>
        <v>18.320033064349126</v>
      </c>
      <c r="C312" s="868"/>
      <c r="D312" s="395">
        <f t="shared" si="102"/>
        <v>19.647954992296942</v>
      </c>
      <c r="E312" s="387">
        <f t="shared" si="125"/>
        <v>20.887302212472271</v>
      </c>
      <c r="F312" s="387">
        <f t="shared" si="103"/>
        <v>20.963771646202883</v>
      </c>
      <c r="G312" s="110">
        <f t="shared" si="126"/>
        <v>0.71486471451844835</v>
      </c>
      <c r="H312" s="416" t="b">
        <f>Wh_hp&gt;='2025'!Maxi_hp</f>
        <v>0</v>
      </c>
      <c r="I312" s="392">
        <f>IF(H312,Wh_hp,'2025'!Maxi_hp)</f>
        <v>29.429997890434077</v>
      </c>
      <c r="J312" s="85">
        <f>IF(H312,An,'2025'!An_max)</f>
        <v>2021</v>
      </c>
      <c r="K312" s="199">
        <f t="shared" si="104"/>
        <v>46320</v>
      </c>
      <c r="L312" s="147">
        <f>IF(t&lt;Tvie,1-EXP((T0-t)*PertePVj)+'2025'!Pspv,1-EXP((T0-t)*PertePVj)+Pspv)</f>
        <v>6.7585757829170201E-2</v>
      </c>
      <c r="M312" s="872"/>
      <c r="N312" s="872"/>
      <c r="O312" s="48">
        <f>IF(t&lt;Tnet,'2025'!Resal+('2025'!Salim-'2025'!Resal)*(1-EXP(('2025'!Tnet-t)/('2025'!Tau_j))),Resal+(Salim-Resal)*(1-EXP((Tnet-t)/(Tau_j))))*Salcycl</f>
        <v>5.9334958989355993E-2</v>
      </c>
      <c r="P312" s="171">
        <f>(INDEX(Models!$BJ312:$BT312,,T312)*(1-R312)+INDEX(Models!$BJ312:$BT312,,T312+1)*R312-ERP_i)*Q312*Ramure*Pc/MaxiM</f>
        <v>6.1283864141675791E-3</v>
      </c>
      <c r="Q312" s="307">
        <f t="shared" si="105"/>
        <v>0.9</v>
      </c>
      <c r="R312" s="179">
        <f t="shared" si="106"/>
        <v>0.56251737715435413</v>
      </c>
      <c r="S312" s="839">
        <f t="shared" si="107"/>
        <v>-2</v>
      </c>
      <c r="T312" s="178">
        <f t="shared" si="108"/>
        <v>4</v>
      </c>
      <c r="U312" s="253">
        <f t="shared" si="109"/>
        <v>-1.4374826228456459</v>
      </c>
      <c r="V312" s="385">
        <f t="shared" si="110"/>
        <v>25.563466699750485</v>
      </c>
      <c r="W312" s="404">
        <f t="shared" si="111"/>
        <v>18.320033064349126</v>
      </c>
      <c r="X312" s="157">
        <f t="shared" si="112"/>
        <v>46320</v>
      </c>
      <c r="Y312" s="387">
        <f t="shared" si="113"/>
        <v>15.474050949916599</v>
      </c>
      <c r="Z312" s="387">
        <f t="shared" si="114"/>
        <v>16.595682744924826</v>
      </c>
      <c r="AA312" s="388">
        <f t="shared" si="115"/>
        <v>19.583605980333139</v>
      </c>
      <c r="AB312" s="199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0.1525726793323425</v>
      </c>
      <c r="AD312" s="233">
        <f>(INDEX(Models!$BJ312:$BT312,,AH312)*(1-AF312)+INDEX(Models!$BJ312:$BT312,,AH312+1)*AF312-ERP_i)*AE312*Ramure*Pc/MaxiM</f>
        <v>0.1106087504951781</v>
      </c>
      <c r="AE312" s="307">
        <f t="shared" si="117"/>
        <v>0.9</v>
      </c>
      <c r="AF312" s="179">
        <f t="shared" si="118"/>
        <v>0.19817302946133308</v>
      </c>
      <c r="AG312" s="839">
        <f t="shared" si="124"/>
        <v>3</v>
      </c>
      <c r="AH312" s="178">
        <f t="shared" si="119"/>
        <v>9</v>
      </c>
      <c r="AI312" s="227">
        <f t="shared" si="120"/>
        <v>3.1981730294613331</v>
      </c>
      <c r="AJ312" s="267" t="b">
        <f t="shared" si="121"/>
        <v>0</v>
      </c>
      <c r="AK312" s="267" t="b">
        <f t="shared" si="122"/>
        <v>0</v>
      </c>
      <c r="AL312" s="267"/>
      <c r="AM312" s="267"/>
      <c r="AN312" s="75"/>
    </row>
    <row r="313" spans="1:40" s="6" customFormat="1" ht="11.25" x14ac:dyDescent="0.2">
      <c r="A313" s="56">
        <f t="shared" si="123"/>
        <v>46321</v>
      </c>
      <c r="B313" s="413">
        <f>'2025'!Wh/'2025'!Env_an*'2026'!Env_an</f>
        <v>14.522073174127531</v>
      </c>
      <c r="C313" s="868"/>
      <c r="D313" s="395">
        <f t="shared" si="102"/>
        <v>15.575063609109653</v>
      </c>
      <c r="E313" s="387">
        <f t="shared" si="125"/>
        <v>16.559779847018685</v>
      </c>
      <c r="F313" s="387">
        <f t="shared" si="103"/>
        <v>16.602864900347701</v>
      </c>
      <c r="G313" s="110">
        <f t="shared" si="126"/>
        <v>0.57295043739843454</v>
      </c>
      <c r="H313" s="416" t="b">
        <f>Wh_hp&gt;='2025'!Maxi_hp</f>
        <v>0</v>
      </c>
      <c r="I313" s="392">
        <f>IF(H313,Wh_hp,'2025'!Maxi_hp)</f>
        <v>29.199862154592079</v>
      </c>
      <c r="J313" s="85">
        <f>IF(H313,An,'2025'!An_max)</f>
        <v>2019</v>
      </c>
      <c r="K313" s="199">
        <f t="shared" si="104"/>
        <v>46321</v>
      </c>
      <c r="L313" s="147">
        <f>IF(t&lt;Tvie,1-EXP((T0-t)*PertePVj)+'2025'!Pspv,1-EXP((T0-t)*PertePVj)+Pspv)</f>
        <v>6.7607456470755056E-2</v>
      </c>
      <c r="M313" s="872"/>
      <c r="N313" s="872"/>
      <c r="O313" s="48">
        <f>IF(t&lt;Tnet,'2025'!Resal+('2025'!Salim-'2025'!Resal)*(1-EXP(('2025'!Tnet-t)/('2025'!Tau_j))),Resal+(Salim-Resal)*(1-EXP((Tnet-t)/(Tau_j))))*Salcycl</f>
        <v>5.9464331470947318E-2</v>
      </c>
      <c r="P313" s="171">
        <f>(INDEX(Models!$BJ313:$BT313,,T313)*(1-R313)+INDEX(Models!$BJ313:$BT313,,T313+1)*R313-ERP_i)*Q313*Ramure*Pc/MaxiM</f>
        <v>6.599311781222055E-3</v>
      </c>
      <c r="Q313" s="307">
        <f t="shared" si="105"/>
        <v>0.9</v>
      </c>
      <c r="R313" s="179">
        <f t="shared" si="106"/>
        <v>0.56261796954867549</v>
      </c>
      <c r="S313" s="839">
        <f t="shared" si="107"/>
        <v>-2</v>
      </c>
      <c r="T313" s="178">
        <f t="shared" si="108"/>
        <v>4</v>
      </c>
      <c r="U313" s="253">
        <f t="shared" si="109"/>
        <v>-1.4373820304513245</v>
      </c>
      <c r="V313" s="385">
        <f t="shared" si="110"/>
        <v>25.244367693412283</v>
      </c>
      <c r="W313" s="404">
        <f t="shared" si="111"/>
        <v>14.522073174127531</v>
      </c>
      <c r="X313" s="157">
        <f t="shared" si="112"/>
        <v>46321</v>
      </c>
      <c r="Y313" s="387">
        <f t="shared" si="113"/>
        <v>12.532169445612384</v>
      </c>
      <c r="Z313" s="387">
        <f t="shared" si="114"/>
        <v>13.440872658822702</v>
      </c>
      <c r="AA313" s="388">
        <f t="shared" si="115"/>
        <v>15.859664695851595</v>
      </c>
      <c r="AB313" s="199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0.15251218001232883</v>
      </c>
      <c r="AD313" s="233">
        <f>(INDEX(Models!$BJ313:$BT313,,AH313)*(1-AF313)+INDEX(Models!$BJ313:$BT313,,AH313+1)*AF313-ERP_i)*AE313*Ramure*Pc/MaxiM</f>
        <v>0.11383552964143259</v>
      </c>
      <c r="AE313" s="307">
        <f t="shared" si="117"/>
        <v>0.9</v>
      </c>
      <c r="AF313" s="179">
        <f t="shared" si="118"/>
        <v>0.19827362185565445</v>
      </c>
      <c r="AG313" s="839">
        <f t="shared" si="124"/>
        <v>3</v>
      </c>
      <c r="AH313" s="178">
        <f t="shared" si="119"/>
        <v>9</v>
      </c>
      <c r="AI313" s="227">
        <f t="shared" si="120"/>
        <v>3.1982736218556544</v>
      </c>
      <c r="AJ313" s="267" t="b">
        <f t="shared" si="121"/>
        <v>0</v>
      </c>
      <c r="AK313" s="267" t="b">
        <f t="shared" si="122"/>
        <v>0</v>
      </c>
      <c r="AL313" s="267"/>
      <c r="AM313" s="267"/>
      <c r="AN313" s="75"/>
    </row>
    <row r="314" spans="1:40" s="6" customFormat="1" ht="11.25" x14ac:dyDescent="0.2">
      <c r="A314" s="56">
        <f t="shared" si="123"/>
        <v>46322</v>
      </c>
      <c r="B314" s="413">
        <f>'2025'!Wh/'2025'!Env_an*'2026'!Env_an</f>
        <v>11.613936058778599</v>
      </c>
      <c r="C314" s="868"/>
      <c r="D314" s="395">
        <f t="shared" si="102"/>
        <v>12.456348368430586</v>
      </c>
      <c r="E314" s="387">
        <f t="shared" si="125"/>
        <v>13.24569429693339</v>
      </c>
      <c r="F314" s="387">
        <f t="shared" si="103"/>
        <v>13.26807061251256</v>
      </c>
      <c r="G314" s="110">
        <f t="shared" si="126"/>
        <v>0.46337114972596405</v>
      </c>
      <c r="H314" s="416" t="b">
        <f>Wh_hp&gt;='2025'!Maxi_hp</f>
        <v>0</v>
      </c>
      <c r="I314" s="392">
        <f>IF(H314,Wh_hp,'2025'!Maxi_hp)</f>
        <v>29.266376232509479</v>
      </c>
      <c r="J314" s="85">
        <f>IF(H314,An,'2025'!An_max)</f>
        <v>2021</v>
      </c>
      <c r="K314" s="199">
        <f t="shared" si="104"/>
        <v>46322</v>
      </c>
      <c r="L314" s="147">
        <f>IF(t&lt;Tvie,1-EXP((T0-t)*PertePVj)+'2025'!Pspv,1-EXP((T0-t)*PertePVj)+Pspv)</f>
        <v>6.7629154607380726E-2</v>
      </c>
      <c r="M314" s="872"/>
      <c r="N314" s="872"/>
      <c r="O314" s="48">
        <f>IF(t&lt;Tnet,'2025'!Resal+('2025'!Salim-'2025'!Resal)*(1-EXP(('2025'!Tnet-t)/('2025'!Tau_j))),Resal+(Salim-Resal)*(1-EXP((Tnet-t)/(Tau_j))))*Salcycl</f>
        <v>5.9592642771889422E-2</v>
      </c>
      <c r="P314" s="171">
        <f>(INDEX(Models!$BJ314:$BT314,,T314)*(1-R314)+INDEX(Models!$BJ314:$BT314,,T314+1)*R314-ERP_i)*Q314*Ramure*Pc/MaxiM</f>
        <v>7.1157311380078752E-3</v>
      </c>
      <c r="Q314" s="307">
        <f t="shared" si="105"/>
        <v>0.9</v>
      </c>
      <c r="R314" s="179">
        <f t="shared" si="106"/>
        <v>0.56271453904376356</v>
      </c>
      <c r="S314" s="839">
        <f t="shared" si="107"/>
        <v>-2</v>
      </c>
      <c r="T314" s="178">
        <f t="shared" si="108"/>
        <v>4</v>
      </c>
      <c r="U314" s="253">
        <f t="shared" si="109"/>
        <v>-1.4372854609562364</v>
      </c>
      <c r="V314" s="385">
        <f t="shared" si="110"/>
        <v>24.92769468249459</v>
      </c>
      <c r="W314" s="404">
        <f t="shared" si="111"/>
        <v>11.613936058778599</v>
      </c>
      <c r="X314" s="157">
        <f t="shared" si="112"/>
        <v>46322</v>
      </c>
      <c r="Y314" s="387">
        <f t="shared" si="113"/>
        <v>10.193703509523912</v>
      </c>
      <c r="Z314" s="387">
        <f t="shared" si="114"/>
        <v>10.933099806688364</v>
      </c>
      <c r="AA314" s="388">
        <f t="shared" si="115"/>
        <v>12.899653695729363</v>
      </c>
      <c r="AB314" s="199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0.15245013047846845</v>
      </c>
      <c r="AD314" s="233">
        <f>(INDEX(Models!$BJ314:$BT314,,AH314)*(1-AF314)+INDEX(Models!$BJ314:$BT314,,AH314+1)*AF314-ERP_i)*AE314*Ramure*Pc/MaxiM</f>
        <v>0.11715761324726748</v>
      </c>
      <c r="AE314" s="307">
        <f t="shared" si="117"/>
        <v>0.9</v>
      </c>
      <c r="AF314" s="179">
        <f t="shared" si="118"/>
        <v>0.19837019135074252</v>
      </c>
      <c r="AG314" s="839">
        <f t="shared" si="124"/>
        <v>3</v>
      </c>
      <c r="AH314" s="178">
        <f t="shared" si="119"/>
        <v>9</v>
      </c>
      <c r="AI314" s="227">
        <f t="shared" si="120"/>
        <v>3.1983701913507425</v>
      </c>
      <c r="AJ314" s="267" t="b">
        <f t="shared" si="121"/>
        <v>0</v>
      </c>
      <c r="AK314" s="267" t="b">
        <f t="shared" si="122"/>
        <v>0</v>
      </c>
      <c r="AL314" s="267"/>
      <c r="AM314" s="267"/>
      <c r="AN314" s="75"/>
    </row>
    <row r="315" spans="1:40" s="6" customFormat="1" ht="11.25" x14ac:dyDescent="0.2">
      <c r="A315" s="56">
        <f t="shared" si="123"/>
        <v>46323</v>
      </c>
      <c r="B315" s="413">
        <f>'2025'!Wh/'2025'!Env_an*'2026'!Env_an</f>
        <v>15.813938651344159</v>
      </c>
      <c r="C315" s="868"/>
      <c r="D315" s="395">
        <f t="shared" si="102"/>
        <v>16.961391222721357</v>
      </c>
      <c r="E315" s="387">
        <f t="shared" si="125"/>
        <v>18.038659278725206</v>
      </c>
      <c r="F315" s="387">
        <f t="shared" si="103"/>
        <v>18.10669231260022</v>
      </c>
      <c r="G315" s="110">
        <f t="shared" si="126"/>
        <v>0.63997031062079401</v>
      </c>
      <c r="H315" s="416" t="b">
        <f>Wh_hp&gt;='2025'!Maxi_hp</f>
        <v>0</v>
      </c>
      <c r="I315" s="392">
        <f>IF(H315,Wh_hp,'2025'!Maxi_hp)</f>
        <v>28.371022569697843</v>
      </c>
      <c r="J315" s="85">
        <f>IF(H315,An,'2025'!An_max)</f>
        <v>2021</v>
      </c>
      <c r="K315" s="199">
        <f t="shared" si="104"/>
        <v>46323</v>
      </c>
      <c r="L315" s="147">
        <f>IF(t&lt;Tvie,1-EXP((T0-t)*PertePVj)+'2025'!Pspv,1-EXP((T0-t)*PertePVj)+Pspv)</f>
        <v>6.76508522390592E-2</v>
      </c>
      <c r="M315" s="872"/>
      <c r="N315" s="872"/>
      <c r="O315" s="48">
        <f>IF(t&lt;Tnet,'2025'!Resal+('2025'!Salim-'2025'!Resal)*(1-EXP(('2025'!Tnet-t)/('2025'!Tau_j))),Resal+(Salim-Resal)*(1-EXP((Tnet-t)/(Tau_j))))*Salcycl</f>
        <v>5.9719962518188771E-2</v>
      </c>
      <c r="P315" s="171">
        <f>(INDEX(Models!$BJ315:$BT315,,T315)*(1-R315)+INDEX(Models!$BJ315:$BT315,,T315+1)*R315-ERP_i)*Q315*Ramure*Pc/MaxiM</f>
        <v>7.6792470829177718E-3</v>
      </c>
      <c r="Q315" s="307">
        <f t="shared" si="105"/>
        <v>0.9</v>
      </c>
      <c r="R315" s="179">
        <f t="shared" si="106"/>
        <v>0.56280724547405847</v>
      </c>
      <c r="S315" s="839">
        <f t="shared" si="107"/>
        <v>-2</v>
      </c>
      <c r="T315" s="178">
        <f t="shared" si="108"/>
        <v>4</v>
      </c>
      <c r="U315" s="253">
        <f t="shared" si="109"/>
        <v>-1.4371927545259415</v>
      </c>
      <c r="V315" s="385">
        <f t="shared" si="110"/>
        <v>24.613148000792936</v>
      </c>
      <c r="W315" s="404">
        <f t="shared" si="111"/>
        <v>15.813938651344159</v>
      </c>
      <c r="X315" s="157">
        <f t="shared" si="112"/>
        <v>46323</v>
      </c>
      <c r="Y315" s="387">
        <f t="shared" si="113"/>
        <v>13.46499871729654</v>
      </c>
      <c r="Z315" s="387">
        <f t="shared" si="114"/>
        <v>14.442013219653884</v>
      </c>
      <c r="AA315" s="388">
        <f t="shared" si="115"/>
        <v>17.03844607404719</v>
      </c>
      <c r="AB315" s="199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0.15238671667061057</v>
      </c>
      <c r="AD315" s="233">
        <f>(INDEX(Models!$BJ315:$BT315,,AH315)*(1-AF315)+INDEX(Models!$BJ315:$BT315,,AH315+1)*AF315-ERP_i)*AE315*Ramure*Pc/MaxiM</f>
        <v>0.12057858284428026</v>
      </c>
      <c r="AE315" s="307">
        <f t="shared" si="117"/>
        <v>0.9</v>
      </c>
      <c r="AF315" s="179">
        <f t="shared" si="118"/>
        <v>0.19846289778103721</v>
      </c>
      <c r="AG315" s="839">
        <f t="shared" si="124"/>
        <v>3</v>
      </c>
      <c r="AH315" s="178">
        <f t="shared" si="119"/>
        <v>9</v>
      </c>
      <c r="AI315" s="227">
        <f t="shared" si="120"/>
        <v>3.1984628977810372</v>
      </c>
      <c r="AJ315" s="267" t="b">
        <f t="shared" si="121"/>
        <v>0</v>
      </c>
      <c r="AK315" s="267" t="b">
        <f t="shared" si="122"/>
        <v>0</v>
      </c>
      <c r="AL315" s="267"/>
      <c r="AM315" s="267"/>
      <c r="AN315" s="75"/>
    </row>
    <row r="316" spans="1:40" s="6" customFormat="1" ht="11.25" x14ac:dyDescent="0.2">
      <c r="A316" s="56">
        <f t="shared" si="123"/>
        <v>46324</v>
      </c>
      <c r="B316" s="413">
        <f>'2025'!Wh/'2025'!Env_an*'2026'!Env_an</f>
        <v>20.087651736124247</v>
      </c>
      <c r="C316" s="868"/>
      <c r="D316" s="395">
        <f t="shared" si="102"/>
        <v>21.545704486615733</v>
      </c>
      <c r="E316" s="387">
        <f t="shared" si="125"/>
        <v>22.917216570072636</v>
      </c>
      <c r="F316" s="387">
        <f t="shared" si="103"/>
        <v>23.061072665352441</v>
      </c>
      <c r="G316" s="110">
        <f t="shared" si="126"/>
        <v>0.82492962544585391</v>
      </c>
      <c r="H316" s="416" t="b">
        <f>Wh_hp&gt;='2025'!Maxi_hp</f>
        <v>0</v>
      </c>
      <c r="I316" s="392">
        <f>IF(H316,Wh_hp,'2025'!Maxi_hp)</f>
        <v>25.15927908632538</v>
      </c>
      <c r="J316" s="85">
        <f>IF(H316,An,'2025'!An_max)</f>
        <v>2019</v>
      </c>
      <c r="K316" s="199">
        <f t="shared" si="104"/>
        <v>46324</v>
      </c>
      <c r="L316" s="147">
        <f>IF(t&lt;Tvie,1-EXP((T0-t)*PertePVj)+'2025'!Pspv,1-EXP((T0-t)*PertePVj)+Pspv)</f>
        <v>6.7672549365802026E-2</v>
      </c>
      <c r="M316" s="872"/>
      <c r="N316" s="872"/>
      <c r="O316" s="48">
        <f>IF(t&lt;Tnet,'2025'!Resal+('2025'!Salim-'2025'!Resal)*(1-EXP(('2025'!Tnet-t)/('2025'!Tau_j))),Resal+(Salim-Resal)*(1-EXP((Tnet-t)/(Tau_j))))*Salcycl</f>
        <v>5.9846363944910629E-2</v>
      </c>
      <c r="P316" s="171">
        <f>(INDEX(Models!$BJ316:$BT316,,T316)*(1-R316)+INDEX(Models!$BJ316:$BT316,,T316+1)*R316-ERP_i)*Q316*Ramure*Pc/MaxiM</f>
        <v>8.2915324016162965E-3</v>
      </c>
      <c r="Q316" s="307">
        <f t="shared" si="105"/>
        <v>0.9</v>
      </c>
      <c r="R316" s="179">
        <f t="shared" si="106"/>
        <v>0.56289624240618918</v>
      </c>
      <c r="S316" s="839">
        <f t="shared" si="107"/>
        <v>-2</v>
      </c>
      <c r="T316" s="178">
        <f t="shared" si="108"/>
        <v>4</v>
      </c>
      <c r="U316" s="253">
        <f t="shared" si="109"/>
        <v>-1.4371037575938108</v>
      </c>
      <c r="V316" s="385">
        <f t="shared" si="110"/>
        <v>24.300428206822449</v>
      </c>
      <c r="W316" s="404">
        <f t="shared" si="111"/>
        <v>20.087651736124247</v>
      </c>
      <c r="X316" s="157">
        <f t="shared" si="112"/>
        <v>46324</v>
      </c>
      <c r="Y316" s="387">
        <f t="shared" si="113"/>
        <v>16.523814438381468</v>
      </c>
      <c r="Z316" s="387">
        <f t="shared" si="114"/>
        <v>17.723187735319236</v>
      </c>
      <c r="AA316" s="388">
        <f t="shared" si="115"/>
        <v>20.907927881587813</v>
      </c>
      <c r="AB316" s="199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0.15232213179160436</v>
      </c>
      <c r="AD316" s="233">
        <f>(INDEX(Models!$BJ316:$BT316,,AH316)*(1-AF316)+INDEX(Models!$BJ316:$BT316,,AH316+1)*AF316-ERP_i)*AE316*Ramure*Pc/MaxiM</f>
        <v>0.1241022822511009</v>
      </c>
      <c r="AE316" s="307">
        <f t="shared" si="117"/>
        <v>0.9</v>
      </c>
      <c r="AF316" s="179">
        <f t="shared" si="118"/>
        <v>0.19855189471316814</v>
      </c>
      <c r="AG316" s="839">
        <f t="shared" si="124"/>
        <v>3</v>
      </c>
      <c r="AH316" s="178">
        <f t="shared" si="119"/>
        <v>9</v>
      </c>
      <c r="AI316" s="227">
        <f t="shared" si="120"/>
        <v>3.1985518947131681</v>
      </c>
      <c r="AJ316" s="267" t="b">
        <f t="shared" si="121"/>
        <v>0</v>
      </c>
      <c r="AK316" s="267" t="b">
        <f t="shared" si="122"/>
        <v>0</v>
      </c>
      <c r="AL316" s="267"/>
      <c r="AM316" s="267"/>
      <c r="AN316" s="75"/>
    </row>
    <row r="317" spans="1:40" s="6" customFormat="1" ht="11.25" x14ac:dyDescent="0.2">
      <c r="A317" s="56">
        <f t="shared" si="123"/>
        <v>46325</v>
      </c>
      <c r="B317" s="413">
        <f>'2025'!Wh/'2025'!Env_an*'2026'!Env_an</f>
        <v>17.320904711833162</v>
      </c>
      <c r="C317" s="868"/>
      <c r="D317" s="395">
        <f t="shared" si="102"/>
        <v>18.578566781647449</v>
      </c>
      <c r="E317" s="387">
        <f t="shared" si="125"/>
        <v>19.76384243063865</v>
      </c>
      <c r="F317" s="387">
        <f t="shared" si="103"/>
        <v>19.871118988284078</v>
      </c>
      <c r="G317" s="110">
        <f t="shared" si="126"/>
        <v>0.71945032554883936</v>
      </c>
      <c r="H317" s="416" t="b">
        <f>Wh_hp&gt;='2025'!Maxi_hp</f>
        <v>0</v>
      </c>
      <c r="I317" s="392">
        <f>IF(H317,Wh_hp,'2025'!Maxi_hp)</f>
        <v>25.463678721185552</v>
      </c>
      <c r="J317" s="85">
        <f>IF(H317,An,'2025'!An_max)</f>
        <v>2020</v>
      </c>
      <c r="K317" s="199">
        <f t="shared" si="104"/>
        <v>46325</v>
      </c>
      <c r="L317" s="147">
        <f>IF(t&lt;Tvie,1-EXP((T0-t)*PertePVj)+'2025'!Pspv,1-EXP((T0-t)*PertePVj)+Pspv)</f>
        <v>6.7694245987621082E-2</v>
      </c>
      <c r="M317" s="872"/>
      <c r="N317" s="872"/>
      <c r="O317" s="48">
        <f>IF(t&lt;Tnet,'2025'!Resal+('2025'!Salim-'2025'!Resal)*(1-EXP(('2025'!Tnet-t)/('2025'!Tau_j))),Resal+(Salim-Resal)*(1-EXP((Tnet-t)/(Tau_j))))*Salcycl</f>
        <v>5.9971923635342456E-2</v>
      </c>
      <c r="P317" s="171">
        <f>(INDEX(Models!$BJ317:$BT317,,T317)*(1-R317)+INDEX(Models!$BJ317:$BT317,,T317+1)*R317-ERP_i)*Q317*Ramure*Pc/MaxiM</f>
        <v>8.9543803779885724E-3</v>
      </c>
      <c r="Q317" s="307">
        <f t="shared" si="105"/>
        <v>0.9</v>
      </c>
      <c r="R317" s="179">
        <f t="shared" si="106"/>
        <v>0.56298167737824878</v>
      </c>
      <c r="S317" s="839">
        <f t="shared" si="107"/>
        <v>-2</v>
      </c>
      <c r="T317" s="178">
        <f t="shared" si="108"/>
        <v>4</v>
      </c>
      <c r="U317" s="253">
        <f t="shared" si="109"/>
        <v>-1.4370183226217512</v>
      </c>
      <c r="V317" s="385">
        <f t="shared" si="110"/>
        <v>23.989121635175596</v>
      </c>
      <c r="W317" s="404">
        <f t="shared" si="111"/>
        <v>17.320904711833162</v>
      </c>
      <c r="X317" s="157">
        <f t="shared" si="112"/>
        <v>46325</v>
      </c>
      <c r="Y317" s="387">
        <f t="shared" si="113"/>
        <v>14.495785074716192</v>
      </c>
      <c r="Z317" s="387">
        <f t="shared" si="114"/>
        <v>15.548316646476174</v>
      </c>
      <c r="AA317" s="388">
        <f t="shared" si="115"/>
        <v>18.340828366576179</v>
      </c>
      <c r="AB317" s="199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0.15225657556389341</v>
      </c>
      <c r="AD317" s="233">
        <f>(INDEX(Models!$BJ317:$BT317,,AH317)*(1-AF317)+INDEX(Models!$BJ317:$BT317,,AH317+1)*AF317-ERP_i)*AE317*Ramure*Pc/MaxiM</f>
        <v>0.12773344537146708</v>
      </c>
      <c r="AE317" s="307">
        <f t="shared" si="117"/>
        <v>0.9</v>
      </c>
      <c r="AF317" s="179">
        <f t="shared" si="118"/>
        <v>0.19863732968522774</v>
      </c>
      <c r="AG317" s="839">
        <f t="shared" si="124"/>
        <v>3</v>
      </c>
      <c r="AH317" s="178">
        <f t="shared" si="119"/>
        <v>9</v>
      </c>
      <c r="AI317" s="227">
        <f t="shared" si="120"/>
        <v>3.1986373296852277</v>
      </c>
      <c r="AJ317" s="267" t="b">
        <f t="shared" si="121"/>
        <v>0</v>
      </c>
      <c r="AK317" s="267" t="b">
        <f t="shared" si="122"/>
        <v>0</v>
      </c>
      <c r="AL317" s="267"/>
      <c r="AM317" s="267"/>
      <c r="AN317" s="75"/>
    </row>
    <row r="318" spans="1:40" s="6" customFormat="1" ht="11.25" x14ac:dyDescent="0.2">
      <c r="A318" s="56">
        <f t="shared" si="123"/>
        <v>46326</v>
      </c>
      <c r="B318" s="413">
        <f>'2025'!Wh/'2025'!Env_an*'2026'!Env_an</f>
        <v>16.877021484580887</v>
      </c>
      <c r="C318" s="868"/>
      <c r="D318" s="395">
        <f t="shared" si="102"/>
        <v>18.102874699669211</v>
      </c>
      <c r="E318" s="387">
        <f t="shared" si="125"/>
        <v>19.260359133389613</v>
      </c>
      <c r="F318" s="387">
        <f t="shared" si="103"/>
        <v>19.370617213270606</v>
      </c>
      <c r="G318" s="110">
        <f t="shared" si="126"/>
        <v>0.70988283517790307</v>
      </c>
      <c r="H318" s="416" t="b">
        <f>Wh_hp&gt;='2025'!Maxi_hp</f>
        <v>0</v>
      </c>
      <c r="I318" s="392">
        <f>IF(H318,Wh_hp,'2025'!Maxi_hp)</f>
        <v>27.758372597474693</v>
      </c>
      <c r="J318" s="85">
        <f>IF(H318,An,'2025'!An_max)</f>
        <v>2020</v>
      </c>
      <c r="K318" s="199">
        <f t="shared" si="104"/>
        <v>46326</v>
      </c>
      <c r="L318" s="147">
        <f>IF(t&lt;Tvie,1-EXP((T0-t)*PertePVj)+'2025'!Pspv,1-EXP((T0-t)*PertePVj)+Pspv)</f>
        <v>6.7715942104527915E-2</v>
      </c>
      <c r="M318" s="872"/>
      <c r="N318" s="872"/>
      <c r="O318" s="48">
        <f>IF(t&lt;Tnet,'2025'!Resal+('2025'!Salim-'2025'!Resal)*(1-EXP(('2025'!Tnet-t)/('2025'!Tau_j))),Resal+(Salim-Resal)*(1-EXP((Tnet-t)/(Tau_j))))*Salcycl</f>
        <v>6.0096721234745631E-2</v>
      </c>
      <c r="P318" s="171">
        <f>(INDEX(Models!$BJ318:$BT318,,T318)*(1-R318)+INDEX(Models!$BJ318:$BT318,,T318+1)*R318-ERP_i)*Q318*Ramure*Pc/MaxiM</f>
        <v>9.6539838745824755E-3</v>
      </c>
      <c r="Q318" s="307">
        <f t="shared" si="105"/>
        <v>0.9</v>
      </c>
      <c r="R318" s="179">
        <f t="shared" si="106"/>
        <v>0.56306369213045415</v>
      </c>
      <c r="S318" s="839">
        <f t="shared" si="107"/>
        <v>-2</v>
      </c>
      <c r="T318" s="178">
        <f t="shared" si="108"/>
        <v>4</v>
      </c>
      <c r="U318" s="253">
        <f t="shared" si="109"/>
        <v>-1.4369363078695458</v>
      </c>
      <c r="V318" s="385">
        <f t="shared" si="110"/>
        <v>23.679643796767735</v>
      </c>
      <c r="W318" s="404">
        <f t="shared" si="111"/>
        <v>16.877021484580887</v>
      </c>
      <c r="X318" s="157">
        <f t="shared" si="112"/>
        <v>46326</v>
      </c>
      <c r="Y318" s="387">
        <f t="shared" si="113"/>
        <v>14.124076922214449</v>
      </c>
      <c r="Z318" s="387">
        <f t="shared" si="114"/>
        <v>15.149971516297283</v>
      </c>
      <c r="AA318" s="388">
        <f t="shared" si="115"/>
        <v>17.869541577756383</v>
      </c>
      <c r="AB318" s="199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0.1521902534334939</v>
      </c>
      <c r="AD318" s="233">
        <f>(INDEX(Models!$BJ318:$BT318,,AH318)*(1-AF318)+INDEX(Models!$BJ318:$BT318,,AH318+1)*AF318-ERP_i)*AE318*Ramure*Pc/MaxiM</f>
        <v>0.13143127465510404</v>
      </c>
      <c r="AE318" s="307">
        <f t="shared" si="117"/>
        <v>0.9</v>
      </c>
      <c r="AF318" s="179">
        <f t="shared" si="118"/>
        <v>0.19871934443743289</v>
      </c>
      <c r="AG318" s="839">
        <f t="shared" si="124"/>
        <v>3</v>
      </c>
      <c r="AH318" s="178">
        <f t="shared" si="119"/>
        <v>9</v>
      </c>
      <c r="AI318" s="227">
        <f t="shared" si="120"/>
        <v>3.1987193444374329</v>
      </c>
      <c r="AJ318" s="267" t="b">
        <f t="shared" si="121"/>
        <v>0</v>
      </c>
      <c r="AK318" s="267" t="b">
        <f t="shared" si="122"/>
        <v>0</v>
      </c>
      <c r="AL318" s="267"/>
      <c r="AM318" s="267"/>
      <c r="AN318" s="75"/>
    </row>
    <row r="319" spans="1:40" s="6" customFormat="1" ht="11.25" x14ac:dyDescent="0.2">
      <c r="A319" s="56">
        <f t="shared" si="123"/>
        <v>46327</v>
      </c>
      <c r="B319" s="413">
        <f>'2025'!Wh/'2025'!Env_an*'2026'!Env_an</f>
        <v>15.934224723296412</v>
      </c>
      <c r="C319" s="868"/>
      <c r="D319" s="395">
        <f t="shared" si="102"/>
        <v>17.091996167546043</v>
      </c>
      <c r="E319" s="387">
        <f t="shared" si="125"/>
        <v>18.187247471959441</v>
      </c>
      <c r="F319" s="387">
        <f t="shared" si="103"/>
        <v>18.29062450977737</v>
      </c>
      <c r="G319" s="110">
        <f t="shared" si="126"/>
        <v>0.67850489178896234</v>
      </c>
      <c r="H319" s="416" t="b">
        <f>Wh_hp&gt;='2025'!Maxi_hp</f>
        <v>0</v>
      </c>
      <c r="I319" s="392">
        <f>IF(H319,Wh_hp,'2025'!Maxi_hp)</f>
        <v>26.743008767740822</v>
      </c>
      <c r="J319" s="85">
        <f>IF(H319,An,'2025'!An_max)</f>
        <v>2020</v>
      </c>
      <c r="K319" s="199">
        <f t="shared" si="104"/>
        <v>46327</v>
      </c>
      <c r="L319" s="147">
        <f>IF(t&lt;Tvie,1-EXP((T0-t)*PertePVj)+'2025'!Pspv,1-EXP((T0-t)*PertePVj)+Pspv)</f>
        <v>6.7737637716534516E-2</v>
      </c>
      <c r="M319" s="872"/>
      <c r="N319" s="872"/>
      <c r="O319" s="48">
        <f>IF(t&lt;Tnet,'2025'!Resal+('2025'!Salim-'2025'!Resal)*(1-EXP(('2025'!Tnet-t)/('2025'!Tau_j))),Resal+(Salim-Resal)*(1-EXP((Tnet-t)/(Tau_j))))*Salcycl</f>
        <v>6.0220839140283484E-2</v>
      </c>
      <c r="P319" s="171">
        <f>(INDEX(Models!$BJ319:$BT319,,T319)*(1-R319)+INDEX(Models!$BJ319:$BT319,,T319+1)*R319-ERP_i)*Q319*Ramure*Pc/MaxiM</f>
        <v>1.0364083896842629E-2</v>
      </c>
      <c r="Q319" s="307">
        <f t="shared" si="105"/>
        <v>0.9</v>
      </c>
      <c r="R319" s="179">
        <f t="shared" si="106"/>
        <v>0.56314242282745242</v>
      </c>
      <c r="S319" s="839">
        <f t="shared" si="107"/>
        <v>-2</v>
      </c>
      <c r="T319" s="178">
        <f t="shared" si="108"/>
        <v>4</v>
      </c>
      <c r="U319" s="253">
        <f t="shared" si="109"/>
        <v>-1.4368575771725476</v>
      </c>
      <c r="V319" s="385">
        <f t="shared" si="110"/>
        <v>23.373027014616138</v>
      </c>
      <c r="W319" s="404">
        <f t="shared" si="111"/>
        <v>15.934224723296412</v>
      </c>
      <c r="X319" s="157">
        <f t="shared" si="112"/>
        <v>46327</v>
      </c>
      <c r="Y319" s="387">
        <f t="shared" si="113"/>
        <v>13.392132265256254</v>
      </c>
      <c r="Z319" s="387">
        <f t="shared" si="114"/>
        <v>14.365196759047338</v>
      </c>
      <c r="AA319" s="388">
        <f t="shared" si="115"/>
        <v>16.942555494263093</v>
      </c>
      <c r="AB319" s="199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0.15212337572619855</v>
      </c>
      <c r="AD319" s="233">
        <f>(INDEX(Models!$BJ319:$BT319,,AH319)*(1-AF319)+INDEX(Models!$BJ319:$BT319,,AH319+1)*AF319-ERP_i)*AE319*Ramure*Pc/MaxiM</f>
        <v>0.13515090653043632</v>
      </c>
      <c r="AE319" s="307">
        <f t="shared" si="117"/>
        <v>0.9</v>
      </c>
      <c r="AF319" s="179">
        <f t="shared" si="118"/>
        <v>0.19879807513443115</v>
      </c>
      <c r="AG319" s="839">
        <f t="shared" si="124"/>
        <v>3</v>
      </c>
      <c r="AH319" s="178">
        <f t="shared" si="119"/>
        <v>9</v>
      </c>
      <c r="AI319" s="227">
        <f t="shared" si="120"/>
        <v>3.1987980751344312</v>
      </c>
      <c r="AJ319" s="267" t="b">
        <f t="shared" si="121"/>
        <v>0</v>
      </c>
      <c r="AK319" s="267" t="b">
        <f t="shared" si="122"/>
        <v>0</v>
      </c>
      <c r="AL319" s="267"/>
      <c r="AM319" s="267"/>
      <c r="AN319" s="75"/>
    </row>
    <row r="320" spans="1:40" s="6" customFormat="1" ht="11.25" x14ac:dyDescent="0.2">
      <c r="A320" s="56">
        <f t="shared" si="123"/>
        <v>46328</v>
      </c>
      <c r="B320" s="413">
        <f>'2025'!Wh/'2025'!Env_an*'2026'!Env_an</f>
        <v>21.582889505450879</v>
      </c>
      <c r="C320" s="868"/>
      <c r="D320" s="395">
        <f t="shared" si="102"/>
        <v>23.151628399588095</v>
      </c>
      <c r="E320" s="387">
        <f t="shared" si="125"/>
        <v>24.638418019847265</v>
      </c>
      <c r="F320" s="387">
        <f t="shared" si="103"/>
        <v>24.888901911488322</v>
      </c>
      <c r="G320" s="110">
        <f t="shared" si="126"/>
        <v>0.93458851359409278</v>
      </c>
      <c r="H320" s="416" t="b">
        <f>Wh_hp&gt;='2025'!Maxi_hp</f>
        <v>0</v>
      </c>
      <c r="I320" s="392">
        <f>IF(H320,Wh_hp,'2025'!Maxi_hp)</f>
        <v>25.963625869506139</v>
      </c>
      <c r="J320" s="85">
        <f>IF(H320,An,'2025'!An_max)</f>
        <v>2021</v>
      </c>
      <c r="K320" s="199">
        <f t="shared" si="104"/>
        <v>46328</v>
      </c>
      <c r="L320" s="147">
        <f>IF(t&lt;Tvie,1-EXP((T0-t)*PertePVj)+'2025'!Pspv,1-EXP((T0-t)*PertePVj)+Pspv)</f>
        <v>6.7759332823652541E-2</v>
      </c>
      <c r="M320" s="872"/>
      <c r="N320" s="872"/>
      <c r="O320" s="48">
        <f>IF(t&lt;Tnet,'2025'!Resal+('2025'!Salim-'2025'!Resal)*(1-EXP(('2025'!Tnet-t)/('2025'!Tau_j))),Resal+(Salim-Resal)*(1-EXP((Tnet-t)/(Tau_j))))*Salcycl</f>
        <v>6.0344362168930632E-2</v>
      </c>
      <c r="P320" s="171">
        <f>(INDEX(Models!$BJ320:$BT320,,T320)*(1-R320)+INDEX(Models!$BJ320:$BT320,,T320+1)*R320-ERP_i)*Q320*Ramure*Pc/MaxiM</f>
        <v>1.108460821345824E-2</v>
      </c>
      <c r="Q320" s="307">
        <f t="shared" si="105"/>
        <v>0.9</v>
      </c>
      <c r="R320" s="179">
        <f t="shared" si="106"/>
        <v>0.5632180002725482</v>
      </c>
      <c r="S320" s="839">
        <f t="shared" si="107"/>
        <v>-2</v>
      </c>
      <c r="T320" s="178">
        <f t="shared" si="108"/>
        <v>4</v>
      </c>
      <c r="U320" s="253">
        <f t="shared" si="109"/>
        <v>-1.4367819997274518</v>
      </c>
      <c r="V320" s="385">
        <f t="shared" si="110"/>
        <v>23.069660403918547</v>
      </c>
      <c r="W320" s="404">
        <f t="shared" si="111"/>
        <v>21.582889505450879</v>
      </c>
      <c r="X320" s="157">
        <f t="shared" si="112"/>
        <v>46328</v>
      </c>
      <c r="Y320" s="387">
        <f t="shared" si="113"/>
        <v>17.193390076791207</v>
      </c>
      <c r="Z320" s="387">
        <f t="shared" si="114"/>
        <v>18.443080936243707</v>
      </c>
      <c r="AA320" s="388">
        <f t="shared" si="115"/>
        <v>21.750356563473233</v>
      </c>
      <c r="AB320" s="199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0.152056156761294</v>
      </c>
      <c r="AD320" s="233">
        <f>(INDEX(Models!$BJ320:$BT320,,AH320)*(1-AF320)+INDEX(Models!$BJ320:$BT320,,AH320+1)*AF320-ERP_i)*AE320*Ramure*Pc/MaxiM</f>
        <v>0.13888935258468685</v>
      </c>
      <c r="AE320" s="307">
        <f t="shared" si="117"/>
        <v>0.9</v>
      </c>
      <c r="AF320" s="179">
        <f t="shared" si="118"/>
        <v>0.19887365257952716</v>
      </c>
      <c r="AG320" s="839">
        <f t="shared" si="124"/>
        <v>3</v>
      </c>
      <c r="AH320" s="178">
        <f t="shared" si="119"/>
        <v>9</v>
      </c>
      <c r="AI320" s="227">
        <f t="shared" si="120"/>
        <v>3.1988736525795272</v>
      </c>
      <c r="AJ320" s="267" t="b">
        <f t="shared" si="121"/>
        <v>0</v>
      </c>
      <c r="AK320" s="267" t="b">
        <f t="shared" si="122"/>
        <v>0</v>
      </c>
      <c r="AL320" s="267"/>
      <c r="AM320" s="267"/>
      <c r="AN320" s="75"/>
    </row>
    <row r="321" spans="1:40" s="6" customFormat="1" ht="11.25" x14ac:dyDescent="0.2">
      <c r="A321" s="56">
        <f t="shared" si="123"/>
        <v>46329</v>
      </c>
      <c r="B321" s="413">
        <f>'2025'!Wh/'2025'!Env_an*'2026'!Env_an</f>
        <v>5.6821963468714785</v>
      </c>
      <c r="C321" s="868"/>
      <c r="D321" s="395">
        <f t="shared" si="102"/>
        <v>6.0953451002841232</v>
      </c>
      <c r="E321" s="387">
        <f t="shared" si="125"/>
        <v>6.4876353970058203</v>
      </c>
      <c r="F321" s="387">
        <f t="shared" si="103"/>
        <v>6.4876353970058203</v>
      </c>
      <c r="G321" s="110">
        <f t="shared" si="126"/>
        <v>0.2465997071961171</v>
      </c>
      <c r="H321" s="416" t="b">
        <f>Wh_hp&gt;='2025'!Maxi_hp</f>
        <v>0</v>
      </c>
      <c r="I321" s="392">
        <f>IF(H321,Wh_hp,'2025'!Maxi_hp)</f>
        <v>25.318145187066094</v>
      </c>
      <c r="J321" s="85">
        <f>IF(H321,An,'2025'!An_max)</f>
        <v>2020</v>
      </c>
      <c r="K321" s="199">
        <f t="shared" si="104"/>
        <v>46329</v>
      </c>
      <c r="L321" s="147">
        <f>IF(t&lt;Tvie,1-EXP((T0-t)*PertePVj)+'2025'!Pspv,1-EXP((T0-t)*PertePVj)+Pspv)</f>
        <v>6.7781027425893647E-2</v>
      </c>
      <c r="M321" s="872"/>
      <c r="N321" s="872"/>
      <c r="O321" s="48">
        <f>IF(t&lt;Tnet,'2025'!Resal+('2025'!Salim-'2025'!Resal)*(1-EXP(('2025'!Tnet-t)/('2025'!Tau_j))),Resal+(Salim-Resal)*(1-EXP((Tnet-t)/(Tau_j))))*Salcycl</f>
        <v>6.046737720537549E-2</v>
      </c>
      <c r="P321" s="171">
        <f>(INDEX(Models!$BJ321:$BT321,,T321)*(1-R321)+INDEX(Models!$BJ321:$BT321,,T321+1)*R321-ERP_i)*Q321*Ramure*Pc/MaxiM</f>
        <v>1.18154232818239E-2</v>
      </c>
      <c r="Q321" s="307">
        <f t="shared" si="105"/>
        <v>0.9</v>
      </c>
      <c r="R321" s="179">
        <f t="shared" si="106"/>
        <v>0.56329055011409879</v>
      </c>
      <c r="S321" s="839">
        <f t="shared" si="107"/>
        <v>-2</v>
      </c>
      <c r="T321" s="178">
        <f t="shared" si="108"/>
        <v>4</v>
      </c>
      <c r="U321" s="253">
        <f t="shared" si="109"/>
        <v>-1.4367094498859012</v>
      </c>
      <c r="V321" s="385">
        <f t="shared" si="110"/>
        <v>22.76993292371262</v>
      </c>
      <c r="W321" s="404">
        <f t="shared" si="111"/>
        <v>5.6821963468714785</v>
      </c>
      <c r="X321" s="157">
        <f t="shared" si="112"/>
        <v>46329</v>
      </c>
      <c r="Y321" s="387">
        <f t="shared" si="113"/>
        <v>5.1286841421950431</v>
      </c>
      <c r="Z321" s="387">
        <f t="shared" si="114"/>
        <v>5.5015873878144443</v>
      </c>
      <c r="AA321" s="388">
        <f t="shared" si="115"/>
        <v>6.4876353970058203</v>
      </c>
      <c r="AB321" s="199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0.15198881392848582</v>
      </c>
      <c r="AD321" s="233">
        <f>(INDEX(Models!$BJ321:$BT321,,AH321)*(1-AF321)+INDEX(Models!$BJ321:$BT321,,AH321+1)*AF321-ERP_i)*AE321*Ramure*Pc/MaxiM</f>
        <v>0.14264319987535048</v>
      </c>
      <c r="AE321" s="307">
        <f t="shared" si="117"/>
        <v>0.9</v>
      </c>
      <c r="AF321" s="179">
        <f t="shared" si="118"/>
        <v>0.19894620242107752</v>
      </c>
      <c r="AG321" s="839">
        <f t="shared" si="124"/>
        <v>3</v>
      </c>
      <c r="AH321" s="178">
        <f t="shared" si="119"/>
        <v>9</v>
      </c>
      <c r="AI321" s="227">
        <f t="shared" si="120"/>
        <v>3.1989462024210775</v>
      </c>
      <c r="AJ321" s="267" t="b">
        <f t="shared" si="121"/>
        <v>0</v>
      </c>
      <c r="AK321" s="267" t="b">
        <f t="shared" si="122"/>
        <v>0</v>
      </c>
      <c r="AL321" s="267"/>
      <c r="AM321" s="267"/>
      <c r="AN321" s="75"/>
    </row>
    <row r="322" spans="1:40" s="6" customFormat="1" ht="11.25" x14ac:dyDescent="0.2">
      <c r="A322" s="56">
        <f t="shared" si="123"/>
        <v>46330</v>
      </c>
      <c r="B322" s="413">
        <f>'2025'!Wh/'2025'!Env_an*'2026'!Env_an</f>
        <v>11.751700480304521</v>
      </c>
      <c r="C322" s="868"/>
      <c r="D322" s="395">
        <f t="shared" si="102"/>
        <v>12.606452251724601</v>
      </c>
      <c r="E322" s="387">
        <f t="shared" si="125"/>
        <v>13.419541932855799</v>
      </c>
      <c r="F322" s="387">
        <f t="shared" si="103"/>
        <v>13.473411773102335</v>
      </c>
      <c r="G322" s="110">
        <f t="shared" si="126"/>
        <v>0.51840364806448824</v>
      </c>
      <c r="H322" s="416" t="b">
        <f>Wh_hp&gt;='2025'!Maxi_hp</f>
        <v>0</v>
      </c>
      <c r="I322" s="392">
        <f>IF(H322,Wh_hp,'2025'!Maxi_hp)</f>
        <v>18.873766608269342</v>
      </c>
      <c r="J322" s="85">
        <f>IF(H322,An,'2025'!An_max)</f>
        <v>2018</v>
      </c>
      <c r="K322" s="199">
        <f t="shared" si="104"/>
        <v>46330</v>
      </c>
      <c r="L322" s="147">
        <f>IF(t&lt;Tvie,1-EXP((T0-t)*PertePVj)+'2025'!Pspv,1-EXP((T0-t)*PertePVj)+Pspv)</f>
        <v>6.7802721523269716E-2</v>
      </c>
      <c r="M322" s="872"/>
      <c r="N322" s="872"/>
      <c r="O322" s="48">
        <f>IF(t&lt;Tnet,'2025'!Resal+('2025'!Salim-'2025'!Resal)*(1-EXP(('2025'!Tnet-t)/('2025'!Tau_j))),Resal+(Salim-Resal)*(1-EXP((Tnet-t)/(Tau_j))))*Salcycl</f>
        <v>6.0589972832117714E-2</v>
      </c>
      <c r="P322" s="171">
        <f>(INDEX(Models!$BJ322:$BT322,,T322)*(1-R322)+INDEX(Models!$BJ322:$BT322,,T322+1)*R322-ERP_i)*Q322*Ramure*Pc/MaxiM</f>
        <v>1.2556328781510299E-2</v>
      </c>
      <c r="Q322" s="307">
        <f t="shared" si="105"/>
        <v>0.9</v>
      </c>
      <c r="R322" s="179">
        <f t="shared" si="106"/>
        <v>0.56336019304433993</v>
      </c>
      <c r="S322" s="839">
        <f t="shared" si="107"/>
        <v>-2</v>
      </c>
      <c r="T322" s="178">
        <f t="shared" si="108"/>
        <v>4</v>
      </c>
      <c r="U322" s="253">
        <f t="shared" si="109"/>
        <v>-1.4366398069556601</v>
      </c>
      <c r="V322" s="385">
        <f t="shared" si="110"/>
        <v>22.474233391088379</v>
      </c>
      <c r="W322" s="404">
        <f t="shared" si="111"/>
        <v>11.751700480304521</v>
      </c>
      <c r="X322" s="157">
        <f t="shared" si="112"/>
        <v>46330</v>
      </c>
      <c r="Y322" s="387">
        <f t="shared" si="113"/>
        <v>10.155176692835086</v>
      </c>
      <c r="Z322" s="387">
        <f t="shared" si="114"/>
        <v>10.893806415557544</v>
      </c>
      <c r="AA322" s="388">
        <f t="shared" si="115"/>
        <v>12.845281743111828</v>
      </c>
      <c r="AB322" s="199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0.15192156673408469</v>
      </c>
      <c r="AD322" s="233">
        <f>(INDEX(Models!$BJ322:$BT322,,AH322)*(1-AF322)+INDEX(Models!$BJ322:$BT322,,AH322+1)*AF322-ERP_i)*AE322*Ramure*Pc/MaxiM</f>
        <v>0.14640858666010148</v>
      </c>
      <c r="AE322" s="307">
        <f t="shared" si="117"/>
        <v>0.9</v>
      </c>
      <c r="AF322" s="179">
        <f t="shared" si="118"/>
        <v>0.19901584535131889</v>
      </c>
      <c r="AG322" s="839">
        <f t="shared" si="124"/>
        <v>3</v>
      </c>
      <c r="AH322" s="178">
        <f t="shared" si="119"/>
        <v>9</v>
      </c>
      <c r="AI322" s="227">
        <f t="shared" si="120"/>
        <v>3.1990158453513189</v>
      </c>
      <c r="AJ322" s="267" t="b">
        <f t="shared" si="121"/>
        <v>0</v>
      </c>
      <c r="AK322" s="267" t="b">
        <f t="shared" si="122"/>
        <v>0</v>
      </c>
      <c r="AL322" s="267"/>
      <c r="AM322" s="267"/>
      <c r="AN322" s="75"/>
    </row>
    <row r="323" spans="1:40" s="6" customFormat="1" ht="11.25" x14ac:dyDescent="0.2">
      <c r="A323" s="56">
        <f t="shared" si="123"/>
        <v>46331</v>
      </c>
      <c r="B323" s="413">
        <f>'2025'!Wh/'2025'!Env_an*'2026'!Env_an</f>
        <v>20.579237482091688</v>
      </c>
      <c r="C323" s="868"/>
      <c r="D323" s="395">
        <f t="shared" si="102"/>
        <v>22.076567779500458</v>
      </c>
      <c r="E323" s="387">
        <f t="shared" si="125"/>
        <v>23.503519043710252</v>
      </c>
      <c r="F323" s="387">
        <f t="shared" si="103"/>
        <v>23.787367071123587</v>
      </c>
      <c r="G323" s="110">
        <f t="shared" si="126"/>
        <v>0.92641478188639115</v>
      </c>
      <c r="H323" s="416" t="b">
        <f>Wh_hp&gt;='2025'!Maxi_hp</f>
        <v>0</v>
      </c>
      <c r="I323" s="392">
        <f>IF(H323,Wh_hp,'2025'!Maxi_hp)</f>
        <v>23.811224002491421</v>
      </c>
      <c r="J323" s="85">
        <f>IF(H323,An,'2025'!An_max)</f>
        <v>2025</v>
      </c>
      <c r="K323" s="199">
        <f t="shared" si="104"/>
        <v>46331</v>
      </c>
      <c r="L323" s="147">
        <f>IF(t&lt;Tvie,1-EXP((T0-t)*PertePVj)+'2025'!Pspv,1-EXP((T0-t)*PertePVj)+Pspv)</f>
        <v>6.7824415115792513E-2</v>
      </c>
      <c r="M323" s="872"/>
      <c r="N323" s="872"/>
      <c r="O323" s="48">
        <f>IF(t&lt;Tnet,'2025'!Resal+('2025'!Salim-'2025'!Resal)*(1-EXP(('2025'!Tnet-t)/('2025'!Tau_j))),Resal+(Salim-Resal)*(1-EXP((Tnet-t)/(Tau_j))))*Salcycl</f>
        <v>6.0712238944136222E-2</v>
      </c>
      <c r="P323" s="171">
        <f>(INDEX(Models!$BJ323:$BT323,,T323)*(1-R323)+INDEX(Models!$BJ323:$BT323,,T323+1)*R323-ERP_i)*Q323*Ramure*Pc/MaxiM</f>
        <v>1.3307051947222939E-2</v>
      </c>
      <c r="Q323" s="307">
        <f t="shared" si="105"/>
        <v>0.9</v>
      </c>
      <c r="R323" s="179">
        <f t="shared" si="106"/>
        <v>0.56342704499088514</v>
      </c>
      <c r="S323" s="839">
        <f t="shared" si="107"/>
        <v>-2</v>
      </c>
      <c r="T323" s="178">
        <f t="shared" si="108"/>
        <v>4</v>
      </c>
      <c r="U323" s="253">
        <f t="shared" si="109"/>
        <v>-1.4365729550091149</v>
      </c>
      <c r="V323" s="385">
        <f t="shared" si="110"/>
        <v>22.182950495840316</v>
      </c>
      <c r="W323" s="404">
        <f t="shared" si="111"/>
        <v>20.579237482091688</v>
      </c>
      <c r="X323" s="157">
        <f t="shared" si="112"/>
        <v>46331</v>
      </c>
      <c r="Y323" s="387">
        <f t="shared" si="113"/>
        <v>16.274055514791694</v>
      </c>
      <c r="Z323" s="387">
        <f t="shared" si="114"/>
        <v>17.458143914821814</v>
      </c>
      <c r="AA323" s="388">
        <f t="shared" si="115"/>
        <v>20.583905368342897</v>
      </c>
      <c r="AB323" s="199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0.15185463582281927</v>
      </c>
      <c r="AD323" s="233">
        <f>(INDEX(Models!$BJ323:$BT323,,AH323)*(1-AF323)+INDEX(Models!$BJ323:$BT323,,AH323+1)*AF323-ERP_i)*AE323*Ramure*Pc/MaxiM</f>
        <v>0.15018117856343943</v>
      </c>
      <c r="AE323" s="307">
        <f t="shared" si="117"/>
        <v>0.9</v>
      </c>
      <c r="AF323" s="179">
        <f t="shared" si="118"/>
        <v>0.1990826972978641</v>
      </c>
      <c r="AG323" s="839">
        <f t="shared" si="124"/>
        <v>3</v>
      </c>
      <c r="AH323" s="178">
        <f t="shared" si="119"/>
        <v>9</v>
      </c>
      <c r="AI323" s="227">
        <f t="shared" si="120"/>
        <v>3.1990826972978641</v>
      </c>
      <c r="AJ323" s="267" t="b">
        <f t="shared" si="121"/>
        <v>0</v>
      </c>
      <c r="AK323" s="267" t="b">
        <f t="shared" si="122"/>
        <v>0</v>
      </c>
      <c r="AL323" s="267"/>
      <c r="AM323" s="267"/>
      <c r="AN323" s="75"/>
    </row>
    <row r="324" spans="1:40" s="6" customFormat="1" ht="11.25" x14ac:dyDescent="0.2">
      <c r="A324" s="56">
        <f t="shared" si="123"/>
        <v>46332</v>
      </c>
      <c r="B324" s="413">
        <f>'2025'!Wh/'2025'!Env_an*'2026'!Env_an</f>
        <v>20.628772287308038</v>
      </c>
      <c r="C324" s="868"/>
      <c r="D324" s="395">
        <f t="shared" si="102"/>
        <v>22.130221703575696</v>
      </c>
      <c r="E324" s="387">
        <f t="shared" si="125"/>
        <v>23.563702241971399</v>
      </c>
      <c r="F324" s="387">
        <f t="shared" si="103"/>
        <v>23.871279305166837</v>
      </c>
      <c r="G324" s="110">
        <f t="shared" si="126"/>
        <v>0.94097629835177232</v>
      </c>
      <c r="H324" s="416" t="b">
        <f>Wh_hp&gt;='2025'!Maxi_hp</f>
        <v>0</v>
      </c>
      <c r="I324" s="392">
        <f>IF(H324,Wh_hp,'2025'!Maxi_hp)</f>
        <v>23.891269759184908</v>
      </c>
      <c r="J324" s="85">
        <f>IF(H324,An,'2025'!An_max)</f>
        <v>2025</v>
      </c>
      <c r="K324" s="199">
        <f t="shared" si="104"/>
        <v>46332</v>
      </c>
      <c r="L324" s="147">
        <f>IF(t&lt;Tvie,1-EXP((T0-t)*PertePVj)+'2025'!Pspv,1-EXP((T0-t)*PertePVj)+Pspv)</f>
        <v>6.7846108203473587E-2</v>
      </c>
      <c r="M324" s="872"/>
      <c r="N324" s="872"/>
      <c r="O324" s="48">
        <f>IF(t&lt;Tnet,'2025'!Resal+('2025'!Salim-'2025'!Resal)*(1-EXP(('2025'!Tnet-t)/('2025'!Tau_j))),Resal+(Salim-Resal)*(1-EXP((Tnet-t)/(Tau_j))))*Salcycl</f>
        <v>6.0834266350658847E-2</v>
      </c>
      <c r="P324" s="171">
        <f>(INDEX(Models!$BJ324:$BT324,,T324)*(1-R324)+INDEX(Models!$BJ324:$BT324,,T324+1)*R324-ERP_i)*Q324*Ramure*Pc/MaxiM</f>
        <v>1.4046995881713856E-2</v>
      </c>
      <c r="Q324" s="307">
        <f t="shared" si="105"/>
        <v>0.9</v>
      </c>
      <c r="R324" s="179">
        <f t="shared" si="106"/>
        <v>0.56349121730114193</v>
      </c>
      <c r="S324" s="839">
        <f t="shared" si="107"/>
        <v>-2</v>
      </c>
      <c r="T324" s="178">
        <f t="shared" si="108"/>
        <v>4</v>
      </c>
      <c r="U324" s="253">
        <f t="shared" si="109"/>
        <v>-1.4365087826988581</v>
      </c>
      <c r="V324" s="385">
        <f t="shared" si="110"/>
        <v>21.896922442207099</v>
      </c>
      <c r="W324" s="404">
        <f t="shared" si="111"/>
        <v>20.628772287308038</v>
      </c>
      <c r="X324" s="157">
        <f t="shared" si="112"/>
        <v>46332</v>
      </c>
      <c r="Y324" s="387">
        <f t="shared" si="113"/>
        <v>16.209011122534353</v>
      </c>
      <c r="Z324" s="387">
        <f t="shared" si="114"/>
        <v>17.388771602181443</v>
      </c>
      <c r="AA324" s="388">
        <f t="shared" si="115"/>
        <v>20.500507612404935</v>
      </c>
      <c r="AB324" s="199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0.15178824198189939</v>
      </c>
      <c r="AD324" s="233">
        <f>(INDEX(Models!$BJ324:$BT324,,AH324)*(1-AF324)+INDEX(Models!$BJ324:$BT324,,AH324+1)*AF324-ERP_i)*AE324*Ramure*Pc/MaxiM</f>
        <v>0.15394261065669243</v>
      </c>
      <c r="AE324" s="307">
        <f t="shared" si="117"/>
        <v>0.9</v>
      </c>
      <c r="AF324" s="179">
        <f t="shared" si="118"/>
        <v>0.19914686960812089</v>
      </c>
      <c r="AG324" s="839">
        <f t="shared" si="124"/>
        <v>3</v>
      </c>
      <c r="AH324" s="178">
        <f t="shared" si="119"/>
        <v>9</v>
      </c>
      <c r="AI324" s="227">
        <f t="shared" si="120"/>
        <v>3.1991468696081209</v>
      </c>
      <c r="AJ324" s="267" t="b">
        <f t="shared" si="121"/>
        <v>0</v>
      </c>
      <c r="AK324" s="267" t="b">
        <f t="shared" si="122"/>
        <v>0</v>
      </c>
      <c r="AL324" s="267"/>
      <c r="AM324" s="267"/>
      <c r="AN324" s="75"/>
    </row>
    <row r="325" spans="1:40" s="6" customFormat="1" ht="11.25" x14ac:dyDescent="0.2">
      <c r="A325" s="56">
        <f t="shared" si="123"/>
        <v>46333</v>
      </c>
      <c r="B325" s="413">
        <f>'2025'!Wh/'2025'!Env_an*'2026'!Env_an</f>
        <v>20.488274435272213</v>
      </c>
      <c r="C325" s="868"/>
      <c r="D325" s="395">
        <f t="shared" si="102"/>
        <v>21.980009329744902</v>
      </c>
      <c r="E325" s="387">
        <f t="shared" si="125"/>
        <v>23.406797504398714</v>
      </c>
      <c r="F325" s="387">
        <f t="shared" si="103"/>
        <v>23.731050472339387</v>
      </c>
      <c r="G325" s="110">
        <f t="shared" si="126"/>
        <v>0.94673764115692738</v>
      </c>
      <c r="H325" s="416" t="b">
        <f>Wh_hp&gt;='2025'!Maxi_hp</f>
        <v>0</v>
      </c>
      <c r="I325" s="392">
        <f>IF(H325,Wh_hp,'2025'!Maxi_hp)</f>
        <v>23.749641321685267</v>
      </c>
      <c r="J325" s="85">
        <f>IF(H325,An,'2025'!An_max)</f>
        <v>2025</v>
      </c>
      <c r="K325" s="199">
        <f t="shared" si="104"/>
        <v>46333</v>
      </c>
      <c r="L325" s="147">
        <f>IF(t&lt;Tvie,1-EXP((T0-t)*PertePVj)+'2025'!Pspv,1-EXP((T0-t)*PertePVj)+Pspv)</f>
        <v>6.7867800786324928E-2</v>
      </c>
      <c r="M325" s="872"/>
      <c r="N325" s="872"/>
      <c r="O325" s="48">
        <f>IF(t&lt;Tnet,'2025'!Resal+('2025'!Salim-'2025'!Resal)*(1-EXP(('2025'!Tnet-t)/('2025'!Tau_j))),Resal+(Salim-Resal)*(1-EXP((Tnet-t)/(Tau_j))))*Salcycl</f>
        <v>6.0956146366698945E-2</v>
      </c>
      <c r="P325" s="171">
        <f>(INDEX(Models!$BJ325:$BT325,,T325)*(1-R325)+INDEX(Models!$BJ325:$BT325,,T325+1)*R325-ERP_i)*Q325*Ramure*Pc/MaxiM</f>
        <v>1.4764779037923685E-2</v>
      </c>
      <c r="Q325" s="307">
        <f t="shared" si="105"/>
        <v>0.9</v>
      </c>
      <c r="R325" s="179">
        <f t="shared" si="106"/>
        <v>0.56355281691988157</v>
      </c>
      <c r="S325" s="839">
        <f t="shared" si="107"/>
        <v>-2</v>
      </c>
      <c r="T325" s="178">
        <f t="shared" si="108"/>
        <v>4</v>
      </c>
      <c r="U325" s="253">
        <f t="shared" si="109"/>
        <v>-1.4364471830801184</v>
      </c>
      <c r="V325" s="385">
        <f t="shared" si="110"/>
        <v>21.616761562337466</v>
      </c>
      <c r="W325" s="404">
        <f t="shared" si="111"/>
        <v>20.488274435272213</v>
      </c>
      <c r="X325" s="157">
        <f t="shared" si="112"/>
        <v>46333</v>
      </c>
      <c r="Y325" s="387">
        <f t="shared" si="113"/>
        <v>16.025844744350099</v>
      </c>
      <c r="Z325" s="387">
        <f t="shared" si="114"/>
        <v>17.192673697860805</v>
      </c>
      <c r="AA325" s="388">
        <f t="shared" si="115"/>
        <v>20.26774944365912</v>
      </c>
      <c r="AB325" s="199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0.15172260513415675</v>
      </c>
      <c r="AD325" s="233">
        <f>(INDEX(Models!$BJ325:$BT325,,AH325)*(1-AF325)+INDEX(Models!$BJ325:$BT325,,AH325+1)*AF325-ERP_i)*AE325*Ramure*Pc/MaxiM</f>
        <v>0.15770055939668001</v>
      </c>
      <c r="AE325" s="307">
        <f t="shared" si="117"/>
        <v>0.9</v>
      </c>
      <c r="AF325" s="179">
        <f t="shared" si="118"/>
        <v>0.19920846922686053</v>
      </c>
      <c r="AG325" s="839">
        <f t="shared" si="124"/>
        <v>3</v>
      </c>
      <c r="AH325" s="178">
        <f t="shared" si="119"/>
        <v>9</v>
      </c>
      <c r="AI325" s="227">
        <f t="shared" si="120"/>
        <v>3.1992084692268605</v>
      </c>
      <c r="AJ325" s="267" t="b">
        <f t="shared" si="121"/>
        <v>0</v>
      </c>
      <c r="AK325" s="267" t="b">
        <f t="shared" si="122"/>
        <v>0</v>
      </c>
      <c r="AL325" s="267"/>
      <c r="AM325" s="267"/>
      <c r="AN325" s="75"/>
    </row>
    <row r="326" spans="1:40" s="6" customFormat="1" ht="11.25" x14ac:dyDescent="0.2">
      <c r="A326" s="56">
        <f t="shared" si="123"/>
        <v>46334</v>
      </c>
      <c r="B326" s="413">
        <f>'2025'!Wh/'2025'!Env_an*'2026'!Env_an</f>
        <v>13.548588686012367</v>
      </c>
      <c r="C326" s="868"/>
      <c r="D326" s="395">
        <f t="shared" si="102"/>
        <v>14.535388864617486</v>
      </c>
      <c r="E326" s="387">
        <f t="shared" si="125"/>
        <v>15.480932821190217</v>
      </c>
      <c r="F326" s="387">
        <f t="shared" si="103"/>
        <v>15.596248955526876</v>
      </c>
      <c r="G326" s="110">
        <f t="shared" si="126"/>
        <v>0.62964892571002573</v>
      </c>
      <c r="H326" s="416" t="b">
        <f>Wh_hp&gt;='2025'!Maxi_hp</f>
        <v>0</v>
      </c>
      <c r="I326" s="392">
        <f>IF(H326,Wh_hp,'2025'!Maxi_hp)</f>
        <v>20.22602199592037</v>
      </c>
      <c r="J326" s="85">
        <f>IF(H326,An,'2025'!An_max)</f>
        <v>2021</v>
      </c>
      <c r="K326" s="199">
        <f t="shared" si="104"/>
        <v>46334</v>
      </c>
      <c r="L326" s="147">
        <f>IF(t&lt;Tvie,1-EXP((T0-t)*PertePVj)+'2025'!Pspv,1-EXP((T0-t)*PertePVj)+Pspv)</f>
        <v>6.7889492864358081E-2</v>
      </c>
      <c r="M326" s="872"/>
      <c r="N326" s="872"/>
      <c r="O326" s="48">
        <f>IF(t&lt;Tnet,'2025'!Resal+('2025'!Salim-'2025'!Resal)*(1-EXP(('2025'!Tnet-t)/('2025'!Tau_j))),Resal+(Salim-Resal)*(1-EXP((Tnet-t)/(Tau_j))))*Salcycl</f>
        <v>6.1077970397137575E-2</v>
      </c>
      <c r="P326" s="171">
        <f>(INDEX(Models!$BJ326:$BT326,,T326)*(1-R326)+INDEX(Models!$BJ326:$BT326,,T326+1)*R326-ERP_i)*Q326*Ramure*Pc/MaxiM</f>
        <v>1.5458729730483553E-2</v>
      </c>
      <c r="Q326" s="307">
        <f t="shared" si="105"/>
        <v>0.9</v>
      </c>
      <c r="R326" s="179">
        <f t="shared" si="106"/>
        <v>0.56361194656019409</v>
      </c>
      <c r="S326" s="839">
        <f t="shared" si="107"/>
        <v>-2</v>
      </c>
      <c r="T326" s="178">
        <f t="shared" si="108"/>
        <v>4</v>
      </c>
      <c r="U326" s="253">
        <f t="shared" si="109"/>
        <v>-1.4363880534398059</v>
      </c>
      <c r="V326" s="385">
        <f t="shared" si="110"/>
        <v>21.342856798272098</v>
      </c>
      <c r="W326" s="404">
        <f t="shared" si="111"/>
        <v>13.548588686012367</v>
      </c>
      <c r="X326" s="157">
        <f t="shared" si="112"/>
        <v>46334</v>
      </c>
      <c r="Y326" s="387">
        <f t="shared" si="113"/>
        <v>11.38037466879447</v>
      </c>
      <c r="Z326" s="387">
        <f t="shared" si="114"/>
        <v>12.209254784356146</v>
      </c>
      <c r="AA326" s="388">
        <f t="shared" si="115"/>
        <v>14.391900871025346</v>
      </c>
      <c r="AB326" s="199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0.1516579433272387</v>
      </c>
      <c r="AD326" s="233">
        <f>(INDEX(Models!$BJ326:$BT326,,AH326)*(1-AF326)+INDEX(Models!$BJ326:$BT326,,AH326+1)*AF326-ERP_i)*AE326*Ramure*Pc/MaxiM</f>
        <v>0.16144914713652522</v>
      </c>
      <c r="AE326" s="307">
        <f t="shared" si="117"/>
        <v>0.9</v>
      </c>
      <c r="AF326" s="179">
        <f t="shared" si="118"/>
        <v>0.19926759886717305</v>
      </c>
      <c r="AG326" s="839">
        <f t="shared" si="124"/>
        <v>3</v>
      </c>
      <c r="AH326" s="178">
        <f t="shared" si="119"/>
        <v>9</v>
      </c>
      <c r="AI326" s="227">
        <f t="shared" si="120"/>
        <v>3.199267598867173</v>
      </c>
      <c r="AJ326" s="267" t="b">
        <f t="shared" si="121"/>
        <v>0</v>
      </c>
      <c r="AK326" s="267" t="b">
        <f t="shared" si="122"/>
        <v>0</v>
      </c>
      <c r="AL326" s="267"/>
      <c r="AM326" s="267"/>
      <c r="AN326" s="75"/>
    </row>
    <row r="327" spans="1:40" s="6" customFormat="1" ht="11.25" x14ac:dyDescent="0.2">
      <c r="A327" s="56">
        <f t="shared" si="123"/>
        <v>46335</v>
      </c>
      <c r="B327" s="413">
        <f>'2025'!Wh/'2025'!Env_an*'2026'!Env_an</f>
        <v>8.0139922893072679</v>
      </c>
      <c r="C327" s="868"/>
      <c r="D327" s="395">
        <f t="shared" si="102"/>
        <v>8.5978848318995098</v>
      </c>
      <c r="E327" s="387">
        <f t="shared" si="125"/>
        <v>9.1583758740359773</v>
      </c>
      <c r="F327" s="387">
        <f t="shared" si="103"/>
        <v>9.1753397067815463</v>
      </c>
      <c r="G327" s="110">
        <f t="shared" si="126"/>
        <v>0.37481048559658303</v>
      </c>
      <c r="H327" s="416" t="b">
        <f>Wh_hp&gt;='2025'!Maxi_hp</f>
        <v>0</v>
      </c>
      <c r="I327" s="392">
        <f>IF(H327,Wh_hp,'2025'!Maxi_hp)</f>
        <v>19.543383638603277</v>
      </c>
      <c r="J327" s="85">
        <f>IF(H327,An,'2025'!An_max)</f>
        <v>2020</v>
      </c>
      <c r="K327" s="199">
        <f t="shared" si="104"/>
        <v>46335</v>
      </c>
      <c r="L327" s="147">
        <f>IF(t&lt;Tvie,1-EXP((T0-t)*PertePVj)+'2025'!Pspv,1-EXP((T0-t)*PertePVj)+Pspv)</f>
        <v>6.7911184437584926E-2</v>
      </c>
      <c r="M327" s="872"/>
      <c r="N327" s="872"/>
      <c r="O327" s="48">
        <f>IF(t&lt;Tnet,'2025'!Resal+('2025'!Salim-'2025'!Resal)*(1-EXP(('2025'!Tnet-t)/('2025'!Tau_j))),Resal+(Salim-Resal)*(1-EXP((Tnet-t)/(Tau_j))))*Salcycl</f>
        <v>6.1199829516220335E-2</v>
      </c>
      <c r="P327" s="171">
        <f>(INDEX(Models!$BJ327:$BT327,,T327)*(1-R327)+INDEX(Models!$BJ327:$BT327,,T327+1)*R327-ERP_i)*Q327*Ramure*Pc/MaxiM</f>
        <v>1.6127079060345849E-2</v>
      </c>
      <c r="Q327" s="307">
        <f t="shared" si="105"/>
        <v>0.9</v>
      </c>
      <c r="R327" s="179">
        <f t="shared" si="106"/>
        <v>0.56366870486805132</v>
      </c>
      <c r="S327" s="839">
        <f t="shared" si="107"/>
        <v>-2</v>
      </c>
      <c r="T327" s="178">
        <f t="shared" si="108"/>
        <v>4</v>
      </c>
      <c r="U327" s="253">
        <f t="shared" si="109"/>
        <v>-1.4363312951319487</v>
      </c>
      <c r="V327" s="385">
        <f t="shared" si="110"/>
        <v>21.07559695559339</v>
      </c>
      <c r="W327" s="404">
        <f t="shared" si="111"/>
        <v>8.0139922893072679</v>
      </c>
      <c r="X327" s="157">
        <f t="shared" si="112"/>
        <v>46335</v>
      </c>
      <c r="Y327" s="387">
        <f t="shared" si="113"/>
        <v>7.1183589529988538</v>
      </c>
      <c r="Z327" s="387">
        <f t="shared" si="114"/>
        <v>7.6369964258220309</v>
      </c>
      <c r="AA327" s="388">
        <f t="shared" si="115"/>
        <v>9.0015872967707065</v>
      </c>
      <c r="AB327" s="199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0.15159447172591642</v>
      </c>
      <c r="AD327" s="233">
        <f>(INDEX(Models!$BJ327:$BT327,,AH327)*(1-AF327)+INDEX(Models!$BJ327:$BT327,,AH327+1)*AF327-ERP_i)*AE327*Ramure*Pc/MaxiM</f>
        <v>0.16518194297230149</v>
      </c>
      <c r="AE327" s="307">
        <f t="shared" si="117"/>
        <v>0.9</v>
      </c>
      <c r="AF327" s="179">
        <f t="shared" si="118"/>
        <v>0.19932435717503028</v>
      </c>
      <c r="AG327" s="839">
        <f t="shared" si="124"/>
        <v>3</v>
      </c>
      <c r="AH327" s="178">
        <f t="shared" si="119"/>
        <v>9</v>
      </c>
      <c r="AI327" s="227">
        <f t="shared" si="120"/>
        <v>3.1993243571750303</v>
      </c>
      <c r="AJ327" s="267" t="b">
        <f t="shared" si="121"/>
        <v>0</v>
      </c>
      <c r="AK327" s="267" t="b">
        <f t="shared" si="122"/>
        <v>0</v>
      </c>
      <c r="AL327" s="267"/>
      <c r="AM327" s="267"/>
      <c r="AN327" s="75"/>
    </row>
    <row r="328" spans="1:40" s="6" customFormat="1" ht="11.25" x14ac:dyDescent="0.2">
      <c r="A328" s="56">
        <f t="shared" si="123"/>
        <v>46336</v>
      </c>
      <c r="B328" s="413">
        <f>'2025'!Wh/'2025'!Env_an*'2026'!Env_an</f>
        <v>18.031799961273695</v>
      </c>
      <c r="C328" s="868"/>
      <c r="D328" s="395">
        <f t="shared" si="102"/>
        <v>19.346031511478447</v>
      </c>
      <c r="E328" s="387">
        <f t="shared" si="125"/>
        <v>20.609865874111399</v>
      </c>
      <c r="F328" s="387">
        <f t="shared" si="103"/>
        <v>20.893275716761512</v>
      </c>
      <c r="G328" s="110">
        <f t="shared" si="126"/>
        <v>0.86346019439422228</v>
      </c>
      <c r="H328" s="416" t="b">
        <f>Wh_hp&gt;='2025'!Maxi_hp</f>
        <v>0</v>
      </c>
      <c r="I328" s="392">
        <f>IF(H328,Wh_hp,'2025'!Maxi_hp)</f>
        <v>20.939015806316032</v>
      </c>
      <c r="J328" s="85">
        <f>IF(H328,An,'2025'!An_max)</f>
        <v>2025</v>
      </c>
      <c r="K328" s="199">
        <f t="shared" si="104"/>
        <v>46336</v>
      </c>
      <c r="L328" s="147">
        <f>IF(t&lt;Tvie,1-EXP((T0-t)*PertePVj)+'2025'!Pspv,1-EXP((T0-t)*PertePVj)+Pspv)</f>
        <v>6.7932875506017232E-2</v>
      </c>
      <c r="M328" s="872"/>
      <c r="N328" s="872"/>
      <c r="O328" s="48">
        <f>IF(t&lt;Tnet,'2025'!Resal+('2025'!Salim-'2025'!Resal)*(1-EXP(('2025'!Tnet-t)/('2025'!Tau_j))),Resal+(Salim-Resal)*(1-EXP((Tnet-t)/(Tau_j))))*Salcycl</f>
        <v>6.132181404540283E-2</v>
      </c>
      <c r="P328" s="171">
        <f>(INDEX(Models!$BJ328:$BT328,,T328)*(1-R328)+INDEX(Models!$BJ328:$BT328,,T328+1)*R328-ERP_i)*Q328*Ramure*Pc/MaxiM</f>
        <v>1.6767964473999676E-2</v>
      </c>
      <c r="Q328" s="307">
        <f t="shared" si="105"/>
        <v>0.9</v>
      </c>
      <c r="R328" s="179">
        <f t="shared" si="106"/>
        <v>0.56372318658070064</v>
      </c>
      <c r="S328" s="839">
        <f t="shared" si="107"/>
        <v>-2</v>
      </c>
      <c r="T328" s="178">
        <f t="shared" si="108"/>
        <v>4</v>
      </c>
      <c r="U328" s="253">
        <f t="shared" si="109"/>
        <v>-1.4362768134192994</v>
      </c>
      <c r="V328" s="385">
        <f t="shared" si="110"/>
        <v>20.815370702460722</v>
      </c>
      <c r="W328" s="404">
        <f t="shared" si="111"/>
        <v>18.031799961273695</v>
      </c>
      <c r="X328" s="157">
        <f t="shared" si="112"/>
        <v>46336</v>
      </c>
      <c r="Y328" s="387">
        <f t="shared" si="113"/>
        <v>14.265512450283618</v>
      </c>
      <c r="Z328" s="387">
        <f t="shared" si="114"/>
        <v>15.305241516836391</v>
      </c>
      <c r="AA328" s="388">
        <f t="shared" si="115"/>
        <v>18.038687094193854</v>
      </c>
      <c r="AB328" s="199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0.1515324016145988</v>
      </c>
      <c r="AD328" s="233">
        <f>(INDEX(Models!$BJ328:$BT328,,AH328)*(1-AF328)+INDEX(Models!$BJ328:$BT328,,AH328+1)*AF328-ERP_i)*AE328*Ramure*Pc/MaxiM</f>
        <v>0.1688919487182084</v>
      </c>
      <c r="AE328" s="307">
        <f t="shared" si="117"/>
        <v>0.9</v>
      </c>
      <c r="AF328" s="179">
        <f t="shared" si="118"/>
        <v>0.1993788388876796</v>
      </c>
      <c r="AG328" s="839">
        <f t="shared" si="124"/>
        <v>3</v>
      </c>
      <c r="AH328" s="178">
        <f t="shared" si="119"/>
        <v>9</v>
      </c>
      <c r="AI328" s="227">
        <f t="shared" si="120"/>
        <v>3.1993788388876796</v>
      </c>
      <c r="AJ328" s="267" t="b">
        <f t="shared" si="121"/>
        <v>0</v>
      </c>
      <c r="AK328" s="267" t="b">
        <f t="shared" si="122"/>
        <v>0</v>
      </c>
      <c r="AL328" s="267"/>
      <c r="AM328" s="267"/>
      <c r="AN328" s="75"/>
    </row>
    <row r="329" spans="1:40" s="6" customFormat="1" ht="11.25" x14ac:dyDescent="0.2">
      <c r="A329" s="56">
        <f t="shared" si="123"/>
        <v>46337</v>
      </c>
      <c r="B329" s="413">
        <f>'2025'!Wh/'2025'!Env_an*'2026'!Env_an</f>
        <v>18.586158172526599</v>
      </c>
      <c r="C329" s="868"/>
      <c r="D329" s="395">
        <f t="shared" si="102"/>
        <v>19.941257685422919</v>
      </c>
      <c r="E329" s="387">
        <f t="shared" si="125"/>
        <v>21.246742830951185</v>
      </c>
      <c r="F329" s="387">
        <f t="shared" si="103"/>
        <v>21.570145512850807</v>
      </c>
      <c r="G329" s="110">
        <f t="shared" si="126"/>
        <v>0.90169335761899616</v>
      </c>
      <c r="H329" s="416" t="b">
        <f>Wh_hp&gt;='2025'!Maxi_hp</f>
        <v>0</v>
      </c>
      <c r="I329" s="392">
        <f>IF(H329,Wh_hp,'2025'!Maxi_hp)</f>
        <v>21.604845905421222</v>
      </c>
      <c r="J329" s="85">
        <f>IF(H329,An,'2025'!An_max)</f>
        <v>2025</v>
      </c>
      <c r="K329" s="199">
        <f t="shared" si="104"/>
        <v>46337</v>
      </c>
      <c r="L329" s="147">
        <f>IF(t&lt;Tvie,1-EXP((T0-t)*PertePVj)+'2025'!Pspv,1-EXP((T0-t)*PertePVj)+Pspv)</f>
        <v>6.7954566069666655E-2</v>
      </c>
      <c r="M329" s="872"/>
      <c r="N329" s="872"/>
      <c r="O329" s="48">
        <f>IF(t&lt;Tnet,'2025'!Resal+('2025'!Salim-'2025'!Resal)*(1-EXP(('2025'!Tnet-t)/('2025'!Tau_j))),Resal+(Salim-Resal)*(1-EXP((Tnet-t)/(Tau_j))))*Salcycl</f>
        <v>6.1444013132521264E-2</v>
      </c>
      <c r="P329" s="171">
        <f>(INDEX(Models!$BJ329:$BT329,,T329)*(1-R329)+INDEX(Models!$BJ329:$BT329,,T329+1)*R329-ERP_i)*Q329*Ramure*Pc/MaxiM</f>
        <v>1.7379434652232805E-2</v>
      </c>
      <c r="Q329" s="307">
        <f t="shared" si="105"/>
        <v>0.9</v>
      </c>
      <c r="R329" s="179">
        <f t="shared" si="106"/>
        <v>0.56377548267909661</v>
      </c>
      <c r="S329" s="839">
        <f t="shared" si="107"/>
        <v>-2</v>
      </c>
      <c r="T329" s="178">
        <f t="shared" si="108"/>
        <v>4</v>
      </c>
      <c r="U329" s="253">
        <f t="shared" si="109"/>
        <v>-1.4362245173209034</v>
      </c>
      <c r="V329" s="385">
        <f t="shared" si="110"/>
        <v>20.562566567512821</v>
      </c>
      <c r="W329" s="404">
        <f t="shared" si="111"/>
        <v>18.586158172526599</v>
      </c>
      <c r="X329" s="157">
        <f t="shared" si="112"/>
        <v>46337</v>
      </c>
      <c r="Y329" s="387">
        <f t="shared" si="113"/>
        <v>14.519420757848113</v>
      </c>
      <c r="Z329" s="387">
        <f t="shared" si="114"/>
        <v>15.5780182266666</v>
      </c>
      <c r="AA329" s="388">
        <f t="shared" si="115"/>
        <v>18.358872205081092</v>
      </c>
      <c r="AB329" s="199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0.1514719394171091</v>
      </c>
      <c r="AD329" s="233">
        <f>(INDEX(Models!$BJ329:$BT329,,AH329)*(1-AF329)+INDEX(Models!$BJ329:$BT329,,AH329+1)*AF329-ERP_i)*AE329*Ramure*Pc/MaxiM</f>
        <v>0.17257158869253189</v>
      </c>
      <c r="AE329" s="307">
        <f t="shared" si="117"/>
        <v>0.9</v>
      </c>
      <c r="AF329" s="179">
        <f t="shared" si="118"/>
        <v>0.19943113498607534</v>
      </c>
      <c r="AG329" s="839">
        <f t="shared" si="124"/>
        <v>3</v>
      </c>
      <c r="AH329" s="178">
        <f t="shared" si="119"/>
        <v>9</v>
      </c>
      <c r="AI329" s="227">
        <f t="shared" si="120"/>
        <v>3.1994311349860753</v>
      </c>
      <c r="AJ329" s="267" t="b">
        <f t="shared" si="121"/>
        <v>0</v>
      </c>
      <c r="AK329" s="267" t="b">
        <f t="shared" si="122"/>
        <v>0</v>
      </c>
      <c r="AL329" s="267"/>
      <c r="AM329" s="267"/>
      <c r="AN329" s="75"/>
    </row>
    <row r="330" spans="1:40" s="6" customFormat="1" ht="11.25" x14ac:dyDescent="0.2">
      <c r="A330" s="56">
        <f t="shared" si="123"/>
        <v>46338</v>
      </c>
      <c r="B330" s="413">
        <f>'2025'!Wh/'2025'!Env_an*'2026'!Env_an</f>
        <v>18.449950953134341</v>
      </c>
      <c r="C330" s="868"/>
      <c r="D330" s="395">
        <f t="shared" si="102"/>
        <v>19.795580396371278</v>
      </c>
      <c r="E330" s="387">
        <f t="shared" si="125"/>
        <v>21.094281799151151</v>
      </c>
      <c r="F330" s="387">
        <f t="shared" si="103"/>
        <v>21.428591048694933</v>
      </c>
      <c r="G330" s="110">
        <f t="shared" si="126"/>
        <v>0.90590296303083284</v>
      </c>
      <c r="H330" s="416" t="b">
        <f>Wh_hp&gt;='2025'!Maxi_hp</f>
        <v>0</v>
      </c>
      <c r="I330" s="392">
        <f>IF(H330,Wh_hp,'2025'!Maxi_hp)</f>
        <v>21.462168250104178</v>
      </c>
      <c r="J330" s="85">
        <f>IF(H330,An,'2025'!An_max)</f>
        <v>2025</v>
      </c>
      <c r="K330" s="199">
        <f t="shared" si="104"/>
        <v>46338</v>
      </c>
      <c r="L330" s="147">
        <f>IF(t&lt;Tvie,1-EXP((T0-t)*PertePVj)+'2025'!Pspv,1-EXP((T0-t)*PertePVj)+Pspv)</f>
        <v>6.7976256128544965E-2</v>
      </c>
      <c r="M330" s="872"/>
      <c r="N330" s="872"/>
      <c r="O330" s="48">
        <f>IF(t&lt;Tnet,'2025'!Resal+('2025'!Salim-'2025'!Resal)*(1-EXP(('2025'!Tnet-t)/('2025'!Tau_j))),Resal+(Salim-Resal)*(1-EXP((Tnet-t)/(Tau_j))))*Salcycl</f>
        <v>6.1566514335279779E-2</v>
      </c>
      <c r="P330" s="171">
        <f>(INDEX(Models!$BJ330:$BT330,,T330)*(1-R330)+INDEX(Models!$BJ330:$BT330,,T330+1)*R330-ERP_i)*Q330*Ramure*Pc/MaxiM</f>
        <v>1.7959455879994039E-2</v>
      </c>
      <c r="Q330" s="307">
        <f t="shared" si="105"/>
        <v>0.9</v>
      </c>
      <c r="R330" s="179">
        <f t="shared" si="106"/>
        <v>0.56382568053458515</v>
      </c>
      <c r="S330" s="839">
        <f t="shared" si="107"/>
        <v>-2</v>
      </c>
      <c r="T330" s="178">
        <f t="shared" si="108"/>
        <v>4</v>
      </c>
      <c r="U330" s="253">
        <f t="shared" si="109"/>
        <v>-1.4361743194654149</v>
      </c>
      <c r="V330" s="385">
        <f t="shared" si="110"/>
        <v>20.317572928829833</v>
      </c>
      <c r="W330" s="404">
        <f t="shared" si="111"/>
        <v>18.449950953134341</v>
      </c>
      <c r="X330" s="157">
        <f t="shared" si="112"/>
        <v>46338</v>
      </c>
      <c r="Y330" s="387">
        <f t="shared" si="113"/>
        <v>14.353663450042371</v>
      </c>
      <c r="Z330" s="387">
        <f t="shared" si="114"/>
        <v>15.400534100579772</v>
      </c>
      <c r="AA330" s="388">
        <f t="shared" si="115"/>
        <v>18.148450643635339</v>
      </c>
      <c r="AB330" s="199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0.15141328574069002</v>
      </c>
      <c r="AD330" s="233">
        <f>(INDEX(Models!$BJ330:$BT330,,AH330)*(1-AF330)+INDEX(Models!$BJ330:$BT330,,AH330+1)*AF330-ERP_i)*AE330*Ramure*Pc/MaxiM</f>
        <v>0.1762127041511562</v>
      </c>
      <c r="AE330" s="307">
        <f t="shared" si="117"/>
        <v>0.9</v>
      </c>
      <c r="AF330" s="179">
        <f t="shared" si="118"/>
        <v>0.19948133284156411</v>
      </c>
      <c r="AG330" s="839">
        <f t="shared" si="124"/>
        <v>3</v>
      </c>
      <c r="AH330" s="178">
        <f t="shared" si="119"/>
        <v>9</v>
      </c>
      <c r="AI330" s="227">
        <f t="shared" si="120"/>
        <v>3.1994813328415641</v>
      </c>
      <c r="AJ330" s="267" t="b">
        <f t="shared" si="121"/>
        <v>0</v>
      </c>
      <c r="AK330" s="267" t="b">
        <f t="shared" si="122"/>
        <v>0</v>
      </c>
      <c r="AL330" s="267"/>
      <c r="AM330" s="267"/>
      <c r="AN330" s="75"/>
    </row>
    <row r="331" spans="1:40" s="6" customFormat="1" ht="11.25" x14ac:dyDescent="0.2">
      <c r="A331" s="56">
        <f t="shared" si="123"/>
        <v>46339</v>
      </c>
      <c r="B331" s="413">
        <f>'2025'!Wh/'2025'!Env_an*'2026'!Env_an</f>
        <v>16.371577075241902</v>
      </c>
      <c r="C331" s="868"/>
      <c r="D331" s="395">
        <f t="shared" si="102"/>
        <v>17.566031104119826</v>
      </c>
      <c r="E331" s="387">
        <f t="shared" si="125"/>
        <v>18.720913058268842</v>
      </c>
      <c r="F331" s="387">
        <f t="shared" si="103"/>
        <v>18.979474742625566</v>
      </c>
      <c r="G331" s="110">
        <f t="shared" si="126"/>
        <v>0.81126381035344697</v>
      </c>
      <c r="H331" s="416" t="b">
        <f>Wh_hp&gt;='2025'!Maxi_hp</f>
        <v>0</v>
      </c>
      <c r="I331" s="392">
        <f>IF(H331,Wh_hp,'2025'!Maxi_hp)</f>
        <v>23.366158746660897</v>
      </c>
      <c r="J331" s="85">
        <f>IF(H331,An,'2025'!An_max)</f>
        <v>2020</v>
      </c>
      <c r="K331" s="199">
        <f t="shared" si="104"/>
        <v>46339</v>
      </c>
      <c r="L331" s="147">
        <f>IF(t&lt;Tvie,1-EXP((T0-t)*PertePVj)+'2025'!Pspv,1-EXP((T0-t)*PertePVj)+Pspv)</f>
        <v>6.7997945682663929E-2</v>
      </c>
      <c r="M331" s="872"/>
      <c r="N331" s="872"/>
      <c r="O331" s="48">
        <f>IF(t&lt;Tnet,'2025'!Resal+('2025'!Salim-'2025'!Resal)*(1-EXP(('2025'!Tnet-t)/('2025'!Tau_j))),Resal+(Salim-Resal)*(1-EXP((Tnet-t)/(Tau_j))))*Salcycl</f>
        <v>6.1689403212035906E-2</v>
      </c>
      <c r="P331" s="171">
        <f>(INDEX(Models!$BJ331:$BT331,,T331)*(1-R331)+INDEX(Models!$BJ331:$BT331,,T331+1)*R331-ERP_i)*Q331*Ramure*Pc/MaxiM</f>
        <v>1.8506229975815667E-2</v>
      </c>
      <c r="Q331" s="307">
        <f t="shared" si="105"/>
        <v>0.9</v>
      </c>
      <c r="R331" s="179">
        <f t="shared" si="106"/>
        <v>0.56387386405003603</v>
      </c>
      <c r="S331" s="839">
        <f t="shared" si="107"/>
        <v>-2</v>
      </c>
      <c r="T331" s="178">
        <f t="shared" si="108"/>
        <v>4</v>
      </c>
      <c r="U331" s="253">
        <f t="shared" si="109"/>
        <v>-1.436126135949964</v>
      </c>
      <c r="V331" s="385">
        <f t="shared" si="110"/>
        <v>20.080435346130059</v>
      </c>
      <c r="W331" s="404">
        <f t="shared" si="111"/>
        <v>16.371577075241902</v>
      </c>
      <c r="X331" s="157">
        <f t="shared" si="112"/>
        <v>46339</v>
      </c>
      <c r="Y331" s="387">
        <f t="shared" si="113"/>
        <v>13.024560890114431</v>
      </c>
      <c r="Z331" s="387">
        <f t="shared" si="114"/>
        <v>13.974819937123998</v>
      </c>
      <c r="AA331" s="388">
        <f t="shared" si="115"/>
        <v>16.467247025591583</v>
      </c>
      <c r="AB331" s="199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0.15135663445104872</v>
      </c>
      <c r="AD331" s="233">
        <f>(INDEX(Models!$BJ331:$BT331,,AH331)*(1-AF331)+INDEX(Models!$BJ331:$BT331,,AH331+1)*AF331-ERP_i)*AE331*Ramure*Pc/MaxiM</f>
        <v>0.17980956458694353</v>
      </c>
      <c r="AE331" s="307">
        <f t="shared" si="117"/>
        <v>0.9</v>
      </c>
      <c r="AF331" s="179">
        <f t="shared" si="118"/>
        <v>0.19952951635701499</v>
      </c>
      <c r="AG331" s="839">
        <f t="shared" si="124"/>
        <v>3</v>
      </c>
      <c r="AH331" s="178">
        <f t="shared" si="119"/>
        <v>9</v>
      </c>
      <c r="AI331" s="227">
        <f t="shared" si="120"/>
        <v>3.199529516357015</v>
      </c>
      <c r="AJ331" s="267" t="b">
        <f t="shared" si="121"/>
        <v>0</v>
      </c>
      <c r="AK331" s="267" t="b">
        <f t="shared" si="122"/>
        <v>0</v>
      </c>
      <c r="AL331" s="267"/>
      <c r="AM331" s="267"/>
      <c r="AN331" s="75"/>
    </row>
    <row r="332" spans="1:40" s="6" customFormat="1" ht="11.25" x14ac:dyDescent="0.2">
      <c r="A332" s="56">
        <f t="shared" si="123"/>
        <v>46340</v>
      </c>
      <c r="B332" s="413">
        <f>'2025'!Wh/'2025'!Env_an*'2026'!Env_an</f>
        <v>9.4515944238224279</v>
      </c>
      <c r="C332" s="868"/>
      <c r="D332" s="395">
        <f t="shared" si="102"/>
        <v>10.141409385920793</v>
      </c>
      <c r="E332" s="387">
        <f t="shared" si="125"/>
        <v>10.809579351681828</v>
      </c>
      <c r="F332" s="387">
        <f t="shared" si="103"/>
        <v>10.861531780448148</v>
      </c>
      <c r="G332" s="110">
        <f t="shared" si="126"/>
        <v>0.4693226093735034</v>
      </c>
      <c r="H332" s="416" t="b">
        <f>Wh_hp&gt;='2025'!Maxi_hp</f>
        <v>0</v>
      </c>
      <c r="I332" s="392">
        <f>IF(H332,Wh_hp,'2025'!Maxi_hp)</f>
        <v>17.041501964262778</v>
      </c>
      <c r="J332" s="85">
        <f>IF(H332,An,'2025'!An_max)</f>
        <v>2020</v>
      </c>
      <c r="K332" s="199">
        <f t="shared" si="104"/>
        <v>46340</v>
      </c>
      <c r="L332" s="147">
        <f>IF(t&lt;Tvie,1-EXP((T0-t)*PertePVj)+'2025'!Pspv,1-EXP((T0-t)*PertePVj)+Pspv)</f>
        <v>6.8019634732035206E-2</v>
      </c>
      <c r="M332" s="872"/>
      <c r="N332" s="872"/>
      <c r="O332" s="48">
        <f>IF(t&lt;Tnet,'2025'!Resal+('2025'!Salim-'2025'!Resal)*(1-EXP(('2025'!Tnet-t)/('2025'!Tau_j))),Resal+(Salim-Resal)*(1-EXP((Tnet-t)/(Tau_j))))*Salcycl</f>
        <v>6.1812762922830652E-2</v>
      </c>
      <c r="P332" s="171">
        <f>(INDEX(Models!$BJ332:$BT332,,T332)*(1-R332)+INDEX(Models!$BJ332:$BT332,,T332+1)*R332-ERP_i)*Q332*Ramure*Pc/MaxiM</f>
        <v>1.9009995399886181E-2</v>
      </c>
      <c r="Q332" s="307">
        <f t="shared" si="105"/>
        <v>0.9</v>
      </c>
      <c r="R332" s="179">
        <f t="shared" si="106"/>
        <v>0.56392011379562246</v>
      </c>
      <c r="S332" s="839">
        <f t="shared" si="107"/>
        <v>-2</v>
      </c>
      <c r="T332" s="178">
        <f t="shared" si="108"/>
        <v>4</v>
      </c>
      <c r="U332" s="253">
        <f t="shared" si="109"/>
        <v>-1.4360798862043775</v>
      </c>
      <c r="V332" s="385">
        <f t="shared" si="110"/>
        <v>19.850912104535887</v>
      </c>
      <c r="W332" s="404">
        <f t="shared" si="111"/>
        <v>9.4515944238224279</v>
      </c>
      <c r="X332" s="157">
        <f t="shared" si="112"/>
        <v>46340</v>
      </c>
      <c r="Y332" s="387">
        <f t="shared" si="113"/>
        <v>8.1947966074861665</v>
      </c>
      <c r="Z332" s="387">
        <f t="shared" si="114"/>
        <v>8.7928854650601824</v>
      </c>
      <c r="AA332" s="388">
        <f t="shared" si="115"/>
        <v>10.360442990120536</v>
      </c>
      <c r="AB332" s="199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0.1513021717850421</v>
      </c>
      <c r="AD332" s="233">
        <f>(INDEX(Models!$BJ332:$BT332,,AH332)*(1-AF332)+INDEX(Models!$BJ332:$BT332,,AH332+1)*AF332-ERP_i)*AE332*Ramure*Pc/MaxiM</f>
        <v>0.18335419200339079</v>
      </c>
      <c r="AE332" s="307">
        <f t="shared" si="117"/>
        <v>0.9</v>
      </c>
      <c r="AF332" s="179">
        <f t="shared" si="118"/>
        <v>0.19957576610260119</v>
      </c>
      <c r="AG332" s="839">
        <f t="shared" si="124"/>
        <v>3</v>
      </c>
      <c r="AH332" s="178">
        <f t="shared" si="119"/>
        <v>9</v>
      </c>
      <c r="AI332" s="227">
        <f t="shared" si="120"/>
        <v>3.1995757661026012</v>
      </c>
      <c r="AJ332" s="267" t="b">
        <f t="shared" si="121"/>
        <v>0</v>
      </c>
      <c r="AK332" s="267" t="b">
        <f t="shared" si="122"/>
        <v>0</v>
      </c>
      <c r="AL332" s="267"/>
      <c r="AM332" s="267"/>
      <c r="AN332" s="75"/>
    </row>
    <row r="333" spans="1:40" s="6" customFormat="1" ht="11.25" x14ac:dyDescent="0.2">
      <c r="A333" s="56">
        <f t="shared" si="123"/>
        <v>46341</v>
      </c>
      <c r="B333" s="413">
        <f>'2025'!Wh/'2025'!Env_an*'2026'!Env_an</f>
        <v>11.518680361858449</v>
      </c>
      <c r="C333" s="868"/>
      <c r="D333" s="395">
        <f t="shared" si="102"/>
        <v>12.359647106196748</v>
      </c>
      <c r="E333" s="387">
        <f t="shared" si="125"/>
        <v>13.175706545141464</v>
      </c>
      <c r="F333" s="387">
        <f t="shared" si="103"/>
        <v>13.281767921875906</v>
      </c>
      <c r="G333" s="110">
        <f t="shared" si="126"/>
        <v>0.58003517726213905</v>
      </c>
      <c r="H333" s="416" t="b">
        <f>Wh_hp&gt;='2025'!Maxi_hp</f>
        <v>0</v>
      </c>
      <c r="I333" s="392">
        <f>IF(H333,Wh_hp,'2025'!Maxi_hp)</f>
        <v>21.801305387637619</v>
      </c>
      <c r="J333" s="85">
        <f>IF(H333,An,'2025'!An_max)</f>
        <v>2020</v>
      </c>
      <c r="K333" s="199">
        <f t="shared" si="104"/>
        <v>46341</v>
      </c>
      <c r="L333" s="147">
        <f>IF(t&lt;Tvie,1-EXP((T0-t)*PertePVj)+'2025'!Pspv,1-EXP((T0-t)*PertePVj)+Pspv)</f>
        <v>6.8041323276670673E-2</v>
      </c>
      <c r="M333" s="872"/>
      <c r="N333" s="872"/>
      <c r="O333" s="48">
        <f>IF(t&lt;Tnet,'2025'!Resal+('2025'!Salim-'2025'!Resal)*(1-EXP(('2025'!Tnet-t)/('2025'!Tau_j))),Resal+(Salim-Resal)*(1-EXP((Tnet-t)/(Tau_j))))*Salcycl</f>
        <v>6.1936673843547202E-2</v>
      </c>
      <c r="P333" s="171">
        <f>(INDEX(Models!$BJ333:$BT333,,T333)*(1-R333)+INDEX(Models!$BJ333:$BT333,,T333+1)*R333-ERP_i)*Q333*Ramure*Pc/MaxiM</f>
        <v>1.9487696664334968E-2</v>
      </c>
      <c r="Q333" s="307">
        <f t="shared" si="105"/>
        <v>0.9</v>
      </c>
      <c r="R333" s="179">
        <f t="shared" si="106"/>
        <v>0.56396450713943569</v>
      </c>
      <c r="S333" s="839">
        <f t="shared" si="107"/>
        <v>-2</v>
      </c>
      <c r="T333" s="178">
        <f t="shared" si="108"/>
        <v>4</v>
      </c>
      <c r="U333" s="253">
        <f t="shared" si="109"/>
        <v>-1.4360354928605643</v>
      </c>
      <c r="V333" s="385">
        <f t="shared" si="110"/>
        <v>19.628332915564634</v>
      </c>
      <c r="W333" s="404">
        <f t="shared" si="111"/>
        <v>11.518680361858449</v>
      </c>
      <c r="X333" s="157">
        <f t="shared" si="112"/>
        <v>46341</v>
      </c>
      <c r="Y333" s="387">
        <f t="shared" si="113"/>
        <v>9.7012897264023774</v>
      </c>
      <c r="Z333" s="387">
        <f t="shared" si="114"/>
        <v>10.40957069095715</v>
      </c>
      <c r="AA333" s="388">
        <f t="shared" si="115"/>
        <v>12.26459100680262</v>
      </c>
      <c r="AB333" s="199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0.15125007550733435</v>
      </c>
      <c r="AD333" s="233">
        <f>(INDEX(Models!$BJ333:$BT333,,AH333)*(1-AF333)+INDEX(Models!$BJ333:$BT333,,AH333+1)*AF333-ERP_i)*AE333*Ramure*Pc/MaxiM</f>
        <v>0.186895887883334</v>
      </c>
      <c r="AE333" s="307">
        <f t="shared" si="117"/>
        <v>0.9</v>
      </c>
      <c r="AF333" s="179">
        <f t="shared" si="118"/>
        <v>0.19962015944641465</v>
      </c>
      <c r="AG333" s="839">
        <f t="shared" si="124"/>
        <v>3</v>
      </c>
      <c r="AH333" s="178">
        <f t="shared" si="119"/>
        <v>9</v>
      </c>
      <c r="AI333" s="227">
        <f t="shared" si="120"/>
        <v>3.1996201594464146</v>
      </c>
      <c r="AJ333" s="267" t="b">
        <f t="shared" si="121"/>
        <v>0</v>
      </c>
      <c r="AK333" s="267" t="b">
        <f t="shared" si="122"/>
        <v>0</v>
      </c>
      <c r="AL333" s="267"/>
      <c r="AM333" s="267"/>
      <c r="AN333" s="75"/>
    </row>
    <row r="334" spans="1:40" s="6" customFormat="1" ht="11.25" x14ac:dyDescent="0.2">
      <c r="A334" s="56">
        <f t="shared" si="123"/>
        <v>46342</v>
      </c>
      <c r="B334" s="413">
        <f>'2025'!Wh/'2025'!Env_an*'2026'!Env_an</f>
        <v>18.054101902732075</v>
      </c>
      <c r="C334" s="868"/>
      <c r="D334" s="395">
        <f t="shared" si="102"/>
        <v>19.372663733669135</v>
      </c>
      <c r="E334" s="387">
        <f t="shared" si="125"/>
        <v>20.65450752887709</v>
      </c>
      <c r="F334" s="387">
        <f t="shared" si="103"/>
        <v>21.031931391715759</v>
      </c>
      <c r="G334" s="110">
        <f t="shared" si="126"/>
        <v>0.92814189904872813</v>
      </c>
      <c r="H334" s="416" t="b">
        <f>Wh_hp&gt;='2025'!Maxi_hp</f>
        <v>0</v>
      </c>
      <c r="I334" s="392">
        <f>IF(H334,Wh_hp,'2025'!Maxi_hp)</f>
        <v>21.058310836751197</v>
      </c>
      <c r="J334" s="85">
        <f>IF(H334,An,'2025'!An_max)</f>
        <v>2025</v>
      </c>
      <c r="K334" s="199">
        <f t="shared" si="104"/>
        <v>46342</v>
      </c>
      <c r="L334" s="147">
        <f>IF(t&lt;Tvie,1-EXP((T0-t)*PertePVj)+'2025'!Pspv,1-EXP((T0-t)*PertePVj)+Pspv)</f>
        <v>6.8063011316581989E-2</v>
      </c>
      <c r="M334" s="872"/>
      <c r="N334" s="872"/>
      <c r="O334" s="48">
        <f>IF(t&lt;Tnet,'2025'!Resal+('2025'!Salim-'2025'!Resal)*(1-EXP(('2025'!Tnet-t)/('2025'!Tau_j))),Resal+(Salim-Resal)*(1-EXP((Tnet-t)/(Tau_j))))*Salcycl</f>
        <v>6.2061213195996418E-2</v>
      </c>
      <c r="P334" s="171">
        <f>(INDEX(Models!$BJ334:$BT334,,T334)*(1-R334)+INDEX(Models!$BJ334:$BT334,,T334+1)*R334-ERP_i)*Q334*Ramure*Pc/MaxiM</f>
        <v>1.993827054005445E-2</v>
      </c>
      <c r="Q334" s="307">
        <f t="shared" si="105"/>
        <v>0.9</v>
      </c>
      <c r="R334" s="179">
        <f t="shared" si="106"/>
        <v>0.56400711837312101</v>
      </c>
      <c r="S334" s="839">
        <f t="shared" si="107"/>
        <v>-2</v>
      </c>
      <c r="T334" s="178">
        <f t="shared" si="108"/>
        <v>4</v>
      </c>
      <c r="U334" s="253">
        <f t="shared" si="109"/>
        <v>-1.435992881626879</v>
      </c>
      <c r="V334" s="385">
        <f t="shared" si="110"/>
        <v>19.412400987983848</v>
      </c>
      <c r="W334" s="404">
        <f t="shared" si="111"/>
        <v>18.054101902732075</v>
      </c>
      <c r="X334" s="157">
        <f t="shared" si="112"/>
        <v>46342</v>
      </c>
      <c r="Y334" s="387">
        <f t="shared" si="113"/>
        <v>13.785312072225553</v>
      </c>
      <c r="Z334" s="387">
        <f t="shared" si="114"/>
        <v>14.792107448917308</v>
      </c>
      <c r="AA334" s="388">
        <f t="shared" si="115"/>
        <v>17.427092846939914</v>
      </c>
      <c r="AB334" s="199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0.15120051411703425</v>
      </c>
      <c r="AD334" s="233">
        <f>(INDEX(Models!$BJ334:$BT334,,AH334)*(1-AF334)+INDEX(Models!$BJ334:$BT334,,AH334+1)*AF334-ERP_i)*AE334*Ramure*Pc/MaxiM</f>
        <v>0.19043376223850367</v>
      </c>
      <c r="AE334" s="307">
        <f t="shared" si="117"/>
        <v>0.9</v>
      </c>
      <c r="AF334" s="179">
        <f t="shared" si="118"/>
        <v>0.19966277068010019</v>
      </c>
      <c r="AG334" s="839">
        <f t="shared" si="124"/>
        <v>3</v>
      </c>
      <c r="AH334" s="178">
        <f t="shared" si="119"/>
        <v>9</v>
      </c>
      <c r="AI334" s="227">
        <f t="shared" si="120"/>
        <v>3.1996627706801002</v>
      </c>
      <c r="AJ334" s="267" t="b">
        <f t="shared" si="121"/>
        <v>0</v>
      </c>
      <c r="AK334" s="267" t="b">
        <f t="shared" si="122"/>
        <v>0</v>
      </c>
      <c r="AL334" s="267"/>
      <c r="AM334" s="267"/>
      <c r="AN334" s="75"/>
    </row>
    <row r="335" spans="1:40" s="6" customFormat="1" ht="11.25" x14ac:dyDescent="0.2">
      <c r="A335" s="56">
        <f t="shared" si="123"/>
        <v>46343</v>
      </c>
      <c r="B335" s="413">
        <f>'2025'!Wh/'2025'!Env_an*'2026'!Env_an</f>
        <v>11.855543710983117</v>
      </c>
      <c r="C335" s="868"/>
      <c r="D335" s="395">
        <f t="shared" ref="D335:D379" si="127">Wh/(1-Ppv)</f>
        <v>12.721696592357507</v>
      </c>
      <c r="E335" s="387">
        <f t="shared" si="125"/>
        <v>13.565272815762121</v>
      </c>
      <c r="F335" s="387">
        <f t="shared" ref="F335:F379" si="128">Wh_sa/(1-Pvg*MEDIAN((-Sdif+Wh/Env_an)/Csdif,0,1))</f>
        <v>13.691670168824396</v>
      </c>
      <c r="G335" s="110">
        <f t="shared" si="126"/>
        <v>0.61045066450601171</v>
      </c>
      <c r="H335" s="416" t="b">
        <f>Wh_hp&gt;='2025'!Maxi_hp</f>
        <v>0</v>
      </c>
      <c r="I335" s="392">
        <f>IF(H335,Wh_hp,'2025'!Maxi_hp)</f>
        <v>21.918634591687038</v>
      </c>
      <c r="J335" s="85">
        <f>IF(H335,An,'2025'!An_max)</f>
        <v>2018</v>
      </c>
      <c r="K335" s="199">
        <f t="shared" ref="K335:K379" si="129">t</f>
        <v>46343</v>
      </c>
      <c r="L335" s="147">
        <f>IF(t&lt;Tvie,1-EXP((T0-t)*PertePVj)+'2025'!Pspv,1-EXP((T0-t)*PertePVj)+Pspv)</f>
        <v>6.8084698851781034E-2</v>
      </c>
      <c r="M335" s="872"/>
      <c r="N335" s="872"/>
      <c r="O335" s="48">
        <f>IF(t&lt;Tnet,'2025'!Resal+('2025'!Salim-'2025'!Resal)*(1-EXP(('2025'!Tnet-t)/('2025'!Tau_j))),Resal+(Salim-Resal)*(1-EXP((Tnet-t)/(Tau_j))))*Salcycl</f>
        <v>6.2186454696614997E-2</v>
      </c>
      <c r="P335" s="171">
        <f>(INDEX(Models!$BJ335:$BT335,,T335)*(1-R335)+INDEX(Models!$BJ335:$BT335,,T335+1)*R335-ERP_i)*Q335*Ramure*Pc/MaxiM</f>
        <v>2.0360686781485809E-2</v>
      </c>
      <c r="Q335" s="307">
        <f t="shared" ref="Q335:Q379" si="130">IF(OR(t&lt;Ttai,Notai),Dd+PousD*Croivg,Dens+PousD*(Croivg-Croi_tai))</f>
        <v>0.9</v>
      </c>
      <c r="R335" s="179">
        <f t="shared" ref="R335:R379" si="131">(Hp_vg-S335)/(INDEX(Echel_vg,T335+1)-S335)</f>
        <v>0.56404801883271283</v>
      </c>
      <c r="S335" s="839">
        <f t="shared" ref="S335:S379" si="132">INDEX(Echel_vg,T335)</f>
        <v>-2</v>
      </c>
      <c r="T335" s="178">
        <f t="shared" ref="T335:T379" si="133">MIN(MATCH(Hp_vg,Echel_vg),10)</f>
        <v>4</v>
      </c>
      <c r="U335" s="253">
        <f t="shared" ref="U335:U379" si="134">IF(OR(t&lt;Ttai,Notai),Hdd+PousH*Croivg,Hdtf+PousH*(Croivg-Croi_tai))</f>
        <v>-1.4359519811672872</v>
      </c>
      <c r="V335" s="385">
        <f t="shared" ref="V335:V379" si="135">MaxiM*(1-Ppv)*(1-Pvg)*(1-Psa)</f>
        <v>19.202819799503448</v>
      </c>
      <c r="W335" s="404">
        <f t="shared" ref="W335:W379" si="136">Wh*(A335&gt;Tmaj)</f>
        <v>11.855543710983117</v>
      </c>
      <c r="X335" s="157">
        <f t="shared" ref="X335:X379" si="137">t</f>
        <v>46343</v>
      </c>
      <c r="Y335" s="387">
        <f t="shared" ref="Y335:Y379" si="138">Wh_pvt_s*(1-Ppv)</f>
        <v>9.8783043692656634</v>
      </c>
      <c r="Z335" s="387">
        <f t="shared" ref="Z335:Z379" si="139">Wh_sa_s*(1-Psa_s)</f>
        <v>10.600002336150656</v>
      </c>
      <c r="AA335" s="388">
        <f t="shared" ref="AA335:AA379" si="140">Wh_hp*(1-Pvg_s*MEDIAN((-Sdif+Wh/Env_an)/Csdif,0,1))</f>
        <v>12.487539455843145</v>
      </c>
      <c r="AB335" s="199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0.15115364610994486</v>
      </c>
      <c r="AD335" s="233">
        <f>(INDEX(Models!$BJ335:$BT335,,AH335)*(1-AF335)+INDEX(Models!$BJ335:$BT335,,AH335+1)*AF335-ERP_i)*AE335*Ramure*Pc/MaxiM</f>
        <v>0.19396710213463958</v>
      </c>
      <c r="AE335" s="307">
        <f t="shared" ref="AE335:AE379" si="142">IF(OR(t&lt;Ttai,Notai),Dd_s+PousD*Croivg,Dens_s+PousD*(Croivg-Croi_tai))</f>
        <v>0.9</v>
      </c>
      <c r="AF335" s="179">
        <f t="shared" ref="AF335:AF379" si="143">(Hp_vg_s-AG335)/(INDEX(Echel_vg,AH335+1)-AG335)</f>
        <v>0.19970367113969179</v>
      </c>
      <c r="AG335" s="839">
        <f t="shared" si="124"/>
        <v>3</v>
      </c>
      <c r="AH335" s="178">
        <f t="shared" ref="AH335:AH379" si="144">MIN(MATCH(Hp_vg_s,Echel_vg),10)</f>
        <v>9</v>
      </c>
      <c r="AI335" s="227">
        <f t="shared" ref="AI335:AI379" si="145">IF(OR(t&lt;Ttai,Notai),Hdd_s+PousH*Croivg,Hdtai_s+PousH*(Croivg-Croi_tai))</f>
        <v>3.1997036711396918</v>
      </c>
      <c r="AJ335" s="267" t="b">
        <f t="shared" ref="AJ335:AJ380" si="146">t&lt;Tnet</f>
        <v>0</v>
      </c>
      <c r="AK335" s="267" t="b">
        <f t="shared" ref="AK335:AK380" si="147">t&lt;Ttai</f>
        <v>0</v>
      </c>
      <c r="AL335" s="267"/>
      <c r="AM335" s="267"/>
      <c r="AN335" s="75"/>
    </row>
    <row r="336" spans="1:40" s="6" customFormat="1" ht="11.25" x14ac:dyDescent="0.2">
      <c r="A336" s="56">
        <f t="shared" ref="A336:A379" si="148">A335+1</f>
        <v>46344</v>
      </c>
      <c r="B336" s="413">
        <f>'2025'!Wh/'2025'!Env_an*'2026'!Env_an</f>
        <v>11.217303014132938</v>
      </c>
      <c r="C336" s="868"/>
      <c r="D336" s="395">
        <f t="shared" si="127"/>
        <v>12.037106858762016</v>
      </c>
      <c r="E336" s="387">
        <f t="shared" si="125"/>
        <v>12.837012811712832</v>
      </c>
      <c r="F336" s="387">
        <f t="shared" si="128"/>
        <v>12.948500852563923</v>
      </c>
      <c r="G336" s="110">
        <f t="shared" si="126"/>
        <v>0.58317426817421969</v>
      </c>
      <c r="H336" s="416" t="b">
        <f>Wh_hp&gt;='2025'!Maxi_hp</f>
        <v>0</v>
      </c>
      <c r="I336" s="392">
        <f>IF(H336,Wh_hp,'2025'!Maxi_hp)</f>
        <v>20.767759562159952</v>
      </c>
      <c r="J336" s="85">
        <f>IF(H336,An,'2025'!An_max)</f>
        <v>2020</v>
      </c>
      <c r="K336" s="199">
        <f t="shared" si="129"/>
        <v>46344</v>
      </c>
      <c r="L336" s="147">
        <f>IF(t&lt;Tvie,1-EXP((T0-t)*PertePVj)+'2025'!Pspv,1-EXP((T0-t)*PertePVj)+Pspv)</f>
        <v>6.8106385882279352E-2</v>
      </c>
      <c r="M336" s="872"/>
      <c r="N336" s="872"/>
      <c r="O336" s="48">
        <f>IF(t&lt;Tnet,'2025'!Resal+('2025'!Salim-'2025'!Resal)*(1-EXP(('2025'!Tnet-t)/('2025'!Tau_j))),Resal+(Salim-Resal)*(1-EXP((Tnet-t)/(Tau_j))))*Salcycl</f>
        <v>6.2312468226327578E-2</v>
      </c>
      <c r="P336" s="171">
        <f>(INDEX(Models!$BJ336:$BT336,,T336)*(1-R336)+INDEX(Models!$BJ336:$BT336,,T336+1)*R336-ERP_i)*Q336*Ramure*Pc/MaxiM</f>
        <v>2.0753949103857597E-2</v>
      </c>
      <c r="Q336" s="307">
        <f t="shared" si="130"/>
        <v>0.9</v>
      </c>
      <c r="R336" s="179">
        <f t="shared" si="131"/>
        <v>0.56408727701484151</v>
      </c>
      <c r="S336" s="839">
        <f t="shared" si="132"/>
        <v>-2</v>
      </c>
      <c r="T336" s="178">
        <f t="shared" si="133"/>
        <v>4</v>
      </c>
      <c r="U336" s="253">
        <f t="shared" si="134"/>
        <v>-1.4359127229851585</v>
      </c>
      <c r="V336" s="385">
        <f t="shared" si="135"/>
        <v>18.999293095579215</v>
      </c>
      <c r="W336" s="404">
        <f t="shared" si="136"/>
        <v>11.217303014132938</v>
      </c>
      <c r="X336" s="157">
        <f t="shared" si="137"/>
        <v>46344</v>
      </c>
      <c r="Y336" s="387">
        <f t="shared" si="138"/>
        <v>9.4039706934983371</v>
      </c>
      <c r="Z336" s="387">
        <f t="shared" si="139"/>
        <v>10.091249205953233</v>
      </c>
      <c r="AA336" s="388">
        <f t="shared" si="140"/>
        <v>11.887576341307277</v>
      </c>
      <c r="AB336" s="199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0.15110961930163314</v>
      </c>
      <c r="AD336" s="233">
        <f>(INDEX(Models!$BJ336:$BT336,,AH336)*(1-AF336)+INDEX(Models!$BJ336:$BT336,,AH336+1)*AF336-ERP_i)*AE336*Ramure*Pc/MaxiM</f>
        <v>0.19749538283719903</v>
      </c>
      <c r="AE336" s="307">
        <f t="shared" si="142"/>
        <v>0.9</v>
      </c>
      <c r="AF336" s="179">
        <f t="shared" si="143"/>
        <v>0.19974292932182047</v>
      </c>
      <c r="AG336" s="839">
        <f t="shared" ref="AG336:AG379" si="149">INDEX(Echel_vg,AH336)</f>
        <v>3</v>
      </c>
      <c r="AH336" s="178">
        <f t="shared" si="144"/>
        <v>9</v>
      </c>
      <c r="AI336" s="227">
        <f t="shared" si="145"/>
        <v>3.1997429293218205</v>
      </c>
      <c r="AJ336" s="267" t="b">
        <f t="shared" si="146"/>
        <v>0</v>
      </c>
      <c r="AK336" s="267" t="b">
        <f t="shared" si="147"/>
        <v>0</v>
      </c>
      <c r="AL336" s="267"/>
      <c r="AM336" s="267"/>
      <c r="AN336" s="75"/>
    </row>
    <row r="337" spans="1:40" s="6" customFormat="1" ht="11.25" x14ac:dyDescent="0.2">
      <c r="A337" s="56">
        <f t="shared" si="148"/>
        <v>46345</v>
      </c>
      <c r="B337" s="413">
        <f>'2025'!Wh/'2025'!Env_an*'2026'!Env_an</f>
        <v>8.2526999979828286</v>
      </c>
      <c r="C337" s="868"/>
      <c r="D337" s="395">
        <f t="shared" si="127"/>
        <v>8.8560452929502578</v>
      </c>
      <c r="E337" s="387">
        <f t="shared" si="125"/>
        <v>9.445836922740531</v>
      </c>
      <c r="F337" s="387">
        <f t="shared" si="128"/>
        <v>9.4855946118057162</v>
      </c>
      <c r="G337" s="110">
        <f t="shared" si="126"/>
        <v>0.43147719304825705</v>
      </c>
      <c r="H337" s="416" t="b">
        <f>Wh_hp&gt;='2025'!Maxi_hp</f>
        <v>0</v>
      </c>
      <c r="I337" s="392">
        <f>IF(H337,Wh_hp,'2025'!Maxi_hp)</f>
        <v>21.77433778544162</v>
      </c>
      <c r="J337" s="85">
        <f>IF(H337,An,'2025'!An_max)</f>
        <v>2021</v>
      </c>
      <c r="K337" s="199">
        <f t="shared" si="129"/>
        <v>46345</v>
      </c>
      <c r="L337" s="147">
        <f>IF(t&lt;Tvie,1-EXP((T0-t)*PertePVj)+'2025'!Pspv,1-EXP((T0-t)*PertePVj)+Pspv)</f>
        <v>6.8128072408088824E-2</v>
      </c>
      <c r="M337" s="872"/>
      <c r="N337" s="872"/>
      <c r="O337" s="48">
        <f>IF(t&lt;Tnet,'2025'!Resal+('2025'!Salim-'2025'!Resal)*(1-EXP(('2025'!Tnet-t)/('2025'!Tau_j))),Resal+(Salim-Resal)*(1-EXP((Tnet-t)/(Tau_j))))*Salcycl</f>
        <v>6.2439319523966204E-2</v>
      </c>
      <c r="P337" s="171">
        <f>(INDEX(Models!$BJ337:$BT337,,T337)*(1-R337)+INDEX(Models!$BJ337:$BT337,,T337+1)*R337-ERP_i)*Q337*Ramure*Pc/MaxiM</f>
        <v>2.1117095774598176E-2</v>
      </c>
      <c r="Q337" s="307">
        <f t="shared" si="130"/>
        <v>0.9</v>
      </c>
      <c r="R337" s="179">
        <f t="shared" si="131"/>
        <v>0.56412495868848023</v>
      </c>
      <c r="S337" s="839">
        <f t="shared" si="132"/>
        <v>-2</v>
      </c>
      <c r="T337" s="178">
        <f t="shared" si="133"/>
        <v>4</v>
      </c>
      <c r="U337" s="253">
        <f t="shared" si="134"/>
        <v>-1.4358750413115198</v>
      </c>
      <c r="V337" s="385">
        <f t="shared" si="135"/>
        <v>18.801524876660391</v>
      </c>
      <c r="W337" s="404">
        <f t="shared" si="136"/>
        <v>8.2526999979828286</v>
      </c>
      <c r="X337" s="157">
        <f t="shared" si="137"/>
        <v>46345</v>
      </c>
      <c r="Y337" s="387">
        <f t="shared" si="138"/>
        <v>7.2046102767940949</v>
      </c>
      <c r="Z337" s="387">
        <f t="shared" si="139"/>
        <v>7.7313309516811248</v>
      </c>
      <c r="AA337" s="388">
        <f t="shared" si="140"/>
        <v>9.1071324260533011</v>
      </c>
      <c r="AB337" s="199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0.15106857021605849</v>
      </c>
      <c r="AD337" s="233">
        <f>(INDEX(Models!$BJ337:$BT337,,AH337)*(1-AF337)+INDEX(Models!$BJ337:$BT337,,AH337+1)*AF337-ERP_i)*AE337*Ramure*Pc/MaxiM</f>
        <v>0.20101827876600725</v>
      </c>
      <c r="AE337" s="307">
        <f t="shared" si="142"/>
        <v>0.9</v>
      </c>
      <c r="AF337" s="179">
        <f t="shared" si="143"/>
        <v>0.19978061099545918</v>
      </c>
      <c r="AG337" s="839">
        <f t="shared" si="149"/>
        <v>3</v>
      </c>
      <c r="AH337" s="178">
        <f t="shared" si="144"/>
        <v>9</v>
      </c>
      <c r="AI337" s="227">
        <f t="shared" si="145"/>
        <v>3.1997806109954592</v>
      </c>
      <c r="AJ337" s="267" t="b">
        <f t="shared" si="146"/>
        <v>0</v>
      </c>
      <c r="AK337" s="267" t="b">
        <f t="shared" si="147"/>
        <v>0</v>
      </c>
      <c r="AL337" s="267"/>
      <c r="AM337" s="267"/>
      <c r="AN337" s="75"/>
    </row>
    <row r="338" spans="1:40" s="6" customFormat="1" ht="11.25" x14ac:dyDescent="0.2">
      <c r="A338" s="56">
        <f t="shared" si="148"/>
        <v>46346</v>
      </c>
      <c r="B338" s="413">
        <f>'2025'!Wh/'2025'!Env_an*'2026'!Env_an</f>
        <v>13.497756451564269</v>
      </c>
      <c r="C338" s="868"/>
      <c r="D338" s="395">
        <f t="shared" si="127"/>
        <v>14.48489880606963</v>
      </c>
      <c r="E338" s="387">
        <f t="shared" si="125"/>
        <v>15.451664157572147</v>
      </c>
      <c r="F338" s="387">
        <f t="shared" si="128"/>
        <v>15.65575296157995</v>
      </c>
      <c r="G338" s="110">
        <f t="shared" si="126"/>
        <v>0.71914341399188653</v>
      </c>
      <c r="H338" s="416" t="b">
        <f>Wh_hp&gt;='2025'!Maxi_hp</f>
        <v>0</v>
      </c>
      <c r="I338" s="392">
        <f>IF(H338,Wh_hp,'2025'!Maxi_hp)</f>
        <v>22.468091458324675</v>
      </c>
      <c r="J338" s="85">
        <f>IF(H338,An,'2025'!An_max)</f>
        <v>2019</v>
      </c>
      <c r="K338" s="199">
        <f t="shared" si="129"/>
        <v>46346</v>
      </c>
      <c r="L338" s="147">
        <f>IF(t&lt;Tvie,1-EXP((T0-t)*PertePVj)+'2025'!Pspv,1-EXP((T0-t)*PertePVj)+Pspv)</f>
        <v>6.8149758429221219E-2</v>
      </c>
      <c r="M338" s="872"/>
      <c r="N338" s="872"/>
      <c r="O338" s="48">
        <f>IF(t&lt;Tnet,'2025'!Resal+('2025'!Salim-'2025'!Resal)*(1-EXP(('2025'!Tnet-t)/('2025'!Tau_j))),Resal+(Salim-Resal)*(1-EXP((Tnet-t)/(Tau_j))))*Salcycl</f>
        <v>6.2567069905460584E-2</v>
      </c>
      <c r="P338" s="171">
        <f>(INDEX(Models!$BJ338:$BT338,,T338)*(1-R338)+INDEX(Models!$BJ338:$BT338,,T338+1)*R338-ERP_i)*Q338*Ramure*Pc/MaxiM</f>
        <v>2.145443346192585E-2</v>
      </c>
      <c r="Q338" s="307">
        <f t="shared" si="130"/>
        <v>0.9</v>
      </c>
      <c r="R338" s="179">
        <f t="shared" si="131"/>
        <v>0.56416112700239496</v>
      </c>
      <c r="S338" s="839">
        <f t="shared" si="132"/>
        <v>-2</v>
      </c>
      <c r="T338" s="178">
        <f t="shared" si="133"/>
        <v>4</v>
      </c>
      <c r="U338" s="253">
        <f t="shared" si="134"/>
        <v>-1.435838872997605</v>
      </c>
      <c r="V338" s="385">
        <f t="shared" si="135"/>
        <v>18.609119871074839</v>
      </c>
      <c r="W338" s="404">
        <f t="shared" si="136"/>
        <v>13.497756451564269</v>
      </c>
      <c r="X338" s="157">
        <f t="shared" si="137"/>
        <v>46346</v>
      </c>
      <c r="Y338" s="387">
        <f t="shared" si="138"/>
        <v>10.846299341849937</v>
      </c>
      <c r="Z338" s="387">
        <f t="shared" si="139"/>
        <v>11.639530536115771</v>
      </c>
      <c r="AA338" s="388">
        <f t="shared" si="140"/>
        <v>13.710188917183919</v>
      </c>
      <c r="AB338" s="199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0.15103062354398697</v>
      </c>
      <c r="AD338" s="233">
        <f>(INDEX(Models!$BJ338:$BT338,,AH338)*(1-AF338)+INDEX(Models!$BJ338:$BT338,,AH338+1)*AF338-ERP_i)*AE338*Ramure*Pc/MaxiM</f>
        <v>0.20452358736353832</v>
      </c>
      <c r="AE338" s="307">
        <f t="shared" si="142"/>
        <v>0.9</v>
      </c>
      <c r="AF338" s="179">
        <f t="shared" si="143"/>
        <v>0.19981677930937369</v>
      </c>
      <c r="AG338" s="839">
        <f t="shared" si="149"/>
        <v>3</v>
      </c>
      <c r="AH338" s="178">
        <f t="shared" si="144"/>
        <v>9</v>
      </c>
      <c r="AI338" s="227">
        <f t="shared" si="145"/>
        <v>3.1998167793093737</v>
      </c>
      <c r="AJ338" s="267" t="b">
        <f t="shared" si="146"/>
        <v>0</v>
      </c>
      <c r="AK338" s="267" t="b">
        <f t="shared" si="147"/>
        <v>0</v>
      </c>
      <c r="AL338" s="267"/>
      <c r="AM338" s="267"/>
      <c r="AN338" s="75"/>
    </row>
    <row r="339" spans="1:40" s="6" customFormat="1" ht="11.25" x14ac:dyDescent="0.2">
      <c r="A339" s="56">
        <f t="shared" si="148"/>
        <v>46347</v>
      </c>
      <c r="B339" s="413">
        <f>'2025'!Wh/'2025'!Env_an*'2026'!Env_an</f>
        <v>3.2229579702862337</v>
      </c>
      <c r="C339" s="868"/>
      <c r="D339" s="395">
        <f t="shared" si="127"/>
        <v>3.4587456558890675</v>
      </c>
      <c r="E339" s="387">
        <f t="shared" si="125"/>
        <v>3.6900992947290661</v>
      </c>
      <c r="F339" s="387">
        <f t="shared" si="128"/>
        <v>3.6900992947290661</v>
      </c>
      <c r="G339" s="110">
        <f t="shared" si="126"/>
        <v>0.17114573760669788</v>
      </c>
      <c r="H339" s="416" t="b">
        <f>Wh_hp&gt;='2025'!Maxi_hp</f>
        <v>0</v>
      </c>
      <c r="I339" s="392">
        <f>IF(H339,Wh_hp,'2025'!Maxi_hp)</f>
        <v>21.653761632843604</v>
      </c>
      <c r="J339" s="85">
        <f>IF(H339,An,'2025'!An_max)</f>
        <v>2019</v>
      </c>
      <c r="K339" s="199">
        <f t="shared" si="129"/>
        <v>46347</v>
      </c>
      <c r="L339" s="147">
        <f>IF(t&lt;Tvie,1-EXP((T0-t)*PertePVj)+'2025'!Pspv,1-EXP((T0-t)*PertePVj)+Pspv)</f>
        <v>6.8171443945688082E-2</v>
      </c>
      <c r="M339" s="872"/>
      <c r="N339" s="872"/>
      <c r="O339" s="48">
        <f>IF(t&lt;Tnet,'2025'!Resal+('2025'!Salim-'2025'!Resal)*(1-EXP(('2025'!Tnet-t)/('2025'!Tau_j))),Resal+(Salim-Resal)*(1-EXP((Tnet-t)/(Tau_j))))*Salcycl</f>
        <v>6.2695776010814677E-2</v>
      </c>
      <c r="P339" s="171">
        <f>(INDEX(Models!$BJ339:$BT339,,T339)*(1-R339)+INDEX(Models!$BJ339:$BT339,,T339+1)*R339-ERP_i)*Q339*Ramure*Pc/MaxiM</f>
        <v>2.1789198254178504E-2</v>
      </c>
      <c r="Q339" s="307">
        <f t="shared" si="130"/>
        <v>0.9</v>
      </c>
      <c r="R339" s="179">
        <f t="shared" si="131"/>
        <v>0.56419584258845412</v>
      </c>
      <c r="S339" s="839">
        <f t="shared" si="132"/>
        <v>-2</v>
      </c>
      <c r="T339" s="178">
        <f t="shared" si="133"/>
        <v>4</v>
      </c>
      <c r="U339" s="253">
        <f t="shared" si="134"/>
        <v>-1.4358041574115459</v>
      </c>
      <c r="V339" s="385">
        <f t="shared" si="135"/>
        <v>18.42133110759633</v>
      </c>
      <c r="W339" s="404">
        <f t="shared" si="136"/>
        <v>3.2229579702862337</v>
      </c>
      <c r="X339" s="157">
        <f t="shared" si="137"/>
        <v>46347</v>
      </c>
      <c r="Y339" s="387">
        <f t="shared" si="138"/>
        <v>2.9193344996211152</v>
      </c>
      <c r="Z339" s="387">
        <f t="shared" si="139"/>
        <v>3.1329094613526318</v>
      </c>
      <c r="AA339" s="388">
        <f t="shared" si="140"/>
        <v>3.6900992947290661</v>
      </c>
      <c r="AB339" s="199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0.15099589167487273</v>
      </c>
      <c r="AD339" s="233">
        <f>(INDEX(Models!$BJ339:$BT339,,AH339)*(1-AF339)+INDEX(Models!$BJ339:$BT339,,AH339+1)*AF339-ERP_i)*AE339*Ramure*Pc/MaxiM</f>
        <v>0.20802703076796472</v>
      </c>
      <c r="AE339" s="307">
        <f t="shared" si="142"/>
        <v>0.9</v>
      </c>
      <c r="AF339" s="179">
        <f t="shared" si="143"/>
        <v>0.19985149489543286</v>
      </c>
      <c r="AG339" s="839">
        <f t="shared" si="149"/>
        <v>3</v>
      </c>
      <c r="AH339" s="178">
        <f t="shared" si="144"/>
        <v>9</v>
      </c>
      <c r="AI339" s="227">
        <f t="shared" si="145"/>
        <v>3.1998514948954329</v>
      </c>
      <c r="AJ339" s="267" t="b">
        <f t="shared" si="146"/>
        <v>0</v>
      </c>
      <c r="AK339" s="267" t="b">
        <f t="shared" si="147"/>
        <v>0</v>
      </c>
      <c r="AL339" s="267"/>
      <c r="AM339" s="267"/>
      <c r="AN339" s="75"/>
    </row>
    <row r="340" spans="1:40" s="6" customFormat="1" ht="11.25" x14ac:dyDescent="0.2">
      <c r="A340" s="56">
        <f t="shared" si="148"/>
        <v>46348</v>
      </c>
      <c r="B340" s="413">
        <f>'2025'!Wh/'2025'!Env_an*'2026'!Env_an</f>
        <v>8.5408342691500501</v>
      </c>
      <c r="C340" s="868"/>
      <c r="D340" s="395">
        <f t="shared" si="127"/>
        <v>9.1658846211282263</v>
      </c>
      <c r="E340" s="387">
        <f t="shared" si="125"/>
        <v>9.780339220949374</v>
      </c>
      <c r="F340" s="387">
        <f t="shared" si="128"/>
        <v>9.8326359622460409</v>
      </c>
      <c r="G340" s="110">
        <f t="shared" si="126"/>
        <v>0.46039153457715187</v>
      </c>
      <c r="H340" s="416" t="b">
        <f>Wh_hp&gt;='2025'!Maxi_hp</f>
        <v>0</v>
      </c>
      <c r="I340" s="392">
        <f>IF(H340,Wh_hp,'2025'!Maxi_hp)</f>
        <v>21.944926765970493</v>
      </c>
      <c r="J340" s="85">
        <f>IF(H340,An,'2025'!An_max)</f>
        <v>2020</v>
      </c>
      <c r="K340" s="199">
        <f t="shared" si="129"/>
        <v>46348</v>
      </c>
      <c r="L340" s="147">
        <f>IF(t&lt;Tvie,1-EXP((T0-t)*PertePVj)+'2025'!Pspv,1-EXP((T0-t)*PertePVj)+Pspv)</f>
        <v>6.8193128957501403E-2</v>
      </c>
      <c r="M340" s="872"/>
      <c r="N340" s="872"/>
      <c r="O340" s="48">
        <f>IF(t&lt;Tnet,'2025'!Resal+('2025'!Salim-'2025'!Resal)*(1-EXP(('2025'!Tnet-t)/('2025'!Tau_j))),Resal+(Salim-Resal)*(1-EXP((Tnet-t)/(Tau_j))))*Salcycl</f>
        <v>6.2825489580667374E-2</v>
      </c>
      <c r="P340" s="171">
        <f>(INDEX(Models!$BJ340:$BT340,,T340)*(1-R340)+INDEX(Models!$BJ340:$BT340,,T340+1)*R340-ERP_i)*Q340*Ramure*Pc/MaxiM</f>
        <v>2.2121395050345098E-2</v>
      </c>
      <c r="Q340" s="307">
        <f t="shared" si="130"/>
        <v>0.9</v>
      </c>
      <c r="R340" s="179">
        <f t="shared" si="131"/>
        <v>0.56422916366095022</v>
      </c>
      <c r="S340" s="839">
        <f t="shared" si="132"/>
        <v>-2</v>
      </c>
      <c r="T340" s="178">
        <f t="shared" si="133"/>
        <v>4</v>
      </c>
      <c r="U340" s="253">
        <f t="shared" si="134"/>
        <v>-1.4357708363390498</v>
      </c>
      <c r="V340" s="385">
        <f t="shared" si="135"/>
        <v>18.237863115330882</v>
      </c>
      <c r="W340" s="404">
        <f t="shared" si="136"/>
        <v>8.5408342691500501</v>
      </c>
      <c r="X340" s="157">
        <f t="shared" si="137"/>
        <v>46348</v>
      </c>
      <c r="Y340" s="387">
        <f t="shared" si="138"/>
        <v>7.3833383299836877</v>
      </c>
      <c r="Z340" s="387">
        <f t="shared" si="139"/>
        <v>7.9236787787615945</v>
      </c>
      <c r="AA340" s="388">
        <f t="shared" si="140"/>
        <v>9.3325644675213582</v>
      </c>
      <c r="AB340" s="199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0.1509644743053086</v>
      </c>
      <c r="AD340" s="233">
        <f>(INDEX(Models!$BJ340:$BT340,,AH340)*(1-AF340)+INDEX(Models!$BJ340:$BT340,,AH340+1)*AF340-ERP_i)*AE340*Ramure*Pc/MaxiM</f>
        <v>0.2115290324777144</v>
      </c>
      <c r="AE340" s="307">
        <f t="shared" si="142"/>
        <v>0.9</v>
      </c>
      <c r="AF340" s="179">
        <f t="shared" si="143"/>
        <v>0.19988481596792917</v>
      </c>
      <c r="AG340" s="839">
        <f t="shared" si="149"/>
        <v>3</v>
      </c>
      <c r="AH340" s="178">
        <f t="shared" si="144"/>
        <v>9</v>
      </c>
      <c r="AI340" s="227">
        <f t="shared" si="145"/>
        <v>3.1998848159679292</v>
      </c>
      <c r="AJ340" s="267" t="b">
        <f t="shared" si="146"/>
        <v>0</v>
      </c>
      <c r="AK340" s="267" t="b">
        <f t="shared" si="147"/>
        <v>0</v>
      </c>
      <c r="AL340" s="267"/>
      <c r="AM340" s="267"/>
      <c r="AN340" s="75"/>
    </row>
    <row r="341" spans="1:40" s="6" customFormat="1" ht="11.25" x14ac:dyDescent="0.2">
      <c r="A341" s="56">
        <f t="shared" si="148"/>
        <v>46349</v>
      </c>
      <c r="B341" s="413">
        <f>'2025'!Wh/'2025'!Env_an*'2026'!Env_an</f>
        <v>12.700325938977237</v>
      </c>
      <c r="C341" s="868"/>
      <c r="D341" s="395">
        <f t="shared" si="127"/>
        <v>13.630100716884193</v>
      </c>
      <c r="E341" s="387">
        <f t="shared" si="125"/>
        <v>14.545853192602049</v>
      </c>
      <c r="F341" s="387">
        <f t="shared" si="128"/>
        <v>14.736464104410205</v>
      </c>
      <c r="G341" s="110">
        <f t="shared" si="126"/>
        <v>0.69651055512043192</v>
      </c>
      <c r="H341" s="416" t="b">
        <f>Wh_hp&gt;='2025'!Maxi_hp</f>
        <v>0</v>
      </c>
      <c r="I341" s="392">
        <f>IF(H341,Wh_hp,'2025'!Maxi_hp)</f>
        <v>21.331642050489656</v>
      </c>
      <c r="J341" s="85">
        <f>IF(H341,An,'2025'!An_max)</f>
        <v>2020</v>
      </c>
      <c r="K341" s="199">
        <f t="shared" si="129"/>
        <v>46349</v>
      </c>
      <c r="L341" s="147">
        <f>IF(t&lt;Tvie,1-EXP((T0-t)*PertePVj)+'2025'!Pspv,1-EXP((T0-t)*PertePVj)+Pspv)</f>
        <v>6.821481346467273E-2</v>
      </c>
      <c r="M341" s="872"/>
      <c r="N341" s="872"/>
      <c r="O341" s="48">
        <f>IF(t&lt;Tnet,'2025'!Resal+('2025'!Salim-'2025'!Resal)*(1-EXP(('2025'!Tnet-t)/('2025'!Tau_j))),Resal+(Salim-Resal)*(1-EXP((Tnet-t)/(Tau_j))))*Salcycl</f>
        <v>6.2956257264001808E-2</v>
      </c>
      <c r="P341" s="171">
        <f>(INDEX(Models!$BJ341:$BT341,,T341)*(1-R341)+INDEX(Models!$BJ341:$BT341,,T341+1)*R341-ERP_i)*Q341*Ramure*Pc/MaxiM</f>
        <v>2.2450913517478716E-2</v>
      </c>
      <c r="Q341" s="307">
        <f t="shared" si="130"/>
        <v>0.9</v>
      </c>
      <c r="R341" s="179">
        <f t="shared" si="131"/>
        <v>0.56426114611207989</v>
      </c>
      <c r="S341" s="839">
        <f t="shared" si="132"/>
        <v>-2</v>
      </c>
      <c r="T341" s="178">
        <f t="shared" si="133"/>
        <v>4</v>
      </c>
      <c r="U341" s="253">
        <f t="shared" si="134"/>
        <v>-1.4357388538879201</v>
      </c>
      <c r="V341" s="385">
        <f t="shared" si="135"/>
        <v>18.05842331389891</v>
      </c>
      <c r="W341" s="404">
        <f t="shared" si="136"/>
        <v>12.700325938977237</v>
      </c>
      <c r="X341" s="157">
        <f t="shared" si="137"/>
        <v>46349</v>
      </c>
      <c r="Y341" s="387">
        <f t="shared" si="138"/>
        <v>10.21434682672971</v>
      </c>
      <c r="Z341" s="387">
        <f t="shared" si="139"/>
        <v>10.962126222149859</v>
      </c>
      <c r="AA341" s="388">
        <f t="shared" si="140"/>
        <v>12.910843160173796</v>
      </c>
      <c r="AB341" s="199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0.15093645812654299</v>
      </c>
      <c r="AD341" s="233">
        <f>(INDEX(Models!$BJ341:$BT341,,AH341)*(1-AF341)+INDEX(Models!$BJ341:$BT341,,AH341+1)*AF341-ERP_i)*AE341*Ramure*Pc/MaxiM</f>
        <v>0.21502891700135998</v>
      </c>
      <c r="AE341" s="307">
        <f t="shared" si="142"/>
        <v>0.9</v>
      </c>
      <c r="AF341" s="179">
        <f t="shared" si="143"/>
        <v>0.19991679841905885</v>
      </c>
      <c r="AG341" s="839">
        <f t="shared" si="149"/>
        <v>3</v>
      </c>
      <c r="AH341" s="178">
        <f t="shared" si="144"/>
        <v>9</v>
      </c>
      <c r="AI341" s="227">
        <f t="shared" si="145"/>
        <v>3.1999167984190588</v>
      </c>
      <c r="AJ341" s="267" t="b">
        <f t="shared" si="146"/>
        <v>0</v>
      </c>
      <c r="AK341" s="267" t="b">
        <f t="shared" si="147"/>
        <v>0</v>
      </c>
      <c r="AL341" s="267"/>
      <c r="AM341" s="267"/>
      <c r="AN341" s="75"/>
    </row>
    <row r="342" spans="1:40" s="6" customFormat="1" ht="11.25" x14ac:dyDescent="0.2">
      <c r="A342" s="56">
        <f t="shared" si="148"/>
        <v>46350</v>
      </c>
      <c r="B342" s="413">
        <f>'2025'!Wh/'2025'!Env_an*'2026'!Env_an</f>
        <v>11.482703450904387</v>
      </c>
      <c r="C342" s="868"/>
      <c r="D342" s="395">
        <f t="shared" si="127"/>
        <v>12.323624417238156</v>
      </c>
      <c r="E342" s="387">
        <f t="shared" si="125"/>
        <v>13.15345091287204</v>
      </c>
      <c r="F342" s="387">
        <f t="shared" si="128"/>
        <v>13.301526122338599</v>
      </c>
      <c r="G342" s="110">
        <f t="shared" si="126"/>
        <v>0.63454983405991805</v>
      </c>
      <c r="H342" s="416" t="b">
        <f>Wh_hp&gt;='2025'!Maxi_hp</f>
        <v>0</v>
      </c>
      <c r="I342" s="392">
        <f>IF(H342,Wh_hp,'2025'!Maxi_hp)</f>
        <v>20.115501391985529</v>
      </c>
      <c r="J342" s="85">
        <f>IF(H342,An,'2025'!An_max)</f>
        <v>2020</v>
      </c>
      <c r="K342" s="199">
        <f t="shared" si="129"/>
        <v>46350</v>
      </c>
      <c r="L342" s="147">
        <f>IF(t&lt;Tvie,1-EXP((T0-t)*PertePVj)+'2025'!Pspv,1-EXP((T0-t)*PertePVj)+Pspv)</f>
        <v>6.8236497467214052E-2</v>
      </c>
      <c r="M342" s="872"/>
      <c r="N342" s="872"/>
      <c r="O342" s="48">
        <f>IF(t&lt;Tnet,'2025'!Resal+('2025'!Salim-'2025'!Resal)*(1-EXP(('2025'!Tnet-t)/('2025'!Tau_j))),Resal+(Salim-Resal)*(1-EXP((Tnet-t)/(Tau_j))))*Salcycl</f>
        <v>6.3088120458321115E-2</v>
      </c>
      <c r="P342" s="171">
        <f>(INDEX(Models!$BJ342:$BT342,,T342)*(1-R342)+INDEX(Models!$BJ342:$BT342,,T342+1)*R342-ERP_i)*Q342*Ramure*Pc/MaxiM</f>
        <v>2.2777754871934612E-2</v>
      </c>
      <c r="Q342" s="307">
        <f t="shared" si="130"/>
        <v>0.9</v>
      </c>
      <c r="R342" s="179">
        <f t="shared" si="131"/>
        <v>0.56429184360372697</v>
      </c>
      <c r="S342" s="839">
        <f t="shared" si="132"/>
        <v>-2</v>
      </c>
      <c r="T342" s="178">
        <f t="shared" si="133"/>
        <v>4</v>
      </c>
      <c r="U342" s="253">
        <f t="shared" si="134"/>
        <v>-1.435708156396273</v>
      </c>
      <c r="V342" s="385">
        <f t="shared" si="135"/>
        <v>17.882717749171263</v>
      </c>
      <c r="W342" s="404">
        <f t="shared" si="136"/>
        <v>11.482703450904387</v>
      </c>
      <c r="X342" s="157">
        <f t="shared" si="137"/>
        <v>46350</v>
      </c>
      <c r="Y342" s="387">
        <f t="shared" si="138"/>
        <v>9.3995735782497771</v>
      </c>
      <c r="Z342" s="387">
        <f t="shared" si="139"/>
        <v>10.087939217085866</v>
      </c>
      <c r="AA342" s="388">
        <f t="shared" si="140"/>
        <v>11.880910136680797</v>
      </c>
      <c r="AB342" s="199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0.15091191659293512</v>
      </c>
      <c r="AD342" s="233">
        <f>(INDEX(Models!$BJ342:$BT342,,AH342)*(1-AF342)+INDEX(Models!$BJ342:$BT342,,AH342+1)*AF342-ERP_i)*AE342*Ramure*Pc/MaxiM</f>
        <v>0.21852707691609277</v>
      </c>
      <c r="AE342" s="307">
        <f t="shared" si="142"/>
        <v>0.9</v>
      </c>
      <c r="AF342" s="179">
        <f t="shared" si="143"/>
        <v>0.19994749591070615</v>
      </c>
      <c r="AG342" s="839">
        <f t="shared" si="149"/>
        <v>3</v>
      </c>
      <c r="AH342" s="178">
        <f t="shared" si="144"/>
        <v>9</v>
      </c>
      <c r="AI342" s="227">
        <f t="shared" si="145"/>
        <v>3.1999474959107062</v>
      </c>
      <c r="AJ342" s="267" t="b">
        <f t="shared" si="146"/>
        <v>0</v>
      </c>
      <c r="AK342" s="267" t="b">
        <f t="shared" si="147"/>
        <v>0</v>
      </c>
      <c r="AL342" s="267"/>
      <c r="AM342" s="267"/>
      <c r="AN342" s="75"/>
    </row>
    <row r="343" spans="1:40" s="6" customFormat="1" ht="11.25" x14ac:dyDescent="0.2">
      <c r="A343" s="56">
        <f t="shared" si="148"/>
        <v>46351</v>
      </c>
      <c r="B343" s="413">
        <f>'2025'!Wh/'2025'!Env_an*'2026'!Env_an</f>
        <v>4.711618623212301</v>
      </c>
      <c r="C343" s="868"/>
      <c r="D343" s="395">
        <f t="shared" si="127"/>
        <v>5.0567856105168607</v>
      </c>
      <c r="E343" s="387">
        <f t="shared" si="125"/>
        <v>5.3980567799695729</v>
      </c>
      <c r="F343" s="387">
        <f t="shared" si="128"/>
        <v>5.3980567799695729</v>
      </c>
      <c r="G343" s="110">
        <f t="shared" si="126"/>
        <v>0.25989008476605224</v>
      </c>
      <c r="H343" s="416" t="b">
        <f>Wh_hp&gt;='2025'!Maxi_hp</f>
        <v>0</v>
      </c>
      <c r="I343" s="392">
        <f>IF(H343,Wh_hp,'2025'!Maxi_hp)</f>
        <v>18.431846699348394</v>
      </c>
      <c r="J343" s="85">
        <f>IF(H343,An,'2025'!An_max)</f>
        <v>2020</v>
      </c>
      <c r="K343" s="199">
        <f t="shared" si="129"/>
        <v>46351</v>
      </c>
      <c r="L343" s="147">
        <f>IF(t&lt;Tvie,1-EXP((T0-t)*PertePVj)+'2025'!Pspv,1-EXP((T0-t)*PertePVj)+Pspv)</f>
        <v>6.8258180965136805E-2</v>
      </c>
      <c r="M343" s="872"/>
      <c r="N343" s="872"/>
      <c r="O343" s="48">
        <f>IF(t&lt;Tnet,'2025'!Resal+('2025'!Salim-'2025'!Resal)*(1-EXP(('2025'!Tnet-t)/('2025'!Tau_j))),Resal+(Salim-Resal)*(1-EXP((Tnet-t)/(Tau_j))))*Salcycl</f>
        <v>6.3221115183348622E-2</v>
      </c>
      <c r="P343" s="171">
        <f>(INDEX(Models!$BJ343:$BT343,,T343)*(1-R343)+INDEX(Models!$BJ343:$BT343,,T343+1)*R343-ERP_i)*Q343*Ramure*Pc/MaxiM</f>
        <v>2.3102062118328721E-2</v>
      </c>
      <c r="Q343" s="307">
        <f t="shared" si="130"/>
        <v>0.9</v>
      </c>
      <c r="R343" s="179">
        <f t="shared" si="131"/>
        <v>0.56432130765568322</v>
      </c>
      <c r="S343" s="839">
        <f t="shared" si="132"/>
        <v>-2</v>
      </c>
      <c r="T343" s="178">
        <f t="shared" si="133"/>
        <v>4</v>
      </c>
      <c r="U343" s="253">
        <f t="shared" si="134"/>
        <v>-1.4356786923443168</v>
      </c>
      <c r="V343" s="385">
        <f t="shared" si="135"/>
        <v>17.710450636253764</v>
      </c>
      <c r="W343" s="404">
        <f t="shared" si="136"/>
        <v>4.711618623212301</v>
      </c>
      <c r="X343" s="157">
        <f t="shared" si="137"/>
        <v>46351</v>
      </c>
      <c r="Y343" s="387">
        <f t="shared" si="138"/>
        <v>4.2706750413544992</v>
      </c>
      <c r="Z343" s="387">
        <f t="shared" si="139"/>
        <v>4.58353908143593</v>
      </c>
      <c r="AA343" s="388">
        <f t="shared" si="140"/>
        <v>5.3980567799695729</v>
      </c>
      <c r="AB343" s="199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0.15089090977257807</v>
      </c>
      <c r="AD343" s="233">
        <f>(INDEX(Models!$BJ343:$BT343,,AH343)*(1-AF343)+INDEX(Models!$BJ343:$BT343,,AH343+1)*AF343-ERP_i)*AE343*Ramure*Pc/MaxiM</f>
        <v>0.22202527275812103</v>
      </c>
      <c r="AE343" s="307">
        <f t="shared" si="142"/>
        <v>0.9</v>
      </c>
      <c r="AF343" s="179">
        <f t="shared" si="143"/>
        <v>0.19997695996266218</v>
      </c>
      <c r="AG343" s="839">
        <f t="shared" si="149"/>
        <v>3</v>
      </c>
      <c r="AH343" s="178">
        <f t="shared" si="144"/>
        <v>9</v>
      </c>
      <c r="AI343" s="227">
        <f t="shared" si="145"/>
        <v>3.1999769599626622</v>
      </c>
      <c r="AJ343" s="267" t="b">
        <f t="shared" si="146"/>
        <v>0</v>
      </c>
      <c r="AK343" s="267" t="b">
        <f t="shared" si="147"/>
        <v>0</v>
      </c>
      <c r="AL343" s="267"/>
      <c r="AM343" s="267"/>
      <c r="AN343" s="75"/>
    </row>
    <row r="344" spans="1:40" s="6" customFormat="1" ht="11.25" x14ac:dyDescent="0.2">
      <c r="A344" s="56">
        <f t="shared" si="148"/>
        <v>46352</v>
      </c>
      <c r="B344" s="413">
        <f>'2025'!Wh/'2025'!Env_an*'2026'!Env_an</f>
        <v>10.11434059050351</v>
      </c>
      <c r="C344" s="868"/>
      <c r="D344" s="395">
        <f t="shared" si="127"/>
        <v>10.855556512360803</v>
      </c>
      <c r="E344" s="387">
        <f t="shared" si="125"/>
        <v>11.589833570529425</v>
      </c>
      <c r="F344" s="387">
        <f t="shared" si="128"/>
        <v>11.698109543671345</v>
      </c>
      <c r="G344" s="110">
        <f t="shared" si="126"/>
        <v>0.56835498013806385</v>
      </c>
      <c r="H344" s="416" t="b">
        <f>Wh_hp&gt;='2025'!Maxi_hp</f>
        <v>0</v>
      </c>
      <c r="I344" s="392">
        <f>IF(H344,Wh_hp,'2025'!Maxi_hp)</f>
        <v>20.271977727485368</v>
      </c>
      <c r="J344" s="85">
        <f>IF(H344,An,'2025'!An_max)</f>
        <v>2020</v>
      </c>
      <c r="K344" s="199">
        <f t="shared" si="129"/>
        <v>46352</v>
      </c>
      <c r="L344" s="147">
        <f>IF(t&lt;Tvie,1-EXP((T0-t)*PertePVj)+'2025'!Pspv,1-EXP((T0-t)*PertePVj)+Pspv)</f>
        <v>6.827986395845298E-2</v>
      </c>
      <c r="M344" s="872"/>
      <c r="N344" s="872"/>
      <c r="O344" s="48">
        <f>IF(t&lt;Tnet,'2025'!Resal+('2025'!Salim-'2025'!Resal)*(1-EXP(('2025'!Tnet-t)/('2025'!Tau_j))),Resal+(Salim-Resal)*(1-EXP((Tnet-t)/(Tau_j))))*Salcycl</f>
        <v>6.3355271989042103E-2</v>
      </c>
      <c r="P344" s="171">
        <f>(INDEX(Models!$BJ344:$BT344,,T344)*(1-R344)+INDEX(Models!$BJ344:$BT344,,T344+1)*R344-ERP_i)*Q344*Ramure*Pc/MaxiM</f>
        <v>2.3424008911842608E-2</v>
      </c>
      <c r="Q344" s="307">
        <f t="shared" si="130"/>
        <v>0.9</v>
      </c>
      <c r="R344" s="179">
        <f t="shared" si="131"/>
        <v>0.56434958773044097</v>
      </c>
      <c r="S344" s="839">
        <f t="shared" si="132"/>
        <v>-2</v>
      </c>
      <c r="T344" s="178">
        <f t="shared" si="133"/>
        <v>4</v>
      </c>
      <c r="U344" s="253">
        <f t="shared" si="134"/>
        <v>-1.435650412269559</v>
      </c>
      <c r="V344" s="385">
        <f t="shared" si="135"/>
        <v>17.541326472028153</v>
      </c>
      <c r="W344" s="404">
        <f t="shared" si="136"/>
        <v>10.11434059050351</v>
      </c>
      <c r="X344" s="157">
        <f t="shared" si="137"/>
        <v>46352</v>
      </c>
      <c r="Y344" s="387">
        <f t="shared" si="138"/>
        <v>8.4301849219338347</v>
      </c>
      <c r="Z344" s="387">
        <f t="shared" si="139"/>
        <v>9.0479797482426836</v>
      </c>
      <c r="AA344" s="388">
        <f t="shared" si="140"/>
        <v>10.655632088673817</v>
      </c>
      <c r="AB344" s="199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0.15087348428067013</v>
      </c>
      <c r="AD344" s="233">
        <f>(INDEX(Models!$BJ344:$BT344,,AH344)*(1-AF344)+INDEX(Models!$BJ344:$BT344,,AH344+1)*AF344-ERP_i)*AE344*Ramure*Pc/MaxiM</f>
        <v>0.22552557587499353</v>
      </c>
      <c r="AE344" s="307">
        <f t="shared" si="142"/>
        <v>0.9</v>
      </c>
      <c r="AF344" s="179">
        <f t="shared" si="143"/>
        <v>0.20000524003742015</v>
      </c>
      <c r="AG344" s="839">
        <f t="shared" si="149"/>
        <v>3</v>
      </c>
      <c r="AH344" s="178">
        <f t="shared" si="144"/>
        <v>9</v>
      </c>
      <c r="AI344" s="227">
        <f t="shared" si="145"/>
        <v>3.2000052400374202</v>
      </c>
      <c r="AJ344" s="267" t="b">
        <f t="shared" si="146"/>
        <v>0</v>
      </c>
      <c r="AK344" s="267" t="b">
        <f t="shared" si="147"/>
        <v>0</v>
      </c>
      <c r="AL344" s="267"/>
      <c r="AM344" s="267"/>
      <c r="AN344" s="75"/>
    </row>
    <row r="345" spans="1:40" s="6" customFormat="1" ht="11.25" x14ac:dyDescent="0.2">
      <c r="A345" s="56">
        <f t="shared" si="148"/>
        <v>46353</v>
      </c>
      <c r="B345" s="413">
        <f>'2025'!Wh/'2025'!Env_an*'2026'!Env_an</f>
        <v>12.002101923497058</v>
      </c>
      <c r="C345" s="868"/>
      <c r="D345" s="395">
        <f t="shared" si="127"/>
        <v>12.881959691711089</v>
      </c>
      <c r="E345" s="387">
        <f t="shared" si="125"/>
        <v>13.75529162910561</v>
      </c>
      <c r="F345" s="387">
        <f t="shared" si="128"/>
        <v>13.940097467812139</v>
      </c>
      <c r="G345" s="110">
        <f t="shared" si="126"/>
        <v>0.68347032765158411</v>
      </c>
      <c r="H345" s="416" t="b">
        <f>Wh_hp&gt;='2025'!Maxi_hp</f>
        <v>0</v>
      </c>
      <c r="I345" s="392">
        <f>IF(H345,Wh_hp,'2025'!Maxi_hp)</f>
        <v>18.707105113619761</v>
      </c>
      <c r="J345" s="85">
        <f>IF(H345,An,'2025'!An_max)</f>
        <v>2018</v>
      </c>
      <c r="K345" s="199">
        <f t="shared" si="129"/>
        <v>46353</v>
      </c>
      <c r="L345" s="147">
        <f>IF(t&lt;Tvie,1-EXP((T0-t)*PertePVj)+'2025'!Pspv,1-EXP((T0-t)*PertePVj)+Pspv)</f>
        <v>6.8301546447174122E-2</v>
      </c>
      <c r="M345" s="872"/>
      <c r="N345" s="872"/>
      <c r="O345" s="48">
        <f>IF(t&lt;Tnet,'2025'!Resal+('2025'!Salim-'2025'!Resal)*(1-EXP(('2025'!Tnet-t)/('2025'!Tau_j))),Resal+(Salim-Resal)*(1-EXP((Tnet-t)/(Tau_j))))*Salcycl</f>
        <v>6.349061589843645E-2</v>
      </c>
      <c r="P345" s="171">
        <f>(INDEX(Models!$BJ345:$BT345,,T345)*(1-R345)+INDEX(Models!$BJ345:$BT345,,T345+1)*R345-ERP_i)*Q345*Ramure*Pc/MaxiM</f>
        <v>2.3745364190466148E-2</v>
      </c>
      <c r="Q345" s="307">
        <f t="shared" si="130"/>
        <v>0.9</v>
      </c>
      <c r="R345" s="179">
        <f t="shared" si="131"/>
        <v>0.56437673131468591</v>
      </c>
      <c r="S345" s="839">
        <f t="shared" si="132"/>
        <v>-2</v>
      </c>
      <c r="T345" s="178">
        <f t="shared" si="133"/>
        <v>4</v>
      </c>
      <c r="U345" s="253">
        <f t="shared" si="134"/>
        <v>-1.4356232686853141</v>
      </c>
      <c r="V345" s="385">
        <f t="shared" si="135"/>
        <v>17.373877812585999</v>
      </c>
      <c r="W345" s="404">
        <f t="shared" si="136"/>
        <v>12.002101923497058</v>
      </c>
      <c r="X345" s="157">
        <f t="shared" si="137"/>
        <v>46353</v>
      </c>
      <c r="Y345" s="387">
        <f t="shared" si="138"/>
        <v>9.6183006333483902</v>
      </c>
      <c r="Z345" s="387">
        <f t="shared" si="139"/>
        <v>10.32340517113786</v>
      </c>
      <c r="AA345" s="388">
        <f t="shared" si="140"/>
        <v>12.157478389000252</v>
      </c>
      <c r="AB345" s="199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0.15085967329555852</v>
      </c>
      <c r="AD345" s="233">
        <f>(INDEX(Models!$BJ345:$BT345,,AH345)*(1-AF345)+INDEX(Models!$BJ345:$BT345,,AH345+1)*AF345-ERP_i)*AE345*Ramure*Pc/MaxiM</f>
        <v>0.22904546488100777</v>
      </c>
      <c r="AE345" s="307">
        <f t="shared" si="142"/>
        <v>0.9</v>
      </c>
      <c r="AF345" s="179">
        <f t="shared" si="143"/>
        <v>0.20003238362166487</v>
      </c>
      <c r="AG345" s="839">
        <f t="shared" si="149"/>
        <v>3</v>
      </c>
      <c r="AH345" s="178">
        <f t="shared" si="144"/>
        <v>9</v>
      </c>
      <c r="AI345" s="227">
        <f t="shared" si="145"/>
        <v>3.2000323836216649</v>
      </c>
      <c r="AJ345" s="267" t="b">
        <f t="shared" si="146"/>
        <v>0</v>
      </c>
      <c r="AK345" s="267" t="b">
        <f t="shared" si="147"/>
        <v>0</v>
      </c>
      <c r="AL345" s="267"/>
      <c r="AM345" s="267"/>
      <c r="AN345" s="75"/>
    </row>
    <row r="346" spans="1:40" s="6" customFormat="1" ht="11.25" x14ac:dyDescent="0.2">
      <c r="A346" s="56">
        <f t="shared" si="148"/>
        <v>46354</v>
      </c>
      <c r="B346" s="413">
        <f>'2025'!Wh/'2025'!Env_an*'2026'!Env_an</f>
        <v>9.4620602408181522</v>
      </c>
      <c r="C346" s="868"/>
      <c r="D346" s="395">
        <f t="shared" si="127"/>
        <v>10.155947351662144</v>
      </c>
      <c r="E346" s="387">
        <f t="shared" si="125"/>
        <v>10.846050832615049</v>
      </c>
      <c r="F346" s="387">
        <f t="shared" si="128"/>
        <v>10.940046830744937</v>
      </c>
      <c r="G346" s="110">
        <f t="shared" si="126"/>
        <v>0.54129935046295663</v>
      </c>
      <c r="H346" s="416" t="b">
        <f>Wh_hp&gt;='2025'!Maxi_hp</f>
        <v>0</v>
      </c>
      <c r="I346" s="392">
        <f>IF(H346,Wh_hp,'2025'!Maxi_hp)</f>
        <v>15.033904025861062</v>
      </c>
      <c r="J346" s="85">
        <f>IF(H346,An,'2025'!An_max)</f>
        <v>2018</v>
      </c>
      <c r="K346" s="199">
        <f t="shared" si="129"/>
        <v>46354</v>
      </c>
      <c r="L346" s="147">
        <f>IF(t&lt;Tvie,1-EXP((T0-t)*PertePVj)+'2025'!Pspv,1-EXP((T0-t)*PertePVj)+Pspv)</f>
        <v>6.8323228431312111E-2</v>
      </c>
      <c r="M346" s="872"/>
      <c r="N346" s="872"/>
      <c r="O346" s="48">
        <f>IF(t&lt;Tnet,'2025'!Resal+('2025'!Salim-'2025'!Resal)*(1-EXP(('2025'!Tnet-t)/('2025'!Tau_j))),Resal+(Salim-Resal)*(1-EXP((Tnet-t)/(Tau_j))))*Salcycl</f>
        <v>6.3627166385547579E-2</v>
      </c>
      <c r="P346" s="171">
        <f>(INDEX(Models!$BJ346:$BT346,,T346)*(1-R346)+INDEX(Models!$BJ346:$BT346,,T346+1)*R346-ERP_i)*Q346*Ramure*Pc/MaxiM</f>
        <v>2.4068592410594166E-2</v>
      </c>
      <c r="Q346" s="307">
        <f t="shared" si="130"/>
        <v>0.9</v>
      </c>
      <c r="R346" s="179">
        <f t="shared" si="131"/>
        <v>0.56440278399761423</v>
      </c>
      <c r="S346" s="839">
        <f t="shared" si="132"/>
        <v>-2</v>
      </c>
      <c r="T346" s="178">
        <f t="shared" si="133"/>
        <v>4</v>
      </c>
      <c r="U346" s="253">
        <f t="shared" si="134"/>
        <v>-1.4355972160023858</v>
      </c>
      <c r="V346" s="385">
        <f t="shared" si="135"/>
        <v>17.20739162747206</v>
      </c>
      <c r="W346" s="404">
        <f t="shared" si="136"/>
        <v>9.4620602408181522</v>
      </c>
      <c r="X346" s="157">
        <f t="shared" si="137"/>
        <v>46354</v>
      </c>
      <c r="Y346" s="387">
        <f t="shared" si="138"/>
        <v>7.9365420990830984</v>
      </c>
      <c r="Z346" s="387">
        <f t="shared" si="139"/>
        <v>8.5185574453253139</v>
      </c>
      <c r="AA346" s="388">
        <f t="shared" si="140"/>
        <v>10.031858206273322</v>
      </c>
      <c r="AB346" s="199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0.15084949665672903</v>
      </c>
      <c r="AD346" s="233">
        <f>(INDEX(Models!$BJ346:$BT346,,AH346)*(1-AF346)+INDEX(Models!$BJ346:$BT346,,AH346+1)*AF346-ERP_i)*AE346*Ramure*Pc/MaxiM</f>
        <v>0.23255055820716744</v>
      </c>
      <c r="AE346" s="307">
        <f t="shared" si="142"/>
        <v>0.9</v>
      </c>
      <c r="AF346" s="179">
        <f t="shared" si="143"/>
        <v>0.20005843630459319</v>
      </c>
      <c r="AG346" s="839">
        <f t="shared" si="149"/>
        <v>3</v>
      </c>
      <c r="AH346" s="178">
        <f t="shared" si="144"/>
        <v>9</v>
      </c>
      <c r="AI346" s="227">
        <f t="shared" si="145"/>
        <v>3.2000584363045932</v>
      </c>
      <c r="AJ346" s="267" t="b">
        <f t="shared" si="146"/>
        <v>0</v>
      </c>
      <c r="AK346" s="267" t="b">
        <f t="shared" si="147"/>
        <v>0</v>
      </c>
      <c r="AL346" s="267"/>
      <c r="AM346" s="267"/>
      <c r="AN346" s="75"/>
    </row>
    <row r="347" spans="1:40" s="6" customFormat="1" ht="11.25" x14ac:dyDescent="0.2">
      <c r="A347" s="56">
        <f t="shared" si="148"/>
        <v>46355</v>
      </c>
      <c r="B347" s="413">
        <f>'2025'!Wh/'2025'!Env_an*'2026'!Env_an</f>
        <v>10.709151415711391</v>
      </c>
      <c r="C347" s="868"/>
      <c r="D347" s="395">
        <f t="shared" si="127"/>
        <v>11.494759734191934</v>
      </c>
      <c r="E347" s="387">
        <f t="shared" si="125"/>
        <v>12.277642862601496</v>
      </c>
      <c r="F347" s="387">
        <f t="shared" si="128"/>
        <v>12.419816235155938</v>
      </c>
      <c r="G347" s="110">
        <f t="shared" si="126"/>
        <v>0.62014148909414779</v>
      </c>
      <c r="H347" s="416" t="b">
        <f>Wh_hp&gt;='2025'!Maxi_hp</f>
        <v>0</v>
      </c>
      <c r="I347" s="392">
        <f>IF(H347,Wh_hp,'2025'!Maxi_hp)</f>
        <v>19.928845702990856</v>
      </c>
      <c r="J347" s="85">
        <f>IF(H347,An,'2025'!An_max)</f>
        <v>2018</v>
      </c>
      <c r="K347" s="199">
        <f t="shared" si="129"/>
        <v>46355</v>
      </c>
      <c r="L347" s="147">
        <f>IF(t&lt;Tvie,1-EXP((T0-t)*PertePVj)+'2025'!Pspv,1-EXP((T0-t)*PertePVj)+Pspv)</f>
        <v>6.8344909910878715E-2</v>
      </c>
      <c r="M347" s="872"/>
      <c r="N347" s="872"/>
      <c r="O347" s="48">
        <f>IF(t&lt;Tnet,'2025'!Resal+('2025'!Salim-'2025'!Resal)*(1-EXP(('2025'!Tnet-t)/('2025'!Tau_j))),Resal+(Salim-Resal)*(1-EXP((Tnet-t)/(Tau_j))))*Salcycl</f>
        <v>6.3764937388289367E-2</v>
      </c>
      <c r="P347" s="171">
        <f>(INDEX(Models!$BJ347:$BT347,,T347)*(1-R347)+INDEX(Models!$BJ347:$BT347,,T347+1)*R347-ERP_i)*Q347*Ramure*Pc/MaxiM</f>
        <v>2.4402218158867443E-2</v>
      </c>
      <c r="Q347" s="307">
        <f t="shared" si="130"/>
        <v>0.9</v>
      </c>
      <c r="R347" s="179">
        <f t="shared" si="131"/>
        <v>0.56442778954619532</v>
      </c>
      <c r="S347" s="839">
        <f t="shared" si="132"/>
        <v>-2</v>
      </c>
      <c r="T347" s="178">
        <f t="shared" si="133"/>
        <v>4</v>
      </c>
      <c r="U347" s="253">
        <f t="shared" si="134"/>
        <v>-1.4355722104538047</v>
      </c>
      <c r="V347" s="385">
        <f t="shared" si="135"/>
        <v>17.042576387653252</v>
      </c>
      <c r="W347" s="404">
        <f t="shared" si="136"/>
        <v>10.709151415711391</v>
      </c>
      <c r="X347" s="157">
        <f t="shared" si="137"/>
        <v>46355</v>
      </c>
      <c r="Y347" s="387">
        <f t="shared" si="138"/>
        <v>8.7376315087024015</v>
      </c>
      <c r="Z347" s="387">
        <f t="shared" si="139"/>
        <v>9.37861189366396</v>
      </c>
      <c r="AA347" s="388">
        <f t="shared" si="140"/>
        <v>11.044614203737359</v>
      </c>
      <c r="AB347" s="199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0.15084296104336953</v>
      </c>
      <c r="AD347" s="233">
        <f>(INDEX(Models!$BJ347:$BT347,,AH347)*(1-AF347)+INDEX(Models!$BJ347:$BT347,,AH347+1)*AF347-ERP_i)*AE347*Ramure*Pc/MaxiM</f>
        <v>0.2360356189084801</v>
      </c>
      <c r="AE347" s="307">
        <f t="shared" si="142"/>
        <v>0.9</v>
      </c>
      <c r="AF347" s="179">
        <f t="shared" si="143"/>
        <v>0.20008344185317428</v>
      </c>
      <c r="AG347" s="839">
        <f t="shared" si="149"/>
        <v>3</v>
      </c>
      <c r="AH347" s="178">
        <f t="shared" si="144"/>
        <v>9</v>
      </c>
      <c r="AI347" s="227">
        <f t="shared" si="145"/>
        <v>3.2000834418531743</v>
      </c>
      <c r="AJ347" s="267" t="b">
        <f t="shared" si="146"/>
        <v>0</v>
      </c>
      <c r="AK347" s="267" t="b">
        <f t="shared" si="147"/>
        <v>0</v>
      </c>
      <c r="AL347" s="267"/>
      <c r="AM347" s="267"/>
      <c r="AN347" s="75"/>
    </row>
    <row r="348" spans="1:40" s="6" customFormat="1" ht="11.25" x14ac:dyDescent="0.2">
      <c r="A348" s="56">
        <f t="shared" si="148"/>
        <v>46356</v>
      </c>
      <c r="B348" s="413">
        <f>'2025'!Wh/'2025'!Env_an*'2026'!Env_an</f>
        <v>4.3490370676938941</v>
      </c>
      <c r="C348" s="868"/>
      <c r="D348" s="395">
        <f t="shared" si="127"/>
        <v>4.6681849589629589</v>
      </c>
      <c r="E348" s="387">
        <f t="shared" si="125"/>
        <v>4.9868652857892055</v>
      </c>
      <c r="F348" s="387">
        <f t="shared" si="128"/>
        <v>4.9868652857892055</v>
      </c>
      <c r="G348" s="110">
        <f t="shared" si="126"/>
        <v>0.2512643007172089</v>
      </c>
      <c r="H348" s="416" t="b">
        <f>Wh_hp&gt;='2025'!Maxi_hp</f>
        <v>0</v>
      </c>
      <c r="I348" s="392">
        <f>IF(H348,Wh_hp,'2025'!Maxi_hp)</f>
        <v>19.468754862857971</v>
      </c>
      <c r="J348" s="85">
        <f>IF(H348,An,'2025'!An_max)</f>
        <v>2021</v>
      </c>
      <c r="K348" s="199">
        <f t="shared" si="129"/>
        <v>46356</v>
      </c>
      <c r="L348" s="147">
        <f>IF(t&lt;Tvie,1-EXP((T0-t)*PertePVj)+'2025'!Pspv,1-EXP((T0-t)*PertePVj)+Pspv)</f>
        <v>6.8366590885885592E-2</v>
      </c>
      <c r="M348" s="872"/>
      <c r="N348" s="872"/>
      <c r="O348" s="48">
        <f>IF(t&lt;Tnet,'2025'!Resal+('2025'!Salim-'2025'!Resal)*(1-EXP(('2025'!Tnet-t)/('2025'!Tau_j))),Resal+(Salim-Resal)*(1-EXP((Tnet-t)/(Tau_j))))*Salcycl</f>
        <v>6.3903937356072638E-2</v>
      </c>
      <c r="P348" s="171">
        <f>(INDEX(Models!$BJ348:$BT348,,T348)*(1-R348)+INDEX(Models!$BJ348:$BT348,,T348+1)*R348-ERP_i)*Q348*Ramure*Pc/MaxiM</f>
        <v>2.4745220195893144E-2</v>
      </c>
      <c r="Q348" s="307">
        <f t="shared" si="130"/>
        <v>0.9</v>
      </c>
      <c r="R348" s="179">
        <f t="shared" si="131"/>
        <v>0.56445178997748791</v>
      </c>
      <c r="S348" s="839">
        <f t="shared" si="132"/>
        <v>-2</v>
      </c>
      <c r="T348" s="178">
        <f t="shared" si="133"/>
        <v>4</v>
      </c>
      <c r="U348" s="253">
        <f t="shared" si="134"/>
        <v>-1.4355482100225121</v>
      </c>
      <c r="V348" s="385">
        <f t="shared" si="135"/>
        <v>16.880309601113247</v>
      </c>
      <c r="W348" s="404">
        <f t="shared" si="136"/>
        <v>4.3490370676938941</v>
      </c>
      <c r="X348" s="157">
        <f t="shared" si="137"/>
        <v>46356</v>
      </c>
      <c r="Y348" s="387">
        <f t="shared" si="138"/>
        <v>3.945137899654485</v>
      </c>
      <c r="Z348" s="387">
        <f t="shared" si="139"/>
        <v>4.234646225714358</v>
      </c>
      <c r="AA348" s="388">
        <f t="shared" si="140"/>
        <v>4.9868652857892055</v>
      </c>
      <c r="AB348" s="199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0.15084006023150537</v>
      </c>
      <c r="AD348" s="233">
        <f>(INDEX(Models!$BJ348:$BT348,,AH348)*(1-AF348)+INDEX(Models!$BJ348:$BT348,,AH348+1)*AF348-ERP_i)*AE348*Ramure*Pc/MaxiM</f>
        <v>0.23948727697472766</v>
      </c>
      <c r="AE348" s="307">
        <f t="shared" si="142"/>
        <v>0.9</v>
      </c>
      <c r="AF348" s="179">
        <f t="shared" si="143"/>
        <v>0.20010744228446686</v>
      </c>
      <c r="AG348" s="839">
        <f t="shared" si="149"/>
        <v>3</v>
      </c>
      <c r="AH348" s="178">
        <f t="shared" si="144"/>
        <v>9</v>
      </c>
      <c r="AI348" s="227">
        <f t="shared" si="145"/>
        <v>3.2001074422844669</v>
      </c>
      <c r="AJ348" s="267" t="b">
        <f t="shared" si="146"/>
        <v>0</v>
      </c>
      <c r="AK348" s="267" t="b">
        <f t="shared" si="147"/>
        <v>0</v>
      </c>
      <c r="AL348" s="267"/>
      <c r="AM348" s="267"/>
      <c r="AN348" s="75"/>
    </row>
    <row r="349" spans="1:40" s="6" customFormat="1" ht="11.25" x14ac:dyDescent="0.2">
      <c r="A349" s="56">
        <f t="shared" si="148"/>
        <v>46357</v>
      </c>
      <c r="B349" s="413">
        <f>'2025'!Wh/'2025'!Env_an*'2026'!Env_an</f>
        <v>3.7639439400152708</v>
      </c>
      <c r="C349" s="868"/>
      <c r="D349" s="395">
        <f t="shared" si="127"/>
        <v>4.0402496279166016</v>
      </c>
      <c r="E349" s="387">
        <f t="shared" si="125"/>
        <v>4.3167097159176633</v>
      </c>
      <c r="F349" s="387">
        <f t="shared" si="128"/>
        <v>4.3167097159176633</v>
      </c>
      <c r="G349" s="110">
        <f t="shared" si="126"/>
        <v>0.21944737200738598</v>
      </c>
      <c r="H349" s="416" t="b">
        <f>Wh_hp&gt;='2025'!Maxi_hp</f>
        <v>0</v>
      </c>
      <c r="I349" s="392">
        <f>IF(H349,Wh_hp,'2025'!Maxi_hp)</f>
        <v>18.687325201357915</v>
      </c>
      <c r="J349" s="85">
        <f>IF(H349,An,'2025'!An_max)</f>
        <v>2020</v>
      </c>
      <c r="K349" s="199">
        <f t="shared" si="129"/>
        <v>46357</v>
      </c>
      <c r="L349" s="147">
        <f>IF(t&lt;Tvie,1-EXP((T0-t)*PertePVj)+'2025'!Pspv,1-EXP((T0-t)*PertePVj)+Pspv)</f>
        <v>6.838827135634451E-2</v>
      </c>
      <c r="M349" s="872"/>
      <c r="N349" s="872"/>
      <c r="O349" s="48">
        <f>IF(t&lt;Tnet,'2025'!Resal+('2025'!Salim-'2025'!Resal)*(1-EXP(('2025'!Tnet-t)/('2025'!Tau_j))),Resal+(Salim-Resal)*(1-EXP((Tnet-t)/(Tau_j))))*Salcycl</f>
        <v>6.4044169331476761E-2</v>
      </c>
      <c r="P349" s="171">
        <f>(INDEX(Models!$BJ349:$BT349,,T349)*(1-R349)+INDEX(Models!$BJ349:$BT349,,T349+1)*R349-ERP_i)*Q349*Ramure*Pc/MaxiM</f>
        <v>2.5096461807015719E-2</v>
      </c>
      <c r="Q349" s="307">
        <f t="shared" si="130"/>
        <v>0.9</v>
      </c>
      <c r="R349" s="179">
        <f t="shared" si="131"/>
        <v>0.56447482562813356</v>
      </c>
      <c r="S349" s="839">
        <f t="shared" si="132"/>
        <v>-2</v>
      </c>
      <c r="T349" s="178">
        <f t="shared" si="133"/>
        <v>4</v>
      </c>
      <c r="U349" s="253">
        <f t="shared" si="134"/>
        <v>-1.4355251743718664</v>
      </c>
      <c r="V349" s="385">
        <f t="shared" si="135"/>
        <v>16.721468255074047</v>
      </c>
      <c r="W349" s="404">
        <f t="shared" si="136"/>
        <v>3.7639439400152708</v>
      </c>
      <c r="X349" s="157">
        <f t="shared" si="137"/>
        <v>46357</v>
      </c>
      <c r="Y349" s="387">
        <f t="shared" si="138"/>
        <v>3.4148916142296195</v>
      </c>
      <c r="Z349" s="387">
        <f t="shared" si="139"/>
        <v>3.665573875074974</v>
      </c>
      <c r="AA349" s="388">
        <f t="shared" si="140"/>
        <v>4.3167097159176633</v>
      </c>
      <c r="AB349" s="199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0.15084077542709362</v>
      </c>
      <c r="AD349" s="233">
        <f>(INDEX(Models!$BJ349:$BT349,,AH349)*(1-AF349)+INDEX(Models!$BJ349:$BT349,,AH349+1)*AF349-ERP_i)*AE349*Ramure*Pc/MaxiM</f>
        <v>0.24289100666831587</v>
      </c>
      <c r="AE349" s="307">
        <f t="shared" si="142"/>
        <v>0.9</v>
      </c>
      <c r="AF349" s="179">
        <f t="shared" si="143"/>
        <v>0.20013047793511252</v>
      </c>
      <c r="AG349" s="839">
        <f t="shared" si="149"/>
        <v>3</v>
      </c>
      <c r="AH349" s="178">
        <f t="shared" si="144"/>
        <v>9</v>
      </c>
      <c r="AI349" s="227">
        <f t="shared" si="145"/>
        <v>3.2001304779351125</v>
      </c>
      <c r="AJ349" s="267" t="b">
        <f t="shared" si="146"/>
        <v>0</v>
      </c>
      <c r="AK349" s="267" t="b">
        <f t="shared" si="147"/>
        <v>0</v>
      </c>
      <c r="AL349" s="267"/>
      <c r="AM349" s="267"/>
      <c r="AN349" s="75"/>
    </row>
    <row r="350" spans="1:40" s="6" customFormat="1" ht="11.25" x14ac:dyDescent="0.2">
      <c r="A350" s="56">
        <f t="shared" si="148"/>
        <v>46358</v>
      </c>
      <c r="B350" s="413">
        <f>'2025'!Wh/'2025'!Env_an*'2026'!Env_an</f>
        <v>5.1957295825600136</v>
      </c>
      <c r="C350" s="868"/>
      <c r="D350" s="395">
        <f t="shared" si="127"/>
        <v>5.5772703776029537</v>
      </c>
      <c r="E350" s="387">
        <f t="shared" si="125"/>
        <v>5.959804169229427</v>
      </c>
      <c r="F350" s="387">
        <f t="shared" si="128"/>
        <v>5.9627574990352343</v>
      </c>
      <c r="G350" s="110">
        <f t="shared" si="126"/>
        <v>0.30578890959546678</v>
      </c>
      <c r="H350" s="416" t="b">
        <f>Wh_hp&gt;='2025'!Maxi_hp</f>
        <v>0</v>
      </c>
      <c r="I350" s="392">
        <f>IF(H350,Wh_hp,'2025'!Maxi_hp)</f>
        <v>8.2113391342416708</v>
      </c>
      <c r="J350" s="85">
        <f>IF(H350,An,'2025'!An_max)</f>
        <v>2021</v>
      </c>
      <c r="K350" s="199">
        <f t="shared" si="129"/>
        <v>46358</v>
      </c>
      <c r="L350" s="147">
        <f>IF(t&lt;Tvie,1-EXP((T0-t)*PertePVj)+'2025'!Pspv,1-EXP((T0-t)*PertePVj)+Pspv)</f>
        <v>6.8409951322267126E-2</v>
      </c>
      <c r="M350" s="872"/>
      <c r="N350" s="872"/>
      <c r="O350" s="48">
        <f>IF(t&lt;Tnet,'2025'!Resal+('2025'!Salim-'2025'!Resal)*(1-EXP(('2025'!Tnet-t)/('2025'!Tau_j))),Resal+(Salim-Resal)*(1-EXP((Tnet-t)/(Tau_j))))*Salcycl</f>
        <v>6.4185631065111493E-2</v>
      </c>
      <c r="P350" s="171">
        <f>(INDEX(Models!$BJ350:$BT350,,T350)*(1-R350)+INDEX(Models!$BJ350:$BT350,,T350+1)*R350-ERP_i)*Q350*Ramure*Pc/MaxiM</f>
        <v>2.545468315156443E-2</v>
      </c>
      <c r="Q350" s="307">
        <f t="shared" si="130"/>
        <v>0.9</v>
      </c>
      <c r="R350" s="179">
        <f t="shared" si="131"/>
        <v>0.56449693522112421</v>
      </c>
      <c r="S350" s="839">
        <f t="shared" si="132"/>
        <v>-2</v>
      </c>
      <c r="T350" s="178">
        <f t="shared" si="133"/>
        <v>4</v>
      </c>
      <c r="U350" s="253">
        <f t="shared" si="134"/>
        <v>-1.4355030647788758</v>
      </c>
      <c r="V350" s="385">
        <f t="shared" si="135"/>
        <v>16.566928800806725</v>
      </c>
      <c r="W350" s="404">
        <f t="shared" si="136"/>
        <v>5.1957295825600136</v>
      </c>
      <c r="X350" s="157">
        <f t="shared" si="137"/>
        <v>46358</v>
      </c>
      <c r="Y350" s="387">
        <f t="shared" si="138"/>
        <v>4.694324944617275</v>
      </c>
      <c r="Z350" s="387">
        <f t="shared" si="139"/>
        <v>5.0390458241586407</v>
      </c>
      <c r="AA350" s="388">
        <f t="shared" si="140"/>
        <v>5.9341890152090713</v>
      </c>
      <c r="AB350" s="199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0.15084507567187652</v>
      </c>
      <c r="AD350" s="233">
        <f>(INDEX(Models!$BJ350:$BT350,,AH350)*(1-AF350)+INDEX(Models!$BJ350:$BT350,,AH350+1)*AF350-ERP_i)*AE350*Ramure*Pc/MaxiM</f>
        <v>0.24623111935744996</v>
      </c>
      <c r="AE350" s="307">
        <f t="shared" si="142"/>
        <v>0.9</v>
      </c>
      <c r="AF350" s="179">
        <f t="shared" si="143"/>
        <v>0.20015258752810317</v>
      </c>
      <c r="AG350" s="839">
        <f t="shared" si="149"/>
        <v>3</v>
      </c>
      <c r="AH350" s="178">
        <f t="shared" si="144"/>
        <v>9</v>
      </c>
      <c r="AI350" s="227">
        <f t="shared" si="145"/>
        <v>3.2001525875281032</v>
      </c>
      <c r="AJ350" s="267" t="b">
        <f t="shared" si="146"/>
        <v>0</v>
      </c>
      <c r="AK350" s="267" t="b">
        <f t="shared" si="147"/>
        <v>0</v>
      </c>
      <c r="AL350" s="267"/>
      <c r="AM350" s="267"/>
      <c r="AN350" s="75"/>
    </row>
    <row r="351" spans="1:40" s="6" customFormat="1" ht="11.25" x14ac:dyDescent="0.2">
      <c r="A351" s="56">
        <f t="shared" si="148"/>
        <v>46359</v>
      </c>
      <c r="B351" s="413">
        <f>'2025'!Wh/'2025'!Env_an*'2026'!Env_an</f>
        <v>8.1609301858763708</v>
      </c>
      <c r="C351" s="868"/>
      <c r="D351" s="395">
        <f t="shared" si="127"/>
        <v>8.7604200137684032</v>
      </c>
      <c r="E351" s="387">
        <f t="shared" si="125"/>
        <v>9.3627071928440895</v>
      </c>
      <c r="F351" s="387">
        <f t="shared" si="128"/>
        <v>9.4312649994336315</v>
      </c>
      <c r="G351" s="110">
        <f t="shared" si="126"/>
        <v>0.48779713876677605</v>
      </c>
      <c r="H351" s="416" t="b">
        <f>Wh_hp&gt;='2025'!Maxi_hp</f>
        <v>0</v>
      </c>
      <c r="I351" s="392">
        <f>IF(H351,Wh_hp,'2025'!Maxi_hp)</f>
        <v>13.277660836257485</v>
      </c>
      <c r="J351" s="85">
        <f>IF(H351,An,'2025'!An_max)</f>
        <v>2021</v>
      </c>
      <c r="K351" s="199">
        <f t="shared" si="129"/>
        <v>46359</v>
      </c>
      <c r="L351" s="147">
        <f>IF(t&lt;Tvie,1-EXP((T0-t)*PertePVj)+'2025'!Pspv,1-EXP((T0-t)*PertePVj)+Pspv)</f>
        <v>6.843163078366532E-2</v>
      </c>
      <c r="M351" s="872"/>
      <c r="N351" s="872"/>
      <c r="O351" s="48">
        <f>IF(t&lt;Tnet,'2025'!Resal+('2025'!Salim-'2025'!Resal)*(1-EXP(('2025'!Tnet-t)/('2025'!Tau_j))),Resal+(Salim-Resal)*(1-EXP((Tnet-t)/(Tau_j))))*Salcycl</f>
        <v>6.4328315162522062E-2</v>
      </c>
      <c r="P351" s="171">
        <f>(INDEX(Models!$BJ351:$BT351,,T351)*(1-R351)+INDEX(Models!$BJ351:$BT351,,T351+1)*R351-ERP_i)*Q351*Ramure*Pc/MaxiM</f>
        <v>2.5818494850892531E-2</v>
      </c>
      <c r="Q351" s="307">
        <f t="shared" si="130"/>
        <v>0.9</v>
      </c>
      <c r="R351" s="179">
        <f t="shared" si="131"/>
        <v>0.56451815592995191</v>
      </c>
      <c r="S351" s="839">
        <f t="shared" si="132"/>
        <v>-2</v>
      </c>
      <c r="T351" s="178">
        <f t="shared" si="133"/>
        <v>4</v>
      </c>
      <c r="U351" s="253">
        <f t="shared" si="134"/>
        <v>-1.4354818440700481</v>
      </c>
      <c r="V351" s="385">
        <f t="shared" si="135"/>
        <v>16.417567121075631</v>
      </c>
      <c r="W351" s="404">
        <f t="shared" si="136"/>
        <v>8.1609301858763708</v>
      </c>
      <c r="X351" s="157">
        <f t="shared" si="137"/>
        <v>46359</v>
      </c>
      <c r="Y351" s="387">
        <f t="shared" si="138"/>
        <v>6.9364377672884352</v>
      </c>
      <c r="Z351" s="387">
        <f t="shared" si="139"/>
        <v>7.4459781981687403</v>
      </c>
      <c r="AA351" s="388">
        <f t="shared" si="140"/>
        <v>8.7687732299824432</v>
      </c>
      <c r="AB351" s="199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0.1508529183182391</v>
      </c>
      <c r="AD351" s="233">
        <f>(INDEX(Models!$BJ351:$BT351,,AH351)*(1-AF351)+INDEX(Models!$BJ351:$BT351,,AH351+1)*AF351-ERP_i)*AE351*Ramure*Pc/MaxiM</f>
        <v>0.24949077558358682</v>
      </c>
      <c r="AE351" s="307">
        <f t="shared" si="142"/>
        <v>0.9</v>
      </c>
      <c r="AF351" s="179">
        <f t="shared" si="143"/>
        <v>0.20017380823693109</v>
      </c>
      <c r="AG351" s="839">
        <f t="shared" si="149"/>
        <v>3</v>
      </c>
      <c r="AH351" s="178">
        <f t="shared" si="144"/>
        <v>9</v>
      </c>
      <c r="AI351" s="227">
        <f t="shared" si="145"/>
        <v>3.2001738082369311</v>
      </c>
      <c r="AJ351" s="267" t="b">
        <f t="shared" si="146"/>
        <v>0</v>
      </c>
      <c r="AK351" s="267" t="b">
        <f t="shared" si="147"/>
        <v>0</v>
      </c>
      <c r="AL351" s="267"/>
      <c r="AM351" s="267"/>
      <c r="AN351" s="75"/>
    </row>
    <row r="352" spans="1:40" s="6" customFormat="1" ht="11.25" x14ac:dyDescent="0.2">
      <c r="A352" s="56">
        <f t="shared" si="148"/>
        <v>46360</v>
      </c>
      <c r="B352" s="413">
        <f>'2025'!Wh/'2025'!Env_an*'2026'!Env_an</f>
        <v>13.856420859912925</v>
      </c>
      <c r="C352" s="868"/>
      <c r="D352" s="395">
        <f t="shared" si="127"/>
        <v>14.874639140260069</v>
      </c>
      <c r="E352" s="387">
        <f t="shared" si="125"/>
        <v>15.899729850378741</v>
      </c>
      <c r="F352" s="387">
        <f t="shared" si="128"/>
        <v>16.234554275393268</v>
      </c>
      <c r="G352" s="110">
        <f t="shared" si="126"/>
        <v>0.84659622305250348</v>
      </c>
      <c r="H352" s="416" t="b">
        <f>Wh_hp&gt;='2025'!Maxi_hp</f>
        <v>0</v>
      </c>
      <c r="I352" s="392">
        <f>IF(H352,Wh_hp,'2025'!Maxi_hp)</f>
        <v>16.294399514359675</v>
      </c>
      <c r="J352" s="85">
        <f>IF(H352,An,'2025'!An_max)</f>
        <v>2025</v>
      </c>
      <c r="K352" s="199">
        <f t="shared" si="129"/>
        <v>46360</v>
      </c>
      <c r="L352" s="147">
        <f>IF(t&lt;Tvie,1-EXP((T0-t)*PertePVj)+'2025'!Pspv,1-EXP((T0-t)*PertePVj)+Pspv)</f>
        <v>6.8453309740550861E-2</v>
      </c>
      <c r="M352" s="872"/>
      <c r="N352" s="872"/>
      <c r="O352" s="48">
        <f>IF(t&lt;Tnet,'2025'!Resal+('2025'!Salim-'2025'!Resal)*(1-EXP(('2025'!Tnet-t)/('2025'!Tau_j))),Resal+(Salim-Resal)*(1-EXP((Tnet-t)/(Tau_j))))*Salcycl</f>
        <v>6.44722092617349E-2</v>
      </c>
      <c r="P352" s="171">
        <f>(INDEX(Models!$BJ352:$BT352,,T352)*(1-R352)+INDEX(Models!$BJ352:$BT352,,T352+1)*R352-ERP_i)*Q352*Ramure*Pc/MaxiM</f>
        <v>2.6181027889475905E-2</v>
      </c>
      <c r="Q352" s="307">
        <f t="shared" si="130"/>
        <v>0.9</v>
      </c>
      <c r="R352" s="179">
        <f t="shared" si="131"/>
        <v>0.56453852344024091</v>
      </c>
      <c r="S352" s="839">
        <f t="shared" si="132"/>
        <v>-2</v>
      </c>
      <c r="T352" s="178">
        <f t="shared" si="133"/>
        <v>4</v>
      </c>
      <c r="U352" s="253">
        <f t="shared" si="134"/>
        <v>-1.4354614765597591</v>
      </c>
      <c r="V352" s="385">
        <f t="shared" si="135"/>
        <v>16.27434785006281</v>
      </c>
      <c r="W352" s="404">
        <f t="shared" si="136"/>
        <v>13.856420859912925</v>
      </c>
      <c r="X352" s="157">
        <f t="shared" si="137"/>
        <v>46360</v>
      </c>
      <c r="Y352" s="387">
        <f t="shared" si="138"/>
        <v>10.28626453699018</v>
      </c>
      <c r="Z352" s="387">
        <f t="shared" si="139"/>
        <v>11.042135240827603</v>
      </c>
      <c r="AA352" s="388">
        <f t="shared" si="140"/>
        <v>13.003969312586593</v>
      </c>
      <c r="AB352" s="199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0.15086424956879305</v>
      </c>
      <c r="AD352" s="233">
        <f>(INDEX(Models!$BJ352:$BT352,,AH352)*(1-AF352)+INDEX(Models!$BJ352:$BT352,,AH352+1)*AF352-ERP_i)*AE352*Ramure*Pc/MaxiM</f>
        <v>0.25261011052850513</v>
      </c>
      <c r="AE352" s="307">
        <f t="shared" si="142"/>
        <v>0.9</v>
      </c>
      <c r="AF352" s="179">
        <f t="shared" si="143"/>
        <v>0.20019417574722009</v>
      </c>
      <c r="AG352" s="839">
        <f t="shared" si="149"/>
        <v>3</v>
      </c>
      <c r="AH352" s="178">
        <f t="shared" si="144"/>
        <v>9</v>
      </c>
      <c r="AI352" s="227">
        <f t="shared" si="145"/>
        <v>3.2001941757472201</v>
      </c>
      <c r="AJ352" s="267" t="b">
        <f t="shared" si="146"/>
        <v>0</v>
      </c>
      <c r="AK352" s="267" t="b">
        <f t="shared" si="147"/>
        <v>0</v>
      </c>
      <c r="AL352" s="267"/>
      <c r="AM352" s="267"/>
      <c r="AN352" s="75"/>
    </row>
    <row r="353" spans="1:40" s="6" customFormat="1" ht="11.25" x14ac:dyDescent="0.2">
      <c r="A353" s="56">
        <f t="shared" si="148"/>
        <v>46361</v>
      </c>
      <c r="B353" s="413">
        <f>'2025'!Wh/'2025'!Env_an*'2026'!Env_an</f>
        <v>16.255050571099595</v>
      </c>
      <c r="C353" s="868"/>
      <c r="D353" s="395">
        <f t="shared" si="127"/>
        <v>17.449934639507354</v>
      </c>
      <c r="E353" s="387">
        <f t="shared" si="125"/>
        <v>18.655395881663598</v>
      </c>
      <c r="F353" s="387">
        <f t="shared" si="128"/>
        <v>19.163900067358469</v>
      </c>
      <c r="G353" s="110">
        <f t="shared" si="126"/>
        <v>1.0072377932128669</v>
      </c>
      <c r="H353" s="416" t="b">
        <f>Wh_hp&gt;='2025'!Maxi_hp</f>
        <v>1</v>
      </c>
      <c r="I353" s="392">
        <f>IF(H353,Wh_hp,'2025'!Maxi_hp)</f>
        <v>19.163900067358469</v>
      </c>
      <c r="J353" s="85">
        <f>IF(H353,An,'2025'!An_max)</f>
        <v>2026</v>
      </c>
      <c r="K353" s="199">
        <f t="shared" si="129"/>
        <v>46361</v>
      </c>
      <c r="L353" s="147">
        <f>IF(t&lt;Tvie,1-EXP((T0-t)*PertePVj)+'2025'!Pspv,1-EXP((T0-t)*PertePVj)+Pspv)</f>
        <v>6.8474988192935293E-2</v>
      </c>
      <c r="M353" s="872"/>
      <c r="N353" s="872"/>
      <c r="O353" s="48">
        <f>IF(t&lt;Tnet,'2025'!Resal+('2025'!Salim-'2025'!Resal)*(1-EXP(('2025'!Tnet-t)/('2025'!Tau_j))),Resal+(Salim-Resal)*(1-EXP((Tnet-t)/(Tau_j))))*Salcycl</f>
        <v>6.4617296239802322E-2</v>
      </c>
      <c r="P353" s="171">
        <f>(INDEX(Models!$BJ353:$BT353,,T353)*(1-R353)+INDEX(Models!$BJ353:$BT353,,T353+1)*R353-ERP_i)*Q353*Ramure*Pc/MaxiM</f>
        <v>2.6534483268413595E-2</v>
      </c>
      <c r="Q353" s="307">
        <f t="shared" si="130"/>
        <v>0.9</v>
      </c>
      <c r="R353" s="179">
        <f t="shared" si="131"/>
        <v>0.56455807200895736</v>
      </c>
      <c r="S353" s="839">
        <f t="shared" si="132"/>
        <v>-2</v>
      </c>
      <c r="T353" s="178">
        <f t="shared" si="133"/>
        <v>4</v>
      </c>
      <c r="U353" s="253">
        <f t="shared" si="134"/>
        <v>-1.4354419279910426</v>
      </c>
      <c r="V353" s="385">
        <f t="shared" si="135"/>
        <v>16.138245288880153</v>
      </c>
      <c r="W353" s="404">
        <f t="shared" si="136"/>
        <v>16.255050571099595</v>
      </c>
      <c r="X353" s="157">
        <f t="shared" si="137"/>
        <v>46361</v>
      </c>
      <c r="Y353" s="387">
        <f t="shared" si="138"/>
        <v>11.284031076085929</v>
      </c>
      <c r="Z353" s="387">
        <f t="shared" si="139"/>
        <v>12.11350305473392</v>
      </c>
      <c r="AA353" s="388">
        <f t="shared" si="140"/>
        <v>14.265932802447226</v>
      </c>
      <c r="AB353" s="199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0.15087900507592969</v>
      </c>
      <c r="AD353" s="233">
        <f>(INDEX(Models!$BJ353:$BT353,,AH353)*(1-AF353)+INDEX(Models!$BJ353:$BT353,,AH353+1)*AF353-ERP_i)*AE353*Ramure*Pc/MaxiM</f>
        <v>0.25558301012296886</v>
      </c>
      <c r="AE353" s="307">
        <f t="shared" si="142"/>
        <v>0.9</v>
      </c>
      <c r="AF353" s="179">
        <f t="shared" si="143"/>
        <v>0.20021372431593631</v>
      </c>
      <c r="AG353" s="839">
        <f t="shared" si="149"/>
        <v>3</v>
      </c>
      <c r="AH353" s="178">
        <f t="shared" si="144"/>
        <v>9</v>
      </c>
      <c r="AI353" s="227">
        <f t="shared" si="145"/>
        <v>3.2002137243159363</v>
      </c>
      <c r="AJ353" s="267" t="b">
        <f t="shared" si="146"/>
        <v>0</v>
      </c>
      <c r="AK353" s="267" t="b">
        <f t="shared" si="147"/>
        <v>0</v>
      </c>
      <c r="AL353" s="267"/>
      <c r="AM353" s="267"/>
      <c r="AN353" s="75"/>
    </row>
    <row r="354" spans="1:40" s="6" customFormat="1" ht="11.25" x14ac:dyDescent="0.2">
      <c r="A354" s="56">
        <f t="shared" si="148"/>
        <v>46362</v>
      </c>
      <c r="B354" s="413">
        <f>'2025'!Wh/'2025'!Env_an*'2026'!Env_an</f>
        <v>11.66620734799826</v>
      </c>
      <c r="C354" s="868"/>
      <c r="D354" s="395">
        <f t="shared" si="127"/>
        <v>12.524063976954086</v>
      </c>
      <c r="E354" s="387">
        <f t="shared" si="125"/>
        <v>13.391334390889416</v>
      </c>
      <c r="F354" s="387">
        <f t="shared" si="128"/>
        <v>13.615433839648228</v>
      </c>
      <c r="G354" s="110">
        <f t="shared" si="126"/>
        <v>0.7209583741724328</v>
      </c>
      <c r="H354" s="416" t="b">
        <f>Wh_hp&gt;='2025'!Maxi_hp</f>
        <v>0</v>
      </c>
      <c r="I354" s="392">
        <f>IF(H354,Wh_hp,'2025'!Maxi_hp)</f>
        <v>16.199835950430391</v>
      </c>
      <c r="J354" s="85">
        <f>IF(H354,An,'2025'!An_max)</f>
        <v>2020</v>
      </c>
      <c r="K354" s="199">
        <f t="shared" si="129"/>
        <v>46362</v>
      </c>
      <c r="L354" s="147">
        <f>IF(t&lt;Tvie,1-EXP((T0-t)*PertePVj)+'2025'!Pspv,1-EXP((T0-t)*PertePVj)+Pspv)</f>
        <v>6.8496666140830498E-2</v>
      </c>
      <c r="M354" s="872"/>
      <c r="N354" s="872"/>
      <c r="O354" s="48">
        <f>IF(t&lt;Tnet,'2025'!Resal+('2025'!Salim-'2025'!Resal)*(1-EXP(('2025'!Tnet-t)/('2025'!Tau_j))),Resal+(Salim-Resal)*(1-EXP((Tnet-t)/(Tau_j))))*Salcycl</f>
        <v>6.4763554446475746E-2</v>
      </c>
      <c r="P354" s="171">
        <f>(INDEX(Models!$BJ354:$BT354,,T354)*(1-R354)+INDEX(Models!$BJ354:$BT354,,T354+1)*R354-ERP_i)*Q354*Ramure*Pc/MaxiM</f>
        <v>2.6876809310323484E-2</v>
      </c>
      <c r="Q354" s="307">
        <f t="shared" si="130"/>
        <v>0.9</v>
      </c>
      <c r="R354" s="179">
        <f t="shared" si="131"/>
        <v>0.56457683452128959</v>
      </c>
      <c r="S354" s="839">
        <f t="shared" si="132"/>
        <v>-2</v>
      </c>
      <c r="T354" s="178">
        <f t="shared" si="133"/>
        <v>4</v>
      </c>
      <c r="U354" s="253">
        <f t="shared" si="134"/>
        <v>-1.4354231654787104</v>
      </c>
      <c r="V354" s="385">
        <f t="shared" si="135"/>
        <v>16.010133459109987</v>
      </c>
      <c r="W354" s="404">
        <f t="shared" si="136"/>
        <v>11.66620734799826</v>
      </c>
      <c r="X354" s="157">
        <f t="shared" si="137"/>
        <v>46362</v>
      </c>
      <c r="Y354" s="387">
        <f t="shared" si="138"/>
        <v>9.0649733884066119</v>
      </c>
      <c r="Z354" s="387">
        <f t="shared" si="139"/>
        <v>9.7315522756648676</v>
      </c>
      <c r="AA354" s="388">
        <f t="shared" si="140"/>
        <v>11.460981227489725</v>
      </c>
      <c r="AB354" s="199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0.15089711059614502</v>
      </c>
      <c r="AD354" s="233">
        <f>(INDEX(Models!$BJ354:$BT354,,AH354)*(1-AF354)+INDEX(Models!$BJ354:$BT354,,AH354+1)*AF354-ERP_i)*AE354*Ramure*Pc/MaxiM</f>
        <v>0.25838890878947474</v>
      </c>
      <c r="AE354" s="307">
        <f t="shared" si="142"/>
        <v>0.9</v>
      </c>
      <c r="AF354" s="179">
        <f t="shared" si="143"/>
        <v>0.20023248682826855</v>
      </c>
      <c r="AG354" s="839">
        <f t="shared" si="149"/>
        <v>3</v>
      </c>
      <c r="AH354" s="178">
        <f t="shared" si="144"/>
        <v>9</v>
      </c>
      <c r="AI354" s="227">
        <f t="shared" si="145"/>
        <v>3.2002324868282686</v>
      </c>
      <c r="AJ354" s="267" t="b">
        <f t="shared" si="146"/>
        <v>0</v>
      </c>
      <c r="AK354" s="267" t="b">
        <f t="shared" si="147"/>
        <v>0</v>
      </c>
      <c r="AL354" s="267"/>
      <c r="AM354" s="267"/>
      <c r="AN354" s="75"/>
    </row>
    <row r="355" spans="1:40" s="6" customFormat="1" ht="11.25" x14ac:dyDescent="0.2">
      <c r="A355" s="56">
        <f t="shared" si="148"/>
        <v>46363</v>
      </c>
      <c r="B355" s="413">
        <f>'2025'!Wh/'2025'!Env_an*'2026'!Env_an</f>
        <v>14.355748655967172</v>
      </c>
      <c r="C355" s="868"/>
      <c r="D355" s="395">
        <f t="shared" si="127"/>
        <v>15.411735225368428</v>
      </c>
      <c r="E355" s="387">
        <f t="shared" si="125"/>
        <v>16.481569703559259</v>
      </c>
      <c r="F355" s="387">
        <f t="shared" si="128"/>
        <v>16.87736506108191</v>
      </c>
      <c r="G355" s="110">
        <f t="shared" si="126"/>
        <v>0.89992178350286423</v>
      </c>
      <c r="H355" s="416" t="b">
        <f>Wh_hp&gt;='2025'!Maxi_hp</f>
        <v>0</v>
      </c>
      <c r="I355" s="392">
        <f>IF(H355,Wh_hp,'2025'!Maxi_hp)</f>
        <v>16.920524492655719</v>
      </c>
      <c r="J355" s="85">
        <f>IF(H355,An,'2025'!An_max)</f>
        <v>2025</v>
      </c>
      <c r="K355" s="199">
        <f t="shared" si="129"/>
        <v>46363</v>
      </c>
      <c r="L355" s="147">
        <f>IF(t&lt;Tvie,1-EXP((T0-t)*PertePVj)+'2025'!Pspv,1-EXP((T0-t)*PertePVj)+Pspv)</f>
        <v>6.8518343584248242E-2</v>
      </c>
      <c r="M355" s="872"/>
      <c r="N355" s="872"/>
      <c r="O355" s="48">
        <f>IF(t&lt;Tnet,'2025'!Resal+('2025'!Salim-'2025'!Resal)*(1-EXP(('2025'!Tnet-t)/('2025'!Tau_j))),Resal+(Salim-Resal)*(1-EXP((Tnet-t)/(Tau_j))))*Salcycl</f>
        <v>6.4910957962929644E-2</v>
      </c>
      <c r="P355" s="171">
        <f>(INDEX(Models!$BJ355:$BT355,,T355)*(1-R355)+INDEX(Models!$BJ355:$BT355,,T355+1)*R355-ERP_i)*Q355*Ramure*Pc/MaxiM</f>
        <v>2.720584982745641E-2</v>
      </c>
      <c r="Q355" s="307">
        <f t="shared" si="130"/>
        <v>0.9</v>
      </c>
      <c r="R355" s="179">
        <f t="shared" si="131"/>
        <v>0.56459484254528869</v>
      </c>
      <c r="S355" s="839">
        <f t="shared" si="132"/>
        <v>-2</v>
      </c>
      <c r="T355" s="178">
        <f t="shared" si="133"/>
        <v>4</v>
      </c>
      <c r="U355" s="253">
        <f t="shared" si="134"/>
        <v>-1.4354051574547113</v>
      </c>
      <c r="V355" s="385">
        <f t="shared" si="135"/>
        <v>15.890885731251181</v>
      </c>
      <c r="W355" s="404">
        <f t="shared" si="136"/>
        <v>14.355748655967172</v>
      </c>
      <c r="X355" s="157">
        <f t="shared" si="137"/>
        <v>46363</v>
      </c>
      <c r="Y355" s="387">
        <f t="shared" si="138"/>
        <v>10.345179197119425</v>
      </c>
      <c r="Z355" s="387">
        <f t="shared" si="139"/>
        <v>11.106154507568769</v>
      </c>
      <c r="AA355" s="388">
        <f t="shared" si="140"/>
        <v>13.080198168487909</v>
      </c>
      <c r="AB355" s="199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0.15091848269354941</v>
      </c>
      <c r="AD355" s="233">
        <f>(INDEX(Models!$BJ355:$BT355,,AH355)*(1-AF355)+INDEX(Models!$BJ355:$BT355,,AH355+1)*AF355-ERP_i)*AE355*Ramure*Pc/MaxiM</f>
        <v>0.26100647793421822</v>
      </c>
      <c r="AE355" s="307">
        <f t="shared" si="142"/>
        <v>0.9</v>
      </c>
      <c r="AF355" s="179">
        <f t="shared" si="143"/>
        <v>0.20025049485226765</v>
      </c>
      <c r="AG355" s="839">
        <f t="shared" si="149"/>
        <v>3</v>
      </c>
      <c r="AH355" s="178">
        <f t="shared" si="144"/>
        <v>9</v>
      </c>
      <c r="AI355" s="227">
        <f t="shared" si="145"/>
        <v>3.2002504948522676</v>
      </c>
      <c r="AJ355" s="267" t="b">
        <f t="shared" si="146"/>
        <v>0</v>
      </c>
      <c r="AK355" s="267" t="b">
        <f t="shared" si="147"/>
        <v>0</v>
      </c>
      <c r="AL355" s="267"/>
      <c r="AM355" s="267"/>
      <c r="AN355" s="75"/>
    </row>
    <row r="356" spans="1:40" s="6" customFormat="1" ht="11.25" x14ac:dyDescent="0.2">
      <c r="A356" s="56">
        <f t="shared" si="148"/>
        <v>46364</v>
      </c>
      <c r="B356" s="413">
        <f>'2025'!Wh/'2025'!Env_an*'2026'!Env_an</f>
        <v>4.2861936372458569</v>
      </c>
      <c r="C356" s="868"/>
      <c r="D356" s="395">
        <f t="shared" si="127"/>
        <v>4.60158646821671</v>
      </c>
      <c r="E356" s="387">
        <f t="shared" si="125"/>
        <v>4.9217959372183264</v>
      </c>
      <c r="F356" s="387">
        <f t="shared" si="128"/>
        <v>4.9217959372183264</v>
      </c>
      <c r="G356" s="110">
        <f t="shared" si="126"/>
        <v>0.26412403174524218</v>
      </c>
      <c r="H356" s="416" t="b">
        <f>Wh_hp&gt;='2025'!Maxi_hp</f>
        <v>0</v>
      </c>
      <c r="I356" s="392">
        <f>IF(H356,Wh_hp,'2025'!Maxi_hp)</f>
        <v>15.165312115790208</v>
      </c>
      <c r="J356" s="85">
        <f>IF(H356,An,'2025'!An_max)</f>
        <v>2019</v>
      </c>
      <c r="K356" s="199">
        <f t="shared" si="129"/>
        <v>46364</v>
      </c>
      <c r="L356" s="147">
        <f>IF(t&lt;Tvie,1-EXP((T0-t)*PertePVj)+'2025'!Pspv,1-EXP((T0-t)*PertePVj)+Pspv)</f>
        <v>6.8540020523200074E-2</v>
      </c>
      <c r="M356" s="872"/>
      <c r="N356" s="872"/>
      <c r="O356" s="48">
        <f>IF(t&lt;Tnet,'2025'!Resal+('2025'!Salim-'2025'!Resal)*(1-EXP(('2025'!Tnet-t)/('2025'!Tau_j))),Resal+(Salim-Resal)*(1-EXP((Tnet-t)/(Tau_j))))*Salcycl</f>
        <v>6.5059476883267714E-2</v>
      </c>
      <c r="P356" s="171">
        <f>(INDEX(Models!$BJ356:$BT356,,T356)*(1-R356)+INDEX(Models!$BJ356:$BT356,,T356+1)*R356-ERP_i)*Q356*Ramure*Pc/MaxiM</f>
        <v>2.7519357788197155E-2</v>
      </c>
      <c r="Q356" s="307">
        <f t="shared" si="130"/>
        <v>0.9</v>
      </c>
      <c r="R356" s="179">
        <f t="shared" si="131"/>
        <v>0.56461212638435621</v>
      </c>
      <c r="S356" s="839">
        <f t="shared" si="132"/>
        <v>-2</v>
      </c>
      <c r="T356" s="178">
        <f t="shared" si="133"/>
        <v>4</v>
      </c>
      <c r="U356" s="253">
        <f t="shared" si="134"/>
        <v>-1.4353878736156438</v>
      </c>
      <c r="V356" s="385">
        <f t="shared" si="135"/>
        <v>15.781374808837624</v>
      </c>
      <c r="W356" s="404">
        <f t="shared" si="136"/>
        <v>4.2861936372458569</v>
      </c>
      <c r="X356" s="157">
        <f t="shared" si="137"/>
        <v>46364</v>
      </c>
      <c r="Y356" s="387">
        <f t="shared" si="138"/>
        <v>3.8924642741356985</v>
      </c>
      <c r="Z356" s="387">
        <f t="shared" si="139"/>
        <v>4.1788851479395728</v>
      </c>
      <c r="AA356" s="388">
        <f t="shared" si="140"/>
        <v>4.9217959372183264</v>
      </c>
      <c r="AB356" s="199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0.15094302948663649</v>
      </c>
      <c r="AD356" s="233">
        <f>(INDEX(Models!$BJ356:$BT356,,AH356)*(1-AF356)+INDEX(Models!$BJ356:$BT356,,AH356+1)*AF356-ERP_i)*AE356*Ramure*Pc/MaxiM</f>
        <v>0.26341380108350132</v>
      </c>
      <c r="AE356" s="307">
        <f t="shared" si="142"/>
        <v>0.9</v>
      </c>
      <c r="AF356" s="179">
        <f t="shared" si="143"/>
        <v>0.20026777869133516</v>
      </c>
      <c r="AG356" s="839">
        <f t="shared" si="149"/>
        <v>3</v>
      </c>
      <c r="AH356" s="178">
        <f t="shared" si="144"/>
        <v>9</v>
      </c>
      <c r="AI356" s="227">
        <f t="shared" si="145"/>
        <v>3.2002677786913352</v>
      </c>
      <c r="AJ356" s="267" t="b">
        <f t="shared" si="146"/>
        <v>0</v>
      </c>
      <c r="AK356" s="267" t="b">
        <f t="shared" si="147"/>
        <v>0</v>
      </c>
      <c r="AL356" s="267"/>
      <c r="AM356" s="267"/>
      <c r="AN356" s="75"/>
    </row>
    <row r="357" spans="1:40" s="6" customFormat="1" ht="11.25" x14ac:dyDescent="0.2">
      <c r="A357" s="56">
        <f t="shared" si="148"/>
        <v>46365</v>
      </c>
      <c r="B357" s="413">
        <f>'2025'!Wh/'2025'!Env_an*'2026'!Env_an</f>
        <v>8.1714243848239949</v>
      </c>
      <c r="C357" s="868"/>
      <c r="D357" s="395">
        <f t="shared" si="127"/>
        <v>8.7729099803327326</v>
      </c>
      <c r="E357" s="387">
        <f t="shared" si="125"/>
        <v>9.3848900008171459</v>
      </c>
      <c r="F357" s="387">
        <f t="shared" si="128"/>
        <v>9.4680551822122094</v>
      </c>
      <c r="G357" s="110">
        <f t="shared" si="126"/>
        <v>0.51105039655488105</v>
      </c>
      <c r="H357" s="416" t="b">
        <f>Wh_hp&gt;='2025'!Maxi_hp</f>
        <v>0</v>
      </c>
      <c r="I357" s="392">
        <f>IF(H357,Wh_hp,'2025'!Maxi_hp)</f>
        <v>9.5919095052966057</v>
      </c>
      <c r="J357" s="85">
        <f>IF(H357,An,'2025'!An_max)</f>
        <v>2025</v>
      </c>
      <c r="K357" s="199">
        <f t="shared" si="129"/>
        <v>46365</v>
      </c>
      <c r="L357" s="147">
        <f>IF(t&lt;Tvie,1-EXP((T0-t)*PertePVj)+'2025'!Pspv,1-EXP((T0-t)*PertePVj)+Pspv)</f>
        <v>6.8561696957697982E-2</v>
      </c>
      <c r="M357" s="872"/>
      <c r="N357" s="872"/>
      <c r="O357" s="48">
        <f>IF(t&lt;Tnet,'2025'!Resal+('2025'!Salim-'2025'!Resal)*(1-EXP(('2025'!Tnet-t)/('2025'!Tau_j))),Resal+(Salim-Resal)*(1-EXP((Tnet-t)/(Tau_j))))*Salcycl</f>
        <v>6.520907761637347E-2</v>
      </c>
      <c r="P357" s="171">
        <f>(INDEX(Models!$BJ357:$BT357,,T357)*(1-R357)+INDEX(Models!$BJ357:$BT357,,T357+1)*R357-ERP_i)*Q357*Ramure*Pc/MaxiM</f>
        <v>2.7815012705257304E-2</v>
      </c>
      <c r="Q357" s="307">
        <f t="shared" si="130"/>
        <v>0.9</v>
      </c>
      <c r="R357" s="179">
        <f t="shared" si="131"/>
        <v>0.56462871512766055</v>
      </c>
      <c r="S357" s="839">
        <f t="shared" si="132"/>
        <v>-2</v>
      </c>
      <c r="T357" s="178">
        <f t="shared" si="133"/>
        <v>4</v>
      </c>
      <c r="U357" s="253">
        <f t="shared" si="134"/>
        <v>-1.4353712848723394</v>
      </c>
      <c r="V357" s="385">
        <f t="shared" si="135"/>
        <v>15.682472719586528</v>
      </c>
      <c r="W357" s="404">
        <f t="shared" si="136"/>
        <v>8.1714243848239949</v>
      </c>
      <c r="X357" s="157">
        <f t="shared" si="137"/>
        <v>46365</v>
      </c>
      <c r="Y357" s="387">
        <f t="shared" si="138"/>
        <v>6.8595289238516761</v>
      </c>
      <c r="Z357" s="387">
        <f t="shared" si="139"/>
        <v>7.3644479741135846</v>
      </c>
      <c r="AA357" s="388">
        <f t="shared" si="140"/>
        <v>8.6739616086717639</v>
      </c>
      <c r="AB357" s="199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0.15097065143209731</v>
      </c>
      <c r="AD357" s="233">
        <f>(INDEX(Models!$BJ357:$BT357,,AH357)*(1-AF357)+INDEX(Models!$BJ357:$BT357,,AH357+1)*AF357-ERP_i)*AE357*Ramure*Pc/MaxiM</f>
        <v>0.26558858487022918</v>
      </c>
      <c r="AE357" s="307">
        <f t="shared" si="142"/>
        <v>0.9</v>
      </c>
      <c r="AF357" s="179">
        <f t="shared" si="143"/>
        <v>0.20028436743463951</v>
      </c>
      <c r="AG357" s="839">
        <f t="shared" si="149"/>
        <v>3</v>
      </c>
      <c r="AH357" s="178">
        <f t="shared" si="144"/>
        <v>9</v>
      </c>
      <c r="AI357" s="227">
        <f t="shared" si="145"/>
        <v>3.2002843674346395</v>
      </c>
      <c r="AJ357" s="267" t="b">
        <f t="shared" si="146"/>
        <v>0</v>
      </c>
      <c r="AK357" s="267" t="b">
        <f t="shared" si="147"/>
        <v>0</v>
      </c>
      <c r="AL357" s="267"/>
      <c r="AM357" s="267"/>
      <c r="AN357" s="75"/>
    </row>
    <row r="358" spans="1:40" s="6" customFormat="1" ht="11.25" x14ac:dyDescent="0.2">
      <c r="A358" s="56">
        <f t="shared" si="148"/>
        <v>46366</v>
      </c>
      <c r="B358" s="413">
        <f>'2025'!Wh/'2025'!Env_an*'2026'!Env_an</f>
        <v>11.971141738729536</v>
      </c>
      <c r="C358" s="868"/>
      <c r="D358" s="395">
        <f t="shared" si="127"/>
        <v>12.852617604481388</v>
      </c>
      <c r="E358" s="387">
        <f t="shared" si="125"/>
        <v>13.751405672952382</v>
      </c>
      <c r="F358" s="387">
        <f t="shared" si="128"/>
        <v>14.014391259723757</v>
      </c>
      <c r="G358" s="110">
        <f t="shared" si="126"/>
        <v>0.76032938688881335</v>
      </c>
      <c r="H358" s="416" t="b">
        <f>Wh_hp&gt;='2025'!Maxi_hp</f>
        <v>0</v>
      </c>
      <c r="I358" s="392">
        <f>IF(H358,Wh_hp,'2025'!Maxi_hp)</f>
        <v>16.668106879337483</v>
      </c>
      <c r="J358" s="85">
        <f>IF(H358,An,'2025'!An_max)</f>
        <v>2019</v>
      </c>
      <c r="K358" s="199">
        <f t="shared" si="129"/>
        <v>46366</v>
      </c>
      <c r="L358" s="147">
        <f>IF(t&lt;Tvie,1-EXP((T0-t)*PertePVj)+'2025'!Pspv,1-EXP((T0-t)*PertePVj)+Pspv)</f>
        <v>6.8583372887753513E-2</v>
      </c>
      <c r="M358" s="872"/>
      <c r="N358" s="872"/>
      <c r="O358" s="48">
        <f>IF(t&lt;Tnet,'2025'!Resal+('2025'!Salim-'2025'!Resal)*(1-EXP(('2025'!Tnet-t)/('2025'!Tau_j))),Resal+(Salim-Resal)*(1-EXP((Tnet-t)/(Tau_j))))*Salcycl</f>
        <v>6.5359723205520665E-2</v>
      </c>
      <c r="P358" s="171">
        <f>(INDEX(Models!$BJ358:$BT358,,T358)*(1-R358)+INDEX(Models!$BJ358:$BT358,,T358+1)*R358-ERP_i)*Q358*Ramure*Pc/MaxiM</f>
        <v>2.8090441906612366E-2</v>
      </c>
      <c r="Q358" s="307">
        <f t="shared" si="130"/>
        <v>0.9</v>
      </c>
      <c r="R358" s="179">
        <f t="shared" si="131"/>
        <v>0.56464463669856269</v>
      </c>
      <c r="S358" s="839">
        <f t="shared" si="132"/>
        <v>-2</v>
      </c>
      <c r="T358" s="178">
        <f t="shared" si="133"/>
        <v>4</v>
      </c>
      <c r="U358" s="253">
        <f t="shared" si="134"/>
        <v>-1.4353553633014373</v>
      </c>
      <c r="V358" s="385">
        <f t="shared" si="135"/>
        <v>15.595050795212382</v>
      </c>
      <c r="W358" s="404">
        <f t="shared" si="136"/>
        <v>11.971141738729536</v>
      </c>
      <c r="X358" s="157">
        <f t="shared" si="137"/>
        <v>46366</v>
      </c>
      <c r="Y358" s="387">
        <f t="shared" si="138"/>
        <v>9.1017412943537259</v>
      </c>
      <c r="Z358" s="387">
        <f t="shared" si="139"/>
        <v>9.771933449988607</v>
      </c>
      <c r="AA358" s="388">
        <f t="shared" si="140"/>
        <v>11.509950231978106</v>
      </c>
      <c r="AB358" s="199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0.15100124213923746</v>
      </c>
      <c r="AD358" s="233">
        <f>(INDEX(Models!$BJ358:$BT358,,AH358)*(1-AF358)+INDEX(Models!$BJ358:$BT358,,AH358+1)*AF358-ERP_i)*AE358*Ramure*Pc/MaxiM</f>
        <v>0.26750840630511291</v>
      </c>
      <c r="AE358" s="307">
        <f t="shared" si="142"/>
        <v>0.9</v>
      </c>
      <c r="AF358" s="179">
        <f t="shared" si="143"/>
        <v>0.20030028900554164</v>
      </c>
      <c r="AG358" s="839">
        <f t="shared" si="149"/>
        <v>3</v>
      </c>
      <c r="AH358" s="178">
        <f t="shared" si="144"/>
        <v>9</v>
      </c>
      <c r="AI358" s="227">
        <f t="shared" si="145"/>
        <v>3.2003002890055416</v>
      </c>
      <c r="AJ358" s="267" t="b">
        <f t="shared" si="146"/>
        <v>0</v>
      </c>
      <c r="AK358" s="267" t="b">
        <f t="shared" si="147"/>
        <v>0</v>
      </c>
      <c r="AL358" s="267"/>
      <c r="AM358" s="267"/>
      <c r="AN358" s="75"/>
    </row>
    <row r="359" spans="1:40" s="6" customFormat="1" ht="11.25" x14ac:dyDescent="0.2">
      <c r="A359" s="56">
        <f t="shared" si="148"/>
        <v>46367</v>
      </c>
      <c r="B359" s="413">
        <f>'2025'!Wh/'2025'!Env_an*'2026'!Env_an</f>
        <v>12.54062582749347</v>
      </c>
      <c r="C359" s="868"/>
      <c r="D359" s="395">
        <f t="shared" si="127"/>
        <v>13.46434807788491</v>
      </c>
      <c r="E359" s="387">
        <f t="shared" si="125"/>
        <v>14.408252490629925</v>
      </c>
      <c r="F359" s="387">
        <f t="shared" si="128"/>
        <v>14.710984018218104</v>
      </c>
      <c r="G359" s="110">
        <f t="shared" si="126"/>
        <v>0.80174706668052287</v>
      </c>
      <c r="H359" s="416" t="b">
        <f>Wh_hp&gt;='2025'!Maxi_hp</f>
        <v>0</v>
      </c>
      <c r="I359" s="392">
        <f>IF(H359,Wh_hp,'2025'!Maxi_hp)</f>
        <v>15.154011286324524</v>
      </c>
      <c r="J359" s="85">
        <f>IF(H359,An,'2025'!An_max)</f>
        <v>2018</v>
      </c>
      <c r="K359" s="199">
        <f t="shared" si="129"/>
        <v>46367</v>
      </c>
      <c r="L359" s="147">
        <f>IF(t&lt;Tvie,1-EXP((T0-t)*PertePVj)+'2025'!Pspv,1-EXP((T0-t)*PertePVj)+Pspv)</f>
        <v>6.8605048313378547E-2</v>
      </c>
      <c r="M359" s="872"/>
      <c r="N359" s="872"/>
      <c r="O359" s="48">
        <f>IF(t&lt;Tnet,'2025'!Resal+('2025'!Salim-'2025'!Resal)*(1-EXP(('2025'!Tnet-t)/('2025'!Tau_j))),Resal+(Salim-Resal)*(1-EXP((Tnet-t)/(Tau_j))))*Salcycl</f>
        <v>6.5511373663035291E-2</v>
      </c>
      <c r="P359" s="171">
        <f>(INDEX(Models!$BJ359:$BT359,,T359)*(1-R359)+INDEX(Models!$BJ359:$BT359,,T359+1)*R359-ERP_i)*Q359*Ramure*Pc/MaxiM</f>
        <v>2.8347555307577915E-2</v>
      </c>
      <c r="Q359" s="307">
        <f t="shared" si="130"/>
        <v>0.9</v>
      </c>
      <c r="R359" s="179">
        <f t="shared" si="131"/>
        <v>0.56465991790113068</v>
      </c>
      <c r="S359" s="839">
        <f t="shared" si="132"/>
        <v>-2</v>
      </c>
      <c r="T359" s="178">
        <f t="shared" si="133"/>
        <v>4</v>
      </c>
      <c r="U359" s="253">
        <f t="shared" si="134"/>
        <v>-1.4353400820988693</v>
      </c>
      <c r="V359" s="385">
        <f t="shared" si="135"/>
        <v>15.517551353538995</v>
      </c>
      <c r="W359" s="404">
        <f t="shared" si="136"/>
        <v>12.54062582749347</v>
      </c>
      <c r="X359" s="157">
        <f t="shared" si="137"/>
        <v>46367</v>
      </c>
      <c r="Y359" s="387">
        <f t="shared" si="138"/>
        <v>9.3591498687931747</v>
      </c>
      <c r="Z359" s="387">
        <f t="shared" si="139"/>
        <v>10.048529736869529</v>
      </c>
      <c r="AA359" s="388">
        <f t="shared" si="140"/>
        <v>11.836207686153591</v>
      </c>
      <c r="AB359" s="199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0.15103468920838128</v>
      </c>
      <c r="AD359" s="233">
        <f>(INDEX(Models!$BJ359:$BT359,,AH359)*(1-AF359)+INDEX(Models!$BJ359:$BT359,,AH359+1)*AF359-ERP_i)*AE359*Ramure*Pc/MaxiM</f>
        <v>0.26919191971631551</v>
      </c>
      <c r="AE359" s="307">
        <f t="shared" si="142"/>
        <v>0.9</v>
      </c>
      <c r="AF359" s="179">
        <f t="shared" si="143"/>
        <v>0.20031557020810986</v>
      </c>
      <c r="AG359" s="839">
        <f t="shared" si="149"/>
        <v>3</v>
      </c>
      <c r="AH359" s="178">
        <f t="shared" si="144"/>
        <v>9</v>
      </c>
      <c r="AI359" s="227">
        <f t="shared" si="145"/>
        <v>3.2003155702081099</v>
      </c>
      <c r="AJ359" s="267" t="b">
        <f t="shared" si="146"/>
        <v>0</v>
      </c>
      <c r="AK359" s="267" t="b">
        <f t="shared" si="147"/>
        <v>0</v>
      </c>
      <c r="AL359" s="267"/>
      <c r="AM359" s="267"/>
      <c r="AN359" s="75"/>
    </row>
    <row r="360" spans="1:40" s="6" customFormat="1" ht="11.25" x14ac:dyDescent="0.2">
      <c r="A360" s="56">
        <f t="shared" si="148"/>
        <v>46368</v>
      </c>
      <c r="B360" s="413">
        <f>'2025'!Wh/'2025'!Env_an*'2026'!Env_an</f>
        <v>4.355689414380028</v>
      </c>
      <c r="C360" s="868"/>
      <c r="D360" s="395">
        <f t="shared" si="127"/>
        <v>4.6766312960008776</v>
      </c>
      <c r="E360" s="387">
        <f t="shared" si="125"/>
        <v>5.0052991937743823</v>
      </c>
      <c r="F360" s="387">
        <f t="shared" si="128"/>
        <v>5.0052991937743823</v>
      </c>
      <c r="G360" s="110">
        <f t="shared" si="126"/>
        <v>0.27389880157127416</v>
      </c>
      <c r="H360" s="416" t="b">
        <f>Wh_hp&gt;='2025'!Maxi_hp</f>
        <v>0</v>
      </c>
      <c r="I360" s="392">
        <f>IF(H360,Wh_hp,'2025'!Maxi_hp)</f>
        <v>17.813849297428309</v>
      </c>
      <c r="J360" s="85">
        <f>IF(H360,An,'2025'!An_max)</f>
        <v>2021</v>
      </c>
      <c r="K360" s="199">
        <f t="shared" si="129"/>
        <v>46368</v>
      </c>
      <c r="L360" s="147">
        <f>IF(t&lt;Tvie,1-EXP((T0-t)*PertePVj)+'2025'!Pspv,1-EXP((T0-t)*PertePVj)+Pspv)</f>
        <v>6.8626723234584741E-2</v>
      </c>
      <c r="M360" s="872"/>
      <c r="N360" s="872"/>
      <c r="O360" s="48">
        <f>IF(t&lt;Tnet,'2025'!Resal+('2025'!Salim-'2025'!Resal)*(1-EXP(('2025'!Tnet-t)/('2025'!Tau_j))),Resal+(Salim-Resal)*(1-EXP((Tnet-t)/(Tau_j))))*Salcycl</f>
        <v>6.5663986317202286E-2</v>
      </c>
      <c r="P360" s="171">
        <f>(INDEX(Models!$BJ360:$BT360,,T360)*(1-R360)+INDEX(Models!$BJ360:$BT360,,T360+1)*R360-ERP_i)*Q360*Ramure*Pc/MaxiM</f>
        <v>2.8589393757693458E-2</v>
      </c>
      <c r="Q360" s="307">
        <f t="shared" si="130"/>
        <v>0.9</v>
      </c>
      <c r="R360" s="179">
        <f t="shared" si="131"/>
        <v>0.56467458446481134</v>
      </c>
      <c r="S360" s="839">
        <f t="shared" si="132"/>
        <v>-2</v>
      </c>
      <c r="T360" s="178">
        <f t="shared" si="133"/>
        <v>4</v>
      </c>
      <c r="U360" s="253">
        <f t="shared" si="134"/>
        <v>-1.4353254155351887</v>
      </c>
      <c r="V360" s="385">
        <f t="shared" si="135"/>
        <v>15.447905833662668</v>
      </c>
      <c r="W360" s="404">
        <f t="shared" si="136"/>
        <v>4.355689414380028</v>
      </c>
      <c r="X360" s="157">
        <f t="shared" si="137"/>
        <v>46368</v>
      </c>
      <c r="Y360" s="387">
        <f t="shared" si="138"/>
        <v>3.9575394170772347</v>
      </c>
      <c r="Z360" s="387">
        <f t="shared" si="139"/>
        <v>4.2491442645009654</v>
      </c>
      <c r="AA360" s="388">
        <f t="shared" si="140"/>
        <v>5.0052991937743823</v>
      </c>
      <c r="AB360" s="199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0.15107087508653344</v>
      </c>
      <c r="AD360" s="233">
        <f>(INDEX(Models!$BJ360:$BT360,,AH360)*(1-AF360)+INDEX(Models!$BJ360:$BT360,,AH360+1)*AF360-ERP_i)*AE360*Ramure*Pc/MaxiM</f>
        <v>0.27066844151172914</v>
      </c>
      <c r="AE360" s="307">
        <f t="shared" si="142"/>
        <v>0.9</v>
      </c>
      <c r="AF360" s="179">
        <f t="shared" si="143"/>
        <v>0.20033023677179029</v>
      </c>
      <c r="AG360" s="839">
        <f t="shared" si="149"/>
        <v>3</v>
      </c>
      <c r="AH360" s="178">
        <f t="shared" si="144"/>
        <v>9</v>
      </c>
      <c r="AI360" s="227">
        <f t="shared" si="145"/>
        <v>3.2003302367717903</v>
      </c>
      <c r="AJ360" s="267" t="b">
        <f t="shared" si="146"/>
        <v>0</v>
      </c>
      <c r="AK360" s="267" t="b">
        <f t="shared" si="147"/>
        <v>0</v>
      </c>
      <c r="AL360" s="267"/>
      <c r="AM360" s="267"/>
      <c r="AN360" s="75"/>
    </row>
    <row r="361" spans="1:40" s="6" customFormat="1" ht="11.25" x14ac:dyDescent="0.2">
      <c r="A361" s="56">
        <f t="shared" si="148"/>
        <v>46369</v>
      </c>
      <c r="B361" s="413">
        <f>'2025'!Wh/'2025'!Env_an*'2026'!Env_an</f>
        <v>5.2435579261968073</v>
      </c>
      <c r="C361" s="868"/>
      <c r="D361" s="395">
        <f t="shared" si="127"/>
        <v>5.6300519728252754</v>
      </c>
      <c r="E361" s="387">
        <f t="shared" ref="E361:E379" si="150">Wh_pvt/(1-Psa)</f>
        <v>6.0267154118905522</v>
      </c>
      <c r="F361" s="387">
        <f t="shared" si="128"/>
        <v>6.0368499112230749</v>
      </c>
      <c r="G361" s="110">
        <f t="shared" ref="G361:G379" si="151">+Wh_hp/MaxiM</f>
        <v>0.33153219344618151</v>
      </c>
      <c r="H361" s="416" t="b">
        <f>Wh_hp&gt;='2025'!Maxi_hp</f>
        <v>0</v>
      </c>
      <c r="I361" s="392">
        <f>IF(H361,Wh_hp,'2025'!Maxi_hp)</f>
        <v>18.138305430753984</v>
      </c>
      <c r="J361" s="85">
        <f>IF(H361,An,'2025'!An_max)</f>
        <v>2021</v>
      </c>
      <c r="K361" s="199">
        <f t="shared" si="129"/>
        <v>46369</v>
      </c>
      <c r="L361" s="147">
        <f>IF(t&lt;Tvie,1-EXP((T0-t)*PertePVj)+'2025'!Pspv,1-EXP((T0-t)*PertePVj)+Pspv)</f>
        <v>6.8648397651383863E-2</v>
      </c>
      <c r="M361" s="872"/>
      <c r="N361" s="872"/>
      <c r="O361" s="48">
        <f>IF(t&lt;Tnet,'2025'!Resal+('2025'!Salim-'2025'!Resal)*(1-EXP(('2025'!Tnet-t)/('2025'!Tau_j))),Resal+(Salim-Resal)*(1-EXP((Tnet-t)/(Tau_j))))*Salcycl</f>
        <v>6.5817516168536802E-2</v>
      </c>
      <c r="P361" s="171">
        <f>(INDEX(Models!$BJ361:$BT361,,T361)*(1-R361)+INDEX(Models!$BJ361:$BT361,,T361+1)*R361-ERP_i)*Q361*Ramure*Pc/MaxiM</f>
        <v>2.8807421244092767E-2</v>
      </c>
      <c r="Q361" s="307">
        <f t="shared" si="130"/>
        <v>0.9</v>
      </c>
      <c r="R361" s="179">
        <f t="shared" si="131"/>
        <v>0.56468866108733762</v>
      </c>
      <c r="S361" s="839">
        <f t="shared" si="132"/>
        <v>-2</v>
      </c>
      <c r="T361" s="178">
        <f t="shared" si="133"/>
        <v>4</v>
      </c>
      <c r="U361" s="253">
        <f t="shared" si="134"/>
        <v>-1.4353113389126624</v>
      </c>
      <c r="V361" s="385">
        <f t="shared" si="135"/>
        <v>15.386343104223961</v>
      </c>
      <c r="W361" s="404">
        <f t="shared" si="136"/>
        <v>5.2435579261968073</v>
      </c>
      <c r="X361" s="157">
        <f t="shared" si="137"/>
        <v>46369</v>
      </c>
      <c r="Y361" s="387">
        <f t="shared" si="138"/>
        <v>4.6971797111804126</v>
      </c>
      <c r="Z361" s="387">
        <f t="shared" si="139"/>
        <v>5.0434011165443851</v>
      </c>
      <c r="AA361" s="388">
        <f t="shared" si="140"/>
        <v>5.9411692953066639</v>
      </c>
      <c r="AB361" s="199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0.15110967793351501</v>
      </c>
      <c r="AD361" s="233">
        <f>(INDEX(Models!$BJ361:$BT361,,AH361)*(1-AF361)+INDEX(Models!$BJ361:$BT361,,AH361+1)*AF361-ERP_i)*AE361*Ramure*Pc/MaxiM</f>
        <v>0.27197315991258997</v>
      </c>
      <c r="AE361" s="307">
        <f t="shared" si="142"/>
        <v>0.9</v>
      </c>
      <c r="AF361" s="179">
        <f t="shared" si="143"/>
        <v>0.20034431339431658</v>
      </c>
      <c r="AG361" s="839">
        <f t="shared" si="149"/>
        <v>3</v>
      </c>
      <c r="AH361" s="178">
        <f t="shared" si="144"/>
        <v>9</v>
      </c>
      <c r="AI361" s="227">
        <f t="shared" si="145"/>
        <v>3.2003443133943166</v>
      </c>
      <c r="AJ361" s="267" t="b">
        <f t="shared" si="146"/>
        <v>0</v>
      </c>
      <c r="AK361" s="267" t="b">
        <f t="shared" si="147"/>
        <v>0</v>
      </c>
      <c r="AL361" s="267"/>
      <c r="AM361" s="267"/>
      <c r="AN361" s="75"/>
    </row>
    <row r="362" spans="1:40" s="6" customFormat="1" ht="11.25" x14ac:dyDescent="0.2">
      <c r="A362" s="56">
        <f t="shared" si="148"/>
        <v>46370</v>
      </c>
      <c r="B362" s="413">
        <f>'2025'!Wh/'2025'!Env_an*'2026'!Env_an</f>
        <v>12.346669406494017</v>
      </c>
      <c r="C362" s="868"/>
      <c r="D362" s="395">
        <f t="shared" si="127"/>
        <v>13.257030649949368</v>
      </c>
      <c r="E362" s="387">
        <f t="shared" si="150"/>
        <v>14.1933961950689</v>
      </c>
      <c r="F362" s="387">
        <f t="shared" si="128"/>
        <v>14.496842634621263</v>
      </c>
      <c r="G362" s="110">
        <f t="shared" si="151"/>
        <v>0.7986004059248768</v>
      </c>
      <c r="H362" s="416" t="b">
        <f>Wh_hp&gt;='2025'!Maxi_hp</f>
        <v>0</v>
      </c>
      <c r="I362" s="392">
        <f>IF(H362,Wh_hp,'2025'!Maxi_hp)</f>
        <v>18.109392366943464</v>
      </c>
      <c r="J362" s="85">
        <f>IF(H362,An,'2025'!An_max)</f>
        <v>2021</v>
      </c>
      <c r="K362" s="199">
        <f t="shared" si="129"/>
        <v>46370</v>
      </c>
      <c r="L362" s="147">
        <f>IF(t&lt;Tvie,1-EXP((T0-t)*PertePVj)+'2025'!Pspv,1-EXP((T0-t)*PertePVj)+Pspv)</f>
        <v>6.8670071563787682E-2</v>
      </c>
      <c r="M362" s="872"/>
      <c r="N362" s="872"/>
      <c r="O362" s="48">
        <f>IF(t&lt;Tnet,'2025'!Resal+('2025'!Salim-'2025'!Resal)*(1-EXP(('2025'!Tnet-t)/('2025'!Tau_j))),Resal+(Salim-Resal)*(1-EXP((Tnet-t)/(Tau_j))))*Salcycl</f>
        <v>6.597191625249256E-2</v>
      </c>
      <c r="P362" s="171">
        <f>(INDEX(Models!$BJ362:$BT362,,T362)*(1-R362)+INDEX(Models!$BJ362:$BT362,,T362+1)*R362-ERP_i)*Q362*Ramure*Pc/MaxiM</f>
        <v>2.9000914784505723E-2</v>
      </c>
      <c r="Q362" s="307">
        <f t="shared" si="130"/>
        <v>0.9</v>
      </c>
      <c r="R362" s="179">
        <f t="shared" si="131"/>
        <v>0.5647021714759346</v>
      </c>
      <c r="S362" s="839">
        <f t="shared" si="132"/>
        <v>-2</v>
      </c>
      <c r="T362" s="178">
        <f t="shared" si="133"/>
        <v>4</v>
      </c>
      <c r="U362" s="253">
        <f t="shared" si="134"/>
        <v>-1.4352978285240654</v>
      </c>
      <c r="V362" s="385">
        <f t="shared" si="135"/>
        <v>15.332967409041988</v>
      </c>
      <c r="W362" s="404">
        <f t="shared" si="136"/>
        <v>12.346669406494017</v>
      </c>
      <c r="X362" s="157">
        <f t="shared" si="137"/>
        <v>46370</v>
      </c>
      <c r="Y362" s="387">
        <f t="shared" si="138"/>
        <v>9.2015431632798368</v>
      </c>
      <c r="Z362" s="387">
        <f t="shared" si="139"/>
        <v>9.8800037262091056</v>
      </c>
      <c r="AA362" s="388">
        <f t="shared" si="140"/>
        <v>11.639294392798972</v>
      </c>
      <c r="AB362" s="199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0.15115097249179543</v>
      </c>
      <c r="AD362" s="233">
        <f>(INDEX(Models!$BJ362:$BT362,,AH362)*(1-AF362)+INDEX(Models!$BJ362:$BT362,,AH362+1)*AF362-ERP_i)*AE362*Ramure*Pc/MaxiM</f>
        <v>0.27310095704517845</v>
      </c>
      <c r="AE362" s="307">
        <f t="shared" si="142"/>
        <v>0.9</v>
      </c>
      <c r="AF362" s="179">
        <f t="shared" si="143"/>
        <v>0.20035782378291334</v>
      </c>
      <c r="AG362" s="839">
        <f t="shared" si="149"/>
        <v>3</v>
      </c>
      <c r="AH362" s="178">
        <f t="shared" si="144"/>
        <v>9</v>
      </c>
      <c r="AI362" s="227">
        <f t="shared" si="145"/>
        <v>3.2003578237829133</v>
      </c>
      <c r="AJ362" s="267" t="b">
        <f t="shared" si="146"/>
        <v>0</v>
      </c>
      <c r="AK362" s="267" t="b">
        <f t="shared" si="147"/>
        <v>0</v>
      </c>
      <c r="AL362" s="267"/>
      <c r="AM362" s="267"/>
      <c r="AN362" s="75"/>
    </row>
    <row r="363" spans="1:40" s="6" customFormat="1" ht="11.25" x14ac:dyDescent="0.2">
      <c r="A363" s="56">
        <f t="shared" si="148"/>
        <v>46371</v>
      </c>
      <c r="B363" s="413">
        <f>'2025'!Wh/'2025'!Env_an*'2026'!Env_an</f>
        <v>6.0535053021270659</v>
      </c>
      <c r="C363" s="868"/>
      <c r="D363" s="395">
        <f t="shared" si="127"/>
        <v>6.5000017657352522</v>
      </c>
      <c r="E363" s="387">
        <f t="shared" si="150"/>
        <v>6.9602641111704511</v>
      </c>
      <c r="F363" s="387">
        <f t="shared" si="128"/>
        <v>6.9882099355110379</v>
      </c>
      <c r="G363" s="110">
        <f t="shared" si="151"/>
        <v>0.38596093094376344</v>
      </c>
      <c r="H363" s="416" t="b">
        <f>Wh_hp&gt;='2025'!Maxi_hp</f>
        <v>0</v>
      </c>
      <c r="I363" s="392">
        <f>IF(H363,Wh_hp,'2025'!Maxi_hp)</f>
        <v>17.774835996132822</v>
      </c>
      <c r="J363" s="85">
        <f>IF(H363,An,'2025'!An_max)</f>
        <v>2019</v>
      </c>
      <c r="K363" s="199">
        <f t="shared" si="129"/>
        <v>46371</v>
      </c>
      <c r="L363" s="147">
        <f>IF(t&lt;Tvie,1-EXP((T0-t)*PertePVj)+'2025'!Pspv,1-EXP((T0-t)*PertePVj)+Pspv)</f>
        <v>6.8691744971807855E-2</v>
      </c>
      <c r="M363" s="872"/>
      <c r="N363" s="872"/>
      <c r="O363" s="48">
        <f>IF(t&lt;Tnet,'2025'!Resal+('2025'!Salim-'2025'!Resal)*(1-EXP(('2025'!Tnet-t)/('2025'!Tau_j))),Resal+(Salim-Resal)*(1-EXP((Tnet-t)/(Tau_j))))*Salcycl</f>
        <v>6.6127138005658254E-2</v>
      </c>
      <c r="P363" s="171">
        <f>(INDEX(Models!$BJ363:$BT363,,T363)*(1-R363)+INDEX(Models!$BJ363:$BT363,,T363+1)*R363-ERP_i)*Q363*Ramure*Pc/MaxiM</f>
        <v>2.9169210915404049E-2</v>
      </c>
      <c r="Q363" s="307">
        <f t="shared" si="130"/>
        <v>0.9</v>
      </c>
      <c r="R363" s="179">
        <f t="shared" si="131"/>
        <v>0.56471513838689358</v>
      </c>
      <c r="S363" s="839">
        <f t="shared" si="132"/>
        <v>-2</v>
      </c>
      <c r="T363" s="178">
        <f t="shared" si="133"/>
        <v>4</v>
      </c>
      <c r="U363" s="253">
        <f t="shared" si="134"/>
        <v>-1.4352848616131064</v>
      </c>
      <c r="V363" s="385">
        <f t="shared" si="135"/>
        <v>15.287882877963384</v>
      </c>
      <c r="W363" s="404">
        <f t="shared" si="136"/>
        <v>6.0535053021270659</v>
      </c>
      <c r="X363" s="157">
        <f t="shared" si="137"/>
        <v>46371</v>
      </c>
      <c r="Y363" s="387">
        <f t="shared" si="138"/>
        <v>5.3166278263803983</v>
      </c>
      <c r="Z363" s="387">
        <f t="shared" si="139"/>
        <v>5.7087734352998467</v>
      </c>
      <c r="AA363" s="388">
        <f t="shared" si="140"/>
        <v>6.7256566033641549</v>
      </c>
      <c r="AB363" s="199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0.15119463095330585</v>
      </c>
      <c r="AD363" s="233">
        <f>(INDEX(Models!$BJ363:$BT363,,AH363)*(1-AF363)+INDEX(Models!$BJ363:$BT363,,AH363+1)*AF363-ERP_i)*AE363*Ramure*Pc/MaxiM</f>
        <v>0.27404715025034371</v>
      </c>
      <c r="AE363" s="307">
        <f t="shared" si="142"/>
        <v>0.9</v>
      </c>
      <c r="AF363" s="179">
        <f t="shared" si="143"/>
        <v>0.20037079069387254</v>
      </c>
      <c r="AG363" s="839">
        <f t="shared" si="149"/>
        <v>3</v>
      </c>
      <c r="AH363" s="178">
        <f t="shared" si="144"/>
        <v>9</v>
      </c>
      <c r="AI363" s="227">
        <f t="shared" si="145"/>
        <v>3.2003707906938725</v>
      </c>
      <c r="AJ363" s="267" t="b">
        <f t="shared" si="146"/>
        <v>0</v>
      </c>
      <c r="AK363" s="267" t="b">
        <f t="shared" si="147"/>
        <v>0</v>
      </c>
      <c r="AL363" s="267"/>
      <c r="AM363" s="267"/>
      <c r="AN363" s="75"/>
    </row>
    <row r="364" spans="1:40" s="6" customFormat="1" ht="11.25" x14ac:dyDescent="0.2">
      <c r="A364" s="56">
        <f t="shared" si="148"/>
        <v>46372</v>
      </c>
      <c r="B364" s="413">
        <f>'2025'!Wh/'2025'!Env_an*'2026'!Env_an</f>
        <v>5.3450592107770349</v>
      </c>
      <c r="C364" s="868"/>
      <c r="D364" s="395">
        <f t="shared" si="127"/>
        <v>5.7394354362792948</v>
      </c>
      <c r="E364" s="387">
        <f t="shared" si="150"/>
        <v>6.1468691749288631</v>
      </c>
      <c r="F364" s="387">
        <f t="shared" si="128"/>
        <v>6.1598868724946554</v>
      </c>
      <c r="G364" s="110">
        <f t="shared" si="151"/>
        <v>0.34091589039326792</v>
      </c>
      <c r="H364" s="416" t="b">
        <f>Wh_hp&gt;='2025'!Maxi_hp</f>
        <v>0</v>
      </c>
      <c r="I364" s="392">
        <f>IF(H364,Wh_hp,'2025'!Maxi_hp)</f>
        <v>17.653857308333976</v>
      </c>
      <c r="J364" s="85">
        <f>IF(H364,An,'2025'!An_max)</f>
        <v>2021</v>
      </c>
      <c r="K364" s="199">
        <f t="shared" si="129"/>
        <v>46372</v>
      </c>
      <c r="L364" s="147">
        <f>IF(t&lt;Tvie,1-EXP((T0-t)*PertePVj)+'2025'!Pspv,1-EXP((T0-t)*PertePVj)+Pspv)</f>
        <v>6.8713417875456151E-2</v>
      </c>
      <c r="M364" s="872"/>
      <c r="N364" s="872"/>
      <c r="O364" s="48">
        <f>IF(t&lt;Tnet,'2025'!Resal+('2025'!Salim-'2025'!Resal)*(1-EXP(('2025'!Tnet-t)/('2025'!Tau_j))),Resal+(Salim-Resal)*(1-EXP((Tnet-t)/(Tau_j))))*Salcycl</f>
        <v>6.628313163250027E-2</v>
      </c>
      <c r="P364" s="171">
        <f>(INDEX(Models!$BJ364:$BT364,,T364)*(1-R364)+INDEX(Models!$BJ364:$BT364,,T364+1)*R364-ERP_i)*Q364*Ramure*Pc/MaxiM</f>
        <v>2.9311711475090478E-2</v>
      </c>
      <c r="Q364" s="307">
        <f t="shared" si="130"/>
        <v>0.9</v>
      </c>
      <c r="R364" s="179">
        <f t="shared" si="131"/>
        <v>0.564727583663577</v>
      </c>
      <c r="S364" s="839">
        <f t="shared" si="132"/>
        <v>-2</v>
      </c>
      <c r="T364" s="178">
        <f t="shared" si="133"/>
        <v>4</v>
      </c>
      <c r="U364" s="253">
        <f t="shared" si="134"/>
        <v>-1.435272416336423</v>
      </c>
      <c r="V364" s="385">
        <f t="shared" si="135"/>
        <v>15.251193531080794</v>
      </c>
      <c r="W364" s="404">
        <f t="shared" si="136"/>
        <v>5.3450592107770349</v>
      </c>
      <c r="X364" s="157">
        <f t="shared" si="137"/>
        <v>46372</v>
      </c>
      <c r="Y364" s="387">
        <f t="shared" si="138"/>
        <v>4.7725411703719836</v>
      </c>
      <c r="Z364" s="387">
        <f t="shared" si="139"/>
        <v>5.1246751128792027</v>
      </c>
      <c r="AA364" s="388">
        <f t="shared" si="140"/>
        <v>6.0378414105295146</v>
      </c>
      <c r="AB364" s="199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0.1512405238166446</v>
      </c>
      <c r="AD364" s="233">
        <f>(INDEX(Models!$BJ364:$BT364,,AH364)*(1-AF364)+INDEX(Models!$BJ364:$BT364,,AH364+1)*AF364-ERP_i)*AE364*Ramure*Pc/MaxiM</f>
        <v>0.27480753411931719</v>
      </c>
      <c r="AE364" s="307">
        <f t="shared" si="142"/>
        <v>0.9</v>
      </c>
      <c r="AF364" s="179">
        <f t="shared" si="143"/>
        <v>0.20038323597055596</v>
      </c>
      <c r="AG364" s="839">
        <f t="shared" si="149"/>
        <v>3</v>
      </c>
      <c r="AH364" s="178">
        <f t="shared" si="144"/>
        <v>9</v>
      </c>
      <c r="AI364" s="227">
        <f t="shared" si="145"/>
        <v>3.200383235970556</v>
      </c>
      <c r="AJ364" s="267" t="b">
        <f t="shared" si="146"/>
        <v>0</v>
      </c>
      <c r="AK364" s="267" t="b">
        <f t="shared" si="147"/>
        <v>0</v>
      </c>
      <c r="AL364" s="267"/>
      <c r="AM364" s="267"/>
      <c r="AN364" s="75"/>
    </row>
    <row r="365" spans="1:40" s="6" customFormat="1" ht="11.25" x14ac:dyDescent="0.2">
      <c r="A365" s="56">
        <f t="shared" si="148"/>
        <v>46373</v>
      </c>
      <c r="B365" s="413">
        <f>'2025'!Wh/'2025'!Env_an*'2026'!Env_an</f>
        <v>3.3124636838316279</v>
      </c>
      <c r="C365" s="868"/>
      <c r="D365" s="395">
        <f t="shared" si="127"/>
        <v>3.5569510342753921</v>
      </c>
      <c r="E365" s="387">
        <f t="shared" si="150"/>
        <v>3.8100930302399596</v>
      </c>
      <c r="F365" s="387">
        <f t="shared" si="128"/>
        <v>3.8100930302399596</v>
      </c>
      <c r="G365" s="110">
        <f t="shared" si="151"/>
        <v>0.21119254928459658</v>
      </c>
      <c r="H365" s="416" t="b">
        <f>Wh_hp&gt;='2025'!Maxi_hp</f>
        <v>0</v>
      </c>
      <c r="I365" s="392">
        <f>IF(H365,Wh_hp,'2025'!Maxi_hp)</f>
        <v>17.652836359239622</v>
      </c>
      <c r="J365" s="85">
        <f>IF(H365,An,'2025'!An_max)</f>
        <v>2021</v>
      </c>
      <c r="K365" s="199">
        <f t="shared" si="129"/>
        <v>46373</v>
      </c>
      <c r="L365" s="147">
        <f>IF(t&lt;Tvie,1-EXP((T0-t)*PertePVj)+'2025'!Pspv,1-EXP((T0-t)*PertePVj)+Pspv)</f>
        <v>6.8735090274744337E-2</v>
      </c>
      <c r="M365" s="872"/>
      <c r="N365" s="872"/>
      <c r="O365" s="48">
        <f>IF(t&lt;Tnet,'2025'!Resal+('2025'!Salim-'2025'!Resal)*(1-EXP(('2025'!Tnet-t)/('2025'!Tau_j))),Resal+(Salim-Resal)*(1-EXP((Tnet-t)/(Tau_j))))*Salcycl</f>
        <v>6.6439846469739494E-2</v>
      </c>
      <c r="P365" s="171">
        <f>(INDEX(Models!$BJ365:$BT365,,T365)*(1-R365)+INDEX(Models!$BJ365:$BT365,,T365+1)*R365-ERP_i)*Q365*Ramure*Pc/MaxiM</f>
        <v>2.9427889078590244E-2</v>
      </c>
      <c r="Q365" s="307">
        <f t="shared" si="130"/>
        <v>0.9</v>
      </c>
      <c r="R365" s="179">
        <f t="shared" si="131"/>
        <v>0.5647395282729144</v>
      </c>
      <c r="S365" s="839">
        <f t="shared" si="132"/>
        <v>-2</v>
      </c>
      <c r="T365" s="178">
        <f t="shared" si="133"/>
        <v>4</v>
      </c>
      <c r="U365" s="253">
        <f t="shared" si="134"/>
        <v>-1.4352604717270856</v>
      </c>
      <c r="V365" s="385">
        <f t="shared" si="135"/>
        <v>15.223003277613536</v>
      </c>
      <c r="W365" s="404">
        <f t="shared" si="136"/>
        <v>3.3124636838316279</v>
      </c>
      <c r="X365" s="157">
        <f t="shared" si="137"/>
        <v>46373</v>
      </c>
      <c r="Y365" s="387">
        <f t="shared" si="138"/>
        <v>3.0114031136693402</v>
      </c>
      <c r="Z365" s="387">
        <f t="shared" si="139"/>
        <v>3.2336696918578975</v>
      </c>
      <c r="AA365" s="388">
        <f t="shared" si="140"/>
        <v>3.8100930302399596</v>
      </c>
      <c r="AB365" s="199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0.15128852072826127</v>
      </c>
      <c r="AD365" s="233">
        <f>(INDEX(Models!$BJ365:$BT365,,AH365)*(1-AF365)+INDEX(Models!$BJ365:$BT365,,AH365+1)*AF365-ERP_i)*AE365*Ramure*Pc/MaxiM</f>
        <v>0.27537842026976816</v>
      </c>
      <c r="AE365" s="307">
        <f t="shared" si="142"/>
        <v>0.9</v>
      </c>
      <c r="AF365" s="179">
        <f t="shared" si="143"/>
        <v>0.20039518057989358</v>
      </c>
      <c r="AG365" s="839">
        <f t="shared" si="149"/>
        <v>3</v>
      </c>
      <c r="AH365" s="178">
        <f t="shared" si="144"/>
        <v>9</v>
      </c>
      <c r="AI365" s="227">
        <f t="shared" si="145"/>
        <v>3.2003951805798936</v>
      </c>
      <c r="AJ365" s="267" t="b">
        <f t="shared" si="146"/>
        <v>0</v>
      </c>
      <c r="AK365" s="267" t="b">
        <f t="shared" si="147"/>
        <v>0</v>
      </c>
      <c r="AL365" s="267"/>
      <c r="AM365" s="267"/>
      <c r="AN365" s="75"/>
    </row>
    <row r="366" spans="1:40" s="6" customFormat="1" ht="11.25" x14ac:dyDescent="0.2">
      <c r="A366" s="56">
        <f t="shared" si="148"/>
        <v>46374</v>
      </c>
      <c r="B366" s="413">
        <f>'2025'!Wh/'2025'!Env_an*'2026'!Env_an</f>
        <v>12.89534671568831</v>
      </c>
      <c r="C366" s="868"/>
      <c r="D366" s="395">
        <f t="shared" si="127"/>
        <v>13.847452729678777</v>
      </c>
      <c r="E366" s="387">
        <f t="shared" si="150"/>
        <v>14.835452812765942</v>
      </c>
      <c r="F366" s="387">
        <f t="shared" si="128"/>
        <v>15.186421276432528</v>
      </c>
      <c r="G366" s="110">
        <f t="shared" si="151"/>
        <v>0.84262489308923505</v>
      </c>
      <c r="H366" s="416" t="b">
        <f>Wh_hp&gt;='2025'!Maxi_hp</f>
        <v>0</v>
      </c>
      <c r="I366" s="392">
        <f>IF(H366,Wh_hp,'2025'!Maxi_hp)</f>
        <v>18.053067103991125</v>
      </c>
      <c r="J366" s="85">
        <f>IF(H366,An,'2025'!An_max)</f>
        <v>2021</v>
      </c>
      <c r="K366" s="199">
        <f t="shared" si="129"/>
        <v>46374</v>
      </c>
      <c r="L366" s="147">
        <f>IF(t&lt;Tvie,1-EXP((T0-t)*PertePVj)+'2025'!Pspv,1-EXP((T0-t)*PertePVj)+Pspv)</f>
        <v>6.8756762169684071E-2</v>
      </c>
      <c r="M366" s="872"/>
      <c r="N366" s="872"/>
      <c r="O366" s="48">
        <f>IF(t&lt;Tnet,'2025'!Resal+('2025'!Salim-'2025'!Resal)*(1-EXP(('2025'!Tnet-t)/('2025'!Tau_j))),Resal+(Salim-Resal)*(1-EXP((Tnet-t)/(Tau_j))))*Salcycl</f>
        <v>6.6597231345509697E-2</v>
      </c>
      <c r="P366" s="171">
        <f>(INDEX(Models!$BJ366:$BT366,,T366)*(1-R366)+INDEX(Models!$BJ366:$BT366,,T366+1)*R366-ERP_i)*Q366*Ramure*Pc/MaxiM</f>
        <v>2.9511131488503806E-2</v>
      </c>
      <c r="Q366" s="307">
        <f t="shared" si="130"/>
        <v>0.9</v>
      </c>
      <c r="R366" s="179">
        <f t="shared" si="131"/>
        <v>0.56475099234045145</v>
      </c>
      <c r="S366" s="839">
        <f t="shared" si="132"/>
        <v>-2</v>
      </c>
      <c r="T366" s="178">
        <f t="shared" si="133"/>
        <v>4</v>
      </c>
      <c r="U366" s="253">
        <f t="shared" si="134"/>
        <v>-1.4352490076595485</v>
      </c>
      <c r="V366" s="385">
        <f t="shared" si="135"/>
        <v>15.203512427879975</v>
      </c>
      <c r="W366" s="404">
        <f t="shared" si="136"/>
        <v>12.89534671568831</v>
      </c>
      <c r="X366" s="157">
        <f t="shared" si="137"/>
        <v>46374</v>
      </c>
      <c r="Y366" s="387">
        <f t="shared" si="138"/>
        <v>9.4102248520509342</v>
      </c>
      <c r="Z366" s="387">
        <f t="shared" si="139"/>
        <v>10.105012814885635</v>
      </c>
      <c r="AA366" s="388">
        <f t="shared" si="140"/>
        <v>11.90700027197169</v>
      </c>
      <c r="AB366" s="199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0.15133849130144197</v>
      </c>
      <c r="AD366" s="233">
        <f>(INDEX(Models!$BJ366:$BT366,,AH366)*(1-AF366)+INDEX(Models!$BJ366:$BT366,,AH366+1)*AF366-ERP_i)*AE366*Ramure*Pc/MaxiM</f>
        <v>0.27574963134221525</v>
      </c>
      <c r="AE366" s="307">
        <f t="shared" si="142"/>
        <v>0.9</v>
      </c>
      <c r="AF366" s="179">
        <f t="shared" si="143"/>
        <v>0.20040664464743063</v>
      </c>
      <c r="AG366" s="839">
        <f t="shared" si="149"/>
        <v>3</v>
      </c>
      <c r="AH366" s="178">
        <f t="shared" si="144"/>
        <v>9</v>
      </c>
      <c r="AI366" s="227">
        <f t="shared" si="145"/>
        <v>3.2004066446474306</v>
      </c>
      <c r="AJ366" s="267" t="b">
        <f t="shared" si="146"/>
        <v>0</v>
      </c>
      <c r="AK366" s="267" t="b">
        <f t="shared" si="147"/>
        <v>0</v>
      </c>
      <c r="AL366" s="267"/>
      <c r="AM366" s="267"/>
      <c r="AN366" s="75"/>
    </row>
    <row r="367" spans="1:40" s="6" customFormat="1" ht="11.25" x14ac:dyDescent="0.2">
      <c r="A367" s="56">
        <f t="shared" si="148"/>
        <v>46375</v>
      </c>
      <c r="B367" s="413">
        <f>'2025'!Wh/'2025'!Env_an*'2026'!Env_an</f>
        <v>12.646040696306239</v>
      </c>
      <c r="C367" s="868"/>
      <c r="D367" s="395">
        <f t="shared" si="127"/>
        <v>13.580055651691076</v>
      </c>
      <c r="E367" s="387">
        <f t="shared" si="150"/>
        <v>14.551440479476076</v>
      </c>
      <c r="F367" s="387">
        <f t="shared" si="128"/>
        <v>14.886179114909488</v>
      </c>
      <c r="G367" s="110">
        <f t="shared" si="151"/>
        <v>0.82634521924200344</v>
      </c>
      <c r="H367" s="416" t="b">
        <f>Wh_hp&gt;='2025'!Maxi_hp</f>
        <v>0</v>
      </c>
      <c r="I367" s="392">
        <f>IF(H367,Wh_hp,'2025'!Maxi_hp)</f>
        <v>17.589332525794376</v>
      </c>
      <c r="J367" s="85">
        <f>IF(H367,An,'2025'!An_max)</f>
        <v>2021</v>
      </c>
      <c r="K367" s="199">
        <f t="shared" si="129"/>
        <v>46375</v>
      </c>
      <c r="L367" s="147">
        <f>IF(t&lt;Tvie,1-EXP((T0-t)*PertePVj)+'2025'!Pspv,1-EXP((T0-t)*PertePVj)+Pspv)</f>
        <v>6.8778433560287233E-2</v>
      </c>
      <c r="M367" s="872"/>
      <c r="N367" s="872"/>
      <c r="O367" s="48">
        <f>IF(t&lt;Tnet,'2025'!Resal+('2025'!Salim-'2025'!Resal)*(1-EXP(('2025'!Tnet-t)/('2025'!Tau_j))),Resal+(Salim-Resal)*(1-EXP((Tnet-t)/(Tau_j))))*Salcycl</f>
        <v>6.6755234930526638E-2</v>
      </c>
      <c r="P367" s="171">
        <f>(INDEX(Models!$BJ367:$BT367,,T367)*(1-R367)+INDEX(Models!$BJ367:$BT367,,T367+1)*R367-ERP_i)*Q367*Ramure*Pc/MaxiM</f>
        <v>2.9566754671749202E-2</v>
      </c>
      <c r="Q367" s="307">
        <f t="shared" si="130"/>
        <v>0.9</v>
      </c>
      <c r="R367" s="179">
        <f t="shared" si="131"/>
        <v>0.56476199518400416</v>
      </c>
      <c r="S367" s="839">
        <f t="shared" si="132"/>
        <v>-2</v>
      </c>
      <c r="T367" s="178">
        <f t="shared" si="133"/>
        <v>4</v>
      </c>
      <c r="U367" s="253">
        <f t="shared" si="134"/>
        <v>-1.4352380048159958</v>
      </c>
      <c r="V367" s="385">
        <f t="shared" si="135"/>
        <v>15.192735448419638</v>
      </c>
      <c r="W367" s="404">
        <f t="shared" si="136"/>
        <v>12.646040696306239</v>
      </c>
      <c r="X367" s="157">
        <f t="shared" si="137"/>
        <v>46375</v>
      </c>
      <c r="Y367" s="387">
        <f t="shared" si="138"/>
        <v>9.2947462499234277</v>
      </c>
      <c r="Z367" s="387">
        <f t="shared" si="139"/>
        <v>9.9812403244262367</v>
      </c>
      <c r="AA367" s="388">
        <f t="shared" si="140"/>
        <v>11.761874032203513</v>
      </c>
      <c r="AB367" s="199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0.15139030590720293</v>
      </c>
      <c r="AD367" s="233">
        <f>(INDEX(Models!$BJ367:$BT367,,AH367)*(1-AF367)+INDEX(Models!$BJ367:$BT367,,AH367+1)*AF367-ERP_i)*AE367*Ramure*Pc/MaxiM</f>
        <v>0.2759632504938106</v>
      </c>
      <c r="AE367" s="307">
        <f t="shared" si="142"/>
        <v>0.9</v>
      </c>
      <c r="AF367" s="179">
        <f t="shared" si="143"/>
        <v>0.20041764749098334</v>
      </c>
      <c r="AG367" s="839">
        <f t="shared" si="149"/>
        <v>3</v>
      </c>
      <c r="AH367" s="178">
        <f t="shared" si="144"/>
        <v>9</v>
      </c>
      <c r="AI367" s="227">
        <f t="shared" si="145"/>
        <v>3.2004176474909833</v>
      </c>
      <c r="AJ367" s="267" t="b">
        <f t="shared" si="146"/>
        <v>0</v>
      </c>
      <c r="AK367" s="267" t="b">
        <f t="shared" si="147"/>
        <v>0</v>
      </c>
      <c r="AL367" s="267"/>
      <c r="AM367" s="267"/>
      <c r="AN367" s="75"/>
    </row>
    <row r="368" spans="1:40" s="6" customFormat="1" ht="11.25" x14ac:dyDescent="0.2">
      <c r="A368" s="56">
        <f t="shared" si="148"/>
        <v>46376</v>
      </c>
      <c r="B368" s="413">
        <f>'2025'!Wh/'2025'!Env_an*'2026'!Env_an</f>
        <v>4.0190159601213047</v>
      </c>
      <c r="C368" s="868"/>
      <c r="D368" s="395">
        <f t="shared" si="127"/>
        <v>4.3159540495144775</v>
      </c>
      <c r="E368" s="387">
        <f t="shared" si="150"/>
        <v>4.625461267813014</v>
      </c>
      <c r="F368" s="387">
        <f t="shared" si="128"/>
        <v>4.625461267813014</v>
      </c>
      <c r="G368" s="110">
        <f t="shared" si="151"/>
        <v>0.25673970072258445</v>
      </c>
      <c r="H368" s="416" t="b">
        <f>Wh_hp&gt;='2025'!Maxi_hp</f>
        <v>0</v>
      </c>
      <c r="I368" s="392">
        <f>IF(H368,Wh_hp,'2025'!Maxi_hp)</f>
        <v>18.435000096108368</v>
      </c>
      <c r="J368" s="85">
        <f>IF(H368,An,'2025'!An_max)</f>
        <v>2021</v>
      </c>
      <c r="K368" s="199">
        <f t="shared" si="129"/>
        <v>46376</v>
      </c>
      <c r="L368" s="147">
        <f>IF(t&lt;Tvie,1-EXP((T0-t)*PertePVj)+'2025'!Pspv,1-EXP((T0-t)*PertePVj)+Pspv)</f>
        <v>6.8800104446565369E-2</v>
      </c>
      <c r="M368" s="872"/>
      <c r="N368" s="872"/>
      <c r="O368" s="48">
        <f>IF(t&lt;Tnet,'2025'!Resal+('2025'!Salim-'2025'!Resal)*(1-EXP(('2025'!Tnet-t)/('2025'!Tau_j))),Resal+(Salim-Resal)*(1-EXP((Tnet-t)/(Tau_j))))*Salcycl</f>
        <v>6.6913806078604546E-2</v>
      </c>
      <c r="P368" s="171">
        <f>(INDEX(Models!$BJ368:$BT368,,T368)*(1-R368)+INDEX(Models!$BJ368:$BT368,,T368+1)*R368-ERP_i)*Q368*Ramure*Pc/MaxiM</f>
        <v>2.9594481634386983E-2</v>
      </c>
      <c r="Q368" s="307">
        <f t="shared" si="130"/>
        <v>0.9</v>
      </c>
      <c r="R368" s="179">
        <f t="shared" si="131"/>
        <v>0.5647725553459777</v>
      </c>
      <c r="S368" s="839">
        <f t="shared" si="132"/>
        <v>-2</v>
      </c>
      <c r="T368" s="178">
        <f t="shared" si="133"/>
        <v>4</v>
      </c>
      <c r="U368" s="253">
        <f t="shared" si="134"/>
        <v>-1.4352274446540223</v>
      </c>
      <c r="V368" s="385">
        <f t="shared" si="135"/>
        <v>15.190775930347231</v>
      </c>
      <c r="W368" s="404">
        <f t="shared" si="136"/>
        <v>4.0190159601213047</v>
      </c>
      <c r="X368" s="157">
        <f t="shared" si="137"/>
        <v>46376</v>
      </c>
      <c r="Y368" s="387">
        <f t="shared" si="138"/>
        <v>3.654925757832252</v>
      </c>
      <c r="Z368" s="387">
        <f t="shared" si="139"/>
        <v>3.9249636681499425</v>
      </c>
      <c r="AA368" s="388">
        <f t="shared" si="140"/>
        <v>4.625461267813014</v>
      </c>
      <c r="AB368" s="199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0.15144383643153436</v>
      </c>
      <c r="AD368" s="233">
        <f>(INDEX(Models!$BJ368:$BT368,,AH368)*(1-AF368)+INDEX(Models!$BJ368:$BT368,,AH368+1)*AF368-ERP_i)*AE368*Ramure*Pc/MaxiM</f>
        <v>0.2760173670622354</v>
      </c>
      <c r="AE368" s="307">
        <f t="shared" si="142"/>
        <v>0.9</v>
      </c>
      <c r="AF368" s="179">
        <f t="shared" si="143"/>
        <v>0.20042820765295666</v>
      </c>
      <c r="AG368" s="839">
        <f t="shared" si="149"/>
        <v>3</v>
      </c>
      <c r="AH368" s="178">
        <f t="shared" si="144"/>
        <v>9</v>
      </c>
      <c r="AI368" s="227">
        <f t="shared" si="145"/>
        <v>3.2004282076529567</v>
      </c>
      <c r="AJ368" s="267" t="b">
        <f t="shared" si="146"/>
        <v>0</v>
      </c>
      <c r="AK368" s="267" t="b">
        <f t="shared" si="147"/>
        <v>0</v>
      </c>
      <c r="AL368" s="267"/>
      <c r="AM368" s="267"/>
      <c r="AN368" s="75"/>
    </row>
    <row r="369" spans="1:40" s="18" customFormat="1" ht="11.25" x14ac:dyDescent="0.2">
      <c r="A369" s="56">
        <f t="shared" si="148"/>
        <v>46377</v>
      </c>
      <c r="B369" s="413">
        <f>'2025'!Wh/'2025'!Env_an*'2026'!Env_an</f>
        <v>14.651444864613765</v>
      </c>
      <c r="C369" s="868"/>
      <c r="D369" s="395">
        <f t="shared" si="127"/>
        <v>15.734307857033288</v>
      </c>
      <c r="E369" s="387">
        <f t="shared" si="150"/>
        <v>16.865527604929898</v>
      </c>
      <c r="F369" s="387">
        <f t="shared" si="128"/>
        <v>17.352694778949743</v>
      </c>
      <c r="G369" s="110">
        <f t="shared" si="151"/>
        <v>0.96254697440393544</v>
      </c>
      <c r="H369" s="416" t="b">
        <f>Wh_hp&gt;='2025'!Maxi_hp</f>
        <v>0</v>
      </c>
      <c r="I369" s="392">
        <f>IF(H369,Wh_hp,'2025'!Maxi_hp)</f>
        <v>17.371680030442185</v>
      </c>
      <c r="J369" s="85">
        <f>IF(H369,An,'2025'!An_max)</f>
        <v>2025</v>
      </c>
      <c r="K369" s="199">
        <f t="shared" si="129"/>
        <v>46377</v>
      </c>
      <c r="L369" s="147">
        <f>IF(t&lt;Tvie,1-EXP((T0-t)*PertePVj)+'2025'!Pspv,1-EXP((T0-t)*PertePVj)+Pspv)</f>
        <v>6.8821774828530469E-2</v>
      </c>
      <c r="M369" s="872"/>
      <c r="N369" s="872"/>
      <c r="O369" s="48">
        <f>IF(t&lt;Tnet,'2025'!Resal+('2025'!Salim-'2025'!Resal)*(1-EXP(('2025'!Tnet-t)/('2025'!Tau_j))),Resal+(Salim-Resal)*(1-EXP((Tnet-t)/(Tau_j))))*Salcycl</f>
        <v>6.7072894153987137E-2</v>
      </c>
      <c r="P369" s="171">
        <f>(INDEX(Models!$BJ369:$BT369,,T369)*(1-R369)+INDEX(Models!$BJ369:$BT369,,T369+1)*R369-ERP_i)*Q369*Ramure*Pc/MaxiM</f>
        <v>2.9594124843553966E-2</v>
      </c>
      <c r="Q369" s="307">
        <f t="shared" si="130"/>
        <v>0.9</v>
      </c>
      <c r="R369" s="179">
        <f t="shared" si="131"/>
        <v>0.56478269062439956</v>
      </c>
      <c r="S369" s="839">
        <f t="shared" si="132"/>
        <v>-2</v>
      </c>
      <c r="T369" s="178">
        <f t="shared" si="133"/>
        <v>4</v>
      </c>
      <c r="U369" s="253">
        <f t="shared" si="134"/>
        <v>-1.4352173093756004</v>
      </c>
      <c r="V369" s="385">
        <f t="shared" si="135"/>
        <v>15.197737370451748</v>
      </c>
      <c r="W369" s="404">
        <f t="shared" si="136"/>
        <v>14.651444864613765</v>
      </c>
      <c r="X369" s="157">
        <f t="shared" si="137"/>
        <v>46377</v>
      </c>
      <c r="Y369" s="387">
        <f t="shared" si="138"/>
        <v>10.121854487011694</v>
      </c>
      <c r="Z369" s="387">
        <f t="shared" si="139"/>
        <v>10.869943275518315</v>
      </c>
      <c r="AA369" s="388">
        <f t="shared" si="140"/>
        <v>12.810760063425265</v>
      </c>
      <c r="AB369" s="199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0.15149895699381519</v>
      </c>
      <c r="AD369" s="233">
        <f>(INDEX(Models!$BJ369:$BT369,,AH369)*(1-AF369)+INDEX(Models!$BJ369:$BT369,,AH369+1)*AF369-ERP_i)*AE369*Ramure*Pc/MaxiM</f>
        <v>0.27591059121119715</v>
      </c>
      <c r="AE369" s="307">
        <f t="shared" si="142"/>
        <v>0.9</v>
      </c>
      <c r="AF369" s="179">
        <f t="shared" si="143"/>
        <v>0.20043834293137852</v>
      </c>
      <c r="AG369" s="839">
        <f t="shared" si="149"/>
        <v>3</v>
      </c>
      <c r="AH369" s="178">
        <f t="shared" si="144"/>
        <v>9</v>
      </c>
      <c r="AI369" s="227">
        <f t="shared" si="145"/>
        <v>3.2004383429313785</v>
      </c>
      <c r="AJ369" s="267" t="b">
        <f t="shared" si="146"/>
        <v>0</v>
      </c>
      <c r="AK369" s="267" t="b">
        <f t="shared" si="147"/>
        <v>0</v>
      </c>
      <c r="AL369" s="267"/>
      <c r="AM369" s="267"/>
      <c r="AN369" s="267"/>
    </row>
    <row r="370" spans="1:40" s="18" customFormat="1" ht="11.25" x14ac:dyDescent="0.2">
      <c r="A370" s="56">
        <f t="shared" si="148"/>
        <v>46378</v>
      </c>
      <c r="B370" s="413">
        <f>'2025'!Wh/'2025'!Env_an*'2026'!Env_an</f>
        <v>12.995316578507909</v>
      </c>
      <c r="C370" s="868"/>
      <c r="D370" s="395">
        <f t="shared" si="127"/>
        <v>13.956102767710766</v>
      </c>
      <c r="E370" s="387">
        <f t="shared" si="150"/>
        <v>14.962037174087344</v>
      </c>
      <c r="F370" s="387">
        <f t="shared" si="128"/>
        <v>15.320644699255691</v>
      </c>
      <c r="G370" s="110">
        <f t="shared" si="151"/>
        <v>0.84879703566657139</v>
      </c>
      <c r="H370" s="416" t="b">
        <f>Wh_hp&gt;='2025'!Maxi_hp</f>
        <v>0</v>
      </c>
      <c r="I370" s="392">
        <f>IF(H370,Wh_hp,'2025'!Maxi_hp)</f>
        <v>17.399805301490186</v>
      </c>
      <c r="J370" s="85">
        <f>IF(H370,An,'2025'!An_max)</f>
        <v>2021</v>
      </c>
      <c r="K370" s="199">
        <f t="shared" si="129"/>
        <v>46378</v>
      </c>
      <c r="L370" s="147">
        <f>IF(t&lt;Tvie,1-EXP((T0-t)*PertePVj)+'2025'!Pspv,1-EXP((T0-t)*PertePVj)+Pspv)</f>
        <v>6.8843444706193968E-2</v>
      </c>
      <c r="M370" s="872"/>
      <c r="N370" s="872"/>
      <c r="O370" s="48">
        <f>IF(t&lt;Tnet,'2025'!Resal+('2025'!Salim-'2025'!Resal)*(1-EXP(('2025'!Tnet-t)/('2025'!Tau_j))),Resal+(Salim-Resal)*(1-EXP((Tnet-t)/(Tau_j))))*Salcycl</f>
        <v>6.7232449343111456E-2</v>
      </c>
      <c r="P370" s="171">
        <f>(INDEX(Models!$BJ370:$BT370,,T370)*(1-R370)+INDEX(Models!$BJ370:$BT370,,T370+1)*R370-ERP_i)*Q370*Ramure*Pc/MaxiM</f>
        <v>2.9565588934187783E-2</v>
      </c>
      <c r="Q370" s="307">
        <f t="shared" si="130"/>
        <v>0.9</v>
      </c>
      <c r="R370" s="179">
        <f t="shared" si="131"/>
        <v>0.56479241810271574</v>
      </c>
      <c r="S370" s="839">
        <f t="shared" si="132"/>
        <v>-2</v>
      </c>
      <c r="T370" s="178">
        <f t="shared" si="133"/>
        <v>4</v>
      </c>
      <c r="U370" s="253">
        <f t="shared" si="134"/>
        <v>-1.4352075818972843</v>
      </c>
      <c r="V370" s="385">
        <f t="shared" si="135"/>
        <v>15.213723156189669</v>
      </c>
      <c r="W370" s="404">
        <f t="shared" si="136"/>
        <v>12.995316578507909</v>
      </c>
      <c r="X370" s="157">
        <f t="shared" si="137"/>
        <v>46378</v>
      </c>
      <c r="Y370" s="387">
        <f t="shared" si="138"/>
        <v>9.462498541792657</v>
      </c>
      <c r="Z370" s="387">
        <f t="shared" si="139"/>
        <v>10.162091957573098</v>
      </c>
      <c r="AA370" s="388">
        <f t="shared" si="140"/>
        <v>11.977321430006143</v>
      </c>
      <c r="AB370" s="199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0.15155554462164186</v>
      </c>
      <c r="AD370" s="233">
        <f>(INDEX(Models!$BJ370:$BT370,,AH370)*(1-AF370)+INDEX(Models!$BJ370:$BT370,,AH370+1)*AF370-ERP_i)*AE370*Ramure*Pc/MaxiM</f>
        <v>0.27564207250345174</v>
      </c>
      <c r="AE370" s="307">
        <f t="shared" si="142"/>
        <v>0.9</v>
      </c>
      <c r="AF370" s="179">
        <f t="shared" si="143"/>
        <v>0.2004480704096947</v>
      </c>
      <c r="AG370" s="839">
        <f t="shared" si="149"/>
        <v>3</v>
      </c>
      <c r="AH370" s="178">
        <f t="shared" si="144"/>
        <v>9</v>
      </c>
      <c r="AI370" s="227">
        <f t="shared" si="145"/>
        <v>3.2004480704096947</v>
      </c>
      <c r="AJ370" s="267" t="b">
        <f t="shared" si="146"/>
        <v>0</v>
      </c>
      <c r="AK370" s="267" t="b">
        <f t="shared" si="147"/>
        <v>0</v>
      </c>
      <c r="AL370" s="267"/>
      <c r="AM370" s="267"/>
      <c r="AN370" s="267"/>
    </row>
    <row r="371" spans="1:40" s="6" customFormat="1" ht="11.25" x14ac:dyDescent="0.2">
      <c r="A371" s="56">
        <f t="shared" si="148"/>
        <v>46379</v>
      </c>
      <c r="B371" s="413">
        <f>'2025'!Wh/'2025'!Env_an*'2026'!Env_an</f>
        <v>13.615151405785594</v>
      </c>
      <c r="C371" s="868"/>
      <c r="D371" s="395">
        <f t="shared" si="127"/>
        <v>14.622104285489142</v>
      </c>
      <c r="E371" s="387">
        <f t="shared" si="150"/>
        <v>15.678732025445678</v>
      </c>
      <c r="F371" s="387">
        <f t="shared" si="128"/>
        <v>16.081030884026053</v>
      </c>
      <c r="G371" s="110">
        <f t="shared" si="151"/>
        <v>0.8893345832568037</v>
      </c>
      <c r="H371" s="416" t="b">
        <f>Wh_hp&gt;='2025'!Maxi_hp</f>
        <v>0</v>
      </c>
      <c r="I371" s="392">
        <f>IF(H371,Wh_hp,'2025'!Maxi_hp)</f>
        <v>16.132955185432667</v>
      </c>
      <c r="J371" s="85">
        <f>IF(H371,An,'2025'!An_max)</f>
        <v>2025</v>
      </c>
      <c r="K371" s="199">
        <f t="shared" si="129"/>
        <v>46379</v>
      </c>
      <c r="L371" s="147">
        <f>IF(t&lt;Tvie,1-EXP((T0-t)*PertePVj)+'2025'!Pspv,1-EXP((T0-t)*PertePVj)+Pspv)</f>
        <v>6.8865114079567857E-2</v>
      </c>
      <c r="M371" s="872"/>
      <c r="N371" s="872"/>
      <c r="O371" s="48">
        <f>IF(t&lt;Tnet,'2025'!Resal+('2025'!Salim-'2025'!Resal)*(1-EXP(('2025'!Tnet-t)/('2025'!Tau_j))),Resal+(Salim-Resal)*(1-EXP((Tnet-t)/(Tau_j))))*Salcycl</f>
        <v>6.7392422948596237E-2</v>
      </c>
      <c r="P371" s="171">
        <f>(INDEX(Models!$BJ371:$BT371,,T371)*(1-R371)+INDEX(Models!$BJ371:$BT371,,T371+1)*R371-ERP_i)*Q371*Ramure*Pc/MaxiM</f>
        <v>2.9508585796511652E-2</v>
      </c>
      <c r="Q371" s="307">
        <f t="shared" si="130"/>
        <v>0.9</v>
      </c>
      <c r="R371" s="179">
        <f t="shared" si="131"/>
        <v>0.56479241810271574</v>
      </c>
      <c r="S371" s="839">
        <f t="shared" si="132"/>
        <v>-2</v>
      </c>
      <c r="T371" s="178">
        <f t="shared" si="133"/>
        <v>4</v>
      </c>
      <c r="U371" s="253">
        <f t="shared" si="134"/>
        <v>-1.4352075818972843</v>
      </c>
      <c r="V371" s="385">
        <f t="shared" si="135"/>
        <v>15.238841099292776</v>
      </c>
      <c r="W371" s="404">
        <f t="shared" si="136"/>
        <v>13.615151405785594</v>
      </c>
      <c r="X371" s="157">
        <f t="shared" si="137"/>
        <v>46379</v>
      </c>
      <c r="Y371" s="387">
        <f t="shared" si="138"/>
        <v>9.7394442351738597</v>
      </c>
      <c r="Z371" s="387">
        <f t="shared" si="139"/>
        <v>10.459756564212888</v>
      </c>
      <c r="AA371" s="388">
        <f t="shared" si="140"/>
        <v>12.328999007086917</v>
      </c>
      <c r="AB371" s="199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0.1516134798777708</v>
      </c>
      <c r="AD371" s="233">
        <f>(INDEX(Models!$BJ371:$BT371,,AH371)*(1-AF371)+INDEX(Models!$BJ371:$BT371,,AH371+1)*AF371-ERP_i)*AE371*Ramure*Pc/MaxiM</f>
        <v>0.27521120726666171</v>
      </c>
      <c r="AE371" s="307">
        <f t="shared" si="142"/>
        <v>0.9</v>
      </c>
      <c r="AF371" s="179">
        <f t="shared" si="143"/>
        <v>0.2004480704096947</v>
      </c>
      <c r="AG371" s="839">
        <f t="shared" si="149"/>
        <v>3</v>
      </c>
      <c r="AH371" s="178">
        <f t="shared" si="144"/>
        <v>9</v>
      </c>
      <c r="AI371" s="227">
        <f t="shared" si="145"/>
        <v>3.2004480704096947</v>
      </c>
      <c r="AJ371" s="267" t="b">
        <f t="shared" si="146"/>
        <v>0</v>
      </c>
      <c r="AK371" s="267" t="b">
        <f t="shared" si="147"/>
        <v>0</v>
      </c>
      <c r="AL371" s="267"/>
      <c r="AM371" s="267"/>
      <c r="AN371" s="75"/>
    </row>
    <row r="372" spans="1:40" s="6" customFormat="1" ht="11.25" x14ac:dyDescent="0.2">
      <c r="A372" s="56">
        <f t="shared" si="148"/>
        <v>46380</v>
      </c>
      <c r="B372" s="413">
        <f>'2025'!Wh/'2025'!Env_an*'2026'!Env_an</f>
        <v>15.501015119776183</v>
      </c>
      <c r="C372" s="868"/>
      <c r="D372" s="395">
        <f t="shared" si="127"/>
        <v>16.647830613837744</v>
      </c>
      <c r="E372" s="387">
        <f t="shared" si="150"/>
        <v>17.853911767340378</v>
      </c>
      <c r="F372" s="387">
        <f t="shared" si="128"/>
        <v>18.395161157636583</v>
      </c>
      <c r="G372" s="110">
        <f t="shared" si="151"/>
        <v>1.014916642032514</v>
      </c>
      <c r="H372" s="416" t="b">
        <f>Wh_hp&gt;='2025'!Maxi_hp</f>
        <v>1</v>
      </c>
      <c r="I372" s="392">
        <f>IF(H372,Wh_hp,'2025'!Maxi_hp)</f>
        <v>18.395161157636583</v>
      </c>
      <c r="J372" s="85">
        <f>IF(H372,An,'2025'!An_max)</f>
        <v>2026</v>
      </c>
      <c r="K372" s="199">
        <f t="shared" si="129"/>
        <v>46380</v>
      </c>
      <c r="L372" s="147">
        <f>IF(t&lt;Tvie,1-EXP((T0-t)*PertePVj)+'2025'!Pspv,1-EXP((T0-t)*PertePVj)+Pspv)</f>
        <v>6.8886782948663794E-2</v>
      </c>
      <c r="M372" s="872"/>
      <c r="N372" s="872"/>
      <c r="O372" s="48">
        <f>IF(t&lt;Tnet,'2025'!Resal+('2025'!Salim-'2025'!Resal)*(1-EXP(('2025'!Tnet-t)/('2025'!Tau_j))),Resal+(Salim-Resal)*(1-EXP((Tnet-t)/(Tau_j))))*Salcycl</f>
        <v>6.7552767663436097E-2</v>
      </c>
      <c r="P372" s="171">
        <f>(INDEX(Models!$BJ372:$BT372,,T372)*(1-R372)+INDEX(Models!$BJ372:$BT372,,T372+1)*R372-ERP_i)*Q372*Ramure*Pc/MaxiM</f>
        <v>2.9423465533027413E-2</v>
      </c>
      <c r="Q372" s="307">
        <f t="shared" si="130"/>
        <v>0.9</v>
      </c>
      <c r="R372" s="179">
        <f t="shared" si="131"/>
        <v>0.56479241810271574</v>
      </c>
      <c r="S372" s="839">
        <f t="shared" si="132"/>
        <v>-2</v>
      </c>
      <c r="T372" s="178">
        <f t="shared" si="133"/>
        <v>4</v>
      </c>
      <c r="U372" s="253">
        <f t="shared" si="134"/>
        <v>-1.4352075818972843</v>
      </c>
      <c r="V372" s="385">
        <f t="shared" si="135"/>
        <v>15.273190405798459</v>
      </c>
      <c r="W372" s="404">
        <f t="shared" si="136"/>
        <v>15.501015119776183</v>
      </c>
      <c r="X372" s="157">
        <f t="shared" si="137"/>
        <v>46380</v>
      </c>
      <c r="Y372" s="387">
        <f t="shared" si="138"/>
        <v>10.539893805591015</v>
      </c>
      <c r="Z372" s="387">
        <f t="shared" si="139"/>
        <v>11.319669415679561</v>
      </c>
      <c r="AA372" s="388">
        <f t="shared" si="140"/>
        <v>13.343515780150584</v>
      </c>
      <c r="AB372" s="199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0.15167264743536604</v>
      </c>
      <c r="AD372" s="233">
        <f>(INDEX(Models!$BJ372:$BT372,,AH372)*(1-AF372)+INDEX(Models!$BJ372:$BT372,,AH372+1)*AF372-ERP_i)*AE372*Ramure*Pc/MaxiM</f>
        <v>0.27461816366794117</v>
      </c>
      <c r="AE372" s="307">
        <f t="shared" si="142"/>
        <v>0.9</v>
      </c>
      <c r="AF372" s="179">
        <f t="shared" si="143"/>
        <v>0.2004480704096947</v>
      </c>
      <c r="AG372" s="839">
        <f t="shared" si="149"/>
        <v>3</v>
      </c>
      <c r="AH372" s="178">
        <f t="shared" si="144"/>
        <v>9</v>
      </c>
      <c r="AI372" s="227">
        <f t="shared" si="145"/>
        <v>3.2004480704096947</v>
      </c>
      <c r="AJ372" s="267" t="b">
        <f t="shared" si="146"/>
        <v>0</v>
      </c>
      <c r="AK372" s="267" t="b">
        <f t="shared" si="147"/>
        <v>0</v>
      </c>
      <c r="AL372" s="267"/>
      <c r="AM372" s="267"/>
      <c r="AN372" s="75"/>
    </row>
    <row r="373" spans="1:40" s="6" customFormat="1" ht="11.25" x14ac:dyDescent="0.2">
      <c r="A373" s="56">
        <f t="shared" si="148"/>
        <v>46381</v>
      </c>
      <c r="B373" s="413">
        <f>'2025'!Wh/'2025'!Env_an*'2026'!Env_an</f>
        <v>8.7613617072801606</v>
      </c>
      <c r="C373" s="868"/>
      <c r="D373" s="395">
        <f t="shared" si="127"/>
        <v>9.4097747097370164</v>
      </c>
      <c r="E373" s="387">
        <f t="shared" si="150"/>
        <v>10.093221431584324</v>
      </c>
      <c r="F373" s="387">
        <f t="shared" si="128"/>
        <v>10.209495756233775</v>
      </c>
      <c r="G373" s="110">
        <f t="shared" si="151"/>
        <v>0.56162854578395438</v>
      </c>
      <c r="H373" s="416" t="b">
        <f>Wh_hp&gt;='2025'!Maxi_hp</f>
        <v>0</v>
      </c>
      <c r="I373" s="392">
        <f>IF(H373,Wh_hp,'2025'!Maxi_hp)</f>
        <v>13.899256266993024</v>
      </c>
      <c r="J373" s="85">
        <f>IF(H373,An,'2025'!An_max)</f>
        <v>2018</v>
      </c>
      <c r="K373" s="199">
        <f t="shared" si="129"/>
        <v>46381</v>
      </c>
      <c r="L373" s="147">
        <f>IF(t&lt;Tvie,1-EXP((T0-t)*PertePVj)+'2025'!Pspv,1-EXP((T0-t)*PertePVj)+Pspv)</f>
        <v>6.8908451313493435E-2</v>
      </c>
      <c r="M373" s="872"/>
      <c r="N373" s="872"/>
      <c r="O373" s="48">
        <f>IF(t&lt;Tnet,'2025'!Resal+('2025'!Salim-'2025'!Resal)*(1-EXP(('2025'!Tnet-t)/('2025'!Tau_j))),Resal+(Salim-Resal)*(1-EXP((Tnet-t)/(Tau_j))))*Salcycl</f>
        <v>6.7713437823589656E-2</v>
      </c>
      <c r="P373" s="171">
        <f>(INDEX(Models!$BJ373:$BT373,,T373)*(1-R373)+INDEX(Models!$BJ373:$BT373,,T373+1)*R373-ERP_i)*Q373*Ramure*Pc/MaxiM</f>
        <v>2.9309800195205973E-2</v>
      </c>
      <c r="Q373" s="307">
        <f t="shared" si="130"/>
        <v>0.9</v>
      </c>
      <c r="R373" s="179">
        <f t="shared" si="131"/>
        <v>0.56479241810271574</v>
      </c>
      <c r="S373" s="839">
        <f t="shared" si="132"/>
        <v>-2</v>
      </c>
      <c r="T373" s="178">
        <f t="shared" si="133"/>
        <v>4</v>
      </c>
      <c r="U373" s="253">
        <f t="shared" si="134"/>
        <v>-1.4352075818972843</v>
      </c>
      <c r="V373" s="385">
        <f t="shared" si="135"/>
        <v>15.317136178623393</v>
      </c>
      <c r="W373" s="404">
        <f t="shared" si="136"/>
        <v>8.7613617072801606</v>
      </c>
      <c r="X373" s="157">
        <f t="shared" si="137"/>
        <v>46381</v>
      </c>
      <c r="Y373" s="387">
        <f t="shared" si="138"/>
        <v>7.2055383180210804</v>
      </c>
      <c r="Z373" s="387">
        <f t="shared" si="139"/>
        <v>7.7388075621413952</v>
      </c>
      <c r="AA373" s="388">
        <f t="shared" si="140"/>
        <v>9.1230791528166382</v>
      </c>
      <c r="AB373" s="199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0.15173293659826095</v>
      </c>
      <c r="AD373" s="233">
        <f>(INDEX(Models!$BJ373:$BT373,,AH373)*(1-AF373)+INDEX(Models!$BJ373:$BT373,,AH373+1)*AF373-ERP_i)*AE373*Ramure*Pc/MaxiM</f>
        <v>0.27385799634537594</v>
      </c>
      <c r="AE373" s="307">
        <f t="shared" si="142"/>
        <v>0.9</v>
      </c>
      <c r="AF373" s="179">
        <f t="shared" si="143"/>
        <v>0.2004480704096947</v>
      </c>
      <c r="AG373" s="839">
        <f t="shared" si="149"/>
        <v>3</v>
      </c>
      <c r="AH373" s="178">
        <f t="shared" si="144"/>
        <v>9</v>
      </c>
      <c r="AI373" s="227">
        <f t="shared" si="145"/>
        <v>3.2004480704096947</v>
      </c>
      <c r="AJ373" s="267" t="b">
        <f t="shared" si="146"/>
        <v>0</v>
      </c>
      <c r="AK373" s="267" t="b">
        <f t="shared" si="147"/>
        <v>0</v>
      </c>
      <c r="AL373" s="267"/>
      <c r="AM373" s="267"/>
      <c r="AN373" s="75"/>
    </row>
    <row r="374" spans="1:40" s="6" customFormat="1" ht="11.25" x14ac:dyDescent="0.2">
      <c r="A374" s="56">
        <f t="shared" si="148"/>
        <v>46382</v>
      </c>
      <c r="B374" s="413">
        <f>'2025'!Wh/'2025'!Env_an*'2026'!Env_an</f>
        <v>13.623204843239945</v>
      </c>
      <c r="C374" s="868"/>
      <c r="D374" s="395">
        <f t="shared" si="127"/>
        <v>14.631774825703847</v>
      </c>
      <c r="E374" s="387">
        <f t="shared" si="150"/>
        <v>15.697213619108279</v>
      </c>
      <c r="F374" s="387">
        <f t="shared" si="128"/>
        <v>16.090302154681844</v>
      </c>
      <c r="G374" s="110">
        <f t="shared" si="151"/>
        <v>0.88199907320086812</v>
      </c>
      <c r="H374" s="416" t="b">
        <f>Wh_hp&gt;='2025'!Maxi_hp</f>
        <v>0</v>
      </c>
      <c r="I374" s="392">
        <f>IF(H374,Wh_hp,'2025'!Maxi_hp)</f>
        <v>17.569018811526597</v>
      </c>
      <c r="J374" s="85">
        <f>IF(H374,An,'2025'!An_max)</f>
        <v>2018</v>
      </c>
      <c r="K374" s="199">
        <f t="shared" si="129"/>
        <v>46382</v>
      </c>
      <c r="L374" s="147">
        <f>IF(t&lt;Tvie,1-EXP((T0-t)*PertePVj)+'2025'!Pspv,1-EXP((T0-t)*PertePVj)+Pspv)</f>
        <v>6.8930119174068549E-2</v>
      </c>
      <c r="M374" s="872"/>
      <c r="N374" s="872"/>
      <c r="O374" s="48">
        <f>IF(t&lt;Tnet,'2025'!Resal+('2025'!Salim-'2025'!Resal)*(1-EXP(('2025'!Tnet-t)/('2025'!Tau_j))),Resal+(Salim-Resal)*(1-EXP((Tnet-t)/(Tau_j))))*Salcycl</f>
        <v>6.7874389637372884E-2</v>
      </c>
      <c r="P374" s="171">
        <f>(INDEX(Models!$BJ374:$BT374,,T374)*(1-R374)+INDEX(Models!$BJ374:$BT374,,T374+1)*R374-ERP_i)*Q374*Ramure*Pc/MaxiM</f>
        <v>2.9167688740044259E-2</v>
      </c>
      <c r="Q374" s="307">
        <f t="shared" si="130"/>
        <v>0.9</v>
      </c>
      <c r="R374" s="179">
        <f t="shared" si="131"/>
        <v>0.56479241810271574</v>
      </c>
      <c r="S374" s="839">
        <f t="shared" si="132"/>
        <v>-2</v>
      </c>
      <c r="T374" s="178">
        <f t="shared" si="133"/>
        <v>4</v>
      </c>
      <c r="U374" s="253">
        <f t="shared" si="134"/>
        <v>-1.4352075818972843</v>
      </c>
      <c r="V374" s="385">
        <f t="shared" si="135"/>
        <v>15.370819099208678</v>
      </c>
      <c r="W374" s="404">
        <f t="shared" si="136"/>
        <v>13.623204843239945</v>
      </c>
      <c r="X374" s="157">
        <f t="shared" si="137"/>
        <v>46382</v>
      </c>
      <c r="Y374" s="387">
        <f t="shared" si="138"/>
        <v>9.8022867939989435</v>
      </c>
      <c r="Z374" s="387">
        <f t="shared" si="139"/>
        <v>10.527981836662519</v>
      </c>
      <c r="AA374" s="388">
        <f t="shared" si="140"/>
        <v>12.412061265123917</v>
      </c>
      <c r="AB374" s="199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0.15179424176348419</v>
      </c>
      <c r="AD374" s="233">
        <f>(INDEX(Models!$BJ374:$BT374,,AH374)*(1-AF374)+INDEX(Models!$BJ374:$BT374,,AH374+1)*AF374-ERP_i)*AE374*Ramure*Pc/MaxiM</f>
        <v>0.27293033418282109</v>
      </c>
      <c r="AE374" s="307">
        <f t="shared" si="142"/>
        <v>0.9</v>
      </c>
      <c r="AF374" s="179">
        <f t="shared" si="143"/>
        <v>0.2004480704096947</v>
      </c>
      <c r="AG374" s="839">
        <f t="shared" si="149"/>
        <v>3</v>
      </c>
      <c r="AH374" s="178">
        <f t="shared" si="144"/>
        <v>9</v>
      </c>
      <c r="AI374" s="227">
        <f t="shared" si="145"/>
        <v>3.2004480704096947</v>
      </c>
      <c r="AJ374" s="267" t="b">
        <f t="shared" si="146"/>
        <v>0</v>
      </c>
      <c r="AK374" s="267" t="b">
        <f t="shared" si="147"/>
        <v>0</v>
      </c>
      <c r="AL374" s="267"/>
      <c r="AM374" s="267"/>
      <c r="AN374" s="75"/>
    </row>
    <row r="375" spans="1:40" s="6" customFormat="1" ht="11.25" x14ac:dyDescent="0.2">
      <c r="A375" s="56">
        <f t="shared" si="148"/>
        <v>46383</v>
      </c>
      <c r="B375" s="413">
        <f>'2025'!Wh/'2025'!Env_an*'2026'!Env_an</f>
        <v>6.4892143316329314</v>
      </c>
      <c r="C375" s="868"/>
      <c r="D375" s="395">
        <f t="shared" si="127"/>
        <v>6.9697940855828939</v>
      </c>
      <c r="E375" s="387">
        <f t="shared" si="150"/>
        <v>7.4786053484535397</v>
      </c>
      <c r="F375" s="387">
        <f t="shared" si="128"/>
        <v>7.5161003452038377</v>
      </c>
      <c r="G375" s="110">
        <f t="shared" si="151"/>
        <v>0.41030373703840589</v>
      </c>
      <c r="H375" s="416" t="b">
        <f>Wh_hp&gt;='2025'!Maxi_hp</f>
        <v>0</v>
      </c>
      <c r="I375" s="392">
        <f>IF(H375,Wh_hp,'2025'!Maxi_hp)</f>
        <v>17.805021501401317</v>
      </c>
      <c r="J375" s="85">
        <f>IF(H375,An,'2025'!An_max)</f>
        <v>2018</v>
      </c>
      <c r="K375" s="199">
        <f t="shared" si="129"/>
        <v>46383</v>
      </c>
      <c r="L375" s="147">
        <f>IF(t&lt;Tvie,1-EXP((T0-t)*PertePVj)+'2025'!Pspv,1-EXP((T0-t)*PertePVj)+Pspv)</f>
        <v>6.8951786530400905E-2</v>
      </c>
      <c r="M375" s="872"/>
      <c r="N375" s="872"/>
      <c r="O375" s="48">
        <f>IF(t&lt;Tnet,'2025'!Resal+('2025'!Salim-'2025'!Resal)*(1-EXP(('2025'!Tnet-t)/('2025'!Tau_j))),Resal+(Salim-Resal)*(1-EXP((Tnet-t)/(Tau_j))))*Salcycl</f>
        <v>6.8035581390300331E-2</v>
      </c>
      <c r="P375" s="171">
        <f>(INDEX(Models!$BJ375:$BT375,,T375)*(1-R375)+INDEX(Models!$BJ375:$BT375,,T375+1)*R375-ERP_i)*Q375*Ramure*Pc/MaxiM</f>
        <v>2.8992395252559991E-2</v>
      </c>
      <c r="Q375" s="307">
        <f t="shared" si="130"/>
        <v>0.9</v>
      </c>
      <c r="R375" s="179">
        <f t="shared" si="131"/>
        <v>0.56479241810271574</v>
      </c>
      <c r="S375" s="839">
        <f t="shared" si="132"/>
        <v>-2</v>
      </c>
      <c r="T375" s="178">
        <f t="shared" si="133"/>
        <v>4</v>
      </c>
      <c r="U375" s="253">
        <f t="shared" si="134"/>
        <v>-1.4352075818972843</v>
      </c>
      <c r="V375" s="385">
        <f t="shared" si="135"/>
        <v>15.434097206643328</v>
      </c>
      <c r="W375" s="404">
        <f t="shared" si="136"/>
        <v>6.4892143316329314</v>
      </c>
      <c r="X375" s="157">
        <f t="shared" si="137"/>
        <v>46383</v>
      </c>
      <c r="Y375" s="387">
        <f t="shared" si="138"/>
        <v>5.6576101137945649</v>
      </c>
      <c r="Z375" s="387">
        <f t="shared" si="139"/>
        <v>6.076602727920168</v>
      </c>
      <c r="AA375" s="388">
        <f t="shared" si="140"/>
        <v>7.1645923850955198</v>
      </c>
      <c r="AB375" s="199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0.15185646282385773</v>
      </c>
      <c r="AD375" s="233">
        <f>(INDEX(Models!$BJ375:$BT375,,AH375)*(1-AF375)+INDEX(Models!$BJ375:$BT375,,AH375+1)*AF375-ERP_i)*AE375*Ramure*Pc/MaxiM</f>
        <v>0.27179780229746425</v>
      </c>
      <c r="AE375" s="307">
        <f t="shared" si="142"/>
        <v>0.9</v>
      </c>
      <c r="AF375" s="179">
        <f t="shared" si="143"/>
        <v>0.2004480704096947</v>
      </c>
      <c r="AG375" s="839">
        <f t="shared" si="149"/>
        <v>3</v>
      </c>
      <c r="AH375" s="178">
        <f t="shared" si="144"/>
        <v>9</v>
      </c>
      <c r="AI375" s="227">
        <f t="shared" si="145"/>
        <v>3.2004480704096947</v>
      </c>
      <c r="AJ375" s="267" t="b">
        <f t="shared" si="146"/>
        <v>0</v>
      </c>
      <c r="AK375" s="267" t="b">
        <f t="shared" si="147"/>
        <v>0</v>
      </c>
      <c r="AL375" s="267"/>
      <c r="AM375" s="267"/>
      <c r="AN375" s="75"/>
    </row>
    <row r="376" spans="1:40" s="6" customFormat="1" ht="11.25" x14ac:dyDescent="0.2">
      <c r="A376" s="56">
        <f t="shared" si="148"/>
        <v>46384</v>
      </c>
      <c r="B376" s="413">
        <f>'2025'!Wh/'2025'!Env_an*'2026'!Env_an</f>
        <v>14.435573464825829</v>
      </c>
      <c r="C376" s="868"/>
      <c r="D376" s="395">
        <f t="shared" si="127"/>
        <v>15.505007367697035</v>
      </c>
      <c r="E376" s="387">
        <f t="shared" si="150"/>
        <v>16.639790737752804</v>
      </c>
      <c r="F376" s="387">
        <f t="shared" si="128"/>
        <v>17.083098530128542</v>
      </c>
      <c r="G376" s="110">
        <f t="shared" si="151"/>
        <v>0.92821320301148857</v>
      </c>
      <c r="H376" s="416" t="b">
        <f>Wh_hp&gt;='2025'!Maxi_hp</f>
        <v>0</v>
      </c>
      <c r="I376" s="392">
        <f>IF(H376,Wh_hp,'2025'!Maxi_hp)</f>
        <v>17.117646537458672</v>
      </c>
      <c r="J376" s="85">
        <f>IF(H376,An,'2025'!An_max)</f>
        <v>2025</v>
      </c>
      <c r="K376" s="199">
        <f t="shared" si="129"/>
        <v>46384</v>
      </c>
      <c r="L376" s="147">
        <f>IF(t&lt;Tvie,1-EXP((T0-t)*PertePVj)+'2025'!Pspv,1-EXP((T0-t)*PertePVj)+Pspv)</f>
        <v>6.897345338250227E-2</v>
      </c>
      <c r="M376" s="872"/>
      <c r="N376" s="872"/>
      <c r="O376" s="48">
        <f>IF(t&lt;Tnet,'2025'!Resal+('2025'!Salim-'2025'!Resal)*(1-EXP(('2025'!Tnet-t)/('2025'!Tau_j))),Resal+(Salim-Resal)*(1-EXP((Tnet-t)/(Tau_j))))*Salcycl</f>
        <v>6.8196973624262275E-2</v>
      </c>
      <c r="P376" s="171">
        <f>(INDEX(Models!$BJ376:$BT376,,T376)*(1-R376)+INDEX(Models!$BJ376:$BT376,,T376+1)*R376-ERP_i)*Q376*Ramure*Pc/MaxiM</f>
        <v>2.8790997801890175E-2</v>
      </c>
      <c r="Q376" s="307">
        <f t="shared" si="130"/>
        <v>0.9</v>
      </c>
      <c r="R376" s="179">
        <f t="shared" si="131"/>
        <v>0.56479241810271574</v>
      </c>
      <c r="S376" s="839">
        <f t="shared" si="132"/>
        <v>-2</v>
      </c>
      <c r="T376" s="178">
        <f t="shared" si="133"/>
        <v>4</v>
      </c>
      <c r="U376" s="253">
        <f t="shared" si="134"/>
        <v>-1.4352075818972843</v>
      </c>
      <c r="V376" s="385">
        <f t="shared" si="135"/>
        <v>15.506642853699768</v>
      </c>
      <c r="W376" s="404">
        <f t="shared" si="136"/>
        <v>14.435573464825829</v>
      </c>
      <c r="X376" s="157">
        <f t="shared" si="137"/>
        <v>46384</v>
      </c>
      <c r="Y376" s="387">
        <f t="shared" si="138"/>
        <v>10.20024079877688</v>
      </c>
      <c r="Z376" s="387">
        <f t="shared" si="139"/>
        <v>10.95590757947264</v>
      </c>
      <c r="AA376" s="388">
        <f t="shared" si="140"/>
        <v>12.91847607702466</v>
      </c>
      <c r="AB376" s="199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0.15191950550904537</v>
      </c>
      <c r="AD376" s="233">
        <f>(INDEX(Models!$BJ376:$BT376,,AH376)*(1-AF376)+INDEX(Models!$BJ376:$BT376,,AH376+1)*AF376-ERP_i)*AE376*Ramure*Pc/MaxiM</f>
        <v>0.2704749114614915</v>
      </c>
      <c r="AE376" s="307">
        <f t="shared" si="142"/>
        <v>0.9</v>
      </c>
      <c r="AF376" s="179">
        <f t="shared" si="143"/>
        <v>0.2004480704096947</v>
      </c>
      <c r="AG376" s="839">
        <f t="shared" si="149"/>
        <v>3</v>
      </c>
      <c r="AH376" s="178">
        <f t="shared" si="144"/>
        <v>9</v>
      </c>
      <c r="AI376" s="227">
        <f t="shared" si="145"/>
        <v>3.2004480704096947</v>
      </c>
      <c r="AJ376" s="267" t="b">
        <f t="shared" si="146"/>
        <v>0</v>
      </c>
      <c r="AK376" s="267" t="b">
        <f t="shared" si="147"/>
        <v>0</v>
      </c>
      <c r="AL376" s="267"/>
      <c r="AM376" s="267"/>
      <c r="AN376" s="75"/>
    </row>
    <row r="377" spans="1:40" s="6" customFormat="1" ht="11.25" x14ac:dyDescent="0.2">
      <c r="A377" s="56">
        <f t="shared" si="148"/>
        <v>46385</v>
      </c>
      <c r="B377" s="413">
        <f>'2025'!Wh/'2025'!Env_an*'2026'!Env_an</f>
        <v>9.696961182735194</v>
      </c>
      <c r="C377" s="868"/>
      <c r="D377" s="395">
        <f t="shared" si="127"/>
        <v>10.415585769998314</v>
      </c>
      <c r="E377" s="387">
        <f t="shared" si="150"/>
        <v>11.179821956683194</v>
      </c>
      <c r="F377" s="387">
        <f t="shared" si="128"/>
        <v>11.328709730682009</v>
      </c>
      <c r="G377" s="110">
        <f t="shared" si="151"/>
        <v>0.6123482958943639</v>
      </c>
      <c r="H377" s="416" t="b">
        <f>Wh_hp&gt;='2025'!Maxi_hp</f>
        <v>0</v>
      </c>
      <c r="I377" s="392">
        <f>IF(H377,Wh_hp,'2025'!Maxi_hp)</f>
        <v>18.983624487934243</v>
      </c>
      <c r="J377" s="85">
        <f>IF(H377,An,'2025'!An_max)</f>
        <v>2019</v>
      </c>
      <c r="K377" s="199">
        <f t="shared" si="129"/>
        <v>46385</v>
      </c>
      <c r="L377" s="147">
        <f>IF(t&lt;Tvie,1-EXP((T0-t)*PertePVj)+'2025'!Pspv,1-EXP((T0-t)*PertePVj)+Pspv)</f>
        <v>6.8995119730384302E-2</v>
      </c>
      <c r="M377" s="872"/>
      <c r="N377" s="872"/>
      <c r="O377" s="48">
        <f>IF(t&lt;Tnet,'2025'!Resal+('2025'!Salim-'2025'!Resal)*(1-EXP(('2025'!Tnet-t)/('2025'!Tau_j))),Resal+(Salim-Resal)*(1-EXP((Tnet-t)/(Tau_j))))*Salcycl</f>
        <v>6.8358529290175968E-2</v>
      </c>
      <c r="P377" s="171">
        <f>(INDEX(Models!$BJ377:$BT377,,T377)*(1-R377)+INDEX(Models!$BJ377:$BT377,,T377+1)*R377-ERP_i)*Q377*Ramure*Pc/MaxiM</f>
        <v>2.8564516259359695E-2</v>
      </c>
      <c r="Q377" s="307">
        <f t="shared" si="130"/>
        <v>0.9</v>
      </c>
      <c r="R377" s="179">
        <f t="shared" si="131"/>
        <v>0.56479241810271574</v>
      </c>
      <c r="S377" s="839">
        <f t="shared" si="132"/>
        <v>-2</v>
      </c>
      <c r="T377" s="178">
        <f t="shared" si="133"/>
        <v>4</v>
      </c>
      <c r="U377" s="253">
        <f t="shared" si="134"/>
        <v>-1.4352075818972843</v>
      </c>
      <c r="V377" s="385">
        <f t="shared" si="135"/>
        <v>15.588225096718912</v>
      </c>
      <c r="W377" s="404">
        <f t="shared" si="136"/>
        <v>9.696961182735194</v>
      </c>
      <c r="X377" s="157">
        <f t="shared" si="137"/>
        <v>46385</v>
      </c>
      <c r="Y377" s="387">
        <f t="shared" si="138"/>
        <v>7.8372459577933737</v>
      </c>
      <c r="Z377" s="387">
        <f t="shared" si="139"/>
        <v>8.4180503495574968</v>
      </c>
      <c r="AA377" s="388">
        <f t="shared" si="140"/>
        <v>9.926750460858436</v>
      </c>
      <c r="AB377" s="199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0.15198328166400499</v>
      </c>
      <c r="AD377" s="233">
        <f>(INDEX(Models!$BJ377:$BT377,,AH377)*(1-AF377)+INDEX(Models!$BJ377:$BT377,,AH377+1)*AF377-ERP_i)*AE377*Ramure*Pc/MaxiM</f>
        <v>0.26896962243625144</v>
      </c>
      <c r="AE377" s="307">
        <f t="shared" si="142"/>
        <v>0.9</v>
      </c>
      <c r="AF377" s="179">
        <f t="shared" si="143"/>
        <v>0.2004480704096947</v>
      </c>
      <c r="AG377" s="839">
        <f t="shared" si="149"/>
        <v>3</v>
      </c>
      <c r="AH377" s="178">
        <f t="shared" si="144"/>
        <v>9</v>
      </c>
      <c r="AI377" s="227">
        <f t="shared" si="145"/>
        <v>3.2004480704096947</v>
      </c>
      <c r="AJ377" s="267" t="b">
        <f t="shared" si="146"/>
        <v>0</v>
      </c>
      <c r="AK377" s="267" t="b">
        <f t="shared" si="147"/>
        <v>0</v>
      </c>
      <c r="AL377" s="267"/>
      <c r="AM377" s="267"/>
      <c r="AN377" s="75"/>
    </row>
    <row r="378" spans="1:40" s="6" customFormat="1" ht="11.25" x14ac:dyDescent="0.2">
      <c r="A378" s="56">
        <f t="shared" si="148"/>
        <v>46386</v>
      </c>
      <c r="B378" s="413">
        <f>'2025'!Wh/'2025'!Env_an*'2026'!Env_an</f>
        <v>12.320105406126455</v>
      </c>
      <c r="C378" s="868"/>
      <c r="D378" s="395">
        <f t="shared" si="127"/>
        <v>13.233434518712805</v>
      </c>
      <c r="E378" s="387">
        <f t="shared" si="150"/>
        <v>14.206893929221248</v>
      </c>
      <c r="F378" s="387">
        <f t="shared" si="128"/>
        <v>14.491648247777883</v>
      </c>
      <c r="G378" s="110">
        <f t="shared" si="151"/>
        <v>0.77884558319010577</v>
      </c>
      <c r="H378" s="416" t="b">
        <f>Wh_hp&gt;='2025'!Maxi_hp</f>
        <v>0</v>
      </c>
      <c r="I378" s="392">
        <f>IF(H378,Wh_hp,'2025'!Maxi_hp)</f>
        <v>18.10568803478461</v>
      </c>
      <c r="J378" s="85">
        <f>IF(H378,An,'2025'!An_max)</f>
        <v>2019</v>
      </c>
      <c r="K378" s="199">
        <f t="shared" si="129"/>
        <v>46386</v>
      </c>
      <c r="L378" s="147">
        <f>IF(t&lt;Tvie,1-EXP((T0-t)*PertePVj)+'2025'!Pspv,1-EXP((T0-t)*PertePVj)+Pspv)</f>
        <v>6.901678557405877E-2</v>
      </c>
      <c r="M378" s="872"/>
      <c r="N378" s="872"/>
      <c r="O378" s="48">
        <f>IF(t&lt;Tnet,'2025'!Resal+('2025'!Salim-'2025'!Resal)*(1-EXP(('2025'!Tnet-t)/('2025'!Tau_j))),Resal+(Salim-Resal)*(1-EXP((Tnet-t)/(Tau_j))))*Salcycl</f>
        <v>6.852021387350532E-2</v>
      </c>
      <c r="P378" s="171">
        <f>(INDEX(Models!$BJ378:$BT378,,T378)*(1-R378)+INDEX(Models!$BJ378:$BT378,,T378+1)*R378-ERP_i)*Q378*Ramure*Pc/MaxiM</f>
        <v>2.8314020959753564E-2</v>
      </c>
      <c r="Q378" s="307">
        <f t="shared" si="130"/>
        <v>0.9</v>
      </c>
      <c r="R378" s="179">
        <f t="shared" si="131"/>
        <v>0.56479241810271574</v>
      </c>
      <c r="S378" s="839">
        <f t="shared" si="132"/>
        <v>-2</v>
      </c>
      <c r="T378" s="178">
        <f t="shared" si="133"/>
        <v>4</v>
      </c>
      <c r="U378" s="253">
        <f t="shared" si="134"/>
        <v>-1.4352075818972843</v>
      </c>
      <c r="V378" s="385">
        <f t="shared" si="135"/>
        <v>15.678613137979568</v>
      </c>
      <c r="W378" s="404">
        <f t="shared" si="136"/>
        <v>12.320105406126455</v>
      </c>
      <c r="X378" s="157">
        <f t="shared" si="137"/>
        <v>46386</v>
      </c>
      <c r="Y378" s="387">
        <f t="shared" si="138"/>
        <v>9.3180357361596133</v>
      </c>
      <c r="Z378" s="387">
        <f t="shared" si="139"/>
        <v>10.008811750602034</v>
      </c>
      <c r="AA378" s="388">
        <f t="shared" si="140"/>
        <v>11.803508124590129</v>
      </c>
      <c r="AB378" s="199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0.15204770946437721</v>
      </c>
      <c r="AD378" s="233">
        <f>(INDEX(Models!$BJ378:$BT378,,AH378)*(1-AF378)+INDEX(Models!$BJ378:$BT378,,AH378+1)*AF378-ERP_i)*AE378*Ramure*Pc/MaxiM</f>
        <v>0.26729025981586407</v>
      </c>
      <c r="AE378" s="307">
        <f t="shared" si="142"/>
        <v>0.9</v>
      </c>
      <c r="AF378" s="179">
        <f t="shared" si="143"/>
        <v>0.2004480704096947</v>
      </c>
      <c r="AG378" s="839">
        <f t="shared" si="149"/>
        <v>3</v>
      </c>
      <c r="AH378" s="178">
        <f t="shared" si="144"/>
        <v>9</v>
      </c>
      <c r="AI378" s="227">
        <f t="shared" si="145"/>
        <v>3.2004480704096947</v>
      </c>
      <c r="AJ378" s="267" t="b">
        <f t="shared" si="146"/>
        <v>0</v>
      </c>
      <c r="AK378" s="267" t="b">
        <f t="shared" si="147"/>
        <v>0</v>
      </c>
      <c r="AL378" s="267"/>
      <c r="AM378" s="267"/>
      <c r="AN378" s="75"/>
    </row>
    <row r="379" spans="1:40" s="18" customFormat="1" ht="12.75" x14ac:dyDescent="0.2">
      <c r="A379" s="56">
        <f t="shared" si="148"/>
        <v>46387</v>
      </c>
      <c r="B379" s="413">
        <f>'2025'!Wh/'2025'!Env_an*'2026'!Env_an</f>
        <v>9.613631172952859</v>
      </c>
      <c r="C379" s="868"/>
      <c r="D379" s="395">
        <f t="shared" si="127"/>
        <v>10.326560943775345</v>
      </c>
      <c r="E379" s="387">
        <f t="shared" si="150"/>
        <v>11.088114794080512</v>
      </c>
      <c r="F379" s="387">
        <f t="shared" si="128"/>
        <v>11.227229689605435</v>
      </c>
      <c r="G379" s="110">
        <f t="shared" si="151"/>
        <v>0.59966703461000936</v>
      </c>
      <c r="H379" s="416" t="b">
        <f>Wh_hp&gt;='2025'!Maxi_hp</f>
        <v>0</v>
      </c>
      <c r="I379" s="392">
        <f>IF(H379,Wh_hp,'2025'!Maxi_hp)</f>
        <v>17.949916308915405</v>
      </c>
      <c r="J379" s="85">
        <f>IF(H379,An,'2025'!An_max)</f>
        <v>2021</v>
      </c>
      <c r="K379" s="199">
        <f t="shared" si="129"/>
        <v>46387</v>
      </c>
      <c r="L379" s="147">
        <f>IF(t&lt;Tvie,1-EXP((T0-t)*PertePVj)+'2025'!Pspv,1-EXP((T0-t)*PertePVj)+Pspv)</f>
        <v>6.903845091353733E-2</v>
      </c>
      <c r="M379" s="872"/>
      <c r="N379" s="872"/>
      <c r="O379" s="48">
        <f>IF(t&lt;Tnet,'2025'!Resal+('2025'!Salim-'2025'!Resal)*(1-EXP(('2025'!Tnet-t)/('2025'!Tau_j))),Resal+(Salim-Resal)*(1-EXP((Tnet-t)/(Tau_j))))*Salcycl</f>
        <v>6.8681995492302278E-2</v>
      </c>
      <c r="P379" s="171">
        <f>(INDEX(Models!$BJ379:$BT379,,T379)*(1-R379)+INDEX(Models!$BJ379:$BT379,,T379+1)*R379-ERP_i)*Q379*Ramure*Pc/MaxiM</f>
        <v>2.8040622479314988E-2</v>
      </c>
      <c r="Q379" s="308">
        <f t="shared" si="130"/>
        <v>0.9</v>
      </c>
      <c r="R379" s="179">
        <f t="shared" si="131"/>
        <v>0.56479241810271574</v>
      </c>
      <c r="S379" s="839">
        <f t="shared" si="132"/>
        <v>-2</v>
      </c>
      <c r="T379" s="178">
        <f t="shared" si="133"/>
        <v>4</v>
      </c>
      <c r="U379" s="309">
        <f t="shared" si="134"/>
        <v>-1.4352075818972843</v>
      </c>
      <c r="V379" s="385">
        <f t="shared" si="135"/>
        <v>15.777576321089645</v>
      </c>
      <c r="W379" s="404">
        <f t="shared" si="136"/>
        <v>9.613631172952859</v>
      </c>
      <c r="X379" s="157">
        <f t="shared" si="137"/>
        <v>46387</v>
      </c>
      <c r="Y379" s="387">
        <f t="shared" si="138"/>
        <v>7.8227031012101023</v>
      </c>
      <c r="Z379" s="387">
        <f t="shared" si="139"/>
        <v>8.4028208349597175</v>
      </c>
      <c r="AA379" s="388">
        <f t="shared" si="140"/>
        <v>9.9103040810161609</v>
      </c>
      <c r="AB379" s="199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0.15211271356891323</v>
      </c>
      <c r="AD379" s="233">
        <f>(INDEX(Models!$BJ379:$BT379,,AH379)*(1-AF379)+INDEX(Models!$BJ379:$BT379,,AH379+1)*AF379-ERP_i)*AE379*Ramure*Pc/MaxiM</f>
        <v>0.26544543403821508</v>
      </c>
      <c r="AE379" s="308">
        <f t="shared" si="142"/>
        <v>0.9</v>
      </c>
      <c r="AF379" s="179">
        <f t="shared" si="143"/>
        <v>0.2004480704096947</v>
      </c>
      <c r="AG379" s="839">
        <f t="shared" si="149"/>
        <v>3</v>
      </c>
      <c r="AH379" s="178">
        <f t="shared" si="144"/>
        <v>9</v>
      </c>
      <c r="AI379" s="224">
        <f t="shared" si="145"/>
        <v>3.2004480704096947</v>
      </c>
      <c r="AJ379" s="267" t="b">
        <f t="shared" si="146"/>
        <v>0</v>
      </c>
      <c r="AK379" s="267" t="b">
        <f t="shared" si="147"/>
        <v>0</v>
      </c>
      <c r="AL379" s="267"/>
      <c r="AM379" s="267"/>
      <c r="AN379" s="267"/>
    </row>
    <row r="380" spans="1:40" s="18" customFormat="1" ht="12" thickBot="1" x14ac:dyDescent="0.25">
      <c r="A380" s="121"/>
      <c r="B380" s="414"/>
      <c r="C380" s="876"/>
      <c r="D380" s="403"/>
      <c r="E380" s="389"/>
      <c r="F380" s="389"/>
      <c r="G380" s="122"/>
      <c r="H380" s="416" t="b">
        <f>Wh_hp&gt;='2025'!Maxi_hp</f>
        <v>0</v>
      </c>
      <c r="I380" s="392">
        <f>IF(H380,Wh_hp,'2025'!Maxi_hp)</f>
        <v>13.024115631411625</v>
      </c>
      <c r="J380" s="85">
        <f>IF(H380,An,'2025'!An_max)</f>
        <v>2020</v>
      </c>
      <c r="K380" s="236"/>
      <c r="L380" s="216"/>
      <c r="M380" s="877"/>
      <c r="N380" s="877"/>
      <c r="O380" s="153"/>
      <c r="P380" s="324"/>
      <c r="Q380" s="231"/>
      <c r="R380" s="231"/>
      <c r="S380" s="231"/>
      <c r="T380" s="231"/>
      <c r="U380" s="325"/>
      <c r="V380" s="399"/>
      <c r="W380" s="404"/>
      <c r="X380" s="121"/>
      <c r="Y380" s="389"/>
      <c r="Z380" s="389"/>
      <c r="AA380" s="390"/>
      <c r="AB380" s="201"/>
      <c r="AC380" s="152"/>
      <c r="AD380" s="152"/>
      <c r="AE380" s="231"/>
      <c r="AF380" s="231"/>
      <c r="AG380" s="231"/>
      <c r="AH380" s="231"/>
      <c r="AI380" s="311"/>
      <c r="AJ380" s="267" t="b">
        <f t="shared" si="146"/>
        <v>1</v>
      </c>
      <c r="AK380" s="267" t="b">
        <f t="shared" si="147"/>
        <v>1</v>
      </c>
      <c r="AL380" s="267"/>
      <c r="AM380" s="267"/>
      <c r="AN380" s="267"/>
    </row>
    <row r="381" spans="1:40" s="104" customFormat="1" ht="11.25" customHeight="1" x14ac:dyDescent="0.2">
      <c r="A381" s="112" t="s">
        <v>7</v>
      </c>
      <c r="B381" s="377">
        <f>MIN(B15:B380)</f>
        <v>0.83469109712492151</v>
      </c>
      <c r="C381" s="377"/>
      <c r="D381" s="375">
        <f>MIN(D15:D380)</f>
        <v>0.89157586222691454</v>
      </c>
      <c r="E381" s="375">
        <f>MIN(E15:E380)</f>
        <v>0.91283514499200213</v>
      </c>
      <c r="F381" s="376">
        <f>MIN(F15:F380)</f>
        <v>0.91283514499200213</v>
      </c>
      <c r="G381" s="125">
        <f>+MIN(G15:G380)</f>
        <v>1.4763795771478846E-2</v>
      </c>
      <c r="H381" s="94"/>
      <c r="I381" s="376">
        <f>MIN(I15:I380)</f>
        <v>8.2113391342416708</v>
      </c>
      <c r="J381" s="57">
        <f>MIN(J15:J380)</f>
        <v>2018</v>
      </c>
      <c r="K381" s="202" t="s">
        <v>7</v>
      </c>
      <c r="L381" s="146">
        <f t="shared" ref="L381:T381" si="152">MIN(L15:L380)</f>
        <v>6.1118863404340695E-2</v>
      </c>
      <c r="M381" s="874"/>
      <c r="N381" s="874"/>
      <c r="O381" s="47">
        <f t="shared" si="152"/>
        <v>2.2340764390354553E-2</v>
      </c>
      <c r="P381" s="170">
        <f t="shared" si="152"/>
        <v>3.8836667669597573E-5</v>
      </c>
      <c r="Q381" s="312">
        <f t="shared" si="152"/>
        <v>0.9</v>
      </c>
      <c r="R381" s="313">
        <f t="shared" si="152"/>
        <v>2.8329008410434842E-3</v>
      </c>
      <c r="S381" s="839">
        <f t="shared" si="152"/>
        <v>-3</v>
      </c>
      <c r="T381" s="178">
        <f t="shared" si="152"/>
        <v>3</v>
      </c>
      <c r="U381" s="254">
        <f>MIN(U15:U380)</f>
        <v>-2.1352057996466449</v>
      </c>
      <c r="V381" s="57">
        <f>MIN(V15:V380)</f>
        <v>15.190775930347231</v>
      </c>
      <c r="W381" s="58"/>
      <c r="X381" s="112" t="s">
        <v>7</v>
      </c>
      <c r="Y381" s="375">
        <f>MIN(Y15:Y380)</f>
        <v>0.74020265485178305</v>
      </c>
      <c r="Z381" s="375">
        <f>MIN(Z15:Z380)</f>
        <v>0.79064796844641649</v>
      </c>
      <c r="AA381" s="375">
        <f>MIN(AA15:AA380)</f>
        <v>0.91283514499200213</v>
      </c>
      <c r="AB381" s="202" t="s">
        <v>7</v>
      </c>
      <c r="AC381" s="47">
        <f t="shared" ref="AC381:AH381" si="153">MIN(AC15:AC380)</f>
        <v>0.13306247121360126</v>
      </c>
      <c r="AD381" s="170">
        <f t="shared" si="153"/>
        <v>5.8342308336902903E-4</v>
      </c>
      <c r="AE381" s="312">
        <f t="shared" si="153"/>
        <v>0.9</v>
      </c>
      <c r="AF381" s="313">
        <f t="shared" si="153"/>
        <v>4.4473350446465609E-3</v>
      </c>
      <c r="AG381" s="839">
        <f t="shared" si="153"/>
        <v>2</v>
      </c>
      <c r="AH381" s="178">
        <f t="shared" si="153"/>
        <v>8</v>
      </c>
      <c r="AI381" s="228">
        <f>MIN(AI15:AI380)</f>
        <v>2.500449852660334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27.772761877024156</v>
      </c>
      <c r="C382" s="377"/>
      <c r="D382" s="377">
        <f>AVERAGE(D15:D380)</f>
        <v>29.703422839527107</v>
      </c>
      <c r="E382" s="377">
        <f>AVERAGE(E15:E380)</f>
        <v>31.757644985341255</v>
      </c>
      <c r="F382" s="378">
        <f>AVERAGE(F15:F380)</f>
        <v>31.818929922036368</v>
      </c>
      <c r="G382" s="126">
        <f>AVERAGE(G15:G380)</f>
        <v>0.7143241927615247</v>
      </c>
      <c r="H382" s="94"/>
      <c r="I382" s="378">
        <f>AVERAGE(I15:I380)</f>
        <v>40.692271104278028</v>
      </c>
      <c r="J382" s="59">
        <f>AVERAGE(J15:J380)</f>
        <v>2021.2595628415299</v>
      </c>
      <c r="K382" s="202" t="s">
        <v>8</v>
      </c>
      <c r="L382" s="147">
        <f t="shared" ref="L382:V382" si="154">AVERAGE(L15:L380)</f>
        <v>6.5084232303368711E-2</v>
      </c>
      <c r="M382" s="872"/>
      <c r="N382" s="872"/>
      <c r="O382" s="48">
        <f t="shared" si="154"/>
        <v>7.3350152974669028E-2</v>
      </c>
      <c r="P382" s="171">
        <f t="shared" si="154"/>
        <v>5.7835606662052716E-3</v>
      </c>
      <c r="Q382" s="314">
        <f t="shared" si="154"/>
        <v>0.89999999999999813</v>
      </c>
      <c r="R382" s="179">
        <f t="shared" si="154"/>
        <v>0.60183671560421115</v>
      </c>
      <c r="S382" s="839">
        <f t="shared" si="154"/>
        <v>-2.3452054794520549</v>
      </c>
      <c r="T382" s="178">
        <f t="shared" si="154"/>
        <v>3.6547945205479451</v>
      </c>
      <c r="U382" s="253">
        <f>AVERAGE(U15:U380)</f>
        <v>-1.7433687638478443</v>
      </c>
      <c r="V382" s="59">
        <f t="shared" si="154"/>
        <v>37.739228900641393</v>
      </c>
      <c r="X382" s="112" t="s">
        <v>8</v>
      </c>
      <c r="Y382" s="377">
        <f>AVERAGE(Y15:Y380)</f>
        <v>24.508902767829497</v>
      </c>
      <c r="Z382" s="377">
        <f>AVERAGE(Z15:Z380)</f>
        <v>26.211520265782298</v>
      </c>
      <c r="AA382" s="377">
        <f>AVERAGE(AA15:AA380)</f>
        <v>30.932394615213482</v>
      </c>
      <c r="AB382" s="202" t="s">
        <v>8</v>
      </c>
      <c r="AC382" s="48">
        <f t="shared" ref="AC382:AH382" si="155">AVERAGE(AC15:AC380)</f>
        <v>0.15493458280073649</v>
      </c>
      <c r="AD382" s="171">
        <f t="shared" si="155"/>
        <v>7.6061056135177163E-2</v>
      </c>
      <c r="AE382" s="314">
        <f t="shared" si="155"/>
        <v>0.89999999999999813</v>
      </c>
      <c r="AF382" s="179">
        <f t="shared" si="155"/>
        <v>0.39365675147283419</v>
      </c>
      <c r="AG382" s="839">
        <f t="shared" si="155"/>
        <v>2.4986301369863013</v>
      </c>
      <c r="AH382" s="178">
        <f t="shared" si="155"/>
        <v>8.4986301369863018</v>
      </c>
      <c r="AI382" s="227">
        <f>AVERAGE(AI15:AI380)</f>
        <v>2.8922868884591364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59.450991552343936</v>
      </c>
      <c r="C383" s="379"/>
      <c r="D383" s="379">
        <f>MAX(D15:D380)</f>
        <v>63.583948911030383</v>
      </c>
      <c r="E383" s="379">
        <f>MAX(E15:E380)</f>
        <v>66.001687789283451</v>
      </c>
      <c r="F383" s="380">
        <f>MAX(F15:F380)</f>
        <v>66.004608536540786</v>
      </c>
      <c r="G383" s="127">
        <f>+MAX(G15:G380)</f>
        <v>1.0377981106491905</v>
      </c>
      <c r="H383" s="94"/>
      <c r="I383" s="380">
        <f>MAX(I15:I380)</f>
        <v>66.004608536540786</v>
      </c>
      <c r="J383" s="60">
        <f>MAX(J15:J380)</f>
        <v>2026</v>
      </c>
      <c r="K383" s="202" t="s">
        <v>9</v>
      </c>
      <c r="L383" s="148">
        <f t="shared" ref="L383:T383" si="156">MAX(L15:L380)</f>
        <v>6.903845091353733E-2</v>
      </c>
      <c r="M383" s="875"/>
      <c r="N383" s="875"/>
      <c r="O383" s="49">
        <f t="shared" si="156"/>
        <v>0.13287071153765045</v>
      </c>
      <c r="P383" s="172">
        <f t="shared" si="156"/>
        <v>2.9594481634386983E-2</v>
      </c>
      <c r="Q383" s="315">
        <f t="shared" si="156"/>
        <v>0.9</v>
      </c>
      <c r="R383" s="316">
        <f t="shared" si="156"/>
        <v>0.99830928467383018</v>
      </c>
      <c r="S383" s="840">
        <f t="shared" si="156"/>
        <v>-2</v>
      </c>
      <c r="T383" s="235">
        <f t="shared" si="156"/>
        <v>4</v>
      </c>
      <c r="U383" s="255">
        <f>MAX(U15:U380)</f>
        <v>-1.4352075818972843</v>
      </c>
      <c r="V383" s="60">
        <f>MAX(V15:V380)</f>
        <v>58.456503762080814</v>
      </c>
      <c r="X383" s="112" t="s">
        <v>9</v>
      </c>
      <c r="Y383" s="379">
        <f>MAX(Y15:Y380)</f>
        <v>52.701537763702255</v>
      </c>
      <c r="Z383" s="379">
        <f>MAX(Z15:Z380)</f>
        <v>56.365281674900274</v>
      </c>
      <c r="AA383" s="379">
        <f>MAX(AA15:AA380)</f>
        <v>65.961087247320748</v>
      </c>
      <c r="AB383" s="202" t="s">
        <v>9</v>
      </c>
      <c r="AC383" s="49">
        <f t="shared" ref="AC383:AH383" si="157">MAX(AC15:AC380)</f>
        <v>0.17421714302039909</v>
      </c>
      <c r="AD383" s="172">
        <f t="shared" si="157"/>
        <v>0.2760173670622354</v>
      </c>
      <c r="AE383" s="315">
        <f t="shared" si="157"/>
        <v>0.9</v>
      </c>
      <c r="AF383" s="316">
        <f t="shared" si="157"/>
        <v>0.99858759897043159</v>
      </c>
      <c r="AG383" s="840">
        <f t="shared" si="157"/>
        <v>3</v>
      </c>
      <c r="AH383" s="235">
        <f t="shared" si="157"/>
        <v>9</v>
      </c>
      <c r="AI383" s="229">
        <f>MAX(AI15:AI380)</f>
        <v>3.2004480704096947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7"/>
      <c r="AK384" s="857"/>
      <c r="AL384" s="857"/>
      <c r="AM384" s="857"/>
      <c r="AN384" s="406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3" priority="3" stopIfTrue="1" operator="lessThan">
      <formula>0.01</formula>
    </cfRule>
    <cfRule type="cellIs" dxfId="2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4"/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6">
        <f>'2026'!An+1</f>
        <v>2027</v>
      </c>
      <c r="K1" s="1267"/>
      <c r="L1" s="113" t="str">
        <f>"Calcul pertes et enveloppes en "&amp;TEXT(An,0)</f>
        <v>Calcul pertes et enveloppes en 2027</v>
      </c>
      <c r="M1" s="245"/>
      <c r="N1" s="245"/>
      <c r="V1" s="460"/>
      <c r="W1" s="458"/>
      <c r="X1" s="489" t="str">
        <f>"Prévision sans nettoyage ni taille végétation en "&amp;TEXT(An,0)</f>
        <v>Prévision sans nettoyage ni taille végétation en 2027</v>
      </c>
      <c r="Y1" s="490"/>
      <c r="Z1" s="491"/>
      <c r="AA1" s="492"/>
      <c r="AB1" s="493"/>
      <c r="AC1" s="494"/>
      <c r="AD1" s="494"/>
      <c r="AE1" s="494"/>
      <c r="AF1" s="494"/>
      <c r="AG1" s="494"/>
      <c r="AH1" s="494"/>
      <c r="AI1" s="494"/>
      <c r="AL1" s="856" t="s">
        <v>270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6" t="s">
        <v>24</v>
      </c>
      <c r="P2" s="18"/>
      <c r="Q2" s="812"/>
      <c r="R2" s="18"/>
      <c r="S2" s="497"/>
      <c r="T2" s="497"/>
      <c r="U2" s="296" t="s">
        <v>79</v>
      </c>
      <c r="V2" s="498">
        <f>PertePVan</f>
        <v>8.5000000000000006E-3</v>
      </c>
      <c r="W2" s="452" t="s">
        <v>14</v>
      </c>
      <c r="X2" s="499"/>
      <c r="Y2" s="500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862" t="s">
        <v>262</v>
      </c>
      <c r="AK2" s="862" t="s">
        <v>264</v>
      </c>
      <c r="AL2" s="862" t="s">
        <v>263</v>
      </c>
      <c r="AM2" s="862" t="s">
        <v>265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6">
        <f>Tmaj</f>
        <v>44926</v>
      </c>
      <c r="F3" s="1276"/>
      <c r="G3" s="8"/>
      <c r="H3" s="26"/>
      <c r="I3" s="6"/>
      <c r="J3" s="34"/>
      <c r="K3" s="193"/>
      <c r="L3" s="54"/>
      <c r="M3" s="34"/>
      <c r="N3" s="34"/>
      <c r="O3" s="503"/>
      <c r="P3" s="34"/>
      <c r="Q3" s="503"/>
      <c r="R3" s="34"/>
      <c r="S3" s="515"/>
      <c r="T3" s="452"/>
      <c r="U3" s="211" t="s">
        <v>165</v>
      </c>
      <c r="V3" s="637">
        <f>Salim_i</f>
        <v>0.21</v>
      </c>
      <c r="W3" s="452"/>
      <c r="X3" s="504" t="s">
        <v>96</v>
      </c>
      <c r="Y3" s="505"/>
      <c r="Z3" s="506"/>
      <c r="AA3" s="500"/>
      <c r="AB3" s="500"/>
      <c r="AC3" s="430"/>
      <c r="AD3" s="430"/>
      <c r="AE3" s="430"/>
      <c r="AF3" s="430"/>
      <c r="AG3" s="430"/>
      <c r="AH3" s="430"/>
      <c r="AI3" s="430"/>
      <c r="AJ3" s="860">
        <f>AL11-AJ11</f>
        <v>0</v>
      </c>
      <c r="AK3" s="861">
        <f>AM11-AK11</f>
        <v>0</v>
      </c>
      <c r="AL3" s="860"/>
      <c r="AM3" s="861"/>
      <c r="AN3" s="859" t="s">
        <v>271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6" t="str">
        <f>Station</f>
        <v>Crèche Ayguesvives</v>
      </c>
      <c r="F4" s="1217"/>
      <c r="G4" s="1217"/>
      <c r="H4" s="1217"/>
      <c r="I4" s="1218"/>
      <c r="J4" s="158"/>
      <c r="K4" s="193"/>
      <c r="L4" s="508"/>
      <c r="M4" s="507"/>
      <c r="N4" s="507"/>
      <c r="O4" s="430"/>
      <c r="P4" s="34"/>
      <c r="Q4" s="507"/>
      <c r="R4" s="34"/>
      <c r="S4" s="497"/>
      <c r="T4" s="411"/>
      <c r="U4" s="297" t="s">
        <v>82</v>
      </c>
      <c r="V4" s="636">
        <f>Persistant</f>
        <v>1</v>
      </c>
      <c r="W4" s="510" t="s">
        <v>54</v>
      </c>
      <c r="X4" s="511"/>
      <c r="Y4" s="512"/>
      <c r="Z4" s="513" t="s">
        <v>27</v>
      </c>
      <c r="AA4" s="514" t="s">
        <v>28</v>
      </c>
      <c r="AB4" s="507"/>
      <c r="AC4" s="430"/>
      <c r="AD4" s="430"/>
      <c r="AE4" s="430"/>
      <c r="AF4" s="430"/>
      <c r="AG4" s="430"/>
      <c r="AH4" s="430"/>
      <c r="AI4" s="430"/>
      <c r="AJ4" s="860">
        <f>AL12-AJ12</f>
        <v>712.85596820331557</v>
      </c>
      <c r="AK4" s="861">
        <f>AM12-AK12</f>
        <v>265.11372568633357</v>
      </c>
      <c r="AL4" s="860"/>
      <c r="AM4" s="861"/>
      <c r="AN4" s="859" t="s">
        <v>272</v>
      </c>
    </row>
    <row r="5" spans="1:40" s="35" customFormat="1" ht="16.5" customHeight="1" x14ac:dyDescent="0.25">
      <c r="D5" s="161" t="s">
        <v>20</v>
      </c>
      <c r="E5" s="1277">
        <f>T0</f>
        <v>43313</v>
      </c>
      <c r="F5" s="1277"/>
      <c r="G5" s="34"/>
      <c r="H5" s="158"/>
      <c r="I5" s="158"/>
      <c r="K5" s="194"/>
      <c r="L5" s="508"/>
      <c r="M5" s="507"/>
      <c r="N5" s="507"/>
      <c r="O5" s="19"/>
      <c r="R5" s="39"/>
      <c r="S5" s="180"/>
      <c r="T5" s="180"/>
      <c r="U5" s="41"/>
      <c r="V5" s="509"/>
      <c r="W5" s="510"/>
      <c r="X5" s="511"/>
      <c r="Y5" s="512"/>
      <c r="Z5" s="238">
        <f>Wh_Psa_s-Wh_Psa</f>
        <v>712.85596820331557</v>
      </c>
      <c r="AA5" s="239">
        <f>Wh_Pvg_s-Wh_Pvg</f>
        <v>265.11372568633357</v>
      </c>
      <c r="AB5" s="516" t="s">
        <v>6</v>
      </c>
      <c r="AC5" s="510"/>
      <c r="AD5" s="510"/>
      <c r="AE5" s="510"/>
      <c r="AF5" s="510"/>
      <c r="AG5" s="510"/>
      <c r="AH5" s="510"/>
      <c r="AI5" s="510"/>
      <c r="AJ5" s="518">
        <f>SUMIF(AJ15:AJ380,"VRAI",Wh)</f>
        <v>0</v>
      </c>
      <c r="AK5" s="518">
        <f>SUMIF(AK15:AK380,"VRAI",Wh)</f>
        <v>0</v>
      </c>
      <c r="AL5" s="518">
        <f>SUMIF(AJ15:AJ380,"VRAI",Wh_s)</f>
        <v>0</v>
      </c>
      <c r="AM5" s="518">
        <f>SUMIF(AK15:AK380,"VRAI",Wh_s)</f>
        <v>0</v>
      </c>
      <c r="AN5" s="859" t="s">
        <v>268</v>
      </c>
    </row>
    <row r="6" spans="1:40" s="6" customFormat="1" ht="16.5" customHeight="1" x14ac:dyDescent="0.2">
      <c r="B6" s="8"/>
      <c r="C6" s="8"/>
      <c r="D6" s="161" t="s">
        <v>11</v>
      </c>
      <c r="E6" s="1278">
        <f>Tservice</f>
        <v>43354</v>
      </c>
      <c r="F6" s="1278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2"/>
      <c r="W6" s="464"/>
      <c r="X6" s="499"/>
      <c r="Y6" s="500"/>
      <c r="Z6" s="464"/>
      <c r="AA6" s="464"/>
      <c r="AB6" s="518"/>
      <c r="AC6" s="464"/>
      <c r="AD6" s="464"/>
      <c r="AE6" s="464"/>
      <c r="AF6" s="464"/>
      <c r="AG6" s="464"/>
      <c r="AH6" s="464"/>
      <c r="AI6" s="464"/>
      <c r="AJ6" s="518">
        <f>SUMIF(AJ15:AJ380,"FAUX",Wh)</f>
        <v>9656.7432280542216</v>
      </c>
      <c r="AK6" s="518">
        <f>SUMIF(AK15:AK380,"FAUX",Wh)</f>
        <v>9656.7432280542216</v>
      </c>
      <c r="AL6" s="518">
        <f>SUMIF(AJ15:AJ380,"FAUX",Wh_s)</f>
        <v>8620.6684692859799</v>
      </c>
      <c r="AM6" s="518">
        <f>SUMIF(AK15:AK380,"FAUX",Wh_s)</f>
        <v>8620.6684692859799</v>
      </c>
      <c r="AN6" s="859" t="s">
        <v>269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AND(YEAR(Tnet)=An,Resal_2027="I")</f>
        <v>0</v>
      </c>
      <c r="F7" s="322" t="b">
        <f>YEAR(Tnet)=An</f>
        <v>0</v>
      </c>
      <c r="J7" s="180"/>
      <c r="K7" s="193"/>
      <c r="L7" s="191" t="s">
        <v>81</v>
      </c>
      <c r="M7" s="870"/>
      <c r="N7" s="870"/>
      <c r="O7" s="18"/>
      <c r="P7" s="118"/>
      <c r="Q7" s="118"/>
      <c r="R7" s="141"/>
      <c r="S7" s="141"/>
      <c r="T7" s="141"/>
      <c r="U7" s="141"/>
      <c r="V7" s="430"/>
      <c r="W7" s="520"/>
      <c r="X7" s="521"/>
      <c r="Y7" s="250"/>
      <c r="Z7" s="520"/>
      <c r="AA7" s="520"/>
      <c r="AB7" s="520"/>
      <c r="AC7" s="520"/>
      <c r="AD7" s="250"/>
      <c r="AE7" s="250"/>
      <c r="AF7" s="495"/>
      <c r="AG7" s="495"/>
      <c r="AH7" s="495"/>
      <c r="AI7" s="520"/>
      <c r="AJ7" s="518">
        <f>SUMIF(AJ15:AJ380,"VRAI",Wh_pvt)</f>
        <v>0</v>
      </c>
      <c r="AK7" s="518">
        <f>SUMIF(AK15:AK380,"VRAI",Wh_sa)</f>
        <v>0</v>
      </c>
      <c r="AL7" s="518">
        <f>SUMIF(AJ15:AJ380,"VRAI",Wh_pvt_s)</f>
        <v>0</v>
      </c>
      <c r="AM7" s="518">
        <f>SUMIF(AK15:AK380,"VRAI",Wh_sa_s)</f>
        <v>0</v>
      </c>
      <c r="AN7" s="859" t="s">
        <v>260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AND(YEAR(Tnet)=An,Resal_2027&lt;&gt;"I")</f>
        <v>0</v>
      </c>
      <c r="F8" s="323" t="b">
        <f>YEAR(Ttai)=An</f>
        <v>0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20"/>
      <c r="W8" s="406"/>
      <c r="X8" s="1264" t="s">
        <v>102</v>
      </c>
      <c r="Y8" s="1265"/>
      <c r="Z8" s="500"/>
      <c r="AA8" s="500"/>
      <c r="AB8" s="464"/>
      <c r="AC8" s="522" t="s">
        <v>61</v>
      </c>
      <c r="AD8" s="464"/>
      <c r="AE8" s="464"/>
      <c r="AF8" s="464"/>
      <c r="AG8" s="464"/>
      <c r="AH8" s="464"/>
      <c r="AI8" s="464"/>
      <c r="AJ8" s="518">
        <f>SUMIF(AJ15:AJ380,"FAUX",Wh_pvt)</f>
        <v>10415.383967085267</v>
      </c>
      <c r="AK8" s="518">
        <f>SUMIF(AK15:AK380,"FAUX",Wh_sa)</f>
        <v>11556.78605940556</v>
      </c>
      <c r="AL8" s="518">
        <f>SUMIF(AJ15:AJ380,"FAUX",Wh_pvt_s)</f>
        <v>9297.9116405247332</v>
      </c>
      <c r="AM8" s="518">
        <f>SUMIF(AK15:AK380,"FAUX",Wh_sa_s)</f>
        <v>11208.171609872787</v>
      </c>
      <c r="AN8" s="859" t="s">
        <v>261</v>
      </c>
    </row>
    <row r="9" spans="1:40" s="19" customFormat="1" ht="15" customHeight="1" x14ac:dyDescent="0.25">
      <c r="A9" s="34"/>
      <c r="B9" s="212"/>
      <c r="C9" s="212"/>
      <c r="D9" s="186">
        <f>SUM(D$15:D$380)</f>
        <v>10415.383967085267</v>
      </c>
      <c r="E9" s="186">
        <f>SUM(E$15:E$380)</f>
        <v>11556.78605940556</v>
      </c>
      <c r="F9" s="186">
        <f>SUM(F$15:F$380)</f>
        <v>11602.235255368863</v>
      </c>
      <c r="H9" s="1268">
        <f>+SUM(Wh)</f>
        <v>9656.7432280542216</v>
      </c>
      <c r="I9" s="1269"/>
      <c r="J9" s="1270"/>
      <c r="K9" s="193"/>
      <c r="L9" s="234"/>
      <c r="M9" s="234"/>
      <c r="N9" s="234"/>
      <c r="O9" s="225">
        <f>Tnet_2027</f>
        <v>46142</v>
      </c>
      <c r="P9" s="246" t="s">
        <v>91</v>
      </c>
      <c r="Q9" s="247"/>
      <c r="R9" s="247"/>
      <c r="S9" s="247"/>
      <c r="T9" s="247"/>
      <c r="U9" s="248"/>
      <c r="V9" s="464"/>
      <c r="W9" s="523"/>
      <c r="X9" s="1262">
        <f>+SUM(Wh_s)</f>
        <v>8620.6684692859799</v>
      </c>
      <c r="Y9" s="1263"/>
      <c r="Z9" s="518">
        <f>SUM(Z$15:Z$380)</f>
        <v>9297.9116405247332</v>
      </c>
      <c r="AA9" s="518">
        <f>SUM(AA$15:AA$380)</f>
        <v>11208.171609872787</v>
      </c>
      <c r="AB9" s="518">
        <f>F9</f>
        <v>11602.235255368863</v>
      </c>
      <c r="AC9" s="327">
        <f>IF(An_Tnet,Tnet,'2026'!Tnet_s)</f>
        <v>46142</v>
      </c>
      <c r="AD9" s="318" t="s">
        <v>91</v>
      </c>
      <c r="AE9" s="318"/>
      <c r="AF9" s="318"/>
      <c r="AG9" s="318"/>
      <c r="AH9" s="318"/>
      <c r="AI9" s="319"/>
      <c r="AJ9" s="518">
        <f>SUMIF(AJ15:AJ380,"VRAI",Wh_sa)</f>
        <v>0</v>
      </c>
      <c r="AK9" s="518">
        <f>SUMIF(AK15:AK380,"VRAI",Wh_hp)</f>
        <v>0</v>
      </c>
      <c r="AL9" s="518">
        <f>SUMIF(AJ15:AJ380,"VRAI",Wh_sa_s)</f>
        <v>0</v>
      </c>
      <c r="AM9" s="518">
        <f>SUMIF(AK15:AK380,"VRAI",Wh_hp)</f>
        <v>0</v>
      </c>
      <c r="AN9" s="859" t="s">
        <v>266</v>
      </c>
    </row>
    <row r="10" spans="1:40" s="19" customFormat="1" ht="15" customHeight="1" x14ac:dyDescent="0.25">
      <c r="A10" s="208"/>
      <c r="B10" s="209"/>
      <c r="C10" s="866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IF(Inflex,'2026'!Resal+('2026'!Salim-'2026'!Resal)*(1-EXP(-(Tnet-'2026'!Tnet)/('2026'!Tau_j))),IF(An_Tnet,Resal_2027,'2026'!Resal))</f>
        <v>2.1999999999999999E-2</v>
      </c>
      <c r="P10" s="423" t="b">
        <f>NOT(Acti_tai)</f>
        <v>1</v>
      </c>
      <c r="Q10" s="259">
        <f>IF(Acti_tai,'2026'!PousD,Dens-Dd)</f>
        <v>0</v>
      </c>
      <c r="R10" s="276"/>
      <c r="S10" s="277"/>
      <c r="T10" s="278"/>
      <c r="U10" s="268">
        <f>IF(Acti_tai,'2026'!PousH,Hdtf-Hdd)</f>
        <v>0.7</v>
      </c>
      <c r="V10" s="430"/>
      <c r="W10" s="507"/>
      <c r="X10" s="508"/>
      <c r="Y10" s="524" t="s">
        <v>26</v>
      </c>
      <c r="Z10" s="514" t="s">
        <v>27</v>
      </c>
      <c r="AA10" s="514" t="s">
        <v>28</v>
      </c>
      <c r="AB10" s="430"/>
      <c r="AC10" s="320">
        <f>IF(OR(Inflex,GainD),'2026'!Resal_s+('2026'!Salim-'2026'!Resal_s)*(1-EXP(('2026'!Tnet_s-Tnet)/('2026'!Tau_j))),IF(Acti_net,'2026'!Resal+('2026'!Salim-'2026'!Resal)*(1-EXP(('2026'!Tnet-Tnet)/'2026'!Tau_j)),'2026'!Resal_s))</f>
        <v>0.13103286510479015</v>
      </c>
      <c r="AD10" s="430"/>
      <c r="AE10" s="430"/>
      <c r="AF10" s="262"/>
      <c r="AG10" s="263"/>
      <c r="AH10" s="264"/>
      <c r="AI10" s="475"/>
      <c r="AJ10" s="518">
        <f>SUMIF(AJ15:AJ380,"FAUX",Wh_sa)</f>
        <v>11556.78605940556</v>
      </c>
      <c r="AK10" s="518">
        <f>SUMIF(AK15:AK380,"FAUX",Wh_hp)</f>
        <v>11602.235255368863</v>
      </c>
      <c r="AL10" s="518">
        <f>SUMIF(AJ15:AJ380,"FAUX",Wh_sa_s)</f>
        <v>11208.171609872787</v>
      </c>
      <c r="AM10" s="518">
        <f>SUMIF(AK15:AK380,"FAUX",Wh_hp)</f>
        <v>11602.235255368863</v>
      </c>
      <c r="AN10" s="859" t="s">
        <v>267</v>
      </c>
    </row>
    <row r="11" spans="1:40" s="40" customFormat="1" ht="15" customHeight="1" x14ac:dyDescent="0.25">
      <c r="A11" s="218"/>
      <c r="B11" s="219" t="s">
        <v>43</v>
      </c>
      <c r="C11" s="867"/>
      <c r="D11" s="50">
        <f>D$9-Prod_an</f>
        <v>758.64073903104509</v>
      </c>
      <c r="E11" s="51">
        <f>(E$9-D$9)*Prod_an/D$9</f>
        <v>1058.2640986000511</v>
      </c>
      <c r="F11" s="188">
        <f>(F$9-E$9)*Prod_an/E$9</f>
        <v>37.976926550608241</v>
      </c>
      <c r="G11" s="187" t="s">
        <v>6</v>
      </c>
      <c r="K11" s="196"/>
      <c r="L11" s="213">
        <f>Tvie_2027</f>
        <v>43313</v>
      </c>
      <c r="M11" s="871"/>
      <c r="N11" s="871"/>
      <c r="O11" s="204">
        <f>IF(An_Tnet,Salim_2027,'2026'!Salim)</f>
        <v>0.22</v>
      </c>
      <c r="P11" s="258">
        <f>Ttai_2027</f>
        <v>45747</v>
      </c>
      <c r="Q11" s="274">
        <f>Dens_2027</f>
        <v>0.9</v>
      </c>
      <c r="R11" s="279"/>
      <c r="S11" s="232"/>
      <c r="T11" s="232"/>
      <c r="U11" s="268">
        <f>Htf_2027</f>
        <v>-0.7352075818972843</v>
      </c>
      <c r="V11" s="430"/>
      <c r="W11" s="521"/>
      <c r="X11" s="528" t="s">
        <v>43</v>
      </c>
      <c r="Y11" s="50">
        <f>Z$9-Prod_an_s</f>
        <v>677.24317123875335</v>
      </c>
      <c r="Z11" s="51">
        <f>(AA$9-Z$9)*Prod_an_s/Z$9</f>
        <v>1771.1200668033666</v>
      </c>
      <c r="AA11" s="188">
        <f>(AB$9-AA$9)*Prod_an_s/AA$9</f>
        <v>303.09065223694182</v>
      </c>
      <c r="AB11" s="529" t="s">
        <v>6</v>
      </c>
      <c r="AC11" s="327"/>
      <c r="AD11" s="430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60">
        <f>IF($AJ7=0,0,($AJ9-$AJ7)*$AJ5/$AJ7)</f>
        <v>0</v>
      </c>
      <c r="AK11" s="861">
        <f>IF($AK7=0,0,($AK9-$AK7)*$AK5/$AK7)</f>
        <v>0</v>
      </c>
      <c r="AL11" s="860">
        <f>IF($AL7=0,0,($AL9-$AL7)*$AL5/$AL7)</f>
        <v>0</v>
      </c>
      <c r="AM11" s="861">
        <f>IF($AM7=0,0,($AM9-$AM7)*$AM5/$AM7)</f>
        <v>0</v>
      </c>
      <c r="AN11" s="859" t="s">
        <v>273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3.7798110649190253E-2</v>
      </c>
      <c r="K12" s="193"/>
      <c r="L12" s="214">
        <f>Pspv_2027</f>
        <v>0</v>
      </c>
      <c r="M12" s="214"/>
      <c r="N12" s="214"/>
      <c r="O12" s="207">
        <f>IF(An_Tnet,Tau_2027*365,'2026'!Tau_j)</f>
        <v>912.5</v>
      </c>
      <c r="P12" s="283">
        <f>INDEX(Croivg,MIN(MAX(Ttai-$A$15,0)+1,366))</f>
        <v>2.3909964587625958E-6</v>
      </c>
      <c r="Q12" s="282">
        <f>'2026'!Df</f>
        <v>0.9</v>
      </c>
      <c r="R12" s="280"/>
      <c r="S12" s="281"/>
      <c r="T12" s="281"/>
      <c r="U12" s="269">
        <f>'2026'!Hdf</f>
        <v>-1.4352075818972843</v>
      </c>
      <c r="V12" s="40"/>
      <c r="W12" s="34"/>
      <c r="X12" s="54"/>
      <c r="Y12" s="34"/>
      <c r="AB12" s="321" t="s">
        <v>106</v>
      </c>
      <c r="AC12" s="320" t="b">
        <f>NOT(An_Tnet)</f>
        <v>1</v>
      </c>
      <c r="AE12" s="298">
        <f>'2026'!Df_s</f>
        <v>0.9</v>
      </c>
      <c r="AF12" s="205"/>
      <c r="AG12" s="205"/>
      <c r="AH12" s="205"/>
      <c r="AI12" s="299">
        <f>'2026'!Hdf_s</f>
        <v>3.2004480704096947</v>
      </c>
      <c r="AJ12" s="860">
        <f>IF($AJ8=0,0,($AJ10-$AJ8)*$AJ6/$AJ8)</f>
        <v>1058.2640986000511</v>
      </c>
      <c r="AK12" s="861">
        <f>IF($AK8=0,0,($AK10-$AK8)*$AK6/$AK8)</f>
        <v>37.976926550608241</v>
      </c>
      <c r="AL12" s="860">
        <f>IF($AL8=0,0,($AL10-$AL8)*$AL6/$AL8)</f>
        <v>1771.1200668033666</v>
      </c>
      <c r="AM12" s="861">
        <f>IF($AM8=0,0,($AM10-$AM8)*$AM6/$AM8)</f>
        <v>303.09065223694182</v>
      </c>
      <c r="AN12" s="859" t="s">
        <v>274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205</v>
      </c>
      <c r="V13" s="124" t="s">
        <v>41</v>
      </c>
      <c r="W13" s="864" t="s">
        <v>46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209</v>
      </c>
      <c r="AJ13" s="73">
        <f>+AJ11+AJ12</f>
        <v>1058.2640986000511</v>
      </c>
      <c r="AK13" s="73">
        <f>+AK11+AK12</f>
        <v>37.976926550608241</v>
      </c>
      <c r="AL13" s="73">
        <f>+AL11+AL12</f>
        <v>1771.1200668033666</v>
      </c>
      <c r="AM13" s="73">
        <f>+AM11+AM12</f>
        <v>303.09065223694182</v>
      </c>
      <c r="AN13" s="858" t="s">
        <v>275</v>
      </c>
    </row>
    <row r="14" spans="1:40" s="46" customFormat="1" ht="40.5" customHeight="1" thickBot="1" x14ac:dyDescent="0.25">
      <c r="A14" s="45" t="s">
        <v>2</v>
      </c>
      <c r="B14" s="418" t="s">
        <v>190</v>
      </c>
      <c r="C14" s="418"/>
      <c r="D14" s="53" t="s">
        <v>30</v>
      </c>
      <c r="E14" s="162" t="s">
        <v>29</v>
      </c>
      <c r="F14" s="162" t="str">
        <f>"Hors pertes "&amp; TEXT(An,0)</f>
        <v>Hors pertes 2027</v>
      </c>
      <c r="G14" s="107" t="s">
        <v>42</v>
      </c>
      <c r="H14" s="415" t="s">
        <v>117</v>
      </c>
      <c r="I14" s="417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206</v>
      </c>
      <c r="S14" s="174" t="s">
        <v>207</v>
      </c>
      <c r="T14" s="174" t="s">
        <v>208</v>
      </c>
      <c r="U14" s="108" t="s">
        <v>204</v>
      </c>
      <c r="V14" s="45" t="str">
        <f>"Enveloppe "&amp; TEXT(An,0)</f>
        <v>Enveloppe 2027</v>
      </c>
      <c r="W14" s="865" t="s">
        <v>116</v>
      </c>
      <c r="X14" s="260" t="s">
        <v>2</v>
      </c>
      <c r="Y14" s="107" t="str">
        <f>"Wh / Jour "&amp; TEXT(An,0)</f>
        <v>Wh / Jour 2027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206</v>
      </c>
      <c r="AG14" s="174" t="s">
        <v>207</v>
      </c>
      <c r="AH14" s="174" t="s">
        <v>208</v>
      </c>
      <c r="AI14" s="108" t="s">
        <v>211</v>
      </c>
      <c r="AJ14" s="705" t="s">
        <v>258</v>
      </c>
      <c r="AK14" s="705" t="s">
        <v>259</v>
      </c>
      <c r="AL14" s="267"/>
      <c r="AM14" s="267"/>
      <c r="AN14" s="75"/>
    </row>
    <row r="15" spans="1:40" s="6" customFormat="1" ht="11.25" x14ac:dyDescent="0.2">
      <c r="A15" s="129">
        <f>DATE(An,1,1)</f>
        <v>46388</v>
      </c>
      <c r="B15" s="412">
        <f>'2026'!Wh/'2026'!Env_an*'2027'!Env_an</f>
        <v>16.094711358234004</v>
      </c>
      <c r="C15" s="868"/>
      <c r="D15" s="395">
        <f t="shared" ref="D15:D78" si="0">Wh/(1-Ppv)</f>
        <v>17.288668828686301</v>
      </c>
      <c r="E15" s="402">
        <f t="shared" ref="E15:E79" si="1">Wh_pvt/(1-Psa)</f>
        <v>18.566884550192604</v>
      </c>
      <c r="F15" s="402">
        <f t="shared" ref="F15:F78" si="2">Wh_sa/(1-Pvg*MEDIAN((-Sdif+Wh/Env_an)/Csdif,0,1))</f>
        <v>19.096733183956804</v>
      </c>
      <c r="G15" s="123">
        <f>+Wh_hp/MaxiM</f>
        <v>1.0132092907872867</v>
      </c>
      <c r="H15" s="416" t="b">
        <f>Wh_hp&gt;='2026'!Maxi_hp</f>
        <v>1</v>
      </c>
      <c r="I15" s="398">
        <f>IF(H15,Wh_hp,'2026'!Maxi_hp)</f>
        <v>19.096733183956804</v>
      </c>
      <c r="J15" s="84">
        <f>IF(H15,An,'2026'!An_max)</f>
        <v>2027</v>
      </c>
      <c r="K15" s="199">
        <f t="shared" ref="K15:K78" si="3">t</f>
        <v>46388</v>
      </c>
      <c r="L15" s="146">
        <f>IF(t&lt;Tvie,1-EXP((T0-t)*PertePVj)+'2026'!Pspv,1-EXP((T0-t)*PertePVj)+Pspv)</f>
        <v>6.9060115748831863E-2</v>
      </c>
      <c r="M15" s="872"/>
      <c r="N15" s="872"/>
      <c r="O15" s="48">
        <f>IF(t&lt;Tnet,'2026'!Resal+('2026'!Salim-'2026'!Resal)*(1-EXP(('2026'!Tnet-t)/('2026'!Tau_j))),Resal+(Salim-Resal)*(1-EXP((Tnet-t)/(Tau_j))))*Salcycl</f>
        <v>6.8843844967681589E-2</v>
      </c>
      <c r="P15" s="304">
        <f>(INDEX(Models!$BJ15:$BT15,,T15)*(1-R15)+INDEX(Models!$BJ15:$BT15,,T15+1)*R15-ERP_i)*Q15*Ramure*Pc/MaxiM</f>
        <v>2.7745511688319961E-2</v>
      </c>
      <c r="Q15" s="305">
        <f t="shared" ref="Q15:Q78" si="4">IF(OR(t&lt;Ttai,Notai),Dd+PousD*Croivg,Dens+PousD*(Croivg-Croi_tai))</f>
        <v>0.9</v>
      </c>
      <c r="R15" s="306">
        <f t="shared" ref="R15:R78" si="5">(Hp_vg-S15)/(INDEX(Echel_vg,T15+1)-S15)</f>
        <v>0.56479409180023699</v>
      </c>
      <c r="S15" s="838">
        <f t="shared" ref="S15:S78" si="6">INDEX(Echel_vg,T15)</f>
        <v>-2</v>
      </c>
      <c r="T15" s="251">
        <f t="shared" ref="T15:T78" si="7">MIN(MATCH(Hp_vg,Echel_vg),10)</f>
        <v>4</v>
      </c>
      <c r="U15" s="253">
        <f t="shared" ref="U15:U78" si="8">IF(OR(t&lt;Ttai,Notai),Hdd+PousH*Croivg,Hdtf+PousH*(Croivg-Croi_tai))</f>
        <v>-1.435205908199763</v>
      </c>
      <c r="V15" s="384">
        <f t="shared" ref="V15:V78" si="9">MaxiM*(1-Ppv)*(1-Pvg)*(1-Psa)</f>
        <v>15.884883315398783</v>
      </c>
      <c r="W15" s="404">
        <f t="shared" ref="W15:W78" si="10">Wh*(A15&gt;Tmaj)</f>
        <v>16.094711358234004</v>
      </c>
      <c r="X15" s="156">
        <f t="shared" ref="X15:X78" si="11">t</f>
        <v>46388</v>
      </c>
      <c r="Y15" s="387">
        <f t="shared" ref="Y15:Y78" si="12">Wh_pvt_s*(1-Ppv)</f>
        <v>11.101739237939226</v>
      </c>
      <c r="Z15" s="387">
        <f>Wh_sa_s*(1-Psa_s)</f>
        <v>11.925301972499838</v>
      </c>
      <c r="AA15" s="388">
        <f t="shared" ref="AA15:AA78" si="13">Wh_hp*(1-Pvg_s*MEDIAN((-Sdif+Wh/Env_an)/Csdif,0,1))</f>
        <v>14.065812328833116</v>
      </c>
      <c r="AB15" s="199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0.15217822520961027</v>
      </c>
      <c r="AD15" s="233">
        <f>(INDEX(Models!$BJ15:$BT15,,AH15)*(1-AF15)+INDEX(Models!$BJ15:$BT15,,AH15+1)*AF15-ERP_i)*AE15*Ramure*Pc/MaxiM</f>
        <v>0.2634440564604093</v>
      </c>
      <c r="AE15" s="305">
        <f t="shared" ref="AE15:AE78" si="15">IF(OR(t&lt;Ttai,Notai),Dd_s+PousD*Croivg,Dens_s+PousD*(Croivg-Croi_tai))</f>
        <v>0.9</v>
      </c>
      <c r="AF15" s="306">
        <f>(Hp_vg_s-AG15)/(INDEX(Echel_vg,AH15+1)-AG15)</f>
        <v>0.20044974410721572</v>
      </c>
      <c r="AG15" s="838">
        <f>INDEX(Echel_vg,AH15)</f>
        <v>3</v>
      </c>
      <c r="AH15" s="251">
        <f t="shared" ref="AH15:AH78" si="16">MIN(MATCH(Hp_vg_s,Echel_vg),10)</f>
        <v>9</v>
      </c>
      <c r="AI15" s="226">
        <f t="shared" ref="AI15:AI78" si="17">IF(OR(t&lt;Ttai,Notai),Hdd_s+PousH*Croivg,Hdtai_s+PousH*(Croivg-Croi_tai))</f>
        <v>3.2004497441072157</v>
      </c>
      <c r="AJ15" s="267" t="b">
        <f t="shared" ref="AJ15:AJ78" si="18">t&lt;Tnet</f>
        <v>0</v>
      </c>
      <c r="AK15" s="267" t="b">
        <f t="shared" ref="AK15:AK78" si="19">t&lt;Ttai</f>
        <v>0</v>
      </c>
      <c r="AL15" s="267"/>
      <c r="AM15" s="267"/>
      <c r="AN15" s="75"/>
    </row>
    <row r="16" spans="1:40" s="6" customFormat="1" ht="11.25" x14ac:dyDescent="0.2">
      <c r="A16" s="56">
        <f t="shared" ref="A16:A79" si="20">A15+1</f>
        <v>46389</v>
      </c>
      <c r="B16" s="413">
        <f>'2026'!Wh/'2026'!Env_an*'2027'!Env_an</f>
        <v>13.776395531792742</v>
      </c>
      <c r="C16" s="868"/>
      <c r="D16" s="395">
        <f t="shared" si="0"/>
        <v>14.798717263237107</v>
      </c>
      <c r="E16" s="387">
        <f t="shared" si="1"/>
        <v>15.895605196898774</v>
      </c>
      <c r="F16" s="387">
        <f t="shared" si="2"/>
        <v>16.253019658054033</v>
      </c>
      <c r="G16" s="110">
        <f t="shared" ref="G16:G79" si="21">+Wh_hp/MaxiM</f>
        <v>0.85621987736445027</v>
      </c>
      <c r="H16" s="416" t="b">
        <f>Wh_hp&gt;='2026'!Maxi_hp</f>
        <v>0</v>
      </c>
      <c r="I16" s="392">
        <f>IF(H16,Wh_hp,'2026'!Maxi_hp)</f>
        <v>17.78447596879985</v>
      </c>
      <c r="J16" s="85">
        <f>IF(H16,An,'2026'!An_max)</f>
        <v>2020</v>
      </c>
      <c r="K16" s="199">
        <f t="shared" si="3"/>
        <v>46389</v>
      </c>
      <c r="L16" s="147">
        <f>IF(t&lt;Tvie,1-EXP((T0-t)*PertePVj)+'2026'!Pspv,1-EXP((T0-t)*PertePVj)+Pspv)</f>
        <v>6.9081780079954025E-2</v>
      </c>
      <c r="M16" s="872"/>
      <c r="N16" s="872"/>
      <c r="O16" s="48">
        <f>IF(t&lt;Tnet,'2026'!Resal+('2026'!Salim-'2026'!Resal)*(1-EXP(('2026'!Tnet-t)/('2026'!Tau_j))),Resal+(Salim-Resal)*(1-EXP((Tnet-t)/(Tau_j))))*Salcycl</f>
        <v>6.9005735866896706E-2</v>
      </c>
      <c r="P16" s="171">
        <f>(INDEX(Models!$BJ16:$BT16,,T16)*(1-R16)+INDEX(Models!$BJ16:$BT16,,T16+1)*R16-ERP_i)*Q16*Ramure*Pc/MaxiM</f>
        <v>2.743852784415381E-2</v>
      </c>
      <c r="Q16" s="307">
        <f t="shared" si="4"/>
        <v>0.9</v>
      </c>
      <c r="R16" s="179">
        <f t="shared" si="5"/>
        <v>0.56483499225982881</v>
      </c>
      <c r="S16" s="839">
        <f t="shared" si="6"/>
        <v>-2</v>
      </c>
      <c r="T16" s="178">
        <f t="shared" si="7"/>
        <v>4</v>
      </c>
      <c r="U16" s="253">
        <f t="shared" si="8"/>
        <v>-1.4351650077401712</v>
      </c>
      <c r="V16" s="385">
        <f t="shared" si="9"/>
        <v>16.000160956102242</v>
      </c>
      <c r="W16" s="404">
        <f t="shared" si="10"/>
        <v>13.776395531792742</v>
      </c>
      <c r="X16" s="157">
        <f t="shared" si="11"/>
        <v>46389</v>
      </c>
      <c r="Y16" s="387">
        <f t="shared" si="12"/>
        <v>10.141013245641661</v>
      </c>
      <c r="Z16" s="387">
        <f t="shared" ref="Z16:Z78" si="22">Wh_sa_s*(1-Psa_s)</f>
        <v>10.893559744176716</v>
      </c>
      <c r="AA16" s="388">
        <f t="shared" si="13"/>
        <v>12.849879075691073</v>
      </c>
      <c r="AB16" s="199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0.15224418222076888</v>
      </c>
      <c r="AD16" s="233">
        <f>(INDEX(Models!$BJ16:$BT16,,AH16)*(1-AF16)+INDEX(Models!$BJ16:$BT16,,AH16+1)*AF16-ERP_i)*AE16*Ramure*Pc/MaxiM</f>
        <v>0.26125738540325366</v>
      </c>
      <c r="AE16" s="307">
        <f t="shared" si="15"/>
        <v>0.9</v>
      </c>
      <c r="AF16" s="179">
        <f t="shared" ref="AF16:AF78" si="23">(Hp_vg_s-AG16)/(INDEX(Echel_vg,AH16+1)-AG16)</f>
        <v>0.20049064456680776</v>
      </c>
      <c r="AG16" s="839">
        <f t="shared" ref="AG16:AG79" si="24">INDEX(Echel_vg,AH16)</f>
        <v>3</v>
      </c>
      <c r="AH16" s="178">
        <f t="shared" si="16"/>
        <v>9</v>
      </c>
      <c r="AI16" s="227">
        <f t="shared" si="17"/>
        <v>3.2004906445668078</v>
      </c>
      <c r="AJ16" s="267" t="b">
        <f t="shared" si="18"/>
        <v>0</v>
      </c>
      <c r="AK16" s="267" t="b">
        <f t="shared" si="19"/>
        <v>0</v>
      </c>
      <c r="AL16" s="267"/>
      <c r="AM16" s="267"/>
      <c r="AN16" s="75"/>
    </row>
    <row r="17" spans="1:40" s="6" customFormat="1" ht="11.25" x14ac:dyDescent="0.2">
      <c r="A17" s="56">
        <f t="shared" si="20"/>
        <v>46390</v>
      </c>
      <c r="B17" s="413">
        <f>'2026'!Wh/'2026'!Env_an*'2027'!Env_an</f>
        <v>13.371310127484913</v>
      </c>
      <c r="C17" s="868"/>
      <c r="D17" s="395">
        <f t="shared" si="0"/>
        <v>14.363905462926493</v>
      </c>
      <c r="E17" s="387">
        <f t="shared" si="1"/>
        <v>15.431248579139467</v>
      </c>
      <c r="F17" s="387">
        <f t="shared" si="2"/>
        <v>15.754323573193272</v>
      </c>
      <c r="G17" s="110">
        <f t="shared" si="21"/>
        <v>0.82372256628713125</v>
      </c>
      <c r="H17" s="416" t="b">
        <f>Wh_hp&gt;='2026'!Maxi_hp</f>
        <v>0</v>
      </c>
      <c r="I17" s="392">
        <f>IF(H17,Wh_hp,'2026'!Maxi_hp)</f>
        <v>19.408966249247889</v>
      </c>
      <c r="J17" s="85">
        <f>IF(H17,An,'2026'!An_max)</f>
        <v>2019</v>
      </c>
      <c r="K17" s="199">
        <f t="shared" si="3"/>
        <v>46390</v>
      </c>
      <c r="L17" s="147">
        <f>IF(t&lt;Tvie,1-EXP((T0-t)*PertePVj)+'2026'!Pspv,1-EXP((T0-t)*PertePVj)+Pspv)</f>
        <v>6.9103443906915585E-2</v>
      </c>
      <c r="M17" s="872"/>
      <c r="N17" s="872"/>
      <c r="O17" s="48">
        <f>IF(t&lt;Tnet,'2026'!Resal+('2026'!Salim-'2026'!Resal)*(1-EXP(('2026'!Tnet-t)/('2026'!Tau_j))),Resal+(Salim-Resal)*(1-EXP((Tnet-t)/(Tau_j))))*Salcycl</f>
        <v>6.9167644519436258E-2</v>
      </c>
      <c r="P17" s="171">
        <f>(INDEX(Models!$BJ17:$BT17,,T17)*(1-R17)+INDEX(Models!$BJ17:$BT17,,T17+1)*R17-ERP_i)*Q17*Ramure*Pc/MaxiM</f>
        <v>2.7119538956099382E-2</v>
      </c>
      <c r="Q17" s="307">
        <f t="shared" si="4"/>
        <v>0.9</v>
      </c>
      <c r="R17" s="179">
        <f t="shared" si="5"/>
        <v>0.56487760349351412</v>
      </c>
      <c r="S17" s="839">
        <f t="shared" si="6"/>
        <v>-2</v>
      </c>
      <c r="T17" s="178">
        <f t="shared" si="7"/>
        <v>4</v>
      </c>
      <c r="U17" s="253">
        <f t="shared" si="8"/>
        <v>-1.4351223965064859</v>
      </c>
      <c r="V17" s="385">
        <f t="shared" si="9"/>
        <v>16.12319746476247</v>
      </c>
      <c r="W17" s="404">
        <f t="shared" si="10"/>
        <v>13.371310127484913</v>
      </c>
      <c r="X17" s="157">
        <f t="shared" si="11"/>
        <v>46390</v>
      </c>
      <c r="Y17" s="387">
        <f t="shared" si="12"/>
        <v>9.9981405859348538</v>
      </c>
      <c r="Z17" s="387">
        <f t="shared" si="22"/>
        <v>10.740334702597284</v>
      </c>
      <c r="AA17" s="388">
        <f t="shared" si="13"/>
        <v>12.670128708850868</v>
      </c>
      <c r="AB17" s="199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0.152310529008715</v>
      </c>
      <c r="AD17" s="233">
        <f>(INDEX(Models!$BJ17:$BT17,,AH17)*(1-AF17)+INDEX(Models!$BJ17:$BT17,,AH17+1)*AF17-ERP_i)*AE17*Ramure*Pc/MaxiM</f>
        <v>0.25889327342309199</v>
      </c>
      <c r="AE17" s="307">
        <f t="shared" si="15"/>
        <v>0.9</v>
      </c>
      <c r="AF17" s="179">
        <f>(Hp_vg_s-AG17)/(INDEX(Echel_vg,AH17+1)-AG17)</f>
        <v>0.2005332558004933</v>
      </c>
      <c r="AG17" s="839">
        <f>INDEX(Echel_vg,AH17)</f>
        <v>3</v>
      </c>
      <c r="AH17" s="178">
        <f t="shared" si="16"/>
        <v>9</v>
      </c>
      <c r="AI17" s="227">
        <f t="shared" si="17"/>
        <v>3.2005332558004933</v>
      </c>
      <c r="AJ17" s="267" t="b">
        <f t="shared" si="18"/>
        <v>0</v>
      </c>
      <c r="AK17" s="267" t="b">
        <f t="shared" si="19"/>
        <v>0</v>
      </c>
      <c r="AL17" s="267"/>
      <c r="AM17" s="267"/>
      <c r="AN17" s="75"/>
    </row>
    <row r="18" spans="1:40" s="6" customFormat="1" ht="11.25" x14ac:dyDescent="0.2">
      <c r="A18" s="56">
        <f t="shared" si="20"/>
        <v>46391</v>
      </c>
      <c r="B18" s="413">
        <f>'2026'!Wh/'2026'!Env_an*'2027'!Env_an</f>
        <v>14.032092018676527</v>
      </c>
      <c r="C18" s="868"/>
      <c r="D18" s="395">
        <f t="shared" si="0"/>
        <v>15.074090114212019</v>
      </c>
      <c r="E18" s="387">
        <f t="shared" si="1"/>
        <v>16.197022387808943</v>
      </c>
      <c r="F18" s="387">
        <f t="shared" si="2"/>
        <v>16.553898669838816</v>
      </c>
      <c r="G18" s="110">
        <f t="shared" si="21"/>
        <v>0.85869787355779092</v>
      </c>
      <c r="H18" s="416" t="b">
        <f>Wh_hp&gt;='2026'!Maxi_hp</f>
        <v>0</v>
      </c>
      <c r="I18" s="392">
        <f>IF(H18,Wh_hp,'2026'!Maxi_hp)</f>
        <v>19.187961348193991</v>
      </c>
      <c r="J18" s="85">
        <f>IF(H18,An,'2026'!An_max)</f>
        <v>2019</v>
      </c>
      <c r="K18" s="199">
        <f t="shared" si="3"/>
        <v>46391</v>
      </c>
      <c r="L18" s="147">
        <f>IF(t&lt;Tvie,1-EXP((T0-t)*PertePVj)+'2026'!Pspv,1-EXP((T0-t)*PertePVj)+Pspv)</f>
        <v>6.91251072297282E-2</v>
      </c>
      <c r="M18" s="872"/>
      <c r="N18" s="872"/>
      <c r="O18" s="48">
        <f>IF(t&lt;Tnet,'2026'!Resal+('2026'!Salim-'2026'!Resal)*(1-EXP(('2026'!Tnet-t)/('2026'!Tau_j))),Resal+(Salim-Resal)*(1-EXP((Tnet-t)/(Tau_j))))*Salcycl</f>
        <v>6.9329550006803978E-2</v>
      </c>
      <c r="P18" s="171">
        <f>(INDEX(Models!$BJ18:$BT18,,T18)*(1-R18)+INDEX(Models!$BJ18:$BT18,,T18+1)*R18-ERP_i)*Q18*Ramure*Pc/MaxiM</f>
        <v>2.6789543102569174E-2</v>
      </c>
      <c r="Q18" s="307">
        <f t="shared" si="4"/>
        <v>0.9</v>
      </c>
      <c r="R18" s="179">
        <f t="shared" si="5"/>
        <v>0.56492199683732736</v>
      </c>
      <c r="S18" s="839">
        <f t="shared" si="6"/>
        <v>-2</v>
      </c>
      <c r="T18" s="178">
        <f t="shared" si="7"/>
        <v>4</v>
      </c>
      <c r="U18" s="253">
        <f t="shared" si="8"/>
        <v>-1.4350780031626726</v>
      </c>
      <c r="V18" s="385">
        <f t="shared" si="9"/>
        <v>16.253762637581609</v>
      </c>
      <c r="W18" s="404">
        <f t="shared" si="10"/>
        <v>14.032092018676527</v>
      </c>
      <c r="X18" s="157">
        <f t="shared" si="11"/>
        <v>46391</v>
      </c>
      <c r="Y18" s="387">
        <f t="shared" si="12"/>
        <v>10.366903545044643</v>
      </c>
      <c r="Z18" s="387">
        <f>Wh_sa_s*(1-Psa_s)</f>
        <v>11.13673128962891</v>
      </c>
      <c r="AA18" s="388">
        <f t="shared" si="13"/>
        <v>13.138782375782609</v>
      </c>
      <c r="AB18" s="199">
        <f>t</f>
        <v>46391</v>
      </c>
      <c r="AC18" s="119">
        <f>IF(OR(t&lt;Tnet,NoTnet),'2026'!Resal_s+('2026'!Salim-'2026'!Resal_s)*(1-EXP(('2026'!Tnet_s-t)/'2026'!Tau_j)),Resal_s+(Salim-Resal_s)*(1-EXP((Tnet_s-t)/Tau_j)))*Salcycl</f>
        <v>0.15237721646443261</v>
      </c>
      <c r="AD18" s="233">
        <f>(INDEX(Models!$BJ18:$BT18,,AH18)*(1-AF18)+INDEX(Models!$BJ18:$BT18,,AH18+1)*AF18-ERP_i)*AE18*Ramure*Pc/MaxiM</f>
        <v>0.2563616854544763</v>
      </c>
      <c r="AE18" s="307">
        <f t="shared" si="15"/>
        <v>0.9</v>
      </c>
      <c r="AF18" s="179">
        <f t="shared" si="23"/>
        <v>0.20057764914430631</v>
      </c>
      <c r="AG18" s="839">
        <f t="shared" si="24"/>
        <v>3</v>
      </c>
      <c r="AH18" s="178">
        <f t="shared" si="16"/>
        <v>9</v>
      </c>
      <c r="AI18" s="227">
        <f t="shared" si="17"/>
        <v>3.2005776491443063</v>
      </c>
      <c r="AJ18" s="267" t="b">
        <f t="shared" si="18"/>
        <v>0</v>
      </c>
      <c r="AK18" s="267" t="b">
        <f t="shared" si="19"/>
        <v>0</v>
      </c>
      <c r="AL18" s="267"/>
      <c r="AM18" s="267"/>
      <c r="AN18" s="75"/>
    </row>
    <row r="19" spans="1:40" s="6" customFormat="1" ht="11.25" x14ac:dyDescent="0.2">
      <c r="A19" s="56">
        <f t="shared" si="20"/>
        <v>46392</v>
      </c>
      <c r="B19" s="413">
        <f>'2026'!Wh/'2026'!Env_an*'2027'!Env_an</f>
        <v>11.08115026929964</v>
      </c>
      <c r="C19" s="868"/>
      <c r="D19" s="395">
        <f t="shared" si="0"/>
        <v>11.904293730469035</v>
      </c>
      <c r="E19" s="387">
        <f t="shared" si="1"/>
        <v>12.793319875888447</v>
      </c>
      <c r="F19" s="387">
        <f t="shared" si="2"/>
        <v>12.977708695703832</v>
      </c>
      <c r="G19" s="110">
        <f t="shared" si="21"/>
        <v>0.66763029387991701</v>
      </c>
      <c r="H19" s="416" t="b">
        <f>Wh_hp&gt;='2026'!Maxi_hp</f>
        <v>0</v>
      </c>
      <c r="I19" s="392">
        <f>IF(H19,Wh_hp,'2026'!Maxi_hp)</f>
        <v>19.412334573306765</v>
      </c>
      <c r="J19" s="85">
        <f>IF(H19,An,'2026'!An_max)</f>
        <v>2019</v>
      </c>
      <c r="K19" s="199">
        <f t="shared" si="3"/>
        <v>46392</v>
      </c>
      <c r="L19" s="147">
        <f>IF(t&lt;Tvie,1-EXP((T0-t)*PertePVj)+'2026'!Pspv,1-EXP((T0-t)*PertePVj)+Pspv)</f>
        <v>6.9146770048403638E-2</v>
      </c>
      <c r="M19" s="872"/>
      <c r="N19" s="872"/>
      <c r="O19" s="48">
        <f>IF(t&lt;Tnet,'2026'!Resal+('2026'!Salim-'2026'!Resal)*(1-EXP(('2026'!Tnet-t)/('2026'!Tau_j))),Resal+(Salim-Resal)*(1-EXP((Tnet-t)/(Tau_j))))*Salcycl</f>
        <v>6.9491434126880317E-2</v>
      </c>
      <c r="P19" s="171">
        <f>(INDEX(Models!$BJ19:$BT19,,T19)*(1-R19)+INDEX(Models!$BJ19:$BT19,,T19+1)*R19-ERP_i)*Q19*Ramure*Pc/MaxiM</f>
        <v>2.6449520955710452E-2</v>
      </c>
      <c r="Q19" s="307">
        <f t="shared" si="4"/>
        <v>0.9</v>
      </c>
      <c r="R19" s="179">
        <f t="shared" si="5"/>
        <v>0.56496824658291378</v>
      </c>
      <c r="S19" s="839">
        <f t="shared" si="6"/>
        <v>-2</v>
      </c>
      <c r="T19" s="178">
        <f t="shared" si="7"/>
        <v>4</v>
      </c>
      <c r="U19" s="253">
        <f t="shared" si="8"/>
        <v>-1.4350317534170862</v>
      </c>
      <c r="V19" s="385">
        <f t="shared" si="9"/>
        <v>16.391626404717542</v>
      </c>
      <c r="W19" s="404">
        <f t="shared" si="10"/>
        <v>11.08115026929964</v>
      </c>
      <c r="X19" s="157">
        <f t="shared" si="11"/>
        <v>46392</v>
      </c>
      <c r="Y19" s="387">
        <f t="shared" si="12"/>
        <v>8.8435530821664088</v>
      </c>
      <c r="Z19" s="387">
        <f t="shared" si="22"/>
        <v>9.5004806317600323</v>
      </c>
      <c r="AA19" s="388">
        <f t="shared" si="13"/>
        <v>11.209268643057355</v>
      </c>
      <c r="AB19" s="199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0.15244420182182788</v>
      </c>
      <c r="AD19" s="233">
        <f>(INDEX(Models!$BJ19:$BT19,,AH19)*(1-AF19)+INDEX(Models!$BJ19:$BT19,,AH19+1)*AF19-ERP_i)*AE19*Ramure*Pc/MaxiM</f>
        <v>0.25367260486955057</v>
      </c>
      <c r="AE19" s="307">
        <f t="shared" si="15"/>
        <v>0.9</v>
      </c>
      <c r="AF19" s="179">
        <f t="shared" si="23"/>
        <v>0.20062389888989252</v>
      </c>
      <c r="AG19" s="839">
        <f t="shared" si="24"/>
        <v>3</v>
      </c>
      <c r="AH19" s="178">
        <f t="shared" si="16"/>
        <v>9</v>
      </c>
      <c r="AI19" s="227">
        <f t="shared" si="17"/>
        <v>3.2006238988898925</v>
      </c>
      <c r="AJ19" s="267" t="b">
        <f t="shared" si="18"/>
        <v>0</v>
      </c>
      <c r="AK19" s="267" t="b">
        <f t="shared" si="19"/>
        <v>0</v>
      </c>
      <c r="AL19" s="267"/>
      <c r="AM19" s="267"/>
      <c r="AN19" s="75"/>
    </row>
    <row r="20" spans="1:40" s="6" customFormat="1" ht="11.25" x14ac:dyDescent="0.2">
      <c r="A20" s="56">
        <f t="shared" si="20"/>
        <v>46393</v>
      </c>
      <c r="B20" s="413">
        <f>'2026'!Wh/'2026'!Env_an*'2027'!Env_an</f>
        <v>16.938924828254056</v>
      </c>
      <c r="C20" s="868"/>
      <c r="D20" s="395">
        <f t="shared" si="0"/>
        <v>18.197626098193258</v>
      </c>
      <c r="E20" s="387">
        <f t="shared" si="1"/>
        <v>19.560047596326324</v>
      </c>
      <c r="F20" s="387">
        <f t="shared" si="2"/>
        <v>20.084255313401076</v>
      </c>
      <c r="G20" s="110">
        <f t="shared" si="21"/>
        <v>1.0243319064045417</v>
      </c>
      <c r="H20" s="416" t="b">
        <f>Wh_hp&gt;='2026'!Maxi_hp</f>
        <v>1</v>
      </c>
      <c r="I20" s="392">
        <f>IF(H20,Wh_hp,'2026'!Maxi_hp)</f>
        <v>20.084255313401076</v>
      </c>
      <c r="J20" s="85">
        <f>IF(H20,An,'2026'!An_max)</f>
        <v>2027</v>
      </c>
      <c r="K20" s="199">
        <f t="shared" si="3"/>
        <v>46393</v>
      </c>
      <c r="L20" s="147">
        <f>IF(t&lt;Tvie,1-EXP((T0-t)*PertePVj)+'2026'!Pspv,1-EXP((T0-t)*PertePVj)+Pspv)</f>
        <v>6.9168432362953669E-2</v>
      </c>
      <c r="M20" s="872"/>
      <c r="N20" s="872"/>
      <c r="O20" s="48">
        <f>IF(t&lt;Tnet,'2026'!Resal+('2026'!Salim-'2026'!Resal)*(1-EXP(('2026'!Tnet-t)/('2026'!Tau_j))),Resal+(Salim-Resal)*(1-EXP((Tnet-t)/(Tau_j))))*Salcycl</f>
        <v>6.9653281333985601E-2</v>
      </c>
      <c r="P20" s="171">
        <f>(INDEX(Models!$BJ20:$BT20,,T20)*(1-R20)+INDEX(Models!$BJ20:$BT20,,T20+1)*R20-ERP_i)*Q20*Ramure*Pc/MaxiM</f>
        <v>2.6100430854659469E-2</v>
      </c>
      <c r="Q20" s="307">
        <f t="shared" si="4"/>
        <v>0.9</v>
      </c>
      <c r="R20" s="179">
        <f t="shared" si="5"/>
        <v>0.56501643009836466</v>
      </c>
      <c r="S20" s="839">
        <f t="shared" si="6"/>
        <v>-2</v>
      </c>
      <c r="T20" s="178">
        <f t="shared" si="7"/>
        <v>4</v>
      </c>
      <c r="U20" s="253">
        <f t="shared" si="8"/>
        <v>-1.4349835699016353</v>
      </c>
      <c r="V20" s="385">
        <f t="shared" si="9"/>
        <v>16.536558826631264</v>
      </c>
      <c r="W20" s="404">
        <f t="shared" si="10"/>
        <v>16.938924828254056</v>
      </c>
      <c r="X20" s="157">
        <f t="shared" si="11"/>
        <v>46393</v>
      </c>
      <c r="Y20" s="387">
        <f t="shared" si="12"/>
        <v>11.869641285286058</v>
      </c>
      <c r="Z20" s="387">
        <f t="shared" si="22"/>
        <v>12.751653143240107</v>
      </c>
      <c r="AA20" s="388">
        <f t="shared" si="13"/>
        <v>15.046401653615991</v>
      </c>
      <c r="AB20" s="199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0.15251144846478326</v>
      </c>
      <c r="AD20" s="233">
        <f>(INDEX(Models!$BJ20:$BT20,,AH20)*(1-AF20)+INDEX(Models!$BJ20:$BT20,,AH20+1)*AF20-ERP_i)*AE20*Ramure*Pc/MaxiM</f>
        <v>0.25083596982675355</v>
      </c>
      <c r="AE20" s="307">
        <f t="shared" si="15"/>
        <v>0.9</v>
      </c>
      <c r="AF20" s="179">
        <f t="shared" si="23"/>
        <v>0.20067208240534384</v>
      </c>
      <c r="AG20" s="839">
        <f t="shared" si="24"/>
        <v>3</v>
      </c>
      <c r="AH20" s="178">
        <f t="shared" si="16"/>
        <v>9</v>
      </c>
      <c r="AI20" s="227">
        <f t="shared" si="17"/>
        <v>3.2006720824053438</v>
      </c>
      <c r="AJ20" s="267" t="b">
        <f t="shared" si="18"/>
        <v>0</v>
      </c>
      <c r="AK20" s="267" t="b">
        <f t="shared" si="19"/>
        <v>0</v>
      </c>
      <c r="AL20" s="267"/>
      <c r="AM20" s="267"/>
      <c r="AN20" s="75"/>
    </row>
    <row r="21" spans="1:40" s="6" customFormat="1" ht="11.25" x14ac:dyDescent="0.2">
      <c r="A21" s="56">
        <f t="shared" si="20"/>
        <v>46394</v>
      </c>
      <c r="B21" s="413">
        <f>'2026'!Wh/'2026'!Env_an*'2027'!Env_an</f>
        <v>8.4808493202252553</v>
      </c>
      <c r="C21" s="868"/>
      <c r="D21" s="395">
        <f t="shared" si="0"/>
        <v>9.1112581281500216</v>
      </c>
      <c r="E21" s="387">
        <f t="shared" si="1"/>
        <v>9.7951040906846263</v>
      </c>
      <c r="F21" s="387">
        <f t="shared" si="2"/>
        <v>9.8706780676964101</v>
      </c>
      <c r="G21" s="110">
        <f t="shared" si="21"/>
        <v>0.49892795920535532</v>
      </c>
      <c r="H21" s="416" t="b">
        <f>Wh_hp&gt;='2026'!Maxi_hp</f>
        <v>0</v>
      </c>
      <c r="I21" s="392">
        <f>IF(H21,Wh_hp,'2026'!Maxi_hp)</f>
        <v>11.638105968264961</v>
      </c>
      <c r="J21" s="85">
        <f>IF(H21,An,'2026'!An_max)</f>
        <v>2021</v>
      </c>
      <c r="K21" s="199">
        <f t="shared" si="3"/>
        <v>46394</v>
      </c>
      <c r="L21" s="147">
        <f>IF(t&lt;Tvie,1-EXP((T0-t)*PertePVj)+'2026'!Pspv,1-EXP((T0-t)*PertePVj)+Pspv)</f>
        <v>6.919009417339006E-2</v>
      </c>
      <c r="M21" s="872"/>
      <c r="N21" s="872"/>
      <c r="O21" s="48">
        <f>IF(t&lt;Tnet,'2026'!Resal+('2026'!Salim-'2026'!Resal)*(1-EXP(('2026'!Tnet-t)/('2026'!Tau_j))),Resal+(Salim-Resal)*(1-EXP((Tnet-t)/(Tau_j))))*Salcycl</f>
        <v>6.98150786559745E-2</v>
      </c>
      <c r="P21" s="171">
        <f>(INDEX(Models!$BJ21:$BT21,,T21)*(1-R21)+INDEX(Models!$BJ21:$BT21,,T21+1)*R21-ERP_i)*Q21*Ramure*Pc/MaxiM</f>
        <v>2.5743204528885361E-2</v>
      </c>
      <c r="Q21" s="307">
        <f t="shared" si="4"/>
        <v>0.9</v>
      </c>
      <c r="R21" s="179">
        <f t="shared" si="5"/>
        <v>0.56506662795385321</v>
      </c>
      <c r="S21" s="839">
        <f t="shared" si="6"/>
        <v>-2</v>
      </c>
      <c r="T21" s="178">
        <f t="shared" si="7"/>
        <v>4</v>
      </c>
      <c r="U21" s="253">
        <f t="shared" si="8"/>
        <v>-1.4349333720461468</v>
      </c>
      <c r="V21" s="385">
        <f t="shared" si="9"/>
        <v>16.688330078304276</v>
      </c>
      <c r="W21" s="404">
        <f t="shared" si="10"/>
        <v>8.4808493202252553</v>
      </c>
      <c r="X21" s="157">
        <f t="shared" si="11"/>
        <v>46394</v>
      </c>
      <c r="Y21" s="387">
        <f t="shared" si="12"/>
        <v>7.211914927778535</v>
      </c>
      <c r="Z21" s="387">
        <f t="shared" si="22"/>
        <v>7.747999760889912</v>
      </c>
      <c r="AA21" s="388">
        <f t="shared" si="13"/>
        <v>9.1430340780316524</v>
      </c>
      <c r="AB21" s="199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0.15257892568656695</v>
      </c>
      <c r="AD21" s="233">
        <f>(INDEX(Models!$BJ21:$BT21,,AH21)*(1-AF21)+INDEX(Models!$BJ21:$BT21,,AH21+1)*AF21-ERP_i)*AE21*Ramure*Pc/MaxiM</f>
        <v>0.24786161574153187</v>
      </c>
      <c r="AE21" s="307">
        <f t="shared" si="15"/>
        <v>0.9</v>
      </c>
      <c r="AF21" s="179">
        <f t="shared" si="23"/>
        <v>0.20072228026083216</v>
      </c>
      <c r="AG21" s="839">
        <f t="shared" si="24"/>
        <v>3</v>
      </c>
      <c r="AH21" s="178">
        <f t="shared" si="16"/>
        <v>9</v>
      </c>
      <c r="AI21" s="227">
        <f t="shared" si="17"/>
        <v>3.2007222802608322</v>
      </c>
      <c r="AJ21" s="267" t="b">
        <f t="shared" si="18"/>
        <v>0</v>
      </c>
      <c r="AK21" s="267" t="b">
        <f t="shared" si="19"/>
        <v>0</v>
      </c>
      <c r="AL21" s="267"/>
      <c r="AM21" s="267"/>
      <c r="AN21" s="75"/>
    </row>
    <row r="22" spans="1:40" s="6" customFormat="1" ht="11.25" x14ac:dyDescent="0.2">
      <c r="A22" s="56">
        <f t="shared" si="20"/>
        <v>46395</v>
      </c>
      <c r="B22" s="413">
        <f>'2026'!Wh/'2026'!Env_an*'2027'!Env_an</f>
        <v>6.8781580176260704</v>
      </c>
      <c r="C22" s="868"/>
      <c r="D22" s="395">
        <f t="shared" si="0"/>
        <v>7.3896055930219058</v>
      </c>
      <c r="E22" s="387">
        <f t="shared" si="1"/>
        <v>7.9456143856337311</v>
      </c>
      <c r="F22" s="387">
        <f t="shared" si="2"/>
        <v>7.9769293582651057</v>
      </c>
      <c r="G22" s="110">
        <f t="shared" si="21"/>
        <v>0.39948564493085792</v>
      </c>
      <c r="H22" s="416" t="b">
        <f>Wh_hp&gt;='2026'!Maxi_hp</f>
        <v>0</v>
      </c>
      <c r="I22" s="392">
        <f>IF(H22,Wh_hp,'2026'!Maxi_hp)</f>
        <v>14.643565191481343</v>
      </c>
      <c r="J22" s="85">
        <f>IF(H22,An,'2026'!An_max)</f>
        <v>2021</v>
      </c>
      <c r="K22" s="199">
        <f t="shared" si="3"/>
        <v>46395</v>
      </c>
      <c r="L22" s="147">
        <f>IF(t&lt;Tvie,1-EXP((T0-t)*PertePVj)+'2026'!Pspv,1-EXP((T0-t)*PertePVj)+Pspv)</f>
        <v>6.9211755479724357E-2</v>
      </c>
      <c r="M22" s="872"/>
      <c r="N22" s="872"/>
      <c r="O22" s="48">
        <f>IF(t&lt;Tnet,'2026'!Resal+('2026'!Salim-'2026'!Resal)*(1-EXP(('2026'!Tnet-t)/('2026'!Tau_j))),Resal+(Salim-Resal)*(1-EXP((Tnet-t)/(Tau_j))))*Salcycl</f>
        <v>6.997681558988457E-2</v>
      </c>
      <c r="P22" s="171">
        <f>(INDEX(Models!$BJ22:$BT22,,T22)*(1-R22)+INDEX(Models!$BJ22:$BT22,,T22+1)*R22-ERP_i)*Q22*Ramure*Pc/MaxiM</f>
        <v>2.5378743390438843E-2</v>
      </c>
      <c r="Q22" s="307">
        <f t="shared" si="4"/>
        <v>0.9</v>
      </c>
      <c r="R22" s="179">
        <f t="shared" si="5"/>
        <v>0.56511892405224917</v>
      </c>
      <c r="S22" s="839">
        <f t="shared" si="6"/>
        <v>-2</v>
      </c>
      <c r="T22" s="178">
        <f t="shared" si="7"/>
        <v>4</v>
      </c>
      <c r="U22" s="253">
        <f t="shared" si="8"/>
        <v>-1.4348810759477508</v>
      </c>
      <c r="V22" s="385">
        <f t="shared" si="9"/>
        <v>16.846710467657051</v>
      </c>
      <c r="W22" s="404">
        <f t="shared" si="10"/>
        <v>6.8781580176260704</v>
      </c>
      <c r="X22" s="157">
        <f t="shared" si="11"/>
        <v>46395</v>
      </c>
      <c r="Y22" s="387">
        <f t="shared" si="12"/>
        <v>6.0532595507069722</v>
      </c>
      <c r="Z22" s="387">
        <f t="shared" si="22"/>
        <v>6.5033691458219876</v>
      </c>
      <c r="AA22" s="388">
        <f t="shared" si="13"/>
        <v>7.6749195912044588</v>
      </c>
      <c r="AB22" s="199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0.15264660840552396</v>
      </c>
      <c r="AD22" s="233">
        <f>(INDEX(Models!$BJ22:$BT22,,AH22)*(1-AF22)+INDEX(Models!$BJ22:$BT22,,AH22+1)*AF22-ERP_i)*AE22*Ramure*Pc/MaxiM</f>
        <v>0.24475922332306255</v>
      </c>
      <c r="AE22" s="307">
        <f t="shared" si="15"/>
        <v>0.9</v>
      </c>
      <c r="AF22" s="179">
        <f t="shared" si="23"/>
        <v>0.20077457635922835</v>
      </c>
      <c r="AG22" s="839">
        <f t="shared" si="24"/>
        <v>3</v>
      </c>
      <c r="AH22" s="178">
        <f t="shared" si="16"/>
        <v>9</v>
      </c>
      <c r="AI22" s="227">
        <f t="shared" si="17"/>
        <v>3.2007745763592284</v>
      </c>
      <c r="AJ22" s="267" t="b">
        <f t="shared" si="18"/>
        <v>0</v>
      </c>
      <c r="AK22" s="267" t="b">
        <f t="shared" si="19"/>
        <v>0</v>
      </c>
      <c r="AL22" s="267"/>
      <c r="AM22" s="267"/>
      <c r="AN22" s="75"/>
    </row>
    <row r="23" spans="1:40" s="6" customFormat="1" ht="11.25" x14ac:dyDescent="0.2">
      <c r="A23" s="56">
        <f t="shared" si="20"/>
        <v>46396</v>
      </c>
      <c r="B23" s="413">
        <f>'2026'!Wh/'2026'!Env_an*'2027'!Env_an</f>
        <v>2.0719569092360541</v>
      </c>
      <c r="C23" s="868"/>
      <c r="D23" s="395">
        <f t="shared" si="0"/>
        <v>2.2260757374415339</v>
      </c>
      <c r="E23" s="387">
        <f t="shared" si="1"/>
        <v>2.3939863077293708</v>
      </c>
      <c r="F23" s="387">
        <f t="shared" si="2"/>
        <v>2.3939863077293708</v>
      </c>
      <c r="G23" s="110">
        <f t="shared" si="21"/>
        <v>0.11873817348024357</v>
      </c>
      <c r="H23" s="416" t="b">
        <f>Wh_hp&gt;='2026'!Maxi_hp</f>
        <v>0</v>
      </c>
      <c r="I23" s="392">
        <f>IF(H23,Wh_hp,'2026'!Maxi_hp)</f>
        <v>18.867508996859197</v>
      </c>
      <c r="J23" s="85">
        <f>IF(H23,An,'2026'!An_max)</f>
        <v>2020</v>
      </c>
      <c r="K23" s="199">
        <f t="shared" si="3"/>
        <v>46396</v>
      </c>
      <c r="L23" s="147">
        <f>IF(t&lt;Tvie,1-EXP((T0-t)*PertePVj)+'2026'!Pspv,1-EXP((T0-t)*PertePVj)+Pspv)</f>
        <v>6.9233416281968441E-2</v>
      </c>
      <c r="M23" s="872"/>
      <c r="N23" s="872"/>
      <c r="O23" s="48">
        <f>IF(t&lt;Tnet,'2026'!Resal+('2026'!Salim-'2026'!Resal)*(1-EXP(('2026'!Tnet-t)/('2026'!Tau_j))),Resal+(Salim-Resal)*(1-EXP((Tnet-t)/(Tau_j))))*Salcycl</f>
        <v>7.013848397783673E-2</v>
      </c>
      <c r="P23" s="171">
        <f>(INDEX(Models!$BJ23:$BT23,,T23)*(1-R23)+INDEX(Models!$BJ23:$BT23,,T23+1)*R23-ERP_i)*Q23*Ramure*Pc/MaxiM</f>
        <v>2.5005060075710493E-2</v>
      </c>
      <c r="Q23" s="307">
        <f t="shared" si="4"/>
        <v>0.9</v>
      </c>
      <c r="R23" s="179">
        <f t="shared" si="5"/>
        <v>0.56517340576489827</v>
      </c>
      <c r="S23" s="839">
        <f t="shared" si="6"/>
        <v>-2</v>
      </c>
      <c r="T23" s="178">
        <f t="shared" si="7"/>
        <v>4</v>
      </c>
      <c r="U23" s="253">
        <f t="shared" si="8"/>
        <v>-1.4348265942351017</v>
      </c>
      <c r="V23" s="385">
        <f t="shared" si="9"/>
        <v>17.013462840427206</v>
      </c>
      <c r="W23" s="404">
        <f t="shared" si="10"/>
        <v>2.0719569092360541</v>
      </c>
      <c r="X23" s="157">
        <f t="shared" si="11"/>
        <v>46396</v>
      </c>
      <c r="Y23" s="387">
        <f t="shared" si="12"/>
        <v>1.887957575999438</v>
      </c>
      <c r="Z23" s="387">
        <f t="shared" si="22"/>
        <v>2.0283899411792592</v>
      </c>
      <c r="AA23" s="388">
        <f t="shared" si="13"/>
        <v>2.3939863077293708</v>
      </c>
      <c r="AB23" s="199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0.1527144768412938</v>
      </c>
      <c r="AD23" s="233">
        <f>(INDEX(Models!$BJ23:$BT23,,AH23)*(1-AF23)+INDEX(Models!$BJ23:$BT23,,AH23+1)*AF23-ERP_i)*AE23*Ramure*Pc/MaxiM</f>
        <v>0.24151069434387867</v>
      </c>
      <c r="AE23" s="307">
        <f t="shared" si="15"/>
        <v>0.9</v>
      </c>
      <c r="AF23" s="179">
        <f t="shared" si="23"/>
        <v>0.20082905807187723</v>
      </c>
      <c r="AG23" s="839">
        <f t="shared" si="24"/>
        <v>3</v>
      </c>
      <c r="AH23" s="178">
        <f t="shared" si="16"/>
        <v>9</v>
      </c>
      <c r="AI23" s="227">
        <f t="shared" si="17"/>
        <v>3.2008290580718772</v>
      </c>
      <c r="AJ23" s="267" t="b">
        <f t="shared" si="18"/>
        <v>0</v>
      </c>
      <c r="AK23" s="267" t="b">
        <f t="shared" si="19"/>
        <v>0</v>
      </c>
      <c r="AL23" s="267"/>
      <c r="AM23" s="267"/>
      <c r="AN23" s="75"/>
    </row>
    <row r="24" spans="1:40" s="6" customFormat="1" ht="11.25" x14ac:dyDescent="0.2">
      <c r="A24" s="56">
        <f t="shared" si="20"/>
        <v>46397</v>
      </c>
      <c r="B24" s="413">
        <f>'2026'!Wh/'2026'!Env_an*'2027'!Env_an</f>
        <v>1.7521168501371751</v>
      </c>
      <c r="C24" s="868"/>
      <c r="D24" s="395">
        <f t="shared" si="0"/>
        <v>1.8824887528790553</v>
      </c>
      <c r="E24" s="387">
        <f t="shared" si="1"/>
        <v>2.0248347967547664</v>
      </c>
      <c r="F24" s="387">
        <f t="shared" si="2"/>
        <v>2.0248347967547664</v>
      </c>
      <c r="G24" s="110">
        <f t="shared" si="21"/>
        <v>9.9416582275865487E-2</v>
      </c>
      <c r="H24" s="416" t="b">
        <f>Wh_hp&gt;='2026'!Maxi_hp</f>
        <v>0</v>
      </c>
      <c r="I24" s="392">
        <f>IF(H24,Wh_hp,'2026'!Maxi_hp)</f>
        <v>10.733503548463755</v>
      </c>
      <c r="J24" s="85">
        <f>IF(H24,An,'2026'!An_max)</f>
        <v>2019</v>
      </c>
      <c r="K24" s="199">
        <f t="shared" si="3"/>
        <v>46397</v>
      </c>
      <c r="L24" s="147">
        <f>IF(t&lt;Tvie,1-EXP((T0-t)*PertePVj)+'2026'!Pspv,1-EXP((T0-t)*PertePVj)+Pspv)</f>
        <v>6.9255076580134078E-2</v>
      </c>
      <c r="M24" s="872"/>
      <c r="N24" s="872"/>
      <c r="O24" s="48">
        <f>IF(t&lt;Tnet,'2026'!Resal+('2026'!Salim-'2026'!Resal)*(1-EXP(('2026'!Tnet-t)/('2026'!Tau_j))),Resal+(Salim-Resal)*(1-EXP((Tnet-t)/(Tau_j))))*Salcycl</f>
        <v>7.0300077865044164E-2</v>
      </c>
      <c r="P24" s="171">
        <f>(INDEX(Models!$BJ24:$BT24,,T24)*(1-R24)+INDEX(Models!$BJ24:$BT24,,T24+1)*R24-ERP_i)*Q24*Ramure*Pc/MaxiM</f>
        <v>2.4626485092907154E-2</v>
      </c>
      <c r="Q24" s="307">
        <f t="shared" si="4"/>
        <v>0.9</v>
      </c>
      <c r="R24" s="179">
        <f t="shared" si="5"/>
        <v>0.56523016407275573</v>
      </c>
      <c r="S24" s="839">
        <f t="shared" si="6"/>
        <v>-2</v>
      </c>
      <c r="T24" s="178">
        <f t="shared" si="7"/>
        <v>4</v>
      </c>
      <c r="U24" s="253">
        <f t="shared" si="8"/>
        <v>-1.4347698359272443</v>
      </c>
      <c r="V24" s="385">
        <f t="shared" si="9"/>
        <v>17.189973056045321</v>
      </c>
      <c r="W24" s="404">
        <f t="shared" si="10"/>
        <v>1.7521168501371751</v>
      </c>
      <c r="X24" s="157">
        <f t="shared" si="11"/>
        <v>46397</v>
      </c>
      <c r="Y24" s="387">
        <f t="shared" si="12"/>
        <v>1.5966700586194942</v>
      </c>
      <c r="Z24" s="387">
        <f t="shared" si="22"/>
        <v>1.7154754417061961</v>
      </c>
      <c r="AA24" s="388">
        <f t="shared" si="13"/>
        <v>2.0248347967547664</v>
      </c>
      <c r="AB24" s="199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0.15278251615607619</v>
      </c>
      <c r="AD24" s="233">
        <f>(INDEX(Models!$BJ24:$BT24,,AH24)*(1-AF24)+INDEX(Models!$BJ24:$BT24,,AH24+1)*AF24-ERP_i)*AE24*Ramure*Pc/MaxiM</f>
        <v>0.23809087286105532</v>
      </c>
      <c r="AE24" s="307">
        <f t="shared" si="15"/>
        <v>0.9</v>
      </c>
      <c r="AF24" s="179">
        <f t="shared" si="23"/>
        <v>0.20088581637973491</v>
      </c>
      <c r="AG24" s="839">
        <f t="shared" si="24"/>
        <v>3</v>
      </c>
      <c r="AH24" s="178">
        <f t="shared" si="16"/>
        <v>9</v>
      </c>
      <c r="AI24" s="227">
        <f t="shared" si="17"/>
        <v>3.2008858163797349</v>
      </c>
      <c r="AJ24" s="267" t="b">
        <f t="shared" si="18"/>
        <v>0</v>
      </c>
      <c r="AK24" s="267" t="b">
        <f t="shared" si="19"/>
        <v>0</v>
      </c>
      <c r="AL24" s="267"/>
      <c r="AM24" s="267"/>
      <c r="AN24" s="75"/>
    </row>
    <row r="25" spans="1:40" s="6" customFormat="1" ht="11.25" x14ac:dyDescent="0.2">
      <c r="A25" s="56">
        <f t="shared" si="20"/>
        <v>46398</v>
      </c>
      <c r="B25" s="413">
        <f>'2026'!Wh/'2026'!Env_an*'2027'!Env_an</f>
        <v>17.744874973711372</v>
      </c>
      <c r="C25" s="868"/>
      <c r="D25" s="395">
        <f t="shared" si="0"/>
        <v>19.065683288697056</v>
      </c>
      <c r="E25" s="387">
        <f t="shared" si="1"/>
        <v>20.510915043567611</v>
      </c>
      <c r="F25" s="387">
        <f t="shared" si="2"/>
        <v>21.020658697052706</v>
      </c>
      <c r="G25" s="110">
        <f t="shared" si="21"/>
        <v>1.0212579859233324</v>
      </c>
      <c r="H25" s="416" t="b">
        <f>Wh_hp&gt;='2026'!Maxi_hp</f>
        <v>1</v>
      </c>
      <c r="I25" s="392">
        <f>IF(H25,Wh_hp,'2026'!Maxi_hp)</f>
        <v>21.020658697052706</v>
      </c>
      <c r="J25" s="85">
        <f>IF(H25,An,'2026'!An_max)</f>
        <v>2027</v>
      </c>
      <c r="K25" s="199">
        <f t="shared" si="3"/>
        <v>46398</v>
      </c>
      <c r="L25" s="147">
        <f>IF(t&lt;Tvie,1-EXP((T0-t)*PertePVj)+'2026'!Pspv,1-EXP((T0-t)*PertePVj)+Pspv)</f>
        <v>6.9276736374232817E-2</v>
      </c>
      <c r="M25" s="872"/>
      <c r="N25" s="872"/>
      <c r="O25" s="48">
        <f>IF(t&lt;Tnet,'2026'!Resal+('2026'!Salim-'2026'!Resal)*(1-EXP(('2026'!Tnet-t)/('2026'!Tau_j))),Resal+(Salim-Resal)*(1-EXP((Tnet-t)/(Tau_j))))*Salcycl</f>
        <v>7.0461593341921161E-2</v>
      </c>
      <c r="P25" s="171">
        <f>(INDEX(Models!$BJ25:$BT25,,T25)*(1-R25)+INDEX(Models!$BJ25:$BT25,,T25+1)*R25-ERP_i)*Q25*Ramure*Pc/MaxiM</f>
        <v>2.4249651775021044E-2</v>
      </c>
      <c r="Q25" s="307">
        <f t="shared" si="4"/>
        <v>0.9</v>
      </c>
      <c r="R25" s="179">
        <f t="shared" si="5"/>
        <v>0.56528929371306824</v>
      </c>
      <c r="S25" s="839">
        <f t="shared" si="6"/>
        <v>-2</v>
      </c>
      <c r="T25" s="178">
        <f t="shared" si="7"/>
        <v>4</v>
      </c>
      <c r="U25" s="253">
        <f t="shared" si="8"/>
        <v>-1.4347107062869318</v>
      </c>
      <c r="V25" s="385">
        <f t="shared" si="9"/>
        <v>17.375506696937119</v>
      </c>
      <c r="W25" s="404">
        <f t="shared" si="10"/>
        <v>17.744874973711372</v>
      </c>
      <c r="X25" s="157">
        <f t="shared" si="11"/>
        <v>46398</v>
      </c>
      <c r="Y25" s="387">
        <f t="shared" si="12"/>
        <v>12.6864258658844</v>
      </c>
      <c r="Z25" s="387">
        <f t="shared" si="22"/>
        <v>13.630717487884199</v>
      </c>
      <c r="AA25" s="388">
        <f t="shared" si="13"/>
        <v>16.090100937795452</v>
      </c>
      <c r="AB25" s="199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0.1528507160656892</v>
      </c>
      <c r="AD25" s="233">
        <f>(INDEX(Models!$BJ25:$BT25,,AH25)*(1-AF25)+INDEX(Models!$BJ25:$BT25,,AH25+1)*AF25-ERP_i)*AE25*Ramure*Pc/MaxiM</f>
        <v>0.23455771916170096</v>
      </c>
      <c r="AE25" s="307">
        <f t="shared" si="15"/>
        <v>0.9</v>
      </c>
      <c r="AF25" s="179">
        <f t="shared" si="23"/>
        <v>0.20094494602004698</v>
      </c>
      <c r="AG25" s="839">
        <f t="shared" si="24"/>
        <v>3</v>
      </c>
      <c r="AH25" s="178">
        <f t="shared" si="16"/>
        <v>9</v>
      </c>
      <c r="AI25" s="227">
        <f t="shared" si="17"/>
        <v>3.200944946020047</v>
      </c>
      <c r="AJ25" s="267" t="b">
        <f t="shared" si="18"/>
        <v>0</v>
      </c>
      <c r="AK25" s="267" t="b">
        <f t="shared" si="19"/>
        <v>0</v>
      </c>
      <c r="AL25" s="267"/>
      <c r="AM25" s="267"/>
      <c r="AN25" s="75"/>
    </row>
    <row r="26" spans="1:40" s="6" customFormat="1" ht="11.25" x14ac:dyDescent="0.2">
      <c r="A26" s="56">
        <f t="shared" si="20"/>
        <v>46399</v>
      </c>
      <c r="B26" s="413">
        <f>'2026'!Wh/'2026'!Env_an*'2027'!Env_an</f>
        <v>16.157308623033991</v>
      </c>
      <c r="C26" s="868"/>
      <c r="D26" s="395">
        <f t="shared" si="0"/>
        <v>17.360353251530139</v>
      </c>
      <c r="E26" s="387">
        <f t="shared" si="1"/>
        <v>18.67956037379243</v>
      </c>
      <c r="F26" s="387">
        <f t="shared" si="2"/>
        <v>19.082866968215033</v>
      </c>
      <c r="G26" s="110">
        <f t="shared" si="21"/>
        <v>0.91705127840948453</v>
      </c>
      <c r="H26" s="416" t="b">
        <f>Wh_hp&gt;='2026'!Maxi_hp</f>
        <v>0</v>
      </c>
      <c r="I26" s="392">
        <f>IF(H26,Wh_hp,'2026'!Maxi_hp)</f>
        <v>20.696537437632458</v>
      </c>
      <c r="J26" s="85">
        <f>IF(H26,An,'2026'!An_max)</f>
        <v>2020</v>
      </c>
      <c r="K26" s="199">
        <f t="shared" si="3"/>
        <v>46399</v>
      </c>
      <c r="L26" s="147">
        <f>IF(t&lt;Tvie,1-EXP((T0-t)*PertePVj)+'2026'!Pspv,1-EXP((T0-t)*PertePVj)+Pspv)</f>
        <v>6.9298395664276646E-2</v>
      </c>
      <c r="M26" s="872"/>
      <c r="N26" s="872"/>
      <c r="O26" s="48">
        <f>IF(t&lt;Tnet,'2026'!Resal+('2026'!Salim-'2026'!Resal)*(1-EXP(('2026'!Tnet-t)/('2026'!Tau_j))),Resal+(Salim-Resal)*(1-EXP((Tnet-t)/(Tau_j))))*Salcycl</f>
        <v>7.0623028372399518E-2</v>
      </c>
      <c r="P26" s="171">
        <f>(INDEX(Models!$BJ26:$BT26,,T26)*(1-R26)+INDEX(Models!$BJ26:$BT26,,T26+1)*R26-ERP_i)*Q26*Ramure*Pc/MaxiM</f>
        <v>2.3875889615302424E-2</v>
      </c>
      <c r="Q26" s="307">
        <f t="shared" si="4"/>
        <v>0.9</v>
      </c>
      <c r="R26" s="179">
        <f t="shared" si="5"/>
        <v>0.56535089333180766</v>
      </c>
      <c r="S26" s="839">
        <f t="shared" si="6"/>
        <v>-2</v>
      </c>
      <c r="T26" s="178">
        <f t="shared" si="7"/>
        <v>4</v>
      </c>
      <c r="U26" s="253">
        <f t="shared" si="8"/>
        <v>-1.4346491066681923</v>
      </c>
      <c r="V26" s="385">
        <f t="shared" si="9"/>
        <v>17.569419475291731</v>
      </c>
      <c r="W26" s="404">
        <f t="shared" si="10"/>
        <v>16.157308623033991</v>
      </c>
      <c r="X26" s="157">
        <f t="shared" si="11"/>
        <v>46399</v>
      </c>
      <c r="Y26" s="387">
        <f t="shared" si="12"/>
        <v>11.969243866053041</v>
      </c>
      <c r="Z26" s="387">
        <f t="shared" si="22"/>
        <v>12.860452598656408</v>
      </c>
      <c r="AA26" s="388">
        <f t="shared" si="13"/>
        <v>15.182082549201034</v>
      </c>
      <c r="AB26" s="199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0.15291907042534186</v>
      </c>
      <c r="AD26" s="233">
        <f>(INDEX(Models!$BJ26:$BT26,,AH26)*(1-AF26)+INDEX(Models!$BJ26:$BT26,,AH26+1)*AF26-ERP_i)*AE26*Ramure*Pc/MaxiM</f>
        <v>0.2309277841955622</v>
      </c>
      <c r="AE26" s="307">
        <f t="shared" si="15"/>
        <v>0.9</v>
      </c>
      <c r="AF26" s="179">
        <f t="shared" si="23"/>
        <v>0.20100654563878662</v>
      </c>
      <c r="AG26" s="839">
        <f t="shared" si="24"/>
        <v>3</v>
      </c>
      <c r="AH26" s="178">
        <f t="shared" si="16"/>
        <v>9</v>
      </c>
      <c r="AI26" s="227">
        <f t="shared" si="17"/>
        <v>3.2010065456387866</v>
      </c>
      <c r="AJ26" s="267" t="b">
        <f t="shared" si="18"/>
        <v>0</v>
      </c>
      <c r="AK26" s="267" t="b">
        <f t="shared" si="19"/>
        <v>0</v>
      </c>
      <c r="AL26" s="267"/>
      <c r="AM26" s="267"/>
      <c r="AN26" s="75"/>
    </row>
    <row r="27" spans="1:40" s="6" customFormat="1" ht="11.25" x14ac:dyDescent="0.2">
      <c r="A27" s="56">
        <f t="shared" si="20"/>
        <v>46400</v>
      </c>
      <c r="B27" s="413">
        <f>'2026'!Wh/'2026'!Env_an*'2027'!Env_an</f>
        <v>5.9360363310609126</v>
      </c>
      <c r="C27" s="868"/>
      <c r="D27" s="395">
        <f t="shared" si="0"/>
        <v>6.3781715287253613</v>
      </c>
      <c r="E27" s="387">
        <f t="shared" si="1"/>
        <v>6.8640382375890177</v>
      </c>
      <c r="F27" s="387">
        <f t="shared" si="2"/>
        <v>6.8718906395804629</v>
      </c>
      <c r="G27" s="110">
        <f t="shared" si="21"/>
        <v>0.3265494628653548</v>
      </c>
      <c r="H27" s="416" t="b">
        <f>Wh_hp&gt;='2026'!Maxi_hp</f>
        <v>0</v>
      </c>
      <c r="I27" s="392">
        <f>IF(H27,Wh_hp,'2026'!Maxi_hp)</f>
        <v>14.73462756836317</v>
      </c>
      <c r="J27" s="85">
        <f>IF(H27,An,'2026'!An_max)</f>
        <v>2020</v>
      </c>
      <c r="K27" s="199">
        <f t="shared" si="3"/>
        <v>46400</v>
      </c>
      <c r="L27" s="147">
        <f>IF(t&lt;Tvie,1-EXP((T0-t)*PertePVj)+'2026'!Pspv,1-EXP((T0-t)*PertePVj)+Pspv)</f>
        <v>6.9320054450277002E-2</v>
      </c>
      <c r="M27" s="872"/>
      <c r="N27" s="872"/>
      <c r="O27" s="48">
        <f>IF(t&lt;Tnet,'2026'!Resal+('2026'!Salim-'2026'!Resal)*(1-EXP(('2026'!Tnet-t)/('2026'!Tau_j))),Resal+(Salim-Resal)*(1-EXP((Tnet-t)/(Tau_j))))*Salcycl</f>
        <v>7.0784382610653437E-2</v>
      </c>
      <c r="P27" s="171">
        <f>(INDEX(Models!$BJ27:$BT27,,T27)*(1-R27)+INDEX(Models!$BJ27:$BT27,,T27+1)*R27-ERP_i)*Q27*Ramure*Pc/MaxiM</f>
        <v>2.3506411685747644E-2</v>
      </c>
      <c r="Q27" s="307">
        <f t="shared" si="4"/>
        <v>0.9</v>
      </c>
      <c r="R27" s="179">
        <f t="shared" si="5"/>
        <v>0.56541506564206445</v>
      </c>
      <c r="S27" s="839">
        <f t="shared" si="6"/>
        <v>-2</v>
      </c>
      <c r="T27" s="178">
        <f t="shared" si="7"/>
        <v>4</v>
      </c>
      <c r="U27" s="253">
        <f t="shared" si="8"/>
        <v>-1.4345849343579355</v>
      </c>
      <c r="V27" s="385">
        <f t="shared" si="9"/>
        <v>17.771067559603487</v>
      </c>
      <c r="W27" s="404">
        <f t="shared" si="10"/>
        <v>5.9360363310609126</v>
      </c>
      <c r="X27" s="157">
        <f t="shared" si="11"/>
        <v>46400</v>
      </c>
      <c r="Y27" s="387">
        <f t="shared" si="12"/>
        <v>5.3572602448133466</v>
      </c>
      <c r="Z27" s="387">
        <f t="shared" si="22"/>
        <v>5.756286326390093</v>
      </c>
      <c r="AA27" s="388">
        <f t="shared" si="13"/>
        <v>6.7959880737169112</v>
      </c>
      <c r="AB27" s="199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0.15298757679516889</v>
      </c>
      <c r="AD27" s="233">
        <f>(INDEX(Models!$BJ27:$BT27,,AH27)*(1-AF27)+INDEX(Models!$BJ27:$BT27,,AH27+1)*AF27-ERP_i)*AE27*Ramure*Pc/MaxiM</f>
        <v>0.227216711922925</v>
      </c>
      <c r="AE27" s="307">
        <f t="shared" si="15"/>
        <v>0.9</v>
      </c>
      <c r="AF27" s="179">
        <f t="shared" si="23"/>
        <v>0.20107071794904341</v>
      </c>
      <c r="AG27" s="839">
        <f t="shared" si="24"/>
        <v>3</v>
      </c>
      <c r="AH27" s="178">
        <f t="shared" si="16"/>
        <v>9</v>
      </c>
      <c r="AI27" s="227">
        <f t="shared" si="17"/>
        <v>3.2010707179490434</v>
      </c>
      <c r="AJ27" s="267" t="b">
        <f t="shared" si="18"/>
        <v>0</v>
      </c>
      <c r="AK27" s="267" t="b">
        <f t="shared" si="19"/>
        <v>0</v>
      </c>
      <c r="AL27" s="267"/>
      <c r="AM27" s="267"/>
      <c r="AN27" s="75"/>
    </row>
    <row r="28" spans="1:40" s="6" customFormat="1" ht="11.25" x14ac:dyDescent="0.2">
      <c r="A28" s="56">
        <f t="shared" si="20"/>
        <v>46401</v>
      </c>
      <c r="B28" s="413">
        <f>'2026'!Wh/'2026'!Env_an*'2027'!Env_an</f>
        <v>18.321908062703525</v>
      </c>
      <c r="C28" s="868"/>
      <c r="D28" s="395">
        <f t="shared" si="0"/>
        <v>19.68704121949353</v>
      </c>
      <c r="E28" s="387">
        <f t="shared" si="1"/>
        <v>21.19040869056224</v>
      </c>
      <c r="F28" s="387">
        <f t="shared" si="2"/>
        <v>21.692421575213366</v>
      </c>
      <c r="G28" s="110">
        <f t="shared" si="21"/>
        <v>1.0190269259145373</v>
      </c>
      <c r="H28" s="416" t="b">
        <f>Wh_hp&gt;='2026'!Maxi_hp</f>
        <v>1</v>
      </c>
      <c r="I28" s="392">
        <f>IF(H28,Wh_hp,'2026'!Maxi_hp)</f>
        <v>21.692421575213366</v>
      </c>
      <c r="J28" s="85">
        <f>IF(H28,An,'2026'!An_max)</f>
        <v>2027</v>
      </c>
      <c r="K28" s="199">
        <f t="shared" si="3"/>
        <v>46401</v>
      </c>
      <c r="L28" s="147">
        <f>IF(t&lt;Tvie,1-EXP((T0-t)*PertePVj)+'2026'!Pspv,1-EXP((T0-t)*PertePVj)+Pspv)</f>
        <v>6.9341712732245875E-2</v>
      </c>
      <c r="M28" s="872"/>
      <c r="N28" s="872"/>
      <c r="O28" s="48">
        <f>IF(t&lt;Tnet,'2026'!Resal+('2026'!Salim-'2026'!Resal)*(1-EXP(('2026'!Tnet-t)/('2026'!Tau_j))),Resal+(Salim-Resal)*(1-EXP((Tnet-t)/(Tau_j))))*Salcycl</f>
        <v>7.0945657208502835E-2</v>
      </c>
      <c r="P28" s="171">
        <f>(INDEX(Models!$BJ28:$BT28,,T28)*(1-R28)+INDEX(Models!$BJ28:$BT28,,T28+1)*R28-ERP_i)*Q28*Ramure*Pc/MaxiM</f>
        <v>2.3142316449572806E-2</v>
      </c>
      <c r="Q28" s="307">
        <f t="shared" si="4"/>
        <v>0.9</v>
      </c>
      <c r="R28" s="179">
        <f t="shared" si="5"/>
        <v>0.56548191758860966</v>
      </c>
      <c r="S28" s="839">
        <f t="shared" si="6"/>
        <v>-2</v>
      </c>
      <c r="T28" s="178">
        <f t="shared" si="7"/>
        <v>4</v>
      </c>
      <c r="U28" s="253">
        <f t="shared" si="8"/>
        <v>-1.4345180824113903</v>
      </c>
      <c r="V28" s="385">
        <f t="shared" si="9"/>
        <v>17.979807595623956</v>
      </c>
      <c r="W28" s="404">
        <f t="shared" si="10"/>
        <v>18.321908062703525</v>
      </c>
      <c r="X28" s="157">
        <f t="shared" si="11"/>
        <v>46401</v>
      </c>
      <c r="Y28" s="387">
        <f t="shared" si="12"/>
        <v>13.277867507848816</v>
      </c>
      <c r="Z28" s="387">
        <f t="shared" si="22"/>
        <v>14.267178071158915</v>
      </c>
      <c r="AA28" s="388">
        <f t="shared" si="13"/>
        <v>16.845484526173834</v>
      </c>
      <c r="AB28" s="199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0.15305623599065082</v>
      </c>
      <c r="AD28" s="233">
        <f>(INDEX(Models!$BJ28:$BT28,,AH28)*(1-AF28)+INDEX(Models!$BJ28:$BT28,,AH28+1)*AF28-ERP_i)*AE28*Ramure*Pc/MaxiM</f>
        <v>0.22343918737859308</v>
      </c>
      <c r="AE28" s="307">
        <f t="shared" si="15"/>
        <v>0.9</v>
      </c>
      <c r="AF28" s="179">
        <f t="shared" si="23"/>
        <v>0.20113756989558862</v>
      </c>
      <c r="AG28" s="839">
        <f t="shared" si="24"/>
        <v>3</v>
      </c>
      <c r="AH28" s="178">
        <f t="shared" si="16"/>
        <v>9</v>
      </c>
      <c r="AI28" s="227">
        <f t="shared" si="17"/>
        <v>3.2011375698955886</v>
      </c>
      <c r="AJ28" s="267" t="b">
        <f t="shared" si="18"/>
        <v>0</v>
      </c>
      <c r="AK28" s="267" t="b">
        <f t="shared" si="19"/>
        <v>0</v>
      </c>
      <c r="AL28" s="267"/>
      <c r="AM28" s="267"/>
      <c r="AN28" s="75"/>
    </row>
    <row r="29" spans="1:40" s="6" customFormat="1" ht="11.25" x14ac:dyDescent="0.2">
      <c r="A29" s="56">
        <f t="shared" si="20"/>
        <v>46402</v>
      </c>
      <c r="B29" s="413">
        <f>'2026'!Wh/'2026'!Env_an*'2027'!Env_an</f>
        <v>18.459757745588423</v>
      </c>
      <c r="C29" s="868"/>
      <c r="D29" s="395">
        <f t="shared" si="0"/>
        <v>19.835623443823025</v>
      </c>
      <c r="E29" s="387">
        <f t="shared" si="1"/>
        <v>21.354042219376151</v>
      </c>
      <c r="F29" s="387">
        <f t="shared" si="2"/>
        <v>21.851929496030458</v>
      </c>
      <c r="G29" s="110">
        <f t="shared" si="21"/>
        <v>1.0145513106600164</v>
      </c>
      <c r="H29" s="416" t="b">
        <f>Wh_hp&gt;='2026'!Maxi_hp</f>
        <v>1</v>
      </c>
      <c r="I29" s="392">
        <f>IF(H29,Wh_hp,'2026'!Maxi_hp)</f>
        <v>21.851929496030458</v>
      </c>
      <c r="J29" s="85">
        <f>IF(H29,An,'2026'!An_max)</f>
        <v>2027</v>
      </c>
      <c r="K29" s="199">
        <f t="shared" si="3"/>
        <v>46402</v>
      </c>
      <c r="L29" s="147">
        <f>IF(t&lt;Tvie,1-EXP((T0-t)*PertePVj)+'2026'!Pspv,1-EXP((T0-t)*PertePVj)+Pspv)</f>
        <v>6.9363370510194811E-2</v>
      </c>
      <c r="M29" s="872"/>
      <c r="N29" s="872"/>
      <c r="O29" s="48">
        <f>IF(t&lt;Tnet,'2026'!Resal+('2026'!Salim-'2026'!Resal)*(1-EXP(('2026'!Tnet-t)/('2026'!Tau_j))),Resal+(Salim-Resal)*(1-EXP((Tnet-t)/(Tau_j))))*Salcycl</f>
        <v>7.1106854615813675E-2</v>
      </c>
      <c r="P29" s="171">
        <f>(INDEX(Models!$BJ29:$BT29,,T29)*(1-R29)+INDEX(Models!$BJ29:$BT29,,T29+1)*R29-ERP_i)*Q29*Ramure*Pc/MaxiM</f>
        <v>2.2784591024090195E-2</v>
      </c>
      <c r="Q29" s="307">
        <f t="shared" si="4"/>
        <v>0.9</v>
      </c>
      <c r="R29" s="179">
        <f t="shared" si="5"/>
        <v>0.56555156051885103</v>
      </c>
      <c r="S29" s="839">
        <f t="shared" si="6"/>
        <v>-2</v>
      </c>
      <c r="T29" s="178">
        <f t="shared" si="7"/>
        <v>4</v>
      </c>
      <c r="U29" s="253">
        <f t="shared" si="8"/>
        <v>-1.434448439481149</v>
      </c>
      <c r="V29" s="385">
        <f t="shared" si="9"/>
        <v>18.194996696203983</v>
      </c>
      <c r="W29" s="404">
        <f t="shared" si="10"/>
        <v>18.459757745588423</v>
      </c>
      <c r="X29" s="157">
        <f t="shared" si="11"/>
        <v>46402</v>
      </c>
      <c r="Y29" s="387">
        <f t="shared" si="12"/>
        <v>13.440069792157063</v>
      </c>
      <c r="Z29" s="387">
        <f t="shared" si="22"/>
        <v>14.441801844319405</v>
      </c>
      <c r="AA29" s="388">
        <f t="shared" si="13"/>
        <v>17.053051187778834</v>
      </c>
      <c r="AB29" s="199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0.15312505162306644</v>
      </c>
      <c r="AD29" s="233">
        <f>(INDEX(Models!$BJ29:$BT29,,AH29)*(1-AF29)+INDEX(Models!$BJ29:$BT29,,AH29+1)*AF29-ERP_i)*AE29*Ramure*Pc/MaxiM</f>
        <v>0.2196089049767147</v>
      </c>
      <c r="AE29" s="307">
        <f t="shared" si="15"/>
        <v>0.9</v>
      </c>
      <c r="AF29" s="179">
        <f t="shared" si="23"/>
        <v>0.20120721282582998</v>
      </c>
      <c r="AG29" s="839">
        <f t="shared" si="24"/>
        <v>3</v>
      </c>
      <c r="AH29" s="178">
        <f t="shared" si="16"/>
        <v>9</v>
      </c>
      <c r="AI29" s="227">
        <f t="shared" si="17"/>
        <v>3.20120721282583</v>
      </c>
      <c r="AJ29" s="267" t="b">
        <f t="shared" si="18"/>
        <v>0</v>
      </c>
      <c r="AK29" s="267" t="b">
        <f t="shared" si="19"/>
        <v>0</v>
      </c>
      <c r="AL29" s="267"/>
      <c r="AM29" s="267"/>
      <c r="AN29" s="75"/>
    </row>
    <row r="30" spans="1:40" s="6" customFormat="1" ht="11.25" x14ac:dyDescent="0.2">
      <c r="A30" s="56">
        <f t="shared" si="20"/>
        <v>46403</v>
      </c>
      <c r="B30" s="413">
        <f>'2026'!Wh/'2026'!Env_an*'2027'!Env_an</f>
        <v>18.43037540023446</v>
      </c>
      <c r="C30" s="868"/>
      <c r="D30" s="395">
        <f t="shared" si="0"/>
        <v>19.804512016769245</v>
      </c>
      <c r="E30" s="387">
        <f t="shared" si="1"/>
        <v>21.324248066889815</v>
      </c>
      <c r="F30" s="387">
        <f t="shared" si="2"/>
        <v>21.813416600563915</v>
      </c>
      <c r="G30" s="110">
        <f t="shared" si="21"/>
        <v>1.0007717959974693</v>
      </c>
      <c r="H30" s="416" t="b">
        <f>Wh_hp&gt;='2026'!Maxi_hp</f>
        <v>1</v>
      </c>
      <c r="I30" s="392">
        <f>IF(H30,Wh_hp,'2026'!Maxi_hp)</f>
        <v>21.813416600563915</v>
      </c>
      <c r="J30" s="85">
        <f>IF(H30,An,'2026'!An_max)</f>
        <v>2027</v>
      </c>
      <c r="K30" s="199">
        <f t="shared" si="3"/>
        <v>46403</v>
      </c>
      <c r="L30" s="147">
        <f>IF(t&lt;Tvie,1-EXP((T0-t)*PertePVj)+'2026'!Pspv,1-EXP((T0-t)*PertePVj)+Pspv)</f>
        <v>6.9385027784135689E-2</v>
      </c>
      <c r="M30" s="872"/>
      <c r="N30" s="872"/>
      <c r="O30" s="48">
        <f>IF(t&lt;Tnet,'2026'!Resal+('2026'!Salim-'2026'!Resal)*(1-EXP(('2026'!Tnet-t)/('2026'!Tau_j))),Resal+(Salim-Resal)*(1-EXP((Tnet-t)/(Tau_j))))*Salcycl</f>
        <v>7.1267978376234803E-2</v>
      </c>
      <c r="P30" s="171">
        <f>(INDEX(Models!$BJ30:$BT30,,T30)*(1-R30)+INDEX(Models!$BJ30:$BT30,,T30+1)*R30-ERP_i)*Q30*Ramure*Pc/MaxiM</f>
        <v>2.2425122236992969E-2</v>
      </c>
      <c r="Q30" s="307">
        <f t="shared" si="4"/>
        <v>0.9</v>
      </c>
      <c r="R30" s="179">
        <f t="shared" si="5"/>
        <v>0.56562411036040161</v>
      </c>
      <c r="S30" s="839">
        <f t="shared" si="6"/>
        <v>-2</v>
      </c>
      <c r="T30" s="178">
        <f t="shared" si="7"/>
        <v>4</v>
      </c>
      <c r="U30" s="253">
        <f t="shared" si="8"/>
        <v>-1.4343758896395984</v>
      </c>
      <c r="V30" s="385">
        <f t="shared" si="9"/>
        <v>18.416161880206573</v>
      </c>
      <c r="W30" s="404">
        <f t="shared" si="10"/>
        <v>18.43037540023446</v>
      </c>
      <c r="X30" s="157">
        <f t="shared" si="11"/>
        <v>46403</v>
      </c>
      <c r="Y30" s="387">
        <f t="shared" si="12"/>
        <v>13.481625435230514</v>
      </c>
      <c r="Z30" s="387">
        <f t="shared" si="22"/>
        <v>14.486791893246409</v>
      </c>
      <c r="AA30" s="388">
        <f t="shared" si="13"/>
        <v>17.107569384523639</v>
      </c>
      <c r="AB30" s="199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0.15319402963509923</v>
      </c>
      <c r="AD30" s="233">
        <f>(INDEX(Models!$BJ30:$BT30,,AH30)*(1-AF30)+INDEX(Models!$BJ30:$BT30,,AH30+1)*AF30-ERP_i)*AE30*Ramure*Pc/MaxiM</f>
        <v>0.21573178114237365</v>
      </c>
      <c r="AE30" s="307">
        <f t="shared" si="15"/>
        <v>0.9</v>
      </c>
      <c r="AF30" s="179">
        <f t="shared" si="23"/>
        <v>0.20127976266738035</v>
      </c>
      <c r="AG30" s="839">
        <f t="shared" si="24"/>
        <v>3</v>
      </c>
      <c r="AH30" s="178">
        <f t="shared" si="16"/>
        <v>9</v>
      </c>
      <c r="AI30" s="227">
        <f t="shared" si="17"/>
        <v>3.2012797626673803</v>
      </c>
      <c r="AJ30" s="267" t="b">
        <f t="shared" si="18"/>
        <v>0</v>
      </c>
      <c r="AK30" s="267" t="b">
        <f t="shared" si="19"/>
        <v>0</v>
      </c>
      <c r="AL30" s="267"/>
      <c r="AM30" s="267"/>
      <c r="AN30" s="75"/>
    </row>
    <row r="31" spans="1:40" s="6" customFormat="1" ht="11.25" x14ac:dyDescent="0.2">
      <c r="A31" s="56">
        <f t="shared" si="20"/>
        <v>46404</v>
      </c>
      <c r="B31" s="413">
        <f>'2026'!Wh/'2026'!Env_an*'2027'!Env_an</f>
        <v>14.749564447186225</v>
      </c>
      <c r="C31" s="868"/>
      <c r="D31" s="395">
        <f t="shared" si="0"/>
        <v>15.84963506869653</v>
      </c>
      <c r="E31" s="387">
        <f t="shared" si="1"/>
        <v>17.06884624935886</v>
      </c>
      <c r="F31" s="387">
        <f t="shared" si="2"/>
        <v>17.337251232159254</v>
      </c>
      <c r="G31" s="110">
        <f t="shared" si="21"/>
        <v>0.78588201716697359</v>
      </c>
      <c r="H31" s="416" t="b">
        <f>Wh_hp&gt;='2026'!Maxi_hp</f>
        <v>0</v>
      </c>
      <c r="I31" s="392">
        <f>IF(H31,Wh_hp,'2026'!Maxi_hp)</f>
        <v>17.406953696805935</v>
      </c>
      <c r="J31" s="85">
        <f>IF(H31,An,'2026'!An_max)</f>
        <v>2026</v>
      </c>
      <c r="K31" s="199">
        <f t="shared" si="3"/>
        <v>46404</v>
      </c>
      <c r="L31" s="147">
        <f>IF(t&lt;Tvie,1-EXP((T0-t)*PertePVj)+'2026'!Pspv,1-EXP((T0-t)*PertePVj)+Pspv)</f>
        <v>6.9406684554080056E-2</v>
      </c>
      <c r="M31" s="872"/>
      <c r="N31" s="872"/>
      <c r="O31" s="48">
        <f>IF(t&lt;Tnet,'2026'!Resal+('2026'!Salim-'2026'!Resal)*(1-EXP(('2026'!Tnet-t)/('2026'!Tau_j))),Resal+(Salim-Resal)*(1-EXP((Tnet-t)/(Tau_j))))*Salcycl</f>
        <v>7.1429032920612534E-2</v>
      </c>
      <c r="P31" s="171">
        <f>(INDEX(Models!$BJ31:$BT31,,T31)*(1-R31)+INDEX(Models!$BJ31:$BT31,,T31+1)*R31-ERP_i)*Q31*Ramure*Pc/MaxiM</f>
        <v>2.2063540680318402E-2</v>
      </c>
      <c r="Q31" s="307">
        <f t="shared" si="4"/>
        <v>0.9</v>
      </c>
      <c r="R31" s="179">
        <f t="shared" si="5"/>
        <v>0.5656996878054974</v>
      </c>
      <c r="S31" s="839">
        <f t="shared" si="6"/>
        <v>-2</v>
      </c>
      <c r="T31" s="178">
        <f t="shared" si="7"/>
        <v>4</v>
      </c>
      <c r="U31" s="253">
        <f t="shared" si="8"/>
        <v>-1.4343003121945026</v>
      </c>
      <c r="V31" s="385">
        <f t="shared" si="9"/>
        <v>18.642689164286171</v>
      </c>
      <c r="W31" s="404">
        <f t="shared" si="10"/>
        <v>14.749564447186225</v>
      </c>
      <c r="X31" s="157">
        <f t="shared" si="11"/>
        <v>46404</v>
      </c>
      <c r="Y31" s="387">
        <f t="shared" si="12"/>
        <v>11.630367239003313</v>
      </c>
      <c r="Z31" s="387">
        <f t="shared" si="22"/>
        <v>12.497797959606334</v>
      </c>
      <c r="AA31" s="388">
        <f t="shared" si="13"/>
        <v>14.759955670376165</v>
      </c>
      <c r="AB31" s="199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0.15326317783664309</v>
      </c>
      <c r="AD31" s="233">
        <f>(INDEX(Models!$BJ31:$BT31,,AH31)*(1-AF31)+INDEX(Models!$BJ31:$BT31,,AH31+1)*AF31-ERP_i)*AE31*Ramure*Pc/MaxiM</f>
        <v>0.21185994715639855</v>
      </c>
      <c r="AE31" s="307">
        <f t="shared" si="15"/>
        <v>0.9</v>
      </c>
      <c r="AF31" s="179">
        <f t="shared" si="23"/>
        <v>0.20135534011247636</v>
      </c>
      <c r="AG31" s="839">
        <f t="shared" si="24"/>
        <v>3</v>
      </c>
      <c r="AH31" s="178">
        <f t="shared" si="16"/>
        <v>9</v>
      </c>
      <c r="AI31" s="227">
        <f t="shared" si="17"/>
        <v>3.2013553401124764</v>
      </c>
      <c r="AJ31" s="267" t="b">
        <f t="shared" si="18"/>
        <v>0</v>
      </c>
      <c r="AK31" s="267" t="b">
        <f t="shared" si="19"/>
        <v>0</v>
      </c>
      <c r="AL31" s="267"/>
      <c r="AM31" s="267"/>
      <c r="AN31" s="75"/>
    </row>
    <row r="32" spans="1:40" s="6" customFormat="1" ht="11.25" x14ac:dyDescent="0.2">
      <c r="A32" s="56">
        <f t="shared" si="20"/>
        <v>46405</v>
      </c>
      <c r="B32" s="413">
        <f>'2026'!Wh/'2026'!Env_an*'2027'!Env_an</f>
        <v>4.0821940458080128</v>
      </c>
      <c r="C32" s="868"/>
      <c r="D32" s="395">
        <f t="shared" si="0"/>
        <v>4.3867594779378205</v>
      </c>
      <c r="E32" s="387">
        <f t="shared" si="1"/>
        <v>4.7250240608311751</v>
      </c>
      <c r="F32" s="387">
        <f t="shared" si="2"/>
        <v>4.7250240608311751</v>
      </c>
      <c r="G32" s="110">
        <f t="shared" si="21"/>
        <v>0.21159373099139528</v>
      </c>
      <c r="H32" s="416" t="b">
        <f>Wh_hp&gt;='2026'!Maxi_hp</f>
        <v>0</v>
      </c>
      <c r="I32" s="392">
        <f>IF(H32,Wh_hp,'2026'!Maxi_hp)</f>
        <v>21.664293726015998</v>
      </c>
      <c r="J32" s="85">
        <f>IF(H32,An,'2026'!An_max)</f>
        <v>2021</v>
      </c>
      <c r="K32" s="199">
        <f t="shared" si="3"/>
        <v>46405</v>
      </c>
      <c r="L32" s="147">
        <f>IF(t&lt;Tvie,1-EXP((T0-t)*PertePVj)+'2026'!Pspv,1-EXP((T0-t)*PertePVj)+Pspv)</f>
        <v>6.9428340820039902E-2</v>
      </c>
      <c r="M32" s="872"/>
      <c r="N32" s="872"/>
      <c r="O32" s="48">
        <f>IF(t&lt;Tnet,'2026'!Resal+('2026'!Salim-'2026'!Resal)*(1-EXP(('2026'!Tnet-t)/('2026'!Tau_j))),Resal+(Salim-Resal)*(1-EXP((Tnet-t)/(Tau_j))))*Salcycl</f>
        <v>7.1590023360399616E-2</v>
      </c>
      <c r="P32" s="171">
        <f>(INDEX(Models!$BJ32:$BT32,,T32)*(1-R32)+INDEX(Models!$BJ32:$BT32,,T32+1)*R32-ERP_i)*Q32*Ramure*Pc/MaxiM</f>
        <v>2.1700902949784717E-2</v>
      </c>
      <c r="Q32" s="307">
        <f t="shared" si="4"/>
        <v>0.9</v>
      </c>
      <c r="R32" s="179">
        <f t="shared" si="5"/>
        <v>0.56577841850249566</v>
      </c>
      <c r="S32" s="839">
        <f t="shared" si="6"/>
        <v>-2</v>
      </c>
      <c r="T32" s="178">
        <f t="shared" si="7"/>
        <v>4</v>
      </c>
      <c r="U32" s="253">
        <f t="shared" si="8"/>
        <v>-1.4342215814975043</v>
      </c>
      <c r="V32" s="385">
        <f t="shared" si="9"/>
        <v>18.873937003172127</v>
      </c>
      <c r="W32" s="404">
        <f t="shared" si="10"/>
        <v>4.0821940458080128</v>
      </c>
      <c r="X32" s="157">
        <f t="shared" si="11"/>
        <v>46405</v>
      </c>
      <c r="Y32" s="387">
        <f t="shared" si="12"/>
        <v>3.7227745198932856</v>
      </c>
      <c r="Z32" s="387">
        <f t="shared" si="22"/>
        <v>4.0005242832925676</v>
      </c>
      <c r="AA32" s="388">
        <f t="shared" si="13"/>
        <v>4.7250240608311751</v>
      </c>
      <c r="AB32" s="199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0.15333250544573132</v>
      </c>
      <c r="AD32" s="233">
        <f>(INDEX(Models!$BJ32:$BT32,,AH32)*(1-AF32)+INDEX(Models!$BJ32:$BT32,,AH32+1)*AF32-ERP_i)*AE32*Ramure*Pc/MaxiM</f>
        <v>0.20800288954540547</v>
      </c>
      <c r="AE32" s="307">
        <f t="shared" si="15"/>
        <v>0.9</v>
      </c>
      <c r="AF32" s="179">
        <f t="shared" si="23"/>
        <v>0.20143407080947462</v>
      </c>
      <c r="AG32" s="839">
        <f t="shared" si="24"/>
        <v>3</v>
      </c>
      <c r="AH32" s="178">
        <f t="shared" si="16"/>
        <v>9</v>
      </c>
      <c r="AI32" s="227">
        <f t="shared" si="17"/>
        <v>3.2014340708094746</v>
      </c>
      <c r="AJ32" s="267" t="b">
        <f t="shared" si="18"/>
        <v>0</v>
      </c>
      <c r="AK32" s="267" t="b">
        <f t="shared" si="19"/>
        <v>0</v>
      </c>
      <c r="AL32" s="267"/>
      <c r="AM32" s="267"/>
      <c r="AN32" s="75"/>
    </row>
    <row r="33" spans="1:40" s="6" customFormat="1" ht="11.25" x14ac:dyDescent="0.2">
      <c r="A33" s="56">
        <f t="shared" si="20"/>
        <v>46406</v>
      </c>
      <c r="B33" s="413">
        <f>'2026'!Wh/'2026'!Env_an*'2027'!Env_an</f>
        <v>9.9926198849170422</v>
      </c>
      <c r="C33" s="868"/>
      <c r="D33" s="395">
        <f t="shared" si="0"/>
        <v>10.738401857195713</v>
      </c>
      <c r="E33" s="387">
        <f t="shared" si="1"/>
        <v>11.568449133684156</v>
      </c>
      <c r="F33" s="387">
        <f t="shared" si="2"/>
        <v>11.647598043383072</v>
      </c>
      <c r="G33" s="110">
        <f t="shared" si="21"/>
        <v>0.51526338578165765</v>
      </c>
      <c r="H33" s="416" t="b">
        <f>Wh_hp&gt;='2026'!Maxi_hp</f>
        <v>0</v>
      </c>
      <c r="I33" s="392">
        <f>IF(H33,Wh_hp,'2026'!Maxi_hp)</f>
        <v>22.003301908530709</v>
      </c>
      <c r="J33" s="85">
        <f>IF(H33,An,'2026'!An_max)</f>
        <v>2021</v>
      </c>
      <c r="K33" s="199">
        <f t="shared" si="3"/>
        <v>46406</v>
      </c>
      <c r="L33" s="147">
        <f>IF(t&lt;Tvie,1-EXP((T0-t)*PertePVj)+'2026'!Pspv,1-EXP((T0-t)*PertePVj)+Pspv)</f>
        <v>6.9449996582026663E-2</v>
      </c>
      <c r="M33" s="872"/>
      <c r="N33" s="872"/>
      <c r="O33" s="48">
        <f>IF(t&lt;Tnet,'2026'!Resal+('2026'!Salim-'2026'!Resal)*(1-EXP(('2026'!Tnet-t)/('2026'!Tau_j))),Resal+(Salim-Resal)*(1-EXP((Tnet-t)/(Tau_j))))*Salcycl</f>
        <v>7.1750955283329462E-2</v>
      </c>
      <c r="P33" s="171">
        <f>(INDEX(Models!$BJ33:$BT33,,T33)*(1-R33)+INDEX(Models!$BJ33:$BT33,,T33+1)*R33-ERP_i)*Q33*Ramure*Pc/MaxiM</f>
        <v>2.1338172451704124E-2</v>
      </c>
      <c r="Q33" s="307">
        <f t="shared" si="4"/>
        <v>0.9</v>
      </c>
      <c r="R33" s="179">
        <f t="shared" si="5"/>
        <v>0.56586043325470103</v>
      </c>
      <c r="S33" s="839">
        <f t="shared" si="6"/>
        <v>-2</v>
      </c>
      <c r="T33" s="178">
        <f t="shared" si="7"/>
        <v>4</v>
      </c>
      <c r="U33" s="253">
        <f t="shared" si="8"/>
        <v>-1.434139566745299</v>
      </c>
      <c r="V33" s="385">
        <f t="shared" si="9"/>
        <v>19.109264291030446</v>
      </c>
      <c r="W33" s="404">
        <f t="shared" si="10"/>
        <v>9.9926198849170422</v>
      </c>
      <c r="X33" s="157">
        <f t="shared" si="11"/>
        <v>46406</v>
      </c>
      <c r="Y33" s="387">
        <f t="shared" si="12"/>
        <v>8.5793823364342412</v>
      </c>
      <c r="Z33" s="387">
        <f t="shared" si="22"/>
        <v>9.2196897586605644</v>
      </c>
      <c r="AA33" s="388">
        <f t="shared" si="13"/>
        <v>10.890280871451813</v>
      </c>
      <c r="AB33" s="199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0.1534020226393423</v>
      </c>
      <c r="AD33" s="233">
        <f>(INDEX(Models!$BJ33:$BT33,,AH33)*(1-AF33)+INDEX(Models!$BJ33:$BT33,,AH33+1)*AF33-ERP_i)*AE33*Ramure*Pc/MaxiM</f>
        <v>0.20416913482167087</v>
      </c>
      <c r="AE33" s="307">
        <f t="shared" si="15"/>
        <v>0.9</v>
      </c>
      <c r="AF33" s="179">
        <f t="shared" si="23"/>
        <v>0.20151608556167977</v>
      </c>
      <c r="AG33" s="839">
        <f t="shared" si="24"/>
        <v>3</v>
      </c>
      <c r="AH33" s="178">
        <f t="shared" si="16"/>
        <v>9</v>
      </c>
      <c r="AI33" s="227">
        <f t="shared" si="17"/>
        <v>3.2015160855616798</v>
      </c>
      <c r="AJ33" s="267" t="b">
        <f t="shared" si="18"/>
        <v>0</v>
      </c>
      <c r="AK33" s="267" t="b">
        <f t="shared" si="19"/>
        <v>0</v>
      </c>
      <c r="AL33" s="267"/>
      <c r="AM33" s="267"/>
      <c r="AN33" s="75"/>
    </row>
    <row r="34" spans="1:40" s="6" customFormat="1" ht="11.25" x14ac:dyDescent="0.2">
      <c r="A34" s="56">
        <f t="shared" si="20"/>
        <v>46407</v>
      </c>
      <c r="B34" s="413">
        <f>'2026'!Wh/'2026'!Env_an*'2027'!Env_an</f>
        <v>5.8938121395349965</v>
      </c>
      <c r="C34" s="868"/>
      <c r="D34" s="395">
        <f t="shared" si="0"/>
        <v>6.3338340537282738</v>
      </c>
      <c r="E34" s="387">
        <f t="shared" si="1"/>
        <v>6.824603835651204</v>
      </c>
      <c r="F34" s="387">
        <f t="shared" si="2"/>
        <v>6.825548958275248</v>
      </c>
      <c r="G34" s="110">
        <f t="shared" si="21"/>
        <v>0.29827228996337285</v>
      </c>
      <c r="H34" s="416" t="b">
        <f>Wh_hp&gt;='2026'!Maxi_hp</f>
        <v>0</v>
      </c>
      <c r="I34" s="392">
        <f>IF(H34,Wh_hp,'2026'!Maxi_hp)</f>
        <v>9.8558030999389263</v>
      </c>
      <c r="J34" s="85">
        <f>IF(H34,An,'2026'!An_max)</f>
        <v>2020</v>
      </c>
      <c r="K34" s="199">
        <f t="shared" si="3"/>
        <v>46407</v>
      </c>
      <c r="L34" s="147">
        <f>IF(t&lt;Tvie,1-EXP((T0-t)*PertePVj)+'2026'!Pspv,1-EXP((T0-t)*PertePVj)+Pspv)</f>
        <v>6.9471651840052218E-2</v>
      </c>
      <c r="M34" s="872"/>
      <c r="N34" s="872"/>
      <c r="O34" s="48">
        <f>IF(t&lt;Tnet,'2026'!Resal+('2026'!Salim-'2026'!Resal)*(1-EXP(('2026'!Tnet-t)/('2026'!Tau_j))),Resal+(Salim-Resal)*(1-EXP((Tnet-t)/(Tau_j))))*Salcycl</f>
        <v>7.1911834553558485E-2</v>
      </c>
      <c r="P34" s="171">
        <f>(INDEX(Models!$BJ34:$BT34,,T34)*(1-R34)+INDEX(Models!$BJ34:$BT34,,T34+1)*R34-ERP_i)*Q34*Ramure*Pc/MaxiM</f>
        <v>2.0976339693536919E-2</v>
      </c>
      <c r="Q34" s="307">
        <f t="shared" si="4"/>
        <v>0.9</v>
      </c>
      <c r="R34" s="179">
        <f t="shared" si="5"/>
        <v>0.56594586822676063</v>
      </c>
      <c r="S34" s="839">
        <f t="shared" si="6"/>
        <v>-2</v>
      </c>
      <c r="T34" s="178">
        <f t="shared" si="7"/>
        <v>4</v>
      </c>
      <c r="U34" s="253">
        <f t="shared" si="8"/>
        <v>-1.4340541317732394</v>
      </c>
      <c r="V34" s="385">
        <f t="shared" si="9"/>
        <v>19.348028048411809</v>
      </c>
      <c r="W34" s="404">
        <f t="shared" si="10"/>
        <v>5.8938121395349965</v>
      </c>
      <c r="X34" s="157">
        <f t="shared" si="11"/>
        <v>46407</v>
      </c>
      <c r="Y34" s="387">
        <f t="shared" si="12"/>
        <v>5.3695000583307451</v>
      </c>
      <c r="Z34" s="387">
        <f t="shared" si="22"/>
        <v>5.77037773104768</v>
      </c>
      <c r="AA34" s="388">
        <f t="shared" si="13"/>
        <v>6.8165210832492269</v>
      </c>
      <c r="AB34" s="199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0.15347174011862405</v>
      </c>
      <c r="AD34" s="233">
        <f>(INDEX(Models!$BJ34:$BT34,,AH34)*(1-AF34)+INDEX(Models!$BJ34:$BT34,,AH34+1)*AF34-ERP_i)*AE34*Ramure*Pc/MaxiM</f>
        <v>0.20036741099922828</v>
      </c>
      <c r="AE34" s="307">
        <f t="shared" si="15"/>
        <v>0.9</v>
      </c>
      <c r="AF34" s="179">
        <f t="shared" si="23"/>
        <v>0.20160152053373981</v>
      </c>
      <c r="AG34" s="839">
        <f t="shared" si="24"/>
        <v>3</v>
      </c>
      <c r="AH34" s="178">
        <f t="shared" si="16"/>
        <v>9</v>
      </c>
      <c r="AI34" s="227">
        <f t="shared" si="17"/>
        <v>3.2016015205337398</v>
      </c>
      <c r="AJ34" s="267" t="b">
        <f t="shared" si="18"/>
        <v>0</v>
      </c>
      <c r="AK34" s="267" t="b">
        <f t="shared" si="19"/>
        <v>0</v>
      </c>
      <c r="AL34" s="267"/>
      <c r="AM34" s="267"/>
      <c r="AN34" s="75"/>
    </row>
    <row r="35" spans="1:40" s="6" customFormat="1" ht="11.25" x14ac:dyDescent="0.2">
      <c r="A35" s="56">
        <f t="shared" si="20"/>
        <v>46408</v>
      </c>
      <c r="B35" s="413">
        <f>'2026'!Wh/'2026'!Env_an*'2027'!Env_an</f>
        <v>14.420402151440955</v>
      </c>
      <c r="C35" s="868"/>
      <c r="D35" s="395">
        <f t="shared" si="0"/>
        <v>15.497365310354638</v>
      </c>
      <c r="E35" s="387">
        <f t="shared" si="1"/>
        <v>16.701054879188355</v>
      </c>
      <c r="F35" s="387">
        <f t="shared" si="2"/>
        <v>16.918367125554994</v>
      </c>
      <c r="G35" s="110">
        <f t="shared" si="21"/>
        <v>0.73033065781062789</v>
      </c>
      <c r="H35" s="416" t="b">
        <f>Wh_hp&gt;='2026'!Maxi_hp</f>
        <v>0</v>
      </c>
      <c r="I35" s="392">
        <f>IF(H35,Wh_hp,'2026'!Maxi_hp)</f>
        <v>16.998098418358733</v>
      </c>
      <c r="J35" s="85">
        <f>IF(H35,An,'2026'!An_max)</f>
        <v>2026</v>
      </c>
      <c r="K35" s="199">
        <f t="shared" si="3"/>
        <v>46408</v>
      </c>
      <c r="L35" s="147">
        <f>IF(t&lt;Tvie,1-EXP((T0-t)*PertePVj)+'2026'!Pspv,1-EXP((T0-t)*PertePVj)+Pspv)</f>
        <v>6.9493306594128335E-2</v>
      </c>
      <c r="M35" s="872"/>
      <c r="N35" s="872"/>
      <c r="O35" s="48">
        <f>IF(t&lt;Tnet,'2026'!Resal+('2026'!Salim-'2026'!Resal)*(1-EXP(('2026'!Tnet-t)/('2026'!Tau_j))),Resal+(Salim-Resal)*(1-EXP((Tnet-t)/(Tau_j))))*Salcycl</f>
        <v>7.207266711839061E-2</v>
      </c>
      <c r="P35" s="171">
        <f>(INDEX(Models!$BJ35:$BT35,,T35)*(1-R35)+INDEX(Models!$BJ35:$BT35,,T35+1)*R35-ERP_i)*Q35*Ramure*Pc/MaxiM</f>
        <v>2.0616353108147398E-2</v>
      </c>
      <c r="Q35" s="307">
        <f t="shared" si="4"/>
        <v>0.9</v>
      </c>
      <c r="R35" s="179">
        <f t="shared" si="5"/>
        <v>0.56603486515889134</v>
      </c>
      <c r="S35" s="839">
        <f t="shared" si="6"/>
        <v>-2</v>
      </c>
      <c r="T35" s="178">
        <f t="shared" si="7"/>
        <v>4</v>
      </c>
      <c r="U35" s="253">
        <f t="shared" si="8"/>
        <v>-1.4339651348411087</v>
      </c>
      <c r="V35" s="385">
        <f t="shared" si="9"/>
        <v>19.58958474774942</v>
      </c>
      <c r="W35" s="404">
        <f t="shared" si="10"/>
        <v>14.420402151440955</v>
      </c>
      <c r="X35" s="157">
        <f t="shared" si="11"/>
        <v>46408</v>
      </c>
      <c r="Y35" s="387">
        <f t="shared" si="12"/>
        <v>11.693222280731099</v>
      </c>
      <c r="Z35" s="387">
        <f t="shared" si="22"/>
        <v>12.566510658758592</v>
      </c>
      <c r="AA35" s="388">
        <f t="shared" si="13"/>
        <v>14.84598850761185</v>
      </c>
      <c r="AB35" s="199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0.15354166869282712</v>
      </c>
      <c r="AD35" s="233">
        <f>(INDEX(Models!$BJ35:$BT35,,AH35)*(1-AF35)+INDEX(Models!$BJ35:$BT35,,AH35+1)*AF35-ERP_i)*AE35*Ramure*Pc/MaxiM</f>
        <v>0.19660599011620672</v>
      </c>
      <c r="AE35" s="307">
        <f t="shared" si="15"/>
        <v>0.9</v>
      </c>
      <c r="AF35" s="179">
        <f t="shared" si="23"/>
        <v>0.2016905174658703</v>
      </c>
      <c r="AG35" s="839">
        <f t="shared" si="24"/>
        <v>3</v>
      </c>
      <c r="AH35" s="178">
        <f t="shared" si="16"/>
        <v>9</v>
      </c>
      <c r="AI35" s="227">
        <f t="shared" si="17"/>
        <v>3.2016905174658703</v>
      </c>
      <c r="AJ35" s="267" t="b">
        <f t="shared" si="18"/>
        <v>0</v>
      </c>
      <c r="AK35" s="267" t="b">
        <f t="shared" si="19"/>
        <v>0</v>
      </c>
      <c r="AL35" s="267"/>
      <c r="AM35" s="267"/>
      <c r="AN35" s="75"/>
    </row>
    <row r="36" spans="1:40" s="6" customFormat="1" ht="11.25" x14ac:dyDescent="0.2">
      <c r="A36" s="56">
        <f t="shared" si="20"/>
        <v>46409</v>
      </c>
      <c r="B36" s="413">
        <f>'2026'!Wh/'2026'!Env_an*'2027'!Env_an</f>
        <v>19.705997427053429</v>
      </c>
      <c r="C36" s="868"/>
      <c r="D36" s="395">
        <f t="shared" si="0"/>
        <v>21.178199108857761</v>
      </c>
      <c r="E36" s="387">
        <f t="shared" si="1"/>
        <v>22.827077900442198</v>
      </c>
      <c r="F36" s="387">
        <f t="shared" si="2"/>
        <v>23.294677230473109</v>
      </c>
      <c r="G36" s="110">
        <f t="shared" si="21"/>
        <v>0.99339337261779481</v>
      </c>
      <c r="H36" s="416" t="b">
        <f>Wh_hp&gt;='2026'!Maxi_hp</f>
        <v>0</v>
      </c>
      <c r="I36" s="392">
        <f>IF(H36,Wh_hp,'2026'!Maxi_hp)</f>
        <v>23.297316747561858</v>
      </c>
      <c r="J36" s="85">
        <f>IF(H36,An,'2026'!An_max)</f>
        <v>2026</v>
      </c>
      <c r="K36" s="199">
        <f t="shared" si="3"/>
        <v>46409</v>
      </c>
      <c r="L36" s="147">
        <f>IF(t&lt;Tvie,1-EXP((T0-t)*PertePVj)+'2026'!Pspv,1-EXP((T0-t)*PertePVj)+Pspv)</f>
        <v>6.9514960844266671E-2</v>
      </c>
      <c r="M36" s="872"/>
      <c r="N36" s="872"/>
      <c r="O36" s="48">
        <f>IF(t&lt;Tnet,'2026'!Resal+('2026'!Salim-'2026'!Resal)*(1-EXP(('2026'!Tnet-t)/('2026'!Tau_j))),Resal+(Salim-Resal)*(1-EXP((Tnet-t)/(Tau_j))))*Salcycl</f>
        <v>7.2233458823588392E-2</v>
      </c>
      <c r="P36" s="171">
        <f>(INDEX(Models!$BJ36:$BT36,,T36)*(1-R36)+INDEX(Models!$BJ36:$BT36,,T36+1)*R36-ERP_i)*Q36*Ramure*Pc/MaxiM</f>
        <v>2.0258980556020843E-2</v>
      </c>
      <c r="Q36" s="307">
        <f t="shared" si="4"/>
        <v>0.9</v>
      </c>
      <c r="R36" s="179">
        <f t="shared" si="5"/>
        <v>0.56612757158918625</v>
      </c>
      <c r="S36" s="839">
        <f t="shared" si="6"/>
        <v>-2</v>
      </c>
      <c r="T36" s="178">
        <f t="shared" si="7"/>
        <v>4</v>
      </c>
      <c r="U36" s="253">
        <f t="shared" si="8"/>
        <v>-1.4338724284108137</v>
      </c>
      <c r="V36" s="385">
        <f t="shared" si="9"/>
        <v>19.833293151199822</v>
      </c>
      <c r="W36" s="404">
        <f t="shared" si="10"/>
        <v>19.705997427053429</v>
      </c>
      <c r="X36" s="157">
        <f t="shared" si="11"/>
        <v>46409</v>
      </c>
      <c r="Y36" s="387">
        <f t="shared" si="12"/>
        <v>14.839466838676623</v>
      </c>
      <c r="Z36" s="387">
        <f t="shared" si="22"/>
        <v>15.94809826511673</v>
      </c>
      <c r="AA36" s="388">
        <f t="shared" si="13"/>
        <v>18.842534218903065</v>
      </c>
      <c r="AB36" s="199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0.15361181888594375</v>
      </c>
      <c r="AD36" s="233">
        <f>(INDEX(Models!$BJ36:$BT36,,AH36)*(1-AF36)+INDEX(Models!$BJ36:$BT36,,AH36+1)*AF36-ERP_i)*AE36*Ramure*Pc/MaxiM</f>
        <v>0.19289137710710372</v>
      </c>
      <c r="AE36" s="307">
        <f t="shared" si="15"/>
        <v>0.9</v>
      </c>
      <c r="AF36" s="179">
        <f t="shared" si="23"/>
        <v>0.20178322389616543</v>
      </c>
      <c r="AG36" s="839">
        <f t="shared" si="24"/>
        <v>3</v>
      </c>
      <c r="AH36" s="178">
        <f t="shared" si="16"/>
        <v>9</v>
      </c>
      <c r="AI36" s="227">
        <f t="shared" si="17"/>
        <v>3.2017832238961654</v>
      </c>
      <c r="AJ36" s="267" t="b">
        <f t="shared" si="18"/>
        <v>0</v>
      </c>
      <c r="AK36" s="267" t="b">
        <f t="shared" si="19"/>
        <v>0</v>
      </c>
      <c r="AL36" s="267"/>
      <c r="AM36" s="267"/>
      <c r="AN36" s="75"/>
    </row>
    <row r="37" spans="1:40" s="6" customFormat="1" ht="11.25" x14ac:dyDescent="0.2">
      <c r="A37" s="56">
        <f t="shared" si="20"/>
        <v>46410</v>
      </c>
      <c r="B37" s="413">
        <f>'2026'!Wh/'2026'!Env_an*'2027'!Env_an</f>
        <v>19.736289147835386</v>
      </c>
      <c r="C37" s="868"/>
      <c r="D37" s="395">
        <f t="shared" si="0"/>
        <v>21.211247489495715</v>
      </c>
      <c r="E37" s="387">
        <f t="shared" si="1"/>
        <v>22.866661504234006</v>
      </c>
      <c r="F37" s="387">
        <f t="shared" si="2"/>
        <v>23.319408781367574</v>
      </c>
      <c r="G37" s="110">
        <f t="shared" si="21"/>
        <v>0.98235804088330514</v>
      </c>
      <c r="H37" s="416" t="b">
        <f>Wh_hp&gt;='2026'!Maxi_hp</f>
        <v>0</v>
      </c>
      <c r="I37" s="392">
        <f>IF(H37,Wh_hp,'2026'!Maxi_hp)</f>
        <v>23.326377588039033</v>
      </c>
      <c r="J37" s="85">
        <f>IF(H37,An,'2026'!An_max)</f>
        <v>2026</v>
      </c>
      <c r="K37" s="199">
        <f t="shared" si="3"/>
        <v>46410</v>
      </c>
      <c r="L37" s="147">
        <f>IF(t&lt;Tvie,1-EXP((T0-t)*PertePVj)+'2026'!Pspv,1-EXP((T0-t)*PertePVj)+Pspv)</f>
        <v>6.9536614590478996E-2</v>
      </c>
      <c r="M37" s="872"/>
      <c r="N37" s="872"/>
      <c r="O37" s="48">
        <f>IF(t&lt;Tnet,'2026'!Resal+('2026'!Salim-'2026'!Resal)*(1-EXP(('2026'!Tnet-t)/('2026'!Tau_j))),Resal+(Salim-Resal)*(1-EXP((Tnet-t)/(Tau_j))))*Salcycl</f>
        <v>7.239421523914942E-2</v>
      </c>
      <c r="P37" s="171">
        <f>(INDEX(Models!$BJ37:$BT37,,T37)*(1-R37)+INDEX(Models!$BJ37:$BT37,,T37+1)*R37-ERP_i)*Q37*Ramure*Pc/MaxiM</f>
        <v>1.9902747221101809E-2</v>
      </c>
      <c r="Q37" s="307">
        <f t="shared" si="4"/>
        <v>0.9</v>
      </c>
      <c r="R37" s="179">
        <f t="shared" si="5"/>
        <v>0.56622414108427455</v>
      </c>
      <c r="S37" s="839">
        <f t="shared" si="6"/>
        <v>-2</v>
      </c>
      <c r="T37" s="178">
        <f t="shared" si="7"/>
        <v>4</v>
      </c>
      <c r="U37" s="253">
        <f t="shared" si="8"/>
        <v>-1.4337758589157255</v>
      </c>
      <c r="V37" s="385">
        <f t="shared" si="9"/>
        <v>20.080736590605362</v>
      </c>
      <c r="W37" s="404">
        <f t="shared" si="10"/>
        <v>19.736289147835386</v>
      </c>
      <c r="X37" s="157">
        <f t="shared" si="11"/>
        <v>46410</v>
      </c>
      <c r="Y37" s="387">
        <f t="shared" si="12"/>
        <v>14.973929282504807</v>
      </c>
      <c r="Z37" s="387">
        <f t="shared" si="22"/>
        <v>16.092980677487265</v>
      </c>
      <c r="AA37" s="388">
        <f t="shared" si="13"/>
        <v>19.015292704845415</v>
      </c>
      <c r="AB37" s="199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0.15368220056972859</v>
      </c>
      <c r="AD37" s="233">
        <f>(INDEX(Models!$BJ37:$BT37,,AH37)*(1-AF37)+INDEX(Models!$BJ37:$BT37,,AH37+1)*AF37-ERP_i)*AE37*Ramure*Pc/MaxiM</f>
        <v>0.18920872329405231</v>
      </c>
      <c r="AE37" s="307">
        <f t="shared" si="15"/>
        <v>0.9</v>
      </c>
      <c r="AF37" s="179">
        <f t="shared" si="23"/>
        <v>0.2018797933912535</v>
      </c>
      <c r="AG37" s="839">
        <f t="shared" si="24"/>
        <v>3</v>
      </c>
      <c r="AH37" s="178">
        <f t="shared" si="16"/>
        <v>9</v>
      </c>
      <c r="AI37" s="227">
        <f t="shared" si="17"/>
        <v>3.2018797933912535</v>
      </c>
      <c r="AJ37" s="267" t="b">
        <f t="shared" si="18"/>
        <v>0</v>
      </c>
      <c r="AK37" s="267" t="b">
        <f t="shared" si="19"/>
        <v>0</v>
      </c>
      <c r="AL37" s="267"/>
      <c r="AM37" s="267"/>
      <c r="AN37" s="75"/>
    </row>
    <row r="38" spans="1:40" s="6" customFormat="1" ht="11.25" x14ac:dyDescent="0.2">
      <c r="A38" s="56">
        <f t="shared" si="20"/>
        <v>46411</v>
      </c>
      <c r="B38" s="413">
        <f>'2026'!Wh/'2026'!Env_an*'2027'!Env_an</f>
        <v>20.155837247289938</v>
      </c>
      <c r="C38" s="868"/>
      <c r="D38" s="395">
        <f t="shared" si="0"/>
        <v>21.662653931420444</v>
      </c>
      <c r="E38" s="387">
        <f t="shared" si="1"/>
        <v>23.357344710416545</v>
      </c>
      <c r="F38" s="387">
        <f t="shared" si="2"/>
        <v>23.816518764173267</v>
      </c>
      <c r="G38" s="110">
        <f t="shared" si="21"/>
        <v>0.99098201954556553</v>
      </c>
      <c r="H38" s="416" t="b">
        <f>Wh_hp&gt;='2026'!Maxi_hp</f>
        <v>0</v>
      </c>
      <c r="I38" s="392">
        <f>IF(H38,Wh_hp,'2026'!Maxi_hp)</f>
        <v>23.820113116433898</v>
      </c>
      <c r="J38" s="85">
        <f>IF(H38,An,'2026'!An_max)</f>
        <v>2026</v>
      </c>
      <c r="K38" s="199">
        <f t="shared" si="3"/>
        <v>46411</v>
      </c>
      <c r="L38" s="147">
        <f>IF(t&lt;Tvie,1-EXP((T0-t)*PertePVj)+'2026'!Pspv,1-EXP((T0-t)*PertePVj)+Pspv)</f>
        <v>6.9558267832777076E-2</v>
      </c>
      <c r="M38" s="872"/>
      <c r="N38" s="872"/>
      <c r="O38" s="48">
        <f>IF(t&lt;Tnet,'2026'!Resal+('2026'!Salim-'2026'!Resal)*(1-EXP(('2026'!Tnet-t)/('2026'!Tau_j))),Resal+(Salim-Resal)*(1-EXP((Tnet-t)/(Tau_j))))*Salcycl</f>
        <v>7.2554941497281117E-2</v>
      </c>
      <c r="P38" s="171">
        <f>(INDEX(Models!$BJ38:$BT38,,T38)*(1-R38)+INDEX(Models!$BJ38:$BT38,,T38+1)*R38-ERP_i)*Q38*Ramure*Pc/MaxiM</f>
        <v>1.9524277726736611E-2</v>
      </c>
      <c r="Q38" s="307">
        <f t="shared" si="4"/>
        <v>0.9</v>
      </c>
      <c r="R38" s="179">
        <f t="shared" si="5"/>
        <v>0.56632473347859569</v>
      </c>
      <c r="S38" s="839">
        <f t="shared" si="6"/>
        <v>-2</v>
      </c>
      <c r="T38" s="178">
        <f t="shared" si="7"/>
        <v>4</v>
      </c>
      <c r="U38" s="253">
        <f t="shared" si="8"/>
        <v>-1.4336752665214043</v>
      </c>
      <c r="V38" s="385">
        <f t="shared" si="9"/>
        <v>20.33418282382679</v>
      </c>
      <c r="W38" s="404">
        <f t="shared" si="10"/>
        <v>20.155837247289938</v>
      </c>
      <c r="X38" s="157">
        <f t="shared" si="11"/>
        <v>46411</v>
      </c>
      <c r="Y38" s="387">
        <f t="shared" si="12"/>
        <v>15.317165052459755</v>
      </c>
      <c r="Z38" s="387">
        <f t="shared" si="22"/>
        <v>16.462250695465247</v>
      </c>
      <c r="AA38" s="388">
        <f t="shared" si="13"/>
        <v>19.453241482657166</v>
      </c>
      <c r="AB38" s="199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0.1537528226264209</v>
      </c>
      <c r="AD38" s="233">
        <f>(INDEX(Models!$BJ38:$BT38,,AH38)*(1-AF38)+INDEX(Models!$BJ38:$BT38,,AH38+1)*AF38-ERP_i)*AE38*Ramure*Pc/MaxiM</f>
        <v>0.18552842162160846</v>
      </c>
      <c r="AE38" s="307">
        <f t="shared" si="15"/>
        <v>0.9</v>
      </c>
      <c r="AF38" s="179">
        <f t="shared" si="23"/>
        <v>0.20198038578557487</v>
      </c>
      <c r="AG38" s="839">
        <f t="shared" si="24"/>
        <v>3</v>
      </c>
      <c r="AH38" s="178">
        <f t="shared" si="16"/>
        <v>9</v>
      </c>
      <c r="AI38" s="227">
        <f t="shared" si="17"/>
        <v>3.2019803857855749</v>
      </c>
      <c r="AJ38" s="267" t="b">
        <f t="shared" si="18"/>
        <v>0</v>
      </c>
      <c r="AK38" s="267" t="b">
        <f t="shared" si="19"/>
        <v>0</v>
      </c>
      <c r="AL38" s="267"/>
      <c r="AM38" s="267"/>
      <c r="AN38" s="75"/>
    </row>
    <row r="39" spans="1:40" s="6" customFormat="1" ht="11.25" x14ac:dyDescent="0.2">
      <c r="A39" s="56">
        <f t="shared" si="20"/>
        <v>46412</v>
      </c>
      <c r="B39" s="413">
        <f>'2026'!Wh/'2026'!Env_an*'2027'!Env_an</f>
        <v>20.376955426380427</v>
      </c>
      <c r="C39" s="868"/>
      <c r="D39" s="395">
        <f t="shared" si="0"/>
        <v>21.900812199678199</v>
      </c>
      <c r="E39" s="387">
        <f t="shared" si="1"/>
        <v>23.618226722080376</v>
      </c>
      <c r="F39" s="387">
        <f t="shared" si="2"/>
        <v>24.071567741113487</v>
      </c>
      <c r="G39" s="110">
        <f t="shared" si="21"/>
        <v>0.98919819967291667</v>
      </c>
      <c r="H39" s="416" t="b">
        <f>Wh_hp&gt;='2026'!Maxi_hp</f>
        <v>0</v>
      </c>
      <c r="I39" s="392">
        <f>IF(H39,Wh_hp,'2026'!Maxi_hp)</f>
        <v>24.07586683749004</v>
      </c>
      <c r="J39" s="85">
        <f>IF(H39,An,'2026'!An_max)</f>
        <v>2026</v>
      </c>
      <c r="K39" s="199">
        <f t="shared" si="3"/>
        <v>46412</v>
      </c>
      <c r="L39" s="147">
        <f>IF(t&lt;Tvie,1-EXP((T0-t)*PertePVj)+'2026'!Pspv,1-EXP((T0-t)*PertePVj)+Pspv)</f>
        <v>6.957992057117246E-2</v>
      </c>
      <c r="M39" s="872"/>
      <c r="N39" s="872"/>
      <c r="O39" s="48">
        <f>IF(t&lt;Tnet,'2026'!Resal+('2026'!Salim-'2026'!Resal)*(1-EXP(('2026'!Tnet-t)/('2026'!Tau_j))),Resal+(Salim-Resal)*(1-EXP((Tnet-t)/(Tau_j))))*Salcycl</f>
        <v>7.2715642144149134E-2</v>
      </c>
      <c r="P39" s="171">
        <f>(INDEX(Models!$BJ39:$BT39,,T39)*(1-R39)+INDEX(Models!$BJ39:$BT39,,T39+1)*R39-ERP_i)*Q39*Ramure*Pc/MaxiM</f>
        <v>1.9120185981202707E-2</v>
      </c>
      <c r="Q39" s="307">
        <f t="shared" si="4"/>
        <v>0.9</v>
      </c>
      <c r="R39" s="179">
        <f t="shared" si="5"/>
        <v>0.56642951512256734</v>
      </c>
      <c r="S39" s="839">
        <f t="shared" si="6"/>
        <v>-2</v>
      </c>
      <c r="T39" s="178">
        <f t="shared" si="7"/>
        <v>4</v>
      </c>
      <c r="U39" s="253">
        <f t="shared" si="8"/>
        <v>-1.4335704848774327</v>
      </c>
      <c r="V39" s="385">
        <f t="shared" si="9"/>
        <v>20.593438354918327</v>
      </c>
      <c r="W39" s="404">
        <f t="shared" si="10"/>
        <v>20.376955426380427</v>
      </c>
      <c r="X39" s="157">
        <f t="shared" si="11"/>
        <v>46412</v>
      </c>
      <c r="Y39" s="387">
        <f t="shared" si="12"/>
        <v>15.556628770620286</v>
      </c>
      <c r="Z39" s="387">
        <f t="shared" si="22"/>
        <v>16.720005419670535</v>
      </c>
      <c r="AA39" s="388">
        <f t="shared" si="13"/>
        <v>19.759481888492861</v>
      </c>
      <c r="AB39" s="199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0.15382369264410695</v>
      </c>
      <c r="AD39" s="233">
        <f>(INDEX(Models!$BJ39:$BT39,,AH39)*(1-AF39)+INDEX(Models!$BJ39:$BT39,,AH39+1)*AF39-ERP_i)*AE39*Ramure*Pc/MaxiM</f>
        <v>0.1818672478498963</v>
      </c>
      <c r="AE39" s="307">
        <f t="shared" si="15"/>
        <v>0.9</v>
      </c>
      <c r="AF39" s="179">
        <f t="shared" si="23"/>
        <v>0.20208516742954608</v>
      </c>
      <c r="AG39" s="839">
        <f t="shared" si="24"/>
        <v>3</v>
      </c>
      <c r="AH39" s="178">
        <f t="shared" si="16"/>
        <v>9</v>
      </c>
      <c r="AI39" s="227">
        <f t="shared" si="17"/>
        <v>3.2020851674295461</v>
      </c>
      <c r="AJ39" s="267" t="b">
        <f t="shared" si="18"/>
        <v>0</v>
      </c>
      <c r="AK39" s="267" t="b">
        <f t="shared" si="19"/>
        <v>0</v>
      </c>
      <c r="AL39" s="267"/>
      <c r="AM39" s="267"/>
      <c r="AN39" s="75"/>
    </row>
    <row r="40" spans="1:40" s="6" customFormat="1" ht="11.25" x14ac:dyDescent="0.2">
      <c r="A40" s="56">
        <f t="shared" si="20"/>
        <v>46413</v>
      </c>
      <c r="B40" s="413">
        <f>'2026'!Wh/'2026'!Env_an*'2027'!Env_an</f>
        <v>20.456364104149479</v>
      </c>
      <c r="C40" s="868"/>
      <c r="D40" s="395">
        <f t="shared" si="0"/>
        <v>21.986670985501316</v>
      </c>
      <c r="E40" s="387">
        <f t="shared" si="1"/>
        <v>23.714927666800097</v>
      </c>
      <c r="F40" s="387">
        <f t="shared" si="2"/>
        <v>24.153988126122236</v>
      </c>
      <c r="G40" s="110">
        <f t="shared" si="21"/>
        <v>0.98022056329652352</v>
      </c>
      <c r="H40" s="416" t="b">
        <f>Wh_hp&gt;='2026'!Maxi_hp</f>
        <v>0</v>
      </c>
      <c r="I40" s="392">
        <f>IF(H40,Wh_hp,'2026'!Maxi_hp)</f>
        <v>24.161792033184952</v>
      </c>
      <c r="J40" s="85">
        <f>IF(H40,An,'2026'!An_max)</f>
        <v>2026</v>
      </c>
      <c r="K40" s="199">
        <f t="shared" si="3"/>
        <v>46413</v>
      </c>
      <c r="L40" s="147">
        <f>IF(t&lt;Tvie,1-EXP((T0-t)*PertePVj)+'2026'!Pspv,1-EXP((T0-t)*PertePVj)+Pspv)</f>
        <v>6.9601572805677026E-2</v>
      </c>
      <c r="M40" s="872"/>
      <c r="N40" s="872"/>
      <c r="O40" s="48">
        <f>IF(t&lt;Tnet,'2026'!Resal+('2026'!Salim-'2026'!Resal)*(1-EXP(('2026'!Tnet-t)/('2026'!Tau_j))),Resal+(Salim-Resal)*(1-EXP((Tnet-t)/(Tau_j))))*Salcycl</f>
        <v>7.2876321006800582E-2</v>
      </c>
      <c r="P40" s="171">
        <f>(INDEX(Models!$BJ40:$BT40,,T40)*(1-R40)+INDEX(Models!$BJ40:$BT40,,T40+1)*R40-ERP_i)*Q40*Ramure*Pc/MaxiM</f>
        <v>1.869200104190983E-2</v>
      </c>
      <c r="Q40" s="307">
        <f t="shared" si="4"/>
        <v>0.9</v>
      </c>
      <c r="R40" s="179">
        <f t="shared" si="5"/>
        <v>0.56653865913991708</v>
      </c>
      <c r="S40" s="839">
        <f t="shared" si="6"/>
        <v>-2</v>
      </c>
      <c r="T40" s="178">
        <f t="shared" si="7"/>
        <v>4</v>
      </c>
      <c r="U40" s="253">
        <f t="shared" si="8"/>
        <v>-1.4334613408600829</v>
      </c>
      <c r="V40" s="385">
        <f t="shared" si="9"/>
        <v>20.858209210806283</v>
      </c>
      <c r="W40" s="404">
        <f t="shared" si="10"/>
        <v>20.456364104149479</v>
      </c>
      <c r="X40" s="157">
        <f t="shared" si="11"/>
        <v>46413</v>
      </c>
      <c r="Y40" s="387">
        <f t="shared" si="12"/>
        <v>15.718718911608995</v>
      </c>
      <c r="Z40" s="387">
        <f t="shared" si="22"/>
        <v>16.894610364948505</v>
      </c>
      <c r="AA40" s="388">
        <f t="shared" si="13"/>
        <v>19.967506046946401</v>
      </c>
      <c r="AB40" s="199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0.15389481664726115</v>
      </c>
      <c r="AD40" s="233">
        <f>(INDEX(Models!$BJ40:$BT40,,AH40)*(1-AF40)+INDEX(Models!$BJ40:$BT40,,AH40+1)*AF40-ERP_i)*AE40*Ramure*Pc/MaxiM</f>
        <v>0.17822995836770897</v>
      </c>
      <c r="AE40" s="307">
        <f t="shared" si="15"/>
        <v>0.9</v>
      </c>
      <c r="AF40" s="179">
        <f t="shared" si="23"/>
        <v>0.20219431144689581</v>
      </c>
      <c r="AG40" s="839">
        <f t="shared" si="24"/>
        <v>3</v>
      </c>
      <c r="AH40" s="178">
        <f t="shared" si="16"/>
        <v>9</v>
      </c>
      <c r="AI40" s="227">
        <f t="shared" si="17"/>
        <v>3.2021943114468958</v>
      </c>
      <c r="AJ40" s="267" t="b">
        <f t="shared" si="18"/>
        <v>0</v>
      </c>
      <c r="AK40" s="267" t="b">
        <f t="shared" si="19"/>
        <v>0</v>
      </c>
      <c r="AL40" s="267"/>
      <c r="AM40" s="267"/>
      <c r="AN40" s="75"/>
    </row>
    <row r="41" spans="1:40" s="6" customFormat="1" ht="11.25" x14ac:dyDescent="0.2">
      <c r="A41" s="56">
        <f t="shared" si="20"/>
        <v>46414</v>
      </c>
      <c r="B41" s="413">
        <f>'2026'!Wh/'2026'!Env_an*'2027'!Env_an</f>
        <v>19.94632698366345</v>
      </c>
      <c r="C41" s="868"/>
      <c r="D41" s="395">
        <f t="shared" si="0"/>
        <v>21.438977745034798</v>
      </c>
      <c r="E41" s="387">
        <f t="shared" si="1"/>
        <v>23.128190992917759</v>
      </c>
      <c r="F41" s="387">
        <f t="shared" si="2"/>
        <v>23.522989208199721</v>
      </c>
      <c r="G41" s="110">
        <f t="shared" si="21"/>
        <v>0.94266211362401064</v>
      </c>
      <c r="H41" s="416" t="b">
        <f>Wh_hp&gt;='2026'!Maxi_hp</f>
        <v>0</v>
      </c>
      <c r="I41" s="392">
        <f>IF(H41,Wh_hp,'2026'!Maxi_hp)</f>
        <v>23.544762444680526</v>
      </c>
      <c r="J41" s="85">
        <f>IF(H41,An,'2026'!An_max)</f>
        <v>2026</v>
      </c>
      <c r="K41" s="199">
        <f t="shared" si="3"/>
        <v>46414</v>
      </c>
      <c r="L41" s="147">
        <f>IF(t&lt;Tvie,1-EXP((T0-t)*PertePVj)+'2026'!Pspv,1-EXP((T0-t)*PertePVj)+Pspv)</f>
        <v>6.962322453630243E-2</v>
      </c>
      <c r="M41" s="872"/>
      <c r="N41" s="872"/>
      <c r="O41" s="48">
        <f>IF(t&lt;Tnet,'2026'!Resal+('2026'!Salim-'2026'!Resal)*(1-EXP(('2026'!Tnet-t)/('2026'!Tau_j))),Resal+(Salim-Resal)*(1-EXP((Tnet-t)/(Tau_j))))*Salcycl</f>
        <v>7.3036981076480476E-2</v>
      </c>
      <c r="P41" s="171">
        <f>(INDEX(Models!$BJ41:$BT41,,T41)*(1-R41)+INDEX(Models!$BJ41:$BT41,,T41+1)*R41-ERP_i)*Q41*Ramure*Pc/MaxiM</f>
        <v>1.824119153643897E-2</v>
      </c>
      <c r="Q41" s="307">
        <f t="shared" si="4"/>
        <v>0.9</v>
      </c>
      <c r="R41" s="179">
        <f t="shared" si="5"/>
        <v>0.56665234569446743</v>
      </c>
      <c r="S41" s="839">
        <f t="shared" si="6"/>
        <v>-2</v>
      </c>
      <c r="T41" s="178">
        <f t="shared" si="7"/>
        <v>4</v>
      </c>
      <c r="U41" s="253">
        <f t="shared" si="8"/>
        <v>-1.4333476543055326</v>
      </c>
      <c r="V41" s="385">
        <f t="shared" si="9"/>
        <v>21.128201602695604</v>
      </c>
      <c r="W41" s="404">
        <f t="shared" si="10"/>
        <v>19.94632698366345</v>
      </c>
      <c r="X41" s="157">
        <f t="shared" si="11"/>
        <v>46414</v>
      </c>
      <c r="Y41" s="387">
        <f t="shared" si="12"/>
        <v>15.540808201157532</v>
      </c>
      <c r="Z41" s="387">
        <f t="shared" si="22"/>
        <v>16.703779168834078</v>
      </c>
      <c r="AA41" s="388">
        <f t="shared" si="13"/>
        <v>19.7436309830846</v>
      </c>
      <c r="AB41" s="199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0.15396619886458179</v>
      </c>
      <c r="AD41" s="233">
        <f>(INDEX(Models!$BJ41:$BT41,,AH41)*(1-AF41)+INDEX(Models!$BJ41:$BT41,,AH41+1)*AF41-ERP_i)*AE41*Ramure*Pc/MaxiM</f>
        <v>0.17462084325762284</v>
      </c>
      <c r="AE41" s="307">
        <f t="shared" si="15"/>
        <v>0.9</v>
      </c>
      <c r="AF41" s="179">
        <f t="shared" si="23"/>
        <v>0.20230799800144661</v>
      </c>
      <c r="AG41" s="839">
        <f t="shared" si="24"/>
        <v>3</v>
      </c>
      <c r="AH41" s="178">
        <f t="shared" si="16"/>
        <v>9</v>
      </c>
      <c r="AI41" s="227">
        <f t="shared" si="17"/>
        <v>3.2023079980014466</v>
      </c>
      <c r="AJ41" s="267" t="b">
        <f t="shared" si="18"/>
        <v>0</v>
      </c>
      <c r="AK41" s="267" t="b">
        <f t="shared" si="19"/>
        <v>0</v>
      </c>
      <c r="AL41" s="267"/>
      <c r="AM41" s="267"/>
      <c r="AN41" s="75"/>
    </row>
    <row r="42" spans="1:40" s="6" customFormat="1" ht="11.25" x14ac:dyDescent="0.2">
      <c r="A42" s="56">
        <f t="shared" si="20"/>
        <v>46415</v>
      </c>
      <c r="B42" s="413">
        <f>'2026'!Wh/'2026'!Env_an*'2027'!Env_an</f>
        <v>4.1686985041738929</v>
      </c>
      <c r="C42" s="868"/>
      <c r="D42" s="395">
        <f t="shared" si="0"/>
        <v>4.48076051345768</v>
      </c>
      <c r="E42" s="387">
        <f t="shared" si="1"/>
        <v>4.8346450456626995</v>
      </c>
      <c r="F42" s="387">
        <f t="shared" si="2"/>
        <v>4.8346450456626995</v>
      </c>
      <c r="G42" s="110">
        <f t="shared" si="21"/>
        <v>0.19130967135205229</v>
      </c>
      <c r="H42" s="416" t="b">
        <f>Wh_hp&gt;='2026'!Maxi_hp</f>
        <v>0</v>
      </c>
      <c r="I42" s="392">
        <f>IF(H42,Wh_hp,'2026'!Maxi_hp)</f>
        <v>17.183861490086507</v>
      </c>
      <c r="J42" s="85">
        <f>IF(H42,An,'2026'!An_max)</f>
        <v>2020</v>
      </c>
      <c r="K42" s="199">
        <f t="shared" si="3"/>
        <v>46415</v>
      </c>
      <c r="L42" s="147">
        <f>IF(t&lt;Tvie,1-EXP((T0-t)*PertePVj)+'2026'!Pspv,1-EXP((T0-t)*PertePVj)+Pspv)</f>
        <v>6.9644875763060443E-2</v>
      </c>
      <c r="M42" s="872"/>
      <c r="N42" s="872"/>
      <c r="O42" s="48">
        <f>IF(t&lt;Tnet,'2026'!Resal+('2026'!Salim-'2026'!Resal)*(1-EXP(('2026'!Tnet-t)/('2026'!Tau_j))),Resal+(Salim-Resal)*(1-EXP((Tnet-t)/(Tau_j))))*Salcycl</f>
        <v>7.3197624409365808E-2</v>
      </c>
      <c r="P42" s="171">
        <f>(INDEX(Models!$BJ42:$BT42,,T42)*(1-R42)+INDEX(Models!$BJ42:$BT42,,T42+1)*R42-ERP_i)*Q42*Ramure*Pc/MaxiM</f>
        <v>1.7769162632279779E-2</v>
      </c>
      <c r="Q42" s="307">
        <f t="shared" si="4"/>
        <v>0.9</v>
      </c>
      <c r="R42" s="179">
        <f t="shared" si="5"/>
        <v>0.5667707622666518</v>
      </c>
      <c r="S42" s="839">
        <f t="shared" si="6"/>
        <v>-2</v>
      </c>
      <c r="T42" s="178">
        <f t="shared" si="7"/>
        <v>4</v>
      </c>
      <c r="U42" s="253">
        <f t="shared" si="8"/>
        <v>-1.4332292377333482</v>
      </c>
      <c r="V42" s="385">
        <f t="shared" si="9"/>
        <v>21.403121930794953</v>
      </c>
      <c r="W42" s="404">
        <f t="shared" si="10"/>
        <v>4.1686985041738929</v>
      </c>
      <c r="X42" s="157">
        <f t="shared" si="11"/>
        <v>46415</v>
      </c>
      <c r="Y42" s="387">
        <f t="shared" si="12"/>
        <v>3.8050843172795967</v>
      </c>
      <c r="Z42" s="387">
        <f t="shared" si="22"/>
        <v>4.0899267582370316</v>
      </c>
      <c r="AA42" s="388">
        <f t="shared" si="13"/>
        <v>4.8346450456626995</v>
      </c>
      <c r="AB42" s="199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0.15403784153580743</v>
      </c>
      <c r="AD42" s="233">
        <f>(INDEX(Models!$BJ42:$BT42,,AH42)*(1-AF42)+INDEX(Models!$BJ42:$BT42,,AH42+1)*AF42-ERP_i)*AE42*Ramure*Pc/MaxiM</f>
        <v>0.17104374827784405</v>
      </c>
      <c r="AE42" s="307">
        <f t="shared" si="15"/>
        <v>0.9</v>
      </c>
      <c r="AF42" s="179">
        <f t="shared" si="23"/>
        <v>0.20242641457363053</v>
      </c>
      <c r="AG42" s="839">
        <f t="shared" si="24"/>
        <v>3</v>
      </c>
      <c r="AH42" s="178">
        <f t="shared" si="16"/>
        <v>9</v>
      </c>
      <c r="AI42" s="227">
        <f t="shared" si="17"/>
        <v>3.2024264145736305</v>
      </c>
      <c r="AJ42" s="267" t="b">
        <f t="shared" si="18"/>
        <v>0</v>
      </c>
      <c r="AK42" s="267" t="b">
        <f t="shared" si="19"/>
        <v>0</v>
      </c>
      <c r="AL42" s="267"/>
      <c r="AM42" s="267"/>
      <c r="AN42" s="75"/>
    </row>
    <row r="43" spans="1:40" s="6" customFormat="1" ht="11.25" x14ac:dyDescent="0.2">
      <c r="A43" s="56">
        <f t="shared" si="20"/>
        <v>46416</v>
      </c>
      <c r="B43" s="413">
        <f>'2026'!Wh/'2026'!Env_an*'2027'!Env_an</f>
        <v>6.5133263533981962</v>
      </c>
      <c r="C43" s="868"/>
      <c r="D43" s="395">
        <f t="shared" si="0"/>
        <v>7.001066326030589</v>
      </c>
      <c r="E43" s="387">
        <f t="shared" si="1"/>
        <v>7.5553107136444959</v>
      </c>
      <c r="F43" s="387">
        <f t="shared" si="2"/>
        <v>7.5553840178363965</v>
      </c>
      <c r="G43" s="110">
        <f t="shared" si="21"/>
        <v>0.29520598970625783</v>
      </c>
      <c r="H43" s="416" t="b">
        <f>Wh_hp&gt;='2026'!Maxi_hp</f>
        <v>0</v>
      </c>
      <c r="I43" s="392">
        <f>IF(H43,Wh_hp,'2026'!Maxi_hp)</f>
        <v>19.986344451656461</v>
      </c>
      <c r="J43" s="85">
        <f>IF(H43,An,'2026'!An_max)</f>
        <v>2020</v>
      </c>
      <c r="K43" s="199">
        <f t="shared" si="3"/>
        <v>46416</v>
      </c>
      <c r="L43" s="147">
        <f>IF(t&lt;Tvie,1-EXP((T0-t)*PertePVj)+'2026'!Pspv,1-EXP((T0-t)*PertePVj)+Pspv)</f>
        <v>6.9666526485962832E-2</v>
      </c>
      <c r="M43" s="872"/>
      <c r="N43" s="872"/>
      <c r="O43" s="48">
        <f>IF(t&lt;Tnet,'2026'!Resal+('2026'!Salim-'2026'!Resal)*(1-EXP(('2026'!Tnet-t)/('2026'!Tau_j))),Resal+(Salim-Resal)*(1-EXP((Tnet-t)/(Tau_j))))*Salcycl</f>
        <v>7.3358252045540653E-2</v>
      </c>
      <c r="P43" s="171">
        <f>(INDEX(Models!$BJ43:$BT43,,T43)*(1-R43)+INDEX(Models!$BJ43:$BT43,,T43+1)*R43-ERP_i)*Q43*Ramure*Pc/MaxiM</f>
        <v>1.7277253800002078E-2</v>
      </c>
      <c r="Q43" s="307">
        <f t="shared" si="4"/>
        <v>0.9</v>
      </c>
      <c r="R43" s="179">
        <f t="shared" si="5"/>
        <v>0.56689410394005124</v>
      </c>
      <c r="S43" s="839">
        <f t="shared" si="6"/>
        <v>-2</v>
      </c>
      <c r="T43" s="178">
        <f t="shared" si="7"/>
        <v>4</v>
      </c>
      <c r="U43" s="253">
        <f t="shared" si="8"/>
        <v>-1.4331058960599488</v>
      </c>
      <c r="V43" s="385">
        <f t="shared" si="9"/>
        <v>21.682676797836866</v>
      </c>
      <c r="W43" s="404">
        <f t="shared" si="10"/>
        <v>6.5133263533981962</v>
      </c>
      <c r="X43" s="157">
        <f t="shared" si="11"/>
        <v>46416</v>
      </c>
      <c r="Y43" s="387">
        <f t="shared" si="12"/>
        <v>5.9452258759526737</v>
      </c>
      <c r="Z43" s="387">
        <f t="shared" si="22"/>
        <v>6.3904245576551002</v>
      </c>
      <c r="AA43" s="388">
        <f t="shared" si="13"/>
        <v>7.5546733374208026</v>
      </c>
      <c r="AB43" s="199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0.15410974475875638</v>
      </c>
      <c r="AD43" s="233">
        <f>(INDEX(Models!$BJ43:$BT43,,AH43)*(1-AF43)+INDEX(Models!$BJ43:$BT43,,AH43+1)*AF43-ERP_i)*AE43*Ramure*Pc/MaxiM</f>
        <v>0.16750209766452528</v>
      </c>
      <c r="AE43" s="307">
        <f t="shared" si="15"/>
        <v>0.9</v>
      </c>
      <c r="AF43" s="179">
        <f t="shared" si="23"/>
        <v>0.2025497562470302</v>
      </c>
      <c r="AG43" s="839">
        <f t="shared" si="24"/>
        <v>3</v>
      </c>
      <c r="AH43" s="178">
        <f t="shared" si="16"/>
        <v>9</v>
      </c>
      <c r="AI43" s="227">
        <f t="shared" si="17"/>
        <v>3.2025497562470302</v>
      </c>
      <c r="AJ43" s="267" t="b">
        <f t="shared" si="18"/>
        <v>0</v>
      </c>
      <c r="AK43" s="267" t="b">
        <f t="shared" si="19"/>
        <v>0</v>
      </c>
      <c r="AL43" s="267"/>
      <c r="AM43" s="267"/>
      <c r="AN43" s="75"/>
    </row>
    <row r="44" spans="1:40" s="6" customFormat="1" ht="11.25" x14ac:dyDescent="0.2">
      <c r="A44" s="56">
        <f t="shared" si="20"/>
        <v>46417</v>
      </c>
      <c r="B44" s="413">
        <f>'2026'!Wh/'2026'!Env_an*'2027'!Env_an</f>
        <v>4.7366234908748712</v>
      </c>
      <c r="C44" s="868"/>
      <c r="D44" s="395">
        <f t="shared" si="0"/>
        <v>5.0914364111795294</v>
      </c>
      <c r="E44" s="387">
        <f t="shared" si="1"/>
        <v>5.4954561005625697</v>
      </c>
      <c r="F44" s="387">
        <f t="shared" si="2"/>
        <v>5.4954561005625697</v>
      </c>
      <c r="G44" s="110">
        <f t="shared" si="21"/>
        <v>0.21201330609114791</v>
      </c>
      <c r="H44" s="416" t="b">
        <f>Wh_hp&gt;='2026'!Maxi_hp</f>
        <v>0</v>
      </c>
      <c r="I44" s="392">
        <f>IF(H44,Wh_hp,'2026'!Maxi_hp)</f>
        <v>10.95637555418933</v>
      </c>
      <c r="J44" s="85">
        <f>IF(H44,An,'2026'!An_max)</f>
        <v>2020</v>
      </c>
      <c r="K44" s="199">
        <f t="shared" si="3"/>
        <v>46417</v>
      </c>
      <c r="L44" s="147">
        <f>IF(t&lt;Tvie,1-EXP((T0-t)*PertePVj)+'2026'!Pspv,1-EXP((T0-t)*PertePVj)+Pspv)</f>
        <v>6.9688176705021254E-2</v>
      </c>
      <c r="M44" s="872"/>
      <c r="N44" s="872"/>
      <c r="O44" s="48">
        <f>IF(t&lt;Tnet,'2026'!Resal+('2026'!Salim-'2026'!Resal)*(1-EXP(('2026'!Tnet-t)/('2026'!Tau_j))),Resal+(Salim-Resal)*(1-EXP((Tnet-t)/(Tau_j))))*Salcycl</f>
        <v>7.3518863946830673E-2</v>
      </c>
      <c r="P44" s="171">
        <f>(INDEX(Models!$BJ44:$BT44,,T44)*(1-R44)+INDEX(Models!$BJ44:$BT44,,T44+1)*R44-ERP_i)*Q44*Ramure*Pc/MaxiM</f>
        <v>1.6749811302240666E-2</v>
      </c>
      <c r="Q44" s="307">
        <f t="shared" si="4"/>
        <v>0.9</v>
      </c>
      <c r="R44" s="179">
        <f t="shared" si="5"/>
        <v>0.56702257369824194</v>
      </c>
      <c r="S44" s="839">
        <f t="shared" si="6"/>
        <v>-2</v>
      </c>
      <c r="T44" s="178">
        <f t="shared" si="7"/>
        <v>4</v>
      </c>
      <c r="U44" s="253">
        <f t="shared" si="8"/>
        <v>-1.4329774263017581</v>
      </c>
      <c r="V44" s="385">
        <f t="shared" si="9"/>
        <v>21.966951164804325</v>
      </c>
      <c r="W44" s="404">
        <f t="shared" si="10"/>
        <v>4.7366234908748712</v>
      </c>
      <c r="X44" s="157">
        <f t="shared" si="11"/>
        <v>46417</v>
      </c>
      <c r="Y44" s="387">
        <f t="shared" si="12"/>
        <v>4.3242346717677203</v>
      </c>
      <c r="Z44" s="387">
        <f t="shared" si="22"/>
        <v>4.6481562025645813</v>
      </c>
      <c r="AA44" s="388">
        <f t="shared" si="13"/>
        <v>5.4954561005625697</v>
      </c>
      <c r="AB44" s="199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0.15418190637738879</v>
      </c>
      <c r="AD44" s="233">
        <f>(INDEX(Models!$BJ44:$BT44,,AH44)*(1-AF44)+INDEX(Models!$BJ44:$BT44,,AH44+1)*AF44-ERP_i)*AE44*Ramure*Pc/MaxiM</f>
        <v>0.16395216000008858</v>
      </c>
      <c r="AE44" s="307">
        <f t="shared" si="15"/>
        <v>0.9</v>
      </c>
      <c r="AF44" s="179">
        <f t="shared" si="23"/>
        <v>0.2026782260052209</v>
      </c>
      <c r="AG44" s="839">
        <f t="shared" si="24"/>
        <v>3</v>
      </c>
      <c r="AH44" s="178">
        <f t="shared" si="16"/>
        <v>9</v>
      </c>
      <c r="AI44" s="227">
        <f t="shared" si="17"/>
        <v>3.2026782260052209</v>
      </c>
      <c r="AJ44" s="267" t="b">
        <f t="shared" si="18"/>
        <v>0</v>
      </c>
      <c r="AK44" s="267" t="b">
        <f t="shared" si="19"/>
        <v>0</v>
      </c>
      <c r="AL44" s="267"/>
      <c r="AM44" s="267"/>
      <c r="AN44" s="75"/>
    </row>
    <row r="45" spans="1:40" s="6" customFormat="1" ht="11.25" x14ac:dyDescent="0.2">
      <c r="A45" s="56">
        <f t="shared" si="20"/>
        <v>46418</v>
      </c>
      <c r="B45" s="413">
        <f>'2026'!Wh/'2026'!Env_an*'2027'!Env_an</f>
        <v>10.611166672481566</v>
      </c>
      <c r="C45" s="868"/>
      <c r="D45" s="395">
        <f t="shared" si="0"/>
        <v>11.406297705639352</v>
      </c>
      <c r="E45" s="387">
        <f t="shared" si="1"/>
        <v>12.313553678468823</v>
      </c>
      <c r="F45" s="387">
        <f t="shared" si="2"/>
        <v>12.364128109940824</v>
      </c>
      <c r="G45" s="110">
        <f t="shared" si="21"/>
        <v>0.47099329156156994</v>
      </c>
      <c r="H45" s="416" t="b">
        <f>Wh_hp&gt;='2026'!Maxi_hp</f>
        <v>0</v>
      </c>
      <c r="I45" s="392">
        <f>IF(H45,Wh_hp,'2026'!Maxi_hp)</f>
        <v>19.362829984004698</v>
      </c>
      <c r="J45" s="85">
        <f>IF(H45,An,'2026'!An_max)</f>
        <v>2020</v>
      </c>
      <c r="K45" s="199">
        <f t="shared" si="3"/>
        <v>46418</v>
      </c>
      <c r="L45" s="147">
        <f>IF(t&lt;Tvie,1-EXP((T0-t)*PertePVj)+'2026'!Pspv,1-EXP((T0-t)*PertePVj)+Pspv)</f>
        <v>6.9709826420247367E-2</v>
      </c>
      <c r="M45" s="872"/>
      <c r="N45" s="872"/>
      <c r="O45" s="48">
        <f>IF(t&lt;Tnet,'2026'!Resal+('2026'!Salim-'2026'!Resal)*(1-EXP(('2026'!Tnet-t)/('2026'!Tau_j))),Resal+(Salim-Resal)*(1-EXP((Tnet-t)/(Tau_j))))*Salcycl</f>
        <v>7.367945895390679E-2</v>
      </c>
      <c r="P45" s="171">
        <f>(INDEX(Models!$BJ45:$BT45,,T45)*(1-R45)+INDEX(Models!$BJ45:$BT45,,T45+1)*R45-ERP_i)*Q45*Ramure*Pc/MaxiM</f>
        <v>1.6196108060089962E-2</v>
      </c>
      <c r="Q45" s="307">
        <f t="shared" si="4"/>
        <v>0.9</v>
      </c>
      <c r="R45" s="179">
        <f t="shared" si="5"/>
        <v>0.56715638273224411</v>
      </c>
      <c r="S45" s="839">
        <f t="shared" si="6"/>
        <v>-2</v>
      </c>
      <c r="T45" s="178">
        <f t="shared" si="7"/>
        <v>4</v>
      </c>
      <c r="U45" s="253">
        <f t="shared" si="8"/>
        <v>-1.4328436172677559</v>
      </c>
      <c r="V45" s="385">
        <f t="shared" si="9"/>
        <v>22.255483789247471</v>
      </c>
      <c r="W45" s="404">
        <f t="shared" si="10"/>
        <v>10.611166672481566</v>
      </c>
      <c r="X45" s="157">
        <f t="shared" si="11"/>
        <v>46418</v>
      </c>
      <c r="Y45" s="387">
        <f t="shared" si="12"/>
        <v>9.3338699924393218</v>
      </c>
      <c r="Z45" s="387">
        <f t="shared" si="22"/>
        <v>10.033288814094027</v>
      </c>
      <c r="AA45" s="388">
        <f t="shared" si="13"/>
        <v>11.863245741636685</v>
      </c>
      <c r="AB45" s="199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0.15425432191124733</v>
      </c>
      <c r="AD45" s="233">
        <f>(INDEX(Models!$BJ45:$BT45,,AH45)*(1-AF45)+INDEX(Models!$BJ45:$BT45,,AH45+1)*AF45-ERP_i)*AE45*Ramure*Pc/MaxiM</f>
        <v>0.16040407625618169</v>
      </c>
      <c r="AE45" s="307">
        <f t="shared" si="15"/>
        <v>0.9</v>
      </c>
      <c r="AF45" s="179">
        <f t="shared" si="23"/>
        <v>0.20281203503922285</v>
      </c>
      <c r="AG45" s="839">
        <f t="shared" si="24"/>
        <v>3</v>
      </c>
      <c r="AH45" s="178">
        <f t="shared" si="16"/>
        <v>9</v>
      </c>
      <c r="AI45" s="227">
        <f t="shared" si="17"/>
        <v>3.2028120350392228</v>
      </c>
      <c r="AJ45" s="267" t="b">
        <f t="shared" si="18"/>
        <v>0</v>
      </c>
      <c r="AK45" s="267" t="b">
        <f t="shared" si="19"/>
        <v>0</v>
      </c>
      <c r="AL45" s="267"/>
      <c r="AM45" s="267"/>
      <c r="AN45" s="75"/>
    </row>
    <row r="46" spans="1:40" s="6" customFormat="1" ht="11.25" x14ac:dyDescent="0.2">
      <c r="A46" s="56">
        <f t="shared" si="20"/>
        <v>46419</v>
      </c>
      <c r="B46" s="413">
        <f>'2026'!Wh/'2026'!Env_an*'2027'!Env_an</f>
        <v>10.42430117508502</v>
      </c>
      <c r="C46" s="868"/>
      <c r="D46" s="395">
        <f t="shared" si="0"/>
        <v>11.205690509805358</v>
      </c>
      <c r="E46" s="387">
        <f t="shared" si="1"/>
        <v>12.099087555502512</v>
      </c>
      <c r="F46" s="387">
        <f t="shared" si="2"/>
        <v>12.143062632001788</v>
      </c>
      <c r="G46" s="110">
        <f t="shared" si="21"/>
        <v>0.45675017331109358</v>
      </c>
      <c r="H46" s="416" t="b">
        <f>Wh_hp&gt;='2026'!Maxi_hp</f>
        <v>0</v>
      </c>
      <c r="I46" s="392">
        <f>IF(H46,Wh_hp,'2026'!Maxi_hp)</f>
        <v>21.665220022404377</v>
      </c>
      <c r="J46" s="85">
        <f>IF(H46,An,'2026'!An_max)</f>
        <v>2019</v>
      </c>
      <c r="K46" s="199">
        <f t="shared" si="3"/>
        <v>46419</v>
      </c>
      <c r="L46" s="147">
        <f>IF(t&lt;Tvie,1-EXP((T0-t)*PertePVj)+'2026'!Pspv,1-EXP((T0-t)*PertePVj)+Pspv)</f>
        <v>6.973147563165305E-2</v>
      </c>
      <c r="M46" s="872"/>
      <c r="N46" s="872"/>
      <c r="O46" s="48">
        <f>IF(t&lt;Tnet,'2026'!Resal+('2026'!Salim-'2026'!Resal)*(1-EXP(('2026'!Tnet-t)/('2026'!Tau_j))),Resal+(Salim-Resal)*(1-EXP((Tnet-t)/(Tau_j))))*Salcycl</f>
        <v>7.3840034762856971E-2</v>
      </c>
      <c r="P46" s="171">
        <f>(INDEX(Models!$BJ46:$BT46,,T46)*(1-R46)+INDEX(Models!$BJ46:$BT46,,T46+1)*R46-ERP_i)*Q46*Ramure*Pc/MaxiM</f>
        <v>1.5617593457360286E-2</v>
      </c>
      <c r="Q46" s="307">
        <f t="shared" si="4"/>
        <v>0.9</v>
      </c>
      <c r="R46" s="179">
        <f t="shared" si="5"/>
        <v>0.56729575075886074</v>
      </c>
      <c r="S46" s="839">
        <f t="shared" si="6"/>
        <v>-2</v>
      </c>
      <c r="T46" s="178">
        <f t="shared" si="7"/>
        <v>4</v>
      </c>
      <c r="U46" s="253">
        <f t="shared" si="8"/>
        <v>-1.4327042492411393</v>
      </c>
      <c r="V46" s="385">
        <f t="shared" si="9"/>
        <v>22.547982454238873</v>
      </c>
      <c r="W46" s="404">
        <f t="shared" si="10"/>
        <v>10.42430117508502</v>
      </c>
      <c r="X46" s="157">
        <f t="shared" si="11"/>
        <v>46419</v>
      </c>
      <c r="Y46" s="387">
        <f t="shared" si="12"/>
        <v>9.2055113798333075</v>
      </c>
      <c r="Z46" s="387">
        <f t="shared" si="22"/>
        <v>9.8955421350882062</v>
      </c>
      <c r="AA46" s="388">
        <f t="shared" si="13"/>
        <v>11.701380975889359</v>
      </c>
      <c r="AB46" s="199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0.15432698452619184</v>
      </c>
      <c r="AD46" s="233">
        <f>(INDEX(Models!$BJ46:$BT46,,AH46)*(1-AF46)+INDEX(Models!$BJ46:$BT46,,AH46+1)*AF46-ERP_i)*AE46*Ramure*Pc/MaxiM</f>
        <v>0.1568616837505929</v>
      </c>
      <c r="AE46" s="307">
        <f t="shared" si="15"/>
        <v>0.9</v>
      </c>
      <c r="AF46" s="179">
        <f t="shared" si="23"/>
        <v>0.20295140306583992</v>
      </c>
      <c r="AG46" s="839">
        <f t="shared" si="24"/>
        <v>3</v>
      </c>
      <c r="AH46" s="178">
        <f t="shared" si="16"/>
        <v>9</v>
      </c>
      <c r="AI46" s="227">
        <f t="shared" si="17"/>
        <v>3.2029514030658399</v>
      </c>
      <c r="AJ46" s="267" t="b">
        <f t="shared" si="18"/>
        <v>0</v>
      </c>
      <c r="AK46" s="267" t="b">
        <f t="shared" si="19"/>
        <v>0</v>
      </c>
      <c r="AL46" s="267"/>
      <c r="AM46" s="267"/>
      <c r="AN46" s="75"/>
    </row>
    <row r="47" spans="1:40" s="6" customFormat="1" ht="11.25" x14ac:dyDescent="0.2">
      <c r="A47" s="56">
        <f t="shared" si="20"/>
        <v>46420</v>
      </c>
      <c r="B47" s="413">
        <f>'2026'!Wh/'2026'!Env_an*'2027'!Env_an</f>
        <v>5.4417649395551022</v>
      </c>
      <c r="C47" s="868"/>
      <c r="D47" s="395">
        <f t="shared" si="0"/>
        <v>5.8498072736765083</v>
      </c>
      <c r="E47" s="387">
        <f t="shared" si="1"/>
        <v>6.3172904835266026</v>
      </c>
      <c r="F47" s="387">
        <f t="shared" si="2"/>
        <v>6.3172904835266026</v>
      </c>
      <c r="G47" s="110">
        <f t="shared" si="21"/>
        <v>0.23463565716045587</v>
      </c>
      <c r="H47" s="416" t="b">
        <f>Wh_hp&gt;='2026'!Maxi_hp</f>
        <v>0</v>
      </c>
      <c r="I47" s="392">
        <f>IF(H47,Wh_hp,'2026'!Maxi_hp)</f>
        <v>24.095566163036541</v>
      </c>
      <c r="J47" s="85">
        <f>IF(H47,An,'2026'!An_max)</f>
        <v>2021</v>
      </c>
      <c r="K47" s="199">
        <f t="shared" si="3"/>
        <v>46420</v>
      </c>
      <c r="L47" s="147">
        <f>IF(t&lt;Tvie,1-EXP((T0-t)*PertePVj)+'2026'!Pspv,1-EXP((T0-t)*PertePVj)+Pspv)</f>
        <v>6.9753124339249961E-2</v>
      </c>
      <c r="M47" s="872"/>
      <c r="N47" s="872"/>
      <c r="O47" s="48">
        <f>IF(t&lt;Tnet,'2026'!Resal+('2026'!Salim-'2026'!Resal)*(1-EXP(('2026'!Tnet-t)/('2026'!Tau_j))),Resal+(Salim-Resal)*(1-EXP((Tnet-t)/(Tau_j))))*Salcycl</f>
        <v>7.4000587921219538E-2</v>
      </c>
      <c r="P47" s="171">
        <f>(INDEX(Models!$BJ47:$BT47,,T47)*(1-R47)+INDEX(Models!$BJ47:$BT47,,T47+1)*R47-ERP_i)*Q47*Ramure*Pc/MaxiM</f>
        <v>1.5015636865590924E-2</v>
      </c>
      <c r="Q47" s="307">
        <f t="shared" si="4"/>
        <v>0.9</v>
      </c>
      <c r="R47" s="179">
        <f t="shared" si="5"/>
        <v>0.5674409063502035</v>
      </c>
      <c r="S47" s="839">
        <f t="shared" si="6"/>
        <v>-2</v>
      </c>
      <c r="T47" s="178">
        <f t="shared" si="7"/>
        <v>4</v>
      </c>
      <c r="U47" s="253">
        <f t="shared" si="8"/>
        <v>-1.4325590936497965</v>
      </c>
      <c r="V47" s="385">
        <f t="shared" si="9"/>
        <v>22.844155224239255</v>
      </c>
      <c r="W47" s="404">
        <f t="shared" si="10"/>
        <v>5.4417649395551022</v>
      </c>
      <c r="X47" s="157">
        <f t="shared" si="11"/>
        <v>46420</v>
      </c>
      <c r="Y47" s="387">
        <f t="shared" si="12"/>
        <v>4.9692872354106905</v>
      </c>
      <c r="Z47" s="387">
        <f t="shared" si="22"/>
        <v>5.3419015590684236</v>
      </c>
      <c r="AA47" s="388">
        <f t="shared" si="13"/>
        <v>6.3172904835266026</v>
      </c>
      <c r="AB47" s="199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0.15439988504591795</v>
      </c>
      <c r="AD47" s="233">
        <f>(INDEX(Models!$BJ47:$BT47,,AH47)*(1-AF47)+INDEX(Models!$BJ47:$BT47,,AH47+1)*AF47-ERP_i)*AE47*Ramure*Pc/MaxiM</f>
        <v>0.15332844709060908</v>
      </c>
      <c r="AE47" s="307">
        <f t="shared" si="15"/>
        <v>0.9</v>
      </c>
      <c r="AF47" s="179">
        <f t="shared" si="23"/>
        <v>0.20309655865718268</v>
      </c>
      <c r="AG47" s="839">
        <f t="shared" si="24"/>
        <v>3</v>
      </c>
      <c r="AH47" s="178">
        <f t="shared" si="16"/>
        <v>9</v>
      </c>
      <c r="AI47" s="227">
        <f t="shared" si="17"/>
        <v>3.2030965586571827</v>
      </c>
      <c r="AJ47" s="267" t="b">
        <f t="shared" si="18"/>
        <v>0</v>
      </c>
      <c r="AK47" s="267" t="b">
        <f t="shared" si="19"/>
        <v>0</v>
      </c>
      <c r="AL47" s="267"/>
      <c r="AM47" s="267"/>
      <c r="AN47" s="75"/>
    </row>
    <row r="48" spans="1:40" s="6" customFormat="1" ht="11.25" x14ac:dyDescent="0.2">
      <c r="A48" s="56">
        <f t="shared" si="20"/>
        <v>46421</v>
      </c>
      <c r="B48" s="413">
        <f>'2026'!Wh/'2026'!Env_an*'2027'!Env_an</f>
        <v>13.002406676901311</v>
      </c>
      <c r="C48" s="868"/>
      <c r="D48" s="395">
        <f t="shared" si="0"/>
        <v>13.97769732868597</v>
      </c>
      <c r="E48" s="387">
        <f t="shared" si="1"/>
        <v>15.097332308765974</v>
      </c>
      <c r="F48" s="387">
        <f t="shared" si="2"/>
        <v>15.1790360681993</v>
      </c>
      <c r="G48" s="110">
        <f t="shared" si="21"/>
        <v>0.55672300107057904</v>
      </c>
      <c r="H48" s="416" t="b">
        <f>Wh_hp&gt;='2026'!Maxi_hp</f>
        <v>0</v>
      </c>
      <c r="I48" s="392">
        <f>IF(H48,Wh_hp,'2026'!Maxi_hp)</f>
        <v>22.364236578915285</v>
      </c>
      <c r="J48" s="85">
        <f>IF(H48,An,'2026'!An_max)</f>
        <v>2020</v>
      </c>
      <c r="K48" s="199">
        <f t="shared" si="3"/>
        <v>46421</v>
      </c>
      <c r="L48" s="147">
        <f>IF(t&lt;Tvie,1-EXP((T0-t)*PertePVj)+'2026'!Pspv,1-EXP((T0-t)*PertePVj)+Pspv)</f>
        <v>6.9774772543049868E-2</v>
      </c>
      <c r="M48" s="872"/>
      <c r="N48" s="872"/>
      <c r="O48" s="48">
        <f>IF(t&lt;Tnet,'2026'!Resal+('2026'!Salim-'2026'!Resal)*(1-EXP(('2026'!Tnet-t)/('2026'!Tau_j))),Resal+(Salim-Resal)*(1-EXP((Tnet-t)/(Tau_j))))*Salcycl</f>
        <v>7.4161113843265486E-2</v>
      </c>
      <c r="P48" s="171">
        <f>(INDEX(Models!$BJ48:$BT48,,T48)*(1-R48)+INDEX(Models!$BJ48:$BT48,,T48+1)*R48-ERP_i)*Q48*Ramure*Pc/MaxiM</f>
        <v>1.4391527195731639E-2</v>
      </c>
      <c r="Q48" s="307">
        <f t="shared" si="4"/>
        <v>0.9</v>
      </c>
      <c r="R48" s="179">
        <f t="shared" si="5"/>
        <v>0.56759208727468979</v>
      </c>
      <c r="S48" s="839">
        <f t="shared" si="6"/>
        <v>-2</v>
      </c>
      <c r="T48" s="178">
        <f t="shared" si="7"/>
        <v>4</v>
      </c>
      <c r="U48" s="253">
        <f t="shared" si="8"/>
        <v>-1.4324079127253102</v>
      </c>
      <c r="V48" s="385">
        <f t="shared" si="9"/>
        <v>23.14371046449569</v>
      </c>
      <c r="W48" s="404">
        <f t="shared" si="10"/>
        <v>13.002406676901311</v>
      </c>
      <c r="X48" s="157">
        <f t="shared" si="11"/>
        <v>46421</v>
      </c>
      <c r="Y48" s="387">
        <f t="shared" si="12"/>
        <v>11.269839871279547</v>
      </c>
      <c r="Z48" s="387">
        <f t="shared" si="22"/>
        <v>12.115173335052456</v>
      </c>
      <c r="AA48" s="388">
        <f t="shared" si="13"/>
        <v>14.328547174771215</v>
      </c>
      <c r="AB48" s="199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0.15447301200333322</v>
      </c>
      <c r="AD48" s="233">
        <f>(INDEX(Models!$BJ48:$BT48,,AH48)*(1-AF48)+INDEX(Models!$BJ48:$BT48,,AH48+1)*AF48-ERP_i)*AE48*Ramure*Pc/MaxiM</f>
        <v>0.14980747672236983</v>
      </c>
      <c r="AE48" s="307">
        <f t="shared" si="15"/>
        <v>0.9</v>
      </c>
      <c r="AF48" s="179">
        <f t="shared" si="23"/>
        <v>0.20324773958166853</v>
      </c>
      <c r="AG48" s="839">
        <f t="shared" si="24"/>
        <v>3</v>
      </c>
      <c r="AH48" s="178">
        <f t="shared" si="16"/>
        <v>9</v>
      </c>
      <c r="AI48" s="227">
        <f t="shared" si="17"/>
        <v>3.2032477395816685</v>
      </c>
      <c r="AJ48" s="267" t="b">
        <f t="shared" si="18"/>
        <v>0</v>
      </c>
      <c r="AK48" s="267" t="b">
        <f t="shared" si="19"/>
        <v>0</v>
      </c>
      <c r="AL48" s="267"/>
      <c r="AM48" s="267"/>
      <c r="AN48" s="75"/>
    </row>
    <row r="49" spans="1:40" s="6" customFormat="1" ht="11.25" x14ac:dyDescent="0.2">
      <c r="A49" s="56">
        <f t="shared" si="20"/>
        <v>46422</v>
      </c>
      <c r="B49" s="413">
        <f>'2026'!Wh/'2026'!Env_an*'2027'!Env_an</f>
        <v>10.832660175434812</v>
      </c>
      <c r="C49" s="868"/>
      <c r="D49" s="395">
        <f t="shared" si="0"/>
        <v>11.645472465570828</v>
      </c>
      <c r="E49" s="387">
        <f t="shared" si="1"/>
        <v>12.580473468618351</v>
      </c>
      <c r="F49" s="387">
        <f t="shared" si="2"/>
        <v>12.620628495786605</v>
      </c>
      <c r="G49" s="110">
        <f t="shared" si="21"/>
        <v>0.45712220177571727</v>
      </c>
      <c r="H49" s="416" t="b">
        <f>Wh_hp&gt;='2026'!Maxi_hp</f>
        <v>0</v>
      </c>
      <c r="I49" s="392">
        <f>IF(H49,Wh_hp,'2026'!Maxi_hp)</f>
        <v>23.372565339149336</v>
      </c>
      <c r="J49" s="85">
        <f>IF(H49,An,'2026'!An_max)</f>
        <v>2019</v>
      </c>
      <c r="K49" s="199">
        <f t="shared" si="3"/>
        <v>46422</v>
      </c>
      <c r="L49" s="147">
        <f>IF(t&lt;Tvie,1-EXP((T0-t)*PertePVj)+'2026'!Pspv,1-EXP((T0-t)*PertePVj)+Pspv)</f>
        <v>6.9796420243064317E-2</v>
      </c>
      <c r="M49" s="872"/>
      <c r="N49" s="872"/>
      <c r="O49" s="48">
        <f>IF(t&lt;Tnet,'2026'!Resal+('2026'!Salim-'2026'!Resal)*(1-EXP(('2026'!Tnet-t)/('2026'!Tau_j))),Resal+(Salim-Resal)*(1-EXP((Tnet-t)/(Tau_j))))*Salcycl</f>
        <v>7.4321606844119065E-2</v>
      </c>
      <c r="P49" s="171">
        <f>(INDEX(Models!$BJ49:$BT49,,T49)*(1-R49)+INDEX(Models!$BJ49:$BT49,,T49+1)*R49-ERP_i)*Q49*Ramure*Pc/MaxiM</f>
        <v>1.374647295437108E-2</v>
      </c>
      <c r="Q49" s="307">
        <f t="shared" si="4"/>
        <v>0.9</v>
      </c>
      <c r="R49" s="179">
        <f t="shared" si="5"/>
        <v>0.56774954084980211</v>
      </c>
      <c r="S49" s="839">
        <f t="shared" si="6"/>
        <v>-2</v>
      </c>
      <c r="T49" s="178">
        <f t="shared" si="7"/>
        <v>4</v>
      </c>
      <c r="U49" s="253">
        <f t="shared" si="8"/>
        <v>-1.4322504591501979</v>
      </c>
      <c r="V49" s="385">
        <f t="shared" si="9"/>
        <v>23.446356850204921</v>
      </c>
      <c r="W49" s="404">
        <f t="shared" si="10"/>
        <v>10.832660175434812</v>
      </c>
      <c r="X49" s="157">
        <f t="shared" si="11"/>
        <v>46422</v>
      </c>
      <c r="Y49" s="387">
        <f t="shared" si="12"/>
        <v>9.5893201154723506</v>
      </c>
      <c r="Z49" s="387">
        <f t="shared" si="22"/>
        <v>10.308840262663859</v>
      </c>
      <c r="AA49" s="388">
        <f t="shared" si="13"/>
        <v>12.193264862909885</v>
      </c>
      <c r="AB49" s="199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0.15454635173046791</v>
      </c>
      <c r="AD49" s="233">
        <f>(INDEX(Models!$BJ49:$BT49,,AH49)*(1-AF49)+INDEX(Models!$BJ49:$BT49,,AH49+1)*AF49-ERP_i)*AE49*Ramure*Pc/MaxiM</f>
        <v>0.14630154765942216</v>
      </c>
      <c r="AE49" s="307">
        <f t="shared" si="15"/>
        <v>0.9</v>
      </c>
      <c r="AF49" s="179">
        <f t="shared" si="23"/>
        <v>0.20340519315678129</v>
      </c>
      <c r="AG49" s="839">
        <f t="shared" si="24"/>
        <v>3</v>
      </c>
      <c r="AH49" s="178">
        <f t="shared" si="16"/>
        <v>9</v>
      </c>
      <c r="AI49" s="227">
        <f t="shared" si="17"/>
        <v>3.2034051931567813</v>
      </c>
      <c r="AJ49" s="267" t="b">
        <f t="shared" si="18"/>
        <v>0</v>
      </c>
      <c r="AK49" s="267" t="b">
        <f t="shared" si="19"/>
        <v>0</v>
      </c>
      <c r="AL49" s="267"/>
      <c r="AM49" s="267"/>
      <c r="AN49" s="75"/>
    </row>
    <row r="50" spans="1:40" s="6" customFormat="1" ht="11.25" x14ac:dyDescent="0.2">
      <c r="A50" s="56">
        <f t="shared" si="20"/>
        <v>46423</v>
      </c>
      <c r="B50" s="413">
        <f>'2026'!Wh/'2026'!Env_an*'2027'!Env_an</f>
        <v>9.3765235392258912</v>
      </c>
      <c r="C50" s="868"/>
      <c r="D50" s="395">
        <f t="shared" si="0"/>
        <v>10.080311400387332</v>
      </c>
      <c r="E50" s="387">
        <f t="shared" si="1"/>
        <v>10.891535395283391</v>
      </c>
      <c r="F50" s="387">
        <f t="shared" si="2"/>
        <v>10.910859412214934</v>
      </c>
      <c r="G50" s="110">
        <f t="shared" si="21"/>
        <v>0.39029802728879975</v>
      </c>
      <c r="H50" s="416" t="b">
        <f>Wh_hp&gt;='2026'!Maxi_hp</f>
        <v>0</v>
      </c>
      <c r="I50" s="392">
        <f>IF(H50,Wh_hp,'2026'!Maxi_hp)</f>
        <v>27.755080564710749</v>
      </c>
      <c r="J50" s="85">
        <f>IF(H50,An,'2026'!An_max)</f>
        <v>2020</v>
      </c>
      <c r="K50" s="199">
        <f t="shared" si="3"/>
        <v>46423</v>
      </c>
      <c r="L50" s="147">
        <f>IF(t&lt;Tvie,1-EXP((T0-t)*PertePVj)+'2026'!Pspv,1-EXP((T0-t)*PertePVj)+Pspv)</f>
        <v>6.9818067439305298E-2</v>
      </c>
      <c r="M50" s="872"/>
      <c r="N50" s="872"/>
      <c r="O50" s="48">
        <f>IF(t&lt;Tnet,'2026'!Resal+('2026'!Salim-'2026'!Resal)*(1-EXP(('2026'!Tnet-t)/('2026'!Tau_j))),Resal+(Salim-Resal)*(1-EXP((Tnet-t)/(Tau_j))))*Salcycl</f>
        <v>7.448206019211584E-2</v>
      </c>
      <c r="P50" s="171">
        <f>(INDEX(Models!$BJ50:$BT50,,T50)*(1-R50)+INDEX(Models!$BJ50:$BT50,,T50+1)*R50-ERP_i)*Q50*Ramure*Pc/MaxiM</f>
        <v>1.3081602716281664E-2</v>
      </c>
      <c r="Q50" s="307">
        <f t="shared" si="4"/>
        <v>0.9</v>
      </c>
      <c r="R50" s="179">
        <f t="shared" si="5"/>
        <v>0.56791352430689535</v>
      </c>
      <c r="S50" s="839">
        <f t="shared" si="6"/>
        <v>-2</v>
      </c>
      <c r="T50" s="178">
        <f t="shared" si="7"/>
        <v>4</v>
      </c>
      <c r="U50" s="253">
        <f t="shared" si="8"/>
        <v>-1.4320864756931047</v>
      </c>
      <c r="V50" s="385">
        <f t="shared" si="9"/>
        <v>23.751803382424221</v>
      </c>
      <c r="W50" s="404">
        <f t="shared" si="10"/>
        <v>9.3765235392258912</v>
      </c>
      <c r="X50" s="157">
        <f t="shared" si="11"/>
        <v>46423</v>
      </c>
      <c r="Y50" s="387">
        <f t="shared" si="12"/>
        <v>8.4139423796364632</v>
      </c>
      <c r="Z50" s="387">
        <f t="shared" si="22"/>
        <v>9.0454803357379241</v>
      </c>
      <c r="AA50" s="388">
        <f t="shared" si="13"/>
        <v>10.699897256312289</v>
      </c>
      <c r="AB50" s="199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0.1546198884852244</v>
      </c>
      <c r="AD50" s="233">
        <f>(INDEX(Models!$BJ50:$BT50,,AH50)*(1-AF50)+INDEX(Models!$BJ50:$BT50,,AH50+1)*AF50-ERP_i)*AE50*Ramure*Pc/MaxiM</f>
        <v>0.14281311807297728</v>
      </c>
      <c r="AE50" s="307">
        <f t="shared" si="15"/>
        <v>0.9</v>
      </c>
      <c r="AF50" s="179">
        <f t="shared" si="23"/>
        <v>0.20356917661387408</v>
      </c>
      <c r="AG50" s="839">
        <f t="shared" si="24"/>
        <v>3</v>
      </c>
      <c r="AH50" s="178">
        <f t="shared" si="16"/>
        <v>9</v>
      </c>
      <c r="AI50" s="227">
        <f t="shared" si="17"/>
        <v>3.2035691766138741</v>
      </c>
      <c r="AJ50" s="267" t="b">
        <f t="shared" si="18"/>
        <v>0</v>
      </c>
      <c r="AK50" s="267" t="b">
        <f t="shared" si="19"/>
        <v>0</v>
      </c>
      <c r="AL50" s="267"/>
      <c r="AM50" s="267"/>
      <c r="AN50" s="75"/>
    </row>
    <row r="51" spans="1:40" s="6" customFormat="1" ht="11.25" x14ac:dyDescent="0.2">
      <c r="A51" s="56">
        <f t="shared" si="20"/>
        <v>46424</v>
      </c>
      <c r="B51" s="413">
        <f>'2026'!Wh/'2026'!Env_an*'2027'!Env_an</f>
        <v>17.391969360702308</v>
      </c>
      <c r="C51" s="868"/>
      <c r="D51" s="395">
        <f t="shared" si="0"/>
        <v>18.697819746699427</v>
      </c>
      <c r="E51" s="387">
        <f t="shared" si="1"/>
        <v>20.206049081898474</v>
      </c>
      <c r="F51" s="387">
        <f t="shared" si="2"/>
        <v>20.358516035940976</v>
      </c>
      <c r="G51" s="110">
        <f t="shared" si="21"/>
        <v>0.71927507404680024</v>
      </c>
      <c r="H51" s="416" t="b">
        <f>Wh_hp&gt;='2026'!Maxi_hp</f>
        <v>0</v>
      </c>
      <c r="I51" s="392">
        <f>IF(H51,Wh_hp,'2026'!Maxi_hp)</f>
        <v>28.804501994668065</v>
      </c>
      <c r="J51" s="85">
        <f>IF(H51,An,'2026'!An_max)</f>
        <v>2020</v>
      </c>
      <c r="K51" s="199">
        <f t="shared" si="3"/>
        <v>46424</v>
      </c>
      <c r="L51" s="147">
        <f>IF(t&lt;Tvie,1-EXP((T0-t)*PertePVj)+'2026'!Pspv,1-EXP((T0-t)*PertePVj)+Pspv)</f>
        <v>6.9839714131784247E-2</v>
      </c>
      <c r="M51" s="872"/>
      <c r="N51" s="872"/>
      <c r="O51" s="48">
        <f>IF(t&lt;Tnet,'2026'!Resal+('2026'!Salim-'2026'!Resal)*(1-EXP(('2026'!Tnet-t)/('2026'!Tau_j))),Resal+(Salim-Resal)*(1-EXP((Tnet-t)/(Tau_j))))*Salcycl</f>
        <v>7.4642466178615238E-2</v>
      </c>
      <c r="P51" s="171">
        <f>(INDEX(Models!$BJ51:$BT51,,T51)*(1-R51)+INDEX(Models!$BJ51:$BT51,,T51+1)*R51-ERP_i)*Q51*Ramure*Pc/MaxiM</f>
        <v>1.239770440856694E-2</v>
      </c>
      <c r="Q51" s="307">
        <f t="shared" si="4"/>
        <v>0.9</v>
      </c>
      <c r="R51" s="179">
        <f t="shared" si="5"/>
        <v>0.56808430516832709</v>
      </c>
      <c r="S51" s="839">
        <f t="shared" si="6"/>
        <v>-2</v>
      </c>
      <c r="T51" s="178">
        <f t="shared" si="7"/>
        <v>4</v>
      </c>
      <c r="U51" s="253">
        <f t="shared" si="8"/>
        <v>-1.4319156948316729</v>
      </c>
      <c r="V51" s="385">
        <f t="shared" si="9"/>
        <v>24.060273335631834</v>
      </c>
      <c r="W51" s="404">
        <f t="shared" si="10"/>
        <v>17.391969360702308</v>
      </c>
      <c r="X51" s="157">
        <f t="shared" si="11"/>
        <v>46424</v>
      </c>
      <c r="Y51" s="387">
        <f t="shared" si="12"/>
        <v>14.659930209508213</v>
      </c>
      <c r="Z51" s="387">
        <f t="shared" si="22"/>
        <v>15.760649462500506</v>
      </c>
      <c r="AA51" s="388">
        <f t="shared" si="13"/>
        <v>18.644895565096736</v>
      </c>
      <c r="AB51" s="199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0.15469360461291837</v>
      </c>
      <c r="AD51" s="233">
        <f>(INDEX(Models!$BJ51:$BT51,,AH51)*(1-AF51)+INDEX(Models!$BJ51:$BT51,,AH51+1)*AF51-ERP_i)*AE51*Ramure*Pc/MaxiM</f>
        <v>0.13934140810653103</v>
      </c>
      <c r="AE51" s="307">
        <f t="shared" si="15"/>
        <v>0.9</v>
      </c>
      <c r="AF51" s="179">
        <f t="shared" si="23"/>
        <v>0.20373995747530627</v>
      </c>
      <c r="AG51" s="839">
        <f t="shared" si="24"/>
        <v>3</v>
      </c>
      <c r="AH51" s="178">
        <f t="shared" si="16"/>
        <v>9</v>
      </c>
      <c r="AI51" s="227">
        <f t="shared" si="17"/>
        <v>3.2037399574753063</v>
      </c>
      <c r="AJ51" s="267" t="b">
        <f t="shared" si="18"/>
        <v>0</v>
      </c>
      <c r="AK51" s="267" t="b">
        <f t="shared" si="19"/>
        <v>0</v>
      </c>
      <c r="AL51" s="267"/>
      <c r="AM51" s="267"/>
      <c r="AN51" s="75"/>
    </row>
    <row r="52" spans="1:40" s="6" customFormat="1" ht="11.25" x14ac:dyDescent="0.2">
      <c r="A52" s="56">
        <f t="shared" si="20"/>
        <v>46425</v>
      </c>
      <c r="B52" s="413">
        <f>'2026'!Wh/'2026'!Env_an*'2027'!Env_an</f>
        <v>12.045311410464446</v>
      </c>
      <c r="C52" s="868"/>
      <c r="D52" s="395">
        <f t="shared" si="0"/>
        <v>12.95001723035084</v>
      </c>
      <c r="E52" s="387">
        <f t="shared" si="1"/>
        <v>13.997034856096843</v>
      </c>
      <c r="F52" s="387">
        <f t="shared" si="2"/>
        <v>14.042639827488083</v>
      </c>
      <c r="G52" s="110">
        <f t="shared" si="21"/>
        <v>0.49003373355054647</v>
      </c>
      <c r="H52" s="416" t="b">
        <f>Wh_hp&gt;='2026'!Maxi_hp</f>
        <v>0</v>
      </c>
      <c r="I52" s="392">
        <f>IF(H52,Wh_hp,'2026'!Maxi_hp)</f>
        <v>20.435045615049184</v>
      </c>
      <c r="J52" s="85">
        <f>IF(H52,An,'2026'!An_max)</f>
        <v>2021</v>
      </c>
      <c r="K52" s="199">
        <f t="shared" si="3"/>
        <v>46425</v>
      </c>
      <c r="L52" s="147">
        <f>IF(t&lt;Tvie,1-EXP((T0-t)*PertePVj)+'2026'!Pspv,1-EXP((T0-t)*PertePVj)+Pspv)</f>
        <v>6.9861360320513155E-2</v>
      </c>
      <c r="M52" s="872"/>
      <c r="N52" s="872"/>
      <c r="O52" s="48">
        <f>IF(t&lt;Tnet,'2026'!Resal+('2026'!Salim-'2026'!Resal)*(1-EXP(('2026'!Tnet-t)/('2026'!Tau_j))),Resal+(Salim-Resal)*(1-EXP((Tnet-t)/(Tau_j))))*Salcycl</f>
        <v>7.4802816204315087E-2</v>
      </c>
      <c r="P52" s="171">
        <f>(INDEX(Models!$BJ52:$BT52,,T52)*(1-R52)+INDEX(Models!$BJ52:$BT52,,T52+1)*R52-ERP_i)*Q52*Ramure*Pc/MaxiM</f>
        <v>1.1704475286647222E-2</v>
      </c>
      <c r="Q52" s="307">
        <f t="shared" si="4"/>
        <v>0.9</v>
      </c>
      <c r="R52" s="179">
        <f t="shared" si="5"/>
        <v>0.56826216163718923</v>
      </c>
      <c r="S52" s="839">
        <f t="shared" si="6"/>
        <v>-2</v>
      </c>
      <c r="T52" s="178">
        <f t="shared" si="7"/>
        <v>4</v>
      </c>
      <c r="U52" s="253">
        <f t="shared" si="8"/>
        <v>-1.4317378383628108</v>
      </c>
      <c r="V52" s="385">
        <f t="shared" si="9"/>
        <v>24.372023964740372</v>
      </c>
      <c r="W52" s="404">
        <f t="shared" si="10"/>
        <v>12.045311410464446</v>
      </c>
      <c r="X52" s="157">
        <f t="shared" si="11"/>
        <v>46425</v>
      </c>
      <c r="Y52" s="387">
        <f t="shared" si="12"/>
        <v>10.623878855418656</v>
      </c>
      <c r="Z52" s="387">
        <f t="shared" si="22"/>
        <v>11.421822943598494</v>
      </c>
      <c r="AA52" s="388">
        <f t="shared" si="13"/>
        <v>13.513231783369614</v>
      </c>
      <c r="AB52" s="199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0.15476748074024468</v>
      </c>
      <c r="AD52" s="233">
        <f>(INDEX(Models!$BJ52:$BT52,,AH52)*(1-AF52)+INDEX(Models!$BJ52:$BT52,,AH52+1)*AF52-ERP_i)*AE52*Ramure*Pc/MaxiM</f>
        <v>0.1358721029726809</v>
      </c>
      <c r="AE52" s="307">
        <f t="shared" si="15"/>
        <v>0.9</v>
      </c>
      <c r="AF52" s="179">
        <f t="shared" si="23"/>
        <v>0.20391781394416819</v>
      </c>
      <c r="AG52" s="839">
        <f t="shared" si="24"/>
        <v>3</v>
      </c>
      <c r="AH52" s="178">
        <f t="shared" si="16"/>
        <v>9</v>
      </c>
      <c r="AI52" s="227">
        <f t="shared" si="17"/>
        <v>3.2039178139441682</v>
      </c>
      <c r="AJ52" s="267" t="b">
        <f t="shared" si="18"/>
        <v>0</v>
      </c>
      <c r="AK52" s="267" t="b">
        <f t="shared" si="19"/>
        <v>0</v>
      </c>
      <c r="AL52" s="267"/>
      <c r="AM52" s="267"/>
      <c r="AN52" s="75"/>
    </row>
    <row r="53" spans="1:40" s="6" customFormat="1" ht="11.25" x14ac:dyDescent="0.2">
      <c r="A53" s="56">
        <f t="shared" si="20"/>
        <v>46426</v>
      </c>
      <c r="B53" s="413">
        <f>'2026'!Wh/'2026'!Env_an*'2027'!Env_an</f>
        <v>25.026172743606143</v>
      </c>
      <c r="C53" s="868"/>
      <c r="D53" s="395">
        <f t="shared" si="0"/>
        <v>26.906478330353163</v>
      </c>
      <c r="E53" s="387">
        <f t="shared" si="1"/>
        <v>29.086924376722209</v>
      </c>
      <c r="F53" s="387">
        <f t="shared" si="2"/>
        <v>29.411050619732663</v>
      </c>
      <c r="G53" s="110">
        <f t="shared" si="21"/>
        <v>1.0137513331920482</v>
      </c>
      <c r="H53" s="416" t="b">
        <f>Wh_hp&gt;='2026'!Maxi_hp</f>
        <v>1</v>
      </c>
      <c r="I53" s="392">
        <f>IF(H53,Wh_hp,'2026'!Maxi_hp)</f>
        <v>29.411050619732663</v>
      </c>
      <c r="J53" s="85">
        <f>IF(H53,An,'2026'!An_max)</f>
        <v>2027</v>
      </c>
      <c r="K53" s="199">
        <f t="shared" si="3"/>
        <v>46426</v>
      </c>
      <c r="L53" s="147">
        <f>IF(t&lt;Tvie,1-EXP((T0-t)*PertePVj)+'2026'!Pspv,1-EXP((T0-t)*PertePVj)+Pspv)</f>
        <v>6.9883006005503567E-2</v>
      </c>
      <c r="M53" s="872"/>
      <c r="N53" s="872"/>
      <c r="O53" s="48">
        <f>IF(t&lt;Tnet,'2026'!Resal+('2026'!Salim-'2026'!Resal)*(1-EXP(('2026'!Tnet-t)/('2026'!Tau_j))),Resal+(Salim-Resal)*(1-EXP((Tnet-t)/(Tau_j))))*Salcycl</f>
        <v>7.4963100880958811E-2</v>
      </c>
      <c r="P53" s="171">
        <f>(INDEX(Models!$BJ53:$BT53,,T53)*(1-R53)+INDEX(Models!$BJ53:$BT53,,T53+1)*R53-ERP_i)*Q53*Ramure*Pc/MaxiM</f>
        <v>1.1020559829746E-2</v>
      </c>
      <c r="Q53" s="307">
        <f t="shared" si="4"/>
        <v>0.9</v>
      </c>
      <c r="R53" s="179">
        <f t="shared" si="5"/>
        <v>0.56844738299990194</v>
      </c>
      <c r="S53" s="839">
        <f t="shared" si="6"/>
        <v>-2</v>
      </c>
      <c r="T53" s="178">
        <f t="shared" si="7"/>
        <v>4</v>
      </c>
      <c r="U53" s="253">
        <f t="shared" si="8"/>
        <v>-1.4315526170000981</v>
      </c>
      <c r="V53" s="385">
        <f t="shared" si="9"/>
        <v>24.686697737604952</v>
      </c>
      <c r="W53" s="404">
        <f t="shared" si="10"/>
        <v>25.026172743606143</v>
      </c>
      <c r="X53" s="157">
        <f t="shared" si="11"/>
        <v>46426</v>
      </c>
      <c r="Y53" s="387">
        <f t="shared" si="12"/>
        <v>20.05842656931241</v>
      </c>
      <c r="Z53" s="387">
        <f t="shared" si="22"/>
        <v>21.565487673942119</v>
      </c>
      <c r="AA53" s="388">
        <f t="shared" si="13"/>
        <v>25.516500836057251</v>
      </c>
      <c r="AB53" s="199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0.15484149599901137</v>
      </c>
      <c r="AD53" s="233">
        <f>(INDEX(Models!$BJ53:$BT53,,AH53)*(1-AF53)+INDEX(Models!$BJ53:$BT53,,AH53+1)*AF53-ERP_i)*AE53*Ramure*Pc/MaxiM</f>
        <v>0.13241790760995306</v>
      </c>
      <c r="AE53" s="307">
        <f t="shared" si="15"/>
        <v>0.9</v>
      </c>
      <c r="AF53" s="179">
        <f t="shared" si="23"/>
        <v>0.2041030353068809</v>
      </c>
      <c r="AG53" s="839">
        <f t="shared" si="24"/>
        <v>3</v>
      </c>
      <c r="AH53" s="178">
        <f t="shared" si="16"/>
        <v>9</v>
      </c>
      <c r="AI53" s="227">
        <f t="shared" si="17"/>
        <v>3.2041030353068809</v>
      </c>
      <c r="AJ53" s="267" t="b">
        <f t="shared" si="18"/>
        <v>0</v>
      </c>
      <c r="AK53" s="267" t="b">
        <f t="shared" si="19"/>
        <v>0</v>
      </c>
      <c r="AL53" s="267"/>
      <c r="AM53" s="267"/>
      <c r="AN53" s="75"/>
    </row>
    <row r="54" spans="1:40" s="6" customFormat="1" ht="11.25" x14ac:dyDescent="0.2">
      <c r="A54" s="56">
        <f t="shared" si="20"/>
        <v>46427</v>
      </c>
      <c r="B54" s="413">
        <f>'2026'!Wh/'2026'!Env_an*'2027'!Env_an</f>
        <v>25.045041434874175</v>
      </c>
      <c r="C54" s="868"/>
      <c r="D54" s="395">
        <f t="shared" si="0"/>
        <v>26.927391333405467</v>
      </c>
      <c r="E54" s="387">
        <f t="shared" si="1"/>
        <v>29.114574546895142</v>
      </c>
      <c r="F54" s="387">
        <f t="shared" si="2"/>
        <v>29.418936956466229</v>
      </c>
      <c r="G54" s="110">
        <f t="shared" si="21"/>
        <v>1.001625775378183</v>
      </c>
      <c r="H54" s="416" t="b">
        <f>Wh_hp&gt;='2026'!Maxi_hp</f>
        <v>1</v>
      </c>
      <c r="I54" s="392">
        <f>IF(H54,Wh_hp,'2026'!Maxi_hp)</f>
        <v>29.418936956466229</v>
      </c>
      <c r="J54" s="85">
        <f>IF(H54,An,'2026'!An_max)</f>
        <v>2027</v>
      </c>
      <c r="K54" s="199">
        <f t="shared" si="3"/>
        <v>46427</v>
      </c>
      <c r="L54" s="147">
        <f>IF(t&lt;Tvie,1-EXP((T0-t)*PertePVj)+'2026'!Pspv,1-EXP((T0-t)*PertePVj)+Pspv)</f>
        <v>6.9904651186767364E-2</v>
      </c>
      <c r="M54" s="872"/>
      <c r="N54" s="872"/>
      <c r="O54" s="48">
        <f>IF(t&lt;Tnet,'2026'!Resal+('2026'!Salim-'2026'!Resal)*(1-EXP(('2026'!Tnet-t)/('2026'!Tau_j))),Resal+(Salim-Resal)*(1-EXP((Tnet-t)/(Tau_j))))*Salcycl</f>
        <v>7.5123310147182681E-2</v>
      </c>
      <c r="P54" s="171">
        <f>(INDEX(Models!$BJ54:$BT54,,T54)*(1-R54)+INDEX(Models!$BJ54:$BT54,,T54+1)*R54-ERP_i)*Q54*Ramure*Pc/MaxiM</f>
        <v>1.0345799034869258E-2</v>
      </c>
      <c r="Q54" s="307">
        <f t="shared" si="4"/>
        <v>0.9</v>
      </c>
      <c r="R54" s="179">
        <f t="shared" si="5"/>
        <v>0.56864027004192952</v>
      </c>
      <c r="S54" s="839">
        <f t="shared" si="6"/>
        <v>-2</v>
      </c>
      <c r="T54" s="178">
        <f t="shared" si="7"/>
        <v>4</v>
      </c>
      <c r="U54" s="253">
        <f t="shared" si="8"/>
        <v>-1.4313597299580705</v>
      </c>
      <c r="V54" s="385">
        <f t="shared" si="9"/>
        <v>25.004389913406474</v>
      </c>
      <c r="W54" s="404">
        <f t="shared" si="10"/>
        <v>25.045041434874175</v>
      </c>
      <c r="X54" s="157">
        <f t="shared" si="11"/>
        <v>46427</v>
      </c>
      <c r="Y54" s="387">
        <f t="shared" si="12"/>
        <v>20.141094555621017</v>
      </c>
      <c r="Z54" s="387">
        <f t="shared" si="22"/>
        <v>21.654870741285084</v>
      </c>
      <c r="AA54" s="388">
        <f t="shared" si="13"/>
        <v>25.624507405251268</v>
      </c>
      <c r="AB54" s="199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0.15491562827672856</v>
      </c>
      <c r="AD54" s="233">
        <f>(INDEX(Models!$BJ54:$BT54,,AH54)*(1-AF54)+INDEX(Models!$BJ54:$BT54,,AH54+1)*AF54-ERP_i)*AE54*Ramure*Pc/MaxiM</f>
        <v>0.12897915233408705</v>
      </c>
      <c r="AE54" s="307">
        <f t="shared" si="15"/>
        <v>0.9</v>
      </c>
      <c r="AF54" s="179">
        <f t="shared" si="23"/>
        <v>0.20429592234890848</v>
      </c>
      <c r="AG54" s="839">
        <f t="shared" si="24"/>
        <v>3</v>
      </c>
      <c r="AH54" s="178">
        <f t="shared" si="16"/>
        <v>9</v>
      </c>
      <c r="AI54" s="227">
        <f t="shared" si="17"/>
        <v>3.2042959223489085</v>
      </c>
      <c r="AJ54" s="267" t="b">
        <f t="shared" si="18"/>
        <v>0</v>
      </c>
      <c r="AK54" s="267" t="b">
        <f t="shared" si="19"/>
        <v>0</v>
      </c>
      <c r="AL54" s="267"/>
      <c r="AM54" s="267"/>
      <c r="AN54" s="75"/>
    </row>
    <row r="55" spans="1:40" s="6" customFormat="1" ht="11.25" x14ac:dyDescent="0.2">
      <c r="A55" s="56">
        <f t="shared" si="20"/>
        <v>46428</v>
      </c>
      <c r="B55" s="413">
        <f>'2026'!Wh/'2026'!Env_an*'2027'!Env_an</f>
        <v>24.284908325256424</v>
      </c>
      <c r="C55" s="868"/>
      <c r="D55" s="395">
        <f t="shared" si="0"/>
        <v>26.11073532911497</v>
      </c>
      <c r="E55" s="387">
        <f t="shared" si="1"/>
        <v>28.236474042027584</v>
      </c>
      <c r="F55" s="387">
        <f t="shared" si="2"/>
        <v>28.496130755460705</v>
      </c>
      <c r="G55" s="110">
        <f t="shared" si="21"/>
        <v>0.9583731079166985</v>
      </c>
      <c r="H55" s="416" t="b">
        <f>Wh_hp&gt;='2026'!Maxi_hp</f>
        <v>0</v>
      </c>
      <c r="I55" s="392">
        <f>IF(H55,Wh_hp,'2026'!Maxi_hp)</f>
        <v>28.508364564697413</v>
      </c>
      <c r="J55" s="85">
        <f>IF(H55,An,'2026'!An_max)</f>
        <v>2026</v>
      </c>
      <c r="K55" s="199">
        <f t="shared" si="3"/>
        <v>46428</v>
      </c>
      <c r="L55" s="147">
        <f>IF(t&lt;Tvie,1-EXP((T0-t)*PertePVj)+'2026'!Pspv,1-EXP((T0-t)*PertePVj)+Pspv)</f>
        <v>6.992629586431609E-2</v>
      </c>
      <c r="M55" s="872"/>
      <c r="N55" s="872"/>
      <c r="O55" s="48">
        <f>IF(t&lt;Tnet,'2026'!Resal+('2026'!Salim-'2026'!Resal)*(1-EXP(('2026'!Tnet-t)/('2026'!Tau_j))),Resal+(Salim-Resal)*(1-EXP((Tnet-t)/(Tau_j))))*Salcycl</f>
        <v>7.5283433397124372E-2</v>
      </c>
      <c r="P55" s="171">
        <f>(INDEX(Models!$BJ55:$BT55,,T55)*(1-R55)+INDEX(Models!$BJ55:$BT55,,T55+1)*R55-ERP_i)*Q55*Ramure*Pc/MaxiM</f>
        <v>9.6800399477300139E-3</v>
      </c>
      <c r="Q55" s="307">
        <f t="shared" si="4"/>
        <v>0.9</v>
      </c>
      <c r="R55" s="179">
        <f t="shared" si="5"/>
        <v>0.568841135476857</v>
      </c>
      <c r="S55" s="839">
        <f t="shared" si="6"/>
        <v>-2</v>
      </c>
      <c r="T55" s="178">
        <f t="shared" si="7"/>
        <v>4</v>
      </c>
      <c r="U55" s="253">
        <f t="shared" si="8"/>
        <v>-1.431158864523143</v>
      </c>
      <c r="V55" s="385">
        <f t="shared" si="9"/>
        <v>25.325195841596972</v>
      </c>
      <c r="W55" s="404">
        <f t="shared" si="10"/>
        <v>24.284908325256424</v>
      </c>
      <c r="X55" s="157">
        <f t="shared" si="11"/>
        <v>46428</v>
      </c>
      <c r="Y55" s="387">
        <f t="shared" si="12"/>
        <v>19.74881416327694</v>
      </c>
      <c r="Z55" s="387">
        <f t="shared" si="22"/>
        <v>21.233601246289918</v>
      </c>
      <c r="AA55" s="388">
        <f t="shared" si="13"/>
        <v>25.128220482486189</v>
      </c>
      <c r="AB55" s="199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0.15498985449091912</v>
      </c>
      <c r="AD55" s="233">
        <f>(INDEX(Models!$BJ55:$BT55,,AH55)*(1-AF55)+INDEX(Models!$BJ55:$BT55,,AH55+1)*AF55-ERP_i)*AE55*Ramure*Pc/MaxiM</f>
        <v>0.12555618359222881</v>
      </c>
      <c r="AE55" s="307">
        <f t="shared" si="15"/>
        <v>0.9</v>
      </c>
      <c r="AF55" s="179">
        <f t="shared" si="23"/>
        <v>0.20449678778383618</v>
      </c>
      <c r="AG55" s="839">
        <f t="shared" si="24"/>
        <v>3</v>
      </c>
      <c r="AH55" s="178">
        <f t="shared" si="16"/>
        <v>9</v>
      </c>
      <c r="AI55" s="227">
        <f t="shared" si="17"/>
        <v>3.2044967877838362</v>
      </c>
      <c r="AJ55" s="267" t="b">
        <f t="shared" si="18"/>
        <v>0</v>
      </c>
      <c r="AK55" s="267" t="b">
        <f t="shared" si="19"/>
        <v>0</v>
      </c>
      <c r="AL55" s="267"/>
      <c r="AM55" s="267"/>
      <c r="AN55" s="75"/>
    </row>
    <row r="56" spans="1:40" s="6" customFormat="1" ht="11.25" x14ac:dyDescent="0.2">
      <c r="A56" s="56">
        <f t="shared" si="20"/>
        <v>46429</v>
      </c>
      <c r="B56" s="413">
        <f>'2026'!Wh/'2026'!Env_an*'2027'!Env_an</f>
        <v>12.79694398489417</v>
      </c>
      <c r="C56" s="868"/>
      <c r="D56" s="395">
        <f t="shared" si="0"/>
        <v>13.759384593394964</v>
      </c>
      <c r="E56" s="387">
        <f t="shared" si="1"/>
        <v>14.88214510682522</v>
      </c>
      <c r="F56" s="387">
        <f t="shared" si="2"/>
        <v>14.92040306516807</v>
      </c>
      <c r="G56" s="110">
        <f t="shared" si="21"/>
        <v>0.49569072826929272</v>
      </c>
      <c r="H56" s="416" t="b">
        <f>Wh_hp&gt;='2026'!Maxi_hp</f>
        <v>0</v>
      </c>
      <c r="I56" s="392">
        <f>IF(H56,Wh_hp,'2026'!Maxi_hp)</f>
        <v>26.844997488492737</v>
      </c>
      <c r="J56" s="85">
        <f>IF(H56,An,'2026'!An_max)</f>
        <v>2021</v>
      </c>
      <c r="K56" s="199">
        <f t="shared" si="3"/>
        <v>46429</v>
      </c>
      <c r="L56" s="147">
        <f>IF(t&lt;Tvie,1-EXP((T0-t)*PertePVj)+'2026'!Pspv,1-EXP((T0-t)*PertePVj)+Pspv)</f>
        <v>6.9947940038161516E-2</v>
      </c>
      <c r="M56" s="872"/>
      <c r="N56" s="872"/>
      <c r="O56" s="48">
        <f>IF(t&lt;Tnet,'2026'!Resal+('2026'!Salim-'2026'!Resal)*(1-EXP(('2026'!Tnet-t)/('2026'!Tau_j))),Resal+(Salim-Resal)*(1-EXP((Tnet-t)/(Tau_j))))*Salcycl</f>
        <v>7.5443459620302827E-2</v>
      </c>
      <c r="P56" s="171">
        <f>(INDEX(Models!$BJ56:$BT56,,T56)*(1-R56)+INDEX(Models!$BJ56:$BT56,,T56+1)*R56-ERP_i)*Q56*Ramure*Pc/MaxiM</f>
        <v>9.0231348777228809E-3</v>
      </c>
      <c r="Q56" s="307">
        <f t="shared" si="4"/>
        <v>0.9</v>
      </c>
      <c r="R56" s="179">
        <f t="shared" si="5"/>
        <v>0.56905030438906268</v>
      </c>
      <c r="S56" s="839">
        <f t="shared" si="6"/>
        <v>-2</v>
      </c>
      <c r="T56" s="178">
        <f t="shared" si="7"/>
        <v>4</v>
      </c>
      <c r="U56" s="253">
        <f t="shared" si="8"/>
        <v>-1.4309496956109373</v>
      </c>
      <c r="V56" s="385">
        <f t="shared" si="9"/>
        <v>25.649210973186431</v>
      </c>
      <c r="W56" s="404">
        <f t="shared" si="10"/>
        <v>12.79694398489417</v>
      </c>
      <c r="X56" s="157">
        <f t="shared" si="11"/>
        <v>46429</v>
      </c>
      <c r="Y56" s="387">
        <f t="shared" si="12"/>
        <v>11.317972278921458</v>
      </c>
      <c r="Z56" s="387">
        <f t="shared" si="22"/>
        <v>12.16918145354772</v>
      </c>
      <c r="AA56" s="388">
        <f t="shared" si="13"/>
        <v>14.402491581197733</v>
      </c>
      <c r="AB56" s="199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0.15506415088383535</v>
      </c>
      <c r="AD56" s="233">
        <f>(INDEX(Models!$BJ56:$BT56,,AH56)*(1-AF56)+INDEX(Models!$BJ56:$BT56,,AH56+1)*AF56-ERP_i)*AE56*Ramure*Pc/MaxiM</f>
        <v>0.12214936125725823</v>
      </c>
      <c r="AE56" s="307">
        <f t="shared" si="15"/>
        <v>0.9</v>
      </c>
      <c r="AF56" s="179">
        <f t="shared" si="23"/>
        <v>0.20470595669604164</v>
      </c>
      <c r="AG56" s="839">
        <f t="shared" si="24"/>
        <v>3</v>
      </c>
      <c r="AH56" s="178">
        <f t="shared" si="16"/>
        <v>9</v>
      </c>
      <c r="AI56" s="227">
        <f t="shared" si="17"/>
        <v>3.2047059566960416</v>
      </c>
      <c r="AJ56" s="267" t="b">
        <f t="shared" si="18"/>
        <v>0</v>
      </c>
      <c r="AK56" s="267" t="b">
        <f t="shared" si="19"/>
        <v>0</v>
      </c>
      <c r="AL56" s="267"/>
      <c r="AM56" s="267"/>
      <c r="AN56" s="75"/>
    </row>
    <row r="57" spans="1:40" s="6" customFormat="1" ht="11.25" x14ac:dyDescent="0.2">
      <c r="A57" s="56">
        <f t="shared" si="20"/>
        <v>46430</v>
      </c>
      <c r="B57" s="413">
        <f>'2026'!Wh/'2026'!Env_an*'2027'!Env_an</f>
        <v>21.861520168004603</v>
      </c>
      <c r="C57" s="868"/>
      <c r="D57" s="395">
        <f t="shared" si="0"/>
        <v>23.506242145469997</v>
      </c>
      <c r="E57" s="387">
        <f t="shared" si="1"/>
        <v>25.428740839835392</v>
      </c>
      <c r="F57" s="387">
        <f t="shared" si="2"/>
        <v>25.594585050671043</v>
      </c>
      <c r="G57" s="110">
        <f t="shared" si="21"/>
        <v>0.83998191856045168</v>
      </c>
      <c r="H57" s="416" t="b">
        <f>Wh_hp&gt;='2026'!Maxi_hp</f>
        <v>0</v>
      </c>
      <c r="I57" s="392">
        <f>IF(H57,Wh_hp,'2026'!Maxi_hp)</f>
        <v>30.627768501609644</v>
      </c>
      <c r="J57" s="85">
        <f>IF(H57,An,'2026'!An_max)</f>
        <v>2019</v>
      </c>
      <c r="K57" s="199">
        <f t="shared" si="3"/>
        <v>46430</v>
      </c>
      <c r="L57" s="147">
        <f>IF(t&lt;Tvie,1-EXP((T0-t)*PertePVj)+'2026'!Pspv,1-EXP((T0-t)*PertePVj)+Pspv)</f>
        <v>6.9969583708315408E-2</v>
      </c>
      <c r="M57" s="872"/>
      <c r="N57" s="872"/>
      <c r="O57" s="48">
        <f>IF(t&lt;Tnet,'2026'!Resal+('2026'!Salim-'2026'!Resal)*(1-EXP(('2026'!Tnet-t)/('2026'!Tau_j))),Resal+(Salim-Resal)*(1-EXP((Tnet-t)/(Tau_j))))*Salcycl</f>
        <v>7.5603377551188219E-2</v>
      </c>
      <c r="P57" s="171">
        <f>(INDEX(Models!$BJ57:$BT57,,T57)*(1-R57)+INDEX(Models!$BJ57:$BT57,,T57+1)*R57-ERP_i)*Q57*Ramure*Pc/MaxiM</f>
        <v>8.3749406649434328E-3</v>
      </c>
      <c r="Q57" s="307">
        <f t="shared" si="4"/>
        <v>0.9</v>
      </c>
      <c r="R57" s="179">
        <f t="shared" si="5"/>
        <v>0.56926811469019478</v>
      </c>
      <c r="S57" s="839">
        <f t="shared" si="6"/>
        <v>-2</v>
      </c>
      <c r="T57" s="178">
        <f t="shared" si="7"/>
        <v>4</v>
      </c>
      <c r="U57" s="253">
        <f t="shared" si="8"/>
        <v>-1.4307318853098052</v>
      </c>
      <c r="V57" s="385">
        <f t="shared" si="9"/>
        <v>25.976530855738996</v>
      </c>
      <c r="W57" s="404">
        <f t="shared" si="10"/>
        <v>21.861520168004603</v>
      </c>
      <c r="X57" s="157">
        <f t="shared" si="11"/>
        <v>46430</v>
      </c>
      <c r="Y57" s="387">
        <f t="shared" si="12"/>
        <v>18.263010399780843</v>
      </c>
      <c r="Z57" s="387">
        <f t="shared" si="22"/>
        <v>19.637003349418446</v>
      </c>
      <c r="AA57" s="388">
        <f t="shared" si="13"/>
        <v>23.242866664517535</v>
      </c>
      <c r="AB57" s="199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0.15513849333411975</v>
      </c>
      <c r="AD57" s="233">
        <f>(INDEX(Models!$BJ57:$BT57,,AH57)*(1-AF57)+INDEX(Models!$BJ57:$BT57,,AH57+1)*AF57-ERP_i)*AE57*Ramure*Pc/MaxiM</f>
        <v>0.11875905613738982</v>
      </c>
      <c r="AE57" s="307">
        <f t="shared" si="15"/>
        <v>0.9</v>
      </c>
      <c r="AF57" s="179">
        <f t="shared" si="23"/>
        <v>0.20492376699717374</v>
      </c>
      <c r="AG57" s="839">
        <f t="shared" si="24"/>
        <v>3</v>
      </c>
      <c r="AH57" s="178">
        <f t="shared" si="16"/>
        <v>9</v>
      </c>
      <c r="AI57" s="227">
        <f t="shared" si="17"/>
        <v>3.2049237669971737</v>
      </c>
      <c r="AJ57" s="267" t="b">
        <f t="shared" si="18"/>
        <v>0</v>
      </c>
      <c r="AK57" s="267" t="b">
        <f t="shared" si="19"/>
        <v>0</v>
      </c>
      <c r="AL57" s="267"/>
      <c r="AM57" s="267"/>
      <c r="AN57" s="75"/>
    </row>
    <row r="58" spans="1:40" s="6" customFormat="1" ht="11.25" x14ac:dyDescent="0.2">
      <c r="A58" s="56">
        <f t="shared" si="20"/>
        <v>46431</v>
      </c>
      <c r="B58" s="413">
        <f>'2026'!Wh/'2026'!Env_an*'2027'!Env_an</f>
        <v>25.461608533855618</v>
      </c>
      <c r="C58" s="868"/>
      <c r="D58" s="395">
        <f t="shared" si="0"/>
        <v>27.377815424573019</v>
      </c>
      <c r="E58" s="387">
        <f t="shared" si="1"/>
        <v>29.622078138971229</v>
      </c>
      <c r="F58" s="387">
        <f t="shared" si="2"/>
        <v>29.843030765974305</v>
      </c>
      <c r="G58" s="110">
        <f t="shared" si="21"/>
        <v>0.96753192247016551</v>
      </c>
      <c r="H58" s="416" t="b">
        <f>Wh_hp&gt;='2026'!Maxi_hp</f>
        <v>0</v>
      </c>
      <c r="I58" s="392">
        <f>IF(H58,Wh_hp,'2026'!Maxi_hp)</f>
        <v>31.571868913069107</v>
      </c>
      <c r="J58" s="85">
        <f>IF(H58,An,'2026'!An_max)</f>
        <v>2019</v>
      </c>
      <c r="K58" s="199">
        <f t="shared" si="3"/>
        <v>46431</v>
      </c>
      <c r="L58" s="147">
        <f>IF(t&lt;Tvie,1-EXP((T0-t)*PertePVj)+'2026'!Pspv,1-EXP((T0-t)*PertePVj)+Pspv)</f>
        <v>6.9991226874789536E-2</v>
      </c>
      <c r="M58" s="872"/>
      <c r="N58" s="872"/>
      <c r="O58" s="48">
        <f>IF(t&lt;Tnet,'2026'!Resal+('2026'!Salim-'2026'!Resal)*(1-EXP(('2026'!Tnet-t)/('2026'!Tau_j))),Resal+(Salim-Resal)*(1-EXP((Tnet-t)/(Tau_j))))*Salcycl</f>
        <v>7.576317582680428E-2</v>
      </c>
      <c r="P58" s="171">
        <f>(INDEX(Models!$BJ58:$BT58,,T58)*(1-R58)+INDEX(Models!$BJ58:$BT58,,T58+1)*R58-ERP_i)*Q58*Ramure*Pc/MaxiM</f>
        <v>7.7599050530043345E-3</v>
      </c>
      <c r="Q58" s="307">
        <f t="shared" si="4"/>
        <v>0.9</v>
      </c>
      <c r="R58" s="179">
        <f t="shared" si="5"/>
        <v>0.56949491758964954</v>
      </c>
      <c r="S58" s="839">
        <f t="shared" si="6"/>
        <v>-2</v>
      </c>
      <c r="T58" s="178">
        <f t="shared" si="7"/>
        <v>4</v>
      </c>
      <c r="U58" s="253">
        <f t="shared" si="8"/>
        <v>-1.4305050824103505</v>
      </c>
      <c r="V58" s="385">
        <f t="shared" si="9"/>
        <v>26.306599284269158</v>
      </c>
      <c r="W58" s="404">
        <f t="shared" si="10"/>
        <v>25.461608533855618</v>
      </c>
      <c r="X58" s="157">
        <f t="shared" si="11"/>
        <v>46431</v>
      </c>
      <c r="Y58" s="387">
        <f t="shared" si="12"/>
        <v>20.864337831283521</v>
      </c>
      <c r="Z58" s="387">
        <f t="shared" si="22"/>
        <v>22.434560225889911</v>
      </c>
      <c r="AA58" s="388">
        <f t="shared" si="13"/>
        <v>26.556465057372797</v>
      </c>
      <c r="AB58" s="199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0.15521285768184481</v>
      </c>
      <c r="AD58" s="233">
        <f>(INDEX(Models!$BJ58:$BT58,,AH58)*(1-AF58)+INDEX(Models!$BJ58:$BT58,,AH58+1)*AF58-ERP_i)*AE58*Ramure*Pc/MaxiM</f>
        <v>0.11542491345374473</v>
      </c>
      <c r="AE58" s="307">
        <f t="shared" si="15"/>
        <v>0.9</v>
      </c>
      <c r="AF58" s="179">
        <f t="shared" si="23"/>
        <v>0.20515056989662872</v>
      </c>
      <c r="AG58" s="839">
        <f t="shared" si="24"/>
        <v>3</v>
      </c>
      <c r="AH58" s="178">
        <f t="shared" si="16"/>
        <v>9</v>
      </c>
      <c r="AI58" s="227">
        <f t="shared" si="17"/>
        <v>3.2051505698966287</v>
      </c>
      <c r="AJ58" s="267" t="b">
        <f t="shared" si="18"/>
        <v>0</v>
      </c>
      <c r="AK58" s="267" t="b">
        <f t="shared" si="19"/>
        <v>0</v>
      </c>
      <c r="AL58" s="267"/>
      <c r="AM58" s="267"/>
      <c r="AN58" s="75"/>
    </row>
    <row r="59" spans="1:40" s="6" customFormat="1" ht="11.25" x14ac:dyDescent="0.2">
      <c r="A59" s="56">
        <f t="shared" si="20"/>
        <v>46432</v>
      </c>
      <c r="B59" s="413">
        <f>'2026'!Wh/'2026'!Env_an*'2027'!Env_an</f>
        <v>14.949412729952567</v>
      </c>
      <c r="C59" s="868"/>
      <c r="D59" s="395">
        <f t="shared" si="0"/>
        <v>16.074859791360211</v>
      </c>
      <c r="E59" s="387">
        <f t="shared" si="1"/>
        <v>17.395581821508983</v>
      </c>
      <c r="F59" s="387">
        <f t="shared" si="2"/>
        <v>17.442382361181338</v>
      </c>
      <c r="G59" s="110">
        <f t="shared" si="21"/>
        <v>0.55864579561584904</v>
      </c>
      <c r="H59" s="416" t="b">
        <f>Wh_hp&gt;='2026'!Maxi_hp</f>
        <v>0</v>
      </c>
      <c r="I59" s="392">
        <f>IF(H59,Wh_hp,'2026'!Maxi_hp)</f>
        <v>31.764389384281085</v>
      </c>
      <c r="J59" s="85">
        <f>IF(H59,An,'2026'!An_max)</f>
        <v>2019</v>
      </c>
      <c r="K59" s="199">
        <f t="shared" si="3"/>
        <v>46432</v>
      </c>
      <c r="L59" s="147">
        <f>IF(t&lt;Tvie,1-EXP((T0-t)*PertePVj)+'2026'!Pspv,1-EXP((T0-t)*PertePVj)+Pspv)</f>
        <v>7.0012869537595557E-2</v>
      </c>
      <c r="M59" s="872"/>
      <c r="N59" s="872"/>
      <c r="O59" s="48">
        <f>IF(t&lt;Tnet,'2026'!Resal+('2026'!Salim-'2026'!Resal)*(1-EXP(('2026'!Tnet-t)/('2026'!Tau_j))),Resal+(Salim-Resal)*(1-EXP((Tnet-t)/(Tau_j))))*Salcycl</f>
        <v>7.5922843150652689E-2</v>
      </c>
      <c r="P59" s="171">
        <f>(INDEX(Models!$BJ59:$BT59,,T59)*(1-R59)+INDEX(Models!$BJ59:$BT59,,T59+1)*R59-ERP_i)*Q59*Ramure*Pc/MaxiM</f>
        <v>7.1911634189443215E-3</v>
      </c>
      <c r="Q59" s="307">
        <f t="shared" si="4"/>
        <v>0.9</v>
      </c>
      <c r="R59" s="179">
        <f t="shared" si="5"/>
        <v>0.56973107807922396</v>
      </c>
      <c r="S59" s="839">
        <f t="shared" si="6"/>
        <v>-2</v>
      </c>
      <c r="T59" s="178">
        <f t="shared" si="7"/>
        <v>4</v>
      </c>
      <c r="U59" s="253">
        <f t="shared" si="8"/>
        <v>-1.430268921920776</v>
      </c>
      <c r="V59" s="385">
        <f t="shared" si="9"/>
        <v>26.639132333225</v>
      </c>
      <c r="W59" s="404">
        <f t="shared" si="10"/>
        <v>14.949412729952567</v>
      </c>
      <c r="X59" s="157">
        <f t="shared" si="11"/>
        <v>46432</v>
      </c>
      <c r="Y59" s="387">
        <f t="shared" si="12"/>
        <v>13.128697770504134</v>
      </c>
      <c r="Z59" s="387">
        <f t="shared" si="22"/>
        <v>14.117074678201554</v>
      </c>
      <c r="AA59" s="388">
        <f t="shared" si="13"/>
        <v>16.712277845801538</v>
      </c>
      <c r="AB59" s="199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0.15528722006329923</v>
      </c>
      <c r="AD59" s="233">
        <f>(INDEX(Models!$BJ59:$BT59,,AH59)*(1-AF59)+INDEX(Models!$BJ59:$BT59,,AH59+1)*AF59-ERP_i)*AE59*Ramure*Pc/MaxiM</f>
        <v>0.11218462265098571</v>
      </c>
      <c r="AE59" s="307">
        <f t="shared" si="15"/>
        <v>0.9</v>
      </c>
      <c r="AF59" s="179">
        <f t="shared" si="23"/>
        <v>0.20538673038620292</v>
      </c>
      <c r="AG59" s="839">
        <f t="shared" si="24"/>
        <v>3</v>
      </c>
      <c r="AH59" s="178">
        <f t="shared" si="16"/>
        <v>9</v>
      </c>
      <c r="AI59" s="227">
        <f t="shared" si="17"/>
        <v>3.2053867303862029</v>
      </c>
      <c r="AJ59" s="267" t="b">
        <f t="shared" si="18"/>
        <v>0</v>
      </c>
      <c r="AK59" s="267" t="b">
        <f t="shared" si="19"/>
        <v>0</v>
      </c>
      <c r="AL59" s="267"/>
      <c r="AM59" s="267"/>
      <c r="AN59" s="75"/>
    </row>
    <row r="60" spans="1:40" s="6" customFormat="1" ht="11.25" x14ac:dyDescent="0.2">
      <c r="A60" s="56">
        <f t="shared" si="20"/>
        <v>46433</v>
      </c>
      <c r="B60" s="413">
        <f>'2026'!Wh/'2026'!Env_an*'2027'!Env_an</f>
        <v>18.187740482548861</v>
      </c>
      <c r="C60" s="868"/>
      <c r="D60" s="395">
        <f t="shared" si="0"/>
        <v>19.557435960051425</v>
      </c>
      <c r="E60" s="387">
        <f t="shared" si="1"/>
        <v>21.167943215325813</v>
      </c>
      <c r="F60" s="387">
        <f t="shared" si="2"/>
        <v>21.243671076609068</v>
      </c>
      <c r="G60" s="110">
        <f t="shared" si="21"/>
        <v>0.67216428435363829</v>
      </c>
      <c r="H60" s="416" t="b">
        <f>Wh_hp&gt;='2026'!Maxi_hp</f>
        <v>0</v>
      </c>
      <c r="I60" s="392">
        <f>IF(H60,Wh_hp,'2026'!Maxi_hp)</f>
        <v>31.923977618483878</v>
      </c>
      <c r="J60" s="85">
        <f>IF(H60,An,'2026'!An_max)</f>
        <v>2019</v>
      </c>
      <c r="K60" s="199">
        <f t="shared" si="3"/>
        <v>46433</v>
      </c>
      <c r="L60" s="147">
        <f>IF(t&lt;Tvie,1-EXP((T0-t)*PertePVj)+'2026'!Pspv,1-EXP((T0-t)*PertePVj)+Pspv)</f>
        <v>7.0034511696745128E-2</v>
      </c>
      <c r="M60" s="872"/>
      <c r="N60" s="872"/>
      <c r="O60" s="48">
        <f>IF(t&lt;Tnet,'2026'!Resal+('2026'!Salim-'2026'!Resal)*(1-EXP(('2026'!Tnet-t)/('2026'!Tau_j))),Resal+(Salim-Resal)*(1-EXP((Tnet-t)/(Tau_j))))*Salcycl</f>
        <v>7.608236846120997E-2</v>
      </c>
      <c r="P60" s="171">
        <f>(INDEX(Models!$BJ60:$BT60,,T60)*(1-R60)+INDEX(Models!$BJ60:$BT60,,T60+1)*R60-ERP_i)*Q60*Ramure*Pc/MaxiM</f>
        <v>6.6672459158594721E-3</v>
      </c>
      <c r="Q60" s="307">
        <f t="shared" si="4"/>
        <v>0.9</v>
      </c>
      <c r="R60" s="179">
        <f t="shared" si="5"/>
        <v>0.56997697543208647</v>
      </c>
      <c r="S60" s="839">
        <f t="shared" si="6"/>
        <v>-2</v>
      </c>
      <c r="T60" s="178">
        <f t="shared" si="7"/>
        <v>4</v>
      </c>
      <c r="U60" s="253">
        <f t="shared" si="8"/>
        <v>-1.4300230245679135</v>
      </c>
      <c r="V60" s="385">
        <f t="shared" si="9"/>
        <v>26.974225205952639</v>
      </c>
      <c r="W60" s="404">
        <f t="shared" si="10"/>
        <v>18.187740482548861</v>
      </c>
      <c r="X60" s="157">
        <f t="shared" si="11"/>
        <v>46433</v>
      </c>
      <c r="Y60" s="387">
        <f t="shared" si="12"/>
        <v>15.713793838528543</v>
      </c>
      <c r="Z60" s="387">
        <f t="shared" si="22"/>
        <v>16.897179557919671</v>
      </c>
      <c r="AA60" s="388">
        <f t="shared" si="13"/>
        <v>20.005222001194465</v>
      </c>
      <c r="AB60" s="199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0.15536155725186257</v>
      </c>
      <c r="AD60" s="233">
        <f>(INDEX(Models!$BJ60:$BT60,,AH60)*(1-AF60)+INDEX(Models!$BJ60:$BT60,,AH60+1)*AF60-ERP_i)*AE60*Ramure*Pc/MaxiM</f>
        <v>0.10903575513869328</v>
      </c>
      <c r="AE60" s="307">
        <f t="shared" si="15"/>
        <v>0.9</v>
      </c>
      <c r="AF60" s="179">
        <f t="shared" si="23"/>
        <v>0.20563262773906565</v>
      </c>
      <c r="AG60" s="839">
        <f t="shared" si="24"/>
        <v>3</v>
      </c>
      <c r="AH60" s="178">
        <f t="shared" si="16"/>
        <v>9</v>
      </c>
      <c r="AI60" s="227">
        <f t="shared" si="17"/>
        <v>3.2056326277390657</v>
      </c>
      <c r="AJ60" s="267" t="b">
        <f t="shared" si="18"/>
        <v>0</v>
      </c>
      <c r="AK60" s="267" t="b">
        <f t="shared" si="19"/>
        <v>0</v>
      </c>
      <c r="AL60" s="267"/>
      <c r="AM60" s="267"/>
      <c r="AN60" s="75"/>
    </row>
    <row r="61" spans="1:40" s="6" customFormat="1" ht="11.25" x14ac:dyDescent="0.2">
      <c r="A61" s="56">
        <f t="shared" si="20"/>
        <v>46434</v>
      </c>
      <c r="B61" s="413">
        <f>'2026'!Wh/'2026'!Env_an*'2027'!Env_an</f>
        <v>9.2703206617431348</v>
      </c>
      <c r="C61" s="868"/>
      <c r="D61" s="395">
        <f t="shared" si="0"/>
        <v>9.968688641965505</v>
      </c>
      <c r="E61" s="387">
        <f t="shared" si="1"/>
        <v>10.791447379177944</v>
      </c>
      <c r="F61" s="387">
        <f t="shared" si="2"/>
        <v>10.795208757635134</v>
      </c>
      <c r="G61" s="110">
        <f t="shared" si="21"/>
        <v>0.3374409793976853</v>
      </c>
      <c r="H61" s="416" t="b">
        <f>Wh_hp&gt;='2026'!Maxi_hp</f>
        <v>0</v>
      </c>
      <c r="I61" s="392">
        <f>IF(H61,Wh_hp,'2026'!Maxi_hp)</f>
        <v>32.585872870752389</v>
      </c>
      <c r="J61" s="85">
        <f>IF(H61,An,'2026'!An_max)</f>
        <v>2019</v>
      </c>
      <c r="K61" s="199">
        <f t="shared" si="3"/>
        <v>46434</v>
      </c>
      <c r="L61" s="147">
        <f>IF(t&lt;Tvie,1-EXP((T0-t)*PertePVj)+'2026'!Pspv,1-EXP((T0-t)*PertePVj)+Pspv)</f>
        <v>7.0056153352250128E-2</v>
      </c>
      <c r="M61" s="872"/>
      <c r="N61" s="872"/>
      <c r="O61" s="48">
        <f>IF(t&lt;Tnet,'2026'!Resal+('2026'!Salim-'2026'!Resal)*(1-EXP(('2026'!Tnet-t)/('2026'!Tau_j))),Resal+(Salim-Resal)*(1-EXP((Tnet-t)/(Tau_j))))*Salcycl</f>
        <v>7.6241741103232216E-2</v>
      </c>
      <c r="P61" s="171">
        <f>(INDEX(Models!$BJ61:$BT61,,T61)*(1-R61)+INDEX(Models!$BJ61:$BT61,,T61+1)*R61-ERP_i)*Q61*Ramure*Pc/MaxiM</f>
        <v>6.1867247590072496E-3</v>
      </c>
      <c r="Q61" s="307">
        <f t="shared" si="4"/>
        <v>0.9</v>
      </c>
      <c r="R61" s="179">
        <f t="shared" si="5"/>
        <v>0.57023300371618979</v>
      </c>
      <c r="S61" s="839">
        <f t="shared" si="6"/>
        <v>-2</v>
      </c>
      <c r="T61" s="178">
        <f t="shared" si="7"/>
        <v>4</v>
      </c>
      <c r="U61" s="253">
        <f t="shared" si="8"/>
        <v>-1.4297669962838102</v>
      </c>
      <c r="V61" s="385">
        <f t="shared" si="9"/>
        <v>27.311973051885889</v>
      </c>
      <c r="W61" s="404">
        <f t="shared" si="10"/>
        <v>9.2703206617431348</v>
      </c>
      <c r="X61" s="157">
        <f t="shared" si="11"/>
        <v>46434</v>
      </c>
      <c r="Y61" s="387">
        <f t="shared" si="12"/>
        <v>8.4279233514938774</v>
      </c>
      <c r="Z61" s="387">
        <f t="shared" si="22"/>
        <v>9.0628303868827693</v>
      </c>
      <c r="AA61" s="388">
        <f t="shared" si="13"/>
        <v>10.730777945884434</v>
      </c>
      <c r="AB61" s="199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0.15543584700132312</v>
      </c>
      <c r="AD61" s="233">
        <f>(INDEX(Models!$BJ61:$BT61,,AH61)*(1-AF61)+INDEX(Models!$BJ61:$BT61,,AH61+1)*AF61-ERP_i)*AE61*Ramure*Pc/MaxiM</f>
        <v>0.10597596142950529</v>
      </c>
      <c r="AE61" s="307">
        <f t="shared" si="15"/>
        <v>0.9</v>
      </c>
      <c r="AF61" s="179">
        <f t="shared" si="23"/>
        <v>0.20588865602316897</v>
      </c>
      <c r="AG61" s="839">
        <f t="shared" si="24"/>
        <v>3</v>
      </c>
      <c r="AH61" s="178">
        <f t="shared" si="16"/>
        <v>9</v>
      </c>
      <c r="AI61" s="227">
        <f t="shared" si="17"/>
        <v>3.205888656023169</v>
      </c>
      <c r="AJ61" s="267" t="b">
        <f t="shared" si="18"/>
        <v>0</v>
      </c>
      <c r="AK61" s="267" t="b">
        <f t="shared" si="19"/>
        <v>0</v>
      </c>
      <c r="AL61" s="267"/>
      <c r="AM61" s="267"/>
      <c r="AN61" s="75"/>
    </row>
    <row r="62" spans="1:40" s="6" customFormat="1" ht="11.25" x14ac:dyDescent="0.2">
      <c r="A62" s="56">
        <f t="shared" si="20"/>
        <v>46435</v>
      </c>
      <c r="B62" s="413">
        <f>'2026'!Wh/'2026'!Env_an*'2027'!Env_an</f>
        <v>10.762279124020173</v>
      </c>
      <c r="C62" s="868"/>
      <c r="D62" s="395">
        <f t="shared" si="0"/>
        <v>11.57331125164521</v>
      </c>
      <c r="E62" s="387">
        <f t="shared" si="1"/>
        <v>12.530666054904632</v>
      </c>
      <c r="F62" s="387">
        <f t="shared" si="2"/>
        <v>12.53985109364006</v>
      </c>
      <c r="G62" s="110">
        <f t="shared" si="21"/>
        <v>0.38724418985393039</v>
      </c>
      <c r="H62" s="416" t="b">
        <f>Wh_hp&gt;='2026'!Maxi_hp</f>
        <v>0</v>
      </c>
      <c r="I62" s="392">
        <f>IF(H62,Wh_hp,'2026'!Maxi_hp)</f>
        <v>33.205489118694373</v>
      </c>
      <c r="J62" s="85">
        <f>IF(H62,An,'2026'!An_max)</f>
        <v>2019</v>
      </c>
      <c r="K62" s="199">
        <f t="shared" si="3"/>
        <v>46435</v>
      </c>
      <c r="L62" s="147">
        <f>IF(t&lt;Tvie,1-EXP((T0-t)*PertePVj)+'2026'!Pspv,1-EXP((T0-t)*PertePVj)+Pspv)</f>
        <v>7.0077794504122104E-2</v>
      </c>
      <c r="M62" s="872"/>
      <c r="N62" s="872"/>
      <c r="O62" s="48">
        <f>IF(t&lt;Tnet,'2026'!Resal+('2026'!Salim-'2026'!Resal)*(1-EXP(('2026'!Tnet-t)/('2026'!Tau_j))),Resal+(Salim-Resal)*(1-EXP((Tnet-t)/(Tau_j))))*Salcycl</f>
        <v>7.6400951000102871E-2</v>
      </c>
      <c r="P62" s="171">
        <f>(INDEX(Models!$BJ62:$BT62,,T62)*(1-R62)+INDEX(Models!$BJ62:$BT62,,T62+1)*R62-ERP_i)*Q62*Ramure*Pc/MaxiM</f>
        <v>5.7482125102509239E-3</v>
      </c>
      <c r="Q62" s="307">
        <f t="shared" si="4"/>
        <v>0.9</v>
      </c>
      <c r="R62" s="179">
        <f t="shared" si="5"/>
        <v>0.57049957232220883</v>
      </c>
      <c r="S62" s="839">
        <f t="shared" si="6"/>
        <v>-2</v>
      </c>
      <c r="T62" s="178">
        <f t="shared" si="7"/>
        <v>4</v>
      </c>
      <c r="U62" s="253">
        <f t="shared" si="8"/>
        <v>-1.4295004276777912</v>
      </c>
      <c r="V62" s="385">
        <f t="shared" si="9"/>
        <v>27.652470955395923</v>
      </c>
      <c r="W62" s="404">
        <f t="shared" si="10"/>
        <v>10.762279124020173</v>
      </c>
      <c r="X62" s="157">
        <f t="shared" si="11"/>
        <v>46435</v>
      </c>
      <c r="Y62" s="387">
        <f t="shared" si="12"/>
        <v>9.7184171910368207</v>
      </c>
      <c r="Z62" s="387">
        <f t="shared" si="22"/>
        <v>10.450785166329593</v>
      </c>
      <c r="AA62" s="388">
        <f t="shared" si="13"/>
        <v>12.375263191570808</v>
      </c>
      <c r="AB62" s="199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0.15551006838804352</v>
      </c>
      <c r="AD62" s="233">
        <f>(INDEX(Models!$BJ62:$BT62,,AH62)*(1-AF62)+INDEX(Models!$BJ62:$BT62,,AH62+1)*AF62-ERP_i)*AE62*Ramure*Pc/MaxiM</f>
        <v>0.10300296655922643</v>
      </c>
      <c r="AE62" s="307">
        <f t="shared" si="15"/>
        <v>0.9</v>
      </c>
      <c r="AF62" s="179">
        <f t="shared" si="23"/>
        <v>0.20615522462918756</v>
      </c>
      <c r="AG62" s="839">
        <f t="shared" si="24"/>
        <v>3</v>
      </c>
      <c r="AH62" s="178">
        <f t="shared" si="16"/>
        <v>9</v>
      </c>
      <c r="AI62" s="227">
        <f t="shared" si="17"/>
        <v>3.2061552246291876</v>
      </c>
      <c r="AJ62" s="267" t="b">
        <f t="shared" si="18"/>
        <v>0</v>
      </c>
      <c r="AK62" s="267" t="b">
        <f t="shared" si="19"/>
        <v>0</v>
      </c>
      <c r="AL62" s="267"/>
      <c r="AM62" s="267"/>
      <c r="AN62" s="75"/>
    </row>
    <row r="63" spans="1:40" s="6" customFormat="1" ht="11.25" x14ac:dyDescent="0.2">
      <c r="A63" s="56">
        <f t="shared" si="20"/>
        <v>46436</v>
      </c>
      <c r="B63" s="413">
        <f>'2026'!Wh/'2026'!Env_an*'2027'!Env_an</f>
        <v>25.385278399820905</v>
      </c>
      <c r="C63" s="868"/>
      <c r="D63" s="395">
        <f t="shared" si="0"/>
        <v>27.298917066450564</v>
      </c>
      <c r="E63" s="387">
        <f t="shared" si="1"/>
        <v>29.562198665974197</v>
      </c>
      <c r="F63" s="387">
        <f t="shared" si="2"/>
        <v>29.699936167916043</v>
      </c>
      <c r="G63" s="110">
        <f t="shared" si="21"/>
        <v>0.90610337248173345</v>
      </c>
      <c r="H63" s="416" t="b">
        <f>Wh_hp&gt;='2026'!Maxi_hp</f>
        <v>0</v>
      </c>
      <c r="I63" s="392">
        <f>IF(H63,Wh_hp,'2026'!Maxi_hp)</f>
        <v>33.121421529464264</v>
      </c>
      <c r="J63" s="85">
        <f>IF(H63,An,'2026'!An_max)</f>
        <v>2019</v>
      </c>
      <c r="K63" s="199">
        <f t="shared" si="3"/>
        <v>46436</v>
      </c>
      <c r="L63" s="147">
        <f>IF(t&lt;Tvie,1-EXP((T0-t)*PertePVj)+'2026'!Pspv,1-EXP((T0-t)*PertePVj)+Pspv)</f>
        <v>7.0099435152372935E-2</v>
      </c>
      <c r="M63" s="872"/>
      <c r="N63" s="872"/>
      <c r="O63" s="48">
        <f>IF(t&lt;Tnet,'2026'!Resal+('2026'!Salim-'2026'!Resal)*(1-EXP(('2026'!Tnet-t)/('2026'!Tau_j))),Resal+(Salim-Resal)*(1-EXP((Tnet-t)/(Tau_j))))*Salcycl</f>
        <v>7.6559988825480943E-2</v>
      </c>
      <c r="P63" s="171">
        <f>(INDEX(Models!$BJ63:$BT63,,T63)*(1-R63)+INDEX(Models!$BJ63:$BT63,,T63+1)*R63-ERP_i)*Q63*Ramure*Pc/MaxiM</f>
        <v>5.3503605079008006E-3</v>
      </c>
      <c r="Q63" s="307">
        <f t="shared" si="4"/>
        <v>0.9</v>
      </c>
      <c r="R63" s="179">
        <f t="shared" si="5"/>
        <v>0.57077710650605629</v>
      </c>
      <c r="S63" s="839">
        <f t="shared" si="6"/>
        <v>-2</v>
      </c>
      <c r="T63" s="178">
        <f t="shared" si="7"/>
        <v>4</v>
      </c>
      <c r="U63" s="253">
        <f t="shared" si="8"/>
        <v>-1.4292228934939437</v>
      </c>
      <c r="V63" s="385">
        <f t="shared" si="9"/>
        <v>27.995813909693108</v>
      </c>
      <c r="W63" s="404">
        <f t="shared" si="10"/>
        <v>25.385278399820905</v>
      </c>
      <c r="X63" s="157">
        <f t="shared" si="11"/>
        <v>46436</v>
      </c>
      <c r="Y63" s="387">
        <f t="shared" si="12"/>
        <v>21.297303583541812</v>
      </c>
      <c r="Z63" s="387">
        <f t="shared" si="22"/>
        <v>22.902775187615436</v>
      </c>
      <c r="AA63" s="388">
        <f t="shared" si="13"/>
        <v>27.122627556101534</v>
      </c>
      <c r="AB63" s="199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0.15558420214846755</v>
      </c>
      <c r="AD63" s="233">
        <f>(INDEX(Models!$BJ63:$BT63,,AH63)*(1-AF63)+INDEX(Models!$BJ63:$BT63,,AH63+1)*AF63-ERP_i)*AE63*Ramure*Pc/MaxiM</f>
        <v>0.10011456588741593</v>
      </c>
      <c r="AE63" s="307">
        <f t="shared" si="15"/>
        <v>0.9</v>
      </c>
      <c r="AF63" s="179">
        <f t="shared" si="23"/>
        <v>0.20643275881303547</v>
      </c>
      <c r="AG63" s="839">
        <f t="shared" si="24"/>
        <v>3</v>
      </c>
      <c r="AH63" s="178">
        <f t="shared" si="16"/>
        <v>9</v>
      </c>
      <c r="AI63" s="227">
        <f t="shared" si="17"/>
        <v>3.2064327588130355</v>
      </c>
      <c r="AJ63" s="267" t="b">
        <f t="shared" si="18"/>
        <v>0</v>
      </c>
      <c r="AK63" s="267" t="b">
        <f t="shared" si="19"/>
        <v>0</v>
      </c>
      <c r="AL63" s="267"/>
      <c r="AM63" s="267"/>
      <c r="AN63" s="75"/>
    </row>
    <row r="64" spans="1:40" s="6" customFormat="1" ht="11.25" x14ac:dyDescent="0.2">
      <c r="A64" s="56">
        <f t="shared" si="20"/>
        <v>46437</v>
      </c>
      <c r="B64" s="413">
        <f>'2026'!Wh/'2026'!Env_an*'2027'!Env_an</f>
        <v>15.309503896592812</v>
      </c>
      <c r="C64" s="868"/>
      <c r="D64" s="395">
        <f t="shared" si="0"/>
        <v>16.463975567015726</v>
      </c>
      <c r="E64" s="387">
        <f t="shared" si="1"/>
        <v>17.832028195056743</v>
      </c>
      <c r="F64" s="387">
        <f t="shared" si="2"/>
        <v>17.862621409801932</v>
      </c>
      <c r="G64" s="110">
        <f t="shared" si="21"/>
        <v>0.53839401915066343</v>
      </c>
      <c r="H64" s="416" t="b">
        <f>Wh_hp&gt;='2026'!Maxi_hp</f>
        <v>0</v>
      </c>
      <c r="I64" s="392">
        <f>IF(H64,Wh_hp,'2026'!Maxi_hp)</f>
        <v>32.195162026357977</v>
      </c>
      <c r="J64" s="85">
        <f>IF(H64,An,'2026'!An_max)</f>
        <v>2021</v>
      </c>
      <c r="K64" s="199">
        <f t="shared" si="3"/>
        <v>46437</v>
      </c>
      <c r="L64" s="147">
        <f>IF(t&lt;Tvie,1-EXP((T0-t)*PertePVj)+'2026'!Pspv,1-EXP((T0-t)*PertePVj)+Pspv)</f>
        <v>7.0121075297014279E-2</v>
      </c>
      <c r="M64" s="872"/>
      <c r="N64" s="872"/>
      <c r="O64" s="48">
        <f>IF(t&lt;Tnet,'2026'!Resal+('2026'!Salim-'2026'!Resal)*(1-EXP(('2026'!Tnet-t)/('2026'!Tau_j))),Resal+(Salim-Resal)*(1-EXP((Tnet-t)/(Tau_j))))*Salcycl</f>
        <v>7.6718846172543473E-2</v>
      </c>
      <c r="P64" s="171">
        <f>(INDEX(Models!$BJ64:$BT64,,T64)*(1-R64)+INDEX(Models!$BJ64:$BT64,,T64+1)*R64-ERP_i)*Q64*Ramure*Pc/MaxiM</f>
        <v>4.9918574230578758E-3</v>
      </c>
      <c r="Q64" s="307">
        <f t="shared" si="4"/>
        <v>0.9</v>
      </c>
      <c r="R64" s="179">
        <f t="shared" si="5"/>
        <v>0.57106604794598881</v>
      </c>
      <c r="S64" s="839">
        <f t="shared" si="6"/>
        <v>-2</v>
      </c>
      <c r="T64" s="178">
        <f t="shared" si="7"/>
        <v>4</v>
      </c>
      <c r="U64" s="253">
        <f t="shared" si="8"/>
        <v>-1.4289339520540112</v>
      </c>
      <c r="V64" s="385">
        <f t="shared" si="9"/>
        <v>28.342096807494251</v>
      </c>
      <c r="W64" s="404">
        <f t="shared" si="10"/>
        <v>15.309503896592812</v>
      </c>
      <c r="X64" s="157">
        <f t="shared" si="11"/>
        <v>46437</v>
      </c>
      <c r="Y64" s="387">
        <f t="shared" si="12"/>
        <v>13.556350587162578</v>
      </c>
      <c r="Z64" s="387">
        <f t="shared" si="22"/>
        <v>14.578619029883527</v>
      </c>
      <c r="AA64" s="388">
        <f t="shared" si="13"/>
        <v>17.266253506915756</v>
      </c>
      <c r="AB64" s="199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0.15565823100858187</v>
      </c>
      <c r="AD64" s="233">
        <f>(INDEX(Models!$BJ64:$BT64,,AH64)*(1-AF64)+INDEX(Models!$BJ64:$BT64,,AH64+1)*AF64-ERP_i)*AE64*Ramure*Pc/MaxiM</f>
        <v>9.7308621133521012E-2</v>
      </c>
      <c r="AE64" s="307">
        <f t="shared" si="15"/>
        <v>0.9</v>
      </c>
      <c r="AF64" s="179">
        <f t="shared" si="23"/>
        <v>0.20672170025296799</v>
      </c>
      <c r="AG64" s="839">
        <f t="shared" si="24"/>
        <v>3</v>
      </c>
      <c r="AH64" s="178">
        <f t="shared" si="16"/>
        <v>9</v>
      </c>
      <c r="AI64" s="227">
        <f t="shared" si="17"/>
        <v>3.206721700252968</v>
      </c>
      <c r="AJ64" s="267" t="b">
        <f t="shared" si="18"/>
        <v>0</v>
      </c>
      <c r="AK64" s="267" t="b">
        <f t="shared" si="19"/>
        <v>0</v>
      </c>
      <c r="AL64" s="267"/>
      <c r="AM64" s="267"/>
      <c r="AN64" s="75"/>
    </row>
    <row r="65" spans="1:40" s="6" customFormat="1" ht="11.25" x14ac:dyDescent="0.2">
      <c r="A65" s="56">
        <f t="shared" si="20"/>
        <v>46438</v>
      </c>
      <c r="B65" s="413">
        <f>'2026'!Wh/'2026'!Env_an*'2027'!Env_an</f>
        <v>18.304096349499559</v>
      </c>
      <c r="C65" s="868"/>
      <c r="D65" s="395">
        <f t="shared" si="0"/>
        <v>19.684844807426806</v>
      </c>
      <c r="E65" s="387">
        <f t="shared" si="1"/>
        <v>21.324196022332394</v>
      </c>
      <c r="F65" s="387">
        <f t="shared" si="2"/>
        <v>21.372396320026709</v>
      </c>
      <c r="G65" s="110">
        <f t="shared" si="21"/>
        <v>0.6364062421841773</v>
      </c>
      <c r="H65" s="416" t="b">
        <f>Wh_hp&gt;='2026'!Maxi_hp</f>
        <v>0</v>
      </c>
      <c r="I65" s="392">
        <f>IF(H65,Wh_hp,'2026'!Maxi_hp)</f>
        <v>33.58083461156118</v>
      </c>
      <c r="J65" s="85">
        <f>IF(H65,An,'2026'!An_max)</f>
        <v>2020</v>
      </c>
      <c r="K65" s="199">
        <f t="shared" si="3"/>
        <v>46438</v>
      </c>
      <c r="L65" s="147">
        <f>IF(t&lt;Tvie,1-EXP((T0-t)*PertePVj)+'2026'!Pspv,1-EXP((T0-t)*PertePVj)+Pspv)</f>
        <v>7.0142714938057793E-2</v>
      </c>
      <c r="M65" s="872"/>
      <c r="N65" s="872"/>
      <c r="O65" s="48">
        <f>IF(t&lt;Tnet,'2026'!Resal+('2026'!Salim-'2026'!Resal)*(1-EXP(('2026'!Tnet-t)/('2026'!Tau_j))),Resal+(Salim-Resal)*(1-EXP((Tnet-t)/(Tau_j))))*Salcycl</f>
        <v>7.6877515719173145E-2</v>
      </c>
      <c r="P65" s="171">
        <f>(INDEX(Models!$BJ65:$BT65,,T65)*(1-R65)+INDEX(Models!$BJ65:$BT65,,T65+1)*R65-ERP_i)*Q65*Ramure*Pc/MaxiM</f>
        <v>4.6713319070688869E-3</v>
      </c>
      <c r="Q65" s="307">
        <f t="shared" si="4"/>
        <v>0.9</v>
      </c>
      <c r="R65" s="179">
        <f t="shared" si="5"/>
        <v>0.57136685531426323</v>
      </c>
      <c r="S65" s="839">
        <f t="shared" si="6"/>
        <v>-2</v>
      </c>
      <c r="T65" s="178">
        <f t="shared" si="7"/>
        <v>4</v>
      </c>
      <c r="U65" s="253">
        <f t="shared" si="8"/>
        <v>-1.4286331446857368</v>
      </c>
      <c r="V65" s="385">
        <f t="shared" si="9"/>
        <v>28.692007012348348</v>
      </c>
      <c r="W65" s="404">
        <f t="shared" si="10"/>
        <v>18.304096349499559</v>
      </c>
      <c r="X65" s="157">
        <f t="shared" si="11"/>
        <v>46438</v>
      </c>
      <c r="Y65" s="387">
        <f t="shared" si="12"/>
        <v>16.012227013249941</v>
      </c>
      <c r="Z65" s="387">
        <f t="shared" si="22"/>
        <v>17.220090943507842</v>
      </c>
      <c r="AA65" s="388">
        <f t="shared" si="13"/>
        <v>20.396478131419979</v>
      </c>
      <c r="AB65" s="199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0.1557321400021035</v>
      </c>
      <c r="AD65" s="233">
        <f>(INDEX(Models!$BJ65:$BT65,,AH65)*(1-AF65)+INDEX(Models!$BJ65:$BT65,,AH65+1)*AF65-ERP_i)*AE65*Ramure*Pc/MaxiM</f>
        <v>9.4581112383156529E-2</v>
      </c>
      <c r="AE65" s="307">
        <f t="shared" si="15"/>
        <v>0.9</v>
      </c>
      <c r="AF65" s="179">
        <f t="shared" si="23"/>
        <v>0.20702250762124219</v>
      </c>
      <c r="AG65" s="839">
        <f t="shared" si="24"/>
        <v>3</v>
      </c>
      <c r="AH65" s="178">
        <f t="shared" si="16"/>
        <v>9</v>
      </c>
      <c r="AI65" s="227">
        <f t="shared" si="17"/>
        <v>3.2070225076212422</v>
      </c>
      <c r="AJ65" s="267" t="b">
        <f t="shared" si="18"/>
        <v>0</v>
      </c>
      <c r="AK65" s="267" t="b">
        <f t="shared" si="19"/>
        <v>0</v>
      </c>
      <c r="AL65" s="267"/>
      <c r="AM65" s="267"/>
      <c r="AN65" s="75"/>
    </row>
    <row r="66" spans="1:40" s="6" customFormat="1" ht="11.25" x14ac:dyDescent="0.2">
      <c r="A66" s="56">
        <f t="shared" si="20"/>
        <v>46439</v>
      </c>
      <c r="B66" s="413">
        <f>'2026'!Wh/'2026'!Env_an*'2027'!Env_an</f>
        <v>18.774997241879994</v>
      </c>
      <c r="C66" s="868"/>
      <c r="D66" s="395">
        <f t="shared" si="0"/>
        <v>20.191737458304303</v>
      </c>
      <c r="E66" s="387">
        <f t="shared" si="1"/>
        <v>21.877058335848879</v>
      </c>
      <c r="F66" s="387">
        <f t="shared" si="2"/>
        <v>21.924777800693136</v>
      </c>
      <c r="G66" s="110">
        <f t="shared" si="21"/>
        <v>0.64495807623935553</v>
      </c>
      <c r="H66" s="416" t="b">
        <f>Wh_hp&gt;='2026'!Maxi_hp</f>
        <v>0</v>
      </c>
      <c r="I66" s="392">
        <f>IF(H66,Wh_hp,'2026'!Maxi_hp)</f>
        <v>33.349979242504801</v>
      </c>
      <c r="J66" s="85">
        <f>IF(H66,An,'2026'!An_max)</f>
        <v>2019</v>
      </c>
      <c r="K66" s="199">
        <f t="shared" si="3"/>
        <v>46439</v>
      </c>
      <c r="L66" s="147">
        <f>IF(t&lt;Tvie,1-EXP((T0-t)*PertePVj)+'2026'!Pspv,1-EXP((T0-t)*PertePVj)+Pspv)</f>
        <v>7.0164354075515245E-2</v>
      </c>
      <c r="M66" s="872"/>
      <c r="N66" s="872"/>
      <c r="O66" s="48">
        <f>IF(t&lt;Tnet,'2026'!Resal+('2026'!Salim-'2026'!Resal)*(1-EXP(('2026'!Tnet-t)/('2026'!Tau_j))),Resal+(Salim-Resal)*(1-EXP((Tnet-t)/(Tau_j))))*Salcycl</f>
        <v>7.7035991387513159E-2</v>
      </c>
      <c r="P66" s="171">
        <f>(INDEX(Models!$BJ66:$BT66,,T66)*(1-R66)+INDEX(Models!$BJ66:$BT66,,T66+1)*R66-ERP_i)*Q66*Ramure*Pc/MaxiM</f>
        <v>4.3982896604659889E-3</v>
      </c>
      <c r="Q66" s="307">
        <f t="shared" si="4"/>
        <v>0.9</v>
      </c>
      <c r="R66" s="179">
        <f t="shared" si="5"/>
        <v>0.57168000486326465</v>
      </c>
      <c r="S66" s="839">
        <f t="shared" si="6"/>
        <v>-2</v>
      </c>
      <c r="T66" s="178">
        <f t="shared" si="7"/>
        <v>4</v>
      </c>
      <c r="U66" s="253">
        <f t="shared" si="8"/>
        <v>-1.4283199951367354</v>
      </c>
      <c r="V66" s="385">
        <f t="shared" si="9"/>
        <v>29.045596927533531</v>
      </c>
      <c r="W66" s="404">
        <f t="shared" si="10"/>
        <v>18.774997241879994</v>
      </c>
      <c r="X66" s="157">
        <f t="shared" si="11"/>
        <v>46439</v>
      </c>
      <c r="Y66" s="387">
        <f t="shared" si="12"/>
        <v>16.427136105650209</v>
      </c>
      <c r="Z66" s="387">
        <f t="shared" si="22"/>
        <v>17.666709356272964</v>
      </c>
      <c r="AA66" s="388">
        <f t="shared" si="13"/>
        <v>20.927307721429134</v>
      </c>
      <c r="AB66" s="199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0.15580591677434849</v>
      </c>
      <c r="AD66" s="233">
        <f>(INDEX(Models!$BJ66:$BT66,,AH66)*(1-AF66)+INDEX(Models!$BJ66:$BT66,,AH66+1)*AF66-ERP_i)*AE66*Ramure*Pc/MaxiM</f>
        <v>9.1936536810917957E-2</v>
      </c>
      <c r="AE66" s="307">
        <f t="shared" si="15"/>
        <v>0.9</v>
      </c>
      <c r="AF66" s="179">
        <f t="shared" si="23"/>
        <v>0.2073356571702436</v>
      </c>
      <c r="AG66" s="839">
        <f t="shared" si="24"/>
        <v>3</v>
      </c>
      <c r="AH66" s="178">
        <f t="shared" si="16"/>
        <v>9</v>
      </c>
      <c r="AI66" s="227">
        <f t="shared" si="17"/>
        <v>3.2073356571702436</v>
      </c>
      <c r="AJ66" s="267" t="b">
        <f t="shared" si="18"/>
        <v>0</v>
      </c>
      <c r="AK66" s="267" t="b">
        <f t="shared" si="19"/>
        <v>0</v>
      </c>
      <c r="AL66" s="267"/>
      <c r="AM66" s="267"/>
      <c r="AN66" s="75"/>
    </row>
    <row r="67" spans="1:40" s="6" customFormat="1" ht="11.25" x14ac:dyDescent="0.2">
      <c r="A67" s="56">
        <f t="shared" si="20"/>
        <v>46440</v>
      </c>
      <c r="B67" s="413">
        <f>'2026'!Wh/'2026'!Env_an*'2027'!Env_an</f>
        <v>27.728873896073797</v>
      </c>
      <c r="C67" s="868"/>
      <c r="D67" s="395">
        <f t="shared" si="0"/>
        <v>29.821957594372403</v>
      </c>
      <c r="E67" s="387">
        <f t="shared" si="1"/>
        <v>32.316615053724362</v>
      </c>
      <c r="F67" s="387">
        <f t="shared" si="2"/>
        <v>32.440704530841515</v>
      </c>
      <c r="G67" s="110">
        <f t="shared" si="21"/>
        <v>0.94275175117217536</v>
      </c>
      <c r="H67" s="416" t="b">
        <f>Wh_hp&gt;='2026'!Maxi_hp</f>
        <v>0</v>
      </c>
      <c r="I67" s="392">
        <f>IF(H67,Wh_hp,'2026'!Maxi_hp)</f>
        <v>33.437622553718462</v>
      </c>
      <c r="J67" s="85">
        <f>IF(H67,An,'2026'!An_max)</f>
        <v>2020</v>
      </c>
      <c r="K67" s="199">
        <f t="shared" si="3"/>
        <v>46440</v>
      </c>
      <c r="L67" s="147">
        <f>IF(t&lt;Tvie,1-EXP((T0-t)*PertePVj)+'2026'!Pspv,1-EXP((T0-t)*PertePVj)+Pspv)</f>
        <v>7.0185992709398293E-2</v>
      </c>
      <c r="M67" s="872"/>
      <c r="N67" s="872"/>
      <c r="O67" s="48">
        <f>IF(t&lt;Tnet,'2026'!Resal+('2026'!Salim-'2026'!Resal)*(1-EXP(('2026'!Tnet-t)/('2026'!Tau_j))),Resal+(Salim-Resal)*(1-EXP((Tnet-t)/(Tau_j))))*Salcycl</f>
        <v>7.7194268496398613E-2</v>
      </c>
      <c r="P67" s="171">
        <f>(INDEX(Models!$BJ67:$BT67,,T67)*(1-R67)+INDEX(Models!$BJ67:$BT67,,T67+1)*R67-ERP_i)*Q67*Ramure*Pc/MaxiM</f>
        <v>4.1637332863802548E-3</v>
      </c>
      <c r="Q67" s="307">
        <f t="shared" si="4"/>
        <v>0.9</v>
      </c>
      <c r="R67" s="179">
        <f t="shared" si="5"/>
        <v>0.57200599102596161</v>
      </c>
      <c r="S67" s="839">
        <f t="shared" si="6"/>
        <v>-2</v>
      </c>
      <c r="T67" s="178">
        <f t="shared" si="7"/>
        <v>4</v>
      </c>
      <c r="U67" s="253">
        <f t="shared" si="8"/>
        <v>-1.4279940089740384</v>
      </c>
      <c r="V67" s="385">
        <f t="shared" si="9"/>
        <v>29.402701557721333</v>
      </c>
      <c r="W67" s="404">
        <f t="shared" si="10"/>
        <v>27.728873896073797</v>
      </c>
      <c r="X67" s="157">
        <f t="shared" si="11"/>
        <v>46440</v>
      </c>
      <c r="Y67" s="387">
        <f t="shared" si="12"/>
        <v>23.371091661487469</v>
      </c>
      <c r="Z67" s="387">
        <f t="shared" si="22"/>
        <v>25.135232937164311</v>
      </c>
      <c r="AA67" s="388">
        <f t="shared" si="13"/>
        <v>29.776832195945158</v>
      </c>
      <c r="AB67" s="199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0.1558795518689497</v>
      </c>
      <c r="AD67" s="233">
        <f>(INDEX(Models!$BJ67:$BT67,,AH67)*(1-AF67)+INDEX(Models!$BJ67:$BT67,,AH67+1)*AF67-ERP_i)*AE67*Ramure*Pc/MaxiM</f>
        <v>8.9384323063943352E-2</v>
      </c>
      <c r="AE67" s="307">
        <f t="shared" si="15"/>
        <v>0.9</v>
      </c>
      <c r="AF67" s="179">
        <f t="shared" si="23"/>
        <v>0.20766164333294057</v>
      </c>
      <c r="AG67" s="839">
        <f t="shared" si="24"/>
        <v>3</v>
      </c>
      <c r="AH67" s="178">
        <f t="shared" si="16"/>
        <v>9</v>
      </c>
      <c r="AI67" s="227">
        <f t="shared" si="17"/>
        <v>3.2076616433329406</v>
      </c>
      <c r="AJ67" s="267" t="b">
        <f t="shared" si="18"/>
        <v>0</v>
      </c>
      <c r="AK67" s="267" t="b">
        <f t="shared" si="19"/>
        <v>0</v>
      </c>
      <c r="AL67" s="267"/>
      <c r="AM67" s="267"/>
      <c r="AN67" s="75"/>
    </row>
    <row r="68" spans="1:40" s="6" customFormat="1" ht="11.25" x14ac:dyDescent="0.2">
      <c r="A68" s="56">
        <f t="shared" si="20"/>
        <v>46441</v>
      </c>
      <c r="B68" s="413">
        <f>'2026'!Wh/'2026'!Env_an*'2027'!Env_an</f>
        <v>29.33375193504741</v>
      </c>
      <c r="C68" s="868"/>
      <c r="D68" s="395">
        <f t="shared" si="0"/>
        <v>31.548712280290552</v>
      </c>
      <c r="E68" s="387">
        <f t="shared" si="1"/>
        <v>34.193673036385597</v>
      </c>
      <c r="F68" s="387">
        <f t="shared" si="2"/>
        <v>34.327024689431184</v>
      </c>
      <c r="G68" s="110">
        <f t="shared" si="21"/>
        <v>0.98549911477213525</v>
      </c>
      <c r="H68" s="416" t="b">
        <f>Wh_hp&gt;='2026'!Maxi_hp</f>
        <v>0</v>
      </c>
      <c r="I68" s="392">
        <f>IF(H68,Wh_hp,'2026'!Maxi_hp)</f>
        <v>34.328866411372346</v>
      </c>
      <c r="J68" s="85">
        <f>IF(H68,An,'2026'!An_max)</f>
        <v>2026</v>
      </c>
      <c r="K68" s="199">
        <f t="shared" si="3"/>
        <v>46441</v>
      </c>
      <c r="L68" s="147">
        <f>IF(t&lt;Tvie,1-EXP((T0-t)*PertePVj)+'2026'!Pspv,1-EXP((T0-t)*PertePVj)+Pspv)</f>
        <v>7.0207630839718815E-2</v>
      </c>
      <c r="M68" s="872"/>
      <c r="N68" s="872"/>
      <c r="O68" s="48">
        <f>IF(t&lt;Tnet,'2026'!Resal+('2026'!Salim-'2026'!Resal)*(1-EXP(('2026'!Tnet-t)/('2026'!Tau_j))),Resal+(Salim-Resal)*(1-EXP((Tnet-t)/(Tau_j))))*Salcycl</f>
        <v>7.7352343905275567E-2</v>
      </c>
      <c r="P68" s="171">
        <f>(INDEX(Models!$BJ68:$BT68,,T68)*(1-R68)+INDEX(Models!$BJ68:$BT68,,T68+1)*R68-ERP_i)*Q68*Ramure*Pc/MaxiM</f>
        <v>3.9664516716093837E-3</v>
      </c>
      <c r="Q68" s="307">
        <f t="shared" si="4"/>
        <v>0.9</v>
      </c>
      <c r="R68" s="179">
        <f t="shared" si="5"/>
        <v>0.57234532703049057</v>
      </c>
      <c r="S68" s="839">
        <f t="shared" si="6"/>
        <v>-2</v>
      </c>
      <c r="T68" s="178">
        <f t="shared" si="7"/>
        <v>4</v>
      </c>
      <c r="U68" s="253">
        <f t="shared" si="8"/>
        <v>-1.4276546729695094</v>
      </c>
      <c r="V68" s="385">
        <f t="shared" si="9"/>
        <v>29.762934651645423</v>
      </c>
      <c r="W68" s="404">
        <f t="shared" si="10"/>
        <v>29.33375193504741</v>
      </c>
      <c r="X68" s="157">
        <f t="shared" si="11"/>
        <v>46441</v>
      </c>
      <c r="Y68" s="387">
        <f t="shared" si="12"/>
        <v>24.646032328498812</v>
      </c>
      <c r="Z68" s="387">
        <f t="shared" si="22"/>
        <v>26.507027962336647</v>
      </c>
      <c r="AA68" s="388">
        <f t="shared" si="13"/>
        <v>31.404683846938653</v>
      </c>
      <c r="AB68" s="199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0.15595303899483237</v>
      </c>
      <c r="AD68" s="233">
        <f>(INDEX(Models!$BJ68:$BT68,,AH68)*(1-AF68)+INDEX(Models!$BJ68:$BT68,,AH68+1)*AF68-ERP_i)*AE68*Ramure*Pc/MaxiM</f>
        <v>8.6922984867344358E-2</v>
      </c>
      <c r="AE68" s="307">
        <f t="shared" si="15"/>
        <v>0.9</v>
      </c>
      <c r="AF68" s="179">
        <f t="shared" si="23"/>
        <v>0.20800097933746953</v>
      </c>
      <c r="AG68" s="839">
        <f t="shared" si="24"/>
        <v>3</v>
      </c>
      <c r="AH68" s="178">
        <f t="shared" si="16"/>
        <v>9</v>
      </c>
      <c r="AI68" s="227">
        <f t="shared" si="17"/>
        <v>3.2080009793374695</v>
      </c>
      <c r="AJ68" s="267" t="b">
        <f t="shared" si="18"/>
        <v>0</v>
      </c>
      <c r="AK68" s="267" t="b">
        <f t="shared" si="19"/>
        <v>0</v>
      </c>
      <c r="AL68" s="267"/>
      <c r="AM68" s="267"/>
      <c r="AN68" s="75"/>
    </row>
    <row r="69" spans="1:40" s="6" customFormat="1" ht="11.25" x14ac:dyDescent="0.2">
      <c r="A69" s="56">
        <f t="shared" si="20"/>
        <v>46442</v>
      </c>
      <c r="B69" s="413">
        <f>'2026'!Wh/'2026'!Env_an*'2027'!Env_an</f>
        <v>17.641862975891172</v>
      </c>
      <c r="C69" s="868"/>
      <c r="D69" s="395">
        <f t="shared" si="0"/>
        <v>18.974422809366857</v>
      </c>
      <c r="E69" s="387">
        <f t="shared" si="1"/>
        <v>20.568707796570948</v>
      </c>
      <c r="F69" s="387">
        <f t="shared" si="2"/>
        <v>20.600691932769905</v>
      </c>
      <c r="G69" s="110">
        <f t="shared" si="21"/>
        <v>0.58428308737640477</v>
      </c>
      <c r="H69" s="416" t="b">
        <f>Wh_hp&gt;='2026'!Maxi_hp</f>
        <v>0</v>
      </c>
      <c r="I69" s="392">
        <f>IF(H69,Wh_hp,'2026'!Maxi_hp)</f>
        <v>35.33766783326174</v>
      </c>
      <c r="J69" s="85">
        <f>IF(H69,An,'2026'!An_max)</f>
        <v>2020</v>
      </c>
      <c r="K69" s="199">
        <f t="shared" si="3"/>
        <v>46442</v>
      </c>
      <c r="L69" s="147">
        <f>IF(t&lt;Tvie,1-EXP((T0-t)*PertePVj)+'2026'!Pspv,1-EXP((T0-t)*PertePVj)+Pspv)</f>
        <v>7.0229268466488359E-2</v>
      </c>
      <c r="M69" s="872"/>
      <c r="N69" s="872"/>
      <c r="O69" s="48">
        <f>IF(t&lt;Tnet,'2026'!Resal+('2026'!Salim-'2026'!Resal)*(1-EXP(('2026'!Tnet-t)/('2026'!Tau_j))),Resal+(Salim-Resal)*(1-EXP((Tnet-t)/(Tau_j))))*Salcycl</f>
        <v>7.7510216148331743E-2</v>
      </c>
      <c r="P69" s="171">
        <f>(INDEX(Models!$BJ69:$BT69,,T69)*(1-R69)+INDEX(Models!$BJ69:$BT69,,T69+1)*R69-ERP_i)*Q69*Ramure*Pc/MaxiM</f>
        <v>3.8052752139445772E-3</v>
      </c>
      <c r="Q69" s="307">
        <f t="shared" si="4"/>
        <v>0.9</v>
      </c>
      <c r="R69" s="179">
        <f t="shared" si="5"/>
        <v>0.57269854552859623</v>
      </c>
      <c r="S69" s="839">
        <f t="shared" si="6"/>
        <v>-2</v>
      </c>
      <c r="T69" s="178">
        <f t="shared" si="7"/>
        <v>4</v>
      </c>
      <c r="U69" s="253">
        <f t="shared" si="8"/>
        <v>-1.4273014544714038</v>
      </c>
      <c r="V69" s="385">
        <f t="shared" si="9"/>
        <v>30.12590941626334</v>
      </c>
      <c r="W69" s="404">
        <f t="shared" si="10"/>
        <v>17.641862975891172</v>
      </c>
      <c r="X69" s="157">
        <f t="shared" si="11"/>
        <v>46442</v>
      </c>
      <c r="Y69" s="387">
        <f t="shared" si="12"/>
        <v>15.607738016990496</v>
      </c>
      <c r="Z69" s="387">
        <f t="shared" si="22"/>
        <v>16.786652330137311</v>
      </c>
      <c r="AA69" s="388">
        <f t="shared" si="13"/>
        <v>19.890020064939542</v>
      </c>
      <c r="AB69" s="199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0.15602637527111335</v>
      </c>
      <c r="AD69" s="233">
        <f>(INDEX(Models!$BJ69:$BT69,,AH69)*(1-AF69)+INDEX(Models!$BJ69:$BT69,,AH69+1)*AF69-ERP_i)*AE69*Ramure*Pc/MaxiM</f>
        <v>8.4551354680352811E-2</v>
      </c>
      <c r="AE69" s="307">
        <f t="shared" si="15"/>
        <v>0.9</v>
      </c>
      <c r="AF69" s="179">
        <f t="shared" si="23"/>
        <v>0.20835419783557496</v>
      </c>
      <c r="AG69" s="839">
        <f t="shared" si="24"/>
        <v>3</v>
      </c>
      <c r="AH69" s="178">
        <f t="shared" si="16"/>
        <v>9</v>
      </c>
      <c r="AI69" s="227">
        <f t="shared" si="17"/>
        <v>3.208354197835575</v>
      </c>
      <c r="AJ69" s="267" t="b">
        <f t="shared" si="18"/>
        <v>0</v>
      </c>
      <c r="AK69" s="267" t="b">
        <f t="shared" si="19"/>
        <v>0</v>
      </c>
      <c r="AL69" s="267"/>
      <c r="AM69" s="267"/>
      <c r="AN69" s="75"/>
    </row>
    <row r="70" spans="1:40" s="6" customFormat="1" ht="11.25" x14ac:dyDescent="0.2">
      <c r="A70" s="56">
        <f t="shared" si="20"/>
        <v>46443</v>
      </c>
      <c r="B70" s="413">
        <f>'2026'!Wh/'2026'!Env_an*'2027'!Env_an</f>
        <v>26.089305172271352</v>
      </c>
      <c r="C70" s="868"/>
      <c r="D70" s="395">
        <f t="shared" si="0"/>
        <v>28.060586806830081</v>
      </c>
      <c r="E70" s="387">
        <f t="shared" si="1"/>
        <v>30.423517047107183</v>
      </c>
      <c r="F70" s="387">
        <f t="shared" si="2"/>
        <v>30.512622855134779</v>
      </c>
      <c r="G70" s="110">
        <f t="shared" si="21"/>
        <v>0.85498170144078423</v>
      </c>
      <c r="H70" s="416" t="b">
        <f>Wh_hp&gt;='2026'!Maxi_hp</f>
        <v>0</v>
      </c>
      <c r="I70" s="392">
        <f>IF(H70,Wh_hp,'2026'!Maxi_hp)</f>
        <v>35.142931851813223</v>
      </c>
      <c r="J70" s="85">
        <f>IF(H70,An,'2026'!An_max)</f>
        <v>2019</v>
      </c>
      <c r="K70" s="199">
        <f t="shared" si="3"/>
        <v>46443</v>
      </c>
      <c r="L70" s="147">
        <f>IF(t&lt;Tvie,1-EXP((T0-t)*PertePVj)+'2026'!Pspv,1-EXP((T0-t)*PertePVj)+Pspv)</f>
        <v>7.0250905589718804E-2</v>
      </c>
      <c r="M70" s="872"/>
      <c r="N70" s="872"/>
      <c r="O70" s="48">
        <f>IF(t&lt;Tnet,'2026'!Resal+('2026'!Salim-'2026'!Resal)*(1-EXP(('2026'!Tnet-t)/('2026'!Tau_j))),Resal+(Salim-Resal)*(1-EXP((Tnet-t)/(Tau_j))))*Salcycl</f>
        <v>7.7667885557688318E-2</v>
      </c>
      <c r="P70" s="171">
        <f>(INDEX(Models!$BJ70:$BT70,,T70)*(1-R70)+INDEX(Models!$BJ70:$BT70,,T70+1)*R70-ERP_i)*Q70*Ramure*Pc/MaxiM</f>
        <v>3.6790578419757937E-3</v>
      </c>
      <c r="Q70" s="307">
        <f t="shared" si="4"/>
        <v>0.9</v>
      </c>
      <c r="R70" s="179">
        <f t="shared" si="5"/>
        <v>0.57306619923758673</v>
      </c>
      <c r="S70" s="839">
        <f t="shared" si="6"/>
        <v>-2</v>
      </c>
      <c r="T70" s="178">
        <f t="shared" si="7"/>
        <v>4</v>
      </c>
      <c r="U70" s="253">
        <f t="shared" si="8"/>
        <v>-1.4269338007624133</v>
      </c>
      <c r="V70" s="385">
        <f t="shared" si="9"/>
        <v>30.491239181154228</v>
      </c>
      <c r="W70" s="404">
        <f t="shared" si="10"/>
        <v>26.089305172271352</v>
      </c>
      <c r="X70" s="157">
        <f t="shared" si="11"/>
        <v>46443</v>
      </c>
      <c r="Y70" s="387">
        <f t="shared" si="12"/>
        <v>22.377325441848409</v>
      </c>
      <c r="Z70" s="387">
        <f t="shared" si="22"/>
        <v>24.068133624848368</v>
      </c>
      <c r="AA70" s="388">
        <f t="shared" si="13"/>
        <v>28.520110341620118</v>
      </c>
      <c r="AB70" s="199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0.15609956144786949</v>
      </c>
      <c r="AD70" s="233">
        <f>(INDEX(Models!$BJ70:$BT70,,AH70)*(1-AF70)+INDEX(Models!$BJ70:$BT70,,AH70+1)*AF70-ERP_i)*AE70*Ramure*Pc/MaxiM</f>
        <v>8.2268136615861701E-2</v>
      </c>
      <c r="AE70" s="307">
        <f t="shared" si="15"/>
        <v>0.9</v>
      </c>
      <c r="AF70" s="179">
        <f t="shared" si="23"/>
        <v>0.20872185154456568</v>
      </c>
      <c r="AG70" s="839">
        <f t="shared" si="24"/>
        <v>3</v>
      </c>
      <c r="AH70" s="178">
        <f t="shared" si="16"/>
        <v>9</v>
      </c>
      <c r="AI70" s="227">
        <f t="shared" si="17"/>
        <v>3.2087218515445657</v>
      </c>
      <c r="AJ70" s="267" t="b">
        <f t="shared" si="18"/>
        <v>0</v>
      </c>
      <c r="AK70" s="267" t="b">
        <f t="shared" si="19"/>
        <v>0</v>
      </c>
      <c r="AL70" s="267"/>
      <c r="AM70" s="267"/>
      <c r="AN70" s="75"/>
    </row>
    <row r="71" spans="1:40" s="6" customFormat="1" ht="11.25" x14ac:dyDescent="0.2">
      <c r="A71" s="56">
        <f t="shared" si="20"/>
        <v>46444</v>
      </c>
      <c r="B71" s="413">
        <f>'2026'!Wh/'2026'!Env_an*'2027'!Env_an</f>
        <v>31.812663356478577</v>
      </c>
      <c r="C71" s="868"/>
      <c r="D71" s="395">
        <f t="shared" si="0"/>
        <v>34.217192457754003</v>
      </c>
      <c r="E71" s="387">
        <f t="shared" si="1"/>
        <v>37.10489398084669</v>
      </c>
      <c r="F71" s="387">
        <f t="shared" si="2"/>
        <v>37.238456464048681</v>
      </c>
      <c r="G71" s="110">
        <f t="shared" si="21"/>
        <v>1.0309193519733115</v>
      </c>
      <c r="H71" s="416" t="b">
        <f>Wh_hp&gt;='2026'!Maxi_hp</f>
        <v>1</v>
      </c>
      <c r="I71" s="392">
        <f>IF(H71,Wh_hp,'2026'!Maxi_hp)</f>
        <v>37.238456464048681</v>
      </c>
      <c r="J71" s="85">
        <f>IF(H71,An,'2026'!An_max)</f>
        <v>2027</v>
      </c>
      <c r="K71" s="199">
        <f t="shared" si="3"/>
        <v>46444</v>
      </c>
      <c r="L71" s="147">
        <f>IF(t&lt;Tvie,1-EXP((T0-t)*PertePVj)+'2026'!Pspv,1-EXP((T0-t)*PertePVj)+Pspv)</f>
        <v>7.0272542209421696E-2</v>
      </c>
      <c r="M71" s="872"/>
      <c r="N71" s="872"/>
      <c r="O71" s="48">
        <f>IF(t&lt;Tnet,'2026'!Resal+('2026'!Salim-'2026'!Resal)*(1-EXP(('2026'!Tnet-t)/('2026'!Tau_j))),Resal+(Salim-Resal)*(1-EXP((Tnet-t)/(Tau_j))))*Salcycl</f>
        <v>7.7825354374635919E-2</v>
      </c>
      <c r="P71" s="171">
        <f>(INDEX(Models!$BJ71:$BT71,,T71)*(1-R71)+INDEX(Models!$BJ71:$BT71,,T71+1)*R71-ERP_i)*Q71*Ramure*Pc/MaxiM</f>
        <v>3.5866815084277023E-3</v>
      </c>
      <c r="Q71" s="307">
        <f t="shared" si="4"/>
        <v>0.9</v>
      </c>
      <c r="R71" s="179">
        <f t="shared" si="5"/>
        <v>0.57344886159537811</v>
      </c>
      <c r="S71" s="839">
        <f t="shared" si="6"/>
        <v>-2</v>
      </c>
      <c r="T71" s="178">
        <f t="shared" si="7"/>
        <v>4</v>
      </c>
      <c r="U71" s="253">
        <f t="shared" si="8"/>
        <v>-1.4265511384046219</v>
      </c>
      <c r="V71" s="385">
        <f t="shared" si="9"/>
        <v>30.858537377909407</v>
      </c>
      <c r="W71" s="404">
        <f t="shared" si="10"/>
        <v>31.812663356478577</v>
      </c>
      <c r="X71" s="157">
        <f t="shared" si="11"/>
        <v>46444</v>
      </c>
      <c r="Y71" s="387">
        <f t="shared" si="12"/>
        <v>26.875392958419702</v>
      </c>
      <c r="Z71" s="387">
        <f t="shared" si="22"/>
        <v>28.906743296887122</v>
      </c>
      <c r="AA71" s="388">
        <f t="shared" si="13"/>
        <v>34.25670151130538</v>
      </c>
      <c r="AB71" s="199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0.15617260210101278</v>
      </c>
      <c r="AD71" s="233">
        <f>(INDEX(Models!$BJ71:$BT71,,AH71)*(1-AF71)+INDEX(Models!$BJ71:$BT71,,AH71+1)*AF71-ERP_i)*AE71*Ramure*Pc/MaxiM</f>
        <v>8.007192660152268E-2</v>
      </c>
      <c r="AE71" s="307">
        <f t="shared" si="15"/>
        <v>0.9</v>
      </c>
      <c r="AF71" s="179">
        <f t="shared" si="23"/>
        <v>0.20910451390235707</v>
      </c>
      <c r="AG71" s="839">
        <f t="shared" si="24"/>
        <v>3</v>
      </c>
      <c r="AH71" s="178">
        <f t="shared" si="16"/>
        <v>9</v>
      </c>
      <c r="AI71" s="227">
        <f t="shared" si="17"/>
        <v>3.2091045139023571</v>
      </c>
      <c r="AJ71" s="267" t="b">
        <f t="shared" si="18"/>
        <v>0</v>
      </c>
      <c r="AK71" s="267" t="b">
        <f t="shared" si="19"/>
        <v>0</v>
      </c>
      <c r="AL71" s="267"/>
      <c r="AM71" s="267"/>
      <c r="AN71" s="75"/>
    </row>
    <row r="72" spans="1:40" s="6" customFormat="1" ht="11.25" x14ac:dyDescent="0.2">
      <c r="A72" s="56">
        <f t="shared" si="20"/>
        <v>46445</v>
      </c>
      <c r="B72" s="413">
        <f>'2026'!Wh/'2026'!Env_an*'2027'!Env_an</f>
        <v>24.27051693147618</v>
      </c>
      <c r="C72" s="868"/>
      <c r="D72" s="395">
        <f t="shared" si="0"/>
        <v>26.105587773738169</v>
      </c>
      <c r="E72" s="387">
        <f t="shared" si="1"/>
        <v>28.313553013101043</v>
      </c>
      <c r="F72" s="387">
        <f t="shared" si="2"/>
        <v>28.3817871623725</v>
      </c>
      <c r="G72" s="110">
        <f t="shared" si="21"/>
        <v>0.77634334258729398</v>
      </c>
      <c r="H72" s="416" t="b">
        <f>Wh_hp&gt;='2026'!Maxi_hp</f>
        <v>0</v>
      </c>
      <c r="I72" s="392">
        <f>IF(H72,Wh_hp,'2026'!Maxi_hp)</f>
        <v>35.739850450809598</v>
      </c>
      <c r="J72" s="85">
        <f>IF(H72,An,'2026'!An_max)</f>
        <v>2019</v>
      </c>
      <c r="K72" s="199">
        <f t="shared" si="3"/>
        <v>46445</v>
      </c>
      <c r="L72" s="147">
        <f>IF(t&lt;Tvie,1-EXP((T0-t)*PertePVj)+'2026'!Pspv,1-EXP((T0-t)*PertePVj)+Pspv)</f>
        <v>7.0294178325608914E-2</v>
      </c>
      <c r="M72" s="872"/>
      <c r="N72" s="872"/>
      <c r="O72" s="48">
        <f>IF(t&lt;Tnet,'2026'!Resal+('2026'!Salim-'2026'!Resal)*(1-EXP(('2026'!Tnet-t)/('2026'!Tau_j))),Resal+(Salim-Resal)*(1-EXP((Tnet-t)/(Tau_j))))*Salcycl</f>
        <v>7.7982626848040568E-2</v>
      </c>
      <c r="P72" s="171">
        <f>(INDEX(Models!$BJ72:$BT72,,T72)*(1-R72)+INDEX(Models!$BJ72:$BT72,,T72+1)*R72-ERP_i)*Q72*Ramure*Pc/MaxiM</f>
        <v>3.5264967913611819E-3</v>
      </c>
      <c r="Q72" s="307">
        <f t="shared" si="4"/>
        <v>0.9</v>
      </c>
      <c r="R72" s="179">
        <f t="shared" si="5"/>
        <v>0.57384712742811228</v>
      </c>
      <c r="S72" s="839">
        <f t="shared" si="6"/>
        <v>-2</v>
      </c>
      <c r="T72" s="178">
        <f t="shared" si="7"/>
        <v>4</v>
      </c>
      <c r="U72" s="253">
        <f t="shared" si="8"/>
        <v>-1.4261528725718877</v>
      </c>
      <c r="V72" s="385">
        <f t="shared" si="9"/>
        <v>31.227435186019321</v>
      </c>
      <c r="W72" s="404">
        <f t="shared" si="10"/>
        <v>24.27051693147618</v>
      </c>
      <c r="X72" s="157">
        <f t="shared" si="11"/>
        <v>46445</v>
      </c>
      <c r="Y72" s="387">
        <f t="shared" si="12"/>
        <v>21.08089839346388</v>
      </c>
      <c r="Z72" s="387">
        <f t="shared" si="22"/>
        <v>22.674805193214116</v>
      </c>
      <c r="AA72" s="388">
        <f t="shared" si="13"/>
        <v>26.873700050283109</v>
      </c>
      <c r="AB72" s="199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0.1562455057998148</v>
      </c>
      <c r="AD72" s="233">
        <f>(INDEX(Models!$BJ72:$BT72,,AH72)*(1-AF72)+INDEX(Models!$BJ72:$BT72,,AH72+1)*AF72-ERP_i)*AE72*Ramure*Pc/MaxiM</f>
        <v>7.7941388859684574E-2</v>
      </c>
      <c r="AE72" s="307">
        <f t="shared" si="15"/>
        <v>0.9</v>
      </c>
      <c r="AF72" s="179">
        <f t="shared" si="23"/>
        <v>0.20950277973509124</v>
      </c>
      <c r="AG72" s="839">
        <f t="shared" si="24"/>
        <v>3</v>
      </c>
      <c r="AH72" s="178">
        <f t="shared" si="16"/>
        <v>9</v>
      </c>
      <c r="AI72" s="227">
        <f t="shared" si="17"/>
        <v>3.2095027797350912</v>
      </c>
      <c r="AJ72" s="267" t="b">
        <f t="shared" si="18"/>
        <v>0</v>
      </c>
      <c r="AK72" s="267" t="b">
        <f t="shared" si="19"/>
        <v>0</v>
      </c>
      <c r="AL72" s="267"/>
      <c r="AM72" s="267"/>
      <c r="AN72" s="75"/>
    </row>
    <row r="73" spans="1:40" s="6" customFormat="1" ht="11.25" x14ac:dyDescent="0.2">
      <c r="A73" s="56">
        <f t="shared" si="20"/>
        <v>46446</v>
      </c>
      <c r="B73" s="413">
        <f>'2026'!Wh/'2026'!Env_an*'2027'!Env_an</f>
        <v>28.880879853918401</v>
      </c>
      <c r="C73" s="868"/>
      <c r="D73" s="395">
        <f t="shared" si="0"/>
        <v>31.065258812524782</v>
      </c>
      <c r="E73" s="387">
        <f t="shared" si="1"/>
        <v>33.69844555250625</v>
      </c>
      <c r="F73" s="387">
        <f t="shared" si="2"/>
        <v>33.801530445578237</v>
      </c>
      <c r="G73" s="110">
        <f t="shared" si="21"/>
        <v>0.91361235292352971</v>
      </c>
      <c r="H73" s="416" t="b">
        <f>Wh_hp&gt;='2026'!Maxi_hp</f>
        <v>0</v>
      </c>
      <c r="I73" s="392">
        <f>IF(H73,Wh_hp,'2026'!Maxi_hp)</f>
        <v>33.81015529079145</v>
      </c>
      <c r="J73" s="85">
        <f>IF(H73,An,'2026'!An_max)</f>
        <v>2026</v>
      </c>
      <c r="K73" s="199">
        <f t="shared" si="3"/>
        <v>46446</v>
      </c>
      <c r="L73" s="147">
        <f>IF(t&lt;Tvie,1-EXP((T0-t)*PertePVj)+'2026'!Pspv,1-EXP((T0-t)*PertePVj)+Pspv)</f>
        <v>7.0315813938292115E-2</v>
      </c>
      <c r="M73" s="872"/>
      <c r="N73" s="872"/>
      <c r="O73" s="48">
        <f>IF(t&lt;Tnet,'2026'!Resal+('2026'!Salim-'2026'!Resal)*(1-EXP(('2026'!Tnet-t)/('2026'!Tau_j))),Resal+(Salim-Resal)*(1-EXP((Tnet-t)/(Tau_j))))*Salcycl</f>
        <v>7.8139709319192313E-2</v>
      </c>
      <c r="P73" s="171">
        <f>(INDEX(Models!$BJ73:$BT73,,T73)*(1-R73)+INDEX(Models!$BJ73:$BT73,,T73+1)*R73-ERP_i)*Q73*Ramure*Pc/MaxiM</f>
        <v>3.4768466379278889E-3</v>
      </c>
      <c r="Q73" s="307">
        <f t="shared" si="4"/>
        <v>0.9</v>
      </c>
      <c r="R73" s="179">
        <f t="shared" si="5"/>
        <v>0.57426161362973493</v>
      </c>
      <c r="S73" s="839">
        <f t="shared" si="6"/>
        <v>-2</v>
      </c>
      <c r="T73" s="178">
        <f t="shared" si="7"/>
        <v>4</v>
      </c>
      <c r="U73" s="253">
        <f t="shared" si="8"/>
        <v>-1.4257383863702651</v>
      </c>
      <c r="V73" s="385">
        <f t="shared" si="9"/>
        <v>31.59820022874446</v>
      </c>
      <c r="W73" s="404">
        <f t="shared" si="10"/>
        <v>28.880879853918401</v>
      </c>
      <c r="X73" s="157">
        <f t="shared" si="11"/>
        <v>46446</v>
      </c>
      <c r="Y73" s="387">
        <f t="shared" si="12"/>
        <v>24.748728642987622</v>
      </c>
      <c r="Z73" s="387">
        <f t="shared" si="22"/>
        <v>26.620576120399797</v>
      </c>
      <c r="AA73" s="388">
        <f t="shared" si="13"/>
        <v>31.552866033323586</v>
      </c>
      <c r="AB73" s="199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0.156318285245933</v>
      </c>
      <c r="AD73" s="233">
        <f>(INDEX(Models!$BJ73:$BT73,,AH73)*(1-AF73)+INDEX(Models!$BJ73:$BT73,,AH73+1)*AF73-ERP_i)*AE73*Ramure*Pc/MaxiM</f>
        <v>7.5842939431639847E-2</v>
      </c>
      <c r="AE73" s="307">
        <f t="shared" si="15"/>
        <v>0.9</v>
      </c>
      <c r="AF73" s="179">
        <f t="shared" si="23"/>
        <v>0.20991726593671389</v>
      </c>
      <c r="AG73" s="839">
        <f t="shared" si="24"/>
        <v>3</v>
      </c>
      <c r="AH73" s="178">
        <f t="shared" si="16"/>
        <v>9</v>
      </c>
      <c r="AI73" s="227">
        <f t="shared" si="17"/>
        <v>3.2099172659367139</v>
      </c>
      <c r="AJ73" s="267" t="b">
        <f t="shared" si="18"/>
        <v>0</v>
      </c>
      <c r="AK73" s="267" t="b">
        <f t="shared" si="19"/>
        <v>0</v>
      </c>
      <c r="AL73" s="267"/>
      <c r="AM73" s="267"/>
      <c r="AN73" s="75"/>
    </row>
    <row r="74" spans="1:40" s="6" customFormat="1" ht="11.25" x14ac:dyDescent="0.2">
      <c r="A74" s="56">
        <f t="shared" si="20"/>
        <v>46447</v>
      </c>
      <c r="B74" s="413">
        <f>'2026'!Wh/'2026'!Env_an*'2027'!Env_an</f>
        <v>31.730959959236888</v>
      </c>
      <c r="C74" s="868"/>
      <c r="D74" s="395">
        <f t="shared" si="0"/>
        <v>34.131696416862084</v>
      </c>
      <c r="E74" s="387">
        <f t="shared" si="1"/>
        <v>37.031106533843271</v>
      </c>
      <c r="F74" s="387">
        <f t="shared" si="2"/>
        <v>37.15746587863287</v>
      </c>
      <c r="G74" s="110">
        <f t="shared" si="21"/>
        <v>0.99247247809471739</v>
      </c>
      <c r="H74" s="416" t="b">
        <f>Wh_hp&gt;='2026'!Maxi_hp</f>
        <v>0</v>
      </c>
      <c r="I74" s="392">
        <f>IF(H74,Wh_hp,'2026'!Maxi_hp)</f>
        <v>37.158272038127791</v>
      </c>
      <c r="J74" s="85">
        <f>IF(H74,An,'2026'!An_max)</f>
        <v>2026</v>
      </c>
      <c r="K74" s="199">
        <f t="shared" si="3"/>
        <v>46447</v>
      </c>
      <c r="L74" s="147">
        <f>IF(t&lt;Tvie,1-EXP((T0-t)*PertePVj)+'2026'!Pspv,1-EXP((T0-t)*PertePVj)+Pspv)</f>
        <v>7.0337449047482958E-2</v>
      </c>
      <c r="M74" s="872"/>
      <c r="N74" s="872"/>
      <c r="O74" s="48">
        <f>IF(t&lt;Tnet,'2026'!Resal+('2026'!Salim-'2026'!Resal)*(1-EXP(('2026'!Tnet-t)/('2026'!Tau_j))),Resal+(Salim-Resal)*(1-EXP((Tnet-t)/(Tau_j))))*Salcycl</f>
        <v>7.8296610292521843E-2</v>
      </c>
      <c r="P74" s="171">
        <f>(INDEX(Models!$BJ74:$BT74,,T74)*(1-R74)+INDEX(Models!$BJ74:$BT74,,T74+1)*R74-ERP_i)*Q74*Ramure*Pc/MaxiM</f>
        <v>3.4374297034427742E-3</v>
      </c>
      <c r="Q74" s="307">
        <f t="shared" si="4"/>
        <v>0.9</v>
      </c>
      <c r="R74" s="179">
        <f t="shared" si="5"/>
        <v>0.57469295985281721</v>
      </c>
      <c r="S74" s="839">
        <f t="shared" si="6"/>
        <v>-2</v>
      </c>
      <c r="T74" s="178">
        <f t="shared" si="7"/>
        <v>4</v>
      </c>
      <c r="U74" s="253">
        <f t="shared" si="8"/>
        <v>-1.4253070401471828</v>
      </c>
      <c r="V74" s="385">
        <f t="shared" si="9"/>
        <v>31.970446997618431</v>
      </c>
      <c r="W74" s="404">
        <f t="shared" si="10"/>
        <v>31.730959959236888</v>
      </c>
      <c r="X74" s="157">
        <f t="shared" si="11"/>
        <v>46447</v>
      </c>
      <c r="Y74" s="387">
        <f t="shared" si="12"/>
        <v>27.014587277963784</v>
      </c>
      <c r="Z74" s="387">
        <f t="shared" si="22"/>
        <v>29.058487136310998</v>
      </c>
      <c r="AA74" s="388">
        <f t="shared" si="13"/>
        <v>34.445442934289794</v>
      </c>
      <c r="AB74" s="199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0.15639095738310807</v>
      </c>
      <c r="AD74" s="233">
        <f>(INDEX(Models!$BJ74:$BT74,,AH74)*(1-AF74)+INDEX(Models!$BJ74:$BT74,,AH74+1)*AF74-ERP_i)*AE74*Ramure*Pc/MaxiM</f>
        <v>7.377680092300154E-2</v>
      </c>
      <c r="AE74" s="307">
        <f t="shared" si="15"/>
        <v>0.9</v>
      </c>
      <c r="AF74" s="179">
        <f t="shared" si="23"/>
        <v>0.21034861215979639</v>
      </c>
      <c r="AG74" s="839">
        <f t="shared" si="24"/>
        <v>3</v>
      </c>
      <c r="AH74" s="178">
        <f t="shared" si="16"/>
        <v>9</v>
      </c>
      <c r="AI74" s="227">
        <f t="shared" si="17"/>
        <v>3.2103486121597964</v>
      </c>
      <c r="AJ74" s="267" t="b">
        <f t="shared" si="18"/>
        <v>0</v>
      </c>
      <c r="AK74" s="267" t="b">
        <f t="shared" si="19"/>
        <v>0</v>
      </c>
      <c r="AL74" s="267"/>
      <c r="AM74" s="267"/>
      <c r="AN74" s="75"/>
    </row>
    <row r="75" spans="1:40" s="6" customFormat="1" ht="11.25" x14ac:dyDescent="0.2">
      <c r="A75" s="56">
        <f t="shared" si="20"/>
        <v>46448</v>
      </c>
      <c r="B75" s="413">
        <f>'2026'!Wh/'2026'!Env_an*'2027'!Env_an</f>
        <v>14.720990795360848</v>
      </c>
      <c r="C75" s="868"/>
      <c r="D75" s="395">
        <f t="shared" si="0"/>
        <v>15.835136488193376</v>
      </c>
      <c r="E75" s="387">
        <f t="shared" si="1"/>
        <v>17.183217284563181</v>
      </c>
      <c r="F75" s="387">
        <f t="shared" si="2"/>
        <v>17.196205679065887</v>
      </c>
      <c r="G75" s="110">
        <f t="shared" si="21"/>
        <v>0.45393293725439726</v>
      </c>
      <c r="H75" s="416" t="b">
        <f>Wh_hp&gt;='2026'!Maxi_hp</f>
        <v>0</v>
      </c>
      <c r="I75" s="392">
        <f>IF(H75,Wh_hp,'2026'!Maxi_hp)</f>
        <v>26.224711056387971</v>
      </c>
      <c r="J75" s="85">
        <f>IF(H75,An,'2026'!An_max)</f>
        <v>2020</v>
      </c>
      <c r="K75" s="199">
        <f t="shared" si="3"/>
        <v>46448</v>
      </c>
      <c r="L75" s="147">
        <f>IF(t&lt;Tvie,1-EXP((T0-t)*PertePVj)+'2026'!Pspv,1-EXP((T0-t)*PertePVj)+Pspv)</f>
        <v>7.03590836531931E-2</v>
      </c>
      <c r="M75" s="872"/>
      <c r="N75" s="872"/>
      <c r="O75" s="48">
        <f>IF(t&lt;Tnet,'2026'!Resal+('2026'!Salim-'2026'!Resal)*(1-EXP(('2026'!Tnet-t)/('2026'!Tau_j))),Resal+(Salim-Resal)*(1-EXP((Tnet-t)/(Tau_j))))*Salcycl</f>
        <v>7.8453340491764362E-2</v>
      </c>
      <c r="P75" s="171">
        <f>(INDEX(Models!$BJ75:$BT75,,T75)*(1-R75)+INDEX(Models!$BJ75:$BT75,,T75+1)*R75-ERP_i)*Q75*Ramure*Pc/MaxiM</f>
        <v>3.4079545272745065E-3</v>
      </c>
      <c r="Q75" s="307">
        <f t="shared" si="4"/>
        <v>0.9</v>
      </c>
      <c r="R75" s="179">
        <f t="shared" si="5"/>
        <v>0.57514182920978341</v>
      </c>
      <c r="S75" s="839">
        <f t="shared" si="6"/>
        <v>-2</v>
      </c>
      <c r="T75" s="178">
        <f t="shared" si="7"/>
        <v>4</v>
      </c>
      <c r="U75" s="253">
        <f t="shared" si="8"/>
        <v>-1.4248581707902166</v>
      </c>
      <c r="V75" s="385">
        <f t="shared" si="9"/>
        <v>32.343790143309583</v>
      </c>
      <c r="W75" s="404">
        <f t="shared" si="10"/>
        <v>14.720990795360848</v>
      </c>
      <c r="X75" s="157">
        <f t="shared" si="11"/>
        <v>46448</v>
      </c>
      <c r="Y75" s="387">
        <f t="shared" si="12"/>
        <v>13.270606044741626</v>
      </c>
      <c r="Z75" s="387">
        <f t="shared" si="22"/>
        <v>14.274980598843355</v>
      </c>
      <c r="AA75" s="388">
        <f t="shared" si="13"/>
        <v>16.922778486283956</v>
      </c>
      <c r="AB75" s="199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0.15646354347701605</v>
      </c>
      <c r="AD75" s="233">
        <f>(INDEX(Models!$BJ75:$BT75,,AH75)*(1-AF75)+INDEX(Models!$BJ75:$BT75,,AH75+1)*AF75-ERP_i)*AE75*Ramure*Pc/MaxiM</f>
        <v>7.1743081050322927E-2</v>
      </c>
      <c r="AE75" s="307">
        <f t="shared" si="15"/>
        <v>0.9</v>
      </c>
      <c r="AF75" s="179">
        <f t="shared" si="23"/>
        <v>0.21079748151676236</v>
      </c>
      <c r="AG75" s="839">
        <f t="shared" si="24"/>
        <v>3</v>
      </c>
      <c r="AH75" s="178">
        <f t="shared" si="16"/>
        <v>9</v>
      </c>
      <c r="AI75" s="227">
        <f t="shared" si="17"/>
        <v>3.2107974815167624</v>
      </c>
      <c r="AJ75" s="267" t="b">
        <f t="shared" si="18"/>
        <v>0</v>
      </c>
      <c r="AK75" s="267" t="b">
        <f t="shared" si="19"/>
        <v>0</v>
      </c>
      <c r="AL75" s="267"/>
      <c r="AM75" s="267"/>
      <c r="AN75" s="75"/>
    </row>
    <row r="76" spans="1:40" s="6" customFormat="1" ht="11.25" x14ac:dyDescent="0.2">
      <c r="A76" s="56">
        <f t="shared" si="20"/>
        <v>46449</v>
      </c>
      <c r="B76" s="413">
        <f>'2026'!Wh/'2026'!Env_an*'2027'!Env_an</f>
        <v>30.409091547954606</v>
      </c>
      <c r="C76" s="868"/>
      <c r="D76" s="395">
        <f t="shared" si="0"/>
        <v>32.7113390704761</v>
      </c>
      <c r="E76" s="387">
        <f t="shared" si="1"/>
        <v>35.50216084208013</v>
      </c>
      <c r="F76" s="387">
        <f t="shared" si="2"/>
        <v>35.610651859476171</v>
      </c>
      <c r="G76" s="110">
        <f t="shared" si="21"/>
        <v>0.92911602341691613</v>
      </c>
      <c r="H76" s="416" t="b">
        <f>Wh_hp&gt;='2026'!Maxi_hp</f>
        <v>0</v>
      </c>
      <c r="I76" s="392">
        <f>IF(H76,Wh_hp,'2026'!Maxi_hp)</f>
        <v>35.617680876451402</v>
      </c>
      <c r="J76" s="85">
        <f>IF(H76,An,'2026'!An_max)</f>
        <v>2026</v>
      </c>
      <c r="K76" s="199">
        <f t="shared" si="3"/>
        <v>46449</v>
      </c>
      <c r="L76" s="147">
        <f>IF(t&lt;Tvie,1-EXP((T0-t)*PertePVj)+'2026'!Pspv,1-EXP((T0-t)*PertePVj)+Pspv)</f>
        <v>7.038071775543453E-2</v>
      </c>
      <c r="M76" s="872"/>
      <c r="N76" s="872"/>
      <c r="O76" s="48">
        <f>IF(t&lt;Tnet,'2026'!Resal+('2026'!Salim-'2026'!Resal)*(1-EXP(('2026'!Tnet-t)/('2026'!Tau_j))),Resal+(Salim-Resal)*(1-EXP((Tnet-t)/(Tau_j))))*Salcycl</f>
        <v>7.8609912901304729E-2</v>
      </c>
      <c r="P76" s="171">
        <f>(INDEX(Models!$BJ76:$BT76,,T76)*(1-R76)+INDEX(Models!$BJ76:$BT76,,T76+1)*R76-ERP_i)*Q76*Ramure*Pc/MaxiM</f>
        <v>3.3881403650803518E-3</v>
      </c>
      <c r="Q76" s="307">
        <f t="shared" si="4"/>
        <v>0.9</v>
      </c>
      <c r="R76" s="179">
        <f t="shared" si="5"/>
        <v>0.57560890898358452</v>
      </c>
      <c r="S76" s="839">
        <f t="shared" si="6"/>
        <v>-2</v>
      </c>
      <c r="T76" s="178">
        <f t="shared" si="7"/>
        <v>4</v>
      </c>
      <c r="U76" s="253">
        <f t="shared" si="8"/>
        <v>-1.4243910910164155</v>
      </c>
      <c r="V76" s="385">
        <f t="shared" si="9"/>
        <v>32.717844459958023</v>
      </c>
      <c r="W76" s="404">
        <f t="shared" si="10"/>
        <v>30.409091547954606</v>
      </c>
      <c r="X76" s="157">
        <f t="shared" si="11"/>
        <v>46449</v>
      </c>
      <c r="Y76" s="387">
        <f t="shared" si="12"/>
        <v>26.171279954043523</v>
      </c>
      <c r="Z76" s="387">
        <f t="shared" si="22"/>
        <v>28.15268621671979</v>
      </c>
      <c r="AA76" s="388">
        <f t="shared" si="13"/>
        <v>33.377463087072321</v>
      </c>
      <c r="AB76" s="199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0.15653606916507026</v>
      </c>
      <c r="AD76" s="233">
        <f>(INDEX(Models!$BJ76:$BT76,,AH76)*(1-AF76)+INDEX(Models!$BJ76:$BT76,,AH76+1)*AF76-ERP_i)*AE76*Ramure*Pc/MaxiM</f>
        <v>6.9741783275981947E-2</v>
      </c>
      <c r="AE76" s="307">
        <f t="shared" si="15"/>
        <v>0.9</v>
      </c>
      <c r="AF76" s="179">
        <f t="shared" si="23"/>
        <v>0.21126456129056326</v>
      </c>
      <c r="AG76" s="839">
        <f t="shared" si="24"/>
        <v>3</v>
      </c>
      <c r="AH76" s="178">
        <f t="shared" si="16"/>
        <v>9</v>
      </c>
      <c r="AI76" s="227">
        <f t="shared" si="17"/>
        <v>3.2112645612905633</v>
      </c>
      <c r="AJ76" s="267" t="b">
        <f t="shared" si="18"/>
        <v>0</v>
      </c>
      <c r="AK76" s="267" t="b">
        <f t="shared" si="19"/>
        <v>0</v>
      </c>
      <c r="AL76" s="267"/>
      <c r="AM76" s="267"/>
      <c r="AN76" s="75"/>
    </row>
    <row r="77" spans="1:40" s="6" customFormat="1" ht="11.25" x14ac:dyDescent="0.2">
      <c r="A77" s="56">
        <f t="shared" si="20"/>
        <v>46450</v>
      </c>
      <c r="B77" s="413">
        <f>'2026'!Wh/'2026'!Env_an*'2027'!Env_an</f>
        <v>5.7768012432007252</v>
      </c>
      <c r="C77" s="868"/>
      <c r="D77" s="395">
        <f t="shared" si="0"/>
        <v>6.2143027702536147</v>
      </c>
      <c r="E77" s="387">
        <f t="shared" si="1"/>
        <v>6.745631492765261</v>
      </c>
      <c r="F77" s="387">
        <f t="shared" si="2"/>
        <v>6.745631492765261</v>
      </c>
      <c r="G77" s="110">
        <f t="shared" si="21"/>
        <v>0.17397708552702398</v>
      </c>
      <c r="H77" s="416" t="b">
        <f>Wh_hp&gt;='2026'!Maxi_hp</f>
        <v>0</v>
      </c>
      <c r="I77" s="392">
        <f>IF(H77,Wh_hp,'2026'!Maxi_hp)</f>
        <v>29.708311263077956</v>
      </c>
      <c r="J77" s="85">
        <f>IF(H77,An,'2026'!An_max)</f>
        <v>2021</v>
      </c>
      <c r="K77" s="199">
        <f t="shared" si="3"/>
        <v>46450</v>
      </c>
      <c r="L77" s="147">
        <f>IF(t&lt;Tvie,1-EXP((T0-t)*PertePVj)+'2026'!Pspv,1-EXP((T0-t)*PertePVj)+Pspv)</f>
        <v>7.0402351354218684E-2</v>
      </c>
      <c r="M77" s="872"/>
      <c r="N77" s="872"/>
      <c r="O77" s="48">
        <f>IF(t&lt;Tnet,'2026'!Resal+('2026'!Salim-'2026'!Resal)*(1-EXP(('2026'!Tnet-t)/('2026'!Tau_j))),Resal+(Salim-Resal)*(1-EXP((Tnet-t)/(Tau_j))))*Salcycl</f>
        <v>7.8766342792591121E-2</v>
      </c>
      <c r="P77" s="171">
        <f>(INDEX(Models!$BJ77:$BT77,,T77)*(1-R77)+INDEX(Models!$BJ77:$BT77,,T77+1)*R77-ERP_i)*Q77*Ramure*Pc/MaxiM</f>
        <v>3.3777178949539054E-3</v>
      </c>
      <c r="Q77" s="307">
        <f t="shared" si="4"/>
        <v>0.9</v>
      </c>
      <c r="R77" s="179">
        <f t="shared" si="5"/>
        <v>0.57609491134672197</v>
      </c>
      <c r="S77" s="839">
        <f t="shared" si="6"/>
        <v>-2</v>
      </c>
      <c r="T77" s="178">
        <f t="shared" si="7"/>
        <v>4</v>
      </c>
      <c r="U77" s="253">
        <f t="shared" si="8"/>
        <v>-1.423905088653278</v>
      </c>
      <c r="V77" s="385">
        <f t="shared" si="9"/>
        <v>33.09222488022246</v>
      </c>
      <c r="W77" s="404">
        <f t="shared" si="10"/>
        <v>5.7768012432007252</v>
      </c>
      <c r="X77" s="157">
        <f t="shared" si="11"/>
        <v>46450</v>
      </c>
      <c r="Y77" s="387">
        <f t="shared" si="12"/>
        <v>5.2886742197494252</v>
      </c>
      <c r="Z77" s="387">
        <f t="shared" si="22"/>
        <v>5.6892078281973459</v>
      </c>
      <c r="AA77" s="388">
        <f t="shared" si="13"/>
        <v>6.745631492765261</v>
      </c>
      <c r="AB77" s="199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0.15660856447627436</v>
      </c>
      <c r="AD77" s="233">
        <f>(INDEX(Models!$BJ77:$BT77,,AH77)*(1-AF77)+INDEX(Models!$BJ77:$BT77,,AH77+1)*AF77-ERP_i)*AE77*Ramure*Pc/MaxiM</f>
        <v>6.7772816789432616E-2</v>
      </c>
      <c r="AE77" s="307">
        <f t="shared" si="15"/>
        <v>0.9</v>
      </c>
      <c r="AF77" s="179">
        <f t="shared" si="23"/>
        <v>0.21175056365370093</v>
      </c>
      <c r="AG77" s="839">
        <f t="shared" si="24"/>
        <v>3</v>
      </c>
      <c r="AH77" s="178">
        <f t="shared" si="16"/>
        <v>9</v>
      </c>
      <c r="AI77" s="227">
        <f t="shared" si="17"/>
        <v>3.2117505636537009</v>
      </c>
      <c r="AJ77" s="267" t="b">
        <f t="shared" si="18"/>
        <v>0</v>
      </c>
      <c r="AK77" s="267" t="b">
        <f t="shared" si="19"/>
        <v>0</v>
      </c>
      <c r="AL77" s="267"/>
      <c r="AM77" s="267"/>
      <c r="AN77" s="75"/>
    </row>
    <row r="78" spans="1:40" s="6" customFormat="1" ht="11.25" x14ac:dyDescent="0.2">
      <c r="A78" s="56">
        <f t="shared" si="20"/>
        <v>46451</v>
      </c>
      <c r="B78" s="413">
        <f>'2026'!Wh/'2026'!Env_an*'2027'!Env_an</f>
        <v>12.940234916834234</v>
      </c>
      <c r="C78" s="868"/>
      <c r="D78" s="395">
        <f t="shared" si="0"/>
        <v>13.920577446452032</v>
      </c>
      <c r="E78" s="387">
        <f t="shared" si="1"/>
        <v>15.113364162336802</v>
      </c>
      <c r="F78" s="387">
        <f t="shared" si="2"/>
        <v>15.119684351680267</v>
      </c>
      <c r="G78" s="110">
        <f t="shared" si="21"/>
        <v>0.385517408606395</v>
      </c>
      <c r="H78" s="416" t="b">
        <f>Wh_hp&gt;='2026'!Maxi_hp</f>
        <v>0</v>
      </c>
      <c r="I78" s="392">
        <f>IF(H78,Wh_hp,'2026'!Maxi_hp)</f>
        <v>38.591105820273576</v>
      </c>
      <c r="J78" s="85">
        <f>IF(H78,An,'2026'!An_max)</f>
        <v>2019</v>
      </c>
      <c r="K78" s="199">
        <f t="shared" si="3"/>
        <v>46451</v>
      </c>
      <c r="L78" s="147">
        <f>IF(t&lt;Tvie,1-EXP((T0-t)*PertePVj)+'2026'!Pspv,1-EXP((T0-t)*PertePVj)+Pspv)</f>
        <v>7.0423984449557442E-2</v>
      </c>
      <c r="M78" s="872"/>
      <c r="N78" s="872"/>
      <c r="O78" s="48">
        <f>IF(t&lt;Tnet,'2026'!Resal+('2026'!Salim-'2026'!Resal)*(1-EXP(('2026'!Tnet-t)/('2026'!Tau_j))),Resal+(Salim-Resal)*(1-EXP((Tnet-t)/(Tau_j))))*Salcycl</f>
        <v>7.8922647735654439E-2</v>
      </c>
      <c r="P78" s="171">
        <f>(INDEX(Models!$BJ78:$BT78,,T78)*(1-R78)+INDEX(Models!$BJ78:$BT78,,T78+1)*R78-ERP_i)*Q78*Ramure*Pc/MaxiM</f>
        <v>3.3764298129843515E-3</v>
      </c>
      <c r="Q78" s="307">
        <f t="shared" si="4"/>
        <v>0.9</v>
      </c>
      <c r="R78" s="179">
        <f t="shared" si="5"/>
        <v>0.57660057408737586</v>
      </c>
      <c r="S78" s="839">
        <f t="shared" si="6"/>
        <v>-2</v>
      </c>
      <c r="T78" s="178">
        <f t="shared" si="7"/>
        <v>4</v>
      </c>
      <c r="U78" s="253">
        <f t="shared" si="8"/>
        <v>-1.4233994259126241</v>
      </c>
      <c r="V78" s="385">
        <f t="shared" si="9"/>
        <v>33.466546466736425</v>
      </c>
      <c r="W78" s="404">
        <f t="shared" si="10"/>
        <v>12.940234916834234</v>
      </c>
      <c r="X78" s="157">
        <f t="shared" si="11"/>
        <v>46451</v>
      </c>
      <c r="Y78" s="387">
        <f t="shared" si="12"/>
        <v>11.756151998102503</v>
      </c>
      <c r="Z78" s="387">
        <f t="shared" si="22"/>
        <v>12.646789290428467</v>
      </c>
      <c r="AA78" s="388">
        <f t="shared" si="13"/>
        <v>14.996448849752735</v>
      </c>
      <c r="AB78" s="199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0.15668106382151994</v>
      </c>
      <c r="AD78" s="233">
        <f>(INDEX(Models!$BJ78:$BT78,,AH78)*(1-AF78)+INDEX(Models!$BJ78:$BT78,,AH78+1)*AF78-ERP_i)*AE78*Ramure*Pc/MaxiM</f>
        <v>6.58360058716322E-2</v>
      </c>
      <c r="AE78" s="307">
        <f t="shared" si="15"/>
        <v>0.9</v>
      </c>
      <c r="AF78" s="179">
        <f t="shared" si="23"/>
        <v>0.21225622639435482</v>
      </c>
      <c r="AG78" s="839">
        <f t="shared" si="24"/>
        <v>3</v>
      </c>
      <c r="AH78" s="178">
        <f t="shared" si="16"/>
        <v>9</v>
      </c>
      <c r="AI78" s="227">
        <f t="shared" si="17"/>
        <v>3.2122562263943548</v>
      </c>
      <c r="AJ78" s="267" t="b">
        <f t="shared" si="18"/>
        <v>0</v>
      </c>
      <c r="AK78" s="267" t="b">
        <f t="shared" si="19"/>
        <v>0</v>
      </c>
      <c r="AL78" s="267"/>
      <c r="AM78" s="267"/>
      <c r="AN78" s="75"/>
    </row>
    <row r="79" spans="1:40" s="6" customFormat="1" ht="11.25" x14ac:dyDescent="0.2">
      <c r="A79" s="56">
        <f t="shared" si="20"/>
        <v>46452</v>
      </c>
      <c r="B79" s="413">
        <f>'2026'!Wh/'2026'!Env_an*'2027'!Env_an</f>
        <v>18.97180804756935</v>
      </c>
      <c r="C79" s="868"/>
      <c r="D79" s="395">
        <f t="shared" ref="D79:D142" si="25">Wh/(1-Ppv)</f>
        <v>20.409573011948869</v>
      </c>
      <c r="E79" s="387">
        <f t="shared" si="1"/>
        <v>22.162128602073338</v>
      </c>
      <c r="F79" s="387">
        <f t="shared" ref="F79:F142" si="26">Wh_sa/(1-Pvg*MEDIAN((-Sdif+Wh/Env_an)/Csdif,0,1))</f>
        <v>22.190081268893021</v>
      </c>
      <c r="G79" s="110">
        <f t="shared" si="21"/>
        <v>0.55939681931121443</v>
      </c>
      <c r="H79" s="416" t="b">
        <f>Wh_hp&gt;='2026'!Maxi_hp</f>
        <v>0</v>
      </c>
      <c r="I79" s="392">
        <f>IF(H79,Wh_hp,'2026'!Maxi_hp)</f>
        <v>24.167812123505598</v>
      </c>
      <c r="J79" s="85">
        <f>IF(H79,An,'2026'!An_max)</f>
        <v>2019</v>
      </c>
      <c r="K79" s="199">
        <f t="shared" ref="K79:K142" si="27">t</f>
        <v>46452</v>
      </c>
      <c r="L79" s="147">
        <f>IF(t&lt;Tvie,1-EXP((T0-t)*PertePVj)+'2026'!Pspv,1-EXP((T0-t)*PertePVj)+Pspv)</f>
        <v>7.0445617041462461E-2</v>
      </c>
      <c r="M79" s="872"/>
      <c r="N79" s="872"/>
      <c r="O79" s="48">
        <f>IF(t&lt;Tnet,'2026'!Resal+('2026'!Salim-'2026'!Resal)*(1-EXP(('2026'!Tnet-t)/('2026'!Tau_j))),Resal+(Salim-Resal)*(1-EXP((Tnet-t)/(Tau_j))))*Salcycl</f>
        <v>7.9078847595916948E-2</v>
      </c>
      <c r="P79" s="171">
        <f>(INDEX(Models!$BJ79:$BT79,,T79)*(1-R79)+INDEX(Models!$BJ79:$BT79,,T79+1)*R79-ERP_i)*Q79*Ramure*Pc/MaxiM</f>
        <v>3.3838116664324271E-3</v>
      </c>
      <c r="Q79" s="307">
        <f t="shared" ref="Q79:Q142" si="28">IF(OR(t&lt;Ttai,Notai),Dd+PousD*Croivg,Dens+PousD*(Croivg-Croi_tai))</f>
        <v>0.9</v>
      </c>
      <c r="R79" s="179">
        <f t="shared" ref="R79:R142" si="29">(Hp_vg-S79)/(INDEX(Echel_vg,T79+1)-S79)</f>
        <v>0.57712666134123336</v>
      </c>
      <c r="S79" s="839">
        <f t="shared" ref="S79:S142" si="30">INDEX(Echel_vg,T79)</f>
        <v>-2</v>
      </c>
      <c r="T79" s="178">
        <f t="shared" ref="T79:T142" si="31">MIN(MATCH(Hp_vg,Echel_vg),10)</f>
        <v>4</v>
      </c>
      <c r="U79" s="253">
        <f t="shared" ref="U79:U142" si="32">IF(OR(t&lt;Ttai,Notai),Hdd+PousH*Croivg,Hdtf+PousH*(Croivg-Croi_tai))</f>
        <v>-1.4228733386587666</v>
      </c>
      <c r="V79" s="385">
        <f t="shared" ref="V79:V142" si="33">MaxiM*(1-Ppv)*(1-Pvg)*(1-Psa)</f>
        <v>33.842628658181077</v>
      </c>
      <c r="W79" s="404">
        <f t="shared" ref="W79:W142" si="34">Wh*(A79&gt;Tmaj)</f>
        <v>18.97180804756935</v>
      </c>
      <c r="X79" s="157">
        <f t="shared" ref="X79:X142" si="35">t</f>
        <v>46452</v>
      </c>
      <c r="Y79" s="387">
        <f t="shared" ref="Y79:Y142" si="36">Wh_pvt_s*(1-Ppv)</f>
        <v>16.979615065844893</v>
      </c>
      <c r="Z79" s="387">
        <f t="shared" ref="Z79:Z142" si="37">Wh_sa_s*(1-Psa_s)</f>
        <v>18.266403103606539</v>
      </c>
      <c r="AA79" s="388">
        <f t="shared" ref="AA79:AA142" si="38">Wh_hp*(1-Pvg_s*MEDIAN((-Sdif+Wh/Env_an)/Csdif,0,1))</f>
        <v>21.661999662973788</v>
      </c>
      <c r="AB79" s="199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0.15675360595500518</v>
      </c>
      <c r="AD79" s="233">
        <f>(INDEX(Models!$BJ79:$BT79,,AH79)*(1-AF79)+INDEX(Models!$BJ79:$BT79,,AH79+1)*AF79-ERP_i)*AE79*Ramure*Pc/MaxiM</f>
        <v>6.3926948740348835E-2</v>
      </c>
      <c r="AE79" s="307">
        <f t="shared" ref="AE79:AE142" si="40">IF(OR(t&lt;Ttai,Notai),Dd_s+PousD*Croivg,Dens_s+PousD*(Croivg-Croi_tai))</f>
        <v>0.9</v>
      </c>
      <c r="AF79" s="179">
        <f t="shared" ref="AF79:AF142" si="41">(Hp_vg_s-AG79)/(INDEX(Echel_vg,AH79+1)-AG79)</f>
        <v>0.2127823136482121</v>
      </c>
      <c r="AG79" s="839">
        <f t="shared" si="24"/>
        <v>3</v>
      </c>
      <c r="AH79" s="178">
        <f t="shared" ref="AH79:AH142" si="42">MIN(MATCH(Hp_vg_s,Echel_vg),10)</f>
        <v>9</v>
      </c>
      <c r="AI79" s="227">
        <f t="shared" ref="AI79:AI142" si="43">IF(OR(t&lt;Ttai,Notai),Hdd_s+PousH*Croivg,Hdtai_s+PousH*(Croivg-Croi_tai))</f>
        <v>3.2127823136482121</v>
      </c>
      <c r="AJ79" s="267" t="b">
        <f t="shared" ref="AJ79:AJ142" si="44">t&lt;Tnet</f>
        <v>0</v>
      </c>
      <c r="AK79" s="267" t="b">
        <f t="shared" ref="AK79:AK142" si="45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6">A79+1</f>
        <v>46453</v>
      </c>
      <c r="B80" s="413">
        <f>'2026'!Wh/'2026'!Env_an*'2027'!Env_an</f>
        <v>32.333015334493062</v>
      </c>
      <c r="C80" s="868"/>
      <c r="D80" s="395">
        <f t="shared" si="25"/>
        <v>34.784159357729941</v>
      </c>
      <c r="E80" s="387">
        <f t="shared" ref="E80:E143" si="47">Wh_pvt/(1-Psa)</f>
        <v>37.77745463528457</v>
      </c>
      <c r="F80" s="387">
        <f t="shared" si="26"/>
        <v>37.896062433095317</v>
      </c>
      <c r="G80" s="110">
        <f t="shared" ref="G80:G143" si="48">+Wh_hp/MaxiM</f>
        <v>0.944542049274953</v>
      </c>
      <c r="H80" s="416" t="b">
        <f>Wh_hp&gt;='2026'!Maxi_hp</f>
        <v>0</v>
      </c>
      <c r="I80" s="392">
        <f>IF(H80,Wh_hp,'2026'!Maxi_hp)</f>
        <v>37.901839571949345</v>
      </c>
      <c r="J80" s="85">
        <f>IF(H80,An,'2026'!An_max)</f>
        <v>2026</v>
      </c>
      <c r="K80" s="199">
        <f t="shared" si="27"/>
        <v>46453</v>
      </c>
      <c r="L80" s="147">
        <f>IF(t&lt;Tvie,1-EXP((T0-t)*PertePVj)+'2026'!Pspv,1-EXP((T0-t)*PertePVj)+Pspv)</f>
        <v>7.0467249129945508E-2</v>
      </c>
      <c r="M80" s="872"/>
      <c r="N80" s="872"/>
      <c r="O80" s="48">
        <f>IF(t&lt;Tnet,'2026'!Resal+('2026'!Salim-'2026'!Resal)*(1-EXP(('2026'!Tnet-t)/('2026'!Tau_j))),Resal+(Salim-Resal)*(1-EXP((Tnet-t)/(Tau_j))))*Salcycl</f>
        <v>7.9234964516610246E-2</v>
      </c>
      <c r="P80" s="171">
        <f>(INDEX(Models!$BJ80:$BT80,,T80)*(1-R80)+INDEX(Models!$BJ80:$BT80,,T80+1)*R80-ERP_i)*Q80*Ramure*Pc/MaxiM</f>
        <v>3.3977768557602573E-3</v>
      </c>
      <c r="Q80" s="307">
        <f t="shared" si="28"/>
        <v>0.9</v>
      </c>
      <c r="R80" s="179">
        <f t="shared" si="29"/>
        <v>0.57767396432744311</v>
      </c>
      <c r="S80" s="839">
        <f t="shared" si="30"/>
        <v>-2</v>
      </c>
      <c r="T80" s="178">
        <f t="shared" si="31"/>
        <v>4</v>
      </c>
      <c r="U80" s="253">
        <f t="shared" si="32"/>
        <v>-1.4223260356725569</v>
      </c>
      <c r="V80" s="385">
        <f t="shared" si="33"/>
        <v>34.222218329568605</v>
      </c>
      <c r="W80" s="404">
        <f t="shared" si="34"/>
        <v>32.333015334493062</v>
      </c>
      <c r="X80" s="157">
        <f t="shared" si="35"/>
        <v>46453</v>
      </c>
      <c r="Y80" s="387">
        <f t="shared" si="36"/>
        <v>28.00429617180459</v>
      </c>
      <c r="Z80" s="387">
        <f t="shared" si="37"/>
        <v>30.127282923159203</v>
      </c>
      <c r="AA80" s="388">
        <f t="shared" si="38"/>
        <v>35.730811529852197</v>
      </c>
      <c r="AB80" s="199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0.15682623390771253</v>
      </c>
      <c r="AD80" s="233">
        <f>(INDEX(Models!$BJ80:$BT80,,AH80)*(1-AF80)+INDEX(Models!$BJ80:$BT80,,AH80+1)*AF80-ERP_i)*AE80*Ramure*Pc/MaxiM</f>
        <v>6.2028294443951297E-2</v>
      </c>
      <c r="AE80" s="307">
        <f t="shared" si="40"/>
        <v>0.9</v>
      </c>
      <c r="AF80" s="179">
        <f t="shared" si="41"/>
        <v>0.21332961663442207</v>
      </c>
      <c r="AG80" s="839">
        <f t="shared" ref="AG80:AG143" si="49">INDEX(Echel_vg,AH80)</f>
        <v>3</v>
      </c>
      <c r="AH80" s="178">
        <f t="shared" si="42"/>
        <v>9</v>
      </c>
      <c r="AI80" s="227">
        <f t="shared" si="43"/>
        <v>3.2133296166344221</v>
      </c>
      <c r="AJ80" s="267" t="b">
        <f t="shared" si="44"/>
        <v>0</v>
      </c>
      <c r="AK80" s="267" t="b">
        <f t="shared" si="45"/>
        <v>0</v>
      </c>
      <c r="AL80" s="267"/>
      <c r="AM80" s="267"/>
      <c r="AN80" s="75"/>
    </row>
    <row r="81" spans="1:40" s="6" customFormat="1" ht="11.25" x14ac:dyDescent="0.2">
      <c r="A81" s="56">
        <f t="shared" si="46"/>
        <v>46454</v>
      </c>
      <c r="B81" s="413">
        <f>'2026'!Wh/'2026'!Env_an*'2027'!Env_an</f>
        <v>26.074740029682424</v>
      </c>
      <c r="C81" s="868"/>
      <c r="D81" s="395">
        <f t="shared" si="25"/>
        <v>28.05210124838548</v>
      </c>
      <c r="E81" s="387">
        <f t="shared" si="47"/>
        <v>30.471244519430801</v>
      </c>
      <c r="F81" s="387">
        <f t="shared" si="26"/>
        <v>30.538691094226774</v>
      </c>
      <c r="G81" s="110">
        <f t="shared" si="48"/>
        <v>0.75258857656664968</v>
      </c>
      <c r="H81" s="416" t="b">
        <f>Wh_hp&gt;='2026'!Maxi_hp</f>
        <v>0</v>
      </c>
      <c r="I81" s="392">
        <f>IF(H81,Wh_hp,'2026'!Maxi_hp)</f>
        <v>30.55952556084949</v>
      </c>
      <c r="J81" s="85">
        <f>IF(H81,An,'2026'!An_max)</f>
        <v>2026</v>
      </c>
      <c r="K81" s="199">
        <f t="shared" si="27"/>
        <v>46454</v>
      </c>
      <c r="L81" s="147">
        <f>IF(t&lt;Tvie,1-EXP((T0-t)*PertePVj)+'2026'!Pspv,1-EXP((T0-t)*PertePVj)+Pspv)</f>
        <v>7.0488880715018132E-2</v>
      </c>
      <c r="M81" s="872"/>
      <c r="N81" s="872"/>
      <c r="O81" s="48">
        <f>IF(t&lt;Tnet,'2026'!Resal+('2026'!Salim-'2026'!Resal)*(1-EXP(('2026'!Tnet-t)/('2026'!Tau_j))),Resal+(Salim-Resal)*(1-EXP((Tnet-t)/(Tau_j))))*Salcycl</f>
        <v>7.9391022887256552E-2</v>
      </c>
      <c r="P81" s="171">
        <f>(INDEX(Models!$BJ81:$BT81,,T81)*(1-R81)+INDEX(Models!$BJ81:$BT81,,T81+1)*R81-ERP_i)*Q81*Ramure*Pc/MaxiM</f>
        <v>3.4090617949116501E-3</v>
      </c>
      <c r="Q81" s="307">
        <f t="shared" si="28"/>
        <v>0.9</v>
      </c>
      <c r="R81" s="179">
        <f t="shared" si="29"/>
        <v>0.57824330208693731</v>
      </c>
      <c r="S81" s="839">
        <f t="shared" si="30"/>
        <v>-2</v>
      </c>
      <c r="T81" s="178">
        <f t="shared" si="31"/>
        <v>4</v>
      </c>
      <c r="U81" s="253">
        <f t="shared" si="32"/>
        <v>-1.4217566979130627</v>
      </c>
      <c r="V81" s="385">
        <f t="shared" si="33"/>
        <v>34.605053568747167</v>
      </c>
      <c r="W81" s="404">
        <f t="shared" si="34"/>
        <v>26.074740029682424</v>
      </c>
      <c r="X81" s="157">
        <f t="shared" si="35"/>
        <v>46454</v>
      </c>
      <c r="Y81" s="387">
        <f t="shared" si="36"/>
        <v>22.999940037658195</v>
      </c>
      <c r="Z81" s="387">
        <f t="shared" si="37"/>
        <v>24.744125767264293</v>
      </c>
      <c r="AA81" s="388">
        <f t="shared" si="38"/>
        <v>29.348945876487431</v>
      </c>
      <c r="AB81" s="199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0.15689899489413126</v>
      </c>
      <c r="AD81" s="233">
        <f>(INDEX(Models!$BJ81:$BT81,,AH81)*(1-AF81)+INDEX(Models!$BJ81:$BT81,,AH81+1)*AF81-ERP_i)*AE81*Ramure*Pc/MaxiM</f>
        <v>6.0135225246698711E-2</v>
      </c>
      <c r="AE81" s="307">
        <f t="shared" si="40"/>
        <v>0.9</v>
      </c>
      <c r="AF81" s="179">
        <f t="shared" si="41"/>
        <v>0.21389895439391626</v>
      </c>
      <c r="AG81" s="839">
        <f t="shared" si="49"/>
        <v>3</v>
      </c>
      <c r="AH81" s="178">
        <f t="shared" si="42"/>
        <v>9</v>
      </c>
      <c r="AI81" s="227">
        <f t="shared" si="43"/>
        <v>3.2138989543939163</v>
      </c>
      <c r="AJ81" s="267" t="b">
        <f t="shared" si="44"/>
        <v>0</v>
      </c>
      <c r="AK81" s="267" t="b">
        <f t="shared" si="45"/>
        <v>0</v>
      </c>
      <c r="AL81" s="267"/>
      <c r="AM81" s="267"/>
      <c r="AN81" s="75"/>
    </row>
    <row r="82" spans="1:40" s="6" customFormat="1" ht="11.25" x14ac:dyDescent="0.2">
      <c r="A82" s="56">
        <f t="shared" si="46"/>
        <v>46455</v>
      </c>
      <c r="B82" s="413">
        <f>'2026'!Wh/'2026'!Env_an*'2027'!Env_an</f>
        <v>27.141557638412724</v>
      </c>
      <c r="C82" s="868"/>
      <c r="D82" s="395">
        <f t="shared" si="25"/>
        <v>29.200499825852834</v>
      </c>
      <c r="E82" s="387">
        <f t="shared" si="47"/>
        <v>31.724054774996898</v>
      </c>
      <c r="F82" s="387">
        <f t="shared" si="26"/>
        <v>31.797907310082</v>
      </c>
      <c r="G82" s="110">
        <f t="shared" si="48"/>
        <v>0.77483081579369684</v>
      </c>
      <c r="H82" s="416" t="b">
        <f>Wh_hp&gt;='2026'!Maxi_hp</f>
        <v>0</v>
      </c>
      <c r="I82" s="392">
        <f>IF(H82,Wh_hp,'2026'!Maxi_hp)</f>
        <v>39.141345127163731</v>
      </c>
      <c r="J82" s="85">
        <f>IF(H82,An,'2026'!An_max)</f>
        <v>2021</v>
      </c>
      <c r="K82" s="199">
        <f t="shared" si="27"/>
        <v>46455</v>
      </c>
      <c r="L82" s="147">
        <f>IF(t&lt;Tvie,1-EXP((T0-t)*PertePVj)+'2026'!Pspv,1-EXP((T0-t)*PertePVj)+Pspv)</f>
        <v>7.0510511796692321E-2</v>
      </c>
      <c r="M82" s="872"/>
      <c r="N82" s="872"/>
      <c r="O82" s="48">
        <f>IF(t&lt;Tnet,'2026'!Resal+('2026'!Salim-'2026'!Resal)*(1-EXP(('2026'!Tnet-t)/('2026'!Tau_j))),Resal+(Salim-Resal)*(1-EXP((Tnet-t)/(Tau_j))))*Salcycl</f>
        <v>7.9547049298785963E-2</v>
      </c>
      <c r="P82" s="171">
        <f>(INDEX(Models!$BJ82:$BT82,,T82)*(1-R82)+INDEX(Models!$BJ82:$BT82,,T82+1)*R82-ERP_i)*Q82*Ramure*Pc/MaxiM</f>
        <v>3.4178095771551335E-3</v>
      </c>
      <c r="Q82" s="307">
        <f t="shared" si="28"/>
        <v>0.9</v>
      </c>
      <c r="R82" s="179">
        <f t="shared" si="29"/>
        <v>0.57883552222115897</v>
      </c>
      <c r="S82" s="839">
        <f t="shared" si="30"/>
        <v>-2</v>
      </c>
      <c r="T82" s="178">
        <f t="shared" si="31"/>
        <v>4</v>
      </c>
      <c r="U82" s="253">
        <f t="shared" si="32"/>
        <v>-1.421164477778841</v>
      </c>
      <c r="V82" s="385">
        <f t="shared" si="33"/>
        <v>34.99055676749223</v>
      </c>
      <c r="W82" s="404">
        <f t="shared" si="34"/>
        <v>27.141557638412724</v>
      </c>
      <c r="X82" s="157">
        <f t="shared" si="35"/>
        <v>46455</v>
      </c>
      <c r="Y82" s="387">
        <f t="shared" si="36"/>
        <v>23.930122634134801</v>
      </c>
      <c r="Z82" s="387">
        <f t="shared" si="37"/>
        <v>25.745447299669248</v>
      </c>
      <c r="AA82" s="388">
        <f t="shared" si="38"/>
        <v>30.539253112859125</v>
      </c>
      <c r="AB82" s="199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0.15697194019363081</v>
      </c>
      <c r="AD82" s="233">
        <f>(INDEX(Models!$BJ82:$BT82,,AH82)*(1-AF82)+INDEX(Models!$BJ82:$BT82,,AH82+1)*AF82-ERP_i)*AE82*Ramure*Pc/MaxiM</f>
        <v>5.824905488535928E-2</v>
      </c>
      <c r="AE82" s="307">
        <f t="shared" si="40"/>
        <v>0.9</v>
      </c>
      <c r="AF82" s="179">
        <f t="shared" si="41"/>
        <v>0.21449117452813793</v>
      </c>
      <c r="AG82" s="839">
        <f t="shared" si="49"/>
        <v>3</v>
      </c>
      <c r="AH82" s="178">
        <f t="shared" si="42"/>
        <v>9</v>
      </c>
      <c r="AI82" s="227">
        <f t="shared" si="43"/>
        <v>3.2144911745281379</v>
      </c>
      <c r="AJ82" s="267" t="b">
        <f t="shared" si="44"/>
        <v>0</v>
      </c>
      <c r="AK82" s="267" t="b">
        <f t="shared" si="45"/>
        <v>0</v>
      </c>
      <c r="AL82" s="267"/>
      <c r="AM82" s="267"/>
      <c r="AN82" s="75"/>
    </row>
    <row r="83" spans="1:40" s="6" customFormat="1" ht="11.25" x14ac:dyDescent="0.2">
      <c r="A83" s="56">
        <f t="shared" si="46"/>
        <v>46456</v>
      </c>
      <c r="B83" s="413">
        <f>'2026'!Wh/'2026'!Env_an*'2027'!Env_an</f>
        <v>19.033512576963339</v>
      </c>
      <c r="C83" s="868"/>
      <c r="D83" s="395">
        <f t="shared" si="25"/>
        <v>20.47785990749356</v>
      </c>
      <c r="E83" s="387">
        <f t="shared" si="47"/>
        <v>22.251361810812387</v>
      </c>
      <c r="F83" s="387">
        <f t="shared" si="26"/>
        <v>22.277297559983545</v>
      </c>
      <c r="G83" s="110">
        <f t="shared" si="48"/>
        <v>0.53678464217148625</v>
      </c>
      <c r="H83" s="416" t="b">
        <f>Wh_hp&gt;='2026'!Maxi_hp</f>
        <v>0</v>
      </c>
      <c r="I83" s="392">
        <f>IF(H83,Wh_hp,'2026'!Maxi_hp)</f>
        <v>39.134897044525324</v>
      </c>
      <c r="J83" s="85">
        <f>IF(H83,An,'2026'!An_max)</f>
        <v>2021</v>
      </c>
      <c r="K83" s="199">
        <f t="shared" si="27"/>
        <v>46456</v>
      </c>
      <c r="L83" s="147">
        <f>IF(t&lt;Tvie,1-EXP((T0-t)*PertePVj)+'2026'!Pspv,1-EXP((T0-t)*PertePVj)+Pspv)</f>
        <v>7.0532142374979512E-2</v>
      </c>
      <c r="M83" s="872"/>
      <c r="N83" s="872"/>
      <c r="O83" s="48">
        <f>IF(t&lt;Tnet,'2026'!Resal+('2026'!Salim-'2026'!Resal)*(1-EXP(('2026'!Tnet-t)/('2026'!Tau_j))),Resal+(Salim-Resal)*(1-EXP((Tnet-t)/(Tau_j))))*Salcycl</f>
        <v>7.9703072485974608E-2</v>
      </c>
      <c r="P83" s="171">
        <f>(INDEX(Models!$BJ83:$BT83,,T83)*(1-R83)+INDEX(Models!$BJ83:$BT83,,T83+1)*R83-ERP_i)*Q83*Ramure*Pc/MaxiM</f>
        <v>3.4241587507878256E-3</v>
      </c>
      <c r="Q83" s="307">
        <f t="shared" si="28"/>
        <v>0.9</v>
      </c>
      <c r="R83" s="179">
        <f t="shared" si="29"/>
        <v>0.57945150162903047</v>
      </c>
      <c r="S83" s="839">
        <f t="shared" si="30"/>
        <v>-2</v>
      </c>
      <c r="T83" s="178">
        <f t="shared" si="31"/>
        <v>4</v>
      </c>
      <c r="U83" s="253">
        <f t="shared" si="32"/>
        <v>-1.4205484983709695</v>
      </c>
      <c r="V83" s="385">
        <f t="shared" si="33"/>
        <v>35.378150637278978</v>
      </c>
      <c r="W83" s="404">
        <f t="shared" si="34"/>
        <v>19.033512576963339</v>
      </c>
      <c r="X83" s="157">
        <f t="shared" si="35"/>
        <v>46456</v>
      </c>
      <c r="Y83" s="387">
        <f t="shared" si="36"/>
        <v>17.119717845981246</v>
      </c>
      <c r="Z83" s="387">
        <f t="shared" si="37"/>
        <v>18.418837946398284</v>
      </c>
      <c r="AA83" s="388">
        <f t="shared" si="38"/>
        <v>21.850324961434172</v>
      </c>
      <c r="AB83" s="199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0.15704512500809303</v>
      </c>
      <c r="AD83" s="233">
        <f>(INDEX(Models!$BJ83:$BT83,,AH83)*(1-AF83)+INDEX(Models!$BJ83:$BT83,,AH83+1)*AF83-ERP_i)*AE83*Ramure*Pc/MaxiM</f>
        <v>5.6370916838422103E-2</v>
      </c>
      <c r="AE83" s="307">
        <f t="shared" si="40"/>
        <v>0.9</v>
      </c>
      <c r="AF83" s="179">
        <f t="shared" si="41"/>
        <v>0.21510715393600943</v>
      </c>
      <c r="AG83" s="839">
        <f t="shared" si="49"/>
        <v>3</v>
      </c>
      <c r="AH83" s="178">
        <f t="shared" si="42"/>
        <v>9</v>
      </c>
      <c r="AI83" s="227">
        <f t="shared" si="43"/>
        <v>3.2151071539360094</v>
      </c>
      <c r="AJ83" s="267" t="b">
        <f t="shared" si="44"/>
        <v>0</v>
      </c>
      <c r="AK83" s="267" t="b">
        <f t="shared" si="45"/>
        <v>0</v>
      </c>
      <c r="AL83" s="267"/>
      <c r="AM83" s="267"/>
      <c r="AN83" s="75"/>
    </row>
    <row r="84" spans="1:40" s="6" customFormat="1" ht="11.25" x14ac:dyDescent="0.2">
      <c r="A84" s="56">
        <f t="shared" si="46"/>
        <v>46457</v>
      </c>
      <c r="B84" s="413">
        <f>'2026'!Wh/'2026'!Env_an*'2027'!Env_an</f>
        <v>13.534451850396959</v>
      </c>
      <c r="C84" s="868"/>
      <c r="D84" s="395">
        <f t="shared" si="25"/>
        <v>14.561844945104463</v>
      </c>
      <c r="E84" s="387">
        <f t="shared" si="47"/>
        <v>15.825668996104481</v>
      </c>
      <c r="F84" s="387">
        <f t="shared" si="26"/>
        <v>15.831748068201765</v>
      </c>
      <c r="G84" s="110">
        <f t="shared" si="48"/>
        <v>0.37725099062528539</v>
      </c>
      <c r="H84" s="416" t="b">
        <f>Wh_hp&gt;='2026'!Maxi_hp</f>
        <v>0</v>
      </c>
      <c r="I84" s="392">
        <f>IF(H84,Wh_hp,'2026'!Maxi_hp)</f>
        <v>33.079373904008349</v>
      </c>
      <c r="J84" s="85">
        <f>IF(H84,An,'2026'!An_max)</f>
        <v>2019</v>
      </c>
      <c r="K84" s="199">
        <f t="shared" si="27"/>
        <v>46457</v>
      </c>
      <c r="L84" s="147">
        <f>IF(t&lt;Tvie,1-EXP((T0-t)*PertePVj)+'2026'!Pspv,1-EXP((T0-t)*PertePVj)+Pspv)</f>
        <v>7.0553772449891583E-2</v>
      </c>
      <c r="M84" s="872"/>
      <c r="N84" s="872"/>
      <c r="O84" s="48">
        <f>IF(t&lt;Tnet,'2026'!Resal+('2026'!Salim-'2026'!Resal)*(1-EXP(('2026'!Tnet-t)/('2026'!Tau_j))),Resal+(Salim-Resal)*(1-EXP((Tnet-t)/(Tau_j))))*Salcycl</f>
        <v>7.9859123257987413E-2</v>
      </c>
      <c r="P84" s="171">
        <f>(INDEX(Models!$BJ84:$BT84,,T84)*(1-R84)+INDEX(Models!$BJ84:$BT84,,T84+1)*R84-ERP_i)*Q84*Ramure*Pc/MaxiM</f>
        <v>3.4282430796484711E-3</v>
      </c>
      <c r="Q84" s="307">
        <f t="shared" si="28"/>
        <v>0.9</v>
      </c>
      <c r="R84" s="179">
        <f t="shared" si="29"/>
        <v>0.5800921472397611</v>
      </c>
      <c r="S84" s="839">
        <f t="shared" si="30"/>
        <v>-2</v>
      </c>
      <c r="T84" s="178">
        <f t="shared" si="31"/>
        <v>4</v>
      </c>
      <c r="U84" s="253">
        <f t="shared" si="32"/>
        <v>-1.4199078527602389</v>
      </c>
      <c r="V84" s="385">
        <f t="shared" si="33"/>
        <v>35.767258203404566</v>
      </c>
      <c r="W84" s="404">
        <f t="shared" si="34"/>
        <v>13.534451850396959</v>
      </c>
      <c r="X84" s="157">
        <f t="shared" si="35"/>
        <v>46457</v>
      </c>
      <c r="Y84" s="387">
        <f t="shared" si="36"/>
        <v>12.32708372858915</v>
      </c>
      <c r="Z84" s="387">
        <f t="shared" si="37"/>
        <v>13.262826146577233</v>
      </c>
      <c r="AA84" s="388">
        <f t="shared" si="38"/>
        <v>15.735103749045299</v>
      </c>
      <c r="AB84" s="199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0.15711860829758231</v>
      </c>
      <c r="AD84" s="233">
        <f>(INDEX(Models!$BJ84:$BT84,,AH84)*(1-AF84)+INDEX(Models!$BJ84:$BT84,,AH84+1)*AF84-ERP_i)*AE84*Ramure*Pc/MaxiM</f>
        <v>5.4501774782948702E-2</v>
      </c>
      <c r="AE84" s="307">
        <f t="shared" si="40"/>
        <v>0.9</v>
      </c>
      <c r="AF84" s="179">
        <f t="shared" si="41"/>
        <v>0.21574779954674028</v>
      </c>
      <c r="AG84" s="839">
        <f t="shared" si="49"/>
        <v>3</v>
      </c>
      <c r="AH84" s="178">
        <f t="shared" si="42"/>
        <v>9</v>
      </c>
      <c r="AI84" s="227">
        <f t="shared" si="43"/>
        <v>3.2157477995467403</v>
      </c>
      <c r="AJ84" s="267" t="b">
        <f t="shared" si="44"/>
        <v>0</v>
      </c>
      <c r="AK84" s="267" t="b">
        <f t="shared" si="45"/>
        <v>0</v>
      </c>
      <c r="AL84" s="267"/>
      <c r="AM84" s="267"/>
      <c r="AN84" s="75"/>
    </row>
    <row r="85" spans="1:40" s="6" customFormat="1" ht="11.25" x14ac:dyDescent="0.2">
      <c r="A85" s="56">
        <f t="shared" si="46"/>
        <v>46458</v>
      </c>
      <c r="B85" s="413">
        <f>'2026'!Wh/'2026'!Env_an*'2027'!Env_an</f>
        <v>12.826558697636159</v>
      </c>
      <c r="C85" s="868"/>
      <c r="D85" s="395">
        <f t="shared" si="25"/>
        <v>13.800537155497196</v>
      </c>
      <c r="E85" s="387">
        <f t="shared" si="47"/>
        <v>15.000832265700767</v>
      </c>
      <c r="F85" s="387">
        <f t="shared" si="26"/>
        <v>15.004857421261455</v>
      </c>
      <c r="G85" s="110">
        <f t="shared" si="48"/>
        <v>0.35362126275572486</v>
      </c>
      <c r="H85" s="416" t="b">
        <f>Wh_hp&gt;='2026'!Maxi_hp</f>
        <v>0</v>
      </c>
      <c r="I85" s="392">
        <f>IF(H85,Wh_hp,'2026'!Maxi_hp)</f>
        <v>39.985849154638863</v>
      </c>
      <c r="J85" s="85">
        <f>IF(H85,An,'2026'!An_max)</f>
        <v>2020</v>
      </c>
      <c r="K85" s="199">
        <f t="shared" si="27"/>
        <v>46458</v>
      </c>
      <c r="L85" s="147">
        <f>IF(t&lt;Tvie,1-EXP((T0-t)*PertePVj)+'2026'!Pspv,1-EXP((T0-t)*PertePVj)+Pspv)</f>
        <v>7.0575402021440192E-2</v>
      </c>
      <c r="M85" s="872"/>
      <c r="N85" s="872"/>
      <c r="O85" s="48">
        <f>IF(t&lt;Tnet,'2026'!Resal+('2026'!Salim-'2026'!Resal)*(1-EXP(('2026'!Tnet-t)/('2026'!Tau_j))),Resal+(Salim-Resal)*(1-EXP((Tnet-t)/(Tau_j))))*Salcycl</f>
        <v>8.0015234417894987E-2</v>
      </c>
      <c r="P85" s="171">
        <f>(INDEX(Models!$BJ85:$BT85,,T85)*(1-R85)+INDEX(Models!$BJ85:$BT85,,T85+1)*R85-ERP_i)*Q85*Ramure*Pc/MaxiM</f>
        <v>3.4301913654850476E-3</v>
      </c>
      <c r="Q85" s="307">
        <f t="shared" si="28"/>
        <v>0.9</v>
      </c>
      <c r="R85" s="179">
        <f t="shared" si="29"/>
        <v>0.58075839673885854</v>
      </c>
      <c r="S85" s="839">
        <f t="shared" si="30"/>
        <v>-2</v>
      </c>
      <c r="T85" s="178">
        <f t="shared" si="31"/>
        <v>4</v>
      </c>
      <c r="U85" s="253">
        <f t="shared" si="32"/>
        <v>-1.4192416032611415</v>
      </c>
      <c r="V85" s="385">
        <f t="shared" si="33"/>
        <v>36.157302806400438</v>
      </c>
      <c r="W85" s="404">
        <f t="shared" si="34"/>
        <v>12.826558697636159</v>
      </c>
      <c r="X85" s="157">
        <f t="shared" si="35"/>
        <v>46458</v>
      </c>
      <c r="Y85" s="387">
        <f t="shared" si="36"/>
        <v>11.705307356549609</v>
      </c>
      <c r="Z85" s="387">
        <f t="shared" si="37"/>
        <v>12.594144142524222</v>
      </c>
      <c r="AA85" s="388">
        <f t="shared" si="38"/>
        <v>14.94308419676139</v>
      </c>
      <c r="AB85" s="199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0.15719245259598105</v>
      </c>
      <c r="AD85" s="233">
        <f>(INDEX(Models!$BJ85:$BT85,,AH85)*(1-AF85)+INDEX(Models!$BJ85:$BT85,,AH85+1)*AF85-ERP_i)*AE85*Ramure*Pc/MaxiM</f>
        <v>5.2642432846013602E-2</v>
      </c>
      <c r="AE85" s="307">
        <f t="shared" si="40"/>
        <v>0.9</v>
      </c>
      <c r="AF85" s="179">
        <f t="shared" si="41"/>
        <v>0.2164140490458375</v>
      </c>
      <c r="AG85" s="839">
        <f t="shared" si="49"/>
        <v>3</v>
      </c>
      <c r="AH85" s="178">
        <f t="shared" si="42"/>
        <v>9</v>
      </c>
      <c r="AI85" s="227">
        <f t="shared" si="43"/>
        <v>3.2164140490458375</v>
      </c>
      <c r="AJ85" s="267" t="b">
        <f t="shared" si="44"/>
        <v>0</v>
      </c>
      <c r="AK85" s="267" t="b">
        <f t="shared" si="45"/>
        <v>0</v>
      </c>
      <c r="AL85" s="267"/>
      <c r="AM85" s="267"/>
      <c r="AN85" s="75"/>
    </row>
    <row r="86" spans="1:40" s="6" customFormat="1" ht="11.25" x14ac:dyDescent="0.2">
      <c r="A86" s="56">
        <f t="shared" si="46"/>
        <v>46459</v>
      </c>
      <c r="B86" s="413">
        <f>'2026'!Wh/'2026'!Env_an*'2027'!Env_an</f>
        <v>8.4680032425684448</v>
      </c>
      <c r="C86" s="868"/>
      <c r="D86" s="395">
        <f t="shared" si="25"/>
        <v>9.1112289564733988</v>
      </c>
      <c r="E86" s="387">
        <f t="shared" si="47"/>
        <v>9.9053555840132397</v>
      </c>
      <c r="F86" s="387">
        <f t="shared" si="26"/>
        <v>9.9053555840132397</v>
      </c>
      <c r="G86" s="110">
        <f t="shared" si="48"/>
        <v>0.23090249300098814</v>
      </c>
      <c r="H86" s="416" t="b">
        <f>Wh_hp&gt;='2026'!Maxi_hp</f>
        <v>0</v>
      </c>
      <c r="I86" s="392">
        <f>IF(H86,Wh_hp,'2026'!Maxi_hp)</f>
        <v>40.053703033892276</v>
      </c>
      <c r="J86" s="85">
        <f>IF(H86,An,'2026'!An_max)</f>
        <v>2021</v>
      </c>
      <c r="K86" s="199">
        <f t="shared" si="27"/>
        <v>46459</v>
      </c>
      <c r="L86" s="147">
        <f>IF(t&lt;Tvie,1-EXP((T0-t)*PertePVj)+'2026'!Pspv,1-EXP((T0-t)*PertePVj)+Pspv)</f>
        <v>7.0597031089637108E-2</v>
      </c>
      <c r="M86" s="872"/>
      <c r="N86" s="872"/>
      <c r="O86" s="48">
        <f>IF(t&lt;Tnet,'2026'!Resal+('2026'!Salim-'2026'!Resal)*(1-EXP(('2026'!Tnet-t)/('2026'!Tau_j))),Resal+(Salim-Resal)*(1-EXP((Tnet-t)/(Tau_j))))*Salcycl</f>
        <v>8.0171440672107075E-2</v>
      </c>
      <c r="P86" s="171">
        <f>(INDEX(Models!$BJ86:$BT86,,T86)*(1-R86)+INDEX(Models!$BJ86:$BT86,,T86+1)*R86-ERP_i)*Q86*Ramure*Pc/MaxiM</f>
        <v>3.4275583596958281E-3</v>
      </c>
      <c r="Q86" s="307">
        <f t="shared" si="28"/>
        <v>0.9</v>
      </c>
      <c r="R86" s="179">
        <f t="shared" si="29"/>
        <v>0.58145121928444254</v>
      </c>
      <c r="S86" s="839">
        <f t="shared" si="30"/>
        <v>-2</v>
      </c>
      <c r="T86" s="178">
        <f t="shared" si="31"/>
        <v>4</v>
      </c>
      <c r="U86" s="253">
        <f t="shared" si="32"/>
        <v>-1.4185487807155575</v>
      </c>
      <c r="V86" s="385">
        <f t="shared" si="33"/>
        <v>36.547802310771644</v>
      </c>
      <c r="W86" s="404">
        <f t="shared" si="34"/>
        <v>8.4680032425684448</v>
      </c>
      <c r="X86" s="157">
        <f t="shared" si="35"/>
        <v>46459</v>
      </c>
      <c r="Y86" s="387">
        <f t="shared" si="36"/>
        <v>7.7582589092723806</v>
      </c>
      <c r="Z86" s="387">
        <f t="shared" si="37"/>
        <v>8.347572763155906</v>
      </c>
      <c r="AA86" s="388">
        <f t="shared" si="38"/>
        <v>9.9053555840132397</v>
      </c>
      <c r="AB86" s="199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0.15726672380863535</v>
      </c>
      <c r="AD86" s="233">
        <f>(INDEX(Models!$BJ86:$BT86,,AH86)*(1-AF86)+INDEX(Models!$BJ86:$BT86,,AH86+1)*AF86-ERP_i)*AE86*Ramure*Pc/MaxiM</f>
        <v>5.0801255099003052E-2</v>
      </c>
      <c r="AE86" s="307">
        <f t="shared" si="40"/>
        <v>0.9</v>
      </c>
      <c r="AF86" s="179">
        <f t="shared" si="41"/>
        <v>0.2171068715914215</v>
      </c>
      <c r="AG86" s="839">
        <f t="shared" si="49"/>
        <v>3</v>
      </c>
      <c r="AH86" s="178">
        <f t="shared" si="42"/>
        <v>9</v>
      </c>
      <c r="AI86" s="227">
        <f t="shared" si="43"/>
        <v>3.2171068715914215</v>
      </c>
      <c r="AJ86" s="267" t="b">
        <f t="shared" si="44"/>
        <v>0</v>
      </c>
      <c r="AK86" s="267" t="b">
        <f t="shared" si="45"/>
        <v>0</v>
      </c>
      <c r="AL86" s="267"/>
      <c r="AM86" s="267"/>
      <c r="AN86" s="75"/>
    </row>
    <row r="87" spans="1:40" s="6" customFormat="1" ht="11.25" x14ac:dyDescent="0.2">
      <c r="A87" s="56">
        <f t="shared" si="46"/>
        <v>46460</v>
      </c>
      <c r="B87" s="413">
        <f>'2026'!Wh/'2026'!Env_an*'2027'!Env_an</f>
        <v>11.662104331645681</v>
      </c>
      <c r="C87" s="868"/>
      <c r="D87" s="395">
        <f t="shared" si="25"/>
        <v>12.548244542235146</v>
      </c>
      <c r="E87" s="387">
        <f t="shared" si="47"/>
        <v>13.644257431400904</v>
      </c>
      <c r="F87" s="387">
        <f t="shared" si="26"/>
        <v>13.64530572728636</v>
      </c>
      <c r="G87" s="110">
        <f t="shared" si="48"/>
        <v>0.31466375217295861</v>
      </c>
      <c r="H87" s="416" t="b">
        <f>Wh_hp&gt;='2026'!Maxi_hp</f>
        <v>0</v>
      </c>
      <c r="I87" s="392">
        <f>IF(H87,Wh_hp,'2026'!Maxi_hp)</f>
        <v>37.84988818165337</v>
      </c>
      <c r="J87" s="85">
        <f>IF(H87,An,'2026'!An_max)</f>
        <v>2020</v>
      </c>
      <c r="K87" s="199">
        <f t="shared" si="27"/>
        <v>46460</v>
      </c>
      <c r="L87" s="147">
        <f>IF(t&lt;Tvie,1-EXP((T0-t)*PertePVj)+'2026'!Pspv,1-EXP((T0-t)*PertePVj)+Pspv)</f>
        <v>7.0618659654493987E-2</v>
      </c>
      <c r="M87" s="872"/>
      <c r="N87" s="872"/>
      <c r="O87" s="48">
        <f>IF(t&lt;Tnet,'2026'!Resal+('2026'!Salim-'2026'!Resal)*(1-EXP(('2026'!Tnet-t)/('2026'!Tau_j))),Resal+(Salim-Resal)*(1-EXP((Tnet-t)/(Tau_j))))*Salcycl</f>
        <v>8.0327778530724078E-2</v>
      </c>
      <c r="P87" s="171">
        <f>(INDEX(Models!$BJ87:$BT87,,T87)*(1-R87)+INDEX(Models!$BJ87:$BT87,,T87+1)*R87-ERP_i)*Q87*Ramure*Pc/MaxiM</f>
        <v>3.4210188731998055E-3</v>
      </c>
      <c r="Q87" s="307">
        <f t="shared" si="28"/>
        <v>0.9</v>
      </c>
      <c r="R87" s="179">
        <f t="shared" si="29"/>
        <v>0.58217161621069535</v>
      </c>
      <c r="S87" s="839">
        <f t="shared" si="30"/>
        <v>-2</v>
      </c>
      <c r="T87" s="178">
        <f t="shared" si="31"/>
        <v>4</v>
      </c>
      <c r="U87" s="253">
        <f t="shared" si="32"/>
        <v>-1.4178283837893046</v>
      </c>
      <c r="V87" s="385">
        <f t="shared" si="33"/>
        <v>36.938163080647534</v>
      </c>
      <c r="W87" s="404">
        <f t="shared" si="34"/>
        <v>11.662104331645681</v>
      </c>
      <c r="X87" s="157">
        <f t="shared" si="35"/>
        <v>46460</v>
      </c>
      <c r="Y87" s="387">
        <f t="shared" si="36"/>
        <v>10.6745782994227</v>
      </c>
      <c r="Z87" s="387">
        <f t="shared" si="37"/>
        <v>11.485681749812546</v>
      </c>
      <c r="AA87" s="388">
        <f t="shared" si="38"/>
        <v>13.630292256068268</v>
      </c>
      <c r="AB87" s="199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0.15734149099414443</v>
      </c>
      <c r="AD87" s="233">
        <f>(INDEX(Models!$BJ87:$BT87,,AH87)*(1-AF87)+INDEX(Models!$BJ87:$BT87,,AH87+1)*AF87-ERP_i)*AE87*Ramure*Pc/MaxiM</f>
        <v>4.8995106345413604E-2</v>
      </c>
      <c r="AE87" s="307">
        <f t="shared" si="40"/>
        <v>0.9</v>
      </c>
      <c r="AF87" s="179">
        <f t="shared" si="41"/>
        <v>0.21782726851767409</v>
      </c>
      <c r="AG87" s="839">
        <f t="shared" si="49"/>
        <v>3</v>
      </c>
      <c r="AH87" s="178">
        <f t="shared" si="42"/>
        <v>9</v>
      </c>
      <c r="AI87" s="227">
        <f t="shared" si="43"/>
        <v>3.2178272685176741</v>
      </c>
      <c r="AJ87" s="267" t="b">
        <f t="shared" si="44"/>
        <v>0</v>
      </c>
      <c r="AK87" s="267" t="b">
        <f t="shared" si="45"/>
        <v>0</v>
      </c>
      <c r="AL87" s="267"/>
      <c r="AM87" s="267"/>
      <c r="AN87" s="75"/>
    </row>
    <row r="88" spans="1:40" s="6" customFormat="1" ht="11.25" x14ac:dyDescent="0.2">
      <c r="A88" s="56">
        <f t="shared" si="46"/>
        <v>46461</v>
      </c>
      <c r="B88" s="413">
        <f>'2026'!Wh/'2026'!Env_an*'2027'!Env_an</f>
        <v>13.475280281443807</v>
      </c>
      <c r="C88" s="868"/>
      <c r="D88" s="395">
        <f t="shared" si="25"/>
        <v>14.499531347584677</v>
      </c>
      <c r="E88" s="387">
        <f t="shared" si="47"/>
        <v>15.768660752584006</v>
      </c>
      <c r="F88" s="387">
        <f t="shared" si="26"/>
        <v>15.773348820489515</v>
      </c>
      <c r="G88" s="110">
        <f t="shared" si="48"/>
        <v>0.35987410658570113</v>
      </c>
      <c r="H88" s="416" t="b">
        <f>Wh_hp&gt;='2026'!Maxi_hp</f>
        <v>0</v>
      </c>
      <c r="I88" s="392">
        <f>IF(H88,Wh_hp,'2026'!Maxi_hp)</f>
        <v>32.044042478479284</v>
      </c>
      <c r="J88" s="85">
        <f>IF(H88,An,'2026'!An_max)</f>
        <v>2020</v>
      </c>
      <c r="K88" s="199">
        <f t="shared" si="27"/>
        <v>46461</v>
      </c>
      <c r="L88" s="147">
        <f>IF(t&lt;Tvie,1-EXP((T0-t)*PertePVj)+'2026'!Pspv,1-EXP((T0-t)*PertePVj)+Pspv)</f>
        <v>7.0640287716022598E-2</v>
      </c>
      <c r="M88" s="872"/>
      <c r="N88" s="872"/>
      <c r="O88" s="48">
        <f>IF(t&lt;Tnet,'2026'!Resal+('2026'!Salim-'2026'!Resal)*(1-EXP(('2026'!Tnet-t)/('2026'!Tau_j))),Resal+(Salim-Resal)*(1-EXP((Tnet-t)/(Tau_j))))*Salcycl</f>
        <v>8.0484286199851082E-2</v>
      </c>
      <c r="P88" s="171">
        <f>(INDEX(Models!$BJ88:$BT88,,T88)*(1-R88)+INDEX(Models!$BJ88:$BT88,,T88+1)*R88-ERP_i)*Q88*Ramure*Pc/MaxiM</f>
        <v>3.410746436054058E-3</v>
      </c>
      <c r="Q88" s="307">
        <f t="shared" si="28"/>
        <v>0.9</v>
      </c>
      <c r="R88" s="179">
        <f t="shared" si="29"/>
        <v>0.5829206217149796</v>
      </c>
      <c r="S88" s="839">
        <f t="shared" si="30"/>
        <v>-2</v>
      </c>
      <c r="T88" s="178">
        <f t="shared" si="31"/>
        <v>4</v>
      </c>
      <c r="U88" s="253">
        <f t="shared" si="32"/>
        <v>-1.4170793782850204</v>
      </c>
      <c r="V88" s="385">
        <f t="shared" si="33"/>
        <v>37.327809493625985</v>
      </c>
      <c r="W88" s="404">
        <f t="shared" si="34"/>
        <v>13.475280281443807</v>
      </c>
      <c r="X88" s="157">
        <f t="shared" si="35"/>
        <v>46461</v>
      </c>
      <c r="Y88" s="387">
        <f t="shared" si="36"/>
        <v>12.300695999961651</v>
      </c>
      <c r="Z88" s="387">
        <f t="shared" si="37"/>
        <v>13.235667349654834</v>
      </c>
      <c r="AA88" s="388">
        <f t="shared" si="38"/>
        <v>15.70844013998315</v>
      </c>
      <c r="AB88" s="199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0.15741682613248759</v>
      </c>
      <c r="AD88" s="233">
        <f>(INDEX(Models!$BJ88:$BT88,,AH88)*(1-AF88)+INDEX(Models!$BJ88:$BT88,,AH88+1)*AF88-ERP_i)*AE88*Ramure*Pc/MaxiM</f>
        <v>4.7223516205041061E-2</v>
      </c>
      <c r="AE88" s="307">
        <f t="shared" si="40"/>
        <v>0.9</v>
      </c>
      <c r="AF88" s="179">
        <f t="shared" si="41"/>
        <v>0.21857627402195856</v>
      </c>
      <c r="AG88" s="839">
        <f t="shared" si="49"/>
        <v>3</v>
      </c>
      <c r="AH88" s="178">
        <f t="shared" si="42"/>
        <v>9</v>
      </c>
      <c r="AI88" s="227">
        <f t="shared" si="43"/>
        <v>3.2185762740219586</v>
      </c>
      <c r="AJ88" s="267" t="b">
        <f t="shared" si="44"/>
        <v>0</v>
      </c>
      <c r="AK88" s="267" t="b">
        <f t="shared" si="45"/>
        <v>0</v>
      </c>
      <c r="AL88" s="267"/>
      <c r="AM88" s="267"/>
      <c r="AN88" s="75"/>
    </row>
    <row r="89" spans="1:40" s="6" customFormat="1" ht="11.25" x14ac:dyDescent="0.2">
      <c r="A89" s="56">
        <f t="shared" si="46"/>
        <v>46462</v>
      </c>
      <c r="B89" s="413">
        <f>'2026'!Wh/'2026'!Env_an*'2027'!Env_an</f>
        <v>11.825094721600552</v>
      </c>
      <c r="C89" s="868"/>
      <c r="D89" s="395">
        <f t="shared" si="25"/>
        <v>12.724211905175467</v>
      </c>
      <c r="E89" s="387">
        <f t="shared" si="47"/>
        <v>13.840308250812919</v>
      </c>
      <c r="F89" s="387">
        <f t="shared" si="26"/>
        <v>13.841216930579586</v>
      </c>
      <c r="G89" s="110">
        <f t="shared" si="48"/>
        <v>0.31248403248308165</v>
      </c>
      <c r="H89" s="416" t="b">
        <f>Wh_hp&gt;='2026'!Maxi_hp</f>
        <v>0</v>
      </c>
      <c r="I89" s="392">
        <f>IF(H89,Wh_hp,'2026'!Maxi_hp)</f>
        <v>45.869563285625219</v>
      </c>
      <c r="J89" s="85">
        <f>IF(H89,An,'2026'!An_max)</f>
        <v>2020</v>
      </c>
      <c r="K89" s="199">
        <f t="shared" si="27"/>
        <v>46462</v>
      </c>
      <c r="L89" s="147">
        <f>IF(t&lt;Tvie,1-EXP((T0-t)*PertePVj)+'2026'!Pspv,1-EXP((T0-t)*PertePVj)+Pspv)</f>
        <v>7.0661915274234599E-2</v>
      </c>
      <c r="M89" s="872"/>
      <c r="N89" s="872"/>
      <c r="O89" s="48">
        <f>IF(t&lt;Tnet,'2026'!Resal+('2026'!Salim-'2026'!Resal)*(1-EXP(('2026'!Tnet-t)/('2026'!Tau_j))),Resal+(Salim-Resal)*(1-EXP((Tnet-t)/(Tau_j))))*Salcycl</f>
        <v>8.0641003466949315E-2</v>
      </c>
      <c r="P89" s="171">
        <f>(INDEX(Models!$BJ89:$BT89,,T89)*(1-R89)+INDEX(Models!$BJ89:$BT89,,T89+1)*R89-ERP_i)*Q89*Ramure*Pc/MaxiM</f>
        <v>3.3969060638331739E-3</v>
      </c>
      <c r="Q89" s="307">
        <f t="shared" si="28"/>
        <v>0.9</v>
      </c>
      <c r="R89" s="179">
        <f t="shared" si="29"/>
        <v>0.58369930352486032</v>
      </c>
      <c r="S89" s="839">
        <f t="shared" si="30"/>
        <v>-2</v>
      </c>
      <c r="T89" s="178">
        <f t="shared" si="31"/>
        <v>4</v>
      </c>
      <c r="U89" s="253">
        <f t="shared" si="32"/>
        <v>-1.4163006964751397</v>
      </c>
      <c r="V89" s="385">
        <f t="shared" si="33"/>
        <v>37.716166251661988</v>
      </c>
      <c r="W89" s="404">
        <f t="shared" si="34"/>
        <v>11.825094721600552</v>
      </c>
      <c r="X89" s="157">
        <f t="shared" si="35"/>
        <v>46462</v>
      </c>
      <c r="Y89" s="387">
        <f t="shared" si="36"/>
        <v>10.827786414909912</v>
      </c>
      <c r="Z89" s="387">
        <f t="shared" si="37"/>
        <v>11.651073589763666</v>
      </c>
      <c r="AA89" s="388">
        <f t="shared" si="38"/>
        <v>13.829049346336815</v>
      </c>
      <c r="AB89" s="199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0.15749280388171261</v>
      </c>
      <c r="AD89" s="233">
        <f>(INDEX(Models!$BJ89:$BT89,,AH89)*(1-AF89)+INDEX(Models!$BJ89:$BT89,,AH89+1)*AF89-ERP_i)*AE89*Ramure*Pc/MaxiM</f>
        <v>4.5485926079453357E-2</v>
      </c>
      <c r="AE89" s="307">
        <f t="shared" si="40"/>
        <v>0.9</v>
      </c>
      <c r="AF89" s="179">
        <f t="shared" si="41"/>
        <v>0.21935495583183906</v>
      </c>
      <c r="AG89" s="839">
        <f t="shared" si="49"/>
        <v>3</v>
      </c>
      <c r="AH89" s="178">
        <f t="shared" si="42"/>
        <v>9</v>
      </c>
      <c r="AI89" s="227">
        <f t="shared" si="43"/>
        <v>3.2193549558318391</v>
      </c>
      <c r="AJ89" s="267" t="b">
        <f t="shared" si="44"/>
        <v>0</v>
      </c>
      <c r="AK89" s="267" t="b">
        <f t="shared" si="45"/>
        <v>0</v>
      </c>
      <c r="AL89" s="267"/>
      <c r="AM89" s="267"/>
      <c r="AN89" s="75"/>
    </row>
    <row r="90" spans="1:40" s="6" customFormat="1" ht="11.25" x14ac:dyDescent="0.2">
      <c r="A90" s="56">
        <f t="shared" si="46"/>
        <v>46463</v>
      </c>
      <c r="B90" s="413">
        <f>'2026'!Wh/'2026'!Env_an*'2027'!Env_an</f>
        <v>10.369391260646193</v>
      </c>
      <c r="C90" s="868"/>
      <c r="D90" s="395">
        <f t="shared" si="25"/>
        <v>11.158084175798363</v>
      </c>
      <c r="E90" s="387">
        <f t="shared" si="47"/>
        <v>12.138881149970473</v>
      </c>
      <c r="F90" s="387">
        <f t="shared" si="26"/>
        <v>12.138881149970473</v>
      </c>
      <c r="G90" s="110">
        <f t="shared" si="48"/>
        <v>0.271223760810343</v>
      </c>
      <c r="H90" s="416" t="b">
        <f>Wh_hp&gt;='2026'!Maxi_hp</f>
        <v>0</v>
      </c>
      <c r="I90" s="392">
        <f>IF(H90,Wh_hp,'2026'!Maxi_hp)</f>
        <v>24.974741617292128</v>
      </c>
      <c r="J90" s="85">
        <f>IF(H90,An,'2026'!An_max)</f>
        <v>2021</v>
      </c>
      <c r="K90" s="199">
        <f t="shared" si="27"/>
        <v>46463</v>
      </c>
      <c r="L90" s="147">
        <f>IF(t&lt;Tvie,1-EXP((T0-t)*PertePVj)+'2026'!Pspv,1-EXP((T0-t)*PertePVj)+Pspv)</f>
        <v>7.0683542329141757E-2</v>
      </c>
      <c r="M90" s="872"/>
      <c r="N90" s="872"/>
      <c r="O90" s="48">
        <f>IF(t&lt;Tnet,'2026'!Resal+('2026'!Salim-'2026'!Resal)*(1-EXP(('2026'!Tnet-t)/('2026'!Tau_j))),Resal+(Salim-Resal)*(1-EXP((Tnet-t)/(Tau_j))))*Salcycl</f>
        <v>8.0797971580312891E-2</v>
      </c>
      <c r="P90" s="171">
        <f>(INDEX(Models!$BJ90:$BT90,,T90)*(1-R90)+INDEX(Models!$BJ90:$BT90,,T90+1)*R90-ERP_i)*Q90*Ramure*Pc/MaxiM</f>
        <v>3.3796541810422352E-3</v>
      </c>
      <c r="Q90" s="307">
        <f t="shared" si="28"/>
        <v>0.9</v>
      </c>
      <c r="R90" s="179">
        <f t="shared" si="29"/>
        <v>0.58450876354093029</v>
      </c>
      <c r="S90" s="839">
        <f t="shared" si="30"/>
        <v>-2</v>
      </c>
      <c r="T90" s="178">
        <f t="shared" si="31"/>
        <v>4</v>
      </c>
      <c r="U90" s="253">
        <f t="shared" si="32"/>
        <v>-1.4154912364590697</v>
      </c>
      <c r="V90" s="385">
        <f t="shared" si="33"/>
        <v>38.102658385242741</v>
      </c>
      <c r="W90" s="404">
        <f t="shared" si="34"/>
        <v>10.369391260646193</v>
      </c>
      <c r="X90" s="157">
        <f t="shared" si="35"/>
        <v>46463</v>
      </c>
      <c r="Y90" s="387">
        <f t="shared" si="36"/>
        <v>9.5033422257306785</v>
      </c>
      <c r="Z90" s="387">
        <f t="shared" si="37"/>
        <v>10.226163700521202</v>
      </c>
      <c r="AA90" s="388">
        <f t="shared" si="38"/>
        <v>12.138881149970473</v>
      </c>
      <c r="AB90" s="199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0.15756950132541031</v>
      </c>
      <c r="AD90" s="233">
        <f>(INDEX(Models!$BJ90:$BT90,,AH90)*(1-AF90)+INDEX(Models!$BJ90:$BT90,,AH90+1)*AF90-ERP_i)*AE90*Ramure*Pc/MaxiM</f>
        <v>4.3781698400060881E-2</v>
      </c>
      <c r="AE90" s="307">
        <f t="shared" si="40"/>
        <v>0.9</v>
      </c>
      <c r="AF90" s="179">
        <f t="shared" si="41"/>
        <v>0.22016441584790902</v>
      </c>
      <c r="AG90" s="839">
        <f t="shared" si="49"/>
        <v>3</v>
      </c>
      <c r="AH90" s="178">
        <f t="shared" si="42"/>
        <v>9</v>
      </c>
      <c r="AI90" s="227">
        <f t="shared" si="43"/>
        <v>3.220164415847909</v>
      </c>
      <c r="AJ90" s="267" t="b">
        <f t="shared" si="44"/>
        <v>0</v>
      </c>
      <c r="AK90" s="267" t="b">
        <f t="shared" si="45"/>
        <v>0</v>
      </c>
      <c r="AL90" s="267"/>
      <c r="AM90" s="267"/>
      <c r="AN90" s="75"/>
    </row>
    <row r="91" spans="1:40" s="6" customFormat="1" ht="11.25" x14ac:dyDescent="0.2">
      <c r="A91" s="56">
        <f t="shared" si="46"/>
        <v>46464</v>
      </c>
      <c r="B91" s="413">
        <f>'2026'!Wh/'2026'!Env_an*'2027'!Env_an</f>
        <v>13.012291476137682</v>
      </c>
      <c r="C91" s="868"/>
      <c r="D91" s="395">
        <f t="shared" si="25"/>
        <v>14.002328475738594</v>
      </c>
      <c r="E91" s="387">
        <f t="shared" si="47"/>
        <v>15.235741478983002</v>
      </c>
      <c r="F91" s="387">
        <f t="shared" si="26"/>
        <v>15.238527461779839</v>
      </c>
      <c r="G91" s="110">
        <f t="shared" si="48"/>
        <v>0.33702419289924385</v>
      </c>
      <c r="H91" s="416" t="b">
        <f>Wh_hp&gt;='2026'!Maxi_hp</f>
        <v>0</v>
      </c>
      <c r="I91" s="392">
        <f>IF(H91,Wh_hp,'2026'!Maxi_hp)</f>
        <v>30.155899568656967</v>
      </c>
      <c r="J91" s="85">
        <f>IF(H91,An,'2026'!An_max)</f>
        <v>2019</v>
      </c>
      <c r="K91" s="199">
        <f t="shared" si="27"/>
        <v>46464</v>
      </c>
      <c r="L91" s="147">
        <f>IF(t&lt;Tvie,1-EXP((T0-t)*PertePVj)+'2026'!Pspv,1-EXP((T0-t)*PertePVj)+Pspv)</f>
        <v>7.0705168880755731E-2</v>
      </c>
      <c r="M91" s="872"/>
      <c r="N91" s="872"/>
      <c r="O91" s="48">
        <f>IF(t&lt;Tnet,'2026'!Resal+('2026'!Salim-'2026'!Resal)*(1-EXP(('2026'!Tnet-t)/('2026'!Tau_j))),Resal+(Salim-Resal)*(1-EXP((Tnet-t)/(Tau_j))))*Salcycl</f>
        <v>8.0955233123759934E-2</v>
      </c>
      <c r="P91" s="171">
        <f>(INDEX(Models!$BJ91:$BT91,,T91)*(1-R91)+INDEX(Models!$BJ91:$BT91,,T91+1)*R91-ERP_i)*Q91*Ramure*Pc/MaxiM</f>
        <v>3.3591385912079357E-3</v>
      </c>
      <c r="Q91" s="307">
        <f t="shared" si="28"/>
        <v>0.9</v>
      </c>
      <c r="R91" s="179">
        <f t="shared" si="29"/>
        <v>0.58535013845100581</v>
      </c>
      <c r="S91" s="839">
        <f t="shared" si="30"/>
        <v>-2</v>
      </c>
      <c r="T91" s="178">
        <f t="shared" si="31"/>
        <v>4</v>
      </c>
      <c r="U91" s="253">
        <f t="shared" si="32"/>
        <v>-1.4146498615489942</v>
      </c>
      <c r="V91" s="385">
        <f t="shared" si="33"/>
        <v>38.486711258630194</v>
      </c>
      <c r="W91" s="404">
        <f t="shared" si="34"/>
        <v>13.012291476137682</v>
      </c>
      <c r="X91" s="157">
        <f t="shared" si="35"/>
        <v>46464</v>
      </c>
      <c r="Y91" s="387">
        <f t="shared" si="36"/>
        <v>11.901293170439622</v>
      </c>
      <c r="Z91" s="387">
        <f t="shared" si="37"/>
        <v>12.806800136944359</v>
      </c>
      <c r="AA91" s="388">
        <f t="shared" si="38"/>
        <v>15.203602411549964</v>
      </c>
      <c r="AB91" s="199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0.15764699771317278</v>
      </c>
      <c r="AD91" s="233">
        <f>(INDEX(Models!$BJ91:$BT91,,AH91)*(1-AF91)+INDEX(Models!$BJ91:$BT91,,AH91+1)*AF91-ERP_i)*AE91*Ramure*Pc/MaxiM</f>
        <v>4.2110125073363099E-2</v>
      </c>
      <c r="AE91" s="307">
        <f t="shared" si="40"/>
        <v>0.9</v>
      </c>
      <c r="AF91" s="179">
        <f t="shared" si="41"/>
        <v>0.22100579075798477</v>
      </c>
      <c r="AG91" s="839">
        <f t="shared" si="49"/>
        <v>3</v>
      </c>
      <c r="AH91" s="178">
        <f t="shared" si="42"/>
        <v>9</v>
      </c>
      <c r="AI91" s="227">
        <f t="shared" si="43"/>
        <v>3.2210057907579848</v>
      </c>
      <c r="AJ91" s="267" t="b">
        <f t="shared" si="44"/>
        <v>0</v>
      </c>
      <c r="AK91" s="267" t="b">
        <f t="shared" si="45"/>
        <v>0</v>
      </c>
      <c r="AL91" s="267"/>
      <c r="AM91" s="267"/>
      <c r="AN91" s="75"/>
    </row>
    <row r="92" spans="1:40" s="6" customFormat="1" ht="11.25" x14ac:dyDescent="0.2">
      <c r="A92" s="56">
        <f t="shared" si="46"/>
        <v>46465</v>
      </c>
      <c r="B92" s="413">
        <f>'2026'!Wh/'2026'!Env_an*'2027'!Env_an</f>
        <v>26.203070461311984</v>
      </c>
      <c r="C92" s="868"/>
      <c r="D92" s="395">
        <f t="shared" si="25"/>
        <v>28.19738083302688</v>
      </c>
      <c r="E92" s="387">
        <f t="shared" si="47"/>
        <v>30.68644531292232</v>
      </c>
      <c r="F92" s="387">
        <f t="shared" si="26"/>
        <v>30.741252973283853</v>
      </c>
      <c r="G92" s="110">
        <f t="shared" si="48"/>
        <v>0.67311109544234049</v>
      </c>
      <c r="H92" s="416" t="b">
        <f>Wh_hp&gt;='2026'!Maxi_hp</f>
        <v>0</v>
      </c>
      <c r="I92" s="392">
        <f>IF(H92,Wh_hp,'2026'!Maxi_hp)</f>
        <v>42.600345506877346</v>
      </c>
      <c r="J92" s="85">
        <f>IF(H92,An,'2026'!An_max)</f>
        <v>2020</v>
      </c>
      <c r="K92" s="199">
        <f t="shared" si="27"/>
        <v>46465</v>
      </c>
      <c r="L92" s="147">
        <f>IF(t&lt;Tvie,1-EXP((T0-t)*PertePVj)+'2026'!Pspv,1-EXP((T0-t)*PertePVj)+Pspv)</f>
        <v>7.0726794929088288E-2</v>
      </c>
      <c r="M92" s="872"/>
      <c r="N92" s="872"/>
      <c r="O92" s="48">
        <f>IF(t&lt;Tnet,'2026'!Resal+('2026'!Salim-'2026'!Resal)*(1-EXP(('2026'!Tnet-t)/('2026'!Tau_j))),Resal+(Salim-Resal)*(1-EXP((Tnet-t)/(Tau_j))))*Salcycl</f>
        <v>8.1112831887611134E-2</v>
      </c>
      <c r="P92" s="171">
        <f>(INDEX(Models!$BJ92:$BT92,,T92)*(1-R92)+INDEX(Models!$BJ92:$BT92,,T92+1)*R92-ERP_i)*Q92*Ramure*Pc/MaxiM</f>
        <v>3.335498485972475E-3</v>
      </c>
      <c r="Q92" s="307">
        <f t="shared" si="28"/>
        <v>0.9</v>
      </c>
      <c r="R92" s="179">
        <f t="shared" si="29"/>
        <v>0.58622460031089507</v>
      </c>
      <c r="S92" s="839">
        <f t="shared" si="30"/>
        <v>-2</v>
      </c>
      <c r="T92" s="178">
        <f t="shared" si="31"/>
        <v>4</v>
      </c>
      <c r="U92" s="253">
        <f t="shared" si="32"/>
        <v>-1.4137753996891049</v>
      </c>
      <c r="V92" s="385">
        <f t="shared" si="33"/>
        <v>38.867750574815766</v>
      </c>
      <c r="W92" s="404">
        <f t="shared" si="34"/>
        <v>26.203070461311984</v>
      </c>
      <c r="X92" s="157">
        <f t="shared" si="35"/>
        <v>46465</v>
      </c>
      <c r="Y92" s="387">
        <f t="shared" si="36"/>
        <v>23.5407845835336</v>
      </c>
      <c r="Z92" s="387">
        <f t="shared" si="37"/>
        <v>25.332468917725041</v>
      </c>
      <c r="AA92" s="388">
        <f t="shared" si="38"/>
        <v>30.076257958678383</v>
      </c>
      <c r="AB92" s="199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0.1577253741961786</v>
      </c>
      <c r="AD92" s="233">
        <f>(INDEX(Models!$BJ92:$BT92,,AH92)*(1-AF92)+INDEX(Models!$BJ92:$BT92,,AH92+1)*AF92-ERP_i)*AE92*Ramure*Pc/MaxiM</f>
        <v>4.0470435150204438E-2</v>
      </c>
      <c r="AE92" s="307">
        <f t="shared" si="40"/>
        <v>0.9</v>
      </c>
      <c r="AF92" s="179">
        <f t="shared" si="41"/>
        <v>0.22188025261787381</v>
      </c>
      <c r="AG92" s="839">
        <f t="shared" si="49"/>
        <v>3</v>
      </c>
      <c r="AH92" s="178">
        <f t="shared" si="42"/>
        <v>9</v>
      </c>
      <c r="AI92" s="227">
        <f t="shared" si="43"/>
        <v>3.2218802526178738</v>
      </c>
      <c r="AJ92" s="267" t="b">
        <f t="shared" si="44"/>
        <v>0</v>
      </c>
      <c r="AK92" s="267" t="b">
        <f t="shared" si="45"/>
        <v>0</v>
      </c>
      <c r="AL92" s="267"/>
      <c r="AM92" s="267"/>
      <c r="AN92" s="75"/>
    </row>
    <row r="93" spans="1:40" s="6" customFormat="1" ht="11.25" x14ac:dyDescent="0.2">
      <c r="A93" s="56">
        <f t="shared" si="46"/>
        <v>46466</v>
      </c>
      <c r="B93" s="413">
        <f>'2026'!Wh/'2026'!Env_an*'2027'!Env_an</f>
        <v>29.551733846210755</v>
      </c>
      <c r="C93" s="868"/>
      <c r="D93" s="395">
        <f t="shared" si="25"/>
        <v>31.801650378995898</v>
      </c>
      <c r="E93" s="387">
        <f t="shared" si="47"/>
        <v>34.614825369526692</v>
      </c>
      <c r="F93" s="387">
        <f t="shared" si="26"/>
        <v>34.689090251388713</v>
      </c>
      <c r="G93" s="110">
        <f t="shared" si="48"/>
        <v>0.75206204405659061</v>
      </c>
      <c r="H93" s="416" t="b">
        <f>Wh_hp&gt;='2026'!Maxi_hp</f>
        <v>0</v>
      </c>
      <c r="I93" s="392">
        <f>IF(H93,Wh_hp,'2026'!Maxi_hp)</f>
        <v>46.71339553405334</v>
      </c>
      <c r="J93" s="85">
        <f>IF(H93,An,'2026'!An_max)</f>
        <v>2019</v>
      </c>
      <c r="K93" s="199">
        <f t="shared" si="27"/>
        <v>46466</v>
      </c>
      <c r="L93" s="147">
        <f>IF(t&lt;Tvie,1-EXP((T0-t)*PertePVj)+'2026'!Pspv,1-EXP((T0-t)*PertePVj)+Pspv)</f>
        <v>7.0748420474150975E-2</v>
      </c>
      <c r="M93" s="872"/>
      <c r="N93" s="872"/>
      <c r="O93" s="48">
        <f>IF(t&lt;Tnet,'2026'!Resal+('2026'!Salim-'2026'!Resal)*(1-EXP(('2026'!Tnet-t)/('2026'!Tau_j))),Resal+(Salim-Resal)*(1-EXP((Tnet-t)/(Tau_j))))*Salcycl</f>
        <v>8.1270812737000861E-2</v>
      </c>
      <c r="P93" s="171">
        <f>(INDEX(Models!$BJ93:$BT93,,T93)*(1-R93)+INDEX(Models!$BJ93:$BT93,,T93+1)*R93-ERP_i)*Q93*Ramure*Pc/MaxiM</f>
        <v>3.308604922256415E-3</v>
      </c>
      <c r="Q93" s="307">
        <f t="shared" si="28"/>
        <v>0.9</v>
      </c>
      <c r="R93" s="179">
        <f t="shared" si="29"/>
        <v>0.58713335708656511</v>
      </c>
      <c r="S93" s="839">
        <f t="shared" si="30"/>
        <v>-2</v>
      </c>
      <c r="T93" s="178">
        <f t="shared" si="31"/>
        <v>4</v>
      </c>
      <c r="U93" s="253">
        <f t="shared" si="32"/>
        <v>-1.4128666429134349</v>
      </c>
      <c r="V93" s="385">
        <f t="shared" si="33"/>
        <v>39.248292734501973</v>
      </c>
      <c r="W93" s="404">
        <f t="shared" si="34"/>
        <v>29.551733846210755</v>
      </c>
      <c r="X93" s="157">
        <f t="shared" si="35"/>
        <v>46466</v>
      </c>
      <c r="Y93" s="387">
        <f t="shared" si="36"/>
        <v>26.465462588316299</v>
      </c>
      <c r="Z93" s="387">
        <f t="shared" si="37"/>
        <v>28.480406352196152</v>
      </c>
      <c r="AA93" s="388">
        <f t="shared" si="38"/>
        <v>33.816867430573105</v>
      </c>
      <c r="AB93" s="199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0.15780471355996661</v>
      </c>
      <c r="AD93" s="233">
        <f>(INDEX(Models!$BJ93:$BT93,,AH93)*(1-AF93)+INDEX(Models!$BJ93:$BT93,,AH93+1)*AF93-ERP_i)*AE93*Ramure*Pc/MaxiM</f>
        <v>3.8858753234356128E-2</v>
      </c>
      <c r="AE93" s="307">
        <f t="shared" si="40"/>
        <v>0.9</v>
      </c>
      <c r="AF93" s="179">
        <f t="shared" si="41"/>
        <v>0.22278900939354385</v>
      </c>
      <c r="AG93" s="839">
        <f t="shared" si="49"/>
        <v>3</v>
      </c>
      <c r="AH93" s="178">
        <f t="shared" si="42"/>
        <v>9</v>
      </c>
      <c r="AI93" s="227">
        <f t="shared" si="43"/>
        <v>3.2227890093935438</v>
      </c>
      <c r="AJ93" s="267" t="b">
        <f t="shared" si="44"/>
        <v>0</v>
      </c>
      <c r="AK93" s="267" t="b">
        <f t="shared" si="45"/>
        <v>0</v>
      </c>
      <c r="AL93" s="267"/>
      <c r="AM93" s="267"/>
      <c r="AN93" s="75"/>
    </row>
    <row r="94" spans="1:40" s="6" customFormat="1" ht="11.25" x14ac:dyDescent="0.2">
      <c r="A94" s="56">
        <f t="shared" si="46"/>
        <v>46467</v>
      </c>
      <c r="B94" s="413">
        <f>'2026'!Wh/'2026'!Env_an*'2027'!Env_an</f>
        <v>39.611791384281105</v>
      </c>
      <c r="C94" s="868"/>
      <c r="D94" s="395">
        <f t="shared" si="25"/>
        <v>42.628620819994538</v>
      </c>
      <c r="E94" s="387">
        <f t="shared" si="47"/>
        <v>46.407551619058921</v>
      </c>
      <c r="F94" s="387">
        <f t="shared" si="26"/>
        <v>46.560019644211657</v>
      </c>
      <c r="G94" s="110">
        <f t="shared" si="48"/>
        <v>0.99951855248065657</v>
      </c>
      <c r="H94" s="416" t="b">
        <f>Wh_hp&gt;='2026'!Maxi_hp</f>
        <v>0</v>
      </c>
      <c r="I94" s="392">
        <f>IF(H94,Wh_hp,'2026'!Maxi_hp)</f>
        <v>47.074007170656884</v>
      </c>
      <c r="J94" s="85">
        <f>IF(H94,An,'2026'!An_max)</f>
        <v>2020</v>
      </c>
      <c r="K94" s="199">
        <f t="shared" si="27"/>
        <v>46467</v>
      </c>
      <c r="L94" s="147">
        <f>IF(t&lt;Tvie,1-EXP((T0-t)*PertePVj)+'2026'!Pspv,1-EXP((T0-t)*PertePVj)+Pspv)</f>
        <v>7.0770045515955782E-2</v>
      </c>
      <c r="M94" s="872"/>
      <c r="N94" s="872"/>
      <c r="O94" s="48">
        <f>IF(t&lt;Tnet,'2026'!Resal+('2026'!Salim-'2026'!Resal)*(1-EXP(('2026'!Tnet-t)/('2026'!Tau_j))),Resal+(Salim-Resal)*(1-EXP((Tnet-t)/(Tau_j))))*Salcycl</f>
        <v>8.1429221478524008E-2</v>
      </c>
      <c r="P94" s="171">
        <f>(INDEX(Models!$BJ94:$BT94,,T94)*(1-R94)+INDEX(Models!$BJ94:$BT94,,T94+1)*R94-ERP_i)*Q94*Ramure*Pc/MaxiM</f>
        <v>3.2768987777506615E-3</v>
      </c>
      <c r="Q94" s="307">
        <f t="shared" si="28"/>
        <v>0.9</v>
      </c>
      <c r="R94" s="179">
        <f t="shared" si="29"/>
        <v>0.58807765315214544</v>
      </c>
      <c r="S94" s="839">
        <f t="shared" si="30"/>
        <v>-2</v>
      </c>
      <c r="T94" s="178">
        <f t="shared" si="31"/>
        <v>4</v>
      </c>
      <c r="U94" s="253">
        <f t="shared" si="32"/>
        <v>-1.4119223468478546</v>
      </c>
      <c r="V94" s="385">
        <f t="shared" si="33"/>
        <v>39.630782374587653</v>
      </c>
      <c r="W94" s="404">
        <f t="shared" si="34"/>
        <v>39.611791384281105</v>
      </c>
      <c r="X94" s="157">
        <f t="shared" si="35"/>
        <v>46467</v>
      </c>
      <c r="Y94" s="387">
        <f t="shared" si="36"/>
        <v>35.075975156999348</v>
      </c>
      <c r="Z94" s="387">
        <f t="shared" si="37"/>
        <v>37.747357355128869</v>
      </c>
      <c r="AA94" s="388">
        <f t="shared" si="38"/>
        <v>44.824473896819256</v>
      </c>
      <c r="AB94" s="199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0.15788509995635613</v>
      </c>
      <c r="AD94" s="233">
        <f>(INDEX(Models!$BJ94:$BT94,,AH94)*(1-AF94)+INDEX(Models!$BJ94:$BT94,,AH94+1)*AF94-ERP_i)*AE94*Ramure*Pc/MaxiM</f>
        <v>3.7300986437407466E-2</v>
      </c>
      <c r="AE94" s="307">
        <f t="shared" si="40"/>
        <v>0.9</v>
      </c>
      <c r="AF94" s="179">
        <f t="shared" si="41"/>
        <v>0.2237333054591244</v>
      </c>
      <c r="AG94" s="839">
        <f t="shared" si="49"/>
        <v>3</v>
      </c>
      <c r="AH94" s="178">
        <f t="shared" si="42"/>
        <v>9</v>
      </c>
      <c r="AI94" s="227">
        <f t="shared" si="43"/>
        <v>3.2237333054591244</v>
      </c>
      <c r="AJ94" s="267" t="b">
        <f t="shared" si="44"/>
        <v>0</v>
      </c>
      <c r="AK94" s="267" t="b">
        <f t="shared" si="45"/>
        <v>0</v>
      </c>
      <c r="AL94" s="267"/>
      <c r="AM94" s="267"/>
      <c r="AN94" s="75"/>
    </row>
    <row r="95" spans="1:40" s="6" customFormat="1" ht="11.25" x14ac:dyDescent="0.2">
      <c r="A95" s="56">
        <f t="shared" si="46"/>
        <v>46468</v>
      </c>
      <c r="B95" s="413">
        <f>'2026'!Wh/'2026'!Env_an*'2027'!Env_an</f>
        <v>36.635364960101604</v>
      </c>
      <c r="C95" s="868"/>
      <c r="D95" s="395">
        <f t="shared" si="25"/>
        <v>39.426427615269986</v>
      </c>
      <c r="E95" s="387">
        <f t="shared" si="47"/>
        <v>42.928916554934951</v>
      </c>
      <c r="F95" s="387">
        <f t="shared" si="26"/>
        <v>43.051652738356033</v>
      </c>
      <c r="G95" s="110">
        <f t="shared" si="48"/>
        <v>0.91519555509176753</v>
      </c>
      <c r="H95" s="416" t="b">
        <f>Wh_hp&gt;='2026'!Maxi_hp</f>
        <v>0</v>
      </c>
      <c r="I95" s="392">
        <f>IF(H95,Wh_hp,'2026'!Maxi_hp)</f>
        <v>46.536327342743263</v>
      </c>
      <c r="J95" s="85">
        <f>IF(H95,An,'2026'!An_max)</f>
        <v>2020</v>
      </c>
      <c r="K95" s="199">
        <f t="shared" si="27"/>
        <v>46468</v>
      </c>
      <c r="L95" s="147">
        <f>IF(t&lt;Tvie,1-EXP((T0-t)*PertePVj)+'2026'!Pspv,1-EXP((T0-t)*PertePVj)+Pspv)</f>
        <v>7.0791670054514255E-2</v>
      </c>
      <c r="M95" s="872"/>
      <c r="N95" s="872"/>
      <c r="O95" s="48">
        <f>IF(t&lt;Tnet,'2026'!Resal+('2026'!Salim-'2026'!Resal)*(1-EXP(('2026'!Tnet-t)/('2026'!Tau_j))),Resal+(Salim-Resal)*(1-EXP((Tnet-t)/(Tau_j))))*Salcycl</f>
        <v>8.1588104726168106E-2</v>
      </c>
      <c r="P95" s="171">
        <f>(INDEX(Models!$BJ95:$BT95,,T95)*(1-R95)+INDEX(Models!$BJ95:$BT95,,T95+1)*R95-ERP_i)*Q95*Ramure*Pc/MaxiM</f>
        <v>3.2420089209695313E-3</v>
      </c>
      <c r="Q95" s="307">
        <f t="shared" si="28"/>
        <v>0.9</v>
      </c>
      <c r="R95" s="179">
        <f t="shared" si="29"/>
        <v>0.58905876973779003</v>
      </c>
      <c r="S95" s="839">
        <f t="shared" si="30"/>
        <v>-2</v>
      </c>
      <c r="T95" s="178">
        <f t="shared" si="31"/>
        <v>4</v>
      </c>
      <c r="U95" s="253">
        <f t="shared" si="32"/>
        <v>-1.41094123026221</v>
      </c>
      <c r="V95" s="385">
        <f t="shared" si="33"/>
        <v>40.014394263555289</v>
      </c>
      <c r="W95" s="404">
        <f t="shared" si="34"/>
        <v>36.635364960101604</v>
      </c>
      <c r="X95" s="157">
        <f t="shared" si="35"/>
        <v>46468</v>
      </c>
      <c r="Y95" s="387">
        <f t="shared" si="36"/>
        <v>32.623988203903394</v>
      </c>
      <c r="Z95" s="387">
        <f t="shared" si="37"/>
        <v>35.109444408249502</v>
      </c>
      <c r="AA95" s="388">
        <f t="shared" si="38"/>
        <v>41.696024392038296</v>
      </c>
      <c r="AB95" s="199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0.15796661863634348</v>
      </c>
      <c r="AD95" s="233">
        <f>(INDEX(Models!$BJ95:$BT95,,AH95)*(1-AF95)+INDEX(Models!$BJ95:$BT95,,AH95+1)*AF95-ERP_i)*AE95*Ramure*Pc/MaxiM</f>
        <v>3.5808178727565358E-2</v>
      </c>
      <c r="AE95" s="307">
        <f t="shared" si="40"/>
        <v>0.9</v>
      </c>
      <c r="AF95" s="179">
        <f t="shared" si="41"/>
        <v>0.22471442204476899</v>
      </c>
      <c r="AG95" s="839">
        <f t="shared" si="49"/>
        <v>3</v>
      </c>
      <c r="AH95" s="178">
        <f t="shared" si="42"/>
        <v>9</v>
      </c>
      <c r="AI95" s="227">
        <f t="shared" si="43"/>
        <v>3.224714422044769</v>
      </c>
      <c r="AJ95" s="267" t="b">
        <f t="shared" si="44"/>
        <v>0</v>
      </c>
      <c r="AK95" s="267" t="b">
        <f t="shared" si="45"/>
        <v>0</v>
      </c>
      <c r="AL95" s="267"/>
      <c r="AM95" s="267"/>
      <c r="AN95" s="75"/>
    </row>
    <row r="96" spans="1:40" s="6" customFormat="1" ht="11.25" x14ac:dyDescent="0.2">
      <c r="A96" s="56">
        <f t="shared" si="46"/>
        <v>46469</v>
      </c>
      <c r="B96" s="413">
        <f>'2026'!Wh/'2026'!Env_an*'2027'!Env_an</f>
        <v>41.391816527808736</v>
      </c>
      <c r="C96" s="868"/>
      <c r="D96" s="395">
        <f t="shared" si="25"/>
        <v>44.546285762089546</v>
      </c>
      <c r="E96" s="387">
        <f t="shared" si="47"/>
        <v>48.512022821529527</v>
      </c>
      <c r="F96" s="387">
        <f t="shared" si="26"/>
        <v>48.667959104368599</v>
      </c>
      <c r="G96" s="110">
        <f t="shared" si="48"/>
        <v>1.0245914803834315</v>
      </c>
      <c r="H96" s="416" t="b">
        <f>Wh_hp&gt;='2026'!Maxi_hp</f>
        <v>1</v>
      </c>
      <c r="I96" s="392">
        <f>IF(H96,Wh_hp,'2026'!Maxi_hp)</f>
        <v>48.667959104368599</v>
      </c>
      <c r="J96" s="85">
        <f>IF(H96,An,'2026'!An_max)</f>
        <v>2027</v>
      </c>
      <c r="K96" s="199">
        <f t="shared" si="27"/>
        <v>46469</v>
      </c>
      <c r="L96" s="147">
        <f>IF(t&lt;Tvie,1-EXP((T0-t)*PertePVj)+'2026'!Pspv,1-EXP((T0-t)*PertePVj)+Pspv)</f>
        <v>7.0813294089838053E-2</v>
      </c>
      <c r="M96" s="872"/>
      <c r="N96" s="872"/>
      <c r="O96" s="48">
        <f>IF(t&lt;Tnet,'2026'!Resal+('2026'!Salim-'2026'!Resal)*(1-EXP(('2026'!Tnet-t)/('2026'!Tau_j))),Resal+(Salim-Resal)*(1-EXP((Tnet-t)/(Tau_j))))*Salcycl</f>
        <v>8.1747509767413656E-2</v>
      </c>
      <c r="P96" s="171">
        <f>(INDEX(Models!$BJ96:$BT96,,T96)*(1-R96)+INDEX(Models!$BJ96:$BT96,,T96+1)*R96-ERP_i)*Q96*Ramure*Pc/MaxiM</f>
        <v>3.2040851046304113E-3</v>
      </c>
      <c r="Q96" s="307">
        <f t="shared" si="28"/>
        <v>0.9</v>
      </c>
      <c r="R96" s="179">
        <f t="shared" si="29"/>
        <v>0.59007802532100251</v>
      </c>
      <c r="S96" s="839">
        <f t="shared" si="30"/>
        <v>-2</v>
      </c>
      <c r="T96" s="178">
        <f t="shared" si="31"/>
        <v>4</v>
      </c>
      <c r="U96" s="253">
        <f t="shared" si="32"/>
        <v>-1.4099219746789975</v>
      </c>
      <c r="V96" s="385">
        <f t="shared" si="33"/>
        <v>40.39836102513631</v>
      </c>
      <c r="W96" s="404">
        <f t="shared" si="34"/>
        <v>41.391816527808736</v>
      </c>
      <c r="X96" s="157">
        <f t="shared" si="35"/>
        <v>46469</v>
      </c>
      <c r="Y96" s="387">
        <f t="shared" si="36"/>
        <v>36.765412383932926</v>
      </c>
      <c r="Z96" s="387">
        <f t="shared" si="37"/>
        <v>39.567303481726285</v>
      </c>
      <c r="AA96" s="388">
        <f t="shared" si="38"/>
        <v>46.994801594277078</v>
      </c>
      <c r="AB96" s="199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0.15804935568565728</v>
      </c>
      <c r="AD96" s="233">
        <f>(INDEX(Models!$BJ96:$BT96,,AH96)*(1-AF96)+INDEX(Models!$BJ96:$BT96,,AH96+1)*AF96-ERP_i)*AE96*Ramure*Pc/MaxiM</f>
        <v>3.4379035835536698E-2</v>
      </c>
      <c r="AE96" s="307">
        <f t="shared" si="40"/>
        <v>0.9</v>
      </c>
      <c r="AF96" s="179">
        <f t="shared" si="41"/>
        <v>0.22573367762798124</v>
      </c>
      <c r="AG96" s="839">
        <f t="shared" si="49"/>
        <v>3</v>
      </c>
      <c r="AH96" s="178">
        <f t="shared" si="42"/>
        <v>9</v>
      </c>
      <c r="AI96" s="227">
        <f t="shared" si="43"/>
        <v>3.2257336776279812</v>
      </c>
      <c r="AJ96" s="267" t="b">
        <f t="shared" si="44"/>
        <v>0</v>
      </c>
      <c r="AK96" s="267" t="b">
        <f t="shared" si="45"/>
        <v>0</v>
      </c>
      <c r="AL96" s="267"/>
      <c r="AM96" s="267"/>
      <c r="AN96" s="75"/>
    </row>
    <row r="97" spans="1:40" s="6" customFormat="1" ht="11.25" x14ac:dyDescent="0.2">
      <c r="A97" s="56">
        <f t="shared" si="46"/>
        <v>46470</v>
      </c>
      <c r="B97" s="413">
        <f>'2026'!Wh/'2026'!Env_an*'2027'!Env_an</f>
        <v>40.800353960281093</v>
      </c>
      <c r="C97" s="868"/>
      <c r="D97" s="395">
        <f t="shared" si="25"/>
        <v>43.910769715816919</v>
      </c>
      <c r="E97" s="387">
        <f t="shared" si="47"/>
        <v>47.828262371325096</v>
      </c>
      <c r="F97" s="387">
        <f t="shared" si="26"/>
        <v>47.980036095825021</v>
      </c>
      <c r="G97" s="110">
        <f t="shared" si="48"/>
        <v>1.0004521160685849</v>
      </c>
      <c r="H97" s="416" t="b">
        <f>Wh_hp&gt;='2026'!Maxi_hp</f>
        <v>1</v>
      </c>
      <c r="I97" s="392">
        <f>IF(H97,Wh_hp,'2026'!Maxi_hp)</f>
        <v>47.980036095825021</v>
      </c>
      <c r="J97" s="85">
        <f>IF(H97,An,'2026'!An_max)</f>
        <v>2027</v>
      </c>
      <c r="K97" s="199">
        <f t="shared" si="27"/>
        <v>46470</v>
      </c>
      <c r="L97" s="147">
        <f>IF(t&lt;Tvie,1-EXP((T0-t)*PertePVj)+'2026'!Pspv,1-EXP((T0-t)*PertePVj)+Pspv)</f>
        <v>7.0834917621938942E-2</v>
      </c>
      <c r="M97" s="872"/>
      <c r="N97" s="872"/>
      <c r="O97" s="48">
        <f>IF(t&lt;Tnet,'2026'!Resal+('2026'!Salim-'2026'!Resal)*(1-EXP(('2026'!Tnet-t)/('2026'!Tau_j))),Resal+(Salim-Resal)*(1-EXP((Tnet-t)/(Tau_j))))*Salcycl</f>
        <v>8.1907484430311761E-2</v>
      </c>
      <c r="P97" s="171">
        <f>(INDEX(Models!$BJ97:$BT97,,T97)*(1-R97)+INDEX(Models!$BJ97:$BT97,,T97+1)*R97-ERP_i)*Q97*Ramure*Pc/MaxiM</f>
        <v>3.1632682434170464E-3</v>
      </c>
      <c r="Q97" s="307">
        <f t="shared" si="28"/>
        <v>0.9</v>
      </c>
      <c r="R97" s="179">
        <f t="shared" si="29"/>
        <v>0.59113677595458625</v>
      </c>
      <c r="S97" s="839">
        <f t="shared" si="30"/>
        <v>-2</v>
      </c>
      <c r="T97" s="178">
        <f t="shared" si="31"/>
        <v>4</v>
      </c>
      <c r="U97" s="253">
        <f t="shared" si="32"/>
        <v>-1.4088632240454138</v>
      </c>
      <c r="V97" s="385">
        <f t="shared" si="33"/>
        <v>40.781915800839862</v>
      </c>
      <c r="W97" s="404">
        <f t="shared" si="34"/>
        <v>40.800353960281093</v>
      </c>
      <c r="X97" s="157">
        <f t="shared" si="35"/>
        <v>46470</v>
      </c>
      <c r="Y97" s="387">
        <f t="shared" si="36"/>
        <v>36.292570762641567</v>
      </c>
      <c r="Z97" s="387">
        <f t="shared" si="37"/>
        <v>39.059335580880941</v>
      </c>
      <c r="AA97" s="388">
        <f t="shared" si="38"/>
        <v>46.396110116688341</v>
      </c>
      <c r="AB97" s="199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0.15813339776449101</v>
      </c>
      <c r="AD97" s="233">
        <f>(INDEX(Models!$BJ97:$BT97,,AH97)*(1-AF97)+INDEX(Models!$BJ97:$BT97,,AH97+1)*AF97-ERP_i)*AE97*Ramure*Pc/MaxiM</f>
        <v>3.301218815203228E-2</v>
      </c>
      <c r="AE97" s="307">
        <f t="shared" si="40"/>
        <v>0.9</v>
      </c>
      <c r="AF97" s="179">
        <f t="shared" si="41"/>
        <v>0.22679242826156498</v>
      </c>
      <c r="AG97" s="839">
        <f t="shared" si="49"/>
        <v>3</v>
      </c>
      <c r="AH97" s="178">
        <f t="shared" si="42"/>
        <v>9</v>
      </c>
      <c r="AI97" s="227">
        <f t="shared" si="43"/>
        <v>3.226792428261565</v>
      </c>
      <c r="AJ97" s="267" t="b">
        <f t="shared" si="44"/>
        <v>0</v>
      </c>
      <c r="AK97" s="267" t="b">
        <f t="shared" si="45"/>
        <v>0</v>
      </c>
      <c r="AL97" s="267"/>
      <c r="AM97" s="267"/>
      <c r="AN97" s="75"/>
    </row>
    <row r="98" spans="1:40" s="6" customFormat="1" ht="11.25" x14ac:dyDescent="0.2">
      <c r="A98" s="56">
        <f t="shared" si="46"/>
        <v>46471</v>
      </c>
      <c r="B98" s="413">
        <f>'2026'!Wh/'2026'!Env_an*'2027'!Env_an</f>
        <v>37.343903841427654</v>
      </c>
      <c r="C98" s="868"/>
      <c r="D98" s="395">
        <f t="shared" si="25"/>
        <v>40.191752377599038</v>
      </c>
      <c r="E98" s="387">
        <f t="shared" si="47"/>
        <v>43.785112347061087</v>
      </c>
      <c r="F98" s="387">
        <f t="shared" si="26"/>
        <v>43.903919489054374</v>
      </c>
      <c r="G98" s="110">
        <f t="shared" si="48"/>
        <v>0.90681543979498858</v>
      </c>
      <c r="H98" s="416" t="b">
        <f>Wh_hp&gt;='2026'!Maxi_hp</f>
        <v>0</v>
      </c>
      <c r="I98" s="392">
        <f>IF(H98,Wh_hp,'2026'!Maxi_hp)</f>
        <v>46.654104834621393</v>
      </c>
      <c r="J98" s="85">
        <f>IF(H98,An,'2026'!An_max)</f>
        <v>2020</v>
      </c>
      <c r="K98" s="199">
        <f t="shared" si="27"/>
        <v>46471</v>
      </c>
      <c r="L98" s="147">
        <f>IF(t&lt;Tvie,1-EXP((T0-t)*PertePVj)+'2026'!Pspv,1-EXP((T0-t)*PertePVj)+Pspv)</f>
        <v>7.0856540650828692E-2</v>
      </c>
      <c r="M98" s="872"/>
      <c r="N98" s="872"/>
      <c r="O98" s="48">
        <f>IF(t&lt;Tnet,'2026'!Resal+('2026'!Salim-'2026'!Resal)*(1-EXP(('2026'!Tnet-t)/('2026'!Tau_j))),Resal+(Salim-Resal)*(1-EXP((Tnet-t)/(Tau_j))))*Salcycl</f>
        <v>8.2068076952262189E-2</v>
      </c>
      <c r="P98" s="171">
        <f>(INDEX(Models!$BJ98:$BT98,,T98)*(1-R98)+INDEX(Models!$BJ98:$BT98,,T98+1)*R98-ERP_i)*Q98*Ramure*Pc/MaxiM</f>
        <v>3.1196902567812959E-3</v>
      </c>
      <c r="Q98" s="307">
        <f t="shared" si="28"/>
        <v>0.9</v>
      </c>
      <c r="R98" s="179">
        <f t="shared" si="29"/>
        <v>0.59223641552393236</v>
      </c>
      <c r="S98" s="839">
        <f t="shared" si="30"/>
        <v>-2</v>
      </c>
      <c r="T98" s="178">
        <f t="shared" si="31"/>
        <v>4</v>
      </c>
      <c r="U98" s="253">
        <f t="shared" si="32"/>
        <v>-1.4077635844760676</v>
      </c>
      <c r="V98" s="385">
        <f t="shared" si="33"/>
        <v>41.164292257994695</v>
      </c>
      <c r="W98" s="404">
        <f t="shared" si="34"/>
        <v>37.343903841427654</v>
      </c>
      <c r="X98" s="157">
        <f t="shared" si="35"/>
        <v>46471</v>
      </c>
      <c r="Y98" s="387">
        <f t="shared" si="36"/>
        <v>33.39440964609733</v>
      </c>
      <c r="Z98" s="387">
        <f t="shared" si="37"/>
        <v>35.941069498017896</v>
      </c>
      <c r="AA98" s="388">
        <f t="shared" si="38"/>
        <v>42.696452306154285</v>
      </c>
      <c r="AB98" s="199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0.15821883185275007</v>
      </c>
      <c r="AD98" s="233">
        <f>(INDEX(Models!$BJ98:$BT98,,AH98)*(1-AF98)+INDEX(Models!$BJ98:$BT98,,AH98+1)*AF98-ERP_i)*AE98*Ramure*Pc/MaxiM</f>
        <v>3.1706205053643605E-2</v>
      </c>
      <c r="AE98" s="307">
        <f t="shared" si="40"/>
        <v>0.9</v>
      </c>
      <c r="AF98" s="179">
        <f t="shared" si="41"/>
        <v>0.22789206783091132</v>
      </c>
      <c r="AG98" s="839">
        <f t="shared" si="49"/>
        <v>3</v>
      </c>
      <c r="AH98" s="178">
        <f t="shared" si="42"/>
        <v>9</v>
      </c>
      <c r="AI98" s="227">
        <f t="shared" si="43"/>
        <v>3.2278920678309113</v>
      </c>
      <c r="AJ98" s="267" t="b">
        <f t="shared" si="44"/>
        <v>0</v>
      </c>
      <c r="AK98" s="267" t="b">
        <f t="shared" si="45"/>
        <v>0</v>
      </c>
      <c r="AL98" s="267"/>
      <c r="AM98" s="267"/>
      <c r="AN98" s="75"/>
    </row>
    <row r="99" spans="1:40" s="6" customFormat="1" ht="11.25" x14ac:dyDescent="0.2">
      <c r="A99" s="56">
        <f t="shared" si="46"/>
        <v>46472</v>
      </c>
      <c r="B99" s="413">
        <f>'2026'!Wh/'2026'!Env_an*'2027'!Env_an</f>
        <v>40.325322050861239</v>
      </c>
      <c r="C99" s="868"/>
      <c r="D99" s="395">
        <f t="shared" si="25"/>
        <v>43.401543750954204</v>
      </c>
      <c r="E99" s="387">
        <f t="shared" si="47"/>
        <v>47.290184189101282</v>
      </c>
      <c r="F99" s="387">
        <f t="shared" si="26"/>
        <v>47.429846149009933</v>
      </c>
      <c r="G99" s="110">
        <f t="shared" si="48"/>
        <v>0.970522978096096</v>
      </c>
      <c r="H99" s="416" t="b">
        <f>Wh_hp&gt;='2026'!Maxi_hp</f>
        <v>0</v>
      </c>
      <c r="I99" s="392">
        <f>IF(H99,Wh_hp,'2026'!Maxi_hp)</f>
        <v>49.888240917785708</v>
      </c>
      <c r="J99" s="85">
        <f>IF(H99,An,'2026'!An_max)</f>
        <v>2019</v>
      </c>
      <c r="K99" s="199">
        <f t="shared" si="27"/>
        <v>46472</v>
      </c>
      <c r="L99" s="147">
        <f>IF(t&lt;Tvie,1-EXP((T0-t)*PertePVj)+'2026'!Pspv,1-EXP((T0-t)*PertePVj)+Pspv)</f>
        <v>7.0878163176519071E-2</v>
      </c>
      <c r="M99" s="872"/>
      <c r="N99" s="872"/>
      <c r="O99" s="48">
        <f>IF(t&lt;Tnet,'2026'!Resal+('2026'!Salim-'2026'!Resal)*(1-EXP(('2026'!Tnet-t)/('2026'!Tau_j))),Resal+(Salim-Resal)*(1-EXP((Tnet-t)/(Tau_j))))*Salcycl</f>
        <v>8.2229335851123075E-2</v>
      </c>
      <c r="P99" s="171">
        <f>(INDEX(Models!$BJ99:$BT99,,T99)*(1-R99)+INDEX(Models!$BJ99:$BT99,,T99+1)*R99-ERP_i)*Q99*Ramure*Pc/MaxiM</f>
        <v>3.0734739670791496E-3</v>
      </c>
      <c r="Q99" s="307">
        <f t="shared" si="28"/>
        <v>0.9</v>
      </c>
      <c r="R99" s="179">
        <f t="shared" si="29"/>
        <v>0.59337837592589748</v>
      </c>
      <c r="S99" s="839">
        <f t="shared" si="30"/>
        <v>-2</v>
      </c>
      <c r="T99" s="178">
        <f t="shared" si="31"/>
        <v>4</v>
      </c>
      <c r="U99" s="253">
        <f t="shared" si="32"/>
        <v>-1.4066216240741025</v>
      </c>
      <c r="V99" s="385">
        <f t="shared" si="33"/>
        <v>41.544724605677942</v>
      </c>
      <c r="W99" s="404">
        <f t="shared" si="34"/>
        <v>40.325322050861239</v>
      </c>
      <c r="X99" s="157">
        <f t="shared" si="35"/>
        <v>46472</v>
      </c>
      <c r="Y99" s="387">
        <f t="shared" si="36"/>
        <v>36.00944118182035</v>
      </c>
      <c r="Z99" s="387">
        <f t="shared" si="37"/>
        <v>38.75642542740237</v>
      </c>
      <c r="AA99" s="388">
        <f t="shared" si="38"/>
        <v>46.045728834744892</v>
      </c>
      <c r="AB99" s="199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0.15830574500196004</v>
      </c>
      <c r="AD99" s="233">
        <f>(INDEX(Models!$BJ99:$BT99,,AH99)*(1-AF99)+INDEX(Models!$BJ99:$BT99,,AH99+1)*AF99-ERP_i)*AE99*Ramure*Pc/MaxiM</f>
        <v>3.0459607867163809E-2</v>
      </c>
      <c r="AE99" s="307">
        <f t="shared" si="40"/>
        <v>0.9</v>
      </c>
      <c r="AF99" s="179">
        <f t="shared" si="41"/>
        <v>0.22903402823287644</v>
      </c>
      <c r="AG99" s="839">
        <f t="shared" si="49"/>
        <v>3</v>
      </c>
      <c r="AH99" s="178">
        <f t="shared" si="42"/>
        <v>9</v>
      </c>
      <c r="AI99" s="227">
        <f t="shared" si="43"/>
        <v>3.2290340282328764</v>
      </c>
      <c r="AJ99" s="267" t="b">
        <f t="shared" si="44"/>
        <v>0</v>
      </c>
      <c r="AK99" s="267" t="b">
        <f t="shared" si="45"/>
        <v>0</v>
      </c>
      <c r="AL99" s="267"/>
      <c r="AM99" s="267"/>
      <c r="AN99" s="75"/>
    </row>
    <row r="100" spans="1:40" s="6" customFormat="1" ht="11.25" x14ac:dyDescent="0.2">
      <c r="A100" s="56">
        <f t="shared" si="46"/>
        <v>46473</v>
      </c>
      <c r="B100" s="413">
        <f>'2026'!Wh/'2026'!Env_an*'2027'!Env_an</f>
        <v>39.806378373755052</v>
      </c>
      <c r="C100" s="868"/>
      <c r="D100" s="395">
        <f t="shared" si="25"/>
        <v>42.844009440124744</v>
      </c>
      <c r="E100" s="387">
        <f t="shared" si="47"/>
        <v>46.690936885905671</v>
      </c>
      <c r="F100" s="387">
        <f t="shared" si="26"/>
        <v>46.82231805829128</v>
      </c>
      <c r="G100" s="110">
        <f t="shared" si="48"/>
        <v>0.9493158738995725</v>
      </c>
      <c r="H100" s="416" t="b">
        <f>Wh_hp&gt;='2026'!Maxi_hp</f>
        <v>0</v>
      </c>
      <c r="I100" s="392">
        <f>IF(H100,Wh_hp,'2026'!Maxi_hp)</f>
        <v>49.214148253624103</v>
      </c>
      <c r="J100" s="85">
        <f>IF(H100,An,'2026'!An_max)</f>
        <v>2019</v>
      </c>
      <c r="K100" s="199">
        <f t="shared" si="27"/>
        <v>46473</v>
      </c>
      <c r="L100" s="147">
        <f>IF(t&lt;Tvie,1-EXP((T0-t)*PertePVj)+'2026'!Pspv,1-EXP((T0-t)*PertePVj)+Pspv)</f>
        <v>7.0899785199021514E-2</v>
      </c>
      <c r="M100" s="872"/>
      <c r="N100" s="872"/>
      <c r="O100" s="48">
        <f>IF(t&lt;Tnet,'2026'!Resal+('2026'!Salim-'2026'!Resal)*(1-EXP(('2026'!Tnet-t)/('2026'!Tau_j))),Resal+(Salim-Resal)*(1-EXP((Tnet-t)/(Tau_j))))*Salcycl</f>
        <v>8.2391309799186699E-2</v>
      </c>
      <c r="P100" s="171">
        <f>(INDEX(Models!$BJ100:$BT100,,T100)*(1-R100)+INDEX(Models!$BJ100:$BT100,,T100+1)*R100-ERP_i)*Q100*Ramure*Pc/MaxiM</f>
        <v>3.0240111468125015E-3</v>
      </c>
      <c r="Q100" s="307">
        <f t="shared" si="28"/>
        <v>0.9</v>
      </c>
      <c r="R100" s="179">
        <f t="shared" si="29"/>
        <v>0.59456412716104778</v>
      </c>
      <c r="S100" s="839">
        <f t="shared" si="30"/>
        <v>-2</v>
      </c>
      <c r="T100" s="178">
        <f t="shared" si="31"/>
        <v>4</v>
      </c>
      <c r="U100" s="253">
        <f t="shared" si="32"/>
        <v>-1.4054358728389522</v>
      </c>
      <c r="V100" s="385">
        <f t="shared" si="33"/>
        <v>41.922477959661421</v>
      </c>
      <c r="W100" s="404">
        <f t="shared" si="34"/>
        <v>39.806378373755052</v>
      </c>
      <c r="X100" s="157">
        <f t="shared" si="35"/>
        <v>46473</v>
      </c>
      <c r="Y100" s="387">
        <f t="shared" si="36"/>
        <v>35.616827736114629</v>
      </c>
      <c r="Z100" s="387">
        <f t="shared" si="37"/>
        <v>38.334753526823874</v>
      </c>
      <c r="AA100" s="388">
        <f t="shared" si="38"/>
        <v>45.549537116224684</v>
      </c>
      <c r="AB100" s="199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0.15839422409478046</v>
      </c>
      <c r="AD100" s="233">
        <f>(INDEX(Models!$BJ100:$BT100,,AH100)*(1-AF100)+INDEX(Models!$BJ100:$BT100,,AH100+1)*AF100-ERP_i)*AE100*Ramure*Pc/MaxiM</f>
        <v>2.9295702621401448E-2</v>
      </c>
      <c r="AE100" s="307">
        <f t="shared" si="40"/>
        <v>0.9</v>
      </c>
      <c r="AF100" s="179">
        <f t="shared" si="41"/>
        <v>0.23021977946802696</v>
      </c>
      <c r="AG100" s="839">
        <f t="shared" si="49"/>
        <v>3</v>
      </c>
      <c r="AH100" s="178">
        <f t="shared" si="42"/>
        <v>9</v>
      </c>
      <c r="AI100" s="227">
        <f t="shared" si="43"/>
        <v>3.230219779468027</v>
      </c>
      <c r="AJ100" s="267" t="b">
        <f t="shared" si="44"/>
        <v>0</v>
      </c>
      <c r="AK100" s="267" t="b">
        <f t="shared" si="45"/>
        <v>0</v>
      </c>
      <c r="AL100" s="267"/>
      <c r="AM100" s="267"/>
      <c r="AN100" s="75"/>
    </row>
    <row r="101" spans="1:40" s="6" customFormat="1" ht="11.25" x14ac:dyDescent="0.2">
      <c r="A101" s="56">
        <f t="shared" si="46"/>
        <v>46474</v>
      </c>
      <c r="B101" s="413">
        <f>'2026'!Wh/'2026'!Env_an*'2027'!Env_an</f>
        <v>30.958162685325682</v>
      </c>
      <c r="C101" s="868"/>
      <c r="D101" s="395">
        <f t="shared" si="25"/>
        <v>33.321360441614068</v>
      </c>
      <c r="E101" s="387">
        <f t="shared" si="47"/>
        <v>36.319698561894789</v>
      </c>
      <c r="F101" s="387">
        <f t="shared" si="26"/>
        <v>36.386463071515664</v>
      </c>
      <c r="G101" s="110">
        <f t="shared" si="48"/>
        <v>0.73109363924433046</v>
      </c>
      <c r="H101" s="416" t="b">
        <f>Wh_hp&gt;='2026'!Maxi_hp</f>
        <v>0</v>
      </c>
      <c r="I101" s="392">
        <f>IF(H101,Wh_hp,'2026'!Maxi_hp)</f>
        <v>48.325580600194776</v>
      </c>
      <c r="J101" s="85">
        <f>IF(H101,An,'2026'!An_max)</f>
        <v>2021</v>
      </c>
      <c r="K101" s="199">
        <f t="shared" si="27"/>
        <v>46474</v>
      </c>
      <c r="L101" s="147">
        <f>IF(t&lt;Tvie,1-EXP((T0-t)*PertePVj)+'2026'!Pspv,1-EXP((T0-t)*PertePVj)+Pspv)</f>
        <v>7.0921406718348012E-2</v>
      </c>
      <c r="M101" s="872"/>
      <c r="N101" s="872"/>
      <c r="O101" s="48">
        <f>IF(t&lt;Tnet,'2026'!Resal+('2026'!Salim-'2026'!Resal)*(1-EXP(('2026'!Tnet-t)/('2026'!Tau_j))),Resal+(Salim-Resal)*(1-EXP((Tnet-t)/(Tau_j))))*Salcycl</f>
        <v>8.2554047500450894E-2</v>
      </c>
      <c r="P101" s="171">
        <f>(INDEX(Models!$BJ101:$BT101,,T101)*(1-R101)+INDEX(Models!$BJ101:$BT101,,T101+1)*R101-ERP_i)*Q101*Ramure*Pc/MaxiM</f>
        <v>2.9736634420997584E-3</v>
      </c>
      <c r="Q101" s="307">
        <f t="shared" si="28"/>
        <v>0.9</v>
      </c>
      <c r="R101" s="179">
        <f t="shared" si="29"/>
        <v>0.59579517733057785</v>
      </c>
      <c r="S101" s="839">
        <f t="shared" si="30"/>
        <v>-2</v>
      </c>
      <c r="T101" s="178">
        <f t="shared" si="31"/>
        <v>4</v>
      </c>
      <c r="U101" s="253">
        <f t="shared" si="32"/>
        <v>-1.4042048226694221</v>
      </c>
      <c r="V101" s="385">
        <f t="shared" si="33"/>
        <v>42.296692699574926</v>
      </c>
      <c r="W101" s="404">
        <f t="shared" si="34"/>
        <v>30.958162685325682</v>
      </c>
      <c r="X101" s="157">
        <f t="shared" si="35"/>
        <v>46474</v>
      </c>
      <c r="Y101" s="387">
        <f t="shared" si="36"/>
        <v>27.953059215687041</v>
      </c>
      <c r="Z101" s="387">
        <f t="shared" si="37"/>
        <v>30.086861776625842</v>
      </c>
      <c r="AA101" s="388">
        <f t="shared" si="38"/>
        <v>35.753181746891521</v>
      </c>
      <c r="AB101" s="199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0.158484355612863</v>
      </c>
      <c r="AD101" s="233">
        <f>(INDEX(Models!$BJ101:$BT101,,AH101)*(1-AF101)+INDEX(Models!$BJ101:$BT101,,AH101+1)*AF101-ERP_i)*AE101*Ramure*Pc/MaxiM</f>
        <v>2.8206086351761785E-2</v>
      </c>
      <c r="AE101" s="307">
        <f t="shared" si="40"/>
        <v>0.9</v>
      </c>
      <c r="AF101" s="179">
        <f t="shared" si="41"/>
        <v>0.23145082963755659</v>
      </c>
      <c r="AG101" s="839">
        <f t="shared" si="49"/>
        <v>3</v>
      </c>
      <c r="AH101" s="178">
        <f t="shared" si="42"/>
        <v>9</v>
      </c>
      <c r="AI101" s="227">
        <f t="shared" si="43"/>
        <v>3.2314508296375566</v>
      </c>
      <c r="AJ101" s="267" t="b">
        <f t="shared" si="44"/>
        <v>0</v>
      </c>
      <c r="AK101" s="267" t="b">
        <f t="shared" si="45"/>
        <v>0</v>
      </c>
      <c r="AL101" s="267"/>
      <c r="AM101" s="267"/>
      <c r="AN101" s="75"/>
    </row>
    <row r="102" spans="1:40" s="6" customFormat="1" ht="11.25" x14ac:dyDescent="0.2">
      <c r="A102" s="56">
        <f t="shared" si="46"/>
        <v>46475</v>
      </c>
      <c r="B102" s="413">
        <f>'2026'!Wh/'2026'!Env_an*'2027'!Env_an</f>
        <v>25.560539930785239</v>
      </c>
      <c r="C102" s="868"/>
      <c r="D102" s="395">
        <f t="shared" si="25"/>
        <v>27.512349289469611</v>
      </c>
      <c r="E102" s="387">
        <f t="shared" si="47"/>
        <v>29.993325083563338</v>
      </c>
      <c r="F102" s="387">
        <f t="shared" si="26"/>
        <v>30.030822725249521</v>
      </c>
      <c r="G102" s="110">
        <f t="shared" si="48"/>
        <v>0.59807200857384224</v>
      </c>
      <c r="H102" s="416" t="b">
        <f>Wh_hp&gt;='2026'!Maxi_hp</f>
        <v>0</v>
      </c>
      <c r="I102" s="392">
        <f>IF(H102,Wh_hp,'2026'!Maxi_hp)</f>
        <v>50.344049299154825</v>
      </c>
      <c r="J102" s="85">
        <f>IF(H102,An,'2026'!An_max)</f>
        <v>2021</v>
      </c>
      <c r="K102" s="199">
        <f t="shared" si="27"/>
        <v>46475</v>
      </c>
      <c r="L102" s="147">
        <f>IF(t&lt;Tvie,1-EXP((T0-t)*PertePVj)+'2026'!Pspv,1-EXP((T0-t)*PertePVj)+Pspv)</f>
        <v>7.0943027734510111E-2</v>
      </c>
      <c r="M102" s="872"/>
      <c r="N102" s="872"/>
      <c r="O102" s="48">
        <f>IF(t&lt;Tnet,'2026'!Resal+('2026'!Salim-'2026'!Resal)*(1-EXP(('2026'!Tnet-t)/('2026'!Tau_j))),Resal+(Salim-Resal)*(1-EXP((Tnet-t)/(Tau_j))))*Salcycl</f>
        <v>8.2717597571511994E-2</v>
      </c>
      <c r="P102" s="171">
        <f>(INDEX(Models!$BJ102:$BT102,,T102)*(1-R102)+INDEX(Models!$BJ102:$BT102,,T102+1)*R102-ERP_i)*Q102*Ramure*Pc/MaxiM</f>
        <v>2.9224908607178041E-3</v>
      </c>
      <c r="Q102" s="307">
        <f t="shared" si="28"/>
        <v>0.9</v>
      </c>
      <c r="R102" s="179">
        <f t="shared" si="29"/>
        <v>0.59707307252871877</v>
      </c>
      <c r="S102" s="839">
        <f t="shared" si="30"/>
        <v>-2</v>
      </c>
      <c r="T102" s="178">
        <f t="shared" si="31"/>
        <v>4</v>
      </c>
      <c r="U102" s="253">
        <f t="shared" si="32"/>
        <v>-1.4029269274712812</v>
      </c>
      <c r="V102" s="385">
        <f t="shared" si="33"/>
        <v>42.666604532267343</v>
      </c>
      <c r="W102" s="404">
        <f t="shared" si="34"/>
        <v>25.560539930785239</v>
      </c>
      <c r="X102" s="157">
        <f t="shared" si="35"/>
        <v>46475</v>
      </c>
      <c r="Y102" s="387">
        <f t="shared" si="36"/>
        <v>23.203304640190254</v>
      </c>
      <c r="Z102" s="387">
        <f t="shared" si="37"/>
        <v>24.975114909917078</v>
      </c>
      <c r="AA102" s="388">
        <f t="shared" si="38"/>
        <v>29.681969614173259</v>
      </c>
      <c r="AB102" s="199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0.15857622541358024</v>
      </c>
      <c r="AD102" s="233">
        <f>(INDEX(Models!$BJ102:$BT102,,AH102)*(1-AF102)+INDEX(Models!$BJ102:$BT102,,AH102+1)*AF102-ERP_i)*AE102*Ramure*Pc/MaxiM</f>
        <v>2.7188910635651799E-2</v>
      </c>
      <c r="AE102" s="307">
        <f t="shared" si="40"/>
        <v>0.9</v>
      </c>
      <c r="AF102" s="179">
        <f t="shared" si="41"/>
        <v>0.23272872483569751</v>
      </c>
      <c r="AG102" s="839">
        <f t="shared" si="49"/>
        <v>3</v>
      </c>
      <c r="AH102" s="178">
        <f t="shared" si="42"/>
        <v>9</v>
      </c>
      <c r="AI102" s="227">
        <f t="shared" si="43"/>
        <v>3.2327287248356975</v>
      </c>
      <c r="AJ102" s="267" t="b">
        <f t="shared" si="44"/>
        <v>0</v>
      </c>
      <c r="AK102" s="267" t="b">
        <f t="shared" si="45"/>
        <v>0</v>
      </c>
      <c r="AL102" s="267"/>
      <c r="AM102" s="267"/>
      <c r="AN102" s="75"/>
    </row>
    <row r="103" spans="1:40" s="6" customFormat="1" ht="11.25" x14ac:dyDescent="0.2">
      <c r="A103" s="56">
        <f t="shared" si="46"/>
        <v>46476</v>
      </c>
      <c r="B103" s="413">
        <f>'2026'!Wh/'2026'!Env_an*'2027'!Env_an</f>
        <v>7.2036426356919447</v>
      </c>
      <c r="C103" s="868"/>
      <c r="D103" s="395">
        <f t="shared" si="25"/>
        <v>7.7538950720264799</v>
      </c>
      <c r="E103" s="387">
        <f t="shared" si="47"/>
        <v>8.4546319484163632</v>
      </c>
      <c r="F103" s="387">
        <f t="shared" si="26"/>
        <v>8.4546319484163632</v>
      </c>
      <c r="G103" s="110">
        <f t="shared" si="48"/>
        <v>0.16692359388131311</v>
      </c>
      <c r="H103" s="416" t="b">
        <f>Wh_hp&gt;='2026'!Maxi_hp</f>
        <v>0</v>
      </c>
      <c r="I103" s="392">
        <f>IF(H103,Wh_hp,'2026'!Maxi_hp)</f>
        <v>50.446118707020261</v>
      </c>
      <c r="J103" s="85">
        <f>IF(H103,An,'2026'!An_max)</f>
        <v>2019</v>
      </c>
      <c r="K103" s="199">
        <f t="shared" si="27"/>
        <v>46476</v>
      </c>
      <c r="L103" s="147">
        <f>IF(t&lt;Tvie,1-EXP((T0-t)*PertePVj)+'2026'!Pspv,1-EXP((T0-t)*PertePVj)+Pspv)</f>
        <v>7.096464824751969E-2</v>
      </c>
      <c r="M103" s="872"/>
      <c r="N103" s="872"/>
      <c r="O103" s="48">
        <f>IF(t&lt;Tnet,'2026'!Resal+('2026'!Salim-'2026'!Resal)*(1-EXP(('2026'!Tnet-t)/('2026'!Tau_j))),Resal+(Salim-Resal)*(1-EXP((Tnet-t)/(Tau_j))))*Salcycl</f>
        <v>8.2882008426296852E-2</v>
      </c>
      <c r="P103" s="171">
        <f>(INDEX(Models!$BJ103:$BT103,,T103)*(1-R103)+INDEX(Models!$BJ103:$BT103,,T103+1)*R103-ERP_i)*Q103*Ramure*Pc/MaxiM</f>
        <v>2.8705469228597043E-3</v>
      </c>
      <c r="Q103" s="307">
        <f t="shared" si="28"/>
        <v>0.9</v>
      </c>
      <c r="R103" s="179">
        <f t="shared" si="29"/>
        <v>0.5983993966209844</v>
      </c>
      <c r="S103" s="839">
        <f t="shared" si="30"/>
        <v>-2</v>
      </c>
      <c r="T103" s="178">
        <f t="shared" si="31"/>
        <v>4</v>
      </c>
      <c r="U103" s="253">
        <f t="shared" si="32"/>
        <v>-1.4016006033790156</v>
      </c>
      <c r="V103" s="385">
        <f t="shared" si="33"/>
        <v>43.031449745791761</v>
      </c>
      <c r="W103" s="404">
        <f t="shared" si="34"/>
        <v>7.2036426356919447</v>
      </c>
      <c r="X103" s="157">
        <f t="shared" si="35"/>
        <v>46476</v>
      </c>
      <c r="Y103" s="387">
        <f t="shared" si="36"/>
        <v>6.6083549786970526</v>
      </c>
      <c r="Z103" s="387">
        <f t="shared" si="37"/>
        <v>7.1131361860788411</v>
      </c>
      <c r="AA103" s="388">
        <f t="shared" si="38"/>
        <v>8.4546319484163632</v>
      </c>
      <c r="AB103" s="199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0.15866991851594409</v>
      </c>
      <c r="AD103" s="233">
        <f>(INDEX(Models!$BJ103:$BT103,,AH103)*(1-AF103)+INDEX(Models!$BJ103:$BT103,,AH103+1)*AF103-ERP_i)*AE103*Ramure*Pc/MaxiM</f>
        <v>2.6242355851588257E-2</v>
      </c>
      <c r="AE103" s="307">
        <f t="shared" si="40"/>
        <v>0.9</v>
      </c>
      <c r="AF103" s="179">
        <f t="shared" si="41"/>
        <v>0.23405504892796314</v>
      </c>
      <c r="AG103" s="839">
        <f t="shared" si="49"/>
        <v>3</v>
      </c>
      <c r="AH103" s="178">
        <f t="shared" si="42"/>
        <v>9</v>
      </c>
      <c r="AI103" s="227">
        <f t="shared" si="43"/>
        <v>3.2340550489279631</v>
      </c>
      <c r="AJ103" s="267" t="b">
        <f t="shared" si="44"/>
        <v>0</v>
      </c>
      <c r="AK103" s="267" t="b">
        <f t="shared" si="45"/>
        <v>0</v>
      </c>
      <c r="AL103" s="267"/>
      <c r="AM103" s="267"/>
      <c r="AN103" s="75"/>
    </row>
    <row r="104" spans="1:40" s="6" customFormat="1" ht="11.25" x14ac:dyDescent="0.2">
      <c r="A104" s="56">
        <f t="shared" si="46"/>
        <v>46477</v>
      </c>
      <c r="B104" s="413">
        <f>'2026'!Wh/'2026'!Env_an*'2027'!Env_an</f>
        <v>25.153695876802395</v>
      </c>
      <c r="C104" s="868"/>
      <c r="D104" s="395">
        <f t="shared" si="25"/>
        <v>27.075698687058114</v>
      </c>
      <c r="E104" s="387">
        <f t="shared" si="47"/>
        <v>29.527912965089985</v>
      </c>
      <c r="F104" s="387">
        <f t="shared" si="26"/>
        <v>29.561197881709216</v>
      </c>
      <c r="G104" s="110">
        <f t="shared" si="48"/>
        <v>0.57872368793117646</v>
      </c>
      <c r="H104" s="416" t="b">
        <f>Wh_hp&gt;='2026'!Maxi_hp</f>
        <v>0</v>
      </c>
      <c r="I104" s="392">
        <f>IF(H104,Wh_hp,'2026'!Maxi_hp)</f>
        <v>45.61734121324757</v>
      </c>
      <c r="J104" s="85">
        <f>IF(H104,An,'2026'!An_max)</f>
        <v>2021</v>
      </c>
      <c r="K104" s="199">
        <f t="shared" si="27"/>
        <v>46477</v>
      </c>
      <c r="L104" s="147">
        <f>IF(t&lt;Tvie,1-EXP((T0-t)*PertePVj)+'2026'!Pspv,1-EXP((T0-t)*PertePVj)+Pspv)</f>
        <v>7.0986268257388185E-2</v>
      </c>
      <c r="M104" s="872"/>
      <c r="N104" s="872"/>
      <c r="O104" s="48">
        <f>IF(t&lt;Tnet,'2026'!Resal+('2026'!Salim-'2026'!Resal)*(1-EXP(('2026'!Tnet-t)/('2026'!Tau_j))),Resal+(Salim-Resal)*(1-EXP((Tnet-t)/(Tau_j))))*Salcycl</f>
        <v>8.3047328164745512E-2</v>
      </c>
      <c r="P104" s="171">
        <f>(INDEX(Models!$BJ104:$BT104,,T104)*(1-R104)+INDEX(Models!$BJ104:$BT104,,T104+1)*R104-ERP_i)*Q104*Ramure*Pc/MaxiM</f>
        <v>2.8178788413254522E-3</v>
      </c>
      <c r="Q104" s="307">
        <f t="shared" si="28"/>
        <v>0.9</v>
      </c>
      <c r="R104" s="179">
        <f t="shared" si="29"/>
        <v>0.5997757708981144</v>
      </c>
      <c r="S104" s="839">
        <f t="shared" si="30"/>
        <v>-2</v>
      </c>
      <c r="T104" s="178">
        <f t="shared" si="31"/>
        <v>4</v>
      </c>
      <c r="U104" s="253">
        <f t="shared" si="32"/>
        <v>-1.4002242291018856</v>
      </c>
      <c r="V104" s="385">
        <f t="shared" si="33"/>
        <v>43.390465221401925</v>
      </c>
      <c r="W104" s="404">
        <f t="shared" si="34"/>
        <v>25.153695876802395</v>
      </c>
      <c r="X104" s="157">
        <f t="shared" si="35"/>
        <v>46477</v>
      </c>
      <c r="Y104" s="387">
        <f t="shared" si="36"/>
        <v>22.868470206893139</v>
      </c>
      <c r="Z104" s="387">
        <f t="shared" si="37"/>
        <v>24.615858114386807</v>
      </c>
      <c r="AA104" s="388">
        <f t="shared" si="38"/>
        <v>29.261589565464401</v>
      </c>
      <c r="AB104" s="199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0.15876551889582435</v>
      </c>
      <c r="AD104" s="233">
        <f>(INDEX(Models!$BJ104:$BT104,,AH104)*(1-AF104)+INDEX(Models!$BJ104:$BT104,,AH104+1)*AF104-ERP_i)*AE104*Ramure*Pc/MaxiM</f>
        <v>2.5364640226969232E-2</v>
      </c>
      <c r="AE104" s="307">
        <f t="shared" si="40"/>
        <v>0.9</v>
      </c>
      <c r="AF104" s="179">
        <f t="shared" si="41"/>
        <v>0.23543142320509336</v>
      </c>
      <c r="AG104" s="839">
        <f t="shared" si="49"/>
        <v>3</v>
      </c>
      <c r="AH104" s="178">
        <f t="shared" si="42"/>
        <v>9</v>
      </c>
      <c r="AI104" s="227">
        <f t="shared" si="43"/>
        <v>3.2354314232050934</v>
      </c>
      <c r="AJ104" s="267" t="b">
        <f t="shared" si="44"/>
        <v>0</v>
      </c>
      <c r="AK104" s="267" t="b">
        <f t="shared" si="45"/>
        <v>0</v>
      </c>
      <c r="AL104" s="267"/>
      <c r="AM104" s="267"/>
      <c r="AN104" s="75"/>
    </row>
    <row r="105" spans="1:40" s="6" customFormat="1" ht="11.25" x14ac:dyDescent="0.2">
      <c r="A105" s="56">
        <f t="shared" si="46"/>
        <v>46478</v>
      </c>
      <c r="B105" s="413">
        <f>'2026'!Wh/'2026'!Env_an*'2027'!Env_an</f>
        <v>27.416870335372149</v>
      </c>
      <c r="C105" s="868"/>
      <c r="D105" s="395">
        <f t="shared" si="25"/>
        <v>29.512489906277015</v>
      </c>
      <c r="E105" s="387">
        <f t="shared" si="47"/>
        <v>32.191238929837333</v>
      </c>
      <c r="F105" s="387">
        <f t="shared" si="26"/>
        <v>32.232836490789651</v>
      </c>
      <c r="G105" s="110">
        <f t="shared" si="48"/>
        <v>0.6258481500195574</v>
      </c>
      <c r="H105" s="416" t="b">
        <f>Wh_hp&gt;='2026'!Maxi_hp</f>
        <v>0</v>
      </c>
      <c r="I105" s="392">
        <f>IF(H105,Wh_hp,'2026'!Maxi_hp)</f>
        <v>47.773310266895436</v>
      </c>
      <c r="J105" s="85">
        <f>IF(H105,An,'2026'!An_max)</f>
        <v>2020</v>
      </c>
      <c r="K105" s="199">
        <f t="shared" si="27"/>
        <v>46478</v>
      </c>
      <c r="L105" s="147">
        <f>IF(t&lt;Tvie,1-EXP((T0-t)*PertePVj)+'2026'!Pspv,1-EXP((T0-t)*PertePVj)+Pspv)</f>
        <v>7.1007887764127586E-2</v>
      </c>
      <c r="M105" s="872"/>
      <c r="N105" s="872"/>
      <c r="O105" s="48">
        <f>IF(t&lt;Tnet,'2026'!Resal+('2026'!Salim-'2026'!Resal)*(1-EXP(('2026'!Tnet-t)/('2026'!Tau_j))),Resal+(Salim-Resal)*(1-EXP((Tnet-t)/(Tau_j))))*Salcycl</f>
        <v>8.3213604465451146E-2</v>
      </c>
      <c r="P105" s="171">
        <f>(INDEX(Models!$BJ105:$BT105,,T105)*(1-R105)+INDEX(Models!$BJ105:$BT105,,T105+1)*R105-ERP_i)*Q105*Ramure*Pc/MaxiM</f>
        <v>2.7645276983082985E-3</v>
      </c>
      <c r="Q105" s="307">
        <f t="shared" si="28"/>
        <v>0.9</v>
      </c>
      <c r="R105" s="179">
        <f t="shared" si="29"/>
        <v>0.60120385359511364</v>
      </c>
      <c r="S105" s="839">
        <f t="shared" si="30"/>
        <v>-2</v>
      </c>
      <c r="T105" s="178">
        <f t="shared" si="31"/>
        <v>4</v>
      </c>
      <c r="U105" s="253">
        <f t="shared" si="32"/>
        <v>-1.3987961464048864</v>
      </c>
      <c r="V105" s="385">
        <f t="shared" si="33"/>
        <v>43.742888447766447</v>
      </c>
      <c r="W105" s="404">
        <f t="shared" si="34"/>
        <v>27.416870335372149</v>
      </c>
      <c r="X105" s="157">
        <f t="shared" si="35"/>
        <v>46478</v>
      </c>
      <c r="Y105" s="387">
        <f t="shared" si="36"/>
        <v>24.898344775156531</v>
      </c>
      <c r="Z105" s="387">
        <f t="shared" si="37"/>
        <v>26.801459826426175</v>
      </c>
      <c r="AA105" s="388">
        <f t="shared" si="38"/>
        <v>31.86337458557454</v>
      </c>
      <c r="AB105" s="199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0.15886310929037747</v>
      </c>
      <c r="AD105" s="233">
        <f>(INDEX(Models!$BJ105:$BT105,,AH105)*(1-AF105)+INDEX(Models!$BJ105:$BT105,,AH105+1)*AF105-ERP_i)*AE105*Ramure*Pc/MaxiM</f>
        <v>2.455402785773082E-2</v>
      </c>
      <c r="AE105" s="307">
        <f t="shared" si="40"/>
        <v>0.9</v>
      </c>
      <c r="AF105" s="179">
        <f t="shared" si="41"/>
        <v>0.23685950590209259</v>
      </c>
      <c r="AG105" s="839">
        <f t="shared" si="49"/>
        <v>3</v>
      </c>
      <c r="AH105" s="178">
        <f t="shared" si="42"/>
        <v>9</v>
      </c>
      <c r="AI105" s="227">
        <f t="shared" si="43"/>
        <v>3.2368595059020926</v>
      </c>
      <c r="AJ105" s="267" t="b">
        <f t="shared" si="44"/>
        <v>0</v>
      </c>
      <c r="AK105" s="267" t="b">
        <f t="shared" si="45"/>
        <v>0</v>
      </c>
      <c r="AL105" s="267"/>
      <c r="AM105" s="267"/>
      <c r="AN105" s="75"/>
    </row>
    <row r="106" spans="1:40" s="6" customFormat="1" ht="11.25" x14ac:dyDescent="0.2">
      <c r="A106" s="56">
        <f t="shared" si="46"/>
        <v>46479</v>
      </c>
      <c r="B106" s="413">
        <f>'2026'!Wh/'2026'!Env_an*'2027'!Env_an</f>
        <v>18.574316478340091</v>
      </c>
      <c r="C106" s="868"/>
      <c r="D106" s="395">
        <f t="shared" si="25"/>
        <v>19.994517171059762</v>
      </c>
      <c r="E106" s="387">
        <f t="shared" si="47"/>
        <v>21.81333209461161</v>
      </c>
      <c r="F106" s="387">
        <f t="shared" si="26"/>
        <v>21.823582656564998</v>
      </c>
      <c r="G106" s="110">
        <f t="shared" si="48"/>
        <v>0.42035685281733498</v>
      </c>
      <c r="H106" s="416" t="b">
        <f>Wh_hp&gt;='2026'!Maxi_hp</f>
        <v>0</v>
      </c>
      <c r="I106" s="392">
        <f>IF(H106,Wh_hp,'2026'!Maxi_hp)</f>
        <v>42.352590855929826</v>
      </c>
      <c r="J106" s="85">
        <f>IF(H106,An,'2026'!An_max)</f>
        <v>2020</v>
      </c>
      <c r="K106" s="199">
        <f t="shared" si="27"/>
        <v>46479</v>
      </c>
      <c r="L106" s="147">
        <f>IF(t&lt;Tvie,1-EXP((T0-t)*PertePVj)+'2026'!Pspv,1-EXP((T0-t)*PertePVj)+Pspv)</f>
        <v>7.102950676774944E-2</v>
      </c>
      <c r="M106" s="872"/>
      <c r="N106" s="872"/>
      <c r="O106" s="48">
        <f>IF(t&lt;Tnet,'2026'!Resal+('2026'!Salim-'2026'!Resal)*(1-EXP(('2026'!Tnet-t)/('2026'!Tau_j))),Resal+(Salim-Resal)*(1-EXP((Tnet-t)/(Tau_j))))*Salcycl</f>
        <v>8.3380884482162104E-2</v>
      </c>
      <c r="P106" s="171">
        <f>(INDEX(Models!$BJ106:$BT106,,T106)*(1-R106)+INDEX(Models!$BJ106:$BT106,,T106+1)*R106-ERP_i)*Q106*Ramure*Pc/MaxiM</f>
        <v>2.7105286152214439E-3</v>
      </c>
      <c r="Q106" s="307">
        <f t="shared" si="28"/>
        <v>0.9</v>
      </c>
      <c r="R106" s="179">
        <f t="shared" si="29"/>
        <v>0.60268533926432877</v>
      </c>
      <c r="S106" s="839">
        <f t="shared" si="30"/>
        <v>-2</v>
      </c>
      <c r="T106" s="178">
        <f t="shared" si="31"/>
        <v>4</v>
      </c>
      <c r="U106" s="253">
        <f t="shared" si="32"/>
        <v>-1.3973146607356712</v>
      </c>
      <c r="V106" s="385">
        <f t="shared" si="33"/>
        <v>44.087957545297364</v>
      </c>
      <c r="W106" s="404">
        <f t="shared" si="34"/>
        <v>18.574316478340091</v>
      </c>
      <c r="X106" s="157">
        <f t="shared" si="35"/>
        <v>46479</v>
      </c>
      <c r="Y106" s="387">
        <f t="shared" si="36"/>
        <v>16.980390724078855</v>
      </c>
      <c r="Z106" s="387">
        <f t="shared" si="37"/>
        <v>18.27871912809357</v>
      </c>
      <c r="AA106" s="388">
        <f t="shared" si="38"/>
        <v>21.733543412905735</v>
      </c>
      <c r="AB106" s="199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0.15896277101140494</v>
      </c>
      <c r="AD106" s="233">
        <f>(INDEX(Models!$BJ106:$BT106,,AH106)*(1-AF106)+INDEX(Models!$BJ106:$BT106,,AH106+1)*AF106-ERP_i)*AE106*Ramure*Pc/MaxiM</f>
        <v>2.3808835802476908E-2</v>
      </c>
      <c r="AE106" s="307">
        <f t="shared" si="40"/>
        <v>0.9</v>
      </c>
      <c r="AF106" s="179">
        <f t="shared" si="41"/>
        <v>0.23834099157130773</v>
      </c>
      <c r="AG106" s="839">
        <f t="shared" si="49"/>
        <v>3</v>
      </c>
      <c r="AH106" s="178">
        <f t="shared" si="42"/>
        <v>9</v>
      </c>
      <c r="AI106" s="227">
        <f t="shared" si="43"/>
        <v>3.2383409915713077</v>
      </c>
      <c r="AJ106" s="267" t="b">
        <f t="shared" si="44"/>
        <v>0</v>
      </c>
      <c r="AK106" s="267" t="b">
        <f t="shared" si="45"/>
        <v>0</v>
      </c>
      <c r="AL106" s="267"/>
      <c r="AM106" s="267"/>
      <c r="AN106" s="75"/>
    </row>
    <row r="107" spans="1:40" s="6" customFormat="1" ht="11.25" x14ac:dyDescent="0.2">
      <c r="A107" s="56">
        <f t="shared" si="46"/>
        <v>46480</v>
      </c>
      <c r="B107" s="413">
        <f>'2026'!Wh/'2026'!Env_an*'2027'!Env_an</f>
        <v>22.995849366469081</v>
      </c>
      <c r="C107" s="868"/>
      <c r="D107" s="395">
        <f t="shared" si="25"/>
        <v>24.754698554438651</v>
      </c>
      <c r="E107" s="387">
        <f t="shared" si="47"/>
        <v>27.011487089863223</v>
      </c>
      <c r="F107" s="387">
        <f t="shared" si="26"/>
        <v>27.033805654478648</v>
      </c>
      <c r="G107" s="110">
        <f t="shared" si="48"/>
        <v>0.51665658861540265</v>
      </c>
      <c r="H107" s="416" t="b">
        <f>Wh_hp&gt;='2026'!Maxi_hp</f>
        <v>0</v>
      </c>
      <c r="I107" s="392">
        <f>IF(H107,Wh_hp,'2026'!Maxi_hp)</f>
        <v>48.910344837500652</v>
      </c>
      <c r="J107" s="85">
        <f>IF(H107,An,'2026'!An_max)</f>
        <v>2021</v>
      </c>
      <c r="K107" s="199">
        <f t="shared" si="27"/>
        <v>46480</v>
      </c>
      <c r="L107" s="147">
        <f>IF(t&lt;Tvie,1-EXP((T0-t)*PertePVj)+'2026'!Pspv,1-EXP((T0-t)*PertePVj)+Pspv)</f>
        <v>7.1051125268265514E-2</v>
      </c>
      <c r="M107" s="872"/>
      <c r="N107" s="872"/>
      <c r="O107" s="48">
        <f>IF(t&lt;Tnet,'2026'!Resal+('2026'!Salim-'2026'!Resal)*(1-EXP(('2026'!Tnet-t)/('2026'!Tau_j))),Resal+(Salim-Resal)*(1-EXP((Tnet-t)/(Tau_j))))*Salcycl</f>
        <v>8.3549214743955769E-2</v>
      </c>
      <c r="P107" s="171">
        <f>(INDEX(Models!$BJ107:$BT107,,T107)*(1-R107)+INDEX(Models!$BJ107:$BT107,,T107+1)*R107-ERP_i)*Q107*Ramure*Pc/MaxiM</f>
        <v>2.6557603258959986E-3</v>
      </c>
      <c r="Q107" s="307">
        <f t="shared" si="28"/>
        <v>0.9</v>
      </c>
      <c r="R107" s="179">
        <f t="shared" si="29"/>
        <v>0.6042219579910677</v>
      </c>
      <c r="S107" s="839">
        <f t="shared" si="30"/>
        <v>-2</v>
      </c>
      <c r="T107" s="178">
        <f t="shared" si="31"/>
        <v>4</v>
      </c>
      <c r="U107" s="253">
        <f t="shared" si="32"/>
        <v>-1.3957780420089323</v>
      </c>
      <c r="V107" s="385">
        <f t="shared" si="33"/>
        <v>44.427436991395339</v>
      </c>
      <c r="W107" s="404">
        <f t="shared" si="34"/>
        <v>22.995849366469081</v>
      </c>
      <c r="X107" s="157">
        <f t="shared" si="35"/>
        <v>46480</v>
      </c>
      <c r="Y107" s="387">
        <f t="shared" si="36"/>
        <v>20.966608711326355</v>
      </c>
      <c r="Z107" s="387">
        <f t="shared" si="37"/>
        <v>22.570250399820093</v>
      </c>
      <c r="AA107" s="388">
        <f t="shared" si="38"/>
        <v>26.839457542327327</v>
      </c>
      <c r="AB107" s="199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0.15906458376718141</v>
      </c>
      <c r="AD107" s="233">
        <f>(INDEX(Models!$BJ107:$BT107,,AH107)*(1-AF107)+INDEX(Models!$BJ107:$BT107,,AH107+1)*AF107-ERP_i)*AE107*Ramure*Pc/MaxiM</f>
        <v>2.3126129057041461E-2</v>
      </c>
      <c r="AE107" s="307">
        <f t="shared" si="40"/>
        <v>0.9</v>
      </c>
      <c r="AF107" s="179">
        <f t="shared" si="41"/>
        <v>0.23987761029804666</v>
      </c>
      <c r="AG107" s="839">
        <f t="shared" si="49"/>
        <v>3</v>
      </c>
      <c r="AH107" s="178">
        <f t="shared" si="42"/>
        <v>9</v>
      </c>
      <c r="AI107" s="227">
        <f t="shared" si="43"/>
        <v>3.2398776102980467</v>
      </c>
      <c r="AJ107" s="267" t="b">
        <f t="shared" si="44"/>
        <v>0</v>
      </c>
      <c r="AK107" s="267" t="b">
        <f t="shared" si="45"/>
        <v>0</v>
      </c>
      <c r="AL107" s="267"/>
      <c r="AM107" s="267"/>
      <c r="AN107" s="75"/>
    </row>
    <row r="108" spans="1:40" s="6" customFormat="1" ht="11.25" x14ac:dyDescent="0.2">
      <c r="A108" s="56">
        <f t="shared" si="46"/>
        <v>46481</v>
      </c>
      <c r="B108" s="413">
        <f>'2026'!Wh/'2026'!Env_an*'2027'!Env_an</f>
        <v>39.824893834296716</v>
      </c>
      <c r="C108" s="868"/>
      <c r="D108" s="395">
        <f t="shared" si="25"/>
        <v>42.871918705780047</v>
      </c>
      <c r="E108" s="387">
        <f t="shared" si="47"/>
        <v>46.789032961797247</v>
      </c>
      <c r="F108" s="387">
        <f t="shared" si="26"/>
        <v>46.891698205727153</v>
      </c>
      <c r="G108" s="110">
        <f t="shared" si="48"/>
        <v>0.88930903196180433</v>
      </c>
      <c r="H108" s="416" t="b">
        <f>Wh_hp&gt;='2026'!Maxi_hp</f>
        <v>0</v>
      </c>
      <c r="I108" s="392">
        <f>IF(H108,Wh_hp,'2026'!Maxi_hp)</f>
        <v>53.219609194847415</v>
      </c>
      <c r="J108" s="85">
        <f>IF(H108,An,'2026'!An_max)</f>
        <v>2020</v>
      </c>
      <c r="K108" s="199">
        <f t="shared" si="27"/>
        <v>46481</v>
      </c>
      <c r="L108" s="147">
        <f>IF(t&lt;Tvie,1-EXP((T0-t)*PertePVj)+'2026'!Pspv,1-EXP((T0-t)*PertePVj)+Pspv)</f>
        <v>7.1072743265687466E-2</v>
      </c>
      <c r="M108" s="872"/>
      <c r="N108" s="872"/>
      <c r="O108" s="48">
        <f>IF(t&lt;Tnet,'2026'!Resal+('2026'!Salim-'2026'!Resal)*(1-EXP(('2026'!Tnet-t)/('2026'!Tau_j))),Resal+(Salim-Resal)*(1-EXP((Tnet-t)/(Tau_j))))*Salcycl</f>
        <v>8.3718641058802876E-2</v>
      </c>
      <c r="P108" s="171">
        <f>(INDEX(Models!$BJ108:$BT108,,T108)*(1-R108)+INDEX(Models!$BJ108:$BT108,,T108+1)*R108-ERP_i)*Q108*Ramure*Pc/MaxiM</f>
        <v>2.5990422813828365E-3</v>
      </c>
      <c r="Q108" s="307">
        <f t="shared" si="28"/>
        <v>0.9</v>
      </c>
      <c r="R108" s="179">
        <f t="shared" si="29"/>
        <v>0.60581547443986161</v>
      </c>
      <c r="S108" s="839">
        <f t="shared" si="30"/>
        <v>-2</v>
      </c>
      <c r="T108" s="178">
        <f t="shared" si="31"/>
        <v>4</v>
      </c>
      <c r="U108" s="253">
        <f t="shared" si="32"/>
        <v>-1.3941845255601384</v>
      </c>
      <c r="V108" s="385">
        <f t="shared" si="33"/>
        <v>44.763454686056861</v>
      </c>
      <c r="W108" s="404">
        <f t="shared" si="34"/>
        <v>39.824893834296716</v>
      </c>
      <c r="X108" s="157">
        <f t="shared" si="35"/>
        <v>46481</v>
      </c>
      <c r="Y108" s="387">
        <f t="shared" si="36"/>
        <v>35.931212251289864</v>
      </c>
      <c r="Z108" s="387">
        <f t="shared" si="37"/>
        <v>38.680329370038869</v>
      </c>
      <c r="AA108" s="388">
        <f t="shared" si="38"/>
        <v>46.00248104761544</v>
      </c>
      <c r="AB108" s="199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0.1591686254921269</v>
      </c>
      <c r="AD108" s="233">
        <f>(INDEX(Models!$BJ108:$BT108,,AH108)*(1-AF108)+INDEX(Models!$BJ108:$BT108,,AH108+1)*AF108-ERP_i)*AE108*Ramure*Pc/MaxiM</f>
        <v>2.2511152779623355E-2</v>
      </c>
      <c r="AE108" s="307">
        <f t="shared" si="40"/>
        <v>0.9</v>
      </c>
      <c r="AF108" s="179">
        <f t="shared" si="41"/>
        <v>0.24147112674684035</v>
      </c>
      <c r="AG108" s="839">
        <f t="shared" si="49"/>
        <v>3</v>
      </c>
      <c r="AH108" s="178">
        <f t="shared" si="42"/>
        <v>9</v>
      </c>
      <c r="AI108" s="227">
        <f t="shared" si="43"/>
        <v>3.2414711267468403</v>
      </c>
      <c r="AJ108" s="267" t="b">
        <f t="shared" si="44"/>
        <v>0</v>
      </c>
      <c r="AK108" s="267" t="b">
        <f t="shared" si="45"/>
        <v>0</v>
      </c>
      <c r="AL108" s="267"/>
      <c r="AM108" s="267"/>
      <c r="AN108" s="75"/>
    </row>
    <row r="109" spans="1:40" s="6" customFormat="1" ht="11.25" x14ac:dyDescent="0.2">
      <c r="A109" s="56">
        <f t="shared" si="46"/>
        <v>46482</v>
      </c>
      <c r="B109" s="413">
        <f>'2026'!Wh/'2026'!Env_an*'2027'!Env_an</f>
        <v>46.083808539867583</v>
      </c>
      <c r="C109" s="868"/>
      <c r="D109" s="395">
        <f t="shared" si="25"/>
        <v>49.610860988607172</v>
      </c>
      <c r="E109" s="387">
        <f t="shared" si="47"/>
        <v>54.15377860908383</v>
      </c>
      <c r="F109" s="387">
        <f t="shared" si="26"/>
        <v>54.291772673602431</v>
      </c>
      <c r="G109" s="110">
        <f t="shared" si="48"/>
        <v>1.0219121604568475</v>
      </c>
      <c r="H109" s="416" t="b">
        <f>Wh_hp&gt;='2026'!Maxi_hp</f>
        <v>0</v>
      </c>
      <c r="I109" s="392">
        <f>IF(H109,Wh_hp,'2026'!Maxi_hp)</f>
        <v>55.117663879347624</v>
      </c>
      <c r="J109" s="85">
        <f>IF(H109,An,'2026'!An_max)</f>
        <v>2020</v>
      </c>
      <c r="K109" s="199">
        <f t="shared" si="27"/>
        <v>46482</v>
      </c>
      <c r="L109" s="147">
        <f>IF(t&lt;Tvie,1-EXP((T0-t)*PertePVj)+'2026'!Pspv,1-EXP((T0-t)*PertePVj)+Pspv)</f>
        <v>7.1094360760027064E-2</v>
      </c>
      <c r="M109" s="872"/>
      <c r="N109" s="872"/>
      <c r="O109" s="48">
        <f>IF(t&lt;Tnet,'2026'!Resal+('2026'!Salim-'2026'!Resal)*(1-EXP(('2026'!Tnet-t)/('2026'!Tau_j))),Resal+(Salim-Resal)*(1-EXP((Tnet-t)/(Tau_j))))*Salcycl</f>
        <v>8.3889208420160427E-2</v>
      </c>
      <c r="P109" s="171">
        <f>(INDEX(Models!$BJ109:$BT109,,T109)*(1-R109)+INDEX(Models!$BJ109:$BT109,,T109+1)*R109-ERP_i)*Q109*Ramure*Pc/MaxiM</f>
        <v>2.5417122654699735E-3</v>
      </c>
      <c r="Q109" s="307">
        <f t="shared" si="28"/>
        <v>0.9</v>
      </c>
      <c r="R109" s="179">
        <f t="shared" si="29"/>
        <v>0.6074676867190878</v>
      </c>
      <c r="S109" s="839">
        <f t="shared" si="30"/>
        <v>-2</v>
      </c>
      <c r="T109" s="178">
        <f t="shared" si="31"/>
        <v>4</v>
      </c>
      <c r="U109" s="253">
        <f t="shared" si="32"/>
        <v>-1.3925323132809122</v>
      </c>
      <c r="V109" s="385">
        <f t="shared" si="33"/>
        <v>45.095665090496368</v>
      </c>
      <c r="W109" s="404">
        <f t="shared" si="34"/>
        <v>46.083808539867583</v>
      </c>
      <c r="X109" s="157">
        <f t="shared" si="35"/>
        <v>46482</v>
      </c>
      <c r="Y109" s="387">
        <f t="shared" si="36"/>
        <v>41.469253837969731</v>
      </c>
      <c r="Z109" s="387">
        <f t="shared" si="37"/>
        <v>44.643128522612606</v>
      </c>
      <c r="AA109" s="388">
        <f t="shared" si="38"/>
        <v>53.10074881267753</v>
      </c>
      <c r="AB109" s="199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0.15927497218355074</v>
      </c>
      <c r="AD109" s="233">
        <f>(INDEX(Models!$BJ109:$BT109,,AH109)*(1-AF109)+INDEX(Models!$BJ109:$BT109,,AH109+1)*AF109-ERP_i)*AE109*Ramure*Pc/MaxiM</f>
        <v>2.1937464965184231E-2</v>
      </c>
      <c r="AE109" s="307">
        <f t="shared" si="40"/>
        <v>0.9</v>
      </c>
      <c r="AF109" s="179">
        <f t="shared" si="41"/>
        <v>0.24312333902606653</v>
      </c>
      <c r="AG109" s="839">
        <f t="shared" si="49"/>
        <v>3</v>
      </c>
      <c r="AH109" s="178">
        <f t="shared" si="42"/>
        <v>9</v>
      </c>
      <c r="AI109" s="227">
        <f t="shared" si="43"/>
        <v>3.2431233390260665</v>
      </c>
      <c r="AJ109" s="267" t="b">
        <f t="shared" si="44"/>
        <v>0</v>
      </c>
      <c r="AK109" s="267" t="b">
        <f t="shared" si="45"/>
        <v>0</v>
      </c>
      <c r="AL109" s="267"/>
      <c r="AM109" s="267"/>
      <c r="AN109" s="75"/>
    </row>
    <row r="110" spans="1:40" s="6" customFormat="1" ht="11.25" x14ac:dyDescent="0.2">
      <c r="A110" s="56">
        <f t="shared" si="46"/>
        <v>46483</v>
      </c>
      <c r="B110" s="413">
        <f>'2026'!Wh/'2026'!Env_an*'2027'!Env_an</f>
        <v>11.707130778835719</v>
      </c>
      <c r="C110" s="868"/>
      <c r="D110" s="395">
        <f t="shared" si="25"/>
        <v>12.603436487683705</v>
      </c>
      <c r="E110" s="387">
        <f t="shared" si="47"/>
        <v>13.760125892537728</v>
      </c>
      <c r="F110" s="387">
        <f t="shared" si="26"/>
        <v>13.760125892537728</v>
      </c>
      <c r="G110" s="110">
        <f t="shared" si="48"/>
        <v>0.25709116344403998</v>
      </c>
      <c r="H110" s="416" t="b">
        <f>Wh_hp&gt;='2026'!Maxi_hp</f>
        <v>0</v>
      </c>
      <c r="I110" s="392">
        <f>IF(H110,Wh_hp,'2026'!Maxi_hp)</f>
        <v>55.281205017406521</v>
      </c>
      <c r="J110" s="85">
        <f>IF(H110,An,'2026'!An_max)</f>
        <v>2020</v>
      </c>
      <c r="K110" s="199">
        <f t="shared" si="27"/>
        <v>46483</v>
      </c>
      <c r="L110" s="147">
        <f>IF(t&lt;Tvie,1-EXP((T0-t)*PertePVj)+'2026'!Pspv,1-EXP((T0-t)*PertePVj)+Pspv)</f>
        <v>7.1115977751295967E-2</v>
      </c>
      <c r="M110" s="872"/>
      <c r="N110" s="872"/>
      <c r="O110" s="48">
        <f>IF(t&lt;Tnet,'2026'!Resal+('2026'!Salim-'2026'!Resal)*(1-EXP(('2026'!Tnet-t)/('2026'!Tau_j))),Resal+(Salim-Resal)*(1-EXP((Tnet-t)/(Tau_j))))*Salcycl</f>
        <v>8.406096091615764E-2</v>
      </c>
      <c r="P110" s="171">
        <f>(INDEX(Models!$BJ110:$BT110,,T110)*(1-R110)+INDEX(Models!$BJ110:$BT110,,T110+1)*R110-ERP_i)*Q110*Ramure*Pc/MaxiM</f>
        <v>2.4837787259563392E-3</v>
      </c>
      <c r="Q110" s="307">
        <f t="shared" si="28"/>
        <v>0.9</v>
      </c>
      <c r="R110" s="179">
        <f t="shared" si="29"/>
        <v>0.60918042505134395</v>
      </c>
      <c r="S110" s="839">
        <f t="shared" si="30"/>
        <v>-2</v>
      </c>
      <c r="T110" s="178">
        <f t="shared" si="31"/>
        <v>4</v>
      </c>
      <c r="U110" s="253">
        <f t="shared" si="32"/>
        <v>-1.390819574948656</v>
      </c>
      <c r="V110" s="385">
        <f t="shared" si="33"/>
        <v>45.42378158791589</v>
      </c>
      <c r="W110" s="404">
        <f t="shared" si="34"/>
        <v>11.707130778835719</v>
      </c>
      <c r="X110" s="157">
        <f t="shared" si="35"/>
        <v>46483</v>
      </c>
      <c r="Y110" s="387">
        <f t="shared" si="36"/>
        <v>10.744388616920636</v>
      </c>
      <c r="Z110" s="387">
        <f t="shared" si="37"/>
        <v>11.566986146354319</v>
      </c>
      <c r="AA110" s="388">
        <f t="shared" si="38"/>
        <v>13.760125892537728</v>
      </c>
      <c r="AB110" s="199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0.15938369774456601</v>
      </c>
      <c r="AD110" s="233">
        <f>(INDEX(Models!$BJ110:$BT110,,AH110)*(1-AF110)+INDEX(Models!$BJ110:$BT110,,AH110+1)*AF110-ERP_i)*AE110*Ramure*Pc/MaxiM</f>
        <v>2.1404275198923396E-2</v>
      </c>
      <c r="AE110" s="307">
        <f t="shared" si="40"/>
        <v>0.9</v>
      </c>
      <c r="AF110" s="179">
        <f t="shared" si="41"/>
        <v>0.24483607735832313</v>
      </c>
      <c r="AG110" s="839">
        <f t="shared" si="49"/>
        <v>3</v>
      </c>
      <c r="AH110" s="178">
        <f t="shared" si="42"/>
        <v>9</v>
      </c>
      <c r="AI110" s="227">
        <f t="shared" si="43"/>
        <v>3.2448360773583231</v>
      </c>
      <c r="AJ110" s="267" t="b">
        <f t="shared" si="44"/>
        <v>0</v>
      </c>
      <c r="AK110" s="267" t="b">
        <f t="shared" si="45"/>
        <v>0</v>
      </c>
      <c r="AL110" s="267"/>
      <c r="AM110" s="267"/>
      <c r="AN110" s="75"/>
    </row>
    <row r="111" spans="1:40" s="6" customFormat="1" ht="11.25" x14ac:dyDescent="0.2">
      <c r="A111" s="56">
        <f t="shared" si="46"/>
        <v>46484</v>
      </c>
      <c r="B111" s="413">
        <f>'2026'!Wh/'2026'!Env_an*'2027'!Env_an</f>
        <v>35.415551960225862</v>
      </c>
      <c r="C111" s="868"/>
      <c r="D111" s="395">
        <f t="shared" si="25"/>
        <v>38.127877434365359</v>
      </c>
      <c r="E111" s="387">
        <f t="shared" si="47"/>
        <v>41.634953694050679</v>
      </c>
      <c r="F111" s="387">
        <f t="shared" si="26"/>
        <v>41.703462775296614</v>
      </c>
      <c r="G111" s="110">
        <f t="shared" si="48"/>
        <v>0.77354567101034255</v>
      </c>
      <c r="H111" s="416" t="b">
        <f>Wh_hp&gt;='2026'!Maxi_hp</f>
        <v>0</v>
      </c>
      <c r="I111" s="392">
        <f>IF(H111,Wh_hp,'2026'!Maxi_hp)</f>
        <v>54.094709331029712</v>
      </c>
      <c r="J111" s="85">
        <f>IF(H111,An,'2026'!An_max)</f>
        <v>2021</v>
      </c>
      <c r="K111" s="199">
        <f t="shared" si="27"/>
        <v>46484</v>
      </c>
      <c r="L111" s="147">
        <f>IF(t&lt;Tvie,1-EXP((T0-t)*PertePVj)+'2026'!Pspv,1-EXP((T0-t)*PertePVj)+Pspv)</f>
        <v>7.1137594239505941E-2</v>
      </c>
      <c r="M111" s="872"/>
      <c r="N111" s="872"/>
      <c r="O111" s="48">
        <f>IF(t&lt;Tnet,'2026'!Resal+('2026'!Salim-'2026'!Resal)*(1-EXP(('2026'!Tnet-t)/('2026'!Tau_j))),Resal+(Salim-Resal)*(1-EXP((Tnet-t)/(Tau_j))))*Salcycl</f>
        <v>8.4233941640877885E-2</v>
      </c>
      <c r="P111" s="171">
        <f>(INDEX(Models!$BJ111:$BT111,,T111)*(1-R111)+INDEX(Models!$BJ111:$BT111,,T111+1)*R111-ERP_i)*Q111*Ramure*Pc/MaxiM</f>
        <v>2.4252476265706011E-3</v>
      </c>
      <c r="Q111" s="307">
        <f t="shared" si="28"/>
        <v>0.9</v>
      </c>
      <c r="R111" s="179">
        <f t="shared" si="29"/>
        <v>0.61095555023667258</v>
      </c>
      <c r="S111" s="839">
        <f t="shared" si="30"/>
        <v>-2</v>
      </c>
      <c r="T111" s="178">
        <f t="shared" si="31"/>
        <v>4</v>
      </c>
      <c r="U111" s="253">
        <f t="shared" si="32"/>
        <v>-1.3890444497633274</v>
      </c>
      <c r="V111" s="385">
        <f t="shared" si="33"/>
        <v>45.747517840759222</v>
      </c>
      <c r="W111" s="404">
        <f t="shared" si="34"/>
        <v>35.415551960225862</v>
      </c>
      <c r="X111" s="157">
        <f t="shared" si="35"/>
        <v>46484</v>
      </c>
      <c r="Y111" s="387">
        <f t="shared" si="36"/>
        <v>32.097297330959144</v>
      </c>
      <c r="Z111" s="387">
        <f t="shared" si="37"/>
        <v>34.55549189191256</v>
      </c>
      <c r="AA111" s="388">
        <f t="shared" si="38"/>
        <v>41.112767568073586</v>
      </c>
      <c r="AB111" s="199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0.15949487383216504</v>
      </c>
      <c r="AD111" s="233">
        <f>(INDEX(Models!$BJ111:$BT111,,AH111)*(1-AF111)+INDEX(Models!$BJ111:$BT111,,AH111+1)*AF111-ERP_i)*AE111*Ramure*Pc/MaxiM</f>
        <v>2.0910835808782398E-2</v>
      </c>
      <c r="AE111" s="307">
        <f t="shared" si="40"/>
        <v>0.9</v>
      </c>
      <c r="AF111" s="179">
        <f t="shared" si="41"/>
        <v>0.24661120254365176</v>
      </c>
      <c r="AG111" s="839">
        <f t="shared" si="49"/>
        <v>3</v>
      </c>
      <c r="AH111" s="178">
        <f t="shared" si="42"/>
        <v>9</v>
      </c>
      <c r="AI111" s="227">
        <f t="shared" si="43"/>
        <v>3.2466112025436518</v>
      </c>
      <c r="AJ111" s="267" t="b">
        <f t="shared" si="44"/>
        <v>0</v>
      </c>
      <c r="AK111" s="267" t="b">
        <f t="shared" si="45"/>
        <v>0</v>
      </c>
      <c r="AL111" s="267"/>
      <c r="AM111" s="267"/>
      <c r="AN111" s="75"/>
    </row>
    <row r="112" spans="1:40" s="6" customFormat="1" ht="11.25" x14ac:dyDescent="0.2">
      <c r="A112" s="56">
        <f t="shared" si="46"/>
        <v>46485</v>
      </c>
      <c r="B112" s="413">
        <f>'2026'!Wh/'2026'!Env_an*'2027'!Env_an</f>
        <v>27.663343128768172</v>
      </c>
      <c r="C112" s="868"/>
      <c r="D112" s="395">
        <f t="shared" si="25"/>
        <v>29.78265320955532</v>
      </c>
      <c r="E112" s="387">
        <f t="shared" si="47"/>
        <v>32.52830897904466</v>
      </c>
      <c r="F112" s="387">
        <f t="shared" si="26"/>
        <v>32.561383816359978</v>
      </c>
      <c r="G112" s="110">
        <f t="shared" si="48"/>
        <v>0.59969603069147115</v>
      </c>
      <c r="H112" s="416" t="b">
        <f>Wh_hp&gt;='2026'!Maxi_hp</f>
        <v>0</v>
      </c>
      <c r="I112" s="392">
        <f>IF(H112,Wh_hp,'2026'!Maxi_hp)</f>
        <v>51.981553630280644</v>
      </c>
      <c r="J112" s="85">
        <f>IF(H112,An,'2026'!An_max)</f>
        <v>2021</v>
      </c>
      <c r="K112" s="199">
        <f t="shared" si="27"/>
        <v>46485</v>
      </c>
      <c r="L112" s="147">
        <f>IF(t&lt;Tvie,1-EXP((T0-t)*PertePVj)+'2026'!Pspv,1-EXP((T0-t)*PertePVj)+Pspv)</f>
        <v>7.1159210224668645E-2</v>
      </c>
      <c r="M112" s="872"/>
      <c r="N112" s="872"/>
      <c r="O112" s="48">
        <f>IF(t&lt;Tnet,'2026'!Resal+('2026'!Salim-'2026'!Resal)*(1-EXP(('2026'!Tnet-t)/('2026'!Tau_j))),Resal+(Salim-Resal)*(1-EXP((Tnet-t)/(Tau_j))))*Salcycl</f>
        <v>8.4408192607188404E-2</v>
      </c>
      <c r="P112" s="171">
        <f>(INDEX(Models!$BJ112:$BT112,,T112)*(1-R112)+INDEX(Models!$BJ112:$BT112,,T112+1)*R112-ERP_i)*Q112*Ramure*Pc/MaxiM</f>
        <v>2.3661224811734921E-3</v>
      </c>
      <c r="Q112" s="307">
        <f t="shared" si="28"/>
        <v>0.9</v>
      </c>
      <c r="R112" s="179">
        <f t="shared" si="29"/>
        <v>0.61279495189551358</v>
      </c>
      <c r="S112" s="839">
        <f t="shared" si="30"/>
        <v>-2</v>
      </c>
      <c r="T112" s="178">
        <f t="shared" si="31"/>
        <v>4</v>
      </c>
      <c r="U112" s="253">
        <f t="shared" si="32"/>
        <v>-1.3872050481044864</v>
      </c>
      <c r="V112" s="385">
        <f t="shared" si="33"/>
        <v>46.06658779511568</v>
      </c>
      <c r="W112" s="404">
        <f t="shared" si="34"/>
        <v>27.663343128768172</v>
      </c>
      <c r="X112" s="157">
        <f t="shared" si="35"/>
        <v>46485</v>
      </c>
      <c r="Y112" s="387">
        <f t="shared" si="36"/>
        <v>25.193875451793748</v>
      </c>
      <c r="Z112" s="387">
        <f t="shared" si="37"/>
        <v>27.123997706741171</v>
      </c>
      <c r="AA112" s="388">
        <f t="shared" si="38"/>
        <v>32.275433481467957</v>
      </c>
      <c r="AB112" s="199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0.15960856970936296</v>
      </c>
      <c r="AD112" s="233">
        <f>(INDEX(Models!$BJ112:$BT112,,AH112)*(1-AF112)+INDEX(Models!$BJ112:$BT112,,AH112+1)*AF112-ERP_i)*AE112*Ramure*Pc/MaxiM</f>
        <v>2.0456442746395357E-2</v>
      </c>
      <c r="AE112" s="307">
        <f t="shared" si="40"/>
        <v>0.9</v>
      </c>
      <c r="AF112" s="179">
        <f t="shared" si="41"/>
        <v>0.24845060420249254</v>
      </c>
      <c r="AG112" s="839">
        <f t="shared" si="49"/>
        <v>3</v>
      </c>
      <c r="AH112" s="178">
        <f t="shared" si="42"/>
        <v>9</v>
      </c>
      <c r="AI112" s="227">
        <f t="shared" si="43"/>
        <v>3.2484506042024925</v>
      </c>
      <c r="AJ112" s="267" t="b">
        <f t="shared" si="44"/>
        <v>0</v>
      </c>
      <c r="AK112" s="267" t="b">
        <f t="shared" si="45"/>
        <v>0</v>
      </c>
      <c r="AL112" s="267"/>
      <c r="AM112" s="267"/>
      <c r="AN112" s="75"/>
    </row>
    <row r="113" spans="1:40" s="6" customFormat="1" ht="11.25" x14ac:dyDescent="0.2">
      <c r="A113" s="56">
        <f t="shared" si="46"/>
        <v>46486</v>
      </c>
      <c r="B113" s="413">
        <f>'2026'!Wh/'2026'!Env_an*'2027'!Env_an</f>
        <v>33.568153496686179</v>
      </c>
      <c r="C113" s="868"/>
      <c r="D113" s="395">
        <f t="shared" si="25"/>
        <v>36.140676706238601</v>
      </c>
      <c r="E113" s="387">
        <f t="shared" si="47"/>
        <v>39.480047344840735</v>
      </c>
      <c r="F113" s="387">
        <f t="shared" si="26"/>
        <v>39.535246722439936</v>
      </c>
      <c r="G113" s="110">
        <f t="shared" si="48"/>
        <v>0.72309285969536885</v>
      </c>
      <c r="H113" s="416" t="b">
        <f>Wh_hp&gt;='2026'!Maxi_hp</f>
        <v>0</v>
      </c>
      <c r="I113" s="392">
        <f>IF(H113,Wh_hp,'2026'!Maxi_hp)</f>
        <v>51.372515344218137</v>
      </c>
      <c r="J113" s="85">
        <f>IF(H113,An,'2026'!An_max)</f>
        <v>2020</v>
      </c>
      <c r="K113" s="199">
        <f t="shared" si="27"/>
        <v>46486</v>
      </c>
      <c r="L113" s="147">
        <f>IF(t&lt;Tvie,1-EXP((T0-t)*PertePVj)+'2026'!Pspv,1-EXP((T0-t)*PertePVj)+Pspv)</f>
        <v>7.1180825706795736E-2</v>
      </c>
      <c r="M113" s="872"/>
      <c r="N113" s="872"/>
      <c r="O113" s="48">
        <f>IF(t&lt;Tnet,'2026'!Resal+('2026'!Salim-'2026'!Resal)*(1-EXP(('2026'!Tnet-t)/('2026'!Tau_j))),Resal+(Salim-Resal)*(1-EXP((Tnet-t)/(Tau_j))))*Salcycl</f>
        <v>8.4583754660530405E-2</v>
      </c>
      <c r="P113" s="171">
        <f>(INDEX(Models!$BJ113:$BT113,,T113)*(1-R113)+INDEX(Models!$BJ113:$BT113,,T113+1)*R113-ERP_i)*Q113*Ramure*Pc/MaxiM</f>
        <v>2.3064043820496889E-3</v>
      </c>
      <c r="Q113" s="307">
        <f t="shared" si="28"/>
        <v>0.9</v>
      </c>
      <c r="R113" s="179">
        <f t="shared" si="29"/>
        <v>0.61470054647810612</v>
      </c>
      <c r="S113" s="839">
        <f t="shared" si="30"/>
        <v>-2</v>
      </c>
      <c r="T113" s="178">
        <f t="shared" si="31"/>
        <v>4</v>
      </c>
      <c r="U113" s="253">
        <f t="shared" si="32"/>
        <v>-1.3852994535218939</v>
      </c>
      <c r="V113" s="385">
        <f t="shared" si="33"/>
        <v>46.380705705628998</v>
      </c>
      <c r="W113" s="404">
        <f t="shared" si="34"/>
        <v>33.568153496686179</v>
      </c>
      <c r="X113" s="157">
        <f t="shared" si="35"/>
        <v>46486</v>
      </c>
      <c r="Y113" s="387">
        <f t="shared" si="36"/>
        <v>30.481490302278086</v>
      </c>
      <c r="Z113" s="387">
        <f t="shared" si="37"/>
        <v>32.817464524753518</v>
      </c>
      <c r="AA113" s="388">
        <f t="shared" si="38"/>
        <v>39.055617206792604</v>
      </c>
      <c r="AB113" s="199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0.15972485210025414</v>
      </c>
      <c r="AD113" s="233">
        <f>(INDEX(Models!$BJ113:$BT113,,AH113)*(1-AF113)+INDEX(Models!$BJ113:$BT113,,AH113+1)*AF113-ERP_i)*AE113*Ramure*Pc/MaxiM</f>
        <v>2.0040436410017848E-2</v>
      </c>
      <c r="AE113" s="307">
        <f t="shared" si="40"/>
        <v>0.9</v>
      </c>
      <c r="AF113" s="179">
        <f t="shared" si="41"/>
        <v>0.25035619878508486</v>
      </c>
      <c r="AG113" s="839">
        <f t="shared" si="49"/>
        <v>3</v>
      </c>
      <c r="AH113" s="178">
        <f t="shared" si="42"/>
        <v>9</v>
      </c>
      <c r="AI113" s="227">
        <f t="shared" si="43"/>
        <v>3.2503561987850849</v>
      </c>
      <c r="AJ113" s="267" t="b">
        <f t="shared" si="44"/>
        <v>0</v>
      </c>
      <c r="AK113" s="267" t="b">
        <f t="shared" si="45"/>
        <v>0</v>
      </c>
      <c r="AL113" s="267"/>
      <c r="AM113" s="267"/>
      <c r="AN113" s="75"/>
    </row>
    <row r="114" spans="1:40" s="6" customFormat="1" ht="11.25" x14ac:dyDescent="0.2">
      <c r="A114" s="56">
        <f t="shared" si="46"/>
        <v>46487</v>
      </c>
      <c r="B114" s="413">
        <f>'2026'!Wh/'2026'!Env_an*'2027'!Env_an</f>
        <v>47.532766151786035</v>
      </c>
      <c r="C114" s="868"/>
      <c r="D114" s="395">
        <f t="shared" si="25"/>
        <v>51.176669959046897</v>
      </c>
      <c r="E114" s="387">
        <f t="shared" si="47"/>
        <v>55.91616109119424</v>
      </c>
      <c r="F114" s="387">
        <f t="shared" si="26"/>
        <v>56.041999013019066</v>
      </c>
      <c r="G114" s="110">
        <f t="shared" si="48"/>
        <v>1.0180585896509362</v>
      </c>
      <c r="H114" s="416" t="b">
        <f>Wh_hp&gt;='2026'!Maxi_hp</f>
        <v>1</v>
      </c>
      <c r="I114" s="392">
        <f>IF(H114,Wh_hp,'2026'!Maxi_hp)</f>
        <v>56.041999013019066</v>
      </c>
      <c r="J114" s="85">
        <f>IF(H114,An,'2026'!An_max)</f>
        <v>2027</v>
      </c>
      <c r="K114" s="199">
        <f t="shared" si="27"/>
        <v>46487</v>
      </c>
      <c r="L114" s="147">
        <f>IF(t&lt;Tvie,1-EXP((T0-t)*PertePVj)+'2026'!Pspv,1-EXP((T0-t)*PertePVj)+Pspv)</f>
        <v>7.1202440685898982E-2</v>
      </c>
      <c r="M114" s="872"/>
      <c r="N114" s="872"/>
      <c r="O114" s="48">
        <f>IF(t&lt;Tnet,'2026'!Resal+('2026'!Salim-'2026'!Resal)*(1-EXP(('2026'!Tnet-t)/('2026'!Tau_j))),Resal+(Salim-Resal)*(1-EXP((Tnet-t)/(Tau_j))))*Salcycl</f>
        <v>8.4760667393057501E-2</v>
      </c>
      <c r="P114" s="171">
        <f>(INDEX(Models!$BJ114:$BT114,,T114)*(1-R114)+INDEX(Models!$BJ114:$BT114,,T114+1)*R114-ERP_i)*Q114*Ramure*Pc/MaxiM</f>
        <v>2.2454217201565399E-3</v>
      </c>
      <c r="Q114" s="307">
        <f t="shared" si="28"/>
        <v>0.9</v>
      </c>
      <c r="R114" s="179">
        <f t="shared" si="29"/>
        <v>0.61667427502698557</v>
      </c>
      <c r="S114" s="839">
        <f t="shared" si="30"/>
        <v>-2</v>
      </c>
      <c r="T114" s="178">
        <f t="shared" si="31"/>
        <v>4</v>
      </c>
      <c r="U114" s="253">
        <f t="shared" si="32"/>
        <v>-1.3833257249730144</v>
      </c>
      <c r="V114" s="385">
        <f t="shared" si="33"/>
        <v>46.689617508245462</v>
      </c>
      <c r="W114" s="404">
        <f t="shared" si="34"/>
        <v>47.532766151786035</v>
      </c>
      <c r="X114" s="157">
        <f t="shared" si="35"/>
        <v>46487</v>
      </c>
      <c r="Y114" s="387">
        <f t="shared" si="36"/>
        <v>42.871992947230076</v>
      </c>
      <c r="Z114" s="387">
        <f t="shared" si="37"/>
        <v>46.158597766869903</v>
      </c>
      <c r="AA114" s="388">
        <f t="shared" si="38"/>
        <v>54.940494333474213</v>
      </c>
      <c r="AB114" s="199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0.15984378504679125</v>
      </c>
      <c r="AD114" s="233">
        <f>(INDEX(Models!$BJ114:$BT114,,AH114)*(1-AF114)+INDEX(Models!$BJ114:$BT114,,AH114+1)*AF114-ERP_i)*AE114*Ramure*Pc/MaxiM</f>
        <v>1.96549855277105E-2</v>
      </c>
      <c r="AE114" s="307">
        <f t="shared" si="40"/>
        <v>0.9</v>
      </c>
      <c r="AF114" s="179">
        <f t="shared" si="41"/>
        <v>0.25232992733396475</v>
      </c>
      <c r="AG114" s="839">
        <f t="shared" si="49"/>
        <v>3</v>
      </c>
      <c r="AH114" s="178">
        <f t="shared" si="42"/>
        <v>9</v>
      </c>
      <c r="AI114" s="227">
        <f t="shared" si="43"/>
        <v>3.2523299273339648</v>
      </c>
      <c r="AJ114" s="267" t="b">
        <f t="shared" si="44"/>
        <v>0</v>
      </c>
      <c r="AK114" s="267" t="b">
        <f t="shared" si="45"/>
        <v>0</v>
      </c>
      <c r="AL114" s="267"/>
      <c r="AM114" s="267"/>
      <c r="AN114" s="75"/>
    </row>
    <row r="115" spans="1:40" s="6" customFormat="1" ht="11.25" x14ac:dyDescent="0.2">
      <c r="A115" s="56">
        <f t="shared" si="46"/>
        <v>46488</v>
      </c>
      <c r="B115" s="413">
        <f>'2026'!Wh/'2026'!Env_an*'2027'!Env_an</f>
        <v>36.369297599929787</v>
      </c>
      <c r="C115" s="868"/>
      <c r="D115" s="395">
        <f t="shared" si="25"/>
        <v>39.158311325852701</v>
      </c>
      <c r="E115" s="387">
        <f t="shared" si="47"/>
        <v>42.793114340712386</v>
      </c>
      <c r="F115" s="387">
        <f t="shared" si="26"/>
        <v>42.856479487439479</v>
      </c>
      <c r="G115" s="110">
        <f t="shared" si="48"/>
        <v>0.77338333150936411</v>
      </c>
      <c r="H115" s="416" t="b">
        <f>Wh_hp&gt;='2026'!Maxi_hp</f>
        <v>0</v>
      </c>
      <c r="I115" s="392">
        <f>IF(H115,Wh_hp,'2026'!Maxi_hp)</f>
        <v>55.083209342837009</v>
      </c>
      <c r="J115" s="85">
        <f>IF(H115,An,'2026'!An_max)</f>
        <v>2020</v>
      </c>
      <c r="K115" s="199">
        <f t="shared" si="27"/>
        <v>46488</v>
      </c>
      <c r="L115" s="147">
        <f>IF(t&lt;Tvie,1-EXP((T0-t)*PertePVj)+'2026'!Pspv,1-EXP((T0-t)*PertePVj)+Pspv)</f>
        <v>7.1224055161990152E-2</v>
      </c>
      <c r="M115" s="872"/>
      <c r="N115" s="872"/>
      <c r="O115" s="48">
        <f>IF(t&lt;Tnet,'2026'!Resal+('2026'!Salim-'2026'!Resal)*(1-EXP(('2026'!Tnet-t)/('2026'!Tau_j))),Resal+(Salim-Resal)*(1-EXP((Tnet-t)/(Tau_j))))*Salcycl</f>
        <v>8.4938969057496622E-2</v>
      </c>
      <c r="P115" s="171">
        <f>(INDEX(Models!$BJ115:$BT115,,T115)*(1-R115)+INDEX(Models!$BJ115:$BT115,,T115+1)*R115-ERP_i)*Q115*Ramure*Pc/MaxiM</f>
        <v>2.183824889931445E-3</v>
      </c>
      <c r="Q115" s="307">
        <f t="shared" si="28"/>
        <v>0.9</v>
      </c>
      <c r="R115" s="179">
        <f t="shared" si="29"/>
        <v>0.61871810067924149</v>
      </c>
      <c r="S115" s="839">
        <f t="shared" si="30"/>
        <v>-2</v>
      </c>
      <c r="T115" s="178">
        <f t="shared" si="31"/>
        <v>4</v>
      </c>
      <c r="U115" s="253">
        <f t="shared" si="32"/>
        <v>-1.3812818993207585</v>
      </c>
      <c r="V115" s="385">
        <f t="shared" si="33"/>
        <v>46.993007903986182</v>
      </c>
      <c r="W115" s="404">
        <f t="shared" si="34"/>
        <v>36.369297599929787</v>
      </c>
      <c r="X115" s="157">
        <f t="shared" si="35"/>
        <v>46488</v>
      </c>
      <c r="Y115" s="387">
        <f t="shared" si="36"/>
        <v>33.000393030430963</v>
      </c>
      <c r="Z115" s="387">
        <f t="shared" si="37"/>
        <v>35.531059147087021</v>
      </c>
      <c r="AA115" s="388">
        <f t="shared" si="38"/>
        <v>42.29713919653706</v>
      </c>
      <c r="AB115" s="199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0.15996542976608663</v>
      </c>
      <c r="AD115" s="233">
        <f>(INDEX(Models!$BJ115:$BT115,,AH115)*(1-AF115)+INDEX(Models!$BJ115:$BT115,,AH115+1)*AF115-ERP_i)*AE115*Ramure*Pc/MaxiM</f>
        <v>1.927717858012824E-2</v>
      </c>
      <c r="AE115" s="307">
        <f t="shared" si="40"/>
        <v>0.9</v>
      </c>
      <c r="AF115" s="179">
        <f t="shared" si="41"/>
        <v>0.25437375298622067</v>
      </c>
      <c r="AG115" s="839">
        <f t="shared" si="49"/>
        <v>3</v>
      </c>
      <c r="AH115" s="178">
        <f t="shared" si="42"/>
        <v>9</v>
      </c>
      <c r="AI115" s="227">
        <f t="shared" si="43"/>
        <v>3.2543737529862207</v>
      </c>
      <c r="AJ115" s="267" t="b">
        <f t="shared" si="44"/>
        <v>0</v>
      </c>
      <c r="AK115" s="267" t="b">
        <f t="shared" si="45"/>
        <v>0</v>
      </c>
      <c r="AL115" s="267"/>
      <c r="AM115" s="267"/>
      <c r="AN115" s="75"/>
    </row>
    <row r="116" spans="1:40" s="6" customFormat="1" ht="11.25" x14ac:dyDescent="0.2">
      <c r="A116" s="56">
        <f t="shared" si="46"/>
        <v>46489</v>
      </c>
      <c r="B116" s="413">
        <f>'2026'!Wh/'2026'!Env_an*'2027'!Env_an</f>
        <v>33.412829232589374</v>
      </c>
      <c r="C116" s="868"/>
      <c r="D116" s="395">
        <f t="shared" si="25"/>
        <v>35.975960619718542</v>
      </c>
      <c r="E116" s="387">
        <f t="shared" si="47"/>
        <v>39.323090854852474</v>
      </c>
      <c r="F116" s="387">
        <f t="shared" si="26"/>
        <v>39.371603540811208</v>
      </c>
      <c r="G116" s="110">
        <f t="shared" si="48"/>
        <v>0.70591364101792298</v>
      </c>
      <c r="H116" s="416" t="b">
        <f>Wh_hp&gt;='2026'!Maxi_hp</f>
        <v>0</v>
      </c>
      <c r="I116" s="392">
        <f>IF(H116,Wh_hp,'2026'!Maxi_hp)</f>
        <v>55.421173257782392</v>
      </c>
      <c r="J116" s="85">
        <f>IF(H116,An,'2026'!An_max)</f>
        <v>2019</v>
      </c>
      <c r="K116" s="199">
        <f t="shared" si="27"/>
        <v>46489</v>
      </c>
      <c r="L116" s="147">
        <f>IF(t&lt;Tvie,1-EXP((T0-t)*PertePVj)+'2026'!Pspv,1-EXP((T0-t)*PertePVj)+Pspv)</f>
        <v>7.1245669135080902E-2</v>
      </c>
      <c r="M116" s="872"/>
      <c r="N116" s="872"/>
      <c r="O116" s="48">
        <f>IF(t&lt;Tnet,'2026'!Resal+('2026'!Salim-'2026'!Resal)*(1-EXP(('2026'!Tnet-t)/('2026'!Tau_j))),Resal+(Salim-Resal)*(1-EXP((Tnet-t)/(Tau_j))))*Salcycl</f>
        <v>8.5118696480108794E-2</v>
      </c>
      <c r="P116" s="171">
        <f>(INDEX(Models!$BJ116:$BT116,,T116)*(1-R116)+INDEX(Models!$BJ116:$BT116,,T116+1)*R116-ERP_i)*Q116*Ramure*Pc/MaxiM</f>
        <v>2.1216021452390146E-3</v>
      </c>
      <c r="Q116" s="307">
        <f t="shared" si="28"/>
        <v>0.9</v>
      </c>
      <c r="R116" s="179">
        <f t="shared" si="29"/>
        <v>0.62083400589532123</v>
      </c>
      <c r="S116" s="839">
        <f t="shared" si="30"/>
        <v>-2</v>
      </c>
      <c r="T116" s="178">
        <f t="shared" si="31"/>
        <v>4</v>
      </c>
      <c r="U116" s="253">
        <f t="shared" si="32"/>
        <v>-1.3791659941046788</v>
      </c>
      <c r="V116" s="385">
        <f t="shared" si="33"/>
        <v>47.290592411800191</v>
      </c>
      <c r="W116" s="404">
        <f t="shared" si="34"/>
        <v>33.412829232589374</v>
      </c>
      <c r="X116" s="157">
        <f t="shared" si="35"/>
        <v>46489</v>
      </c>
      <c r="Y116" s="387">
        <f t="shared" si="36"/>
        <v>30.37536813256828</v>
      </c>
      <c r="Z116" s="387">
        <f t="shared" si="37"/>
        <v>32.705492855447226</v>
      </c>
      <c r="AA116" s="388">
        <f t="shared" si="38"/>
        <v>38.939275399345711</v>
      </c>
      <c r="AB116" s="199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0.16008984450705074</v>
      </c>
      <c r="AD116" s="233">
        <f>(INDEX(Models!$BJ116:$BT116,,AH116)*(1-AF116)+INDEX(Models!$BJ116:$BT116,,AH116+1)*AF116-ERP_i)*AE116*Ramure*Pc/MaxiM</f>
        <v>1.8906978540841703E-2</v>
      </c>
      <c r="AE116" s="307">
        <f t="shared" si="40"/>
        <v>0.9</v>
      </c>
      <c r="AF116" s="179">
        <f t="shared" si="41"/>
        <v>0.25648965820229996</v>
      </c>
      <c r="AG116" s="839">
        <f t="shared" si="49"/>
        <v>3</v>
      </c>
      <c r="AH116" s="178">
        <f t="shared" si="42"/>
        <v>9</v>
      </c>
      <c r="AI116" s="227">
        <f t="shared" si="43"/>
        <v>3.2564896582023</v>
      </c>
      <c r="AJ116" s="267" t="b">
        <f t="shared" si="44"/>
        <v>0</v>
      </c>
      <c r="AK116" s="267" t="b">
        <f t="shared" si="45"/>
        <v>0</v>
      </c>
      <c r="AL116" s="267"/>
      <c r="AM116" s="267"/>
      <c r="AN116" s="75"/>
    </row>
    <row r="117" spans="1:40" s="6" customFormat="1" ht="11.25" x14ac:dyDescent="0.2">
      <c r="A117" s="56">
        <f t="shared" si="46"/>
        <v>46490</v>
      </c>
      <c r="B117" s="413">
        <f>'2026'!Wh/'2026'!Env_an*'2027'!Env_an</f>
        <v>7.3636401156682139</v>
      </c>
      <c r="C117" s="868"/>
      <c r="D117" s="395">
        <f t="shared" si="25"/>
        <v>7.9286967905297008</v>
      </c>
      <c r="E117" s="387">
        <f t="shared" si="47"/>
        <v>8.6680832988505863</v>
      </c>
      <c r="F117" s="387">
        <f t="shared" si="26"/>
        <v>8.6680832988505863</v>
      </c>
      <c r="G117" s="110">
        <f t="shared" si="48"/>
        <v>0.15443795714507236</v>
      </c>
      <c r="H117" s="416" t="b">
        <f>Wh_hp&gt;='2026'!Maxi_hp</f>
        <v>0</v>
      </c>
      <c r="I117" s="392">
        <f>IF(H117,Wh_hp,'2026'!Maxi_hp)</f>
        <v>56.406019342238785</v>
      </c>
      <c r="J117" s="85">
        <f>IF(H117,An,'2026'!An_max)</f>
        <v>2019</v>
      </c>
      <c r="K117" s="199">
        <f t="shared" si="27"/>
        <v>46490</v>
      </c>
      <c r="L117" s="147">
        <f>IF(t&lt;Tvie,1-EXP((T0-t)*PertePVj)+'2026'!Pspv,1-EXP((T0-t)*PertePVj)+Pspv)</f>
        <v>7.1267282605182891E-2</v>
      </c>
      <c r="M117" s="872"/>
      <c r="N117" s="872"/>
      <c r="O117" s="48">
        <f>IF(t&lt;Tnet,'2026'!Resal+('2026'!Salim-'2026'!Resal)*(1-EXP(('2026'!Tnet-t)/('2026'!Tau_j))),Resal+(Salim-Resal)*(1-EXP((Tnet-t)/(Tau_j))))*Salcycl</f>
        <v>8.5299884972140402E-2</v>
      </c>
      <c r="P117" s="171">
        <f>(INDEX(Models!$BJ117:$BT117,,T117)*(1-R117)+INDEX(Models!$BJ117:$BT117,,T117+1)*R117-ERP_i)*Q117*Ramure*Pc/MaxiM</f>
        <v>2.0587391084093722E-3</v>
      </c>
      <c r="Q117" s="307">
        <f t="shared" si="28"/>
        <v>0.9</v>
      </c>
      <c r="R117" s="179">
        <f t="shared" si="29"/>
        <v>0.62302398940141135</v>
      </c>
      <c r="S117" s="839">
        <f t="shared" si="30"/>
        <v>-2</v>
      </c>
      <c r="T117" s="178">
        <f t="shared" si="31"/>
        <v>4</v>
      </c>
      <c r="U117" s="253">
        <f t="shared" si="32"/>
        <v>-1.3769760105985887</v>
      </c>
      <c r="V117" s="385">
        <f t="shared" si="33"/>
        <v>47.582086927496654</v>
      </c>
      <c r="W117" s="404">
        <f t="shared" si="34"/>
        <v>7.3636401156682139</v>
      </c>
      <c r="X117" s="157">
        <f t="shared" si="35"/>
        <v>46490</v>
      </c>
      <c r="Y117" s="387">
        <f t="shared" si="36"/>
        <v>6.7605317460118144</v>
      </c>
      <c r="Z117" s="387">
        <f t="shared" si="37"/>
        <v>7.2793082653271268</v>
      </c>
      <c r="AA117" s="388">
        <f t="shared" si="38"/>
        <v>8.6680832988505863</v>
      </c>
      <c r="AB117" s="199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0.16021708440522434</v>
      </c>
      <c r="AD117" s="233">
        <f>(INDEX(Models!$BJ117:$BT117,,AH117)*(1-AF117)+INDEX(Models!$BJ117:$BT117,,AH117+1)*AF117-ERP_i)*AE117*Ramure*Pc/MaxiM</f>
        <v>1.8544355996981923E-2</v>
      </c>
      <c r="AE117" s="307">
        <f t="shared" si="40"/>
        <v>0.9</v>
      </c>
      <c r="AF117" s="179">
        <f t="shared" si="41"/>
        <v>0.25867964170839031</v>
      </c>
      <c r="AG117" s="839">
        <f t="shared" si="49"/>
        <v>3</v>
      </c>
      <c r="AH117" s="178">
        <f t="shared" si="42"/>
        <v>9</v>
      </c>
      <c r="AI117" s="227">
        <f t="shared" si="43"/>
        <v>3.2586796417083903</v>
      </c>
      <c r="AJ117" s="267" t="b">
        <f t="shared" si="44"/>
        <v>0</v>
      </c>
      <c r="AK117" s="267" t="b">
        <f t="shared" si="45"/>
        <v>0</v>
      </c>
      <c r="AL117" s="267"/>
      <c r="AM117" s="267"/>
      <c r="AN117" s="75"/>
    </row>
    <row r="118" spans="1:40" s="6" customFormat="1" ht="11.25" x14ac:dyDescent="0.2">
      <c r="A118" s="56">
        <f t="shared" si="46"/>
        <v>46491</v>
      </c>
      <c r="B118" s="413">
        <f>'2026'!Wh/'2026'!Env_an*'2027'!Env_an</f>
        <v>36.000219692560705</v>
      </c>
      <c r="C118" s="868"/>
      <c r="D118" s="395">
        <f t="shared" si="25"/>
        <v>38.763636529085581</v>
      </c>
      <c r="E118" s="387">
        <f t="shared" si="47"/>
        <v>42.386984854351034</v>
      </c>
      <c r="F118" s="387">
        <f t="shared" si="26"/>
        <v>42.441674524349061</v>
      </c>
      <c r="G118" s="110">
        <f t="shared" si="48"/>
        <v>0.75155308961573741</v>
      </c>
      <c r="H118" s="416" t="b">
        <f>Wh_hp&gt;='2026'!Maxi_hp</f>
        <v>0</v>
      </c>
      <c r="I118" s="392">
        <f>IF(H118,Wh_hp,'2026'!Maxi_hp)</f>
        <v>56.154090506679154</v>
      </c>
      <c r="J118" s="85">
        <f>IF(H118,An,'2026'!An_max)</f>
        <v>2021</v>
      </c>
      <c r="K118" s="199">
        <f t="shared" si="27"/>
        <v>46491</v>
      </c>
      <c r="L118" s="147">
        <f>IF(t&lt;Tvie,1-EXP((T0-t)*PertePVj)+'2026'!Pspv,1-EXP((T0-t)*PertePVj)+Pspv)</f>
        <v>7.1288895572307776E-2</v>
      </c>
      <c r="M118" s="872"/>
      <c r="N118" s="872"/>
      <c r="O118" s="48">
        <f>IF(t&lt;Tnet,'2026'!Resal+('2026'!Salim-'2026'!Resal)*(1-EXP(('2026'!Tnet-t)/('2026'!Tau_j))),Resal+(Salim-Resal)*(1-EXP((Tnet-t)/(Tau_j))))*Salcycl</f>
        <v>8.5482568239187248E-2</v>
      </c>
      <c r="P118" s="171">
        <f>(INDEX(Models!$BJ118:$BT118,,T118)*(1-R118)+INDEX(Models!$BJ118:$BT118,,T118+1)*R118-ERP_i)*Q118*Ramure*Pc/MaxiM</f>
        <v>1.9952187564964562E-3</v>
      </c>
      <c r="Q118" s="307">
        <f t="shared" si="28"/>
        <v>0.9</v>
      </c>
      <c r="R118" s="179">
        <f t="shared" si="29"/>
        <v>0.62529006283280042</v>
      </c>
      <c r="S118" s="839">
        <f t="shared" si="30"/>
        <v>-2</v>
      </c>
      <c r="T118" s="178">
        <f t="shared" si="31"/>
        <v>4</v>
      </c>
      <c r="U118" s="253">
        <f t="shared" si="32"/>
        <v>-1.3747099371671996</v>
      </c>
      <c r="V118" s="385">
        <f t="shared" si="33"/>
        <v>47.867207741849811</v>
      </c>
      <c r="W118" s="404">
        <f t="shared" si="34"/>
        <v>36.000219692560705</v>
      </c>
      <c r="X118" s="157">
        <f t="shared" si="35"/>
        <v>46491</v>
      </c>
      <c r="Y118" s="387">
        <f t="shared" si="36"/>
        <v>32.707014150519093</v>
      </c>
      <c r="Z118" s="387">
        <f t="shared" si="37"/>
        <v>35.217640873018766</v>
      </c>
      <c r="AA118" s="388">
        <f t="shared" si="38"/>
        <v>41.943099491839305</v>
      </c>
      <c r="AB118" s="199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0.16034720133472921</v>
      </c>
      <c r="AD118" s="233">
        <f>(INDEX(Models!$BJ118:$BT118,,AH118)*(1-AF118)+INDEX(Models!$BJ118:$BT118,,AH118+1)*AF118-ERP_i)*AE118*Ramure*Pc/MaxiM</f>
        <v>1.818928979494986E-2</v>
      </c>
      <c r="AE118" s="307">
        <f t="shared" si="40"/>
        <v>0.9</v>
      </c>
      <c r="AF118" s="179">
        <f t="shared" si="41"/>
        <v>0.26094571513977938</v>
      </c>
      <c r="AG118" s="839">
        <f t="shared" si="49"/>
        <v>3</v>
      </c>
      <c r="AH118" s="178">
        <f t="shared" si="42"/>
        <v>9</v>
      </c>
      <c r="AI118" s="227">
        <f t="shared" si="43"/>
        <v>3.2609457151397794</v>
      </c>
      <c r="AJ118" s="267" t="b">
        <f t="shared" si="44"/>
        <v>0</v>
      </c>
      <c r="AK118" s="267" t="b">
        <f t="shared" si="45"/>
        <v>0</v>
      </c>
      <c r="AL118" s="267"/>
      <c r="AM118" s="267"/>
      <c r="AN118" s="75"/>
    </row>
    <row r="119" spans="1:40" s="6" customFormat="1" ht="11.25" x14ac:dyDescent="0.2">
      <c r="A119" s="56">
        <f t="shared" si="46"/>
        <v>46492</v>
      </c>
      <c r="B119" s="413">
        <f>'2026'!Wh/'2026'!Env_an*'2027'!Env_an</f>
        <v>39.970080828092371</v>
      </c>
      <c r="C119" s="868"/>
      <c r="D119" s="395">
        <f t="shared" si="25"/>
        <v>43.03923019908779</v>
      </c>
      <c r="E119" s="387">
        <f t="shared" si="47"/>
        <v>47.071712125364904</v>
      </c>
      <c r="F119" s="387">
        <f t="shared" si="26"/>
        <v>47.140659331099037</v>
      </c>
      <c r="G119" s="110">
        <f t="shared" si="48"/>
        <v>0.82980107362378486</v>
      </c>
      <c r="H119" s="416" t="b">
        <f>Wh_hp&gt;='2026'!Maxi_hp</f>
        <v>0</v>
      </c>
      <c r="I119" s="392">
        <f>IF(H119,Wh_hp,'2026'!Maxi_hp)</f>
        <v>56.104027308625504</v>
      </c>
      <c r="J119" s="85">
        <f>IF(H119,An,'2026'!An_max)</f>
        <v>2021</v>
      </c>
      <c r="K119" s="199">
        <f t="shared" si="27"/>
        <v>46492</v>
      </c>
      <c r="L119" s="147">
        <f>IF(t&lt;Tvie,1-EXP((T0-t)*PertePVj)+'2026'!Pspv,1-EXP((T0-t)*PertePVj)+Pspv)</f>
        <v>7.1310508036467435E-2</v>
      </c>
      <c r="M119" s="872"/>
      <c r="N119" s="872"/>
      <c r="O119" s="48">
        <f>IF(t&lt;Tnet,'2026'!Resal+('2026'!Salim-'2026'!Resal)*(1-EXP(('2026'!Tnet-t)/('2026'!Tau_j))),Resal+(Salim-Resal)*(1-EXP((Tnet-t)/(Tau_j))))*Salcycl</f>
        <v>8.5666778287934481E-2</v>
      </c>
      <c r="P119" s="171">
        <f>(INDEX(Models!$BJ119:$BT119,,T119)*(1-R119)+INDEX(Models!$BJ119:$BT119,,T119+1)*R119-ERP_i)*Q119*Ramure*Pc/MaxiM</f>
        <v>1.9310214015113331E-3</v>
      </c>
      <c r="Q119" s="307">
        <f t="shared" si="28"/>
        <v>0.9</v>
      </c>
      <c r="R119" s="179">
        <f t="shared" si="29"/>
        <v>0.62763424706614446</v>
      </c>
      <c r="S119" s="839">
        <f t="shared" si="30"/>
        <v>-2</v>
      </c>
      <c r="T119" s="178">
        <f t="shared" si="31"/>
        <v>4</v>
      </c>
      <c r="U119" s="253">
        <f t="shared" si="32"/>
        <v>-1.3723657529338555</v>
      </c>
      <c r="V119" s="385">
        <f t="shared" si="33"/>
        <v>48.145671558252999</v>
      </c>
      <c r="W119" s="404">
        <f t="shared" si="34"/>
        <v>39.970080828092371</v>
      </c>
      <c r="X119" s="157">
        <f t="shared" si="35"/>
        <v>46492</v>
      </c>
      <c r="Y119" s="387">
        <f t="shared" si="36"/>
        <v>36.256693633861374</v>
      </c>
      <c r="Z119" s="387">
        <f t="shared" si="37"/>
        <v>39.040706229165657</v>
      </c>
      <c r="AA119" s="388">
        <f t="shared" si="38"/>
        <v>46.503618216025785</v>
      </c>
      <c r="AB119" s="199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0.16048024375635161</v>
      </c>
      <c r="AD119" s="233">
        <f>(INDEX(Models!$BJ119:$BT119,,AH119)*(1-AF119)+INDEX(Models!$BJ119:$BT119,,AH119+1)*AF119-ERP_i)*AE119*Ramure*Pc/MaxiM</f>
        <v>1.7841767679355313E-2</v>
      </c>
      <c r="AE119" s="307">
        <f t="shared" si="40"/>
        <v>0.9</v>
      </c>
      <c r="AF119" s="179">
        <f t="shared" si="41"/>
        <v>0.26328989937312341</v>
      </c>
      <c r="AG119" s="839">
        <f t="shared" si="49"/>
        <v>3</v>
      </c>
      <c r="AH119" s="178">
        <f t="shared" si="42"/>
        <v>9</v>
      </c>
      <c r="AI119" s="227">
        <f t="shared" si="43"/>
        <v>3.2632898993731234</v>
      </c>
      <c r="AJ119" s="267" t="b">
        <f t="shared" si="44"/>
        <v>0</v>
      </c>
      <c r="AK119" s="267" t="b">
        <f t="shared" si="45"/>
        <v>0</v>
      </c>
      <c r="AL119" s="267"/>
      <c r="AM119" s="267"/>
      <c r="AN119" s="75"/>
    </row>
    <row r="120" spans="1:40" s="6" customFormat="1" ht="11.25" x14ac:dyDescent="0.2">
      <c r="A120" s="56">
        <f t="shared" si="46"/>
        <v>46493</v>
      </c>
      <c r="B120" s="413">
        <f>'2026'!Wh/'2026'!Env_an*'2027'!Env_an</f>
        <v>42.857936084042308</v>
      </c>
      <c r="C120" s="868"/>
      <c r="D120" s="395">
        <f t="shared" si="25"/>
        <v>46.149906771767469</v>
      </c>
      <c r="E120" s="387">
        <f t="shared" si="47"/>
        <v>50.48409480986502</v>
      </c>
      <c r="F120" s="387">
        <f t="shared" si="26"/>
        <v>50.562974418462666</v>
      </c>
      <c r="G120" s="110">
        <f t="shared" si="48"/>
        <v>0.88490868648336984</v>
      </c>
      <c r="H120" s="416" t="b">
        <f>Wh_hp&gt;='2026'!Maxi_hp</f>
        <v>0</v>
      </c>
      <c r="I120" s="392">
        <f>IF(H120,Wh_hp,'2026'!Maxi_hp)</f>
        <v>50.578215137614656</v>
      </c>
      <c r="J120" s="85">
        <f>IF(H120,An,'2026'!An_max)</f>
        <v>2025</v>
      </c>
      <c r="K120" s="199">
        <f t="shared" si="27"/>
        <v>46493</v>
      </c>
      <c r="L120" s="147">
        <f>IF(t&lt;Tvie,1-EXP((T0-t)*PertePVj)+'2026'!Pspv,1-EXP((T0-t)*PertePVj)+Pspv)</f>
        <v>7.1332119997673527E-2</v>
      </c>
      <c r="M120" s="872"/>
      <c r="N120" s="872"/>
      <c r="O120" s="48">
        <f>IF(t&lt;Tnet,'2026'!Resal+('2026'!Salim-'2026'!Resal)*(1-EXP(('2026'!Tnet-t)/('2026'!Tau_j))),Resal+(Salim-Resal)*(1-EXP((Tnet-t)/(Tau_j))))*Salcycl</f>
        <v>8.5852545329793889E-2</v>
      </c>
      <c r="P120" s="171">
        <f>(INDEX(Models!$BJ120:$BT120,,T120)*(1-R120)+INDEX(Models!$BJ120:$BT120,,T120+1)*R120-ERP_i)*Q120*Ramure*Pc/MaxiM</f>
        <v>1.8661246647255888E-3</v>
      </c>
      <c r="Q120" s="307">
        <f t="shared" si="28"/>
        <v>0.9</v>
      </c>
      <c r="R120" s="179">
        <f t="shared" si="29"/>
        <v>0.63005856822924389</v>
      </c>
      <c r="S120" s="839">
        <f t="shared" si="30"/>
        <v>-2</v>
      </c>
      <c r="T120" s="178">
        <f t="shared" si="31"/>
        <v>4</v>
      </c>
      <c r="U120" s="253">
        <f t="shared" si="32"/>
        <v>-1.3699414317707561</v>
      </c>
      <c r="V120" s="385">
        <f t="shared" si="33"/>
        <v>48.417195502325676</v>
      </c>
      <c r="W120" s="404">
        <f t="shared" si="34"/>
        <v>42.857936084042308</v>
      </c>
      <c r="X120" s="157">
        <f t="shared" si="35"/>
        <v>46493</v>
      </c>
      <c r="Y120" s="387">
        <f t="shared" si="36"/>
        <v>38.837609404644311</v>
      </c>
      <c r="Z120" s="387">
        <f t="shared" si="37"/>
        <v>41.820773864330285</v>
      </c>
      <c r="AA120" s="388">
        <f t="shared" si="38"/>
        <v>49.823187774620159</v>
      </c>
      <c r="AB120" s="199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0.16061625656089179</v>
      </c>
      <c r="AD120" s="233">
        <f>(INDEX(Models!$BJ120:$BT120,,AH120)*(1-AF120)+INDEX(Models!$BJ120:$BT120,,AH120+1)*AF120-ERP_i)*AE120*Ramure*Pc/MaxiM</f>
        <v>1.7501786928874535E-2</v>
      </c>
      <c r="AE120" s="307">
        <f t="shared" si="40"/>
        <v>0.9</v>
      </c>
      <c r="AF120" s="179">
        <f t="shared" si="41"/>
        <v>0.26571422053622262</v>
      </c>
      <c r="AG120" s="839">
        <f t="shared" si="49"/>
        <v>3</v>
      </c>
      <c r="AH120" s="178">
        <f t="shared" si="42"/>
        <v>9</v>
      </c>
      <c r="AI120" s="227">
        <f t="shared" si="43"/>
        <v>3.2657142205362226</v>
      </c>
      <c r="AJ120" s="267" t="b">
        <f t="shared" si="44"/>
        <v>0</v>
      </c>
      <c r="AK120" s="267" t="b">
        <f t="shared" si="45"/>
        <v>0</v>
      </c>
      <c r="AL120" s="267"/>
      <c r="AM120" s="267"/>
      <c r="AN120" s="75"/>
    </row>
    <row r="121" spans="1:40" s="6" customFormat="1" ht="11.25" x14ac:dyDescent="0.2">
      <c r="A121" s="56">
        <f t="shared" si="46"/>
        <v>46494</v>
      </c>
      <c r="B121" s="413">
        <f>'2026'!Wh/'2026'!Env_an*'2027'!Env_an</f>
        <v>48.644371027988456</v>
      </c>
      <c r="C121" s="868"/>
      <c r="D121" s="395">
        <f t="shared" si="25"/>
        <v>52.382023894042469</v>
      </c>
      <c r="E121" s="387">
        <f t="shared" si="47"/>
        <v>57.313250065440037</v>
      </c>
      <c r="F121" s="387">
        <f t="shared" si="26"/>
        <v>57.416509210459154</v>
      </c>
      <c r="G121" s="110">
        <f t="shared" si="48"/>
        <v>0.99920802847193602</v>
      </c>
      <c r="H121" s="416" t="b">
        <f>Wh_hp&gt;='2026'!Maxi_hp</f>
        <v>0</v>
      </c>
      <c r="I121" s="392">
        <f>IF(H121,Wh_hp,'2026'!Maxi_hp)</f>
        <v>57.416623926306571</v>
      </c>
      <c r="J121" s="85">
        <f>IF(H121,An,'2026'!An_max)</f>
        <v>2025</v>
      </c>
      <c r="K121" s="199">
        <f t="shared" si="27"/>
        <v>46494</v>
      </c>
      <c r="L121" s="147">
        <f>IF(t&lt;Tvie,1-EXP((T0-t)*PertePVj)+'2026'!Pspv,1-EXP((T0-t)*PertePVj)+Pspv)</f>
        <v>7.1353731455937597E-2</v>
      </c>
      <c r="M121" s="872"/>
      <c r="N121" s="872"/>
      <c r="O121" s="48">
        <f>IF(t&lt;Tnet,'2026'!Resal+('2026'!Salim-'2026'!Resal)*(1-EXP(('2026'!Tnet-t)/('2026'!Tau_j))),Resal+(Salim-Resal)*(1-EXP((Tnet-t)/(Tau_j))))*Salcycl</f>
        <v>8.6039897681026906E-2</v>
      </c>
      <c r="P121" s="171">
        <f>(INDEX(Models!$BJ121:$BT121,,T121)*(1-R121)+INDEX(Models!$BJ121:$BT121,,T121+1)*R121-ERP_i)*Q121*Ramure*Pc/MaxiM</f>
        <v>1.8004543330271718E-3</v>
      </c>
      <c r="Q121" s="307">
        <f t="shared" si="28"/>
        <v>0.9</v>
      </c>
      <c r="R121" s="179">
        <f t="shared" si="29"/>
        <v>0.63256505337779134</v>
      </c>
      <c r="S121" s="839">
        <f t="shared" si="30"/>
        <v>-2</v>
      </c>
      <c r="T121" s="178">
        <f t="shared" si="31"/>
        <v>4</v>
      </c>
      <c r="U121" s="253">
        <f t="shared" si="32"/>
        <v>-1.3674349466222087</v>
      </c>
      <c r="V121" s="385">
        <f t="shared" si="33"/>
        <v>48.682827428438706</v>
      </c>
      <c r="W121" s="404">
        <f t="shared" si="34"/>
        <v>48.644371027988456</v>
      </c>
      <c r="X121" s="157">
        <f t="shared" si="35"/>
        <v>46494</v>
      </c>
      <c r="Y121" s="387">
        <f t="shared" si="36"/>
        <v>43.980805358105215</v>
      </c>
      <c r="Z121" s="387">
        <f t="shared" si="37"/>
        <v>47.360127152676341</v>
      </c>
      <c r="AA121" s="388">
        <f t="shared" si="38"/>
        <v>56.43184410366343</v>
      </c>
      <c r="AB121" s="199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0.1607552809070468</v>
      </c>
      <c r="AD121" s="233">
        <f>(INDEX(Models!$BJ121:$BT121,,AH121)*(1-AF121)+INDEX(Models!$BJ121:$BT121,,AH121+1)*AF121-ERP_i)*AE121*Ramure*Pc/MaxiM</f>
        <v>1.7168886666482114E-2</v>
      </c>
      <c r="AE121" s="307">
        <f t="shared" si="40"/>
        <v>0.9</v>
      </c>
      <c r="AF121" s="179">
        <f t="shared" si="41"/>
        <v>0.26822070568477052</v>
      </c>
      <c r="AG121" s="839">
        <f t="shared" si="49"/>
        <v>3</v>
      </c>
      <c r="AH121" s="178">
        <f t="shared" si="42"/>
        <v>9</v>
      </c>
      <c r="AI121" s="227">
        <f t="shared" si="43"/>
        <v>3.2682207056847705</v>
      </c>
      <c r="AJ121" s="267" t="b">
        <f t="shared" si="44"/>
        <v>0</v>
      </c>
      <c r="AK121" s="267" t="b">
        <f t="shared" si="45"/>
        <v>0</v>
      </c>
      <c r="AL121" s="267"/>
      <c r="AM121" s="267"/>
      <c r="AN121" s="75"/>
    </row>
    <row r="122" spans="1:40" s="18" customFormat="1" ht="11.25" x14ac:dyDescent="0.2">
      <c r="A122" s="56">
        <f t="shared" si="46"/>
        <v>46495</v>
      </c>
      <c r="B122" s="413">
        <f>'2026'!Wh/'2026'!Env_an*'2027'!Env_an</f>
        <v>39.084320620798259</v>
      </c>
      <c r="C122" s="868"/>
      <c r="D122" s="395">
        <f t="shared" si="25"/>
        <v>42.088394165932236</v>
      </c>
      <c r="E122" s="387">
        <f t="shared" si="47"/>
        <v>46.060104549096494</v>
      </c>
      <c r="F122" s="387">
        <f t="shared" si="26"/>
        <v>46.117041703259559</v>
      </c>
      <c r="G122" s="110">
        <f t="shared" si="48"/>
        <v>0.79815888992037609</v>
      </c>
      <c r="H122" s="416" t="b">
        <f>Wh_hp&gt;='2026'!Maxi_hp</f>
        <v>0</v>
      </c>
      <c r="I122" s="392">
        <f>IF(H122,Wh_hp,'2026'!Maxi_hp)</f>
        <v>46.139631627817437</v>
      </c>
      <c r="J122" s="85">
        <f>IF(H122,An,'2026'!An_max)</f>
        <v>2025</v>
      </c>
      <c r="K122" s="199">
        <f t="shared" si="27"/>
        <v>46495</v>
      </c>
      <c r="L122" s="147">
        <f>IF(t&lt;Tvie,1-EXP((T0-t)*PertePVj)+'2026'!Pspv,1-EXP((T0-t)*PertePVj)+Pspv)</f>
        <v>7.1375342411271525E-2</v>
      </c>
      <c r="M122" s="872"/>
      <c r="N122" s="872"/>
      <c r="O122" s="48">
        <f>IF(t&lt;Tnet,'2026'!Resal+('2026'!Salim-'2026'!Resal)*(1-EXP(('2026'!Tnet-t)/('2026'!Tau_j))),Resal+(Salim-Resal)*(1-EXP((Tnet-t)/(Tau_j))))*Salcycl</f>
        <v>8.6228861659024714E-2</v>
      </c>
      <c r="P122" s="171">
        <f>(INDEX(Models!$BJ122:$BT122,,T122)*(1-R122)+INDEX(Models!$BJ122:$BT122,,T122+1)*R122-ERP_i)*Q122*Ramure*Pc/MaxiM</f>
        <v>1.7334722383883102E-3</v>
      </c>
      <c r="Q122" s="307">
        <f t="shared" si="28"/>
        <v>0.9</v>
      </c>
      <c r="R122" s="179">
        <f t="shared" si="29"/>
        <v>0.63515572582960345</v>
      </c>
      <c r="S122" s="839">
        <f t="shared" si="30"/>
        <v>-2</v>
      </c>
      <c r="T122" s="178">
        <f t="shared" si="31"/>
        <v>4</v>
      </c>
      <c r="U122" s="253">
        <f t="shared" si="32"/>
        <v>-1.3648442741703966</v>
      </c>
      <c r="V122" s="385">
        <f t="shared" si="33"/>
        <v>48.943637443443812</v>
      </c>
      <c r="W122" s="404">
        <f t="shared" si="34"/>
        <v>39.084320620798259</v>
      </c>
      <c r="X122" s="157">
        <f t="shared" si="35"/>
        <v>46495</v>
      </c>
      <c r="Y122" s="387">
        <f t="shared" si="36"/>
        <v>35.504112426988428</v>
      </c>
      <c r="Z122" s="387">
        <f t="shared" si="37"/>
        <v>38.233006346373124</v>
      </c>
      <c r="AA122" s="388">
        <f t="shared" si="38"/>
        <v>45.564158963216606</v>
      </c>
      <c r="AB122" s="199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0.16089735405325556</v>
      </c>
      <c r="AD122" s="233">
        <f>(INDEX(Models!$BJ122:$BT122,,AH122)*(1-AF122)+INDEX(Models!$BJ122:$BT122,,AH122+1)*AF122-ERP_i)*AE122*Ramure*Pc/MaxiM</f>
        <v>1.6832714859680773E-2</v>
      </c>
      <c r="AE122" s="307">
        <f t="shared" si="40"/>
        <v>0.9</v>
      </c>
      <c r="AF122" s="179">
        <f t="shared" si="41"/>
        <v>0.27081137813658218</v>
      </c>
      <c r="AG122" s="839">
        <f t="shared" si="49"/>
        <v>3</v>
      </c>
      <c r="AH122" s="178">
        <f t="shared" si="42"/>
        <v>9</v>
      </c>
      <c r="AI122" s="227">
        <f t="shared" si="43"/>
        <v>3.2708113781365822</v>
      </c>
      <c r="AJ122" s="267" t="b">
        <f t="shared" si="44"/>
        <v>0</v>
      </c>
      <c r="AK122" s="267" t="b">
        <f t="shared" si="45"/>
        <v>0</v>
      </c>
      <c r="AL122" s="267"/>
      <c r="AM122" s="267"/>
      <c r="AN122" s="267"/>
    </row>
    <row r="123" spans="1:40" s="18" customFormat="1" ht="11.25" x14ac:dyDescent="0.2">
      <c r="A123" s="56">
        <f t="shared" si="46"/>
        <v>46496</v>
      </c>
      <c r="B123" s="413">
        <f>'2026'!Wh/'2026'!Env_an*'2027'!Env_an</f>
        <v>10.67838570279541</v>
      </c>
      <c r="C123" s="868"/>
      <c r="D123" s="395">
        <f t="shared" si="25"/>
        <v>11.499408424004331</v>
      </c>
      <c r="E123" s="387">
        <f t="shared" si="47"/>
        <v>12.587186284160804</v>
      </c>
      <c r="F123" s="387">
        <f t="shared" si="26"/>
        <v>12.587186284160804</v>
      </c>
      <c r="G123" s="110">
        <f t="shared" si="48"/>
        <v>0.21668184830624349</v>
      </c>
      <c r="H123" s="416" t="b">
        <f>Wh_hp&gt;='2026'!Maxi_hp</f>
        <v>0</v>
      </c>
      <c r="I123" s="392">
        <f>IF(H123,Wh_hp,'2026'!Maxi_hp)</f>
        <v>56.480000775881308</v>
      </c>
      <c r="J123" s="85">
        <f>IF(H123,An,'2026'!An_max)</f>
        <v>2021</v>
      </c>
      <c r="K123" s="199">
        <f t="shared" si="27"/>
        <v>46496</v>
      </c>
      <c r="L123" s="147">
        <f>IF(t&lt;Tvie,1-EXP((T0-t)*PertePVj)+'2026'!Pspv,1-EXP((T0-t)*PertePVj)+Pspv)</f>
        <v>7.1396952863686858E-2</v>
      </c>
      <c r="M123" s="872"/>
      <c r="N123" s="872"/>
      <c r="O123" s="48">
        <f>IF(t&lt;Tnet,'2026'!Resal+('2026'!Salim-'2026'!Resal)*(1-EXP(('2026'!Tnet-t)/('2026'!Tau_j))),Resal+(Salim-Resal)*(1-EXP((Tnet-t)/(Tau_j))))*Salcycl</f>
        <v>8.6419461474506604E-2</v>
      </c>
      <c r="P123" s="171">
        <f>(INDEX(Models!$BJ123:$BT123,,T123)*(1-R123)+INDEX(Models!$BJ123:$BT123,,T123+1)*R123-ERP_i)*Q123*Ramure*Pc/MaxiM</f>
        <v>1.6661470284675655E-3</v>
      </c>
      <c r="Q123" s="307">
        <f t="shared" si="28"/>
        <v>0.9</v>
      </c>
      <c r="R123" s="179">
        <f t="shared" si="29"/>
        <v>0.63783260014809495</v>
      </c>
      <c r="S123" s="839">
        <f t="shared" si="30"/>
        <v>-2</v>
      </c>
      <c r="T123" s="178">
        <f t="shared" si="31"/>
        <v>4</v>
      </c>
      <c r="U123" s="253">
        <f t="shared" si="32"/>
        <v>-1.362167399851905</v>
      </c>
      <c r="V123" s="385">
        <f t="shared" si="33"/>
        <v>49.199293921108264</v>
      </c>
      <c r="W123" s="404">
        <f t="shared" si="34"/>
        <v>10.67838570279541</v>
      </c>
      <c r="X123" s="157">
        <f t="shared" si="35"/>
        <v>46496</v>
      </c>
      <c r="Y123" s="387">
        <f t="shared" si="36"/>
        <v>9.8061542441035758</v>
      </c>
      <c r="Z123" s="387">
        <f t="shared" si="37"/>
        <v>10.56011422140433</v>
      </c>
      <c r="AA123" s="388">
        <f t="shared" si="38"/>
        <v>12.587186284160804</v>
      </c>
      <c r="AB123" s="199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0.16104250918310933</v>
      </c>
      <c r="AD123" s="233">
        <f>(INDEX(Models!$BJ123:$BT123,,AH123)*(1-AF123)+INDEX(Models!$BJ123:$BT123,,AH123+1)*AF123-ERP_i)*AE123*Ramure*Pc/MaxiM</f>
        <v>1.6485456657528066E-2</v>
      </c>
      <c r="AE123" s="307">
        <f t="shared" si="40"/>
        <v>0.9</v>
      </c>
      <c r="AF123" s="179">
        <f t="shared" si="41"/>
        <v>0.27348825245507413</v>
      </c>
      <c r="AG123" s="839">
        <f t="shared" si="49"/>
        <v>3</v>
      </c>
      <c r="AH123" s="178">
        <f t="shared" si="42"/>
        <v>9</v>
      </c>
      <c r="AI123" s="227">
        <f t="shared" si="43"/>
        <v>3.2734882524550741</v>
      </c>
      <c r="AJ123" s="267" t="b">
        <f t="shared" si="44"/>
        <v>0</v>
      </c>
      <c r="AK123" s="267" t="b">
        <f t="shared" si="45"/>
        <v>0</v>
      </c>
      <c r="AL123" s="267"/>
      <c r="AM123" s="267"/>
      <c r="AN123" s="267"/>
    </row>
    <row r="124" spans="1:40" s="6" customFormat="1" ht="11.25" x14ac:dyDescent="0.2">
      <c r="A124" s="56">
        <f t="shared" si="46"/>
        <v>46497</v>
      </c>
      <c r="B124" s="413">
        <f>'2026'!Wh/'2026'!Env_an*'2027'!Env_an</f>
        <v>10.079896089490289</v>
      </c>
      <c r="C124" s="868"/>
      <c r="D124" s="395">
        <f t="shared" si="25"/>
        <v>10.855155709366713</v>
      </c>
      <c r="E124" s="387">
        <f t="shared" si="47"/>
        <v>11.884491991623138</v>
      </c>
      <c r="F124" s="387">
        <f t="shared" si="26"/>
        <v>11.884491991623138</v>
      </c>
      <c r="G124" s="110">
        <f t="shared" si="48"/>
        <v>0.20351633560506421</v>
      </c>
      <c r="H124" s="416" t="b">
        <f>Wh_hp&gt;='2026'!Maxi_hp</f>
        <v>0</v>
      </c>
      <c r="I124" s="392">
        <f>IF(H124,Wh_hp,'2026'!Maxi_hp)</f>
        <v>48.589941916916572</v>
      </c>
      <c r="J124" s="85">
        <f>IF(H124,An,'2026'!An_max)</f>
        <v>2019</v>
      </c>
      <c r="K124" s="199">
        <f t="shared" si="27"/>
        <v>46497</v>
      </c>
      <c r="L124" s="147">
        <f>IF(t&lt;Tvie,1-EXP((T0-t)*PertePVj)+'2026'!Pspv,1-EXP((T0-t)*PertePVj)+Pspv)</f>
        <v>7.1418562813195474E-2</v>
      </c>
      <c r="M124" s="872"/>
      <c r="N124" s="872"/>
      <c r="O124" s="48">
        <f>IF(t&lt;Tnet,'2026'!Resal+('2026'!Salim-'2026'!Resal)*(1-EXP(('2026'!Tnet-t)/('2026'!Tau_j))),Resal+(Salim-Resal)*(1-EXP((Tnet-t)/(Tau_j))))*Salcycl</f>
        <v>8.6611719119501329E-2</v>
      </c>
      <c r="P124" s="171">
        <f>(INDEX(Models!$BJ124:$BT124,,T124)*(1-R124)+INDEX(Models!$BJ124:$BT124,,T124+1)*R124-ERP_i)*Q124*Ramure*Pc/MaxiM</f>
        <v>1.5984526867705475E-3</v>
      </c>
      <c r="Q124" s="307">
        <f t="shared" si="28"/>
        <v>0.9</v>
      </c>
      <c r="R124" s="179">
        <f t="shared" si="29"/>
        <v>0.64059767676823198</v>
      </c>
      <c r="S124" s="839">
        <f t="shared" si="30"/>
        <v>-2</v>
      </c>
      <c r="T124" s="178">
        <f t="shared" si="31"/>
        <v>4</v>
      </c>
      <c r="U124" s="253">
        <f t="shared" si="32"/>
        <v>-1.359402323231768</v>
      </c>
      <c r="V124" s="385">
        <f t="shared" si="33"/>
        <v>49.449513831818678</v>
      </c>
      <c r="W124" s="404">
        <f t="shared" si="34"/>
        <v>10.079896089490289</v>
      </c>
      <c r="X124" s="157">
        <f t="shared" si="35"/>
        <v>46497</v>
      </c>
      <c r="Y124" s="387">
        <f t="shared" si="36"/>
        <v>9.2568626088524599</v>
      </c>
      <c r="Z124" s="387">
        <f t="shared" si="37"/>
        <v>9.9688215143484928</v>
      </c>
      <c r="AA124" s="388">
        <f t="shared" si="38"/>
        <v>11.884491991623138</v>
      </c>
      <c r="AB124" s="199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0.16119077522412545</v>
      </c>
      <c r="AD124" s="233">
        <f>(INDEX(Models!$BJ124:$BT124,,AH124)*(1-AF124)+INDEX(Models!$BJ124:$BT124,,AH124+1)*AF124-ERP_i)*AE124*Ramure*Pc/MaxiM</f>
        <v>1.6127296281585428E-2</v>
      </c>
      <c r="AE124" s="307">
        <f t="shared" si="40"/>
        <v>0.9</v>
      </c>
      <c r="AF124" s="179">
        <f t="shared" si="41"/>
        <v>0.27625332907521072</v>
      </c>
      <c r="AG124" s="839">
        <f t="shared" si="49"/>
        <v>3</v>
      </c>
      <c r="AH124" s="178">
        <f t="shared" si="42"/>
        <v>9</v>
      </c>
      <c r="AI124" s="227">
        <f t="shared" si="43"/>
        <v>3.2762533290752107</v>
      </c>
      <c r="AJ124" s="267" t="b">
        <f t="shared" si="44"/>
        <v>0</v>
      </c>
      <c r="AK124" s="267" t="b">
        <f t="shared" si="45"/>
        <v>0</v>
      </c>
      <c r="AL124" s="267"/>
      <c r="AM124" s="267"/>
      <c r="AN124" s="75"/>
    </row>
    <row r="125" spans="1:40" s="6" customFormat="1" ht="11.25" x14ac:dyDescent="0.2">
      <c r="A125" s="56">
        <f t="shared" si="46"/>
        <v>46498</v>
      </c>
      <c r="B125" s="413">
        <f>'2026'!Wh/'2026'!Env_an*'2027'!Env_an</f>
        <v>9.6177365456077819</v>
      </c>
      <c r="C125" s="868"/>
      <c r="D125" s="395">
        <f t="shared" si="25"/>
        <v>10.357691834476823</v>
      </c>
      <c r="E125" s="387">
        <f t="shared" si="47"/>
        <v>11.342264527472986</v>
      </c>
      <c r="F125" s="387">
        <f t="shared" si="26"/>
        <v>11.342264527472986</v>
      </c>
      <c r="G125" s="110">
        <f t="shared" si="48"/>
        <v>0.19324294907552322</v>
      </c>
      <c r="H125" s="416" t="b">
        <f>Wh_hp&gt;='2026'!Maxi_hp</f>
        <v>0</v>
      </c>
      <c r="I125" s="392">
        <f>IF(H125,Wh_hp,'2026'!Maxi_hp)</f>
        <v>55.308374448877338</v>
      </c>
      <c r="J125" s="85">
        <f>IF(H125,An,'2026'!An_max)</f>
        <v>2021</v>
      </c>
      <c r="K125" s="199">
        <f t="shared" si="27"/>
        <v>46498</v>
      </c>
      <c r="L125" s="147">
        <f>IF(t&lt;Tvie,1-EXP((T0-t)*PertePVj)+'2026'!Pspv,1-EXP((T0-t)*PertePVj)+Pspv)</f>
        <v>7.1440172259809032E-2</v>
      </c>
      <c r="M125" s="872"/>
      <c r="N125" s="872"/>
      <c r="O125" s="48">
        <f>IF(t&lt;Tnet,'2026'!Resal+('2026'!Salim-'2026'!Resal)*(1-EXP(('2026'!Tnet-t)/('2026'!Tau_j))),Resal+(Salim-Resal)*(1-EXP((Tnet-t)/(Tau_j))))*Salcycl</f>
        <v>8.6805654251084802E-2</v>
      </c>
      <c r="P125" s="171">
        <f>(INDEX(Models!$BJ125:$BT125,,T125)*(1-R125)+INDEX(Models!$BJ125:$BT125,,T125+1)*R125-ERP_i)*Q125*Ramure*Pc/MaxiM</f>
        <v>1.5303652659355333E-3</v>
      </c>
      <c r="Q125" s="307">
        <f t="shared" si="28"/>
        <v>0.9</v>
      </c>
      <c r="R125" s="179">
        <f t="shared" si="29"/>
        <v>0.64345293625989419</v>
      </c>
      <c r="S125" s="839">
        <f t="shared" si="30"/>
        <v>-2</v>
      </c>
      <c r="T125" s="178">
        <f t="shared" si="31"/>
        <v>4</v>
      </c>
      <c r="U125" s="253">
        <f t="shared" si="32"/>
        <v>-1.3565470637401058</v>
      </c>
      <c r="V125" s="385">
        <f t="shared" si="33"/>
        <v>49.694014408300156</v>
      </c>
      <c r="W125" s="404">
        <f t="shared" si="34"/>
        <v>9.6177365456077819</v>
      </c>
      <c r="X125" s="157">
        <f t="shared" si="35"/>
        <v>46498</v>
      </c>
      <c r="Y125" s="387">
        <f t="shared" si="36"/>
        <v>8.8327200385621207</v>
      </c>
      <c r="Z125" s="387">
        <f t="shared" si="37"/>
        <v>9.5122788803582576</v>
      </c>
      <c r="AA125" s="388">
        <f t="shared" si="38"/>
        <v>11.342264527472986</v>
      </c>
      <c r="AB125" s="199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0.16134217665988804</v>
      </c>
      <c r="AD125" s="233">
        <f>(INDEX(Models!$BJ125:$BT125,,AH125)*(1-AF125)+INDEX(Models!$BJ125:$BT125,,AH125+1)*AF125-ERP_i)*AE125*Ramure*Pc/MaxiM</f>
        <v>1.5758445236644155E-2</v>
      </c>
      <c r="AE125" s="307">
        <f t="shared" si="40"/>
        <v>0.9</v>
      </c>
      <c r="AF125" s="179">
        <f t="shared" si="41"/>
        <v>0.27910858856687337</v>
      </c>
      <c r="AG125" s="839">
        <f t="shared" si="49"/>
        <v>3</v>
      </c>
      <c r="AH125" s="178">
        <f t="shared" si="42"/>
        <v>9</v>
      </c>
      <c r="AI125" s="227">
        <f t="shared" si="43"/>
        <v>3.2791085885668734</v>
      </c>
      <c r="AJ125" s="267" t="b">
        <f t="shared" si="44"/>
        <v>0</v>
      </c>
      <c r="AK125" s="267" t="b">
        <f t="shared" si="45"/>
        <v>0</v>
      </c>
      <c r="AL125" s="267"/>
      <c r="AM125" s="267"/>
      <c r="AN125" s="75"/>
    </row>
    <row r="126" spans="1:40" s="6" customFormat="1" ht="11.25" x14ac:dyDescent="0.2">
      <c r="A126" s="56">
        <f t="shared" si="46"/>
        <v>46499</v>
      </c>
      <c r="B126" s="413">
        <f>'2026'!Wh/'2026'!Env_an*'2027'!Env_an</f>
        <v>29.084990666054814</v>
      </c>
      <c r="C126" s="868"/>
      <c r="D126" s="395">
        <f t="shared" si="25"/>
        <v>31.323417902769553</v>
      </c>
      <c r="E126" s="387">
        <f t="shared" si="47"/>
        <v>34.308282537830301</v>
      </c>
      <c r="F126" s="387">
        <f t="shared" si="26"/>
        <v>34.328534136306487</v>
      </c>
      <c r="G126" s="110">
        <f t="shared" si="48"/>
        <v>0.58197783061778241</v>
      </c>
      <c r="H126" s="416" t="b">
        <f>Wh_hp&gt;='2026'!Maxi_hp</f>
        <v>0</v>
      </c>
      <c r="I126" s="392">
        <f>IF(H126,Wh_hp,'2026'!Maxi_hp)</f>
        <v>59.256250971912621</v>
      </c>
      <c r="J126" s="85">
        <f>IF(H126,An,'2026'!An_max)</f>
        <v>2021</v>
      </c>
      <c r="K126" s="199">
        <f t="shared" si="27"/>
        <v>46499</v>
      </c>
      <c r="L126" s="147">
        <f>IF(t&lt;Tvie,1-EXP((T0-t)*PertePVj)+'2026'!Pspv,1-EXP((T0-t)*PertePVj)+Pspv)</f>
        <v>7.1461781203539076E-2</v>
      </c>
      <c r="M126" s="872"/>
      <c r="N126" s="872"/>
      <c r="O126" s="48">
        <f>IF(t&lt;Tnet,'2026'!Resal+('2026'!Salim-'2026'!Resal)*(1-EXP(('2026'!Tnet-t)/('2026'!Tau_j))),Resal+(Salim-Resal)*(1-EXP((Tnet-t)/(Tau_j))))*Salcycl</f>
        <v>8.7001284070966259E-2</v>
      </c>
      <c r="P126" s="171">
        <f>(INDEX(Models!$BJ126:$BT126,,T126)*(1-R126)+INDEX(Models!$BJ126:$BT126,,T126+1)*R126-ERP_i)*Q126*Ramure*Pc/MaxiM</f>
        <v>1.4618578343868782E-3</v>
      </c>
      <c r="Q126" s="307">
        <f t="shared" si="28"/>
        <v>0.9</v>
      </c>
      <c r="R126" s="179">
        <f t="shared" si="29"/>
        <v>0.6464003332255297</v>
      </c>
      <c r="S126" s="839">
        <f t="shared" si="30"/>
        <v>-2</v>
      </c>
      <c r="T126" s="178">
        <f t="shared" si="31"/>
        <v>4</v>
      </c>
      <c r="U126" s="253">
        <f t="shared" si="32"/>
        <v>-1.3535996667744703</v>
      </c>
      <c r="V126" s="385">
        <f t="shared" si="33"/>
        <v>49.932513397814517</v>
      </c>
      <c r="W126" s="404">
        <f t="shared" si="34"/>
        <v>29.084990666054814</v>
      </c>
      <c r="X126" s="157">
        <f t="shared" si="35"/>
        <v>46499</v>
      </c>
      <c r="Y126" s="387">
        <f t="shared" si="36"/>
        <v>26.561711822801115</v>
      </c>
      <c r="Z126" s="387">
        <f t="shared" si="37"/>
        <v>28.605943498189536</v>
      </c>
      <c r="AA126" s="388">
        <f t="shared" si="38"/>
        <v>34.11548247389802</v>
      </c>
      <c r="AB126" s="199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0.16149673333577702</v>
      </c>
      <c r="AD126" s="233">
        <f>(INDEX(Models!$BJ126:$BT126,,AH126)*(1-AF126)+INDEX(Models!$BJ126:$BT126,,AH126+1)*AF126-ERP_i)*AE126*Ramure*Pc/MaxiM</f>
        <v>1.5379094257038461E-2</v>
      </c>
      <c r="AE126" s="307">
        <f t="shared" si="40"/>
        <v>0.9</v>
      </c>
      <c r="AF126" s="179">
        <f t="shared" si="41"/>
        <v>0.28205598553250866</v>
      </c>
      <c r="AG126" s="839">
        <f t="shared" si="49"/>
        <v>3</v>
      </c>
      <c r="AH126" s="178">
        <f t="shared" si="42"/>
        <v>9</v>
      </c>
      <c r="AI126" s="227">
        <f t="shared" si="43"/>
        <v>3.2820559855325087</v>
      </c>
      <c r="AJ126" s="267" t="b">
        <f t="shared" si="44"/>
        <v>0</v>
      </c>
      <c r="AK126" s="267" t="b">
        <f t="shared" si="45"/>
        <v>0</v>
      </c>
      <c r="AL126" s="267"/>
      <c r="AM126" s="267"/>
      <c r="AN126" s="75"/>
    </row>
    <row r="127" spans="1:40" s="6" customFormat="1" ht="11.25" x14ac:dyDescent="0.2">
      <c r="A127" s="56">
        <f t="shared" si="46"/>
        <v>46500</v>
      </c>
      <c r="B127" s="413">
        <f>'2026'!Wh/'2026'!Env_an*'2027'!Env_an</f>
        <v>8.4121475934004692</v>
      </c>
      <c r="C127" s="868"/>
      <c r="D127" s="395">
        <f t="shared" si="25"/>
        <v>9.0597707133949843</v>
      </c>
      <c r="E127" s="387">
        <f t="shared" si="47"/>
        <v>9.9252377830180656</v>
      </c>
      <c r="F127" s="387">
        <f t="shared" si="26"/>
        <v>9.9252377830180656</v>
      </c>
      <c r="G127" s="110">
        <f t="shared" si="48"/>
        <v>0.16745690569229038</v>
      </c>
      <c r="H127" s="416" t="b">
        <f>Wh_hp&gt;='2026'!Maxi_hp</f>
        <v>0</v>
      </c>
      <c r="I127" s="392">
        <f>IF(H127,Wh_hp,'2026'!Maxi_hp)</f>
        <v>58.448809737185101</v>
      </c>
      <c r="J127" s="85">
        <f>IF(H127,An,'2026'!An_max)</f>
        <v>2021</v>
      </c>
      <c r="K127" s="199">
        <f t="shared" si="27"/>
        <v>46500</v>
      </c>
      <c r="L127" s="147">
        <f>IF(t&lt;Tvie,1-EXP((T0-t)*PertePVj)+'2026'!Pspv,1-EXP((T0-t)*PertePVj)+Pspv)</f>
        <v>7.1483389644397488E-2</v>
      </c>
      <c r="M127" s="872"/>
      <c r="N127" s="872"/>
      <c r="O127" s="48">
        <f>IF(t&lt;Tnet,'2026'!Resal+('2026'!Salim-'2026'!Resal)*(1-EXP(('2026'!Tnet-t)/('2026'!Tau_j))),Resal+(Salim-Resal)*(1-EXP((Tnet-t)/(Tau_j))))*Salcycl</f>
        <v>8.719862320113711E-2</v>
      </c>
      <c r="P127" s="171">
        <f>(INDEX(Models!$BJ127:$BT127,,T127)*(1-R127)+INDEX(Models!$BJ127:$BT127,,T127+1)*R127-ERP_i)*Q127*Ramure*Pc/MaxiM</f>
        <v>1.3928963998604681E-3</v>
      </c>
      <c r="Q127" s="307">
        <f t="shared" si="28"/>
        <v>0.9</v>
      </c>
      <c r="R127" s="179">
        <f t="shared" si="29"/>
        <v>0.6494417898311764</v>
      </c>
      <c r="S127" s="839">
        <f t="shared" si="30"/>
        <v>-2</v>
      </c>
      <c r="T127" s="178">
        <f t="shared" si="31"/>
        <v>4</v>
      </c>
      <c r="U127" s="253">
        <f t="shared" si="32"/>
        <v>-1.3505582101688236</v>
      </c>
      <c r="V127" s="385">
        <f t="shared" si="33"/>
        <v>50.164729299003618</v>
      </c>
      <c r="W127" s="404">
        <f t="shared" si="34"/>
        <v>8.4121475934004692</v>
      </c>
      <c r="X127" s="157">
        <f t="shared" si="35"/>
        <v>46500</v>
      </c>
      <c r="Y127" s="387">
        <f t="shared" si="36"/>
        <v>7.7259813512819697</v>
      </c>
      <c r="Z127" s="387">
        <f t="shared" si="37"/>
        <v>8.3207788262647018</v>
      </c>
      <c r="AA127" s="388">
        <f t="shared" si="38"/>
        <v>9.9252377830180656</v>
      </c>
      <c r="AB127" s="199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0.16165446025873245</v>
      </c>
      <c r="AD127" s="233">
        <f>(INDEX(Models!$BJ127:$BT127,,AH127)*(1-AF127)+INDEX(Models!$BJ127:$BT127,,AH127+1)*AF127-ERP_i)*AE127*Ramure*Pc/MaxiM</f>
        <v>1.4989369691149083E-2</v>
      </c>
      <c r="AE127" s="307">
        <f t="shared" si="40"/>
        <v>0.9</v>
      </c>
      <c r="AF127" s="179">
        <f t="shared" si="41"/>
        <v>0.28509744213815535</v>
      </c>
      <c r="AG127" s="839">
        <f t="shared" si="49"/>
        <v>3</v>
      </c>
      <c r="AH127" s="178">
        <f t="shared" si="42"/>
        <v>9</v>
      </c>
      <c r="AI127" s="227">
        <f t="shared" si="43"/>
        <v>3.2850974421381554</v>
      </c>
      <c r="AJ127" s="267" t="b">
        <f t="shared" si="44"/>
        <v>0</v>
      </c>
      <c r="AK127" s="267" t="b">
        <f t="shared" si="45"/>
        <v>0</v>
      </c>
      <c r="AL127" s="267"/>
      <c r="AM127" s="267"/>
      <c r="AN127" s="75"/>
    </row>
    <row r="128" spans="1:40" s="6" customFormat="1" ht="11.25" x14ac:dyDescent="0.2">
      <c r="A128" s="56">
        <f t="shared" si="46"/>
        <v>46501</v>
      </c>
      <c r="B128" s="413">
        <f>'2026'!Wh/'2026'!Env_an*'2027'!Env_an</f>
        <v>35.95728598761611</v>
      </c>
      <c r="C128" s="868"/>
      <c r="D128" s="395">
        <f t="shared" si="25"/>
        <v>38.726418444893042</v>
      </c>
      <c r="E128" s="387">
        <f t="shared" si="47"/>
        <v>42.435152472315927</v>
      </c>
      <c r="F128" s="387">
        <f t="shared" si="26"/>
        <v>42.468382946979894</v>
      </c>
      <c r="G128" s="110">
        <f t="shared" si="48"/>
        <v>0.71318807611343971</v>
      </c>
      <c r="H128" s="416" t="b">
        <f>Wh_hp&gt;='2026'!Maxi_hp</f>
        <v>0</v>
      </c>
      <c r="I128" s="392">
        <f>IF(H128,Wh_hp,'2026'!Maxi_hp)</f>
        <v>54.689071133466982</v>
      </c>
      <c r="J128" s="85">
        <f>IF(H128,An,'2026'!An_max)</f>
        <v>2021</v>
      </c>
      <c r="K128" s="199">
        <f t="shared" si="27"/>
        <v>46501</v>
      </c>
      <c r="L128" s="147">
        <f>IF(t&lt;Tvie,1-EXP((T0-t)*PertePVj)+'2026'!Pspv,1-EXP((T0-t)*PertePVj)+Pspv)</f>
        <v>7.1504997582396035E-2</v>
      </c>
      <c r="M128" s="872"/>
      <c r="N128" s="872"/>
      <c r="O128" s="48">
        <f>IF(t&lt;Tnet,'2026'!Resal+('2026'!Salim-'2026'!Resal)*(1-EXP(('2026'!Tnet-t)/('2026'!Tau_j))),Resal+(Salim-Resal)*(1-EXP((Tnet-t)/(Tau_j))))*Salcycl</f>
        <v>8.7397683555924657E-2</v>
      </c>
      <c r="P128" s="171">
        <f>(INDEX(Models!$BJ128:$BT128,,T128)*(1-R128)+INDEX(Models!$BJ128:$BT128,,T128+1)*R128-ERP_i)*Q128*Ramure*Pc/MaxiM</f>
        <v>1.3243857688894063E-3</v>
      </c>
      <c r="Q128" s="307">
        <f t="shared" si="28"/>
        <v>0.9</v>
      </c>
      <c r="R128" s="179">
        <f t="shared" si="29"/>
        <v>0.65257918897239042</v>
      </c>
      <c r="S128" s="839">
        <f t="shared" si="30"/>
        <v>-2</v>
      </c>
      <c r="T128" s="178">
        <f t="shared" si="31"/>
        <v>4</v>
      </c>
      <c r="U128" s="253">
        <f t="shared" si="32"/>
        <v>-1.3474208110276096</v>
      </c>
      <c r="V128" s="385">
        <f t="shared" si="33"/>
        <v>50.390333650311256</v>
      </c>
      <c r="W128" s="404">
        <f t="shared" si="34"/>
        <v>35.95728598761611</v>
      </c>
      <c r="X128" s="157">
        <f t="shared" si="35"/>
        <v>46501</v>
      </c>
      <c r="Y128" s="387">
        <f t="shared" si="36"/>
        <v>32.7662436599404</v>
      </c>
      <c r="Z128" s="387">
        <f t="shared" si="37"/>
        <v>35.289628457475864</v>
      </c>
      <c r="AA128" s="388">
        <f t="shared" si="38"/>
        <v>42.102452233777385</v>
      </c>
      <c r="AB128" s="199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0.16181536739173163</v>
      </c>
      <c r="AD128" s="233">
        <f>(INDEX(Models!$BJ128:$BT128,,AH128)*(1-AF128)+INDEX(Models!$BJ128:$BT128,,AH128+1)*AF128-ERP_i)*AE128*Ramure*Pc/MaxiM</f>
        <v>1.4584005611284638E-2</v>
      </c>
      <c r="AE128" s="307">
        <f t="shared" si="40"/>
        <v>0.9</v>
      </c>
      <c r="AF128" s="179">
        <f t="shared" si="41"/>
        <v>0.28823484127936938</v>
      </c>
      <c r="AG128" s="839">
        <f t="shared" si="49"/>
        <v>3</v>
      </c>
      <c r="AH128" s="178">
        <f t="shared" si="42"/>
        <v>9</v>
      </c>
      <c r="AI128" s="227">
        <f t="shared" si="43"/>
        <v>3.2882348412793694</v>
      </c>
      <c r="AJ128" s="267" t="b">
        <f t="shared" si="44"/>
        <v>0</v>
      </c>
      <c r="AK128" s="267" t="b">
        <f t="shared" si="45"/>
        <v>0</v>
      </c>
      <c r="AL128" s="267"/>
      <c r="AM128" s="267"/>
      <c r="AN128" s="75"/>
    </row>
    <row r="129" spans="1:40" s="6" customFormat="1" ht="11.25" x14ac:dyDescent="0.2">
      <c r="A129" s="56">
        <f t="shared" si="46"/>
        <v>46502</v>
      </c>
      <c r="B129" s="413">
        <f>'2026'!Wh/'2026'!Env_an*'2027'!Env_an</f>
        <v>44.860129085760192</v>
      </c>
      <c r="C129" s="868"/>
      <c r="D129" s="395">
        <f t="shared" si="25"/>
        <v>48.316009191203534</v>
      </c>
      <c r="E129" s="387">
        <f t="shared" si="47"/>
        <v>52.954765884918999</v>
      </c>
      <c r="F129" s="387">
        <f t="shared" si="26"/>
        <v>53.010584178251548</v>
      </c>
      <c r="G129" s="110">
        <f t="shared" si="48"/>
        <v>0.88622494348660286</v>
      </c>
      <c r="H129" s="416" t="b">
        <f>Wh_hp&gt;='2026'!Maxi_hp</f>
        <v>0</v>
      </c>
      <c r="I129" s="392">
        <f>IF(H129,Wh_hp,'2026'!Maxi_hp)</f>
        <v>56.298016159754951</v>
      </c>
      <c r="J129" s="85">
        <f>IF(H129,An,'2026'!An_max)</f>
        <v>2020</v>
      </c>
      <c r="K129" s="199">
        <f t="shared" si="27"/>
        <v>46502</v>
      </c>
      <c r="L129" s="147">
        <f>IF(t&lt;Tvie,1-EXP((T0-t)*PertePVj)+'2026'!Pspv,1-EXP((T0-t)*PertePVj)+Pspv)</f>
        <v>7.1526605017546152E-2</v>
      </c>
      <c r="M129" s="872"/>
      <c r="N129" s="872"/>
      <c r="O129" s="48">
        <f>IF(t&lt;Tnet,'2026'!Resal+('2026'!Salim-'2026'!Resal)*(1-EXP(('2026'!Tnet-t)/('2026'!Tau_j))),Resal+(Salim-Resal)*(1-EXP((Tnet-t)/(Tau_j))))*Salcycl</f>
        <v>8.7598474210921623E-2</v>
      </c>
      <c r="P129" s="171">
        <f>(INDEX(Models!$BJ129:$BT129,,T129)*(1-R129)+INDEX(Models!$BJ129:$BT129,,T129+1)*R129-ERP_i)*Q129*Ramure*Pc/MaxiM</f>
        <v>1.2569373899062198E-3</v>
      </c>
      <c r="Q129" s="307">
        <f t="shared" si="28"/>
        <v>0.9</v>
      </c>
      <c r="R129" s="179">
        <f t="shared" si="29"/>
        <v>0.6558143670793426</v>
      </c>
      <c r="S129" s="839">
        <f t="shared" si="30"/>
        <v>-2</v>
      </c>
      <c r="T129" s="178">
        <f t="shared" si="31"/>
        <v>4</v>
      </c>
      <c r="U129" s="253">
        <f t="shared" si="32"/>
        <v>-1.3441856329206574</v>
      </c>
      <c r="V129" s="385">
        <f t="shared" si="33"/>
        <v>50.609012469856808</v>
      </c>
      <c r="W129" s="404">
        <f t="shared" si="34"/>
        <v>44.860129085760192</v>
      </c>
      <c r="X129" s="157">
        <f t="shared" si="35"/>
        <v>46502</v>
      </c>
      <c r="Y129" s="387">
        <f t="shared" si="36"/>
        <v>40.756859106907001</v>
      </c>
      <c r="Z129" s="387">
        <f t="shared" si="37"/>
        <v>43.896636486473817</v>
      </c>
      <c r="AA129" s="388">
        <f t="shared" si="38"/>
        <v>52.381337165487565</v>
      </c>
      <c r="AB129" s="199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0.16197945944388864</v>
      </c>
      <c r="AD129" s="233">
        <f>(INDEX(Models!$BJ129:$BT129,,AH129)*(1-AF129)+INDEX(Models!$BJ129:$BT129,,AH129+1)*AF129-ERP_i)*AE129*Ramure*Pc/MaxiM</f>
        <v>1.4169621652846319E-2</v>
      </c>
      <c r="AE129" s="307">
        <f t="shared" si="40"/>
        <v>0.9</v>
      </c>
      <c r="AF129" s="179">
        <f t="shared" si="41"/>
        <v>0.29147001938632178</v>
      </c>
      <c r="AG129" s="839">
        <f t="shared" si="49"/>
        <v>3</v>
      </c>
      <c r="AH129" s="178">
        <f t="shared" si="42"/>
        <v>9</v>
      </c>
      <c r="AI129" s="227">
        <f t="shared" si="43"/>
        <v>3.2914700193863218</v>
      </c>
      <c r="AJ129" s="267" t="b">
        <f t="shared" si="44"/>
        <v>0</v>
      </c>
      <c r="AK129" s="267" t="b">
        <f t="shared" si="45"/>
        <v>0</v>
      </c>
      <c r="AL129" s="267"/>
      <c r="AM129" s="267"/>
      <c r="AN129" s="75"/>
    </row>
    <row r="130" spans="1:40" s="6" customFormat="1" ht="11.25" x14ac:dyDescent="0.2">
      <c r="A130" s="56">
        <f t="shared" si="46"/>
        <v>46503</v>
      </c>
      <c r="B130" s="413">
        <f>'2026'!Wh/'2026'!Env_an*'2027'!Env_an</f>
        <v>49.747058661792934</v>
      </c>
      <c r="C130" s="868"/>
      <c r="D130" s="395">
        <f t="shared" si="25"/>
        <v>53.580659008980639</v>
      </c>
      <c r="E130" s="387">
        <f t="shared" si="47"/>
        <v>58.73790596519197</v>
      </c>
      <c r="F130" s="387">
        <f t="shared" si="26"/>
        <v>58.805802243389678</v>
      </c>
      <c r="G130" s="110">
        <f t="shared" si="48"/>
        <v>0.9788428719778155</v>
      </c>
      <c r="H130" s="416" t="b">
        <f>Wh_hp&gt;='2026'!Maxi_hp</f>
        <v>0</v>
      </c>
      <c r="I130" s="392">
        <f>IF(H130,Wh_hp,'2026'!Maxi_hp)</f>
        <v>58.807850119748025</v>
      </c>
      <c r="J130" s="85">
        <f>IF(H130,An,'2026'!An_max)</f>
        <v>2025</v>
      </c>
      <c r="K130" s="199">
        <f t="shared" si="27"/>
        <v>46503</v>
      </c>
      <c r="L130" s="147">
        <f>IF(t&lt;Tvie,1-EXP((T0-t)*PertePVj)+'2026'!Pspv,1-EXP((T0-t)*PertePVj)+Pspv)</f>
        <v>7.1548211949859719E-2</v>
      </c>
      <c r="M130" s="872"/>
      <c r="N130" s="872"/>
      <c r="O130" s="48">
        <f>IF(t&lt;Tnet,'2026'!Resal+('2026'!Salim-'2026'!Resal)*(1-EXP(('2026'!Tnet-t)/('2026'!Tau_j))),Resal+(Salim-Resal)*(1-EXP((Tnet-t)/(Tau_j))))*Salcycl</f>
        <v>8.7801001269393428E-2</v>
      </c>
      <c r="P130" s="171">
        <f>(INDEX(Models!$BJ130:$BT130,,T130)*(1-R130)+INDEX(Models!$BJ130:$BT130,,T130+1)*R130-ERP_i)*Q130*Ramure*Pc/MaxiM</f>
        <v>1.1905072531362693E-3</v>
      </c>
      <c r="Q130" s="307">
        <f t="shared" si="28"/>
        <v>0.9</v>
      </c>
      <c r="R130" s="179">
        <f t="shared" si="29"/>
        <v>0.65914910656834524</v>
      </c>
      <c r="S130" s="839">
        <f t="shared" si="30"/>
        <v>-2</v>
      </c>
      <c r="T130" s="178">
        <f t="shared" si="31"/>
        <v>4</v>
      </c>
      <c r="U130" s="253">
        <f t="shared" si="32"/>
        <v>-1.3408508934316548</v>
      </c>
      <c r="V130" s="385">
        <f t="shared" si="33"/>
        <v>50.820485062232322</v>
      </c>
      <c r="W130" s="404">
        <f t="shared" si="34"/>
        <v>49.747058661792934</v>
      </c>
      <c r="X130" s="157">
        <f t="shared" si="35"/>
        <v>46503</v>
      </c>
      <c r="Y130" s="387">
        <f t="shared" si="36"/>
        <v>45.135557404693714</v>
      </c>
      <c r="Z130" s="387">
        <f t="shared" si="37"/>
        <v>48.613786936081816</v>
      </c>
      <c r="AA130" s="388">
        <f t="shared" si="38"/>
        <v>58.02183867388824</v>
      </c>
      <c r="AB130" s="199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0.1621467356573166</v>
      </c>
      <c r="AD130" s="233">
        <f>(INDEX(Models!$BJ130:$BT130,,AH130)*(1-AF130)+INDEX(Models!$BJ130:$BT130,,AH130+1)*AF130-ERP_i)*AE130*Ramure*Pc/MaxiM</f>
        <v>1.3746177853348383E-2</v>
      </c>
      <c r="AE130" s="307">
        <f t="shared" si="40"/>
        <v>0.9</v>
      </c>
      <c r="AF130" s="179">
        <f t="shared" si="41"/>
        <v>0.29480475887532398</v>
      </c>
      <c r="AG130" s="839">
        <f t="shared" si="49"/>
        <v>3</v>
      </c>
      <c r="AH130" s="178">
        <f t="shared" si="42"/>
        <v>9</v>
      </c>
      <c r="AI130" s="227">
        <f t="shared" si="43"/>
        <v>3.294804758875324</v>
      </c>
      <c r="AJ130" s="267" t="b">
        <f t="shared" si="44"/>
        <v>0</v>
      </c>
      <c r="AK130" s="267" t="b">
        <f t="shared" si="45"/>
        <v>0</v>
      </c>
      <c r="AL130" s="267"/>
      <c r="AM130" s="267"/>
      <c r="AN130" s="75"/>
    </row>
    <row r="131" spans="1:40" s="6" customFormat="1" ht="11.25" x14ac:dyDescent="0.2">
      <c r="A131" s="56">
        <f t="shared" si="46"/>
        <v>46504</v>
      </c>
      <c r="B131" s="413">
        <f>'2026'!Wh/'2026'!Env_an*'2027'!Env_an</f>
        <v>35.485105697060462</v>
      </c>
      <c r="C131" s="868"/>
      <c r="D131" s="395">
        <f t="shared" si="25"/>
        <v>38.22054301931275</v>
      </c>
      <c r="E131" s="387">
        <f t="shared" si="47"/>
        <v>41.90873221827686</v>
      </c>
      <c r="F131" s="387">
        <f t="shared" si="26"/>
        <v>41.935385424470816</v>
      </c>
      <c r="G131" s="110">
        <f t="shared" si="48"/>
        <v>0.69511206589689245</v>
      </c>
      <c r="H131" s="416" t="b">
        <f>Wh_hp&gt;='2026'!Maxi_hp</f>
        <v>0</v>
      </c>
      <c r="I131" s="392">
        <f>IF(H131,Wh_hp,'2026'!Maxi_hp)</f>
        <v>41.955249049604895</v>
      </c>
      <c r="J131" s="85">
        <f>IF(H131,An,'2026'!An_max)</f>
        <v>2025</v>
      </c>
      <c r="K131" s="199">
        <f t="shared" si="27"/>
        <v>46504</v>
      </c>
      <c r="L131" s="147">
        <f>IF(t&lt;Tvie,1-EXP((T0-t)*PertePVj)+'2026'!Pspv,1-EXP((T0-t)*PertePVj)+Pspv)</f>
        <v>7.1569818379348393E-2</v>
      </c>
      <c r="M131" s="872"/>
      <c r="N131" s="872"/>
      <c r="O131" s="48">
        <f>IF(t&lt;Tnet,'2026'!Resal+('2026'!Salim-'2026'!Resal)*(1-EXP(('2026'!Tnet-t)/('2026'!Tau_j))),Resal+(Salim-Resal)*(1-EXP((Tnet-t)/(Tau_j))))*Salcycl</f>
        <v>8.800526772689278E-2</v>
      </c>
      <c r="P131" s="171">
        <f>(INDEX(Models!$BJ131:$BT131,,T131)*(1-R131)+INDEX(Models!$BJ131:$BT131,,T131+1)*R131-ERP_i)*Q131*Ramure*Pc/MaxiM</f>
        <v>1.1250513064530589E-3</v>
      </c>
      <c r="Q131" s="307">
        <f t="shared" si="28"/>
        <v>0.9</v>
      </c>
      <c r="R131" s="179">
        <f t="shared" si="29"/>
        <v>0.66258512795033409</v>
      </c>
      <c r="S131" s="839">
        <f t="shared" si="30"/>
        <v>-2</v>
      </c>
      <c r="T131" s="178">
        <f t="shared" si="31"/>
        <v>4</v>
      </c>
      <c r="U131" s="253">
        <f t="shared" si="32"/>
        <v>-1.3374148720496659</v>
      </c>
      <c r="V131" s="385">
        <f t="shared" si="33"/>
        <v>51.024471271454843</v>
      </c>
      <c r="W131" s="404">
        <f t="shared" si="34"/>
        <v>35.485105697060462</v>
      </c>
      <c r="X131" s="157">
        <f t="shared" si="35"/>
        <v>46504</v>
      </c>
      <c r="Y131" s="387">
        <f t="shared" si="36"/>
        <v>32.369104994197897</v>
      </c>
      <c r="Z131" s="387">
        <f t="shared" si="37"/>
        <v>34.864339435513557</v>
      </c>
      <c r="AA131" s="388">
        <f t="shared" si="38"/>
        <v>41.619977158821655</v>
      </c>
      <c r="AB131" s="199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0.16231718959211847</v>
      </c>
      <c r="AD131" s="233">
        <f>(INDEX(Models!$BJ131:$BT131,,AH131)*(1-AF131)+INDEX(Models!$BJ131:$BT131,,AH131+1)*AF131-ERP_i)*AE131*Ramure*Pc/MaxiM</f>
        <v>1.3313613332387602E-2</v>
      </c>
      <c r="AE131" s="307">
        <f t="shared" si="40"/>
        <v>0.9</v>
      </c>
      <c r="AF131" s="179">
        <f t="shared" si="41"/>
        <v>0.29824078025731326</v>
      </c>
      <c r="AG131" s="839">
        <f t="shared" si="49"/>
        <v>3</v>
      </c>
      <c r="AH131" s="178">
        <f t="shared" si="42"/>
        <v>9</v>
      </c>
      <c r="AI131" s="227">
        <f t="shared" si="43"/>
        <v>3.2982407802573133</v>
      </c>
      <c r="AJ131" s="267" t="b">
        <f t="shared" si="44"/>
        <v>0</v>
      </c>
      <c r="AK131" s="267" t="b">
        <f t="shared" si="45"/>
        <v>0</v>
      </c>
      <c r="AL131" s="267"/>
      <c r="AM131" s="267"/>
      <c r="AN131" s="75"/>
    </row>
    <row r="132" spans="1:40" s="6" customFormat="1" ht="11.25" x14ac:dyDescent="0.2">
      <c r="A132" s="56">
        <f t="shared" si="46"/>
        <v>46505</v>
      </c>
      <c r="B132" s="413">
        <f>'2026'!Wh/'2026'!Env_an*'2027'!Env_an</f>
        <v>21.736944486388811</v>
      </c>
      <c r="C132" s="868"/>
      <c r="D132" s="395">
        <f t="shared" si="25"/>
        <v>23.413123333270232</v>
      </c>
      <c r="E132" s="387">
        <f t="shared" si="47"/>
        <v>25.67823295963041</v>
      </c>
      <c r="F132" s="387">
        <f t="shared" si="26"/>
        <v>25.683072613290797</v>
      </c>
      <c r="G132" s="110">
        <f t="shared" si="48"/>
        <v>0.42400802789037628</v>
      </c>
      <c r="H132" s="416" t="b">
        <f>Wh_hp&gt;='2026'!Maxi_hp</f>
        <v>0</v>
      </c>
      <c r="I132" s="392">
        <f>IF(H132,Wh_hp,'2026'!Maxi_hp)</f>
        <v>48.054004151723234</v>
      </c>
      <c r="J132" s="85">
        <f>IF(H132,An,'2026'!An_max)</f>
        <v>2019</v>
      </c>
      <c r="K132" s="199">
        <f t="shared" si="27"/>
        <v>46505</v>
      </c>
      <c r="L132" s="147">
        <f>IF(t&lt;Tvie,1-EXP((T0-t)*PertePVj)+'2026'!Pspv,1-EXP((T0-t)*PertePVj)+Pspv)</f>
        <v>7.1591424306023943E-2</v>
      </c>
      <c r="M132" s="872"/>
      <c r="N132" s="872"/>
      <c r="O132" s="48">
        <f>IF(t&lt;Tnet,'2026'!Resal+('2026'!Salim-'2026'!Resal)*(1-EXP(('2026'!Tnet-t)/('2026'!Tau_j))),Resal+(Salim-Resal)*(1-EXP((Tnet-t)/(Tau_j))))*Salcycl</f>
        <v>8.821127333493832E-2</v>
      </c>
      <c r="P132" s="171">
        <f>(INDEX(Models!$BJ132:$BT132,,T132)*(1-R132)+INDEX(Models!$BJ132:$BT132,,T132+1)*R132-ERP_i)*Q132*Ramure*Pc/MaxiM</f>
        <v>1.0605254661885217E-3</v>
      </c>
      <c r="Q132" s="307">
        <f t="shared" si="28"/>
        <v>0.9</v>
      </c>
      <c r="R132" s="179">
        <f t="shared" si="29"/>
        <v>0.66612408161036241</v>
      </c>
      <c r="S132" s="839">
        <f t="shared" si="30"/>
        <v>-2</v>
      </c>
      <c r="T132" s="178">
        <f t="shared" si="31"/>
        <v>4</v>
      </c>
      <c r="U132" s="253">
        <f t="shared" si="32"/>
        <v>-1.3338759183896376</v>
      </c>
      <c r="V132" s="385">
        <f t="shared" si="33"/>
        <v>51.220691489402888</v>
      </c>
      <c r="W132" s="404">
        <f t="shared" si="34"/>
        <v>21.736944486388811</v>
      </c>
      <c r="X132" s="157">
        <f t="shared" si="35"/>
        <v>46505</v>
      </c>
      <c r="Y132" s="387">
        <f t="shared" si="36"/>
        <v>19.924218142780845</v>
      </c>
      <c r="Z132" s="387">
        <f t="shared" si="37"/>
        <v>21.460614070575222</v>
      </c>
      <c r="AA132" s="388">
        <f t="shared" si="38"/>
        <v>25.624332603051975</v>
      </c>
      <c r="AB132" s="199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0.16249080891109074</v>
      </c>
      <c r="AD132" s="233">
        <f>(INDEX(Models!$BJ132:$BT132,,AH132)*(1-AF132)+INDEX(Models!$BJ132:$BT132,,AH132+1)*AF132-ERP_i)*AE132*Ramure*Pc/MaxiM</f>
        <v>1.2871846027397346E-2</v>
      </c>
      <c r="AE132" s="307">
        <f t="shared" si="40"/>
        <v>0.9</v>
      </c>
      <c r="AF132" s="179">
        <f t="shared" si="41"/>
        <v>0.30177973391734136</v>
      </c>
      <c r="AG132" s="839">
        <f t="shared" si="49"/>
        <v>3</v>
      </c>
      <c r="AH132" s="178">
        <f t="shared" si="42"/>
        <v>9</v>
      </c>
      <c r="AI132" s="227">
        <f t="shared" si="43"/>
        <v>3.3017797339173414</v>
      </c>
      <c r="AJ132" s="267" t="b">
        <f t="shared" si="44"/>
        <v>0</v>
      </c>
      <c r="AK132" s="267" t="b">
        <f t="shared" si="45"/>
        <v>0</v>
      </c>
      <c r="AL132" s="267"/>
      <c r="AM132" s="267"/>
      <c r="AN132" s="75"/>
    </row>
    <row r="133" spans="1:40" s="6" customFormat="1" ht="11.25" x14ac:dyDescent="0.2">
      <c r="A133" s="56">
        <f t="shared" si="46"/>
        <v>46506</v>
      </c>
      <c r="B133" s="413">
        <f>'2026'!Wh/'2026'!Env_an*'2027'!Env_an</f>
        <v>40.839002513187886</v>
      </c>
      <c r="C133" s="868"/>
      <c r="D133" s="395">
        <f t="shared" si="25"/>
        <v>43.989202585756139</v>
      </c>
      <c r="E133" s="387">
        <f t="shared" si="47"/>
        <v>48.255945751135187</v>
      </c>
      <c r="F133" s="387">
        <f t="shared" si="26"/>
        <v>48.289945760420451</v>
      </c>
      <c r="G133" s="110">
        <f t="shared" si="48"/>
        <v>0.79416331977636256</v>
      </c>
      <c r="H133" s="416" t="b">
        <f>Wh_hp&gt;='2026'!Maxi_hp</f>
        <v>0</v>
      </c>
      <c r="I133" s="392">
        <f>IF(H133,Wh_hp,'2026'!Maxi_hp)</f>
        <v>54.78185076677125</v>
      </c>
      <c r="J133" s="85">
        <f>IF(H133,An,'2026'!An_max)</f>
        <v>2019</v>
      </c>
      <c r="K133" s="199">
        <f t="shared" si="27"/>
        <v>46506</v>
      </c>
      <c r="L133" s="147">
        <f>IF(t&lt;Tvie,1-EXP((T0-t)*PertePVj)+'2026'!Pspv,1-EXP((T0-t)*PertePVj)+Pspv)</f>
        <v>7.1613029729897915E-2</v>
      </c>
      <c r="M133" s="872"/>
      <c r="N133" s="872"/>
      <c r="O133" s="48">
        <f>IF(t&lt;Tnet,'2026'!Resal+('2026'!Salim-'2026'!Resal)*(1-EXP(('2026'!Tnet-t)/('2026'!Tau_j))),Resal+(Salim-Resal)*(1-EXP((Tnet-t)/(Tau_j))))*Salcycl</f>
        <v>8.841901446473413E-2</v>
      </c>
      <c r="P133" s="171">
        <f>(INDEX(Models!$BJ133:$BT133,,T133)*(1-R133)+INDEX(Models!$BJ133:$BT133,,T133+1)*R133-ERP_i)*Q133*Ramure*Pc/MaxiM</f>
        <v>9.9688562455730657E-4</v>
      </c>
      <c r="Q133" s="307">
        <f t="shared" si="28"/>
        <v>0.9</v>
      </c>
      <c r="R133" s="179">
        <f t="shared" si="29"/>
        <v>0.66976753927594723</v>
      </c>
      <c r="S133" s="839">
        <f t="shared" si="30"/>
        <v>-2</v>
      </c>
      <c r="T133" s="178">
        <f t="shared" si="31"/>
        <v>4</v>
      </c>
      <c r="U133" s="253">
        <f t="shared" si="32"/>
        <v>-1.3302324607240528</v>
      </c>
      <c r="V133" s="385">
        <f t="shared" si="33"/>
        <v>51.408866667805775</v>
      </c>
      <c r="W133" s="404">
        <f t="shared" si="34"/>
        <v>40.839002513187886</v>
      </c>
      <c r="X133" s="157">
        <f t="shared" si="35"/>
        <v>46506</v>
      </c>
      <c r="Y133" s="387">
        <f t="shared" si="36"/>
        <v>37.209770043373005</v>
      </c>
      <c r="Z133" s="387">
        <f t="shared" si="37"/>
        <v>40.080021838896883</v>
      </c>
      <c r="AA133" s="388">
        <f t="shared" si="38"/>
        <v>47.866320054235736</v>
      </c>
      <c r="AB133" s="199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0.16266757516593003</v>
      </c>
      <c r="AD133" s="233">
        <f>(INDEX(Models!$BJ133:$BT133,,AH133)*(1-AF133)+INDEX(Models!$BJ133:$BT133,,AH133+1)*AF133-ERP_i)*AE133*Ramure*Pc/MaxiM</f>
        <v>1.2420772392892881E-2</v>
      </c>
      <c r="AE133" s="307">
        <f t="shared" si="40"/>
        <v>0.9</v>
      </c>
      <c r="AF133" s="179">
        <f t="shared" si="41"/>
        <v>0.30542319158292619</v>
      </c>
      <c r="AG133" s="839">
        <f t="shared" si="49"/>
        <v>3</v>
      </c>
      <c r="AH133" s="178">
        <f t="shared" si="42"/>
        <v>9</v>
      </c>
      <c r="AI133" s="227">
        <f t="shared" si="43"/>
        <v>3.3054231915829262</v>
      </c>
      <c r="AJ133" s="267" t="b">
        <f t="shared" si="44"/>
        <v>0</v>
      </c>
      <c r="AK133" s="267" t="b">
        <f t="shared" si="45"/>
        <v>0</v>
      </c>
      <c r="AL133" s="267"/>
      <c r="AM133" s="267"/>
      <c r="AN133" s="75"/>
    </row>
    <row r="134" spans="1:40" s="6" customFormat="1" ht="11.25" x14ac:dyDescent="0.2">
      <c r="A134" s="56">
        <f t="shared" si="46"/>
        <v>46507</v>
      </c>
      <c r="B134" s="413">
        <f>'2026'!Wh/'2026'!Env_an*'2027'!Env_an</f>
        <v>42.646800636495286</v>
      </c>
      <c r="C134" s="868"/>
      <c r="D134" s="395">
        <f t="shared" si="25"/>
        <v>45.937517951741199</v>
      </c>
      <c r="E134" s="387">
        <f t="shared" si="47"/>
        <v>50.404820804527894</v>
      </c>
      <c r="F134" s="387">
        <f t="shared" si="26"/>
        <v>50.44026987505687</v>
      </c>
      <c r="G134" s="110">
        <f t="shared" si="48"/>
        <v>0.82647778608471789</v>
      </c>
      <c r="H134" s="416" t="b">
        <f>Wh_hp&gt;='2026'!Maxi_hp</f>
        <v>0</v>
      </c>
      <c r="I134" s="392">
        <f>IF(H134,Wh_hp,'2026'!Maxi_hp)</f>
        <v>60.84592314154898</v>
      </c>
      <c r="J134" s="85">
        <f>IF(H134,An,'2026'!An_max)</f>
        <v>2019</v>
      </c>
      <c r="K134" s="199">
        <f t="shared" si="27"/>
        <v>46507</v>
      </c>
      <c r="L134" s="147">
        <f>IF(t&lt;Tvie,1-EXP((T0-t)*PertePVj)+'2026'!Pspv,1-EXP((T0-t)*PertePVj)+Pspv)</f>
        <v>7.1634634650982187E-2</v>
      </c>
      <c r="M134" s="872"/>
      <c r="N134" s="872"/>
      <c r="O134" s="48">
        <f>IF(t&lt;Tnet,'2026'!Resal+('2026'!Salim-'2026'!Resal)*(1-EXP(('2026'!Tnet-t)/('2026'!Tau_j))),Resal+(Salim-Resal)*(1-EXP((Tnet-t)/(Tau_j))))*Salcycl</f>
        <v>8.8628483972021027E-2</v>
      </c>
      <c r="P134" s="171">
        <f>(INDEX(Models!$BJ134:$BT134,,T134)*(1-R134)+INDEX(Models!$BJ134:$BT134,,T134+1)*R134-ERP_i)*Q134*Ramure*Pc/MaxiM</f>
        <v>9.3408765373375973E-4</v>
      </c>
      <c r="Q134" s="307">
        <f t="shared" si="28"/>
        <v>0.9</v>
      </c>
      <c r="R134" s="179">
        <f t="shared" si="29"/>
        <v>0.67351698519613801</v>
      </c>
      <c r="S134" s="839">
        <f t="shared" si="30"/>
        <v>-2</v>
      </c>
      <c r="T134" s="178">
        <f t="shared" si="31"/>
        <v>4</v>
      </c>
      <c r="U134" s="253">
        <f t="shared" si="32"/>
        <v>-1.326483014803862</v>
      </c>
      <c r="V134" s="385">
        <f t="shared" si="33"/>
        <v>51.58871834405555</v>
      </c>
      <c r="W134" s="404">
        <f t="shared" si="34"/>
        <v>42.646800636495286</v>
      </c>
      <c r="X134" s="157">
        <f t="shared" si="35"/>
        <v>46507</v>
      </c>
      <c r="Y134" s="387">
        <f t="shared" si="36"/>
        <v>38.848579602469584</v>
      </c>
      <c r="Z134" s="387">
        <f t="shared" si="37"/>
        <v>41.846218151260423</v>
      </c>
      <c r="AA134" s="388">
        <f t="shared" si="38"/>
        <v>49.986372054199059</v>
      </c>
      <c r="AB134" s="199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0.16284746358692431</v>
      </c>
      <c r="AD134" s="233">
        <f>(INDEX(Models!$BJ134:$BT134,,AH134)*(1-AF134)+INDEX(Models!$BJ134:$BT134,,AH134+1)*AF134-ERP_i)*AE134*Ramure*Pc/MaxiM</f>
        <v>1.1960267059001923E-2</v>
      </c>
      <c r="AE134" s="307">
        <f t="shared" si="40"/>
        <v>0.9</v>
      </c>
      <c r="AF134" s="179">
        <f t="shared" si="41"/>
        <v>0.30917263750311719</v>
      </c>
      <c r="AG134" s="839">
        <f t="shared" si="49"/>
        <v>3</v>
      </c>
      <c r="AH134" s="178">
        <f t="shared" si="42"/>
        <v>9</v>
      </c>
      <c r="AI134" s="227">
        <f t="shared" si="43"/>
        <v>3.3091726375031172</v>
      </c>
      <c r="AJ134" s="267" t="b">
        <f t="shared" si="44"/>
        <v>0</v>
      </c>
      <c r="AK134" s="267" t="b">
        <f t="shared" si="45"/>
        <v>0</v>
      </c>
      <c r="AL134" s="267"/>
      <c r="AM134" s="267"/>
      <c r="AN134" s="75"/>
    </row>
    <row r="135" spans="1:40" s="6" customFormat="1" ht="11.25" x14ac:dyDescent="0.2">
      <c r="A135" s="56">
        <f t="shared" si="46"/>
        <v>46508</v>
      </c>
      <c r="B135" s="413">
        <f>'2026'!Wh/'2026'!Env_an*'2027'!Env_an</f>
        <v>42.060975461221119</v>
      </c>
      <c r="C135" s="868"/>
      <c r="D135" s="395">
        <f t="shared" si="25"/>
        <v>45.307543639925868</v>
      </c>
      <c r="E135" s="387">
        <f t="shared" si="47"/>
        <v>49.725105671409324</v>
      </c>
      <c r="F135" s="387">
        <f t="shared" si="26"/>
        <v>49.756882433110491</v>
      </c>
      <c r="G135" s="110">
        <f t="shared" si="48"/>
        <v>0.81242784638355514</v>
      </c>
      <c r="H135" s="416" t="b">
        <f>Wh_hp&gt;='2026'!Maxi_hp</f>
        <v>0</v>
      </c>
      <c r="I135" s="392">
        <f>IF(H135,Wh_hp,'2026'!Maxi_hp)</f>
        <v>56.845620095734738</v>
      </c>
      <c r="J135" s="85">
        <f>IF(H135,An,'2026'!An_max)</f>
        <v>2019</v>
      </c>
      <c r="K135" s="199">
        <f t="shared" si="27"/>
        <v>46508</v>
      </c>
      <c r="L135" s="147">
        <f>IF(t&lt;Tvie,1-EXP((T0-t)*PertePVj)+'2026'!Pspv,1-EXP((T0-t)*PertePVj)+Pspv)</f>
        <v>7.1656239069288419E-2</v>
      </c>
      <c r="M135" s="872"/>
      <c r="N135" s="872"/>
      <c r="O135" s="48">
        <f>IF(t&lt;Tnet,'2026'!Resal+('2026'!Salim-'2026'!Resal)*(1-EXP(('2026'!Tnet-t)/('2026'!Tau_j))),Resal+(Salim-Resal)*(1-EXP((Tnet-t)/(Tau_j))))*Salcycl</f>
        <v>8.883967106425765E-2</v>
      </c>
      <c r="P135" s="171">
        <f>(INDEX(Models!$BJ135:$BT135,,T135)*(1-R135)+INDEX(Models!$BJ135:$BT135,,T135+1)*R135-ERP_i)*Q135*Ramure*Pc/MaxiM</f>
        <v>8.7208926713655251E-4</v>
      </c>
      <c r="Q135" s="307">
        <f t="shared" si="28"/>
        <v>0.9</v>
      </c>
      <c r="R135" s="179">
        <f t="shared" si="29"/>
        <v>0.67737380705742201</v>
      </c>
      <c r="S135" s="839">
        <f t="shared" si="30"/>
        <v>-2</v>
      </c>
      <c r="T135" s="178">
        <f t="shared" si="31"/>
        <v>4</v>
      </c>
      <c r="U135" s="253">
        <f t="shared" si="32"/>
        <v>-1.322626192942578</v>
      </c>
      <c r="V135" s="385">
        <f t="shared" si="33"/>
        <v>51.759858173099389</v>
      </c>
      <c r="W135" s="404">
        <f t="shared" si="34"/>
        <v>42.060975461221119</v>
      </c>
      <c r="X135" s="157">
        <f t="shared" si="35"/>
        <v>46508</v>
      </c>
      <c r="Y135" s="387">
        <f t="shared" si="36"/>
        <v>38.335563859242299</v>
      </c>
      <c r="Z135" s="387">
        <f t="shared" si="37"/>
        <v>41.294578013654075</v>
      </c>
      <c r="AA135" s="388">
        <f t="shared" si="38"/>
        <v>49.338207898102759</v>
      </c>
      <c r="AB135" s="199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0.16303044287828686</v>
      </c>
      <c r="AD135" s="233">
        <f>(INDEX(Models!$BJ135:$BT135,,AH135)*(1-AF135)+INDEX(Models!$BJ135:$BT135,,AH135+1)*AF135-ERP_i)*AE135*Ramure*Pc/MaxiM</f>
        <v>1.14902069580675E-2</v>
      </c>
      <c r="AE135" s="307">
        <f t="shared" si="40"/>
        <v>0.9</v>
      </c>
      <c r="AF135" s="179">
        <f t="shared" si="41"/>
        <v>0.31302945936440096</v>
      </c>
      <c r="AG135" s="839">
        <f t="shared" si="49"/>
        <v>3</v>
      </c>
      <c r="AH135" s="178">
        <f t="shared" si="42"/>
        <v>9</v>
      </c>
      <c r="AI135" s="227">
        <f t="shared" si="43"/>
        <v>3.313029459364401</v>
      </c>
      <c r="AJ135" s="267" t="b">
        <f t="shared" si="44"/>
        <v>0</v>
      </c>
      <c r="AK135" s="267" t="b">
        <f t="shared" si="45"/>
        <v>0</v>
      </c>
      <c r="AL135" s="267"/>
      <c r="AM135" s="267"/>
      <c r="AN135" s="75"/>
    </row>
    <row r="136" spans="1:40" s="6" customFormat="1" ht="11.25" x14ac:dyDescent="0.2">
      <c r="A136" s="56">
        <f t="shared" si="46"/>
        <v>46509</v>
      </c>
      <c r="B136" s="413">
        <f>'2026'!Wh/'2026'!Env_an*'2027'!Env_an</f>
        <v>25.709757309748429</v>
      </c>
      <c r="C136" s="868"/>
      <c r="D136" s="395">
        <f t="shared" si="25"/>
        <v>27.694865532901684</v>
      </c>
      <c r="E136" s="387">
        <f t="shared" si="47"/>
        <v>30.402265106003927</v>
      </c>
      <c r="F136" s="387">
        <f t="shared" si="26"/>
        <v>30.409156093752934</v>
      </c>
      <c r="G136" s="110">
        <f t="shared" si="48"/>
        <v>0.49486855335053254</v>
      </c>
      <c r="H136" s="416" t="b">
        <f>Wh_hp&gt;='2026'!Maxi_hp</f>
        <v>0</v>
      </c>
      <c r="I136" s="392">
        <f>IF(H136,Wh_hp,'2026'!Maxi_hp)</f>
        <v>39.747246661532351</v>
      </c>
      <c r="J136" s="85">
        <f>IF(H136,An,'2026'!An_max)</f>
        <v>2021</v>
      </c>
      <c r="K136" s="199">
        <f t="shared" si="27"/>
        <v>46509</v>
      </c>
      <c r="L136" s="147">
        <f>IF(t&lt;Tvie,1-EXP((T0-t)*PertePVj)+'2026'!Pspv,1-EXP((T0-t)*PertePVj)+Pspv)</f>
        <v>7.1677842984828155E-2</v>
      </c>
      <c r="M136" s="872"/>
      <c r="N136" s="872"/>
      <c r="O136" s="48">
        <f>IF(t&lt;Tnet,'2026'!Resal+('2026'!Salim-'2026'!Resal)*(1-EXP(('2026'!Tnet-t)/('2026'!Tau_j))),Resal+(Salim-Resal)*(1-EXP((Tnet-t)/(Tau_j))))*Salcycl</f>
        <v>8.9052561171423322E-2</v>
      </c>
      <c r="P136" s="171">
        <f>(INDEX(Models!$BJ136:$BT136,,T136)*(1-R136)+INDEX(Models!$BJ136:$BT136,,T136+1)*R136-ERP_i)*Q136*Ramure*Pc/MaxiM</f>
        <v>8.1280587386101653E-4</v>
      </c>
      <c r="Q136" s="307">
        <f t="shared" si="28"/>
        <v>0.9</v>
      </c>
      <c r="R136" s="179">
        <f t="shared" si="29"/>
        <v>0.68133928666703114</v>
      </c>
      <c r="S136" s="839">
        <f t="shared" si="30"/>
        <v>-2</v>
      </c>
      <c r="T136" s="178">
        <f t="shared" si="31"/>
        <v>4</v>
      </c>
      <c r="U136" s="253">
        <f t="shared" si="32"/>
        <v>-1.3186607133329689</v>
      </c>
      <c r="V136" s="385">
        <f t="shared" si="33"/>
        <v>51.922238218269733</v>
      </c>
      <c r="W136" s="404">
        <f t="shared" si="34"/>
        <v>25.709757309748429</v>
      </c>
      <c r="X136" s="157">
        <f t="shared" si="35"/>
        <v>46509</v>
      </c>
      <c r="Y136" s="387">
        <f t="shared" si="36"/>
        <v>23.54946521920877</v>
      </c>
      <c r="Z136" s="387">
        <f t="shared" si="37"/>
        <v>25.367772428191536</v>
      </c>
      <c r="AA136" s="388">
        <f t="shared" si="38"/>
        <v>30.315812478312804</v>
      </c>
      <c r="AB136" s="199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0.16321647502144218</v>
      </c>
      <c r="AD136" s="233">
        <f>(INDEX(Models!$BJ136:$BT136,,AH136)*(1-AF136)+INDEX(Models!$BJ136:$BT136,,AH136+1)*AF136-ERP_i)*AE136*Ramure*Pc/MaxiM</f>
        <v>1.1010067305387939E-2</v>
      </c>
      <c r="AE136" s="307">
        <f t="shared" si="40"/>
        <v>0.9</v>
      </c>
      <c r="AF136" s="179">
        <f t="shared" si="41"/>
        <v>0.31699493897401032</v>
      </c>
      <c r="AG136" s="839">
        <f t="shared" si="49"/>
        <v>3</v>
      </c>
      <c r="AH136" s="178">
        <f t="shared" si="42"/>
        <v>9</v>
      </c>
      <c r="AI136" s="227">
        <f t="shared" si="43"/>
        <v>3.3169949389740103</v>
      </c>
      <c r="AJ136" s="267" t="b">
        <f t="shared" si="44"/>
        <v>0</v>
      </c>
      <c r="AK136" s="267" t="b">
        <f t="shared" si="45"/>
        <v>0</v>
      </c>
      <c r="AL136" s="267"/>
      <c r="AM136" s="267"/>
      <c r="AN136" s="75"/>
    </row>
    <row r="137" spans="1:40" s="6" customFormat="1" ht="11.25" x14ac:dyDescent="0.2">
      <c r="A137" s="56">
        <f t="shared" si="46"/>
        <v>46510</v>
      </c>
      <c r="B137" s="413">
        <f>'2026'!Wh/'2026'!Env_an*'2027'!Env_an</f>
        <v>30.380748570103467</v>
      </c>
      <c r="C137" s="868"/>
      <c r="D137" s="395">
        <f t="shared" si="25"/>
        <v>32.727276152327136</v>
      </c>
      <c r="E137" s="387">
        <f t="shared" si="47"/>
        <v>35.935099566061361</v>
      </c>
      <c r="F137" s="387">
        <f t="shared" si="26"/>
        <v>35.946110634486558</v>
      </c>
      <c r="G137" s="110">
        <f t="shared" si="48"/>
        <v>0.58312726240929003</v>
      </c>
      <c r="H137" s="416" t="b">
        <f>Wh_hp&gt;='2026'!Maxi_hp</f>
        <v>0</v>
      </c>
      <c r="I137" s="392">
        <f>IF(H137,Wh_hp,'2026'!Maxi_hp)</f>
        <v>59.744764721426584</v>
      </c>
      <c r="J137" s="85">
        <f>IF(H137,An,'2026'!An_max)</f>
        <v>2021</v>
      </c>
      <c r="K137" s="199">
        <f t="shared" si="27"/>
        <v>46510</v>
      </c>
      <c r="L137" s="147">
        <f>IF(t&lt;Tvie,1-EXP((T0-t)*PertePVj)+'2026'!Pspv,1-EXP((T0-t)*PertePVj)+Pspv)</f>
        <v>7.1699446397613276E-2</v>
      </c>
      <c r="M137" s="872"/>
      <c r="N137" s="872"/>
      <c r="O137" s="48">
        <f>IF(t&lt;Tnet,'2026'!Resal+('2026'!Salim-'2026'!Resal)*(1-EXP(('2026'!Tnet-t)/('2026'!Tau_j))),Resal+(Salim-Resal)*(1-EXP((Tnet-t)/(Tau_j))))*Salcycl</f>
        <v>8.9267135821819998E-2</v>
      </c>
      <c r="P137" s="171">
        <f>(INDEX(Models!$BJ137:$BT137,,T137)*(1-R137)+INDEX(Models!$BJ137:$BT137,,T137+1)*R137-ERP_i)*Q137*Ramure*Pc/MaxiM</f>
        <v>7.5664294650806417E-4</v>
      </c>
      <c r="Q137" s="307">
        <f t="shared" si="28"/>
        <v>0.9</v>
      </c>
      <c r="R137" s="179">
        <f t="shared" si="29"/>
        <v>0.68541459043882047</v>
      </c>
      <c r="S137" s="839">
        <f t="shared" si="30"/>
        <v>-2</v>
      </c>
      <c r="T137" s="178">
        <f t="shared" si="31"/>
        <v>4</v>
      </c>
      <c r="U137" s="253">
        <f t="shared" si="32"/>
        <v>-1.3145854095611795</v>
      </c>
      <c r="V137" s="385">
        <f t="shared" si="33"/>
        <v>52.076219437069831</v>
      </c>
      <c r="W137" s="404">
        <f t="shared" si="34"/>
        <v>30.380748570103467</v>
      </c>
      <c r="X137" s="157">
        <f t="shared" si="35"/>
        <v>46510</v>
      </c>
      <c r="Y137" s="387">
        <f t="shared" si="36"/>
        <v>27.797155605083468</v>
      </c>
      <c r="Z137" s="387">
        <f t="shared" si="37"/>
        <v>29.944133392157443</v>
      </c>
      <c r="AA137" s="388">
        <f t="shared" si="38"/>
        <v>35.792888827533361</v>
      </c>
      <c r="AB137" s="199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0.16340551508870704</v>
      </c>
      <c r="AD137" s="233">
        <f>(INDEX(Models!$BJ137:$BT137,,AH137)*(1-AF137)+INDEX(Models!$BJ137:$BT137,,AH137+1)*AF137-ERP_i)*AE137*Ramure*Pc/MaxiM</f>
        <v>1.0528878307306515E-2</v>
      </c>
      <c r="AE137" s="307">
        <f t="shared" si="40"/>
        <v>0.9</v>
      </c>
      <c r="AF137" s="179">
        <f t="shared" si="41"/>
        <v>0.32107024274579921</v>
      </c>
      <c r="AG137" s="839">
        <f t="shared" si="49"/>
        <v>3</v>
      </c>
      <c r="AH137" s="178">
        <f t="shared" si="42"/>
        <v>9</v>
      </c>
      <c r="AI137" s="227">
        <f t="shared" si="43"/>
        <v>3.3210702427457992</v>
      </c>
      <c r="AJ137" s="267" t="b">
        <f t="shared" si="44"/>
        <v>0</v>
      </c>
      <c r="AK137" s="267" t="b">
        <f t="shared" si="45"/>
        <v>0</v>
      </c>
      <c r="AL137" s="267"/>
      <c r="AM137" s="267"/>
      <c r="AN137" s="75"/>
    </row>
    <row r="138" spans="1:40" s="6" customFormat="1" ht="11.25" x14ac:dyDescent="0.2">
      <c r="A138" s="56">
        <f t="shared" si="46"/>
        <v>46511</v>
      </c>
      <c r="B138" s="413">
        <f>'2026'!Wh/'2026'!Env_an*'2027'!Env_an</f>
        <v>0.77121259237634998</v>
      </c>
      <c r="C138" s="868"/>
      <c r="D138" s="395">
        <f t="shared" si="25"/>
        <v>0.83079831962272899</v>
      </c>
      <c r="E138" s="387">
        <f t="shared" si="47"/>
        <v>0.91244716960967398</v>
      </c>
      <c r="F138" s="387">
        <f t="shared" si="26"/>
        <v>0.91244716960967398</v>
      </c>
      <c r="G138" s="110">
        <f t="shared" si="48"/>
        <v>1.4757520827596066E-2</v>
      </c>
      <c r="H138" s="416" t="b">
        <f>Wh_hp&gt;='2026'!Maxi_hp</f>
        <v>0</v>
      </c>
      <c r="I138" s="392">
        <f>IF(H138,Wh_hp,'2026'!Maxi_hp)</f>
        <v>56.648586728820725</v>
      </c>
      <c r="J138" s="85">
        <f>IF(H138,An,'2026'!An_max)</f>
        <v>2020</v>
      </c>
      <c r="K138" s="199">
        <f t="shared" si="27"/>
        <v>46511</v>
      </c>
      <c r="L138" s="147">
        <f>IF(t&lt;Tvie,1-EXP((T0-t)*PertePVj)+'2026'!Pspv,1-EXP((T0-t)*PertePVj)+Pspv)</f>
        <v>7.1721049307655438E-2</v>
      </c>
      <c r="M138" s="872"/>
      <c r="N138" s="872"/>
      <c r="O138" s="48">
        <f>IF(t&lt;Tnet,'2026'!Resal+('2026'!Salim-'2026'!Resal)*(1-EXP(('2026'!Tnet-t)/('2026'!Tau_j))),Resal+(Salim-Resal)*(1-EXP((Tnet-t)/(Tau_j))))*Salcycl</f>
        <v>8.9483372524321231E-2</v>
      </c>
      <c r="P138" s="171">
        <f>(INDEX(Models!$BJ138:$BT138,,T138)*(1-R138)+INDEX(Models!$BJ138:$BT138,,T138+1)*R138-ERP_i)*Q138*Ramure*Pc/MaxiM</f>
        <v>7.0355255275073893E-4</v>
      </c>
      <c r="Q138" s="307">
        <f t="shared" si="28"/>
        <v>0.9</v>
      </c>
      <c r="R138" s="179">
        <f t="shared" si="29"/>
        <v>0.68960075972162693</v>
      </c>
      <c r="S138" s="839">
        <f t="shared" si="30"/>
        <v>-2</v>
      </c>
      <c r="T138" s="178">
        <f t="shared" si="31"/>
        <v>4</v>
      </c>
      <c r="U138" s="253">
        <f t="shared" si="32"/>
        <v>-1.3103992402783731</v>
      </c>
      <c r="V138" s="385">
        <f t="shared" si="33"/>
        <v>52.222186422203322</v>
      </c>
      <c r="W138" s="404">
        <f t="shared" si="34"/>
        <v>0.77121259237634998</v>
      </c>
      <c r="X138" s="157">
        <f t="shared" si="35"/>
        <v>46511</v>
      </c>
      <c r="Y138" s="387">
        <f t="shared" si="36"/>
        <v>0.708437509313945</v>
      </c>
      <c r="Z138" s="387">
        <f t="shared" si="37"/>
        <v>0.76317308367874359</v>
      </c>
      <c r="AA138" s="388">
        <f t="shared" si="38"/>
        <v>0.91244716960967398</v>
      </c>
      <c r="AB138" s="199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0.16359751106991402</v>
      </c>
      <c r="AD138" s="233">
        <f>(INDEX(Models!$BJ138:$BT138,,AH138)*(1-AF138)+INDEX(Models!$BJ138:$BT138,,AH138+1)*AF138-ERP_i)*AE138*Ramure*Pc/MaxiM</f>
        <v>1.0046207596951103E-2</v>
      </c>
      <c r="AE138" s="307">
        <f t="shared" si="40"/>
        <v>0.9</v>
      </c>
      <c r="AF138" s="179">
        <f t="shared" si="41"/>
        <v>0.32525641202860589</v>
      </c>
      <c r="AG138" s="839">
        <f t="shared" si="49"/>
        <v>3</v>
      </c>
      <c r="AH138" s="178">
        <f t="shared" si="42"/>
        <v>9</v>
      </c>
      <c r="AI138" s="227">
        <f t="shared" si="43"/>
        <v>3.3252564120286059</v>
      </c>
      <c r="AJ138" s="267" t="b">
        <f t="shared" si="44"/>
        <v>0</v>
      </c>
      <c r="AK138" s="267" t="b">
        <f t="shared" si="45"/>
        <v>0</v>
      </c>
      <c r="AL138" s="267"/>
      <c r="AM138" s="267"/>
      <c r="AN138" s="75"/>
    </row>
    <row r="139" spans="1:40" s="6" customFormat="1" ht="11.25" x14ac:dyDescent="0.2">
      <c r="A139" s="56">
        <f t="shared" si="46"/>
        <v>46512</v>
      </c>
      <c r="B139" s="413">
        <f>'2026'!Wh/'2026'!Env_an*'2027'!Env_an</f>
        <v>35.438556300253957</v>
      </c>
      <c r="C139" s="868"/>
      <c r="D139" s="395">
        <f t="shared" si="25"/>
        <v>38.177512266104983</v>
      </c>
      <c r="E139" s="387">
        <f t="shared" si="47"/>
        <v>41.939541323206178</v>
      </c>
      <c r="F139" s="387">
        <f t="shared" si="26"/>
        <v>41.954300126947246</v>
      </c>
      <c r="G139" s="110">
        <f t="shared" si="48"/>
        <v>0.67661394328700863</v>
      </c>
      <c r="H139" s="416" t="b">
        <f>Wh_hp&gt;='2026'!Maxi_hp</f>
        <v>0</v>
      </c>
      <c r="I139" s="392">
        <f>IF(H139,Wh_hp,'2026'!Maxi_hp)</f>
        <v>58.989313810464012</v>
      </c>
      <c r="J139" s="85">
        <f>IF(H139,An,'2026'!An_max)</f>
        <v>2020</v>
      </c>
      <c r="K139" s="199">
        <f t="shared" si="27"/>
        <v>46512</v>
      </c>
      <c r="L139" s="147">
        <f>IF(t&lt;Tvie,1-EXP((T0-t)*PertePVj)+'2026'!Pspv,1-EXP((T0-t)*PertePVj)+Pspv)</f>
        <v>7.1742651714966299E-2</v>
      </c>
      <c r="M139" s="872"/>
      <c r="N139" s="872"/>
      <c r="O139" s="48">
        <f>IF(t&lt;Tnet,'2026'!Resal+('2026'!Salim-'2026'!Resal)*(1-EXP(('2026'!Tnet-t)/('2026'!Tau_j))),Resal+(Salim-Resal)*(1-EXP((Tnet-t)/(Tau_j))))*Salcycl</f>
        <v>8.9701244658571724E-2</v>
      </c>
      <c r="P139" s="171">
        <f>(INDEX(Models!$BJ139:$BT139,,T139)*(1-R139)+INDEX(Models!$BJ139:$BT139,,T139+1)*R139-ERP_i)*Q139*Ramure*Pc/MaxiM</f>
        <v>6.5349282799070224E-4</v>
      </c>
      <c r="Q139" s="307">
        <f t="shared" si="28"/>
        <v>0.9</v>
      </c>
      <c r="R139" s="179">
        <f t="shared" si="29"/>
        <v>0.69389870101483409</v>
      </c>
      <c r="S139" s="839">
        <f t="shared" si="30"/>
        <v>-2</v>
      </c>
      <c r="T139" s="178">
        <f t="shared" si="31"/>
        <v>4</v>
      </c>
      <c r="U139" s="253">
        <f t="shared" si="32"/>
        <v>-1.3061012989851659</v>
      </c>
      <c r="V139" s="385">
        <f t="shared" si="33"/>
        <v>52.360523639016499</v>
      </c>
      <c r="W139" s="404">
        <f t="shared" si="34"/>
        <v>35.438556300253957</v>
      </c>
      <c r="X139" s="157">
        <f t="shared" si="35"/>
        <v>46512</v>
      </c>
      <c r="Y139" s="387">
        <f t="shared" si="36"/>
        <v>32.397972910244135</v>
      </c>
      <c r="Z139" s="387">
        <f t="shared" si="37"/>
        <v>34.901929912108713</v>
      </c>
      <c r="AA139" s="388">
        <f t="shared" si="38"/>
        <v>41.738355483913523</v>
      </c>
      <c r="AB139" s="199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0.16379240371460363</v>
      </c>
      <c r="AD139" s="233">
        <f>(INDEX(Models!$BJ139:$BT139,,AH139)*(1-AF139)+INDEX(Models!$BJ139:$BT139,,AH139+1)*AF139-ERP_i)*AE139*Ramure*Pc/MaxiM</f>
        <v>9.5616337164839763E-3</v>
      </c>
      <c r="AE139" s="307">
        <f t="shared" si="40"/>
        <v>0.9</v>
      </c>
      <c r="AF139" s="179">
        <f t="shared" si="41"/>
        <v>0.32955435332181304</v>
      </c>
      <c r="AG139" s="839">
        <f t="shared" si="49"/>
        <v>3</v>
      </c>
      <c r="AH139" s="178">
        <f t="shared" si="42"/>
        <v>9</v>
      </c>
      <c r="AI139" s="227">
        <f t="shared" si="43"/>
        <v>3.329554353321813</v>
      </c>
      <c r="AJ139" s="267" t="b">
        <f t="shared" si="44"/>
        <v>0</v>
      </c>
      <c r="AK139" s="267" t="b">
        <f t="shared" si="45"/>
        <v>0</v>
      </c>
      <c r="AL139" s="267"/>
      <c r="AM139" s="267"/>
      <c r="AN139" s="75"/>
    </row>
    <row r="140" spans="1:40" s="6" customFormat="1" ht="11.25" x14ac:dyDescent="0.2">
      <c r="A140" s="56">
        <f t="shared" si="46"/>
        <v>46513</v>
      </c>
      <c r="B140" s="413">
        <f>'2026'!Wh/'2026'!Env_an*'2027'!Env_an</f>
        <v>32.847497961407932</v>
      </c>
      <c r="C140" s="868"/>
      <c r="D140" s="395">
        <f t="shared" si="25"/>
        <v>35.387021119896851</v>
      </c>
      <c r="E140" s="387">
        <f t="shared" si="47"/>
        <v>38.883448893979036</v>
      </c>
      <c r="F140" s="387">
        <f t="shared" si="26"/>
        <v>38.894425670479571</v>
      </c>
      <c r="G140" s="110">
        <f t="shared" si="48"/>
        <v>0.62556363071093291</v>
      </c>
      <c r="H140" s="416" t="b">
        <f>Wh_hp&gt;='2026'!Maxi_hp</f>
        <v>0</v>
      </c>
      <c r="I140" s="392">
        <f>IF(H140,Wh_hp,'2026'!Maxi_hp)</f>
        <v>64.322746160656237</v>
      </c>
      <c r="J140" s="85">
        <f>IF(H140,An,'2026'!An_max)</f>
        <v>2019</v>
      </c>
      <c r="K140" s="199">
        <f t="shared" si="27"/>
        <v>46513</v>
      </c>
      <c r="L140" s="147">
        <f>IF(t&lt;Tvie,1-EXP((T0-t)*PertePVj)+'2026'!Pspv,1-EXP((T0-t)*PertePVj)+Pspv)</f>
        <v>7.1764253619557627E-2</v>
      </c>
      <c r="M140" s="872"/>
      <c r="N140" s="872"/>
      <c r="O140" s="48">
        <f>IF(t&lt;Tnet,'2026'!Resal+('2026'!Salim-'2026'!Resal)*(1-EXP(('2026'!Tnet-t)/('2026'!Tau_j))),Resal+(Salim-Resal)*(1-EXP((Tnet-t)/(Tau_j))))*Salcycl</f>
        <v>8.9920721374682266E-2</v>
      </c>
      <c r="P140" s="171">
        <f>(INDEX(Models!$BJ140:$BT140,,T140)*(1-R140)+INDEX(Models!$BJ140:$BT140,,T140+1)*R140-ERP_i)*Q140*Ramure*Pc/MaxiM</f>
        <v>6.0642764103519399E-4</v>
      </c>
      <c r="Q140" s="307">
        <f t="shared" si="28"/>
        <v>0.9</v>
      </c>
      <c r="R140" s="179">
        <f t="shared" si="29"/>
        <v>0.69830917612071186</v>
      </c>
      <c r="S140" s="839">
        <f t="shared" si="30"/>
        <v>-2</v>
      </c>
      <c r="T140" s="178">
        <f t="shared" si="31"/>
        <v>4</v>
      </c>
      <c r="U140" s="253">
        <f t="shared" si="32"/>
        <v>-1.3016908238792881</v>
      </c>
      <c r="V140" s="385">
        <f t="shared" si="33"/>
        <v>52.491615442728758</v>
      </c>
      <c r="W140" s="404">
        <f t="shared" si="34"/>
        <v>32.847497961407932</v>
      </c>
      <c r="X140" s="157">
        <f t="shared" si="35"/>
        <v>46513</v>
      </c>
      <c r="Y140" s="387">
        <f t="shared" si="36"/>
        <v>30.055160876775236</v>
      </c>
      <c r="Z140" s="387">
        <f t="shared" si="37"/>
        <v>32.378801391750073</v>
      </c>
      <c r="AA140" s="388">
        <f t="shared" si="38"/>
        <v>38.730166250345157</v>
      </c>
      <c r="AB140" s="199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0.16399012639245983</v>
      </c>
      <c r="AD140" s="233">
        <f>(INDEX(Models!$BJ140:$BT140,,AH140)*(1-AF140)+INDEX(Models!$BJ140:$BT140,,AH140+1)*AF140-ERP_i)*AE140*Ramure*Pc/MaxiM</f>
        <v>9.0747454560160448E-3</v>
      </c>
      <c r="AE140" s="307">
        <f t="shared" si="40"/>
        <v>0.9</v>
      </c>
      <c r="AF140" s="179">
        <f t="shared" si="41"/>
        <v>0.33396482842769082</v>
      </c>
      <c r="AG140" s="839">
        <f t="shared" si="49"/>
        <v>3</v>
      </c>
      <c r="AH140" s="178">
        <f t="shared" si="42"/>
        <v>9</v>
      </c>
      <c r="AI140" s="227">
        <f t="shared" si="43"/>
        <v>3.3339648284276908</v>
      </c>
      <c r="AJ140" s="267" t="b">
        <f t="shared" si="44"/>
        <v>0</v>
      </c>
      <c r="AK140" s="267" t="b">
        <f t="shared" si="45"/>
        <v>0</v>
      </c>
      <c r="AL140" s="267"/>
      <c r="AM140" s="267"/>
      <c r="AN140" s="75"/>
    </row>
    <row r="141" spans="1:40" s="6" customFormat="1" ht="11.25" x14ac:dyDescent="0.2">
      <c r="A141" s="56">
        <f t="shared" si="46"/>
        <v>46514</v>
      </c>
      <c r="B141" s="413">
        <f>'2026'!Wh/'2026'!Env_an*'2027'!Env_an</f>
        <v>45.118767282140077</v>
      </c>
      <c r="C141" s="868"/>
      <c r="D141" s="395">
        <f t="shared" si="25"/>
        <v>48.608144495775043</v>
      </c>
      <c r="E141" s="387">
        <f t="shared" si="47"/>
        <v>53.423866224113226</v>
      </c>
      <c r="F141" s="387">
        <f t="shared" si="26"/>
        <v>53.447803522421985</v>
      </c>
      <c r="G141" s="110">
        <f t="shared" si="48"/>
        <v>0.85741471254996882</v>
      </c>
      <c r="H141" s="416" t="b">
        <f>Wh_hp&gt;='2026'!Maxi_hp</f>
        <v>0</v>
      </c>
      <c r="I141" s="392">
        <f>IF(H141,Wh_hp,'2026'!Maxi_hp)</f>
        <v>59.596399989587596</v>
      </c>
      <c r="J141" s="85">
        <f>IF(H141,An,'2026'!An_max)</f>
        <v>2020</v>
      </c>
      <c r="K141" s="199">
        <f t="shared" si="27"/>
        <v>46514</v>
      </c>
      <c r="L141" s="147">
        <f>IF(t&lt;Tvie,1-EXP((T0-t)*PertePVj)+'2026'!Pspv,1-EXP((T0-t)*PertePVj)+Pspv)</f>
        <v>7.1785855021441081E-2</v>
      </c>
      <c r="M141" s="872"/>
      <c r="N141" s="872"/>
      <c r="O141" s="48">
        <f>IF(t&lt;Tnet,'2026'!Resal+('2026'!Salim-'2026'!Resal)*(1-EXP(('2026'!Tnet-t)/('2026'!Tau_j))),Resal+(Salim-Resal)*(1-EXP((Tnet-t)/(Tau_j))))*Salcycl</f>
        <v>9.0141767503988113E-2</v>
      </c>
      <c r="P141" s="171">
        <f>(INDEX(Models!$BJ141:$BT141,,T141)*(1-R141)+INDEX(Models!$BJ141:$BT141,,T141+1)*R141-ERP_i)*Q141*Ramure*Pc/MaxiM</f>
        <v>5.6232628080511889E-4</v>
      </c>
      <c r="Q141" s="307">
        <f t="shared" si="28"/>
        <v>0.9</v>
      </c>
      <c r="R141" s="179">
        <f t="shared" si="29"/>
        <v>0.70283279228792517</v>
      </c>
      <c r="S141" s="839">
        <f t="shared" si="30"/>
        <v>-2</v>
      </c>
      <c r="T141" s="178">
        <f t="shared" si="31"/>
        <v>4</v>
      </c>
      <c r="U141" s="253">
        <f t="shared" si="32"/>
        <v>-1.2971672077120748</v>
      </c>
      <c r="V141" s="385">
        <f t="shared" si="33"/>
        <v>52.615846065663206</v>
      </c>
      <c r="W141" s="404">
        <f t="shared" si="34"/>
        <v>45.118767282140077</v>
      </c>
      <c r="X141" s="157">
        <f t="shared" si="35"/>
        <v>46514</v>
      </c>
      <c r="Y141" s="387">
        <f t="shared" si="36"/>
        <v>41.181822082741235</v>
      </c>
      <c r="Z141" s="387">
        <f t="shared" si="37"/>
        <v>44.366725400088043</v>
      </c>
      <c r="AA141" s="388">
        <f t="shared" si="38"/>
        <v>53.08234827719793</v>
      </c>
      <c r="AB141" s="199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0.1641906049746818</v>
      </c>
      <c r="AD141" s="233">
        <f>(INDEX(Models!$BJ141:$BT141,,AH141)*(1-AF141)+INDEX(Models!$BJ141:$BT141,,AH141+1)*AF141-ERP_i)*AE141*Ramure*Pc/MaxiM</f>
        <v>8.5851413219992356E-3</v>
      </c>
      <c r="AE141" s="307">
        <f t="shared" si="40"/>
        <v>0.9</v>
      </c>
      <c r="AF141" s="179">
        <f t="shared" si="41"/>
        <v>0.3384884445949039</v>
      </c>
      <c r="AG141" s="839">
        <f t="shared" si="49"/>
        <v>3</v>
      </c>
      <c r="AH141" s="178">
        <f t="shared" si="42"/>
        <v>9</v>
      </c>
      <c r="AI141" s="227">
        <f t="shared" si="43"/>
        <v>3.3384884445949039</v>
      </c>
      <c r="AJ141" s="267" t="b">
        <f t="shared" si="44"/>
        <v>0</v>
      </c>
      <c r="AK141" s="267" t="b">
        <f t="shared" si="45"/>
        <v>0</v>
      </c>
      <c r="AL141" s="267"/>
      <c r="AM141" s="267"/>
      <c r="AN141" s="75"/>
    </row>
    <row r="142" spans="1:40" s="6" customFormat="1" ht="11.25" x14ac:dyDescent="0.2">
      <c r="A142" s="56">
        <f t="shared" si="46"/>
        <v>46515</v>
      </c>
      <c r="B142" s="413">
        <f>'2026'!Wh/'2026'!Env_an*'2027'!Env_an</f>
        <v>45.892464022450099</v>
      </c>
      <c r="C142" s="868"/>
      <c r="D142" s="395">
        <f t="shared" si="25"/>
        <v>49.442827692575968</v>
      </c>
      <c r="E142" s="387">
        <f t="shared" si="47"/>
        <v>54.354540016453058</v>
      </c>
      <c r="F142" s="387">
        <f t="shared" si="26"/>
        <v>54.377662203268692</v>
      </c>
      <c r="G142" s="110">
        <f t="shared" si="48"/>
        <v>0.87018635510200815</v>
      </c>
      <c r="H142" s="416" t="b">
        <f>Wh_hp&gt;='2026'!Maxi_hp</f>
        <v>0</v>
      </c>
      <c r="I142" s="392">
        <f>IF(H142,Wh_hp,'2026'!Maxi_hp)</f>
        <v>57.502129764921655</v>
      </c>
      <c r="J142" s="85">
        <f>IF(H142,An,'2026'!An_max)</f>
        <v>2021</v>
      </c>
      <c r="K142" s="199">
        <f t="shared" si="27"/>
        <v>46515</v>
      </c>
      <c r="L142" s="147">
        <f>IF(t&lt;Tvie,1-EXP((T0-t)*PertePVj)+'2026'!Pspv,1-EXP((T0-t)*PertePVj)+Pspv)</f>
        <v>7.1807455920628316E-2</v>
      </c>
      <c r="M142" s="872"/>
      <c r="N142" s="872"/>
      <c r="O142" s="48">
        <f>IF(t&lt;Tnet,'2026'!Resal+('2026'!Salim-'2026'!Resal)*(1-EXP(('2026'!Tnet-t)/('2026'!Tau_j))),Resal+(Salim-Resal)*(1-EXP((Tnet-t)/(Tau_j))))*Salcycl</f>
        <v>9.0364343482445542E-2</v>
      </c>
      <c r="P142" s="171">
        <f>(INDEX(Models!$BJ142:$BT142,,T142)*(1-R142)+INDEX(Models!$BJ142:$BT142,,T142+1)*R142-ERP_i)*Q142*Ramure*Pc/MaxiM</f>
        <v>5.2194585303683334E-4</v>
      </c>
      <c r="Q142" s="307">
        <f t="shared" si="28"/>
        <v>0.9</v>
      </c>
      <c r="R142" s="179">
        <f t="shared" si="29"/>
        <v>0.70746999240531139</v>
      </c>
      <c r="S142" s="839">
        <f t="shared" si="30"/>
        <v>-2</v>
      </c>
      <c r="T142" s="178">
        <f t="shared" si="31"/>
        <v>4</v>
      </c>
      <c r="U142" s="253">
        <f t="shared" si="32"/>
        <v>-1.2925300075946886</v>
      </c>
      <c r="V142" s="385">
        <f t="shared" si="33"/>
        <v>52.733558321907054</v>
      </c>
      <c r="W142" s="404">
        <f t="shared" si="34"/>
        <v>45.892464022450099</v>
      </c>
      <c r="X142" s="157">
        <f t="shared" si="35"/>
        <v>46515</v>
      </c>
      <c r="Y142" s="387">
        <f t="shared" si="36"/>
        <v>41.897007686321807</v>
      </c>
      <c r="Z142" s="387">
        <f t="shared" si="37"/>
        <v>45.138272175928087</v>
      </c>
      <c r="AA142" s="388">
        <f t="shared" si="38"/>
        <v>54.018591404715288</v>
      </c>
      <c r="AB142" s="199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0.16439375773897047</v>
      </c>
      <c r="AD142" s="233">
        <f>(INDEX(Models!$BJ142:$BT142,,AH142)*(1-AF142)+INDEX(Models!$BJ142:$BT142,,AH142+1)*AF142-ERP_i)*AE142*Ramure*Pc/MaxiM</f>
        <v>8.1054407070566808E-3</v>
      </c>
      <c r="AE142" s="307">
        <f t="shared" si="40"/>
        <v>0.9</v>
      </c>
      <c r="AF142" s="179">
        <f t="shared" si="41"/>
        <v>0.34312564471229035</v>
      </c>
      <c r="AG142" s="839">
        <f t="shared" si="49"/>
        <v>3</v>
      </c>
      <c r="AH142" s="178">
        <f t="shared" si="42"/>
        <v>9</v>
      </c>
      <c r="AI142" s="227">
        <f t="shared" si="43"/>
        <v>3.3431256447122903</v>
      </c>
      <c r="AJ142" s="267" t="b">
        <f t="shared" si="44"/>
        <v>0</v>
      </c>
      <c r="AK142" s="267" t="b">
        <f t="shared" si="45"/>
        <v>0</v>
      </c>
      <c r="AL142" s="267"/>
      <c r="AM142" s="267"/>
      <c r="AN142" s="75"/>
    </row>
    <row r="143" spans="1:40" s="6" customFormat="1" ht="11.25" x14ac:dyDescent="0.2">
      <c r="A143" s="56">
        <f t="shared" si="46"/>
        <v>46516</v>
      </c>
      <c r="B143" s="413">
        <f>'2026'!Wh/'2026'!Env_an*'2027'!Env_an</f>
        <v>50.952922948692255</v>
      </c>
      <c r="C143" s="868"/>
      <c r="D143" s="395">
        <f t="shared" ref="D143:D206" si="50">Wh/(1-Ppv)</f>
        <v>54.896054757453712</v>
      </c>
      <c r="E143" s="387">
        <f t="shared" si="47"/>
        <v>60.36436645043262</v>
      </c>
      <c r="F143" s="387">
        <f t="shared" ref="F143:F206" si="51">Wh_sa/(1-Pvg*MEDIAN((-Sdif+Wh/Env_an)/Csdif,0,1))</f>
        <v>60.392119962171037</v>
      </c>
      <c r="G143" s="110">
        <f t="shared" si="48"/>
        <v>0.96416844087608733</v>
      </c>
      <c r="H143" s="416" t="b">
        <f>Wh_hp&gt;='2026'!Maxi_hp</f>
        <v>0</v>
      </c>
      <c r="I143" s="392">
        <f>IF(H143,Wh_hp,'2026'!Maxi_hp)</f>
        <v>60.393537504802865</v>
      </c>
      <c r="J143" s="85">
        <f>IF(H143,An,'2026'!An_max)</f>
        <v>2025</v>
      </c>
      <c r="K143" s="199">
        <f t="shared" ref="K143:K206" si="52">t</f>
        <v>46516</v>
      </c>
      <c r="L143" s="147">
        <f>IF(t&lt;Tvie,1-EXP((T0-t)*PertePVj)+'2026'!Pspv,1-EXP((T0-t)*PertePVj)+Pspv)</f>
        <v>7.1829056317131101E-2</v>
      </c>
      <c r="M143" s="872"/>
      <c r="N143" s="872"/>
      <c r="O143" s="48">
        <f>IF(t&lt;Tnet,'2026'!Resal+('2026'!Salim-'2026'!Resal)*(1-EXP(('2026'!Tnet-t)/('2026'!Tau_j))),Resal+(Salim-Resal)*(1-EXP((Tnet-t)/(Tau_j))))*Salcycl</f>
        <v>9.0588405288228077E-2</v>
      </c>
      <c r="P143" s="171">
        <f>(INDEX(Models!$BJ143:$BT143,,T143)*(1-R143)+INDEX(Models!$BJ143:$BT143,,T143+1)*R143-ERP_i)*Q143*Ramure*Pc/MaxiM</f>
        <v>4.8433052998147634E-4</v>
      </c>
      <c r="Q143" s="307">
        <f t="shared" ref="Q143:Q206" si="53">IF(OR(t&lt;Ttai,Notai),Dd+PousD*Croivg,Dens+PousD*(Croivg-Croi_tai))</f>
        <v>0.9</v>
      </c>
      <c r="R143" s="179">
        <f t="shared" ref="R143:R206" si="54">(Hp_vg-S143)/(INDEX(Echel_vg,T143+1)-S143)</f>
        <v>0.71222104530959474</v>
      </c>
      <c r="S143" s="839">
        <f t="shared" ref="S143:S206" si="55">INDEX(Echel_vg,T143)</f>
        <v>-2</v>
      </c>
      <c r="T143" s="178">
        <f t="shared" ref="T143:T206" si="56">MIN(MATCH(Hp_vg,Echel_vg),10)</f>
        <v>4</v>
      </c>
      <c r="U143" s="253">
        <f t="shared" ref="U143:U206" si="57">IF(OR(t&lt;Ttai,Notai),Hdd+PousH*Croivg,Hdtf+PousH*(Croivg-Croi_tai))</f>
        <v>-1.2877789546904053</v>
      </c>
      <c r="V143" s="385">
        <f t="shared" ref="V143:V206" si="58">MaxiM*(1-Ppv)*(1-Pvg)*(1-Psa)</f>
        <v>52.845185376166228</v>
      </c>
      <c r="W143" s="404">
        <f t="shared" ref="W143:W206" si="59">Wh*(A143&gt;Tmaj)</f>
        <v>50.952922948692255</v>
      </c>
      <c r="X143" s="157">
        <f t="shared" ref="X143:X206" si="60">t</f>
        <v>46516</v>
      </c>
      <c r="Y143" s="387">
        <f t="shared" ref="Y143:Y206" si="61">Wh_pvt_s*(1-Ppv)</f>
        <v>46.488223419234707</v>
      </c>
      <c r="Z143" s="387">
        <f t="shared" ref="Z143:Z206" si="62">Wh_sa_s*(1-Psa_s)</f>
        <v>50.085842199256007</v>
      </c>
      <c r="AA143" s="388">
        <f t="shared" ref="AA143:AA206" si="63">Wh_hp*(1-Pvg_s*MEDIAN((-Sdif+Wh/Env_an)/Csdif,0,1))</f>
        <v>59.954287694963654</v>
      </c>
      <c r="AB143" s="199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0.16459949530076115</v>
      </c>
      <c r="AD143" s="233">
        <f>(INDEX(Models!$BJ143:$BT143,,AH143)*(1-AF143)+INDEX(Models!$BJ143:$BT143,,AH143+1)*AF143-ERP_i)*AE143*Ramure*Pc/MaxiM</f>
        <v>7.6406739449124258E-3</v>
      </c>
      <c r="AE143" s="307">
        <f t="shared" ref="AE143:AE206" si="65">IF(OR(t&lt;Ttai,Notai),Dd_s+PousD*Croivg,Dens_s+PousD*(Croivg-Croi_tai))</f>
        <v>0.9</v>
      </c>
      <c r="AF143" s="179">
        <f t="shared" ref="AF143:AF206" si="66">(Hp_vg_s-AG143)/(INDEX(Echel_vg,AH143+1)-AG143)</f>
        <v>0.34787669761657369</v>
      </c>
      <c r="AG143" s="839">
        <f t="shared" si="49"/>
        <v>3</v>
      </c>
      <c r="AH143" s="178">
        <f t="shared" ref="AH143:AH206" si="67">MIN(MATCH(Hp_vg_s,Echel_vg),10)</f>
        <v>9</v>
      </c>
      <c r="AI143" s="227">
        <f t="shared" ref="AI143:AI206" si="68">IF(OR(t&lt;Ttai,Notai),Hdd_s+PousH*Croivg,Hdtai_s+PousH*(Croivg-Croi_tai))</f>
        <v>3.3478766976165737</v>
      </c>
      <c r="AJ143" s="267" t="b">
        <f t="shared" ref="AJ143:AJ206" si="69">t&lt;Tnet</f>
        <v>0</v>
      </c>
      <c r="AK143" s="267" t="b">
        <f t="shared" ref="AK143:AK206" si="70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71">A143+1</f>
        <v>46517</v>
      </c>
      <c r="B144" s="413">
        <f>'2026'!Wh/'2026'!Env_an*'2027'!Env_an</f>
        <v>46.769489723354816</v>
      </c>
      <c r="C144" s="868"/>
      <c r="D144" s="395">
        <f t="shared" si="50"/>
        <v>50.390047718425315</v>
      </c>
      <c r="E144" s="387">
        <f t="shared" ref="E144:E169" si="72">Wh_pvt/(1-Psa)</f>
        <v>55.423249389771186</v>
      </c>
      <c r="F144" s="387">
        <f t="shared" si="51"/>
        <v>55.44401343402653</v>
      </c>
      <c r="G144" s="110">
        <f t="shared" ref="G144:G169" si="73">+Wh_hp/MaxiM</f>
        <v>0.88319171375919991</v>
      </c>
      <c r="H144" s="416" t="b">
        <f>Wh_hp&gt;='2026'!Maxi_hp</f>
        <v>0</v>
      </c>
      <c r="I144" s="392">
        <f>IF(H144,Wh_hp,'2026'!Maxi_hp)</f>
        <v>55.447944396329738</v>
      </c>
      <c r="J144" s="85">
        <f>IF(H144,An,'2026'!An_max)</f>
        <v>2025</v>
      </c>
      <c r="K144" s="199">
        <f t="shared" si="52"/>
        <v>46517</v>
      </c>
      <c r="L144" s="147">
        <f>IF(t&lt;Tvie,1-EXP((T0-t)*PertePVj)+'2026'!Pspv,1-EXP((T0-t)*PertePVj)+Pspv)</f>
        <v>7.1850656210961095E-2</v>
      </c>
      <c r="M144" s="872"/>
      <c r="N144" s="872"/>
      <c r="O144" s="48">
        <f>IF(t&lt;Tnet,'2026'!Resal+('2026'!Salim-'2026'!Resal)*(1-EXP(('2026'!Tnet-t)/('2026'!Tau_j))),Resal+(Salim-Resal)*(1-EXP((Tnet-t)/(Tau_j))))*Salcycl</f>
        <v>9.0813904395053213E-2</v>
      </c>
      <c r="P144" s="171">
        <f>(INDEX(Models!$BJ144:$BT144,,T144)*(1-R144)+INDEX(Models!$BJ144:$BT144,,T144+1)*R144-ERP_i)*Q144*Ramure*Pc/MaxiM</f>
        <v>4.4946373987975354E-4</v>
      </c>
      <c r="Q144" s="307">
        <f t="shared" si="53"/>
        <v>0.9</v>
      </c>
      <c r="R144" s="179">
        <f t="shared" si="54"/>
        <v>0.71708603627500045</v>
      </c>
      <c r="S144" s="839">
        <f t="shared" si="55"/>
        <v>-2</v>
      </c>
      <c r="T144" s="178">
        <f t="shared" si="56"/>
        <v>4</v>
      </c>
      <c r="U144" s="253">
        <f t="shared" si="57"/>
        <v>-1.2829139637249996</v>
      </c>
      <c r="V144" s="385">
        <f t="shared" si="58"/>
        <v>52.951111164035446</v>
      </c>
      <c r="W144" s="404">
        <f t="shared" si="59"/>
        <v>46.769489723354816</v>
      </c>
      <c r="X144" s="157">
        <f t="shared" si="60"/>
        <v>46517</v>
      </c>
      <c r="Y144" s="387">
        <f t="shared" si="61"/>
        <v>42.721764544864115</v>
      </c>
      <c r="Z144" s="387">
        <f t="shared" si="62"/>
        <v>46.028976727450491</v>
      </c>
      <c r="AA144" s="388">
        <f t="shared" si="63"/>
        <v>55.111832162820654</v>
      </c>
      <c r="AB144" s="199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0.16480772057325294</v>
      </c>
      <c r="AD144" s="233">
        <f>(INDEX(Models!$BJ144:$BT144,,AH144)*(1-AF144)+INDEX(Models!$BJ144:$BT144,,AH144+1)*AF144-ERP_i)*AE144*Ramure*Pc/MaxiM</f>
        <v>7.1904795924210381E-3</v>
      </c>
      <c r="AE144" s="307">
        <f t="shared" si="65"/>
        <v>0.9</v>
      </c>
      <c r="AF144" s="179">
        <f t="shared" si="66"/>
        <v>0.35274168858197941</v>
      </c>
      <c r="AG144" s="839">
        <f t="shared" ref="AG144:AG207" si="74">INDEX(Echel_vg,AH144)</f>
        <v>3</v>
      </c>
      <c r="AH144" s="178">
        <f t="shared" si="67"/>
        <v>9</v>
      </c>
      <c r="AI144" s="227">
        <f t="shared" si="68"/>
        <v>3.3527416885819794</v>
      </c>
      <c r="AJ144" s="267" t="b">
        <f t="shared" si="69"/>
        <v>0</v>
      </c>
      <c r="AK144" s="267" t="b">
        <f t="shared" si="70"/>
        <v>0</v>
      </c>
      <c r="AL144" s="267"/>
      <c r="AM144" s="267"/>
      <c r="AN144" s="75"/>
    </row>
    <row r="145" spans="1:40" s="6" customFormat="1" ht="11.25" x14ac:dyDescent="0.2">
      <c r="A145" s="56">
        <f t="shared" si="71"/>
        <v>46518</v>
      </c>
      <c r="B145" s="413">
        <f>'2026'!Wh/'2026'!Env_an*'2027'!Env_an</f>
        <v>51.249735350723689</v>
      </c>
      <c r="C145" s="868"/>
      <c r="D145" s="395">
        <f t="shared" si="50"/>
        <v>55.218406798055959</v>
      </c>
      <c r="E145" s="387">
        <f t="shared" si="72"/>
        <v>60.74904798085322</v>
      </c>
      <c r="F145" s="387">
        <f t="shared" si="51"/>
        <v>60.773179947789167</v>
      </c>
      <c r="G145" s="110">
        <f t="shared" si="73"/>
        <v>0.96601387474145539</v>
      </c>
      <c r="H145" s="416" t="b">
        <f>Wh_hp&gt;='2026'!Maxi_hp</f>
        <v>0</v>
      </c>
      <c r="I145" s="392">
        <f>IF(H145,Wh_hp,'2026'!Maxi_hp)</f>
        <v>60.774342119128853</v>
      </c>
      <c r="J145" s="85">
        <f>IF(H145,An,'2026'!An_max)</f>
        <v>2025</v>
      </c>
      <c r="K145" s="199">
        <f t="shared" si="52"/>
        <v>46518</v>
      </c>
      <c r="L145" s="147">
        <f>IF(t&lt;Tvie,1-EXP((T0-t)*PertePVj)+'2026'!Pspv,1-EXP((T0-t)*PertePVj)+Pspv)</f>
        <v>7.1872255602129953E-2</v>
      </c>
      <c r="M145" s="872"/>
      <c r="N145" s="872"/>
      <c r="O145" s="48">
        <f>IF(t&lt;Tnet,'2026'!Resal+('2026'!Salim-'2026'!Resal)*(1-EXP(('2026'!Tnet-t)/('2026'!Tau_j))),Resal+(Salim-Resal)*(1-EXP((Tnet-t)/(Tau_j))))*Salcycl</f>
        <v>9.1040787742721466E-2</v>
      </c>
      <c r="P145" s="171">
        <f>(INDEX(Models!$BJ145:$BT145,,T145)*(1-R145)+INDEX(Models!$BJ145:$BT145,,T145+1)*R145-ERP_i)*Q145*Ramure*Pc/MaxiM</f>
        <v>4.1733303361242283E-4</v>
      </c>
      <c r="Q145" s="307">
        <f t="shared" si="53"/>
        <v>0.9</v>
      </c>
      <c r="R145" s="179">
        <f t="shared" si="54"/>
        <v>0.72206485775671037</v>
      </c>
      <c r="S145" s="839">
        <f t="shared" si="55"/>
        <v>-2</v>
      </c>
      <c r="T145" s="178">
        <f t="shared" si="56"/>
        <v>4</v>
      </c>
      <c r="U145" s="253">
        <f t="shared" si="57"/>
        <v>-1.2779351422432896</v>
      </c>
      <c r="V145" s="385">
        <f t="shared" si="58"/>
        <v>53.051719488273768</v>
      </c>
      <c r="W145" s="404">
        <f t="shared" si="59"/>
        <v>51.249735350723689</v>
      </c>
      <c r="X145" s="157">
        <f t="shared" si="60"/>
        <v>46518</v>
      </c>
      <c r="Y145" s="387">
        <f t="shared" si="61"/>
        <v>46.794686491412257</v>
      </c>
      <c r="Z145" s="387">
        <f t="shared" si="62"/>
        <v>50.418368348390089</v>
      </c>
      <c r="AA145" s="388">
        <f t="shared" si="63"/>
        <v>60.382604894111587</v>
      </c>
      <c r="AB145" s="199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0.16501832875867195</v>
      </c>
      <c r="AD145" s="233">
        <f>(INDEX(Models!$BJ145:$BT145,,AH145)*(1-AF145)+INDEX(Models!$BJ145:$BT145,,AH145+1)*AF145-ERP_i)*AE145*Ramure*Pc/MaxiM</f>
        <v>6.7545207747584908E-3</v>
      </c>
      <c r="AE145" s="307">
        <f t="shared" si="65"/>
        <v>0.9</v>
      </c>
      <c r="AF145" s="179">
        <f t="shared" si="66"/>
        <v>0.3577205100636891</v>
      </c>
      <c r="AG145" s="839">
        <f t="shared" si="74"/>
        <v>3</v>
      </c>
      <c r="AH145" s="178">
        <f t="shared" si="67"/>
        <v>9</v>
      </c>
      <c r="AI145" s="227">
        <f t="shared" si="68"/>
        <v>3.3577205100636891</v>
      </c>
      <c r="AJ145" s="267" t="b">
        <f t="shared" si="69"/>
        <v>0</v>
      </c>
      <c r="AK145" s="267" t="b">
        <f t="shared" si="70"/>
        <v>0</v>
      </c>
      <c r="AL145" s="267"/>
      <c r="AM145" s="267"/>
      <c r="AN145" s="75"/>
    </row>
    <row r="146" spans="1:40" s="6" customFormat="1" ht="11.25" x14ac:dyDescent="0.2">
      <c r="A146" s="56">
        <f t="shared" si="71"/>
        <v>46519</v>
      </c>
      <c r="B146" s="413">
        <f>'2026'!Wh/'2026'!Env_an*'2027'!Env_an</f>
        <v>39.970500509031488</v>
      </c>
      <c r="C146" s="868"/>
      <c r="D146" s="395">
        <f t="shared" si="50"/>
        <v>43.066734017902043</v>
      </c>
      <c r="E146" s="387">
        <f t="shared" si="72"/>
        <v>47.392169861208004</v>
      </c>
      <c r="F146" s="387">
        <f t="shared" si="51"/>
        <v>47.404045997260511</v>
      </c>
      <c r="G146" s="110">
        <f t="shared" si="73"/>
        <v>0.75196550902108739</v>
      </c>
      <c r="H146" s="416" t="b">
        <f>Wh_hp&gt;='2026'!Maxi_hp</f>
        <v>0</v>
      </c>
      <c r="I146" s="392">
        <f>IF(H146,Wh_hp,'2026'!Maxi_hp)</f>
        <v>58.685038325386628</v>
      </c>
      <c r="J146" s="85">
        <f>IF(H146,An,'2026'!An_max)</f>
        <v>2019</v>
      </c>
      <c r="K146" s="199">
        <f t="shared" si="52"/>
        <v>46519</v>
      </c>
      <c r="L146" s="147">
        <f>IF(t&lt;Tvie,1-EXP((T0-t)*PertePVj)+'2026'!Pspv,1-EXP((T0-t)*PertePVj)+Pspv)</f>
        <v>7.1893854490649445E-2</v>
      </c>
      <c r="M146" s="872"/>
      <c r="N146" s="872"/>
      <c r="O146" s="48">
        <f>IF(t&lt;Tnet,'2026'!Resal+('2026'!Salim-'2026'!Resal)*(1-EXP(('2026'!Tnet-t)/('2026'!Tau_j))),Resal+(Salim-Resal)*(1-EXP((Tnet-t)/(Tau_j))))*Salcycl</f>
        <v>9.1268997726277709E-2</v>
      </c>
      <c r="P146" s="171">
        <f>(INDEX(Models!$BJ146:$BT146,,T146)*(1-R146)+INDEX(Models!$BJ146:$BT146,,T146+1)*R146-ERP_i)*Q146*Ramure*Pc/MaxiM</f>
        <v>3.8792984441382241E-4</v>
      </c>
      <c r="Q146" s="307">
        <f t="shared" si="53"/>
        <v>0.9</v>
      </c>
      <c r="R146" s="179">
        <f t="shared" si="54"/>
        <v>0.72715720046367061</v>
      </c>
      <c r="S146" s="839">
        <f t="shared" si="55"/>
        <v>-2</v>
      </c>
      <c r="T146" s="178">
        <f t="shared" si="56"/>
        <v>4</v>
      </c>
      <c r="U146" s="253">
        <f t="shared" si="57"/>
        <v>-1.2728427995363294</v>
      </c>
      <c r="V146" s="385">
        <f t="shared" si="58"/>
        <v>53.147394013604625</v>
      </c>
      <c r="W146" s="404">
        <f t="shared" si="59"/>
        <v>39.970500509031488</v>
      </c>
      <c r="X146" s="157">
        <f t="shared" si="60"/>
        <v>46519</v>
      </c>
      <c r="Y146" s="387">
        <f t="shared" si="61"/>
        <v>36.576279926342899</v>
      </c>
      <c r="Z146" s="387">
        <f t="shared" si="62"/>
        <v>39.409587042729477</v>
      </c>
      <c r="AA146" s="388">
        <f t="shared" si="63"/>
        <v>47.210182497013392</v>
      </c>
      <c r="AB146" s="199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0.16523120737305763</v>
      </c>
      <c r="AD146" s="233">
        <f>(INDEX(Models!$BJ146:$BT146,,AH146)*(1-AF146)+INDEX(Models!$BJ146:$BT146,,AH146+1)*AF146-ERP_i)*AE146*Ramure*Pc/MaxiM</f>
        <v>6.3324836593210629E-3</v>
      </c>
      <c r="AE146" s="307">
        <f t="shared" si="65"/>
        <v>0.9</v>
      </c>
      <c r="AF146" s="179">
        <f t="shared" si="66"/>
        <v>0.36281285277064956</v>
      </c>
      <c r="AG146" s="839">
        <f t="shared" si="74"/>
        <v>3</v>
      </c>
      <c r="AH146" s="178">
        <f t="shared" si="67"/>
        <v>9</v>
      </c>
      <c r="AI146" s="227">
        <f t="shared" si="68"/>
        <v>3.3628128527706496</v>
      </c>
      <c r="AJ146" s="267" t="b">
        <f t="shared" si="69"/>
        <v>0</v>
      </c>
      <c r="AK146" s="267" t="b">
        <f t="shared" si="70"/>
        <v>0</v>
      </c>
      <c r="AL146" s="267"/>
      <c r="AM146" s="267"/>
      <c r="AN146" s="75"/>
    </row>
    <row r="147" spans="1:40" s="6" customFormat="1" ht="11.25" x14ac:dyDescent="0.2">
      <c r="A147" s="56">
        <f t="shared" si="71"/>
        <v>46520</v>
      </c>
      <c r="B147" s="413">
        <f>'2026'!Wh/'2026'!Env_an*'2027'!Env_an</f>
        <v>42.650621348369647</v>
      </c>
      <c r="C147" s="868"/>
      <c r="D147" s="395">
        <f t="shared" si="50"/>
        <v>45.955534418240426</v>
      </c>
      <c r="E147" s="387">
        <f t="shared" si="72"/>
        <v>50.583882373631141</v>
      </c>
      <c r="F147" s="387">
        <f t="shared" si="51"/>
        <v>50.596967504343361</v>
      </c>
      <c r="G147" s="110">
        <f t="shared" si="73"/>
        <v>0.80104112942407046</v>
      </c>
      <c r="H147" s="416" t="b">
        <f>Wh_hp&gt;='2026'!Maxi_hp</f>
        <v>0</v>
      </c>
      <c r="I147" s="392">
        <f>IF(H147,Wh_hp,'2026'!Maxi_hp)</f>
        <v>65.198747930481261</v>
      </c>
      <c r="J147" s="85">
        <f>IF(H147,An,'2026'!An_max)</f>
        <v>2019</v>
      </c>
      <c r="K147" s="199">
        <f t="shared" si="52"/>
        <v>46520</v>
      </c>
      <c r="L147" s="147">
        <f>IF(t&lt;Tvie,1-EXP((T0-t)*PertePVj)+'2026'!Pspv,1-EXP((T0-t)*PertePVj)+Pspv)</f>
        <v>7.1915452876531227E-2</v>
      </c>
      <c r="M147" s="872"/>
      <c r="N147" s="872"/>
      <c r="O147" s="48">
        <f>IF(t&lt;Tnet,'2026'!Resal+('2026'!Salim-'2026'!Resal)*(1-EXP(('2026'!Tnet-t)/('2026'!Tau_j))),Resal+(Salim-Resal)*(1-EXP((Tnet-t)/(Tau_j))))*Salcycl</f>
        <v>9.1498472205119322E-2</v>
      </c>
      <c r="P147" s="171">
        <f>(INDEX(Models!$BJ147:$BT147,,T147)*(1-R147)+INDEX(Models!$BJ147:$BT147,,T147+1)*R147-ERP_i)*Q147*Ramure*Pc/MaxiM</f>
        <v>3.6124925260173267E-4</v>
      </c>
      <c r="Q147" s="307">
        <f t="shared" si="53"/>
        <v>0.9</v>
      </c>
      <c r="R147" s="179">
        <f t="shared" si="54"/>
        <v>0.73236254483930363</v>
      </c>
      <c r="S147" s="839">
        <f t="shared" si="55"/>
        <v>-2</v>
      </c>
      <c r="T147" s="178">
        <f t="shared" si="56"/>
        <v>4</v>
      </c>
      <c r="U147" s="253">
        <f t="shared" si="57"/>
        <v>-1.2676374551606964</v>
      </c>
      <c r="V147" s="385">
        <f t="shared" si="58"/>
        <v>53.23851826263045</v>
      </c>
      <c r="W147" s="404">
        <f t="shared" si="59"/>
        <v>42.650621348369647</v>
      </c>
      <c r="X147" s="157">
        <f t="shared" si="60"/>
        <v>46520</v>
      </c>
      <c r="Y147" s="387">
        <f t="shared" si="61"/>
        <v>39.022994698806571</v>
      </c>
      <c r="Z147" s="387">
        <f t="shared" si="62"/>
        <v>42.046810088321728</v>
      </c>
      <c r="AA147" s="388">
        <f t="shared" si="63"/>
        <v>50.38238627340624</v>
      </c>
      <c r="AB147" s="199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0.16544623630668229</v>
      </c>
      <c r="AD147" s="233">
        <f>(INDEX(Models!$BJ147:$BT147,,AH147)*(1-AF147)+INDEX(Models!$BJ147:$BT147,,AH147+1)*AF147-ERP_i)*AE147*Ramure*Pc/MaxiM</f>
        <v>5.9240760373912163E-3</v>
      </c>
      <c r="AE147" s="307">
        <f t="shared" si="65"/>
        <v>0.9</v>
      </c>
      <c r="AF147" s="179">
        <f t="shared" si="66"/>
        <v>0.36801819714628259</v>
      </c>
      <c r="AG147" s="839">
        <f t="shared" si="74"/>
        <v>3</v>
      </c>
      <c r="AH147" s="178">
        <f t="shared" si="67"/>
        <v>9</v>
      </c>
      <c r="AI147" s="227">
        <f t="shared" si="68"/>
        <v>3.3680181971462826</v>
      </c>
      <c r="AJ147" s="267" t="b">
        <f t="shared" si="69"/>
        <v>0</v>
      </c>
      <c r="AK147" s="267" t="b">
        <f t="shared" si="70"/>
        <v>0</v>
      </c>
      <c r="AL147" s="267"/>
      <c r="AM147" s="267"/>
      <c r="AN147" s="75"/>
    </row>
    <row r="148" spans="1:40" s="6" customFormat="1" ht="11.25" x14ac:dyDescent="0.2">
      <c r="A148" s="56">
        <f t="shared" si="71"/>
        <v>46521</v>
      </c>
      <c r="B148" s="413">
        <f>'2026'!Wh/'2026'!Env_an*'2027'!Env_an</f>
        <v>43.958679709502185</v>
      </c>
      <c r="C148" s="868"/>
      <c r="D148" s="395">
        <f t="shared" si="50"/>
        <v>47.366053935770523</v>
      </c>
      <c r="E148" s="387">
        <f t="shared" si="72"/>
        <v>52.149701436176258</v>
      </c>
      <c r="F148" s="387">
        <f t="shared" si="51"/>
        <v>52.162880519716026</v>
      </c>
      <c r="G148" s="110">
        <f t="shared" si="73"/>
        <v>0.82427690952350074</v>
      </c>
      <c r="H148" s="416" t="b">
        <f>Wh_hp&gt;='2026'!Maxi_hp</f>
        <v>0</v>
      </c>
      <c r="I148" s="392">
        <f>IF(H148,Wh_hp,'2026'!Maxi_hp)</f>
        <v>63.557422198043149</v>
      </c>
      <c r="J148" s="85">
        <f>IF(H148,An,'2026'!An_max)</f>
        <v>2019</v>
      </c>
      <c r="K148" s="199">
        <f t="shared" si="52"/>
        <v>46521</v>
      </c>
      <c r="L148" s="147">
        <f>IF(t&lt;Tvie,1-EXP((T0-t)*PertePVj)+'2026'!Pspv,1-EXP((T0-t)*PertePVj)+Pspv)</f>
        <v>7.1937050759787069E-2</v>
      </c>
      <c r="M148" s="872"/>
      <c r="N148" s="872"/>
      <c r="O148" s="48">
        <f>IF(t&lt;Tnet,'2026'!Resal+('2026'!Salim-'2026'!Resal)*(1-EXP(('2026'!Tnet-t)/('2026'!Tau_j))),Resal+(Salim-Resal)*(1-EXP((Tnet-t)/(Tau_j))))*Salcycl</f>
        <v>9.1729144533266999E-2</v>
      </c>
      <c r="P148" s="171">
        <f>(INDEX(Models!$BJ148:$BT148,,T148)*(1-R148)+INDEX(Models!$BJ148:$BT148,,T148+1)*R148-ERP_i)*Q148*Ramure*Pc/MaxiM</f>
        <v>3.3728975350261783E-4</v>
      </c>
      <c r="Q148" s="307">
        <f t="shared" si="53"/>
        <v>0.9</v>
      </c>
      <c r="R148" s="179">
        <f t="shared" si="54"/>
        <v>0.73768015303114676</v>
      </c>
      <c r="S148" s="839">
        <f t="shared" si="55"/>
        <v>-2</v>
      </c>
      <c r="T148" s="178">
        <f t="shared" si="56"/>
        <v>4</v>
      </c>
      <c r="U148" s="253">
        <f t="shared" si="57"/>
        <v>-1.2623198469688532</v>
      </c>
      <c r="V148" s="385">
        <f t="shared" si="58"/>
        <v>53.325475602496077</v>
      </c>
      <c r="W148" s="404">
        <f t="shared" si="59"/>
        <v>43.958679709502185</v>
      </c>
      <c r="X148" s="157">
        <f t="shared" si="60"/>
        <v>46521</v>
      </c>
      <c r="Y148" s="387">
        <f t="shared" si="61"/>
        <v>40.223322511915278</v>
      </c>
      <c r="Z148" s="387">
        <f t="shared" si="62"/>
        <v>43.341157563552478</v>
      </c>
      <c r="AA148" s="388">
        <f t="shared" si="63"/>
        <v>51.946842247426808</v>
      </c>
      <c r="AB148" s="199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0.1656632879220028</v>
      </c>
      <c r="AD148" s="233">
        <f>(INDEX(Models!$BJ148:$BT148,,AH148)*(1-AF148)+INDEX(Models!$BJ148:$BT148,,AH148+1)*AF148-ERP_i)*AE148*Ramure*Pc/MaxiM</f>
        <v>5.5290260045541065E-3</v>
      </c>
      <c r="AE148" s="307">
        <f t="shared" si="65"/>
        <v>0.9</v>
      </c>
      <c r="AF148" s="179">
        <f t="shared" si="66"/>
        <v>0.37333580533812594</v>
      </c>
      <c r="AG148" s="839">
        <f t="shared" si="74"/>
        <v>3</v>
      </c>
      <c r="AH148" s="178">
        <f t="shared" si="67"/>
        <v>9</v>
      </c>
      <c r="AI148" s="227">
        <f t="shared" si="68"/>
        <v>3.3733358053381259</v>
      </c>
      <c r="AJ148" s="267" t="b">
        <f t="shared" si="69"/>
        <v>0</v>
      </c>
      <c r="AK148" s="267" t="b">
        <f t="shared" si="70"/>
        <v>0</v>
      </c>
      <c r="AL148" s="267"/>
      <c r="AM148" s="267"/>
      <c r="AN148" s="75"/>
    </row>
    <row r="149" spans="1:40" s="6" customFormat="1" ht="11.25" x14ac:dyDescent="0.2">
      <c r="A149" s="56">
        <f t="shared" si="71"/>
        <v>46522</v>
      </c>
      <c r="B149" s="413">
        <f>'2026'!Wh/'2026'!Env_an*'2027'!Env_an</f>
        <v>47.553040407197308</v>
      </c>
      <c r="C149" s="868"/>
      <c r="D149" s="395">
        <f t="shared" si="50"/>
        <v>51.240217164798167</v>
      </c>
      <c r="E149" s="387">
        <f t="shared" si="72"/>
        <v>56.429529990279796</v>
      </c>
      <c r="F149" s="387">
        <f t="shared" si="51"/>
        <v>56.44457645223369</v>
      </c>
      <c r="G149" s="110">
        <f t="shared" si="73"/>
        <v>0.89034403472818646</v>
      </c>
      <c r="H149" s="416" t="b">
        <f>Wh_hp&gt;='2026'!Maxi_hp</f>
        <v>0</v>
      </c>
      <c r="I149" s="392">
        <f>IF(H149,Wh_hp,'2026'!Maxi_hp)</f>
        <v>64.50696341655771</v>
      </c>
      <c r="J149" s="85">
        <f>IF(H149,An,'2026'!An_max)</f>
        <v>2019</v>
      </c>
      <c r="K149" s="199">
        <f t="shared" si="52"/>
        <v>46522</v>
      </c>
      <c r="L149" s="147">
        <f>IF(t&lt;Tvie,1-EXP((T0-t)*PertePVj)+'2026'!Pspv,1-EXP((T0-t)*PertePVj)+Pspv)</f>
        <v>7.1958648140428627E-2</v>
      </c>
      <c r="M149" s="872"/>
      <c r="N149" s="872"/>
      <c r="O149" s="48">
        <f>IF(t&lt;Tnet,'2026'!Resal+('2026'!Salim-'2026'!Resal)*(1-EXP(('2026'!Tnet-t)/('2026'!Tau_j))),Resal+(Salim-Resal)*(1-EXP((Tnet-t)/(Tau_j))))*Salcycl</f>
        <v>9.1960943611890847E-2</v>
      </c>
      <c r="P149" s="171">
        <f>(INDEX(Models!$BJ149:$BT149,,T149)*(1-R149)+INDEX(Models!$BJ149:$BT149,,T149+1)*R149-ERP_i)*Q149*Ramure*Pc/MaxiM</f>
        <v>3.1606223574189935E-4</v>
      </c>
      <c r="Q149" s="307">
        <f t="shared" si="53"/>
        <v>0.9</v>
      </c>
      <c r="R149" s="179">
        <f t="shared" si="54"/>
        <v>0.74310906143220223</v>
      </c>
      <c r="S149" s="839">
        <f t="shared" si="55"/>
        <v>-2</v>
      </c>
      <c r="T149" s="178">
        <f t="shared" si="56"/>
        <v>4</v>
      </c>
      <c r="U149" s="253">
        <f t="shared" si="57"/>
        <v>-1.2568909385677978</v>
      </c>
      <c r="V149" s="385">
        <f t="shared" si="58"/>
        <v>53.407092589984067</v>
      </c>
      <c r="W149" s="404">
        <f t="shared" si="59"/>
        <v>47.553040407197308</v>
      </c>
      <c r="X149" s="157">
        <f t="shared" si="60"/>
        <v>46522</v>
      </c>
      <c r="Y149" s="387">
        <f t="shared" si="61"/>
        <v>43.503824998148914</v>
      </c>
      <c r="Z149" s="387">
        <f t="shared" si="62"/>
        <v>46.877032915589076</v>
      </c>
      <c r="AA149" s="388">
        <f t="shared" si="63"/>
        <v>56.199537335972934</v>
      </c>
      <c r="AB149" s="199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0.1658822271908027</v>
      </c>
      <c r="AD149" s="233">
        <f>(INDEX(Models!$BJ149:$BT149,,AH149)*(1-AF149)+INDEX(Models!$BJ149:$BT149,,AH149+1)*AF149-ERP_i)*AE149*Ramure*Pc/MaxiM</f>
        <v>5.1472307022690225E-3</v>
      </c>
      <c r="AE149" s="307">
        <f t="shared" si="65"/>
        <v>0.9</v>
      </c>
      <c r="AF149" s="179">
        <f t="shared" si="66"/>
        <v>0.37876471373918141</v>
      </c>
      <c r="AG149" s="839">
        <f t="shared" si="74"/>
        <v>3</v>
      </c>
      <c r="AH149" s="178">
        <f t="shared" si="67"/>
        <v>9</v>
      </c>
      <c r="AI149" s="227">
        <f t="shared" si="68"/>
        <v>3.3787647137391814</v>
      </c>
      <c r="AJ149" s="267" t="b">
        <f t="shared" si="69"/>
        <v>0</v>
      </c>
      <c r="AK149" s="267" t="b">
        <f t="shared" si="70"/>
        <v>0</v>
      </c>
      <c r="AL149" s="267"/>
      <c r="AM149" s="267"/>
      <c r="AN149" s="75"/>
    </row>
    <row r="150" spans="1:40" s="6" customFormat="1" ht="11.25" x14ac:dyDescent="0.2">
      <c r="A150" s="56">
        <f t="shared" si="71"/>
        <v>46523</v>
      </c>
      <c r="B150" s="413">
        <f>'2026'!Wh/'2026'!Env_an*'2027'!Env_an</f>
        <v>46.351610817439969</v>
      </c>
      <c r="C150" s="868"/>
      <c r="D150" s="395">
        <f t="shared" si="50"/>
        <v>49.946793232178948</v>
      </c>
      <c r="E150" s="387">
        <f t="shared" si="72"/>
        <v>55.019224257490421</v>
      </c>
      <c r="F150" s="387">
        <f t="shared" si="51"/>
        <v>55.03248627815946</v>
      </c>
      <c r="G150" s="110">
        <f t="shared" si="73"/>
        <v>0.86662560219399143</v>
      </c>
      <c r="H150" s="416" t="b">
        <f>Wh_hp&gt;='2026'!Maxi_hp</f>
        <v>0</v>
      </c>
      <c r="I150" s="392">
        <f>IF(H150,Wh_hp,'2026'!Maxi_hp)</f>
        <v>55.035409595342863</v>
      </c>
      <c r="J150" s="85">
        <f>IF(H150,An,'2026'!An_max)</f>
        <v>2025</v>
      </c>
      <c r="K150" s="199">
        <f t="shared" si="52"/>
        <v>46523</v>
      </c>
      <c r="L150" s="147">
        <f>IF(t&lt;Tvie,1-EXP((T0-t)*PertePVj)+'2026'!Pspv,1-EXP((T0-t)*PertePVj)+Pspv)</f>
        <v>7.1980245018467559E-2</v>
      </c>
      <c r="M150" s="872"/>
      <c r="N150" s="872"/>
      <c r="O150" s="48">
        <f>IF(t&lt;Tnet,'2026'!Resal+('2026'!Salim-'2026'!Resal)*(1-EXP(('2026'!Tnet-t)/('2026'!Tau_j))),Resal+(Salim-Resal)*(1-EXP((Tnet-t)/(Tau_j))))*Salcycl</f>
        <v>9.2193793965041265E-2</v>
      </c>
      <c r="P150" s="171">
        <f>(INDEX(Models!$BJ150:$BT150,,T150)*(1-R150)+INDEX(Models!$BJ150:$BT150,,T150+1)*R150-ERP_i)*Q150*Ramure*Pc/MaxiM</f>
        <v>2.9768348580992145E-4</v>
      </c>
      <c r="Q150" s="307">
        <f t="shared" si="53"/>
        <v>0.9</v>
      </c>
      <c r="R150" s="179">
        <f t="shared" si="54"/>
        <v>0.74864807387777899</v>
      </c>
      <c r="S150" s="839">
        <f t="shared" si="55"/>
        <v>-2</v>
      </c>
      <c r="T150" s="178">
        <f t="shared" si="56"/>
        <v>4</v>
      </c>
      <c r="U150" s="253">
        <f t="shared" si="57"/>
        <v>-1.251351926122221</v>
      </c>
      <c r="V150" s="385">
        <f t="shared" si="58"/>
        <v>53.482128862527702</v>
      </c>
      <c r="W150" s="404">
        <f t="shared" si="59"/>
        <v>46.351610817439969</v>
      </c>
      <c r="X150" s="157">
        <f t="shared" si="60"/>
        <v>46523</v>
      </c>
      <c r="Y150" s="387">
        <f t="shared" si="61"/>
        <v>42.42297596456666</v>
      </c>
      <c r="Z150" s="387">
        <f t="shared" si="62"/>
        <v>45.713440621111431</v>
      </c>
      <c r="AA150" s="388">
        <f t="shared" si="63"/>
        <v>54.819043347096915</v>
      </c>
      <c r="AB150" s="199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0.16610291187191431</v>
      </c>
      <c r="AD150" s="233">
        <f>(INDEX(Models!$BJ150:$BT150,,AH150)*(1-AF150)+INDEX(Models!$BJ150:$BT150,,AH150+1)*AF150-ERP_i)*AE150*Ramure*Pc/MaxiM</f>
        <v>4.7910071418108841E-3</v>
      </c>
      <c r="AE150" s="307">
        <f t="shared" si="65"/>
        <v>0.9</v>
      </c>
      <c r="AF150" s="179">
        <f t="shared" si="66"/>
        <v>0.38430372618475772</v>
      </c>
      <c r="AG150" s="839">
        <f t="shared" si="74"/>
        <v>3</v>
      </c>
      <c r="AH150" s="178">
        <f t="shared" si="67"/>
        <v>9</v>
      </c>
      <c r="AI150" s="227">
        <f t="shared" si="68"/>
        <v>3.3843037261847577</v>
      </c>
      <c r="AJ150" s="267" t="b">
        <f t="shared" si="69"/>
        <v>0</v>
      </c>
      <c r="AK150" s="267" t="b">
        <f t="shared" si="70"/>
        <v>0</v>
      </c>
      <c r="AL150" s="267"/>
      <c r="AM150" s="267"/>
      <c r="AN150" s="75"/>
    </row>
    <row r="151" spans="1:40" s="6" customFormat="1" ht="11.25" x14ac:dyDescent="0.2">
      <c r="A151" s="56">
        <f t="shared" si="71"/>
        <v>46524</v>
      </c>
      <c r="B151" s="413">
        <f>'2026'!Wh/'2026'!Env_an*'2027'!Env_an</f>
        <v>49.974027066723515</v>
      </c>
      <c r="C151" s="868"/>
      <c r="D151" s="395">
        <f t="shared" si="50"/>
        <v>53.85142912544984</v>
      </c>
      <c r="E151" s="387">
        <f t="shared" si="72"/>
        <v>59.335685026660357</v>
      </c>
      <c r="F151" s="387">
        <f t="shared" si="51"/>
        <v>59.350726142573869</v>
      </c>
      <c r="G151" s="110">
        <f t="shared" si="73"/>
        <v>0.93317971537153022</v>
      </c>
      <c r="H151" s="416" t="b">
        <f>Wh_hp&gt;='2026'!Maxi_hp</f>
        <v>0</v>
      </c>
      <c r="I151" s="392">
        <f>IF(H151,Wh_hp,'2026'!Maxi_hp)</f>
        <v>59.352210201116705</v>
      </c>
      <c r="J151" s="85">
        <f>IF(H151,An,'2026'!An_max)</f>
        <v>2025</v>
      </c>
      <c r="K151" s="199">
        <f t="shared" si="52"/>
        <v>46524</v>
      </c>
      <c r="L151" s="147">
        <f>IF(t&lt;Tvie,1-EXP((T0-t)*PertePVj)+'2026'!Pspv,1-EXP((T0-t)*PertePVj)+Pspv)</f>
        <v>7.2001841393915522E-2</v>
      </c>
      <c r="M151" s="872"/>
      <c r="N151" s="872"/>
      <c r="O151" s="48">
        <f>IF(t&lt;Tnet,'2026'!Resal+('2026'!Salim-'2026'!Resal)*(1-EXP(('2026'!Tnet-t)/('2026'!Tau_j))),Resal+(Salim-Resal)*(1-EXP((Tnet-t)/(Tau_j))))*Salcycl</f>
        <v>9.242761583937828E-2</v>
      </c>
      <c r="P151" s="171">
        <f>(INDEX(Models!$BJ151:$BT151,,T151)*(1-R151)+INDEX(Models!$BJ151:$BT151,,T151+1)*R151-ERP_i)*Q151*Ramure*Pc/MaxiM</f>
        <v>2.8016117646496906E-4</v>
      </c>
      <c r="Q151" s="307">
        <f t="shared" si="53"/>
        <v>0.9</v>
      </c>
      <c r="R151" s="179">
        <f t="shared" si="54"/>
        <v>0.75429575558174222</v>
      </c>
      <c r="S151" s="839">
        <f t="shared" si="55"/>
        <v>-2</v>
      </c>
      <c r="T151" s="178">
        <f t="shared" si="56"/>
        <v>4</v>
      </c>
      <c r="U151" s="253">
        <f t="shared" si="57"/>
        <v>-1.2457042444182578</v>
      </c>
      <c r="V151" s="385">
        <f t="shared" si="58"/>
        <v>53.550982649593323</v>
      </c>
      <c r="W151" s="404">
        <f t="shared" si="59"/>
        <v>49.974027066723515</v>
      </c>
      <c r="X151" s="157">
        <f t="shared" si="60"/>
        <v>46524</v>
      </c>
      <c r="Y151" s="387">
        <f t="shared" si="61"/>
        <v>45.731336175516205</v>
      </c>
      <c r="Z151" s="387">
        <f t="shared" si="62"/>
        <v>49.279554869168855</v>
      </c>
      <c r="AA151" s="388">
        <f t="shared" si="63"/>
        <v>59.111243904057666</v>
      </c>
      <c r="AB151" s="199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0.16632519273061547</v>
      </c>
      <c r="AD151" s="233">
        <f>(INDEX(Models!$BJ151:$BT151,,AH151)*(1-AF151)+INDEX(Models!$BJ151:$BT151,,AH151+1)*AF151-ERP_i)*AE151*Ramure*Pc/MaxiM</f>
        <v>4.4606813796895942E-3</v>
      </c>
      <c r="AE151" s="307">
        <f t="shared" si="65"/>
        <v>0.9</v>
      </c>
      <c r="AF151" s="179">
        <f t="shared" si="66"/>
        <v>0.38995140788872096</v>
      </c>
      <c r="AG151" s="839">
        <f t="shared" si="74"/>
        <v>3</v>
      </c>
      <c r="AH151" s="178">
        <f t="shared" si="67"/>
        <v>9</v>
      </c>
      <c r="AI151" s="227">
        <f t="shared" si="68"/>
        <v>3.389951407888721</v>
      </c>
      <c r="AJ151" s="267" t="b">
        <f t="shared" si="69"/>
        <v>0</v>
      </c>
      <c r="AK151" s="267" t="b">
        <f t="shared" si="70"/>
        <v>0</v>
      </c>
      <c r="AL151" s="267"/>
      <c r="AM151" s="267"/>
      <c r="AN151" s="75"/>
    </row>
    <row r="152" spans="1:40" s="6" customFormat="1" ht="11.25" x14ac:dyDescent="0.2">
      <c r="A152" s="56">
        <f t="shared" si="71"/>
        <v>46525</v>
      </c>
      <c r="B152" s="413">
        <f>'2026'!Wh/'2026'!Env_an*'2027'!Env_an</f>
        <v>48.628756773514169</v>
      </c>
      <c r="C152" s="868"/>
      <c r="D152" s="395">
        <f t="shared" si="50"/>
        <v>52.403001030850895</v>
      </c>
      <c r="E152" s="387">
        <f t="shared" si="72"/>
        <v>57.754684384536759</v>
      </c>
      <c r="F152" s="387">
        <f t="shared" si="51"/>
        <v>57.767883697462146</v>
      </c>
      <c r="G152" s="110">
        <f t="shared" si="73"/>
        <v>0.9069851732766725</v>
      </c>
      <c r="H152" s="416" t="b">
        <f>Wh_hp&gt;='2026'!Maxi_hp</f>
        <v>0</v>
      </c>
      <c r="I152" s="392">
        <f>IF(H152,Wh_hp,'2026'!Maxi_hp)</f>
        <v>64.728321842872035</v>
      </c>
      <c r="J152" s="85">
        <f>IF(H152,An,'2026'!An_max)</f>
        <v>2020</v>
      </c>
      <c r="K152" s="199">
        <f t="shared" si="52"/>
        <v>46525</v>
      </c>
      <c r="L152" s="147">
        <f>IF(t&lt;Tvie,1-EXP((T0-t)*PertePVj)+'2026'!Pspv,1-EXP((T0-t)*PertePVj)+Pspv)</f>
        <v>7.2023437266784396E-2</v>
      </c>
      <c r="M152" s="872"/>
      <c r="N152" s="872"/>
      <c r="O152" s="48">
        <f>IF(t&lt;Tnet,'2026'!Resal+('2026'!Salim-'2026'!Resal)*(1-EXP(('2026'!Tnet-t)/('2026'!Tau_j))),Resal+(Salim-Resal)*(1-EXP((Tnet-t)/(Tau_j))))*Salcycl</f>
        <v>9.2662325328518702E-2</v>
      </c>
      <c r="P152" s="171">
        <f>(INDEX(Models!$BJ152:$BT152,,T152)*(1-R152)+INDEX(Models!$BJ152:$BT152,,T152+1)*R152-ERP_i)*Q152*Ramure*Pc/MaxiM</f>
        <v>2.6348876769623068E-4</v>
      </c>
      <c r="Q152" s="307">
        <f t="shared" si="53"/>
        <v>0.9</v>
      </c>
      <c r="R152" s="179">
        <f t="shared" si="54"/>
        <v>0.76005042789528221</v>
      </c>
      <c r="S152" s="839">
        <f t="shared" si="55"/>
        <v>-2</v>
      </c>
      <c r="T152" s="178">
        <f t="shared" si="56"/>
        <v>4</v>
      </c>
      <c r="U152" s="253">
        <f t="shared" si="57"/>
        <v>-1.2399495721047178</v>
      </c>
      <c r="V152" s="385">
        <f t="shared" si="58"/>
        <v>53.613946303755391</v>
      </c>
      <c r="W152" s="404">
        <f t="shared" si="59"/>
        <v>48.628756773514169</v>
      </c>
      <c r="X152" s="157">
        <f t="shared" si="60"/>
        <v>46525</v>
      </c>
      <c r="Y152" s="387">
        <f t="shared" si="61"/>
        <v>44.517988927094663</v>
      </c>
      <c r="Z152" s="387">
        <f t="shared" si="62"/>
        <v>47.973182421734457</v>
      </c>
      <c r="AA152" s="388">
        <f t="shared" si="63"/>
        <v>57.559685524544463</v>
      </c>
      <c r="AB152" s="199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0.16654891380047851</v>
      </c>
      <c r="AD152" s="233">
        <f>(INDEX(Models!$BJ152:$BT152,,AH152)*(1-AF152)+INDEX(Models!$BJ152:$BT152,,AH152+1)*AF152-ERP_i)*AE152*Ramure*Pc/MaxiM</f>
        <v>4.1561163318707475E-3</v>
      </c>
      <c r="AE152" s="307">
        <f t="shared" si="65"/>
        <v>0.9</v>
      </c>
      <c r="AF152" s="179">
        <f t="shared" si="66"/>
        <v>0.39570608020226095</v>
      </c>
      <c r="AG152" s="839">
        <f t="shared" si="74"/>
        <v>3</v>
      </c>
      <c r="AH152" s="178">
        <f t="shared" si="67"/>
        <v>9</v>
      </c>
      <c r="AI152" s="227">
        <f t="shared" si="68"/>
        <v>3.3957060802022609</v>
      </c>
      <c r="AJ152" s="267" t="b">
        <f t="shared" si="69"/>
        <v>0</v>
      </c>
      <c r="AK152" s="267" t="b">
        <f t="shared" si="70"/>
        <v>0</v>
      </c>
      <c r="AL152" s="267"/>
      <c r="AM152" s="267"/>
      <c r="AN152" s="75"/>
    </row>
    <row r="153" spans="1:40" s="6" customFormat="1" ht="11.25" x14ac:dyDescent="0.2">
      <c r="A153" s="56">
        <f t="shared" si="71"/>
        <v>46526</v>
      </c>
      <c r="B153" s="413">
        <f>'2026'!Wh/'2026'!Env_an*'2027'!Env_an</f>
        <v>50.399403465213517</v>
      </c>
      <c r="C153" s="868"/>
      <c r="D153" s="395">
        <f t="shared" si="50"/>
        <v>54.31233760021761</v>
      </c>
      <c r="E153" s="387">
        <f t="shared" si="72"/>
        <v>59.874554010819409</v>
      </c>
      <c r="F153" s="387">
        <f t="shared" si="51"/>
        <v>59.888094267565187</v>
      </c>
      <c r="G153" s="110">
        <f t="shared" si="73"/>
        <v>0.93901777646317885</v>
      </c>
      <c r="H153" s="416" t="b">
        <f>Wh_hp&gt;='2026'!Maxi_hp</f>
        <v>0</v>
      </c>
      <c r="I153" s="392">
        <f>IF(H153,Wh_hp,'2026'!Maxi_hp)</f>
        <v>63.647951946144374</v>
      </c>
      <c r="J153" s="85">
        <f>IF(H153,An,'2026'!An_max)</f>
        <v>2020</v>
      </c>
      <c r="K153" s="199">
        <f t="shared" si="52"/>
        <v>46526</v>
      </c>
      <c r="L153" s="147">
        <f>IF(t&lt;Tvie,1-EXP((T0-t)*PertePVj)+'2026'!Pspv,1-EXP((T0-t)*PertePVj)+Pspv)</f>
        <v>7.2045032637085726E-2</v>
      </c>
      <c r="M153" s="872"/>
      <c r="N153" s="872"/>
      <c r="O153" s="48">
        <f>IF(t&lt;Tnet,'2026'!Resal+('2026'!Salim-'2026'!Resal)*(1-EXP(('2026'!Tnet-t)/('2026'!Tau_j))),Resal+(Salim-Resal)*(1-EXP((Tnet-t)/(Tau_j))))*Salcycl</f>
        <v>9.289783452243669E-2</v>
      </c>
      <c r="P153" s="171">
        <f>(INDEX(Models!$BJ153:$BT153,,T153)*(1-R153)+INDEX(Models!$BJ153:$BT153,,T153+1)*R153-ERP_i)*Q153*Ramure*Pc/MaxiM</f>
        <v>2.4766106633424396E-4</v>
      </c>
      <c r="Q153" s="307">
        <f t="shared" si="53"/>
        <v>0.9</v>
      </c>
      <c r="R153" s="179">
        <f t="shared" si="54"/>
        <v>0.76591016396949718</v>
      </c>
      <c r="S153" s="839">
        <f t="shared" si="55"/>
        <v>-2</v>
      </c>
      <c r="T153" s="178">
        <f t="shared" si="56"/>
        <v>4</v>
      </c>
      <c r="U153" s="253">
        <f t="shared" si="57"/>
        <v>-1.2340898360305028</v>
      </c>
      <c r="V153" s="385">
        <f t="shared" si="58"/>
        <v>53.671312137342007</v>
      </c>
      <c r="W153" s="404">
        <f t="shared" si="59"/>
        <v>50.399403465213517</v>
      </c>
      <c r="X153" s="157">
        <f t="shared" si="60"/>
        <v>46526</v>
      </c>
      <c r="Y153" s="387">
        <f t="shared" si="61"/>
        <v>46.141352586300229</v>
      </c>
      <c r="Z153" s="387">
        <f t="shared" si="62"/>
        <v>49.723698033996072</v>
      </c>
      <c r="AA153" s="388">
        <f t="shared" si="63"/>
        <v>59.676117672229978</v>
      </c>
      <c r="AB153" s="199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0.16677391268811068</v>
      </c>
      <c r="AD153" s="233">
        <f>(INDEX(Models!$BJ153:$BT153,,AH153)*(1-AF153)+INDEX(Models!$BJ153:$BT153,,AH153+1)*AF153-ERP_i)*AE153*Ramure*Pc/MaxiM</f>
        <v>3.8772048879336558E-3</v>
      </c>
      <c r="AE153" s="307">
        <f t="shared" si="65"/>
        <v>0.9</v>
      </c>
      <c r="AF153" s="179">
        <f t="shared" si="66"/>
        <v>0.40156581627647636</v>
      </c>
      <c r="AG153" s="839">
        <f t="shared" si="74"/>
        <v>3</v>
      </c>
      <c r="AH153" s="178">
        <f t="shared" si="67"/>
        <v>9</v>
      </c>
      <c r="AI153" s="227">
        <f t="shared" si="68"/>
        <v>3.4015658162764764</v>
      </c>
      <c r="AJ153" s="267" t="b">
        <f t="shared" si="69"/>
        <v>0</v>
      </c>
      <c r="AK153" s="267" t="b">
        <f t="shared" si="70"/>
        <v>0</v>
      </c>
      <c r="AL153" s="267"/>
      <c r="AM153" s="267"/>
      <c r="AN153" s="75"/>
    </row>
    <row r="154" spans="1:40" s="6" customFormat="1" ht="11.25" x14ac:dyDescent="0.2">
      <c r="A154" s="56">
        <f t="shared" si="71"/>
        <v>46527</v>
      </c>
      <c r="B154" s="413">
        <f>'2026'!Wh/'2026'!Env_an*'2027'!Env_an</f>
        <v>43.89377009466336</v>
      </c>
      <c r="C154" s="868"/>
      <c r="D154" s="395">
        <f t="shared" si="50"/>
        <v>47.302717410232908</v>
      </c>
      <c r="E154" s="387">
        <f t="shared" si="72"/>
        <v>52.160650091642722</v>
      </c>
      <c r="F154" s="387">
        <f t="shared" si="51"/>
        <v>52.169615830048947</v>
      </c>
      <c r="G154" s="110">
        <f t="shared" si="73"/>
        <v>0.81698333881841434</v>
      </c>
      <c r="H154" s="416" t="b">
        <f>Wh_hp&gt;='2026'!Maxi_hp</f>
        <v>0</v>
      </c>
      <c r="I154" s="392">
        <f>IF(H154,Wh_hp,'2026'!Maxi_hp)</f>
        <v>63.420462429144116</v>
      </c>
      <c r="J154" s="85">
        <f>IF(H154,An,'2026'!An_max)</f>
        <v>2021</v>
      </c>
      <c r="K154" s="199">
        <f t="shared" si="52"/>
        <v>46527</v>
      </c>
      <c r="L154" s="147">
        <f>IF(t&lt;Tvie,1-EXP((T0-t)*PertePVj)+'2026'!Pspv,1-EXP((T0-t)*PertePVj)+Pspv)</f>
        <v>7.2066627504831171E-2</v>
      </c>
      <c r="M154" s="872"/>
      <c r="N154" s="872"/>
      <c r="O154" s="48">
        <f>IF(t&lt;Tnet,'2026'!Resal+('2026'!Salim-'2026'!Resal)*(1-EXP(('2026'!Tnet-t)/('2026'!Tau_j))),Resal+(Salim-Resal)*(1-EXP((Tnet-t)/(Tau_j))))*Salcycl</f>
        <v>9.3134051682154162E-2</v>
      </c>
      <c r="P154" s="171">
        <f>(INDEX(Models!$BJ154:$BT154,,T154)*(1-R154)+INDEX(Models!$BJ154:$BT154,,T154+1)*R154-ERP_i)*Q154*Ramure*Pc/MaxiM</f>
        <v>2.3267416860841674E-4</v>
      </c>
      <c r="Q154" s="307">
        <f t="shared" si="53"/>
        <v>0.9</v>
      </c>
      <c r="R154" s="179">
        <f t="shared" si="54"/>
        <v>0.77187278540022208</v>
      </c>
      <c r="S154" s="839">
        <f t="shared" si="55"/>
        <v>-2</v>
      </c>
      <c r="T154" s="178">
        <f t="shared" si="56"/>
        <v>4</v>
      </c>
      <c r="U154" s="253">
        <f t="shared" si="57"/>
        <v>-1.2281272145997779</v>
      </c>
      <c r="V154" s="385">
        <f t="shared" si="58"/>
        <v>53.723372407192137</v>
      </c>
      <c r="W154" s="404">
        <f t="shared" si="59"/>
        <v>43.89377009466336</v>
      </c>
      <c r="X154" s="157">
        <f t="shared" si="60"/>
        <v>46527</v>
      </c>
      <c r="Y154" s="387">
        <f t="shared" si="61"/>
        <v>40.217531217664671</v>
      </c>
      <c r="Z154" s="387">
        <f t="shared" si="62"/>
        <v>43.340968661921963</v>
      </c>
      <c r="AA154" s="388">
        <f t="shared" si="63"/>
        <v>52.029975690797436</v>
      </c>
      <c r="AB154" s="199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0.16700002092086888</v>
      </c>
      <c r="AD154" s="233">
        <f>(INDEX(Models!$BJ154:$BT154,,AH154)*(1-AF154)+INDEX(Models!$BJ154:$BT154,,AH154+1)*AF154-ERP_i)*AE154*Ramure*Pc/MaxiM</f>
        <v>3.6238680890076889E-3</v>
      </c>
      <c r="AE154" s="307">
        <f t="shared" si="65"/>
        <v>0.9</v>
      </c>
      <c r="AF154" s="179">
        <f t="shared" si="66"/>
        <v>0.40752843770720126</v>
      </c>
      <c r="AG154" s="839">
        <f t="shared" si="74"/>
        <v>3</v>
      </c>
      <c r="AH154" s="178">
        <f t="shared" si="67"/>
        <v>9</v>
      </c>
      <c r="AI154" s="227">
        <f t="shared" si="68"/>
        <v>3.4075284377072013</v>
      </c>
      <c r="AJ154" s="267" t="b">
        <f t="shared" si="69"/>
        <v>0</v>
      </c>
      <c r="AK154" s="267" t="b">
        <f t="shared" si="70"/>
        <v>0</v>
      </c>
      <c r="AL154" s="267"/>
      <c r="AM154" s="267"/>
      <c r="AN154" s="75"/>
    </row>
    <row r="155" spans="1:40" s="6" customFormat="1" ht="11.25" x14ac:dyDescent="0.2">
      <c r="A155" s="56">
        <f t="shared" si="71"/>
        <v>46528</v>
      </c>
      <c r="B155" s="413">
        <f>'2026'!Wh/'2026'!Env_an*'2027'!Env_an</f>
        <v>44.531949976095312</v>
      </c>
      <c r="C155" s="868"/>
      <c r="D155" s="395">
        <f t="shared" si="50"/>
        <v>47.991577459918794</v>
      </c>
      <c r="E155" s="387">
        <f t="shared" si="72"/>
        <v>52.934079082007372</v>
      </c>
      <c r="F155" s="387">
        <f t="shared" si="51"/>
        <v>52.94280876332207</v>
      </c>
      <c r="G155" s="110">
        <f t="shared" si="73"/>
        <v>0.82814234349982108</v>
      </c>
      <c r="H155" s="416" t="b">
        <f>Wh_hp&gt;='2026'!Maxi_hp</f>
        <v>0</v>
      </c>
      <c r="I155" s="392">
        <f>IF(H155,Wh_hp,'2026'!Maxi_hp)</f>
        <v>62.068839464913452</v>
      </c>
      <c r="J155" s="85">
        <f>IF(H155,An,'2026'!An_max)</f>
        <v>2020</v>
      </c>
      <c r="K155" s="199">
        <f t="shared" si="52"/>
        <v>46528</v>
      </c>
      <c r="L155" s="147">
        <f>IF(t&lt;Tvie,1-EXP((T0-t)*PertePVj)+'2026'!Pspv,1-EXP((T0-t)*PertePVj)+Pspv)</f>
        <v>7.2088221870032609E-2</v>
      </c>
      <c r="M155" s="872"/>
      <c r="N155" s="872"/>
      <c r="O155" s="48">
        <f>IF(t&lt;Tnet,'2026'!Resal+('2026'!Salim-'2026'!Resal)*(1-EXP(('2026'!Tnet-t)/('2026'!Tau_j))),Resal+(Salim-Resal)*(1-EXP((Tnet-t)/(Tau_j))))*Salcycl</f>
        <v>9.3370881439752251E-2</v>
      </c>
      <c r="P155" s="171">
        <f>(INDEX(Models!$BJ155:$BT155,,T155)*(1-R155)+INDEX(Models!$BJ155:$BT155,,T155+1)*R155-ERP_i)*Q155*Ramure*Pc/MaxiM</f>
        <v>2.1852540369858984E-4</v>
      </c>
      <c r="Q155" s="307">
        <f t="shared" si="53"/>
        <v>0.9</v>
      </c>
      <c r="R155" s="179">
        <f t="shared" si="54"/>
        <v>0.77793585992954206</v>
      </c>
      <c r="S155" s="839">
        <f t="shared" si="55"/>
        <v>-2</v>
      </c>
      <c r="T155" s="178">
        <f t="shared" si="56"/>
        <v>4</v>
      </c>
      <c r="U155" s="253">
        <f t="shared" si="57"/>
        <v>-1.2220641400704579</v>
      </c>
      <c r="V155" s="385">
        <f t="shared" si="58"/>
        <v>53.770419292587668</v>
      </c>
      <c r="W155" s="404">
        <f t="shared" si="59"/>
        <v>44.531949976095312</v>
      </c>
      <c r="X155" s="157">
        <f t="shared" si="60"/>
        <v>46528</v>
      </c>
      <c r="Y155" s="387">
        <f t="shared" si="61"/>
        <v>40.806181770891939</v>
      </c>
      <c r="Z155" s="387">
        <f t="shared" si="62"/>
        <v>43.976359318478707</v>
      </c>
      <c r="AA155" s="388">
        <f t="shared" si="63"/>
        <v>52.807142781941579</v>
      </c>
      <c r="AB155" s="199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0.16722706433726472</v>
      </c>
      <c r="AD155" s="233">
        <f>(INDEX(Models!$BJ155:$BT155,,AH155)*(1-AF155)+INDEX(Models!$BJ155:$BT155,,AH155+1)*AF155-ERP_i)*AE155*Ramure*Pc/MaxiM</f>
        <v>3.396053335807777E-3</v>
      </c>
      <c r="AE155" s="307">
        <f t="shared" si="65"/>
        <v>0.9</v>
      </c>
      <c r="AF155" s="179">
        <f t="shared" si="66"/>
        <v>0.41359151223652102</v>
      </c>
      <c r="AG155" s="839">
        <f t="shared" si="74"/>
        <v>3</v>
      </c>
      <c r="AH155" s="178">
        <f t="shared" si="67"/>
        <v>9</v>
      </c>
      <c r="AI155" s="227">
        <f t="shared" si="68"/>
        <v>3.413591512236521</v>
      </c>
      <c r="AJ155" s="267" t="b">
        <f t="shared" si="69"/>
        <v>0</v>
      </c>
      <c r="AK155" s="267" t="b">
        <f t="shared" si="70"/>
        <v>0</v>
      </c>
      <c r="AL155" s="267"/>
      <c r="AM155" s="267"/>
      <c r="AN155" s="75"/>
    </row>
    <row r="156" spans="1:40" s="18" customFormat="1" ht="11.25" x14ac:dyDescent="0.2">
      <c r="A156" s="56">
        <f t="shared" si="71"/>
        <v>46529</v>
      </c>
      <c r="B156" s="413">
        <f>'2026'!Wh/'2026'!Env_an*'2027'!Env_an</f>
        <v>31.643622724497739</v>
      </c>
      <c r="C156" s="868"/>
      <c r="D156" s="395">
        <f t="shared" si="50"/>
        <v>34.102766966421662</v>
      </c>
      <c r="E156" s="387">
        <f t="shared" si="72"/>
        <v>37.624753343890973</v>
      </c>
      <c r="F156" s="387">
        <f t="shared" si="51"/>
        <v>37.627937689216687</v>
      </c>
      <c r="G156" s="110">
        <f t="shared" si="73"/>
        <v>0.58796121047941108</v>
      </c>
      <c r="H156" s="416" t="b">
        <f>Wh_hp&gt;='2026'!Maxi_hp</f>
        <v>0</v>
      </c>
      <c r="I156" s="392">
        <f>IF(H156,Wh_hp,'2026'!Maxi_hp)</f>
        <v>63.02960296513583</v>
      </c>
      <c r="J156" s="85">
        <f>IF(H156,An,'2026'!An_max)</f>
        <v>2019</v>
      </c>
      <c r="K156" s="199">
        <f t="shared" si="52"/>
        <v>46529</v>
      </c>
      <c r="L156" s="147">
        <f>IF(t&lt;Tvie,1-EXP((T0-t)*PertePVj)+'2026'!Pspv,1-EXP((T0-t)*PertePVj)+Pspv)</f>
        <v>7.2109815732701477E-2</v>
      </c>
      <c r="M156" s="872"/>
      <c r="N156" s="872"/>
      <c r="O156" s="48">
        <f>IF(t&lt;Tnet,'2026'!Resal+('2026'!Salim-'2026'!Resal)*(1-EXP(('2026'!Tnet-t)/('2026'!Tau_j))),Resal+(Salim-Resal)*(1-EXP((Tnet-t)/(Tau_j))))*Salcycl</f>
        <v>9.3608225023518191E-2</v>
      </c>
      <c r="P156" s="171">
        <f>(INDEX(Models!$BJ156:$BT156,,T156)*(1-R156)+INDEX(Models!$BJ156:$BT156,,T156+1)*R156-ERP_i)*Q156*Ramure*Pc/MaxiM</f>
        <v>2.0566787023573174E-4</v>
      </c>
      <c r="Q156" s="307">
        <f t="shared" si="53"/>
        <v>0.9</v>
      </c>
      <c r="R156" s="179">
        <f t="shared" si="54"/>
        <v>0.7840967002733199</v>
      </c>
      <c r="S156" s="839">
        <f t="shared" si="55"/>
        <v>-2</v>
      </c>
      <c r="T156" s="178">
        <f t="shared" si="56"/>
        <v>4</v>
      </c>
      <c r="U156" s="253">
        <f t="shared" si="57"/>
        <v>-1.2159032997266801</v>
      </c>
      <c r="V156" s="385">
        <f t="shared" si="58"/>
        <v>53.81272041367734</v>
      </c>
      <c r="W156" s="404">
        <f t="shared" si="59"/>
        <v>31.643622724497739</v>
      </c>
      <c r="X156" s="157">
        <f t="shared" si="60"/>
        <v>46529</v>
      </c>
      <c r="Y156" s="387">
        <f t="shared" si="61"/>
        <v>29.029759314489286</v>
      </c>
      <c r="Z156" s="387">
        <f t="shared" si="62"/>
        <v>31.285770457214628</v>
      </c>
      <c r="AA156" s="388">
        <f t="shared" si="63"/>
        <v>37.578467624551919</v>
      </c>
      <c r="AB156" s="199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0.16745486351939359</v>
      </c>
      <c r="AD156" s="233">
        <f>(INDEX(Models!$BJ156:$BT156,,AH156)*(1-AF156)+INDEX(Models!$BJ156:$BT156,,AH156+1)*AF156-ERP_i)*AE156*Ramure*Pc/MaxiM</f>
        <v>3.1951317458730174E-3</v>
      </c>
      <c r="AE156" s="307">
        <f t="shared" si="65"/>
        <v>0.9</v>
      </c>
      <c r="AF156" s="179">
        <f t="shared" si="66"/>
        <v>0.41975235258029908</v>
      </c>
      <c r="AG156" s="839">
        <f t="shared" si="74"/>
        <v>3</v>
      </c>
      <c r="AH156" s="178">
        <f t="shared" si="67"/>
        <v>9</v>
      </c>
      <c r="AI156" s="227">
        <f t="shared" si="68"/>
        <v>3.4197523525802991</v>
      </c>
      <c r="AJ156" s="267" t="b">
        <f t="shared" si="69"/>
        <v>0</v>
      </c>
      <c r="AK156" s="267" t="b">
        <f t="shared" si="70"/>
        <v>0</v>
      </c>
      <c r="AL156" s="267"/>
      <c r="AM156" s="267"/>
      <c r="AN156" s="267"/>
    </row>
    <row r="157" spans="1:40" s="18" customFormat="1" ht="11.25" x14ac:dyDescent="0.2">
      <c r="A157" s="56">
        <f t="shared" si="71"/>
        <v>46530</v>
      </c>
      <c r="B157" s="413">
        <f>'2026'!Wh/'2026'!Env_an*'2027'!Env_an</f>
        <v>16.329704889422061</v>
      </c>
      <c r="C157" s="868"/>
      <c r="D157" s="395">
        <f t="shared" si="50"/>
        <v>17.599156873557906</v>
      </c>
      <c r="E157" s="387">
        <f t="shared" si="72"/>
        <v>19.421816264105672</v>
      </c>
      <c r="F157" s="387">
        <f t="shared" si="51"/>
        <v>19.421833644831377</v>
      </c>
      <c r="G157" s="110">
        <f t="shared" si="73"/>
        <v>0.30318250269717861</v>
      </c>
      <c r="H157" s="416" t="b">
        <f>Wh_hp&gt;='2026'!Maxi_hp</f>
        <v>0</v>
      </c>
      <c r="I157" s="392">
        <f>IF(H157,Wh_hp,'2026'!Maxi_hp)</f>
        <v>57.069920377095102</v>
      </c>
      <c r="J157" s="85">
        <f>IF(H157,An,'2026'!An_max)</f>
        <v>2020</v>
      </c>
      <c r="K157" s="199">
        <f t="shared" si="52"/>
        <v>46530</v>
      </c>
      <c r="L157" s="147">
        <f>IF(t&lt;Tvie,1-EXP((T0-t)*PertePVj)+'2026'!Pspv,1-EXP((T0-t)*PertePVj)+Pspv)</f>
        <v>7.2131409092849763E-2</v>
      </c>
      <c r="M157" s="872"/>
      <c r="N157" s="872"/>
      <c r="O157" s="48">
        <f>IF(t&lt;Tnet,'2026'!Resal+('2026'!Salim-'2026'!Resal)*(1-EXP(('2026'!Tnet-t)/('2026'!Tau_j))),Resal+(Salim-Resal)*(1-EXP((Tnet-t)/(Tau_j))))*Salcycl</f>
        <v>9.3845980507822377E-2</v>
      </c>
      <c r="P157" s="171">
        <f>(INDEX(Models!$BJ157:$BT157,,T157)*(1-R157)+INDEX(Models!$BJ157:$BT157,,T157+1)*R157-ERP_i)*Q157*Ramure*Pc/MaxiM</f>
        <v>1.9329353929761303E-4</v>
      </c>
      <c r="Q157" s="307">
        <f t="shared" si="53"/>
        <v>0.9</v>
      </c>
      <c r="R157" s="179">
        <f t="shared" si="54"/>
        <v>0.79035236413780119</v>
      </c>
      <c r="S157" s="839">
        <f t="shared" si="55"/>
        <v>-2</v>
      </c>
      <c r="T157" s="178">
        <f t="shared" si="56"/>
        <v>4</v>
      </c>
      <c r="U157" s="253">
        <f t="shared" si="57"/>
        <v>-1.2096476358621988</v>
      </c>
      <c r="V157" s="385">
        <f t="shared" si="58"/>
        <v>53.850611194483349</v>
      </c>
      <c r="W157" s="404">
        <f t="shared" si="59"/>
        <v>16.329704889422061</v>
      </c>
      <c r="X157" s="157">
        <f t="shared" si="60"/>
        <v>46530</v>
      </c>
      <c r="Y157" s="387">
        <f t="shared" si="61"/>
        <v>14.998896147773118</v>
      </c>
      <c r="Z157" s="387">
        <f t="shared" si="62"/>
        <v>16.164892631088129</v>
      </c>
      <c r="AA157" s="388">
        <f t="shared" si="63"/>
        <v>19.421563155512395</v>
      </c>
      <c r="AB157" s="199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0.16768323426633799</v>
      </c>
      <c r="AD157" s="233">
        <f>(INDEX(Models!$BJ157:$BT157,,AH157)*(1-AF157)+INDEX(Models!$BJ157:$BT157,,AH157+1)*AF157-ERP_i)*AE157*Ramure*Pc/MaxiM</f>
        <v>3.0081504477452391E-3</v>
      </c>
      <c r="AE157" s="307">
        <f t="shared" si="65"/>
        <v>0.9</v>
      </c>
      <c r="AF157" s="179">
        <f t="shared" si="66"/>
        <v>0.42600801644478015</v>
      </c>
      <c r="AG157" s="839">
        <f t="shared" si="74"/>
        <v>3</v>
      </c>
      <c r="AH157" s="178">
        <f t="shared" si="67"/>
        <v>9</v>
      </c>
      <c r="AI157" s="227">
        <f t="shared" si="68"/>
        <v>3.4260080164447801</v>
      </c>
      <c r="AJ157" s="267" t="b">
        <f t="shared" si="69"/>
        <v>0</v>
      </c>
      <c r="AK157" s="267" t="b">
        <f t="shared" si="70"/>
        <v>0</v>
      </c>
      <c r="AL157" s="267"/>
      <c r="AM157" s="267"/>
      <c r="AN157" s="267"/>
    </row>
    <row r="158" spans="1:40" s="6" customFormat="1" ht="11.25" x14ac:dyDescent="0.2">
      <c r="A158" s="56">
        <f t="shared" si="71"/>
        <v>46531</v>
      </c>
      <c r="B158" s="413">
        <f>'2026'!Wh/'2026'!Env_an*'2027'!Env_an</f>
        <v>13.605428704136898</v>
      </c>
      <c r="C158" s="868"/>
      <c r="D158" s="395">
        <f t="shared" si="50"/>
        <v>14.663439912763392</v>
      </c>
      <c r="E158" s="387">
        <f t="shared" si="72"/>
        <v>16.186313753355318</v>
      </c>
      <c r="F158" s="387">
        <f t="shared" si="51"/>
        <v>16.186313753355318</v>
      </c>
      <c r="G158" s="110">
        <f t="shared" si="73"/>
        <v>0.25244717950415807</v>
      </c>
      <c r="H158" s="416" t="b">
        <f>Wh_hp&gt;='2026'!Maxi_hp</f>
        <v>0</v>
      </c>
      <c r="I158" s="392">
        <f>IF(H158,Wh_hp,'2026'!Maxi_hp)</f>
        <v>28.542221114543629</v>
      </c>
      <c r="J158" s="85">
        <f>IF(H158,An,'2026'!An_max)</f>
        <v>2021</v>
      </c>
      <c r="K158" s="199">
        <f t="shared" si="52"/>
        <v>46531</v>
      </c>
      <c r="L158" s="147">
        <f>IF(t&lt;Tvie,1-EXP((T0-t)*PertePVj)+'2026'!Pspv,1-EXP((T0-t)*PertePVj)+Pspv)</f>
        <v>7.2153001950488904E-2</v>
      </c>
      <c r="M158" s="872"/>
      <c r="N158" s="872"/>
      <c r="O158" s="48">
        <f>IF(t&lt;Tnet,'2026'!Resal+('2026'!Salim-'2026'!Resal)*(1-EXP(('2026'!Tnet-t)/('2026'!Tau_j))),Resal+(Salim-Resal)*(1-EXP((Tnet-t)/(Tau_j))))*Salcycl</f>
        <v>9.4084043087095323E-2</v>
      </c>
      <c r="P158" s="171">
        <f>(INDEX(Models!$BJ158:$BT158,,T158)*(1-R158)+INDEX(Models!$BJ158:$BT158,,T158+1)*R158-ERP_i)*Q158*Ramure*Pc/MaxiM</f>
        <v>1.8139891200625205E-4</v>
      </c>
      <c r="Q158" s="307">
        <f t="shared" si="53"/>
        <v>0.9</v>
      </c>
      <c r="R158" s="179">
        <f t="shared" si="54"/>
        <v>0.79669965548096267</v>
      </c>
      <c r="S158" s="839">
        <f t="shared" si="55"/>
        <v>-2</v>
      </c>
      <c r="T158" s="178">
        <f t="shared" si="56"/>
        <v>4</v>
      </c>
      <c r="U158" s="253">
        <f t="shared" si="57"/>
        <v>-1.2033003445190373</v>
      </c>
      <c r="V158" s="385">
        <f t="shared" si="58"/>
        <v>53.884383738771525</v>
      </c>
      <c r="W158" s="404">
        <f t="shared" si="59"/>
        <v>13.605428704136898</v>
      </c>
      <c r="X158" s="157">
        <f t="shared" si="60"/>
        <v>46531</v>
      </c>
      <c r="Y158" s="387">
        <f t="shared" si="61"/>
        <v>12.496649424251387</v>
      </c>
      <c r="Z158" s="387">
        <f t="shared" si="62"/>
        <v>13.468437630904045</v>
      </c>
      <c r="AA158" s="388">
        <f t="shared" si="63"/>
        <v>16.186313753355318</v>
      </c>
      <c r="AB158" s="199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0.16791198810710525</v>
      </c>
      <c r="AD158" s="233">
        <f>(INDEX(Models!$BJ158:$BT158,,AH158)*(1-AF158)+INDEX(Models!$BJ158:$BT158,,AH158+1)*AF158-ERP_i)*AE158*Ramure*Pc/MaxiM</f>
        <v>2.8351102957697308E-3</v>
      </c>
      <c r="AE158" s="307">
        <f t="shared" si="65"/>
        <v>0.9</v>
      </c>
      <c r="AF158" s="179">
        <f t="shared" si="66"/>
        <v>0.43235530778794162</v>
      </c>
      <c r="AG158" s="839">
        <f t="shared" si="74"/>
        <v>3</v>
      </c>
      <c r="AH158" s="178">
        <f t="shared" si="67"/>
        <v>9</v>
      </c>
      <c r="AI158" s="227">
        <f t="shared" si="68"/>
        <v>3.4323553077879416</v>
      </c>
      <c r="AJ158" s="267" t="b">
        <f t="shared" si="69"/>
        <v>0</v>
      </c>
      <c r="AK158" s="267" t="b">
        <f t="shared" si="70"/>
        <v>0</v>
      </c>
      <c r="AL158" s="267"/>
      <c r="AM158" s="267"/>
      <c r="AN158" s="75"/>
    </row>
    <row r="159" spans="1:40" s="6" customFormat="1" ht="11.25" x14ac:dyDescent="0.2">
      <c r="A159" s="56">
        <f t="shared" si="71"/>
        <v>46532</v>
      </c>
      <c r="B159" s="413">
        <f>'2026'!Wh/'2026'!Env_an*'2027'!Env_an</f>
        <v>37.850844678945684</v>
      </c>
      <c r="C159" s="868"/>
      <c r="D159" s="395">
        <f t="shared" si="50"/>
        <v>40.795223375693986</v>
      </c>
      <c r="E159" s="387">
        <f t="shared" si="72"/>
        <v>45.043864520145327</v>
      </c>
      <c r="F159" s="387">
        <f t="shared" si="51"/>
        <v>45.048262669290473</v>
      </c>
      <c r="G159" s="110">
        <f t="shared" si="73"/>
        <v>0.70200456781280063</v>
      </c>
      <c r="H159" s="416" t="b">
        <f>Wh_hp&gt;='2026'!Maxi_hp</f>
        <v>0</v>
      </c>
      <c r="I159" s="392">
        <f>IF(H159,Wh_hp,'2026'!Maxi_hp)</f>
        <v>59.272001912813224</v>
      </c>
      <c r="J159" s="85">
        <f>IF(H159,An,'2026'!An_max)</f>
        <v>2020</v>
      </c>
      <c r="K159" s="199">
        <f t="shared" si="52"/>
        <v>46532</v>
      </c>
      <c r="L159" s="147">
        <f>IF(t&lt;Tvie,1-EXP((T0-t)*PertePVj)+'2026'!Pspv,1-EXP((T0-t)*PertePVj)+Pspv)</f>
        <v>7.2174594305630779E-2</v>
      </c>
      <c r="M159" s="872"/>
      <c r="N159" s="872"/>
      <c r="O159" s="48">
        <f>IF(t&lt;Tnet,'2026'!Resal+('2026'!Salim-'2026'!Resal)*(1-EXP(('2026'!Tnet-t)/('2026'!Tau_j))),Resal+(Salim-Resal)*(1-EXP((Tnet-t)/(Tau_j))))*Salcycl</f>
        <v>9.4322305373047893E-2</v>
      </c>
      <c r="P159" s="171">
        <f>(INDEX(Models!$BJ159:$BT159,,T159)*(1-R159)+INDEX(Models!$BJ159:$BT159,,T159+1)*R159-ERP_i)*Q159*Ramure*Pc/MaxiM</f>
        <v>1.6998244911558652E-4</v>
      </c>
      <c r="Q159" s="307">
        <f t="shared" si="53"/>
        <v>0.9</v>
      </c>
      <c r="R159" s="179">
        <f t="shared" si="54"/>
        <v>0.80313512706576651</v>
      </c>
      <c r="S159" s="839">
        <f t="shared" si="55"/>
        <v>-2</v>
      </c>
      <c r="T159" s="178">
        <f t="shared" si="56"/>
        <v>4</v>
      </c>
      <c r="U159" s="253">
        <f t="shared" si="57"/>
        <v>-1.1968648729342335</v>
      </c>
      <c r="V159" s="385">
        <f t="shared" si="58"/>
        <v>53.914329933035255</v>
      </c>
      <c r="W159" s="404">
        <f t="shared" si="59"/>
        <v>37.850844678945684</v>
      </c>
      <c r="X159" s="157">
        <f t="shared" si="60"/>
        <v>46532</v>
      </c>
      <c r="Y159" s="387">
        <f t="shared" si="61"/>
        <v>34.715707953622285</v>
      </c>
      <c r="Z159" s="387">
        <f t="shared" si="62"/>
        <v>37.416207554309878</v>
      </c>
      <c r="AA159" s="388">
        <f t="shared" si="63"/>
        <v>44.979022327132135</v>
      </c>
      <c r="AB159" s="199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0.16814093285127357</v>
      </c>
      <c r="AD159" s="233">
        <f>(INDEX(Models!$BJ159:$BT159,,AH159)*(1-AF159)+INDEX(Models!$BJ159:$BT159,,AH159+1)*AF159-ERP_i)*AE159*Ramure*Pc/MaxiM</f>
        <v>2.6760445244694282E-3</v>
      </c>
      <c r="AE159" s="307">
        <f t="shared" si="65"/>
        <v>0.9</v>
      </c>
      <c r="AF159" s="179">
        <f t="shared" si="66"/>
        <v>0.43879077937274547</v>
      </c>
      <c r="AG159" s="839">
        <f t="shared" si="74"/>
        <v>3</v>
      </c>
      <c r="AH159" s="178">
        <f t="shared" si="67"/>
        <v>9</v>
      </c>
      <c r="AI159" s="227">
        <f t="shared" si="68"/>
        <v>3.4387907793727455</v>
      </c>
      <c r="AJ159" s="267" t="b">
        <f t="shared" si="69"/>
        <v>0</v>
      </c>
      <c r="AK159" s="267" t="b">
        <f t="shared" si="70"/>
        <v>0</v>
      </c>
      <c r="AL159" s="267"/>
      <c r="AM159" s="267"/>
      <c r="AN159" s="75"/>
    </row>
    <row r="160" spans="1:40" s="6" customFormat="1" ht="11.25" x14ac:dyDescent="0.2">
      <c r="A160" s="56">
        <f t="shared" si="71"/>
        <v>46533</v>
      </c>
      <c r="B160" s="413">
        <f>'2026'!Wh/'2026'!Env_an*'2027'!Env_an</f>
        <v>19.878563578103584</v>
      </c>
      <c r="C160" s="868"/>
      <c r="D160" s="395">
        <f t="shared" si="50"/>
        <v>21.425395413922004</v>
      </c>
      <c r="E160" s="387">
        <f t="shared" si="72"/>
        <v>23.662982613313112</v>
      </c>
      <c r="F160" s="387">
        <f t="shared" si="51"/>
        <v>23.663351037840361</v>
      </c>
      <c r="G160" s="110">
        <f t="shared" si="73"/>
        <v>0.36847308602415818</v>
      </c>
      <c r="H160" s="416" t="b">
        <f>Wh_hp&gt;='2026'!Maxi_hp</f>
        <v>0</v>
      </c>
      <c r="I160" s="392">
        <f>IF(H160,Wh_hp,'2026'!Maxi_hp)</f>
        <v>63.227502087912768</v>
      </c>
      <c r="J160" s="85">
        <f>IF(H160,An,'2026'!An_max)</f>
        <v>2020</v>
      </c>
      <c r="K160" s="199">
        <f t="shared" si="52"/>
        <v>46533</v>
      </c>
      <c r="L160" s="147">
        <f>IF(t&lt;Tvie,1-EXP((T0-t)*PertePVj)+'2026'!Pspv,1-EXP((T0-t)*PertePVj)+Pspv)</f>
        <v>7.2196186158286935E-2</v>
      </c>
      <c r="M160" s="872"/>
      <c r="N160" s="872"/>
      <c r="O160" s="48">
        <f>IF(t&lt;Tnet,'2026'!Resal+('2026'!Salim-'2026'!Resal)*(1-EXP(('2026'!Tnet-t)/('2026'!Tau_j))),Resal+(Salim-Resal)*(1-EXP((Tnet-t)/(Tau_j))))*Salcycl</f>
        <v>9.4560657714053878E-2</v>
      </c>
      <c r="P160" s="171">
        <f>(INDEX(Models!$BJ160:$BT160,,T160)*(1-R160)+INDEX(Models!$BJ160:$BT160,,T160+1)*R160-ERP_i)*Q160*Ramure*Pc/MaxiM</f>
        <v>1.5904323316974926E-4</v>
      </c>
      <c r="Q160" s="307">
        <f t="shared" si="53"/>
        <v>0.9</v>
      </c>
      <c r="R160" s="179">
        <f t="shared" si="54"/>
        <v>0.80965508434293176</v>
      </c>
      <c r="S160" s="839">
        <f t="shared" si="55"/>
        <v>-2</v>
      </c>
      <c r="T160" s="178">
        <f t="shared" si="56"/>
        <v>4</v>
      </c>
      <c r="U160" s="253">
        <f t="shared" si="57"/>
        <v>-1.1903449156570682</v>
      </c>
      <c r="V160" s="385">
        <f t="shared" si="58"/>
        <v>53.940741492783552</v>
      </c>
      <c r="W160" s="404">
        <f t="shared" si="59"/>
        <v>19.878563578103584</v>
      </c>
      <c r="X160" s="157">
        <f t="shared" si="60"/>
        <v>46533</v>
      </c>
      <c r="Y160" s="387">
        <f t="shared" si="61"/>
        <v>18.253871758189636</v>
      </c>
      <c r="Z160" s="387">
        <f t="shared" si="62"/>
        <v>19.674279719337108</v>
      </c>
      <c r="AA160" s="388">
        <f t="shared" si="63"/>
        <v>23.657487968182327</v>
      </c>
      <c r="AB160" s="199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0.16836987317513827</v>
      </c>
      <c r="AD160" s="233">
        <f>(INDEX(Models!$BJ160:$BT160,,AH160)*(1-AF160)+INDEX(Models!$BJ160:$BT160,,AH160+1)*AF160-ERP_i)*AE160*Ramure*Pc/MaxiM</f>
        <v>2.5309974927067449E-3</v>
      </c>
      <c r="AE160" s="307">
        <f t="shared" si="65"/>
        <v>0.9</v>
      </c>
      <c r="AF160" s="179">
        <f t="shared" si="66"/>
        <v>0.44531073664991094</v>
      </c>
      <c r="AG160" s="839">
        <f t="shared" si="74"/>
        <v>3</v>
      </c>
      <c r="AH160" s="178">
        <f t="shared" si="67"/>
        <v>9</v>
      </c>
      <c r="AI160" s="227">
        <f t="shared" si="68"/>
        <v>3.4453107366499109</v>
      </c>
      <c r="AJ160" s="267" t="b">
        <f t="shared" si="69"/>
        <v>0</v>
      </c>
      <c r="AK160" s="267" t="b">
        <f t="shared" si="70"/>
        <v>0</v>
      </c>
      <c r="AL160" s="267"/>
      <c r="AM160" s="267"/>
      <c r="AN160" s="75"/>
    </row>
    <row r="161" spans="1:40" s="6" customFormat="1" ht="11.25" x14ac:dyDescent="0.2">
      <c r="A161" s="56">
        <f t="shared" si="71"/>
        <v>46534</v>
      </c>
      <c r="B161" s="413">
        <f>'2026'!Wh/'2026'!Env_an*'2027'!Env_an</f>
        <v>37.6799739752555</v>
      </c>
      <c r="C161" s="868"/>
      <c r="D161" s="395">
        <f t="shared" si="50"/>
        <v>40.6129510372241</v>
      </c>
      <c r="E161" s="387">
        <f t="shared" si="72"/>
        <v>44.866223659552297</v>
      </c>
      <c r="F161" s="387">
        <f t="shared" si="51"/>
        <v>44.870016551779024</v>
      </c>
      <c r="G161" s="110">
        <f t="shared" si="73"/>
        <v>0.69819922982913318</v>
      </c>
      <c r="H161" s="416" t="b">
        <f>Wh_hp&gt;='2026'!Maxi_hp</f>
        <v>0</v>
      </c>
      <c r="I161" s="392">
        <f>IF(H161,Wh_hp,'2026'!Maxi_hp)</f>
        <v>62.760133675554769</v>
      </c>
      <c r="J161" s="85">
        <f>IF(H161,An,'2026'!An_max)</f>
        <v>2020</v>
      </c>
      <c r="K161" s="199">
        <f t="shared" si="52"/>
        <v>46534</v>
      </c>
      <c r="L161" s="147">
        <f>IF(t&lt;Tvie,1-EXP((T0-t)*PertePVj)+'2026'!Pspv,1-EXP((T0-t)*PertePVj)+Pspv)</f>
        <v>7.2217777508469139E-2</v>
      </c>
      <c r="M161" s="872"/>
      <c r="N161" s="872"/>
      <c r="O161" s="48">
        <f>IF(t&lt;Tnet,'2026'!Resal+('2026'!Salim-'2026'!Resal)*(1-EXP(('2026'!Tnet-t)/('2026'!Tau_j))),Resal+(Salim-Resal)*(1-EXP((Tnet-t)/(Tau_j))))*Salcycl</f>
        <v>9.4798988535391301E-2</v>
      </c>
      <c r="P161" s="171">
        <f>(INDEX(Models!$BJ161:$BT161,,T161)*(1-R161)+INDEX(Models!$BJ161:$BT161,,T161+1)*R161-ERP_i)*Q161*Ramure*Pc/MaxiM</f>
        <v>1.4858094599575657E-4</v>
      </c>
      <c r="Q161" s="307">
        <f t="shared" si="53"/>
        <v>0.9</v>
      </c>
      <c r="R161" s="179">
        <f t="shared" si="54"/>
        <v>0.81625559069029796</v>
      </c>
      <c r="S161" s="839">
        <f t="shared" si="55"/>
        <v>-2</v>
      </c>
      <c r="T161" s="178">
        <f t="shared" si="56"/>
        <v>4</v>
      </c>
      <c r="U161" s="253">
        <f t="shared" si="57"/>
        <v>-1.183744409309702</v>
      </c>
      <c r="V161" s="385">
        <f t="shared" si="58"/>
        <v>53.963909939341072</v>
      </c>
      <c r="W161" s="404">
        <f t="shared" si="59"/>
        <v>37.6799739752555</v>
      </c>
      <c r="X161" s="157">
        <f t="shared" si="60"/>
        <v>46534</v>
      </c>
      <c r="Y161" s="387">
        <f t="shared" si="61"/>
        <v>34.563651834245512</v>
      </c>
      <c r="Z161" s="387">
        <f t="shared" si="62"/>
        <v>37.254057036602703</v>
      </c>
      <c r="AA161" s="388">
        <f t="shared" si="63"/>
        <v>44.808750069807367</v>
      </c>
      <c r="AB161" s="199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0.16859861124077855</v>
      </c>
      <c r="AD161" s="233">
        <f>(INDEX(Models!$BJ161:$BT161,,AH161)*(1-AF161)+INDEX(Models!$BJ161:$BT161,,AH161+1)*AF161-ERP_i)*AE161*Ramure*Pc/MaxiM</f>
        <v>2.4000238617446351E-3</v>
      </c>
      <c r="AE161" s="307">
        <f t="shared" si="65"/>
        <v>0.9</v>
      </c>
      <c r="AF161" s="179">
        <f t="shared" si="66"/>
        <v>0.45191124299727692</v>
      </c>
      <c r="AG161" s="839">
        <f t="shared" si="74"/>
        <v>3</v>
      </c>
      <c r="AH161" s="178">
        <f t="shared" si="67"/>
        <v>9</v>
      </c>
      <c r="AI161" s="227">
        <f t="shared" si="68"/>
        <v>3.4519112429972769</v>
      </c>
      <c r="AJ161" s="267" t="b">
        <f t="shared" si="69"/>
        <v>0</v>
      </c>
      <c r="AK161" s="267" t="b">
        <f t="shared" si="70"/>
        <v>0</v>
      </c>
      <c r="AL161" s="267"/>
      <c r="AM161" s="267"/>
      <c r="AN161" s="75"/>
    </row>
    <row r="162" spans="1:40" s="6" customFormat="1" ht="11.25" x14ac:dyDescent="0.2">
      <c r="A162" s="56">
        <f t="shared" si="71"/>
        <v>46535</v>
      </c>
      <c r="B162" s="413">
        <f>'2026'!Wh/'2026'!Env_an*'2027'!Env_an</f>
        <v>50.308936954774666</v>
      </c>
      <c r="C162" s="868"/>
      <c r="D162" s="395">
        <f t="shared" si="50"/>
        <v>54.226203655178864</v>
      </c>
      <c r="E162" s="387">
        <f t="shared" si="72"/>
        <v>59.920919112164952</v>
      </c>
      <c r="F162" s="387">
        <f t="shared" si="51"/>
        <v>59.928417151482613</v>
      </c>
      <c r="G162" s="110">
        <f t="shared" si="73"/>
        <v>0.93190835786781456</v>
      </c>
      <c r="H162" s="416" t="b">
        <f>Wh_hp&gt;='2026'!Maxi_hp</f>
        <v>0</v>
      </c>
      <c r="I162" s="392">
        <f>IF(H162,Wh_hp,'2026'!Maxi_hp)</f>
        <v>61.94834261618918</v>
      </c>
      <c r="J162" s="85">
        <f>IF(H162,An,'2026'!An_max)</f>
        <v>2020</v>
      </c>
      <c r="K162" s="199">
        <f t="shared" si="52"/>
        <v>46535</v>
      </c>
      <c r="L162" s="147">
        <f>IF(t&lt;Tvie,1-EXP((T0-t)*PertePVj)+'2026'!Pspv,1-EXP((T0-t)*PertePVj)+Pspv)</f>
        <v>7.223936835618916E-2</v>
      </c>
      <c r="M162" s="872"/>
      <c r="N162" s="872"/>
      <c r="O162" s="48">
        <f>IF(t&lt;Tnet,'2026'!Resal+('2026'!Salim-'2026'!Resal)*(1-EXP(('2026'!Tnet-t)/('2026'!Tau_j))),Resal+(Salim-Resal)*(1-EXP((Tnet-t)/(Tau_j))))*Salcycl</f>
        <v>9.5037184698823648E-2</v>
      </c>
      <c r="P162" s="171">
        <f>(INDEX(Models!$BJ162:$BT162,,T162)*(1-R162)+INDEX(Models!$BJ162:$BT162,,T162+1)*R162-ERP_i)*Q162*Ramure*Pc/MaxiM</f>
        <v>1.3859584558902706E-4</v>
      </c>
      <c r="Q162" s="307">
        <f t="shared" si="53"/>
        <v>0.9</v>
      </c>
      <c r="R162" s="179">
        <f t="shared" si="54"/>
        <v>0.82293247402445724</v>
      </c>
      <c r="S162" s="839">
        <f t="shared" si="55"/>
        <v>-2</v>
      </c>
      <c r="T162" s="178">
        <f t="shared" si="56"/>
        <v>4</v>
      </c>
      <c r="U162" s="253">
        <f t="shared" si="57"/>
        <v>-1.1770675259755428</v>
      </c>
      <c r="V162" s="385">
        <f t="shared" si="58"/>
        <v>53.984126570239198</v>
      </c>
      <c r="W162" s="404">
        <f t="shared" si="59"/>
        <v>50.308936954774666</v>
      </c>
      <c r="X162" s="157">
        <f t="shared" si="60"/>
        <v>46535</v>
      </c>
      <c r="Y162" s="387">
        <f t="shared" si="61"/>
        <v>46.117328186927743</v>
      </c>
      <c r="Z162" s="387">
        <f t="shared" si="62"/>
        <v>49.70821849297144</v>
      </c>
      <c r="AA162" s="388">
        <f t="shared" si="63"/>
        <v>59.804896626756417</v>
      </c>
      <c r="AB162" s="199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0.16882694734510703</v>
      </c>
      <c r="AD162" s="233">
        <f>(INDEX(Models!$BJ162:$BT162,,AH162)*(1-AF162)+INDEX(Models!$BJ162:$BT162,,AH162+1)*AF162-ERP_i)*AE162*Ramure*Pc/MaxiM</f>
        <v>2.2831877570579566E-3</v>
      </c>
      <c r="AE162" s="307">
        <f t="shared" si="65"/>
        <v>0.9</v>
      </c>
      <c r="AF162" s="179">
        <f t="shared" si="66"/>
        <v>0.4585881263314362</v>
      </c>
      <c r="AG162" s="839">
        <f t="shared" si="74"/>
        <v>3</v>
      </c>
      <c r="AH162" s="178">
        <f t="shared" si="67"/>
        <v>9</v>
      </c>
      <c r="AI162" s="227">
        <f t="shared" si="68"/>
        <v>3.4585881263314362</v>
      </c>
      <c r="AJ162" s="267" t="b">
        <f t="shared" si="69"/>
        <v>0</v>
      </c>
      <c r="AK162" s="267" t="b">
        <f t="shared" si="70"/>
        <v>0</v>
      </c>
      <c r="AL162" s="267"/>
      <c r="AM162" s="267"/>
      <c r="AN162" s="75"/>
    </row>
    <row r="163" spans="1:40" s="6" customFormat="1" ht="11.25" x14ac:dyDescent="0.2">
      <c r="A163" s="56">
        <f t="shared" si="71"/>
        <v>46536</v>
      </c>
      <c r="B163" s="413">
        <f>'2026'!Wh/'2026'!Env_an*'2027'!Env_an</f>
        <v>54.908437002525972</v>
      </c>
      <c r="C163" s="868"/>
      <c r="D163" s="395">
        <f t="shared" si="50"/>
        <v>59.185217564706036</v>
      </c>
      <c r="E163" s="387">
        <f t="shared" si="72"/>
        <v>65.417918364152115</v>
      </c>
      <c r="F163" s="387">
        <f t="shared" si="51"/>
        <v>65.426364345120007</v>
      </c>
      <c r="G163" s="110">
        <f t="shared" si="73"/>
        <v>1.0168121653183679</v>
      </c>
      <c r="H163" s="416" t="b">
        <f>Wh_hp&gt;='2026'!Maxi_hp</f>
        <v>1</v>
      </c>
      <c r="I163" s="392">
        <f>IF(H163,Wh_hp,'2026'!Maxi_hp)</f>
        <v>65.426364345120007</v>
      </c>
      <c r="J163" s="85">
        <f>IF(H163,An,'2026'!An_max)</f>
        <v>2027</v>
      </c>
      <c r="K163" s="199">
        <f t="shared" si="52"/>
        <v>46536</v>
      </c>
      <c r="L163" s="147">
        <f>IF(t&lt;Tvie,1-EXP((T0-t)*PertePVj)+'2026'!Pspv,1-EXP((T0-t)*PertePVj)+Pspv)</f>
        <v>7.2260958701458544E-2</v>
      </c>
      <c r="M163" s="872"/>
      <c r="N163" s="872"/>
      <c r="O163" s="48">
        <f>IF(t&lt;Tnet,'2026'!Resal+('2026'!Salim-'2026'!Resal)*(1-EXP(('2026'!Tnet-t)/('2026'!Tau_j))),Resal+(Salim-Resal)*(1-EXP((Tnet-t)/(Tau_j))))*Salcycl</f>
        <v>9.5275131879792224E-2</v>
      </c>
      <c r="P163" s="171">
        <f>(INDEX(Models!$BJ163:$BT163,,T163)*(1-R163)+INDEX(Models!$BJ163:$BT163,,T163+1)*R163-ERP_i)*Q163*Ramure*Pc/MaxiM</f>
        <v>1.2909139996435291E-4</v>
      </c>
      <c r="Q163" s="307">
        <f t="shared" si="53"/>
        <v>0.9</v>
      </c>
      <c r="R163" s="179">
        <f t="shared" si="54"/>
        <v>0.82968133478816819</v>
      </c>
      <c r="S163" s="839">
        <f t="shared" si="55"/>
        <v>-2</v>
      </c>
      <c r="T163" s="178">
        <f t="shared" si="56"/>
        <v>4</v>
      </c>
      <c r="U163" s="253">
        <f t="shared" si="57"/>
        <v>-1.1703186652118318</v>
      </c>
      <c r="V163" s="385">
        <f t="shared" si="58"/>
        <v>54.000570484258454</v>
      </c>
      <c r="W163" s="404">
        <f t="shared" si="59"/>
        <v>54.908437002525972</v>
      </c>
      <c r="X163" s="157">
        <f t="shared" si="60"/>
        <v>46536</v>
      </c>
      <c r="Y163" s="387">
        <f t="shared" si="61"/>
        <v>50.327227633491532</v>
      </c>
      <c r="Z163" s="387">
        <f t="shared" si="62"/>
        <v>54.247180934683229</v>
      </c>
      <c r="AA163" s="388">
        <f t="shared" si="63"/>
        <v>65.283695169698589</v>
      </c>
      <c r="AB163" s="199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0.16905468059562226</v>
      </c>
      <c r="AD163" s="233">
        <f>(INDEX(Models!$BJ163:$BT163,,AH163)*(1-AF163)+INDEX(Models!$BJ163:$BT163,,AH163+1)*AF163-ERP_i)*AE163*Ramure*Pc/MaxiM</f>
        <v>2.1806068065902801E-3</v>
      </c>
      <c r="AE163" s="307">
        <f t="shared" si="65"/>
        <v>0.9</v>
      </c>
      <c r="AF163" s="179">
        <f t="shared" si="66"/>
        <v>0.46533698709514715</v>
      </c>
      <c r="AG163" s="839">
        <f t="shared" si="74"/>
        <v>3</v>
      </c>
      <c r="AH163" s="178">
        <f t="shared" si="67"/>
        <v>9</v>
      </c>
      <c r="AI163" s="227">
        <f t="shared" si="68"/>
        <v>3.4653369870951471</v>
      </c>
      <c r="AJ163" s="267" t="b">
        <f t="shared" si="69"/>
        <v>0</v>
      </c>
      <c r="AK163" s="267" t="b">
        <f t="shared" si="70"/>
        <v>0</v>
      </c>
      <c r="AL163" s="267"/>
      <c r="AM163" s="267"/>
      <c r="AN163" s="75"/>
    </row>
    <row r="164" spans="1:40" s="6" customFormat="1" ht="11.25" x14ac:dyDescent="0.2">
      <c r="A164" s="56">
        <f t="shared" si="71"/>
        <v>46537</v>
      </c>
      <c r="B164" s="413">
        <f>'2026'!Wh/'2026'!Env_an*'2027'!Env_an</f>
        <v>46.945921213122659</v>
      </c>
      <c r="C164" s="868"/>
      <c r="D164" s="395">
        <f t="shared" si="50"/>
        <v>50.603684494086345</v>
      </c>
      <c r="E164" s="387">
        <f t="shared" si="72"/>
        <v>55.947369665749299</v>
      </c>
      <c r="F164" s="387">
        <f t="shared" si="51"/>
        <v>55.952849565030789</v>
      </c>
      <c r="G164" s="110">
        <f t="shared" si="73"/>
        <v>0.86915074227175604</v>
      </c>
      <c r="H164" s="416" t="b">
        <f>Wh_hp&gt;='2026'!Maxi_hp</f>
        <v>0</v>
      </c>
      <c r="I164" s="392">
        <f>IF(H164,Wh_hp,'2026'!Maxi_hp)</f>
        <v>63.612298063151371</v>
      </c>
      <c r="J164" s="85">
        <f>IF(H164,An,'2026'!An_max)</f>
        <v>2019</v>
      </c>
      <c r="K164" s="199">
        <f t="shared" si="52"/>
        <v>46537</v>
      </c>
      <c r="L164" s="147">
        <f>IF(t&lt;Tvie,1-EXP((T0-t)*PertePVj)+'2026'!Pspv,1-EXP((T0-t)*PertePVj)+Pspv)</f>
        <v>7.228254854428906E-2</v>
      </c>
      <c r="M164" s="872"/>
      <c r="N164" s="872"/>
      <c r="O164" s="48">
        <f>IF(t&lt;Tnet,'2026'!Resal+('2026'!Salim-'2026'!Resal)*(1-EXP(('2026'!Tnet-t)/('2026'!Tau_j))),Resal+(Salim-Resal)*(1-EXP((Tnet-t)/(Tau_j))))*Salcycl</f>
        <v>9.5512714960294731E-2</v>
      </c>
      <c r="P164" s="171">
        <f>(INDEX(Models!$BJ164:$BT164,,T164)*(1-R164)+INDEX(Models!$BJ164:$BT164,,T164+1)*R164-ERP_i)*Q164*Ramure*Pc/MaxiM</f>
        <v>1.2044982375959053E-4</v>
      </c>
      <c r="Q164" s="307">
        <f t="shared" si="53"/>
        <v>0.9</v>
      </c>
      <c r="R164" s="179">
        <f t="shared" si="54"/>
        <v>0.8364975553042906</v>
      </c>
      <c r="S164" s="839">
        <f t="shared" si="55"/>
        <v>-2</v>
      </c>
      <c r="T164" s="178">
        <f t="shared" si="56"/>
        <v>4</v>
      </c>
      <c r="U164" s="253">
        <f t="shared" si="57"/>
        <v>-1.1635024446957094</v>
      </c>
      <c r="V164" s="385">
        <f t="shared" si="58"/>
        <v>54.01233868759639</v>
      </c>
      <c r="W164" s="404">
        <f t="shared" si="59"/>
        <v>46.945921213122659</v>
      </c>
      <c r="X164" s="157">
        <f t="shared" si="60"/>
        <v>46537</v>
      </c>
      <c r="Y164" s="387">
        <f t="shared" si="61"/>
        <v>43.047909649733143</v>
      </c>
      <c r="Z164" s="387">
        <f t="shared" si="62"/>
        <v>46.401961698775096</v>
      </c>
      <c r="AA164" s="388">
        <f t="shared" si="63"/>
        <v>55.85763146154698</v>
      </c>
      <c r="AB164" s="199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0.16928160960926666</v>
      </c>
      <c r="AD164" s="233">
        <f>(INDEX(Models!$BJ164:$BT164,,AH164)*(1-AF164)+INDEX(Models!$BJ164:$BT164,,AH164+1)*AF164-ERP_i)*AE164*Ramure*Pc/MaxiM</f>
        <v>2.0929223684971903E-3</v>
      </c>
      <c r="AE164" s="307">
        <f t="shared" si="65"/>
        <v>0.9</v>
      </c>
      <c r="AF164" s="179">
        <f t="shared" si="66"/>
        <v>0.47215320761126955</v>
      </c>
      <c r="AG164" s="839">
        <f t="shared" si="74"/>
        <v>3</v>
      </c>
      <c r="AH164" s="178">
        <f t="shared" si="67"/>
        <v>9</v>
      </c>
      <c r="AI164" s="227">
        <f t="shared" si="68"/>
        <v>3.4721532076112696</v>
      </c>
      <c r="AJ164" s="267" t="b">
        <f t="shared" si="69"/>
        <v>0</v>
      </c>
      <c r="AK164" s="267" t="b">
        <f t="shared" si="70"/>
        <v>0</v>
      </c>
      <c r="AL164" s="267"/>
      <c r="AM164" s="267"/>
      <c r="AN164" s="75"/>
    </row>
    <row r="165" spans="1:40" s="6" customFormat="1" ht="11.25" x14ac:dyDescent="0.2">
      <c r="A165" s="56">
        <f t="shared" si="71"/>
        <v>46538</v>
      </c>
      <c r="B165" s="413">
        <f>'2026'!Wh/'2026'!Env_an*'2027'!Env_an</f>
        <v>50.322360093813423</v>
      </c>
      <c r="C165" s="868"/>
      <c r="D165" s="395">
        <f t="shared" si="50"/>
        <v>54.244458931906522</v>
      </c>
      <c r="E165" s="387">
        <f t="shared" si="72"/>
        <v>59.98833070516509</v>
      </c>
      <c r="F165" s="387">
        <f t="shared" si="51"/>
        <v>59.99442432753797</v>
      </c>
      <c r="G165" s="110">
        <f t="shared" si="73"/>
        <v>0.9315465809529454</v>
      </c>
      <c r="H165" s="416" t="b">
        <f>Wh_hp&gt;='2026'!Maxi_hp</f>
        <v>0</v>
      </c>
      <c r="I165" s="392">
        <f>IF(H165,Wh_hp,'2026'!Maxi_hp)</f>
        <v>64.631023417183059</v>
      </c>
      <c r="J165" s="85">
        <f>IF(H165,An,'2026'!An_max)</f>
        <v>2019</v>
      </c>
      <c r="K165" s="199">
        <f t="shared" si="52"/>
        <v>46538</v>
      </c>
      <c r="L165" s="147">
        <f>IF(t&lt;Tvie,1-EXP((T0-t)*PertePVj)+'2026'!Pspv,1-EXP((T0-t)*PertePVj)+Pspv)</f>
        <v>7.2304137884692365E-2</v>
      </c>
      <c r="M165" s="872"/>
      <c r="N165" s="872"/>
      <c r="O165" s="48">
        <f>IF(t&lt;Tnet,'2026'!Resal+('2026'!Salim-'2026'!Resal)*(1-EXP(('2026'!Tnet-t)/('2026'!Tau_j))),Resal+(Salim-Resal)*(1-EXP((Tnet-t)/(Tau_j))))*Salcycl</f>
        <v>9.5749818435338058E-2</v>
      </c>
      <c r="P165" s="171">
        <f>(INDEX(Models!$BJ165:$BT165,,T165)*(1-R165)+INDEX(Models!$BJ165:$BT165,,T165+1)*R165-ERP_i)*Q165*Ramure*Pc/MaxiM</f>
        <v>1.1257714909558199E-4</v>
      </c>
      <c r="Q165" s="307">
        <f t="shared" si="53"/>
        <v>0.9</v>
      </c>
      <c r="R165" s="179">
        <f t="shared" si="54"/>
        <v>0.84337631047376793</v>
      </c>
      <c r="S165" s="839">
        <f t="shared" si="55"/>
        <v>-2</v>
      </c>
      <c r="T165" s="178">
        <f t="shared" si="56"/>
        <v>4</v>
      </c>
      <c r="U165" s="253">
        <f t="shared" si="57"/>
        <v>-1.1566236895262321</v>
      </c>
      <c r="V165" s="385">
        <f t="shared" si="58"/>
        <v>54.019634821551421</v>
      </c>
      <c r="W165" s="404">
        <f t="shared" si="59"/>
        <v>50.322360093813423</v>
      </c>
      <c r="X165" s="157">
        <f t="shared" si="60"/>
        <v>46538</v>
      </c>
      <c r="Y165" s="387">
        <f t="shared" si="61"/>
        <v>46.138656471220777</v>
      </c>
      <c r="Z165" s="387">
        <f t="shared" si="62"/>
        <v>49.734679602878288</v>
      </c>
      <c r="AA165" s="388">
        <f t="shared" si="63"/>
        <v>59.885768496298489</v>
      </c>
      <c r="AB165" s="199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0.16950753323049758</v>
      </c>
      <c r="AD165" s="233">
        <f>(INDEX(Models!$BJ165:$BT165,,AH165)*(1-AF165)+INDEX(Models!$BJ165:$BT165,,AH165+1)*AF165-ERP_i)*AE165*Ramure*Pc/MaxiM</f>
        <v>2.0073714721781026E-3</v>
      </c>
      <c r="AE165" s="307">
        <f t="shared" si="65"/>
        <v>0.9</v>
      </c>
      <c r="AF165" s="179">
        <f t="shared" si="66"/>
        <v>0.47903196278074711</v>
      </c>
      <c r="AG165" s="839">
        <f t="shared" si="74"/>
        <v>3</v>
      </c>
      <c r="AH165" s="178">
        <f t="shared" si="67"/>
        <v>9</v>
      </c>
      <c r="AI165" s="227">
        <f t="shared" si="68"/>
        <v>3.4790319627807471</v>
      </c>
      <c r="AJ165" s="267" t="b">
        <f t="shared" si="69"/>
        <v>0</v>
      </c>
      <c r="AK165" s="267" t="b">
        <f t="shared" si="70"/>
        <v>0</v>
      </c>
      <c r="AL165" s="267"/>
      <c r="AM165" s="267"/>
      <c r="AN165" s="75"/>
    </row>
    <row r="166" spans="1:40" s="6" customFormat="1" ht="11.25" x14ac:dyDescent="0.2">
      <c r="A166" s="56">
        <f t="shared" si="71"/>
        <v>46539</v>
      </c>
      <c r="B166" s="413">
        <f>'2026'!Wh/'2026'!Env_an*'2027'!Env_an</f>
        <v>51.755215179170442</v>
      </c>
      <c r="C166" s="868"/>
      <c r="D166" s="395">
        <f t="shared" si="50"/>
        <v>55.79028832644871</v>
      </c>
      <c r="E166" s="387">
        <f t="shared" si="72"/>
        <v>61.713987279481657</v>
      </c>
      <c r="F166" s="387">
        <f t="shared" si="51"/>
        <v>61.720107274141256</v>
      </c>
      <c r="G166" s="110">
        <f t="shared" si="73"/>
        <v>0.95802189072253663</v>
      </c>
      <c r="H166" s="416" t="b">
        <f>Wh_hp&gt;='2026'!Maxi_hp</f>
        <v>0</v>
      </c>
      <c r="I166" s="392">
        <f>IF(H166,Wh_hp,'2026'!Maxi_hp)</f>
        <v>65.060642777484958</v>
      </c>
      <c r="J166" s="85">
        <f>IF(H166,An,'2026'!An_max)</f>
        <v>2019</v>
      </c>
      <c r="K166" s="199">
        <f t="shared" si="52"/>
        <v>46539</v>
      </c>
      <c r="L166" s="147">
        <f>IF(t&lt;Tvie,1-EXP((T0-t)*PertePVj)+'2026'!Pspv,1-EXP((T0-t)*PertePVj)+Pspv)</f>
        <v>7.2325726722680228E-2</v>
      </c>
      <c r="M166" s="872"/>
      <c r="N166" s="872"/>
      <c r="O166" s="48">
        <f>IF(t&lt;Tnet,'2026'!Resal+('2026'!Salim-'2026'!Resal)*(1-EXP(('2026'!Tnet-t)/('2026'!Tau_j))),Resal+(Salim-Resal)*(1-EXP((Tnet-t)/(Tau_j))))*Salcycl</f>
        <v>9.5986326830683047E-2</v>
      </c>
      <c r="P166" s="171">
        <f>(INDEX(Models!$BJ166:$BT166,,T166)*(1-R166)+INDEX(Models!$BJ166:$BT166,,T166+1)*R166-ERP_i)*Q166*Ramure*Pc/MaxiM</f>
        <v>1.0548193055386189E-4</v>
      </c>
      <c r="Q166" s="307">
        <f t="shared" si="53"/>
        <v>0.9</v>
      </c>
      <c r="R166" s="179">
        <f t="shared" si="54"/>
        <v>0.85031257978168329</v>
      </c>
      <c r="S166" s="839">
        <f t="shared" si="55"/>
        <v>-2</v>
      </c>
      <c r="T166" s="178">
        <f t="shared" si="56"/>
        <v>4</v>
      </c>
      <c r="U166" s="253">
        <f t="shared" si="57"/>
        <v>-1.1496874202183167</v>
      </c>
      <c r="V166" s="385">
        <f t="shared" si="58"/>
        <v>54.022656800941554</v>
      </c>
      <c r="W166" s="404">
        <f t="shared" si="59"/>
        <v>51.755215179170442</v>
      </c>
      <c r="X166" s="157">
        <f t="shared" si="60"/>
        <v>46539</v>
      </c>
      <c r="Y166" s="387">
        <f t="shared" si="61"/>
        <v>47.451964870811373</v>
      </c>
      <c r="Z166" s="387">
        <f t="shared" si="62"/>
        <v>51.151536953990792</v>
      </c>
      <c r="AA166" s="388">
        <f t="shared" si="63"/>
        <v>61.608483566764242</v>
      </c>
      <c r="AB166" s="199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0.16973225126441244</v>
      </c>
      <c r="AD166" s="233">
        <f>(INDEX(Models!$BJ166:$BT166,,AH166)*(1-AF166)+INDEX(Models!$BJ166:$BT166,,AH166+1)*AF166-ERP_i)*AE166*Ramure*Pc/MaxiM</f>
        <v>1.9239043176678123E-3</v>
      </c>
      <c r="AE166" s="307">
        <f t="shared" si="65"/>
        <v>0.9</v>
      </c>
      <c r="AF166" s="179">
        <f t="shared" si="66"/>
        <v>0.48596823208866224</v>
      </c>
      <c r="AG166" s="839">
        <f t="shared" si="74"/>
        <v>3</v>
      </c>
      <c r="AH166" s="178">
        <f t="shared" si="67"/>
        <v>9</v>
      </c>
      <c r="AI166" s="227">
        <f t="shared" si="68"/>
        <v>3.4859682320886622</v>
      </c>
      <c r="AJ166" s="267" t="b">
        <f t="shared" si="69"/>
        <v>0</v>
      </c>
      <c r="AK166" s="267" t="b">
        <f t="shared" si="70"/>
        <v>0</v>
      </c>
      <c r="AL166" s="267"/>
      <c r="AM166" s="267"/>
      <c r="AN166" s="75"/>
    </row>
    <row r="167" spans="1:40" s="6" customFormat="1" ht="11.25" x14ac:dyDescent="0.2">
      <c r="A167" s="56">
        <f t="shared" si="71"/>
        <v>46540</v>
      </c>
      <c r="B167" s="413">
        <f>'2026'!Wh/'2026'!Env_an*'2027'!Env_an</f>
        <v>40.647098995112422</v>
      </c>
      <c r="C167" s="868"/>
      <c r="D167" s="395">
        <f t="shared" si="50"/>
        <v>43.817152318882577</v>
      </c>
      <c r="E167" s="387">
        <f t="shared" si="72"/>
        <v>48.482213978914118</v>
      </c>
      <c r="F167" s="387">
        <f t="shared" si="51"/>
        <v>48.485321773776036</v>
      </c>
      <c r="G167" s="110">
        <f t="shared" si="73"/>
        <v>0.75239666097099167</v>
      </c>
      <c r="H167" s="416" t="b">
        <f>Wh_hp&gt;='2026'!Maxi_hp</f>
        <v>0</v>
      </c>
      <c r="I167" s="392">
        <f>IF(H167,Wh_hp,'2026'!Maxi_hp)</f>
        <v>63.821113384817394</v>
      </c>
      <c r="J167" s="85">
        <f>IF(H167,An,'2026'!An_max)</f>
        <v>2019</v>
      </c>
      <c r="K167" s="199">
        <f t="shared" si="52"/>
        <v>46540</v>
      </c>
      <c r="L167" s="147">
        <f>IF(t&lt;Tvie,1-EXP((T0-t)*PertePVj)+'2026'!Pspv,1-EXP((T0-t)*PertePVj)+Pspv)</f>
        <v>7.2347315058264305E-2</v>
      </c>
      <c r="M167" s="872"/>
      <c r="N167" s="872"/>
      <c r="O167" s="48">
        <f>IF(t&lt;Tnet,'2026'!Resal+('2026'!Salim-'2026'!Resal)*(1-EXP(('2026'!Tnet-t)/('2026'!Tau_j))),Resal+(Salim-Resal)*(1-EXP((Tnet-t)/(Tau_j))))*Salcycl</f>
        <v>9.6222125129443781E-2</v>
      </c>
      <c r="P167" s="171">
        <f>(INDEX(Models!$BJ167:$BT167,,T167)*(1-R167)+INDEX(Models!$BJ167:$BT167,,T167+1)*R167-ERP_i)*Q167*Ramure*Pc/MaxiM</f>
        <v>9.9173439298754851E-5</v>
      </c>
      <c r="Q167" s="307">
        <f t="shared" si="53"/>
        <v>0.9</v>
      </c>
      <c r="R167" s="179">
        <f t="shared" si="54"/>
        <v>0.85730116056186079</v>
      </c>
      <c r="S167" s="839">
        <f t="shared" si="55"/>
        <v>-2</v>
      </c>
      <c r="T167" s="178">
        <f t="shared" si="56"/>
        <v>4</v>
      </c>
      <c r="U167" s="253">
        <f t="shared" si="57"/>
        <v>-1.1426988394381392</v>
      </c>
      <c r="V167" s="385">
        <f t="shared" si="58"/>
        <v>54.021602278132356</v>
      </c>
      <c r="W167" s="404">
        <f t="shared" si="59"/>
        <v>40.647098995112422</v>
      </c>
      <c r="X167" s="157">
        <f t="shared" si="60"/>
        <v>46540</v>
      </c>
      <c r="Y167" s="387">
        <f t="shared" si="61"/>
        <v>37.288898398667399</v>
      </c>
      <c r="Z167" s="387">
        <f t="shared" si="62"/>
        <v>40.197046808536378</v>
      </c>
      <c r="AA167" s="388">
        <f t="shared" si="63"/>
        <v>48.427584264469473</v>
      </c>
      <c r="AB167" s="199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0.16995556522053698</v>
      </c>
      <c r="AD167" s="233">
        <f>(INDEX(Models!$BJ167:$BT167,,AH167)*(1-AF167)+INDEX(Models!$BJ167:$BT167,,AH167+1)*AF167-ERP_i)*AE167*Ramure*Pc/MaxiM</f>
        <v>1.8424727592643516E-3</v>
      </c>
      <c r="AE167" s="307">
        <f t="shared" si="65"/>
        <v>0.9</v>
      </c>
      <c r="AF167" s="179">
        <f t="shared" si="66"/>
        <v>0.49295681286883974</v>
      </c>
      <c r="AG167" s="839">
        <f t="shared" si="74"/>
        <v>3</v>
      </c>
      <c r="AH167" s="178">
        <f t="shared" si="67"/>
        <v>9</v>
      </c>
      <c r="AI167" s="227">
        <f t="shared" si="68"/>
        <v>3.4929568128688397</v>
      </c>
      <c r="AJ167" s="267" t="b">
        <f t="shared" si="69"/>
        <v>0</v>
      </c>
      <c r="AK167" s="267" t="b">
        <f t="shared" si="70"/>
        <v>0</v>
      </c>
      <c r="AL167" s="267"/>
      <c r="AM167" s="267"/>
      <c r="AN167" s="75"/>
    </row>
    <row r="168" spans="1:40" s="6" customFormat="1" ht="11.25" x14ac:dyDescent="0.2">
      <c r="A168" s="56">
        <f t="shared" si="71"/>
        <v>46541</v>
      </c>
      <c r="B168" s="413">
        <f>'2026'!Wh/'2026'!Env_an*'2027'!Env_an</f>
        <v>49.260793933578505</v>
      </c>
      <c r="C168" s="868"/>
      <c r="D168" s="395">
        <f t="shared" si="50"/>
        <v>53.103862178754035</v>
      </c>
      <c r="E168" s="387">
        <f t="shared" si="72"/>
        <v>58.772928360156186</v>
      </c>
      <c r="F168" s="387">
        <f t="shared" si="51"/>
        <v>58.777741143456502</v>
      </c>
      <c r="G168" s="110">
        <f t="shared" si="73"/>
        <v>0.91194467988380612</v>
      </c>
      <c r="H168" s="416" t="b">
        <f>Wh_hp&gt;='2026'!Maxi_hp</f>
        <v>0</v>
      </c>
      <c r="I168" s="392">
        <f>IF(H168,Wh_hp,'2026'!Maxi_hp)</f>
        <v>59.795155783954719</v>
      </c>
      <c r="J168" s="85">
        <f>IF(H168,An,'2026'!An_max)</f>
        <v>2020</v>
      </c>
      <c r="K168" s="199">
        <f t="shared" si="52"/>
        <v>46541</v>
      </c>
      <c r="L168" s="147">
        <f>IF(t&lt;Tvie,1-EXP((T0-t)*PertePVj)+'2026'!Pspv,1-EXP((T0-t)*PertePVj)+Pspv)</f>
        <v>7.2368902891456255E-2</v>
      </c>
      <c r="M168" s="872"/>
      <c r="N168" s="872"/>
      <c r="O168" s="48">
        <f>IF(t&lt;Tnet,'2026'!Resal+('2026'!Salim-'2026'!Resal)*(1-EXP(('2026'!Tnet-t)/('2026'!Tau_j))),Resal+(Salim-Resal)*(1-EXP((Tnet-t)/(Tau_j))))*Salcycl</f>
        <v>9.6457099204969476E-2</v>
      </c>
      <c r="P168" s="171">
        <f>(INDEX(Models!$BJ168:$BT168,,T168)*(1-R168)+INDEX(Models!$BJ168:$BT168,,T168+1)*R168-ERP_i)*Q168*Ramure*Pc/MaxiM</f>
        <v>9.3661620430081805E-5</v>
      </c>
      <c r="Q168" s="307">
        <f t="shared" si="53"/>
        <v>0.9</v>
      </c>
      <c r="R168" s="179">
        <f t="shared" si="54"/>
        <v>0.86433668245704154</v>
      </c>
      <c r="S168" s="839">
        <f t="shared" si="55"/>
        <v>-2</v>
      </c>
      <c r="T168" s="178">
        <f t="shared" si="56"/>
        <v>4</v>
      </c>
      <c r="U168" s="253">
        <f t="shared" si="57"/>
        <v>-1.1356633175429585</v>
      </c>
      <c r="V168" s="385">
        <f t="shared" si="58"/>
        <v>54.016668612177007</v>
      </c>
      <c r="W168" s="404">
        <f t="shared" si="59"/>
        <v>49.260793933578505</v>
      </c>
      <c r="X168" s="157">
        <f t="shared" si="60"/>
        <v>46541</v>
      </c>
      <c r="Y168" s="387">
        <f t="shared" si="61"/>
        <v>45.175568563720383</v>
      </c>
      <c r="Z168" s="387">
        <f t="shared" si="62"/>
        <v>48.699928996056833</v>
      </c>
      <c r="AA168" s="388">
        <f t="shared" si="63"/>
        <v>58.687148191180462</v>
      </c>
      <c r="AB168" s="199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0.17017727906268432</v>
      </c>
      <c r="AD168" s="233">
        <f>(INDEX(Models!$BJ168:$BT168,,AH168)*(1-AF168)+INDEX(Models!$BJ168:$BT168,,AH168+1)*AF168-ERP_i)*AE168*Ramure*Pc/MaxiM</f>
        <v>1.7630302841941394E-3</v>
      </c>
      <c r="AE168" s="307">
        <f t="shared" si="65"/>
        <v>0.9</v>
      </c>
      <c r="AF168" s="179">
        <f t="shared" si="66"/>
        <v>0.49999233476402072</v>
      </c>
      <c r="AG168" s="839">
        <f t="shared" si="74"/>
        <v>3</v>
      </c>
      <c r="AH168" s="178">
        <f t="shared" si="67"/>
        <v>9</v>
      </c>
      <c r="AI168" s="227">
        <f t="shared" si="68"/>
        <v>3.4999923347640207</v>
      </c>
      <c r="AJ168" s="267" t="b">
        <f t="shared" si="69"/>
        <v>0</v>
      </c>
      <c r="AK168" s="267" t="b">
        <f t="shared" si="70"/>
        <v>0</v>
      </c>
      <c r="AL168" s="267"/>
      <c r="AM168" s="267"/>
      <c r="AN168" s="75"/>
    </row>
    <row r="169" spans="1:40" s="18" customFormat="1" ht="11.25" x14ac:dyDescent="0.2">
      <c r="A169" s="56">
        <f t="shared" si="71"/>
        <v>46542</v>
      </c>
      <c r="B169" s="413">
        <f>'2026'!Wh/'2026'!Env_an*'2027'!Env_an</f>
        <v>27.972950109105327</v>
      </c>
      <c r="C169" s="868"/>
      <c r="D169" s="395">
        <f t="shared" si="50"/>
        <v>30.155954433679774</v>
      </c>
      <c r="E169" s="387">
        <f t="shared" si="72"/>
        <v>33.383879693967103</v>
      </c>
      <c r="F169" s="387">
        <f t="shared" si="51"/>
        <v>33.384804325747552</v>
      </c>
      <c r="G169" s="110">
        <f t="shared" si="73"/>
        <v>0.51790862548405325</v>
      </c>
      <c r="H169" s="416" t="b">
        <f>Wh_hp&gt;='2026'!Maxi_hp</f>
        <v>0</v>
      </c>
      <c r="I169" s="392">
        <f>IF(H169,Wh_hp,'2026'!Maxi_hp)</f>
        <v>57.885419490334492</v>
      </c>
      <c r="J169" s="85">
        <f>IF(H169,An,'2026'!An_max)</f>
        <v>2019</v>
      </c>
      <c r="K169" s="199">
        <f t="shared" si="52"/>
        <v>46542</v>
      </c>
      <c r="L169" s="147">
        <f>IF(t&lt;Tvie,1-EXP((T0-t)*PertePVj)+'2026'!Pspv,1-EXP((T0-t)*PertePVj)+Pspv)</f>
        <v>7.2390490222267734E-2</v>
      </c>
      <c r="M169" s="872"/>
      <c r="N169" s="872"/>
      <c r="O169" s="48">
        <f>IF(t&lt;Tnet,'2026'!Resal+('2026'!Salim-'2026'!Resal)*(1-EXP(('2026'!Tnet-t)/('2026'!Tau_j))),Resal+(Salim-Resal)*(1-EXP((Tnet-t)/(Tau_j))))*Salcycl</f>
        <v>9.6691136257319399E-2</v>
      </c>
      <c r="P169" s="171">
        <f>(INDEX(Models!$BJ169:$BT169,,T169)*(1-R169)+INDEX(Models!$BJ169:$BT169,,T169+1)*R169-ERP_i)*Q169*Ramure*Pc/MaxiM</f>
        <v>8.8957048640381093E-5</v>
      </c>
      <c r="Q169" s="307">
        <f t="shared" si="53"/>
        <v>0.9</v>
      </c>
      <c r="R169" s="179">
        <f t="shared" si="54"/>
        <v>0.87141362299856517</v>
      </c>
      <c r="S169" s="839">
        <f t="shared" si="55"/>
        <v>-2</v>
      </c>
      <c r="T169" s="178">
        <f t="shared" si="56"/>
        <v>4</v>
      </c>
      <c r="U169" s="253">
        <f t="shared" si="57"/>
        <v>-1.1285863770014348</v>
      </c>
      <c r="V169" s="385">
        <f t="shared" si="58"/>
        <v>54.008052846138305</v>
      </c>
      <c r="W169" s="404">
        <f t="shared" si="59"/>
        <v>27.972950109105327</v>
      </c>
      <c r="X169" s="157">
        <f t="shared" si="60"/>
        <v>46542</v>
      </c>
      <c r="Y169" s="387">
        <f t="shared" si="61"/>
        <v>25.677708723227767</v>
      </c>
      <c r="Z169" s="387">
        <f t="shared" si="62"/>
        <v>27.68159279585274</v>
      </c>
      <c r="AA169" s="388">
        <f t="shared" si="63"/>
        <v>33.367284674693067</v>
      </c>
      <c r="AB169" s="199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0.17039719996013208</v>
      </c>
      <c r="AD169" s="233">
        <f>(INDEX(Models!$BJ169:$BT169,,AH169)*(1-AF169)+INDEX(Models!$BJ169:$BT169,,AH169+1)*AF169-ERP_i)*AE169*Ramure*Pc/MaxiM</f>
        <v>1.6855319965896625E-3</v>
      </c>
      <c r="AE169" s="307">
        <f t="shared" si="65"/>
        <v>0.9</v>
      </c>
      <c r="AF169" s="179">
        <f t="shared" si="66"/>
        <v>0.50706927530554413</v>
      </c>
      <c r="AG169" s="839">
        <f t="shared" si="74"/>
        <v>3</v>
      </c>
      <c r="AH169" s="178">
        <f t="shared" si="67"/>
        <v>9</v>
      </c>
      <c r="AI169" s="227">
        <f t="shared" si="68"/>
        <v>3.5070692753055441</v>
      </c>
      <c r="AJ169" s="267" t="b">
        <f t="shared" si="69"/>
        <v>0</v>
      </c>
      <c r="AK169" s="267" t="b">
        <f t="shared" si="70"/>
        <v>0</v>
      </c>
      <c r="AL169" s="267"/>
      <c r="AM169" s="267"/>
      <c r="AN169" s="267"/>
    </row>
    <row r="170" spans="1:40" s="18" customFormat="1" ht="11.25" x14ac:dyDescent="0.2">
      <c r="A170" s="56">
        <f t="shared" si="71"/>
        <v>46543</v>
      </c>
      <c r="B170" s="413">
        <f>'2026'!Wh/'2026'!Env_an*'2027'!Env_an</f>
        <v>29.220713945918156</v>
      </c>
      <c r="C170" s="868"/>
      <c r="D170" s="395">
        <f t="shared" si="50"/>
        <v>31.501826644109546</v>
      </c>
      <c r="E170" s="387">
        <f t="shared" ref="E170:E232" si="75">Wh_pvt/(1-Psa)</f>
        <v>34.882812756845496</v>
      </c>
      <c r="F170" s="387">
        <f t="shared" si="51"/>
        <v>34.883836157335701</v>
      </c>
      <c r="G170" s="110">
        <f t="shared" ref="G170:G232" si="76">+Wh_hp/MaxiM</f>
        <v>0.5411347410181625</v>
      </c>
      <c r="H170" s="416" t="b">
        <f>Wh_hp&gt;='2026'!Maxi_hp</f>
        <v>0</v>
      </c>
      <c r="I170" s="392">
        <f>IF(H170,Wh_hp,'2026'!Maxi_hp)</f>
        <v>47.550981784469194</v>
      </c>
      <c r="J170" s="85">
        <f>IF(H170,An,'2026'!An_max)</f>
        <v>2021</v>
      </c>
      <c r="K170" s="199">
        <f t="shared" si="52"/>
        <v>46543</v>
      </c>
      <c r="L170" s="147">
        <f>IF(t&lt;Tvie,1-EXP((T0-t)*PertePVj)+'2026'!Pspv,1-EXP((T0-t)*PertePVj)+Pspv)</f>
        <v>7.2412077050710622E-2</v>
      </c>
      <c r="M170" s="872"/>
      <c r="N170" s="872"/>
      <c r="O170" s="48">
        <f>IF(t&lt;Tnet,'2026'!Resal+('2026'!Salim-'2026'!Resal)*(1-EXP(('2026'!Tnet-t)/('2026'!Tau_j))),Resal+(Salim-Resal)*(1-EXP((Tnet-t)/(Tau_j))))*Salcycl</f>
        <v>9.6924125250549234E-2</v>
      </c>
      <c r="P170" s="171">
        <f>(INDEX(Models!$BJ170:$BT170,,T170)*(1-R170)+INDEX(Models!$BJ170:$BT170,,T170+1)*R170-ERP_i)*Q170*Ramure*Pc/MaxiM</f>
        <v>8.5154036048521202E-5</v>
      </c>
      <c r="Q170" s="307">
        <f t="shared" si="53"/>
        <v>0.9</v>
      </c>
      <c r="R170" s="179">
        <f t="shared" si="54"/>
        <v>0.87852632421694588</v>
      </c>
      <c r="S170" s="839">
        <f t="shared" si="55"/>
        <v>-2</v>
      </c>
      <c r="T170" s="178">
        <f t="shared" si="56"/>
        <v>4</v>
      </c>
      <c r="U170" s="253">
        <f t="shared" si="57"/>
        <v>-1.1214736757830541</v>
      </c>
      <c r="V170" s="385">
        <f t="shared" si="58"/>
        <v>53.995947184359963</v>
      </c>
      <c r="W170" s="404">
        <f t="shared" si="59"/>
        <v>29.220713945918156</v>
      </c>
      <c r="X170" s="157">
        <f t="shared" si="60"/>
        <v>46543</v>
      </c>
      <c r="Y170" s="387">
        <f t="shared" si="61"/>
        <v>26.822180231561163</v>
      </c>
      <c r="Z170" s="387">
        <f t="shared" si="62"/>
        <v>28.916051587087679</v>
      </c>
      <c r="AA170" s="388">
        <f t="shared" si="63"/>
        <v>34.864455511584715</v>
      </c>
      <c r="AB170" s="199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0.17061513903524209</v>
      </c>
      <c r="AD170" s="233">
        <f>(INDEX(Models!$BJ170:$BT170,,AH170)*(1-AF170)+INDEX(Models!$BJ170:$BT170,,AH170+1)*AF170-ERP_i)*AE170*Ramure*Pc/MaxiM</f>
        <v>1.6126044717781692E-3</v>
      </c>
      <c r="AE170" s="307">
        <f t="shared" si="65"/>
        <v>0.9</v>
      </c>
      <c r="AF170" s="179">
        <f t="shared" si="66"/>
        <v>0.51418197652392506</v>
      </c>
      <c r="AG170" s="839">
        <f t="shared" si="74"/>
        <v>3</v>
      </c>
      <c r="AH170" s="178">
        <f t="shared" si="67"/>
        <v>9</v>
      </c>
      <c r="AI170" s="227">
        <f t="shared" si="68"/>
        <v>3.5141819765239251</v>
      </c>
      <c r="AJ170" s="267" t="b">
        <f t="shared" si="69"/>
        <v>0</v>
      </c>
      <c r="AK170" s="267" t="b">
        <f t="shared" si="70"/>
        <v>0</v>
      </c>
      <c r="AL170" s="267"/>
      <c r="AM170" s="267"/>
      <c r="AN170" s="267"/>
    </row>
    <row r="171" spans="1:40" s="6" customFormat="1" ht="11.25" x14ac:dyDescent="0.2">
      <c r="A171" s="56">
        <f t="shared" si="71"/>
        <v>46544</v>
      </c>
      <c r="B171" s="413">
        <f>'2026'!Wh/'2026'!Env_an*'2027'!Env_an</f>
        <v>38.988544541667011</v>
      </c>
      <c r="C171" s="868"/>
      <c r="D171" s="395">
        <f t="shared" si="50"/>
        <v>42.033160327491437</v>
      </c>
      <c r="E171" s="387">
        <f t="shared" si="75"/>
        <v>46.556391072838856</v>
      </c>
      <c r="F171" s="387">
        <f t="shared" si="51"/>
        <v>46.558688027469636</v>
      </c>
      <c r="G171" s="110">
        <f t="shared" si="76"/>
        <v>0.72224647726356384</v>
      </c>
      <c r="H171" s="416" t="b">
        <f>Wh_hp&gt;='2026'!Maxi_hp</f>
        <v>0</v>
      </c>
      <c r="I171" s="392">
        <f>IF(H171,Wh_hp,'2026'!Maxi_hp)</f>
        <v>63.625581606461907</v>
      </c>
      <c r="J171" s="85">
        <f>IF(H171,An,'2026'!An_max)</f>
        <v>2019</v>
      </c>
      <c r="K171" s="199">
        <f t="shared" si="52"/>
        <v>46544</v>
      </c>
      <c r="L171" s="147">
        <f>IF(t&lt;Tvie,1-EXP((T0-t)*PertePVj)+'2026'!Pspv,1-EXP((T0-t)*PertePVj)+Pspv)</f>
        <v>7.2433663376796353E-2</v>
      </c>
      <c r="M171" s="872"/>
      <c r="N171" s="872"/>
      <c r="O171" s="48">
        <f>IF(t&lt;Tnet,'2026'!Resal+('2026'!Salim-'2026'!Resal)*(1-EXP(('2026'!Tnet-t)/('2026'!Tau_j))),Resal+(Salim-Resal)*(1-EXP((Tnet-t)/(Tau_j))))*Salcycl</f>
        <v>9.7155957347954472E-2</v>
      </c>
      <c r="P171" s="171">
        <f>(INDEX(Models!$BJ171:$BT171,,T171)*(1-R171)+INDEX(Models!$BJ171:$BT171,,T171+1)*R171-ERP_i)*Q171*Ramure*Pc/MaxiM</f>
        <v>8.1782349483011646E-5</v>
      </c>
      <c r="Q171" s="307">
        <f t="shared" si="53"/>
        <v>0.9</v>
      </c>
      <c r="R171" s="179">
        <f t="shared" si="54"/>
        <v>0.88566901018294186</v>
      </c>
      <c r="S171" s="839">
        <f t="shared" si="55"/>
        <v>-2</v>
      </c>
      <c r="T171" s="178">
        <f t="shared" si="56"/>
        <v>4</v>
      </c>
      <c r="U171" s="253">
        <f t="shared" si="57"/>
        <v>-1.1143309898170581</v>
      </c>
      <c r="V171" s="385">
        <f t="shared" si="58"/>
        <v>53.980573967986892</v>
      </c>
      <c r="W171" s="404">
        <f t="shared" si="59"/>
        <v>38.988544541667011</v>
      </c>
      <c r="X171" s="157">
        <f t="shared" si="60"/>
        <v>46544</v>
      </c>
      <c r="Y171" s="387">
        <f t="shared" si="61"/>
        <v>35.775396622443651</v>
      </c>
      <c r="Z171" s="387">
        <f t="shared" si="62"/>
        <v>38.569097659024195</v>
      </c>
      <c r="AA171" s="388">
        <f t="shared" si="63"/>
        <v>46.515358835705968</v>
      </c>
      <c r="AB171" s="199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0.17083091210256526</v>
      </c>
      <c r="AD171" s="233">
        <f>(INDEX(Models!$BJ171:$BT171,,AH171)*(1-AF171)+INDEX(Models!$BJ171:$BT171,,AH171+1)*AF171-ERP_i)*AE171*Ramure*Pc/MaxiM</f>
        <v>1.542722288090932E-3</v>
      </c>
      <c r="AE171" s="307">
        <f t="shared" si="65"/>
        <v>0.9</v>
      </c>
      <c r="AF171" s="179">
        <f t="shared" si="66"/>
        <v>0.5213246624899206</v>
      </c>
      <c r="AG171" s="839">
        <f t="shared" si="74"/>
        <v>3</v>
      </c>
      <c r="AH171" s="178">
        <f t="shared" si="67"/>
        <v>9</v>
      </c>
      <c r="AI171" s="227">
        <f t="shared" si="68"/>
        <v>3.5213246624899206</v>
      </c>
      <c r="AJ171" s="267" t="b">
        <f t="shared" si="69"/>
        <v>0</v>
      </c>
      <c r="AK171" s="267" t="b">
        <f t="shared" si="70"/>
        <v>0</v>
      </c>
      <c r="AL171" s="267"/>
      <c r="AM171" s="267"/>
      <c r="AN171" s="75"/>
    </row>
    <row r="172" spans="1:40" s="6" customFormat="1" ht="11.25" x14ac:dyDescent="0.2">
      <c r="A172" s="56">
        <f t="shared" si="71"/>
        <v>46545</v>
      </c>
      <c r="B172" s="413">
        <f>'2026'!Wh/'2026'!Env_an*'2027'!Env_an</f>
        <v>29.342107637087878</v>
      </c>
      <c r="C172" s="868"/>
      <c r="D172" s="395">
        <f t="shared" si="50"/>
        <v>31.63416925361016</v>
      </c>
      <c r="E172" s="387">
        <f t="shared" si="75"/>
        <v>35.047304496153998</v>
      </c>
      <c r="F172" s="387">
        <f t="shared" si="51"/>
        <v>35.04826680410995</v>
      </c>
      <c r="G172" s="110">
        <f t="shared" si="76"/>
        <v>0.54372575684896984</v>
      </c>
      <c r="H172" s="416" t="b">
        <f>Wh_hp&gt;='2026'!Maxi_hp</f>
        <v>0</v>
      </c>
      <c r="I172" s="392">
        <f>IF(H172,Wh_hp,'2026'!Maxi_hp)</f>
        <v>57.342414657537475</v>
      </c>
      <c r="J172" s="85">
        <f>IF(H172,An,'2026'!An_max)</f>
        <v>2021</v>
      </c>
      <c r="K172" s="199">
        <f t="shared" si="52"/>
        <v>46545</v>
      </c>
      <c r="L172" s="147">
        <f>IF(t&lt;Tvie,1-EXP((T0-t)*PertePVj)+'2026'!Pspv,1-EXP((T0-t)*PertePVj)+Pspv)</f>
        <v>7.2455249200536809E-2</v>
      </c>
      <c r="M172" s="872"/>
      <c r="N172" s="872"/>
      <c r="O172" s="48">
        <f>IF(t&lt;Tnet,'2026'!Resal+('2026'!Salim-'2026'!Resal)*(1-EXP(('2026'!Tnet-t)/('2026'!Tau_j))),Resal+(Salim-Resal)*(1-EXP((Tnet-t)/(Tau_j))))*Salcycl</f>
        <v>9.7386526342372076E-2</v>
      </c>
      <c r="P172" s="171">
        <f>(INDEX(Models!$BJ172:$BT172,,T172)*(1-R172)+INDEX(Models!$BJ172:$BT172,,T172+1)*R172-ERP_i)*Q172*Ramure*Pc/MaxiM</f>
        <v>7.8848665889007225E-5</v>
      </c>
      <c r="Q172" s="307">
        <f t="shared" si="53"/>
        <v>0.9</v>
      </c>
      <c r="R172" s="179">
        <f t="shared" si="54"/>
        <v>0.89283580536789819</v>
      </c>
      <c r="S172" s="839">
        <f t="shared" si="55"/>
        <v>-2</v>
      </c>
      <c r="T172" s="178">
        <f t="shared" si="56"/>
        <v>4</v>
      </c>
      <c r="U172" s="253">
        <f t="shared" si="57"/>
        <v>-1.1071641946321018</v>
      </c>
      <c r="V172" s="385">
        <f t="shared" si="58"/>
        <v>53.9621293933644</v>
      </c>
      <c r="W172" s="404">
        <f t="shared" si="59"/>
        <v>29.342107637087878</v>
      </c>
      <c r="X172" s="157">
        <f t="shared" si="60"/>
        <v>46545</v>
      </c>
      <c r="Y172" s="387">
        <f t="shared" si="61"/>
        <v>26.934534355734232</v>
      </c>
      <c r="Z172" s="387">
        <f t="shared" si="62"/>
        <v>29.038528149201426</v>
      </c>
      <c r="AA172" s="388">
        <f t="shared" si="63"/>
        <v>35.03025501149083</v>
      </c>
      <c r="AB172" s="199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0.171044340394438</v>
      </c>
      <c r="AD172" s="233">
        <f>(INDEX(Models!$BJ172:$BT172,,AH172)*(1-AF172)+INDEX(Models!$BJ172:$BT172,,AH172+1)*AF172-ERP_i)*AE172*Ramure*Pc/MaxiM</f>
        <v>1.4758329799719051E-3</v>
      </c>
      <c r="AE172" s="307">
        <f t="shared" si="65"/>
        <v>0.9</v>
      </c>
      <c r="AF172" s="179">
        <f t="shared" si="66"/>
        <v>0.52849145767487737</v>
      </c>
      <c r="AG172" s="839">
        <f t="shared" si="74"/>
        <v>3</v>
      </c>
      <c r="AH172" s="178">
        <f t="shared" si="67"/>
        <v>9</v>
      </c>
      <c r="AI172" s="227">
        <f t="shared" si="68"/>
        <v>3.5284914576748774</v>
      </c>
      <c r="AJ172" s="267" t="b">
        <f t="shared" si="69"/>
        <v>0</v>
      </c>
      <c r="AK172" s="267" t="b">
        <f t="shared" si="70"/>
        <v>0</v>
      </c>
      <c r="AL172" s="267"/>
      <c r="AM172" s="267"/>
      <c r="AN172" s="75"/>
    </row>
    <row r="173" spans="1:40" s="6" customFormat="1" ht="11.25" x14ac:dyDescent="0.2">
      <c r="A173" s="56">
        <f t="shared" si="71"/>
        <v>46546</v>
      </c>
      <c r="B173" s="413">
        <f>'2026'!Wh/'2026'!Env_an*'2027'!Env_an</f>
        <v>20.642441080093931</v>
      </c>
      <c r="C173" s="868"/>
      <c r="D173" s="395">
        <f t="shared" si="50"/>
        <v>22.255445306807591</v>
      </c>
      <c r="E173" s="387">
        <f t="shared" si="75"/>
        <v>24.662935762481293</v>
      </c>
      <c r="F173" s="387">
        <f t="shared" si="51"/>
        <v>24.663158223029761</v>
      </c>
      <c r="G173" s="110">
        <f t="shared" si="76"/>
        <v>0.38266112984897527</v>
      </c>
      <c r="H173" s="416" t="b">
        <f>Wh_hp&gt;='2026'!Maxi_hp</f>
        <v>0</v>
      </c>
      <c r="I173" s="392">
        <f>IF(H173,Wh_hp,'2026'!Maxi_hp)</f>
        <v>65.985446784364868</v>
      </c>
      <c r="J173" s="85">
        <f>IF(H173,An,'2026'!An_max)</f>
        <v>2019</v>
      </c>
      <c r="K173" s="199">
        <f t="shared" si="52"/>
        <v>46546</v>
      </c>
      <c r="L173" s="147">
        <f>IF(t&lt;Tvie,1-EXP((T0-t)*PertePVj)+'2026'!Pspv,1-EXP((T0-t)*PertePVj)+Pspv)</f>
        <v>7.2476834521943534E-2</v>
      </c>
      <c r="M173" s="872"/>
      <c r="N173" s="872"/>
      <c r="O173" s="48">
        <f>IF(t&lt;Tnet,'2026'!Resal+('2026'!Salim-'2026'!Resal)*(1-EXP(('2026'!Tnet-t)/('2026'!Tau_j))),Resal+(Salim-Resal)*(1-EXP((Tnet-t)/(Tau_j))))*Salcycl</f>
        <v>9.7615729078616861E-2</v>
      </c>
      <c r="P173" s="171">
        <f>(INDEX(Models!$BJ173:$BT173,,T173)*(1-R173)+INDEX(Models!$BJ173:$BT173,,T173+1)*R173-ERP_i)*Q173*Ramure*Pc/MaxiM</f>
        <v>7.6359951386663724E-5</v>
      </c>
      <c r="Q173" s="307">
        <f t="shared" si="53"/>
        <v>0.9</v>
      </c>
      <c r="R173" s="179">
        <f t="shared" si="54"/>
        <v>0.90002075370247137</v>
      </c>
      <c r="S173" s="839">
        <f t="shared" si="55"/>
        <v>-2</v>
      </c>
      <c r="T173" s="178">
        <f t="shared" si="56"/>
        <v>4</v>
      </c>
      <c r="U173" s="253">
        <f t="shared" si="57"/>
        <v>-1.0999792462975286</v>
      </c>
      <c r="V173" s="385">
        <f t="shared" si="58"/>
        <v>53.940809231839189</v>
      </c>
      <c r="W173" s="404">
        <f t="shared" si="59"/>
        <v>20.642441080093931</v>
      </c>
      <c r="X173" s="157">
        <f t="shared" si="60"/>
        <v>46546</v>
      </c>
      <c r="Y173" s="387">
        <f t="shared" si="61"/>
        <v>18.954913510221019</v>
      </c>
      <c r="Z173" s="387">
        <f t="shared" si="62"/>
        <v>20.43605401537484</v>
      </c>
      <c r="AA173" s="388">
        <f t="shared" si="63"/>
        <v>24.659044955210277</v>
      </c>
      <c r="AB173" s="199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0.17125525126808083</v>
      </c>
      <c r="AD173" s="233">
        <f>(INDEX(Models!$BJ173:$BT173,,AH173)*(1-AF173)+INDEX(Models!$BJ173:$BT173,,AH173+1)*AF173-ERP_i)*AE173*Ramure*Pc/MaxiM</f>
        <v>1.4118859856255405E-3</v>
      </c>
      <c r="AE173" s="307">
        <f t="shared" si="65"/>
        <v>0.9</v>
      </c>
      <c r="AF173" s="179">
        <f t="shared" si="66"/>
        <v>0.53567640600945055</v>
      </c>
      <c r="AG173" s="839">
        <f t="shared" si="74"/>
        <v>3</v>
      </c>
      <c r="AH173" s="178">
        <f t="shared" si="67"/>
        <v>9</v>
      </c>
      <c r="AI173" s="227">
        <f t="shared" si="68"/>
        <v>3.5356764060094505</v>
      </c>
      <c r="AJ173" s="267" t="b">
        <f t="shared" si="69"/>
        <v>0</v>
      </c>
      <c r="AK173" s="267" t="b">
        <f t="shared" si="70"/>
        <v>0</v>
      </c>
      <c r="AL173" s="267"/>
      <c r="AM173" s="267"/>
      <c r="AN173" s="75"/>
    </row>
    <row r="174" spans="1:40" s="6" customFormat="1" ht="11.25" x14ac:dyDescent="0.2">
      <c r="A174" s="56">
        <f t="shared" si="71"/>
        <v>46547</v>
      </c>
      <c r="B174" s="413">
        <f>'2026'!Wh/'2026'!Env_an*'2027'!Env_an</f>
        <v>41.059078128737831</v>
      </c>
      <c r="C174" s="868"/>
      <c r="D174" s="395">
        <f t="shared" si="50"/>
        <v>44.268472404722118</v>
      </c>
      <c r="E174" s="387">
        <f t="shared" si="75"/>
        <v>49.069613453694082</v>
      </c>
      <c r="F174" s="387">
        <f t="shared" si="51"/>
        <v>49.072018139126918</v>
      </c>
      <c r="G174" s="110">
        <f t="shared" si="76"/>
        <v>0.76150720640381453</v>
      </c>
      <c r="H174" s="416" t="b">
        <f>Wh_hp&gt;='2026'!Maxi_hp</f>
        <v>0</v>
      </c>
      <c r="I174" s="392">
        <f>IF(H174,Wh_hp,'2026'!Maxi_hp)</f>
        <v>59.948298229793359</v>
      </c>
      <c r="J174" s="85">
        <f>IF(H174,An,'2026'!An_max)</f>
        <v>2021</v>
      </c>
      <c r="K174" s="199">
        <f t="shared" si="52"/>
        <v>46547</v>
      </c>
      <c r="L174" s="147">
        <f>IF(t&lt;Tvie,1-EXP((T0-t)*PertePVj)+'2026'!Pspv,1-EXP((T0-t)*PertePVj)+Pspv)</f>
        <v>7.2498419341028408E-2</v>
      </c>
      <c r="M174" s="872"/>
      <c r="N174" s="872"/>
      <c r="O174" s="48">
        <f>IF(t&lt;Tnet,'2026'!Resal+('2026'!Salim-'2026'!Resal)*(1-EXP(('2026'!Tnet-t)/('2026'!Tau_j))),Resal+(Salim-Resal)*(1-EXP((Tnet-t)/(Tau_j))))*Salcycl</f>
        <v>9.7843465865136647E-2</v>
      </c>
      <c r="P174" s="171">
        <f>(INDEX(Models!$BJ174:$BT174,,T174)*(1-R174)+INDEX(Models!$BJ174:$BT174,,T174+1)*R174-ERP_i)*Q174*Ramure*Pc/MaxiM</f>
        <v>7.4323432890746063E-5</v>
      </c>
      <c r="Q174" s="307">
        <f t="shared" si="53"/>
        <v>0.9</v>
      </c>
      <c r="R174" s="179">
        <f t="shared" si="54"/>
        <v>0.90721783820449953</v>
      </c>
      <c r="S174" s="839">
        <f t="shared" si="55"/>
        <v>-2</v>
      </c>
      <c r="T174" s="178">
        <f t="shared" si="56"/>
        <v>4</v>
      </c>
      <c r="U174" s="253">
        <f t="shared" si="57"/>
        <v>-1.0927821617955005</v>
      </c>
      <c r="V174" s="385">
        <f t="shared" si="58"/>
        <v>53.916808805865003</v>
      </c>
      <c r="W174" s="404">
        <f t="shared" si="59"/>
        <v>41.059078128737831</v>
      </c>
      <c r="X174" s="157">
        <f t="shared" si="60"/>
        <v>46547</v>
      </c>
      <c r="Y174" s="387">
        <f t="shared" si="61"/>
        <v>37.676735256026113</v>
      </c>
      <c r="Z174" s="387">
        <f t="shared" si="62"/>
        <v>40.621747759456682</v>
      </c>
      <c r="AA174" s="388">
        <f t="shared" si="63"/>
        <v>49.02831284371031</v>
      </c>
      <c r="AB174" s="199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0.17146347888926156</v>
      </c>
      <c r="AD174" s="233">
        <f>(INDEX(Models!$BJ174:$BT174,,AH174)*(1-AF174)+INDEX(Models!$BJ174:$BT174,,AH174+1)*AF174-ERP_i)*AE174*Ramure*Pc/MaxiM</f>
        <v>1.3508326480093393E-3</v>
      </c>
      <c r="AE174" s="307">
        <f t="shared" si="65"/>
        <v>0.9</v>
      </c>
      <c r="AF174" s="179">
        <f t="shared" si="66"/>
        <v>0.54287349051147871</v>
      </c>
      <c r="AG174" s="839">
        <f t="shared" si="74"/>
        <v>3</v>
      </c>
      <c r="AH174" s="178">
        <f t="shared" si="67"/>
        <v>9</v>
      </c>
      <c r="AI174" s="227">
        <f t="shared" si="68"/>
        <v>3.5428734905114787</v>
      </c>
      <c r="AJ174" s="267" t="b">
        <f t="shared" si="69"/>
        <v>0</v>
      </c>
      <c r="AK174" s="267" t="b">
        <f t="shared" si="70"/>
        <v>0</v>
      </c>
      <c r="AL174" s="267"/>
      <c r="AM174" s="267"/>
      <c r="AN174" s="75"/>
    </row>
    <row r="175" spans="1:40" s="6" customFormat="1" ht="11.25" x14ac:dyDescent="0.2">
      <c r="A175" s="56">
        <f t="shared" si="71"/>
        <v>46548</v>
      </c>
      <c r="B175" s="413">
        <f>'2026'!Wh/'2026'!Env_an*'2027'!Env_an</f>
        <v>53.932822517875003</v>
      </c>
      <c r="C175" s="868"/>
      <c r="D175" s="395">
        <f t="shared" si="50"/>
        <v>58.149849841048528</v>
      </c>
      <c r="E175" s="387">
        <f t="shared" si="75"/>
        <v>64.47266050260076</v>
      </c>
      <c r="F175" s="387">
        <f t="shared" si="51"/>
        <v>64.477351008667043</v>
      </c>
      <c r="G175" s="110">
        <f t="shared" si="76"/>
        <v>1.0007886304760685</v>
      </c>
      <c r="H175" s="416" t="b">
        <f>Wh_hp&gt;='2026'!Maxi_hp</f>
        <v>1</v>
      </c>
      <c r="I175" s="392">
        <f>IF(H175,Wh_hp,'2026'!Maxi_hp)</f>
        <v>64.477351008667043</v>
      </c>
      <c r="J175" s="85">
        <f>IF(H175,An,'2026'!An_max)</f>
        <v>2027</v>
      </c>
      <c r="K175" s="199">
        <f t="shared" si="52"/>
        <v>46548</v>
      </c>
      <c r="L175" s="147">
        <f>IF(t&lt;Tvie,1-EXP((T0-t)*PertePVj)+'2026'!Pspv,1-EXP((T0-t)*PertePVj)+Pspv)</f>
        <v>7.2520003657802867E-2</v>
      </c>
      <c r="M175" s="872"/>
      <c r="N175" s="872"/>
      <c r="O175" s="48">
        <f>IF(t&lt;Tnet,'2026'!Resal+('2026'!Salim-'2026'!Resal)*(1-EXP(('2026'!Tnet-t)/('2026'!Tau_j))),Resal+(Salim-Resal)*(1-EXP((Tnet-t)/(Tau_j))))*Salcycl</f>
        <v>9.8069640871996822E-2</v>
      </c>
      <c r="P175" s="171">
        <f>(INDEX(Models!$BJ175:$BT175,,T175)*(1-R175)+INDEX(Models!$BJ175:$BT175,,T175+1)*R175-ERP_i)*Q175*Ramure*Pc/MaxiM</f>
        <v>7.2746569034104976E-5</v>
      </c>
      <c r="Q175" s="307">
        <f t="shared" si="53"/>
        <v>0.9</v>
      </c>
      <c r="R175" s="179">
        <f t="shared" si="54"/>
        <v>0.91442100103991564</v>
      </c>
      <c r="S175" s="839">
        <f t="shared" si="55"/>
        <v>-2</v>
      </c>
      <c r="T175" s="178">
        <f t="shared" si="56"/>
        <v>4</v>
      </c>
      <c r="U175" s="253">
        <f t="shared" si="57"/>
        <v>-1.0855789989600844</v>
      </c>
      <c r="V175" s="385">
        <f t="shared" si="58"/>
        <v>53.890322966818196</v>
      </c>
      <c r="W175" s="404">
        <f t="shared" si="59"/>
        <v>53.932822517875003</v>
      </c>
      <c r="X175" s="157">
        <f t="shared" si="60"/>
        <v>46548</v>
      </c>
      <c r="Y175" s="387">
        <f t="shared" si="61"/>
        <v>49.471374910743592</v>
      </c>
      <c r="Z175" s="387">
        <f t="shared" si="62"/>
        <v>53.339559996818458</v>
      </c>
      <c r="AA175" s="388">
        <f t="shared" si="63"/>
        <v>64.394005894255898</v>
      </c>
      <c r="AB175" s="199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0.17166886488767932</v>
      </c>
      <c r="AD175" s="233">
        <f>(INDEX(Models!$BJ175:$BT175,,AH175)*(1-AF175)+INDEX(Models!$BJ175:$BT175,,AH175+1)*AF175-ERP_i)*AE175*Ramure*Pc/MaxiM</f>
        <v>1.2926262184677604E-3</v>
      </c>
      <c r="AE175" s="307">
        <f t="shared" si="65"/>
        <v>0.9</v>
      </c>
      <c r="AF175" s="179">
        <f t="shared" si="66"/>
        <v>0.5500766533468946</v>
      </c>
      <c r="AG175" s="839">
        <f t="shared" si="74"/>
        <v>3</v>
      </c>
      <c r="AH175" s="178">
        <f t="shared" si="67"/>
        <v>9</v>
      </c>
      <c r="AI175" s="227">
        <f t="shared" si="68"/>
        <v>3.5500766533468946</v>
      </c>
      <c r="AJ175" s="267" t="b">
        <f t="shared" si="69"/>
        <v>0</v>
      </c>
      <c r="AK175" s="267" t="b">
        <f t="shared" si="70"/>
        <v>0</v>
      </c>
      <c r="AL175" s="267"/>
      <c r="AM175" s="267"/>
      <c r="AN175" s="75"/>
    </row>
    <row r="176" spans="1:40" s="6" customFormat="1" ht="11.25" x14ac:dyDescent="0.2">
      <c r="A176" s="56">
        <f t="shared" si="71"/>
        <v>46549</v>
      </c>
      <c r="B176" s="413">
        <f>'2026'!Wh/'2026'!Env_an*'2027'!Env_an</f>
        <v>50.599266990925059</v>
      </c>
      <c r="C176" s="868"/>
      <c r="D176" s="395">
        <f t="shared" si="50"/>
        <v>54.55691199459865</v>
      </c>
      <c r="E176" s="387">
        <f t="shared" si="75"/>
        <v>60.504113122531223</v>
      </c>
      <c r="F176" s="387">
        <f t="shared" si="51"/>
        <v>60.508072685461585</v>
      </c>
      <c r="G176" s="110">
        <f t="shared" si="76"/>
        <v>0.93942630732038912</v>
      </c>
      <c r="H176" s="416" t="b">
        <f>Wh_hp&gt;='2026'!Maxi_hp</f>
        <v>0</v>
      </c>
      <c r="I176" s="392">
        <f>IF(H176,Wh_hp,'2026'!Maxi_hp)</f>
        <v>60.508387843137641</v>
      </c>
      <c r="J176" s="85">
        <f>IF(H176,An,'2026'!An_max)</f>
        <v>2025</v>
      </c>
      <c r="K176" s="199">
        <f t="shared" si="52"/>
        <v>46549</v>
      </c>
      <c r="L176" s="147">
        <f>IF(t&lt;Tvie,1-EXP((T0-t)*PertePVj)+'2026'!Pspv,1-EXP((T0-t)*PertePVj)+Pspv)</f>
        <v>7.254158747227879E-2</v>
      </c>
      <c r="M176" s="872"/>
      <c r="N176" s="872"/>
      <c r="O176" s="48">
        <f>IF(t&lt;Tnet,'2026'!Resal+('2026'!Salim-'2026'!Resal)*(1-EXP(('2026'!Tnet-t)/('2026'!Tau_j))),Resal+(Salim-Resal)*(1-EXP((Tnet-t)/(Tau_j))))*Salcycl</f>
        <v>9.8294162512364516E-2</v>
      </c>
      <c r="P176" s="171">
        <f>(INDEX(Models!$BJ176:$BT176,,T176)*(1-R176)+INDEX(Models!$BJ176:$BT176,,T176+1)*R176-ERP_i)*Q176*Ramure*Pc/MaxiM</f>
        <v>7.1637020499256188E-5</v>
      </c>
      <c r="Q176" s="307">
        <f t="shared" si="53"/>
        <v>0.9</v>
      </c>
      <c r="R176" s="179">
        <f t="shared" si="54"/>
        <v>0.92162416387533197</v>
      </c>
      <c r="S176" s="839">
        <f t="shared" si="55"/>
        <v>-2</v>
      </c>
      <c r="T176" s="178">
        <f t="shared" si="56"/>
        <v>4</v>
      </c>
      <c r="U176" s="253">
        <f t="shared" si="57"/>
        <v>-1.078375836124668</v>
      </c>
      <c r="V176" s="385">
        <f t="shared" si="58"/>
        <v>53.861546073436166</v>
      </c>
      <c r="W176" s="404">
        <f t="shared" si="59"/>
        <v>50.599266990925059</v>
      </c>
      <c r="X176" s="157">
        <f t="shared" si="60"/>
        <v>46549</v>
      </c>
      <c r="Y176" s="387">
        <f t="shared" si="61"/>
        <v>46.421002788890753</v>
      </c>
      <c r="Z176" s="387">
        <f t="shared" si="62"/>
        <v>50.051842931020104</v>
      </c>
      <c r="AA176" s="388">
        <f t="shared" si="63"/>
        <v>60.439688241387962</v>
      </c>
      <c r="AB176" s="199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0.17187125897936811</v>
      </c>
      <c r="AD176" s="233">
        <f>(INDEX(Models!$BJ176:$BT176,,AH176)*(1-AF176)+INDEX(Models!$BJ176:$BT176,,AH176+1)*AF176-ERP_i)*AE176*Ramure*Pc/MaxiM</f>
        <v>1.237221862133029E-3</v>
      </c>
      <c r="AE176" s="307">
        <f t="shared" si="65"/>
        <v>0.9</v>
      </c>
      <c r="AF176" s="179">
        <f t="shared" si="66"/>
        <v>0.55727981618231093</v>
      </c>
      <c r="AG176" s="839">
        <f t="shared" si="74"/>
        <v>3</v>
      </c>
      <c r="AH176" s="178">
        <f t="shared" si="67"/>
        <v>9</v>
      </c>
      <c r="AI176" s="227">
        <f t="shared" si="68"/>
        <v>3.5572798161823109</v>
      </c>
      <c r="AJ176" s="267" t="b">
        <f t="shared" si="69"/>
        <v>0</v>
      </c>
      <c r="AK176" s="267" t="b">
        <f t="shared" si="70"/>
        <v>0</v>
      </c>
      <c r="AL176" s="267"/>
      <c r="AM176" s="267"/>
      <c r="AN176" s="75"/>
    </row>
    <row r="177" spans="1:40" s="6" customFormat="1" ht="11.25" x14ac:dyDescent="0.2">
      <c r="A177" s="56">
        <f t="shared" si="71"/>
        <v>46550</v>
      </c>
      <c r="B177" s="413">
        <f>'2026'!Wh/'2026'!Env_an*'2027'!Env_an</f>
        <v>39.932325270501401</v>
      </c>
      <c r="C177" s="868"/>
      <c r="D177" s="395">
        <f t="shared" si="50"/>
        <v>43.056652499208994</v>
      </c>
      <c r="E177" s="387">
        <f t="shared" si="75"/>
        <v>47.762020820370324</v>
      </c>
      <c r="F177" s="387">
        <f t="shared" si="51"/>
        <v>47.764161425027105</v>
      </c>
      <c r="G177" s="110">
        <f t="shared" si="76"/>
        <v>0.74180622453824996</v>
      </c>
      <c r="H177" s="416" t="b">
        <f>Wh_hp&gt;='2026'!Maxi_hp</f>
        <v>0</v>
      </c>
      <c r="I177" s="392">
        <f>IF(H177,Wh_hp,'2026'!Maxi_hp)</f>
        <v>60.838298485220825</v>
      </c>
      <c r="J177" s="85">
        <f>IF(H177,An,'2026'!An_max)</f>
        <v>2019</v>
      </c>
      <c r="K177" s="199">
        <f t="shared" si="52"/>
        <v>46550</v>
      </c>
      <c r="L177" s="147">
        <f>IF(t&lt;Tvie,1-EXP((T0-t)*PertePVj)+'2026'!Pspv,1-EXP((T0-t)*PertePVj)+Pspv)</f>
        <v>7.2563170784467945E-2</v>
      </c>
      <c r="M177" s="872"/>
      <c r="N177" s="872"/>
      <c r="O177" s="48">
        <f>IF(t&lt;Tnet,'2026'!Resal+('2026'!Salim-'2026'!Resal)*(1-EXP(('2026'!Tnet-t)/('2026'!Tau_j))),Resal+(Salim-Resal)*(1-EXP((Tnet-t)/(Tau_j))))*Salcycl</f>
        <v>9.85169438047417E-2</v>
      </c>
      <c r="P177" s="171">
        <f>(INDEX(Models!$BJ177:$BT177,,T177)*(1-R177)+INDEX(Models!$BJ177:$BT177,,T177+1)*R177-ERP_i)*Q177*Ramure*Pc/MaxiM</f>
        <v>7.1003772099765685E-5</v>
      </c>
      <c r="Q177" s="307">
        <f t="shared" si="53"/>
        <v>0.9</v>
      </c>
      <c r="R177" s="179">
        <f t="shared" si="54"/>
        <v>0.92882124837736013</v>
      </c>
      <c r="S177" s="839">
        <f t="shared" si="55"/>
        <v>-2</v>
      </c>
      <c r="T177" s="178">
        <f t="shared" si="56"/>
        <v>4</v>
      </c>
      <c r="U177" s="253">
        <f t="shared" si="57"/>
        <v>-1.0711787516226399</v>
      </c>
      <c r="V177" s="385">
        <f t="shared" si="58"/>
        <v>53.829798361250873</v>
      </c>
      <c r="W177" s="404">
        <f t="shared" si="59"/>
        <v>39.932325270501401</v>
      </c>
      <c r="X177" s="157">
        <f t="shared" si="60"/>
        <v>46550</v>
      </c>
      <c r="Y177" s="387">
        <f t="shared" si="61"/>
        <v>36.648398591929613</v>
      </c>
      <c r="Z177" s="387">
        <f t="shared" si="62"/>
        <v>39.515789579898914</v>
      </c>
      <c r="AA177" s="388">
        <f t="shared" si="63"/>
        <v>47.728448512906411</v>
      </c>
      <c r="AB177" s="199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0.17207051955159786</v>
      </c>
      <c r="AD177" s="233">
        <f>(INDEX(Models!$BJ177:$BT177,,AH177)*(1-AF177)+INDEX(Models!$BJ177:$BT177,,AH177+1)*AF177-ERP_i)*AE177*Ramure*Pc/MaxiM</f>
        <v>1.1845958875257888E-3</v>
      </c>
      <c r="AE177" s="307">
        <f t="shared" si="65"/>
        <v>0.9</v>
      </c>
      <c r="AF177" s="179">
        <f t="shared" si="66"/>
        <v>0.56447690068433909</v>
      </c>
      <c r="AG177" s="839">
        <f t="shared" si="74"/>
        <v>3</v>
      </c>
      <c r="AH177" s="178">
        <f t="shared" si="67"/>
        <v>9</v>
      </c>
      <c r="AI177" s="227">
        <f t="shared" si="68"/>
        <v>3.5644769006843391</v>
      </c>
      <c r="AJ177" s="267" t="b">
        <f t="shared" si="69"/>
        <v>0</v>
      </c>
      <c r="AK177" s="267" t="b">
        <f t="shared" si="70"/>
        <v>0</v>
      </c>
      <c r="AL177" s="267"/>
      <c r="AM177" s="267"/>
      <c r="AN177" s="75"/>
    </row>
    <row r="178" spans="1:40" s="6" customFormat="1" ht="11.25" x14ac:dyDescent="0.2">
      <c r="A178" s="56">
        <f t="shared" si="71"/>
        <v>46551</v>
      </c>
      <c r="B178" s="413">
        <f>'2026'!Wh/'2026'!Env_an*'2027'!Env_an</f>
        <v>49.058570428228613</v>
      </c>
      <c r="C178" s="868"/>
      <c r="D178" s="395">
        <f t="shared" si="50"/>
        <v>52.898171146490029</v>
      </c>
      <c r="E178" s="387">
        <f t="shared" si="75"/>
        <v>58.693438130532037</v>
      </c>
      <c r="F178" s="387">
        <f t="shared" si="51"/>
        <v>58.697073902665423</v>
      </c>
      <c r="G178" s="110">
        <f t="shared" si="76"/>
        <v>0.91195612599624754</v>
      </c>
      <c r="H178" s="416" t="b">
        <f>Wh_hp&gt;='2026'!Maxi_hp</f>
        <v>0</v>
      </c>
      <c r="I178" s="392">
        <f>IF(H178,Wh_hp,'2026'!Maxi_hp)</f>
        <v>63.47863553055479</v>
      </c>
      <c r="J178" s="85">
        <f>IF(H178,An,'2026'!An_max)</f>
        <v>2019</v>
      </c>
      <c r="K178" s="199">
        <f t="shared" si="52"/>
        <v>46551</v>
      </c>
      <c r="L178" s="147">
        <f>IF(t&lt;Tvie,1-EXP((T0-t)*PertePVj)+'2026'!Pspv,1-EXP((T0-t)*PertePVj)+Pspv)</f>
        <v>7.2584753594381768E-2</v>
      </c>
      <c r="M178" s="872"/>
      <c r="N178" s="872"/>
      <c r="O178" s="48">
        <f>IF(t&lt;Tnet,'2026'!Resal+('2026'!Salim-'2026'!Resal)*(1-EXP(('2026'!Tnet-t)/('2026'!Tau_j))),Resal+(Salim-Resal)*(1-EXP((Tnet-t)/(Tau_j))))*Salcycl</f>
        <v>9.873790271330754E-2</v>
      </c>
      <c r="P178" s="171">
        <f>(INDEX(Models!$BJ178:$BT178,,T178)*(1-R178)+INDEX(Models!$BJ178:$BT178,,T178+1)*R178-ERP_i)*Q178*Ramure*Pc/MaxiM</f>
        <v>7.0852012530485837E-5</v>
      </c>
      <c r="Q178" s="307">
        <f t="shared" si="53"/>
        <v>0.9</v>
      </c>
      <c r="R178" s="179">
        <f t="shared" si="54"/>
        <v>0.9360061967119333</v>
      </c>
      <c r="S178" s="839">
        <f t="shared" si="55"/>
        <v>-2</v>
      </c>
      <c r="T178" s="178">
        <f t="shared" si="56"/>
        <v>4</v>
      </c>
      <c r="U178" s="253">
        <f t="shared" si="57"/>
        <v>-1.0639938032880667</v>
      </c>
      <c r="V178" s="385">
        <f t="shared" si="58"/>
        <v>53.794400690012473</v>
      </c>
      <c r="W178" s="404">
        <f t="shared" si="59"/>
        <v>49.058570428228613</v>
      </c>
      <c r="X178" s="157">
        <f t="shared" si="60"/>
        <v>46551</v>
      </c>
      <c r="Y178" s="387">
        <f t="shared" si="61"/>
        <v>45.014164461775337</v>
      </c>
      <c r="Z178" s="387">
        <f t="shared" si="62"/>
        <v>48.537227133408322</v>
      </c>
      <c r="AA178" s="388">
        <f t="shared" si="63"/>
        <v>58.638713989984502</v>
      </c>
      <c r="AB178" s="199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0.17226651420598199</v>
      </c>
      <c r="AD178" s="233">
        <f>(INDEX(Models!$BJ178:$BT178,,AH178)*(1-AF178)+INDEX(Models!$BJ178:$BT178,,AH178+1)*AF178-ERP_i)*AE178*Ramure*Pc/MaxiM</f>
        <v>1.1372872426663133E-3</v>
      </c>
      <c r="AE178" s="307">
        <f t="shared" si="65"/>
        <v>0.9</v>
      </c>
      <c r="AF178" s="179">
        <f t="shared" si="66"/>
        <v>0.57166184901891226</v>
      </c>
      <c r="AG178" s="839">
        <f t="shared" si="74"/>
        <v>3</v>
      </c>
      <c r="AH178" s="178">
        <f t="shared" si="67"/>
        <v>9</v>
      </c>
      <c r="AI178" s="227">
        <f t="shared" si="68"/>
        <v>3.5716618490189123</v>
      </c>
      <c r="AJ178" s="267" t="b">
        <f t="shared" si="69"/>
        <v>0</v>
      </c>
      <c r="AK178" s="267" t="b">
        <f t="shared" si="70"/>
        <v>0</v>
      </c>
      <c r="AL178" s="267"/>
      <c r="AM178" s="267"/>
      <c r="AN178" s="75"/>
    </row>
    <row r="179" spans="1:40" s="6" customFormat="1" ht="11.25" x14ac:dyDescent="0.2">
      <c r="A179" s="56">
        <f t="shared" si="71"/>
        <v>46552</v>
      </c>
      <c r="B179" s="413">
        <f>'2026'!Wh/'2026'!Env_an*'2027'!Env_an</f>
        <v>42.134462573626983</v>
      </c>
      <c r="C179" s="868"/>
      <c r="D179" s="395">
        <f t="shared" si="50"/>
        <v>45.433200812957018</v>
      </c>
      <c r="E179" s="387">
        <f t="shared" si="75"/>
        <v>50.422897597868335</v>
      </c>
      <c r="F179" s="387">
        <f t="shared" si="51"/>
        <v>50.425364349630449</v>
      </c>
      <c r="G179" s="110">
        <f t="shared" si="76"/>
        <v>0.78379862786864074</v>
      </c>
      <c r="H179" s="416" t="b">
        <f>Wh_hp&gt;='2026'!Maxi_hp</f>
        <v>0</v>
      </c>
      <c r="I179" s="392">
        <f>IF(H179,Wh_hp,'2026'!Maxi_hp)</f>
        <v>54.493603449574607</v>
      </c>
      <c r="J179" s="85">
        <f>IF(H179,An,'2026'!An_max)</f>
        <v>2021</v>
      </c>
      <c r="K179" s="199">
        <f t="shared" si="52"/>
        <v>46552</v>
      </c>
      <c r="L179" s="147">
        <f>IF(t&lt;Tvie,1-EXP((T0-t)*PertePVj)+'2026'!Pspv,1-EXP((T0-t)*PertePVj)+Pspv)</f>
        <v>7.2606335902032137E-2</v>
      </c>
      <c r="M179" s="872"/>
      <c r="N179" s="872"/>
      <c r="O179" s="48">
        <f>IF(t&lt;Tnet,'2026'!Resal+('2026'!Salim-'2026'!Resal)*(1-EXP(('2026'!Tnet-t)/('2026'!Tau_j))),Resal+(Salim-Resal)*(1-EXP((Tnet-t)/(Tau_j))))*Salcycl</f>
        <v>9.895696246386014E-2</v>
      </c>
      <c r="P179" s="171">
        <f>(INDEX(Models!$BJ179:$BT179,,T179)*(1-R179)+INDEX(Models!$BJ179:$BT179,,T179+1)*R179-ERP_i)*Q179*Ramure*Pc/MaxiM</f>
        <v>7.0777371429815795E-5</v>
      </c>
      <c r="Q179" s="307">
        <f t="shared" si="53"/>
        <v>0.9</v>
      </c>
      <c r="R179" s="179">
        <f t="shared" si="54"/>
        <v>0.94317299189688963</v>
      </c>
      <c r="S179" s="839">
        <f t="shared" si="55"/>
        <v>-2</v>
      </c>
      <c r="T179" s="178">
        <f t="shared" si="56"/>
        <v>4</v>
      </c>
      <c r="U179" s="253">
        <f t="shared" si="57"/>
        <v>-1.0568270081031104</v>
      </c>
      <c r="V179" s="385">
        <f t="shared" si="58"/>
        <v>53.755569395247413</v>
      </c>
      <c r="W179" s="404">
        <f t="shared" si="59"/>
        <v>42.134462573626983</v>
      </c>
      <c r="X179" s="157">
        <f t="shared" si="60"/>
        <v>46552</v>
      </c>
      <c r="Y179" s="387">
        <f t="shared" si="61"/>
        <v>38.669969337875983</v>
      </c>
      <c r="Z179" s="387">
        <f t="shared" si="62"/>
        <v>41.697469839292509</v>
      </c>
      <c r="AA179" s="388">
        <f t="shared" si="63"/>
        <v>50.387202445128359</v>
      </c>
      <c r="AB179" s="199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0.17245912025576271</v>
      </c>
      <c r="AD179" s="233">
        <f>(INDEX(Models!$BJ179:$BT179,,AH179)*(1-AF179)+INDEX(Models!$BJ179:$BT179,,AH179+1)*AF179-ERP_i)*AE179*Ramure*Pc/MaxiM</f>
        <v>1.0949619377578234E-3</v>
      </c>
      <c r="AE179" s="307">
        <f t="shared" si="65"/>
        <v>0.9</v>
      </c>
      <c r="AF179" s="179">
        <f t="shared" si="66"/>
        <v>0.57882864420386859</v>
      </c>
      <c r="AG179" s="839">
        <f t="shared" si="74"/>
        <v>3</v>
      </c>
      <c r="AH179" s="178">
        <f t="shared" si="67"/>
        <v>9</v>
      </c>
      <c r="AI179" s="227">
        <f t="shared" si="68"/>
        <v>3.5788286442038686</v>
      </c>
      <c r="AJ179" s="267" t="b">
        <f t="shared" si="69"/>
        <v>0</v>
      </c>
      <c r="AK179" s="267" t="b">
        <f t="shared" si="70"/>
        <v>0</v>
      </c>
      <c r="AL179" s="267"/>
      <c r="AM179" s="267"/>
      <c r="AN179" s="75"/>
    </row>
    <row r="180" spans="1:40" s="6" customFormat="1" ht="11.25" x14ac:dyDescent="0.2">
      <c r="A180" s="56">
        <f t="shared" si="71"/>
        <v>46553</v>
      </c>
      <c r="B180" s="413">
        <f>'2026'!Wh/'2026'!Env_an*'2027'!Env_an</f>
        <v>49.767046153308861</v>
      </c>
      <c r="C180" s="868"/>
      <c r="D180" s="395">
        <f t="shared" si="50"/>
        <v>53.664593859973721</v>
      </c>
      <c r="E180" s="387">
        <f t="shared" si="75"/>
        <v>59.572655482638837</v>
      </c>
      <c r="F180" s="387">
        <f t="shared" si="51"/>
        <v>59.57642977217408</v>
      </c>
      <c r="G180" s="110">
        <f t="shared" si="76"/>
        <v>0.92652085434179121</v>
      </c>
      <c r="H180" s="416" t="b">
        <f>Wh_hp&gt;='2026'!Maxi_hp</f>
        <v>0</v>
      </c>
      <c r="I180" s="392">
        <f>IF(H180,Wh_hp,'2026'!Maxi_hp)</f>
        <v>59.576792412508404</v>
      </c>
      <c r="J180" s="85">
        <f>IF(H180,An,'2026'!An_max)</f>
        <v>2025</v>
      </c>
      <c r="K180" s="199">
        <f t="shared" si="52"/>
        <v>46553</v>
      </c>
      <c r="L180" s="147">
        <f>IF(t&lt;Tvie,1-EXP((T0-t)*PertePVj)+'2026'!Pspv,1-EXP((T0-t)*PertePVj)+Pspv)</f>
        <v>7.26279177074306E-2</v>
      </c>
      <c r="M180" s="872"/>
      <c r="N180" s="872"/>
      <c r="O180" s="48">
        <f>IF(t&lt;Tnet,'2026'!Resal+('2026'!Salim-'2026'!Resal)*(1-EXP(('2026'!Tnet-t)/('2026'!Tau_j))),Resal+(Salim-Resal)*(1-EXP((Tnet-t)/(Tau_j))))*Salcycl</f>
        <v>9.9174051833007468E-2</v>
      </c>
      <c r="P180" s="171">
        <f>(INDEX(Models!$BJ180:$BT180,,T180)*(1-R180)+INDEX(Models!$BJ180:$BT180,,T180+1)*R180-ERP_i)*Q180*Ramure*Pc/MaxiM</f>
        <v>7.0781290410438046E-5</v>
      </c>
      <c r="Q180" s="307">
        <f t="shared" si="53"/>
        <v>0.9</v>
      </c>
      <c r="R180" s="179">
        <f t="shared" si="54"/>
        <v>0.95031567786288562</v>
      </c>
      <c r="S180" s="839">
        <f t="shared" si="55"/>
        <v>-2</v>
      </c>
      <c r="T180" s="178">
        <f t="shared" si="56"/>
        <v>4</v>
      </c>
      <c r="U180" s="253">
        <f t="shared" si="57"/>
        <v>-1.0496843221371144</v>
      </c>
      <c r="V180" s="385">
        <f t="shared" si="58"/>
        <v>53.713498369522263</v>
      </c>
      <c r="W180" s="404">
        <f t="shared" si="59"/>
        <v>49.767046153308861</v>
      </c>
      <c r="X180" s="157">
        <f t="shared" si="60"/>
        <v>46553</v>
      </c>
      <c r="Y180" s="387">
        <f t="shared" si="61"/>
        <v>45.667514863149428</v>
      </c>
      <c r="Z180" s="387">
        <f t="shared" si="62"/>
        <v>49.244004359344231</v>
      </c>
      <c r="AA180" s="388">
        <f t="shared" si="63"/>
        <v>59.520032297838739</v>
      </c>
      <c r="AB180" s="199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0.17264822517355463</v>
      </c>
      <c r="AD180" s="233">
        <f>(INDEX(Models!$BJ180:$BT180,,AH180)*(1-AF180)+INDEX(Models!$BJ180:$BT180,,AH180+1)*AF180-ERP_i)*AE180*Ramure*Pc/MaxiM</f>
        <v>1.0576523004052624E-3</v>
      </c>
      <c r="AE180" s="307">
        <f t="shared" si="65"/>
        <v>0.9</v>
      </c>
      <c r="AF180" s="179">
        <f t="shared" si="66"/>
        <v>0.58597133016986458</v>
      </c>
      <c r="AG180" s="839">
        <f t="shared" si="74"/>
        <v>3</v>
      </c>
      <c r="AH180" s="178">
        <f t="shared" si="67"/>
        <v>9</v>
      </c>
      <c r="AI180" s="227">
        <f t="shared" si="68"/>
        <v>3.5859713301698646</v>
      </c>
      <c r="AJ180" s="267" t="b">
        <f t="shared" si="69"/>
        <v>0</v>
      </c>
      <c r="AK180" s="267" t="b">
        <f t="shared" si="70"/>
        <v>0</v>
      </c>
      <c r="AL180" s="267"/>
      <c r="AM180" s="267"/>
      <c r="AN180" s="75"/>
    </row>
    <row r="181" spans="1:40" s="6" customFormat="1" ht="11.25" x14ac:dyDescent="0.2">
      <c r="A181" s="56">
        <f t="shared" si="71"/>
        <v>46554</v>
      </c>
      <c r="B181" s="413">
        <f>'2026'!Wh/'2026'!Env_an*'2027'!Env_an</f>
        <v>46.20038967533425</v>
      </c>
      <c r="C181" s="868"/>
      <c r="D181" s="395">
        <f t="shared" si="50"/>
        <v>49.819771085519463</v>
      </c>
      <c r="E181" s="387">
        <f t="shared" si="75"/>
        <v>55.317753077052387</v>
      </c>
      <c r="F181" s="387">
        <f t="shared" si="51"/>
        <v>55.320894096819544</v>
      </c>
      <c r="G181" s="110">
        <f t="shared" si="76"/>
        <v>0.86083720113780859</v>
      </c>
      <c r="H181" s="416" t="b">
        <f>Wh_hp&gt;='2026'!Maxi_hp</f>
        <v>0</v>
      </c>
      <c r="I181" s="392">
        <f>IF(H181,Wh_hp,'2026'!Maxi_hp)</f>
        <v>65.039285563897309</v>
      </c>
      <c r="J181" s="85">
        <f>IF(H181,An,'2026'!An_max)</f>
        <v>2019</v>
      </c>
      <c r="K181" s="199">
        <f t="shared" si="52"/>
        <v>46554</v>
      </c>
      <c r="L181" s="147">
        <f>IF(t&lt;Tvie,1-EXP((T0-t)*PertePVj)+'2026'!Pspv,1-EXP((T0-t)*PertePVj)+Pspv)</f>
        <v>7.2649499010588925E-2</v>
      </c>
      <c r="M181" s="872"/>
      <c r="N181" s="872"/>
      <c r="O181" s="48">
        <f>IF(t&lt;Tnet,'2026'!Resal+('2026'!Salim-'2026'!Resal)*(1-EXP(('2026'!Tnet-t)/('2026'!Tau_j))),Resal+(Salim-Resal)*(1-EXP((Tnet-t)/(Tau_j))))*Salcycl</f>
        <v>9.938910540843468E-2</v>
      </c>
      <c r="P181" s="171">
        <f>(INDEX(Models!$BJ181:$BT181,,T181)*(1-R181)+INDEX(Models!$BJ181:$BT181,,T181+1)*R181-ERP_i)*Q181*Ramure*Pc/MaxiM</f>
        <v>7.0865248536405317E-5</v>
      </c>
      <c r="Q181" s="307">
        <f t="shared" si="53"/>
        <v>0.9</v>
      </c>
      <c r="R181" s="179">
        <f t="shared" si="54"/>
        <v>0.95742837908126632</v>
      </c>
      <c r="S181" s="839">
        <f t="shared" si="55"/>
        <v>-2</v>
      </c>
      <c r="T181" s="178">
        <f t="shared" si="56"/>
        <v>4</v>
      </c>
      <c r="U181" s="253">
        <f t="shared" si="57"/>
        <v>-1.0425716209187337</v>
      </c>
      <c r="V181" s="385">
        <f t="shared" si="58"/>
        <v>53.668380907945973</v>
      </c>
      <c r="W181" s="404">
        <f t="shared" si="59"/>
        <v>46.20038967533425</v>
      </c>
      <c r="X181" s="157">
        <f t="shared" si="60"/>
        <v>46554</v>
      </c>
      <c r="Y181" s="387">
        <f t="shared" si="61"/>
        <v>42.400304402333255</v>
      </c>
      <c r="Z181" s="387">
        <f t="shared" si="62"/>
        <v>45.721983605007402</v>
      </c>
      <c r="AA181" s="388">
        <f t="shared" si="63"/>
        <v>55.275444728200085</v>
      </c>
      <c r="AB181" s="199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0.17283372698616675</v>
      </c>
      <c r="AD181" s="233">
        <f>(INDEX(Models!$BJ181:$BT181,,AH181)*(1-AF181)+INDEX(Models!$BJ181:$BT181,,AH181+1)*AF181-ERP_i)*AE181*Ramure*Pc/MaxiM</f>
        <v>1.02539335686896E-3</v>
      </c>
      <c r="AE181" s="307">
        <f t="shared" si="65"/>
        <v>0.9</v>
      </c>
      <c r="AF181" s="179">
        <f t="shared" si="66"/>
        <v>0.59308403138824506</v>
      </c>
      <c r="AG181" s="839">
        <f t="shared" si="74"/>
        <v>3</v>
      </c>
      <c r="AH181" s="178">
        <f t="shared" si="67"/>
        <v>9</v>
      </c>
      <c r="AI181" s="227">
        <f t="shared" si="68"/>
        <v>3.5930840313882451</v>
      </c>
      <c r="AJ181" s="267" t="b">
        <f t="shared" si="69"/>
        <v>0</v>
      </c>
      <c r="AK181" s="267" t="b">
        <f t="shared" si="70"/>
        <v>0</v>
      </c>
      <c r="AL181" s="267"/>
      <c r="AM181" s="267"/>
      <c r="AN181" s="75"/>
    </row>
    <row r="182" spans="1:40" s="6" customFormat="1" ht="11.25" x14ac:dyDescent="0.2">
      <c r="A182" s="56">
        <f t="shared" si="71"/>
        <v>46555</v>
      </c>
      <c r="B182" s="413">
        <f>'2026'!Wh/'2026'!Env_an*'2027'!Env_an</f>
        <v>47.662335153391247</v>
      </c>
      <c r="C182" s="868"/>
      <c r="D182" s="395">
        <f t="shared" si="50"/>
        <v>51.397442822880798</v>
      </c>
      <c r="E182" s="387">
        <f t="shared" si="75"/>
        <v>57.083030466328729</v>
      </c>
      <c r="F182" s="387">
        <f t="shared" si="51"/>
        <v>57.086441698528759</v>
      </c>
      <c r="G182" s="110">
        <f t="shared" si="76"/>
        <v>0.88887418034019983</v>
      </c>
      <c r="H182" s="416" t="b">
        <f>Wh_hp&gt;='2026'!Maxi_hp</f>
        <v>0</v>
      </c>
      <c r="I182" s="392">
        <f>IF(H182,Wh_hp,'2026'!Maxi_hp)</f>
        <v>64.172598180317252</v>
      </c>
      <c r="J182" s="85">
        <f>IF(H182,An,'2026'!An_max)</f>
        <v>2019</v>
      </c>
      <c r="K182" s="199">
        <f t="shared" si="52"/>
        <v>46555</v>
      </c>
      <c r="L182" s="147">
        <f>IF(t&lt;Tvie,1-EXP((T0-t)*PertePVj)+'2026'!Pspv,1-EXP((T0-t)*PertePVj)+Pspv)</f>
        <v>7.2671079811518879E-2</v>
      </c>
      <c r="M182" s="872"/>
      <c r="N182" s="872"/>
      <c r="O182" s="48">
        <f>IF(t&lt;Tnet,'2026'!Resal+('2026'!Salim-'2026'!Resal)*(1-EXP(('2026'!Tnet-t)/('2026'!Tau_j))),Resal+(Salim-Resal)*(1-EXP((Tnet-t)/(Tau_j))))*Salcycl</f>
        <v>9.960206381827702E-2</v>
      </c>
      <c r="P182" s="171">
        <f>(INDEX(Models!$BJ182:$BT182,,T182)*(1-R182)+INDEX(Models!$BJ182:$BT182,,T182+1)*R182-ERP_i)*Q182*Ramure*Pc/MaxiM</f>
        <v>7.1030757214475153E-5</v>
      </c>
      <c r="Q182" s="307">
        <f t="shared" si="53"/>
        <v>0.9</v>
      </c>
      <c r="R182" s="179">
        <f t="shared" si="54"/>
        <v>0.96450531962278996</v>
      </c>
      <c r="S182" s="839">
        <f t="shared" si="55"/>
        <v>-2</v>
      </c>
      <c r="T182" s="178">
        <f t="shared" si="56"/>
        <v>4</v>
      </c>
      <c r="U182" s="253">
        <f t="shared" si="57"/>
        <v>-1.03549468037721</v>
      </c>
      <c r="V182" s="385">
        <f t="shared" si="58"/>
        <v>53.620409697050121</v>
      </c>
      <c r="W182" s="404">
        <f t="shared" si="59"/>
        <v>47.662335153391247</v>
      </c>
      <c r="X182" s="157">
        <f t="shared" si="60"/>
        <v>46555</v>
      </c>
      <c r="Y182" s="387">
        <f t="shared" si="61"/>
        <v>43.742063770673049</v>
      </c>
      <c r="Z182" s="387">
        <f t="shared" si="62"/>
        <v>47.169955361450825</v>
      </c>
      <c r="AA182" s="388">
        <f t="shared" si="63"/>
        <v>57.03850233680685</v>
      </c>
      <c r="AB182" s="199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0.17301553461350039</v>
      </c>
      <c r="AD182" s="233">
        <f>(INDEX(Models!$BJ182:$BT182,,AH182)*(1-AF182)+INDEX(Models!$BJ182:$BT182,,AH182+1)*AF182-ERP_i)*AE182*Ramure*Pc/MaxiM</f>
        <v>9.9822262567044622E-4</v>
      </c>
      <c r="AE182" s="307">
        <f t="shared" si="65"/>
        <v>0.9</v>
      </c>
      <c r="AF182" s="179">
        <f t="shared" si="66"/>
        <v>0.60016097192976892</v>
      </c>
      <c r="AG182" s="839">
        <f t="shared" si="74"/>
        <v>3</v>
      </c>
      <c r="AH182" s="178">
        <f t="shared" si="67"/>
        <v>9</v>
      </c>
      <c r="AI182" s="227">
        <f t="shared" si="68"/>
        <v>3.6001609719297689</v>
      </c>
      <c r="AJ182" s="267" t="b">
        <f t="shared" si="69"/>
        <v>0</v>
      </c>
      <c r="AK182" s="267" t="b">
        <f t="shared" si="70"/>
        <v>0</v>
      </c>
      <c r="AL182" s="267"/>
      <c r="AM182" s="267"/>
      <c r="AN182" s="75"/>
    </row>
    <row r="183" spans="1:40" s="6" customFormat="1" ht="11.25" x14ac:dyDescent="0.2">
      <c r="A183" s="56">
        <f t="shared" si="71"/>
        <v>46556</v>
      </c>
      <c r="B183" s="413">
        <f>'2026'!Wh/'2026'!Env_an*'2027'!Env_an</f>
        <v>49.549735335442449</v>
      </c>
      <c r="C183" s="868"/>
      <c r="D183" s="395">
        <f t="shared" si="50"/>
        <v>53.43399453878213</v>
      </c>
      <c r="E183" s="387">
        <f t="shared" si="75"/>
        <v>59.358763296176342</v>
      </c>
      <c r="F183" s="387">
        <f t="shared" si="51"/>
        <v>59.362541003256197</v>
      </c>
      <c r="G183" s="110">
        <f t="shared" si="76"/>
        <v>0.92494984360920673</v>
      </c>
      <c r="H183" s="416" t="b">
        <f>Wh_hp&gt;='2026'!Maxi_hp</f>
        <v>0</v>
      </c>
      <c r="I183" s="392">
        <f>IF(H183,Wh_hp,'2026'!Maxi_hp)</f>
        <v>62.517821200510539</v>
      </c>
      <c r="J183" s="85">
        <f>IF(H183,An,'2026'!An_max)</f>
        <v>2019</v>
      </c>
      <c r="K183" s="199">
        <f t="shared" si="52"/>
        <v>46556</v>
      </c>
      <c r="L183" s="147">
        <f>IF(t&lt;Tvie,1-EXP((T0-t)*PertePVj)+'2026'!Pspv,1-EXP((T0-t)*PertePVj)+Pspv)</f>
        <v>7.269266011023201E-2</v>
      </c>
      <c r="M183" s="872"/>
      <c r="N183" s="872"/>
      <c r="O183" s="48">
        <f>IF(t&lt;Tnet,'2026'!Resal+('2026'!Salim-'2026'!Resal)*(1-EXP(('2026'!Tnet-t)/('2026'!Tau_j))),Resal+(Salim-Resal)*(1-EXP((Tnet-t)/(Tau_j))))*Salcycl</f>
        <v>9.9812873927847864E-2</v>
      </c>
      <c r="P183" s="171">
        <f>(INDEX(Models!$BJ183:$BT183,,T183)*(1-R183)+INDEX(Models!$BJ183:$BT183,,T183+1)*R183-ERP_i)*Q183*Ramure*Pc/MaxiM</f>
        <v>7.1279355098584875E-5</v>
      </c>
      <c r="Q183" s="307">
        <f t="shared" si="53"/>
        <v>0.9</v>
      </c>
      <c r="R183" s="179">
        <f t="shared" si="54"/>
        <v>0.97154084151797071</v>
      </c>
      <c r="S183" s="839">
        <f t="shared" si="55"/>
        <v>-2</v>
      </c>
      <c r="T183" s="178">
        <f t="shared" si="56"/>
        <v>4</v>
      </c>
      <c r="U183" s="253">
        <f t="shared" si="57"/>
        <v>-1.0284591584820293</v>
      </c>
      <c r="V183" s="385">
        <f t="shared" si="58"/>
        <v>53.569776806076376</v>
      </c>
      <c r="W183" s="404">
        <f t="shared" si="59"/>
        <v>49.549735335442449</v>
      </c>
      <c r="X183" s="157">
        <f t="shared" si="60"/>
        <v>46556</v>
      </c>
      <c r="Y183" s="387">
        <f t="shared" si="61"/>
        <v>45.473811899663403</v>
      </c>
      <c r="Z183" s="387">
        <f t="shared" si="62"/>
        <v>49.03855490356522</v>
      </c>
      <c r="AA183" s="388">
        <f t="shared" si="63"/>
        <v>59.310804820151709</v>
      </c>
      <c r="AB183" s="199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0.17319356814892431</v>
      </c>
      <c r="AD183" s="233">
        <f>(INDEX(Models!$BJ183:$BT183,,AH183)*(1-AF183)+INDEX(Models!$BJ183:$BT183,,AH183+1)*AF183-ERP_i)*AE183*Ramure*Pc/MaxiM</f>
        <v>9.7617991257526154E-4</v>
      </c>
      <c r="AE183" s="307">
        <f t="shared" si="65"/>
        <v>0.9</v>
      </c>
      <c r="AF183" s="179">
        <f t="shared" si="66"/>
        <v>0.60719649382494989</v>
      </c>
      <c r="AG183" s="839">
        <f t="shared" si="74"/>
        <v>3</v>
      </c>
      <c r="AH183" s="178">
        <f t="shared" si="67"/>
        <v>9</v>
      </c>
      <c r="AI183" s="227">
        <f t="shared" si="68"/>
        <v>3.6071964938249499</v>
      </c>
      <c r="AJ183" s="267" t="b">
        <f t="shared" si="69"/>
        <v>0</v>
      </c>
      <c r="AK183" s="267" t="b">
        <f t="shared" si="70"/>
        <v>0</v>
      </c>
      <c r="AL183" s="267"/>
      <c r="AM183" s="267"/>
      <c r="AN183" s="75"/>
    </row>
    <row r="184" spans="1:40" s="6" customFormat="1" ht="11.25" x14ac:dyDescent="0.2">
      <c r="A184" s="56">
        <f t="shared" si="71"/>
        <v>46557</v>
      </c>
      <c r="B184" s="413">
        <f>'2026'!Wh/'2026'!Env_an*'2027'!Env_an</f>
        <v>50.780090891628021</v>
      </c>
      <c r="C184" s="868"/>
      <c r="D184" s="395">
        <f t="shared" si="50"/>
        <v>54.762073437341378</v>
      </c>
      <c r="E184" s="387">
        <f t="shared" si="75"/>
        <v>60.848201116077362</v>
      </c>
      <c r="F184" s="387">
        <f t="shared" si="51"/>
        <v>60.852240405026819</v>
      </c>
      <c r="G184" s="110">
        <f t="shared" si="76"/>
        <v>0.94885988981023783</v>
      </c>
      <c r="H184" s="416" t="b">
        <f>Wh_hp&gt;='2026'!Maxi_hp</f>
        <v>0</v>
      </c>
      <c r="I184" s="392">
        <f>IF(H184,Wh_hp,'2026'!Maxi_hp)</f>
        <v>60.85249550709284</v>
      </c>
      <c r="J184" s="85">
        <f>IF(H184,An,'2026'!An_max)</f>
        <v>2025</v>
      </c>
      <c r="K184" s="199">
        <f t="shared" si="52"/>
        <v>46557</v>
      </c>
      <c r="L184" s="147">
        <f>IF(t&lt;Tvie,1-EXP((T0-t)*PertePVj)+'2026'!Pspv,1-EXP((T0-t)*PertePVj)+Pspv)</f>
        <v>7.2714239906740086E-2</v>
      </c>
      <c r="M184" s="872"/>
      <c r="N184" s="872"/>
      <c r="O184" s="48">
        <f>IF(t&lt;Tnet,'2026'!Resal+('2026'!Salim-'2026'!Resal)*(1-EXP(('2026'!Tnet-t)/('2026'!Tau_j))),Resal+(Salim-Resal)*(1-EXP((Tnet-t)/(Tau_j))))*Salcycl</f>
        <v>0.10002148900220989</v>
      </c>
      <c r="P184" s="171">
        <f>(INDEX(Models!$BJ184:$BT184,,T184)*(1-R184)+INDEX(Models!$BJ184:$BT184,,T184+1)*R184-ERP_i)*Q184*Ramure*Pc/MaxiM</f>
        <v>7.1609746807764079E-5</v>
      </c>
      <c r="Q184" s="307">
        <f t="shared" si="53"/>
        <v>0.9</v>
      </c>
      <c r="R184" s="179">
        <f t="shared" si="54"/>
        <v>0.97852942229814821</v>
      </c>
      <c r="S184" s="839">
        <f t="shared" si="55"/>
        <v>-2</v>
      </c>
      <c r="T184" s="178">
        <f t="shared" si="56"/>
        <v>4</v>
      </c>
      <c r="U184" s="253">
        <f t="shared" si="57"/>
        <v>-1.0214705777018518</v>
      </c>
      <c r="V184" s="385">
        <f t="shared" si="58"/>
        <v>53.516673834808806</v>
      </c>
      <c r="W184" s="404">
        <f t="shared" si="59"/>
        <v>50.780090891628021</v>
      </c>
      <c r="X184" s="157">
        <f t="shared" si="60"/>
        <v>46557</v>
      </c>
      <c r="Y184" s="387">
        <f t="shared" si="61"/>
        <v>46.603129607875061</v>
      </c>
      <c r="Z184" s="387">
        <f t="shared" si="62"/>
        <v>50.257570657817546</v>
      </c>
      <c r="AA184" s="388">
        <f t="shared" si="63"/>
        <v>60.797980250347315</v>
      </c>
      <c r="AB184" s="199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0.17336775907896304</v>
      </c>
      <c r="AD184" s="233">
        <f>(INDEX(Models!$BJ184:$BT184,,AH184)*(1-AF184)+INDEX(Models!$BJ184:$BT184,,AH184+1)*AF184-ERP_i)*AE184*Ramure*Pc/MaxiM</f>
        <v>9.6194057592131627E-4</v>
      </c>
      <c r="AE184" s="307">
        <f t="shared" si="65"/>
        <v>0.9</v>
      </c>
      <c r="AF184" s="179">
        <f t="shared" si="66"/>
        <v>0.61418507460512739</v>
      </c>
      <c r="AG184" s="839">
        <f t="shared" si="74"/>
        <v>3</v>
      </c>
      <c r="AH184" s="178">
        <f t="shared" si="67"/>
        <v>9</v>
      </c>
      <c r="AI184" s="227">
        <f t="shared" si="68"/>
        <v>3.6141850746051274</v>
      </c>
      <c r="AJ184" s="267" t="b">
        <f t="shared" si="69"/>
        <v>0</v>
      </c>
      <c r="AK184" s="267" t="b">
        <f t="shared" si="70"/>
        <v>0</v>
      </c>
      <c r="AL184" s="267"/>
      <c r="AM184" s="267"/>
      <c r="AN184" s="75"/>
    </row>
    <row r="185" spans="1:40" s="6" customFormat="1" ht="11.25" x14ac:dyDescent="0.2">
      <c r="A185" s="56">
        <f t="shared" si="71"/>
        <v>46558</v>
      </c>
      <c r="B185" s="413">
        <f>'2026'!Wh/'2026'!Env_an*'2027'!Env_an</f>
        <v>30.155933263408599</v>
      </c>
      <c r="C185" s="868"/>
      <c r="D185" s="395">
        <f t="shared" si="50"/>
        <v>32.521404242559846</v>
      </c>
      <c r="E185" s="387">
        <f t="shared" si="75"/>
        <v>36.144044826540373</v>
      </c>
      <c r="F185" s="387">
        <f t="shared" si="51"/>
        <v>36.14502568852685</v>
      </c>
      <c r="G185" s="110">
        <f t="shared" si="76"/>
        <v>0.56404510109860684</v>
      </c>
      <c r="H185" s="416" t="b">
        <f>Wh_hp&gt;='2026'!Maxi_hp</f>
        <v>0</v>
      </c>
      <c r="I185" s="392">
        <f>IF(H185,Wh_hp,'2026'!Maxi_hp)</f>
        <v>61.778509370898874</v>
      </c>
      <c r="J185" s="85">
        <f>IF(H185,An,'2026'!An_max)</f>
        <v>2020</v>
      </c>
      <c r="K185" s="199">
        <f t="shared" si="52"/>
        <v>46558</v>
      </c>
      <c r="L185" s="147">
        <f>IF(t&lt;Tvie,1-EXP((T0-t)*PertePVj)+'2026'!Pspv,1-EXP((T0-t)*PertePVj)+Pspv)</f>
        <v>7.2735819201054763E-2</v>
      </c>
      <c r="M185" s="872"/>
      <c r="N185" s="872"/>
      <c r="O185" s="48">
        <f>IF(t&lt;Tnet,'2026'!Resal+('2026'!Salim-'2026'!Resal)*(1-EXP(('2026'!Tnet-t)/('2026'!Tau_j))),Resal+(Salim-Resal)*(1-EXP((Tnet-t)/(Tau_j))))*Salcycl</f>
        <v>0.10022786883333104</v>
      </c>
      <c r="P185" s="171">
        <f>(INDEX(Models!$BJ185:$BT185,,T185)*(1-R185)+INDEX(Models!$BJ185:$BT185,,T185+1)*R185-ERP_i)*Q185*Ramure*Pc/MaxiM</f>
        <v>7.1934583035457268E-5</v>
      </c>
      <c r="Q185" s="307">
        <f t="shared" si="53"/>
        <v>0.9</v>
      </c>
      <c r="R185" s="179">
        <f t="shared" si="54"/>
        <v>0.98546569160606357</v>
      </c>
      <c r="S185" s="839">
        <f t="shared" si="55"/>
        <v>-2</v>
      </c>
      <c r="T185" s="178">
        <f t="shared" si="56"/>
        <v>4</v>
      </c>
      <c r="U185" s="253">
        <f t="shared" si="57"/>
        <v>-1.0145343083939364</v>
      </c>
      <c r="V185" s="385">
        <f t="shared" si="58"/>
        <v>53.461296358108356</v>
      </c>
      <c r="W185" s="404">
        <f t="shared" si="59"/>
        <v>30.155933263408599</v>
      </c>
      <c r="X185" s="157">
        <f t="shared" si="60"/>
        <v>46558</v>
      </c>
      <c r="Y185" s="387">
        <f t="shared" si="61"/>
        <v>27.689731589067858</v>
      </c>
      <c r="Z185" s="387">
        <f t="shared" si="62"/>
        <v>29.861750472459697</v>
      </c>
      <c r="AA185" s="388">
        <f t="shared" si="63"/>
        <v>36.132033045658062</v>
      </c>
      <c r="AB185" s="199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0.17353805044058698</v>
      </c>
      <c r="AD185" s="233">
        <f>(INDEX(Models!$BJ185:$BT185,,AH185)*(1-AF185)+INDEX(Models!$BJ185:$BT185,,AH185+1)*AF185-ERP_i)*AE185*Ramure*Pc/MaxiM</f>
        <v>9.5285612061885407E-4</v>
      </c>
      <c r="AE185" s="307">
        <f t="shared" si="65"/>
        <v>0.9</v>
      </c>
      <c r="AF185" s="179">
        <f t="shared" si="66"/>
        <v>0.62112134391304252</v>
      </c>
      <c r="AG185" s="839">
        <f t="shared" si="74"/>
        <v>3</v>
      </c>
      <c r="AH185" s="178">
        <f t="shared" si="67"/>
        <v>9</v>
      </c>
      <c r="AI185" s="227">
        <f t="shared" si="68"/>
        <v>3.6211213439130425</v>
      </c>
      <c r="AJ185" s="267" t="b">
        <f t="shared" si="69"/>
        <v>0</v>
      </c>
      <c r="AK185" s="267" t="b">
        <f t="shared" si="70"/>
        <v>0</v>
      </c>
      <c r="AL185" s="267"/>
      <c r="AM185" s="267"/>
      <c r="AN185" s="75"/>
    </row>
    <row r="186" spans="1:40" s="6" customFormat="1" ht="11.25" x14ac:dyDescent="0.2">
      <c r="A186" s="56">
        <f t="shared" si="71"/>
        <v>46559</v>
      </c>
      <c r="B186" s="413">
        <f>'2026'!Wh/'2026'!Env_an*'2027'!Env_an</f>
        <v>17.90431781646874</v>
      </c>
      <c r="C186" s="868"/>
      <c r="D186" s="395">
        <f t="shared" si="50"/>
        <v>19.309205355447205</v>
      </c>
      <c r="E186" s="387">
        <f t="shared" si="75"/>
        <v>21.464975324285177</v>
      </c>
      <c r="F186" s="387">
        <f t="shared" si="51"/>
        <v>21.4650534539688</v>
      </c>
      <c r="G186" s="110">
        <f t="shared" si="76"/>
        <v>0.33523977155047002</v>
      </c>
      <c r="H186" s="416" t="b">
        <f>Wh_hp&gt;='2026'!Maxi_hp</f>
        <v>0</v>
      </c>
      <c r="I186" s="392">
        <f>IF(H186,Wh_hp,'2026'!Maxi_hp)</f>
        <v>55.37097904522787</v>
      </c>
      <c r="J186" s="85">
        <f>IF(H186,An,'2026'!An_max)</f>
        <v>2020</v>
      </c>
      <c r="K186" s="199">
        <f t="shared" si="52"/>
        <v>46559</v>
      </c>
      <c r="L186" s="147">
        <f>IF(t&lt;Tvie,1-EXP((T0-t)*PertePVj)+'2026'!Pspv,1-EXP((T0-t)*PertePVj)+Pspv)</f>
        <v>7.27573979931877E-2</v>
      </c>
      <c r="M186" s="872"/>
      <c r="N186" s="872"/>
      <c r="O186" s="48">
        <f>IF(t&lt;Tnet,'2026'!Resal+('2026'!Salim-'2026'!Resal)*(1-EXP(('2026'!Tnet-t)/('2026'!Tau_j))),Resal+(Salim-Resal)*(1-EXP((Tnet-t)/(Tau_j))))*Salcycl</f>
        <v>0.10043197983083459</v>
      </c>
      <c r="P186" s="171">
        <f>(INDEX(Models!$BJ186:$BT186,,T186)*(1-R186)+INDEX(Models!$BJ186:$BT186,,T186+1)*R186-ERP_i)*Q186*Ramure*Pc/MaxiM</f>
        <v>7.2254622732701197E-5</v>
      </c>
      <c r="Q186" s="307">
        <f t="shared" si="53"/>
        <v>0.9</v>
      </c>
      <c r="R186" s="179">
        <f t="shared" si="54"/>
        <v>0.99234444677554068</v>
      </c>
      <c r="S186" s="839">
        <f t="shared" si="55"/>
        <v>-2</v>
      </c>
      <c r="T186" s="178">
        <f t="shared" si="56"/>
        <v>4</v>
      </c>
      <c r="U186" s="253">
        <f t="shared" si="57"/>
        <v>-1.0076555532244593</v>
      </c>
      <c r="V186" s="385">
        <f t="shared" si="58"/>
        <v>53.403834600497909</v>
      </c>
      <c r="W186" s="404">
        <f t="shared" si="59"/>
        <v>17.90431781646874</v>
      </c>
      <c r="X186" s="157">
        <f t="shared" si="60"/>
        <v>46559</v>
      </c>
      <c r="Y186" s="387">
        <f t="shared" si="61"/>
        <v>16.445232989739164</v>
      </c>
      <c r="Z186" s="387">
        <f t="shared" si="62"/>
        <v>17.735631380770339</v>
      </c>
      <c r="AA186" s="388">
        <f t="shared" si="63"/>
        <v>21.464027297919763</v>
      </c>
      <c r="AB186" s="199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0.17370439691486839</v>
      </c>
      <c r="AD186" s="233">
        <f>(INDEX(Models!$BJ186:$BT186,,AH186)*(1-AF186)+INDEX(Models!$BJ186:$BT186,,AH186+1)*AF186-ERP_i)*AE186*Ramure*Pc/MaxiM</f>
        <v>9.4899294034121273E-4</v>
      </c>
      <c r="AE186" s="307">
        <f t="shared" si="65"/>
        <v>0.9</v>
      </c>
      <c r="AF186" s="179">
        <f t="shared" si="66"/>
        <v>0.62800009908251964</v>
      </c>
      <c r="AG186" s="839">
        <f t="shared" si="74"/>
        <v>3</v>
      </c>
      <c r="AH186" s="178">
        <f t="shared" si="67"/>
        <v>9</v>
      </c>
      <c r="AI186" s="227">
        <f t="shared" si="68"/>
        <v>3.6280000990825196</v>
      </c>
      <c r="AJ186" s="267" t="b">
        <f t="shared" si="69"/>
        <v>0</v>
      </c>
      <c r="AK186" s="267" t="b">
        <f t="shared" si="70"/>
        <v>0</v>
      </c>
      <c r="AL186" s="267"/>
      <c r="AM186" s="267"/>
      <c r="AN186" s="75"/>
    </row>
    <row r="187" spans="1:40" s="6" customFormat="1" ht="11.25" x14ac:dyDescent="0.2">
      <c r="A187" s="56">
        <f t="shared" si="71"/>
        <v>46560</v>
      </c>
      <c r="B187" s="413">
        <f>'2026'!Wh/'2026'!Env_an*'2027'!Env_an</f>
        <v>43.241856666837982</v>
      </c>
      <c r="C187" s="868"/>
      <c r="D187" s="395">
        <f t="shared" si="50"/>
        <v>46.635975199849426</v>
      </c>
      <c r="E187" s="387">
        <f t="shared" si="75"/>
        <v>51.85426686537685</v>
      </c>
      <c r="F187" s="387">
        <f t="shared" si="51"/>
        <v>51.857012003285419</v>
      </c>
      <c r="G187" s="110">
        <f t="shared" si="76"/>
        <v>0.81059950541491632</v>
      </c>
      <c r="H187" s="416" t="b">
        <f>Wh_hp&gt;='2026'!Maxi_hp</f>
        <v>0</v>
      </c>
      <c r="I187" s="392">
        <f>IF(H187,Wh_hp,'2026'!Maxi_hp)</f>
        <v>63.646514520182144</v>
      </c>
      <c r="J187" s="85">
        <f>IF(H187,An,'2026'!An_max)</f>
        <v>2020</v>
      </c>
      <c r="K187" s="199">
        <f t="shared" si="52"/>
        <v>46560</v>
      </c>
      <c r="L187" s="147">
        <f>IF(t&lt;Tvie,1-EXP((T0-t)*PertePVj)+'2026'!Pspv,1-EXP((T0-t)*PertePVj)+Pspv)</f>
        <v>7.2778976283150665E-2</v>
      </c>
      <c r="M187" s="872"/>
      <c r="N187" s="872"/>
      <c r="O187" s="48">
        <f>IF(t&lt;Tnet,'2026'!Resal+('2026'!Salim-'2026'!Resal)*(1-EXP(('2026'!Tnet-t)/('2026'!Tau_j))),Resal+(Salim-Resal)*(1-EXP((Tnet-t)/(Tau_j))))*Salcycl</f>
        <v>0.10063379507563117</v>
      </c>
      <c r="P187" s="171">
        <f>(INDEX(Models!$BJ187:$BT187,,T187)*(1-R187)+INDEX(Models!$BJ187:$BT187,,T187+1)*R187-ERP_i)*Q187*Ramure*Pc/MaxiM</f>
        <v>7.2570612841794813E-5</v>
      </c>
      <c r="Q187" s="307">
        <f t="shared" si="53"/>
        <v>0.9</v>
      </c>
      <c r="R187" s="179">
        <f t="shared" si="54"/>
        <v>0.99916066729166353</v>
      </c>
      <c r="S187" s="839">
        <f t="shared" si="55"/>
        <v>-2</v>
      </c>
      <c r="T187" s="178">
        <f t="shared" si="56"/>
        <v>4</v>
      </c>
      <c r="U187" s="253">
        <f t="shared" si="57"/>
        <v>-1.0008393327083365</v>
      </c>
      <c r="V187" s="385">
        <f t="shared" si="58"/>
        <v>53.344478161173583</v>
      </c>
      <c r="W187" s="404">
        <f t="shared" si="59"/>
        <v>43.241856666837982</v>
      </c>
      <c r="X187" s="157">
        <f t="shared" si="60"/>
        <v>46560</v>
      </c>
      <c r="Y187" s="387">
        <f t="shared" si="61"/>
        <v>39.695352225660201</v>
      </c>
      <c r="Z187" s="387">
        <f t="shared" si="62"/>
        <v>42.811100277405046</v>
      </c>
      <c r="AA187" s="388">
        <f t="shared" si="63"/>
        <v>51.821060400694378</v>
      </c>
      <c r="AB187" s="199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0.1738667648562553</v>
      </c>
      <c r="AD187" s="233">
        <f>(INDEX(Models!$BJ187:$BT187,,AH187)*(1-AF187)+INDEX(Models!$BJ187:$BT187,,AH187+1)*AF187-ERP_i)*AE187*Ramure*Pc/MaxiM</f>
        <v>9.5041849246600056E-4</v>
      </c>
      <c r="AE187" s="307">
        <f t="shared" si="65"/>
        <v>0.9</v>
      </c>
      <c r="AF187" s="179">
        <f t="shared" si="66"/>
        <v>0.63481631959864249</v>
      </c>
      <c r="AG187" s="839">
        <f t="shared" si="74"/>
        <v>3</v>
      </c>
      <c r="AH187" s="178">
        <f t="shared" si="67"/>
        <v>9</v>
      </c>
      <c r="AI187" s="227">
        <f t="shared" si="68"/>
        <v>3.6348163195986425</v>
      </c>
      <c r="AJ187" s="267" t="b">
        <f t="shared" si="69"/>
        <v>0</v>
      </c>
      <c r="AK187" s="267" t="b">
        <f t="shared" si="70"/>
        <v>0</v>
      </c>
      <c r="AL187" s="267"/>
      <c r="AM187" s="267"/>
      <c r="AN187" s="75"/>
    </row>
    <row r="188" spans="1:40" s="6" customFormat="1" ht="11.25" x14ac:dyDescent="0.2">
      <c r="A188" s="56">
        <f t="shared" si="71"/>
        <v>46561</v>
      </c>
      <c r="B188" s="413">
        <f>'2026'!Wh/'2026'!Env_an*'2027'!Env_an</f>
        <v>38.322526931413471</v>
      </c>
      <c r="C188" s="868"/>
      <c r="D188" s="395">
        <f t="shared" si="50"/>
        <v>41.331481699727156</v>
      </c>
      <c r="E188" s="387">
        <f t="shared" si="75"/>
        <v>45.966428070983532</v>
      </c>
      <c r="F188" s="387">
        <f t="shared" si="51"/>
        <v>45.968436145485619</v>
      </c>
      <c r="G188" s="110">
        <f t="shared" si="76"/>
        <v>0.71919953229544309</v>
      </c>
      <c r="H188" s="416" t="b">
        <f>Wh_hp&gt;='2026'!Maxi_hp</f>
        <v>0</v>
      </c>
      <c r="I188" s="392">
        <f>IF(H188,Wh_hp,'2026'!Maxi_hp)</f>
        <v>56.737228376806002</v>
      </c>
      <c r="J188" s="85">
        <f>IF(H188,An,'2026'!An_max)</f>
        <v>2020</v>
      </c>
      <c r="K188" s="199">
        <f t="shared" si="52"/>
        <v>46561</v>
      </c>
      <c r="L188" s="147">
        <f>IF(t&lt;Tvie,1-EXP((T0-t)*PertePVj)+'2026'!Pspv,1-EXP((T0-t)*PertePVj)+Pspv)</f>
        <v>7.2800554070955315E-2</v>
      </c>
      <c r="M188" s="872"/>
      <c r="N188" s="872"/>
      <c r="O188" s="48">
        <f>IF(t&lt;Tnet,'2026'!Resal+('2026'!Salim-'2026'!Resal)*(1-EXP(('2026'!Tnet-t)/('2026'!Tau_j))),Resal+(Salim-Resal)*(1-EXP((Tnet-t)/(Tau_j))))*Salcycl</f>
        <v>0.10083329433600693</v>
      </c>
      <c r="P188" s="171">
        <f>(INDEX(Models!$BJ188:$BT188,,T188)*(1-R188)+INDEX(Models!$BJ188:$BT188,,T188+1)*R188-ERP_i)*Q188*Ramure*Pc/MaxiM</f>
        <v>7.2941643082421711E-5</v>
      </c>
      <c r="Q188" s="307">
        <f t="shared" si="53"/>
        <v>0.9</v>
      </c>
      <c r="R188" s="179">
        <f t="shared" si="54"/>
        <v>5.9095280553741469E-3</v>
      </c>
      <c r="S188" s="839">
        <f t="shared" si="55"/>
        <v>-1</v>
      </c>
      <c r="T188" s="178">
        <f t="shared" si="56"/>
        <v>5</v>
      </c>
      <c r="U188" s="253">
        <f t="shared" si="57"/>
        <v>-0.99409047194462585</v>
      </c>
      <c r="V188" s="385">
        <f t="shared" si="58"/>
        <v>53.283412913824499</v>
      </c>
      <c r="W188" s="404">
        <f t="shared" si="59"/>
        <v>38.322526931413471</v>
      </c>
      <c r="X188" s="157">
        <f t="shared" si="60"/>
        <v>46561</v>
      </c>
      <c r="Y188" s="387">
        <f t="shared" si="61"/>
        <v>35.184444241093253</v>
      </c>
      <c r="Z188" s="387">
        <f t="shared" si="62"/>
        <v>37.947007405552093</v>
      </c>
      <c r="AA188" s="388">
        <f t="shared" si="63"/>
        <v>45.942084786735826</v>
      </c>
      <c r="AB188" s="199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0.17402513225721178</v>
      </c>
      <c r="AD188" s="233">
        <f>(INDEX(Models!$BJ188:$BT188,,AH188)*(1-AF188)+INDEX(Models!$BJ188:$BT188,,AH188+1)*AF188-ERP_i)*AE188*Ramure*Pc/MaxiM</f>
        <v>9.5719128083471424E-4</v>
      </c>
      <c r="AE188" s="307">
        <f t="shared" si="65"/>
        <v>0.9</v>
      </c>
      <c r="AF188" s="179">
        <f t="shared" si="66"/>
        <v>0.64156518036235299</v>
      </c>
      <c r="AG188" s="839">
        <f t="shared" si="74"/>
        <v>3</v>
      </c>
      <c r="AH188" s="178">
        <f t="shared" si="67"/>
        <v>9</v>
      </c>
      <c r="AI188" s="227">
        <f t="shared" si="68"/>
        <v>3.641565180362353</v>
      </c>
      <c r="AJ188" s="267" t="b">
        <f t="shared" si="69"/>
        <v>0</v>
      </c>
      <c r="AK188" s="267" t="b">
        <f t="shared" si="70"/>
        <v>0</v>
      </c>
      <c r="AL188" s="267"/>
      <c r="AM188" s="267"/>
      <c r="AN188" s="75"/>
    </row>
    <row r="189" spans="1:40" s="6" customFormat="1" ht="11.25" x14ac:dyDescent="0.2">
      <c r="A189" s="56">
        <f t="shared" si="71"/>
        <v>46562</v>
      </c>
      <c r="B189" s="413">
        <f>'2026'!Wh/'2026'!Env_an*'2027'!Env_an</f>
        <v>40.526846891734081</v>
      </c>
      <c r="C189" s="868"/>
      <c r="D189" s="395">
        <f t="shared" si="50"/>
        <v>43.709894576141586</v>
      </c>
      <c r="E189" s="387">
        <f t="shared" si="75"/>
        <v>48.622220028577146</v>
      </c>
      <c r="F189" s="387">
        <f t="shared" si="51"/>
        <v>48.624570378856646</v>
      </c>
      <c r="G189" s="110">
        <f t="shared" si="76"/>
        <v>0.76146566085438072</v>
      </c>
      <c r="H189" s="416" t="b">
        <f>Wh_hp&gt;='2026'!Maxi_hp</f>
        <v>0</v>
      </c>
      <c r="I189" s="392">
        <f>IF(H189,Wh_hp,'2026'!Maxi_hp)</f>
        <v>62.884228215867878</v>
      </c>
      <c r="J189" s="85">
        <f>IF(H189,An,'2026'!An_max)</f>
        <v>2020</v>
      </c>
      <c r="K189" s="199">
        <f t="shared" si="52"/>
        <v>46562</v>
      </c>
      <c r="L189" s="147">
        <f>IF(t&lt;Tvie,1-EXP((T0-t)*PertePVj)+'2026'!Pspv,1-EXP((T0-t)*PertePVj)+Pspv)</f>
        <v>7.2822131356613307E-2</v>
      </c>
      <c r="M189" s="872"/>
      <c r="N189" s="872"/>
      <c r="O189" s="48">
        <f>IF(t&lt;Tnet,'2026'!Resal+('2026'!Salim-'2026'!Resal)*(1-EXP(('2026'!Tnet-t)/('2026'!Tau_j))),Resal+(Salim-Resal)*(1-EXP((Tnet-t)/(Tau_j))))*Salcycl</f>
        <v>0.10103046404603488</v>
      </c>
      <c r="P189" s="171">
        <f>(INDEX(Models!$BJ189:$BT189,,T189)*(1-R189)+INDEX(Models!$BJ189:$BT189,,T189+1)*R189-ERP_i)*Q189*Ramure*Pc/MaxiM</f>
        <v>7.3319173494891556E-5</v>
      </c>
      <c r="Q189" s="307">
        <f t="shared" si="53"/>
        <v>0.9</v>
      </c>
      <c r="R189" s="179">
        <f t="shared" si="54"/>
        <v>1.2586411389533536E-2</v>
      </c>
      <c r="S189" s="839">
        <f t="shared" si="55"/>
        <v>-1</v>
      </c>
      <c r="T189" s="178">
        <f t="shared" si="56"/>
        <v>5</v>
      </c>
      <c r="U189" s="253">
        <f t="shared" si="57"/>
        <v>-0.98741358861046646</v>
      </c>
      <c r="V189" s="385">
        <f t="shared" si="58"/>
        <v>53.220829860688816</v>
      </c>
      <c r="W189" s="404">
        <f t="shared" si="59"/>
        <v>40.526846891734081</v>
      </c>
      <c r="X189" s="157">
        <f t="shared" si="60"/>
        <v>46562</v>
      </c>
      <c r="Y189" s="387">
        <f t="shared" si="61"/>
        <v>37.207189475674291</v>
      </c>
      <c r="Z189" s="387">
        <f t="shared" si="62"/>
        <v>40.129505604048241</v>
      </c>
      <c r="AA189" s="388">
        <f t="shared" si="63"/>
        <v>48.593495865551986</v>
      </c>
      <c r="AB189" s="199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0.17417948864847746</v>
      </c>
      <c r="AD189" s="233">
        <f>(INDEX(Models!$BJ189:$BT189,,AH189)*(1-AF189)+INDEX(Models!$BJ189:$BT189,,AH189+1)*AF189-ERP_i)*AE189*Ramure*Pc/MaxiM</f>
        <v>9.6936939660819126E-4</v>
      </c>
      <c r="AE189" s="307">
        <f t="shared" si="65"/>
        <v>0.9</v>
      </c>
      <c r="AF189" s="179">
        <f t="shared" si="66"/>
        <v>0.64824206369651227</v>
      </c>
      <c r="AG189" s="839">
        <f t="shared" si="74"/>
        <v>3</v>
      </c>
      <c r="AH189" s="178">
        <f t="shared" si="67"/>
        <v>9</v>
      </c>
      <c r="AI189" s="227">
        <f t="shared" si="68"/>
        <v>3.6482420636965123</v>
      </c>
      <c r="AJ189" s="267" t="b">
        <f t="shared" si="69"/>
        <v>0</v>
      </c>
      <c r="AK189" s="267" t="b">
        <f t="shared" si="70"/>
        <v>0</v>
      </c>
      <c r="AL189" s="267"/>
      <c r="AM189" s="267"/>
      <c r="AN189" s="75"/>
    </row>
    <row r="190" spans="1:40" s="6" customFormat="1" ht="11.25" x14ac:dyDescent="0.2">
      <c r="A190" s="56">
        <f t="shared" si="71"/>
        <v>46563</v>
      </c>
      <c r="B190" s="413">
        <f>'2026'!Wh/'2026'!Env_an*'2027'!Env_an</f>
        <v>28.3870425974638</v>
      </c>
      <c r="C190" s="868"/>
      <c r="D190" s="395">
        <f t="shared" si="50"/>
        <v>30.617321854678625</v>
      </c>
      <c r="E190" s="387">
        <f t="shared" si="75"/>
        <v>34.065624856683179</v>
      </c>
      <c r="F190" s="387">
        <f t="shared" si="51"/>
        <v>34.066464214532999</v>
      </c>
      <c r="G190" s="110">
        <f t="shared" si="76"/>
        <v>0.53399729469545165</v>
      </c>
      <c r="H190" s="416" t="b">
        <f>Wh_hp&gt;='2026'!Maxi_hp</f>
        <v>0</v>
      </c>
      <c r="I190" s="392">
        <f>IF(H190,Wh_hp,'2026'!Maxi_hp)</f>
        <v>58.027223678853936</v>
      </c>
      <c r="J190" s="85">
        <f>IF(H190,An,'2026'!An_max)</f>
        <v>2021</v>
      </c>
      <c r="K190" s="199">
        <f t="shared" si="52"/>
        <v>46563</v>
      </c>
      <c r="L190" s="147">
        <f>IF(t&lt;Tvie,1-EXP((T0-t)*PertePVj)+'2026'!Pspv,1-EXP((T0-t)*PertePVj)+Pspv)</f>
        <v>7.2843708140136298E-2</v>
      </c>
      <c r="M190" s="872"/>
      <c r="N190" s="872"/>
      <c r="O190" s="48">
        <f>IF(t&lt;Tnet,'2026'!Resal+('2026'!Salim-'2026'!Resal)*(1-EXP(('2026'!Tnet-t)/('2026'!Tau_j))),Resal+(Salim-Resal)*(1-EXP((Tnet-t)/(Tau_j))))*Salcycl</f>
        <v>0.10122529724647182</v>
      </c>
      <c r="P190" s="171">
        <f>(INDEX(Models!$BJ190:$BT190,,T190)*(1-R190)+INDEX(Models!$BJ190:$BT190,,T190+1)*R190-ERP_i)*Q190*Ramure*Pc/MaxiM</f>
        <v>7.3698504716604947E-5</v>
      </c>
      <c r="Q190" s="307">
        <f t="shared" si="53"/>
        <v>0.9</v>
      </c>
      <c r="R190" s="179">
        <f t="shared" si="54"/>
        <v>1.9186917736899733E-2</v>
      </c>
      <c r="S190" s="839">
        <f t="shared" si="55"/>
        <v>-1</v>
      </c>
      <c r="T190" s="178">
        <f t="shared" si="56"/>
        <v>5</v>
      </c>
      <c r="U190" s="253">
        <f t="shared" si="57"/>
        <v>-0.98081308226310027</v>
      </c>
      <c r="V190" s="385">
        <f t="shared" si="58"/>
        <v>53.156917059452077</v>
      </c>
      <c r="W190" s="404">
        <f t="shared" si="59"/>
        <v>28.3870425974638</v>
      </c>
      <c r="X190" s="157">
        <f t="shared" si="60"/>
        <v>46563</v>
      </c>
      <c r="Y190" s="387">
        <f t="shared" si="61"/>
        <v>26.070134389211262</v>
      </c>
      <c r="Z190" s="387">
        <f t="shared" si="62"/>
        <v>28.118381569643351</v>
      </c>
      <c r="AA190" s="388">
        <f t="shared" si="63"/>
        <v>34.055222968427913</v>
      </c>
      <c r="AB190" s="199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0.17432983493570181</v>
      </c>
      <c r="AD190" s="233">
        <f>(INDEX(Models!$BJ190:$BT190,,AH190)*(1-AF190)+INDEX(Models!$BJ190:$BT190,,AH190+1)*AF190-ERP_i)*AE190*Ramure*Pc/MaxiM</f>
        <v>9.8702005261853834E-4</v>
      </c>
      <c r="AE190" s="307">
        <f t="shared" si="65"/>
        <v>0.9</v>
      </c>
      <c r="AF190" s="179">
        <f t="shared" si="66"/>
        <v>0.65484257004387869</v>
      </c>
      <c r="AG190" s="839">
        <f t="shared" si="74"/>
        <v>3</v>
      </c>
      <c r="AH190" s="178">
        <f t="shared" si="67"/>
        <v>9</v>
      </c>
      <c r="AI190" s="227">
        <f t="shared" si="68"/>
        <v>3.6548425700438787</v>
      </c>
      <c r="AJ190" s="267" t="b">
        <f t="shared" si="69"/>
        <v>0</v>
      </c>
      <c r="AK190" s="267" t="b">
        <f t="shared" si="70"/>
        <v>0</v>
      </c>
      <c r="AL190" s="267"/>
      <c r="AM190" s="267"/>
      <c r="AN190" s="75"/>
    </row>
    <row r="191" spans="1:40" s="6" customFormat="1" ht="11.25" x14ac:dyDescent="0.2">
      <c r="A191" s="56">
        <f t="shared" si="71"/>
        <v>46564</v>
      </c>
      <c r="B191" s="413">
        <f>'2026'!Wh/'2026'!Env_an*'2027'!Env_an</f>
        <v>10.847905267470724</v>
      </c>
      <c r="C191" s="868"/>
      <c r="D191" s="395">
        <f t="shared" si="50"/>
        <v>11.700462818612534</v>
      </c>
      <c r="E191" s="387">
        <f t="shared" si="75"/>
        <v>13.021026605943682</v>
      </c>
      <c r="F191" s="387">
        <f t="shared" si="51"/>
        <v>13.021026605943682</v>
      </c>
      <c r="G191" s="110">
        <f t="shared" si="76"/>
        <v>0.2043084195620373</v>
      </c>
      <c r="H191" s="416" t="b">
        <f>Wh_hp&gt;='2026'!Maxi_hp</f>
        <v>0</v>
      </c>
      <c r="I191" s="392">
        <f>IF(H191,Wh_hp,'2026'!Maxi_hp)</f>
        <v>61.058572386734099</v>
      </c>
      <c r="J191" s="85">
        <f>IF(H191,An,'2026'!An_max)</f>
        <v>2019</v>
      </c>
      <c r="K191" s="199">
        <f t="shared" si="52"/>
        <v>46564</v>
      </c>
      <c r="L191" s="147">
        <f>IF(t&lt;Tvie,1-EXP((T0-t)*PertePVj)+'2026'!Pspv,1-EXP((T0-t)*PertePVj)+Pspv)</f>
        <v>7.2865284421536058E-2</v>
      </c>
      <c r="M191" s="872"/>
      <c r="N191" s="872"/>
      <c r="O191" s="48">
        <f>IF(t&lt;Tnet,'2026'!Resal+('2026'!Salim-'2026'!Resal)*(1-EXP(('2026'!Tnet-t)/('2026'!Tau_j))),Resal+(Salim-Resal)*(1-EXP((Tnet-t)/(Tau_j))))*Salcycl</f>
        <v>0.10141779348859893</v>
      </c>
      <c r="P191" s="171">
        <f>(INDEX(Models!$BJ191:$BT191,,T191)*(1-R191)+INDEX(Models!$BJ191:$BT191,,T191+1)*R191-ERP_i)*Q191*Ramure*Pc/MaxiM</f>
        <v>7.4083263278704693E-5</v>
      </c>
      <c r="Q191" s="307">
        <f t="shared" si="53"/>
        <v>0.9</v>
      </c>
      <c r="R191" s="179">
        <f t="shared" si="54"/>
        <v>2.5706875014064878E-2</v>
      </c>
      <c r="S191" s="839">
        <f t="shared" si="55"/>
        <v>-1</v>
      </c>
      <c r="T191" s="178">
        <f t="shared" si="56"/>
        <v>5</v>
      </c>
      <c r="U191" s="253">
        <f t="shared" si="57"/>
        <v>-0.97429312498593512</v>
      </c>
      <c r="V191" s="385">
        <f t="shared" si="58"/>
        <v>53.091799361480049</v>
      </c>
      <c r="W191" s="404">
        <f t="shared" si="59"/>
        <v>10.847905267470724</v>
      </c>
      <c r="X191" s="157">
        <f t="shared" si="60"/>
        <v>46564</v>
      </c>
      <c r="Y191" s="387">
        <f t="shared" si="61"/>
        <v>9.9659264295245773</v>
      </c>
      <c r="Z191" s="387">
        <f t="shared" si="62"/>
        <v>10.749167582735343</v>
      </c>
      <c r="AA191" s="388">
        <f t="shared" si="63"/>
        <v>13.021026605943682</v>
      </c>
      <c r="AB191" s="199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0.17447618317370681</v>
      </c>
      <c r="AD191" s="233">
        <f>(INDEX(Models!$BJ191:$BT191,,AH191)*(1-AF191)+INDEX(Models!$BJ191:$BT191,,AH191+1)*AF191-ERP_i)*AE191*Ramure*Pc/MaxiM</f>
        <v>1.010211048383836E-3</v>
      </c>
      <c r="AE191" s="307">
        <f t="shared" si="65"/>
        <v>0.9</v>
      </c>
      <c r="AF191" s="179">
        <f t="shared" si="66"/>
        <v>0.66136252732104372</v>
      </c>
      <c r="AG191" s="839">
        <f t="shared" si="74"/>
        <v>3</v>
      </c>
      <c r="AH191" s="178">
        <f t="shared" si="67"/>
        <v>9</v>
      </c>
      <c r="AI191" s="227">
        <f t="shared" si="68"/>
        <v>3.6613625273210437</v>
      </c>
      <c r="AJ191" s="267" t="b">
        <f t="shared" si="69"/>
        <v>0</v>
      </c>
      <c r="AK191" s="267" t="b">
        <f t="shared" si="70"/>
        <v>0</v>
      </c>
      <c r="AL191" s="267"/>
      <c r="AM191" s="267"/>
      <c r="AN191" s="75"/>
    </row>
    <row r="192" spans="1:40" s="6" customFormat="1" ht="11.25" x14ac:dyDescent="0.2">
      <c r="A192" s="56">
        <f t="shared" si="71"/>
        <v>46565</v>
      </c>
      <c r="B192" s="413">
        <f>'2026'!Wh/'2026'!Env_an*'2027'!Env_an</f>
        <v>16.106954018747327</v>
      </c>
      <c r="C192" s="868"/>
      <c r="D192" s="395">
        <f t="shared" si="50"/>
        <v>17.373234535578142</v>
      </c>
      <c r="E192" s="387">
        <f t="shared" si="75"/>
        <v>19.338143858078418</v>
      </c>
      <c r="F192" s="387">
        <f t="shared" si="51"/>
        <v>19.338151603183992</v>
      </c>
      <c r="G192" s="110">
        <f t="shared" si="76"/>
        <v>0.30373698850579256</v>
      </c>
      <c r="H192" s="416" t="b">
        <f>Wh_hp&gt;='2026'!Maxi_hp</f>
        <v>0</v>
      </c>
      <c r="I192" s="392">
        <f>IF(H192,Wh_hp,'2026'!Maxi_hp)</f>
        <v>60.869890690098934</v>
      </c>
      <c r="J192" s="85">
        <f>IF(H192,An,'2026'!An_max)</f>
        <v>2019</v>
      </c>
      <c r="K192" s="199">
        <f t="shared" si="52"/>
        <v>46565</v>
      </c>
      <c r="L192" s="147">
        <f>IF(t&lt;Tvie,1-EXP((T0-t)*PertePVj)+'2026'!Pspv,1-EXP((T0-t)*PertePVj)+Pspv)</f>
        <v>7.2886860200824244E-2</v>
      </c>
      <c r="M192" s="872"/>
      <c r="N192" s="872"/>
      <c r="O192" s="48">
        <f>IF(t&lt;Tnet,'2026'!Resal+('2026'!Salim-'2026'!Resal)*(1-EXP(('2026'!Tnet-t)/('2026'!Tau_j))),Resal+(Salim-Resal)*(1-EXP((Tnet-t)/(Tau_j))))*Salcycl</f>
        <v>0.10160795870175741</v>
      </c>
      <c r="P192" s="171">
        <f>(INDEX(Models!$BJ192:$BT192,,T192)*(1-R192)+INDEX(Models!$BJ192:$BT192,,T192+1)*R192-ERP_i)*Q192*Ramure*Pc/MaxiM</f>
        <v>7.4572404220296616E-5</v>
      </c>
      <c r="Q192" s="307">
        <f t="shared" si="53"/>
        <v>0.9</v>
      </c>
      <c r="R192" s="179">
        <f t="shared" si="54"/>
        <v>3.2142346598868832E-2</v>
      </c>
      <c r="S192" s="839">
        <f t="shared" si="55"/>
        <v>-1</v>
      </c>
      <c r="T192" s="178">
        <f t="shared" si="56"/>
        <v>5</v>
      </c>
      <c r="U192" s="253">
        <f t="shared" si="57"/>
        <v>-0.96785765340113117</v>
      </c>
      <c r="V192" s="385">
        <f t="shared" si="58"/>
        <v>53.025347404000506</v>
      </c>
      <c r="W192" s="404">
        <f t="shared" si="59"/>
        <v>16.106954018747327</v>
      </c>
      <c r="X192" s="157">
        <f t="shared" si="60"/>
        <v>46565</v>
      </c>
      <c r="Y192" s="387">
        <f t="shared" si="61"/>
        <v>14.797895897909603</v>
      </c>
      <c r="Z192" s="387">
        <f t="shared" si="62"/>
        <v>15.961262183291902</v>
      </c>
      <c r="AA192" s="388">
        <f t="shared" si="63"/>
        <v>19.338043403734346</v>
      </c>
      <c r="AB192" s="199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0.17461855628012279</v>
      </c>
      <c r="AD192" s="233">
        <f>(INDEX(Models!$BJ192:$BT192,,AH192)*(1-AF192)+INDEX(Models!$BJ192:$BT192,,AH192+1)*AF192-ERP_i)*AE192*Ramure*Pc/MaxiM</f>
        <v>1.0417796141260285E-3</v>
      </c>
      <c r="AE192" s="307">
        <f t="shared" si="65"/>
        <v>0.9</v>
      </c>
      <c r="AF192" s="179">
        <f t="shared" si="66"/>
        <v>0.66779799890584801</v>
      </c>
      <c r="AG192" s="839">
        <f t="shared" si="74"/>
        <v>3</v>
      </c>
      <c r="AH192" s="178">
        <f t="shared" si="67"/>
        <v>9</v>
      </c>
      <c r="AI192" s="227">
        <f t="shared" si="68"/>
        <v>3.667797998905848</v>
      </c>
      <c r="AJ192" s="267" t="b">
        <f t="shared" si="69"/>
        <v>0</v>
      </c>
      <c r="AK192" s="267" t="b">
        <f t="shared" si="70"/>
        <v>0</v>
      </c>
      <c r="AL192" s="267"/>
      <c r="AM192" s="267"/>
      <c r="AN192" s="75"/>
    </row>
    <row r="193" spans="1:40" s="6" customFormat="1" ht="11.25" x14ac:dyDescent="0.2">
      <c r="A193" s="56">
        <f t="shared" si="71"/>
        <v>46566</v>
      </c>
      <c r="B193" s="413">
        <f>'2026'!Wh/'2026'!Env_an*'2027'!Env_an</f>
        <v>54.959063108691232</v>
      </c>
      <c r="C193" s="868"/>
      <c r="D193" s="395">
        <f t="shared" si="50"/>
        <v>59.281159716978301</v>
      </c>
      <c r="E193" s="387">
        <f t="shared" si="75"/>
        <v>65.999646905088284</v>
      </c>
      <c r="F193" s="387">
        <f t="shared" si="51"/>
        <v>66.004608536540772</v>
      </c>
      <c r="G193" s="110">
        <f t="shared" si="76"/>
        <v>1.0377981106491903</v>
      </c>
      <c r="H193" s="416" t="b">
        <f>Wh_hp&gt;='2026'!Maxi_hp</f>
        <v>1</v>
      </c>
      <c r="I193" s="392">
        <f>IF(H193,Wh_hp,'2026'!Maxi_hp)</f>
        <v>66.004608536540772</v>
      </c>
      <c r="J193" s="85">
        <f>IF(H193,An,'2026'!An_max)</f>
        <v>2027</v>
      </c>
      <c r="K193" s="199">
        <f t="shared" si="52"/>
        <v>46566</v>
      </c>
      <c r="L193" s="147">
        <f>IF(t&lt;Tvie,1-EXP((T0-t)*PertePVj)+'2026'!Pspv,1-EXP((T0-t)*PertePVj)+Pspv)</f>
        <v>7.2908435478012512E-2</v>
      </c>
      <c r="M193" s="872"/>
      <c r="N193" s="872"/>
      <c r="O193" s="48">
        <f>IF(t&lt;Tnet,'2026'!Resal+('2026'!Salim-'2026'!Resal)*(1-EXP(('2026'!Tnet-t)/('2026'!Tau_j))),Resal+(Salim-Resal)*(1-EXP((Tnet-t)/(Tau_j))))*Salcycl</f>
        <v>0.10179580502561765</v>
      </c>
      <c r="P193" s="171">
        <f>(INDEX(Models!$BJ193:$BT193,,T193)*(1-R193)+INDEX(Models!$BJ193:$BT193,,T193+1)*R193-ERP_i)*Q193*Ramure*Pc/MaxiM</f>
        <v>7.5170985216053461E-5</v>
      </c>
      <c r="Q193" s="307">
        <f t="shared" si="53"/>
        <v>0.9</v>
      </c>
      <c r="R193" s="179">
        <f t="shared" si="54"/>
        <v>3.8489637942030197E-2</v>
      </c>
      <c r="S193" s="839">
        <f t="shared" si="55"/>
        <v>-1</v>
      </c>
      <c r="T193" s="178">
        <f t="shared" si="56"/>
        <v>5</v>
      </c>
      <c r="U193" s="253">
        <f t="shared" si="57"/>
        <v>-0.9615103620579698</v>
      </c>
      <c r="V193" s="385">
        <f t="shared" si="58"/>
        <v>52.957374411013163</v>
      </c>
      <c r="W193" s="404">
        <f t="shared" si="59"/>
        <v>54.959063108691232</v>
      </c>
      <c r="X193" s="157">
        <f t="shared" si="60"/>
        <v>46566</v>
      </c>
      <c r="Y193" s="387">
        <f t="shared" si="61"/>
        <v>50.444039376687478</v>
      </c>
      <c r="Z193" s="387">
        <f t="shared" si="62"/>
        <v>54.411064998414311</v>
      </c>
      <c r="AA193" s="388">
        <f t="shared" si="63"/>
        <v>65.933384696162165</v>
      </c>
      <c r="AB193" s="199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0.1747569876906159</v>
      </c>
      <c r="AD193" s="233">
        <f>(INDEX(Models!$BJ193:$BT193,,AH193)*(1-AF193)+INDEX(Models!$BJ193:$BT193,,AH193+1)*AF193-ERP_i)*AE193*Ramure*Pc/MaxiM</f>
        <v>1.0790737489061856E-3</v>
      </c>
      <c r="AE193" s="307">
        <f t="shared" si="65"/>
        <v>0.9</v>
      </c>
      <c r="AF193" s="179">
        <f t="shared" si="66"/>
        <v>0.67414529024900904</v>
      </c>
      <c r="AG193" s="839">
        <f t="shared" si="74"/>
        <v>3</v>
      </c>
      <c r="AH193" s="178">
        <f t="shared" si="67"/>
        <v>9</v>
      </c>
      <c r="AI193" s="227">
        <f t="shared" si="68"/>
        <v>3.674145290249009</v>
      </c>
      <c r="AJ193" s="267" t="b">
        <f t="shared" si="69"/>
        <v>0</v>
      </c>
      <c r="AK193" s="267" t="b">
        <f t="shared" si="70"/>
        <v>0</v>
      </c>
      <c r="AL193" s="267"/>
      <c r="AM193" s="267"/>
      <c r="AN193" s="75"/>
    </row>
    <row r="194" spans="1:40" s="6" customFormat="1" ht="11.25" x14ac:dyDescent="0.2">
      <c r="A194" s="56">
        <f t="shared" si="71"/>
        <v>46567</v>
      </c>
      <c r="B194" s="413">
        <f>'2026'!Wh/'2026'!Env_an*'2027'!Env_an</f>
        <v>51.036490312224274</v>
      </c>
      <c r="C194" s="868"/>
      <c r="D194" s="395">
        <f t="shared" si="50"/>
        <v>55.051388650988983</v>
      </c>
      <c r="E194" s="387">
        <f t="shared" si="75"/>
        <v>61.303168579285071</v>
      </c>
      <c r="F194" s="387">
        <f t="shared" si="51"/>
        <v>61.307588192226525</v>
      </c>
      <c r="G194" s="110">
        <f t="shared" si="76"/>
        <v>0.96499380735315088</v>
      </c>
      <c r="H194" s="416" t="b">
        <f>Wh_hp&gt;='2026'!Maxi_hp</f>
        <v>0</v>
      </c>
      <c r="I194" s="392">
        <f>IF(H194,Wh_hp,'2026'!Maxi_hp)</f>
        <v>61.307770825327616</v>
      </c>
      <c r="J194" s="85">
        <f>IF(H194,An,'2026'!An_max)</f>
        <v>2025</v>
      </c>
      <c r="K194" s="199">
        <f t="shared" si="52"/>
        <v>46567</v>
      </c>
      <c r="L194" s="147">
        <f>IF(t&lt;Tvie,1-EXP((T0-t)*PertePVj)+'2026'!Pspv,1-EXP((T0-t)*PertePVj)+Pspv)</f>
        <v>7.2930010253112521E-2</v>
      </c>
      <c r="M194" s="872"/>
      <c r="N194" s="872"/>
      <c r="O194" s="48">
        <f>IF(t&lt;Tnet,'2026'!Resal+('2026'!Salim-'2026'!Resal)*(1-EXP(('2026'!Tnet-t)/('2026'!Tau_j))),Resal+(Salim-Resal)*(1-EXP((Tnet-t)/(Tau_j))))*Salcycl</f>
        <v>0.10198135060850057</v>
      </c>
      <c r="P194" s="171">
        <f>(INDEX(Models!$BJ194:$BT194,,T194)*(1-R194)+INDEX(Models!$BJ194:$BT194,,T194+1)*R194-ERP_i)*Q194*Ramure*Pc/MaxiM</f>
        <v>7.588362208955247E-5</v>
      </c>
      <c r="Q194" s="307">
        <f t="shared" si="53"/>
        <v>0.9</v>
      </c>
      <c r="R194" s="179">
        <f t="shared" si="54"/>
        <v>4.4745301806511373E-2</v>
      </c>
      <c r="S194" s="839">
        <f t="shared" si="55"/>
        <v>-1</v>
      </c>
      <c r="T194" s="178">
        <f t="shared" si="56"/>
        <v>5</v>
      </c>
      <c r="U194" s="253">
        <f t="shared" si="57"/>
        <v>-0.95525469819348863</v>
      </c>
      <c r="V194" s="385">
        <f t="shared" si="58"/>
        <v>52.887693427338903</v>
      </c>
      <c r="W194" s="404">
        <f t="shared" si="59"/>
        <v>51.036490312224274</v>
      </c>
      <c r="X194" s="157">
        <f t="shared" si="60"/>
        <v>46567</v>
      </c>
      <c r="Y194" s="387">
        <f t="shared" si="61"/>
        <v>46.846223249207021</v>
      </c>
      <c r="Z194" s="387">
        <f t="shared" si="62"/>
        <v>50.531484965873155</v>
      </c>
      <c r="AA194" s="388">
        <f t="shared" si="63"/>
        <v>61.24223208149165</v>
      </c>
      <c r="AB194" s="199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0.17489152095838537</v>
      </c>
      <c r="AD194" s="233">
        <f>(INDEX(Models!$BJ194:$BT194,,AH194)*(1-AF194)+INDEX(Models!$BJ194:$BT194,,AH194+1)*AF194-ERP_i)*AE194*Ramure*Pc/MaxiM</f>
        <v>1.1221476798868593E-3</v>
      </c>
      <c r="AE194" s="307">
        <f t="shared" si="65"/>
        <v>0.9</v>
      </c>
      <c r="AF194" s="179">
        <f t="shared" si="66"/>
        <v>0.68040095411349055</v>
      </c>
      <c r="AG194" s="839">
        <f t="shared" si="74"/>
        <v>3</v>
      </c>
      <c r="AH194" s="178">
        <f t="shared" si="67"/>
        <v>9</v>
      </c>
      <c r="AI194" s="227">
        <f t="shared" si="68"/>
        <v>3.6804009541134906</v>
      </c>
      <c r="AJ194" s="267" t="b">
        <f t="shared" si="69"/>
        <v>0</v>
      </c>
      <c r="AK194" s="267" t="b">
        <f t="shared" si="70"/>
        <v>0</v>
      </c>
      <c r="AL194" s="267"/>
      <c r="AM194" s="267"/>
      <c r="AN194" s="75"/>
    </row>
    <row r="195" spans="1:40" s="6" customFormat="1" ht="11.25" x14ac:dyDescent="0.2">
      <c r="A195" s="56">
        <f t="shared" si="71"/>
        <v>46568</v>
      </c>
      <c r="B195" s="413">
        <f>'2026'!Wh/'2026'!Env_an*'2027'!Env_an</f>
        <v>12.362274410523534</v>
      </c>
      <c r="C195" s="868"/>
      <c r="D195" s="395">
        <f t="shared" si="50"/>
        <v>13.335090383822635</v>
      </c>
      <c r="E195" s="387">
        <f t="shared" si="75"/>
        <v>14.85248929989274</v>
      </c>
      <c r="F195" s="387">
        <f t="shared" si="51"/>
        <v>14.85248929989274</v>
      </c>
      <c r="G195" s="110">
        <f t="shared" si="76"/>
        <v>0.23404458087786259</v>
      </c>
      <c r="H195" s="416" t="b">
        <f>Wh_hp&gt;='2026'!Maxi_hp</f>
        <v>0</v>
      </c>
      <c r="I195" s="392">
        <f>IF(H195,Wh_hp,'2026'!Maxi_hp)</f>
        <v>57.379355434694759</v>
      </c>
      <c r="J195" s="85">
        <f>IF(H195,An,'2026'!An_max)</f>
        <v>2019</v>
      </c>
      <c r="K195" s="199">
        <f t="shared" si="52"/>
        <v>46568</v>
      </c>
      <c r="L195" s="147">
        <f>IF(t&lt;Tvie,1-EXP((T0-t)*PertePVj)+'2026'!Pspv,1-EXP((T0-t)*PertePVj)+Pspv)</f>
        <v>7.2951584526136037E-2</v>
      </c>
      <c r="M195" s="872"/>
      <c r="N195" s="872"/>
      <c r="O195" s="48">
        <f>IF(t&lt;Tnet,'2026'!Resal+('2026'!Salim-'2026'!Resal)*(1-EXP(('2026'!Tnet-t)/('2026'!Tau_j))),Resal+(Salim-Resal)*(1-EXP((Tnet-t)/(Tau_j))))*Salcycl</f>
        <v>0.10216461937333726</v>
      </c>
      <c r="P195" s="171">
        <f>(INDEX(Models!$BJ195:$BT195,,T195)*(1-R195)+INDEX(Models!$BJ195:$BT195,,T195+1)*R195-ERP_i)*Q195*Ramure*Pc/MaxiM</f>
        <v>7.6714841289367405E-5</v>
      </c>
      <c r="Q195" s="307">
        <f t="shared" si="53"/>
        <v>0.9</v>
      </c>
      <c r="R195" s="179">
        <f t="shared" si="54"/>
        <v>5.0906142150289324E-2</v>
      </c>
      <c r="S195" s="839">
        <f t="shared" si="55"/>
        <v>-1</v>
      </c>
      <c r="T195" s="178">
        <f t="shared" si="56"/>
        <v>5</v>
      </c>
      <c r="U195" s="253">
        <f t="shared" si="57"/>
        <v>-0.94909385784971068</v>
      </c>
      <c r="V195" s="385">
        <f t="shared" si="58"/>
        <v>52.816117315081001</v>
      </c>
      <c r="W195" s="404">
        <f t="shared" si="59"/>
        <v>12.362274410523534</v>
      </c>
      <c r="X195" s="157">
        <f t="shared" si="60"/>
        <v>46568</v>
      </c>
      <c r="Y195" s="387">
        <f t="shared" si="61"/>
        <v>11.359099954481259</v>
      </c>
      <c r="Z195" s="387">
        <f t="shared" si="62"/>
        <v>12.252973809005452</v>
      </c>
      <c r="AA195" s="388">
        <f t="shared" si="63"/>
        <v>14.85248929989274</v>
      </c>
      <c r="AB195" s="199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0.17502220930104032</v>
      </c>
      <c r="AD195" s="233">
        <f>(INDEX(Models!$BJ195:$BT195,,AH195)*(1-AF195)+INDEX(Models!$BJ195:$BT195,,AH195+1)*AF195-ERP_i)*AE195*Ramure*Pc/MaxiM</f>
        <v>1.1710564282755649E-3</v>
      </c>
      <c r="AE195" s="307">
        <f t="shared" si="65"/>
        <v>0.9</v>
      </c>
      <c r="AF195" s="179">
        <f t="shared" si="66"/>
        <v>0.68656179445726817</v>
      </c>
      <c r="AG195" s="839">
        <f t="shared" si="74"/>
        <v>3</v>
      </c>
      <c r="AH195" s="178">
        <f t="shared" si="67"/>
        <v>9</v>
      </c>
      <c r="AI195" s="227">
        <f t="shared" si="68"/>
        <v>3.6865617944572682</v>
      </c>
      <c r="AJ195" s="267" t="b">
        <f t="shared" si="69"/>
        <v>0</v>
      </c>
      <c r="AK195" s="267" t="b">
        <f t="shared" si="70"/>
        <v>0</v>
      </c>
      <c r="AL195" s="267"/>
      <c r="AM195" s="267"/>
      <c r="AN195" s="75"/>
    </row>
    <row r="196" spans="1:40" s="6" customFormat="1" ht="11.25" x14ac:dyDescent="0.2">
      <c r="A196" s="56">
        <f t="shared" si="71"/>
        <v>46569</v>
      </c>
      <c r="B196" s="413">
        <f>'2026'!Wh/'2026'!Env_an*'2027'!Env_an</f>
        <v>50.429558897073314</v>
      </c>
      <c r="C196" s="868"/>
      <c r="D196" s="395">
        <f t="shared" si="50"/>
        <v>54.399243504574848</v>
      </c>
      <c r="E196" s="387">
        <f t="shared" si="75"/>
        <v>60.601547738501928</v>
      </c>
      <c r="F196" s="387">
        <f t="shared" si="51"/>
        <v>60.60596005643059</v>
      </c>
      <c r="G196" s="110">
        <f t="shared" si="76"/>
        <v>0.95614263503715924</v>
      </c>
      <c r="H196" s="416" t="b">
        <f>Wh_hp&gt;='2026'!Maxi_hp</f>
        <v>0</v>
      </c>
      <c r="I196" s="392">
        <f>IF(H196,Wh_hp,'2026'!Maxi_hp)</f>
        <v>60.60619217785225</v>
      </c>
      <c r="J196" s="85">
        <f>IF(H196,An,'2026'!An_max)</f>
        <v>2025</v>
      </c>
      <c r="K196" s="199">
        <f t="shared" si="52"/>
        <v>46569</v>
      </c>
      <c r="L196" s="147">
        <f>IF(t&lt;Tvie,1-EXP((T0-t)*PertePVj)+'2026'!Pspv,1-EXP((T0-t)*PertePVj)+Pspv)</f>
        <v>7.2973158297094609E-2</v>
      </c>
      <c r="M196" s="872"/>
      <c r="N196" s="872"/>
      <c r="O196" s="48">
        <f>IF(t&lt;Tnet,'2026'!Resal+('2026'!Salim-'2026'!Resal)*(1-EXP(('2026'!Tnet-t)/('2026'!Tau_j))),Resal+(Salim-Resal)*(1-EXP((Tnet-t)/(Tau_j))))*Salcycl</f>
        <v>0.10234564075310863</v>
      </c>
      <c r="P196" s="171">
        <f>(INDEX(Models!$BJ196:$BT196,,T196)*(1-R196)+INDEX(Models!$BJ196:$BT196,,T196+1)*R196-ERP_i)*Q196*Ramure*Pc/MaxiM</f>
        <v>7.766908067788575E-5</v>
      </c>
      <c r="Q196" s="307">
        <f t="shared" si="53"/>
        <v>0.9</v>
      </c>
      <c r="R196" s="179">
        <f t="shared" si="54"/>
        <v>5.6969216679609302E-2</v>
      </c>
      <c r="S196" s="839">
        <f t="shared" si="55"/>
        <v>-1</v>
      </c>
      <c r="T196" s="178">
        <f t="shared" si="56"/>
        <v>5</v>
      </c>
      <c r="U196" s="253">
        <f t="shared" si="57"/>
        <v>-0.9430307833203907</v>
      </c>
      <c r="V196" s="385">
        <f t="shared" si="58"/>
        <v>52.742458766556027</v>
      </c>
      <c r="W196" s="404">
        <f t="shared" si="59"/>
        <v>50.429558897073314</v>
      </c>
      <c r="X196" s="157">
        <f t="shared" si="60"/>
        <v>46569</v>
      </c>
      <c r="Y196" s="387">
        <f t="shared" si="61"/>
        <v>46.289636633562559</v>
      </c>
      <c r="Z196" s="387">
        <f t="shared" si="62"/>
        <v>49.933437254665293</v>
      </c>
      <c r="AA196" s="388">
        <f t="shared" si="63"/>
        <v>60.536320162426172</v>
      </c>
      <c r="AB196" s="199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0.1751491150983753</v>
      </c>
      <c r="AD196" s="233">
        <f>(INDEX(Models!$BJ196:$BT196,,AH196)*(1-AF196)+INDEX(Models!$BJ196:$BT196,,AH196+1)*AF196-ERP_i)*AE196*Ramure*Pc/MaxiM</f>
        <v>1.2258560315182672E-3</v>
      </c>
      <c r="AE196" s="307">
        <f t="shared" si="65"/>
        <v>0.9</v>
      </c>
      <c r="AF196" s="179">
        <f t="shared" si="66"/>
        <v>0.69262486898658837</v>
      </c>
      <c r="AG196" s="839">
        <f t="shared" si="74"/>
        <v>3</v>
      </c>
      <c r="AH196" s="178">
        <f t="shared" si="67"/>
        <v>9</v>
      </c>
      <c r="AI196" s="227">
        <f t="shared" si="68"/>
        <v>3.6926248689865884</v>
      </c>
      <c r="AJ196" s="267" t="b">
        <f t="shared" si="69"/>
        <v>0</v>
      </c>
      <c r="AK196" s="267" t="b">
        <f t="shared" si="70"/>
        <v>0</v>
      </c>
      <c r="AL196" s="267"/>
      <c r="AM196" s="267"/>
      <c r="AN196" s="75"/>
    </row>
    <row r="197" spans="1:40" s="6" customFormat="1" ht="11.25" x14ac:dyDescent="0.2">
      <c r="A197" s="56">
        <f t="shared" si="71"/>
        <v>46570</v>
      </c>
      <c r="B197" s="413">
        <f>'2026'!Wh/'2026'!Env_an*'2027'!Env_an</f>
        <v>46.961127930158554</v>
      </c>
      <c r="C197" s="868"/>
      <c r="D197" s="395">
        <f t="shared" si="50"/>
        <v>50.658965519678759</v>
      </c>
      <c r="E197" s="387">
        <f t="shared" si="75"/>
        <v>56.446067512022466</v>
      </c>
      <c r="F197" s="387">
        <f t="shared" si="51"/>
        <v>56.449825003182099</v>
      </c>
      <c r="G197" s="110">
        <f t="shared" si="76"/>
        <v>0.8916584266940607</v>
      </c>
      <c r="H197" s="416" t="b">
        <f>Wh_hp&gt;='2026'!Maxi_hp</f>
        <v>0</v>
      </c>
      <c r="I197" s="392">
        <f>IF(H197,Wh_hp,'2026'!Maxi_hp)</f>
        <v>56.741115224464892</v>
      </c>
      <c r="J197" s="85">
        <f>IF(H197,An,'2026'!An_max)</f>
        <v>2021</v>
      </c>
      <c r="K197" s="199">
        <f t="shared" si="52"/>
        <v>46570</v>
      </c>
      <c r="L197" s="147">
        <f>IF(t&lt;Tvie,1-EXP((T0-t)*PertePVj)+'2026'!Pspv,1-EXP((T0-t)*PertePVj)+Pspv)</f>
        <v>7.2994731566000115E-2</v>
      </c>
      <c r="M197" s="872"/>
      <c r="N197" s="872"/>
      <c r="O197" s="48">
        <f>IF(t&lt;Tnet,'2026'!Resal+('2026'!Salim-'2026'!Resal)*(1-EXP(('2026'!Tnet-t)/('2026'!Tau_j))),Resal+(Salim-Resal)*(1-EXP((Tnet-t)/(Tau_j))))*Salcycl</f>
        <v>0.10252444939784536</v>
      </c>
      <c r="P197" s="171">
        <f>(INDEX(Models!$BJ197:$BT197,,T197)*(1-R197)+INDEX(Models!$BJ197:$BT197,,T197+1)*R197-ERP_i)*Q197*Ramure*Pc/MaxiM</f>
        <v>7.8750691513957915E-5</v>
      </c>
      <c r="Q197" s="307">
        <f t="shared" si="53"/>
        <v>0.9</v>
      </c>
      <c r="R197" s="179">
        <f t="shared" si="54"/>
        <v>6.2931838110334204E-2</v>
      </c>
      <c r="S197" s="839">
        <f t="shared" si="55"/>
        <v>-1</v>
      </c>
      <c r="T197" s="178">
        <f t="shared" si="56"/>
        <v>5</v>
      </c>
      <c r="U197" s="253">
        <f t="shared" si="57"/>
        <v>-0.9370681618896658</v>
      </c>
      <c r="V197" s="385">
        <f t="shared" si="58"/>
        <v>52.66653031731316</v>
      </c>
      <c r="W197" s="404">
        <f t="shared" si="59"/>
        <v>46.961127930158554</v>
      </c>
      <c r="X197" s="157">
        <f t="shared" si="60"/>
        <v>46570</v>
      </c>
      <c r="Y197" s="387">
        <f t="shared" si="61"/>
        <v>43.110477209248458</v>
      </c>
      <c r="Z197" s="387">
        <f t="shared" si="62"/>
        <v>46.50510485455542</v>
      </c>
      <c r="AA197" s="388">
        <f t="shared" si="63"/>
        <v>56.388436306312883</v>
      </c>
      <c r="AB197" s="199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0.17527230934493912</v>
      </c>
      <c r="AD197" s="233">
        <f>(INDEX(Models!$BJ197:$BT197,,AH197)*(1-AF197)+INDEX(Models!$BJ197:$BT197,,AH197+1)*AF197-ERP_i)*AE197*Ramure*Pc/MaxiM</f>
        <v>1.2866037800765898E-3</v>
      </c>
      <c r="AE197" s="307">
        <f t="shared" si="65"/>
        <v>0.9</v>
      </c>
      <c r="AF197" s="179">
        <f t="shared" si="66"/>
        <v>0.69858749041731327</v>
      </c>
      <c r="AG197" s="839">
        <f t="shared" si="74"/>
        <v>3</v>
      </c>
      <c r="AH197" s="178">
        <f t="shared" si="67"/>
        <v>9</v>
      </c>
      <c r="AI197" s="227">
        <f t="shared" si="68"/>
        <v>3.6985874904173133</v>
      </c>
      <c r="AJ197" s="267" t="b">
        <f t="shared" si="69"/>
        <v>0</v>
      </c>
      <c r="AK197" s="267" t="b">
        <f t="shared" si="70"/>
        <v>0</v>
      </c>
      <c r="AL197" s="267"/>
      <c r="AM197" s="267"/>
      <c r="AN197" s="75"/>
    </row>
    <row r="198" spans="1:40" s="6" customFormat="1" ht="11.25" x14ac:dyDescent="0.2">
      <c r="A198" s="56">
        <f t="shared" si="71"/>
        <v>46571</v>
      </c>
      <c r="B198" s="413">
        <f>'2026'!Wh/'2026'!Env_an*'2027'!Env_an</f>
        <v>39.737715565819606</v>
      </c>
      <c r="C198" s="868"/>
      <c r="D198" s="395">
        <f t="shared" si="50"/>
        <v>42.867761052928749</v>
      </c>
      <c r="E198" s="387">
        <f t="shared" si="75"/>
        <v>47.774225878814107</v>
      </c>
      <c r="F198" s="387">
        <f t="shared" si="51"/>
        <v>47.77672733462402</v>
      </c>
      <c r="G198" s="110">
        <f t="shared" si="76"/>
        <v>0.75561933126669223</v>
      </c>
      <c r="H198" s="416" t="b">
        <f>Wh_hp&gt;='2026'!Maxi_hp</f>
        <v>0</v>
      </c>
      <c r="I198" s="392">
        <f>IF(H198,Wh_hp,'2026'!Maxi_hp)</f>
        <v>51.509935845707219</v>
      </c>
      <c r="J198" s="85">
        <f>IF(H198,An,'2026'!An_max)</f>
        <v>2019</v>
      </c>
      <c r="K198" s="199">
        <f t="shared" si="52"/>
        <v>46571</v>
      </c>
      <c r="L198" s="147">
        <f>IF(t&lt;Tvie,1-EXP((T0-t)*PertePVj)+'2026'!Pspv,1-EXP((T0-t)*PertePVj)+Pspv)</f>
        <v>7.3016304332864101E-2</v>
      </c>
      <c r="M198" s="872"/>
      <c r="N198" s="872"/>
      <c r="O198" s="48">
        <f>IF(t&lt;Tnet,'2026'!Resal+('2026'!Salim-'2026'!Resal)*(1-EXP(('2026'!Tnet-t)/('2026'!Tau_j))),Resal+(Salim-Resal)*(1-EXP((Tnet-t)/(Tau_j))))*Salcycl</f>
        <v>0.10270108485548846</v>
      </c>
      <c r="P198" s="171">
        <f>(INDEX(Models!$BJ198:$BT198,,T198)*(1-R198)+INDEX(Models!$BJ198:$BT198,,T198+1)*R198-ERP_i)*Q198*Ramure*Pc/MaxiM</f>
        <v>8.0436304596663146E-5</v>
      </c>
      <c r="Q198" s="307">
        <f t="shared" si="53"/>
        <v>0.9</v>
      </c>
      <c r="R198" s="179">
        <f t="shared" si="54"/>
        <v>6.8791574184549287E-2</v>
      </c>
      <c r="S198" s="839">
        <f t="shared" si="55"/>
        <v>-1</v>
      </c>
      <c r="T198" s="178">
        <f t="shared" si="56"/>
        <v>5</v>
      </c>
      <c r="U198" s="253">
        <f t="shared" si="57"/>
        <v>-0.93120842581545071</v>
      </c>
      <c r="V198" s="385">
        <f t="shared" si="58"/>
        <v>52.588119524985338</v>
      </c>
      <c r="W198" s="404">
        <f t="shared" si="59"/>
        <v>39.737715565819606</v>
      </c>
      <c r="X198" s="157">
        <f t="shared" si="60"/>
        <v>46571</v>
      </c>
      <c r="Y198" s="387">
        <f t="shared" si="61"/>
        <v>36.488274720265082</v>
      </c>
      <c r="Z198" s="387">
        <f t="shared" si="62"/>
        <v>39.362369468650719</v>
      </c>
      <c r="AA198" s="388">
        <f t="shared" si="63"/>
        <v>47.734636716869794</v>
      </c>
      <c r="AB198" s="199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0.17539187106163212</v>
      </c>
      <c r="AD198" s="233">
        <f>(INDEX(Models!$BJ198:$BT198,,AH198)*(1-AF198)+INDEX(Models!$BJ198:$BT198,,AH198+1)*AF198-ERP_i)*AE198*Ramure*Pc/MaxiM</f>
        <v>1.3534573494875866E-3</v>
      </c>
      <c r="AE198" s="307">
        <f t="shared" si="65"/>
        <v>0.9</v>
      </c>
      <c r="AF198" s="179">
        <f t="shared" si="66"/>
        <v>0.70444722649152824</v>
      </c>
      <c r="AG198" s="839">
        <f t="shared" si="74"/>
        <v>3</v>
      </c>
      <c r="AH198" s="178">
        <f t="shared" si="67"/>
        <v>9</v>
      </c>
      <c r="AI198" s="227">
        <f t="shared" si="68"/>
        <v>3.7044472264915282</v>
      </c>
      <c r="AJ198" s="267" t="b">
        <f t="shared" si="69"/>
        <v>0</v>
      </c>
      <c r="AK198" s="267" t="b">
        <f t="shared" si="70"/>
        <v>0</v>
      </c>
      <c r="AL198" s="267"/>
      <c r="AM198" s="267"/>
      <c r="AN198" s="75"/>
    </row>
    <row r="199" spans="1:40" s="6" customFormat="1" ht="11.25" x14ac:dyDescent="0.2">
      <c r="A199" s="56">
        <f t="shared" si="71"/>
        <v>46572</v>
      </c>
      <c r="B199" s="413">
        <f>'2026'!Wh/'2026'!Env_an*'2027'!Env_an</f>
        <v>41.699356876901213</v>
      </c>
      <c r="C199" s="868"/>
      <c r="D199" s="395">
        <f t="shared" si="50"/>
        <v>44.984963057442734</v>
      </c>
      <c r="E199" s="387">
        <f t="shared" si="75"/>
        <v>50.143505870133062</v>
      </c>
      <c r="F199" s="387">
        <f t="shared" si="51"/>
        <v>50.146434774535791</v>
      </c>
      <c r="G199" s="110">
        <f t="shared" si="76"/>
        <v>0.79414767101041994</v>
      </c>
      <c r="H199" s="416" t="b">
        <f>Wh_hp&gt;='2026'!Maxi_hp</f>
        <v>0</v>
      </c>
      <c r="I199" s="392">
        <f>IF(H199,Wh_hp,'2026'!Maxi_hp)</f>
        <v>59.188715550013768</v>
      </c>
      <c r="J199" s="85">
        <f>IF(H199,An,'2026'!An_max)</f>
        <v>2019</v>
      </c>
      <c r="K199" s="199">
        <f t="shared" si="52"/>
        <v>46572</v>
      </c>
      <c r="L199" s="147">
        <f>IF(t&lt;Tvie,1-EXP((T0-t)*PertePVj)+'2026'!Pspv,1-EXP((T0-t)*PertePVj)+Pspv)</f>
        <v>7.3037876597698337E-2</v>
      </c>
      <c r="M199" s="872"/>
      <c r="N199" s="872"/>
      <c r="O199" s="48">
        <f>IF(t&lt;Tnet,'2026'!Resal+('2026'!Salim-'2026'!Resal)*(1-EXP(('2026'!Tnet-t)/('2026'!Tau_j))),Resal+(Salim-Resal)*(1-EXP((Tnet-t)/(Tau_j))))*Salcycl</f>
        <v>0.10287559122911086</v>
      </c>
      <c r="P199" s="171">
        <f>(INDEX(Models!$BJ199:$BT199,,T199)*(1-R199)+INDEX(Models!$BJ199:$BT199,,T199+1)*R199-ERP_i)*Q199*Ramure*Pc/MaxiM</f>
        <v>8.2735032409022121E-5</v>
      </c>
      <c r="Q199" s="307">
        <f t="shared" si="53"/>
        <v>0.9</v>
      </c>
      <c r="R199" s="179">
        <f t="shared" si="54"/>
        <v>7.4546246498089275E-2</v>
      </c>
      <c r="S199" s="839">
        <f t="shared" si="55"/>
        <v>-1</v>
      </c>
      <c r="T199" s="178">
        <f t="shared" si="56"/>
        <v>5</v>
      </c>
      <c r="U199" s="253">
        <f t="shared" si="57"/>
        <v>-0.92545375350191073</v>
      </c>
      <c r="V199" s="385">
        <f t="shared" si="58"/>
        <v>52.507038524215389</v>
      </c>
      <c r="W199" s="404">
        <f t="shared" si="59"/>
        <v>41.699356876901213</v>
      </c>
      <c r="X199" s="157">
        <f t="shared" si="60"/>
        <v>46572</v>
      </c>
      <c r="Y199" s="387">
        <f t="shared" si="61"/>
        <v>38.287046249376473</v>
      </c>
      <c r="Z199" s="387">
        <f t="shared" si="62"/>
        <v>41.303787158906268</v>
      </c>
      <c r="AA199" s="388">
        <f t="shared" si="63"/>
        <v>50.09603668873212</v>
      </c>
      <c r="AB199" s="199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0.17550788667087211</v>
      </c>
      <c r="AD199" s="233">
        <f>(INDEX(Models!$BJ199:$BT199,,AH199)*(1-AF199)+INDEX(Models!$BJ199:$BT199,,AH199+1)*AF199-ERP_i)*AE199*Ramure*Pc/MaxiM</f>
        <v>1.4236337855326805E-3</v>
      </c>
      <c r="AE199" s="307">
        <f t="shared" si="65"/>
        <v>0.9</v>
      </c>
      <c r="AF199" s="179">
        <f t="shared" si="66"/>
        <v>0.71020189880506823</v>
      </c>
      <c r="AG199" s="839">
        <f t="shared" si="74"/>
        <v>3</v>
      </c>
      <c r="AH199" s="178">
        <f t="shared" si="67"/>
        <v>9</v>
      </c>
      <c r="AI199" s="227">
        <f t="shared" si="68"/>
        <v>3.7102018988050682</v>
      </c>
      <c r="AJ199" s="267" t="b">
        <f t="shared" si="69"/>
        <v>0</v>
      </c>
      <c r="AK199" s="267" t="b">
        <f t="shared" si="70"/>
        <v>0</v>
      </c>
      <c r="AL199" s="267"/>
      <c r="AM199" s="267"/>
      <c r="AN199" s="75"/>
    </row>
    <row r="200" spans="1:40" s="6" customFormat="1" ht="11.25" x14ac:dyDescent="0.2">
      <c r="A200" s="56">
        <f t="shared" si="71"/>
        <v>46573</v>
      </c>
      <c r="B200" s="413">
        <f>'2026'!Wh/'2026'!Env_an*'2027'!Env_an</f>
        <v>50.272247380127403</v>
      </c>
      <c r="C200" s="868"/>
      <c r="D200" s="395">
        <f t="shared" si="50"/>
        <v>54.234597128381708</v>
      </c>
      <c r="E200" s="387">
        <f t="shared" si="75"/>
        <v>60.465440898730243</v>
      </c>
      <c r="F200" s="387">
        <f t="shared" si="51"/>
        <v>60.47031714516546</v>
      </c>
      <c r="G200" s="110">
        <f t="shared" si="76"/>
        <v>0.95896648131988371</v>
      </c>
      <c r="H200" s="416" t="b">
        <f>Wh_hp&gt;='2026'!Maxi_hp</f>
        <v>0</v>
      </c>
      <c r="I200" s="392">
        <f>IF(H200,Wh_hp,'2026'!Maxi_hp)</f>
        <v>62.028584740771763</v>
      </c>
      <c r="J200" s="85">
        <f>IF(H200,An,'2026'!An_max)</f>
        <v>2021</v>
      </c>
      <c r="K200" s="199">
        <f t="shared" si="52"/>
        <v>46573</v>
      </c>
      <c r="L200" s="147">
        <f>IF(t&lt;Tvie,1-EXP((T0-t)*PertePVj)+'2026'!Pspv,1-EXP((T0-t)*PertePVj)+Pspv)</f>
        <v>7.3059448360514367E-2</v>
      </c>
      <c r="M200" s="872"/>
      <c r="N200" s="872"/>
      <c r="O200" s="48">
        <f>IF(t&lt;Tnet,'2026'!Resal+('2026'!Salim-'2026'!Resal)*(1-EXP(('2026'!Tnet-t)/('2026'!Tau_j))),Resal+(Salim-Resal)*(1-EXP((Tnet-t)/(Tau_j))))*Salcycl</f>
        <v>0.10304801681317728</v>
      </c>
      <c r="P200" s="171">
        <f>(INDEX(Models!$BJ200:$BT200,,T200)*(1-R200)+INDEX(Models!$BJ200:$BT200,,T200+1)*R200-ERP_i)*Q200*Ramure*Pc/MaxiM</f>
        <v>8.5659382941742458E-5</v>
      </c>
      <c r="Q200" s="307">
        <f t="shared" si="53"/>
        <v>0.9</v>
      </c>
      <c r="R200" s="179">
        <f t="shared" si="54"/>
        <v>8.0193928202052622E-2</v>
      </c>
      <c r="S200" s="839">
        <f t="shared" si="55"/>
        <v>-1</v>
      </c>
      <c r="T200" s="178">
        <f t="shared" si="56"/>
        <v>5</v>
      </c>
      <c r="U200" s="253">
        <f t="shared" si="57"/>
        <v>-0.91980607179794738</v>
      </c>
      <c r="V200" s="385">
        <f t="shared" si="58"/>
        <v>52.423099177002648</v>
      </c>
      <c r="W200" s="404">
        <f t="shared" si="59"/>
        <v>50.272247380127403</v>
      </c>
      <c r="X200" s="157">
        <f t="shared" si="60"/>
        <v>46573</v>
      </c>
      <c r="Y200" s="387">
        <f t="shared" si="61"/>
        <v>46.143318124425029</v>
      </c>
      <c r="Z200" s="387">
        <f t="shared" si="62"/>
        <v>49.780234603838458</v>
      </c>
      <c r="AA200" s="388">
        <f t="shared" si="63"/>
        <v>60.385091507900846</v>
      </c>
      <c r="AB200" s="199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0.17562044934012958</v>
      </c>
      <c r="AD200" s="233">
        <f>(INDEX(Models!$BJ200:$BT200,,AH200)*(1-AF200)+INDEX(Models!$BJ200:$BT200,,AH200+1)*AF200-ERP_i)*AE200*Ramure*Pc/MaxiM</f>
        <v>1.4971301380873484E-3</v>
      </c>
      <c r="AE200" s="307">
        <f t="shared" si="65"/>
        <v>0.9</v>
      </c>
      <c r="AF200" s="179">
        <f t="shared" si="66"/>
        <v>0.71584958050903147</v>
      </c>
      <c r="AG200" s="839">
        <f t="shared" si="74"/>
        <v>3</v>
      </c>
      <c r="AH200" s="178">
        <f t="shared" si="67"/>
        <v>9</v>
      </c>
      <c r="AI200" s="227">
        <f t="shared" si="68"/>
        <v>3.7158495805090315</v>
      </c>
      <c r="AJ200" s="267" t="b">
        <f t="shared" si="69"/>
        <v>0</v>
      </c>
      <c r="AK200" s="267" t="b">
        <f t="shared" si="70"/>
        <v>0</v>
      </c>
      <c r="AL200" s="267"/>
      <c r="AM200" s="267"/>
      <c r="AN200" s="75"/>
    </row>
    <row r="201" spans="1:40" s="6" customFormat="1" ht="11.25" x14ac:dyDescent="0.2">
      <c r="A201" s="56">
        <f t="shared" si="71"/>
        <v>46574</v>
      </c>
      <c r="B201" s="413">
        <f>'2026'!Wh/'2026'!Env_an*'2027'!Env_an</f>
        <v>38.949775312086494</v>
      </c>
      <c r="C201" s="868"/>
      <c r="D201" s="395">
        <f t="shared" si="50"/>
        <v>42.020690196865175</v>
      </c>
      <c r="E201" s="387">
        <f t="shared" si="75"/>
        <v>46.85721789938151</v>
      </c>
      <c r="F201" s="387">
        <f t="shared" si="51"/>
        <v>46.859871133161398</v>
      </c>
      <c r="G201" s="110">
        <f t="shared" si="76"/>
        <v>0.74419942540211947</v>
      </c>
      <c r="H201" s="416" t="b">
        <f>Wh_hp&gt;='2026'!Maxi_hp</f>
        <v>0</v>
      </c>
      <c r="I201" s="392">
        <f>IF(H201,Wh_hp,'2026'!Maxi_hp)</f>
        <v>61.321046316933298</v>
      </c>
      <c r="J201" s="85">
        <f>IF(H201,An,'2026'!An_max)</f>
        <v>2020</v>
      </c>
      <c r="K201" s="199">
        <f t="shared" si="52"/>
        <v>46574</v>
      </c>
      <c r="L201" s="147">
        <f>IF(t&lt;Tvie,1-EXP((T0-t)*PertePVj)+'2026'!Pspv,1-EXP((T0-t)*PertePVj)+Pspv)</f>
        <v>7.3081019621324073E-2</v>
      </c>
      <c r="M201" s="872"/>
      <c r="N201" s="872"/>
      <c r="O201" s="48">
        <f>IF(t&lt;Tnet,'2026'!Resal+('2026'!Salim-'2026'!Resal)*(1-EXP(('2026'!Tnet-t)/('2026'!Tau_j))),Resal+(Salim-Resal)*(1-EXP((Tnet-t)/(Tau_j))))*Salcycl</f>
        <v>0.10321841371167234</v>
      </c>
      <c r="P201" s="171">
        <f>(INDEX(Models!$BJ201:$BT201,,T201)*(1-R201)+INDEX(Models!$BJ201:$BT201,,T201+1)*R201-ERP_i)*Q201*Ramure*Pc/MaxiM</f>
        <v>8.9221753303250282E-5</v>
      </c>
      <c r="Q201" s="307">
        <f t="shared" si="53"/>
        <v>0.9</v>
      </c>
      <c r="R201" s="179">
        <f t="shared" si="54"/>
        <v>8.5732940647629152E-2</v>
      </c>
      <c r="S201" s="839">
        <f t="shared" si="55"/>
        <v>-1</v>
      </c>
      <c r="T201" s="178">
        <f t="shared" si="56"/>
        <v>5</v>
      </c>
      <c r="U201" s="253">
        <f t="shared" si="57"/>
        <v>-0.91426705935237085</v>
      </c>
      <c r="V201" s="385">
        <f t="shared" si="58"/>
        <v>52.336113282195228</v>
      </c>
      <c r="W201" s="404">
        <f t="shared" si="59"/>
        <v>38.949775312086494</v>
      </c>
      <c r="X201" s="157">
        <f t="shared" si="60"/>
        <v>46574</v>
      </c>
      <c r="Y201" s="387">
        <f t="shared" si="61"/>
        <v>35.76667212792912</v>
      </c>
      <c r="Z201" s="387">
        <f t="shared" si="62"/>
        <v>38.586621792249083</v>
      </c>
      <c r="AA201" s="388">
        <f t="shared" si="63"/>
        <v>46.813065859694966</v>
      </c>
      <c r="AB201" s="199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0.17572965829885265</v>
      </c>
      <c r="AD201" s="233">
        <f>(INDEX(Models!$BJ201:$BT201,,AH201)*(1-AF201)+INDEX(Models!$BJ201:$BT201,,AH201+1)*AF201-ERP_i)*AE201*Ramure*Pc/MaxiM</f>
        <v>1.5739467038939131E-3</v>
      </c>
      <c r="AE201" s="307">
        <f t="shared" si="65"/>
        <v>0.9</v>
      </c>
      <c r="AF201" s="179">
        <f t="shared" si="66"/>
        <v>0.72138859295460822</v>
      </c>
      <c r="AG201" s="839">
        <f t="shared" si="74"/>
        <v>3</v>
      </c>
      <c r="AH201" s="178">
        <f t="shared" si="67"/>
        <v>9</v>
      </c>
      <c r="AI201" s="227">
        <f t="shared" si="68"/>
        <v>3.7213885929546082</v>
      </c>
      <c r="AJ201" s="267" t="b">
        <f t="shared" si="69"/>
        <v>0</v>
      </c>
      <c r="AK201" s="267" t="b">
        <f t="shared" si="70"/>
        <v>0</v>
      </c>
      <c r="AL201" s="267"/>
      <c r="AM201" s="267"/>
      <c r="AN201" s="75"/>
    </row>
    <row r="202" spans="1:40" s="6" customFormat="1" ht="11.25" x14ac:dyDescent="0.2">
      <c r="A202" s="56">
        <f t="shared" si="71"/>
        <v>46575</v>
      </c>
      <c r="B202" s="413">
        <f>'2026'!Wh/'2026'!Env_an*'2027'!Env_an</f>
        <v>48.370750683567394</v>
      </c>
      <c r="C202" s="868"/>
      <c r="D202" s="395">
        <f t="shared" si="50"/>
        <v>52.185657421790822</v>
      </c>
      <c r="E202" s="387">
        <f t="shared" si="75"/>
        <v>58.20309092145407</v>
      </c>
      <c r="F202" s="387">
        <f t="shared" si="51"/>
        <v>58.207953278947535</v>
      </c>
      <c r="G202" s="110">
        <f t="shared" si="76"/>
        <v>0.92581960722145795</v>
      </c>
      <c r="H202" s="416" t="b">
        <f>Wh_hp&gt;='2026'!Maxi_hp</f>
        <v>0</v>
      </c>
      <c r="I202" s="392">
        <f>IF(H202,Wh_hp,'2026'!Maxi_hp)</f>
        <v>58.208418440171876</v>
      </c>
      <c r="J202" s="85">
        <f>IF(H202,An,'2026'!An_max)</f>
        <v>2025</v>
      </c>
      <c r="K202" s="199">
        <f t="shared" si="52"/>
        <v>46575</v>
      </c>
      <c r="L202" s="147">
        <f>IF(t&lt;Tvie,1-EXP((T0-t)*PertePVj)+'2026'!Pspv,1-EXP((T0-t)*PertePVj)+Pspv)</f>
        <v>7.3102590380138888E-2</v>
      </c>
      <c r="M202" s="872"/>
      <c r="N202" s="872"/>
      <c r="O202" s="48">
        <f>IF(t&lt;Tnet,'2026'!Resal+('2026'!Salim-'2026'!Resal)*(1-EXP(('2026'!Tnet-t)/('2026'!Tau_j))),Resal+(Salim-Resal)*(1-EXP((Tnet-t)/(Tau_j))))*Salcycl</f>
        <v>0.10338683744105387</v>
      </c>
      <c r="P202" s="171">
        <f>(INDEX(Models!$BJ202:$BT202,,T202)*(1-R202)+INDEX(Models!$BJ202:$BT202,,T202+1)*R202-ERP_i)*Q202*Ramure*Pc/MaxiM</f>
        <v>9.3434457955780489E-5</v>
      </c>
      <c r="Q202" s="307">
        <f t="shared" si="53"/>
        <v>0.9</v>
      </c>
      <c r="R202" s="179">
        <f t="shared" si="54"/>
        <v>9.1161849048684629E-2</v>
      </c>
      <c r="S202" s="839">
        <f t="shared" si="55"/>
        <v>-1</v>
      </c>
      <c r="T202" s="178">
        <f t="shared" si="56"/>
        <v>5</v>
      </c>
      <c r="U202" s="253">
        <f t="shared" si="57"/>
        <v>-0.90883815095131537</v>
      </c>
      <c r="V202" s="385">
        <f t="shared" si="58"/>
        <v>52.245892596775455</v>
      </c>
      <c r="W202" s="404">
        <f t="shared" si="59"/>
        <v>48.370750683567394</v>
      </c>
      <c r="X202" s="157">
        <f t="shared" si="60"/>
        <v>46575</v>
      </c>
      <c r="Y202" s="387">
        <f t="shared" si="61"/>
        <v>44.400219715763271</v>
      </c>
      <c r="Z202" s="387">
        <f t="shared" si="62"/>
        <v>47.901978422803744</v>
      </c>
      <c r="AA202" s="388">
        <f t="shared" si="63"/>
        <v>58.121874078502238</v>
      </c>
      <c r="AB202" s="199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0.17583561813397491</v>
      </c>
      <c r="AD202" s="233">
        <f>(INDEX(Models!$BJ202:$BT202,,AH202)*(1-AF202)+INDEX(Models!$BJ202:$BT202,,AH202+1)*AF202-ERP_i)*AE202*Ramure*Pc/MaxiM</f>
        <v>1.6540872294324538E-3</v>
      </c>
      <c r="AE202" s="307">
        <f t="shared" si="65"/>
        <v>0.9</v>
      </c>
      <c r="AF202" s="179">
        <f t="shared" si="66"/>
        <v>0.7268175013556637</v>
      </c>
      <c r="AG202" s="839">
        <f t="shared" si="74"/>
        <v>3</v>
      </c>
      <c r="AH202" s="178">
        <f t="shared" si="67"/>
        <v>9</v>
      </c>
      <c r="AI202" s="227">
        <f t="shared" si="68"/>
        <v>3.7268175013556637</v>
      </c>
      <c r="AJ202" s="267" t="b">
        <f t="shared" si="69"/>
        <v>0</v>
      </c>
      <c r="AK202" s="267" t="b">
        <f t="shared" si="70"/>
        <v>0</v>
      </c>
      <c r="AL202" s="267"/>
      <c r="AM202" s="267"/>
      <c r="AN202" s="75"/>
    </row>
    <row r="203" spans="1:40" s="6" customFormat="1" ht="11.25" x14ac:dyDescent="0.2">
      <c r="A203" s="56">
        <f t="shared" si="71"/>
        <v>46576</v>
      </c>
      <c r="B203" s="413">
        <f>'2026'!Wh/'2026'!Env_an*'2027'!Env_an</f>
        <v>53.089315901803914</v>
      </c>
      <c r="C203" s="868"/>
      <c r="D203" s="395">
        <f t="shared" si="50"/>
        <v>57.277699608922951</v>
      </c>
      <c r="E203" s="387">
        <f t="shared" si="75"/>
        <v>63.894152972338944</v>
      </c>
      <c r="F203" s="387">
        <f t="shared" si="51"/>
        <v>63.900435008789181</v>
      </c>
      <c r="G203" s="110">
        <f t="shared" si="76"/>
        <v>1.0179679125142835</v>
      </c>
      <c r="H203" s="416" t="b">
        <f>Wh_hp&gt;='2026'!Maxi_hp</f>
        <v>1</v>
      </c>
      <c r="I203" s="392">
        <f>IF(H203,Wh_hp,'2026'!Maxi_hp)</f>
        <v>63.900435008789181</v>
      </c>
      <c r="J203" s="85">
        <f>IF(H203,An,'2026'!An_max)</f>
        <v>2027</v>
      </c>
      <c r="K203" s="199">
        <f t="shared" si="52"/>
        <v>46576</v>
      </c>
      <c r="L203" s="147">
        <f>IF(t&lt;Tvie,1-EXP((T0-t)*PertePVj)+'2026'!Pspv,1-EXP((T0-t)*PertePVj)+Pspv)</f>
        <v>7.3124160636970692E-2</v>
      </c>
      <c r="M203" s="872"/>
      <c r="N203" s="872"/>
      <c r="O203" s="48">
        <f>IF(t&lt;Tnet,'2026'!Resal+('2026'!Salim-'2026'!Resal)*(1-EXP(('2026'!Tnet-t)/('2026'!Tau_j))),Resal+(Salim-Resal)*(1-EXP((Tnet-t)/(Tau_j))))*Salcycl</f>
        <v>0.10355334652108764</v>
      </c>
      <c r="P203" s="171">
        <f>(INDEX(Models!$BJ203:$BT203,,T203)*(1-R203)+INDEX(Models!$BJ203:$BT203,,T203+1)*R203-ERP_i)*Q203*Ramure*Pc/MaxiM</f>
        <v>9.8309760322755842E-5</v>
      </c>
      <c r="Q203" s="307">
        <f t="shared" si="53"/>
        <v>0.9</v>
      </c>
      <c r="R203" s="179">
        <f t="shared" si="54"/>
        <v>9.6479457240527977E-2</v>
      </c>
      <c r="S203" s="839">
        <f t="shared" si="55"/>
        <v>-1</v>
      </c>
      <c r="T203" s="178">
        <f t="shared" si="56"/>
        <v>5</v>
      </c>
      <c r="U203" s="253">
        <f t="shared" si="57"/>
        <v>-0.90352054275947202</v>
      </c>
      <c r="V203" s="385">
        <f t="shared" si="58"/>
        <v>52.152248856919648</v>
      </c>
      <c r="W203" s="404">
        <f t="shared" si="59"/>
        <v>53.089315901803914</v>
      </c>
      <c r="X203" s="157">
        <f t="shared" si="60"/>
        <v>46576</v>
      </c>
      <c r="Y203" s="387">
        <f t="shared" si="61"/>
        <v>48.722522489684081</v>
      </c>
      <c r="Z203" s="387">
        <f t="shared" si="62"/>
        <v>52.566396080803372</v>
      </c>
      <c r="AA203" s="388">
        <f t="shared" si="63"/>
        <v>63.789404225634186</v>
      </c>
      <c r="AB203" s="199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0.17593843806932394</v>
      </c>
      <c r="AD203" s="233">
        <f>(INDEX(Models!$BJ203:$BT203,,AH203)*(1-AF203)+INDEX(Models!$BJ203:$BT203,,AH203+1)*AF203-ERP_i)*AE203*Ramure*Pc/MaxiM</f>
        <v>1.7375591126997346E-3</v>
      </c>
      <c r="AE203" s="307">
        <f t="shared" si="65"/>
        <v>0.9</v>
      </c>
      <c r="AF203" s="179">
        <f t="shared" si="66"/>
        <v>0.73213510954750705</v>
      </c>
      <c r="AG203" s="839">
        <f t="shared" si="74"/>
        <v>3</v>
      </c>
      <c r="AH203" s="178">
        <f t="shared" si="67"/>
        <v>9</v>
      </c>
      <c r="AI203" s="227">
        <f t="shared" si="68"/>
        <v>3.732135109547507</v>
      </c>
      <c r="AJ203" s="267" t="b">
        <f t="shared" si="69"/>
        <v>0</v>
      </c>
      <c r="AK203" s="267" t="b">
        <f t="shared" si="70"/>
        <v>0</v>
      </c>
      <c r="AL203" s="267"/>
      <c r="AM203" s="267"/>
      <c r="AN203" s="75"/>
    </row>
    <row r="204" spans="1:40" s="6" customFormat="1" ht="11.25" x14ac:dyDescent="0.2">
      <c r="A204" s="56">
        <f t="shared" si="71"/>
        <v>46577</v>
      </c>
      <c r="B204" s="413">
        <f>'2026'!Wh/'2026'!Env_an*'2027'!Env_an</f>
        <v>52.151003281802353</v>
      </c>
      <c r="C204" s="868"/>
      <c r="D204" s="395">
        <f t="shared" si="50"/>
        <v>56.26666995216992</v>
      </c>
      <c r="E204" s="387">
        <f t="shared" si="75"/>
        <v>62.777864646712331</v>
      </c>
      <c r="F204" s="387">
        <f t="shared" si="51"/>
        <v>62.784385427188184</v>
      </c>
      <c r="G204" s="110">
        <f t="shared" si="76"/>
        <v>1.0018443855288932</v>
      </c>
      <c r="H204" s="416" t="b">
        <f>Wh_hp&gt;='2026'!Maxi_hp</f>
        <v>1</v>
      </c>
      <c r="I204" s="392">
        <f>IF(H204,Wh_hp,'2026'!Maxi_hp)</f>
        <v>62.784385427188184</v>
      </c>
      <c r="J204" s="85">
        <f>IF(H204,An,'2026'!An_max)</f>
        <v>2027</v>
      </c>
      <c r="K204" s="199">
        <f t="shared" si="52"/>
        <v>46577</v>
      </c>
      <c r="L204" s="147">
        <f>IF(t&lt;Tvie,1-EXP((T0-t)*PertePVj)+'2026'!Pspv,1-EXP((T0-t)*PertePVj)+Pspv)</f>
        <v>7.3145730391831143E-2</v>
      </c>
      <c r="M204" s="872"/>
      <c r="N204" s="872"/>
      <c r="O204" s="48">
        <f>IF(t&lt;Tnet,'2026'!Resal+('2026'!Salim-'2026'!Resal)*(1-EXP(('2026'!Tnet-t)/('2026'!Tau_j))),Resal+(Salim-Resal)*(1-EXP((Tnet-t)/(Tau_j))))*Salcycl</f>
        <v>0.10371800205669141</v>
      </c>
      <c r="P204" s="171">
        <f>(INDEX(Models!$BJ204:$BT204,,T204)*(1-R204)+INDEX(Models!$BJ204:$BT204,,T204+1)*R204-ERP_i)*Q204*Ramure*Pc/MaxiM</f>
        <v>1.0385990770609995E-4</v>
      </c>
      <c r="Q204" s="307">
        <f t="shared" si="53"/>
        <v>0.9</v>
      </c>
      <c r="R204" s="179">
        <f t="shared" si="54"/>
        <v>0.10168480161616089</v>
      </c>
      <c r="S204" s="839">
        <f t="shared" si="55"/>
        <v>-1</v>
      </c>
      <c r="T204" s="178">
        <f t="shared" si="56"/>
        <v>5</v>
      </c>
      <c r="U204" s="253">
        <f t="shared" si="57"/>
        <v>-0.89831519838383911</v>
      </c>
      <c r="V204" s="385">
        <f t="shared" si="58"/>
        <v>52.054993804522667</v>
      </c>
      <c r="W204" s="404">
        <f t="shared" si="59"/>
        <v>52.151003281802353</v>
      </c>
      <c r="X204" s="157">
        <f t="shared" si="60"/>
        <v>46577</v>
      </c>
      <c r="Y204" s="387">
        <f t="shared" si="61"/>
        <v>47.860488225530283</v>
      </c>
      <c r="Z204" s="387">
        <f t="shared" si="62"/>
        <v>51.637554893892307</v>
      </c>
      <c r="AA204" s="388">
        <f t="shared" si="63"/>
        <v>62.669843251644288</v>
      </c>
      <c r="AB204" s="199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0.17603823123432694</v>
      </c>
      <c r="AD204" s="233">
        <f>(INDEX(Models!$BJ204:$BT204,,AH204)*(1-AF204)+INDEX(Models!$BJ204:$BT204,,AH204+1)*AF204-ERP_i)*AE204*Ramure*Pc/MaxiM</f>
        <v>1.8243736044327337E-3</v>
      </c>
      <c r="AE204" s="307">
        <f t="shared" si="65"/>
        <v>0.9</v>
      </c>
      <c r="AF204" s="179">
        <f t="shared" si="66"/>
        <v>0.73734045392313963</v>
      </c>
      <c r="AG204" s="839">
        <f t="shared" si="74"/>
        <v>3</v>
      </c>
      <c r="AH204" s="178">
        <f t="shared" si="67"/>
        <v>9</v>
      </c>
      <c r="AI204" s="227">
        <f t="shared" si="68"/>
        <v>3.7373404539231396</v>
      </c>
      <c r="AJ204" s="267" t="b">
        <f t="shared" si="69"/>
        <v>0</v>
      </c>
      <c r="AK204" s="267" t="b">
        <f t="shared" si="70"/>
        <v>0</v>
      </c>
      <c r="AL204" s="267"/>
      <c r="AM204" s="267"/>
      <c r="AN204" s="75"/>
    </row>
    <row r="205" spans="1:40" s="6" customFormat="1" ht="11.25" x14ac:dyDescent="0.2">
      <c r="A205" s="56">
        <f t="shared" si="71"/>
        <v>46578</v>
      </c>
      <c r="B205" s="413">
        <f>'2026'!Wh/'2026'!Env_an*'2027'!Env_an</f>
        <v>51.629254441443969</v>
      </c>
      <c r="C205" s="868"/>
      <c r="D205" s="395">
        <f t="shared" si="50"/>
        <v>55.705041936536922</v>
      </c>
      <c r="E205" s="387">
        <f t="shared" si="75"/>
        <v>62.16254056485301</v>
      </c>
      <c r="F205" s="387">
        <f t="shared" si="51"/>
        <v>62.169324103832409</v>
      </c>
      <c r="G205" s="110">
        <f t="shared" si="76"/>
        <v>0.99374836370172026</v>
      </c>
      <c r="H205" s="416" t="b">
        <f>Wh_hp&gt;='2026'!Maxi_hp</f>
        <v>0</v>
      </c>
      <c r="I205" s="392">
        <f>IF(H205,Wh_hp,'2026'!Maxi_hp)</f>
        <v>62.966191858436069</v>
      </c>
      <c r="J205" s="85">
        <f>IF(H205,An,'2026'!An_max)</f>
        <v>2019</v>
      </c>
      <c r="K205" s="199">
        <f t="shared" si="52"/>
        <v>46578</v>
      </c>
      <c r="L205" s="147">
        <f>IF(t&lt;Tvie,1-EXP((T0-t)*PertePVj)+'2026'!Pspv,1-EXP((T0-t)*PertePVj)+Pspv)</f>
        <v>7.3167299644731898E-2</v>
      </c>
      <c r="M205" s="872"/>
      <c r="N205" s="872"/>
      <c r="O205" s="48">
        <f>IF(t&lt;Tnet,'2026'!Resal+('2026'!Salim-'2026'!Resal)*(1-EXP(('2026'!Tnet-t)/('2026'!Tau_j))),Resal+(Salim-Resal)*(1-EXP((Tnet-t)/(Tau_j))))*Salcycl</f>
        <v>0.103880867313959</v>
      </c>
      <c r="P205" s="171">
        <f>(INDEX(Models!$BJ205:$BT205,,T205)*(1-R205)+INDEX(Models!$BJ205:$BT205,,T205+1)*R205-ERP_i)*Q205*Ramure*Pc/MaxiM</f>
        <v>1.1009703814310928E-4</v>
      </c>
      <c r="Q205" s="307">
        <f t="shared" si="53"/>
        <v>0.9</v>
      </c>
      <c r="R205" s="179">
        <f t="shared" si="54"/>
        <v>0.10677714432312102</v>
      </c>
      <c r="S205" s="839">
        <f t="shared" si="55"/>
        <v>-1</v>
      </c>
      <c r="T205" s="178">
        <f t="shared" si="56"/>
        <v>5</v>
      </c>
      <c r="U205" s="253">
        <f t="shared" si="57"/>
        <v>-0.89322285567687898</v>
      </c>
      <c r="V205" s="385">
        <f t="shared" si="58"/>
        <v>51.954001198248072</v>
      </c>
      <c r="W205" s="404">
        <f t="shared" si="59"/>
        <v>51.629254441443969</v>
      </c>
      <c r="X205" s="157">
        <f t="shared" si="60"/>
        <v>46578</v>
      </c>
      <c r="Y205" s="387">
        <f t="shared" si="61"/>
        <v>47.381483388325314</v>
      </c>
      <c r="Z205" s="387">
        <f t="shared" si="62"/>
        <v>51.121937508423386</v>
      </c>
      <c r="AA205" s="388">
        <f t="shared" si="63"/>
        <v>62.051361057668174</v>
      </c>
      <c r="AB205" s="199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0.17613511392743492</v>
      </c>
      <c r="AD205" s="233">
        <f>(INDEX(Models!$BJ205:$BT205,,AH205)*(1-AF205)+INDEX(Models!$BJ205:$BT205,,AH205+1)*AF205-ERP_i)*AE205*Ramure*Pc/MaxiM</f>
        <v>1.9145437259915621E-3</v>
      </c>
      <c r="AE205" s="307">
        <f t="shared" si="65"/>
        <v>0.9</v>
      </c>
      <c r="AF205" s="179">
        <f t="shared" si="66"/>
        <v>0.74243279663010009</v>
      </c>
      <c r="AG205" s="839">
        <f t="shared" si="74"/>
        <v>3</v>
      </c>
      <c r="AH205" s="178">
        <f t="shared" si="67"/>
        <v>9</v>
      </c>
      <c r="AI205" s="227">
        <f t="shared" si="68"/>
        <v>3.7424327966301001</v>
      </c>
      <c r="AJ205" s="267" t="b">
        <f t="shared" si="69"/>
        <v>0</v>
      </c>
      <c r="AK205" s="267" t="b">
        <f t="shared" si="70"/>
        <v>0</v>
      </c>
      <c r="AL205" s="267"/>
      <c r="AM205" s="267"/>
      <c r="AN205" s="75"/>
    </row>
    <row r="206" spans="1:40" s="6" customFormat="1" ht="11.25" x14ac:dyDescent="0.2">
      <c r="A206" s="56">
        <f t="shared" si="71"/>
        <v>46579</v>
      </c>
      <c r="B206" s="413">
        <f>'2026'!Wh/'2026'!Env_an*'2027'!Env_an</f>
        <v>49.853849834817453</v>
      </c>
      <c r="C206" s="868"/>
      <c r="D206" s="395">
        <f t="shared" si="50"/>
        <v>53.79073269061859</v>
      </c>
      <c r="E206" s="387">
        <f t="shared" si="75"/>
        <v>60.037114606379006</v>
      </c>
      <c r="F206" s="387">
        <f t="shared" si="51"/>
        <v>60.043787498187726</v>
      </c>
      <c r="G206" s="110">
        <f t="shared" si="76"/>
        <v>0.96150703246613189</v>
      </c>
      <c r="H206" s="416" t="b">
        <f>Wh_hp&gt;='2026'!Maxi_hp</f>
        <v>0</v>
      </c>
      <c r="I206" s="392">
        <f>IF(H206,Wh_hp,'2026'!Maxi_hp)</f>
        <v>62.533277298191116</v>
      </c>
      <c r="J206" s="85">
        <f>IF(H206,An,'2026'!An_max)</f>
        <v>2019</v>
      </c>
      <c r="K206" s="199">
        <f t="shared" si="52"/>
        <v>46579</v>
      </c>
      <c r="L206" s="147">
        <f>IF(t&lt;Tvie,1-EXP((T0-t)*PertePVj)+'2026'!Pspv,1-EXP((T0-t)*PertePVj)+Pspv)</f>
        <v>7.3188868395684614E-2</v>
      </c>
      <c r="M206" s="872"/>
      <c r="N206" s="872"/>
      <c r="O206" s="48">
        <f>IF(t&lt;Tnet,'2026'!Resal+('2026'!Salim-'2026'!Resal)*(1-EXP(('2026'!Tnet-t)/('2026'!Tau_j))),Resal+(Salim-Resal)*(1-EXP((Tnet-t)/(Tau_j))))*Salcycl</f>
        <v>0.10404200729354733</v>
      </c>
      <c r="P206" s="171">
        <f>(INDEX(Models!$BJ206:$BT206,,T206)*(1-R206)+INDEX(Models!$BJ206:$BT206,,T206+1)*R206-ERP_i)*Q206*Ramure*Pc/MaxiM</f>
        <v>1.1759950580989981E-4</v>
      </c>
      <c r="Q206" s="307">
        <f t="shared" si="53"/>
        <v>0.9</v>
      </c>
      <c r="R206" s="179">
        <f t="shared" si="54"/>
        <v>0.11175596580483105</v>
      </c>
      <c r="S206" s="839">
        <f t="shared" si="55"/>
        <v>-1</v>
      </c>
      <c r="T206" s="178">
        <f t="shared" si="56"/>
        <v>5</v>
      </c>
      <c r="U206" s="253">
        <f t="shared" si="57"/>
        <v>-0.88824403419516895</v>
      </c>
      <c r="V206" s="385">
        <f t="shared" si="58"/>
        <v>51.849363315369622</v>
      </c>
      <c r="W206" s="404">
        <f t="shared" si="59"/>
        <v>49.853849834817453</v>
      </c>
      <c r="X206" s="157">
        <f t="shared" si="60"/>
        <v>46579</v>
      </c>
      <c r="Y206" s="387">
        <f t="shared" si="61"/>
        <v>45.755157294177145</v>
      </c>
      <c r="Z206" s="387">
        <f t="shared" si="62"/>
        <v>49.368372620832368</v>
      </c>
      <c r="AA206" s="388">
        <f t="shared" si="63"/>
        <v>59.929743702094783</v>
      </c>
      <c r="AB206" s="199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0.17622920487966728</v>
      </c>
      <c r="AD206" s="233">
        <f>(INDEX(Models!$BJ206:$BT206,,AH206)*(1-AF206)+INDEX(Models!$BJ206:$BT206,,AH206+1)*AF206-ERP_i)*AE206*Ramure*Pc/MaxiM</f>
        <v>2.0098473713737863E-3</v>
      </c>
      <c r="AE206" s="307">
        <f t="shared" si="65"/>
        <v>0.9</v>
      </c>
      <c r="AF206" s="179">
        <f t="shared" si="66"/>
        <v>0.74741161811181023</v>
      </c>
      <c r="AG206" s="839">
        <f t="shared" si="74"/>
        <v>3</v>
      </c>
      <c r="AH206" s="178">
        <f t="shared" si="67"/>
        <v>9</v>
      </c>
      <c r="AI206" s="227">
        <f t="shared" si="68"/>
        <v>3.7474116181118102</v>
      </c>
      <c r="AJ206" s="267" t="b">
        <f t="shared" si="69"/>
        <v>0</v>
      </c>
      <c r="AK206" s="267" t="b">
        <f t="shared" si="70"/>
        <v>0</v>
      </c>
      <c r="AL206" s="267"/>
      <c r="AM206" s="267"/>
      <c r="AN206" s="75"/>
    </row>
    <row r="207" spans="1:40" s="6" customFormat="1" ht="11.25" x14ac:dyDescent="0.2">
      <c r="A207" s="56">
        <f t="shared" si="71"/>
        <v>46580</v>
      </c>
      <c r="B207" s="413">
        <f>'2026'!Wh/'2026'!Env_an*'2027'!Env_an</f>
        <v>49.956485877018302</v>
      </c>
      <c r="C207" s="868"/>
      <c r="D207" s="395">
        <f t="shared" ref="D207:D270" si="77">Wh/(1-Ppv)</f>
        <v>53.902728140526882</v>
      </c>
      <c r="E207" s="387">
        <f t="shared" si="75"/>
        <v>60.172826184439081</v>
      </c>
      <c r="F207" s="387">
        <f t="shared" ref="F207:F270" si="78">Wh_sa/(1-Pvg*MEDIAN((-Sdif+Wh/Env_an)/Csdif,0,1))</f>
        <v>60.180051098786947</v>
      </c>
      <c r="G207" s="110">
        <f t="shared" si="76"/>
        <v>0.96549960831050341</v>
      </c>
      <c r="H207" s="416" t="b">
        <f>Wh_hp&gt;='2026'!Maxi_hp</f>
        <v>0</v>
      </c>
      <c r="I207" s="392">
        <f>IF(H207,Wh_hp,'2026'!Maxi_hp)</f>
        <v>63.366086116985848</v>
      </c>
      <c r="J207" s="85">
        <f>IF(H207,An,'2026'!An_max)</f>
        <v>2019</v>
      </c>
      <c r="K207" s="199">
        <f t="shared" ref="K207:K270" si="79">t</f>
        <v>46580</v>
      </c>
      <c r="L207" s="147">
        <f>IF(t&lt;Tvie,1-EXP((T0-t)*PertePVj)+'2026'!Pspv,1-EXP((T0-t)*PertePVj)+Pspv)</f>
        <v>7.3210436644700949E-2</v>
      </c>
      <c r="M207" s="872"/>
      <c r="N207" s="872"/>
      <c r="O207" s="48">
        <f>IF(t&lt;Tnet,'2026'!Resal+('2026'!Salim-'2026'!Resal)*(1-EXP(('2026'!Tnet-t)/('2026'!Tau_j))),Resal+(Salim-Resal)*(1-EXP((Tnet-t)/(Tau_j))))*Salcycl</f>
        <v>0.10420148830459405</v>
      </c>
      <c r="P207" s="171">
        <f>(INDEX(Models!$BJ207:$BT207,,T207)*(1-R207)+INDEX(Models!$BJ207:$BT207,,T207+1)*R207-ERP_i)*Q207*Ramure*Pc/MaxiM</f>
        <v>1.2627764248088297E-4</v>
      </c>
      <c r="Q207" s="307">
        <f t="shared" ref="Q207:Q270" si="80">IF(OR(t&lt;Ttai,Notai),Dd+PousD*Croivg,Dens+PousD*(Croivg-Croi_tai))</f>
        <v>0.9</v>
      </c>
      <c r="R207" s="179">
        <f t="shared" ref="R207:R270" si="81">(Hp_vg-S207)/(INDEX(Echel_vg,T207+1)-S207)</f>
        <v>0.11662095677023654</v>
      </c>
      <c r="S207" s="839">
        <f t="shared" ref="S207:S270" si="82">INDEX(Echel_vg,T207)</f>
        <v>-1</v>
      </c>
      <c r="T207" s="178">
        <f t="shared" ref="T207:T270" si="83">MIN(MATCH(Hp_vg,Echel_vg),10)</f>
        <v>5</v>
      </c>
      <c r="U207" s="253">
        <f t="shared" ref="U207:U270" si="84">IF(OR(t&lt;Ttai,Notai),Hdd+PousH*Croivg,Hdtf+PousH*(Croivg-Croi_tai))</f>
        <v>-0.88337904322976346</v>
      </c>
      <c r="V207" s="385">
        <f t="shared" ref="V207:V270" si="85">MaxiM*(1-Ppv)*(1-Pvg)*(1-Psa)</f>
        <v>51.741269024809284</v>
      </c>
      <c r="W207" s="404">
        <f t="shared" ref="W207:W270" si="86">Wh*(A207&gt;Tmaj)</f>
        <v>49.956485877018302</v>
      </c>
      <c r="X207" s="157">
        <f t="shared" ref="X207:X270" si="87">t</f>
        <v>46580</v>
      </c>
      <c r="Y207" s="387">
        <f t="shared" ref="Y207:Y270" si="88">Wh_pvt_s*(1-Ppv)</f>
        <v>45.848047997156897</v>
      </c>
      <c r="Z207" s="387">
        <f t="shared" ref="Z207:Z270" si="89">Wh_sa_s*(1-Psa_s)</f>
        <v>49.46974999499465</v>
      </c>
      <c r="AA207" s="388">
        <f t="shared" ref="AA207:AA270" si="90">Wh_hp*(1-Pvg_s*MEDIAN((-Sdif+Wh/Env_an)/Csdif,0,1))</f>
        <v>60.059473950507297</v>
      </c>
      <c r="AB207" s="199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0.17632062452360517</v>
      </c>
      <c r="AD207" s="233">
        <f>(INDEX(Models!$BJ207:$BT207,,AH207)*(1-AF207)+INDEX(Models!$BJ207:$BT207,,AH207+1)*AF207-ERP_i)*AE207*Ramure*Pc/MaxiM</f>
        <v>2.1074572359915692E-3</v>
      </c>
      <c r="AE207" s="307">
        <f t="shared" ref="AE207:AE270" si="92">IF(OR(t&lt;Ttai,Notai),Dd_s+PousD*Croivg,Dens_s+PousD*(Croivg-Croi_tai))</f>
        <v>0.9</v>
      </c>
      <c r="AF207" s="179">
        <f t="shared" ref="AF207:AF270" si="93">(Hp_vg_s-AG207)/(INDEX(Echel_vg,AH207+1)-AG207)</f>
        <v>0.7522766090772155</v>
      </c>
      <c r="AG207" s="839">
        <f t="shared" si="74"/>
        <v>3</v>
      </c>
      <c r="AH207" s="178">
        <f t="shared" ref="AH207:AH270" si="94">MIN(MATCH(Hp_vg_s,Echel_vg),10)</f>
        <v>9</v>
      </c>
      <c r="AI207" s="227">
        <f t="shared" ref="AI207:AI270" si="95">IF(OR(t&lt;Ttai,Notai),Hdd_s+PousH*Croivg,Hdtai_s+PousH*(Croivg-Croi_tai))</f>
        <v>3.7522766090772155</v>
      </c>
      <c r="AJ207" s="267" t="b">
        <f t="shared" ref="AJ207:AJ270" si="96">t&lt;Tnet</f>
        <v>0</v>
      </c>
      <c r="AK207" s="267" t="b">
        <f t="shared" ref="AK207:AK270" si="97">t&lt;Ttai</f>
        <v>0</v>
      </c>
      <c r="AL207" s="267"/>
      <c r="AM207" s="267"/>
      <c r="AN207" s="75"/>
    </row>
    <row r="208" spans="1:40" s="6" customFormat="1" ht="11.25" x14ac:dyDescent="0.2">
      <c r="A208" s="56">
        <f t="shared" ref="A208:A271" si="98">A207+1</f>
        <v>46581</v>
      </c>
      <c r="B208" s="413">
        <f>'2026'!Wh/'2026'!Env_an*'2027'!Env_an</f>
        <v>49.652511283413695</v>
      </c>
      <c r="C208" s="868"/>
      <c r="D208" s="395">
        <f t="shared" si="77"/>
        <v>53.575988293411434</v>
      </c>
      <c r="E208" s="387">
        <f t="shared" si="75"/>
        <v>59.818622503292062</v>
      </c>
      <c r="F208" s="387">
        <f t="shared" si="78"/>
        <v>59.82632205960924</v>
      </c>
      <c r="G208" s="110">
        <f t="shared" si="76"/>
        <v>0.96169351340817222</v>
      </c>
      <c r="H208" s="416" t="b">
        <f>Wh_hp&gt;='2026'!Maxi_hp</f>
        <v>0</v>
      </c>
      <c r="I208" s="392">
        <f>IF(H208,Wh_hp,'2026'!Maxi_hp)</f>
        <v>59.826693452621264</v>
      </c>
      <c r="J208" s="85">
        <f>IF(H208,An,'2026'!An_max)</f>
        <v>2025</v>
      </c>
      <c r="K208" s="199">
        <f t="shared" si="79"/>
        <v>46581</v>
      </c>
      <c r="L208" s="147">
        <f>IF(t&lt;Tvie,1-EXP((T0-t)*PertePVj)+'2026'!Pspv,1-EXP((T0-t)*PertePVj)+Pspv)</f>
        <v>7.3232004391792671E-2</v>
      </c>
      <c r="M208" s="872"/>
      <c r="N208" s="872"/>
      <c r="O208" s="48">
        <f>IF(t&lt;Tnet,'2026'!Resal+('2026'!Salim-'2026'!Resal)*(1-EXP(('2026'!Tnet-t)/('2026'!Tau_j))),Resal+(Salim-Resal)*(1-EXP((Tnet-t)/(Tau_j))))*Salcycl</f>
        <v>0.1043593775422874</v>
      </c>
      <c r="P208" s="171">
        <f>(INDEX(Models!$BJ208:$BT208,,T208)*(1-R208)+INDEX(Models!$BJ208:$BT208,,T208+1)*R208-ERP_i)*Q208*Ramure*Pc/MaxiM</f>
        <v>1.3614755787150172E-4</v>
      </c>
      <c r="Q208" s="307">
        <f t="shared" si="80"/>
        <v>0.9</v>
      </c>
      <c r="R208" s="179">
        <f t="shared" si="81"/>
        <v>0.12137200967452022</v>
      </c>
      <c r="S208" s="839">
        <f t="shared" si="82"/>
        <v>-1</v>
      </c>
      <c r="T208" s="178">
        <f t="shared" si="83"/>
        <v>5</v>
      </c>
      <c r="U208" s="253">
        <f t="shared" si="84"/>
        <v>-0.87862799032547978</v>
      </c>
      <c r="V208" s="385">
        <f t="shared" si="85"/>
        <v>51.629901499586069</v>
      </c>
      <c r="W208" s="404">
        <f t="shared" si="86"/>
        <v>49.652511283413695</v>
      </c>
      <c r="X208" s="157">
        <f t="shared" si="87"/>
        <v>46581</v>
      </c>
      <c r="Y208" s="387">
        <f t="shared" si="88"/>
        <v>45.568791754251485</v>
      </c>
      <c r="Z208" s="387">
        <f t="shared" si="89"/>
        <v>49.169578546296464</v>
      </c>
      <c r="AA208" s="388">
        <f t="shared" si="90"/>
        <v>59.701487819964726</v>
      </c>
      <c r="AB208" s="199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0.17640949427304373</v>
      </c>
      <c r="AD208" s="233">
        <f>(INDEX(Models!$BJ208:$BT208,,AH208)*(1-AF208)+INDEX(Models!$BJ208:$BT208,,AH208+1)*AF208-ERP_i)*AE208*Ramure*Pc/MaxiM</f>
        <v>2.2073839278802824E-3</v>
      </c>
      <c r="AE208" s="307">
        <f t="shared" si="92"/>
        <v>0.9</v>
      </c>
      <c r="AF208" s="179">
        <f t="shared" si="93"/>
        <v>0.75702766198149929</v>
      </c>
      <c r="AG208" s="839">
        <f t="shared" ref="AG208:AG271" si="99">INDEX(Echel_vg,AH208)</f>
        <v>3</v>
      </c>
      <c r="AH208" s="178">
        <f t="shared" si="94"/>
        <v>9</v>
      </c>
      <c r="AI208" s="227">
        <f t="shared" si="95"/>
        <v>3.7570276619814993</v>
      </c>
      <c r="AJ208" s="267" t="b">
        <f t="shared" si="96"/>
        <v>0</v>
      </c>
      <c r="AK208" s="267" t="b">
        <f t="shared" si="97"/>
        <v>0</v>
      </c>
      <c r="AL208" s="267"/>
      <c r="AM208" s="267"/>
      <c r="AN208" s="75"/>
    </row>
    <row r="209" spans="1:40" s="6" customFormat="1" ht="11.25" x14ac:dyDescent="0.2">
      <c r="A209" s="56">
        <f t="shared" si="98"/>
        <v>46582</v>
      </c>
      <c r="B209" s="413">
        <f>'2026'!Wh/'2026'!Env_an*'2027'!Env_an</f>
        <v>49.028417543936385</v>
      </c>
      <c r="C209" s="868"/>
      <c r="D209" s="395">
        <f t="shared" si="77"/>
        <v>52.903810625457069</v>
      </c>
      <c r="E209" s="387">
        <f t="shared" si="75"/>
        <v>59.078437384619896</v>
      </c>
      <c r="F209" s="387">
        <f t="shared" si="78"/>
        <v>59.086536468384246</v>
      </c>
      <c r="G209" s="110">
        <f t="shared" si="76"/>
        <v>0.95171304125781531</v>
      </c>
      <c r="H209" s="416" t="b">
        <f>Wh_hp&gt;='2026'!Maxi_hp</f>
        <v>0</v>
      </c>
      <c r="I209" s="392">
        <f>IF(H209,Wh_hp,'2026'!Maxi_hp)</f>
        <v>62.288044884961785</v>
      </c>
      <c r="J209" s="85">
        <f>IF(H209,An,'2026'!An_max)</f>
        <v>2019</v>
      </c>
      <c r="K209" s="199">
        <f t="shared" si="79"/>
        <v>46582</v>
      </c>
      <c r="L209" s="147">
        <f>IF(t&lt;Tvie,1-EXP((T0-t)*PertePVj)+'2026'!Pspv,1-EXP((T0-t)*PertePVj)+Pspv)</f>
        <v>7.3253571636971326E-2</v>
      </c>
      <c r="M209" s="872"/>
      <c r="N209" s="872"/>
      <c r="O209" s="48">
        <f>IF(t&lt;Tnet,'2026'!Resal+('2026'!Salim-'2026'!Resal)*(1-EXP(('2026'!Tnet-t)/('2026'!Tau_j))),Resal+(Salim-Resal)*(1-EXP((Tnet-t)/(Tau_j))))*Salcycl</f>
        <v>0.10451574267213588</v>
      </c>
      <c r="P209" s="171">
        <f>(INDEX(Models!$BJ209:$BT209,,T209)*(1-R209)+INDEX(Models!$BJ209:$BT209,,T209+1)*R209-ERP_i)*Q209*Ramure*Pc/MaxiM</f>
        <v>1.4722533297599458E-4</v>
      </c>
      <c r="Q209" s="307">
        <f t="shared" si="80"/>
        <v>0.9</v>
      </c>
      <c r="R209" s="179">
        <f t="shared" si="81"/>
        <v>0.12600920979190633</v>
      </c>
      <c r="S209" s="839">
        <f t="shared" si="82"/>
        <v>-1</v>
      </c>
      <c r="T209" s="178">
        <f t="shared" si="83"/>
        <v>5</v>
      </c>
      <c r="U209" s="253">
        <f t="shared" si="84"/>
        <v>-0.87399079020809367</v>
      </c>
      <c r="V209" s="385">
        <f t="shared" si="85"/>
        <v>51.51544375970844</v>
      </c>
      <c r="W209" s="404">
        <f t="shared" si="86"/>
        <v>49.028417543936385</v>
      </c>
      <c r="X209" s="157">
        <f t="shared" si="87"/>
        <v>46582</v>
      </c>
      <c r="Y209" s="387">
        <f t="shared" si="88"/>
        <v>44.996663397275064</v>
      </c>
      <c r="Z209" s="387">
        <f t="shared" si="89"/>
        <v>48.553371256855598</v>
      </c>
      <c r="AA209" s="388">
        <f t="shared" si="90"/>
        <v>58.959479823702885</v>
      </c>
      <c r="AB209" s="199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0.17649593581834519</v>
      </c>
      <c r="AD209" s="233">
        <f>(INDEX(Models!$BJ209:$BT209,,AH209)*(1-AF209)+INDEX(Models!$BJ209:$BT209,,AH209+1)*AF209-ERP_i)*AE209*Ramure*Pc/MaxiM</f>
        <v>2.3096386411454737E-3</v>
      </c>
      <c r="AE209" s="307">
        <f t="shared" si="92"/>
        <v>0.9</v>
      </c>
      <c r="AF209" s="179">
        <f t="shared" si="93"/>
        <v>0.76166486209888529</v>
      </c>
      <c r="AG209" s="839">
        <f t="shared" si="99"/>
        <v>3</v>
      </c>
      <c r="AH209" s="178">
        <f t="shared" si="94"/>
        <v>9</v>
      </c>
      <c r="AI209" s="227">
        <f t="shared" si="95"/>
        <v>3.7616648620988853</v>
      </c>
      <c r="AJ209" s="267" t="b">
        <f t="shared" si="96"/>
        <v>0</v>
      </c>
      <c r="AK209" s="267" t="b">
        <f t="shared" si="97"/>
        <v>0</v>
      </c>
      <c r="AL209" s="267"/>
      <c r="AM209" s="267"/>
      <c r="AN209" s="75"/>
    </row>
    <row r="210" spans="1:40" s="6" customFormat="1" ht="11.25" x14ac:dyDescent="0.2">
      <c r="A210" s="56">
        <f t="shared" si="98"/>
        <v>46583</v>
      </c>
      <c r="B210" s="413">
        <f>'2026'!Wh/'2026'!Env_an*'2027'!Env_an</f>
        <v>47.374331179339563</v>
      </c>
      <c r="C210" s="868"/>
      <c r="D210" s="395">
        <f t="shared" si="77"/>
        <v>51.120168608121304</v>
      </c>
      <c r="E210" s="387">
        <f t="shared" si="75"/>
        <v>57.096496042958904</v>
      </c>
      <c r="F210" s="387">
        <f t="shared" si="78"/>
        <v>57.104586961843459</v>
      </c>
      <c r="G210" s="110">
        <f t="shared" si="76"/>
        <v>0.92169760149539581</v>
      </c>
      <c r="H210" s="416" t="b">
        <f>Wh_hp&gt;='2026'!Maxi_hp</f>
        <v>0</v>
      </c>
      <c r="I210" s="392">
        <f>IF(H210,Wh_hp,'2026'!Maxi_hp)</f>
        <v>63.922354684310292</v>
      </c>
      <c r="J210" s="85">
        <f>IF(H210,An,'2026'!An_max)</f>
        <v>2019</v>
      </c>
      <c r="K210" s="199">
        <f t="shared" si="79"/>
        <v>46583</v>
      </c>
      <c r="L210" s="147">
        <f>IF(t&lt;Tvie,1-EXP((T0-t)*PertePVj)+'2026'!Pspv,1-EXP((T0-t)*PertePVj)+Pspv)</f>
        <v>7.3275138380248794E-2</v>
      </c>
      <c r="M210" s="872"/>
      <c r="N210" s="872"/>
      <c r="O210" s="48">
        <f>IF(t&lt;Tnet,'2026'!Resal+('2026'!Salim-'2026'!Resal)*(1-EXP(('2026'!Tnet-t)/('2026'!Tau_j))),Resal+(Salim-Resal)*(1-EXP((Tnet-t)/(Tau_j))))*Salcycl</f>
        <v>0.10467065142388184</v>
      </c>
      <c r="P210" s="171">
        <f>(INDEX(Models!$BJ210:$BT210,,T210)*(1-R210)+INDEX(Models!$BJ210:$BT210,,T210+1)*R210-ERP_i)*Q210*Ramure*Pc/MaxiM</f>
        <v>1.5952700504377634E-4</v>
      </c>
      <c r="Q210" s="307">
        <f t="shared" si="80"/>
        <v>0.9</v>
      </c>
      <c r="R210" s="179">
        <f t="shared" si="81"/>
        <v>0.13053282595911964</v>
      </c>
      <c r="S210" s="839">
        <f t="shared" si="82"/>
        <v>-1</v>
      </c>
      <c r="T210" s="178">
        <f t="shared" si="83"/>
        <v>5</v>
      </c>
      <c r="U210" s="253">
        <f t="shared" si="84"/>
        <v>-0.86946717404088036</v>
      </c>
      <c r="V210" s="385">
        <f t="shared" si="85"/>
        <v>51.398078692707436</v>
      </c>
      <c r="W210" s="404">
        <f t="shared" si="86"/>
        <v>47.374331179339563</v>
      </c>
      <c r="X210" s="157">
        <f t="shared" si="87"/>
        <v>46583</v>
      </c>
      <c r="Y210" s="387">
        <f t="shared" si="88"/>
        <v>43.482144494519972</v>
      </c>
      <c r="Z210" s="387">
        <f t="shared" si="89"/>
        <v>46.920230907068657</v>
      </c>
      <c r="AA210" s="388">
        <f t="shared" si="90"/>
        <v>56.982141460036253</v>
      </c>
      <c r="AB210" s="199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0.17658007044232255</v>
      </c>
      <c r="AD210" s="233">
        <f>(INDEX(Models!$BJ210:$BT210,,AH210)*(1-AF210)+INDEX(Models!$BJ210:$BT210,,AH210+1)*AF210-ERP_i)*AE210*Ramure*Pc/MaxiM</f>
        <v>2.4142331004789338E-3</v>
      </c>
      <c r="AE210" s="307">
        <f t="shared" si="92"/>
        <v>0.9</v>
      </c>
      <c r="AF210" s="179">
        <f t="shared" si="93"/>
        <v>0.76618847826609837</v>
      </c>
      <c r="AG210" s="839">
        <f t="shared" si="99"/>
        <v>3</v>
      </c>
      <c r="AH210" s="178">
        <f t="shared" si="94"/>
        <v>9</v>
      </c>
      <c r="AI210" s="227">
        <f t="shared" si="95"/>
        <v>3.7661884782660984</v>
      </c>
      <c r="AJ210" s="267" t="b">
        <f t="shared" si="96"/>
        <v>0</v>
      </c>
      <c r="AK210" s="267" t="b">
        <f t="shared" si="97"/>
        <v>0</v>
      </c>
      <c r="AL210" s="267"/>
      <c r="AM210" s="267"/>
      <c r="AN210" s="75"/>
    </row>
    <row r="211" spans="1:40" s="6" customFormat="1" ht="11.25" x14ac:dyDescent="0.2">
      <c r="A211" s="56">
        <f t="shared" si="98"/>
        <v>46584</v>
      </c>
      <c r="B211" s="413">
        <f>'2026'!Wh/'2026'!Env_an*'2027'!Env_an</f>
        <v>48.791395240300446</v>
      </c>
      <c r="C211" s="868"/>
      <c r="D211" s="395">
        <f t="shared" si="77"/>
        <v>52.65050365487199</v>
      </c>
      <c r="E211" s="387">
        <f t="shared" si="75"/>
        <v>58.815823619060403</v>
      </c>
      <c r="F211" s="387">
        <f t="shared" si="78"/>
        <v>58.825299154030631</v>
      </c>
      <c r="G211" s="110">
        <f t="shared" si="76"/>
        <v>0.95149616903696055</v>
      </c>
      <c r="H211" s="416" t="b">
        <f>Wh_hp&gt;='2026'!Maxi_hp</f>
        <v>0</v>
      </c>
      <c r="I211" s="392">
        <f>IF(H211,Wh_hp,'2026'!Maxi_hp)</f>
        <v>61.80609820864801</v>
      </c>
      <c r="J211" s="85">
        <f>IF(H211,An,'2026'!An_max)</f>
        <v>2019</v>
      </c>
      <c r="K211" s="199">
        <f t="shared" si="79"/>
        <v>46584</v>
      </c>
      <c r="L211" s="147">
        <f>IF(t&lt;Tvie,1-EXP((T0-t)*PertePVj)+'2026'!Pspv,1-EXP((T0-t)*PertePVj)+Pspv)</f>
        <v>7.329670462163651E-2</v>
      </c>
      <c r="M211" s="872"/>
      <c r="N211" s="872"/>
      <c r="O211" s="48">
        <f>IF(t&lt;Tnet,'2026'!Resal+('2026'!Salim-'2026'!Resal)*(1-EXP(('2026'!Tnet-t)/('2026'!Tau_j))),Resal+(Salim-Resal)*(1-EXP((Tnet-t)/(Tau_j))))*Salcycl</f>
        <v>0.10482417119787513</v>
      </c>
      <c r="P211" s="171">
        <f>(INDEX(Models!$BJ211:$BT211,,T211)*(1-R211)+INDEX(Models!$BJ211:$BT211,,T211+1)*R211-ERP_i)*Q211*Ramure*Pc/MaxiM</f>
        <v>1.7306855284352792E-4</v>
      </c>
      <c r="Q211" s="307">
        <f t="shared" si="80"/>
        <v>0.9</v>
      </c>
      <c r="R211" s="179">
        <f t="shared" si="81"/>
        <v>0.13494330106499752</v>
      </c>
      <c r="S211" s="839">
        <f t="shared" si="82"/>
        <v>-1</v>
      </c>
      <c r="T211" s="178">
        <f t="shared" si="83"/>
        <v>5</v>
      </c>
      <c r="U211" s="253">
        <f t="shared" si="84"/>
        <v>-0.86505669893500248</v>
      </c>
      <c r="V211" s="385">
        <f t="shared" si="85"/>
        <v>51.277989085910093</v>
      </c>
      <c r="W211" s="404">
        <f t="shared" si="86"/>
        <v>48.791395240300446</v>
      </c>
      <c r="X211" s="157">
        <f t="shared" si="87"/>
        <v>46584</v>
      </c>
      <c r="Y211" s="387">
        <f t="shared" si="88"/>
        <v>44.777796867144197</v>
      </c>
      <c r="Z211" s="387">
        <f t="shared" si="89"/>
        <v>48.31945358396711</v>
      </c>
      <c r="AA211" s="388">
        <f t="shared" si="90"/>
        <v>58.68726411454022</v>
      </c>
      <c r="AB211" s="199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0.17666201836122741</v>
      </c>
      <c r="AD211" s="233">
        <f>(INDEX(Models!$BJ211:$BT211,,AH211)*(1-AF211)+INDEX(Models!$BJ211:$BT211,,AH211+1)*AF211-ERP_i)*AE211*Ramure*Pc/MaxiM</f>
        <v>2.5211795008253783E-3</v>
      </c>
      <c r="AE211" s="307">
        <f t="shared" si="92"/>
        <v>0.9</v>
      </c>
      <c r="AF211" s="179">
        <f t="shared" si="93"/>
        <v>0.77059895337197659</v>
      </c>
      <c r="AG211" s="839">
        <f t="shared" si="99"/>
        <v>3</v>
      </c>
      <c r="AH211" s="178">
        <f t="shared" si="94"/>
        <v>9</v>
      </c>
      <c r="AI211" s="227">
        <f t="shared" si="95"/>
        <v>3.7705989533719766</v>
      </c>
      <c r="AJ211" s="267" t="b">
        <f t="shared" si="96"/>
        <v>0</v>
      </c>
      <c r="AK211" s="267" t="b">
        <f t="shared" si="97"/>
        <v>0</v>
      </c>
      <c r="AL211" s="267"/>
      <c r="AM211" s="267"/>
      <c r="AN211" s="75"/>
    </row>
    <row r="212" spans="1:40" s="6" customFormat="1" ht="11.25" x14ac:dyDescent="0.2">
      <c r="A212" s="56">
        <f t="shared" si="98"/>
        <v>46585</v>
      </c>
      <c r="B212" s="413">
        <f>'2026'!Wh/'2026'!Env_an*'2027'!Env_an</f>
        <v>47.962586167552629</v>
      </c>
      <c r="C212" s="868"/>
      <c r="D212" s="395">
        <f t="shared" si="77"/>
        <v>51.757345195792958</v>
      </c>
      <c r="E212" s="387">
        <f t="shared" si="75"/>
        <v>57.827909102064567</v>
      </c>
      <c r="F212" s="387">
        <f t="shared" si="78"/>
        <v>57.837815906647215</v>
      </c>
      <c r="G212" s="110">
        <f t="shared" si="76"/>
        <v>0.93757121476835237</v>
      </c>
      <c r="H212" s="416" t="b">
        <f>Wh_hp&gt;='2026'!Maxi_hp</f>
        <v>0</v>
      </c>
      <c r="I212" s="392">
        <f>IF(H212,Wh_hp,'2026'!Maxi_hp)</f>
        <v>61.03216766608417</v>
      </c>
      <c r="J212" s="85">
        <f>IF(H212,An,'2026'!An_max)</f>
        <v>2021</v>
      </c>
      <c r="K212" s="199">
        <f t="shared" si="79"/>
        <v>46585</v>
      </c>
      <c r="L212" s="147">
        <f>IF(t&lt;Tvie,1-EXP((T0-t)*PertePVj)+'2026'!Pspv,1-EXP((T0-t)*PertePVj)+Pspv)</f>
        <v>7.3318270361146354E-2</v>
      </c>
      <c r="M212" s="872"/>
      <c r="N212" s="872"/>
      <c r="O212" s="48">
        <f>IF(t&lt;Tnet,'2026'!Resal+('2026'!Salim-'2026'!Resal)*(1-EXP(('2026'!Tnet-t)/('2026'!Tau_j))),Resal+(Salim-Resal)*(1-EXP((Tnet-t)/(Tau_j))))*Salcycl</f>
        <v>0.10497636868656691</v>
      </c>
      <c r="P212" s="171">
        <f>(INDEX(Models!$BJ212:$BT212,,T212)*(1-R212)+INDEX(Models!$BJ212:$BT212,,T212+1)*R212-ERP_i)*Q212*Ramure*Pc/MaxiM</f>
        <v>1.8805303221073347E-4</v>
      </c>
      <c r="Q212" s="307">
        <f t="shared" si="80"/>
        <v>0.9</v>
      </c>
      <c r="R212" s="179">
        <f t="shared" si="81"/>
        <v>0.13924124235820445</v>
      </c>
      <c r="S212" s="839">
        <f t="shared" si="82"/>
        <v>-1</v>
      </c>
      <c r="T212" s="178">
        <f t="shared" si="83"/>
        <v>5</v>
      </c>
      <c r="U212" s="253">
        <f t="shared" si="84"/>
        <v>-0.86075875764179555</v>
      </c>
      <c r="V212" s="385">
        <f t="shared" si="85"/>
        <v>51.155348075035292</v>
      </c>
      <c r="W212" s="404">
        <f t="shared" si="86"/>
        <v>47.962586167552629</v>
      </c>
      <c r="X212" s="157">
        <f t="shared" si="87"/>
        <v>46585</v>
      </c>
      <c r="Y212" s="387">
        <f t="shared" si="88"/>
        <v>44.018043765222743</v>
      </c>
      <c r="Z212" s="387">
        <f t="shared" si="89"/>
        <v>47.500713953190221</v>
      </c>
      <c r="AA212" s="388">
        <f t="shared" si="90"/>
        <v>57.698446991631918</v>
      </c>
      <c r="AB212" s="199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0.17674189809512009</v>
      </c>
      <c r="AD212" s="233">
        <f>(INDEX(Models!$BJ212:$BT212,,AH212)*(1-AF212)+INDEX(Models!$BJ212:$BT212,,AH212+1)*AF212-ERP_i)*AE212*Ramure*Pc/MaxiM</f>
        <v>2.6455298321361119E-3</v>
      </c>
      <c r="AE212" s="307">
        <f t="shared" si="92"/>
        <v>0.9</v>
      </c>
      <c r="AF212" s="179">
        <f t="shared" si="93"/>
        <v>0.7748968946651833</v>
      </c>
      <c r="AG212" s="839">
        <f t="shared" si="99"/>
        <v>3</v>
      </c>
      <c r="AH212" s="178">
        <f t="shared" si="94"/>
        <v>9</v>
      </c>
      <c r="AI212" s="227">
        <f t="shared" si="95"/>
        <v>3.7748968946651833</v>
      </c>
      <c r="AJ212" s="267" t="b">
        <f t="shared" si="96"/>
        <v>0</v>
      </c>
      <c r="AK212" s="267" t="b">
        <f t="shared" si="97"/>
        <v>0</v>
      </c>
      <c r="AL212" s="267"/>
      <c r="AM212" s="267"/>
      <c r="AN212" s="75"/>
    </row>
    <row r="213" spans="1:40" s="6" customFormat="1" ht="11.25" x14ac:dyDescent="0.2">
      <c r="A213" s="56">
        <f t="shared" si="98"/>
        <v>46586</v>
      </c>
      <c r="B213" s="413">
        <f>'2026'!Wh/'2026'!Env_an*'2027'!Env_an</f>
        <v>48.226466395474702</v>
      </c>
      <c r="C213" s="868"/>
      <c r="D213" s="395">
        <f t="shared" si="77"/>
        <v>52.043314526893163</v>
      </c>
      <c r="E213" s="387">
        <f t="shared" si="75"/>
        <v>58.157227368963206</v>
      </c>
      <c r="F213" s="387">
        <f t="shared" si="78"/>
        <v>58.168161327044487</v>
      </c>
      <c r="G213" s="110">
        <f t="shared" si="76"/>
        <v>0.94503918335334325</v>
      </c>
      <c r="H213" s="416" t="b">
        <f>Wh_hp&gt;='2026'!Maxi_hp</f>
        <v>0</v>
      </c>
      <c r="I213" s="392">
        <f>IF(H213,Wh_hp,'2026'!Maxi_hp)</f>
        <v>58.168947992862748</v>
      </c>
      <c r="J213" s="85">
        <f>IF(H213,An,'2026'!An_max)</f>
        <v>2025</v>
      </c>
      <c r="K213" s="199">
        <f t="shared" si="79"/>
        <v>46586</v>
      </c>
      <c r="L213" s="147">
        <f>IF(t&lt;Tvie,1-EXP((T0-t)*PertePVj)+'2026'!Pspv,1-EXP((T0-t)*PertePVj)+Pspv)</f>
        <v>7.3339835598789982E-2</v>
      </c>
      <c r="M213" s="872"/>
      <c r="N213" s="872"/>
      <c r="O213" s="48">
        <f>IF(t&lt;Tnet,'2026'!Resal+('2026'!Salim-'2026'!Resal)*(1-EXP(('2026'!Tnet-t)/('2026'!Tau_j))),Resal+(Salim-Resal)*(1-EXP((Tnet-t)/(Tau_j))))*Salcycl</f>
        <v>0.10512730951360416</v>
      </c>
      <c r="P213" s="171">
        <f>(INDEX(Models!$BJ213:$BT213,,T213)*(1-R213)+INDEX(Models!$BJ213:$BT213,,T213+1)*R213-ERP_i)*Q213*Ramure*Pc/MaxiM</f>
        <v>2.0398292817490587E-4</v>
      </c>
      <c r="Q213" s="307">
        <f t="shared" si="80"/>
        <v>0.9</v>
      </c>
      <c r="R213" s="179">
        <f t="shared" si="81"/>
        <v>0.14342741164101103</v>
      </c>
      <c r="S213" s="839">
        <f t="shared" si="82"/>
        <v>-1</v>
      </c>
      <c r="T213" s="178">
        <f t="shared" si="83"/>
        <v>5</v>
      </c>
      <c r="U213" s="253">
        <f t="shared" si="84"/>
        <v>-0.85657258835898897</v>
      </c>
      <c r="V213" s="385">
        <f t="shared" si="85"/>
        <v>51.030364588541289</v>
      </c>
      <c r="W213" s="404">
        <f t="shared" si="86"/>
        <v>48.226466395474702</v>
      </c>
      <c r="X213" s="157">
        <f t="shared" si="87"/>
        <v>46586</v>
      </c>
      <c r="Y213" s="387">
        <f t="shared" si="88"/>
        <v>44.257178512871789</v>
      </c>
      <c r="Z213" s="387">
        <f t="shared" si="89"/>
        <v>47.759880280890165</v>
      </c>
      <c r="AA213" s="388">
        <f t="shared" si="90"/>
        <v>58.018744597994264</v>
      </c>
      <c r="AB213" s="199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0.17681982587156417</v>
      </c>
      <c r="AD213" s="233">
        <f>(INDEX(Models!$BJ213:$BT213,,AH213)*(1-AF213)+INDEX(Models!$BJ213:$BT213,,AH213+1)*AF213-ERP_i)*AE213*Ramure*Pc/MaxiM</f>
        <v>2.7875049166465687E-3</v>
      </c>
      <c r="AE213" s="307">
        <f t="shared" si="92"/>
        <v>0.9</v>
      </c>
      <c r="AF213" s="179">
        <f t="shared" si="93"/>
        <v>0.77908306394798998</v>
      </c>
      <c r="AG213" s="839">
        <f t="shared" si="99"/>
        <v>3</v>
      </c>
      <c r="AH213" s="178">
        <f t="shared" si="94"/>
        <v>9</v>
      </c>
      <c r="AI213" s="227">
        <f t="shared" si="95"/>
        <v>3.77908306394799</v>
      </c>
      <c r="AJ213" s="267" t="b">
        <f t="shared" si="96"/>
        <v>0</v>
      </c>
      <c r="AK213" s="267" t="b">
        <f t="shared" si="97"/>
        <v>0</v>
      </c>
      <c r="AL213" s="267"/>
      <c r="AM213" s="267"/>
      <c r="AN213" s="75"/>
    </row>
    <row r="214" spans="1:40" s="6" customFormat="1" ht="11.25" x14ac:dyDescent="0.2">
      <c r="A214" s="56">
        <f t="shared" si="98"/>
        <v>46587</v>
      </c>
      <c r="B214" s="413">
        <f>'2026'!Wh/'2026'!Env_an*'2027'!Env_an</f>
        <v>39.006273498354993</v>
      </c>
      <c r="C214" s="868"/>
      <c r="D214" s="395">
        <f t="shared" si="77"/>
        <v>42.094375857469011</v>
      </c>
      <c r="E214" s="387">
        <f t="shared" si="75"/>
        <v>47.047386264993968</v>
      </c>
      <c r="F214" s="387">
        <f t="shared" si="78"/>
        <v>47.054309250838763</v>
      </c>
      <c r="G214" s="110">
        <f t="shared" si="76"/>
        <v>0.76622649088700734</v>
      </c>
      <c r="H214" s="416" t="b">
        <f>Wh_hp&gt;='2026'!Maxi_hp</f>
        <v>0</v>
      </c>
      <c r="I214" s="392">
        <f>IF(H214,Wh_hp,'2026'!Maxi_hp)</f>
        <v>60.668630393036239</v>
      </c>
      <c r="J214" s="85">
        <f>IF(H214,An,'2026'!An_max)</f>
        <v>2020</v>
      </c>
      <c r="K214" s="199">
        <f t="shared" si="79"/>
        <v>46587</v>
      </c>
      <c r="L214" s="147">
        <f>IF(t&lt;Tvie,1-EXP((T0-t)*PertePVj)+'2026'!Pspv,1-EXP((T0-t)*PertePVj)+Pspv)</f>
        <v>7.3361400334578941E-2</v>
      </c>
      <c r="M214" s="872"/>
      <c r="N214" s="872"/>
      <c r="O214" s="48">
        <f>IF(t&lt;Tnet,'2026'!Resal+('2026'!Salim-'2026'!Resal)*(1-EXP(('2026'!Tnet-t)/('2026'!Tau_j))),Resal+(Salim-Resal)*(1-EXP((Tnet-t)/(Tau_j))))*Salcycl</f>
        <v>0.10527705789280563</v>
      </c>
      <c r="P214" s="171">
        <f>(INDEX(Models!$BJ214:$BT214,,T214)*(1-R214)+INDEX(Models!$BJ214:$BT214,,T214+1)*R214-ERP_i)*Q214*Ramure*Pc/MaxiM</f>
        <v>2.2087292920489735E-4</v>
      </c>
      <c r="Q214" s="307">
        <f t="shared" si="80"/>
        <v>0.9</v>
      </c>
      <c r="R214" s="179">
        <f t="shared" si="81"/>
        <v>0.14750271541280024</v>
      </c>
      <c r="S214" s="839">
        <f t="shared" si="82"/>
        <v>-1</v>
      </c>
      <c r="T214" s="178">
        <f t="shared" si="83"/>
        <v>5</v>
      </c>
      <c r="U214" s="253">
        <f t="shared" si="84"/>
        <v>-0.85249728458719976</v>
      </c>
      <c r="V214" s="385">
        <f t="shared" si="85"/>
        <v>50.903221184636116</v>
      </c>
      <c r="W214" s="404">
        <f t="shared" si="86"/>
        <v>39.006273498354993</v>
      </c>
      <c r="X214" s="157">
        <f t="shared" si="87"/>
        <v>46587</v>
      </c>
      <c r="Y214" s="387">
        <f t="shared" si="88"/>
        <v>35.818803564052381</v>
      </c>
      <c r="Z214" s="387">
        <f t="shared" si="89"/>
        <v>38.654555915310866</v>
      </c>
      <c r="AA214" s="388">
        <f t="shared" si="90"/>
        <v>46.961929387606894</v>
      </c>
      <c r="AB214" s="199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0.17689591506622213</v>
      </c>
      <c r="AD214" s="233">
        <f>(INDEX(Models!$BJ214:$BT214,,AH214)*(1-AF214)+INDEX(Models!$BJ214:$BT214,,AH214+1)*AF214-ERP_i)*AE214*Ramure*Pc/MaxiM</f>
        <v>2.9473136951331694E-3</v>
      </c>
      <c r="AE214" s="307">
        <f t="shared" si="92"/>
        <v>0.9</v>
      </c>
      <c r="AF214" s="179">
        <f t="shared" si="93"/>
        <v>0.78315836771977931</v>
      </c>
      <c r="AG214" s="839">
        <f t="shared" si="99"/>
        <v>3</v>
      </c>
      <c r="AH214" s="178">
        <f t="shared" si="94"/>
        <v>9</v>
      </c>
      <c r="AI214" s="227">
        <f t="shared" si="95"/>
        <v>3.7831583677197793</v>
      </c>
      <c r="AJ214" s="267" t="b">
        <f t="shared" si="96"/>
        <v>0</v>
      </c>
      <c r="AK214" s="267" t="b">
        <f t="shared" si="97"/>
        <v>0</v>
      </c>
      <c r="AL214" s="267"/>
      <c r="AM214" s="267"/>
      <c r="AN214" s="75"/>
    </row>
    <row r="215" spans="1:40" s="6" customFormat="1" ht="11.25" x14ac:dyDescent="0.2">
      <c r="A215" s="56">
        <f t="shared" si="98"/>
        <v>46588</v>
      </c>
      <c r="B215" s="413">
        <f>'2026'!Wh/'2026'!Env_an*'2027'!Env_an</f>
        <v>37.416852262646024</v>
      </c>
      <c r="C215" s="868"/>
      <c r="D215" s="395">
        <f t="shared" si="77"/>
        <v>40.380060836268825</v>
      </c>
      <c r="E215" s="387">
        <f t="shared" si="75"/>
        <v>45.138855170428734</v>
      </c>
      <c r="F215" s="387">
        <f t="shared" si="78"/>
        <v>45.145582574796556</v>
      </c>
      <c r="G215" s="110">
        <f t="shared" si="76"/>
        <v>0.73686179283329722</v>
      </c>
      <c r="H215" s="416" t="b">
        <f>Wh_hp&gt;='2026'!Maxi_hp</f>
        <v>0</v>
      </c>
      <c r="I215" s="392">
        <f>IF(H215,Wh_hp,'2026'!Maxi_hp)</f>
        <v>59.226165984778646</v>
      </c>
      <c r="J215" s="85">
        <f>IF(H215,An,'2026'!An_max)</f>
        <v>2020</v>
      </c>
      <c r="K215" s="199">
        <f t="shared" si="79"/>
        <v>46588</v>
      </c>
      <c r="L215" s="147">
        <f>IF(t&lt;Tvie,1-EXP((T0-t)*PertePVj)+'2026'!Pspv,1-EXP((T0-t)*PertePVj)+Pspv)</f>
        <v>7.3382964568525E-2</v>
      </c>
      <c r="M215" s="872"/>
      <c r="N215" s="872"/>
      <c r="O215" s="48">
        <f>IF(t&lt;Tnet,'2026'!Resal+('2026'!Salim-'2026'!Resal)*(1-EXP(('2026'!Tnet-t)/('2026'!Tau_j))),Resal+(Salim-Resal)*(1-EXP((Tnet-t)/(Tau_j))))*Salcycl</f>
        <v>0.10542567630907665</v>
      </c>
      <c r="P215" s="171">
        <f>(INDEX(Models!$BJ215:$BT215,,T215)*(1-R215)+INDEX(Models!$BJ215:$BT215,,T215+1)*R215-ERP_i)*Q215*Ramure*Pc/MaxiM</f>
        <v>2.3873742911961217E-4</v>
      </c>
      <c r="Q215" s="307">
        <f t="shared" si="80"/>
        <v>0.9</v>
      </c>
      <c r="R215" s="179">
        <f t="shared" si="81"/>
        <v>0.15146819502240949</v>
      </c>
      <c r="S215" s="839">
        <f t="shared" si="82"/>
        <v>-1</v>
      </c>
      <c r="T215" s="178">
        <f t="shared" si="83"/>
        <v>5</v>
      </c>
      <c r="U215" s="253">
        <f t="shared" si="84"/>
        <v>-0.84853180497759051</v>
      </c>
      <c r="V215" s="385">
        <f t="shared" si="85"/>
        <v>50.774100414272638</v>
      </c>
      <c r="W215" s="404">
        <f t="shared" si="86"/>
        <v>37.416852262646024</v>
      </c>
      <c r="X215" s="157">
        <f t="shared" si="87"/>
        <v>46588</v>
      </c>
      <c r="Y215" s="387">
        <f t="shared" si="88"/>
        <v>34.362366661122785</v>
      </c>
      <c r="Z215" s="387">
        <f t="shared" si="89"/>
        <v>37.083676801950986</v>
      </c>
      <c r="AA215" s="388">
        <f t="shared" si="90"/>
        <v>45.057518223596446</v>
      </c>
      <c r="AB215" s="199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0.17697027568352822</v>
      </c>
      <c r="AD215" s="233">
        <f>(INDEX(Models!$BJ215:$BT215,,AH215)*(1-AF215)+INDEX(Models!$BJ215:$BT215,,AH215+1)*AF215-ERP_i)*AE215*Ramure*Pc/MaxiM</f>
        <v>3.1251662087047535E-3</v>
      </c>
      <c r="AE215" s="307">
        <f t="shared" si="92"/>
        <v>0.9</v>
      </c>
      <c r="AF215" s="179">
        <f t="shared" si="93"/>
        <v>0.78712384732938823</v>
      </c>
      <c r="AG215" s="839">
        <f t="shared" si="99"/>
        <v>3</v>
      </c>
      <c r="AH215" s="178">
        <f t="shared" si="94"/>
        <v>9</v>
      </c>
      <c r="AI215" s="227">
        <f t="shared" si="95"/>
        <v>3.7871238473293882</v>
      </c>
      <c r="AJ215" s="267" t="b">
        <f t="shared" si="96"/>
        <v>0</v>
      </c>
      <c r="AK215" s="267" t="b">
        <f t="shared" si="97"/>
        <v>0</v>
      </c>
      <c r="AL215" s="267"/>
      <c r="AM215" s="267"/>
      <c r="AN215" s="75"/>
    </row>
    <row r="216" spans="1:40" s="6" customFormat="1" ht="11.25" x14ac:dyDescent="0.2">
      <c r="A216" s="56">
        <f t="shared" si="98"/>
        <v>46589</v>
      </c>
      <c r="B216" s="413">
        <f>'2026'!Wh/'2026'!Env_an*'2027'!Env_an</f>
        <v>47.333092018545877</v>
      </c>
      <c r="C216" s="868"/>
      <c r="D216" s="395">
        <f t="shared" si="77"/>
        <v>51.082800924698887</v>
      </c>
      <c r="E216" s="387">
        <f t="shared" si="75"/>
        <v>57.112334251665949</v>
      </c>
      <c r="F216" s="387">
        <f t="shared" si="78"/>
        <v>57.125675297961024</v>
      </c>
      <c r="G216" s="110">
        <f t="shared" si="76"/>
        <v>0.93461644335621574</v>
      </c>
      <c r="H216" s="416" t="b">
        <f>Wh_hp&gt;='2026'!Maxi_hp</f>
        <v>0</v>
      </c>
      <c r="I216" s="392">
        <f>IF(H216,Wh_hp,'2026'!Maxi_hp)</f>
        <v>57.12683628648557</v>
      </c>
      <c r="J216" s="85">
        <f>IF(H216,An,'2026'!An_max)</f>
        <v>2025</v>
      </c>
      <c r="K216" s="199">
        <f t="shared" si="79"/>
        <v>46589</v>
      </c>
      <c r="L216" s="147">
        <f>IF(t&lt;Tvie,1-EXP((T0-t)*PertePVj)+'2026'!Pspv,1-EXP((T0-t)*PertePVj)+Pspv)</f>
        <v>7.3404528300639815E-2</v>
      </c>
      <c r="M216" s="872"/>
      <c r="N216" s="872"/>
      <c r="O216" s="48">
        <f>IF(t&lt;Tnet,'2026'!Resal+('2026'!Salim-'2026'!Resal)*(1-EXP(('2026'!Tnet-t)/('2026'!Tau_j))),Resal+(Salim-Resal)*(1-EXP((Tnet-t)/(Tau_j))))*Salcycl</f>
        <v>0.10557322522308185</v>
      </c>
      <c r="P216" s="171">
        <f>(INDEX(Models!$BJ216:$BT216,,T216)*(1-R216)+INDEX(Models!$BJ216:$BT216,,T216+1)*R216-ERP_i)*Q216*Ramure*Pc/MaxiM</f>
        <v>2.5759052020671671E-4</v>
      </c>
      <c r="Q216" s="307">
        <f t="shared" si="80"/>
        <v>0.9</v>
      </c>
      <c r="R216" s="179">
        <f t="shared" si="81"/>
        <v>0.15532501688369338</v>
      </c>
      <c r="S216" s="839">
        <f t="shared" si="82"/>
        <v>-1</v>
      </c>
      <c r="T216" s="178">
        <f t="shared" si="83"/>
        <v>5</v>
      </c>
      <c r="U216" s="253">
        <f t="shared" si="84"/>
        <v>-0.84467498311630662</v>
      </c>
      <c r="V216" s="385">
        <f t="shared" si="85"/>
        <v>50.643184842357201</v>
      </c>
      <c r="W216" s="404">
        <f t="shared" si="86"/>
        <v>47.333092018545877</v>
      </c>
      <c r="X216" s="157">
        <f t="shared" si="87"/>
        <v>46589</v>
      </c>
      <c r="Y216" s="387">
        <f t="shared" si="88"/>
        <v>43.429912609218057</v>
      </c>
      <c r="Z216" s="387">
        <f t="shared" si="89"/>
        <v>46.870413179948251</v>
      </c>
      <c r="AA216" s="388">
        <f t="shared" si="90"/>
        <v>56.953660969498969</v>
      </c>
      <c r="AB216" s="199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0.17704301388019136</v>
      </c>
      <c r="AD216" s="233">
        <f>(INDEX(Models!$BJ216:$BT216,,AH216)*(1-AF216)+INDEX(Models!$BJ216:$BT216,,AH216+1)*AF216-ERP_i)*AE216*Ramure*Pc/MaxiM</f>
        <v>3.3212732623459592E-3</v>
      </c>
      <c r="AE216" s="307">
        <f t="shared" si="92"/>
        <v>0.9</v>
      </c>
      <c r="AF216" s="179">
        <f t="shared" si="93"/>
        <v>0.79098066919067245</v>
      </c>
      <c r="AG216" s="839">
        <f t="shared" si="99"/>
        <v>3</v>
      </c>
      <c r="AH216" s="178">
        <f t="shared" si="94"/>
        <v>9</v>
      </c>
      <c r="AI216" s="227">
        <f t="shared" si="95"/>
        <v>3.7909806691906724</v>
      </c>
      <c r="AJ216" s="267" t="b">
        <f t="shared" si="96"/>
        <v>0</v>
      </c>
      <c r="AK216" s="267" t="b">
        <f t="shared" si="97"/>
        <v>0</v>
      </c>
      <c r="AL216" s="267"/>
      <c r="AM216" s="267"/>
      <c r="AN216" s="75"/>
    </row>
    <row r="217" spans="1:40" s="6" customFormat="1" ht="11.25" x14ac:dyDescent="0.2">
      <c r="A217" s="56">
        <f t="shared" si="98"/>
        <v>46590</v>
      </c>
      <c r="B217" s="413">
        <f>'2026'!Wh/'2026'!Env_an*'2027'!Env_an</f>
        <v>35.653857760942557</v>
      </c>
      <c r="C217" s="868"/>
      <c r="D217" s="395">
        <f t="shared" si="77"/>
        <v>38.479237797502606</v>
      </c>
      <c r="E217" s="387">
        <f t="shared" si="75"/>
        <v>43.028165218136621</v>
      </c>
      <c r="F217" s="387">
        <f t="shared" si="78"/>
        <v>43.035088116262415</v>
      </c>
      <c r="G217" s="110">
        <f t="shared" si="76"/>
        <v>0.70578572233944947</v>
      </c>
      <c r="H217" s="416" t="b">
        <f>Wh_hp&gt;='2026'!Maxi_hp</f>
        <v>0</v>
      </c>
      <c r="I217" s="392">
        <f>IF(H217,Wh_hp,'2026'!Maxi_hp)</f>
        <v>55.801996612148457</v>
      </c>
      <c r="J217" s="85">
        <f>IF(H217,An,'2026'!An_max)</f>
        <v>2021</v>
      </c>
      <c r="K217" s="199">
        <f t="shared" si="79"/>
        <v>46590</v>
      </c>
      <c r="L217" s="147">
        <f>IF(t&lt;Tvie,1-EXP((T0-t)*PertePVj)+'2026'!Pspv,1-EXP((T0-t)*PertePVj)+Pspv)</f>
        <v>7.3426091530935156E-2</v>
      </c>
      <c r="M217" s="872"/>
      <c r="N217" s="872"/>
      <c r="O217" s="48">
        <f>IF(t&lt;Tnet,'2026'!Resal+('2026'!Salim-'2026'!Resal)*(1-EXP(('2026'!Tnet-t)/('2026'!Tau_j))),Resal+(Salim-Resal)*(1-EXP((Tnet-t)/(Tau_j))))*Salcycl</f>
        <v>0.10571976280124105</v>
      </c>
      <c r="P217" s="171">
        <f>(INDEX(Models!$BJ217:$BT217,,T217)*(1-R217)+INDEX(Models!$BJ217:$BT217,,T217+1)*R217-ERP_i)*Q217*Ramure*Pc/MaxiM</f>
        <v>2.7744598579400033E-4</v>
      </c>
      <c r="Q217" s="307">
        <f t="shared" si="80"/>
        <v>0.9</v>
      </c>
      <c r="R217" s="179">
        <f t="shared" si="81"/>
        <v>0.15907446280388415</v>
      </c>
      <c r="S217" s="839">
        <f t="shared" si="82"/>
        <v>-1</v>
      </c>
      <c r="T217" s="178">
        <f t="shared" si="83"/>
        <v>5</v>
      </c>
      <c r="U217" s="253">
        <f t="shared" si="84"/>
        <v>-0.84092553719611585</v>
      </c>
      <c r="V217" s="385">
        <f t="shared" si="85"/>
        <v>50.510657059980772</v>
      </c>
      <c r="W217" s="404">
        <f t="shared" si="86"/>
        <v>35.653857760942557</v>
      </c>
      <c r="X217" s="157">
        <f t="shared" si="87"/>
        <v>46590</v>
      </c>
      <c r="Y217" s="387">
        <f t="shared" si="88"/>
        <v>32.7454560383608</v>
      </c>
      <c r="Z217" s="387">
        <f t="shared" si="89"/>
        <v>35.340360589760834</v>
      </c>
      <c r="AA217" s="388">
        <f t="shared" si="90"/>
        <v>42.946860845138019</v>
      </c>
      <c r="AB217" s="199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0.17711423153383546</v>
      </c>
      <c r="AD217" s="233">
        <f>(INDEX(Models!$BJ217:$BT217,,AH217)*(1-AF217)+INDEX(Models!$BJ217:$BT217,,AH217+1)*AF217-ERP_i)*AE217*Ramure*Pc/MaxiM</f>
        <v>3.5358460815480188E-3</v>
      </c>
      <c r="AE217" s="307">
        <f t="shared" si="92"/>
        <v>0.9</v>
      </c>
      <c r="AF217" s="179">
        <f t="shared" si="93"/>
        <v>0.794730115110863</v>
      </c>
      <c r="AG217" s="839">
        <f t="shared" si="99"/>
        <v>3</v>
      </c>
      <c r="AH217" s="178">
        <f t="shared" si="94"/>
        <v>9</v>
      </c>
      <c r="AI217" s="227">
        <f t="shared" si="95"/>
        <v>3.794730115110863</v>
      </c>
      <c r="AJ217" s="267" t="b">
        <f t="shared" si="96"/>
        <v>0</v>
      </c>
      <c r="AK217" s="267" t="b">
        <f t="shared" si="97"/>
        <v>0</v>
      </c>
      <c r="AL217" s="267"/>
      <c r="AM217" s="267"/>
      <c r="AN217" s="75"/>
    </row>
    <row r="218" spans="1:40" s="6" customFormat="1" ht="11.25" x14ac:dyDescent="0.2">
      <c r="A218" s="56">
        <f t="shared" si="98"/>
        <v>46591</v>
      </c>
      <c r="B218" s="413">
        <f>'2026'!Wh/'2026'!Env_an*'2027'!Env_an</f>
        <v>44.526383308530932</v>
      </c>
      <c r="C218" s="868"/>
      <c r="D218" s="395">
        <f t="shared" si="77"/>
        <v>48.055982495993526</v>
      </c>
      <c r="E218" s="387">
        <f t="shared" si="75"/>
        <v>53.745800153986174</v>
      </c>
      <c r="F218" s="387">
        <f t="shared" si="78"/>
        <v>53.759176827336049</v>
      </c>
      <c r="G218" s="110">
        <f t="shared" si="76"/>
        <v>0.88382485052194515</v>
      </c>
      <c r="H218" s="416" t="b">
        <f>Wh_hp&gt;='2026'!Maxi_hp</f>
        <v>0</v>
      </c>
      <c r="I218" s="392">
        <f>IF(H218,Wh_hp,'2026'!Maxi_hp)</f>
        <v>56.868046767934125</v>
      </c>
      <c r="J218" s="85">
        <f>IF(H218,An,'2026'!An_max)</f>
        <v>2019</v>
      </c>
      <c r="K218" s="199">
        <f t="shared" si="79"/>
        <v>46591</v>
      </c>
      <c r="L218" s="147">
        <f>IF(t&lt;Tvie,1-EXP((T0-t)*PertePVj)+'2026'!Pspv,1-EXP((T0-t)*PertePVj)+Pspv)</f>
        <v>7.3447654259422568E-2</v>
      </c>
      <c r="M218" s="872"/>
      <c r="N218" s="872"/>
      <c r="O218" s="48">
        <f>IF(t&lt;Tnet,'2026'!Resal+('2026'!Salim-'2026'!Resal)*(1-EXP(('2026'!Tnet-t)/('2026'!Tau_j))),Resal+(Salim-Resal)*(1-EXP((Tnet-t)/(Tau_j))))*Salcycl</f>
        <v>0.10586534467234363</v>
      </c>
      <c r="P218" s="171">
        <f>(INDEX(Models!$BJ218:$BT218,,T218)*(1-R218)+INDEX(Models!$BJ218:$BT218,,T218+1)*R218-ERP_i)*Q218*Ramure*Pc/MaxiM</f>
        <v>2.9831729205125653E-4</v>
      </c>
      <c r="Q218" s="307">
        <f t="shared" si="80"/>
        <v>0.9</v>
      </c>
      <c r="R218" s="179">
        <f t="shared" si="81"/>
        <v>0.16271792046946909</v>
      </c>
      <c r="S218" s="839">
        <f t="shared" si="82"/>
        <v>-1</v>
      </c>
      <c r="T218" s="178">
        <f t="shared" si="83"/>
        <v>5</v>
      </c>
      <c r="U218" s="253">
        <f t="shared" si="84"/>
        <v>-0.83728207953053091</v>
      </c>
      <c r="V218" s="385">
        <f t="shared" si="85"/>
        <v>50.376699703847542</v>
      </c>
      <c r="W218" s="404">
        <f t="shared" si="86"/>
        <v>44.526383308530932</v>
      </c>
      <c r="X218" s="157">
        <f t="shared" si="87"/>
        <v>46591</v>
      </c>
      <c r="Y218" s="387">
        <f t="shared" si="88"/>
        <v>40.856184004315836</v>
      </c>
      <c r="Z218" s="387">
        <f t="shared" si="89"/>
        <v>44.094847087846055</v>
      </c>
      <c r="AA218" s="388">
        <f t="shared" si="90"/>
        <v>53.590168972909893</v>
      </c>
      <c r="AB218" s="199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0.17718402585861917</v>
      </c>
      <c r="AD218" s="233">
        <f>(INDEX(Models!$BJ218:$BT218,,AH218)*(1-AF218)+INDEX(Models!$BJ218:$BT218,,AH218+1)*AF218-ERP_i)*AE218*Ramure*Pc/MaxiM</f>
        <v>3.7690959589949434E-3</v>
      </c>
      <c r="AE218" s="307">
        <f t="shared" si="92"/>
        <v>0.9</v>
      </c>
      <c r="AF218" s="179">
        <f t="shared" si="93"/>
        <v>0.79837357277644827</v>
      </c>
      <c r="AG218" s="839">
        <f t="shared" si="99"/>
        <v>3</v>
      </c>
      <c r="AH218" s="178">
        <f t="shared" si="94"/>
        <v>9</v>
      </c>
      <c r="AI218" s="227">
        <f t="shared" si="95"/>
        <v>3.7983735727764483</v>
      </c>
      <c r="AJ218" s="267" t="b">
        <f t="shared" si="96"/>
        <v>0</v>
      </c>
      <c r="AK218" s="267" t="b">
        <f t="shared" si="97"/>
        <v>0</v>
      </c>
      <c r="AL218" s="267"/>
      <c r="AM218" s="267"/>
      <c r="AN218" s="75"/>
    </row>
    <row r="219" spans="1:40" s="6" customFormat="1" ht="11.25" x14ac:dyDescent="0.2">
      <c r="A219" s="56">
        <f t="shared" si="98"/>
        <v>46592</v>
      </c>
      <c r="B219" s="413">
        <f>'2026'!Wh/'2026'!Env_an*'2027'!Env_an</f>
        <v>46.926259116459576</v>
      </c>
      <c r="C219" s="868"/>
      <c r="D219" s="395">
        <f t="shared" si="77"/>
        <v>50.64727470628749</v>
      </c>
      <c r="E219" s="387">
        <f t="shared" si="75"/>
        <v>56.653067763212007</v>
      </c>
      <c r="F219" s="387">
        <f t="shared" si="78"/>
        <v>56.669503757928545</v>
      </c>
      <c r="G219" s="110">
        <f t="shared" si="76"/>
        <v>0.93398692691176255</v>
      </c>
      <c r="H219" s="416" t="b">
        <f>Wh_hp&gt;='2026'!Maxi_hp</f>
        <v>0</v>
      </c>
      <c r="I219" s="392">
        <f>IF(H219,Wh_hp,'2026'!Maxi_hp)</f>
        <v>57.12402573643886</v>
      </c>
      <c r="J219" s="85">
        <f>IF(H219,An,'2026'!An_max)</f>
        <v>2019</v>
      </c>
      <c r="K219" s="199">
        <f t="shared" si="79"/>
        <v>46592</v>
      </c>
      <c r="L219" s="147">
        <f>IF(t&lt;Tvie,1-EXP((T0-t)*PertePVj)+'2026'!Pspv,1-EXP((T0-t)*PertePVj)+Pspv)</f>
        <v>7.346921648611382E-2</v>
      </c>
      <c r="M219" s="872"/>
      <c r="N219" s="872"/>
      <c r="O219" s="48">
        <f>IF(t&lt;Tnet,'2026'!Resal+('2026'!Salim-'2026'!Resal)*(1-EXP(('2026'!Tnet-t)/('2026'!Tau_j))),Resal+(Salim-Resal)*(1-EXP((Tnet-t)/(Tau_j))))*Salcycl</f>
        <v>0.10601002371180354</v>
      </c>
      <c r="P219" s="171">
        <f>(INDEX(Models!$BJ219:$BT219,,T219)*(1-R219)+INDEX(Models!$BJ219:$BT219,,T219+1)*R219-ERP_i)*Q219*Ramure*Pc/MaxiM</f>
        <v>3.2021745575674346E-4</v>
      </c>
      <c r="Q219" s="307">
        <f t="shared" si="80"/>
        <v>0.9</v>
      </c>
      <c r="R219" s="179">
        <f t="shared" si="81"/>
        <v>0.1662568741294973</v>
      </c>
      <c r="S219" s="839">
        <f t="shared" si="82"/>
        <v>-1</v>
      </c>
      <c r="T219" s="178">
        <f t="shared" si="83"/>
        <v>5</v>
      </c>
      <c r="U219" s="253">
        <f t="shared" si="84"/>
        <v>-0.8337431258705027</v>
      </c>
      <c r="V219" s="385">
        <f t="shared" si="85"/>
        <v>50.241433668699017</v>
      </c>
      <c r="W219" s="404">
        <f t="shared" si="86"/>
        <v>46.926259116459576</v>
      </c>
      <c r="X219" s="157">
        <f t="shared" si="87"/>
        <v>46592</v>
      </c>
      <c r="Y219" s="387">
        <f t="shared" si="88"/>
        <v>43.041874413787788</v>
      </c>
      <c r="Z219" s="387">
        <f t="shared" si="89"/>
        <v>46.454877894667064</v>
      </c>
      <c r="AA219" s="388">
        <f t="shared" si="90"/>
        <v>56.463103537209712</v>
      </c>
      <c r="AB219" s="199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0.17725248906920488</v>
      </c>
      <c r="AD219" s="233">
        <f>(INDEX(Models!$BJ219:$BT219,,AH219)*(1-AF219)+INDEX(Models!$BJ219:$BT219,,AH219+1)*AF219-ERP_i)*AE219*Ramure*Pc/MaxiM</f>
        <v>4.0212323431637427E-3</v>
      </c>
      <c r="AE219" s="307">
        <f t="shared" si="92"/>
        <v>0.9</v>
      </c>
      <c r="AF219" s="179">
        <f t="shared" si="93"/>
        <v>0.80191252643647637</v>
      </c>
      <c r="AG219" s="839">
        <f t="shared" si="99"/>
        <v>3</v>
      </c>
      <c r="AH219" s="178">
        <f t="shared" si="94"/>
        <v>9</v>
      </c>
      <c r="AI219" s="227">
        <f t="shared" si="95"/>
        <v>3.8019125264364764</v>
      </c>
      <c r="AJ219" s="267" t="b">
        <f t="shared" si="96"/>
        <v>0</v>
      </c>
      <c r="AK219" s="267" t="b">
        <f t="shared" si="97"/>
        <v>0</v>
      </c>
      <c r="AL219" s="267"/>
      <c r="AM219" s="267"/>
      <c r="AN219" s="75"/>
    </row>
    <row r="220" spans="1:40" s="6" customFormat="1" ht="11.25" x14ac:dyDescent="0.2">
      <c r="A220" s="56">
        <f t="shared" si="98"/>
        <v>46593</v>
      </c>
      <c r="B220" s="413">
        <f>'2026'!Wh/'2026'!Env_an*'2027'!Env_an</f>
        <v>28.353110131389961</v>
      </c>
      <c r="C220" s="868"/>
      <c r="D220" s="395">
        <f t="shared" si="77"/>
        <v>30.602080869355479</v>
      </c>
      <c r="E220" s="387">
        <f t="shared" si="75"/>
        <v>34.236407310549858</v>
      </c>
      <c r="F220" s="387">
        <f t="shared" si="78"/>
        <v>34.240885774545774</v>
      </c>
      <c r="G220" s="110">
        <f t="shared" si="76"/>
        <v>0.56575669622754465</v>
      </c>
      <c r="H220" s="416" t="b">
        <f>Wh_hp&gt;='2026'!Maxi_hp</f>
        <v>0</v>
      </c>
      <c r="I220" s="392">
        <f>IF(H220,Wh_hp,'2026'!Maxi_hp)</f>
        <v>58.709047096297212</v>
      </c>
      <c r="J220" s="85">
        <f>IF(H220,An,'2026'!An_max)</f>
        <v>2020</v>
      </c>
      <c r="K220" s="199">
        <f t="shared" si="79"/>
        <v>46593</v>
      </c>
      <c r="L220" s="147">
        <f>IF(t&lt;Tvie,1-EXP((T0-t)*PertePVj)+'2026'!Pspv,1-EXP((T0-t)*PertePVj)+Pspv)</f>
        <v>7.3490778211020569E-2</v>
      </c>
      <c r="M220" s="872"/>
      <c r="N220" s="872"/>
      <c r="O220" s="48">
        <f>IF(t&lt;Tnet,'2026'!Resal+('2026'!Salim-'2026'!Resal)*(1-EXP(('2026'!Tnet-t)/('2026'!Tau_j))),Resal+(Salim-Resal)*(1-EXP((Tnet-t)/(Tau_j))))*Salcycl</f>
        <v>0.1061538498542887</v>
      </c>
      <c r="P220" s="171">
        <f>(INDEX(Models!$BJ220:$BT220,,T220)*(1-R220)+INDEX(Models!$BJ220:$BT220,,T220+1)*R220-ERP_i)*Q220*Ramure*Pc/MaxiM</f>
        <v>3.4435028972243907E-4</v>
      </c>
      <c r="Q220" s="307">
        <f t="shared" si="80"/>
        <v>0.9</v>
      </c>
      <c r="R220" s="179">
        <f t="shared" si="81"/>
        <v>0.16969289551148625</v>
      </c>
      <c r="S220" s="839">
        <f t="shared" si="82"/>
        <v>-1</v>
      </c>
      <c r="T220" s="178">
        <f t="shared" si="83"/>
        <v>5</v>
      </c>
      <c r="U220" s="253">
        <f t="shared" si="84"/>
        <v>-0.83030710448851375</v>
      </c>
      <c r="V220" s="385">
        <f t="shared" si="85"/>
        <v>50.104673106897629</v>
      </c>
      <c r="W220" s="404">
        <f t="shared" si="86"/>
        <v>28.353110131389961</v>
      </c>
      <c r="X220" s="157">
        <f t="shared" si="87"/>
        <v>46593</v>
      </c>
      <c r="Y220" s="387">
        <f t="shared" si="88"/>
        <v>26.056419403020147</v>
      </c>
      <c r="Z220" s="387">
        <f t="shared" si="89"/>
        <v>28.123216466975137</v>
      </c>
      <c r="AA220" s="388">
        <f t="shared" si="90"/>
        <v>34.184867127201279</v>
      </c>
      <c r="AB220" s="199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0.17731970809396003</v>
      </c>
      <c r="AD220" s="233">
        <f>(INDEX(Models!$BJ220:$BT220,,AH220)*(1-AF220)+INDEX(Models!$BJ220:$BT220,,AH220+1)*AF220-ERP_i)*AE220*Ramure*Pc/MaxiM</f>
        <v>4.3072887178519084E-3</v>
      </c>
      <c r="AE220" s="307">
        <f t="shared" si="92"/>
        <v>0.9</v>
      </c>
      <c r="AF220" s="179">
        <f t="shared" si="93"/>
        <v>0.80534854781846521</v>
      </c>
      <c r="AG220" s="839">
        <f t="shared" si="99"/>
        <v>3</v>
      </c>
      <c r="AH220" s="178">
        <f t="shared" si="94"/>
        <v>9</v>
      </c>
      <c r="AI220" s="227">
        <f t="shared" si="95"/>
        <v>3.8053485478184652</v>
      </c>
      <c r="AJ220" s="267" t="b">
        <f t="shared" si="96"/>
        <v>0</v>
      </c>
      <c r="AK220" s="267" t="b">
        <f t="shared" si="97"/>
        <v>0</v>
      </c>
      <c r="AL220" s="267"/>
      <c r="AM220" s="267"/>
      <c r="AN220" s="75"/>
    </row>
    <row r="221" spans="1:40" s="6" customFormat="1" ht="11.25" x14ac:dyDescent="0.2">
      <c r="A221" s="56">
        <f t="shared" si="98"/>
        <v>46594</v>
      </c>
      <c r="B221" s="413">
        <f>'2026'!Wh/'2026'!Env_an*'2027'!Env_an</f>
        <v>47.985969009573225</v>
      </c>
      <c r="C221" s="868"/>
      <c r="D221" s="395">
        <f t="shared" si="77"/>
        <v>51.793424836620218</v>
      </c>
      <c r="E221" s="387">
        <f t="shared" si="75"/>
        <v>57.953724334459139</v>
      </c>
      <c r="F221" s="387">
        <f t="shared" si="78"/>
        <v>57.973968333532831</v>
      </c>
      <c r="G221" s="110">
        <f t="shared" si="76"/>
        <v>0.96034730450404204</v>
      </c>
      <c r="H221" s="416" t="b">
        <f>Wh_hp&gt;='2026'!Maxi_hp</f>
        <v>0</v>
      </c>
      <c r="I221" s="392">
        <f>IF(H221,Wh_hp,'2026'!Maxi_hp)</f>
        <v>58.036306990108471</v>
      </c>
      <c r="J221" s="85">
        <f>IF(H221,An,'2026'!An_max)</f>
        <v>2020</v>
      </c>
      <c r="K221" s="199">
        <f t="shared" si="79"/>
        <v>46594</v>
      </c>
      <c r="L221" s="147">
        <f>IF(t&lt;Tvie,1-EXP((T0-t)*PertePVj)+'2026'!Pspv,1-EXP((T0-t)*PertePVj)+Pspv)</f>
        <v>7.3512339434154472E-2</v>
      </c>
      <c r="M221" s="872"/>
      <c r="N221" s="872"/>
      <c r="O221" s="48">
        <f>IF(t&lt;Tnet,'2026'!Resal+('2026'!Salim-'2026'!Resal)*(1-EXP(('2026'!Tnet-t)/('2026'!Tau_j))),Resal+(Salim-Resal)*(1-EXP((Tnet-t)/(Tau_j))))*Salcycl</f>
        <v>0.10629686993517379</v>
      </c>
      <c r="P221" s="171">
        <f>(INDEX(Models!$BJ221:$BT221,,T221)*(1-R221)+INDEX(Models!$BJ221:$BT221,,T221+1)*R221-ERP_i)*Q221*Ramure*Pc/MaxiM</f>
        <v>3.7014822344833773E-4</v>
      </c>
      <c r="Q221" s="307">
        <f t="shared" si="80"/>
        <v>0.9</v>
      </c>
      <c r="R221" s="179">
        <f t="shared" si="81"/>
        <v>0.17302763500048879</v>
      </c>
      <c r="S221" s="839">
        <f t="shared" si="82"/>
        <v>-1</v>
      </c>
      <c r="T221" s="178">
        <f t="shared" si="83"/>
        <v>5</v>
      </c>
      <c r="U221" s="253">
        <f t="shared" si="84"/>
        <v>-0.82697236499951121</v>
      </c>
      <c r="V221" s="385">
        <f t="shared" si="85"/>
        <v>49.966259903838008</v>
      </c>
      <c r="W221" s="404">
        <f t="shared" si="86"/>
        <v>47.985969009573225</v>
      </c>
      <c r="X221" s="157">
        <f t="shared" si="87"/>
        <v>46594</v>
      </c>
      <c r="Y221" s="387">
        <f t="shared" si="88"/>
        <v>43.99157829904204</v>
      </c>
      <c r="Z221" s="387">
        <f t="shared" si="89"/>
        <v>47.482098436340216</v>
      </c>
      <c r="AA221" s="388">
        <f t="shared" si="90"/>
        <v>57.720978288343076</v>
      </c>
      <c r="AB221" s="199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0.17738576433779243</v>
      </c>
      <c r="AD221" s="233">
        <f>(INDEX(Models!$BJ221:$BT221,,AH221)*(1-AF221)+INDEX(Models!$BJ221:$BT221,,AH221+1)*AF221-ERP_i)*AE221*Ramure*Pc/MaxiM</f>
        <v>4.6257567704989476E-3</v>
      </c>
      <c r="AE221" s="307">
        <f t="shared" si="92"/>
        <v>0.9</v>
      </c>
      <c r="AF221" s="179">
        <f t="shared" si="93"/>
        <v>0.80868328730746786</v>
      </c>
      <c r="AG221" s="839">
        <f t="shared" si="99"/>
        <v>3</v>
      </c>
      <c r="AH221" s="178">
        <f t="shared" si="94"/>
        <v>9</v>
      </c>
      <c r="AI221" s="227">
        <f t="shared" si="95"/>
        <v>3.8086832873074679</v>
      </c>
      <c r="AJ221" s="267" t="b">
        <f t="shared" si="96"/>
        <v>0</v>
      </c>
      <c r="AK221" s="267" t="b">
        <f t="shared" si="97"/>
        <v>0</v>
      </c>
      <c r="AL221" s="267"/>
      <c r="AM221" s="267"/>
      <c r="AN221" s="75"/>
    </row>
    <row r="222" spans="1:40" s="6" customFormat="1" ht="11.25" x14ac:dyDescent="0.2">
      <c r="A222" s="56">
        <f t="shared" si="98"/>
        <v>46595</v>
      </c>
      <c r="B222" s="413">
        <f>'2026'!Wh/'2026'!Env_an*'2027'!Env_an</f>
        <v>50.506782176513894</v>
      </c>
      <c r="C222" s="868"/>
      <c r="D222" s="395">
        <f t="shared" si="77"/>
        <v>54.515521058992377</v>
      </c>
      <c r="E222" s="387">
        <f t="shared" si="75"/>
        <v>61.009297452997423</v>
      </c>
      <c r="F222" s="387">
        <f t="shared" si="78"/>
        <v>61.033566863458468</v>
      </c>
      <c r="G222" s="110">
        <f t="shared" si="76"/>
        <v>1.0136630640953654</v>
      </c>
      <c r="H222" s="416" t="b">
        <f>Wh_hp&gt;='2026'!Maxi_hp</f>
        <v>1</v>
      </c>
      <c r="I222" s="392">
        <f>IF(H222,Wh_hp,'2026'!Maxi_hp)</f>
        <v>61.033566863458468</v>
      </c>
      <c r="J222" s="85">
        <f>IF(H222,An,'2026'!An_max)</f>
        <v>2027</v>
      </c>
      <c r="K222" s="199">
        <f t="shared" si="79"/>
        <v>46595</v>
      </c>
      <c r="L222" s="147">
        <f>IF(t&lt;Tvie,1-EXP((T0-t)*PertePVj)+'2026'!Pspv,1-EXP((T0-t)*PertePVj)+Pspv)</f>
        <v>7.3533900155527188E-2</v>
      </c>
      <c r="M222" s="872"/>
      <c r="N222" s="872"/>
      <c r="O222" s="48">
        <f>IF(t&lt;Tnet,'2026'!Resal+('2026'!Salim-'2026'!Resal)*(1-EXP(('2026'!Tnet-t)/('2026'!Tau_j))),Resal+(Salim-Resal)*(1-EXP((Tnet-t)/(Tau_j))))*Salcycl</f>
        <v>0.10643912756097469</v>
      </c>
      <c r="P222" s="171">
        <f>(INDEX(Models!$BJ222:$BT222,,T222)*(1-R222)+INDEX(Models!$BJ222:$BT222,,T222+1)*R222-ERP_i)*Q222*Ramure*Pc/MaxiM</f>
        <v>3.9764037575161238E-4</v>
      </c>
      <c r="Q222" s="307">
        <f t="shared" si="80"/>
        <v>0.9</v>
      </c>
      <c r="R222" s="179">
        <f t="shared" si="81"/>
        <v>0.17626281310744096</v>
      </c>
      <c r="S222" s="839">
        <f t="shared" si="82"/>
        <v>-1</v>
      </c>
      <c r="T222" s="178">
        <f t="shared" si="83"/>
        <v>5</v>
      </c>
      <c r="U222" s="253">
        <f t="shared" si="84"/>
        <v>-0.82373718689255904</v>
      </c>
      <c r="V222" s="385">
        <f t="shared" si="85"/>
        <v>49.826006259375959</v>
      </c>
      <c r="W222" s="404">
        <f t="shared" si="86"/>
        <v>50.506782176513894</v>
      </c>
      <c r="X222" s="157">
        <f t="shared" si="87"/>
        <v>46595</v>
      </c>
      <c r="Y222" s="387">
        <f t="shared" si="88"/>
        <v>46.279996671915917</v>
      </c>
      <c r="Z222" s="387">
        <f t="shared" si="89"/>
        <v>49.953254284949018</v>
      </c>
      <c r="AA222" s="388">
        <f t="shared" si="90"/>
        <v>60.729802236857473</v>
      </c>
      <c r="AB222" s="199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0.17745073349453577</v>
      </c>
      <c r="AD222" s="233">
        <f>(INDEX(Models!$BJ222:$BT222,,AH222)*(1-AF222)+INDEX(Models!$BJ222:$BT222,,AH222+1)*AF222-ERP_i)*AE222*Ramure*Pc/MaxiM</f>
        <v>4.9770092460852053E-3</v>
      </c>
      <c r="AE222" s="307">
        <f t="shared" si="92"/>
        <v>0.9</v>
      </c>
      <c r="AF222" s="179">
        <f t="shared" si="93"/>
        <v>0.81191846541441981</v>
      </c>
      <c r="AG222" s="839">
        <f t="shared" si="99"/>
        <v>3</v>
      </c>
      <c r="AH222" s="178">
        <f t="shared" si="94"/>
        <v>9</v>
      </c>
      <c r="AI222" s="227">
        <f t="shared" si="95"/>
        <v>3.8119184654144198</v>
      </c>
      <c r="AJ222" s="267" t="b">
        <f t="shared" si="96"/>
        <v>0</v>
      </c>
      <c r="AK222" s="267" t="b">
        <f t="shared" si="97"/>
        <v>0</v>
      </c>
      <c r="AL222" s="267"/>
      <c r="AM222" s="267"/>
      <c r="AN222" s="75"/>
    </row>
    <row r="223" spans="1:40" s="6" customFormat="1" ht="11.25" x14ac:dyDescent="0.2">
      <c r="A223" s="56">
        <f t="shared" si="98"/>
        <v>46596</v>
      </c>
      <c r="B223" s="413">
        <f>'2026'!Wh/'2026'!Env_an*'2027'!Env_an</f>
        <v>43.066062467290479</v>
      </c>
      <c r="C223" s="868"/>
      <c r="D223" s="395">
        <f t="shared" si="77"/>
        <v>46.485310912112951</v>
      </c>
      <c r="E223" s="387">
        <f t="shared" si="75"/>
        <v>52.030786650146439</v>
      </c>
      <c r="F223" s="387">
        <f t="shared" si="78"/>
        <v>52.048776478865989</v>
      </c>
      <c r="G223" s="110">
        <f t="shared" si="76"/>
        <v>0.86673379576946585</v>
      </c>
      <c r="H223" s="416" t="b">
        <f>Wh_hp&gt;='2026'!Maxi_hp</f>
        <v>0</v>
      </c>
      <c r="I223" s="392">
        <f>IF(H223,Wh_hp,'2026'!Maxi_hp)</f>
        <v>61.3460462503919</v>
      </c>
      <c r="J223" s="85">
        <f>IF(H223,An,'2026'!An_max)</f>
        <v>2019</v>
      </c>
      <c r="K223" s="199">
        <f t="shared" si="79"/>
        <v>46596</v>
      </c>
      <c r="L223" s="147">
        <f>IF(t&lt;Tvie,1-EXP((T0-t)*PertePVj)+'2026'!Pspv,1-EXP((T0-t)*PertePVj)+Pspv)</f>
        <v>7.3555460375150372E-2</v>
      </c>
      <c r="M223" s="872"/>
      <c r="N223" s="872"/>
      <c r="O223" s="48">
        <f>IF(t&lt;Tnet,'2026'!Resal+('2026'!Salim-'2026'!Resal)*(1-EXP(('2026'!Tnet-t)/('2026'!Tau_j))),Resal+(Salim-Resal)*(1-EXP((Tnet-t)/(Tau_j))))*Salcycl</f>
        <v>0.10658066300863595</v>
      </c>
      <c r="P223" s="171">
        <f>(INDEX(Models!$BJ223:$BT223,,T223)*(1-R223)+INDEX(Models!$BJ223:$BT223,,T223+1)*R223-ERP_i)*Q223*Ramure*Pc/MaxiM</f>
        <v>4.2685607404557255E-4</v>
      </c>
      <c r="Q223" s="307">
        <f t="shared" si="80"/>
        <v>0.9</v>
      </c>
      <c r="R223" s="179">
        <f t="shared" si="81"/>
        <v>0.1794002122486551</v>
      </c>
      <c r="S223" s="839">
        <f t="shared" si="82"/>
        <v>-1</v>
      </c>
      <c r="T223" s="178">
        <f t="shared" si="83"/>
        <v>5</v>
      </c>
      <c r="U223" s="253">
        <f t="shared" si="84"/>
        <v>-0.8205997877513449</v>
      </c>
      <c r="V223" s="385">
        <f t="shared" si="85"/>
        <v>49.683724754623732</v>
      </c>
      <c r="W223" s="404">
        <f t="shared" si="86"/>
        <v>43.066062467290479</v>
      </c>
      <c r="X223" s="157">
        <f t="shared" si="87"/>
        <v>46596</v>
      </c>
      <c r="Y223" s="387">
        <f t="shared" si="88"/>
        <v>39.488316022436386</v>
      </c>
      <c r="Z223" s="387">
        <f t="shared" si="89"/>
        <v>42.623507758410028</v>
      </c>
      <c r="AA223" s="388">
        <f t="shared" si="90"/>
        <v>51.822819206894579</v>
      </c>
      <c r="AB223" s="199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0.17751468540832804</v>
      </c>
      <c r="AD223" s="233">
        <f>(INDEX(Models!$BJ223:$BT223,,AH223)*(1-AF223)+INDEX(Models!$BJ223:$BT223,,AH223+1)*AF223-ERP_i)*AE223*Ramure*Pc/MaxiM</f>
        <v>5.3614314799413868E-3</v>
      </c>
      <c r="AE223" s="307">
        <f t="shared" si="92"/>
        <v>0.9</v>
      </c>
      <c r="AF223" s="179">
        <f t="shared" si="93"/>
        <v>0.81505586455563428</v>
      </c>
      <c r="AG223" s="839">
        <f t="shared" si="99"/>
        <v>3</v>
      </c>
      <c r="AH223" s="178">
        <f t="shared" si="94"/>
        <v>9</v>
      </c>
      <c r="AI223" s="227">
        <f t="shared" si="95"/>
        <v>3.8150558645556343</v>
      </c>
      <c r="AJ223" s="267" t="b">
        <f t="shared" si="96"/>
        <v>0</v>
      </c>
      <c r="AK223" s="267" t="b">
        <f t="shared" si="97"/>
        <v>0</v>
      </c>
      <c r="AL223" s="267"/>
      <c r="AM223" s="267"/>
      <c r="AN223" s="75"/>
    </row>
    <row r="224" spans="1:40" s="6" customFormat="1" ht="11.25" x14ac:dyDescent="0.2">
      <c r="A224" s="56">
        <f t="shared" si="98"/>
        <v>46597</v>
      </c>
      <c r="B224" s="413">
        <f>'2026'!Wh/'2026'!Env_an*'2027'!Env_an</f>
        <v>24.956938590255024</v>
      </c>
      <c r="C224" s="868"/>
      <c r="D224" s="395">
        <f t="shared" si="77"/>
        <v>26.939032311958972</v>
      </c>
      <c r="E224" s="387">
        <f t="shared" si="75"/>
        <v>30.15748471347764</v>
      </c>
      <c r="F224" s="387">
        <f t="shared" si="78"/>
        <v>30.161504646726993</v>
      </c>
      <c r="G224" s="110">
        <f t="shared" si="76"/>
        <v>0.5036178135814624</v>
      </c>
      <c r="H224" s="416" t="b">
        <f>Wh_hp&gt;='2026'!Maxi_hp</f>
        <v>0</v>
      </c>
      <c r="I224" s="392">
        <f>IF(H224,Wh_hp,'2026'!Maxi_hp)</f>
        <v>60.078998480863916</v>
      </c>
      <c r="J224" s="85">
        <f>IF(H224,An,'2026'!An_max)</f>
        <v>2019</v>
      </c>
      <c r="K224" s="199">
        <f t="shared" si="79"/>
        <v>46597</v>
      </c>
      <c r="L224" s="147">
        <f>IF(t&lt;Tvie,1-EXP((T0-t)*PertePVj)+'2026'!Pspv,1-EXP((T0-t)*PertePVj)+Pspv)</f>
        <v>7.3577020093035905E-2</v>
      </c>
      <c r="M224" s="872"/>
      <c r="N224" s="872"/>
      <c r="O224" s="48">
        <f>IF(t&lt;Tnet,'2026'!Resal+('2026'!Salim-'2026'!Resal)*(1-EXP(('2026'!Tnet-t)/('2026'!Tau_j))),Resal+(Salim-Resal)*(1-EXP((Tnet-t)/(Tau_j))))*Salcycl</f>
        <v>0.10672151315326085</v>
      </c>
      <c r="P224" s="171">
        <f>(INDEX(Models!$BJ224:$BT224,,T224)*(1-R224)+INDEX(Models!$BJ224:$BT224,,T224+1)*R224-ERP_i)*Q224*Ramure*Pc/MaxiM</f>
        <v>4.5782497011245289E-4</v>
      </c>
      <c r="Q224" s="307">
        <f t="shared" si="80"/>
        <v>0.9</v>
      </c>
      <c r="R224" s="179">
        <f t="shared" si="81"/>
        <v>0.1824416688543018</v>
      </c>
      <c r="S224" s="839">
        <f t="shared" si="82"/>
        <v>-1</v>
      </c>
      <c r="T224" s="178">
        <f t="shared" si="83"/>
        <v>5</v>
      </c>
      <c r="U224" s="253">
        <f t="shared" si="84"/>
        <v>-0.8175583311456982</v>
      </c>
      <c r="V224" s="385">
        <f t="shared" si="85"/>
        <v>49.539228350208703</v>
      </c>
      <c r="W224" s="404">
        <f t="shared" si="86"/>
        <v>24.956938590255024</v>
      </c>
      <c r="X224" s="157">
        <f t="shared" si="87"/>
        <v>46597</v>
      </c>
      <c r="Y224" s="387">
        <f t="shared" si="88"/>
        <v>22.94171602471415</v>
      </c>
      <c r="Z224" s="387">
        <f t="shared" si="89"/>
        <v>24.76375966733691</v>
      </c>
      <c r="AA224" s="388">
        <f t="shared" si="90"/>
        <v>30.110758408486468</v>
      </c>
      <c r="AB224" s="199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0.17757768398296311</v>
      </c>
      <c r="AD224" s="233">
        <f>(INDEX(Models!$BJ224:$BT224,,AH224)*(1-AF224)+INDEX(Models!$BJ224:$BT224,,AH224+1)*AF224-ERP_i)*AE224*Ramure*Pc/MaxiM</f>
        <v>5.7794230811008896E-3</v>
      </c>
      <c r="AE224" s="307">
        <f t="shared" si="92"/>
        <v>0.9</v>
      </c>
      <c r="AF224" s="179">
        <f t="shared" si="93"/>
        <v>0.81809732116128053</v>
      </c>
      <c r="AG224" s="839">
        <f t="shared" si="99"/>
        <v>3</v>
      </c>
      <c r="AH224" s="178">
        <f t="shared" si="94"/>
        <v>9</v>
      </c>
      <c r="AI224" s="227">
        <f t="shared" si="95"/>
        <v>3.8180973211612805</v>
      </c>
      <c r="AJ224" s="267" t="b">
        <f t="shared" si="96"/>
        <v>0</v>
      </c>
      <c r="AK224" s="267" t="b">
        <f t="shared" si="97"/>
        <v>0</v>
      </c>
      <c r="AL224" s="267"/>
      <c r="AM224" s="267"/>
      <c r="AN224" s="75"/>
    </row>
    <row r="225" spans="1:40" s="6" customFormat="1" ht="11.25" x14ac:dyDescent="0.2">
      <c r="A225" s="56">
        <f t="shared" si="98"/>
        <v>46598</v>
      </c>
      <c r="B225" s="413">
        <f>'2026'!Wh/'2026'!Env_an*'2027'!Env_an</f>
        <v>42.353662488565362</v>
      </c>
      <c r="C225" s="868"/>
      <c r="D225" s="395">
        <f t="shared" si="77"/>
        <v>45.718477479215018</v>
      </c>
      <c r="E225" s="387">
        <f t="shared" si="75"/>
        <v>51.188576353710111</v>
      </c>
      <c r="F225" s="387">
        <f t="shared" si="78"/>
        <v>51.208583852943747</v>
      </c>
      <c r="G225" s="110">
        <f t="shared" si="76"/>
        <v>0.85740904705066012</v>
      </c>
      <c r="H225" s="416" t="b">
        <f>Wh_hp&gt;='2026'!Maxi_hp</f>
        <v>0</v>
      </c>
      <c r="I225" s="392">
        <f>IF(H225,Wh_hp,'2026'!Maxi_hp)</f>
        <v>51.973078310921963</v>
      </c>
      <c r="J225" s="85">
        <f>IF(H225,An,'2026'!An_max)</f>
        <v>2020</v>
      </c>
      <c r="K225" s="199">
        <f t="shared" si="79"/>
        <v>46598</v>
      </c>
      <c r="L225" s="147">
        <f>IF(t&lt;Tvie,1-EXP((T0-t)*PertePVj)+'2026'!Pspv,1-EXP((T0-t)*PertePVj)+Pspv)</f>
        <v>7.3598579309195111E-2</v>
      </c>
      <c r="M225" s="872"/>
      <c r="N225" s="872"/>
      <c r="O225" s="48">
        <f>IF(t&lt;Tnet,'2026'!Resal+('2026'!Salim-'2026'!Resal)*(1-EXP(('2026'!Tnet-t)/('2026'!Tau_j))),Resal+(Salim-Resal)*(1-EXP((Tnet-t)/(Tau_j))))*Salcycl</f>
        <v>0.10686171142360013</v>
      </c>
      <c r="P225" s="171">
        <f>(INDEX(Models!$BJ225:$BT225,,T225)*(1-R225)+INDEX(Models!$BJ225:$BT225,,T225+1)*R225-ERP_i)*Q225*Ramure*Pc/MaxiM</f>
        <v>4.905771602386229E-4</v>
      </c>
      <c r="Q225" s="307">
        <f t="shared" si="80"/>
        <v>0.9</v>
      </c>
      <c r="R225" s="179">
        <f t="shared" si="81"/>
        <v>0.18538906581993719</v>
      </c>
      <c r="S225" s="839">
        <f t="shared" si="82"/>
        <v>-1</v>
      </c>
      <c r="T225" s="178">
        <f t="shared" si="83"/>
        <v>5</v>
      </c>
      <c r="U225" s="253">
        <f t="shared" si="84"/>
        <v>-0.81461093418006281</v>
      </c>
      <c r="V225" s="385">
        <f t="shared" si="85"/>
        <v>49.39233038197986</v>
      </c>
      <c r="W225" s="404">
        <f t="shared" si="86"/>
        <v>42.353662488565362</v>
      </c>
      <c r="X225" s="157">
        <f t="shared" si="87"/>
        <v>46598</v>
      </c>
      <c r="Y225" s="387">
        <f t="shared" si="88"/>
        <v>38.818913709542286</v>
      </c>
      <c r="Z225" s="387">
        <f t="shared" si="89"/>
        <v>41.902908223732595</v>
      </c>
      <c r="AA225" s="388">
        <f t="shared" si="90"/>
        <v>50.954444984501635</v>
      </c>
      <c r="AB225" s="199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0.17763978713774956</v>
      </c>
      <c r="AD225" s="233">
        <f>(INDEX(Models!$BJ225:$BT225,,AH225)*(1-AF225)+INDEX(Models!$BJ225:$BT225,,AH225+1)*AF225-ERP_i)*AE225*Ramure*Pc/MaxiM</f>
        <v>6.2313996832246733E-3</v>
      </c>
      <c r="AE225" s="307">
        <f t="shared" si="92"/>
        <v>0.9</v>
      </c>
      <c r="AF225" s="179">
        <f t="shared" si="93"/>
        <v>0.82104471812691626</v>
      </c>
      <c r="AG225" s="839">
        <f t="shared" si="99"/>
        <v>3</v>
      </c>
      <c r="AH225" s="178">
        <f t="shared" si="94"/>
        <v>9</v>
      </c>
      <c r="AI225" s="227">
        <f t="shared" si="95"/>
        <v>3.8210447181269163</v>
      </c>
      <c r="AJ225" s="267" t="b">
        <f t="shared" si="96"/>
        <v>0</v>
      </c>
      <c r="AK225" s="267" t="b">
        <f t="shared" si="97"/>
        <v>0</v>
      </c>
      <c r="AL225" s="267"/>
      <c r="AM225" s="267"/>
      <c r="AN225" s="75"/>
    </row>
    <row r="226" spans="1:40" s="6" customFormat="1" ht="11.25" x14ac:dyDescent="0.2">
      <c r="A226" s="56">
        <f t="shared" si="98"/>
        <v>46599</v>
      </c>
      <c r="B226" s="413">
        <f>'2026'!Wh/'2026'!Env_an*'2027'!Env_an</f>
        <v>46.758787793367922</v>
      </c>
      <c r="C226" s="868"/>
      <c r="D226" s="395">
        <f t="shared" si="77"/>
        <v>50.474745525676319</v>
      </c>
      <c r="E226" s="387">
        <f t="shared" si="75"/>
        <v>56.522752872108583</v>
      </c>
      <c r="F226" s="387">
        <f t="shared" si="78"/>
        <v>56.550445873167781</v>
      </c>
      <c r="G226" s="110">
        <f t="shared" si="76"/>
        <v>0.94952130239884946</v>
      </c>
      <c r="H226" s="416" t="b">
        <f>Wh_hp&gt;='2026'!Maxi_hp</f>
        <v>0</v>
      </c>
      <c r="I226" s="392">
        <f>IF(H226,Wh_hp,'2026'!Maxi_hp)</f>
        <v>56.552234243636178</v>
      </c>
      <c r="J226" s="85">
        <f>IF(H226,An,'2026'!An_max)</f>
        <v>2025</v>
      </c>
      <c r="K226" s="199">
        <f t="shared" si="79"/>
        <v>46599</v>
      </c>
      <c r="L226" s="147">
        <f>IF(t&lt;Tvie,1-EXP((T0-t)*PertePVj)+'2026'!Pspv,1-EXP((T0-t)*PertePVj)+Pspv)</f>
        <v>7.362013802363998E-2</v>
      </c>
      <c r="M226" s="872"/>
      <c r="N226" s="872"/>
      <c r="O226" s="48">
        <f>IF(t&lt;Tnet,'2026'!Resal+('2026'!Salim-'2026'!Resal)*(1-EXP(('2026'!Tnet-t)/('2026'!Tau_j))),Resal+(Salim-Resal)*(1-EXP((Tnet-t)/(Tau_j))))*Salcycl</f>
        <v>0.10700128778435133</v>
      </c>
      <c r="P226" s="171">
        <f>(INDEX(Models!$BJ226:$BT226,,T226)*(1-R226)+INDEX(Models!$BJ226:$BT226,,T226+1)*R226-ERP_i)*Q226*Ramure*Pc/MaxiM</f>
        <v>5.277332689845413E-4</v>
      </c>
      <c r="Q226" s="307">
        <f t="shared" si="80"/>
        <v>0.9</v>
      </c>
      <c r="R226" s="179">
        <f t="shared" si="81"/>
        <v>0.18824432531159951</v>
      </c>
      <c r="S226" s="839">
        <f t="shared" si="82"/>
        <v>-1</v>
      </c>
      <c r="T226" s="178">
        <f t="shared" si="83"/>
        <v>5</v>
      </c>
      <c r="U226" s="253">
        <f t="shared" si="84"/>
        <v>-0.81175567468840049</v>
      </c>
      <c r="V226" s="385">
        <f t="shared" si="85"/>
        <v>49.242716955691776</v>
      </c>
      <c r="W226" s="404">
        <f t="shared" si="86"/>
        <v>46.758787793367922</v>
      </c>
      <c r="X226" s="157">
        <f t="shared" si="87"/>
        <v>46599</v>
      </c>
      <c r="Y226" s="387">
        <f t="shared" si="88"/>
        <v>42.809493216630024</v>
      </c>
      <c r="Z226" s="387">
        <f t="shared" si="89"/>
        <v>46.211597395154158</v>
      </c>
      <c r="AA226" s="388">
        <f t="shared" si="90"/>
        <v>56.198049645775875</v>
      </c>
      <c r="AB226" s="199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0.1777010468079892</v>
      </c>
      <c r="AD226" s="233">
        <f>(INDEX(Models!$BJ226:$BT226,,AH226)*(1-AF226)+INDEX(Models!$BJ226:$BT226,,AH226+1)*AF226-ERP_i)*AE226*Ramure*Pc/MaxiM</f>
        <v>6.7154589949206967E-3</v>
      </c>
      <c r="AE226" s="307">
        <f t="shared" si="92"/>
        <v>0.9</v>
      </c>
      <c r="AF226" s="179">
        <f t="shared" si="93"/>
        <v>0.82389997761857847</v>
      </c>
      <c r="AG226" s="839">
        <f t="shared" si="99"/>
        <v>3</v>
      </c>
      <c r="AH226" s="178">
        <f t="shared" si="94"/>
        <v>9</v>
      </c>
      <c r="AI226" s="227">
        <f t="shared" si="95"/>
        <v>3.8238999776185785</v>
      </c>
      <c r="AJ226" s="267" t="b">
        <f t="shared" si="96"/>
        <v>0</v>
      </c>
      <c r="AK226" s="267" t="b">
        <f t="shared" si="97"/>
        <v>0</v>
      </c>
      <c r="AL226" s="267"/>
      <c r="AM226" s="267"/>
      <c r="AN226" s="75"/>
    </row>
    <row r="227" spans="1:40" s="6" customFormat="1" ht="11.25" x14ac:dyDescent="0.2">
      <c r="A227" s="56">
        <f t="shared" si="98"/>
        <v>46600</v>
      </c>
      <c r="B227" s="413">
        <f>'2026'!Wh/'2026'!Env_an*'2027'!Env_an</f>
        <v>48.547814775673949</v>
      </c>
      <c r="C227" s="868"/>
      <c r="D227" s="395">
        <f t="shared" si="77"/>
        <v>52.407167484150996</v>
      </c>
      <c r="E227" s="387">
        <f t="shared" si="75"/>
        <v>58.69585742256875</v>
      </c>
      <c r="F227" s="387">
        <f t="shared" si="78"/>
        <v>58.728753904499072</v>
      </c>
      <c r="G227" s="110">
        <f t="shared" si="76"/>
        <v>0.988942100054644</v>
      </c>
      <c r="H227" s="416" t="b">
        <f>Wh_hp&gt;='2026'!Maxi_hp</f>
        <v>0</v>
      </c>
      <c r="I227" s="392">
        <f>IF(H227,Wh_hp,'2026'!Maxi_hp)</f>
        <v>58.729191428163915</v>
      </c>
      <c r="J227" s="85">
        <f>IF(H227,An,'2026'!An_max)</f>
        <v>2025</v>
      </c>
      <c r="K227" s="199">
        <f t="shared" si="79"/>
        <v>46600</v>
      </c>
      <c r="L227" s="147">
        <f>IF(t&lt;Tvie,1-EXP((T0-t)*PertePVj)+'2026'!Pspv,1-EXP((T0-t)*PertePVj)+Pspv)</f>
        <v>7.3641696236382059E-2</v>
      </c>
      <c r="M227" s="872"/>
      <c r="N227" s="872"/>
      <c r="O227" s="48">
        <f>IF(t&lt;Tnet,'2026'!Resal+('2026'!Salim-'2026'!Resal)*(1-EXP(('2026'!Tnet-t)/('2026'!Tau_j))),Resal+(Salim-Resal)*(1-EXP((Tnet-t)/(Tau_j))))*Salcycl</f>
        <v>0.10714026874407218</v>
      </c>
      <c r="P227" s="171">
        <f>(INDEX(Models!$BJ227:$BT227,,T227)*(1-R227)+INDEX(Models!$BJ227:$BT227,,T227+1)*R227-ERP_i)*Q227*Ramure*Pc/MaxiM</f>
        <v>5.6912594091256322E-4</v>
      </c>
      <c r="Q227" s="307">
        <f t="shared" si="80"/>
        <v>0.9</v>
      </c>
      <c r="R227" s="179">
        <f t="shared" si="81"/>
        <v>0.19100940193173643</v>
      </c>
      <c r="S227" s="839">
        <f t="shared" si="82"/>
        <v>-1</v>
      </c>
      <c r="T227" s="178">
        <f t="shared" si="83"/>
        <v>5</v>
      </c>
      <c r="U227" s="253">
        <f t="shared" si="84"/>
        <v>-0.80899059806826357</v>
      </c>
      <c r="V227" s="385">
        <f t="shared" si="85"/>
        <v>49.090213078347581</v>
      </c>
      <c r="W227" s="404">
        <f t="shared" si="86"/>
        <v>48.547814775673949</v>
      </c>
      <c r="X227" s="157">
        <f t="shared" si="87"/>
        <v>46600</v>
      </c>
      <c r="Y227" s="387">
        <f t="shared" si="88"/>
        <v>44.415253912280349</v>
      </c>
      <c r="Z227" s="387">
        <f t="shared" si="89"/>
        <v>47.946084934770489</v>
      </c>
      <c r="AA227" s="388">
        <f t="shared" si="90"/>
        <v>58.311652226043108</v>
      </c>
      <c r="AB227" s="199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0.1777615089877895</v>
      </c>
      <c r="AD227" s="233">
        <f>(INDEX(Models!$BJ227:$BT227,,AH227)*(1-AF227)+INDEX(Models!$BJ227:$BT227,,AH227+1)*AF227-ERP_i)*AE227*Ramure*Pc/MaxiM</f>
        <v>7.2160720927626305E-3</v>
      </c>
      <c r="AE227" s="307">
        <f t="shared" si="92"/>
        <v>0.9</v>
      </c>
      <c r="AF227" s="179">
        <f t="shared" si="93"/>
        <v>0.8266650542387155</v>
      </c>
      <c r="AG227" s="839">
        <f t="shared" si="99"/>
        <v>3</v>
      </c>
      <c r="AH227" s="178">
        <f t="shared" si="94"/>
        <v>9</v>
      </c>
      <c r="AI227" s="227">
        <f t="shared" si="95"/>
        <v>3.8266650542387155</v>
      </c>
      <c r="AJ227" s="267" t="b">
        <f t="shared" si="96"/>
        <v>0</v>
      </c>
      <c r="AK227" s="267" t="b">
        <f t="shared" si="97"/>
        <v>0</v>
      </c>
      <c r="AL227" s="267"/>
      <c r="AM227" s="267"/>
      <c r="AN227" s="75"/>
    </row>
    <row r="228" spans="1:40" s="6" customFormat="1" ht="11.25" x14ac:dyDescent="0.2">
      <c r="A228" s="56">
        <f t="shared" si="98"/>
        <v>46601</v>
      </c>
      <c r="B228" s="413">
        <f>'2026'!Wh/'2026'!Env_an*'2027'!Env_an</f>
        <v>46.82832390394227</v>
      </c>
      <c r="C228" s="868"/>
      <c r="D228" s="395">
        <f t="shared" si="77"/>
        <v>50.552160543661401</v>
      </c>
      <c r="E228" s="387">
        <f t="shared" si="75"/>
        <v>56.627033838186755</v>
      </c>
      <c r="F228" s="387">
        <f t="shared" si="78"/>
        <v>56.659726766486131</v>
      </c>
      <c r="G228" s="110">
        <f t="shared" si="76"/>
        <v>0.95692047658903501</v>
      </c>
      <c r="H228" s="416" t="b">
        <f>Wh_hp&gt;='2026'!Maxi_hp</f>
        <v>0</v>
      </c>
      <c r="I228" s="392">
        <f>IF(H228,Wh_hp,'2026'!Maxi_hp)</f>
        <v>57.016794472934762</v>
      </c>
      <c r="J228" s="85">
        <f>IF(H228,An,'2026'!An_max)</f>
        <v>2019</v>
      </c>
      <c r="K228" s="199">
        <f t="shared" si="79"/>
        <v>46601</v>
      </c>
      <c r="L228" s="147">
        <f>IF(t&lt;Tvie,1-EXP((T0-t)*PertePVj)+'2026'!Pspv,1-EXP((T0-t)*PertePVj)+Pspv)</f>
        <v>7.3663253947433005E-2</v>
      </c>
      <c r="M228" s="872"/>
      <c r="N228" s="872"/>
      <c r="O228" s="48">
        <f>IF(t&lt;Tnet,'2026'!Resal+('2026'!Salim-'2026'!Resal)*(1-EXP(('2026'!Tnet-t)/('2026'!Tau_j))),Resal+(Salim-Resal)*(1-EXP((Tnet-t)/(Tau_j))))*Salcycl</f>
        <v>0.10727867738727864</v>
      </c>
      <c r="P228" s="171">
        <f>(INDEX(Models!$BJ228:$BT228,,T228)*(1-R228)+INDEX(Models!$BJ228:$BT228,,T228+1)*R228-ERP_i)*Q228*Ramure*Pc/MaxiM</f>
        <v>6.1480962292531551E-4</v>
      </c>
      <c r="Q228" s="307">
        <f t="shared" si="80"/>
        <v>0.9</v>
      </c>
      <c r="R228" s="179">
        <f t="shared" si="81"/>
        <v>0.19368627625022805</v>
      </c>
      <c r="S228" s="839">
        <f t="shared" si="82"/>
        <v>-1</v>
      </c>
      <c r="T228" s="178">
        <f t="shared" si="83"/>
        <v>5</v>
      </c>
      <c r="U228" s="253">
        <f t="shared" si="84"/>
        <v>-0.80631372374977195</v>
      </c>
      <c r="V228" s="385">
        <f t="shared" si="85"/>
        <v>48.934633217704743</v>
      </c>
      <c r="W228" s="404">
        <f t="shared" si="86"/>
        <v>46.82832390394227</v>
      </c>
      <c r="X228" s="157">
        <f t="shared" si="87"/>
        <v>46601</v>
      </c>
      <c r="Y228" s="387">
        <f t="shared" si="88"/>
        <v>42.839664310500389</v>
      </c>
      <c r="Z228" s="387">
        <f t="shared" si="89"/>
        <v>46.246318623388994</v>
      </c>
      <c r="AA228" s="388">
        <f t="shared" si="90"/>
        <v>56.248494123570858</v>
      </c>
      <c r="AB228" s="199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0.17782121381255719</v>
      </c>
      <c r="AD228" s="233">
        <f>(INDEX(Models!$BJ228:$BT228,,AH228)*(1-AF228)+INDEX(Models!$BJ228:$BT228,,AH228+1)*AF228-ERP_i)*AE228*Ramure*Pc/MaxiM</f>
        <v>7.733470180771012E-3</v>
      </c>
      <c r="AE228" s="307">
        <f t="shared" si="92"/>
        <v>0.9</v>
      </c>
      <c r="AF228" s="179">
        <f t="shared" si="93"/>
        <v>0.82934192855720701</v>
      </c>
      <c r="AG228" s="839">
        <f t="shared" si="99"/>
        <v>3</v>
      </c>
      <c r="AH228" s="178">
        <f t="shared" si="94"/>
        <v>9</v>
      </c>
      <c r="AI228" s="227">
        <f t="shared" si="95"/>
        <v>3.829341928557207</v>
      </c>
      <c r="AJ228" s="267" t="b">
        <f t="shared" si="96"/>
        <v>0</v>
      </c>
      <c r="AK228" s="267" t="b">
        <f t="shared" si="97"/>
        <v>0</v>
      </c>
      <c r="AL228" s="267"/>
      <c r="AM228" s="267"/>
      <c r="AN228" s="75"/>
    </row>
    <row r="229" spans="1:40" s="6" customFormat="1" ht="11.25" x14ac:dyDescent="0.2">
      <c r="A229" s="56">
        <f t="shared" si="98"/>
        <v>46602</v>
      </c>
      <c r="B229" s="413">
        <f>'2026'!Wh/'2026'!Env_an*'2027'!Env_an</f>
        <v>45.104871170653027</v>
      </c>
      <c r="C229" s="868"/>
      <c r="D229" s="395">
        <f t="shared" si="77"/>
        <v>48.692790222927329</v>
      </c>
      <c r="E229" s="387">
        <f t="shared" si="75"/>
        <v>54.552646387225678</v>
      </c>
      <c r="F229" s="387">
        <f t="shared" si="78"/>
        <v>54.585034966341311</v>
      </c>
      <c r="G229" s="110">
        <f t="shared" si="76"/>
        <v>0.92467273388457283</v>
      </c>
      <c r="H229" s="416" t="b">
        <f>Wh_hp&gt;='2026'!Maxi_hp</f>
        <v>0</v>
      </c>
      <c r="I229" s="392">
        <f>IF(H229,Wh_hp,'2026'!Maxi_hp)</f>
        <v>57.318775039173993</v>
      </c>
      <c r="J229" s="85">
        <f>IF(H229,An,'2026'!An_max)</f>
        <v>2019</v>
      </c>
      <c r="K229" s="199">
        <f t="shared" si="79"/>
        <v>46602</v>
      </c>
      <c r="L229" s="147">
        <f>IF(t&lt;Tvie,1-EXP((T0-t)*PertePVj)+'2026'!Pspv,1-EXP((T0-t)*PertePVj)+Pspv)</f>
        <v>7.3684811156804586E-2</v>
      </c>
      <c r="M229" s="872"/>
      <c r="N229" s="872"/>
      <c r="O229" s="48">
        <f>IF(t&lt;Tnet,'2026'!Resal+('2026'!Salim-'2026'!Resal)*(1-EXP(('2026'!Tnet-t)/('2026'!Tau_j))),Resal+(Salim-Resal)*(1-EXP((Tnet-t)/(Tau_j))))*Salcycl</f>
        <v>0.1074165334290826</v>
      </c>
      <c r="P229" s="171">
        <f>(INDEX(Models!$BJ229:$BT229,,T229)*(1-R229)+INDEX(Models!$BJ229:$BT229,,T229+1)*R229-ERP_i)*Q229*Ramure*Pc/MaxiM</f>
        <v>6.648410280487698E-4</v>
      </c>
      <c r="Q229" s="307">
        <f t="shared" si="80"/>
        <v>0.9</v>
      </c>
      <c r="R229" s="179">
        <f t="shared" si="81"/>
        <v>0.19627694870204015</v>
      </c>
      <c r="S229" s="839">
        <f t="shared" si="82"/>
        <v>-1</v>
      </c>
      <c r="T229" s="178">
        <f t="shared" si="83"/>
        <v>5</v>
      </c>
      <c r="U229" s="253">
        <f t="shared" si="84"/>
        <v>-0.80372305129795985</v>
      </c>
      <c r="V229" s="385">
        <f t="shared" si="85"/>
        <v>48.775792194816901</v>
      </c>
      <c r="W229" s="404">
        <f t="shared" si="86"/>
        <v>45.104871170653027</v>
      </c>
      <c r="X229" s="157">
        <f t="shared" si="87"/>
        <v>46602</v>
      </c>
      <c r="Y229" s="387">
        <f t="shared" si="88"/>
        <v>41.262065071467916</v>
      </c>
      <c r="Z229" s="387">
        <f t="shared" si="89"/>
        <v>44.544303675940981</v>
      </c>
      <c r="AA229" s="388">
        <f t="shared" si="90"/>
        <v>54.182253537471766</v>
      </c>
      <c r="AB229" s="199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0.17788019567819013</v>
      </c>
      <c r="AD229" s="233">
        <f>(INDEX(Models!$BJ229:$BT229,,AH229)*(1-AF229)+INDEX(Models!$BJ229:$BT229,,AH229+1)*AF229-ERP_i)*AE229*Ramure*Pc/MaxiM</f>
        <v>8.2679026545907277E-3</v>
      </c>
      <c r="AE229" s="307">
        <f t="shared" si="92"/>
        <v>0.9</v>
      </c>
      <c r="AF229" s="179">
        <f t="shared" si="93"/>
        <v>0.83193260100901911</v>
      </c>
      <c r="AG229" s="839">
        <f t="shared" si="99"/>
        <v>3</v>
      </c>
      <c r="AH229" s="178">
        <f t="shared" si="94"/>
        <v>9</v>
      </c>
      <c r="AI229" s="227">
        <f t="shared" si="95"/>
        <v>3.8319326010090191</v>
      </c>
      <c r="AJ229" s="267" t="b">
        <f t="shared" si="96"/>
        <v>0</v>
      </c>
      <c r="AK229" s="267" t="b">
        <f t="shared" si="97"/>
        <v>0</v>
      </c>
      <c r="AL229" s="267"/>
      <c r="AM229" s="267"/>
      <c r="AN229" s="75"/>
    </row>
    <row r="230" spans="1:40" s="6" customFormat="1" ht="11.25" x14ac:dyDescent="0.2">
      <c r="A230" s="56">
        <f t="shared" si="98"/>
        <v>46603</v>
      </c>
      <c r="B230" s="413">
        <f>'2026'!Wh/'2026'!Env_an*'2027'!Env_an</f>
        <v>41.898369796682914</v>
      </c>
      <c r="C230" s="868"/>
      <c r="D230" s="395">
        <f t="shared" si="77"/>
        <v>45.232276616314167</v>
      </c>
      <c r="E230" s="387">
        <f t="shared" si="75"/>
        <v>50.683480211203559</v>
      </c>
      <c r="F230" s="387">
        <f t="shared" si="78"/>
        <v>50.712758807393406</v>
      </c>
      <c r="G230" s="110">
        <f t="shared" si="76"/>
        <v>0.8617444733705597</v>
      </c>
      <c r="H230" s="416" t="b">
        <f>Wh_hp&gt;='2026'!Maxi_hp</f>
        <v>0</v>
      </c>
      <c r="I230" s="392">
        <f>IF(H230,Wh_hp,'2026'!Maxi_hp)</f>
        <v>52.926175209989978</v>
      </c>
      <c r="J230" s="85">
        <f>IF(H230,An,'2026'!An_max)</f>
        <v>2019</v>
      </c>
      <c r="K230" s="199">
        <f t="shared" si="79"/>
        <v>46603</v>
      </c>
      <c r="L230" s="147">
        <f>IF(t&lt;Tvie,1-EXP((T0-t)*PertePVj)+'2026'!Pspv,1-EXP((T0-t)*PertePVj)+Pspv)</f>
        <v>7.3706367864508349E-2</v>
      </c>
      <c r="M230" s="872"/>
      <c r="N230" s="872"/>
      <c r="O230" s="48">
        <f>IF(t&lt;Tnet,'2026'!Resal+('2026'!Salim-'2026'!Resal)*(1-EXP(('2026'!Tnet-t)/('2026'!Tau_j))),Resal+(Salim-Resal)*(1-EXP((Tnet-t)/(Tau_j))))*Salcycl</f>
        <v>0.10755385329053242</v>
      </c>
      <c r="P230" s="171">
        <f>(INDEX(Models!$BJ230:$BT230,,T230)*(1-R230)+INDEX(Models!$BJ230:$BT230,,T230+1)*R230-ERP_i)*Q230*Ramure*Pc/MaxiM</f>
        <v>7.1927940212934672E-4</v>
      </c>
      <c r="Q230" s="307">
        <f t="shared" si="80"/>
        <v>0.9</v>
      </c>
      <c r="R230" s="179">
        <f t="shared" si="81"/>
        <v>0.19878343385058761</v>
      </c>
      <c r="S230" s="839">
        <f t="shared" si="82"/>
        <v>-1</v>
      </c>
      <c r="T230" s="178">
        <f t="shared" si="83"/>
        <v>5</v>
      </c>
      <c r="U230" s="253">
        <f t="shared" si="84"/>
        <v>-0.80121656614941239</v>
      </c>
      <c r="V230" s="385">
        <f t="shared" si="85"/>
        <v>48.613505165732825</v>
      </c>
      <c r="W230" s="404">
        <f t="shared" si="86"/>
        <v>41.898369796682914</v>
      </c>
      <c r="X230" s="157">
        <f t="shared" si="87"/>
        <v>46603</v>
      </c>
      <c r="Y230" s="387">
        <f t="shared" si="88"/>
        <v>38.342888615214889</v>
      </c>
      <c r="Z230" s="387">
        <f t="shared" si="89"/>
        <v>41.393881254282839</v>
      </c>
      <c r="AA230" s="388">
        <f t="shared" si="90"/>
        <v>50.353751414088336</v>
      </c>
      <c r="AB230" s="199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0.17793848339368498</v>
      </c>
      <c r="AD230" s="233">
        <f>(INDEX(Models!$BJ230:$BT230,,AH230)*(1-AF230)+INDEX(Models!$BJ230:$BT230,,AH230+1)*AF230-ERP_i)*AE230*Ramure*Pc/MaxiM</f>
        <v>8.8196381254781499E-3</v>
      </c>
      <c r="AE230" s="307">
        <f t="shared" si="92"/>
        <v>0.9</v>
      </c>
      <c r="AF230" s="179">
        <f t="shared" si="93"/>
        <v>0.83443908615756657</v>
      </c>
      <c r="AG230" s="839">
        <f t="shared" si="99"/>
        <v>3</v>
      </c>
      <c r="AH230" s="178">
        <f t="shared" si="94"/>
        <v>9</v>
      </c>
      <c r="AI230" s="227">
        <f t="shared" si="95"/>
        <v>3.8344390861575666</v>
      </c>
      <c r="AJ230" s="267" t="b">
        <f t="shared" si="96"/>
        <v>0</v>
      </c>
      <c r="AK230" s="267" t="b">
        <f t="shared" si="97"/>
        <v>0</v>
      </c>
      <c r="AL230" s="267"/>
      <c r="AM230" s="267"/>
      <c r="AN230" s="75"/>
    </row>
    <row r="231" spans="1:40" s="6" customFormat="1" ht="11.25" x14ac:dyDescent="0.2">
      <c r="A231" s="56">
        <f t="shared" si="98"/>
        <v>46604</v>
      </c>
      <c r="B231" s="413">
        <f>'2026'!Wh/'2026'!Env_an*'2027'!Env_an</f>
        <v>41.009391596523848</v>
      </c>
      <c r="C231" s="868"/>
      <c r="D231" s="395">
        <f t="shared" si="77"/>
        <v>44.273591596048092</v>
      </c>
      <c r="E231" s="387">
        <f t="shared" si="75"/>
        <v>49.61686393357494</v>
      </c>
      <c r="F231" s="387">
        <f t="shared" si="78"/>
        <v>49.647024865196371</v>
      </c>
      <c r="G231" s="110">
        <f t="shared" si="76"/>
        <v>0.84632465503113496</v>
      </c>
      <c r="H231" s="416" t="b">
        <f>Wh_hp&gt;='2026'!Maxi_hp</f>
        <v>0</v>
      </c>
      <c r="I231" s="392">
        <f>IF(H231,Wh_hp,'2026'!Maxi_hp)</f>
        <v>57.776003242992068</v>
      </c>
      <c r="J231" s="85">
        <f>IF(H231,An,'2026'!An_max)</f>
        <v>2020</v>
      </c>
      <c r="K231" s="199">
        <f t="shared" si="79"/>
        <v>46604</v>
      </c>
      <c r="L231" s="147">
        <f>IF(t&lt;Tvie,1-EXP((T0-t)*PertePVj)+'2026'!Pspv,1-EXP((T0-t)*PertePVj)+Pspv)</f>
        <v>7.3727924070556061E-2</v>
      </c>
      <c r="M231" s="872"/>
      <c r="N231" s="872"/>
      <c r="O231" s="48">
        <f>IF(t&lt;Tnet,'2026'!Resal+('2026'!Salim-'2026'!Resal)*(1-EXP(('2026'!Tnet-t)/('2026'!Tau_j))),Resal+(Salim-Resal)*(1-EXP((Tnet-t)/(Tau_j))))*Salcycl</f>
        <v>0.10769065019264834</v>
      </c>
      <c r="P231" s="171">
        <f>(INDEX(Models!$BJ231:$BT231,,T231)*(1-R231)+INDEX(Models!$BJ231:$BT231,,T231+1)*R231-ERP_i)*Q231*Ramure*Pc/MaxiM</f>
        <v>7.7818680105896975E-4</v>
      </c>
      <c r="Q231" s="307">
        <f t="shared" si="80"/>
        <v>0.9</v>
      </c>
      <c r="R231" s="179">
        <f t="shared" si="81"/>
        <v>0.20120775501368693</v>
      </c>
      <c r="S231" s="839">
        <f t="shared" si="82"/>
        <v>-1</v>
      </c>
      <c r="T231" s="178">
        <f t="shared" si="83"/>
        <v>5</v>
      </c>
      <c r="U231" s="253">
        <f t="shared" si="84"/>
        <v>-0.79879224498631307</v>
      </c>
      <c r="V231" s="385">
        <f t="shared" si="85"/>
        <v>48.447587621118828</v>
      </c>
      <c r="W231" s="404">
        <f t="shared" si="86"/>
        <v>41.009391596523848</v>
      </c>
      <c r="X231" s="157">
        <f t="shared" si="87"/>
        <v>46604</v>
      </c>
      <c r="Y231" s="387">
        <f t="shared" si="88"/>
        <v>37.524136913320341</v>
      </c>
      <c r="Z231" s="387">
        <f t="shared" si="89"/>
        <v>40.510923181687957</v>
      </c>
      <c r="AA231" s="388">
        <f t="shared" si="90"/>
        <v>49.283127731642985</v>
      </c>
      <c r="AB231" s="199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0.17799610036362817</v>
      </c>
      <c r="AD231" s="233">
        <f>(INDEX(Models!$BJ231:$BT231,,AH231)*(1-AF231)+INDEX(Models!$BJ231:$BT231,,AH231+1)*AF231-ERP_i)*AE231*Ramure*Pc/MaxiM</f>
        <v>9.3889654944609765E-3</v>
      </c>
      <c r="AE231" s="307">
        <f t="shared" si="92"/>
        <v>0.9</v>
      </c>
      <c r="AF231" s="179">
        <f t="shared" si="93"/>
        <v>0.83686340732066578</v>
      </c>
      <c r="AG231" s="839">
        <f t="shared" si="99"/>
        <v>3</v>
      </c>
      <c r="AH231" s="178">
        <f t="shared" si="94"/>
        <v>9</v>
      </c>
      <c r="AI231" s="227">
        <f t="shared" si="95"/>
        <v>3.8368634073206658</v>
      </c>
      <c r="AJ231" s="267" t="b">
        <f t="shared" si="96"/>
        <v>0</v>
      </c>
      <c r="AK231" s="267" t="b">
        <f t="shared" si="97"/>
        <v>0</v>
      </c>
      <c r="AL231" s="267"/>
      <c r="AM231" s="267"/>
      <c r="AN231" s="75"/>
    </row>
    <row r="232" spans="1:40" s="6" customFormat="1" ht="11.25" x14ac:dyDescent="0.2">
      <c r="A232" s="56">
        <f t="shared" si="98"/>
        <v>46605</v>
      </c>
      <c r="B232" s="413">
        <f>'2026'!Wh/'2026'!Env_an*'2027'!Env_an</f>
        <v>43.474870748986625</v>
      </c>
      <c r="C232" s="868"/>
      <c r="D232" s="395">
        <f t="shared" si="77"/>
        <v>46.936406295808638</v>
      </c>
      <c r="E232" s="387">
        <f t="shared" si="75"/>
        <v>52.609082361443136</v>
      </c>
      <c r="F232" s="387">
        <f t="shared" si="78"/>
        <v>52.64709426917652</v>
      </c>
      <c r="G232" s="110">
        <f t="shared" si="76"/>
        <v>0.90040591938569159</v>
      </c>
      <c r="H232" s="416" t="b">
        <f>Wh_hp&gt;='2026'!Maxi_hp</f>
        <v>0</v>
      </c>
      <c r="I232" s="392">
        <f>IF(H232,Wh_hp,'2026'!Maxi_hp)</f>
        <v>56.847097363544755</v>
      </c>
      <c r="J232" s="85">
        <f>IF(H232,An,'2026'!An_max)</f>
        <v>2020</v>
      </c>
      <c r="K232" s="199">
        <f t="shared" si="79"/>
        <v>46605</v>
      </c>
      <c r="L232" s="147">
        <f>IF(t&lt;Tvie,1-EXP((T0-t)*PertePVj)+'2026'!Pspv,1-EXP((T0-t)*PertePVj)+Pspv)</f>
        <v>7.374947977495927E-2</v>
      </c>
      <c r="M232" s="872"/>
      <c r="N232" s="872"/>
      <c r="O232" s="48">
        <f>IF(t&lt;Tnet,'2026'!Resal+('2026'!Salim-'2026'!Resal)*(1-EXP(('2026'!Tnet-t)/('2026'!Tau_j))),Resal+(Salim-Resal)*(1-EXP((Tnet-t)/(Tau_j))))*Salcycl</f>
        <v>0.1078269342669996</v>
      </c>
      <c r="P232" s="171">
        <f>(INDEX(Models!$BJ232:$BT232,,T232)*(1-R232)+INDEX(Models!$BJ232:$BT232,,T232+1)*R232-ERP_i)*Q232*Ramure*Pc/MaxiM</f>
        <v>8.4162837990502809E-4</v>
      </c>
      <c r="Q232" s="307">
        <f t="shared" si="80"/>
        <v>0.9</v>
      </c>
      <c r="R232" s="179">
        <f t="shared" si="81"/>
        <v>0.20355193924703108</v>
      </c>
      <c r="S232" s="839">
        <f t="shared" si="82"/>
        <v>-1</v>
      </c>
      <c r="T232" s="178">
        <f t="shared" si="83"/>
        <v>5</v>
      </c>
      <c r="U232" s="253">
        <f t="shared" si="84"/>
        <v>-0.79644806075296892</v>
      </c>
      <c r="V232" s="385">
        <f t="shared" si="85"/>
        <v>48.27785536512058</v>
      </c>
      <c r="W232" s="404">
        <f t="shared" si="86"/>
        <v>43.474870748986625</v>
      </c>
      <c r="X232" s="157">
        <f t="shared" si="87"/>
        <v>46605</v>
      </c>
      <c r="Y232" s="387">
        <f t="shared" si="88"/>
        <v>39.738714405354457</v>
      </c>
      <c r="Z232" s="387">
        <f t="shared" si="89"/>
        <v>42.902771483139986</v>
      </c>
      <c r="AA232" s="388">
        <f t="shared" si="90"/>
        <v>52.196522239644075</v>
      </c>
      <c r="AB232" s="199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0.17805306479682156</v>
      </c>
      <c r="AD232" s="233">
        <f>(INDEX(Models!$BJ232:$BT232,,AH232)*(1-AF232)+INDEX(Models!$BJ232:$BT232,,AH232+1)*AF232-ERP_i)*AE232*Ramure*Pc/MaxiM</f>
        <v>9.9761950888060443E-3</v>
      </c>
      <c r="AE232" s="307">
        <f t="shared" si="92"/>
        <v>0.9</v>
      </c>
      <c r="AF232" s="179">
        <f t="shared" si="93"/>
        <v>0.83920759155401026</v>
      </c>
      <c r="AG232" s="839">
        <f t="shared" si="99"/>
        <v>3</v>
      </c>
      <c r="AH232" s="178">
        <f t="shared" si="94"/>
        <v>9</v>
      </c>
      <c r="AI232" s="227">
        <f t="shared" si="95"/>
        <v>3.8392075915540103</v>
      </c>
      <c r="AJ232" s="267" t="b">
        <f t="shared" si="96"/>
        <v>0</v>
      </c>
      <c r="AK232" s="267" t="b">
        <f t="shared" si="97"/>
        <v>0</v>
      </c>
      <c r="AL232" s="267"/>
      <c r="AM232" s="267"/>
      <c r="AN232" s="75"/>
    </row>
    <row r="233" spans="1:40" s="6" customFormat="1" ht="11.25" x14ac:dyDescent="0.2">
      <c r="A233" s="56">
        <f t="shared" si="98"/>
        <v>46606</v>
      </c>
      <c r="B233" s="413">
        <f>'2026'!Wh/'2026'!Env_an*'2027'!Env_an</f>
        <v>46.292994267472615</v>
      </c>
      <c r="C233" s="868"/>
      <c r="D233" s="395">
        <f t="shared" si="77"/>
        <v>49.980076218367401</v>
      </c>
      <c r="E233" s="387">
        <f t="shared" ref="E233:E296" si="100">Wh_pvt/(1-Psa)</f>
        <v>56.029133455347321</v>
      </c>
      <c r="F233" s="387">
        <f t="shared" si="78"/>
        <v>56.077398687353252</v>
      </c>
      <c r="G233" s="110">
        <f t="shared" ref="G233:G296" si="101">+Wh_hp/MaxiM</f>
        <v>0.96227734823439581</v>
      </c>
      <c r="H233" s="416" t="b">
        <f>Wh_hp&gt;='2026'!Maxi_hp</f>
        <v>0</v>
      </c>
      <c r="I233" s="392">
        <f>IF(H233,Wh_hp,'2026'!Maxi_hp)</f>
        <v>56.079633829988339</v>
      </c>
      <c r="J233" s="85">
        <f>IF(H233,An,'2026'!An_max)</f>
        <v>2025</v>
      </c>
      <c r="K233" s="199">
        <f t="shared" si="79"/>
        <v>46606</v>
      </c>
      <c r="L233" s="147">
        <f>IF(t&lt;Tvie,1-EXP((T0-t)*PertePVj)+'2026'!Pspv,1-EXP((T0-t)*PertePVj)+Pspv)</f>
        <v>7.3771034977729855E-2</v>
      </c>
      <c r="M233" s="872"/>
      <c r="N233" s="872"/>
      <c r="O233" s="48">
        <f>IF(t&lt;Tnet,'2026'!Resal+('2026'!Salim-'2026'!Resal)*(1-EXP(('2026'!Tnet-t)/('2026'!Tau_j))),Resal+(Salim-Resal)*(1-EXP((Tnet-t)/(Tau_j))))*Salcycl</f>
        <v>0.10796271268055108</v>
      </c>
      <c r="P233" s="171">
        <f>(INDEX(Models!$BJ233:$BT233,,T233)*(1-R233)+INDEX(Models!$BJ233:$BT233,,T233+1)*R233-ERP_i)*Q233*Ramure*Pc/MaxiM</f>
        <v>9.0964881090177139E-4</v>
      </c>
      <c r="Q233" s="307">
        <f t="shared" si="80"/>
        <v>0.9</v>
      </c>
      <c r="R233" s="179">
        <f t="shared" si="81"/>
        <v>0.20581801267842015</v>
      </c>
      <c r="S233" s="839">
        <f t="shared" si="82"/>
        <v>-1</v>
      </c>
      <c r="T233" s="178">
        <f t="shared" si="83"/>
        <v>5</v>
      </c>
      <c r="U233" s="253">
        <f t="shared" si="84"/>
        <v>-0.79418198732157985</v>
      </c>
      <c r="V233" s="385">
        <f t="shared" si="85"/>
        <v>48.105388669921609</v>
      </c>
      <c r="W233" s="404">
        <f t="shared" si="86"/>
        <v>46.292994267472615</v>
      </c>
      <c r="X233" s="157">
        <f t="shared" si="87"/>
        <v>46606</v>
      </c>
      <c r="Y233" s="387">
        <f t="shared" si="88"/>
        <v>42.262017347877851</v>
      </c>
      <c r="Z233" s="387">
        <f t="shared" si="89"/>
        <v>45.628045487501794</v>
      </c>
      <c r="AA233" s="388">
        <f t="shared" si="90"/>
        <v>55.515959093402401</v>
      </c>
      <c r="AB233" s="199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0.17810938993713077</v>
      </c>
      <c r="AD233" s="233">
        <f>(INDEX(Models!$BJ233:$BT233,,AH233)*(1-AF233)+INDEX(Models!$BJ233:$BT233,,AH233+1)*AF233-ERP_i)*AE233*Ramure*Pc/MaxiM</f>
        <v>1.058138203847803E-2</v>
      </c>
      <c r="AE233" s="307">
        <f t="shared" si="92"/>
        <v>0.9</v>
      </c>
      <c r="AF233" s="179">
        <f t="shared" si="93"/>
        <v>0.84147366498539888</v>
      </c>
      <c r="AG233" s="839">
        <f t="shared" si="99"/>
        <v>3</v>
      </c>
      <c r="AH233" s="178">
        <f t="shared" si="94"/>
        <v>9</v>
      </c>
      <c r="AI233" s="227">
        <f t="shared" si="95"/>
        <v>3.8414736649853989</v>
      </c>
      <c r="AJ233" s="267" t="b">
        <f t="shared" si="96"/>
        <v>0</v>
      </c>
      <c r="AK233" s="267" t="b">
        <f t="shared" si="97"/>
        <v>0</v>
      </c>
      <c r="AL233" s="267"/>
      <c r="AM233" s="267"/>
      <c r="AN233" s="75"/>
    </row>
    <row r="234" spans="1:40" s="6" customFormat="1" ht="11.25" x14ac:dyDescent="0.2">
      <c r="A234" s="56">
        <f t="shared" si="98"/>
        <v>46607</v>
      </c>
      <c r="B234" s="413">
        <f>'2026'!Wh/'2026'!Env_an*'2027'!Env_an</f>
        <v>46.941779096146377</v>
      </c>
      <c r="C234" s="868"/>
      <c r="D234" s="395">
        <f t="shared" si="77"/>
        <v>50.681714023289267</v>
      </c>
      <c r="E234" s="387">
        <f t="shared" si="100"/>
        <v>56.824307426279852</v>
      </c>
      <c r="F234" s="387">
        <f t="shared" si="78"/>
        <v>56.878605625596173</v>
      </c>
      <c r="G234" s="110">
        <f t="shared" si="101"/>
        <v>0.97933151011141883</v>
      </c>
      <c r="H234" s="416" t="b">
        <f>Wh_hp&gt;='2026'!Maxi_hp</f>
        <v>0</v>
      </c>
      <c r="I234" s="392">
        <f>IF(H234,Wh_hp,'2026'!Maxi_hp)</f>
        <v>56.879944569881722</v>
      </c>
      <c r="J234" s="85">
        <f>IF(H234,An,'2026'!An_max)</f>
        <v>2025</v>
      </c>
      <c r="K234" s="199">
        <f t="shared" si="79"/>
        <v>46607</v>
      </c>
      <c r="L234" s="147">
        <f>IF(t&lt;Tvie,1-EXP((T0-t)*PertePVj)+'2026'!Pspv,1-EXP((T0-t)*PertePVj)+Pspv)</f>
        <v>7.3792589678879361E-2</v>
      </c>
      <c r="M234" s="872"/>
      <c r="N234" s="872"/>
      <c r="O234" s="48">
        <f>IF(t&lt;Tnet,'2026'!Resal+('2026'!Salim-'2026'!Resal)*(1-EXP(('2026'!Tnet-t)/('2026'!Tau_j))),Resal+(Salim-Resal)*(1-EXP((Tnet-t)/(Tau_j))))*Salcycl</f>
        <v>0.10809798977241532</v>
      </c>
      <c r="P234" s="171">
        <f>(INDEX(Models!$BJ234:$BT234,,T234)*(1-R234)+INDEX(Models!$BJ234:$BT234,,T234+1)*R234-ERP_i)*Q234*Ramure*Pc/MaxiM</f>
        <v>9.8363639820336218E-4</v>
      </c>
      <c r="Q234" s="307">
        <f t="shared" si="80"/>
        <v>0.9</v>
      </c>
      <c r="R234" s="179">
        <f t="shared" si="81"/>
        <v>0.20800799618451027</v>
      </c>
      <c r="S234" s="839">
        <f t="shared" si="82"/>
        <v>-1</v>
      </c>
      <c r="T234" s="178">
        <f t="shared" si="83"/>
        <v>5</v>
      </c>
      <c r="U234" s="253">
        <f t="shared" si="84"/>
        <v>-0.79199200381548973</v>
      </c>
      <c r="V234" s="385">
        <f t="shared" si="85"/>
        <v>47.931079357593141</v>
      </c>
      <c r="W234" s="404">
        <f t="shared" si="86"/>
        <v>46.941779096146377</v>
      </c>
      <c r="X234" s="157">
        <f t="shared" si="87"/>
        <v>46607</v>
      </c>
      <c r="Y234" s="387">
        <f t="shared" si="88"/>
        <v>42.82497225207203</v>
      </c>
      <c r="Z234" s="387">
        <f t="shared" si="89"/>
        <v>46.236913864924063</v>
      </c>
      <c r="AA234" s="388">
        <f t="shared" si="90"/>
        <v>56.260585894243825</v>
      </c>
      <c r="AB234" s="199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0.17816508431252062</v>
      </c>
      <c r="AD234" s="233">
        <f>(INDEX(Models!$BJ234:$BT234,,AH234)*(1-AF234)+INDEX(Models!$BJ234:$BT234,,AH234+1)*AF234-ERP_i)*AE234*Ramure*Pc/MaxiM</f>
        <v>1.1195706491564898E-2</v>
      </c>
      <c r="AE234" s="307">
        <f t="shared" si="92"/>
        <v>0.9</v>
      </c>
      <c r="AF234" s="179">
        <f t="shared" si="93"/>
        <v>0.84366364849148923</v>
      </c>
      <c r="AG234" s="839">
        <f t="shared" si="99"/>
        <v>3</v>
      </c>
      <c r="AH234" s="178">
        <f t="shared" si="94"/>
        <v>9</v>
      </c>
      <c r="AI234" s="227">
        <f t="shared" si="95"/>
        <v>3.8436636484914892</v>
      </c>
      <c r="AJ234" s="267" t="b">
        <f t="shared" si="96"/>
        <v>0</v>
      </c>
      <c r="AK234" s="267" t="b">
        <f t="shared" si="97"/>
        <v>0</v>
      </c>
      <c r="AL234" s="267"/>
      <c r="AM234" s="267"/>
      <c r="AN234" s="75"/>
    </row>
    <row r="235" spans="1:40" s="6" customFormat="1" ht="11.25" x14ac:dyDescent="0.2">
      <c r="A235" s="56">
        <f t="shared" si="98"/>
        <v>46608</v>
      </c>
      <c r="B235" s="413">
        <f>'2026'!Wh/'2026'!Env_an*'2027'!Env_an</f>
        <v>45.147079771224895</v>
      </c>
      <c r="C235" s="868"/>
      <c r="D235" s="395">
        <f t="shared" si="77"/>
        <v>48.745162186215062</v>
      </c>
      <c r="E235" s="387">
        <f t="shared" si="100"/>
        <v>54.661306665381709</v>
      </c>
      <c r="F235" s="387">
        <f t="shared" si="78"/>
        <v>54.714900457799395</v>
      </c>
      <c r="G235" s="110">
        <f t="shared" si="101"/>
        <v>0.94531869344467456</v>
      </c>
      <c r="H235" s="416" t="b">
        <f>Wh_hp&gt;='2026'!Maxi_hp</f>
        <v>0</v>
      </c>
      <c r="I235" s="392">
        <f>IF(H235,Wh_hp,'2026'!Maxi_hp)</f>
        <v>56.037140301395539</v>
      </c>
      <c r="J235" s="85">
        <f>IF(H235,An,'2026'!An_max)</f>
        <v>2021</v>
      </c>
      <c r="K235" s="199">
        <f t="shared" si="79"/>
        <v>46608</v>
      </c>
      <c r="L235" s="147">
        <f>IF(t&lt;Tvie,1-EXP((T0-t)*PertePVj)+'2026'!Pspv,1-EXP((T0-t)*PertePVj)+Pspv)</f>
        <v>7.3814143878419447E-2</v>
      </c>
      <c r="M235" s="872"/>
      <c r="N235" s="872"/>
      <c r="O235" s="48">
        <f>IF(t&lt;Tnet,'2026'!Resal+('2026'!Salim-'2026'!Resal)*(1-EXP(('2026'!Tnet-t)/('2026'!Tau_j))),Resal+(Salim-Resal)*(1-EXP((Tnet-t)/(Tau_j))))*Salcycl</f>
        <v>0.10823276720008373</v>
      </c>
      <c r="P235" s="171">
        <f>(INDEX(Models!$BJ235:$BT235,,T235)*(1-R235)+INDEX(Models!$BJ235:$BT235,,T235+1)*R235-ERP_i)*Q235*Ramure*Pc/MaxiM</f>
        <v>1.0623800248923357E-3</v>
      </c>
      <c r="Q235" s="307">
        <f t="shared" si="80"/>
        <v>0.9</v>
      </c>
      <c r="R235" s="179">
        <f t="shared" si="81"/>
        <v>0.2101239014005899</v>
      </c>
      <c r="S235" s="839">
        <f t="shared" si="82"/>
        <v>-1</v>
      </c>
      <c r="T235" s="178">
        <f t="shared" si="83"/>
        <v>5</v>
      </c>
      <c r="U235" s="253">
        <f t="shared" si="84"/>
        <v>-0.7898760985994101</v>
      </c>
      <c r="V235" s="385">
        <f t="shared" si="85"/>
        <v>47.754619766432235</v>
      </c>
      <c r="W235" s="404">
        <f t="shared" si="86"/>
        <v>45.147079771224895</v>
      </c>
      <c r="X235" s="157">
        <f t="shared" si="87"/>
        <v>46608</v>
      </c>
      <c r="Y235" s="387">
        <f t="shared" si="88"/>
        <v>41.191434047470587</v>
      </c>
      <c r="Z235" s="387">
        <f t="shared" si="89"/>
        <v>44.474263750863607</v>
      </c>
      <c r="AA235" s="388">
        <f t="shared" si="90"/>
        <v>54.119438264400877</v>
      </c>
      <c r="AB235" s="199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0.17822015199817309</v>
      </c>
      <c r="AD235" s="233">
        <f>(INDEX(Models!$BJ235:$BT235,,AH235)*(1-AF235)+INDEX(Models!$BJ235:$BT235,,AH235+1)*AF235-ERP_i)*AE235*Ramure*Pc/MaxiM</f>
        <v>1.1803739039679823E-2</v>
      </c>
      <c r="AE235" s="307">
        <f t="shared" si="92"/>
        <v>0.9</v>
      </c>
      <c r="AF235" s="179">
        <f t="shared" si="93"/>
        <v>0.84577955370756897</v>
      </c>
      <c r="AG235" s="839">
        <f t="shared" si="99"/>
        <v>3</v>
      </c>
      <c r="AH235" s="178">
        <f t="shared" si="94"/>
        <v>9</v>
      </c>
      <c r="AI235" s="227">
        <f t="shared" si="95"/>
        <v>3.845779553707569</v>
      </c>
      <c r="AJ235" s="267" t="b">
        <f t="shared" si="96"/>
        <v>0</v>
      </c>
      <c r="AK235" s="267" t="b">
        <f t="shared" si="97"/>
        <v>0</v>
      </c>
      <c r="AL235" s="267"/>
      <c r="AM235" s="267"/>
      <c r="AN235" s="75"/>
    </row>
    <row r="236" spans="1:40" s="6" customFormat="1" ht="11.25" x14ac:dyDescent="0.2">
      <c r="A236" s="56">
        <f t="shared" si="98"/>
        <v>46609</v>
      </c>
      <c r="B236" s="413">
        <f>'2026'!Wh/'2026'!Env_an*'2027'!Env_an</f>
        <v>43.47560604159284</v>
      </c>
      <c r="C236" s="868"/>
      <c r="D236" s="395">
        <f t="shared" si="77"/>
        <v>46.941569576611258</v>
      </c>
      <c r="E236" s="387">
        <f t="shared" si="100"/>
        <v>52.646741313911562</v>
      </c>
      <c r="F236" s="387">
        <f t="shared" si="78"/>
        <v>52.699697480471642</v>
      </c>
      <c r="G236" s="110">
        <f t="shared" si="101"/>
        <v>0.91369165695711063</v>
      </c>
      <c r="H236" s="416" t="b">
        <f>Wh_hp&gt;='2026'!Maxi_hp</f>
        <v>0</v>
      </c>
      <c r="I236" s="392">
        <f>IF(H236,Wh_hp,'2026'!Maxi_hp)</f>
        <v>52.705696675756691</v>
      </c>
      <c r="J236" s="85">
        <f>IF(H236,An,'2026'!An_max)</f>
        <v>2025</v>
      </c>
      <c r="K236" s="199">
        <f t="shared" si="79"/>
        <v>46609</v>
      </c>
      <c r="L236" s="147">
        <f>IF(t&lt;Tvie,1-EXP((T0-t)*PertePVj)+'2026'!Pspv,1-EXP((T0-t)*PertePVj)+Pspv)</f>
        <v>7.3835697576361881E-2</v>
      </c>
      <c r="M236" s="872"/>
      <c r="N236" s="872"/>
      <c r="O236" s="48">
        <f>IF(t&lt;Tnet,'2026'!Resal+('2026'!Salim-'2026'!Resal)*(1-EXP(('2026'!Tnet-t)/('2026'!Tau_j))),Resal+(Salim-Resal)*(1-EXP((Tnet-t)/(Tau_j))))*Salcycl</f>
        <v>0.10836704409267499</v>
      </c>
      <c r="P236" s="171">
        <f>(INDEX(Models!$BJ236:$BT236,,T236)*(1-R236)+INDEX(Models!$BJ236:$BT236,,T236+1)*R236-ERP_i)*Q236*Ramure*Pc/MaxiM</f>
        <v>1.1459480244718336E-3</v>
      </c>
      <c r="Q236" s="307">
        <f t="shared" si="80"/>
        <v>0.9</v>
      </c>
      <c r="R236" s="179">
        <f t="shared" si="81"/>
        <v>0.21216772705284581</v>
      </c>
      <c r="S236" s="839">
        <f t="shared" si="82"/>
        <v>-1</v>
      </c>
      <c r="T236" s="178">
        <f t="shared" si="83"/>
        <v>5</v>
      </c>
      <c r="U236" s="253">
        <f t="shared" si="84"/>
        <v>-0.78783227294715419</v>
      </c>
      <c r="V236" s="385">
        <f t="shared" si="85"/>
        <v>47.575641017544712</v>
      </c>
      <c r="W236" s="404">
        <f t="shared" si="86"/>
        <v>43.47560604159284</v>
      </c>
      <c r="X236" s="157">
        <f t="shared" si="87"/>
        <v>46609</v>
      </c>
      <c r="Y236" s="387">
        <f t="shared" si="88"/>
        <v>39.670953256013405</v>
      </c>
      <c r="Z236" s="387">
        <f t="shared" si="89"/>
        <v>42.833602150504241</v>
      </c>
      <c r="AA236" s="388">
        <f t="shared" si="90"/>
        <v>52.126418119559396</v>
      </c>
      <c r="AB236" s="199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0.17827459288955463</v>
      </c>
      <c r="AD236" s="233">
        <f>(INDEX(Models!$BJ236:$BT236,,AH236)*(1-AF236)+INDEX(Models!$BJ236:$BT236,,AH236+1)*AF236-ERP_i)*AE236*Ramure*Pc/MaxiM</f>
        <v>1.2405511837087891E-2</v>
      </c>
      <c r="AE236" s="307">
        <f t="shared" si="92"/>
        <v>0.9</v>
      </c>
      <c r="AF236" s="179">
        <f t="shared" si="93"/>
        <v>0.84782337935982488</v>
      </c>
      <c r="AG236" s="839">
        <f t="shared" si="99"/>
        <v>3</v>
      </c>
      <c r="AH236" s="178">
        <f t="shared" si="94"/>
        <v>9</v>
      </c>
      <c r="AI236" s="227">
        <f t="shared" si="95"/>
        <v>3.8478233793598249</v>
      </c>
      <c r="AJ236" s="267" t="b">
        <f t="shared" si="96"/>
        <v>0</v>
      </c>
      <c r="AK236" s="267" t="b">
        <f t="shared" si="97"/>
        <v>0</v>
      </c>
      <c r="AL236" s="267"/>
      <c r="AM236" s="267"/>
      <c r="AN236" s="75"/>
    </row>
    <row r="237" spans="1:40" s="6" customFormat="1" ht="11.25" x14ac:dyDescent="0.2">
      <c r="A237" s="56">
        <f t="shared" si="98"/>
        <v>46610</v>
      </c>
      <c r="B237" s="413">
        <f>'2026'!Wh/'2026'!Env_an*'2027'!Env_an</f>
        <v>39.385840432454813</v>
      </c>
      <c r="C237" s="868"/>
      <c r="D237" s="395">
        <f t="shared" si="77"/>
        <v>42.526749213677917</v>
      </c>
      <c r="E237" s="387">
        <f t="shared" si="100"/>
        <v>47.702510596283055</v>
      </c>
      <c r="F237" s="387">
        <f t="shared" si="78"/>
        <v>47.747223528646799</v>
      </c>
      <c r="G237" s="110">
        <f t="shared" si="101"/>
        <v>0.83078620025082806</v>
      </c>
      <c r="H237" s="416" t="b">
        <f>Wh_hp&gt;='2026'!Maxi_hp</f>
        <v>0</v>
      </c>
      <c r="I237" s="392">
        <f>IF(H237,Wh_hp,'2026'!Maxi_hp)</f>
        <v>51.041583493059605</v>
      </c>
      <c r="J237" s="85">
        <f>IF(H237,An,'2026'!An_max)</f>
        <v>2021</v>
      </c>
      <c r="K237" s="199">
        <f t="shared" si="79"/>
        <v>46610</v>
      </c>
      <c r="L237" s="147">
        <f>IF(t&lt;Tvie,1-EXP((T0-t)*PertePVj)+'2026'!Pspv,1-EXP((T0-t)*PertePVj)+Pspv)</f>
        <v>7.3857250772718208E-2</v>
      </c>
      <c r="M237" s="872"/>
      <c r="N237" s="872"/>
      <c r="O237" s="48">
        <f>IF(t&lt;Tnet,'2026'!Resal+('2026'!Salim-'2026'!Resal)*(1-EXP(('2026'!Tnet-t)/('2026'!Tau_j))),Resal+(Salim-Resal)*(1-EXP((Tnet-t)/(Tau_j))))*Salcycl</f>
        <v>0.10850081720873683</v>
      </c>
      <c r="P237" s="171">
        <f>(INDEX(Models!$BJ237:$BT237,,T237)*(1-R237)+INDEX(Models!$BJ237:$BT237,,T237+1)*R237-ERP_i)*Q237*Ramure*Pc/MaxiM</f>
        <v>1.2344136101372759E-3</v>
      </c>
      <c r="Q237" s="307">
        <f t="shared" si="80"/>
        <v>0.9</v>
      </c>
      <c r="R237" s="179">
        <f t="shared" si="81"/>
        <v>0.21414145560172537</v>
      </c>
      <c r="S237" s="839">
        <f t="shared" si="82"/>
        <v>-1</v>
      </c>
      <c r="T237" s="178">
        <f t="shared" si="83"/>
        <v>5</v>
      </c>
      <c r="U237" s="253">
        <f t="shared" si="84"/>
        <v>-0.78585854439827463</v>
      </c>
      <c r="V237" s="385">
        <f t="shared" si="85"/>
        <v>47.393774608151048</v>
      </c>
      <c r="W237" s="404">
        <f t="shared" si="86"/>
        <v>39.385840432454813</v>
      </c>
      <c r="X237" s="157">
        <f t="shared" si="87"/>
        <v>46610</v>
      </c>
      <c r="Y237" s="387">
        <f t="shared" si="88"/>
        <v>35.976563026350362</v>
      </c>
      <c r="Z237" s="387">
        <f t="shared" si="89"/>
        <v>38.845591628684737</v>
      </c>
      <c r="AA237" s="388">
        <f t="shared" si="90"/>
        <v>47.276298425832053</v>
      </c>
      <c r="AB237" s="199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0.17832840298132832</v>
      </c>
      <c r="AD237" s="233">
        <f>(INDEX(Models!$BJ237:$BT237,,AH237)*(1-AF237)+INDEX(Models!$BJ237:$BT237,,AH237+1)*AF237-ERP_i)*AE237*Ramure*Pc/MaxiM</f>
        <v>1.3001078782771928E-2</v>
      </c>
      <c r="AE237" s="307">
        <f t="shared" si="92"/>
        <v>0.9</v>
      </c>
      <c r="AF237" s="179">
        <f t="shared" si="93"/>
        <v>0.84979710790870433</v>
      </c>
      <c r="AG237" s="839">
        <f t="shared" si="99"/>
        <v>3</v>
      </c>
      <c r="AH237" s="178">
        <f t="shared" si="94"/>
        <v>9</v>
      </c>
      <c r="AI237" s="227">
        <f t="shared" si="95"/>
        <v>3.8497971079087043</v>
      </c>
      <c r="AJ237" s="267" t="b">
        <f t="shared" si="96"/>
        <v>0</v>
      </c>
      <c r="AK237" s="267" t="b">
        <f t="shared" si="97"/>
        <v>0</v>
      </c>
      <c r="AL237" s="267"/>
      <c r="AM237" s="267"/>
      <c r="AN237" s="75"/>
    </row>
    <row r="238" spans="1:40" s="6" customFormat="1" ht="11.25" x14ac:dyDescent="0.2">
      <c r="A238" s="56">
        <f t="shared" si="98"/>
        <v>46611</v>
      </c>
      <c r="B238" s="413">
        <f>'2026'!Wh/'2026'!Env_an*'2027'!Env_an</f>
        <v>41.877767383346459</v>
      </c>
      <c r="C238" s="868"/>
      <c r="D238" s="395">
        <f t="shared" si="77"/>
        <v>45.218452552583237</v>
      </c>
      <c r="E238" s="387">
        <f t="shared" si="100"/>
        <v>50.729393612211183</v>
      </c>
      <c r="F238" s="387">
        <f t="shared" si="78"/>
        <v>50.785951385527149</v>
      </c>
      <c r="G238" s="110">
        <f t="shared" si="101"/>
        <v>0.88688799211532632</v>
      </c>
      <c r="H238" s="416" t="b">
        <f>Wh_hp&gt;='2026'!Maxi_hp</f>
        <v>0</v>
      </c>
      <c r="I238" s="392">
        <f>IF(H238,Wh_hp,'2026'!Maxi_hp)</f>
        <v>50.79468108662175</v>
      </c>
      <c r="J238" s="85">
        <f>IF(H238,An,'2026'!An_max)</f>
        <v>2025</v>
      </c>
      <c r="K238" s="199">
        <f t="shared" si="79"/>
        <v>46611</v>
      </c>
      <c r="L238" s="147">
        <f>IF(t&lt;Tvie,1-EXP((T0-t)*PertePVj)+'2026'!Pspv,1-EXP((T0-t)*PertePVj)+Pspv)</f>
        <v>7.3878803467500198E-2</v>
      </c>
      <c r="M238" s="872"/>
      <c r="N238" s="872"/>
      <c r="O238" s="48">
        <f>IF(t&lt;Tnet,'2026'!Resal+('2026'!Salim-'2026'!Resal)*(1-EXP(('2026'!Tnet-t)/('2026'!Tau_j))),Resal+(Salim-Resal)*(1-EXP((Tnet-t)/(Tau_j))))*Salcycl</f>
        <v>0.10863408109615949</v>
      </c>
      <c r="P238" s="171">
        <f>(INDEX(Models!$BJ238:$BT238,,T238)*(1-R238)+INDEX(Models!$BJ238:$BT238,,T238+1)*R238-ERP_i)*Q238*Ramure*Pc/MaxiM</f>
        <v>1.3278553901403985E-3</v>
      </c>
      <c r="Q238" s="307">
        <f t="shared" si="80"/>
        <v>0.9</v>
      </c>
      <c r="R238" s="179">
        <f t="shared" si="81"/>
        <v>0.21604705018431791</v>
      </c>
      <c r="S238" s="839">
        <f t="shared" si="82"/>
        <v>-1</v>
      </c>
      <c r="T238" s="178">
        <f t="shared" si="83"/>
        <v>5</v>
      </c>
      <c r="U238" s="253">
        <f t="shared" si="84"/>
        <v>-0.78395294981568209</v>
      </c>
      <c r="V238" s="385">
        <f t="shared" si="85"/>
        <v>47.208652400084794</v>
      </c>
      <c r="W238" s="404">
        <f t="shared" si="86"/>
        <v>41.877767383346459</v>
      </c>
      <c r="X238" s="157">
        <f t="shared" si="87"/>
        <v>46611</v>
      </c>
      <c r="Y238" s="387">
        <f t="shared" si="88"/>
        <v>38.203487612373884</v>
      </c>
      <c r="Z238" s="387">
        <f t="shared" si="89"/>
        <v>41.251067090799744</v>
      </c>
      <c r="AA238" s="388">
        <f t="shared" si="90"/>
        <v>50.207086182531206</v>
      </c>
      <c r="AB238" s="199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0.17838157464807378</v>
      </c>
      <c r="AD238" s="233">
        <f>(INDEX(Models!$BJ238:$BT238,,AH238)*(1-AF238)+INDEX(Models!$BJ238:$BT238,,AH238+1)*AF238-ERP_i)*AE238*Ramure*Pc/MaxiM</f>
        <v>1.3590515235963989E-2</v>
      </c>
      <c r="AE238" s="307">
        <f t="shared" si="92"/>
        <v>0.9</v>
      </c>
      <c r="AF238" s="179">
        <f t="shared" si="93"/>
        <v>0.85170270249129665</v>
      </c>
      <c r="AG238" s="839">
        <f t="shared" si="99"/>
        <v>3</v>
      </c>
      <c r="AH238" s="178">
        <f t="shared" si="94"/>
        <v>9</v>
      </c>
      <c r="AI238" s="227">
        <f t="shared" si="95"/>
        <v>3.8517027024912966</v>
      </c>
      <c r="AJ238" s="267" t="b">
        <f t="shared" si="96"/>
        <v>0</v>
      </c>
      <c r="AK238" s="267" t="b">
        <f t="shared" si="97"/>
        <v>0</v>
      </c>
      <c r="AL238" s="267"/>
      <c r="AM238" s="267"/>
      <c r="AN238" s="75"/>
    </row>
    <row r="239" spans="1:40" s="6" customFormat="1" ht="11.25" x14ac:dyDescent="0.2">
      <c r="A239" s="56">
        <f t="shared" si="98"/>
        <v>46612</v>
      </c>
      <c r="B239" s="413">
        <f>'2026'!Wh/'2026'!Env_an*'2027'!Env_an</f>
        <v>28.247772518797614</v>
      </c>
      <c r="C239" s="868"/>
      <c r="D239" s="395">
        <f t="shared" si="77"/>
        <v>30.501871684607757</v>
      </c>
      <c r="E239" s="387">
        <f t="shared" si="100"/>
        <v>34.224345156248248</v>
      </c>
      <c r="F239" s="387">
        <f t="shared" si="78"/>
        <v>34.245332370963823</v>
      </c>
      <c r="G239" s="110">
        <f t="shared" si="101"/>
        <v>0.60027296197432445</v>
      </c>
      <c r="H239" s="416" t="b">
        <f>Wh_hp&gt;='2026'!Maxi_hp</f>
        <v>0</v>
      </c>
      <c r="I239" s="392">
        <f>IF(H239,Wh_hp,'2026'!Maxi_hp)</f>
        <v>52.03553309327885</v>
      </c>
      <c r="J239" s="85">
        <f>IF(H239,An,'2026'!An_max)</f>
        <v>2019</v>
      </c>
      <c r="K239" s="199">
        <f t="shared" si="79"/>
        <v>46612</v>
      </c>
      <c r="L239" s="147">
        <f>IF(t&lt;Tvie,1-EXP((T0-t)*PertePVj)+'2026'!Pspv,1-EXP((T0-t)*PertePVj)+Pspv)</f>
        <v>7.3900355660719508E-2</v>
      </c>
      <c r="M239" s="872"/>
      <c r="N239" s="872"/>
      <c r="O239" s="48">
        <f>IF(t&lt;Tnet,'2026'!Resal+('2026'!Salim-'2026'!Resal)*(1-EXP(('2026'!Tnet-t)/('2026'!Tau_j))),Resal+(Salim-Resal)*(1-EXP((Tnet-t)/(Tau_j))))*Salcycl</f>
        <v>0.108766828251815</v>
      </c>
      <c r="P239" s="171">
        <f>(INDEX(Models!$BJ239:$BT239,,T239)*(1-R239)+INDEX(Models!$BJ239:$BT239,,T239+1)*R239-ERP_i)*Q239*Ramure*Pc/MaxiM</f>
        <v>1.426357909712077E-3</v>
      </c>
      <c r="Q239" s="307">
        <f t="shared" si="80"/>
        <v>0.9</v>
      </c>
      <c r="R239" s="179">
        <f t="shared" si="81"/>
        <v>0.21788645184315891</v>
      </c>
      <c r="S239" s="839">
        <f t="shared" si="82"/>
        <v>-1</v>
      </c>
      <c r="T239" s="178">
        <f t="shared" si="83"/>
        <v>5</v>
      </c>
      <c r="U239" s="253">
        <f t="shared" si="84"/>
        <v>-0.78211354815684109</v>
      </c>
      <c r="V239" s="385">
        <f t="shared" si="85"/>
        <v>47.019906605636827</v>
      </c>
      <c r="W239" s="404">
        <f t="shared" si="86"/>
        <v>28.247772518797614</v>
      </c>
      <c r="X239" s="157">
        <f t="shared" si="87"/>
        <v>46612</v>
      </c>
      <c r="Y239" s="387">
        <f t="shared" si="88"/>
        <v>25.896948024162665</v>
      </c>
      <c r="Z239" s="387">
        <f t="shared" si="89"/>
        <v>27.963457477233636</v>
      </c>
      <c r="AA239" s="388">
        <f t="shared" si="90"/>
        <v>34.03677948719519</v>
      </c>
      <c r="AB239" s="199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0.17843409692289983</v>
      </c>
      <c r="AD239" s="233">
        <f>(INDEX(Models!$BJ239:$BT239,,AH239)*(1-AF239)+INDEX(Models!$BJ239:$BT239,,AH239+1)*AF239-ERP_i)*AE239*Ramure*Pc/MaxiM</f>
        <v>1.4173917758410043E-2</v>
      </c>
      <c r="AE239" s="307">
        <f t="shared" si="92"/>
        <v>0.9</v>
      </c>
      <c r="AF239" s="179">
        <f t="shared" si="93"/>
        <v>0.85354210415013787</v>
      </c>
      <c r="AG239" s="839">
        <f t="shared" si="99"/>
        <v>3</v>
      </c>
      <c r="AH239" s="178">
        <f t="shared" si="94"/>
        <v>9</v>
      </c>
      <c r="AI239" s="227">
        <f t="shared" si="95"/>
        <v>3.8535421041501379</v>
      </c>
      <c r="AJ239" s="267" t="b">
        <f t="shared" si="96"/>
        <v>0</v>
      </c>
      <c r="AK239" s="267" t="b">
        <f t="shared" si="97"/>
        <v>0</v>
      </c>
      <c r="AL239" s="267"/>
      <c r="AM239" s="267"/>
      <c r="AN239" s="75"/>
    </row>
    <row r="240" spans="1:40" s="6" customFormat="1" ht="11.25" x14ac:dyDescent="0.2">
      <c r="A240" s="56">
        <f t="shared" si="98"/>
        <v>46613</v>
      </c>
      <c r="B240" s="413">
        <f>'2026'!Wh/'2026'!Env_an*'2027'!Env_an</f>
        <v>30.395934149998176</v>
      </c>
      <c r="C240" s="868"/>
      <c r="D240" s="395">
        <f t="shared" si="77"/>
        <v>32.822214877254765</v>
      </c>
      <c r="E240" s="387">
        <f t="shared" si="100"/>
        <v>36.833329434430382</v>
      </c>
      <c r="F240" s="387">
        <f t="shared" si="78"/>
        <v>36.861442998576003</v>
      </c>
      <c r="G240" s="110">
        <f t="shared" si="101"/>
        <v>0.64861047075660905</v>
      </c>
      <c r="H240" s="416" t="b">
        <f>Wh_hp&gt;='2026'!Maxi_hp</f>
        <v>0</v>
      </c>
      <c r="I240" s="392">
        <f>IF(H240,Wh_hp,'2026'!Maxi_hp)</f>
        <v>56.382758921997223</v>
      </c>
      <c r="J240" s="85">
        <f>IF(H240,An,'2026'!An_max)</f>
        <v>2019</v>
      </c>
      <c r="K240" s="199">
        <f t="shared" si="79"/>
        <v>46613</v>
      </c>
      <c r="L240" s="147">
        <f>IF(t&lt;Tvie,1-EXP((T0-t)*PertePVj)+'2026'!Pspv,1-EXP((T0-t)*PertePVj)+Pspv)</f>
        <v>7.3921907352387795E-2</v>
      </c>
      <c r="M240" s="872"/>
      <c r="N240" s="872"/>
      <c r="O240" s="48">
        <f>IF(t&lt;Tnet,'2026'!Resal+('2026'!Salim-'2026'!Resal)*(1-EXP(('2026'!Tnet-t)/('2026'!Tau_j))),Resal+(Salim-Resal)*(1-EXP((Tnet-t)/(Tau_j))))*Salcycl</f>
        <v>0.10889904927861827</v>
      </c>
      <c r="P240" s="171">
        <f>(INDEX(Models!$BJ240:$BT240,,T240)*(1-R240)+INDEX(Models!$BJ240:$BT240,,T240+1)*R240-ERP_i)*Q240*Ramure*Pc/MaxiM</f>
        <v>1.5292597694982256E-3</v>
      </c>
      <c r="Q240" s="307">
        <f t="shared" si="80"/>
        <v>0.9</v>
      </c>
      <c r="R240" s="179">
        <f t="shared" si="81"/>
        <v>0.21966157702848743</v>
      </c>
      <c r="S240" s="839">
        <f t="shared" si="82"/>
        <v>-1</v>
      </c>
      <c r="T240" s="178">
        <f t="shared" si="83"/>
        <v>5</v>
      </c>
      <c r="U240" s="253">
        <f t="shared" si="84"/>
        <v>-0.78033842297151257</v>
      </c>
      <c r="V240" s="385">
        <f t="shared" si="85"/>
        <v>46.827205066009689</v>
      </c>
      <c r="W240" s="404">
        <f t="shared" si="86"/>
        <v>30.395934149998176</v>
      </c>
      <c r="X240" s="157">
        <f t="shared" si="87"/>
        <v>46613</v>
      </c>
      <c r="Y240" s="387">
        <f t="shared" si="88"/>
        <v>27.837513847648591</v>
      </c>
      <c r="Z240" s="387">
        <f t="shared" si="89"/>
        <v>30.059574963124863</v>
      </c>
      <c r="AA240" s="388">
        <f t="shared" si="90"/>
        <v>36.590457794676809</v>
      </c>
      <c r="AB240" s="199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0.17848595577019705</v>
      </c>
      <c r="AD240" s="233">
        <f>(INDEX(Models!$BJ240:$BT240,,AH240)*(1-AF240)+INDEX(Models!$BJ240:$BT240,,AH240+1)*AF240-ERP_i)*AE240*Ramure*Pc/MaxiM</f>
        <v>1.4740456539261263E-2</v>
      </c>
      <c r="AE240" s="307">
        <f t="shared" si="92"/>
        <v>0.9</v>
      </c>
      <c r="AF240" s="179">
        <f t="shared" si="93"/>
        <v>0.8553172293354665</v>
      </c>
      <c r="AG240" s="839">
        <f t="shared" si="99"/>
        <v>3</v>
      </c>
      <c r="AH240" s="178">
        <f t="shared" si="94"/>
        <v>9</v>
      </c>
      <c r="AI240" s="227">
        <f t="shared" si="95"/>
        <v>3.8553172293354665</v>
      </c>
      <c r="AJ240" s="267" t="b">
        <f t="shared" si="96"/>
        <v>0</v>
      </c>
      <c r="AK240" s="267" t="b">
        <f t="shared" si="97"/>
        <v>0</v>
      </c>
      <c r="AL240" s="267"/>
      <c r="AM240" s="267"/>
      <c r="AN240" s="75"/>
    </row>
    <row r="241" spans="1:40" s="6" customFormat="1" ht="11.25" x14ac:dyDescent="0.2">
      <c r="A241" s="56">
        <f t="shared" si="98"/>
        <v>46614</v>
      </c>
      <c r="B241" s="413">
        <f>'2026'!Wh/'2026'!Env_an*'2027'!Env_an</f>
        <v>35.651125300954874</v>
      </c>
      <c r="C241" s="868"/>
      <c r="D241" s="395">
        <f t="shared" si="77"/>
        <v>38.497784643737837</v>
      </c>
      <c r="E241" s="387">
        <f t="shared" si="100"/>
        <v>43.208880565542351</v>
      </c>
      <c r="F241" s="387">
        <f t="shared" si="78"/>
        <v>43.25578364228565</v>
      </c>
      <c r="G241" s="110">
        <f t="shared" si="101"/>
        <v>0.76412770047686074</v>
      </c>
      <c r="H241" s="416" t="b">
        <f>Wh_hp&gt;='2026'!Maxi_hp</f>
        <v>0</v>
      </c>
      <c r="I241" s="392">
        <f>IF(H241,Wh_hp,'2026'!Maxi_hp)</f>
        <v>51.37885714144074</v>
      </c>
      <c r="J241" s="85">
        <f>IF(H241,An,'2026'!An_max)</f>
        <v>2020</v>
      </c>
      <c r="K241" s="199">
        <f t="shared" si="79"/>
        <v>46614</v>
      </c>
      <c r="L241" s="147">
        <f>IF(t&lt;Tvie,1-EXP((T0-t)*PertePVj)+'2026'!Pspv,1-EXP((T0-t)*PertePVj)+Pspv)</f>
        <v>7.3943458542516716E-2</v>
      </c>
      <c r="M241" s="872"/>
      <c r="N241" s="872"/>
      <c r="O241" s="48">
        <f>IF(t&lt;Tnet,'2026'!Resal+('2026'!Salim-'2026'!Resal)*(1-EXP(('2026'!Tnet-t)/('2026'!Tau_j))),Resal+(Salim-Resal)*(1-EXP((Tnet-t)/(Tau_j))))*Salcycl</f>
        <v>0.10903073303781574</v>
      </c>
      <c r="P241" s="171">
        <f>(INDEX(Models!$BJ241:$BT241,,T241)*(1-R241)+INDEX(Models!$BJ241:$BT241,,T241+1)*R241-ERP_i)*Q241*Ramure*Pc/MaxiM</f>
        <v>1.6338955164229333E-3</v>
      </c>
      <c r="Q241" s="307">
        <f t="shared" si="80"/>
        <v>0.9</v>
      </c>
      <c r="R241" s="179">
        <f t="shared" si="81"/>
        <v>0.2213743153607437</v>
      </c>
      <c r="S241" s="839">
        <f t="shared" si="82"/>
        <v>-1</v>
      </c>
      <c r="T241" s="178">
        <f t="shared" si="83"/>
        <v>5</v>
      </c>
      <c r="U241" s="253">
        <f t="shared" si="84"/>
        <v>-0.7786256846392563</v>
      </c>
      <c r="V241" s="385">
        <f t="shared" si="85"/>
        <v>46.630309301024525</v>
      </c>
      <c r="W241" s="404">
        <f t="shared" si="86"/>
        <v>35.651125300954874</v>
      </c>
      <c r="X241" s="157">
        <f t="shared" si="87"/>
        <v>46614</v>
      </c>
      <c r="Y241" s="387">
        <f t="shared" si="88"/>
        <v>32.571631030698228</v>
      </c>
      <c r="Z241" s="387">
        <f t="shared" si="89"/>
        <v>35.172399926504532</v>
      </c>
      <c r="AA241" s="388">
        <f t="shared" si="90"/>
        <v>42.816786244658985</v>
      </c>
      <c r="AB241" s="199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0.17853713434898499</v>
      </c>
      <c r="AD241" s="233">
        <f>(INDEX(Models!$BJ241:$BT241,,AH241)*(1-AF241)+INDEX(Models!$BJ241:$BT241,,AH241+1)*AF241-ERP_i)*AE241*Ramure*Pc/MaxiM</f>
        <v>1.5292725541847999E-2</v>
      </c>
      <c r="AE241" s="307">
        <f t="shared" si="92"/>
        <v>0.9</v>
      </c>
      <c r="AF241" s="179">
        <f t="shared" si="93"/>
        <v>0.85702996766772266</v>
      </c>
      <c r="AG241" s="839">
        <f t="shared" si="99"/>
        <v>3</v>
      </c>
      <c r="AH241" s="178">
        <f t="shared" si="94"/>
        <v>9</v>
      </c>
      <c r="AI241" s="227">
        <f t="shared" si="95"/>
        <v>3.8570299676677227</v>
      </c>
      <c r="AJ241" s="267" t="b">
        <f t="shared" si="96"/>
        <v>0</v>
      </c>
      <c r="AK241" s="267" t="b">
        <f t="shared" si="97"/>
        <v>0</v>
      </c>
      <c r="AL241" s="267"/>
      <c r="AM241" s="267"/>
      <c r="AN241" s="75"/>
    </row>
    <row r="242" spans="1:40" s="6" customFormat="1" ht="11.25" x14ac:dyDescent="0.2">
      <c r="A242" s="56">
        <f t="shared" si="98"/>
        <v>46615</v>
      </c>
      <c r="B242" s="413">
        <f>'2026'!Wh/'2026'!Env_an*'2027'!Env_an</f>
        <v>28.445423933802019</v>
      </c>
      <c r="C242" s="868"/>
      <c r="D242" s="395">
        <f t="shared" si="77"/>
        <v>30.717439640357362</v>
      </c>
      <c r="E242" s="387">
        <f t="shared" si="100"/>
        <v>34.481505107807791</v>
      </c>
      <c r="F242" s="387">
        <f t="shared" si="78"/>
        <v>34.508329948232806</v>
      </c>
      <c r="G242" s="110">
        <f t="shared" si="101"/>
        <v>0.61207651397026908</v>
      </c>
      <c r="H242" s="416" t="b">
        <f>Wh_hp&gt;='2026'!Maxi_hp</f>
        <v>0</v>
      </c>
      <c r="I242" s="392">
        <f>IF(H242,Wh_hp,'2026'!Maxi_hp)</f>
        <v>55.398390259601427</v>
      </c>
      <c r="J242" s="85">
        <f>IF(H242,An,'2026'!An_max)</f>
        <v>2019</v>
      </c>
      <c r="K242" s="199">
        <f t="shared" si="79"/>
        <v>46615</v>
      </c>
      <c r="L242" s="147">
        <f>IF(t&lt;Tvie,1-EXP((T0-t)*PertePVj)+'2026'!Pspv,1-EXP((T0-t)*PertePVj)+Pspv)</f>
        <v>7.396500923111804E-2</v>
      </c>
      <c r="M242" s="872"/>
      <c r="N242" s="872"/>
      <c r="O242" s="48">
        <f>IF(t&lt;Tnet,'2026'!Resal+('2026'!Salim-'2026'!Resal)*(1-EXP(('2026'!Tnet-t)/('2026'!Tau_j))),Resal+(Salim-Resal)*(1-EXP((Tnet-t)/(Tau_j))))*Salcycl</f>
        <v>0.10916186679444323</v>
      </c>
      <c r="P242" s="171">
        <f>(INDEX(Models!$BJ242:$BT242,,T242)*(1-R242)+INDEX(Models!$BJ242:$BT242,,T242+1)*R242-ERP_i)*Q242*Ramure*Pc/MaxiM</f>
        <v>1.7403205900900112E-3</v>
      </c>
      <c r="Q242" s="307">
        <f t="shared" si="80"/>
        <v>0.9</v>
      </c>
      <c r="R242" s="179">
        <f t="shared" si="81"/>
        <v>0.22302652763997</v>
      </c>
      <c r="S242" s="839">
        <f t="shared" si="82"/>
        <v>-1</v>
      </c>
      <c r="T242" s="178">
        <f t="shared" si="83"/>
        <v>5</v>
      </c>
      <c r="U242" s="253">
        <f t="shared" si="84"/>
        <v>-0.77697347236003</v>
      </c>
      <c r="V242" s="385">
        <f t="shared" si="85"/>
        <v>46.42885275897941</v>
      </c>
      <c r="W242" s="404">
        <f t="shared" si="86"/>
        <v>28.445423933802019</v>
      </c>
      <c r="X242" s="157">
        <f t="shared" si="87"/>
        <v>46615</v>
      </c>
      <c r="Y242" s="387">
        <f t="shared" si="88"/>
        <v>26.063380334085242</v>
      </c>
      <c r="Z242" s="387">
        <f t="shared" si="89"/>
        <v>28.14513554444088</v>
      </c>
      <c r="AA242" s="388">
        <f t="shared" si="90"/>
        <v>34.264318384903412</v>
      </c>
      <c r="AB242" s="199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0.17858761326355746</v>
      </c>
      <c r="AD242" s="233">
        <f>(INDEX(Models!$BJ242:$BT242,,AH242)*(1-AF242)+INDEX(Models!$BJ242:$BT242,,AH242+1)*AF242-ERP_i)*AE242*Ramure*Pc/MaxiM</f>
        <v>1.5830787477350932E-2</v>
      </c>
      <c r="AE242" s="307">
        <f t="shared" si="92"/>
        <v>0.9</v>
      </c>
      <c r="AF242" s="179">
        <f t="shared" si="93"/>
        <v>0.85868217994694884</v>
      </c>
      <c r="AG242" s="839">
        <f t="shared" si="99"/>
        <v>3</v>
      </c>
      <c r="AH242" s="178">
        <f t="shared" si="94"/>
        <v>9</v>
      </c>
      <c r="AI242" s="227">
        <f t="shared" si="95"/>
        <v>3.8586821799469488</v>
      </c>
      <c r="AJ242" s="267" t="b">
        <f t="shared" si="96"/>
        <v>0</v>
      </c>
      <c r="AK242" s="267" t="b">
        <f t="shared" si="97"/>
        <v>0</v>
      </c>
      <c r="AL242" s="267"/>
      <c r="AM242" s="267"/>
      <c r="AN242" s="75"/>
    </row>
    <row r="243" spans="1:40" s="6" customFormat="1" ht="11.25" x14ac:dyDescent="0.2">
      <c r="A243" s="56">
        <f t="shared" si="98"/>
        <v>46616</v>
      </c>
      <c r="B243" s="413">
        <f>'2026'!Wh/'2026'!Env_an*'2027'!Env_an</f>
        <v>20.614384638032071</v>
      </c>
      <c r="C243" s="868"/>
      <c r="D243" s="395">
        <f t="shared" si="77"/>
        <v>22.261431351450408</v>
      </c>
      <c r="E243" s="387">
        <f t="shared" si="100"/>
        <v>24.992974417245772</v>
      </c>
      <c r="F243" s="387">
        <f t="shared" si="78"/>
        <v>25.002613338004675</v>
      </c>
      <c r="G243" s="110">
        <f t="shared" si="101"/>
        <v>0.44532914162129367</v>
      </c>
      <c r="H243" s="416" t="b">
        <f>Wh_hp&gt;='2026'!Maxi_hp</f>
        <v>0</v>
      </c>
      <c r="I243" s="392">
        <f>IF(H243,Wh_hp,'2026'!Maxi_hp)</f>
        <v>54.145647175100791</v>
      </c>
      <c r="J243" s="85">
        <f>IF(H243,An,'2026'!An_max)</f>
        <v>2019</v>
      </c>
      <c r="K243" s="199">
        <f t="shared" si="79"/>
        <v>46616</v>
      </c>
      <c r="L243" s="147">
        <f>IF(t&lt;Tvie,1-EXP((T0-t)*PertePVj)+'2026'!Pspv,1-EXP((T0-t)*PertePVj)+Pspv)</f>
        <v>7.3986559418203202E-2</v>
      </c>
      <c r="M243" s="872"/>
      <c r="N243" s="872"/>
      <c r="O243" s="48">
        <f>IF(t&lt;Tnet,'2026'!Resal+('2026'!Salim-'2026'!Resal)*(1-EXP(('2026'!Tnet-t)/('2026'!Tau_j))),Resal+(Salim-Resal)*(1-EXP((Tnet-t)/(Tau_j))))*Salcycl</f>
        <v>0.10929243635405524</v>
      </c>
      <c r="P243" s="171">
        <f>(INDEX(Models!$BJ243:$BT243,,T243)*(1-R243)+INDEX(Models!$BJ243:$BT243,,T243+1)*R243-ERP_i)*Q243*Ramure*Pc/MaxiM</f>
        <v>1.8485961009987546E-3</v>
      </c>
      <c r="Q243" s="307">
        <f t="shared" si="80"/>
        <v>0.9</v>
      </c>
      <c r="R243" s="179">
        <f t="shared" si="81"/>
        <v>0.22462004408876368</v>
      </c>
      <c r="S243" s="839">
        <f t="shared" si="82"/>
        <v>-1</v>
      </c>
      <c r="T243" s="178">
        <f t="shared" si="83"/>
        <v>5</v>
      </c>
      <c r="U243" s="253">
        <f t="shared" si="84"/>
        <v>-0.77537995591123632</v>
      </c>
      <c r="V243" s="385">
        <f t="shared" si="85"/>
        <v>46.222469174662905</v>
      </c>
      <c r="W243" s="404">
        <f t="shared" si="86"/>
        <v>20.614384638032071</v>
      </c>
      <c r="X243" s="157">
        <f t="shared" si="87"/>
        <v>46616</v>
      </c>
      <c r="Y243" s="387">
        <f t="shared" si="88"/>
        <v>18.95194784035014</v>
      </c>
      <c r="Z243" s="387">
        <f t="shared" si="89"/>
        <v>20.466169290634689</v>
      </c>
      <c r="AA243" s="388">
        <f t="shared" si="90"/>
        <v>24.917336829080067</v>
      </c>
      <c r="AB243" s="199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0.17863737079841505</v>
      </c>
      <c r="AD243" s="233">
        <f>(INDEX(Models!$BJ243:$BT243,,AH243)*(1-AF243)+INDEX(Models!$BJ243:$BT243,,AH243+1)*AF243-ERP_i)*AE243*Ramure*Pc/MaxiM</f>
        <v>1.6354717073400547E-2</v>
      </c>
      <c r="AE243" s="307">
        <f t="shared" si="92"/>
        <v>0.9</v>
      </c>
      <c r="AF243" s="179">
        <f t="shared" si="93"/>
        <v>0.86027569639574253</v>
      </c>
      <c r="AG243" s="839">
        <f t="shared" si="99"/>
        <v>3</v>
      </c>
      <c r="AH243" s="178">
        <f t="shared" si="94"/>
        <v>9</v>
      </c>
      <c r="AI243" s="227">
        <f t="shared" si="95"/>
        <v>3.8602756963957425</v>
      </c>
      <c r="AJ243" s="267" t="b">
        <f t="shared" si="96"/>
        <v>0</v>
      </c>
      <c r="AK243" s="267" t="b">
        <f t="shared" si="97"/>
        <v>0</v>
      </c>
      <c r="AL243" s="267"/>
      <c r="AM243" s="267"/>
      <c r="AN243" s="75"/>
    </row>
    <row r="244" spans="1:40" s="6" customFormat="1" ht="11.25" x14ac:dyDescent="0.2">
      <c r="A244" s="56">
        <f t="shared" si="98"/>
        <v>46617</v>
      </c>
      <c r="B244" s="413">
        <f>'2026'!Wh/'2026'!Env_an*'2027'!Env_an</f>
        <v>34.757144921203981</v>
      </c>
      <c r="C244" s="868"/>
      <c r="D244" s="395">
        <f t="shared" si="77"/>
        <v>37.535042437104373</v>
      </c>
      <c r="E244" s="387">
        <f t="shared" si="100"/>
        <v>42.146853391426873</v>
      </c>
      <c r="F244" s="387">
        <f t="shared" si="78"/>
        <v>42.200632538429332</v>
      </c>
      <c r="G244" s="110">
        <f t="shared" si="101"/>
        <v>0.75489519142064754</v>
      </c>
      <c r="H244" s="416" t="b">
        <f>Wh_hp&gt;='2026'!Maxi_hp</f>
        <v>0</v>
      </c>
      <c r="I244" s="392">
        <f>IF(H244,Wh_hp,'2026'!Maxi_hp)</f>
        <v>53.373753498683605</v>
      </c>
      <c r="J244" s="85">
        <f>IF(H244,An,'2026'!An_max)</f>
        <v>2021</v>
      </c>
      <c r="K244" s="199">
        <f t="shared" si="79"/>
        <v>46617</v>
      </c>
      <c r="L244" s="147">
        <f>IF(t&lt;Tvie,1-EXP((T0-t)*PertePVj)+'2026'!Pspv,1-EXP((T0-t)*PertePVj)+Pspv)</f>
        <v>7.4008109103784192E-2</v>
      </c>
      <c r="M244" s="872"/>
      <c r="N244" s="872"/>
      <c r="O244" s="48">
        <f>IF(t&lt;Tnet,'2026'!Resal+('2026'!Salim-'2026'!Resal)*(1-EXP(('2026'!Tnet-t)/('2026'!Tau_j))),Resal+(Salim-Resal)*(1-EXP((Tnet-t)/(Tau_j))))*Salcycl</f>
        <v>0.10942242618901156</v>
      </c>
      <c r="P244" s="171">
        <f>(INDEX(Models!$BJ244:$BT244,,T244)*(1-R244)+INDEX(Models!$BJ244:$BT244,,T244+1)*R244-ERP_i)*Q244*Ramure*Pc/MaxiM</f>
        <v>1.9587891418466384E-3</v>
      </c>
      <c r="Q244" s="307">
        <f t="shared" si="80"/>
        <v>0.9</v>
      </c>
      <c r="R244" s="179">
        <f t="shared" si="81"/>
        <v>0.22615666281550273</v>
      </c>
      <c r="S244" s="839">
        <f t="shared" si="82"/>
        <v>-1</v>
      </c>
      <c r="T244" s="178">
        <f t="shared" si="83"/>
        <v>5</v>
      </c>
      <c r="U244" s="253">
        <f t="shared" si="84"/>
        <v>-0.77384333718449727</v>
      </c>
      <c r="V244" s="385">
        <f t="shared" si="85"/>
        <v>46.010792552980639</v>
      </c>
      <c r="W244" s="404">
        <f t="shared" si="86"/>
        <v>34.757144921203981</v>
      </c>
      <c r="X244" s="157">
        <f t="shared" si="87"/>
        <v>46617</v>
      </c>
      <c r="Y244" s="387">
        <f t="shared" si="88"/>
        <v>31.742693948885616</v>
      </c>
      <c r="Z244" s="387">
        <f t="shared" si="89"/>
        <v>34.279667306982176</v>
      </c>
      <c r="AA244" s="388">
        <f t="shared" si="90"/>
        <v>41.737609852154897</v>
      </c>
      <c r="AB244" s="199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0.17868638313479443</v>
      </c>
      <c r="AD244" s="233">
        <f>(INDEX(Models!$BJ244:$BT244,,AH244)*(1-AF244)+INDEX(Models!$BJ244:$BT244,,AH244+1)*AF244-ERP_i)*AE244*Ramure*Pc/MaxiM</f>
        <v>1.686460014439202E-2</v>
      </c>
      <c r="AE244" s="307">
        <f t="shared" si="92"/>
        <v>0.9</v>
      </c>
      <c r="AF244" s="179">
        <f t="shared" si="93"/>
        <v>0.86181231512248146</v>
      </c>
      <c r="AG244" s="839">
        <f t="shared" si="99"/>
        <v>3</v>
      </c>
      <c r="AH244" s="178">
        <f t="shared" si="94"/>
        <v>9</v>
      </c>
      <c r="AI244" s="227">
        <f t="shared" si="95"/>
        <v>3.8618123151224815</v>
      </c>
      <c r="AJ244" s="267" t="b">
        <f t="shared" si="96"/>
        <v>0</v>
      </c>
      <c r="AK244" s="267" t="b">
        <f t="shared" si="97"/>
        <v>0</v>
      </c>
      <c r="AL244" s="267"/>
      <c r="AM244" s="267"/>
      <c r="AN244" s="75"/>
    </row>
    <row r="245" spans="1:40" s="6" customFormat="1" ht="11.25" x14ac:dyDescent="0.2">
      <c r="A245" s="56">
        <f t="shared" si="98"/>
        <v>46618</v>
      </c>
      <c r="B245" s="413">
        <f>'2026'!Wh/'2026'!Env_an*'2027'!Env_an</f>
        <v>35.987454610615607</v>
      </c>
      <c r="C245" s="868"/>
      <c r="D245" s="395">
        <f t="shared" si="77"/>
        <v>38.864586682198137</v>
      </c>
      <c r="E245" s="387">
        <f t="shared" si="100"/>
        <v>43.646095904963339</v>
      </c>
      <c r="F245" s="387">
        <f t="shared" si="78"/>
        <v>43.708925138682567</v>
      </c>
      <c r="G245" s="110">
        <f t="shared" si="101"/>
        <v>0.78536596710475082</v>
      </c>
      <c r="H245" s="416" t="b">
        <f>Wh_hp&gt;='2026'!Maxi_hp</f>
        <v>0</v>
      </c>
      <c r="I245" s="392">
        <f>IF(H245,Wh_hp,'2026'!Maxi_hp)</f>
        <v>48.36638609373653</v>
      </c>
      <c r="J245" s="85">
        <f>IF(H245,An,'2026'!An_max)</f>
        <v>2021</v>
      </c>
      <c r="K245" s="199">
        <f t="shared" si="79"/>
        <v>46618</v>
      </c>
      <c r="L245" s="147">
        <f>IF(t&lt;Tvie,1-EXP((T0-t)*PertePVj)+'2026'!Pspv,1-EXP((T0-t)*PertePVj)+Pspv)</f>
        <v>7.4029658287872446E-2</v>
      </c>
      <c r="M245" s="872"/>
      <c r="N245" s="872"/>
      <c r="O245" s="48">
        <f>IF(t&lt;Tnet,'2026'!Resal+('2026'!Salim-'2026'!Resal)*(1-EXP(('2026'!Tnet-t)/('2026'!Tau_j))),Resal+(Salim-Resal)*(1-EXP((Tnet-t)/(Tau_j))))*Salcycl</f>
        <v>0.10955181955281047</v>
      </c>
      <c r="P245" s="171">
        <f>(INDEX(Models!$BJ245:$BT245,,T245)*(1-R245)+INDEX(Models!$BJ245:$BT245,,T245+1)*R245-ERP_i)*Q245*Ramure*Pc/MaxiM</f>
        <v>2.0709731260370266E-3</v>
      </c>
      <c r="Q245" s="307">
        <f t="shared" si="80"/>
        <v>0.9</v>
      </c>
      <c r="R245" s="179">
        <f t="shared" si="81"/>
        <v>0.22763814848471775</v>
      </c>
      <c r="S245" s="839">
        <f t="shared" si="82"/>
        <v>-1</v>
      </c>
      <c r="T245" s="178">
        <f t="shared" si="83"/>
        <v>5</v>
      </c>
      <c r="U245" s="253">
        <f t="shared" si="84"/>
        <v>-0.77236185151528225</v>
      </c>
      <c r="V245" s="385">
        <f t="shared" si="85"/>
        <v>45.793457165692558</v>
      </c>
      <c r="W245" s="404">
        <f t="shared" si="86"/>
        <v>35.987454610615607</v>
      </c>
      <c r="X245" s="157">
        <f t="shared" si="87"/>
        <v>46618</v>
      </c>
      <c r="Y245" s="387">
        <f t="shared" si="88"/>
        <v>32.838685592458809</v>
      </c>
      <c r="Z245" s="387">
        <f t="shared" si="89"/>
        <v>35.464079261696206</v>
      </c>
      <c r="AA245" s="388">
        <f t="shared" si="90"/>
        <v>43.182240870816194</v>
      </c>
      <c r="AB245" s="199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0.17873462454645669</v>
      </c>
      <c r="AD245" s="233">
        <f>(INDEX(Models!$BJ245:$BT245,,AH245)*(1-AF245)+INDEX(Models!$BJ245:$BT245,,AH245+1)*AF245-ERP_i)*AE245*Ramure*Pc/MaxiM</f>
        <v>1.7360532670700306E-2</v>
      </c>
      <c r="AE245" s="307">
        <f t="shared" si="92"/>
        <v>0.9</v>
      </c>
      <c r="AF245" s="179">
        <f t="shared" si="93"/>
        <v>0.8632938007916966</v>
      </c>
      <c r="AG245" s="839">
        <f t="shared" si="99"/>
        <v>3</v>
      </c>
      <c r="AH245" s="178">
        <f t="shared" si="94"/>
        <v>9</v>
      </c>
      <c r="AI245" s="227">
        <f t="shared" si="95"/>
        <v>3.8632938007916966</v>
      </c>
      <c r="AJ245" s="267" t="b">
        <f t="shared" si="96"/>
        <v>0</v>
      </c>
      <c r="AK245" s="267" t="b">
        <f t="shared" si="97"/>
        <v>0</v>
      </c>
      <c r="AL245" s="267"/>
      <c r="AM245" s="267"/>
      <c r="AN245" s="75"/>
    </row>
    <row r="246" spans="1:40" s="6" customFormat="1" ht="11.25" x14ac:dyDescent="0.2">
      <c r="A246" s="56">
        <f t="shared" si="98"/>
        <v>46619</v>
      </c>
      <c r="B246" s="413">
        <f>'2026'!Wh/'2026'!Env_an*'2027'!Env_an</f>
        <v>42.417979989504893</v>
      </c>
      <c r="C246" s="868"/>
      <c r="D246" s="395">
        <f t="shared" si="77"/>
        <v>45.81028703619959</v>
      </c>
      <c r="E246" s="387">
        <f t="shared" si="100"/>
        <v>51.453767000018146</v>
      </c>
      <c r="F246" s="387">
        <f t="shared" si="78"/>
        <v>51.555294536138931</v>
      </c>
      <c r="G246" s="110">
        <f t="shared" si="101"/>
        <v>0.93062786175021295</v>
      </c>
      <c r="H246" s="416" t="b">
        <f>Wh_hp&gt;='2026'!Maxi_hp</f>
        <v>0</v>
      </c>
      <c r="I246" s="392">
        <f>IF(H246,Wh_hp,'2026'!Maxi_hp)</f>
        <v>52.08934331759658</v>
      </c>
      <c r="J246" s="85">
        <f>IF(H246,An,'2026'!An_max)</f>
        <v>2021</v>
      </c>
      <c r="K246" s="199">
        <f t="shared" si="79"/>
        <v>46619</v>
      </c>
      <c r="L246" s="147">
        <f>IF(t&lt;Tvie,1-EXP((T0-t)*PertePVj)+'2026'!Pspv,1-EXP((T0-t)*PertePVj)+Pspv)</f>
        <v>7.4051206970479622E-2</v>
      </c>
      <c r="M246" s="872"/>
      <c r="N246" s="872"/>
      <c r="O246" s="48">
        <f>IF(t&lt;Tnet,'2026'!Resal+('2026'!Salim-'2026'!Resal)*(1-EXP(('2026'!Tnet-t)/('2026'!Tau_j))),Resal+(Salim-Resal)*(1-EXP((Tnet-t)/(Tau_j))))*Salcycl</f>
        <v>0.10968059858118001</v>
      </c>
      <c r="P246" s="171">
        <f>(INDEX(Models!$BJ246:$BT246,,T246)*(1-R246)+INDEX(Models!$BJ246:$BT246,,T246+1)*R246-ERP_i)*Q246*Ramure*Pc/MaxiM</f>
        <v>2.1852281578489678E-3</v>
      </c>
      <c r="Q246" s="307">
        <f t="shared" si="80"/>
        <v>0.9</v>
      </c>
      <c r="R246" s="179">
        <f t="shared" si="81"/>
        <v>0.22906623118171721</v>
      </c>
      <c r="S246" s="839">
        <f t="shared" si="82"/>
        <v>-1</v>
      </c>
      <c r="T246" s="178">
        <f t="shared" si="83"/>
        <v>5</v>
      </c>
      <c r="U246" s="253">
        <f t="shared" si="84"/>
        <v>-0.77093376881828279</v>
      </c>
      <c r="V246" s="385">
        <f t="shared" si="85"/>
        <v>45.570097534874897</v>
      </c>
      <c r="W246" s="404">
        <f t="shared" si="86"/>
        <v>42.417979989504893</v>
      </c>
      <c r="X246" s="157">
        <f t="shared" si="87"/>
        <v>46619</v>
      </c>
      <c r="Y246" s="387">
        <f t="shared" si="88"/>
        <v>38.572579053804525</v>
      </c>
      <c r="Z246" s="387">
        <f t="shared" si="89"/>
        <v>41.657356588373226</v>
      </c>
      <c r="AA246" s="388">
        <f t="shared" si="90"/>
        <v>50.72631142533497</v>
      </c>
      <c r="AB246" s="199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0.1787820675727726</v>
      </c>
      <c r="AD246" s="233">
        <f>(INDEX(Models!$BJ246:$BT246,,AH246)*(1-AF246)+INDEX(Models!$BJ246:$BT246,,AH246+1)*AF246-ERP_i)*AE246*Ramure*Pc/MaxiM</f>
        <v>1.7842619897275008E-2</v>
      </c>
      <c r="AE246" s="307">
        <f t="shared" si="92"/>
        <v>0.9</v>
      </c>
      <c r="AF246" s="179">
        <f t="shared" si="93"/>
        <v>0.86472188348869627</v>
      </c>
      <c r="AG246" s="839">
        <f t="shared" si="99"/>
        <v>3</v>
      </c>
      <c r="AH246" s="178">
        <f t="shared" si="94"/>
        <v>9</v>
      </c>
      <c r="AI246" s="227">
        <f t="shared" si="95"/>
        <v>3.8647218834886963</v>
      </c>
      <c r="AJ246" s="267" t="b">
        <f t="shared" si="96"/>
        <v>0</v>
      </c>
      <c r="AK246" s="267" t="b">
        <f t="shared" si="97"/>
        <v>0</v>
      </c>
      <c r="AL246" s="267"/>
      <c r="AM246" s="267"/>
      <c r="AN246" s="75"/>
    </row>
    <row r="247" spans="1:40" s="6" customFormat="1" ht="11.25" x14ac:dyDescent="0.2">
      <c r="A247" s="56">
        <f t="shared" si="98"/>
        <v>46620</v>
      </c>
      <c r="B247" s="413">
        <f>'2026'!Wh/'2026'!Env_an*'2027'!Env_an</f>
        <v>27.853493356576482</v>
      </c>
      <c r="C247" s="868"/>
      <c r="D247" s="395">
        <f t="shared" si="77"/>
        <v>30.08172997559587</v>
      </c>
      <c r="E247" s="387">
        <f t="shared" si="100"/>
        <v>33.792434811782783</v>
      </c>
      <c r="F247" s="387">
        <f t="shared" si="78"/>
        <v>33.827392530704699</v>
      </c>
      <c r="G247" s="110">
        <f t="shared" si="101"/>
        <v>0.61352247216811762</v>
      </c>
      <c r="H247" s="416" t="b">
        <f>Wh_hp&gt;='2026'!Maxi_hp</f>
        <v>0</v>
      </c>
      <c r="I247" s="392">
        <f>IF(H247,Wh_hp,'2026'!Maxi_hp)</f>
        <v>51.212941565413232</v>
      </c>
      <c r="J247" s="85">
        <f>IF(H247,An,'2026'!An_max)</f>
        <v>2020</v>
      </c>
      <c r="K247" s="199">
        <f t="shared" si="79"/>
        <v>46620</v>
      </c>
      <c r="L247" s="147">
        <f>IF(t&lt;Tvie,1-EXP((T0-t)*PertePVj)+'2026'!Pspv,1-EXP((T0-t)*PertePVj)+Pspv)</f>
        <v>7.4072755151617597E-2</v>
      </c>
      <c r="M247" s="872"/>
      <c r="N247" s="872"/>
      <c r="O247" s="48">
        <f>IF(t&lt;Tnet,'2026'!Resal+('2026'!Salim-'2026'!Resal)*(1-EXP(('2026'!Tnet-t)/('2026'!Tau_j))),Resal+(Salim-Resal)*(1-EXP((Tnet-t)/(Tau_j))))*Salcycl</f>
        <v>0.10980874437887692</v>
      </c>
      <c r="P247" s="171">
        <f>(INDEX(Models!$BJ247:$BT247,,T247)*(1-R247)+INDEX(Models!$BJ247:$BT247,,T247+1)*R247-ERP_i)*Q247*Ramure*Pc/MaxiM</f>
        <v>2.3015744509917576E-3</v>
      </c>
      <c r="Q247" s="307">
        <f t="shared" si="80"/>
        <v>0.9</v>
      </c>
      <c r="R247" s="179">
        <f t="shared" si="81"/>
        <v>0.23044260545884709</v>
      </c>
      <c r="S247" s="839">
        <f t="shared" si="82"/>
        <v>-1</v>
      </c>
      <c r="T247" s="178">
        <f t="shared" si="83"/>
        <v>5</v>
      </c>
      <c r="U247" s="253">
        <f t="shared" si="84"/>
        <v>-0.76955739454115291</v>
      </c>
      <c r="V247" s="385">
        <f t="shared" si="85"/>
        <v>45.341671077790593</v>
      </c>
      <c r="W247" s="404">
        <f t="shared" si="86"/>
        <v>27.853493356576482</v>
      </c>
      <c r="X247" s="157">
        <f t="shared" si="87"/>
        <v>46620</v>
      </c>
      <c r="Y247" s="387">
        <f t="shared" si="88"/>
        <v>25.509025558291295</v>
      </c>
      <c r="Z247" s="387">
        <f t="shared" si="89"/>
        <v>27.54970836015125</v>
      </c>
      <c r="AA247" s="388">
        <f t="shared" si="90"/>
        <v>33.549282342715252</v>
      </c>
      <c r="AB247" s="199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0.17882868316754683</v>
      </c>
      <c r="AD247" s="233">
        <f>(INDEX(Models!$BJ247:$BT247,,AH247)*(1-AF247)+INDEX(Models!$BJ247:$BT247,,AH247+1)*AF247-ERP_i)*AE247*Ramure*Pc/MaxiM</f>
        <v>1.8310442528211374E-2</v>
      </c>
      <c r="AE247" s="307">
        <f t="shared" si="92"/>
        <v>0.9</v>
      </c>
      <c r="AF247" s="179">
        <f t="shared" si="93"/>
        <v>0.86609825776582605</v>
      </c>
      <c r="AG247" s="839">
        <f t="shared" si="99"/>
        <v>3</v>
      </c>
      <c r="AH247" s="178">
        <f t="shared" si="94"/>
        <v>9</v>
      </c>
      <c r="AI247" s="227">
        <f t="shared" si="95"/>
        <v>3.8660982577658261</v>
      </c>
      <c r="AJ247" s="267" t="b">
        <f t="shared" si="96"/>
        <v>0</v>
      </c>
      <c r="AK247" s="267" t="b">
        <f t="shared" si="97"/>
        <v>0</v>
      </c>
      <c r="AL247" s="267"/>
      <c r="AM247" s="267"/>
      <c r="AN247" s="75"/>
    </row>
    <row r="248" spans="1:40" s="6" customFormat="1" ht="11.25" x14ac:dyDescent="0.2">
      <c r="A248" s="56">
        <f t="shared" si="98"/>
        <v>46621</v>
      </c>
      <c r="B248" s="413">
        <f>'2026'!Wh/'2026'!Env_an*'2027'!Env_an</f>
        <v>22.340936979364731</v>
      </c>
      <c r="C248" s="868"/>
      <c r="D248" s="395">
        <f t="shared" si="77"/>
        <v>24.128739079671263</v>
      </c>
      <c r="E248" s="387">
        <f t="shared" si="100"/>
        <v>27.109000596566066</v>
      </c>
      <c r="F248" s="387">
        <f t="shared" si="78"/>
        <v>27.127302372691013</v>
      </c>
      <c r="G248" s="110">
        <f t="shared" si="101"/>
        <v>0.49439780155413965</v>
      </c>
      <c r="H248" s="416" t="b">
        <f>Wh_hp&gt;='2026'!Maxi_hp</f>
        <v>0</v>
      </c>
      <c r="I248" s="392">
        <f>IF(H248,Wh_hp,'2026'!Maxi_hp)</f>
        <v>55.17534928654144</v>
      </c>
      <c r="J248" s="85">
        <f>IF(H248,An,'2026'!An_max)</f>
        <v>2019</v>
      </c>
      <c r="K248" s="199">
        <f t="shared" si="79"/>
        <v>46621</v>
      </c>
      <c r="L248" s="147">
        <f>IF(t&lt;Tvie,1-EXP((T0-t)*PertePVj)+'2026'!Pspv,1-EXP((T0-t)*PertePVj)+Pspv)</f>
        <v>7.4094302831297809E-2</v>
      </c>
      <c r="M248" s="872"/>
      <c r="N248" s="872"/>
      <c r="O248" s="48">
        <f>IF(t&lt;Tnet,'2026'!Resal+('2026'!Salim-'2026'!Resal)*(1-EXP(('2026'!Tnet-t)/('2026'!Tau_j))),Resal+(Salim-Resal)*(1-EXP((Tnet-t)/(Tau_j))))*Salcycl</f>
        <v>0.10993623709139311</v>
      </c>
      <c r="P248" s="171">
        <f>(INDEX(Models!$BJ248:$BT248,,T248)*(1-R248)+INDEX(Models!$BJ248:$BT248,,T248+1)*R248-ERP_i)*Q248*Ramure*Pc/MaxiM</f>
        <v>2.4186148706193907E-3</v>
      </c>
      <c r="Q248" s="307">
        <f t="shared" si="80"/>
        <v>0.9</v>
      </c>
      <c r="R248" s="179">
        <f t="shared" si="81"/>
        <v>0.23176892955111283</v>
      </c>
      <c r="S248" s="839">
        <f t="shared" si="82"/>
        <v>-1</v>
      </c>
      <c r="T248" s="178">
        <f t="shared" si="83"/>
        <v>5</v>
      </c>
      <c r="U248" s="253">
        <f t="shared" si="84"/>
        <v>-0.76823107044888717</v>
      </c>
      <c r="V248" s="385">
        <f t="shared" si="85"/>
        <v>45.109321031907861</v>
      </c>
      <c r="W248" s="404">
        <f t="shared" si="86"/>
        <v>22.340936979364731</v>
      </c>
      <c r="X248" s="157">
        <f t="shared" si="87"/>
        <v>46621</v>
      </c>
      <c r="Y248" s="387">
        <f t="shared" si="88"/>
        <v>20.516557799474981</v>
      </c>
      <c r="Z248" s="387">
        <f t="shared" si="89"/>
        <v>22.158366518547101</v>
      </c>
      <c r="AA248" s="388">
        <f t="shared" si="90"/>
        <v>26.985357197674944</v>
      </c>
      <c r="AB248" s="199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0.17887444082243747</v>
      </c>
      <c r="AD248" s="233">
        <f>(INDEX(Models!$BJ248:$BT248,,AH248)*(1-AF248)+INDEX(Models!$BJ248:$BT248,,AH248+1)*AF248-ERP_i)*AE248*Ramure*Pc/MaxiM</f>
        <v>1.8758327539508707E-2</v>
      </c>
      <c r="AE248" s="307">
        <f t="shared" si="92"/>
        <v>0.9</v>
      </c>
      <c r="AF248" s="179">
        <f t="shared" si="93"/>
        <v>0.86742458185809168</v>
      </c>
      <c r="AG248" s="839">
        <f t="shared" si="99"/>
        <v>3</v>
      </c>
      <c r="AH248" s="178">
        <f t="shared" si="94"/>
        <v>9</v>
      </c>
      <c r="AI248" s="227">
        <f t="shared" si="95"/>
        <v>3.8674245818580917</v>
      </c>
      <c r="AJ248" s="267" t="b">
        <f t="shared" si="96"/>
        <v>0</v>
      </c>
      <c r="AK248" s="267" t="b">
        <f t="shared" si="97"/>
        <v>0</v>
      </c>
      <c r="AL248" s="267"/>
      <c r="AM248" s="267"/>
      <c r="AN248" s="75"/>
    </row>
    <row r="249" spans="1:40" s="6" customFormat="1" ht="11.25" x14ac:dyDescent="0.2">
      <c r="A249" s="56">
        <f t="shared" si="98"/>
        <v>46622</v>
      </c>
      <c r="B249" s="413">
        <f>'2026'!Wh/'2026'!Env_an*'2027'!Env_an</f>
        <v>39.604269131456469</v>
      </c>
      <c r="C249" s="868"/>
      <c r="D249" s="395">
        <f t="shared" si="77"/>
        <v>42.774540564134512</v>
      </c>
      <c r="E249" s="387">
        <f t="shared" si="100"/>
        <v>48.064686886694147</v>
      </c>
      <c r="F249" s="387">
        <f t="shared" si="78"/>
        <v>48.166305673590259</v>
      </c>
      <c r="G249" s="110">
        <f t="shared" si="101"/>
        <v>0.88221101349040676</v>
      </c>
      <c r="H249" s="416" t="b">
        <f>Wh_hp&gt;='2026'!Maxi_hp</f>
        <v>0</v>
      </c>
      <c r="I249" s="392">
        <f>IF(H249,Wh_hp,'2026'!Maxi_hp)</f>
        <v>52.366514381661467</v>
      </c>
      <c r="J249" s="85">
        <f>IF(H249,An,'2026'!An_max)</f>
        <v>2019</v>
      </c>
      <c r="K249" s="199">
        <f t="shared" si="79"/>
        <v>46622</v>
      </c>
      <c r="L249" s="147">
        <f>IF(t&lt;Tvie,1-EXP((T0-t)*PertePVj)+'2026'!Pspv,1-EXP((T0-t)*PertePVj)+Pspv)</f>
        <v>7.4115850009532136E-2</v>
      </c>
      <c r="M249" s="872"/>
      <c r="N249" s="872"/>
      <c r="O249" s="48">
        <f>IF(t&lt;Tnet,'2026'!Resal+('2026'!Salim-'2026'!Resal)*(1-EXP(('2026'!Tnet-t)/('2026'!Tau_j))),Resal+(Salim-Resal)*(1-EXP((Tnet-t)/(Tau_j))))*Salcycl</f>
        <v>0.11006305596103069</v>
      </c>
      <c r="P249" s="171">
        <f>(INDEX(Models!$BJ249:$BT249,,T249)*(1-R249)+INDEX(Models!$BJ249:$BT249,,T249+1)*R249-ERP_i)*Q249*Ramure*Pc/MaxiM</f>
        <v>2.5349410380968228E-3</v>
      </c>
      <c r="Q249" s="307">
        <f t="shared" si="80"/>
        <v>0.9</v>
      </c>
      <c r="R249" s="179">
        <f t="shared" si="81"/>
        <v>0.23304682474925364</v>
      </c>
      <c r="S249" s="839">
        <f t="shared" si="82"/>
        <v>-1</v>
      </c>
      <c r="T249" s="178">
        <f t="shared" si="83"/>
        <v>5</v>
      </c>
      <c r="U249" s="253">
        <f t="shared" si="84"/>
        <v>-0.76695317525074636</v>
      </c>
      <c r="V249" s="385">
        <f t="shared" si="85"/>
        <v>44.87293117043081</v>
      </c>
      <c r="W249" s="404">
        <f t="shared" si="86"/>
        <v>39.604269131456469</v>
      </c>
      <c r="X249" s="157">
        <f t="shared" si="87"/>
        <v>46622</v>
      </c>
      <c r="Y249" s="387">
        <f t="shared" si="88"/>
        <v>36.032261300178241</v>
      </c>
      <c r="Z249" s="387">
        <f t="shared" si="89"/>
        <v>38.916598043663669</v>
      </c>
      <c r="AA249" s="388">
        <f t="shared" si="90"/>
        <v>47.396800892192374</v>
      </c>
      <c r="AB249" s="199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0.17891930866426128</v>
      </c>
      <c r="AD249" s="233">
        <f>(INDEX(Models!$BJ249:$BT249,,AH249)*(1-AF249)+INDEX(Models!$BJ249:$BT249,,AH249+1)*AF249-ERP_i)*AE249*Ramure*Pc/MaxiM</f>
        <v>1.9195754141125836E-2</v>
      </c>
      <c r="AE249" s="307">
        <f t="shared" si="92"/>
        <v>0.9</v>
      </c>
      <c r="AF249" s="179">
        <f t="shared" si="93"/>
        <v>0.8687024770562326</v>
      </c>
      <c r="AG249" s="839">
        <f t="shared" si="99"/>
        <v>3</v>
      </c>
      <c r="AH249" s="178">
        <f t="shared" si="94"/>
        <v>9</v>
      </c>
      <c r="AI249" s="227">
        <f t="shared" si="95"/>
        <v>3.8687024770562326</v>
      </c>
      <c r="AJ249" s="267" t="b">
        <f t="shared" si="96"/>
        <v>0</v>
      </c>
      <c r="AK249" s="267" t="b">
        <f t="shared" si="97"/>
        <v>0</v>
      </c>
      <c r="AL249" s="267"/>
      <c r="AM249" s="267"/>
      <c r="AN249" s="75"/>
    </row>
    <row r="250" spans="1:40" s="6" customFormat="1" ht="11.25" x14ac:dyDescent="0.2">
      <c r="A250" s="56">
        <f t="shared" si="98"/>
        <v>46623</v>
      </c>
      <c r="B250" s="413">
        <f>'2026'!Wh/'2026'!Env_an*'2027'!Env_an</f>
        <v>39.991333104508612</v>
      </c>
      <c r="C250" s="868"/>
      <c r="D250" s="395">
        <f t="shared" si="77"/>
        <v>43.193593694549698</v>
      </c>
      <c r="E250" s="387">
        <f t="shared" si="100"/>
        <v>48.542445981749196</v>
      </c>
      <c r="F250" s="387">
        <f t="shared" si="78"/>
        <v>48.65224633585472</v>
      </c>
      <c r="G250" s="110">
        <f t="shared" si="101"/>
        <v>0.89566375619974592</v>
      </c>
      <c r="H250" s="416" t="b">
        <f>Wh_hp&gt;='2026'!Maxi_hp</f>
        <v>0</v>
      </c>
      <c r="I250" s="392">
        <f>IF(H250,Wh_hp,'2026'!Maxi_hp)</f>
        <v>52.23999379446547</v>
      </c>
      <c r="J250" s="85">
        <f>IF(H250,An,'2026'!An_max)</f>
        <v>2019</v>
      </c>
      <c r="K250" s="199">
        <f t="shared" si="79"/>
        <v>46623</v>
      </c>
      <c r="L250" s="147">
        <f>IF(t&lt;Tvie,1-EXP((T0-t)*PertePVj)+'2026'!Pspv,1-EXP((T0-t)*PertePVj)+Pspv)</f>
        <v>7.4137396686332124E-2</v>
      </c>
      <c r="M250" s="872"/>
      <c r="N250" s="872"/>
      <c r="O250" s="48">
        <f>IF(t&lt;Tnet,'2026'!Resal+('2026'!Salim-'2026'!Resal)*(1-EXP(('2026'!Tnet-t)/('2026'!Tau_j))),Resal+(Salim-Resal)*(1-EXP((Tnet-t)/(Tau_j))))*Salcycl</f>
        <v>0.11018917936707472</v>
      </c>
      <c r="P250" s="171">
        <f>(INDEX(Models!$BJ250:$BT250,,T250)*(1-R250)+INDEX(Models!$BJ250:$BT250,,T250+1)*R250-ERP_i)*Q250*Ramure*Pc/MaxiM</f>
        <v>2.650574307778414E-3</v>
      </c>
      <c r="Q250" s="307">
        <f t="shared" si="80"/>
        <v>0.9</v>
      </c>
      <c r="R250" s="179">
        <f t="shared" si="81"/>
        <v>0.2342778749187836</v>
      </c>
      <c r="S250" s="839">
        <f t="shared" si="82"/>
        <v>-1</v>
      </c>
      <c r="T250" s="178">
        <f t="shared" si="83"/>
        <v>5</v>
      </c>
      <c r="U250" s="253">
        <f t="shared" si="84"/>
        <v>-0.7657221250812164</v>
      </c>
      <c r="V250" s="385">
        <f t="shared" si="85"/>
        <v>44.632320183408574</v>
      </c>
      <c r="W250" s="404">
        <f t="shared" si="86"/>
        <v>39.991333104508612</v>
      </c>
      <c r="X250" s="157">
        <f t="shared" si="87"/>
        <v>46623</v>
      </c>
      <c r="Y250" s="387">
        <f t="shared" si="88"/>
        <v>36.365920812901649</v>
      </c>
      <c r="Z250" s="387">
        <f t="shared" si="89"/>
        <v>39.277880630179681</v>
      </c>
      <c r="AA250" s="388">
        <f t="shared" si="90"/>
        <v>47.839369917189607</v>
      </c>
      <c r="AB250" s="199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0.17896325352591264</v>
      </c>
      <c r="AD250" s="233">
        <f>(INDEX(Models!$BJ250:$BT250,,AH250)*(1-AF250)+INDEX(Models!$BJ250:$BT250,,AH250+1)*AF250-ERP_i)*AE250*Ramure*Pc/MaxiM</f>
        <v>1.962279054803464E-2</v>
      </c>
      <c r="AE250" s="307">
        <f t="shared" si="92"/>
        <v>0.9</v>
      </c>
      <c r="AF250" s="179">
        <f t="shared" si="93"/>
        <v>0.86993352722576267</v>
      </c>
      <c r="AG250" s="839">
        <f t="shared" si="99"/>
        <v>3</v>
      </c>
      <c r="AH250" s="178">
        <f t="shared" si="94"/>
        <v>9</v>
      </c>
      <c r="AI250" s="227">
        <f t="shared" si="95"/>
        <v>3.8699335272257627</v>
      </c>
      <c r="AJ250" s="267" t="b">
        <f t="shared" si="96"/>
        <v>0</v>
      </c>
      <c r="AK250" s="267" t="b">
        <f t="shared" si="97"/>
        <v>0</v>
      </c>
      <c r="AL250" s="267"/>
      <c r="AM250" s="267"/>
      <c r="AN250" s="75"/>
    </row>
    <row r="251" spans="1:40" s="6" customFormat="1" ht="11.25" x14ac:dyDescent="0.2">
      <c r="A251" s="56">
        <f t="shared" si="98"/>
        <v>46624</v>
      </c>
      <c r="B251" s="413">
        <f>'2026'!Wh/'2026'!Env_an*'2027'!Env_an</f>
        <v>30.471773352540858</v>
      </c>
      <c r="C251" s="868"/>
      <c r="D251" s="395">
        <f t="shared" si="77"/>
        <v>32.91253192716141</v>
      </c>
      <c r="E251" s="387">
        <f t="shared" si="100"/>
        <v>36.993448882844412</v>
      </c>
      <c r="F251" s="387">
        <f t="shared" si="78"/>
        <v>37.050022900347557</v>
      </c>
      <c r="G251" s="110">
        <f t="shared" si="101"/>
        <v>0.68564587939671284</v>
      </c>
      <c r="H251" s="416" t="b">
        <f>Wh_hp&gt;='2026'!Maxi_hp</f>
        <v>0</v>
      </c>
      <c r="I251" s="392">
        <f>IF(H251,Wh_hp,'2026'!Maxi_hp)</f>
        <v>48.806443569925385</v>
      </c>
      <c r="J251" s="85">
        <f>IF(H251,An,'2026'!An_max)</f>
        <v>2021</v>
      </c>
      <c r="K251" s="199">
        <f t="shared" si="79"/>
        <v>46624</v>
      </c>
      <c r="L251" s="147">
        <f>IF(t&lt;Tvie,1-EXP((T0-t)*PertePVj)+'2026'!Pspv,1-EXP((T0-t)*PertePVj)+Pspv)</f>
        <v>7.4158942861709432E-2</v>
      </c>
      <c r="M251" s="872"/>
      <c r="N251" s="872"/>
      <c r="O251" s="48">
        <f>IF(t&lt;Tnet,'2026'!Resal+('2026'!Salim-'2026'!Resal)*(1-EXP(('2026'!Tnet-t)/('2026'!Tau_j))),Resal+(Salim-Resal)*(1-EXP((Tnet-t)/(Tau_j))))*Salcycl</f>
        <v>0.11031458485006283</v>
      </c>
      <c r="P251" s="171">
        <f>(INDEX(Models!$BJ251:$BT251,,T251)*(1-R251)+INDEX(Models!$BJ251:$BT251,,T251+1)*R251-ERP_i)*Q251*Ramure*Pc/MaxiM</f>
        <v>2.7655399470985441E-3</v>
      </c>
      <c r="Q251" s="307">
        <f t="shared" si="80"/>
        <v>0.9</v>
      </c>
      <c r="R251" s="179">
        <f t="shared" si="81"/>
        <v>0.23546362615393401</v>
      </c>
      <c r="S251" s="839">
        <f t="shared" si="82"/>
        <v>-1</v>
      </c>
      <c r="T251" s="178">
        <f t="shared" si="83"/>
        <v>5</v>
      </c>
      <c r="U251" s="253">
        <f t="shared" si="84"/>
        <v>-0.76453637384606599</v>
      </c>
      <c r="V251" s="385">
        <f t="shared" si="85"/>
        <v>44.387306794401034</v>
      </c>
      <c r="W251" s="404">
        <f t="shared" si="86"/>
        <v>30.471773352540858</v>
      </c>
      <c r="X251" s="157">
        <f t="shared" si="87"/>
        <v>46624</v>
      </c>
      <c r="Y251" s="387">
        <f t="shared" si="88"/>
        <v>27.850480665965957</v>
      </c>
      <c r="Z251" s="387">
        <f t="shared" si="89"/>
        <v>30.081276317610961</v>
      </c>
      <c r="AA251" s="388">
        <f t="shared" si="90"/>
        <v>36.6400791571469</v>
      </c>
      <c r="AB251" s="199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0.1790062409910651</v>
      </c>
      <c r="AD251" s="233">
        <f>(INDEX(Models!$BJ251:$BT251,,AH251)*(1-AF251)+INDEX(Models!$BJ251:$BT251,,AH251+1)*AF251-ERP_i)*AE251*Ramure*Pc/MaxiM</f>
        <v>2.0039513683494398E-2</v>
      </c>
      <c r="AE251" s="307">
        <f t="shared" si="92"/>
        <v>0.9</v>
      </c>
      <c r="AF251" s="179">
        <f t="shared" si="93"/>
        <v>0.87111927846091319</v>
      </c>
      <c r="AG251" s="839">
        <f t="shared" si="99"/>
        <v>3</v>
      </c>
      <c r="AH251" s="178">
        <f t="shared" si="94"/>
        <v>9</v>
      </c>
      <c r="AI251" s="227">
        <f t="shared" si="95"/>
        <v>3.8711192784609132</v>
      </c>
      <c r="AJ251" s="267" t="b">
        <f t="shared" si="96"/>
        <v>0</v>
      </c>
      <c r="AK251" s="267" t="b">
        <f t="shared" si="97"/>
        <v>0</v>
      </c>
      <c r="AL251" s="267"/>
      <c r="AM251" s="267"/>
      <c r="AN251" s="75"/>
    </row>
    <row r="252" spans="1:40" s="6" customFormat="1" ht="11.25" x14ac:dyDescent="0.2">
      <c r="A252" s="56">
        <f t="shared" si="98"/>
        <v>46625</v>
      </c>
      <c r="B252" s="413">
        <f>'2026'!Wh/'2026'!Env_an*'2027'!Env_an</f>
        <v>36.911001060770111</v>
      </c>
      <c r="C252" s="868"/>
      <c r="D252" s="395">
        <f t="shared" si="77"/>
        <v>39.868463133154059</v>
      </c>
      <c r="E252" s="387">
        <f t="shared" si="100"/>
        <v>44.818145465313265</v>
      </c>
      <c r="F252" s="387">
        <f t="shared" si="78"/>
        <v>44.9172446012997</v>
      </c>
      <c r="G252" s="110">
        <f t="shared" si="101"/>
        <v>0.83570449811798853</v>
      </c>
      <c r="H252" s="416" t="b">
        <f>Wh_hp&gt;='2026'!Maxi_hp</f>
        <v>0</v>
      </c>
      <c r="I252" s="392">
        <f>IF(H252,Wh_hp,'2026'!Maxi_hp)</f>
        <v>50.962123018222243</v>
      </c>
      <c r="J252" s="85">
        <f>IF(H252,An,'2026'!An_max)</f>
        <v>2021</v>
      </c>
      <c r="K252" s="199">
        <f t="shared" si="79"/>
        <v>46625</v>
      </c>
      <c r="L252" s="147">
        <f>IF(t&lt;Tvie,1-EXP((T0-t)*PertePVj)+'2026'!Pspv,1-EXP((T0-t)*PertePVj)+Pspv)</f>
        <v>7.4180488535675715E-2</v>
      </c>
      <c r="M252" s="872"/>
      <c r="N252" s="872"/>
      <c r="O252" s="48">
        <f>IF(t&lt;Tnet,'2026'!Resal+('2026'!Salim-'2026'!Resal)*(1-EXP(('2026'!Tnet-t)/('2026'!Tau_j))),Resal+(Salim-Resal)*(1-EXP((Tnet-t)/(Tau_j))))*Salcycl</f>
        <v>0.11043924912042559</v>
      </c>
      <c r="P252" s="171">
        <f>(INDEX(Models!$BJ252:$BT252,,T252)*(1-R252)+INDEX(Models!$BJ252:$BT252,,T252+1)*R252-ERP_i)*Q252*Ramure*Pc/MaxiM</f>
        <v>2.8798645472120246E-3</v>
      </c>
      <c r="Q252" s="307">
        <f t="shared" si="80"/>
        <v>0.9</v>
      </c>
      <c r="R252" s="179">
        <f t="shared" si="81"/>
        <v>0.23660558655589914</v>
      </c>
      <c r="S252" s="839">
        <f t="shared" si="82"/>
        <v>-1</v>
      </c>
      <c r="T252" s="178">
        <f t="shared" si="83"/>
        <v>5</v>
      </c>
      <c r="U252" s="253">
        <f t="shared" si="84"/>
        <v>-0.76339441344410086</v>
      </c>
      <c r="V252" s="385">
        <f t="shared" si="85"/>
        <v>44.137709875105323</v>
      </c>
      <c r="W252" s="404">
        <f t="shared" si="86"/>
        <v>36.911001060770111</v>
      </c>
      <c r="X252" s="157">
        <f t="shared" si="87"/>
        <v>46625</v>
      </c>
      <c r="Y252" s="387">
        <f t="shared" si="88"/>
        <v>33.6047448547804</v>
      </c>
      <c r="Z252" s="387">
        <f t="shared" si="89"/>
        <v>36.297296004951754</v>
      </c>
      <c r="AA252" s="388">
        <f t="shared" si="90"/>
        <v>44.213676820858929</v>
      </c>
      <c r="AB252" s="199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0.17904823541326512</v>
      </c>
      <c r="AD252" s="233">
        <f>(INDEX(Models!$BJ252:$BT252,,AH252)*(1-AF252)+INDEX(Models!$BJ252:$BT252,,AH252+1)*AF252-ERP_i)*AE252*Ramure*Pc/MaxiM</f>
        <v>2.0445989637380934E-2</v>
      </c>
      <c r="AE252" s="307">
        <f t="shared" si="92"/>
        <v>0.9</v>
      </c>
      <c r="AF252" s="179">
        <f t="shared" si="93"/>
        <v>0.87226123886287787</v>
      </c>
      <c r="AG252" s="839">
        <f t="shared" si="99"/>
        <v>3</v>
      </c>
      <c r="AH252" s="178">
        <f t="shared" si="94"/>
        <v>9</v>
      </c>
      <c r="AI252" s="227">
        <f t="shared" si="95"/>
        <v>3.8722612388628779</v>
      </c>
      <c r="AJ252" s="267" t="b">
        <f t="shared" si="96"/>
        <v>0</v>
      </c>
      <c r="AK252" s="267" t="b">
        <f t="shared" si="97"/>
        <v>0</v>
      </c>
      <c r="AL252" s="267"/>
      <c r="AM252" s="267"/>
      <c r="AN252" s="75"/>
    </row>
    <row r="253" spans="1:40" s="6" customFormat="1" ht="11.25" x14ac:dyDescent="0.2">
      <c r="A253" s="56">
        <f t="shared" si="98"/>
        <v>46626</v>
      </c>
      <c r="B253" s="413">
        <f>'2026'!Wh/'2026'!Env_an*'2027'!Env_an</f>
        <v>42.947396654061279</v>
      </c>
      <c r="C253" s="868"/>
      <c r="D253" s="395">
        <f t="shared" si="77"/>
        <v>46.389599262229076</v>
      </c>
      <c r="E253" s="387">
        <f t="shared" si="100"/>
        <v>52.15614707287083</v>
      </c>
      <c r="F253" s="387">
        <f t="shared" si="78"/>
        <v>52.30796397243958</v>
      </c>
      <c r="G253" s="110">
        <f t="shared" si="101"/>
        <v>0.97858230011572644</v>
      </c>
      <c r="H253" s="416" t="b">
        <f>Wh_hp&gt;='2026'!Maxi_hp</f>
        <v>0</v>
      </c>
      <c r="I253" s="392">
        <f>IF(H253,Wh_hp,'2026'!Maxi_hp)</f>
        <v>52.311688254107636</v>
      </c>
      <c r="J253" s="85">
        <f>IF(H253,An,'2026'!An_max)</f>
        <v>2025</v>
      </c>
      <c r="K253" s="199">
        <f t="shared" si="79"/>
        <v>46626</v>
      </c>
      <c r="L253" s="147">
        <f>IF(t&lt;Tvie,1-EXP((T0-t)*PertePVj)+'2026'!Pspv,1-EXP((T0-t)*PertePVj)+Pspv)</f>
        <v>7.4202033708242743E-2</v>
      </c>
      <c r="M253" s="872"/>
      <c r="N253" s="872"/>
      <c r="O253" s="48">
        <f>IF(t&lt;Tnet,'2026'!Resal+('2026'!Salim-'2026'!Resal)*(1-EXP(('2026'!Tnet-t)/('2026'!Tau_j))),Resal+(Salim-Resal)*(1-EXP((Tnet-t)/(Tau_j))))*Salcycl</f>
        <v>0.11056314805203928</v>
      </c>
      <c r="P253" s="171">
        <f>(INDEX(Models!$BJ253:$BT253,,T253)*(1-R253)+INDEX(Models!$BJ253:$BT253,,T253+1)*R253-ERP_i)*Q253*Ramure*Pc/MaxiM</f>
        <v>2.9935776098533183E-3</v>
      </c>
      <c r="Q253" s="307">
        <f t="shared" si="80"/>
        <v>0.9</v>
      </c>
      <c r="R253" s="179">
        <f t="shared" si="81"/>
        <v>0.23770522612524525</v>
      </c>
      <c r="S253" s="839">
        <f t="shared" si="82"/>
        <v>-1</v>
      </c>
      <c r="T253" s="178">
        <f t="shared" si="83"/>
        <v>5</v>
      </c>
      <c r="U253" s="253">
        <f t="shared" si="84"/>
        <v>-0.76229477387475475</v>
      </c>
      <c r="V253" s="385">
        <f t="shared" si="85"/>
        <v>43.883348371412126</v>
      </c>
      <c r="W253" s="404">
        <f t="shared" si="86"/>
        <v>42.947396654061279</v>
      </c>
      <c r="X253" s="157">
        <f t="shared" si="87"/>
        <v>46626</v>
      </c>
      <c r="Y253" s="387">
        <f t="shared" si="88"/>
        <v>38.950607111992248</v>
      </c>
      <c r="Z253" s="387">
        <f t="shared" si="89"/>
        <v>42.072469945043387</v>
      </c>
      <c r="AA253" s="388">
        <f t="shared" si="90"/>
        <v>51.250964100428746</v>
      </c>
      <c r="AB253" s="199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0.17908919991045741</v>
      </c>
      <c r="AD253" s="233">
        <f>(INDEX(Models!$BJ253:$BT253,,AH253)*(1-AF253)+INDEX(Models!$BJ253:$BT253,,AH253+1)*AF253-ERP_i)*AE253*Ramure*Pc/MaxiM</f>
        <v>2.0842285407340896E-2</v>
      </c>
      <c r="AE253" s="307">
        <f t="shared" si="92"/>
        <v>0.9</v>
      </c>
      <c r="AF253" s="179">
        <f t="shared" si="93"/>
        <v>0.87336087843222421</v>
      </c>
      <c r="AG253" s="839">
        <f t="shared" si="99"/>
        <v>3</v>
      </c>
      <c r="AH253" s="178">
        <f t="shared" si="94"/>
        <v>9</v>
      </c>
      <c r="AI253" s="227">
        <f t="shared" si="95"/>
        <v>3.8733608784322242</v>
      </c>
      <c r="AJ253" s="267" t="b">
        <f t="shared" si="96"/>
        <v>0</v>
      </c>
      <c r="AK253" s="267" t="b">
        <f t="shared" si="97"/>
        <v>0</v>
      </c>
      <c r="AL253" s="267"/>
      <c r="AM253" s="267"/>
      <c r="AN253" s="75"/>
    </row>
    <row r="254" spans="1:40" s="6" customFormat="1" ht="11.25" x14ac:dyDescent="0.2">
      <c r="A254" s="56">
        <f t="shared" si="98"/>
        <v>46627</v>
      </c>
      <c r="B254" s="413">
        <f>'2026'!Wh/'2026'!Env_an*'2027'!Env_an</f>
        <v>41.422330131821873</v>
      </c>
      <c r="C254" s="868"/>
      <c r="D254" s="395">
        <f t="shared" si="77"/>
        <v>44.743341010253651</v>
      </c>
      <c r="E254" s="387">
        <f t="shared" si="100"/>
        <v>50.31221134881622</v>
      </c>
      <c r="F254" s="387">
        <f t="shared" si="78"/>
        <v>50.457585046543471</v>
      </c>
      <c r="G254" s="110">
        <f t="shared" si="101"/>
        <v>0.94931502951445623</v>
      </c>
      <c r="H254" s="416" t="b">
        <f>Wh_hp&gt;='2026'!Maxi_hp</f>
        <v>0</v>
      </c>
      <c r="I254" s="392">
        <f>IF(H254,Wh_hp,'2026'!Maxi_hp)</f>
        <v>52.43587821164941</v>
      </c>
      <c r="J254" s="85">
        <f>IF(H254,An,'2026'!An_max)</f>
        <v>2021</v>
      </c>
      <c r="K254" s="199">
        <f t="shared" si="79"/>
        <v>46627</v>
      </c>
      <c r="L254" s="147">
        <f>IF(t&lt;Tvie,1-EXP((T0-t)*PertePVj)+'2026'!Pspv,1-EXP((T0-t)*PertePVj)+Pspv)</f>
        <v>7.4223578379422173E-2</v>
      </c>
      <c r="M254" s="872"/>
      <c r="N254" s="872"/>
      <c r="O254" s="48">
        <f>IF(t&lt;Tnet,'2026'!Resal+('2026'!Salim-'2026'!Resal)*(1-EXP(('2026'!Tnet-t)/('2026'!Tau_j))),Resal+(Salim-Resal)*(1-EXP((Tnet-t)/(Tau_j))))*Salcycl</f>
        <v>0.1106862566614972</v>
      </c>
      <c r="P254" s="171">
        <f>(INDEX(Models!$BJ254:$BT254,,T254)*(1-R254)+INDEX(Models!$BJ254:$BT254,,T254+1)*R254-ERP_i)*Q254*Ramure*Pc/MaxiM</f>
        <v>3.1049841733515951E-3</v>
      </c>
      <c r="Q254" s="307">
        <f t="shared" si="80"/>
        <v>0.9</v>
      </c>
      <c r="R254" s="179">
        <f t="shared" si="81"/>
        <v>0.23876397675882899</v>
      </c>
      <c r="S254" s="839">
        <f t="shared" si="82"/>
        <v>-1</v>
      </c>
      <c r="T254" s="178">
        <f t="shared" si="83"/>
        <v>5</v>
      </c>
      <c r="U254" s="253">
        <f t="shared" si="84"/>
        <v>-0.76123602324117101</v>
      </c>
      <c r="V254" s="385">
        <f t="shared" si="85"/>
        <v>43.624116896731095</v>
      </c>
      <c r="W254" s="404">
        <f t="shared" si="86"/>
        <v>41.422330131821873</v>
      </c>
      <c r="X254" s="157">
        <f t="shared" si="87"/>
        <v>46627</v>
      </c>
      <c r="Y254" s="387">
        <f t="shared" si="88"/>
        <v>37.588767825034978</v>
      </c>
      <c r="Z254" s="387">
        <f t="shared" si="89"/>
        <v>40.602425107387795</v>
      </c>
      <c r="AA254" s="388">
        <f t="shared" si="90"/>
        <v>49.462619427947295</v>
      </c>
      <c r="AB254" s="199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0.17912909633640073</v>
      </c>
      <c r="AD254" s="233">
        <f>(INDEX(Models!$BJ254:$BT254,,AH254)*(1-AF254)+INDEX(Models!$BJ254:$BT254,,AH254+1)*AF254-ERP_i)*AE254*Ramure*Pc/MaxiM</f>
        <v>2.1251110393892055E-2</v>
      </c>
      <c r="AE254" s="307">
        <f t="shared" si="92"/>
        <v>0.9</v>
      </c>
      <c r="AF254" s="179">
        <f t="shared" si="93"/>
        <v>0.87441962906580795</v>
      </c>
      <c r="AG254" s="839">
        <f t="shared" si="99"/>
        <v>3</v>
      </c>
      <c r="AH254" s="178">
        <f t="shared" si="94"/>
        <v>9</v>
      </c>
      <c r="AI254" s="227">
        <f t="shared" si="95"/>
        <v>3.8744196290658079</v>
      </c>
      <c r="AJ254" s="267" t="b">
        <f t="shared" si="96"/>
        <v>0</v>
      </c>
      <c r="AK254" s="267" t="b">
        <f t="shared" si="97"/>
        <v>0</v>
      </c>
      <c r="AL254" s="267"/>
      <c r="AM254" s="267"/>
      <c r="AN254" s="75"/>
    </row>
    <row r="255" spans="1:40" s="6" customFormat="1" ht="11.25" x14ac:dyDescent="0.2">
      <c r="A255" s="56">
        <f t="shared" si="98"/>
        <v>46628</v>
      </c>
      <c r="B255" s="413">
        <f>'2026'!Wh/'2026'!Env_an*'2027'!Env_an</f>
        <v>29.108483928466399</v>
      </c>
      <c r="C255" s="868"/>
      <c r="D255" s="395">
        <f t="shared" si="77"/>
        <v>31.442971176799656</v>
      </c>
      <c r="E255" s="387">
        <f t="shared" si="100"/>
        <v>35.361306211458526</v>
      </c>
      <c r="F255" s="387">
        <f t="shared" si="78"/>
        <v>35.421714051928539</v>
      </c>
      <c r="G255" s="110">
        <f t="shared" si="101"/>
        <v>0.67030913012935534</v>
      </c>
      <c r="H255" s="416" t="b">
        <f>Wh_hp&gt;='2026'!Maxi_hp</f>
        <v>0</v>
      </c>
      <c r="I255" s="392">
        <f>IF(H255,Wh_hp,'2026'!Maxi_hp)</f>
        <v>51.701518118132348</v>
      </c>
      <c r="J255" s="85">
        <f>IF(H255,An,'2026'!An_max)</f>
        <v>2021</v>
      </c>
      <c r="K255" s="199">
        <f t="shared" si="79"/>
        <v>46628</v>
      </c>
      <c r="L255" s="147">
        <f>IF(t&lt;Tvie,1-EXP((T0-t)*PertePVj)+'2026'!Pspv,1-EXP((T0-t)*PertePVj)+Pspv)</f>
        <v>7.4245122549225551E-2</v>
      </c>
      <c r="M255" s="872"/>
      <c r="N255" s="872"/>
      <c r="O255" s="48">
        <f>IF(t&lt;Tnet,'2026'!Resal+('2026'!Salim-'2026'!Resal)*(1-EXP(('2026'!Tnet-t)/('2026'!Tau_j))),Resal+(Salim-Resal)*(1-EXP((Tnet-t)/(Tau_j))))*Salcycl</f>
        <v>0.11080854907416206</v>
      </c>
      <c r="P255" s="171">
        <f>(INDEX(Models!$BJ255:$BT255,,T255)*(1-R255)+INDEX(Models!$BJ255:$BT255,,T255+1)*R255-ERP_i)*Q255*Ramure*Pc/MaxiM</f>
        <v>3.2149074889631503E-3</v>
      </c>
      <c r="Q255" s="307">
        <f t="shared" si="80"/>
        <v>0.9</v>
      </c>
      <c r="R255" s="179">
        <f t="shared" si="81"/>
        <v>0.23978323234204146</v>
      </c>
      <c r="S255" s="839">
        <f t="shared" si="82"/>
        <v>-1</v>
      </c>
      <c r="T255" s="178">
        <f t="shared" si="83"/>
        <v>5</v>
      </c>
      <c r="U255" s="253">
        <f t="shared" si="84"/>
        <v>-0.76021676765795854</v>
      </c>
      <c r="V255" s="385">
        <f t="shared" si="85"/>
        <v>43.359798930017398</v>
      </c>
      <c r="W255" s="404">
        <f t="shared" si="86"/>
        <v>29.108483928466399</v>
      </c>
      <c r="X255" s="157">
        <f t="shared" si="87"/>
        <v>46628</v>
      </c>
      <c r="Y255" s="387">
        <f t="shared" si="88"/>
        <v>26.606961062664137</v>
      </c>
      <c r="Z255" s="387">
        <f t="shared" si="89"/>
        <v>28.740827308337806</v>
      </c>
      <c r="AA255" s="388">
        <f t="shared" si="90"/>
        <v>35.014257838121139</v>
      </c>
      <c r="AB255" s="199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0.17916788523083435</v>
      </c>
      <c r="AD255" s="233">
        <f>(INDEX(Models!$BJ255:$BT255,,AH255)*(1-AF255)+INDEX(Models!$BJ255:$BT255,,AH255+1)*AF255-ERP_i)*AE255*Ramure*Pc/MaxiM</f>
        <v>2.1684834667185768E-2</v>
      </c>
      <c r="AE255" s="307">
        <f t="shared" si="92"/>
        <v>0.9</v>
      </c>
      <c r="AF255" s="179">
        <f t="shared" si="93"/>
        <v>0.87543888464902064</v>
      </c>
      <c r="AG255" s="839">
        <f t="shared" si="99"/>
        <v>3</v>
      </c>
      <c r="AH255" s="178">
        <f t="shared" si="94"/>
        <v>9</v>
      </c>
      <c r="AI255" s="227">
        <f t="shared" si="95"/>
        <v>3.8754388846490206</v>
      </c>
      <c r="AJ255" s="267" t="b">
        <f t="shared" si="96"/>
        <v>0</v>
      </c>
      <c r="AK255" s="267" t="b">
        <f t="shared" si="97"/>
        <v>0</v>
      </c>
      <c r="AL255" s="267"/>
      <c r="AM255" s="267"/>
      <c r="AN255" s="75"/>
    </row>
    <row r="256" spans="1:40" s="6" customFormat="1" ht="11.25" x14ac:dyDescent="0.2">
      <c r="A256" s="56">
        <f t="shared" si="98"/>
        <v>46629</v>
      </c>
      <c r="B256" s="413">
        <f>'2026'!Wh/'2026'!Env_an*'2027'!Env_an</f>
        <v>40.532630337048687</v>
      </c>
      <c r="C256" s="868"/>
      <c r="D256" s="395">
        <f t="shared" si="77"/>
        <v>43.784347887141102</v>
      </c>
      <c r="E256" s="387">
        <f t="shared" si="100"/>
        <v>49.247357139709486</v>
      </c>
      <c r="F256" s="387">
        <f t="shared" si="78"/>
        <v>49.397603520285742</v>
      </c>
      <c r="G256" s="110">
        <f t="shared" si="101"/>
        <v>0.94037996426042769</v>
      </c>
      <c r="H256" s="416" t="b">
        <f>Wh_hp&gt;='2026'!Maxi_hp</f>
        <v>0</v>
      </c>
      <c r="I256" s="392">
        <f>IF(H256,Wh_hp,'2026'!Maxi_hp)</f>
        <v>49.974130891350057</v>
      </c>
      <c r="J256" s="85">
        <f>IF(H256,An,'2026'!An_max)</f>
        <v>2021</v>
      </c>
      <c r="K256" s="199">
        <f t="shared" si="79"/>
        <v>46629</v>
      </c>
      <c r="L256" s="147">
        <f>IF(t&lt;Tvie,1-EXP((T0-t)*PertePVj)+'2026'!Pspv,1-EXP((T0-t)*PertePVj)+Pspv)</f>
        <v>7.4266666217664645E-2</v>
      </c>
      <c r="M256" s="872"/>
      <c r="N256" s="872"/>
      <c r="O256" s="48">
        <f>IF(t&lt;Tnet,'2026'!Resal+('2026'!Salim-'2026'!Resal)*(1-EXP(('2026'!Tnet-t)/('2026'!Tau_j))),Resal+(Salim-Resal)*(1-EXP((Tnet-t)/(Tau_j))))*Salcycl</f>
        <v>0.11092999847830234</v>
      </c>
      <c r="P256" s="171">
        <f>(INDEX(Models!$BJ256:$BT256,,T256)*(1-R256)+INDEX(Models!$BJ256:$BT256,,T256+1)*R256-ERP_i)*Q256*Ramure*Pc/MaxiM</f>
        <v>3.3233659623782439E-3</v>
      </c>
      <c r="Q256" s="307">
        <f t="shared" si="80"/>
        <v>0.9</v>
      </c>
      <c r="R256" s="179">
        <f t="shared" si="81"/>
        <v>0.24076434892768606</v>
      </c>
      <c r="S256" s="839">
        <f t="shared" si="82"/>
        <v>-1</v>
      </c>
      <c r="T256" s="178">
        <f t="shared" si="83"/>
        <v>5</v>
      </c>
      <c r="U256" s="253">
        <f t="shared" si="84"/>
        <v>-0.75923565107231394</v>
      </c>
      <c r="V256" s="385">
        <f t="shared" si="85"/>
        <v>43.090213733558947</v>
      </c>
      <c r="W256" s="404">
        <f t="shared" si="86"/>
        <v>40.532630337048687</v>
      </c>
      <c r="X256" s="157">
        <f t="shared" si="87"/>
        <v>46629</v>
      </c>
      <c r="Y256" s="387">
        <f t="shared" si="88"/>
        <v>36.773428298855059</v>
      </c>
      <c r="Z256" s="387">
        <f t="shared" si="89"/>
        <v>39.723565045029993</v>
      </c>
      <c r="AA256" s="388">
        <f t="shared" si="90"/>
        <v>48.396482056434387</v>
      </c>
      <c r="AB256" s="199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0.17920552575063281</v>
      </c>
      <c r="AD256" s="233">
        <f>(INDEX(Models!$BJ256:$BT256,,AH256)*(1-AF256)+INDEX(Models!$BJ256:$BT256,,AH256+1)*AF256-ERP_i)*AE256*Ramure*Pc/MaxiM</f>
        <v>2.2144247231841198E-2</v>
      </c>
      <c r="AE256" s="307">
        <f t="shared" si="92"/>
        <v>0.9</v>
      </c>
      <c r="AF256" s="179">
        <f t="shared" si="93"/>
        <v>0.87642000123466524</v>
      </c>
      <c r="AG256" s="839">
        <f t="shared" si="99"/>
        <v>3</v>
      </c>
      <c r="AH256" s="178">
        <f t="shared" si="94"/>
        <v>9</v>
      </c>
      <c r="AI256" s="227">
        <f t="shared" si="95"/>
        <v>3.8764200012346652</v>
      </c>
      <c r="AJ256" s="267" t="b">
        <f t="shared" si="96"/>
        <v>0</v>
      </c>
      <c r="AK256" s="267" t="b">
        <f t="shared" si="97"/>
        <v>0</v>
      </c>
      <c r="AL256" s="267"/>
      <c r="AM256" s="267"/>
      <c r="AN256" s="75"/>
    </row>
    <row r="257" spans="1:40" s="6" customFormat="1" ht="11.25" x14ac:dyDescent="0.2">
      <c r="A257" s="56">
        <f t="shared" si="98"/>
        <v>46630</v>
      </c>
      <c r="B257" s="413">
        <f>'2026'!Wh/'2026'!Env_an*'2027'!Env_an</f>
        <v>19.035131079835939</v>
      </c>
      <c r="C257" s="868"/>
      <c r="D257" s="395">
        <f t="shared" si="77"/>
        <v>20.562697021699123</v>
      </c>
      <c r="E257" s="387">
        <f t="shared" si="100"/>
        <v>23.131458878613447</v>
      </c>
      <c r="F257" s="387">
        <f t="shared" si="78"/>
        <v>23.147860560638399</v>
      </c>
      <c r="G257" s="110">
        <f t="shared" si="101"/>
        <v>0.44337741631322491</v>
      </c>
      <c r="H257" s="416" t="b">
        <f>Wh_hp&gt;='2026'!Maxi_hp</f>
        <v>0</v>
      </c>
      <c r="I257" s="392">
        <f>IF(H257,Wh_hp,'2026'!Maxi_hp)</f>
        <v>49.874216739239351</v>
      </c>
      <c r="J257" s="85">
        <f>IF(H257,An,'2026'!An_max)</f>
        <v>2021</v>
      </c>
      <c r="K257" s="199">
        <f t="shared" si="79"/>
        <v>46630</v>
      </c>
      <c r="L257" s="147">
        <f>IF(t&lt;Tvie,1-EXP((T0-t)*PertePVj)+'2026'!Pspv,1-EXP((T0-t)*PertePVj)+Pspv)</f>
        <v>7.4288209384751114E-2</v>
      </c>
      <c r="M257" s="872"/>
      <c r="N257" s="872"/>
      <c r="O257" s="48">
        <f>IF(t&lt;Tnet,'2026'!Resal+('2026'!Salim-'2026'!Resal)*(1-EXP(('2026'!Tnet-t)/('2026'!Tau_j))),Resal+(Salim-Resal)*(1-EXP((Tnet-t)/(Tau_j))))*Salcycl</f>
        <v>0.11105057706884693</v>
      </c>
      <c r="P257" s="171">
        <f>(INDEX(Models!$BJ257:$BT257,,T257)*(1-R257)+INDEX(Models!$BJ257:$BT257,,T257+1)*R257-ERP_i)*Q257*Ramure*Pc/MaxiM</f>
        <v>3.4303799809913341E-3</v>
      </c>
      <c r="Q257" s="307">
        <f t="shared" si="80"/>
        <v>0.9</v>
      </c>
      <c r="R257" s="179">
        <f t="shared" si="81"/>
        <v>0.24170864499326639</v>
      </c>
      <c r="S257" s="839">
        <f t="shared" si="82"/>
        <v>-1</v>
      </c>
      <c r="T257" s="178">
        <f t="shared" si="83"/>
        <v>5</v>
      </c>
      <c r="U257" s="253">
        <f t="shared" si="84"/>
        <v>-0.75829135500673361</v>
      </c>
      <c r="V257" s="385">
        <f t="shared" si="85"/>
        <v>42.815180639476417</v>
      </c>
      <c r="W257" s="404">
        <f t="shared" si="86"/>
        <v>19.035131079835939</v>
      </c>
      <c r="X257" s="157">
        <f t="shared" si="87"/>
        <v>46630</v>
      </c>
      <c r="Y257" s="387">
        <f t="shared" si="88"/>
        <v>17.505195962371509</v>
      </c>
      <c r="Z257" s="387">
        <f t="shared" si="89"/>
        <v>18.90998487848703</v>
      </c>
      <c r="AA257" s="388">
        <f t="shared" si="90"/>
        <v>23.039658847020842</v>
      </c>
      <c r="AB257" s="199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0.1792419755845388</v>
      </c>
      <c r="AD257" s="233">
        <f>(INDEX(Models!$BJ257:$BT257,,AH257)*(1-AF257)+INDEX(Models!$BJ257:$BT257,,AH257+1)*AF257-ERP_i)*AE257*Ramure*Pc/MaxiM</f>
        <v>2.2630178523029239E-2</v>
      </c>
      <c r="AE257" s="307">
        <f t="shared" si="92"/>
        <v>0.9</v>
      </c>
      <c r="AF257" s="179">
        <f t="shared" si="93"/>
        <v>0.87736429730024534</v>
      </c>
      <c r="AG257" s="839">
        <f t="shared" si="99"/>
        <v>3</v>
      </c>
      <c r="AH257" s="178">
        <f t="shared" si="94"/>
        <v>9</v>
      </c>
      <c r="AI257" s="227">
        <f t="shared" si="95"/>
        <v>3.8773642973002453</v>
      </c>
      <c r="AJ257" s="267" t="b">
        <f t="shared" si="96"/>
        <v>0</v>
      </c>
      <c r="AK257" s="267" t="b">
        <f t="shared" si="97"/>
        <v>0</v>
      </c>
      <c r="AL257" s="267"/>
      <c r="AM257" s="267"/>
      <c r="AN257" s="75"/>
    </row>
    <row r="258" spans="1:40" s="6" customFormat="1" ht="11.25" x14ac:dyDescent="0.2">
      <c r="A258" s="56">
        <f t="shared" si="98"/>
        <v>46631</v>
      </c>
      <c r="B258" s="413">
        <f>'2026'!Wh/'2026'!Env_an*'2027'!Env_an</f>
        <v>38.356900403563991</v>
      </c>
      <c r="C258" s="868"/>
      <c r="D258" s="395">
        <f t="shared" si="77"/>
        <v>41.435999232495291</v>
      </c>
      <c r="E258" s="387">
        <f t="shared" si="100"/>
        <v>46.618601044115621</v>
      </c>
      <c r="F258" s="387">
        <f t="shared" si="78"/>
        <v>46.760746183111493</v>
      </c>
      <c r="G258" s="110">
        <f t="shared" si="101"/>
        <v>0.9013340955811755</v>
      </c>
      <c r="H258" s="416" t="b">
        <f>Wh_hp&gt;='2026'!Maxi_hp</f>
        <v>0</v>
      </c>
      <c r="I258" s="392">
        <f>IF(H258,Wh_hp,'2026'!Maxi_hp)</f>
        <v>46.778674459955361</v>
      </c>
      <c r="J258" s="85">
        <f>IF(H258,An,'2026'!An_max)</f>
        <v>2025</v>
      </c>
      <c r="K258" s="199">
        <f t="shared" si="79"/>
        <v>46631</v>
      </c>
      <c r="L258" s="147">
        <f>IF(t&lt;Tvie,1-EXP((T0-t)*PertePVj)+'2026'!Pspv,1-EXP((T0-t)*PertePVj)+Pspv)</f>
        <v>7.4309752050496725E-2</v>
      </c>
      <c r="M258" s="872"/>
      <c r="N258" s="872"/>
      <c r="O258" s="48">
        <f>IF(t&lt;Tnet,'2026'!Resal+('2026'!Salim-'2026'!Resal)*(1-EXP(('2026'!Tnet-t)/('2026'!Tau_j))),Resal+(Salim-Resal)*(1-EXP((Tnet-t)/(Tau_j))))*Salcycl</f>
        <v>0.11117025598249895</v>
      </c>
      <c r="P258" s="171">
        <f>(INDEX(Models!$BJ258:$BT258,,T258)*(1-R258)+INDEX(Models!$BJ258:$BT258,,T258+1)*R258-ERP_i)*Q258*Ramure*Pc/MaxiM</f>
        <v>3.5359718825786514E-3</v>
      </c>
      <c r="Q258" s="307">
        <f t="shared" si="80"/>
        <v>0.9</v>
      </c>
      <c r="R258" s="179">
        <f t="shared" si="81"/>
        <v>0.24261740176893642</v>
      </c>
      <c r="S258" s="839">
        <f t="shared" si="82"/>
        <v>-1</v>
      </c>
      <c r="T258" s="178">
        <f t="shared" si="83"/>
        <v>5</v>
      </c>
      <c r="U258" s="253">
        <f t="shared" si="84"/>
        <v>-0.75738259823106358</v>
      </c>
      <c r="V258" s="385">
        <f t="shared" si="85"/>
        <v>42.534519049384137</v>
      </c>
      <c r="W258" s="404">
        <f t="shared" si="86"/>
        <v>38.356900403563991</v>
      </c>
      <c r="X258" s="157">
        <f t="shared" si="87"/>
        <v>46631</v>
      </c>
      <c r="Y258" s="387">
        <f t="shared" si="88"/>
        <v>34.818950949875095</v>
      </c>
      <c r="Z258" s="387">
        <f t="shared" si="89"/>
        <v>37.614041011021307</v>
      </c>
      <c r="AA258" s="388">
        <f t="shared" si="90"/>
        <v>45.830383403354006</v>
      </c>
      <c r="AB258" s="199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0.17927719085438418</v>
      </c>
      <c r="AD258" s="233">
        <f>(INDEX(Models!$BJ258:$BT258,,AH258)*(1-AF258)+INDEX(Models!$BJ258:$BT258,,AH258+1)*AF258-ERP_i)*AE258*Ramure*Pc/MaxiM</f>
        <v>2.3143504259513829E-2</v>
      </c>
      <c r="AE258" s="307">
        <f t="shared" si="92"/>
        <v>0.9</v>
      </c>
      <c r="AF258" s="179">
        <f t="shared" si="93"/>
        <v>0.87827305407591538</v>
      </c>
      <c r="AG258" s="839">
        <f t="shared" si="99"/>
        <v>3</v>
      </c>
      <c r="AH258" s="178">
        <f t="shared" si="94"/>
        <v>9</v>
      </c>
      <c r="AI258" s="227">
        <f t="shared" si="95"/>
        <v>3.8782730540759154</v>
      </c>
      <c r="AJ258" s="267" t="b">
        <f t="shared" si="96"/>
        <v>0</v>
      </c>
      <c r="AK258" s="267" t="b">
        <f t="shared" si="97"/>
        <v>0</v>
      </c>
      <c r="AL258" s="267"/>
      <c r="AM258" s="267"/>
      <c r="AN258" s="75"/>
    </row>
    <row r="259" spans="1:40" s="6" customFormat="1" ht="11.25" x14ac:dyDescent="0.2">
      <c r="A259" s="56">
        <f t="shared" si="98"/>
        <v>46632</v>
      </c>
      <c r="B259" s="413">
        <f>'2026'!Wh/'2026'!Env_an*'2027'!Env_an</f>
        <v>33.342923319792412</v>
      </c>
      <c r="C259" s="868"/>
      <c r="D259" s="395">
        <f t="shared" si="77"/>
        <v>36.020363561403201</v>
      </c>
      <c r="E259" s="387">
        <f t="shared" si="100"/>
        <v>40.531020515357774</v>
      </c>
      <c r="F259" s="387">
        <f t="shared" si="78"/>
        <v>40.634396449169131</v>
      </c>
      <c r="G259" s="110">
        <f t="shared" si="101"/>
        <v>0.7883507907775239</v>
      </c>
      <c r="H259" s="416" t="b">
        <f>Wh_hp&gt;='2026'!Maxi_hp</f>
        <v>0</v>
      </c>
      <c r="I259" s="392">
        <f>IF(H259,Wh_hp,'2026'!Maxi_hp)</f>
        <v>49.068004680732784</v>
      </c>
      <c r="J259" s="85">
        <f>IF(H259,An,'2026'!An_max)</f>
        <v>2019</v>
      </c>
      <c r="K259" s="199">
        <f t="shared" si="79"/>
        <v>46632</v>
      </c>
      <c r="L259" s="147">
        <f>IF(t&lt;Tvie,1-EXP((T0-t)*PertePVj)+'2026'!Pspv,1-EXP((T0-t)*PertePVj)+Pspv)</f>
        <v>7.4331294214912913E-2</v>
      </c>
      <c r="M259" s="872"/>
      <c r="N259" s="872"/>
      <c r="O259" s="48">
        <f>IF(t&lt;Tnet,'2026'!Resal+('2026'!Salim-'2026'!Resal)*(1-EXP(('2026'!Tnet-t)/('2026'!Tau_j))),Resal+(Salim-Resal)*(1-EXP((Tnet-t)/(Tau_j))))*Salcycl</f>
        <v>0.11128900522614342</v>
      </c>
      <c r="P259" s="171">
        <f>(INDEX(Models!$BJ259:$BT259,,T259)*(1-R259)+INDEX(Models!$BJ259:$BT259,,T259+1)*R259-ERP_i)*Q259*Ramure*Pc/MaxiM</f>
        <v>3.6401659306111163E-3</v>
      </c>
      <c r="Q259" s="307">
        <f t="shared" si="80"/>
        <v>0.9</v>
      </c>
      <c r="R259" s="179">
        <f t="shared" si="81"/>
        <v>0.24349186362882569</v>
      </c>
      <c r="S259" s="839">
        <f t="shared" si="82"/>
        <v>-1</v>
      </c>
      <c r="T259" s="178">
        <f t="shared" si="83"/>
        <v>5</v>
      </c>
      <c r="U259" s="253">
        <f t="shared" si="84"/>
        <v>-0.75650813637117431</v>
      </c>
      <c r="V259" s="385">
        <f t="shared" si="85"/>
        <v>42.248048434299676</v>
      </c>
      <c r="W259" s="404">
        <f t="shared" si="86"/>
        <v>33.342923319792412</v>
      </c>
      <c r="X259" s="157">
        <f t="shared" si="87"/>
        <v>46632</v>
      </c>
      <c r="Y259" s="387">
        <f t="shared" si="88"/>
        <v>30.35839698084191</v>
      </c>
      <c r="Z259" s="387">
        <f t="shared" si="89"/>
        <v>32.796179444236536</v>
      </c>
      <c r="AA259" s="388">
        <f t="shared" si="90"/>
        <v>39.961769293433846</v>
      </c>
      <c r="AB259" s="199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0.17931112600599225</v>
      </c>
      <c r="AD259" s="233">
        <f>(INDEX(Models!$BJ259:$BT259,,AH259)*(1-AF259)+INDEX(Models!$BJ259:$BT259,,AH259+1)*AF259-ERP_i)*AE259*Ramure*Pc/MaxiM</f>
        <v>2.3685149589841012E-2</v>
      </c>
      <c r="AE259" s="307">
        <f t="shared" si="92"/>
        <v>0.9</v>
      </c>
      <c r="AF259" s="179">
        <f t="shared" si="93"/>
        <v>0.87914751593580487</v>
      </c>
      <c r="AG259" s="839">
        <f t="shared" si="99"/>
        <v>3</v>
      </c>
      <c r="AH259" s="178">
        <f t="shared" si="94"/>
        <v>9</v>
      </c>
      <c r="AI259" s="227">
        <f t="shared" si="95"/>
        <v>3.8791475159358049</v>
      </c>
      <c r="AJ259" s="267" t="b">
        <f t="shared" si="96"/>
        <v>0</v>
      </c>
      <c r="AK259" s="267" t="b">
        <f t="shared" si="97"/>
        <v>0</v>
      </c>
      <c r="AL259" s="267"/>
      <c r="AM259" s="267"/>
      <c r="AN259" s="75"/>
    </row>
    <row r="260" spans="1:40" s="6" customFormat="1" ht="11.25" x14ac:dyDescent="0.2">
      <c r="A260" s="56">
        <f t="shared" si="98"/>
        <v>46633</v>
      </c>
      <c r="B260" s="413">
        <f>'2026'!Wh/'2026'!Env_an*'2027'!Env_an</f>
        <v>27.442520012530622</v>
      </c>
      <c r="C260" s="868"/>
      <c r="D260" s="395">
        <f t="shared" si="77"/>
        <v>29.64684717482054</v>
      </c>
      <c r="E260" s="387">
        <f t="shared" si="100"/>
        <v>33.363801299980437</v>
      </c>
      <c r="F260" s="387">
        <f t="shared" si="78"/>
        <v>33.427090047471651</v>
      </c>
      <c r="G260" s="110">
        <f t="shared" si="101"/>
        <v>0.6528728524611791</v>
      </c>
      <c r="H260" s="416" t="b">
        <f>Wh_hp&gt;='2026'!Maxi_hp</f>
        <v>0</v>
      </c>
      <c r="I260" s="392">
        <f>IF(H260,Wh_hp,'2026'!Maxi_hp)</f>
        <v>51.035952311623831</v>
      </c>
      <c r="J260" s="85">
        <f>IF(H260,An,'2026'!An_max)</f>
        <v>2019</v>
      </c>
      <c r="K260" s="199">
        <f t="shared" si="79"/>
        <v>46633</v>
      </c>
      <c r="L260" s="147">
        <f>IF(t&lt;Tvie,1-EXP((T0-t)*PertePVj)+'2026'!Pspv,1-EXP((T0-t)*PertePVj)+Pspv)</f>
        <v>7.4352835878011447E-2</v>
      </c>
      <c r="M260" s="872"/>
      <c r="N260" s="872"/>
      <c r="O260" s="48">
        <f>IF(t&lt;Tnet,'2026'!Resal+('2026'!Salim-'2026'!Resal)*(1-EXP(('2026'!Tnet-t)/('2026'!Tau_j))),Resal+(Salim-Resal)*(1-EXP((Tnet-t)/(Tau_j))))*Salcycl</f>
        <v>0.11140679360064634</v>
      </c>
      <c r="P260" s="171">
        <f>(INDEX(Models!$BJ260:$BT260,,T260)*(1-R260)+INDEX(Models!$BJ260:$BT260,,T260+1)*R260-ERP_i)*Q260*Ramure*Pc/MaxiM</f>
        <v>3.7429882964495511E-3</v>
      </c>
      <c r="Q260" s="307">
        <f t="shared" si="80"/>
        <v>0.9</v>
      </c>
      <c r="R260" s="179">
        <f t="shared" si="81"/>
        <v>0.24433323853890132</v>
      </c>
      <c r="S260" s="839">
        <f t="shared" si="82"/>
        <v>-1</v>
      </c>
      <c r="T260" s="178">
        <f t="shared" si="83"/>
        <v>5</v>
      </c>
      <c r="U260" s="253">
        <f t="shared" si="84"/>
        <v>-0.75566676146109868</v>
      </c>
      <c r="V260" s="385">
        <f t="shared" si="85"/>
        <v>41.955588337124524</v>
      </c>
      <c r="W260" s="404">
        <f t="shared" si="86"/>
        <v>27.442520012530622</v>
      </c>
      <c r="X260" s="157">
        <f t="shared" si="87"/>
        <v>46633</v>
      </c>
      <c r="Y260" s="387">
        <f t="shared" si="88"/>
        <v>25.08093702988474</v>
      </c>
      <c r="Z260" s="387">
        <f t="shared" si="89"/>
        <v>27.095569458882274</v>
      </c>
      <c r="AA260" s="388">
        <f t="shared" si="90"/>
        <v>33.016953103667369</v>
      </c>
      <c r="AB260" s="199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0.17934373369320308</v>
      </c>
      <c r="AD260" s="233">
        <f>(INDEX(Models!$BJ260:$BT260,,AH260)*(1-AF260)+INDEX(Models!$BJ260:$BT260,,AH260+1)*AF260-ERP_i)*AE260*Ramure*Pc/MaxiM</f>
        <v>2.4256093562509965E-2</v>
      </c>
      <c r="AE260" s="307">
        <f t="shared" si="92"/>
        <v>0.9</v>
      </c>
      <c r="AF260" s="179">
        <f t="shared" si="93"/>
        <v>0.87998889084588017</v>
      </c>
      <c r="AG260" s="839">
        <f t="shared" si="99"/>
        <v>3</v>
      </c>
      <c r="AH260" s="178">
        <f t="shared" si="94"/>
        <v>9</v>
      </c>
      <c r="AI260" s="227">
        <f t="shared" si="95"/>
        <v>3.8799888908458802</v>
      </c>
      <c r="AJ260" s="267" t="b">
        <f t="shared" si="96"/>
        <v>0</v>
      </c>
      <c r="AK260" s="267" t="b">
        <f t="shared" si="97"/>
        <v>0</v>
      </c>
      <c r="AL260" s="267"/>
      <c r="AM260" s="267"/>
      <c r="AN260" s="75"/>
    </row>
    <row r="261" spans="1:40" s="6" customFormat="1" ht="11.25" x14ac:dyDescent="0.2">
      <c r="A261" s="56">
        <f t="shared" si="98"/>
        <v>46634</v>
      </c>
      <c r="B261" s="413">
        <f>'2026'!Wh/'2026'!Env_an*'2027'!Env_an</f>
        <v>39.941929121338461</v>
      </c>
      <c r="C261" s="868"/>
      <c r="D261" s="395">
        <f t="shared" si="77"/>
        <v>43.151278584534232</v>
      </c>
      <c r="E261" s="387">
        <f t="shared" si="100"/>
        <v>48.567725639020502</v>
      </c>
      <c r="F261" s="387">
        <f t="shared" si="78"/>
        <v>48.744104730195524</v>
      </c>
      <c r="G261" s="110">
        <f t="shared" si="101"/>
        <v>0.95862453790871982</v>
      </c>
      <c r="H261" s="416" t="b">
        <f>Wh_hp&gt;='2026'!Maxi_hp</f>
        <v>0</v>
      </c>
      <c r="I261" s="392">
        <f>IF(H261,Wh_hp,'2026'!Maxi_hp)</f>
        <v>50.502994047654042</v>
      </c>
      <c r="J261" s="85">
        <f>IF(H261,An,'2026'!An_max)</f>
        <v>2019</v>
      </c>
      <c r="K261" s="199">
        <f t="shared" si="79"/>
        <v>46634</v>
      </c>
      <c r="L261" s="147">
        <f>IF(t&lt;Tvie,1-EXP((T0-t)*PertePVj)+'2026'!Pspv,1-EXP((T0-t)*PertePVj)+Pspv)</f>
        <v>7.4374377039803985E-2</v>
      </c>
      <c r="M261" s="872"/>
      <c r="N261" s="872"/>
      <c r="O261" s="48">
        <f>IF(t&lt;Tnet,'2026'!Resal+('2026'!Salim-'2026'!Resal)*(1-EXP(('2026'!Tnet-t)/('2026'!Tau_j))),Resal+(Salim-Resal)*(1-EXP((Tnet-t)/(Tau_j))))*Salcycl</f>
        <v>0.11152358862228799</v>
      </c>
      <c r="P261" s="171">
        <f>(INDEX(Models!$BJ261:$BT261,,T261)*(1-R261)+INDEX(Models!$BJ261:$BT261,,T261+1)*R261-ERP_i)*Q261*Ramure*Pc/MaxiM</f>
        <v>3.844516426045629E-3</v>
      </c>
      <c r="Q261" s="307">
        <f t="shared" si="80"/>
        <v>0.9</v>
      </c>
      <c r="R261" s="179">
        <f t="shared" si="81"/>
        <v>0.24514269855497128</v>
      </c>
      <c r="S261" s="839">
        <f t="shared" si="82"/>
        <v>-1</v>
      </c>
      <c r="T261" s="178">
        <f t="shared" si="83"/>
        <v>5</v>
      </c>
      <c r="U261" s="253">
        <f t="shared" si="84"/>
        <v>-0.75485730144502872</v>
      </c>
      <c r="V261" s="385">
        <f t="shared" si="85"/>
        <v>41.656421290811828</v>
      </c>
      <c r="W261" s="404">
        <f t="shared" si="86"/>
        <v>39.941929121338461</v>
      </c>
      <c r="X261" s="157">
        <f t="shared" si="87"/>
        <v>46634</v>
      </c>
      <c r="Y261" s="387">
        <f t="shared" si="88"/>
        <v>36.159354375323211</v>
      </c>
      <c r="Z261" s="387">
        <f t="shared" si="89"/>
        <v>39.064772493747341</v>
      </c>
      <c r="AA261" s="388">
        <f t="shared" si="90"/>
        <v>47.603681110579885</v>
      </c>
      <c r="AB261" s="199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0.17937496465866332</v>
      </c>
      <c r="AD261" s="233">
        <f>(INDEX(Models!$BJ261:$BT261,,AH261)*(1-AF261)+INDEX(Models!$BJ261:$BT261,,AH261+1)*AF261-ERP_i)*AE261*Ramure*Pc/MaxiM</f>
        <v>2.4857693216663982E-2</v>
      </c>
      <c r="AE261" s="307">
        <f t="shared" si="92"/>
        <v>0.9</v>
      </c>
      <c r="AF261" s="179">
        <f t="shared" si="93"/>
        <v>0.88079835086195013</v>
      </c>
      <c r="AG261" s="839">
        <f t="shared" si="99"/>
        <v>3</v>
      </c>
      <c r="AH261" s="178">
        <f t="shared" si="94"/>
        <v>9</v>
      </c>
      <c r="AI261" s="227">
        <f t="shared" si="95"/>
        <v>3.8807983508619501</v>
      </c>
      <c r="AJ261" s="267" t="b">
        <f t="shared" si="96"/>
        <v>0</v>
      </c>
      <c r="AK261" s="267" t="b">
        <f t="shared" si="97"/>
        <v>0</v>
      </c>
      <c r="AL261" s="267"/>
      <c r="AM261" s="267"/>
      <c r="AN261" s="75"/>
    </row>
    <row r="262" spans="1:40" s="6" customFormat="1" ht="11.25" x14ac:dyDescent="0.2">
      <c r="A262" s="56">
        <f t="shared" si="98"/>
        <v>46635</v>
      </c>
      <c r="B262" s="413">
        <f>'2026'!Wh/'2026'!Env_an*'2027'!Env_an</f>
        <v>34.488619612428408</v>
      </c>
      <c r="C262" s="868"/>
      <c r="D262" s="395">
        <f t="shared" si="77"/>
        <v>37.26066065605518</v>
      </c>
      <c r="E262" s="387">
        <f t="shared" si="100"/>
        <v>41.943169056784235</v>
      </c>
      <c r="F262" s="387">
        <f t="shared" si="78"/>
        <v>42.069748598066731</v>
      </c>
      <c r="G262" s="110">
        <f t="shared" si="101"/>
        <v>0.83327749838916565</v>
      </c>
      <c r="H262" s="416" t="b">
        <f>Wh_hp&gt;='2026'!Maxi_hp</f>
        <v>0</v>
      </c>
      <c r="I262" s="392">
        <f>IF(H262,Wh_hp,'2026'!Maxi_hp)</f>
        <v>48.405506175605858</v>
      </c>
      <c r="J262" s="85">
        <f>IF(H262,An,'2026'!An_max)</f>
        <v>2020</v>
      </c>
      <c r="K262" s="199">
        <f t="shared" si="79"/>
        <v>46635</v>
      </c>
      <c r="L262" s="147">
        <f>IF(t&lt;Tvie,1-EXP((T0-t)*PertePVj)+'2026'!Pspv,1-EXP((T0-t)*PertePVj)+Pspv)</f>
        <v>7.4395917700302294E-2</v>
      </c>
      <c r="M262" s="872"/>
      <c r="N262" s="872"/>
      <c r="O262" s="48">
        <f>IF(t&lt;Tnet,'2026'!Resal+('2026'!Salim-'2026'!Resal)*(1-EXP(('2026'!Tnet-t)/('2026'!Tau_j))),Resal+(Salim-Resal)*(1-EXP((Tnet-t)/(Tau_j))))*Salcycl</f>
        <v>0.1116393564441852</v>
      </c>
      <c r="P262" s="171">
        <f>(INDEX(Models!$BJ262:$BT262,,T262)*(1-R262)+INDEX(Models!$BJ262:$BT262,,T262+1)*R262-ERP_i)*Q262*Ramure*Pc/MaxiM</f>
        <v>3.9436822582995679E-3</v>
      </c>
      <c r="Q262" s="307">
        <f t="shared" si="80"/>
        <v>0.9</v>
      </c>
      <c r="R262" s="179">
        <f t="shared" si="81"/>
        <v>0.24592138036485189</v>
      </c>
      <c r="S262" s="839">
        <f t="shared" si="82"/>
        <v>-1</v>
      </c>
      <c r="T262" s="178">
        <f t="shared" si="83"/>
        <v>5</v>
      </c>
      <c r="U262" s="253">
        <f t="shared" si="84"/>
        <v>-0.75407861963514811</v>
      </c>
      <c r="V262" s="385">
        <f t="shared" si="85"/>
        <v>41.35030604169873</v>
      </c>
      <c r="W262" s="404">
        <f t="shared" si="86"/>
        <v>34.488619612428408</v>
      </c>
      <c r="X262" s="157">
        <f t="shared" si="87"/>
        <v>46635</v>
      </c>
      <c r="Y262" s="387">
        <f t="shared" si="88"/>
        <v>31.331602620289292</v>
      </c>
      <c r="Z262" s="387">
        <f t="shared" si="89"/>
        <v>33.849896753312457</v>
      </c>
      <c r="AA262" s="388">
        <f t="shared" si="90"/>
        <v>41.250418497969825</v>
      </c>
      <c r="AB262" s="199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0.17940476761518412</v>
      </c>
      <c r="AD262" s="233">
        <f>(INDEX(Models!$BJ262:$BT262,,AH262)*(1-AF262)+INDEX(Models!$BJ262:$BT262,,AH262+1)*AF262-ERP_i)*AE262*Ramure*Pc/MaxiM</f>
        <v>2.552685486694619E-2</v>
      </c>
      <c r="AE262" s="307">
        <f t="shared" si="92"/>
        <v>0.9</v>
      </c>
      <c r="AF262" s="179">
        <f t="shared" si="93"/>
        <v>0.88157703267183063</v>
      </c>
      <c r="AG262" s="839">
        <f t="shared" si="99"/>
        <v>3</v>
      </c>
      <c r="AH262" s="178">
        <f t="shared" si="94"/>
        <v>9</v>
      </c>
      <c r="AI262" s="227">
        <f t="shared" si="95"/>
        <v>3.8815770326718306</v>
      </c>
      <c r="AJ262" s="267" t="b">
        <f t="shared" si="96"/>
        <v>0</v>
      </c>
      <c r="AK262" s="267" t="b">
        <f t="shared" si="97"/>
        <v>0</v>
      </c>
      <c r="AL262" s="267"/>
      <c r="AM262" s="267"/>
      <c r="AN262" s="75"/>
    </row>
    <row r="263" spans="1:40" s="6" customFormat="1" ht="11.25" x14ac:dyDescent="0.2">
      <c r="A263" s="56">
        <f t="shared" si="98"/>
        <v>46636</v>
      </c>
      <c r="B263" s="413">
        <f>'2026'!Wh/'2026'!Env_an*'2027'!Env_an</f>
        <v>38.69061729336957</v>
      </c>
      <c r="C263" s="868"/>
      <c r="D263" s="395">
        <f t="shared" si="77"/>
        <v>41.801368902112706</v>
      </c>
      <c r="E263" s="387">
        <f t="shared" si="100"/>
        <v>47.060579850089006</v>
      </c>
      <c r="F263" s="387">
        <f t="shared" si="78"/>
        <v>47.235907850739629</v>
      </c>
      <c r="G263" s="110">
        <f t="shared" si="101"/>
        <v>0.94249547240057741</v>
      </c>
      <c r="H263" s="416" t="b">
        <f>Wh_hp&gt;='2026'!Maxi_hp</f>
        <v>0</v>
      </c>
      <c r="I263" s="392">
        <f>IF(H263,Wh_hp,'2026'!Maxi_hp)</f>
        <v>51.846079488865243</v>
      </c>
      <c r="J263" s="85">
        <f>IF(H263,An,'2026'!An_max)</f>
        <v>2019</v>
      </c>
      <c r="K263" s="199">
        <f t="shared" si="79"/>
        <v>46636</v>
      </c>
      <c r="L263" s="147">
        <f>IF(t&lt;Tvie,1-EXP((T0-t)*PertePVj)+'2026'!Pspv,1-EXP((T0-t)*PertePVj)+Pspv)</f>
        <v>7.4417457859517921E-2</v>
      </c>
      <c r="M263" s="872"/>
      <c r="N263" s="872"/>
      <c r="O263" s="48">
        <f>IF(t&lt;Tnet,'2026'!Resal+('2026'!Salim-'2026'!Resal)*(1-EXP(('2026'!Tnet-t)/('2026'!Tau_j))),Resal+(Salim-Resal)*(1-EXP((Tnet-t)/(Tau_j))))*Salcycl</f>
        <v>0.11175406178014509</v>
      </c>
      <c r="P263" s="171">
        <f>(INDEX(Models!$BJ263:$BT263,,T263)*(1-R263)+INDEX(Models!$BJ263:$BT263,,T263+1)*R263-ERP_i)*Q263*Ramure*Pc/MaxiM</f>
        <v>4.0419951573545457E-3</v>
      </c>
      <c r="Q263" s="307">
        <f t="shared" si="80"/>
        <v>0.9</v>
      </c>
      <c r="R263" s="179">
        <f t="shared" si="81"/>
        <v>0.24667038586913625</v>
      </c>
      <c r="S263" s="839">
        <f t="shared" si="82"/>
        <v>-1</v>
      </c>
      <c r="T263" s="178">
        <f t="shared" si="83"/>
        <v>5</v>
      </c>
      <c r="U263" s="253">
        <f t="shared" si="84"/>
        <v>-0.75332961413086375</v>
      </c>
      <c r="V263" s="385">
        <f t="shared" si="85"/>
        <v>41.037642654198656</v>
      </c>
      <c r="W263" s="404">
        <f t="shared" si="86"/>
        <v>38.69061729336957</v>
      </c>
      <c r="X263" s="157">
        <f t="shared" si="87"/>
        <v>46636</v>
      </c>
      <c r="Y263" s="387">
        <f t="shared" si="88"/>
        <v>35.010303007237098</v>
      </c>
      <c r="Z263" s="387">
        <f t="shared" si="89"/>
        <v>37.825154876271796</v>
      </c>
      <c r="AA263" s="388">
        <f t="shared" si="90"/>
        <v>46.096368712017387</v>
      </c>
      <c r="AB263" s="199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0.17943308913158004</v>
      </c>
      <c r="AD263" s="233">
        <f>(INDEX(Models!$BJ263:$BT263,,AH263)*(1-AF263)+INDEX(Models!$BJ263:$BT263,,AH263+1)*AF263-ERP_i)*AE263*Ramure*Pc/MaxiM</f>
        <v>2.6270827610187106E-2</v>
      </c>
      <c r="AE263" s="307">
        <f t="shared" si="92"/>
        <v>0.9</v>
      </c>
      <c r="AF263" s="179">
        <f t="shared" si="93"/>
        <v>0.8823260381761151</v>
      </c>
      <c r="AG263" s="839">
        <f t="shared" si="99"/>
        <v>3</v>
      </c>
      <c r="AH263" s="178">
        <f t="shared" si="94"/>
        <v>9</v>
      </c>
      <c r="AI263" s="227">
        <f t="shared" si="95"/>
        <v>3.8823260381761151</v>
      </c>
      <c r="AJ263" s="267" t="b">
        <f t="shared" si="96"/>
        <v>0</v>
      </c>
      <c r="AK263" s="267" t="b">
        <f t="shared" si="97"/>
        <v>0</v>
      </c>
      <c r="AL263" s="267"/>
      <c r="AM263" s="267"/>
      <c r="AN263" s="75"/>
    </row>
    <row r="264" spans="1:40" s="6" customFormat="1" ht="11.25" x14ac:dyDescent="0.2">
      <c r="A264" s="56">
        <f t="shared" si="98"/>
        <v>46637</v>
      </c>
      <c r="B264" s="413">
        <f>'2026'!Wh/'2026'!Env_an*'2027'!Env_an</f>
        <v>31.200554727903565</v>
      </c>
      <c r="C264" s="868"/>
      <c r="D264" s="395">
        <f t="shared" si="77"/>
        <v>33.709884755534766</v>
      </c>
      <c r="E264" s="387">
        <f t="shared" si="100"/>
        <v>37.95592563700643</v>
      </c>
      <c r="F264" s="387">
        <f t="shared" si="78"/>
        <v>38.060863821233546</v>
      </c>
      <c r="G264" s="110">
        <f t="shared" si="101"/>
        <v>0.76518054578578565</v>
      </c>
      <c r="H264" s="416" t="b">
        <f>Wh_hp&gt;='2026'!Maxi_hp</f>
        <v>0</v>
      </c>
      <c r="I264" s="392">
        <f>IF(H264,Wh_hp,'2026'!Maxi_hp)</f>
        <v>50.605106354797776</v>
      </c>
      <c r="J264" s="85">
        <f>IF(H264,An,'2026'!An_max)</f>
        <v>2019</v>
      </c>
      <c r="K264" s="199">
        <f t="shared" si="79"/>
        <v>46637</v>
      </c>
      <c r="L264" s="147">
        <f>IF(t&lt;Tvie,1-EXP((T0-t)*PertePVj)+'2026'!Pspv,1-EXP((T0-t)*PertePVj)+Pspv)</f>
        <v>7.4438997517462635E-2</v>
      </c>
      <c r="M264" s="872"/>
      <c r="N264" s="872"/>
      <c r="O264" s="48">
        <f>IF(t&lt;Tnet,'2026'!Resal+('2026'!Salim-'2026'!Resal)*(1-EXP(('2026'!Tnet-t)/('2026'!Tau_j))),Resal+(Salim-Resal)*(1-EXP((Tnet-t)/(Tau_j))))*Salcycl</f>
        <v>0.11186766783344737</v>
      </c>
      <c r="P264" s="171">
        <f>(INDEX(Models!$BJ264:$BT264,,T264)*(1-R264)+INDEX(Models!$BJ264:$BT264,,T264+1)*R264-ERP_i)*Q264*Ramure*Pc/MaxiM</f>
        <v>4.1394337039796971E-3</v>
      </c>
      <c r="Q264" s="307">
        <f t="shared" si="80"/>
        <v>0.9</v>
      </c>
      <c r="R264" s="179">
        <f t="shared" si="81"/>
        <v>0.24739078279538884</v>
      </c>
      <c r="S264" s="839">
        <f t="shared" si="82"/>
        <v>-1</v>
      </c>
      <c r="T264" s="178">
        <f t="shared" si="83"/>
        <v>5</v>
      </c>
      <c r="U264" s="253">
        <f t="shared" si="84"/>
        <v>-0.75260921720461116</v>
      </c>
      <c r="V264" s="385">
        <f t="shared" si="85"/>
        <v>40.718895106659382</v>
      </c>
      <c r="W264" s="404">
        <f t="shared" si="86"/>
        <v>31.200554727903565</v>
      </c>
      <c r="X264" s="157">
        <f t="shared" si="87"/>
        <v>46637</v>
      </c>
      <c r="Y264" s="387">
        <f t="shared" si="88"/>
        <v>28.384110473100204</v>
      </c>
      <c r="Z264" s="387">
        <f t="shared" si="89"/>
        <v>30.666925677473895</v>
      </c>
      <c r="AA264" s="388">
        <f t="shared" si="90"/>
        <v>37.374071892487358</v>
      </c>
      <c r="AB264" s="199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0.1794598735269646</v>
      </c>
      <c r="AD264" s="233">
        <f>(INDEX(Models!$BJ264:$BT264,,AH264)*(1-AF264)+INDEX(Models!$BJ264:$BT264,,AH264+1)*AF264-ERP_i)*AE264*Ramure*Pc/MaxiM</f>
        <v>2.7091469882119648E-2</v>
      </c>
      <c r="AE264" s="307">
        <f t="shared" si="92"/>
        <v>0.9</v>
      </c>
      <c r="AF264" s="179">
        <f t="shared" si="93"/>
        <v>0.88304643510236769</v>
      </c>
      <c r="AG264" s="839">
        <f t="shared" si="99"/>
        <v>3</v>
      </c>
      <c r="AH264" s="178">
        <f t="shared" si="94"/>
        <v>9</v>
      </c>
      <c r="AI264" s="227">
        <f t="shared" si="95"/>
        <v>3.8830464351023677</v>
      </c>
      <c r="AJ264" s="267" t="b">
        <f t="shared" si="96"/>
        <v>0</v>
      </c>
      <c r="AK264" s="267" t="b">
        <f t="shared" si="97"/>
        <v>0</v>
      </c>
      <c r="AL264" s="267"/>
      <c r="AM264" s="267"/>
      <c r="AN264" s="75"/>
    </row>
    <row r="265" spans="1:40" s="6" customFormat="1" ht="11.25" x14ac:dyDescent="0.2">
      <c r="A265" s="56">
        <f t="shared" si="98"/>
        <v>46638</v>
      </c>
      <c r="B265" s="413">
        <f>'2026'!Wh/'2026'!Env_an*'2027'!Env_an</f>
        <v>33.583547102903964</v>
      </c>
      <c r="C265" s="868"/>
      <c r="D265" s="395">
        <f t="shared" si="77"/>
        <v>36.285375647002859</v>
      </c>
      <c r="E265" s="387">
        <f t="shared" si="100"/>
        <v>40.860995488414751</v>
      </c>
      <c r="F265" s="387">
        <f t="shared" si="78"/>
        <v>40.992813529128327</v>
      </c>
      <c r="G265" s="110">
        <f t="shared" si="101"/>
        <v>0.83053751571999368</v>
      </c>
      <c r="H265" s="416" t="b">
        <f>Wh_hp&gt;='2026'!Maxi_hp</f>
        <v>0</v>
      </c>
      <c r="I265" s="392">
        <f>IF(H265,Wh_hp,'2026'!Maxi_hp)</f>
        <v>44.460234506845794</v>
      </c>
      <c r="J265" s="85">
        <f>IF(H265,An,'2026'!An_max)</f>
        <v>2019</v>
      </c>
      <c r="K265" s="199">
        <f t="shared" si="79"/>
        <v>46638</v>
      </c>
      <c r="L265" s="147">
        <f>IF(t&lt;Tvie,1-EXP((T0-t)*PertePVj)+'2026'!Pspv,1-EXP((T0-t)*PertePVj)+Pspv)</f>
        <v>7.4460536674147981E-2</v>
      </c>
      <c r="M265" s="872"/>
      <c r="N265" s="872"/>
      <c r="O265" s="48">
        <f>IF(t&lt;Tnet,'2026'!Resal+('2026'!Salim-'2026'!Resal)*(1-EXP(('2026'!Tnet-t)/('2026'!Tau_j))),Resal+(Salim-Resal)*(1-EXP((Tnet-t)/(Tau_j))))*Salcycl</f>
        <v>0.11198013623307851</v>
      </c>
      <c r="P265" s="171">
        <f>(INDEX(Models!$BJ265:$BT265,,T265)*(1-R265)+INDEX(Models!$BJ265:$BT265,,T265+1)*R265-ERP_i)*Q265*Ramure*Pc/MaxiM</f>
        <v>4.2359709829350462E-3</v>
      </c>
      <c r="Q265" s="307">
        <f t="shared" si="80"/>
        <v>0.9</v>
      </c>
      <c r="R265" s="179">
        <f t="shared" si="81"/>
        <v>0.24808360534097307</v>
      </c>
      <c r="S265" s="839">
        <f t="shared" si="82"/>
        <v>-1</v>
      </c>
      <c r="T265" s="178">
        <f t="shared" si="83"/>
        <v>5</v>
      </c>
      <c r="U265" s="253">
        <f t="shared" si="84"/>
        <v>-0.75191639465902693</v>
      </c>
      <c r="V265" s="385">
        <f t="shared" si="85"/>
        <v>40.394527058163099</v>
      </c>
      <c r="W265" s="404">
        <f t="shared" si="86"/>
        <v>33.583547102903964</v>
      </c>
      <c r="X265" s="157">
        <f t="shared" si="87"/>
        <v>46638</v>
      </c>
      <c r="Y265" s="387">
        <f t="shared" si="88"/>
        <v>30.469238354282272</v>
      </c>
      <c r="Z265" s="387">
        <f t="shared" si="89"/>
        <v>32.920517775431748</v>
      </c>
      <c r="AA265" s="388">
        <f t="shared" si="90"/>
        <v>40.121777535055806</v>
      </c>
      <c r="AB265" s="199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0.17948506277749204</v>
      </c>
      <c r="AD265" s="233">
        <f>(INDEX(Models!$BJ265:$BT265,,AH265)*(1-AF265)+INDEX(Models!$BJ265:$BT265,,AH265+1)*AF265-ERP_i)*AE265*Ramure*Pc/MaxiM</f>
        <v>2.7990730070101496E-2</v>
      </c>
      <c r="AE265" s="307">
        <f t="shared" si="92"/>
        <v>0.9</v>
      </c>
      <c r="AF265" s="179">
        <f t="shared" si="93"/>
        <v>0.88373925764795214</v>
      </c>
      <c r="AG265" s="839">
        <f t="shared" si="99"/>
        <v>3</v>
      </c>
      <c r="AH265" s="178">
        <f t="shared" si="94"/>
        <v>9</v>
      </c>
      <c r="AI265" s="227">
        <f t="shared" si="95"/>
        <v>3.8837392576479521</v>
      </c>
      <c r="AJ265" s="267" t="b">
        <f t="shared" si="96"/>
        <v>0</v>
      </c>
      <c r="AK265" s="267" t="b">
        <f t="shared" si="97"/>
        <v>0</v>
      </c>
      <c r="AL265" s="267"/>
      <c r="AM265" s="267"/>
      <c r="AN265" s="75"/>
    </row>
    <row r="266" spans="1:40" s="6" customFormat="1" ht="11.25" x14ac:dyDescent="0.2">
      <c r="A266" s="56">
        <f t="shared" si="98"/>
        <v>46639</v>
      </c>
      <c r="B266" s="413">
        <f>'2026'!Wh/'2026'!Env_an*'2027'!Env_an</f>
        <v>19.099652815342466</v>
      </c>
      <c r="C266" s="868"/>
      <c r="D266" s="395">
        <f t="shared" si="77"/>
        <v>20.636718432162223</v>
      </c>
      <c r="E266" s="387">
        <f t="shared" si="100"/>
        <v>23.241940734922711</v>
      </c>
      <c r="F266" s="387">
        <f t="shared" si="78"/>
        <v>23.267383993133048</v>
      </c>
      <c r="G266" s="110">
        <f t="shared" si="101"/>
        <v>0.47517130774819533</v>
      </c>
      <c r="H266" s="416" t="b">
        <f>Wh_hp&gt;='2026'!Maxi_hp</f>
        <v>0</v>
      </c>
      <c r="I266" s="392">
        <f>IF(H266,Wh_hp,'2026'!Maxi_hp)</f>
        <v>45.722632872468637</v>
      </c>
      <c r="J266" s="85">
        <f>IF(H266,An,'2026'!An_max)</f>
        <v>2020</v>
      </c>
      <c r="K266" s="199">
        <f t="shared" si="79"/>
        <v>46639</v>
      </c>
      <c r="L266" s="147">
        <f>IF(t&lt;Tvie,1-EXP((T0-t)*PertePVj)+'2026'!Pspv,1-EXP((T0-t)*PertePVj)+Pspv)</f>
        <v>7.4482075329585729E-2</v>
      </c>
      <c r="M266" s="872"/>
      <c r="N266" s="872"/>
      <c r="O266" s="48">
        <f>IF(t&lt;Tnet,'2026'!Resal+('2026'!Salim-'2026'!Resal)*(1-EXP(('2026'!Tnet-t)/('2026'!Tau_j))),Resal+(Salim-Resal)*(1-EXP((Tnet-t)/(Tau_j))))*Salcycl</f>
        <v>0.11209142697993167</v>
      </c>
      <c r="P266" s="171">
        <f>(INDEX(Models!$BJ266:$BT266,,T266)*(1-R266)+INDEX(Models!$BJ266:$BT266,,T266+1)*R266-ERP_i)*Q266*Ramure*Pc/MaxiM</f>
        <v>4.3315743940455769E-3</v>
      </c>
      <c r="Q266" s="307">
        <f t="shared" si="80"/>
        <v>0.9</v>
      </c>
      <c r="R266" s="179">
        <f t="shared" si="81"/>
        <v>0.24874985484007028</v>
      </c>
      <c r="S266" s="839">
        <f t="shared" si="82"/>
        <v>-1</v>
      </c>
      <c r="T266" s="178">
        <f t="shared" si="83"/>
        <v>5</v>
      </c>
      <c r="U266" s="253">
        <f t="shared" si="84"/>
        <v>-0.75125014515992972</v>
      </c>
      <c r="V266" s="385">
        <f t="shared" si="85"/>
        <v>40.065001845965796</v>
      </c>
      <c r="W266" s="404">
        <f t="shared" si="86"/>
        <v>19.099652815342466</v>
      </c>
      <c r="X266" s="157">
        <f t="shared" si="87"/>
        <v>46639</v>
      </c>
      <c r="Y266" s="387">
        <f t="shared" si="88"/>
        <v>17.539550210446361</v>
      </c>
      <c r="Z266" s="387">
        <f t="shared" si="89"/>
        <v>18.951064850194406</v>
      </c>
      <c r="AA266" s="388">
        <f t="shared" si="90"/>
        <v>23.097213167568388</v>
      </c>
      <c r="AB266" s="199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0.1795085964394931</v>
      </c>
      <c r="AD266" s="233">
        <f>(INDEX(Models!$BJ266:$BT266,,AH266)*(1-AF266)+INDEX(Models!$BJ266:$BT266,,AH266+1)*AF266-ERP_i)*AE266*Ramure*Pc/MaxiM</f>
        <v>2.8970644582382073E-2</v>
      </c>
      <c r="AE266" s="307">
        <f t="shared" si="92"/>
        <v>0.9</v>
      </c>
      <c r="AF266" s="179">
        <f t="shared" si="93"/>
        <v>0.88440550714704935</v>
      </c>
      <c r="AG266" s="839">
        <f t="shared" si="99"/>
        <v>3</v>
      </c>
      <c r="AH266" s="178">
        <f t="shared" si="94"/>
        <v>9</v>
      </c>
      <c r="AI266" s="227">
        <f t="shared" si="95"/>
        <v>3.8844055071470494</v>
      </c>
      <c r="AJ266" s="267" t="b">
        <f t="shared" si="96"/>
        <v>0</v>
      </c>
      <c r="AK266" s="267" t="b">
        <f t="shared" si="97"/>
        <v>0</v>
      </c>
      <c r="AL266" s="267"/>
      <c r="AM266" s="267"/>
      <c r="AN266" s="75"/>
    </row>
    <row r="267" spans="1:40" s="6" customFormat="1" ht="11.25" x14ac:dyDescent="0.2">
      <c r="A267" s="56">
        <f t="shared" si="98"/>
        <v>46640</v>
      </c>
      <c r="B267" s="413">
        <f>'2026'!Wh/'2026'!Env_an*'2027'!Env_an</f>
        <v>37.566217948239682</v>
      </c>
      <c r="C267" s="868"/>
      <c r="D267" s="395">
        <f t="shared" si="77"/>
        <v>40.590345349318774</v>
      </c>
      <c r="E267" s="387">
        <f t="shared" si="100"/>
        <v>45.720222861849351</v>
      </c>
      <c r="F267" s="387">
        <f t="shared" si="78"/>
        <v>45.907604628797479</v>
      </c>
      <c r="G267" s="110">
        <f t="shared" si="101"/>
        <v>0.94519214958693842</v>
      </c>
      <c r="H267" s="416" t="b">
        <f>Wh_hp&gt;='2026'!Maxi_hp</f>
        <v>0</v>
      </c>
      <c r="I267" s="392">
        <f>IF(H267,Wh_hp,'2026'!Maxi_hp)</f>
        <v>45.919588891622695</v>
      </c>
      <c r="J267" s="85">
        <f>IF(H267,An,'2026'!An_max)</f>
        <v>2025</v>
      </c>
      <c r="K267" s="199">
        <f t="shared" si="79"/>
        <v>46640</v>
      </c>
      <c r="L267" s="147">
        <f>IF(t&lt;Tvie,1-EXP((T0-t)*PertePVj)+'2026'!Pspv,1-EXP((T0-t)*PertePVj)+Pspv)</f>
        <v>7.4503613483787423E-2</v>
      </c>
      <c r="M267" s="872"/>
      <c r="N267" s="872"/>
      <c r="O267" s="48">
        <f>IF(t&lt;Tnet,'2026'!Resal+('2026'!Salim-'2026'!Resal)*(1-EXP(('2026'!Tnet-t)/('2026'!Tau_j))),Resal+(Salim-Resal)*(1-EXP((Tnet-t)/(Tau_j))))*Salcycl</f>
        <v>0.11220149840544938</v>
      </c>
      <c r="P267" s="171">
        <f>(INDEX(Models!$BJ267:$BT267,,T267)*(1-R267)+INDEX(Models!$BJ267:$BT267,,T267+1)*R267-ERP_i)*Q267*Ramure*Pc/MaxiM</f>
        <v>4.4262054486727638E-3</v>
      </c>
      <c r="Q267" s="307">
        <f t="shared" si="80"/>
        <v>0.9</v>
      </c>
      <c r="R267" s="179">
        <f t="shared" si="81"/>
        <v>0.24939050045080113</v>
      </c>
      <c r="S267" s="839">
        <f t="shared" si="82"/>
        <v>-1</v>
      </c>
      <c r="T267" s="178">
        <f t="shared" si="83"/>
        <v>5</v>
      </c>
      <c r="U267" s="253">
        <f t="shared" si="84"/>
        <v>-0.75060949954919887</v>
      </c>
      <c r="V267" s="385">
        <f t="shared" si="85"/>
        <v>39.730782497062513</v>
      </c>
      <c r="W267" s="404">
        <f t="shared" si="86"/>
        <v>37.566217948239682</v>
      </c>
      <c r="X267" s="157">
        <f t="shared" si="87"/>
        <v>46640</v>
      </c>
      <c r="Y267" s="387">
        <f t="shared" si="88"/>
        <v>33.894090732355643</v>
      </c>
      <c r="Z267" s="387">
        <f t="shared" si="89"/>
        <v>36.622607312321364</v>
      </c>
      <c r="AA267" s="388">
        <f t="shared" si="90"/>
        <v>44.636154501985644</v>
      </c>
      <c r="AB267" s="199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0.17953041159286692</v>
      </c>
      <c r="AD267" s="233">
        <f>(INDEX(Models!$BJ267:$BT267,,AH267)*(1-AF267)+INDEX(Models!$BJ267:$BT267,,AH267+1)*AF267-ERP_i)*AE267*Ramure*Pc/MaxiM</f>
        <v>3.0033335530282375E-2</v>
      </c>
      <c r="AE267" s="307">
        <f t="shared" si="92"/>
        <v>0.9</v>
      </c>
      <c r="AF267" s="179">
        <f t="shared" si="93"/>
        <v>0.8850461527577802</v>
      </c>
      <c r="AG267" s="839">
        <f t="shared" si="99"/>
        <v>3</v>
      </c>
      <c r="AH267" s="178">
        <f t="shared" si="94"/>
        <v>9</v>
      </c>
      <c r="AI267" s="227">
        <f t="shared" si="95"/>
        <v>3.8850461527577802</v>
      </c>
      <c r="AJ267" s="267" t="b">
        <f t="shared" si="96"/>
        <v>0</v>
      </c>
      <c r="AK267" s="267" t="b">
        <f t="shared" si="97"/>
        <v>0</v>
      </c>
      <c r="AL267" s="267"/>
      <c r="AM267" s="267"/>
      <c r="AN267" s="75"/>
    </row>
    <row r="268" spans="1:40" s="6" customFormat="1" ht="11.25" x14ac:dyDescent="0.2">
      <c r="A268" s="56">
        <f t="shared" si="98"/>
        <v>46641</v>
      </c>
      <c r="B268" s="413">
        <f>'2026'!Wh/'2026'!Env_an*'2027'!Env_an</f>
        <v>37.42937905463716</v>
      </c>
      <c r="C268" s="868"/>
      <c r="D268" s="395">
        <f t="shared" si="77"/>
        <v>40.443431931847563</v>
      </c>
      <c r="E268" s="387">
        <f t="shared" si="100"/>
        <v>45.560326156066935</v>
      </c>
      <c r="F268" s="387">
        <f t="shared" si="78"/>
        <v>45.752316825232036</v>
      </c>
      <c r="G268" s="110">
        <f t="shared" si="101"/>
        <v>0.94986047874784696</v>
      </c>
      <c r="H268" s="416" t="b">
        <f>Wh_hp&gt;='2026'!Maxi_hp</f>
        <v>0</v>
      </c>
      <c r="I268" s="392">
        <f>IF(H268,Wh_hp,'2026'!Maxi_hp)</f>
        <v>45.763447540652763</v>
      </c>
      <c r="J268" s="85">
        <f>IF(H268,An,'2026'!An_max)</f>
        <v>2025</v>
      </c>
      <c r="K268" s="199">
        <f t="shared" si="79"/>
        <v>46641</v>
      </c>
      <c r="L268" s="147">
        <f>IF(t&lt;Tvie,1-EXP((T0-t)*PertePVj)+'2026'!Pspv,1-EXP((T0-t)*PertePVj)+Pspv)</f>
        <v>7.4525151136764944E-2</v>
      </c>
      <c r="M268" s="872"/>
      <c r="N268" s="872"/>
      <c r="O268" s="48">
        <f>IF(t&lt;Tnet,'2026'!Resal+('2026'!Salim-'2026'!Resal)*(1-EXP(('2026'!Tnet-t)/('2026'!Tau_j))),Resal+(Salim-Resal)*(1-EXP((Tnet-t)/(Tau_j))))*Salcycl</f>
        <v>0.11231030714511238</v>
      </c>
      <c r="P268" s="171">
        <f>(INDEX(Models!$BJ268:$BT268,,T268)*(1-R268)+INDEX(Models!$BJ268:$BT268,,T268+1)*R268-ERP_i)*Q268*Ramure*Pc/MaxiM</f>
        <v>4.5179342135357988E-3</v>
      </c>
      <c r="Q268" s="307">
        <f t="shared" si="80"/>
        <v>0.9</v>
      </c>
      <c r="R268" s="179">
        <f t="shared" si="81"/>
        <v>0.25000647985867253</v>
      </c>
      <c r="S268" s="839">
        <f t="shared" si="82"/>
        <v>-1</v>
      </c>
      <c r="T268" s="178">
        <f t="shared" si="83"/>
        <v>5</v>
      </c>
      <c r="U268" s="253">
        <f t="shared" si="84"/>
        <v>-0.74999352014132747</v>
      </c>
      <c r="V268" s="385">
        <f t="shared" si="85"/>
        <v>39.392406332265928</v>
      </c>
      <c r="W268" s="404">
        <f t="shared" si="86"/>
        <v>37.42937905463716</v>
      </c>
      <c r="X268" s="157">
        <f t="shared" si="87"/>
        <v>46641</v>
      </c>
      <c r="Y268" s="387">
        <f t="shared" si="88"/>
        <v>33.733540543474277</v>
      </c>
      <c r="Z268" s="387">
        <f t="shared" si="89"/>
        <v>36.449980877286222</v>
      </c>
      <c r="AA268" s="388">
        <f t="shared" si="90"/>
        <v>44.426839600056184</v>
      </c>
      <c r="AB268" s="199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0.17955044280844756</v>
      </c>
      <c r="AD268" s="233">
        <f>(INDEX(Models!$BJ268:$BT268,,AH268)*(1-AF268)+INDEX(Models!$BJ268:$BT268,,AH268+1)*AF268-ERP_i)*AE268*Ramure*Pc/MaxiM</f>
        <v>3.1191197629166199E-2</v>
      </c>
      <c r="AE268" s="307">
        <f t="shared" si="92"/>
        <v>0.9</v>
      </c>
      <c r="AF268" s="179">
        <f t="shared" si="93"/>
        <v>0.88566213216565171</v>
      </c>
      <c r="AG268" s="839">
        <f t="shared" si="99"/>
        <v>3</v>
      </c>
      <c r="AH268" s="178">
        <f t="shared" si="94"/>
        <v>9</v>
      </c>
      <c r="AI268" s="227">
        <f t="shared" si="95"/>
        <v>3.8856621321656517</v>
      </c>
      <c r="AJ268" s="267" t="b">
        <f t="shared" si="96"/>
        <v>0</v>
      </c>
      <c r="AK268" s="267" t="b">
        <f t="shared" si="97"/>
        <v>0</v>
      </c>
      <c r="AL268" s="267"/>
      <c r="AM268" s="267"/>
      <c r="AN268" s="75"/>
    </row>
    <row r="269" spans="1:40" s="6" customFormat="1" ht="11.25" x14ac:dyDescent="0.2">
      <c r="A269" s="56">
        <f t="shared" si="98"/>
        <v>46642</v>
      </c>
      <c r="B269" s="413">
        <f>'2026'!Wh/'2026'!Env_an*'2027'!Env_an</f>
        <v>26.020594574653483</v>
      </c>
      <c r="C269" s="868"/>
      <c r="D269" s="395">
        <f t="shared" si="77"/>
        <v>28.116593506519273</v>
      </c>
      <c r="E269" s="387">
        <f t="shared" si="100"/>
        <v>31.677735046996212</v>
      </c>
      <c r="F269" s="387">
        <f t="shared" si="78"/>
        <v>31.754321852409571</v>
      </c>
      <c r="G269" s="110">
        <f t="shared" si="101"/>
        <v>0.66486870945463128</v>
      </c>
      <c r="H269" s="416" t="b">
        <f>Wh_hp&gt;='2026'!Maxi_hp</f>
        <v>0</v>
      </c>
      <c r="I269" s="392">
        <f>IF(H269,Wh_hp,'2026'!Maxi_hp)</f>
        <v>47.211932330727613</v>
      </c>
      <c r="J269" s="85">
        <f>IF(H269,An,'2026'!An_max)</f>
        <v>2019</v>
      </c>
      <c r="K269" s="199">
        <f t="shared" si="79"/>
        <v>46642</v>
      </c>
      <c r="L269" s="147">
        <f>IF(t&lt;Tvie,1-EXP((T0-t)*PertePVj)+'2026'!Pspv,1-EXP((T0-t)*PertePVj)+Pspv)</f>
        <v>7.4546688288529728E-2</v>
      </c>
      <c r="M269" s="872"/>
      <c r="N269" s="872"/>
      <c r="O269" s="48">
        <f>IF(t&lt;Tnet,'2026'!Resal+('2026'!Salim-'2026'!Resal)*(1-EXP(('2026'!Tnet-t)/('2026'!Tau_j))),Resal+(Salim-Resal)*(1-EXP((Tnet-t)/(Tau_j))))*Salcycl</f>
        <v>0.11241780812907644</v>
      </c>
      <c r="P269" s="171">
        <f>(INDEX(Models!$BJ269:$BT269,,T269)*(1-R269)+INDEX(Models!$BJ269:$BT269,,T269+1)*R269-ERP_i)*Q269*Ramure*Pc/MaxiM</f>
        <v>4.6086054212694134E-3</v>
      </c>
      <c r="Q269" s="307">
        <f t="shared" si="80"/>
        <v>0.9</v>
      </c>
      <c r="R269" s="179">
        <f t="shared" si="81"/>
        <v>0.2505986999928943</v>
      </c>
      <c r="S269" s="839">
        <f t="shared" si="82"/>
        <v>-1</v>
      </c>
      <c r="T269" s="178">
        <f t="shared" si="83"/>
        <v>5</v>
      </c>
      <c r="U269" s="253">
        <f t="shared" si="84"/>
        <v>-0.7494013000071057</v>
      </c>
      <c r="V269" s="385">
        <f t="shared" si="85"/>
        <v>39.050259464310486</v>
      </c>
      <c r="W269" s="404">
        <f t="shared" si="86"/>
        <v>26.020594574653483</v>
      </c>
      <c r="X269" s="157">
        <f t="shared" si="87"/>
        <v>46642</v>
      </c>
      <c r="Y269" s="387">
        <f t="shared" si="88"/>
        <v>23.701052090648368</v>
      </c>
      <c r="Z269" s="387">
        <f t="shared" si="89"/>
        <v>25.610208306259402</v>
      </c>
      <c r="AA269" s="388">
        <f t="shared" si="90"/>
        <v>31.215539772686959</v>
      </c>
      <c r="AB269" s="199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0.1795686221428765</v>
      </c>
      <c r="AD269" s="233">
        <f>(INDEX(Models!$BJ269:$BT269,,AH269)*(1-AF269)+INDEX(Models!$BJ269:$BT269,,AH269+1)*AF269-ERP_i)*AE269*Ramure*Pc/MaxiM</f>
        <v>3.2421172290589606E-2</v>
      </c>
      <c r="AE269" s="307">
        <f t="shared" si="92"/>
        <v>0.9</v>
      </c>
      <c r="AF269" s="179">
        <f t="shared" si="93"/>
        <v>0.88625435229987337</v>
      </c>
      <c r="AG269" s="839">
        <f t="shared" si="99"/>
        <v>3</v>
      </c>
      <c r="AH269" s="178">
        <f t="shared" si="94"/>
        <v>9</v>
      </c>
      <c r="AI269" s="227">
        <f t="shared" si="95"/>
        <v>3.8862543522998734</v>
      </c>
      <c r="AJ269" s="267" t="b">
        <f t="shared" si="96"/>
        <v>0</v>
      </c>
      <c r="AK269" s="267" t="b">
        <f t="shared" si="97"/>
        <v>0</v>
      </c>
      <c r="AL269" s="267"/>
      <c r="AM269" s="267"/>
      <c r="AN269" s="75"/>
    </row>
    <row r="270" spans="1:40" s="6" customFormat="1" ht="11.25" x14ac:dyDescent="0.2">
      <c r="A270" s="56">
        <f t="shared" si="98"/>
        <v>46643</v>
      </c>
      <c r="B270" s="413">
        <f>'2026'!Wh/'2026'!Env_an*'2027'!Env_an</f>
        <v>10.804532610953892</v>
      </c>
      <c r="C270" s="868"/>
      <c r="D270" s="395">
        <f t="shared" si="77"/>
        <v>11.67512603535015</v>
      </c>
      <c r="E270" s="387">
        <f t="shared" si="100"/>
        <v>13.155426668428378</v>
      </c>
      <c r="F270" s="387">
        <f t="shared" si="78"/>
        <v>13.155426668428378</v>
      </c>
      <c r="G270" s="110">
        <f t="shared" si="101"/>
        <v>0.27784073455110753</v>
      </c>
      <c r="H270" s="416" t="b">
        <f>Wh_hp&gt;='2026'!Maxi_hp</f>
        <v>0</v>
      </c>
      <c r="I270" s="392">
        <f>IF(H270,Wh_hp,'2026'!Maxi_hp)</f>
        <v>44.152198897789638</v>
      </c>
      <c r="J270" s="85">
        <f>IF(H270,An,'2026'!An_max)</f>
        <v>2020</v>
      </c>
      <c r="K270" s="199">
        <f t="shared" si="79"/>
        <v>46643</v>
      </c>
      <c r="L270" s="147">
        <f>IF(t&lt;Tvie,1-EXP((T0-t)*PertePVj)+'2026'!Pspv,1-EXP((T0-t)*PertePVj)+Pspv)</f>
        <v>7.4568224939093541E-2</v>
      </c>
      <c r="M270" s="872"/>
      <c r="N270" s="872"/>
      <c r="O270" s="48">
        <f>IF(t&lt;Tnet,'2026'!Resal+('2026'!Salim-'2026'!Resal)*(1-EXP(('2026'!Tnet-t)/('2026'!Tau_j))),Resal+(Salim-Resal)*(1-EXP((Tnet-t)/(Tau_j))))*Salcycl</f>
        <v>0.11252395459212218</v>
      </c>
      <c r="P270" s="171">
        <f>(INDEX(Models!$BJ270:$BT270,,T270)*(1-R270)+INDEX(Models!$BJ270:$BT270,,T270+1)*R270-ERP_i)*Q270*Ramure*Pc/MaxiM</f>
        <v>4.6981632730991379E-3</v>
      </c>
      <c r="Q270" s="307">
        <f t="shared" si="80"/>
        <v>0.9</v>
      </c>
      <c r="R270" s="179">
        <f t="shared" si="81"/>
        <v>0.25116803775238838</v>
      </c>
      <c r="S270" s="839">
        <f t="shared" si="82"/>
        <v>-1</v>
      </c>
      <c r="T270" s="178">
        <f t="shared" si="83"/>
        <v>5</v>
      </c>
      <c r="U270" s="253">
        <f t="shared" si="84"/>
        <v>-0.74883196224761162</v>
      </c>
      <c r="V270" s="385">
        <f t="shared" si="85"/>
        <v>38.70480392312669</v>
      </c>
      <c r="W270" s="404">
        <f t="shared" si="86"/>
        <v>10.804532610953892</v>
      </c>
      <c r="X270" s="157">
        <f t="shared" si="87"/>
        <v>46643</v>
      </c>
      <c r="Y270" s="387">
        <f t="shared" si="88"/>
        <v>9.9881027476244437</v>
      </c>
      <c r="Z270" s="387">
        <f t="shared" si="89"/>
        <v>10.792910959824225</v>
      </c>
      <c r="AA270" s="388">
        <f t="shared" si="90"/>
        <v>13.155426668428378</v>
      </c>
      <c r="AB270" s="199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0.17958487916427213</v>
      </c>
      <c r="AD270" s="233">
        <f>(INDEX(Models!$BJ270:$BT270,,AH270)*(1-AF270)+INDEX(Models!$BJ270:$BT270,,AH270+1)*AF270-ERP_i)*AE270*Ramure*Pc/MaxiM</f>
        <v>3.3725130655113983E-2</v>
      </c>
      <c r="AE270" s="307">
        <f t="shared" si="92"/>
        <v>0.9</v>
      </c>
      <c r="AF270" s="179">
        <f t="shared" si="93"/>
        <v>0.88682369005936756</v>
      </c>
      <c r="AG270" s="839">
        <f t="shared" si="99"/>
        <v>3</v>
      </c>
      <c r="AH270" s="178">
        <f t="shared" si="94"/>
        <v>9</v>
      </c>
      <c r="AI270" s="227">
        <f t="shared" si="95"/>
        <v>3.8868236900593676</v>
      </c>
      <c r="AJ270" s="267" t="b">
        <f t="shared" si="96"/>
        <v>0</v>
      </c>
      <c r="AK270" s="267" t="b">
        <f t="shared" si="97"/>
        <v>0</v>
      </c>
      <c r="AL270" s="267"/>
      <c r="AM270" s="267"/>
      <c r="AN270" s="75"/>
    </row>
    <row r="271" spans="1:40" s="6" customFormat="1" ht="11.25" x14ac:dyDescent="0.2">
      <c r="A271" s="56">
        <f t="shared" si="98"/>
        <v>46644</v>
      </c>
      <c r="B271" s="413">
        <f>'2026'!Wh/'2026'!Env_an*'2027'!Env_an</f>
        <v>31.593630458295561</v>
      </c>
      <c r="C271" s="868"/>
      <c r="D271" s="395">
        <f t="shared" ref="D271:D334" si="102">Wh/(1-Ppv)</f>
        <v>34.140134969174326</v>
      </c>
      <c r="E271" s="387">
        <f t="shared" si="100"/>
        <v>38.473336805308335</v>
      </c>
      <c r="F271" s="387">
        <f t="shared" ref="F271:F334" si="103">Wh_sa/(1-Pvg*MEDIAN((-Sdif+Wh/Env_an)/Csdif,0,1))</f>
        <v>38.611601439880722</v>
      </c>
      <c r="G271" s="110">
        <f t="shared" si="101"/>
        <v>0.82268720991172273</v>
      </c>
      <c r="H271" s="416" t="b">
        <f>Wh_hp&gt;='2026'!Maxi_hp</f>
        <v>0</v>
      </c>
      <c r="I271" s="392">
        <f>IF(H271,Wh_hp,'2026'!Maxi_hp)</f>
        <v>43.575578607161226</v>
      </c>
      <c r="J271" s="85">
        <f>IF(H271,An,'2026'!An_max)</f>
        <v>2020</v>
      </c>
      <c r="K271" s="199">
        <f t="shared" ref="K271:K334" si="104">t</f>
        <v>46644</v>
      </c>
      <c r="L271" s="147">
        <f>IF(t&lt;Tvie,1-EXP((T0-t)*PertePVj)+'2026'!Pspv,1-EXP((T0-t)*PertePVj)+Pspv)</f>
        <v>7.4589761088467932E-2</v>
      </c>
      <c r="M271" s="872"/>
      <c r="N271" s="872"/>
      <c r="O271" s="48">
        <f>IF(t&lt;Tnet,'2026'!Resal+('2026'!Salim-'2026'!Resal)*(1-EXP(('2026'!Tnet-t)/('2026'!Tau_j))),Resal+(Salim-Resal)*(1-EXP((Tnet-t)/(Tau_j))))*Salcycl</f>
        <v>0.11262869810492079</v>
      </c>
      <c r="P271" s="171">
        <f>(INDEX(Models!$BJ271:$BT271,,T271)*(1-R271)+INDEX(Models!$BJ271:$BT271,,T271+1)*R271-ERP_i)*Q271*Ramure*Pc/MaxiM</f>
        <v>4.7865451695486942E-3</v>
      </c>
      <c r="Q271" s="307">
        <f t="shared" ref="Q271:Q334" si="105">IF(OR(t&lt;Ttai,Notai),Dd+PousD*Croivg,Dens+PousD*(Croivg-Croi_tai))</f>
        <v>0.9</v>
      </c>
      <c r="R271" s="179">
        <f t="shared" ref="R271:R334" si="106">(Hp_vg-S271)/(INDEX(Echel_vg,T271+1)-S271)</f>
        <v>0.25171534073859825</v>
      </c>
      <c r="S271" s="839">
        <f t="shared" ref="S271:S334" si="107">INDEX(Echel_vg,T271)</f>
        <v>-1</v>
      </c>
      <c r="T271" s="178">
        <f t="shared" ref="T271:T334" si="108">MIN(MATCH(Hp_vg,Echel_vg),10)</f>
        <v>5</v>
      </c>
      <c r="U271" s="253">
        <f t="shared" ref="U271:U334" si="109">IF(OR(t&lt;Ttai,Notai),Hdd+PousH*Croivg,Hdtf+PousH*(Croivg-Croi_tai))</f>
        <v>-0.74828465926140175</v>
      </c>
      <c r="V271" s="385">
        <f t="shared" ref="V271:V334" si="110">MaxiM*(1-Ppv)*(1-Pvg)*(1-Psa)</f>
        <v>38.35650143679181</v>
      </c>
      <c r="W271" s="404">
        <f t="shared" ref="W271:W334" si="111">Wh*(A271&gt;Tmaj)</f>
        <v>31.593630458295561</v>
      </c>
      <c r="X271" s="157">
        <f t="shared" ref="X271:X334" si="112">t</f>
        <v>46644</v>
      </c>
      <c r="Y271" s="387">
        <f t="shared" ref="Y271:Y334" si="113">Wh_pvt_s*(1-Ppv)</f>
        <v>28.544340228593455</v>
      </c>
      <c r="Z271" s="387">
        <f t="shared" ref="Z271:Z334" si="114">Wh_sa_s*(1-Psa_s)</f>
        <v>30.845066359074782</v>
      </c>
      <c r="AA271" s="388">
        <f t="shared" ref="AA271:AA334" si="115">Wh_hp*(1-Pvg_s*MEDIAN((-Sdif+Wh/Env_an)/Csdif,0,1))</f>
        <v>37.597554928346213</v>
      </c>
      <c r="AB271" s="199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0.17959914101170651</v>
      </c>
      <c r="AD271" s="233">
        <f>(INDEX(Models!$BJ271:$BT271,,AH271)*(1-AF271)+INDEX(Models!$BJ271:$BT271,,AH271+1)*AF271-ERP_i)*AE271*Ramure*Pc/MaxiM</f>
        <v>3.510499591232806E-2</v>
      </c>
      <c r="AE271" s="307">
        <f t="shared" ref="AE271:AE334" si="117">IF(OR(t&lt;Ttai,Notai),Dd_s+PousD*Croivg,Dens_s+PousD*(Croivg-Croi_tai))</f>
        <v>0.9</v>
      </c>
      <c r="AF271" s="179">
        <f t="shared" ref="AF271:AF334" si="118">(Hp_vg_s-AG271)/(INDEX(Echel_vg,AH271+1)-AG271)</f>
        <v>0.88737099304557709</v>
      </c>
      <c r="AG271" s="839">
        <f t="shared" si="99"/>
        <v>3</v>
      </c>
      <c r="AH271" s="178">
        <f t="shared" ref="AH271:AH334" si="119">MIN(MATCH(Hp_vg_s,Echel_vg),10)</f>
        <v>9</v>
      </c>
      <c r="AI271" s="227">
        <f t="shared" ref="AI271:AI334" si="120">IF(OR(t&lt;Ttai,Notai),Hdd_s+PousH*Croivg,Hdtai_s+PousH*(Croivg-Croi_tai))</f>
        <v>3.8873709930455771</v>
      </c>
      <c r="AJ271" s="267" t="b">
        <f t="shared" ref="AJ271:AJ334" si="121">t&lt;Tnet</f>
        <v>0</v>
      </c>
      <c r="AK271" s="267" t="b">
        <f t="shared" ref="AK271:AK334" si="122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23">A271+1</f>
        <v>46645</v>
      </c>
      <c r="B272" s="413">
        <f>'2026'!Wh/'2026'!Env_an*'2027'!Env_an</f>
        <v>34.480837892038075</v>
      </c>
      <c r="C272" s="868"/>
      <c r="D272" s="395">
        <f t="shared" si="102"/>
        <v>37.260923729069944</v>
      </c>
      <c r="E272" s="387">
        <f t="shared" si="100"/>
        <v>41.995116753358907</v>
      </c>
      <c r="F272" s="387">
        <f t="shared" si="103"/>
        <v>42.173423048019494</v>
      </c>
      <c r="G272" s="110">
        <f t="shared" si="101"/>
        <v>0.90666332846313691</v>
      </c>
      <c r="H272" s="416" t="b">
        <f>Wh_hp&gt;='2026'!Maxi_hp</f>
        <v>0</v>
      </c>
      <c r="I272" s="392">
        <f>IF(H272,Wh_hp,'2026'!Maxi_hp)</f>
        <v>44.117844760090314</v>
      </c>
      <c r="J272" s="85">
        <f>IF(H272,An,'2026'!An_max)</f>
        <v>2020</v>
      </c>
      <c r="K272" s="199">
        <f t="shared" si="104"/>
        <v>46645</v>
      </c>
      <c r="L272" s="147">
        <f>IF(t&lt;Tvie,1-EXP((T0-t)*PertePVj)+'2026'!Pspv,1-EXP((T0-t)*PertePVj)+Pspv)</f>
        <v>7.4611296736664778E-2</v>
      </c>
      <c r="M272" s="872"/>
      <c r="N272" s="872"/>
      <c r="O272" s="48">
        <f>IF(t&lt;Tnet,'2026'!Resal+('2026'!Salim-'2026'!Resal)*(1-EXP(('2026'!Tnet-t)/('2026'!Tau_j))),Resal+(Salim-Resal)*(1-EXP((Tnet-t)/(Tau_j))))*Salcycl</f>
        <v>0.11273198862842321</v>
      </c>
      <c r="P272" s="171">
        <f>(INDEX(Models!$BJ272:$BT272,,T272)*(1-R272)+INDEX(Models!$BJ272:$BT272,,T272+1)*R272-ERP_i)*Q272*Ramure*Pc/MaxiM</f>
        <v>4.8736814701120226E-3</v>
      </c>
      <c r="Q272" s="307">
        <f t="shared" si="105"/>
        <v>0.9</v>
      </c>
      <c r="R272" s="179">
        <f t="shared" si="106"/>
        <v>0.25224142799245552</v>
      </c>
      <c r="S272" s="839">
        <f t="shared" si="107"/>
        <v>-1</v>
      </c>
      <c r="T272" s="178">
        <f t="shared" si="108"/>
        <v>5</v>
      </c>
      <c r="U272" s="253">
        <f t="shared" si="109"/>
        <v>-0.74775857200754448</v>
      </c>
      <c r="V272" s="385">
        <f t="shared" si="110"/>
        <v>38.005813438257135</v>
      </c>
      <c r="W272" s="404">
        <f t="shared" si="111"/>
        <v>34.480837892038075</v>
      </c>
      <c r="X272" s="157">
        <f t="shared" si="112"/>
        <v>46645</v>
      </c>
      <c r="Y272" s="387">
        <f t="shared" si="113"/>
        <v>31.001623605454363</v>
      </c>
      <c r="Z272" s="387">
        <f t="shared" si="114"/>
        <v>33.501190900784444</v>
      </c>
      <c r="AA272" s="388">
        <f t="shared" si="115"/>
        <v>40.835755328645888</v>
      </c>
      <c r="AB272" s="199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0.17961133249116909</v>
      </c>
      <c r="AD272" s="233">
        <f>(INDEX(Models!$BJ272:$BT272,,AH272)*(1-AF272)+INDEX(Models!$BJ272:$BT272,,AH272+1)*AF272-ERP_i)*AE272*Ramure*Pc/MaxiM</f>
        <v>3.6562738233599089E-2</v>
      </c>
      <c r="AE272" s="307">
        <f t="shared" si="117"/>
        <v>0.9</v>
      </c>
      <c r="AF272" s="179">
        <f t="shared" si="118"/>
        <v>0.88789708029943437</v>
      </c>
      <c r="AG272" s="839">
        <f t="shared" ref="AG272:AG335" si="124">INDEX(Echel_vg,AH272)</f>
        <v>3</v>
      </c>
      <c r="AH272" s="178">
        <f t="shared" si="119"/>
        <v>9</v>
      </c>
      <c r="AI272" s="227">
        <f t="shared" si="120"/>
        <v>3.8878970802994344</v>
      </c>
      <c r="AJ272" s="267" t="b">
        <f t="shared" si="121"/>
        <v>0</v>
      </c>
      <c r="AK272" s="267" t="b">
        <f t="shared" si="122"/>
        <v>0</v>
      </c>
      <c r="AL272" s="267"/>
      <c r="AM272" s="267"/>
      <c r="AN272" s="75"/>
    </row>
    <row r="273" spans="1:40" s="6" customFormat="1" ht="11.25" x14ac:dyDescent="0.2">
      <c r="A273" s="56">
        <f t="shared" si="123"/>
        <v>46646</v>
      </c>
      <c r="B273" s="413">
        <f>'2026'!Wh/'2026'!Env_an*'2027'!Env_an</f>
        <v>23.801854002791256</v>
      </c>
      <c r="C273" s="868"/>
      <c r="D273" s="395">
        <f t="shared" si="102"/>
        <v>25.721524193734666</v>
      </c>
      <c r="E273" s="387">
        <f t="shared" si="100"/>
        <v>28.992902859814581</v>
      </c>
      <c r="F273" s="387">
        <f t="shared" si="103"/>
        <v>29.061288849828017</v>
      </c>
      <c r="G273" s="110">
        <f t="shared" si="101"/>
        <v>0.63048217683304442</v>
      </c>
      <c r="H273" s="416" t="b">
        <f>Wh_hp&gt;='2026'!Maxi_hp</f>
        <v>0</v>
      </c>
      <c r="I273" s="392">
        <f>IF(H273,Wh_hp,'2026'!Maxi_hp)</f>
        <v>41.206187812934779</v>
      </c>
      <c r="J273" s="85">
        <f>IF(H273,An,'2026'!An_max)</f>
        <v>2019</v>
      </c>
      <c r="K273" s="199">
        <f t="shared" si="104"/>
        <v>46646</v>
      </c>
      <c r="L273" s="147">
        <f>IF(t&lt;Tvie,1-EXP((T0-t)*PertePVj)+'2026'!Pspv,1-EXP((T0-t)*PertePVj)+Pspv)</f>
        <v>7.4632831883695627E-2</v>
      </c>
      <c r="M273" s="872"/>
      <c r="N273" s="872"/>
      <c r="O273" s="48">
        <f>IF(t&lt;Tnet,'2026'!Resal+('2026'!Salim-'2026'!Resal)*(1-EXP(('2026'!Tnet-t)/('2026'!Tau_j))),Resal+(Salim-Resal)*(1-EXP((Tnet-t)/(Tau_j))))*Salcycl</f>
        <v>0.11283377459296041</v>
      </c>
      <c r="P273" s="171">
        <f>(INDEX(Models!$BJ273:$BT273,,T273)*(1-R273)+INDEX(Models!$BJ273:$BT273,,T273+1)*R273-ERP_i)*Q273*Ramure*Pc/MaxiM</f>
        <v>4.9594952491233248E-3</v>
      </c>
      <c r="Q273" s="307">
        <f t="shared" si="105"/>
        <v>0.9</v>
      </c>
      <c r="R273" s="179">
        <f t="shared" si="106"/>
        <v>0.25274709073310941</v>
      </c>
      <c r="S273" s="839">
        <f t="shared" si="107"/>
        <v>-1</v>
      </c>
      <c r="T273" s="178">
        <f t="shared" si="108"/>
        <v>5</v>
      </c>
      <c r="U273" s="253">
        <f t="shared" si="109"/>
        <v>-0.74725290926689059</v>
      </c>
      <c r="V273" s="385">
        <f t="shared" si="110"/>
        <v>37.653201064852894</v>
      </c>
      <c r="W273" s="404">
        <f t="shared" si="111"/>
        <v>23.801854002791256</v>
      </c>
      <c r="X273" s="157">
        <f t="shared" si="112"/>
        <v>46646</v>
      </c>
      <c r="Y273" s="387">
        <f t="shared" si="113"/>
        <v>21.663089900143049</v>
      </c>
      <c r="Z273" s="387">
        <f t="shared" si="114"/>
        <v>23.410264213545485</v>
      </c>
      <c r="AA273" s="388">
        <f t="shared" si="115"/>
        <v>28.535926625444972</v>
      </c>
      <c r="AB273" s="199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0.17962137621033231</v>
      </c>
      <c r="AD273" s="233">
        <f>(INDEX(Models!$BJ273:$BT273,,AH273)*(1-AF273)+INDEX(Models!$BJ273:$BT273,,AH273+1)*AF273-ERP_i)*AE273*Ramure*Pc/MaxiM</f>
        <v>3.8100369028578489E-2</v>
      </c>
      <c r="AE273" s="307">
        <f t="shared" si="117"/>
        <v>0.9</v>
      </c>
      <c r="AF273" s="179">
        <f t="shared" si="118"/>
        <v>0.88840274304008826</v>
      </c>
      <c r="AG273" s="839">
        <f t="shared" si="124"/>
        <v>3</v>
      </c>
      <c r="AH273" s="178">
        <f t="shared" si="119"/>
        <v>9</v>
      </c>
      <c r="AI273" s="227">
        <f t="shared" si="120"/>
        <v>3.8884027430400883</v>
      </c>
      <c r="AJ273" s="267" t="b">
        <f t="shared" si="121"/>
        <v>0</v>
      </c>
      <c r="AK273" s="267" t="b">
        <f t="shared" si="122"/>
        <v>0</v>
      </c>
      <c r="AL273" s="267"/>
      <c r="AM273" s="267"/>
      <c r="AN273" s="75"/>
    </row>
    <row r="274" spans="1:40" s="6" customFormat="1" ht="11.25" x14ac:dyDescent="0.2">
      <c r="A274" s="56">
        <f t="shared" si="123"/>
        <v>46647</v>
      </c>
      <c r="B274" s="413">
        <f>'2026'!Wh/'2026'!Env_an*'2027'!Env_an</f>
        <v>37.369256263588817</v>
      </c>
      <c r="C274" s="868"/>
      <c r="D274" s="395">
        <f t="shared" si="102"/>
        <v>40.384106124150271</v>
      </c>
      <c r="E274" s="387">
        <f t="shared" si="100"/>
        <v>45.525480923495472</v>
      </c>
      <c r="F274" s="387">
        <f t="shared" si="103"/>
        <v>45.756271072960018</v>
      </c>
      <c r="G274" s="110">
        <f t="shared" si="101"/>
        <v>1.0018802347220364</v>
      </c>
      <c r="H274" s="416" t="b">
        <f>Wh_hp&gt;='2026'!Maxi_hp</f>
        <v>1</v>
      </c>
      <c r="I274" s="392">
        <f>IF(H274,Wh_hp,'2026'!Maxi_hp)</f>
        <v>45.756271072960018</v>
      </c>
      <c r="J274" s="85">
        <f>IF(H274,An,'2026'!An_max)</f>
        <v>2027</v>
      </c>
      <c r="K274" s="199">
        <f t="shared" si="104"/>
        <v>46647</v>
      </c>
      <c r="L274" s="147">
        <f>IF(t&lt;Tvie,1-EXP((T0-t)*PertePVj)+'2026'!Pspv,1-EXP((T0-t)*PertePVj)+Pspv)</f>
        <v>7.4654366529572136E-2</v>
      </c>
      <c r="M274" s="872"/>
      <c r="N274" s="872"/>
      <c r="O274" s="48">
        <f>IF(t&lt;Tnet,'2026'!Resal+('2026'!Salim-'2026'!Resal)*(1-EXP(('2026'!Tnet-t)/('2026'!Tau_j))),Resal+(Salim-Resal)*(1-EXP((Tnet-t)/(Tau_j))))*Salcycl</f>
        <v>0.11293400300339856</v>
      </c>
      <c r="P274" s="171">
        <f>(INDEX(Models!$BJ274:$BT274,,T274)*(1-R274)+INDEX(Models!$BJ274:$BT274,,T274+1)*R274-ERP_i)*Q274*Ramure*Pc/MaxiM</f>
        <v>5.0439020499845316E-3</v>
      </c>
      <c r="Q274" s="307">
        <f t="shared" si="105"/>
        <v>0.9</v>
      </c>
      <c r="R274" s="179">
        <f t="shared" si="106"/>
        <v>0.25323309309624709</v>
      </c>
      <c r="S274" s="839">
        <f t="shared" si="107"/>
        <v>-1</v>
      </c>
      <c r="T274" s="178">
        <f t="shared" si="108"/>
        <v>5</v>
      </c>
      <c r="U274" s="253">
        <f t="shared" si="109"/>
        <v>-0.74676690690375291</v>
      </c>
      <c r="V274" s="385">
        <f t="shared" si="110"/>
        <v>37.299125153373865</v>
      </c>
      <c r="W274" s="404">
        <f t="shared" si="111"/>
        <v>37.369256263588817</v>
      </c>
      <c r="X274" s="157">
        <f t="shared" si="112"/>
        <v>46647</v>
      </c>
      <c r="Y274" s="387">
        <f t="shared" si="113"/>
        <v>33.355135963331847</v>
      </c>
      <c r="Z274" s="387">
        <f t="shared" si="114"/>
        <v>36.046137526187188</v>
      </c>
      <c r="AA274" s="388">
        <f t="shared" si="115"/>
        <v>43.938834985116031</v>
      </c>
      <c r="AB274" s="199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0.17962919275402822</v>
      </c>
      <c r="AD274" s="233">
        <f>(INDEX(Models!$BJ274:$BT274,,AH274)*(1-AF274)+INDEX(Models!$BJ274:$BT274,,AH274+1)*AF274-ERP_i)*AE274*Ramure*Pc/MaxiM</f>
        <v>3.9719934453269115E-2</v>
      </c>
      <c r="AE274" s="307">
        <f t="shared" si="117"/>
        <v>0.9</v>
      </c>
      <c r="AF274" s="179">
        <f t="shared" si="118"/>
        <v>0.88888874540322593</v>
      </c>
      <c r="AG274" s="839">
        <f t="shared" si="124"/>
        <v>3</v>
      </c>
      <c r="AH274" s="178">
        <f t="shared" si="119"/>
        <v>9</v>
      </c>
      <c r="AI274" s="227">
        <f t="shared" si="120"/>
        <v>3.8888887454032259</v>
      </c>
      <c r="AJ274" s="267" t="b">
        <f t="shared" si="121"/>
        <v>0</v>
      </c>
      <c r="AK274" s="267" t="b">
        <f t="shared" si="122"/>
        <v>0</v>
      </c>
      <c r="AL274" s="267"/>
      <c r="AM274" s="267"/>
      <c r="AN274" s="75"/>
    </row>
    <row r="275" spans="1:40" s="6" customFormat="1" ht="11.25" x14ac:dyDescent="0.2">
      <c r="A275" s="56">
        <f t="shared" si="123"/>
        <v>46648</v>
      </c>
      <c r="B275" s="413">
        <f>'2026'!Wh/'2026'!Env_an*'2027'!Env_an</f>
        <v>37.667474263444184</v>
      </c>
      <c r="C275" s="868"/>
      <c r="D275" s="395">
        <f t="shared" si="102"/>
        <v>40.707330859418207</v>
      </c>
      <c r="E275" s="387">
        <f t="shared" si="100"/>
        <v>45.894958211144882</v>
      </c>
      <c r="F275" s="387">
        <f t="shared" si="103"/>
        <v>46.131484277355966</v>
      </c>
      <c r="G275" s="110">
        <f t="shared" si="101"/>
        <v>1.0196628736548778</v>
      </c>
      <c r="H275" s="416" t="b">
        <f>Wh_hp&gt;='2026'!Maxi_hp</f>
        <v>1</v>
      </c>
      <c r="I275" s="392">
        <f>IF(H275,Wh_hp,'2026'!Maxi_hp)</f>
        <v>46.131484277355966</v>
      </c>
      <c r="J275" s="85">
        <f>IF(H275,An,'2026'!An_max)</f>
        <v>2027</v>
      </c>
      <c r="K275" s="199">
        <f t="shared" si="104"/>
        <v>46648</v>
      </c>
      <c r="L275" s="147">
        <f>IF(t&lt;Tvie,1-EXP((T0-t)*PertePVj)+'2026'!Pspv,1-EXP((T0-t)*PertePVj)+Pspv)</f>
        <v>7.4675900674305962E-2</v>
      </c>
      <c r="M275" s="872"/>
      <c r="N275" s="872"/>
      <c r="O275" s="48">
        <f>IF(t&lt;Tnet,'2026'!Resal+('2026'!Salim-'2026'!Resal)*(1-EXP(('2026'!Tnet-t)/('2026'!Tau_j))),Resal+(Salim-Resal)*(1-EXP((Tnet-t)/(Tau_j))))*Salcycl</f>
        <v>0.11303261957142248</v>
      </c>
      <c r="P275" s="171">
        <f>(INDEX(Models!$BJ275:$BT275,,T275)*(1-R275)+INDEX(Models!$BJ275:$BT275,,T275+1)*R275-ERP_i)*Q275*Ramure*Pc/MaxiM</f>
        <v>5.1272156080871285E-3</v>
      </c>
      <c r="Q275" s="307">
        <f t="shared" si="105"/>
        <v>0.9</v>
      </c>
      <c r="R275" s="179">
        <f t="shared" si="106"/>
        <v>0.25370017287004798</v>
      </c>
      <c r="S275" s="839">
        <f t="shared" si="107"/>
        <v>-1</v>
      </c>
      <c r="T275" s="178">
        <f t="shared" si="108"/>
        <v>5</v>
      </c>
      <c r="U275" s="253">
        <f t="shared" si="109"/>
        <v>-0.74629982712995202</v>
      </c>
      <c r="V275" s="385">
        <f t="shared" si="110"/>
        <v>36.941105964198691</v>
      </c>
      <c r="W275" s="404">
        <f t="shared" si="111"/>
        <v>37.667474263444184</v>
      </c>
      <c r="X275" s="157">
        <f t="shared" si="112"/>
        <v>46648</v>
      </c>
      <c r="Y275" s="387">
        <f t="shared" si="113"/>
        <v>33.567876691366337</v>
      </c>
      <c r="Z275" s="387">
        <f t="shared" si="114"/>
        <v>36.276885813120025</v>
      </c>
      <c r="AA275" s="388">
        <f t="shared" si="115"/>
        <v>44.220405047608416</v>
      </c>
      <c r="AB275" s="199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0.17963470090190869</v>
      </c>
      <c r="AD275" s="233">
        <f>(INDEX(Models!$BJ275:$BT275,,AH275)*(1-AF275)+INDEX(Models!$BJ275:$BT275,,AH275+1)*AF275-ERP_i)*AE275*Ramure*Pc/MaxiM</f>
        <v>4.1426788226834009E-2</v>
      </c>
      <c r="AE275" s="307">
        <f t="shared" si="117"/>
        <v>0.9</v>
      </c>
      <c r="AF275" s="179">
        <f t="shared" si="118"/>
        <v>0.88935582517702683</v>
      </c>
      <c r="AG275" s="839">
        <f t="shared" si="124"/>
        <v>3</v>
      </c>
      <c r="AH275" s="178">
        <f t="shared" si="119"/>
        <v>9</v>
      </c>
      <c r="AI275" s="227">
        <f t="shared" si="120"/>
        <v>3.8893558251770268</v>
      </c>
      <c r="AJ275" s="267" t="b">
        <f t="shared" si="121"/>
        <v>0</v>
      </c>
      <c r="AK275" s="267" t="b">
        <f t="shared" si="122"/>
        <v>0</v>
      </c>
      <c r="AL275" s="267"/>
      <c r="AM275" s="267"/>
      <c r="AN275" s="75"/>
    </row>
    <row r="276" spans="1:40" s="6" customFormat="1" ht="11.25" x14ac:dyDescent="0.2">
      <c r="A276" s="56">
        <f t="shared" si="123"/>
        <v>46649</v>
      </c>
      <c r="B276" s="413">
        <f>'2026'!Wh/'2026'!Env_an*'2027'!Env_an</f>
        <v>36.121683578809687</v>
      </c>
      <c r="C276" s="868"/>
      <c r="D276" s="395">
        <f t="shared" si="102"/>
        <v>39.03769957903706</v>
      </c>
      <c r="E276" s="387">
        <f t="shared" si="100"/>
        <v>44.0173651178672</v>
      </c>
      <c r="F276" s="387">
        <f t="shared" si="103"/>
        <v>44.243615713849877</v>
      </c>
      <c r="G276" s="110">
        <f t="shared" si="101"/>
        <v>0.98745897201370991</v>
      </c>
      <c r="H276" s="416" t="b">
        <f>Wh_hp&gt;='2026'!Maxi_hp</f>
        <v>0</v>
      </c>
      <c r="I276" s="392">
        <f>IF(H276,Wh_hp,'2026'!Maxi_hp)</f>
        <v>44.246682640165446</v>
      </c>
      <c r="J276" s="85">
        <f>IF(H276,An,'2026'!An_max)</f>
        <v>2025</v>
      </c>
      <c r="K276" s="199">
        <f t="shared" si="104"/>
        <v>46649</v>
      </c>
      <c r="L276" s="147">
        <f>IF(t&lt;Tvie,1-EXP((T0-t)*PertePVj)+'2026'!Pspv,1-EXP((T0-t)*PertePVj)+Pspv)</f>
        <v>7.4697434317908762E-2</v>
      </c>
      <c r="M276" s="872"/>
      <c r="N276" s="872"/>
      <c r="O276" s="48">
        <f>IF(t&lt;Tnet,'2026'!Resal+('2026'!Salim-'2026'!Resal)*(1-EXP(('2026'!Tnet-t)/('2026'!Tau_j))),Resal+(Salim-Resal)*(1-EXP((Tnet-t)/(Tau_j))))*Salcycl</f>
        <v>0.11312956887573516</v>
      </c>
      <c r="P276" s="171">
        <f>(INDEX(Models!$BJ276:$BT276,,T276)*(1-R276)+INDEX(Models!$BJ276:$BT276,,T276+1)*R276-ERP_i)*Q276*Ramure*Pc/MaxiM</f>
        <v>5.2063374951343468E-3</v>
      </c>
      <c r="Q276" s="307">
        <f t="shared" si="105"/>
        <v>0.9</v>
      </c>
      <c r="R276" s="179">
        <f t="shared" si="106"/>
        <v>0.25414904222701429</v>
      </c>
      <c r="S276" s="839">
        <f t="shared" si="107"/>
        <v>-1</v>
      </c>
      <c r="T276" s="178">
        <f t="shared" si="108"/>
        <v>5</v>
      </c>
      <c r="U276" s="253">
        <f t="shared" si="109"/>
        <v>-0.74585095777298571</v>
      </c>
      <c r="V276" s="385">
        <f t="shared" si="110"/>
        <v>36.577035438194393</v>
      </c>
      <c r="W276" s="404">
        <f t="shared" si="111"/>
        <v>36.121683578809687</v>
      </c>
      <c r="X276" s="157">
        <f t="shared" si="112"/>
        <v>46649</v>
      </c>
      <c r="Y276" s="387">
        <f t="shared" si="113"/>
        <v>32.159043588013887</v>
      </c>
      <c r="Z276" s="387">
        <f t="shared" si="114"/>
        <v>34.755165262410891</v>
      </c>
      <c r="AA276" s="388">
        <f t="shared" si="115"/>
        <v>42.365635594012403</v>
      </c>
      <c r="AB276" s="199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0.17963781788929678</v>
      </c>
      <c r="AD276" s="233">
        <f>(INDEX(Models!$BJ276:$BT276,,AH276)*(1-AF276)+INDEX(Models!$BJ276:$BT276,,AH276+1)*AF276-ERP_i)*AE276*Ramure*Pc/MaxiM</f>
        <v>4.3214906332336836E-2</v>
      </c>
      <c r="AE276" s="307">
        <f t="shared" si="117"/>
        <v>0.9</v>
      </c>
      <c r="AF276" s="179">
        <f t="shared" si="118"/>
        <v>0.88980469453399325</v>
      </c>
      <c r="AG276" s="839">
        <f t="shared" si="124"/>
        <v>3</v>
      </c>
      <c r="AH276" s="178">
        <f t="shared" si="119"/>
        <v>9</v>
      </c>
      <c r="AI276" s="227">
        <f t="shared" si="120"/>
        <v>3.8898046945339932</v>
      </c>
      <c r="AJ276" s="267" t="b">
        <f t="shared" si="121"/>
        <v>0</v>
      </c>
      <c r="AK276" s="267" t="b">
        <f t="shared" si="122"/>
        <v>0</v>
      </c>
      <c r="AL276" s="267"/>
      <c r="AM276" s="267"/>
      <c r="AN276" s="75"/>
    </row>
    <row r="277" spans="1:40" s="6" customFormat="1" ht="11.25" x14ac:dyDescent="0.2">
      <c r="A277" s="56">
        <f t="shared" si="123"/>
        <v>46650</v>
      </c>
      <c r="B277" s="413">
        <f>'2026'!Wh/'2026'!Env_an*'2027'!Env_an</f>
        <v>37.035438205344953</v>
      </c>
      <c r="C277" s="868"/>
      <c r="D277" s="395">
        <f t="shared" si="102"/>
        <v>40.026150869746274</v>
      </c>
      <c r="E277" s="387">
        <f t="shared" si="100"/>
        <v>45.136750129886984</v>
      </c>
      <c r="F277" s="387">
        <f t="shared" si="103"/>
        <v>45.37644417312903</v>
      </c>
      <c r="G277" s="110">
        <f t="shared" si="101"/>
        <v>1.0228609327305085</v>
      </c>
      <c r="H277" s="416" t="b">
        <f>Wh_hp&gt;='2026'!Maxi_hp</f>
        <v>1</v>
      </c>
      <c r="I277" s="392">
        <f>IF(H277,Wh_hp,'2026'!Maxi_hp)</f>
        <v>45.37644417312903</v>
      </c>
      <c r="J277" s="85">
        <f>IF(H277,An,'2026'!An_max)</f>
        <v>2027</v>
      </c>
      <c r="K277" s="199">
        <f t="shared" si="104"/>
        <v>46650</v>
      </c>
      <c r="L277" s="147">
        <f>IF(t&lt;Tvie,1-EXP((T0-t)*PertePVj)+'2026'!Pspv,1-EXP((T0-t)*PertePVj)+Pspv)</f>
        <v>7.4718967460392194E-2</v>
      </c>
      <c r="M277" s="872"/>
      <c r="N277" s="872"/>
      <c r="O277" s="48">
        <f>IF(t&lt;Tnet,'2026'!Resal+('2026'!Salim-'2026'!Resal)*(1-EXP(('2026'!Tnet-t)/('2026'!Tau_j))),Resal+(Salim-Resal)*(1-EXP((Tnet-t)/(Tau_j))))*Salcycl</f>
        <v>0.11322479455065515</v>
      </c>
      <c r="P277" s="171">
        <f>(INDEX(Models!$BJ277:$BT277,,T277)*(1-R277)+INDEX(Models!$BJ277:$BT277,,T277+1)*R277-ERP_i)*Q277*Ramure*Pc/MaxiM</f>
        <v>5.2823452258074569E-3</v>
      </c>
      <c r="Q277" s="307">
        <f t="shared" si="105"/>
        <v>0.9</v>
      </c>
      <c r="R277" s="179">
        <f t="shared" si="106"/>
        <v>0.25458038845009656</v>
      </c>
      <c r="S277" s="839">
        <f t="shared" si="107"/>
        <v>-1</v>
      </c>
      <c r="T277" s="178">
        <f t="shared" si="108"/>
        <v>5</v>
      </c>
      <c r="U277" s="253">
        <f t="shared" si="109"/>
        <v>-0.74541961154990344</v>
      </c>
      <c r="V277" s="385">
        <f t="shared" si="110"/>
        <v>36.207696491525518</v>
      </c>
      <c r="W277" s="404">
        <f t="shared" si="111"/>
        <v>37.035438205344953</v>
      </c>
      <c r="X277" s="157">
        <f t="shared" si="112"/>
        <v>46650</v>
      </c>
      <c r="Y277" s="387">
        <f t="shared" si="113"/>
        <v>32.892130977070444</v>
      </c>
      <c r="Z277" s="387">
        <f t="shared" si="114"/>
        <v>35.548260280221896</v>
      </c>
      <c r="AA277" s="388">
        <f t="shared" si="115"/>
        <v>43.332431537113756</v>
      </c>
      <c r="AB277" s="199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0.17963845971174738</v>
      </c>
      <c r="AD277" s="233">
        <f>(INDEX(Models!$BJ277:$BT277,,AH277)*(1-AF277)+INDEX(Models!$BJ277:$BT277,,AH277+1)*AF277-ERP_i)*AE277*Ramure*Pc/MaxiM</f>
        <v>4.5045676744007584E-2</v>
      </c>
      <c r="AE277" s="307">
        <f t="shared" si="117"/>
        <v>0.9</v>
      </c>
      <c r="AF277" s="179">
        <f t="shared" si="118"/>
        <v>0.89023604075707574</v>
      </c>
      <c r="AG277" s="839">
        <f t="shared" si="124"/>
        <v>3</v>
      </c>
      <c r="AH277" s="178">
        <f t="shared" si="119"/>
        <v>9</v>
      </c>
      <c r="AI277" s="227">
        <f t="shared" si="120"/>
        <v>3.8902360407570757</v>
      </c>
      <c r="AJ277" s="267" t="b">
        <f t="shared" si="121"/>
        <v>0</v>
      </c>
      <c r="AK277" s="267" t="b">
        <f t="shared" si="122"/>
        <v>0</v>
      </c>
      <c r="AL277" s="267"/>
      <c r="AM277" s="267"/>
      <c r="AN277" s="75"/>
    </row>
    <row r="278" spans="1:40" s="6" customFormat="1" ht="11.25" x14ac:dyDescent="0.2">
      <c r="A278" s="56">
        <f t="shared" si="123"/>
        <v>46651</v>
      </c>
      <c r="B278" s="413">
        <f>'2026'!Wh/'2026'!Env_an*'2027'!Env_an</f>
        <v>35.973620144090148</v>
      </c>
      <c r="C278" s="868"/>
      <c r="D278" s="395">
        <f t="shared" si="102"/>
        <v>38.879492886100429</v>
      </c>
      <c r="E278" s="387">
        <f t="shared" si="100"/>
        <v>43.848305692360078</v>
      </c>
      <c r="F278" s="387">
        <f t="shared" si="103"/>
        <v>44.084379948793547</v>
      </c>
      <c r="G278" s="110">
        <f t="shared" si="101"/>
        <v>1.0038985965821809</v>
      </c>
      <c r="H278" s="416" t="b">
        <f>Wh_hp&gt;='2026'!Maxi_hp</f>
        <v>1</v>
      </c>
      <c r="I278" s="392">
        <f>IF(H278,Wh_hp,'2026'!Maxi_hp)</f>
        <v>44.084379948793547</v>
      </c>
      <c r="J278" s="85">
        <f>IF(H278,An,'2026'!An_max)</f>
        <v>2027</v>
      </c>
      <c r="K278" s="199">
        <f t="shared" si="104"/>
        <v>46651</v>
      </c>
      <c r="L278" s="147">
        <f>IF(t&lt;Tvie,1-EXP((T0-t)*PertePVj)+'2026'!Pspv,1-EXP((T0-t)*PertePVj)+Pspv)</f>
        <v>7.4740500101768026E-2</v>
      </c>
      <c r="M278" s="872"/>
      <c r="N278" s="872"/>
      <c r="O278" s="48">
        <f>IF(t&lt;Tnet,'2026'!Resal+('2026'!Salim-'2026'!Resal)*(1-EXP(('2026'!Tnet-t)/('2026'!Tau_j))),Resal+(Salim-Resal)*(1-EXP((Tnet-t)/(Tau_j))))*Salcycl</f>
        <v>0.11331823950327433</v>
      </c>
      <c r="P278" s="171">
        <f>(INDEX(Models!$BJ278:$BT278,,T278)*(1-R278)+INDEX(Models!$BJ278:$BT278,,T278+1)*R278-ERP_i)*Q278*Ramure*Pc/MaxiM</f>
        <v>5.3550544820565029E-3</v>
      </c>
      <c r="Q278" s="307">
        <f t="shared" si="105"/>
        <v>0.9</v>
      </c>
      <c r="R278" s="179">
        <f t="shared" si="106"/>
        <v>0.25499487465171922</v>
      </c>
      <c r="S278" s="839">
        <f t="shared" si="107"/>
        <v>-1</v>
      </c>
      <c r="T278" s="178">
        <f t="shared" si="108"/>
        <v>5</v>
      </c>
      <c r="U278" s="253">
        <f t="shared" si="109"/>
        <v>-0.74500512534828078</v>
      </c>
      <c r="V278" s="385">
        <f t="shared" si="110"/>
        <v>35.833918153251737</v>
      </c>
      <c r="W278" s="404">
        <f t="shared" si="111"/>
        <v>35.973620144090148</v>
      </c>
      <c r="X278" s="157">
        <f t="shared" si="112"/>
        <v>46651</v>
      </c>
      <c r="Y278" s="387">
        <f t="shared" si="113"/>
        <v>31.892156688334296</v>
      </c>
      <c r="Z278" s="387">
        <f t="shared" si="114"/>
        <v>34.468337468398943</v>
      </c>
      <c r="AA278" s="388">
        <f t="shared" si="115"/>
        <v>42.015934656941191</v>
      </c>
      <c r="AB278" s="199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0.1796365414733278</v>
      </c>
      <c r="AD278" s="233">
        <f>(INDEX(Models!$BJ278:$BT278,,AH278)*(1-AF278)+INDEX(Models!$BJ278:$BT278,,AH278+1)*AF278-ERP_i)*AE278*Ramure*Pc/MaxiM</f>
        <v>4.6920140291299733E-2</v>
      </c>
      <c r="AE278" s="307">
        <f t="shared" si="117"/>
        <v>0.9</v>
      </c>
      <c r="AF278" s="179">
        <f t="shared" si="118"/>
        <v>0.89065052695869795</v>
      </c>
      <c r="AG278" s="839">
        <f t="shared" si="124"/>
        <v>3</v>
      </c>
      <c r="AH278" s="178">
        <f t="shared" si="119"/>
        <v>9</v>
      </c>
      <c r="AI278" s="227">
        <f t="shared" si="120"/>
        <v>3.890650526958698</v>
      </c>
      <c r="AJ278" s="267" t="b">
        <f t="shared" si="121"/>
        <v>0</v>
      </c>
      <c r="AK278" s="267" t="b">
        <f t="shared" si="122"/>
        <v>0</v>
      </c>
      <c r="AL278" s="267"/>
      <c r="AM278" s="267"/>
      <c r="AN278" s="75"/>
    </row>
    <row r="279" spans="1:40" s="6" customFormat="1" ht="11.25" x14ac:dyDescent="0.2">
      <c r="A279" s="56">
        <f t="shared" si="123"/>
        <v>46652</v>
      </c>
      <c r="B279" s="413">
        <f>'2026'!Wh/'2026'!Env_an*'2027'!Env_an</f>
        <v>34.76945061641301</v>
      </c>
      <c r="C279" s="868"/>
      <c r="D279" s="395">
        <f t="shared" si="102"/>
        <v>37.578927614337708</v>
      </c>
      <c r="E279" s="387">
        <f t="shared" si="100"/>
        <v>42.385906781768149</v>
      </c>
      <c r="F279" s="387">
        <f t="shared" si="103"/>
        <v>42.610639739776325</v>
      </c>
      <c r="G279" s="110">
        <f t="shared" si="101"/>
        <v>0.9804739226203425</v>
      </c>
      <c r="H279" s="416" t="b">
        <f>Wh_hp&gt;='2026'!Maxi_hp</f>
        <v>0</v>
      </c>
      <c r="I279" s="392">
        <f>IF(H279,Wh_hp,'2026'!Maxi_hp)</f>
        <v>42.615419513349103</v>
      </c>
      <c r="J279" s="85">
        <f>IF(H279,An,'2026'!An_max)</f>
        <v>2025</v>
      </c>
      <c r="K279" s="199">
        <f t="shared" si="104"/>
        <v>46652</v>
      </c>
      <c r="L279" s="147">
        <f>IF(t&lt;Tvie,1-EXP((T0-t)*PertePVj)+'2026'!Pspv,1-EXP((T0-t)*PertePVj)+Pspv)</f>
        <v>7.4762032242047805E-2</v>
      </c>
      <c r="M279" s="872"/>
      <c r="N279" s="872"/>
      <c r="O279" s="48">
        <f>IF(t&lt;Tnet,'2026'!Resal+('2026'!Salim-'2026'!Resal)*(1-EXP(('2026'!Tnet-t)/('2026'!Tau_j))),Resal+(Salim-Resal)*(1-EXP((Tnet-t)/(Tau_j))))*Salcycl</f>
        <v>0.11340984615900949</v>
      </c>
      <c r="P279" s="171">
        <f>(INDEX(Models!$BJ279:$BT279,,T279)*(1-R279)+INDEX(Models!$BJ279:$BT279,,T279+1)*R279-ERP_i)*Q279*Ramure*Pc/MaxiM</f>
        <v>5.4242637768624081E-3</v>
      </c>
      <c r="Q279" s="307">
        <f t="shared" si="105"/>
        <v>0.9</v>
      </c>
      <c r="R279" s="179">
        <f t="shared" si="106"/>
        <v>0.2553931404844535</v>
      </c>
      <c r="S279" s="839">
        <f t="shared" si="107"/>
        <v>-1</v>
      </c>
      <c r="T279" s="178">
        <f t="shared" si="108"/>
        <v>5</v>
      </c>
      <c r="U279" s="253">
        <f t="shared" si="109"/>
        <v>-0.7446068595155465</v>
      </c>
      <c r="V279" s="385">
        <f t="shared" si="110"/>
        <v>35.45652889866831</v>
      </c>
      <c r="W279" s="404">
        <f t="shared" si="111"/>
        <v>34.76945061641301</v>
      </c>
      <c r="X279" s="157">
        <f t="shared" si="112"/>
        <v>46652</v>
      </c>
      <c r="Y279" s="387">
        <f t="shared" si="113"/>
        <v>30.807114732592098</v>
      </c>
      <c r="Z279" s="387">
        <f t="shared" si="114"/>
        <v>33.296422981045914</v>
      </c>
      <c r="AA279" s="388">
        <f t="shared" si="115"/>
        <v>40.587178045855119</v>
      </c>
      <c r="AB279" s="199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0.17963197777810899</v>
      </c>
      <c r="AD279" s="233">
        <f>(INDEX(Models!$BJ279:$BT279,,AH279)*(1-AF279)+INDEX(Models!$BJ279:$BT279,,AH279+1)*AF279-ERP_i)*AE279*Ramure*Pc/MaxiM</f>
        <v>4.8839253785846852E-2</v>
      </c>
      <c r="AE279" s="307">
        <f t="shared" si="117"/>
        <v>0.9</v>
      </c>
      <c r="AF279" s="179">
        <f t="shared" si="118"/>
        <v>0.89104879279143256</v>
      </c>
      <c r="AG279" s="839">
        <f t="shared" si="124"/>
        <v>3</v>
      </c>
      <c r="AH279" s="178">
        <f t="shared" si="119"/>
        <v>9</v>
      </c>
      <c r="AI279" s="227">
        <f t="shared" si="120"/>
        <v>3.8910487927914326</v>
      </c>
      <c r="AJ279" s="267" t="b">
        <f t="shared" si="121"/>
        <v>0</v>
      </c>
      <c r="AK279" s="267" t="b">
        <f t="shared" si="122"/>
        <v>0</v>
      </c>
      <c r="AL279" s="267"/>
      <c r="AM279" s="267"/>
      <c r="AN279" s="75"/>
    </row>
    <row r="280" spans="1:40" s="6" customFormat="1" ht="11.25" x14ac:dyDescent="0.2">
      <c r="A280" s="56">
        <f t="shared" si="123"/>
        <v>46653</v>
      </c>
      <c r="B280" s="413">
        <f>'2026'!Wh/'2026'!Env_an*'2027'!Env_an</f>
        <v>22.394257387720842</v>
      </c>
      <c r="C280" s="868"/>
      <c r="D280" s="395">
        <f t="shared" si="102"/>
        <v>24.204344533332968</v>
      </c>
      <c r="E280" s="387">
        <f t="shared" si="100"/>
        <v>27.303251472936694</v>
      </c>
      <c r="F280" s="387">
        <f t="shared" si="103"/>
        <v>27.375914160732595</v>
      </c>
      <c r="G280" s="110">
        <f t="shared" si="101"/>
        <v>0.63662796429656832</v>
      </c>
      <c r="H280" s="416" t="b">
        <f>Wh_hp&gt;='2026'!Maxi_hp</f>
        <v>0</v>
      </c>
      <c r="I280" s="392">
        <f>IF(H280,Wh_hp,'2026'!Maxi_hp)</f>
        <v>39.039212402737128</v>
      </c>
      <c r="J280" s="85">
        <f>IF(H280,An,'2026'!An_max)</f>
        <v>2019</v>
      </c>
      <c r="K280" s="199">
        <f t="shared" si="104"/>
        <v>46653</v>
      </c>
      <c r="L280" s="147">
        <f>IF(t&lt;Tvie,1-EXP((T0-t)*PertePVj)+'2026'!Pspv,1-EXP((T0-t)*PertePVj)+Pspv)</f>
        <v>7.4783563881243187E-2</v>
      </c>
      <c r="M280" s="872"/>
      <c r="N280" s="872"/>
      <c r="O280" s="48">
        <f>IF(t&lt;Tnet,'2026'!Resal+('2026'!Salim-'2026'!Resal)*(1-EXP(('2026'!Tnet-t)/('2026'!Tau_j))),Resal+(Salim-Resal)*(1-EXP((Tnet-t)/(Tau_j))))*Salcycl</f>
        <v>0.1134995567350431</v>
      </c>
      <c r="P280" s="171">
        <f>(INDEX(Models!$BJ280:$BT280,,T280)*(1-R280)+INDEX(Models!$BJ280:$BT280,,T280+1)*R280-ERP_i)*Q280*Ramure*Pc/MaxiM</f>
        <v>5.4897832445027148E-3</v>
      </c>
      <c r="Q280" s="307">
        <f t="shared" si="105"/>
        <v>0.9</v>
      </c>
      <c r="R280" s="179">
        <f t="shared" si="106"/>
        <v>0.25577580284224477</v>
      </c>
      <c r="S280" s="839">
        <f t="shared" si="107"/>
        <v>-1</v>
      </c>
      <c r="T280" s="178">
        <f t="shared" si="108"/>
        <v>5</v>
      </c>
      <c r="U280" s="253">
        <f t="shared" si="109"/>
        <v>-0.74422419715775523</v>
      </c>
      <c r="V280" s="385">
        <f t="shared" si="110"/>
        <v>35.076355616369021</v>
      </c>
      <c r="W280" s="404">
        <f t="shared" si="111"/>
        <v>22.394257387720842</v>
      </c>
      <c r="X280" s="157">
        <f t="shared" si="112"/>
        <v>46653</v>
      </c>
      <c r="Y280" s="387">
        <f t="shared" si="113"/>
        <v>20.268594974542999</v>
      </c>
      <c r="Z280" s="387">
        <f t="shared" si="114"/>
        <v>21.906868688551281</v>
      </c>
      <c r="AA280" s="388">
        <f t="shared" si="115"/>
        <v>26.703471251471175</v>
      </c>
      <c r="AB280" s="199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0.17962468316382785</v>
      </c>
      <c r="AD280" s="233">
        <f>(INDEX(Models!$BJ280:$BT280,,AH280)*(1-AF280)+INDEX(Models!$BJ280:$BT280,,AH280+1)*AF280-ERP_i)*AE280*Ramure*Pc/MaxiM</f>
        <v>5.0804146228626626E-2</v>
      </c>
      <c r="AE280" s="307">
        <f t="shared" si="117"/>
        <v>0.9</v>
      </c>
      <c r="AF280" s="179">
        <f t="shared" si="118"/>
        <v>0.89143145514922395</v>
      </c>
      <c r="AG280" s="839">
        <f t="shared" si="124"/>
        <v>3</v>
      </c>
      <c r="AH280" s="178">
        <f t="shared" si="119"/>
        <v>9</v>
      </c>
      <c r="AI280" s="227">
        <f t="shared" si="120"/>
        <v>3.891431455149224</v>
      </c>
      <c r="AJ280" s="267" t="b">
        <f t="shared" si="121"/>
        <v>0</v>
      </c>
      <c r="AK280" s="267" t="b">
        <f t="shared" si="122"/>
        <v>0</v>
      </c>
      <c r="AL280" s="267"/>
      <c r="AM280" s="267"/>
      <c r="AN280" s="75"/>
    </row>
    <row r="281" spans="1:40" s="6" customFormat="1" ht="11.25" x14ac:dyDescent="0.2">
      <c r="A281" s="56">
        <f t="shared" si="123"/>
        <v>46654</v>
      </c>
      <c r="B281" s="413">
        <f>'2026'!Wh/'2026'!Env_an*'2027'!Env_an</f>
        <v>15.029249038896772</v>
      </c>
      <c r="C281" s="868"/>
      <c r="D281" s="395">
        <f t="shared" si="102"/>
        <v>16.244413969412594</v>
      </c>
      <c r="E281" s="387">
        <f t="shared" si="100"/>
        <v>18.326017009415231</v>
      </c>
      <c r="F281" s="387">
        <f t="shared" si="103"/>
        <v>18.345394963686307</v>
      </c>
      <c r="G281" s="110">
        <f t="shared" si="101"/>
        <v>0.43124235942281713</v>
      </c>
      <c r="H281" s="416" t="b">
        <f>Wh_hp&gt;='2026'!Maxi_hp</f>
        <v>0</v>
      </c>
      <c r="I281" s="392">
        <f>IF(H281,Wh_hp,'2026'!Maxi_hp)</f>
        <v>35.529783803479539</v>
      </c>
      <c r="J281" s="85">
        <f>IF(H281,An,'2026'!An_max)</f>
        <v>2021</v>
      </c>
      <c r="K281" s="199">
        <f t="shared" si="104"/>
        <v>46654</v>
      </c>
      <c r="L281" s="147">
        <f>IF(t&lt;Tvie,1-EXP((T0-t)*PertePVj)+'2026'!Pspv,1-EXP((T0-t)*PertePVj)+Pspv)</f>
        <v>7.480509501936583E-2</v>
      </c>
      <c r="M281" s="872"/>
      <c r="N281" s="872"/>
      <c r="O281" s="48">
        <f>IF(t&lt;Tnet,'2026'!Resal+('2026'!Salim-'2026'!Resal)*(1-EXP(('2026'!Tnet-t)/('2026'!Tau_j))),Resal+(Salim-Resal)*(1-EXP((Tnet-t)/(Tau_j))))*Salcycl</f>
        <v>0.11358731354080844</v>
      </c>
      <c r="P281" s="171">
        <f>(INDEX(Models!$BJ281:$BT281,,T281)*(1-R281)+INDEX(Models!$BJ281:$BT281,,T281+1)*R281-ERP_i)*Q281*Ramure*Pc/MaxiM</f>
        <v>5.5513916037700046E-3</v>
      </c>
      <c r="Q281" s="307">
        <f t="shared" si="105"/>
        <v>0.9</v>
      </c>
      <c r="R281" s="179">
        <f t="shared" si="106"/>
        <v>0.25614345655123527</v>
      </c>
      <c r="S281" s="839">
        <f t="shared" si="107"/>
        <v>-1</v>
      </c>
      <c r="T281" s="178">
        <f t="shared" si="108"/>
        <v>5</v>
      </c>
      <c r="U281" s="253">
        <f t="shared" si="109"/>
        <v>-0.74385654344876473</v>
      </c>
      <c r="V281" s="385">
        <f t="shared" si="110"/>
        <v>34.694225161680151</v>
      </c>
      <c r="W281" s="404">
        <f t="shared" si="111"/>
        <v>15.029249038896772</v>
      </c>
      <c r="X281" s="157">
        <f t="shared" si="112"/>
        <v>46654</v>
      </c>
      <c r="Y281" s="387">
        <f t="shared" si="113"/>
        <v>13.784522829888278</v>
      </c>
      <c r="Z281" s="387">
        <f t="shared" si="114"/>
        <v>14.899047493324458</v>
      </c>
      <c r="AA281" s="388">
        <f t="shared" si="115"/>
        <v>18.161033820542198</v>
      </c>
      <c r="AB281" s="199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0.17961457257615268</v>
      </c>
      <c r="AD281" s="233">
        <f>(INDEX(Models!$BJ281:$BT281,,AH281)*(1-AF281)+INDEX(Models!$BJ281:$BT281,,AH281+1)*AF281-ERP_i)*AE281*Ramure*Pc/MaxiM</f>
        <v>5.2815735231628379E-2</v>
      </c>
      <c r="AE281" s="307">
        <f t="shared" si="117"/>
        <v>0.9</v>
      </c>
      <c r="AF281" s="179">
        <f t="shared" si="118"/>
        <v>0.89179910885821423</v>
      </c>
      <c r="AG281" s="839">
        <f t="shared" si="124"/>
        <v>3</v>
      </c>
      <c r="AH281" s="178">
        <f t="shared" si="119"/>
        <v>9</v>
      </c>
      <c r="AI281" s="227">
        <f t="shared" si="120"/>
        <v>3.8917991088582142</v>
      </c>
      <c r="AJ281" s="267" t="b">
        <f t="shared" si="121"/>
        <v>0</v>
      </c>
      <c r="AK281" s="267" t="b">
        <f t="shared" si="122"/>
        <v>0</v>
      </c>
      <c r="AL281" s="267"/>
      <c r="AM281" s="267"/>
      <c r="AN281" s="75"/>
    </row>
    <row r="282" spans="1:40" s="6" customFormat="1" ht="11.25" x14ac:dyDescent="0.2">
      <c r="A282" s="56">
        <f t="shared" si="123"/>
        <v>46655</v>
      </c>
      <c r="B282" s="413">
        <f>'2026'!Wh/'2026'!Env_an*'2027'!Env_an</f>
        <v>25.105169106105617</v>
      </c>
      <c r="C282" s="868"/>
      <c r="D282" s="395">
        <f t="shared" si="102"/>
        <v>27.135637278708106</v>
      </c>
      <c r="E282" s="387">
        <f t="shared" si="100"/>
        <v>30.615832637795783</v>
      </c>
      <c r="F282" s="387">
        <f t="shared" si="103"/>
        <v>30.722111179227937</v>
      </c>
      <c r="G282" s="110">
        <f t="shared" si="101"/>
        <v>0.73011700669701562</v>
      </c>
      <c r="H282" s="416" t="b">
        <f>Wh_hp&gt;='2026'!Maxi_hp</f>
        <v>0</v>
      </c>
      <c r="I282" s="392">
        <f>IF(H282,Wh_hp,'2026'!Maxi_hp)</f>
        <v>30.771368796145119</v>
      </c>
      <c r="J282" s="85">
        <f>IF(H282,An,'2026'!An_max)</f>
        <v>2025</v>
      </c>
      <c r="K282" s="199">
        <f t="shared" si="104"/>
        <v>46655</v>
      </c>
      <c r="L282" s="147">
        <f>IF(t&lt;Tvie,1-EXP((T0-t)*PertePVj)+'2026'!Pspv,1-EXP((T0-t)*PertePVj)+Pspv)</f>
        <v>7.4826625656427503E-2</v>
      </c>
      <c r="M282" s="872"/>
      <c r="N282" s="872"/>
      <c r="O282" s="48">
        <f>IF(t&lt;Tnet,'2026'!Resal+('2026'!Salim-'2026'!Resal)*(1-EXP(('2026'!Tnet-t)/('2026'!Tau_j))),Resal+(Salim-Resal)*(1-EXP((Tnet-t)/(Tau_j))))*Salcycl</f>
        <v>0.11367305930433245</v>
      </c>
      <c r="P282" s="171">
        <f>(INDEX(Models!$BJ282:$BT282,,T282)*(1-R282)+INDEX(Models!$BJ282:$BT282,,T282+1)*R282-ERP_i)*Q282*Ramure*Pc/MaxiM</f>
        <v>5.6093806371042337E-3</v>
      </c>
      <c r="Q282" s="307">
        <f t="shared" si="105"/>
        <v>0.9</v>
      </c>
      <c r="R282" s="179">
        <f t="shared" si="106"/>
        <v>0.25649667504934093</v>
      </c>
      <c r="S282" s="839">
        <f t="shared" si="107"/>
        <v>-1</v>
      </c>
      <c r="T282" s="178">
        <f t="shared" si="108"/>
        <v>5</v>
      </c>
      <c r="U282" s="253">
        <f t="shared" si="109"/>
        <v>-0.74350332495065907</v>
      </c>
      <c r="V282" s="385">
        <f t="shared" si="110"/>
        <v>34.310945540905813</v>
      </c>
      <c r="W282" s="404">
        <f t="shared" si="111"/>
        <v>25.105169106105617</v>
      </c>
      <c r="X282" s="157">
        <f t="shared" si="112"/>
        <v>46655</v>
      </c>
      <c r="Y282" s="387">
        <f t="shared" si="113"/>
        <v>22.529504008269193</v>
      </c>
      <c r="Z282" s="387">
        <f t="shared" si="114"/>
        <v>24.351656276591715</v>
      </c>
      <c r="AA282" s="388">
        <f t="shared" si="115"/>
        <v>29.682718963286181</v>
      </c>
      <c r="AB282" s="199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0.17960156188145446</v>
      </c>
      <c r="AD282" s="233">
        <f>(INDEX(Models!$BJ282:$BT282,,AH282)*(1-AF282)+INDEX(Models!$BJ282:$BT282,,AH282+1)*AF282-ERP_i)*AE282*Ramure*Pc/MaxiM</f>
        <v>5.4859113532175367E-2</v>
      </c>
      <c r="AE282" s="307">
        <f t="shared" si="117"/>
        <v>0.9</v>
      </c>
      <c r="AF282" s="179">
        <f t="shared" si="118"/>
        <v>0.89215232735632011</v>
      </c>
      <c r="AG282" s="839">
        <f t="shared" si="124"/>
        <v>3</v>
      </c>
      <c r="AH282" s="178">
        <f t="shared" si="119"/>
        <v>9</v>
      </c>
      <c r="AI282" s="227">
        <f t="shared" si="120"/>
        <v>3.8921523273563201</v>
      </c>
      <c r="AJ282" s="267" t="b">
        <f t="shared" si="121"/>
        <v>0</v>
      </c>
      <c r="AK282" s="267" t="b">
        <f t="shared" si="122"/>
        <v>0</v>
      </c>
      <c r="AL282" s="267"/>
      <c r="AM282" s="267"/>
      <c r="AN282" s="75"/>
    </row>
    <row r="283" spans="1:40" s="6" customFormat="1" ht="11.25" x14ac:dyDescent="0.2">
      <c r="A283" s="56">
        <f t="shared" si="123"/>
        <v>46656</v>
      </c>
      <c r="B283" s="413">
        <f>'2026'!Wh/'2026'!Env_an*'2027'!Env_an</f>
        <v>26.958704460698836</v>
      </c>
      <c r="C283" s="868"/>
      <c r="D283" s="395">
        <f t="shared" si="102"/>
        <v>29.139761899075438</v>
      </c>
      <c r="E283" s="387">
        <f t="shared" si="100"/>
        <v>32.880094137616958</v>
      </c>
      <c r="F283" s="387">
        <f t="shared" si="103"/>
        <v>33.012250129143801</v>
      </c>
      <c r="G283" s="110">
        <f t="shared" si="101"/>
        <v>0.79327656701096605</v>
      </c>
      <c r="H283" s="416" t="b">
        <f>Wh_hp&gt;='2026'!Maxi_hp</f>
        <v>0</v>
      </c>
      <c r="I283" s="392">
        <f>IF(H283,Wh_hp,'2026'!Maxi_hp)</f>
        <v>33.053183581550016</v>
      </c>
      <c r="J283" s="85">
        <f>IF(H283,An,'2026'!An_max)</f>
        <v>2025</v>
      </c>
      <c r="K283" s="199">
        <f t="shared" si="104"/>
        <v>46656</v>
      </c>
      <c r="L283" s="147">
        <f>IF(t&lt;Tvie,1-EXP((T0-t)*PertePVj)+'2026'!Pspv,1-EXP((T0-t)*PertePVj)+Pspv)</f>
        <v>7.4848155792439863E-2</v>
      </c>
      <c r="M283" s="872"/>
      <c r="N283" s="872"/>
      <c r="O283" s="48">
        <f>IF(t&lt;Tnet,'2026'!Resal+('2026'!Salim-'2026'!Resal)*(1-EXP(('2026'!Tnet-t)/('2026'!Tau_j))),Resal+(Salim-Resal)*(1-EXP((Tnet-t)/(Tau_j))))*Salcycl</f>
        <v>0.11375673752291175</v>
      </c>
      <c r="P283" s="171">
        <f>(INDEX(Models!$BJ283:$BT283,,T283)*(1-R283)+INDEX(Models!$BJ283:$BT283,,T283+1)*R283-ERP_i)*Q283*Ramure*Pc/MaxiM</f>
        <v>5.6656943429727264E-3</v>
      </c>
      <c r="Q283" s="307">
        <f t="shared" si="105"/>
        <v>0.9</v>
      </c>
      <c r="R283" s="179">
        <f t="shared" si="106"/>
        <v>0.25683601105386999</v>
      </c>
      <c r="S283" s="839">
        <f t="shared" si="107"/>
        <v>-1</v>
      </c>
      <c r="T283" s="178">
        <f t="shared" si="108"/>
        <v>5</v>
      </c>
      <c r="U283" s="253">
        <f t="shared" si="109"/>
        <v>-0.74316398894613001</v>
      </c>
      <c r="V283" s="385">
        <f t="shared" si="110"/>
        <v>33.927268059401278</v>
      </c>
      <c r="W283" s="404">
        <f t="shared" si="111"/>
        <v>26.958704460698836</v>
      </c>
      <c r="X283" s="157">
        <f t="shared" si="112"/>
        <v>46656</v>
      </c>
      <c r="Y283" s="387">
        <f t="shared" si="113"/>
        <v>24.048783122222627</v>
      </c>
      <c r="Z283" s="387">
        <f t="shared" si="114"/>
        <v>25.994417319485148</v>
      </c>
      <c r="AA283" s="388">
        <f t="shared" si="115"/>
        <v>31.684495443699241</v>
      </c>
      <c r="AB283" s="199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0.17958556841546996</v>
      </c>
      <c r="AD283" s="233">
        <f>(INDEX(Models!$BJ283:$BT283,,AH283)*(1-AF283)+INDEX(Models!$BJ283:$BT283,,AH283+1)*AF283-ERP_i)*AE283*Ramure*Pc/MaxiM</f>
        <v>5.6922521054603069E-2</v>
      </c>
      <c r="AE283" s="307">
        <f t="shared" si="117"/>
        <v>0.9</v>
      </c>
      <c r="AF283" s="179">
        <f t="shared" si="118"/>
        <v>0.89249166336084906</v>
      </c>
      <c r="AG283" s="839">
        <f t="shared" si="124"/>
        <v>3</v>
      </c>
      <c r="AH283" s="178">
        <f t="shared" si="119"/>
        <v>9</v>
      </c>
      <c r="AI283" s="227">
        <f t="shared" si="120"/>
        <v>3.8924916633608491</v>
      </c>
      <c r="AJ283" s="267" t="b">
        <f t="shared" si="121"/>
        <v>0</v>
      </c>
      <c r="AK283" s="267" t="b">
        <f t="shared" si="122"/>
        <v>0</v>
      </c>
      <c r="AL283" s="267"/>
      <c r="AM283" s="267"/>
      <c r="AN283" s="75"/>
    </row>
    <row r="284" spans="1:40" s="6" customFormat="1" ht="11.25" x14ac:dyDescent="0.2">
      <c r="A284" s="56">
        <f t="shared" si="123"/>
        <v>46657</v>
      </c>
      <c r="B284" s="413">
        <f>'2026'!Wh/'2026'!Env_an*'2027'!Env_an</f>
        <v>13.172061530173464</v>
      </c>
      <c r="C284" s="868"/>
      <c r="D284" s="395">
        <f t="shared" si="102"/>
        <v>14.238060652308226</v>
      </c>
      <c r="E284" s="387">
        <f t="shared" si="100"/>
        <v>16.067113414185837</v>
      </c>
      <c r="F284" s="387">
        <f t="shared" si="103"/>
        <v>16.079290995136702</v>
      </c>
      <c r="G284" s="110">
        <f t="shared" si="101"/>
        <v>0.39072962616951273</v>
      </c>
      <c r="H284" s="416" t="b">
        <f>Wh_hp&gt;='2026'!Maxi_hp</f>
        <v>0</v>
      </c>
      <c r="I284" s="392">
        <f>IF(H284,Wh_hp,'2026'!Maxi_hp)</f>
        <v>32.432173480535852</v>
      </c>
      <c r="J284" s="85">
        <f>IF(H284,An,'2026'!An_max)</f>
        <v>2019</v>
      </c>
      <c r="K284" s="199">
        <f t="shared" si="104"/>
        <v>46657</v>
      </c>
      <c r="L284" s="147">
        <f>IF(t&lt;Tvie,1-EXP((T0-t)*PertePVj)+'2026'!Pspv,1-EXP((T0-t)*PertePVj)+Pspv)</f>
        <v>7.4869685427414345E-2</v>
      </c>
      <c r="M284" s="872"/>
      <c r="N284" s="872"/>
      <c r="O284" s="48">
        <f>IF(t&lt;Tnet,'2026'!Resal+('2026'!Salim-'2026'!Resal)*(1-EXP(('2026'!Tnet-t)/('2026'!Tau_j))),Resal+(Salim-Resal)*(1-EXP((Tnet-t)/(Tau_j))))*Salcycl</f>
        <v>0.11383829283626772</v>
      </c>
      <c r="P284" s="171">
        <f>(INDEX(Models!$BJ284:$BT284,,T284)*(1-R284)+INDEX(Models!$BJ284:$BT284,,T284+1)*R284-ERP_i)*Q284*Ramure*Pc/MaxiM</f>
        <v>5.7201398652405198E-3</v>
      </c>
      <c r="Q284" s="307">
        <f t="shared" si="105"/>
        <v>0.9</v>
      </c>
      <c r="R284" s="179">
        <f t="shared" si="106"/>
        <v>0.25716199721656696</v>
      </c>
      <c r="S284" s="839">
        <f t="shared" si="107"/>
        <v>-1</v>
      </c>
      <c r="T284" s="178">
        <f t="shared" si="108"/>
        <v>5</v>
      </c>
      <c r="U284" s="253">
        <f t="shared" si="109"/>
        <v>-0.74283800278343304</v>
      </c>
      <c r="V284" s="385">
        <f t="shared" si="110"/>
        <v>33.544018359708389</v>
      </c>
      <c r="W284" s="404">
        <f t="shared" si="111"/>
        <v>13.172061530173464</v>
      </c>
      <c r="X284" s="157">
        <f t="shared" si="112"/>
        <v>46657</v>
      </c>
      <c r="Y284" s="387">
        <f t="shared" si="113"/>
        <v>12.10896518537942</v>
      </c>
      <c r="Z284" s="387">
        <f t="shared" si="114"/>
        <v>13.088929196935695</v>
      </c>
      <c r="AA284" s="388">
        <f t="shared" si="115"/>
        <v>15.953674955295954</v>
      </c>
      <c r="AB284" s="199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0.17956651156474035</v>
      </c>
      <c r="AD284" s="233">
        <f>(INDEX(Models!$BJ284:$BT284,,AH284)*(1-AF284)+INDEX(Models!$BJ284:$BT284,,AH284+1)*AF284-ERP_i)*AE284*Ramure*Pc/MaxiM</f>
        <v>5.9005258934905651E-2</v>
      </c>
      <c r="AE284" s="307">
        <f t="shared" si="117"/>
        <v>0.9</v>
      </c>
      <c r="AF284" s="179">
        <f t="shared" si="118"/>
        <v>0.89281764952354603</v>
      </c>
      <c r="AG284" s="839">
        <f t="shared" si="124"/>
        <v>3</v>
      </c>
      <c r="AH284" s="178">
        <f t="shared" si="119"/>
        <v>9</v>
      </c>
      <c r="AI284" s="227">
        <f t="shared" si="120"/>
        <v>3.892817649523546</v>
      </c>
      <c r="AJ284" s="267" t="b">
        <f t="shared" si="121"/>
        <v>0</v>
      </c>
      <c r="AK284" s="267" t="b">
        <f t="shared" si="122"/>
        <v>0</v>
      </c>
      <c r="AL284" s="267"/>
      <c r="AM284" s="267"/>
      <c r="AN284" s="75"/>
    </row>
    <row r="285" spans="1:40" s="6" customFormat="1" ht="11.25" x14ac:dyDescent="0.2">
      <c r="A285" s="56">
        <f t="shared" si="123"/>
        <v>46658</v>
      </c>
      <c r="B285" s="413">
        <f>'2026'!Wh/'2026'!Env_an*'2027'!Env_an</f>
        <v>15.499585750488695</v>
      </c>
      <c r="C285" s="868"/>
      <c r="D285" s="395">
        <f t="shared" si="102"/>
        <v>16.75433851072944</v>
      </c>
      <c r="E285" s="387">
        <f t="shared" si="100"/>
        <v>18.908331619229294</v>
      </c>
      <c r="F285" s="387">
        <f t="shared" si="103"/>
        <v>18.934468171920855</v>
      </c>
      <c r="G285" s="110">
        <f t="shared" si="101"/>
        <v>0.46533397421184775</v>
      </c>
      <c r="H285" s="416" t="b">
        <f>Wh_hp&gt;='2026'!Maxi_hp</f>
        <v>0</v>
      </c>
      <c r="I285" s="392">
        <f>IF(H285,Wh_hp,'2026'!Maxi_hp)</f>
        <v>28.532869501688754</v>
      </c>
      <c r="J285" s="85">
        <f>IF(H285,An,'2026'!An_max)</f>
        <v>2019</v>
      </c>
      <c r="K285" s="199">
        <f t="shared" si="104"/>
        <v>46658</v>
      </c>
      <c r="L285" s="147">
        <f>IF(t&lt;Tvie,1-EXP((T0-t)*PertePVj)+'2026'!Pspv,1-EXP((T0-t)*PertePVj)+Pspv)</f>
        <v>7.489121456136294E-2</v>
      </c>
      <c r="M285" s="872"/>
      <c r="N285" s="872"/>
      <c r="O285" s="48">
        <f>IF(t&lt;Tnet,'2026'!Resal+('2026'!Salim-'2026'!Resal)*(1-EXP(('2026'!Tnet-t)/('2026'!Tau_j))),Resal+(Salim-Resal)*(1-EXP((Tnet-t)/(Tau_j))))*Salcycl</f>
        <v>0.11391767142000511</v>
      </c>
      <c r="P285" s="171">
        <f>(INDEX(Models!$BJ285:$BT285,,T285)*(1-R285)+INDEX(Models!$BJ285:$BT285,,T285+1)*R285-ERP_i)*Q285*Ramure*Pc/MaxiM</f>
        <v>5.7725090958194742E-3</v>
      </c>
      <c r="Q285" s="307">
        <f t="shared" si="105"/>
        <v>0.9</v>
      </c>
      <c r="R285" s="179">
        <f t="shared" si="106"/>
        <v>0.25747514676556826</v>
      </c>
      <c r="S285" s="839">
        <f t="shared" si="107"/>
        <v>-1</v>
      </c>
      <c r="T285" s="178">
        <f t="shared" si="108"/>
        <v>5</v>
      </c>
      <c r="U285" s="253">
        <f t="shared" si="109"/>
        <v>-0.74252485323443174</v>
      </c>
      <c r="V285" s="385">
        <f t="shared" si="110"/>
        <v>33.162021586831287</v>
      </c>
      <c r="W285" s="404">
        <f t="shared" si="111"/>
        <v>15.499585750488695</v>
      </c>
      <c r="X285" s="157">
        <f t="shared" si="112"/>
        <v>46658</v>
      </c>
      <c r="Y285" s="387">
        <f t="shared" si="113"/>
        <v>14.16146567805591</v>
      </c>
      <c r="Z285" s="387">
        <f t="shared" si="114"/>
        <v>15.307892326783277</v>
      </c>
      <c r="AA285" s="388">
        <f t="shared" si="115"/>
        <v>18.657792951371746</v>
      </c>
      <c r="AB285" s="199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0.1795443133772251</v>
      </c>
      <c r="AD285" s="233">
        <f>(INDEX(Models!$BJ285:$BT285,,AH285)*(1-AF285)+INDEX(Models!$BJ285:$BT285,,AH285+1)*AF285-ERP_i)*AE285*Ramure*Pc/MaxiM</f>
        <v>6.1106384076555734E-2</v>
      </c>
      <c r="AE285" s="307">
        <f t="shared" si="117"/>
        <v>0.9</v>
      </c>
      <c r="AF285" s="179">
        <f t="shared" si="118"/>
        <v>0.893130799072547</v>
      </c>
      <c r="AG285" s="839">
        <f t="shared" si="124"/>
        <v>3</v>
      </c>
      <c r="AH285" s="178">
        <f t="shared" si="119"/>
        <v>9</v>
      </c>
      <c r="AI285" s="227">
        <f t="shared" si="120"/>
        <v>3.893130799072547</v>
      </c>
      <c r="AJ285" s="267" t="b">
        <f t="shared" si="121"/>
        <v>0</v>
      </c>
      <c r="AK285" s="267" t="b">
        <f t="shared" si="122"/>
        <v>0</v>
      </c>
      <c r="AL285" s="267"/>
      <c r="AM285" s="267"/>
      <c r="AN285" s="75"/>
    </row>
    <row r="286" spans="1:40" s="6" customFormat="1" ht="11.25" x14ac:dyDescent="0.2">
      <c r="A286" s="56">
        <f t="shared" si="123"/>
        <v>46659</v>
      </c>
      <c r="B286" s="413">
        <f>'2026'!Wh/'2026'!Env_an*'2027'!Env_an</f>
        <v>20.724959728488354</v>
      </c>
      <c r="C286" s="868"/>
      <c r="D286" s="395">
        <f t="shared" si="102"/>
        <v>22.403248532523282</v>
      </c>
      <c r="E286" s="387">
        <f t="shared" si="100"/>
        <v>25.285685765228507</v>
      </c>
      <c r="F286" s="387">
        <f t="shared" si="103"/>
        <v>25.355750255928399</v>
      </c>
      <c r="G286" s="110">
        <f t="shared" si="101"/>
        <v>0.63026402361998934</v>
      </c>
      <c r="H286" s="416" t="b">
        <f>Wh_hp&gt;='2026'!Maxi_hp</f>
        <v>0</v>
      </c>
      <c r="I286" s="392">
        <f>IF(H286,Wh_hp,'2026'!Maxi_hp)</f>
        <v>39.545102096867112</v>
      </c>
      <c r="J286" s="85">
        <f>IF(H286,An,'2026'!An_max)</f>
        <v>2019</v>
      </c>
      <c r="K286" s="199">
        <f t="shared" si="104"/>
        <v>46659</v>
      </c>
      <c r="L286" s="147">
        <f>IF(t&lt;Tvie,1-EXP((T0-t)*PertePVj)+'2026'!Pspv,1-EXP((T0-t)*PertePVj)+Pspv)</f>
        <v>7.4912743194296971E-2</v>
      </c>
      <c r="M286" s="872"/>
      <c r="N286" s="872"/>
      <c r="O286" s="48">
        <f>IF(t&lt;Tnet,'2026'!Resal+('2026'!Salim-'2026'!Resal)*(1-EXP(('2026'!Tnet-t)/('2026'!Tau_j))),Resal+(Salim-Resal)*(1-EXP((Tnet-t)/(Tau_j))))*Salcycl</f>
        <v>0.11399482139689464</v>
      </c>
      <c r="P286" s="171">
        <f>(INDEX(Models!$BJ286:$BT286,,T286)*(1-R286)+INDEX(Models!$BJ286:$BT286,,T286+1)*R286-ERP_i)*Q286*Ramure*Pc/MaxiM</f>
        <v>5.8225784128464186E-3</v>
      </c>
      <c r="Q286" s="307">
        <f t="shared" si="105"/>
        <v>0.9</v>
      </c>
      <c r="R286" s="179">
        <f t="shared" si="106"/>
        <v>0.25777595413384258</v>
      </c>
      <c r="S286" s="839">
        <f t="shared" si="107"/>
        <v>-1</v>
      </c>
      <c r="T286" s="178">
        <f t="shared" si="108"/>
        <v>5</v>
      </c>
      <c r="U286" s="253">
        <f t="shared" si="109"/>
        <v>-0.74222404586615742</v>
      </c>
      <c r="V286" s="385">
        <f t="shared" si="110"/>
        <v>32.782102393423351</v>
      </c>
      <c r="W286" s="404">
        <f t="shared" si="111"/>
        <v>20.724959728488354</v>
      </c>
      <c r="X286" s="157">
        <f t="shared" si="112"/>
        <v>46659</v>
      </c>
      <c r="Y286" s="387">
        <f t="shared" si="113"/>
        <v>18.66797733769674</v>
      </c>
      <c r="Z286" s="387">
        <f t="shared" si="114"/>
        <v>20.179693537403892</v>
      </c>
      <c r="AA286" s="388">
        <f t="shared" si="115"/>
        <v>24.594952300156141</v>
      </c>
      <c r="AB286" s="199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0.17951889919803649</v>
      </c>
      <c r="AD286" s="233">
        <f>(INDEX(Models!$BJ286:$BT286,,AH286)*(1-AF286)+INDEX(Models!$BJ286:$BT286,,AH286+1)*AF286-ERP_i)*AE286*Ramure*Pc/MaxiM</f>
        <v>6.322469070376234E-2</v>
      </c>
      <c r="AE286" s="307">
        <f t="shared" si="117"/>
        <v>0.9</v>
      </c>
      <c r="AF286" s="179">
        <f t="shared" si="118"/>
        <v>0.89343160644082165</v>
      </c>
      <c r="AG286" s="839">
        <f t="shared" si="124"/>
        <v>3</v>
      </c>
      <c r="AH286" s="178">
        <f t="shared" si="119"/>
        <v>9</v>
      </c>
      <c r="AI286" s="227">
        <f t="shared" si="120"/>
        <v>3.8934316064408216</v>
      </c>
      <c r="AJ286" s="267" t="b">
        <f t="shared" si="121"/>
        <v>0</v>
      </c>
      <c r="AK286" s="267" t="b">
        <f t="shared" si="122"/>
        <v>0</v>
      </c>
      <c r="AL286" s="267"/>
      <c r="AM286" s="267"/>
      <c r="AN286" s="75"/>
    </row>
    <row r="287" spans="1:40" s="6" customFormat="1" ht="11.25" x14ac:dyDescent="0.2">
      <c r="A287" s="56">
        <f t="shared" si="123"/>
        <v>46660</v>
      </c>
      <c r="B287" s="413">
        <f>'2026'!Wh/'2026'!Env_an*'2027'!Env_an</f>
        <v>23.944502985092232</v>
      </c>
      <c r="C287" s="868"/>
      <c r="D287" s="395">
        <f t="shared" si="102"/>
        <v>25.884109899326262</v>
      </c>
      <c r="E287" s="387">
        <f t="shared" si="100"/>
        <v>29.216869207993469</v>
      </c>
      <c r="F287" s="387">
        <f t="shared" si="103"/>
        <v>29.324803777385295</v>
      </c>
      <c r="G287" s="110">
        <f t="shared" si="101"/>
        <v>0.73728811526737703</v>
      </c>
      <c r="H287" s="416" t="b">
        <f>Wh_hp&gt;='2026'!Maxi_hp</f>
        <v>0</v>
      </c>
      <c r="I287" s="392">
        <f>IF(H287,Wh_hp,'2026'!Maxi_hp)</f>
        <v>31.942652402822652</v>
      </c>
      <c r="J287" s="85">
        <f>IF(H287,An,'2026'!An_max)</f>
        <v>2020</v>
      </c>
      <c r="K287" s="199">
        <f t="shared" si="104"/>
        <v>46660</v>
      </c>
      <c r="L287" s="147">
        <f>IF(t&lt;Tvie,1-EXP((T0-t)*PertePVj)+'2026'!Pspv,1-EXP((T0-t)*PertePVj)+Pspv)</f>
        <v>7.493427132622843E-2</v>
      </c>
      <c r="M287" s="872"/>
      <c r="N287" s="872"/>
      <c r="O287" s="48">
        <f>IF(t&lt;Tnet,'2026'!Resal+('2026'!Salim-'2026'!Resal)*(1-EXP(('2026'!Tnet-t)/('2026'!Tau_j))),Resal+(Salim-Resal)*(1-EXP((Tnet-t)/(Tau_j))))*Salcycl</f>
        <v>0.11406969326321222</v>
      </c>
      <c r="P287" s="171">
        <f>(INDEX(Models!$BJ287:$BT287,,T287)*(1-R287)+INDEX(Models!$BJ287:$BT287,,T287+1)*R287-ERP_i)*Q287*Ramure*Pc/MaxiM</f>
        <v>5.8701085143982226E-3</v>
      </c>
      <c r="Q287" s="307">
        <f t="shared" si="105"/>
        <v>0.9</v>
      </c>
      <c r="R287" s="179">
        <f t="shared" si="106"/>
        <v>0.2580648955737751</v>
      </c>
      <c r="S287" s="839">
        <f t="shared" si="107"/>
        <v>-1</v>
      </c>
      <c r="T287" s="178">
        <f t="shared" si="108"/>
        <v>5</v>
      </c>
      <c r="U287" s="253">
        <f t="shared" si="109"/>
        <v>-0.7419351044262249</v>
      </c>
      <c r="V287" s="385">
        <f t="shared" si="110"/>
        <v>32.405084945839903</v>
      </c>
      <c r="W287" s="404">
        <f t="shared" si="111"/>
        <v>23.944502985092232</v>
      </c>
      <c r="X287" s="157">
        <f t="shared" si="112"/>
        <v>46660</v>
      </c>
      <c r="Y287" s="387">
        <f t="shared" si="113"/>
        <v>21.346107219479691</v>
      </c>
      <c r="Z287" s="387">
        <f t="shared" si="114"/>
        <v>23.075232989209017</v>
      </c>
      <c r="AA287" s="388">
        <f t="shared" si="115"/>
        <v>28.123043676170372</v>
      </c>
      <c r="AB287" s="199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0.17949019832581425</v>
      </c>
      <c r="AD287" s="233">
        <f>(INDEX(Models!$BJ287:$BT287,,AH287)*(1-AF287)+INDEX(Models!$BJ287:$BT287,,AH287+1)*AF287-ERP_i)*AE287*Ramure*Pc/MaxiM</f>
        <v>6.5358691308588429E-2</v>
      </c>
      <c r="AE287" s="307">
        <f t="shared" si="117"/>
        <v>0.9</v>
      </c>
      <c r="AF287" s="179">
        <f t="shared" si="118"/>
        <v>0.89372054788075417</v>
      </c>
      <c r="AG287" s="839">
        <f t="shared" si="124"/>
        <v>3</v>
      </c>
      <c r="AH287" s="178">
        <f t="shared" si="119"/>
        <v>9</v>
      </c>
      <c r="AI287" s="227">
        <f t="shared" si="120"/>
        <v>3.8937205478807542</v>
      </c>
      <c r="AJ287" s="267" t="b">
        <f t="shared" si="121"/>
        <v>0</v>
      </c>
      <c r="AK287" s="267" t="b">
        <f t="shared" si="122"/>
        <v>0</v>
      </c>
      <c r="AL287" s="267"/>
      <c r="AM287" s="267"/>
      <c r="AN287" s="75"/>
    </row>
    <row r="288" spans="1:40" s="6" customFormat="1" ht="11.25" x14ac:dyDescent="0.2">
      <c r="A288" s="56">
        <f t="shared" si="123"/>
        <v>46661</v>
      </c>
      <c r="B288" s="413">
        <f>'2026'!Wh/'2026'!Env_an*'2027'!Env_an</f>
        <v>28.818732173886772</v>
      </c>
      <c r="C288" s="868"/>
      <c r="D288" s="395">
        <f t="shared" si="102"/>
        <v>31.153897447709539</v>
      </c>
      <c r="E288" s="387">
        <f t="shared" si="100"/>
        <v>35.168058424202364</v>
      </c>
      <c r="F288" s="387">
        <f t="shared" si="103"/>
        <v>35.34717173135342</v>
      </c>
      <c r="G288" s="110">
        <f t="shared" si="101"/>
        <v>0.89892506233684899</v>
      </c>
      <c r="H288" s="416" t="b">
        <f>Wh_hp&gt;='2026'!Maxi_hp</f>
        <v>0</v>
      </c>
      <c r="I288" s="392">
        <f>IF(H288,Wh_hp,'2026'!Maxi_hp)</f>
        <v>37.95557881687494</v>
      </c>
      <c r="J288" s="85">
        <f>IF(H288,An,'2026'!An_max)</f>
        <v>2020</v>
      </c>
      <c r="K288" s="199">
        <f t="shared" si="104"/>
        <v>46661</v>
      </c>
      <c r="L288" s="147">
        <f>IF(t&lt;Tvie,1-EXP((T0-t)*PertePVj)+'2026'!Pspv,1-EXP((T0-t)*PertePVj)+Pspv)</f>
        <v>7.495579895716864E-2</v>
      </c>
      <c r="M288" s="872"/>
      <c r="N288" s="872"/>
      <c r="O288" s="48">
        <f>IF(t&lt;Tnet,'2026'!Resal+('2026'!Salim-'2026'!Resal)*(1-EXP(('2026'!Tnet-t)/('2026'!Tau_j))),Resal+(Salim-Resal)*(1-EXP((Tnet-t)/(Tau_j))))*Salcycl</f>
        <v>0.11414224032710063</v>
      </c>
      <c r="P288" s="171">
        <f>(INDEX(Models!$BJ288:$BT288,,T288)*(1-R288)+INDEX(Models!$BJ288:$BT288,,T288+1)*R288-ERP_i)*Q288*Ramure*Pc/MaxiM</f>
        <v>5.9148443690344331E-3</v>
      </c>
      <c r="Q288" s="307">
        <f t="shared" si="105"/>
        <v>0.9</v>
      </c>
      <c r="R288" s="179">
        <f t="shared" si="106"/>
        <v>0.25834242975762267</v>
      </c>
      <c r="S288" s="839">
        <f t="shared" si="107"/>
        <v>-1</v>
      </c>
      <c r="T288" s="178">
        <f t="shared" si="108"/>
        <v>5</v>
      </c>
      <c r="U288" s="253">
        <f t="shared" si="109"/>
        <v>-0.74165757024237733</v>
      </c>
      <c r="V288" s="385">
        <f t="shared" si="110"/>
        <v>32.031792934334092</v>
      </c>
      <c r="W288" s="404">
        <f t="shared" si="111"/>
        <v>28.818732173886772</v>
      </c>
      <c r="X288" s="157">
        <f t="shared" si="112"/>
        <v>46661</v>
      </c>
      <c r="Y288" s="387">
        <f t="shared" si="113"/>
        <v>25.278177595506264</v>
      </c>
      <c r="Z288" s="387">
        <f t="shared" si="114"/>
        <v>27.326453770543484</v>
      </c>
      <c r="AA288" s="388">
        <f t="shared" si="115"/>
        <v>33.302937069613336</v>
      </c>
      <c r="AB288" s="199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0.1794581446848719</v>
      </c>
      <c r="AD288" s="233">
        <f>(INDEX(Models!$BJ288:$BT288,,AH288)*(1-AF288)+INDEX(Models!$BJ288:$BT288,,AH288+1)*AF288-ERP_i)*AE288*Ramure*Pc/MaxiM</f>
        <v>6.750659719426079E-2</v>
      </c>
      <c r="AE288" s="307">
        <f t="shared" si="117"/>
        <v>0.9</v>
      </c>
      <c r="AF288" s="179">
        <f t="shared" si="118"/>
        <v>0.89399808206460163</v>
      </c>
      <c r="AG288" s="839">
        <f t="shared" si="124"/>
        <v>3</v>
      </c>
      <c r="AH288" s="178">
        <f t="shared" si="119"/>
        <v>9</v>
      </c>
      <c r="AI288" s="227">
        <f t="shared" si="120"/>
        <v>3.8939980820646016</v>
      </c>
      <c r="AJ288" s="267" t="b">
        <f t="shared" si="121"/>
        <v>0</v>
      </c>
      <c r="AK288" s="267" t="b">
        <f t="shared" si="122"/>
        <v>0</v>
      </c>
      <c r="AL288" s="267"/>
      <c r="AM288" s="267"/>
      <c r="AN288" s="75"/>
    </row>
    <row r="289" spans="1:40" s="6" customFormat="1" ht="11.25" x14ac:dyDescent="0.2">
      <c r="A289" s="56">
        <f t="shared" si="123"/>
        <v>46662</v>
      </c>
      <c r="B289" s="413">
        <f>'2026'!Wh/'2026'!Env_an*'2027'!Env_an</f>
        <v>30.449627287732582</v>
      </c>
      <c r="C289" s="868"/>
      <c r="D289" s="395">
        <f t="shared" si="102"/>
        <v>32.917709096718518</v>
      </c>
      <c r="E289" s="387">
        <f t="shared" si="100"/>
        <v>37.162080174280334</v>
      </c>
      <c r="F289" s="387">
        <f t="shared" si="103"/>
        <v>37.372569095372583</v>
      </c>
      <c r="G289" s="110">
        <f t="shared" si="101"/>
        <v>0.96148564347267262</v>
      </c>
      <c r="H289" s="416" t="b">
        <f>Wh_hp&gt;='2026'!Maxi_hp</f>
        <v>0</v>
      </c>
      <c r="I289" s="392">
        <f>IF(H289,Wh_hp,'2026'!Maxi_hp)</f>
        <v>37.381684663507535</v>
      </c>
      <c r="J289" s="85">
        <f>IF(H289,An,'2026'!An_max)</f>
        <v>2025</v>
      </c>
      <c r="K289" s="199">
        <f t="shared" si="104"/>
        <v>46662</v>
      </c>
      <c r="L289" s="147">
        <f>IF(t&lt;Tvie,1-EXP((T0-t)*PertePVj)+'2026'!Pspv,1-EXP((T0-t)*PertePVj)+Pspv)</f>
        <v>7.4977326087129481E-2</v>
      </c>
      <c r="M289" s="872"/>
      <c r="N289" s="872"/>
      <c r="O289" s="48">
        <f>IF(t&lt;Tnet,'2026'!Resal+('2026'!Salim-'2026'!Resal)*(1-EXP(('2026'!Tnet-t)/('2026'!Tau_j))),Resal+(Salim-Resal)*(1-EXP((Tnet-t)/(Tau_j))))*Salcycl</f>
        <v>0.11421241915567795</v>
      </c>
      <c r="P289" s="171">
        <f>(INDEX(Models!$BJ289:$BT289,,T289)*(1-R289)+INDEX(Models!$BJ289:$BT289,,T289+1)*R289-ERP_i)*Q289*Ramure*Pc/MaxiM</f>
        <v>5.9572730370460085E-3</v>
      </c>
      <c r="Q289" s="307">
        <f t="shared" si="105"/>
        <v>0.9</v>
      </c>
      <c r="R289" s="179">
        <f t="shared" si="106"/>
        <v>0.2586089983636416</v>
      </c>
      <c r="S289" s="839">
        <f t="shared" si="107"/>
        <v>-1</v>
      </c>
      <c r="T289" s="178">
        <f t="shared" si="108"/>
        <v>5</v>
      </c>
      <c r="U289" s="253">
        <f t="shared" si="109"/>
        <v>-0.7413910016363584</v>
      </c>
      <c r="V289" s="385">
        <f t="shared" si="110"/>
        <v>31.658998103357003</v>
      </c>
      <c r="W289" s="404">
        <f t="shared" si="111"/>
        <v>30.449627287732582</v>
      </c>
      <c r="X289" s="157">
        <f t="shared" si="112"/>
        <v>46662</v>
      </c>
      <c r="Y289" s="387">
        <f t="shared" si="113"/>
        <v>26.49908115367105</v>
      </c>
      <c r="Z289" s="387">
        <f t="shared" si="114"/>
        <v>28.646953097462173</v>
      </c>
      <c r="AA289" s="388">
        <f t="shared" si="115"/>
        <v>34.910729692676696</v>
      </c>
      <c r="AB289" s="199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0.17942267750789775</v>
      </c>
      <c r="AD289" s="233">
        <f>(INDEX(Models!$BJ289:$BT289,,AH289)*(1-AF289)+INDEX(Models!$BJ289:$BT289,,AH289+1)*AF289-ERP_i)*AE289*Ramure*Pc/MaxiM</f>
        <v>6.9675161139668693E-2</v>
      </c>
      <c r="AE289" s="307">
        <f t="shared" si="117"/>
        <v>0.9</v>
      </c>
      <c r="AF289" s="179">
        <f t="shared" si="118"/>
        <v>0.89426465067062066</v>
      </c>
      <c r="AG289" s="839">
        <f t="shared" si="124"/>
        <v>3</v>
      </c>
      <c r="AH289" s="178">
        <f t="shared" si="119"/>
        <v>9</v>
      </c>
      <c r="AI289" s="227">
        <f t="shared" si="120"/>
        <v>3.8942646506706207</v>
      </c>
      <c r="AJ289" s="267" t="b">
        <f t="shared" si="121"/>
        <v>0</v>
      </c>
      <c r="AK289" s="267" t="b">
        <f t="shared" si="122"/>
        <v>0</v>
      </c>
      <c r="AL289" s="267"/>
      <c r="AM289" s="267"/>
      <c r="AN289" s="75"/>
    </row>
    <row r="290" spans="1:40" s="6" customFormat="1" ht="11.25" x14ac:dyDescent="0.2">
      <c r="A290" s="56">
        <f t="shared" si="123"/>
        <v>46663</v>
      </c>
      <c r="B290" s="413">
        <f>'2026'!Wh/'2026'!Env_an*'2027'!Env_an</f>
        <v>28.734847114758271</v>
      </c>
      <c r="C290" s="868"/>
      <c r="D290" s="395">
        <f t="shared" si="102"/>
        <v>31.064661053809175</v>
      </c>
      <c r="E290" s="387">
        <f t="shared" si="100"/>
        <v>35.072785664317784</v>
      </c>
      <c r="F290" s="387">
        <f t="shared" si="103"/>
        <v>35.259849703055444</v>
      </c>
      <c r="G290" s="110">
        <f t="shared" si="101"/>
        <v>0.91788985269364909</v>
      </c>
      <c r="H290" s="416" t="b">
        <f>Wh_hp&gt;='2026'!Maxi_hp</f>
        <v>0</v>
      </c>
      <c r="I290" s="392">
        <f>IF(H290,Wh_hp,'2026'!Maxi_hp)</f>
        <v>36.035375229537863</v>
      </c>
      <c r="J290" s="85">
        <f>IF(H290,An,'2026'!An_max)</f>
        <v>2018</v>
      </c>
      <c r="K290" s="199">
        <f t="shared" si="104"/>
        <v>46663</v>
      </c>
      <c r="L290" s="147">
        <f>IF(t&lt;Tvie,1-EXP((T0-t)*PertePVj)+'2026'!Pspv,1-EXP((T0-t)*PertePVj)+Pspv)</f>
        <v>7.499885271612261E-2</v>
      </c>
      <c r="M290" s="872"/>
      <c r="N290" s="872"/>
      <c r="O290" s="48">
        <f>IF(t&lt;Tnet,'2026'!Resal+('2026'!Salim-'2026'!Resal)*(1-EXP(('2026'!Tnet-t)/('2026'!Tau_j))),Resal+(Salim-Resal)*(1-EXP((Tnet-t)/(Tau_j))))*Salcycl</f>
        <v>0.1142801900274029</v>
      </c>
      <c r="P290" s="171">
        <f>(INDEX(Models!$BJ290:$BT290,,T290)*(1-R290)+INDEX(Models!$BJ290:$BT290,,T290+1)*R290-ERP_i)*Q290*Ramure*Pc/MaxiM</f>
        <v>6.0040395535545564E-3</v>
      </c>
      <c r="Q290" s="307">
        <f t="shared" si="105"/>
        <v>0.9</v>
      </c>
      <c r="R290" s="179">
        <f t="shared" si="106"/>
        <v>0.25886502664774491</v>
      </c>
      <c r="S290" s="839">
        <f t="shared" si="107"/>
        <v>-1</v>
      </c>
      <c r="T290" s="178">
        <f t="shared" si="108"/>
        <v>5</v>
      </c>
      <c r="U290" s="253">
        <f t="shared" si="109"/>
        <v>-0.74113497335225509</v>
      </c>
      <c r="V290" s="385">
        <f t="shared" si="110"/>
        <v>31.283341604739867</v>
      </c>
      <c r="W290" s="404">
        <f t="shared" si="111"/>
        <v>28.734847114758271</v>
      </c>
      <c r="X290" s="157">
        <f t="shared" si="112"/>
        <v>46663</v>
      </c>
      <c r="Y290" s="387">
        <f t="shared" si="113"/>
        <v>25.065255380571195</v>
      </c>
      <c r="Z290" s="387">
        <f t="shared" si="114"/>
        <v>27.097539775135886</v>
      </c>
      <c r="AA290" s="388">
        <f t="shared" si="115"/>
        <v>33.020963832669068</v>
      </c>
      <c r="AB290" s="199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0.17938374202369234</v>
      </c>
      <c r="AD290" s="233">
        <f>(INDEX(Models!$BJ290:$BT290,,AH290)*(1-AF290)+INDEX(Models!$BJ290:$BT290,,AH290+1)*AF290-ERP_i)*AE290*Ramure*Pc/MaxiM</f>
        <v>7.1859665879159373E-2</v>
      </c>
      <c r="AE290" s="307">
        <f t="shared" si="117"/>
        <v>0.9</v>
      </c>
      <c r="AF290" s="179">
        <f t="shared" si="118"/>
        <v>0.89452067895472398</v>
      </c>
      <c r="AG290" s="839">
        <f t="shared" si="124"/>
        <v>3</v>
      </c>
      <c r="AH290" s="178">
        <f t="shared" si="119"/>
        <v>9</v>
      </c>
      <c r="AI290" s="227">
        <f t="shared" si="120"/>
        <v>3.894520678954724</v>
      </c>
      <c r="AJ290" s="267" t="b">
        <f t="shared" si="121"/>
        <v>0</v>
      </c>
      <c r="AK290" s="267" t="b">
        <f t="shared" si="122"/>
        <v>0</v>
      </c>
      <c r="AL290" s="267"/>
      <c r="AM290" s="267"/>
      <c r="AN290" s="75"/>
    </row>
    <row r="291" spans="1:40" s="6" customFormat="1" ht="11.25" x14ac:dyDescent="0.2">
      <c r="A291" s="56">
        <f t="shared" si="123"/>
        <v>46664</v>
      </c>
      <c r="B291" s="413">
        <f>'2026'!Wh/'2026'!Env_an*'2027'!Env_an</f>
        <v>30.731766362385809</v>
      </c>
      <c r="C291" s="868"/>
      <c r="D291" s="395">
        <f t="shared" si="102"/>
        <v>33.224263172397102</v>
      </c>
      <c r="E291" s="387">
        <f t="shared" si="100"/>
        <v>37.51379778978464</v>
      </c>
      <c r="F291" s="387">
        <f t="shared" si="103"/>
        <v>37.740638812722956</v>
      </c>
      <c r="G291" s="110">
        <f t="shared" si="101"/>
        <v>0.99432621376350805</v>
      </c>
      <c r="H291" s="416" t="b">
        <f>Wh_hp&gt;='2026'!Maxi_hp</f>
        <v>0</v>
      </c>
      <c r="I291" s="392">
        <f>IF(H291,Wh_hp,'2026'!Maxi_hp)</f>
        <v>37.74202474277137</v>
      </c>
      <c r="J291" s="85">
        <f>IF(H291,An,'2026'!An_max)</f>
        <v>2025</v>
      </c>
      <c r="K291" s="199">
        <f t="shared" si="104"/>
        <v>46664</v>
      </c>
      <c r="L291" s="147">
        <f>IF(t&lt;Tvie,1-EXP((T0-t)*PertePVj)+'2026'!Pspv,1-EXP((T0-t)*PertePVj)+Pspv)</f>
        <v>7.5020378844159685E-2</v>
      </c>
      <c r="M291" s="872"/>
      <c r="N291" s="872"/>
      <c r="O291" s="48">
        <f>IF(t&lt;Tnet,'2026'!Resal+('2026'!Salim-'2026'!Resal)*(1-EXP(('2026'!Tnet-t)/('2026'!Tau_j))),Resal+(Salim-Resal)*(1-EXP((Tnet-t)/(Tau_j))))*Salcycl</f>
        <v>0.11434551738602203</v>
      </c>
      <c r="P291" s="171">
        <f>(INDEX(Models!$BJ291:$BT291,,T291)*(1-R291)+INDEX(Models!$BJ291:$BT291,,T291+1)*R291-ERP_i)*Q291*Ramure*Pc/MaxiM</f>
        <v>6.0592149840377691E-3</v>
      </c>
      <c r="Q291" s="307">
        <f t="shared" si="105"/>
        <v>0.9</v>
      </c>
      <c r="R291" s="179">
        <f t="shared" si="106"/>
        <v>0.25911092400060753</v>
      </c>
      <c r="S291" s="839">
        <f t="shared" si="107"/>
        <v>-1</v>
      </c>
      <c r="T291" s="178">
        <f t="shared" si="108"/>
        <v>5</v>
      </c>
      <c r="U291" s="253">
        <f t="shared" si="109"/>
        <v>-0.74088907599939247</v>
      </c>
      <c r="V291" s="385">
        <f t="shared" si="110"/>
        <v>30.905612800896744</v>
      </c>
      <c r="W291" s="404">
        <f t="shared" si="111"/>
        <v>30.731766362385809</v>
      </c>
      <c r="X291" s="157">
        <f t="shared" si="112"/>
        <v>46664</v>
      </c>
      <c r="Y291" s="387">
        <f t="shared" si="113"/>
        <v>26.543595636109803</v>
      </c>
      <c r="Z291" s="387">
        <f t="shared" si="114"/>
        <v>28.696411281949469</v>
      </c>
      <c r="AA291" s="388">
        <f t="shared" si="115"/>
        <v>34.967533930140974</v>
      </c>
      <c r="AB291" s="199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0.17934129014416952</v>
      </c>
      <c r="AD291" s="233">
        <f>(INDEX(Models!$BJ291:$BT291,,AH291)*(1-AF291)+INDEX(Models!$BJ291:$BT291,,AH291+1)*AF291-ERP_i)*AE291*Ramure*Pc/MaxiM</f>
        <v>7.4073192049649531E-2</v>
      </c>
      <c r="AE291" s="307">
        <f t="shared" si="117"/>
        <v>0.9</v>
      </c>
      <c r="AF291" s="179">
        <f t="shared" si="118"/>
        <v>0.89476657630758627</v>
      </c>
      <c r="AG291" s="839">
        <f t="shared" si="124"/>
        <v>3</v>
      </c>
      <c r="AH291" s="178">
        <f t="shared" si="119"/>
        <v>9</v>
      </c>
      <c r="AI291" s="227">
        <f t="shared" si="120"/>
        <v>3.8947665763075863</v>
      </c>
      <c r="AJ291" s="267" t="b">
        <f t="shared" si="121"/>
        <v>0</v>
      </c>
      <c r="AK291" s="267" t="b">
        <f t="shared" si="122"/>
        <v>0</v>
      </c>
      <c r="AL291" s="267"/>
      <c r="AM291" s="267"/>
      <c r="AN291" s="75"/>
    </row>
    <row r="292" spans="1:40" s="6" customFormat="1" ht="11.25" x14ac:dyDescent="0.2">
      <c r="A292" s="56">
        <f t="shared" si="123"/>
        <v>46665</v>
      </c>
      <c r="B292" s="413">
        <f>'2026'!Wh/'2026'!Env_an*'2027'!Env_an</f>
        <v>31.045274076080371</v>
      </c>
      <c r="C292" s="868"/>
      <c r="D292" s="395">
        <f t="shared" si="102"/>
        <v>33.563978980402879</v>
      </c>
      <c r="E292" s="387">
        <f t="shared" si="100"/>
        <v>37.900063476751704</v>
      </c>
      <c r="F292" s="387">
        <f t="shared" si="103"/>
        <v>38.133553863021802</v>
      </c>
      <c r="G292" s="110">
        <f t="shared" si="101"/>
        <v>1.0169866760164807</v>
      </c>
      <c r="H292" s="416" t="b">
        <f>Wh_hp&gt;='2026'!Maxi_hp</f>
        <v>1</v>
      </c>
      <c r="I292" s="392">
        <f>IF(H292,Wh_hp,'2026'!Maxi_hp)</f>
        <v>38.133553863021802</v>
      </c>
      <c r="J292" s="85">
        <f>IF(H292,An,'2026'!An_max)</f>
        <v>2027</v>
      </c>
      <c r="K292" s="199">
        <f t="shared" si="104"/>
        <v>46665</v>
      </c>
      <c r="L292" s="147">
        <f>IF(t&lt;Tvie,1-EXP((T0-t)*PertePVj)+'2026'!Pspv,1-EXP((T0-t)*PertePVj)+Pspv)</f>
        <v>7.5041904471252141E-2</v>
      </c>
      <c r="M292" s="872"/>
      <c r="N292" s="872"/>
      <c r="O292" s="48">
        <f>IF(t&lt;Tnet,'2026'!Resal+('2026'!Salim-'2026'!Resal)*(1-EXP(('2026'!Tnet-t)/('2026'!Tau_j))),Resal+(Salim-Resal)*(1-EXP((Tnet-t)/(Tau_j))))*Salcycl</f>
        <v>0.11440837029227208</v>
      </c>
      <c r="P292" s="171">
        <f>(INDEX(Models!$BJ292:$BT292,,T292)*(1-R292)+INDEX(Models!$BJ292:$BT292,,T292+1)*R292-ERP_i)*Q292*Ramure*Pc/MaxiM</f>
        <v>6.1229642301059428E-3</v>
      </c>
      <c r="Q292" s="307">
        <f t="shared" si="105"/>
        <v>0.9</v>
      </c>
      <c r="R292" s="179">
        <f t="shared" si="106"/>
        <v>0.25934708449018196</v>
      </c>
      <c r="S292" s="839">
        <f t="shared" si="107"/>
        <v>-1</v>
      </c>
      <c r="T292" s="178">
        <f t="shared" si="108"/>
        <v>5</v>
      </c>
      <c r="U292" s="253">
        <f t="shared" si="109"/>
        <v>-0.74065291550981804</v>
      </c>
      <c r="V292" s="385">
        <f t="shared" si="110"/>
        <v>30.526726463796138</v>
      </c>
      <c r="W292" s="404">
        <f t="shared" si="111"/>
        <v>31.045274076080371</v>
      </c>
      <c r="X292" s="157">
        <f t="shared" si="112"/>
        <v>46665</v>
      </c>
      <c r="Y292" s="387">
        <f t="shared" si="113"/>
        <v>26.738695571047597</v>
      </c>
      <c r="Z292" s="387">
        <f t="shared" si="114"/>
        <v>28.908007508991584</v>
      </c>
      <c r="AA292" s="388">
        <f t="shared" si="115"/>
        <v>35.223396240867217</v>
      </c>
      <c r="AB292" s="199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0.17929528114464818</v>
      </c>
      <c r="AD292" s="233">
        <f>(INDEX(Models!$BJ292:$BT292,,AH292)*(1-AF292)+INDEX(Models!$BJ292:$BT292,,AH292+1)*AF292-ERP_i)*AE292*Ramure*Pc/MaxiM</f>
        <v>7.631488092109287E-2</v>
      </c>
      <c r="AE292" s="307">
        <f t="shared" si="117"/>
        <v>0.9</v>
      </c>
      <c r="AF292" s="179">
        <f t="shared" si="118"/>
        <v>0.89500273679716091</v>
      </c>
      <c r="AG292" s="839">
        <f t="shared" si="124"/>
        <v>3</v>
      </c>
      <c r="AH292" s="178">
        <f t="shared" si="119"/>
        <v>9</v>
      </c>
      <c r="AI292" s="227">
        <f t="shared" si="120"/>
        <v>3.8950027367971609</v>
      </c>
      <c r="AJ292" s="267" t="b">
        <f t="shared" si="121"/>
        <v>0</v>
      </c>
      <c r="AK292" s="267" t="b">
        <f t="shared" si="122"/>
        <v>0</v>
      </c>
      <c r="AL292" s="267"/>
      <c r="AM292" s="267"/>
      <c r="AN292" s="75"/>
    </row>
    <row r="293" spans="1:40" s="6" customFormat="1" ht="11.25" x14ac:dyDescent="0.2">
      <c r="A293" s="56">
        <f t="shared" si="123"/>
        <v>46666</v>
      </c>
      <c r="B293" s="413">
        <f>'2026'!Wh/'2026'!Env_an*'2027'!Env_an</f>
        <v>13.343981005742423</v>
      </c>
      <c r="C293" s="868"/>
      <c r="D293" s="395">
        <f t="shared" si="102"/>
        <v>14.426914701766327</v>
      </c>
      <c r="E293" s="387">
        <f t="shared" si="100"/>
        <v>16.291818340413634</v>
      </c>
      <c r="F293" s="387">
        <f t="shared" si="103"/>
        <v>16.312409406052566</v>
      </c>
      <c r="G293" s="110">
        <f t="shared" si="101"/>
        <v>0.44043543199027252</v>
      </c>
      <c r="H293" s="416" t="b">
        <f>Wh_hp&gt;='2026'!Maxi_hp</f>
        <v>0</v>
      </c>
      <c r="I293" s="392">
        <f>IF(H293,Wh_hp,'2026'!Maxi_hp)</f>
        <v>33.977858149363783</v>
      </c>
      <c r="J293" s="85">
        <f>IF(H293,An,'2026'!An_max)</f>
        <v>2018</v>
      </c>
      <c r="K293" s="199">
        <f t="shared" si="104"/>
        <v>46666</v>
      </c>
      <c r="L293" s="147">
        <f>IF(t&lt;Tvie,1-EXP((T0-t)*PertePVj)+'2026'!Pspv,1-EXP((T0-t)*PertePVj)+Pspv)</f>
        <v>7.5063429597411968E-2</v>
      </c>
      <c r="M293" s="872"/>
      <c r="N293" s="872"/>
      <c r="O293" s="48">
        <f>IF(t&lt;Tnet,'2026'!Resal+('2026'!Salim-'2026'!Resal)*(1-EXP(('2026'!Tnet-t)/('2026'!Tau_j))),Resal+(Salim-Resal)*(1-EXP((Tnet-t)/(Tau_j))))*Salcycl</f>
        <v>0.11446872286939322</v>
      </c>
      <c r="P293" s="171">
        <f>(INDEX(Models!$BJ293:$BT293,,T293)*(1-R293)+INDEX(Models!$BJ293:$BT293,,T293+1)*R293-ERP_i)*Q293*Ramure*Pc/MaxiM</f>
        <v>6.1954534176458216E-3</v>
      </c>
      <c r="Q293" s="307">
        <f t="shared" si="105"/>
        <v>0.9</v>
      </c>
      <c r="R293" s="179">
        <f t="shared" si="106"/>
        <v>0.25957388738963671</v>
      </c>
      <c r="S293" s="839">
        <f t="shared" si="107"/>
        <v>-1</v>
      </c>
      <c r="T293" s="178">
        <f t="shared" si="108"/>
        <v>5</v>
      </c>
      <c r="U293" s="253">
        <f t="shared" si="109"/>
        <v>-0.74042611261036329</v>
      </c>
      <c r="V293" s="385">
        <f t="shared" si="110"/>
        <v>30.147596818705026</v>
      </c>
      <c r="W293" s="404">
        <f t="shared" si="111"/>
        <v>13.343981005742423</v>
      </c>
      <c r="X293" s="157">
        <f t="shared" si="112"/>
        <v>46666</v>
      </c>
      <c r="Y293" s="387">
        <f t="shared" si="113"/>
        <v>12.185222659020141</v>
      </c>
      <c r="Z293" s="387">
        <f t="shared" si="114"/>
        <v>13.174117068067057</v>
      </c>
      <c r="AA293" s="388">
        <f t="shared" si="115"/>
        <v>16.051230903649142</v>
      </c>
      <c r="AB293" s="199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0.1792456823313153</v>
      </c>
      <c r="AD293" s="233">
        <f>(INDEX(Models!$BJ293:$BT293,,AH293)*(1-AF293)+INDEX(Models!$BJ293:$BT293,,AH293+1)*AF293-ERP_i)*AE293*Ramure*Pc/MaxiM</f>
        <v>7.858356015686814E-2</v>
      </c>
      <c r="AE293" s="307">
        <f t="shared" si="117"/>
        <v>0.9</v>
      </c>
      <c r="AF293" s="179">
        <f t="shared" si="118"/>
        <v>0.89522953969661589</v>
      </c>
      <c r="AG293" s="839">
        <f t="shared" si="124"/>
        <v>3</v>
      </c>
      <c r="AH293" s="178">
        <f t="shared" si="119"/>
        <v>9</v>
      </c>
      <c r="AI293" s="227">
        <f t="shared" si="120"/>
        <v>3.8952295396966159</v>
      </c>
      <c r="AJ293" s="267" t="b">
        <f t="shared" si="121"/>
        <v>0</v>
      </c>
      <c r="AK293" s="267" t="b">
        <f t="shared" si="122"/>
        <v>0</v>
      </c>
      <c r="AL293" s="267"/>
      <c r="AM293" s="267"/>
      <c r="AN293" s="75"/>
    </row>
    <row r="294" spans="1:40" s="6" customFormat="1" ht="11.25" x14ac:dyDescent="0.2">
      <c r="A294" s="56">
        <f t="shared" si="123"/>
        <v>46667</v>
      </c>
      <c r="B294" s="413">
        <f>'2026'!Wh/'2026'!Env_an*'2027'!Env_an</f>
        <v>22.920830390284145</v>
      </c>
      <c r="C294" s="868"/>
      <c r="D294" s="395">
        <f t="shared" si="102"/>
        <v>24.781552094895613</v>
      </c>
      <c r="E294" s="387">
        <f t="shared" si="100"/>
        <v>27.986781791717139</v>
      </c>
      <c r="F294" s="387">
        <f t="shared" si="103"/>
        <v>28.105218061032065</v>
      </c>
      <c r="G294" s="110">
        <f t="shared" si="101"/>
        <v>0.76835779325897846</v>
      </c>
      <c r="H294" s="416" t="b">
        <f>Wh_hp&gt;='2026'!Maxi_hp</f>
        <v>0</v>
      </c>
      <c r="I294" s="392">
        <f>IF(H294,Wh_hp,'2026'!Maxi_hp)</f>
        <v>36.648914494338172</v>
      </c>
      <c r="J294" s="85">
        <f>IF(H294,An,'2026'!An_max)</f>
        <v>2021</v>
      </c>
      <c r="K294" s="199">
        <f t="shared" si="104"/>
        <v>46667</v>
      </c>
      <c r="L294" s="147">
        <f>IF(t&lt;Tvie,1-EXP((T0-t)*PertePVj)+'2026'!Pspv,1-EXP((T0-t)*PertePVj)+Pspv)</f>
        <v>7.5084954222650602E-2</v>
      </c>
      <c r="M294" s="872"/>
      <c r="N294" s="872"/>
      <c r="O294" s="48">
        <f>IF(t&lt;Tnet,'2026'!Resal+('2026'!Salim-'2026'!Resal)*(1-EXP(('2026'!Tnet-t)/('2026'!Tau_j))),Resal+(Salim-Resal)*(1-EXP((Tnet-t)/(Tau_j))))*Salcycl</f>
        <v>0.11452655473842779</v>
      </c>
      <c r="P294" s="171">
        <f>(INDEX(Models!$BJ294:$BT294,,T294)*(1-R294)+INDEX(Models!$BJ294:$BT294,,T294+1)*R294-ERP_i)*Q294*Ramure*Pc/MaxiM</f>
        <v>6.2768474155716035E-3</v>
      </c>
      <c r="Q294" s="307">
        <f t="shared" si="105"/>
        <v>0.9</v>
      </c>
      <c r="R294" s="179">
        <f t="shared" si="106"/>
        <v>0.25979169769076871</v>
      </c>
      <c r="S294" s="839">
        <f t="shared" si="107"/>
        <v>-1</v>
      </c>
      <c r="T294" s="178">
        <f t="shared" si="108"/>
        <v>5</v>
      </c>
      <c r="U294" s="253">
        <f t="shared" si="109"/>
        <v>-0.74020830230923129</v>
      </c>
      <c r="V294" s="385">
        <f t="shared" si="110"/>
        <v>29.769137561308082</v>
      </c>
      <c r="W294" s="404">
        <f t="shared" si="111"/>
        <v>22.920830390284145</v>
      </c>
      <c r="X294" s="157">
        <f t="shared" si="112"/>
        <v>46667</v>
      </c>
      <c r="Y294" s="387">
        <f t="shared" si="113"/>
        <v>20.178290602273389</v>
      </c>
      <c r="Z294" s="387">
        <f t="shared" si="114"/>
        <v>21.816371886689815</v>
      </c>
      <c r="AA294" s="388">
        <f t="shared" si="115"/>
        <v>26.579156600136297</v>
      </c>
      <c r="AB294" s="199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0.17919246968965372</v>
      </c>
      <c r="AD294" s="233">
        <f>(INDEX(Models!$BJ294:$BT294,,AH294)*(1-AF294)+INDEX(Models!$BJ294:$BT294,,AH294+1)*AF294-ERP_i)*AE294*Ramure*Pc/MaxiM</f>
        <v>8.0877715857095703E-2</v>
      </c>
      <c r="AE294" s="307">
        <f t="shared" si="117"/>
        <v>0.9</v>
      </c>
      <c r="AF294" s="179">
        <f t="shared" si="118"/>
        <v>0.89544734999774755</v>
      </c>
      <c r="AG294" s="839">
        <f t="shared" si="124"/>
        <v>3</v>
      </c>
      <c r="AH294" s="178">
        <f t="shared" si="119"/>
        <v>9</v>
      </c>
      <c r="AI294" s="227">
        <f t="shared" si="120"/>
        <v>3.8954473499977476</v>
      </c>
      <c r="AJ294" s="267" t="b">
        <f t="shared" si="121"/>
        <v>0</v>
      </c>
      <c r="AK294" s="267" t="b">
        <f t="shared" si="122"/>
        <v>0</v>
      </c>
      <c r="AL294" s="267"/>
      <c r="AM294" s="267"/>
      <c r="AN294" s="75"/>
    </row>
    <row r="295" spans="1:40" s="6" customFormat="1" ht="11.25" x14ac:dyDescent="0.2">
      <c r="A295" s="56">
        <f t="shared" si="123"/>
        <v>46668</v>
      </c>
      <c r="B295" s="413">
        <f>'2026'!Wh/'2026'!Env_an*'2027'!Env_an</f>
        <v>14.042285090907662</v>
      </c>
      <c r="C295" s="868"/>
      <c r="D295" s="395">
        <f t="shared" si="102"/>
        <v>15.182596441815834</v>
      </c>
      <c r="E295" s="387">
        <f t="shared" si="100"/>
        <v>17.147374341145991</v>
      </c>
      <c r="F295" s="387">
        <f t="shared" si="103"/>
        <v>17.175144523643826</v>
      </c>
      <c r="G295" s="110">
        <f t="shared" si="101"/>
        <v>0.47548127777592897</v>
      </c>
      <c r="H295" s="416" t="b">
        <f>Wh_hp&gt;='2026'!Maxi_hp</f>
        <v>0</v>
      </c>
      <c r="I295" s="392">
        <f>IF(H295,Wh_hp,'2026'!Maxi_hp)</f>
        <v>35.752420228658309</v>
      </c>
      <c r="J295" s="85">
        <f>IF(H295,An,'2026'!An_max)</f>
        <v>2021</v>
      </c>
      <c r="K295" s="199">
        <f t="shared" si="104"/>
        <v>46668</v>
      </c>
      <c r="L295" s="147">
        <f>IF(t&lt;Tvie,1-EXP((T0-t)*PertePVj)+'2026'!Pspv,1-EXP((T0-t)*PertePVj)+Pspv)</f>
        <v>7.5106478346979699E-2</v>
      </c>
      <c r="M295" s="872"/>
      <c r="N295" s="872"/>
      <c r="O295" s="48">
        <f>IF(t&lt;Tnet,'2026'!Resal+('2026'!Salim-'2026'!Resal)*(1-EXP(('2026'!Tnet-t)/('2026'!Tau_j))),Resal+(Salim-Resal)*(1-EXP((Tnet-t)/(Tau_j))))*Salcycl</f>
        <v>0.11458185143923592</v>
      </c>
      <c r="P295" s="171">
        <f>(INDEX(Models!$BJ295:$BT295,,T295)*(1-R295)+INDEX(Models!$BJ295:$BT295,,T295+1)*R295-ERP_i)*Q295*Ramure*Pc/MaxiM</f>
        <v>6.3673070538091169E-3</v>
      </c>
      <c r="Q295" s="307">
        <f t="shared" si="105"/>
        <v>0.9</v>
      </c>
      <c r="R295" s="179">
        <f t="shared" si="106"/>
        <v>0.26000086660297439</v>
      </c>
      <c r="S295" s="839">
        <f t="shared" si="107"/>
        <v>-1</v>
      </c>
      <c r="T295" s="178">
        <f t="shared" si="108"/>
        <v>5</v>
      </c>
      <c r="U295" s="253">
        <f t="shared" si="109"/>
        <v>-0.73999913339702561</v>
      </c>
      <c r="V295" s="385">
        <f t="shared" si="110"/>
        <v>29.392261882564426</v>
      </c>
      <c r="W295" s="404">
        <f t="shared" si="111"/>
        <v>14.042285090907662</v>
      </c>
      <c r="X295" s="157">
        <f t="shared" si="112"/>
        <v>46668</v>
      </c>
      <c r="Y295" s="387">
        <f t="shared" si="113"/>
        <v>12.764100974205308</v>
      </c>
      <c r="Z295" s="387">
        <f t="shared" si="114"/>
        <v>13.800616693035765</v>
      </c>
      <c r="AA295" s="388">
        <f t="shared" si="115"/>
        <v>16.812298319081712</v>
      </c>
      <c r="AB295" s="199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0.1791356285075987</v>
      </c>
      <c r="AD295" s="233">
        <f>(INDEX(Models!$BJ295:$BT295,,AH295)*(1-AF295)+INDEX(Models!$BJ295:$BT295,,AH295+1)*AF295-ERP_i)*AE295*Ramure*Pc/MaxiM</f>
        <v>8.3195463261225969E-2</v>
      </c>
      <c r="AE295" s="307">
        <f t="shared" si="117"/>
        <v>0.9</v>
      </c>
      <c r="AF295" s="179">
        <f t="shared" si="118"/>
        <v>0.89565651890995346</v>
      </c>
      <c r="AG295" s="839">
        <f t="shared" si="124"/>
        <v>3</v>
      </c>
      <c r="AH295" s="178">
        <f t="shared" si="119"/>
        <v>9</v>
      </c>
      <c r="AI295" s="227">
        <f t="shared" si="120"/>
        <v>3.8956565189099535</v>
      </c>
      <c r="AJ295" s="267" t="b">
        <f t="shared" si="121"/>
        <v>0</v>
      </c>
      <c r="AK295" s="267" t="b">
        <f t="shared" si="122"/>
        <v>0</v>
      </c>
      <c r="AL295" s="267"/>
      <c r="AM295" s="267"/>
      <c r="AN295" s="75"/>
    </row>
    <row r="296" spans="1:40" s="6" customFormat="1" ht="11.25" x14ac:dyDescent="0.2">
      <c r="A296" s="56">
        <f t="shared" si="123"/>
        <v>46669</v>
      </c>
      <c r="B296" s="413">
        <f>'2026'!Wh/'2026'!Env_an*'2027'!Env_an</f>
        <v>28.375245206368149</v>
      </c>
      <c r="C296" s="868"/>
      <c r="D296" s="395">
        <f t="shared" si="102"/>
        <v>30.680186303424396</v>
      </c>
      <c r="E296" s="387">
        <f t="shared" si="100"/>
        <v>34.652569968179961</v>
      </c>
      <c r="F296" s="387">
        <f t="shared" si="103"/>
        <v>34.871528552001223</v>
      </c>
      <c r="G296" s="110">
        <f t="shared" si="101"/>
        <v>0.97766877275167074</v>
      </c>
      <c r="H296" s="416" t="b">
        <f>Wh_hp&gt;='2026'!Maxi_hp</f>
        <v>0</v>
      </c>
      <c r="I296" s="392">
        <f>IF(H296,Wh_hp,'2026'!Maxi_hp)</f>
        <v>34.877052862366412</v>
      </c>
      <c r="J296" s="85">
        <f>IF(H296,An,'2026'!An_max)</f>
        <v>2025</v>
      </c>
      <c r="K296" s="199">
        <f t="shared" si="104"/>
        <v>46669</v>
      </c>
      <c r="L296" s="147">
        <f>IF(t&lt;Tvie,1-EXP((T0-t)*PertePVj)+'2026'!Pspv,1-EXP((T0-t)*PertePVj)+Pspv)</f>
        <v>7.5128001970411029E-2</v>
      </c>
      <c r="M296" s="872"/>
      <c r="N296" s="872"/>
      <c r="O296" s="48">
        <f>IF(t&lt;Tnet,'2026'!Resal+('2026'!Salim-'2026'!Resal)*(1-EXP(('2026'!Tnet-t)/('2026'!Tau_j))),Resal+(Salim-Resal)*(1-EXP((Tnet-t)/(Tau_j))))*Salcycl</f>
        <v>0.114634604833155</v>
      </c>
      <c r="P296" s="171">
        <f>(INDEX(Models!$BJ296:$BT296,,T296)*(1-R296)+INDEX(Models!$BJ296:$BT296,,T296+1)*R296-ERP_i)*Q296*Ramure*Pc/MaxiM</f>
        <v>6.4839895447683614E-3</v>
      </c>
      <c r="Q296" s="307">
        <f t="shared" si="105"/>
        <v>0.9</v>
      </c>
      <c r="R296" s="179">
        <f t="shared" si="106"/>
        <v>0.26020173203790198</v>
      </c>
      <c r="S296" s="839">
        <f t="shared" si="107"/>
        <v>-1</v>
      </c>
      <c r="T296" s="178">
        <f t="shared" si="108"/>
        <v>5</v>
      </c>
      <c r="U296" s="253">
        <f t="shared" si="109"/>
        <v>-0.73979826796209802</v>
      </c>
      <c r="V296" s="385">
        <f t="shared" si="110"/>
        <v>29.017385872064335</v>
      </c>
      <c r="W296" s="404">
        <f t="shared" si="111"/>
        <v>28.375245206368149</v>
      </c>
      <c r="X296" s="157">
        <f t="shared" si="112"/>
        <v>46669</v>
      </c>
      <c r="Y296" s="387">
        <f t="shared" si="113"/>
        <v>24.28250491810088</v>
      </c>
      <c r="Z296" s="387">
        <f t="shared" si="114"/>
        <v>26.254989847064245</v>
      </c>
      <c r="AA296" s="388">
        <f t="shared" si="115"/>
        <v>31.982208814783345</v>
      </c>
      <c r="AB296" s="199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0.17907515396721976</v>
      </c>
      <c r="AD296" s="233">
        <f>(INDEX(Models!$BJ296:$BT296,,AH296)*(1-AF296)+INDEX(Models!$BJ296:$BT296,,AH296+1)*AF296-ERP_i)*AE296*Ramure*Pc/MaxiM</f>
        <v>8.5561016337714388E-2</v>
      </c>
      <c r="AE296" s="307">
        <f t="shared" si="117"/>
        <v>0.9</v>
      </c>
      <c r="AF296" s="179">
        <f t="shared" si="118"/>
        <v>0.89585738434488071</v>
      </c>
      <c r="AG296" s="839">
        <f t="shared" si="124"/>
        <v>3</v>
      </c>
      <c r="AH296" s="178">
        <f t="shared" si="119"/>
        <v>9</v>
      </c>
      <c r="AI296" s="227">
        <f t="shared" si="120"/>
        <v>3.8958573843448807</v>
      </c>
      <c r="AJ296" s="267" t="b">
        <f t="shared" si="121"/>
        <v>0</v>
      </c>
      <c r="AK296" s="267" t="b">
        <f t="shared" si="122"/>
        <v>0</v>
      </c>
      <c r="AL296" s="267"/>
      <c r="AM296" s="267"/>
      <c r="AN296" s="75"/>
    </row>
    <row r="297" spans="1:40" s="6" customFormat="1" ht="11.25" x14ac:dyDescent="0.2">
      <c r="A297" s="56">
        <f t="shared" si="123"/>
        <v>46670</v>
      </c>
      <c r="B297" s="413">
        <f>'2026'!Wh/'2026'!Env_an*'2027'!Env_an</f>
        <v>24.245757613312197</v>
      </c>
      <c r="C297" s="868"/>
      <c r="D297" s="395">
        <f t="shared" si="102"/>
        <v>26.215867614436945</v>
      </c>
      <c r="E297" s="387">
        <f t="shared" ref="E297:E360" si="125">Wh_pvt/(1-Psa)</f>
        <v>29.611903211084694</v>
      </c>
      <c r="F297" s="387">
        <f t="shared" si="103"/>
        <v>29.765880122360848</v>
      </c>
      <c r="G297" s="110">
        <f t="shared" ref="G297:G360" si="126">+Wh_hp/MaxiM</f>
        <v>0.84517179183679259</v>
      </c>
      <c r="H297" s="416" t="b">
        <f>Wh_hp&gt;='2026'!Maxi_hp</f>
        <v>0</v>
      </c>
      <c r="I297" s="392">
        <f>IF(H297,Wh_hp,'2026'!Maxi_hp)</f>
        <v>29.799578792534557</v>
      </c>
      <c r="J297" s="85">
        <f>IF(H297,An,'2026'!An_max)</f>
        <v>2025</v>
      </c>
      <c r="K297" s="199">
        <f t="shared" si="104"/>
        <v>46670</v>
      </c>
      <c r="L297" s="147">
        <f>IF(t&lt;Tvie,1-EXP((T0-t)*PertePVj)+'2026'!Pspv,1-EXP((T0-t)*PertePVj)+Pspv)</f>
        <v>7.5149525092956249E-2</v>
      </c>
      <c r="M297" s="872"/>
      <c r="N297" s="872"/>
      <c r="O297" s="48">
        <f>IF(t&lt;Tnet,'2026'!Resal+('2026'!Salim-'2026'!Resal)*(1-EXP(('2026'!Tnet-t)/('2026'!Tau_j))),Resal+(Salim-Resal)*(1-EXP((Tnet-t)/(Tau_j))))*Salcycl</f>
        <v>0.11468481348326526</v>
      </c>
      <c r="P297" s="171">
        <f>(INDEX(Models!$BJ297:$BT297,,T297)*(1-R297)+INDEX(Models!$BJ297:$BT297,,T297+1)*R297-ERP_i)*Q297*Ramure*Pc/MaxiM</f>
        <v>6.6270024008963733E-3</v>
      </c>
      <c r="Q297" s="307">
        <f t="shared" si="105"/>
        <v>0.9</v>
      </c>
      <c r="R297" s="179">
        <f t="shared" si="106"/>
        <v>0.26039461907992945</v>
      </c>
      <c r="S297" s="839">
        <f t="shared" si="107"/>
        <v>-1</v>
      </c>
      <c r="T297" s="178">
        <f t="shared" si="108"/>
        <v>5</v>
      </c>
      <c r="U297" s="253">
        <f t="shared" si="109"/>
        <v>-0.73960538092007055</v>
      </c>
      <c r="V297" s="385">
        <f t="shared" si="110"/>
        <v>28.645441694912076</v>
      </c>
      <c r="W297" s="404">
        <f t="shared" si="111"/>
        <v>24.245757613312197</v>
      </c>
      <c r="X297" s="157">
        <f t="shared" si="112"/>
        <v>46670</v>
      </c>
      <c r="Y297" s="387">
        <f t="shared" si="113"/>
        <v>21.048652871666405</v>
      </c>
      <c r="Z297" s="387">
        <f t="shared" si="114"/>
        <v>22.758979362347191</v>
      </c>
      <c r="AA297" s="388">
        <f t="shared" si="115"/>
        <v>27.721419891754731</v>
      </c>
      <c r="AB297" s="199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0.17901105169881765</v>
      </c>
      <c r="AD297" s="233">
        <f>(INDEX(Models!$BJ297:$BT297,,AH297)*(1-AF297)+INDEX(Models!$BJ297:$BT297,,AH297+1)*AF297-ERP_i)*AE297*Ramure*Pc/MaxiM</f>
        <v>8.7991392634604731E-2</v>
      </c>
      <c r="AE297" s="307">
        <f t="shared" si="117"/>
        <v>0.9</v>
      </c>
      <c r="AF297" s="179">
        <f t="shared" si="118"/>
        <v>0.89605027138690829</v>
      </c>
      <c r="AG297" s="839">
        <f t="shared" si="124"/>
        <v>3</v>
      </c>
      <c r="AH297" s="178">
        <f t="shared" si="119"/>
        <v>9</v>
      </c>
      <c r="AI297" s="227">
        <f t="shared" si="120"/>
        <v>3.8960502713869083</v>
      </c>
      <c r="AJ297" s="267" t="b">
        <f t="shared" si="121"/>
        <v>0</v>
      </c>
      <c r="AK297" s="267" t="b">
        <f t="shared" si="122"/>
        <v>0</v>
      </c>
      <c r="AL297" s="267"/>
      <c r="AM297" s="267"/>
      <c r="AN297" s="75"/>
    </row>
    <row r="298" spans="1:40" s="6" customFormat="1" ht="11.25" x14ac:dyDescent="0.2">
      <c r="A298" s="56">
        <f t="shared" si="123"/>
        <v>46671</v>
      </c>
      <c r="B298" s="413">
        <f>'2026'!Wh/'2026'!Env_an*'2027'!Env_an</f>
        <v>20.96802557503376</v>
      </c>
      <c r="C298" s="868"/>
      <c r="D298" s="395">
        <f t="shared" si="102"/>
        <v>22.672328243205438</v>
      </c>
      <c r="E298" s="387">
        <f t="shared" si="125"/>
        <v>25.610708410775189</v>
      </c>
      <c r="F298" s="387">
        <f t="shared" si="103"/>
        <v>25.72097887760868</v>
      </c>
      <c r="G298" s="110">
        <f t="shared" si="126"/>
        <v>0.73964416805940714</v>
      </c>
      <c r="H298" s="416" t="b">
        <f>Wh_hp&gt;='2026'!Maxi_hp</f>
        <v>0</v>
      </c>
      <c r="I298" s="392">
        <f>IF(H298,Wh_hp,'2026'!Maxi_hp)</f>
        <v>35.147507739823403</v>
      </c>
      <c r="J298" s="85">
        <f>IF(H298,An,'2026'!An_max)</f>
        <v>2019</v>
      </c>
      <c r="K298" s="199">
        <f t="shared" si="104"/>
        <v>46671</v>
      </c>
      <c r="L298" s="147">
        <f>IF(t&lt;Tvie,1-EXP((T0-t)*PertePVj)+'2026'!Pspv,1-EXP((T0-t)*PertePVj)+Pspv)</f>
        <v>7.5171047714626904E-2</v>
      </c>
      <c r="M298" s="872"/>
      <c r="N298" s="872"/>
      <c r="O298" s="48">
        <f>IF(t&lt;Tnet,'2026'!Resal+('2026'!Salim-'2026'!Resal)*(1-EXP(('2026'!Tnet-t)/('2026'!Tau_j))),Resal+(Salim-Resal)*(1-EXP((Tnet-t)/(Tau_j))))*Salcycl</f>
        <v>0.11473248300829844</v>
      </c>
      <c r="P298" s="171">
        <f>(INDEX(Models!$BJ298:$BT298,,T298)*(1-R298)+INDEX(Models!$BJ298:$BT298,,T298+1)*R298-ERP_i)*Q298*Ramure*Pc/MaxiM</f>
        <v>6.7971354364057025E-3</v>
      </c>
      <c r="Q298" s="307">
        <f t="shared" si="105"/>
        <v>0.9</v>
      </c>
      <c r="R298" s="179">
        <f t="shared" si="106"/>
        <v>0.26057984044264237</v>
      </c>
      <c r="S298" s="839">
        <f t="shared" si="107"/>
        <v>-1</v>
      </c>
      <c r="T298" s="178">
        <f t="shared" si="108"/>
        <v>5</v>
      </c>
      <c r="U298" s="253">
        <f t="shared" si="109"/>
        <v>-0.73942015955735763</v>
      </c>
      <c r="V298" s="385">
        <f t="shared" si="110"/>
        <v>28.277340737999204</v>
      </c>
      <c r="W298" s="404">
        <f t="shared" si="111"/>
        <v>20.96802557503376</v>
      </c>
      <c r="X298" s="157">
        <f t="shared" si="112"/>
        <v>46671</v>
      </c>
      <c r="Y298" s="387">
        <f t="shared" si="113"/>
        <v>18.416221861271858</v>
      </c>
      <c r="Z298" s="387">
        <f t="shared" si="114"/>
        <v>19.913111301028117</v>
      </c>
      <c r="AA298" s="388">
        <f t="shared" si="115"/>
        <v>24.253029333677603</v>
      </c>
      <c r="AB298" s="199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0.17894333829148115</v>
      </c>
      <c r="AD298" s="233">
        <f>(INDEX(Models!$BJ298:$BT298,,AH298)*(1-AF298)+INDEX(Models!$BJ298:$BT298,,AH298+1)*AF298-ERP_i)*AE298*Ramure*Pc/MaxiM</f>
        <v>9.0485260019586636E-2</v>
      </c>
      <c r="AE298" s="307">
        <f t="shared" si="117"/>
        <v>0.9</v>
      </c>
      <c r="AF298" s="179">
        <f t="shared" si="118"/>
        <v>0.89623549274962144</v>
      </c>
      <c r="AG298" s="839">
        <f t="shared" si="124"/>
        <v>3</v>
      </c>
      <c r="AH298" s="178">
        <f t="shared" si="119"/>
        <v>9</v>
      </c>
      <c r="AI298" s="227">
        <f t="shared" si="120"/>
        <v>3.8962354927496214</v>
      </c>
      <c r="AJ298" s="267" t="b">
        <f t="shared" si="121"/>
        <v>0</v>
      </c>
      <c r="AK298" s="267" t="b">
        <f t="shared" si="122"/>
        <v>0</v>
      </c>
      <c r="AL298" s="267"/>
      <c r="AM298" s="267"/>
      <c r="AN298" s="75"/>
    </row>
    <row r="299" spans="1:40" s="6" customFormat="1" ht="11.25" x14ac:dyDescent="0.2">
      <c r="A299" s="56">
        <f t="shared" si="123"/>
        <v>46672</v>
      </c>
      <c r="B299" s="413">
        <f>'2026'!Wh/'2026'!Env_an*'2027'!Env_an</f>
        <v>22.628696381452404</v>
      </c>
      <c r="C299" s="868"/>
      <c r="D299" s="395">
        <f t="shared" si="102"/>
        <v>24.468549498381226</v>
      </c>
      <c r="E299" s="387">
        <f t="shared" si="125"/>
        <v>27.641133152846599</v>
      </c>
      <c r="F299" s="387">
        <f t="shared" si="103"/>
        <v>27.782910907911255</v>
      </c>
      <c r="G299" s="110">
        <f t="shared" si="126"/>
        <v>0.80911605344546766</v>
      </c>
      <c r="H299" s="416" t="b">
        <f>Wh_hp&gt;='2026'!Maxi_hp</f>
        <v>0</v>
      </c>
      <c r="I299" s="392">
        <f>IF(H299,Wh_hp,'2026'!Maxi_hp)</f>
        <v>33.883133366229487</v>
      </c>
      <c r="J299" s="85">
        <f>IF(H299,An,'2026'!An_max)</f>
        <v>2021</v>
      </c>
      <c r="K299" s="199">
        <f t="shared" si="104"/>
        <v>46672</v>
      </c>
      <c r="L299" s="147">
        <f>IF(t&lt;Tvie,1-EXP((T0-t)*PertePVj)+'2026'!Pspv,1-EXP((T0-t)*PertePVj)+Pspv)</f>
        <v>7.5192569835434764E-2</v>
      </c>
      <c r="M299" s="872"/>
      <c r="N299" s="872"/>
      <c r="O299" s="48">
        <f>IF(t&lt;Tnet,'2026'!Resal+('2026'!Salim-'2026'!Resal)*(1-EXP(('2026'!Tnet-t)/('2026'!Tau_j))),Resal+(Salim-Resal)*(1-EXP((Tnet-t)/(Tau_j))))*Salcycl</f>
        <v>0.11477762640634169</v>
      </c>
      <c r="P299" s="171">
        <f>(INDEX(Models!$BJ299:$BT299,,T299)*(1-R299)+INDEX(Models!$BJ299:$BT299,,T299+1)*R299-ERP_i)*Q299*Ramure*Pc/MaxiM</f>
        <v>6.9951726246782423E-3</v>
      </c>
      <c r="Q299" s="307">
        <f t="shared" si="105"/>
        <v>0.9</v>
      </c>
      <c r="R299" s="179">
        <f t="shared" si="106"/>
        <v>0.26075769691150441</v>
      </c>
      <c r="S299" s="839">
        <f t="shared" si="107"/>
        <v>-1</v>
      </c>
      <c r="T299" s="178">
        <f t="shared" si="108"/>
        <v>5</v>
      </c>
      <c r="U299" s="253">
        <f t="shared" si="109"/>
        <v>-0.73924230308849559</v>
      </c>
      <c r="V299" s="385">
        <f t="shared" si="110"/>
        <v>27.913993972562231</v>
      </c>
      <c r="W299" s="404">
        <f t="shared" si="111"/>
        <v>22.628696381452404</v>
      </c>
      <c r="X299" s="157">
        <f t="shared" si="112"/>
        <v>46672</v>
      </c>
      <c r="Y299" s="387">
        <f t="shared" si="113"/>
        <v>19.665924597096517</v>
      </c>
      <c r="Z299" s="387">
        <f t="shared" si="114"/>
        <v>21.264886024539244</v>
      </c>
      <c r="AA299" s="388">
        <f t="shared" si="115"/>
        <v>25.897164760985923</v>
      </c>
      <c r="AB299" s="199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0.17887204175436253</v>
      </c>
      <c r="AD299" s="233">
        <f>(INDEX(Models!$BJ299:$BT299,,AH299)*(1-AF299)+INDEX(Models!$BJ299:$BT299,,AH299+1)*AF299-ERP_i)*AE299*Ramure*Pc/MaxiM</f>
        <v>9.3040828711450016E-2</v>
      </c>
      <c r="AE299" s="307">
        <f t="shared" si="117"/>
        <v>0.9</v>
      </c>
      <c r="AF299" s="179">
        <f t="shared" si="118"/>
        <v>0.89641334921848337</v>
      </c>
      <c r="AG299" s="839">
        <f t="shared" si="124"/>
        <v>3</v>
      </c>
      <c r="AH299" s="178">
        <f t="shared" si="119"/>
        <v>9</v>
      </c>
      <c r="AI299" s="227">
        <f t="shared" si="120"/>
        <v>3.8964133492184834</v>
      </c>
      <c r="AJ299" s="267" t="b">
        <f t="shared" si="121"/>
        <v>0</v>
      </c>
      <c r="AK299" s="267" t="b">
        <f t="shared" si="122"/>
        <v>0</v>
      </c>
      <c r="AL299" s="267"/>
      <c r="AM299" s="267"/>
      <c r="AN299" s="75"/>
    </row>
    <row r="300" spans="1:40" s="6" customFormat="1" ht="11.25" x14ac:dyDescent="0.2">
      <c r="A300" s="56">
        <f t="shared" si="123"/>
        <v>46673</v>
      </c>
      <c r="B300" s="413">
        <f>'2026'!Wh/'2026'!Env_an*'2027'!Env_an</f>
        <v>18.672279141955649</v>
      </c>
      <c r="C300" s="868"/>
      <c r="D300" s="395">
        <f t="shared" si="102"/>
        <v>20.190920914162003</v>
      </c>
      <c r="E300" s="387">
        <f t="shared" si="125"/>
        <v>22.809967400816447</v>
      </c>
      <c r="F300" s="387">
        <f t="shared" si="103"/>
        <v>22.899176517587598</v>
      </c>
      <c r="G300" s="110">
        <f t="shared" si="126"/>
        <v>0.67534180637135877</v>
      </c>
      <c r="H300" s="416" t="b">
        <f>Wh_hp&gt;='2026'!Maxi_hp</f>
        <v>0</v>
      </c>
      <c r="I300" s="392">
        <f>IF(H300,Wh_hp,'2026'!Maxi_hp)</f>
        <v>32.567800155049106</v>
      </c>
      <c r="J300" s="85">
        <f>IF(H300,An,'2026'!An_max)</f>
        <v>2021</v>
      </c>
      <c r="K300" s="199">
        <f t="shared" si="104"/>
        <v>46673</v>
      </c>
      <c r="L300" s="147">
        <f>IF(t&lt;Tvie,1-EXP((T0-t)*PertePVj)+'2026'!Pspv,1-EXP((T0-t)*PertePVj)+Pspv)</f>
        <v>7.5214091455391374E-2</v>
      </c>
      <c r="M300" s="872"/>
      <c r="N300" s="872"/>
      <c r="O300" s="48">
        <f>IF(t&lt;Tnet,'2026'!Resal+('2026'!Salim-'2026'!Resal)*(1-EXP(('2026'!Tnet-t)/('2026'!Tau_j))),Resal+(Salim-Resal)*(1-EXP((Tnet-t)/(Tau_j))))*Salcycl</f>
        <v>0.11482026434464344</v>
      </c>
      <c r="P300" s="171">
        <f>(INDEX(Models!$BJ300:$BT300,,T300)*(1-R300)+INDEX(Models!$BJ300:$BT300,,T300+1)*R300-ERP_i)*Q300*Ramure*Pc/MaxiM</f>
        <v>7.2218810531438759E-3</v>
      </c>
      <c r="Q300" s="307">
        <f t="shared" si="105"/>
        <v>0.9</v>
      </c>
      <c r="R300" s="179">
        <f t="shared" si="106"/>
        <v>0.26092847777293615</v>
      </c>
      <c r="S300" s="839">
        <f t="shared" si="107"/>
        <v>-1</v>
      </c>
      <c r="T300" s="178">
        <f t="shared" si="108"/>
        <v>5</v>
      </c>
      <c r="U300" s="253">
        <f t="shared" si="109"/>
        <v>-0.73907152222706385</v>
      </c>
      <c r="V300" s="385">
        <f t="shared" si="110"/>
        <v>27.556311982706898</v>
      </c>
      <c r="W300" s="404">
        <f t="shared" si="111"/>
        <v>18.672279141955649</v>
      </c>
      <c r="X300" s="157">
        <f t="shared" si="112"/>
        <v>46673</v>
      </c>
      <c r="Y300" s="387">
        <f t="shared" si="113"/>
        <v>16.493126799653904</v>
      </c>
      <c r="Z300" s="387">
        <f t="shared" si="114"/>
        <v>17.834535158099602</v>
      </c>
      <c r="AA300" s="388">
        <f t="shared" si="115"/>
        <v>21.717577192706823</v>
      </c>
      <c r="AB300" s="199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0.17879720192320628</v>
      </c>
      <c r="AD300" s="233">
        <f>(INDEX(Models!$BJ300:$BT300,,AH300)*(1-AF300)+INDEX(Models!$BJ300:$BT300,,AH300+1)*AF300-ERP_i)*AE300*Ramure*Pc/MaxiM</f>
        <v>9.5655803864245201E-2</v>
      </c>
      <c r="AE300" s="307">
        <f t="shared" si="117"/>
        <v>0.9</v>
      </c>
      <c r="AF300" s="179">
        <f t="shared" si="118"/>
        <v>0.89658413007991511</v>
      </c>
      <c r="AG300" s="839">
        <f t="shared" si="124"/>
        <v>3</v>
      </c>
      <c r="AH300" s="178">
        <f t="shared" si="119"/>
        <v>9</v>
      </c>
      <c r="AI300" s="227">
        <f t="shared" si="120"/>
        <v>3.8965841300799151</v>
      </c>
      <c r="AJ300" s="267" t="b">
        <f t="shared" si="121"/>
        <v>0</v>
      </c>
      <c r="AK300" s="267" t="b">
        <f t="shared" si="122"/>
        <v>0</v>
      </c>
      <c r="AL300" s="267"/>
      <c r="AM300" s="267"/>
      <c r="AN300" s="75"/>
    </row>
    <row r="301" spans="1:40" s="6" customFormat="1" ht="11.25" x14ac:dyDescent="0.2">
      <c r="A301" s="56">
        <f t="shared" si="123"/>
        <v>46674</v>
      </c>
      <c r="B301" s="413">
        <f>'2026'!Wh/'2026'!Env_an*'2027'!Env_an</f>
        <v>15.676881156419446</v>
      </c>
      <c r="C301" s="868"/>
      <c r="D301" s="395">
        <f t="shared" si="102"/>
        <v>16.952297655041928</v>
      </c>
      <c r="E301" s="387">
        <f t="shared" si="125"/>
        <v>19.15211808593347</v>
      </c>
      <c r="F301" s="387">
        <f t="shared" si="103"/>
        <v>19.208805042172084</v>
      </c>
      <c r="G301" s="110">
        <f t="shared" si="126"/>
        <v>0.57362932293767455</v>
      </c>
      <c r="H301" s="416" t="b">
        <f>Wh_hp&gt;='2026'!Maxi_hp</f>
        <v>0</v>
      </c>
      <c r="I301" s="392">
        <f>IF(H301,Wh_hp,'2026'!Maxi_hp)</f>
        <v>34.446907354425804</v>
      </c>
      <c r="J301" s="85">
        <f>IF(H301,An,'2026'!An_max)</f>
        <v>2021</v>
      </c>
      <c r="K301" s="199">
        <f t="shared" si="104"/>
        <v>46674</v>
      </c>
      <c r="L301" s="147">
        <f>IF(t&lt;Tvie,1-EXP((T0-t)*PertePVj)+'2026'!Pspv,1-EXP((T0-t)*PertePVj)+Pspv)</f>
        <v>7.5235612574508504E-2</v>
      </c>
      <c r="M301" s="872"/>
      <c r="N301" s="872"/>
      <c r="O301" s="48">
        <f>IF(t&lt;Tnet,'2026'!Resal+('2026'!Salim-'2026'!Resal)*(1-EXP(('2026'!Tnet-t)/('2026'!Tau_j))),Resal+(Salim-Resal)*(1-EXP((Tnet-t)/(Tau_j))))*Salcycl</f>
        <v>0.11486042541201898</v>
      </c>
      <c r="P301" s="171">
        <f>(INDEX(Models!$BJ301:$BT301,,T301)*(1-R301)+INDEX(Models!$BJ301:$BT301,,T301+1)*R301-ERP_i)*Q301*Ramure*Pc/MaxiM</f>
        <v>7.4779985307352982E-3</v>
      </c>
      <c r="Q301" s="307">
        <f t="shared" si="105"/>
        <v>0.9</v>
      </c>
      <c r="R301" s="179">
        <f t="shared" si="106"/>
        <v>0.26109246123002927</v>
      </c>
      <c r="S301" s="839">
        <f t="shared" si="107"/>
        <v>-1</v>
      </c>
      <c r="T301" s="178">
        <f t="shared" si="108"/>
        <v>5</v>
      </c>
      <c r="U301" s="253">
        <f t="shared" si="109"/>
        <v>-0.73890753876997073</v>
      </c>
      <c r="V301" s="385">
        <f t="shared" si="110"/>
        <v>27.205205014364754</v>
      </c>
      <c r="W301" s="404">
        <f t="shared" si="111"/>
        <v>15.676881156419446</v>
      </c>
      <c r="X301" s="157">
        <f t="shared" si="112"/>
        <v>46674</v>
      </c>
      <c r="Y301" s="387">
        <f t="shared" si="113"/>
        <v>14.022822548023189</v>
      </c>
      <c r="Z301" s="387">
        <f t="shared" si="114"/>
        <v>15.163670594044163</v>
      </c>
      <c r="AA301" s="388">
        <f t="shared" si="115"/>
        <v>18.463434815486508</v>
      </c>
      <c r="AB301" s="199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0.17871887080699708</v>
      </c>
      <c r="AD301" s="233">
        <f>(INDEX(Models!$BJ301:$BT301,,AH301)*(1-AF301)+INDEX(Models!$BJ301:$BT301,,AH301+1)*AF301-ERP_i)*AE301*Ramure*Pc/MaxiM</f>
        <v>9.8327337183993335E-2</v>
      </c>
      <c r="AE301" s="307">
        <f t="shared" si="117"/>
        <v>0.9</v>
      </c>
      <c r="AF301" s="179">
        <f t="shared" si="118"/>
        <v>0.89674811353700834</v>
      </c>
      <c r="AG301" s="839">
        <f t="shared" si="124"/>
        <v>3</v>
      </c>
      <c r="AH301" s="178">
        <f t="shared" si="119"/>
        <v>9</v>
      </c>
      <c r="AI301" s="227">
        <f t="shared" si="120"/>
        <v>3.8967481135370083</v>
      </c>
      <c r="AJ301" s="267" t="b">
        <f t="shared" si="121"/>
        <v>0</v>
      </c>
      <c r="AK301" s="267" t="b">
        <f t="shared" si="122"/>
        <v>0</v>
      </c>
      <c r="AL301" s="267"/>
      <c r="AM301" s="267"/>
      <c r="AN301" s="75"/>
    </row>
    <row r="302" spans="1:40" s="6" customFormat="1" ht="11.25" x14ac:dyDescent="0.2">
      <c r="A302" s="56">
        <f t="shared" si="123"/>
        <v>46675</v>
      </c>
      <c r="B302" s="413">
        <f>'2026'!Wh/'2026'!Env_an*'2027'!Env_an</f>
        <v>26.571311871123637</v>
      </c>
      <c r="C302" s="868"/>
      <c r="D302" s="395">
        <f t="shared" si="102"/>
        <v>28.733730018231579</v>
      </c>
      <c r="E302" s="387">
        <f t="shared" si="125"/>
        <v>32.463755328393674</v>
      </c>
      <c r="F302" s="387">
        <f t="shared" si="103"/>
        <v>32.713831648651819</v>
      </c>
      <c r="G302" s="110">
        <f t="shared" si="126"/>
        <v>0.98907434110079773</v>
      </c>
      <c r="H302" s="416" t="b">
        <f>Wh_hp&gt;='2026'!Maxi_hp</f>
        <v>0</v>
      </c>
      <c r="I302" s="392">
        <f>IF(H302,Wh_hp,'2026'!Maxi_hp)</f>
        <v>32.717038604605101</v>
      </c>
      <c r="J302" s="85">
        <f>IF(H302,An,'2026'!An_max)</f>
        <v>2025</v>
      </c>
      <c r="K302" s="199">
        <f t="shared" si="104"/>
        <v>46675</v>
      </c>
      <c r="L302" s="147">
        <f>IF(t&lt;Tvie,1-EXP((T0-t)*PertePVj)+'2026'!Pspv,1-EXP((T0-t)*PertePVj)+Pspv)</f>
        <v>7.5257133192797698E-2</v>
      </c>
      <c r="M302" s="872"/>
      <c r="N302" s="872"/>
      <c r="O302" s="48">
        <f>IF(t&lt;Tnet,'2026'!Resal+('2026'!Salim-'2026'!Resal)*(1-EXP(('2026'!Tnet-t)/('2026'!Tau_j))),Resal+(Salim-Resal)*(1-EXP((Tnet-t)/(Tau_j))))*Salcycl</f>
        <v>0.11489814633058522</v>
      </c>
      <c r="P302" s="171">
        <f>(INDEX(Models!$BJ302:$BT302,,T302)*(1-R302)+INDEX(Models!$BJ302:$BT302,,T302+1)*R302-ERP_i)*Q302*Ramure*Pc/MaxiM</f>
        <v>7.7642198153511097E-3</v>
      </c>
      <c r="Q302" s="307">
        <f t="shared" si="105"/>
        <v>0.9</v>
      </c>
      <c r="R302" s="179">
        <f t="shared" si="106"/>
        <v>0.2612499148051417</v>
      </c>
      <c r="S302" s="839">
        <f t="shared" si="107"/>
        <v>-1</v>
      </c>
      <c r="T302" s="178">
        <f t="shared" si="108"/>
        <v>5</v>
      </c>
      <c r="U302" s="253">
        <f t="shared" si="109"/>
        <v>-0.7387500851948583</v>
      </c>
      <c r="V302" s="385">
        <f t="shared" si="110"/>
        <v>26.861583010085756</v>
      </c>
      <c r="W302" s="404">
        <f t="shared" si="111"/>
        <v>26.571311871123637</v>
      </c>
      <c r="X302" s="157">
        <f t="shared" si="112"/>
        <v>46675</v>
      </c>
      <c r="Y302" s="387">
        <f t="shared" si="113"/>
        <v>22.37561887680927</v>
      </c>
      <c r="Z302" s="387">
        <f t="shared" si="114"/>
        <v>24.196584456027296</v>
      </c>
      <c r="AA302" s="388">
        <f t="shared" si="115"/>
        <v>29.459067161622347</v>
      </c>
      <c r="AB302" s="199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0.17863711286997994</v>
      </c>
      <c r="AD302" s="233">
        <f>(INDEX(Models!$BJ302:$BT302,,AH302)*(1-AF302)+INDEX(Models!$BJ302:$BT302,,AH302+1)*AF302-ERP_i)*AE302*Ramure*Pc/MaxiM</f>
        <v>0.10105197844565665</v>
      </c>
      <c r="AE302" s="307">
        <f t="shared" si="117"/>
        <v>0.9</v>
      </c>
      <c r="AF302" s="179">
        <f t="shared" si="118"/>
        <v>0.89690556711212066</v>
      </c>
      <c r="AG302" s="839">
        <f t="shared" si="124"/>
        <v>3</v>
      </c>
      <c r="AH302" s="178">
        <f t="shared" si="119"/>
        <v>9</v>
      </c>
      <c r="AI302" s="227">
        <f t="shared" si="120"/>
        <v>3.8969055671121207</v>
      </c>
      <c r="AJ302" s="267" t="b">
        <f t="shared" si="121"/>
        <v>0</v>
      </c>
      <c r="AK302" s="267" t="b">
        <f t="shared" si="122"/>
        <v>0</v>
      </c>
      <c r="AL302" s="267"/>
      <c r="AM302" s="267"/>
      <c r="AN302" s="75"/>
    </row>
    <row r="303" spans="1:40" s="6" customFormat="1" ht="11.25" x14ac:dyDescent="0.2">
      <c r="A303" s="56">
        <f t="shared" si="123"/>
        <v>46676</v>
      </c>
      <c r="B303" s="413">
        <f>'2026'!Wh/'2026'!Env_an*'2027'!Env_an</f>
        <v>24.726812979344775</v>
      </c>
      <c r="C303" s="868"/>
      <c r="D303" s="395">
        <f t="shared" si="102"/>
        <v>26.739744970590944</v>
      </c>
      <c r="E303" s="387">
        <f t="shared" si="125"/>
        <v>30.212129968078198</v>
      </c>
      <c r="F303" s="387">
        <f t="shared" si="103"/>
        <v>30.4342743692367</v>
      </c>
      <c r="G303" s="110">
        <f t="shared" si="126"/>
        <v>0.93148490652756211</v>
      </c>
      <c r="H303" s="416" t="b">
        <f>Wh_hp&gt;='2026'!Maxi_hp</f>
        <v>0</v>
      </c>
      <c r="I303" s="392">
        <f>IF(H303,Wh_hp,'2026'!Maxi_hp)</f>
        <v>31.515402769838211</v>
      </c>
      <c r="J303" s="85">
        <f>IF(H303,An,'2026'!An_max)</f>
        <v>2021</v>
      </c>
      <c r="K303" s="199">
        <f t="shared" si="104"/>
        <v>46676</v>
      </c>
      <c r="L303" s="147">
        <f>IF(t&lt;Tvie,1-EXP((T0-t)*PertePVj)+'2026'!Pspv,1-EXP((T0-t)*PertePVj)+Pspv)</f>
        <v>7.5278653310270616E-2</v>
      </c>
      <c r="M303" s="872"/>
      <c r="N303" s="872"/>
      <c r="O303" s="48">
        <f>IF(t&lt;Tnet,'2026'!Resal+('2026'!Salim-'2026'!Resal)*(1-EXP(('2026'!Tnet-t)/('2026'!Tau_j))),Resal+(Salim-Resal)*(1-EXP((Tnet-t)/(Tau_j))))*Salcycl</f>
        <v>0.11493347212381712</v>
      </c>
      <c r="P303" s="171">
        <f>(INDEX(Models!$BJ303:$BT303,,T303)*(1-R303)+INDEX(Models!$BJ303:$BT303,,T303+1)*R303-ERP_i)*Q303*Ramure*Pc/MaxiM</f>
        <v>8.0816937146113432E-3</v>
      </c>
      <c r="Q303" s="307">
        <f t="shared" si="105"/>
        <v>0.9</v>
      </c>
      <c r="R303" s="179">
        <f t="shared" si="106"/>
        <v>0.26140109572962789</v>
      </c>
      <c r="S303" s="839">
        <f t="shared" si="107"/>
        <v>-1</v>
      </c>
      <c r="T303" s="178">
        <f t="shared" si="108"/>
        <v>5</v>
      </c>
      <c r="U303" s="253">
        <f t="shared" si="109"/>
        <v>-0.73859890427037211</v>
      </c>
      <c r="V303" s="385">
        <f t="shared" si="110"/>
        <v>26.524660543147903</v>
      </c>
      <c r="W303" s="404">
        <f t="shared" si="111"/>
        <v>24.726812979344775</v>
      </c>
      <c r="X303" s="157">
        <f t="shared" si="112"/>
        <v>46676</v>
      </c>
      <c r="Y303" s="387">
        <f t="shared" si="113"/>
        <v>20.95021042758864</v>
      </c>
      <c r="Z303" s="387">
        <f t="shared" si="114"/>
        <v>22.655701095887039</v>
      </c>
      <c r="AA303" s="388">
        <f t="shared" si="115"/>
        <v>27.580201352414466</v>
      </c>
      <c r="AB303" s="199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0.17855200524474493</v>
      </c>
      <c r="AD303" s="233">
        <f>(INDEX(Models!$BJ303:$BT303,,AH303)*(1-AF303)+INDEX(Models!$BJ303:$BT303,,AH303+1)*AF303-ERP_i)*AE303*Ramure*Pc/MaxiM</f>
        <v>0.10383220932332421</v>
      </c>
      <c r="AE303" s="307">
        <f t="shared" si="117"/>
        <v>0.9</v>
      </c>
      <c r="AF303" s="179">
        <f t="shared" si="118"/>
        <v>0.89705674803660695</v>
      </c>
      <c r="AG303" s="839">
        <f t="shared" si="124"/>
        <v>3</v>
      </c>
      <c r="AH303" s="178">
        <f t="shared" si="119"/>
        <v>9</v>
      </c>
      <c r="AI303" s="227">
        <f t="shared" si="120"/>
        <v>3.897056748036607</v>
      </c>
      <c r="AJ303" s="267" t="b">
        <f t="shared" si="121"/>
        <v>0</v>
      </c>
      <c r="AK303" s="267" t="b">
        <f t="shared" si="122"/>
        <v>0</v>
      </c>
      <c r="AL303" s="267"/>
      <c r="AM303" s="267"/>
      <c r="AN303" s="75"/>
    </row>
    <row r="304" spans="1:40" s="6" customFormat="1" ht="11.25" x14ac:dyDescent="0.2">
      <c r="A304" s="56">
        <f t="shared" si="123"/>
        <v>46677</v>
      </c>
      <c r="B304" s="413">
        <f>'2026'!Wh/'2026'!Env_an*'2027'!Env_an</f>
        <v>15.765147244167069</v>
      </c>
      <c r="C304" s="868"/>
      <c r="D304" s="395">
        <f t="shared" si="102"/>
        <v>17.048934997715165</v>
      </c>
      <c r="E304" s="387">
        <f t="shared" si="125"/>
        <v>19.263603190958943</v>
      </c>
      <c r="F304" s="387">
        <f t="shared" si="103"/>
        <v>19.334154600921046</v>
      </c>
      <c r="G304" s="110">
        <f t="shared" si="126"/>
        <v>0.59899798837529827</v>
      </c>
      <c r="H304" s="416" t="b">
        <f>Wh_hp&gt;='2026'!Maxi_hp</f>
        <v>0</v>
      </c>
      <c r="I304" s="392">
        <f>IF(H304,Wh_hp,'2026'!Maxi_hp)</f>
        <v>29.529771052990444</v>
      </c>
      <c r="J304" s="85">
        <f>IF(H304,An,'2026'!An_max)</f>
        <v>2021</v>
      </c>
      <c r="K304" s="199">
        <f t="shared" si="104"/>
        <v>46677</v>
      </c>
      <c r="L304" s="147">
        <f>IF(t&lt;Tvie,1-EXP((T0-t)*PertePVj)+'2026'!Pspv,1-EXP((T0-t)*PertePVj)+Pspv)</f>
        <v>7.5300172926939024E-2</v>
      </c>
      <c r="M304" s="872"/>
      <c r="N304" s="872"/>
      <c r="O304" s="48">
        <f>IF(t&lt;Tnet,'2026'!Resal+('2026'!Salim-'2026'!Resal)*(1-EXP(('2026'!Tnet-t)/('2026'!Tau_j))),Resal+(Salim-Resal)*(1-EXP((Tnet-t)/(Tau_j))))*Salcycl</f>
        <v>0.11496645623821804</v>
      </c>
      <c r="P304" s="171">
        <f>(INDEX(Models!$BJ304:$BT304,,T304)*(1-R304)+INDEX(Models!$BJ304:$BT304,,T304+1)*R304-ERP_i)*Q304*Ramure*Pc/MaxiM</f>
        <v>8.4607443085956916E-3</v>
      </c>
      <c r="Q304" s="307">
        <f t="shared" si="105"/>
        <v>0.9</v>
      </c>
      <c r="R304" s="179">
        <f t="shared" si="106"/>
        <v>0.26154625132097065</v>
      </c>
      <c r="S304" s="839">
        <f t="shared" si="107"/>
        <v>-1</v>
      </c>
      <c r="T304" s="178">
        <f t="shared" si="108"/>
        <v>5</v>
      </c>
      <c r="U304" s="253">
        <f t="shared" si="109"/>
        <v>-0.73845374867902935</v>
      </c>
      <c r="V304" s="385">
        <f t="shared" si="110"/>
        <v>26.192095385095353</v>
      </c>
      <c r="W304" s="404">
        <f t="shared" si="111"/>
        <v>15.765147244167069</v>
      </c>
      <c r="X304" s="157">
        <f t="shared" si="112"/>
        <v>46677</v>
      </c>
      <c r="Y304" s="387">
        <f t="shared" si="113"/>
        <v>14.011673597334999</v>
      </c>
      <c r="Z304" s="387">
        <f t="shared" si="114"/>
        <v>15.152672453379761</v>
      </c>
      <c r="AA304" s="388">
        <f t="shared" si="115"/>
        <v>18.444311356031204</v>
      </c>
      <c r="AB304" s="199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0.1784636378725569</v>
      </c>
      <c r="AD304" s="233">
        <f>(INDEX(Models!$BJ304:$BT304,,AH304)*(1-AF304)+INDEX(Models!$BJ304:$BT304,,AH304+1)*AF304-ERP_i)*AE304*Ramure*Pc/MaxiM</f>
        <v>0.10671276695657964</v>
      </c>
      <c r="AE304" s="307">
        <f t="shared" si="117"/>
        <v>0.9</v>
      </c>
      <c r="AF304" s="179">
        <f t="shared" si="118"/>
        <v>0.89720190362794972</v>
      </c>
      <c r="AG304" s="839">
        <f t="shared" si="124"/>
        <v>3</v>
      </c>
      <c r="AH304" s="178">
        <f t="shared" si="119"/>
        <v>9</v>
      </c>
      <c r="AI304" s="227">
        <f t="shared" si="120"/>
        <v>3.8972019036279497</v>
      </c>
      <c r="AJ304" s="267" t="b">
        <f t="shared" si="121"/>
        <v>0</v>
      </c>
      <c r="AK304" s="267" t="b">
        <f t="shared" si="122"/>
        <v>0</v>
      </c>
      <c r="AL304" s="267"/>
      <c r="AM304" s="267"/>
      <c r="AN304" s="75"/>
    </row>
    <row r="305" spans="1:40" s="6" customFormat="1" ht="11.25" x14ac:dyDescent="0.2">
      <c r="A305" s="56">
        <f t="shared" si="123"/>
        <v>46678</v>
      </c>
      <c r="B305" s="413">
        <f>'2026'!Wh/'2026'!Env_an*'2027'!Env_an</f>
        <v>24.654495667165072</v>
      </c>
      <c r="C305" s="868"/>
      <c r="D305" s="395">
        <f t="shared" si="102"/>
        <v>26.662781483035101</v>
      </c>
      <c r="E305" s="387">
        <f t="shared" si="125"/>
        <v>30.127340045146433</v>
      </c>
      <c r="F305" s="387">
        <f t="shared" si="103"/>
        <v>30.379545740529579</v>
      </c>
      <c r="G305" s="110">
        <f t="shared" si="126"/>
        <v>0.95267210375361222</v>
      </c>
      <c r="H305" s="416" t="b">
        <f>Wh_hp&gt;='2026'!Maxi_hp</f>
        <v>0</v>
      </c>
      <c r="I305" s="392">
        <f>IF(H305,Wh_hp,'2026'!Maxi_hp)</f>
        <v>32.248415453098012</v>
      </c>
      <c r="J305" s="85">
        <f>IF(H305,An,'2026'!An_max)</f>
        <v>2020</v>
      </c>
      <c r="K305" s="199">
        <f t="shared" si="104"/>
        <v>46678</v>
      </c>
      <c r="L305" s="147">
        <f>IF(t&lt;Tvie,1-EXP((T0-t)*PertePVj)+'2026'!Pspv,1-EXP((T0-t)*PertePVj)+Pspv)</f>
        <v>7.5321692042814581E-2</v>
      </c>
      <c r="M305" s="872"/>
      <c r="N305" s="872"/>
      <c r="O305" s="48">
        <f>IF(t&lt;Tnet,'2026'!Resal+('2026'!Salim-'2026'!Resal)*(1-EXP(('2026'!Tnet-t)/('2026'!Tau_j))),Resal+(Salim-Resal)*(1-EXP((Tnet-t)/(Tau_j))))*Salcycl</f>
        <v>0.11499716061622504</v>
      </c>
      <c r="P305" s="171">
        <f>(INDEX(Models!$BJ305:$BT305,,T305)*(1-R305)+INDEX(Models!$BJ305:$BT305,,T305+1)*R305-ERP_i)*Q305*Ramure*Pc/MaxiM</f>
        <v>8.8960395711031801E-3</v>
      </c>
      <c r="Q305" s="307">
        <f t="shared" si="105"/>
        <v>0.9</v>
      </c>
      <c r="R305" s="179">
        <f t="shared" si="106"/>
        <v>0.26168561934758738</v>
      </c>
      <c r="S305" s="839">
        <f t="shared" si="107"/>
        <v>-1</v>
      </c>
      <c r="T305" s="178">
        <f t="shared" si="108"/>
        <v>5</v>
      </c>
      <c r="U305" s="253">
        <f t="shared" si="109"/>
        <v>-0.73831438065241262</v>
      </c>
      <c r="V305" s="385">
        <f t="shared" si="110"/>
        <v>25.863802338706172</v>
      </c>
      <c r="W305" s="404">
        <f t="shared" si="111"/>
        <v>24.654495667165072</v>
      </c>
      <c r="X305" s="157">
        <f t="shared" si="112"/>
        <v>46678</v>
      </c>
      <c r="Y305" s="387">
        <f t="shared" si="113"/>
        <v>20.717527268456447</v>
      </c>
      <c r="Z305" s="387">
        <f t="shared" si="114"/>
        <v>22.405118720937608</v>
      </c>
      <c r="AA305" s="388">
        <f t="shared" si="115"/>
        <v>27.26917999122966</v>
      </c>
      <c r="AB305" s="199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0.17837211356764074</v>
      </c>
      <c r="AD305" s="233">
        <f>(INDEX(Models!$BJ305:$BT305,,AH305)*(1-AF305)+INDEX(Models!$BJ305:$BT305,,AH305+1)*AF305-ERP_i)*AE305*Ramure*Pc/MaxiM</f>
        <v>0.10971178404334035</v>
      </c>
      <c r="AE305" s="307">
        <f t="shared" si="117"/>
        <v>0.9</v>
      </c>
      <c r="AF305" s="179">
        <f t="shared" si="118"/>
        <v>0.89734127165456634</v>
      </c>
      <c r="AG305" s="839">
        <f t="shared" si="124"/>
        <v>3</v>
      </c>
      <c r="AH305" s="178">
        <f t="shared" si="119"/>
        <v>9</v>
      </c>
      <c r="AI305" s="227">
        <f t="shared" si="120"/>
        <v>3.8973412716545663</v>
      </c>
      <c r="AJ305" s="267" t="b">
        <f t="shared" si="121"/>
        <v>0</v>
      </c>
      <c r="AK305" s="267" t="b">
        <f t="shared" si="122"/>
        <v>0</v>
      </c>
      <c r="AL305" s="267"/>
      <c r="AM305" s="267"/>
      <c r="AN305" s="75"/>
    </row>
    <row r="306" spans="1:40" s="6" customFormat="1" ht="11.25" x14ac:dyDescent="0.2">
      <c r="A306" s="56">
        <f t="shared" si="123"/>
        <v>46679</v>
      </c>
      <c r="B306" s="413">
        <f>'2026'!Wh/'2026'!Env_an*'2027'!Env_an</f>
        <v>13.335680699100381</v>
      </c>
      <c r="C306" s="868"/>
      <c r="D306" s="395">
        <f t="shared" si="102"/>
        <v>14.422303337640491</v>
      </c>
      <c r="E306" s="387">
        <f t="shared" si="125"/>
        <v>16.296860390169808</v>
      </c>
      <c r="F306" s="387">
        <f t="shared" si="103"/>
        <v>16.345569422689103</v>
      </c>
      <c r="G306" s="110">
        <f t="shared" si="126"/>
        <v>0.51880221139092586</v>
      </c>
      <c r="H306" s="416" t="b">
        <f>Wh_hp&gt;='2026'!Maxi_hp</f>
        <v>0</v>
      </c>
      <c r="I306" s="392">
        <f>IF(H306,Wh_hp,'2026'!Maxi_hp)</f>
        <v>30.51278811937587</v>
      </c>
      <c r="J306" s="85">
        <f>IF(H306,An,'2026'!An_max)</f>
        <v>2020</v>
      </c>
      <c r="K306" s="199">
        <f t="shared" si="104"/>
        <v>46679</v>
      </c>
      <c r="L306" s="147">
        <f>IF(t&lt;Tvie,1-EXP((T0-t)*PertePVj)+'2026'!Pspv,1-EXP((T0-t)*PertePVj)+Pspv)</f>
        <v>7.5343210657908832E-2</v>
      </c>
      <c r="M306" s="872"/>
      <c r="N306" s="872"/>
      <c r="O306" s="48">
        <f>IF(t&lt;Tnet,'2026'!Resal+('2026'!Salim-'2026'!Resal)*(1-EXP(('2026'!Tnet-t)/('2026'!Tau_j))),Resal+(Salim-Resal)*(1-EXP((Tnet-t)/(Tau_j))))*Salcycl</f>
        <v>0.11502565571832736</v>
      </c>
      <c r="P306" s="171">
        <f>(INDEX(Models!$BJ306:$BT306,,T306)*(1-R306)+INDEX(Models!$BJ306:$BT306,,T306+1)*R306-ERP_i)*Q306*Ramure*Pc/MaxiM</f>
        <v>9.3895227850069405E-3</v>
      </c>
      <c r="Q306" s="307">
        <f t="shared" si="105"/>
        <v>0.9</v>
      </c>
      <c r="R306" s="179">
        <f t="shared" si="106"/>
        <v>0.26181942838158956</v>
      </c>
      <c r="S306" s="839">
        <f t="shared" si="107"/>
        <v>-1</v>
      </c>
      <c r="T306" s="178">
        <f t="shared" si="108"/>
        <v>5</v>
      </c>
      <c r="U306" s="253">
        <f t="shared" si="109"/>
        <v>-0.73818057161841044</v>
      </c>
      <c r="V306" s="385">
        <f t="shared" si="110"/>
        <v>25.539500332822868</v>
      </c>
      <c r="W306" s="404">
        <f t="shared" si="111"/>
        <v>13.335680699100381</v>
      </c>
      <c r="X306" s="157">
        <f t="shared" si="112"/>
        <v>46679</v>
      </c>
      <c r="Y306" s="387">
        <f t="shared" si="113"/>
        <v>11.974806086565831</v>
      </c>
      <c r="Z306" s="387">
        <f t="shared" si="114"/>
        <v>12.950541459914122</v>
      </c>
      <c r="AA306" s="388">
        <f t="shared" si="115"/>
        <v>15.760238056580198</v>
      </c>
      <c r="AB306" s="199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0.17827754800270754</v>
      </c>
      <c r="AD306" s="233">
        <f>(INDEX(Models!$BJ306:$BT306,,AH306)*(1-AF306)+INDEX(Models!$BJ306:$BT306,,AH306+1)*AF306-ERP_i)*AE306*Ramure*Pc/MaxiM</f>
        <v>0.11283291649617248</v>
      </c>
      <c r="AE306" s="307">
        <f t="shared" si="117"/>
        <v>0.9</v>
      </c>
      <c r="AF306" s="179">
        <f t="shared" si="118"/>
        <v>0.89747508068856874</v>
      </c>
      <c r="AG306" s="839">
        <f t="shared" si="124"/>
        <v>3</v>
      </c>
      <c r="AH306" s="178">
        <f t="shared" si="119"/>
        <v>9</v>
      </c>
      <c r="AI306" s="227">
        <f t="shared" si="120"/>
        <v>3.8974750806885687</v>
      </c>
      <c r="AJ306" s="267" t="b">
        <f t="shared" si="121"/>
        <v>0</v>
      </c>
      <c r="AK306" s="267" t="b">
        <f t="shared" si="122"/>
        <v>0</v>
      </c>
      <c r="AL306" s="267"/>
      <c r="AM306" s="267"/>
      <c r="AN306" s="75"/>
    </row>
    <row r="307" spans="1:40" s="6" customFormat="1" ht="11.25" x14ac:dyDescent="0.2">
      <c r="A307" s="56">
        <f t="shared" si="123"/>
        <v>46680</v>
      </c>
      <c r="B307" s="413">
        <f>'2026'!Wh/'2026'!Env_an*'2027'!Env_an</f>
        <v>7.3927582549183963</v>
      </c>
      <c r="C307" s="868"/>
      <c r="D307" s="395">
        <f t="shared" si="102"/>
        <v>7.9953236535115142</v>
      </c>
      <c r="E307" s="387">
        <f t="shared" si="125"/>
        <v>9.0347950824900476</v>
      </c>
      <c r="F307" s="387">
        <f t="shared" si="103"/>
        <v>9.0347950824900476</v>
      </c>
      <c r="G307" s="110">
        <f t="shared" si="126"/>
        <v>0.29022868978539346</v>
      </c>
      <c r="H307" s="416" t="b">
        <f>Wh_hp&gt;='2026'!Maxi_hp</f>
        <v>0</v>
      </c>
      <c r="I307" s="392">
        <f>IF(H307,Wh_hp,'2026'!Maxi_hp)</f>
        <v>26.828949468096958</v>
      </c>
      <c r="J307" s="85">
        <f>IF(H307,An,'2026'!An_max)</f>
        <v>2020</v>
      </c>
      <c r="K307" s="199">
        <f t="shared" si="104"/>
        <v>46680</v>
      </c>
      <c r="L307" s="147">
        <f>IF(t&lt;Tvie,1-EXP((T0-t)*PertePVj)+'2026'!Pspv,1-EXP((T0-t)*PertePVj)+Pspv)</f>
        <v>7.5364728772233436E-2</v>
      </c>
      <c r="M307" s="872"/>
      <c r="N307" s="872"/>
      <c r="O307" s="48">
        <f>IF(t&lt;Tnet,'2026'!Resal+('2026'!Salim-'2026'!Resal)*(1-EXP(('2026'!Tnet-t)/('2026'!Tau_j))),Resal+(Salim-Resal)*(1-EXP((Tnet-t)/(Tau_j))))*Salcycl</f>
        <v>0.11505202049276007</v>
      </c>
      <c r="P307" s="171">
        <f>(INDEX(Models!$BJ307:$BT307,,T307)*(1-R307)+INDEX(Models!$BJ307:$BT307,,T307+1)*R307-ERP_i)*Q307*Ramure*Pc/MaxiM</f>
        <v>9.9431805102135219E-3</v>
      </c>
      <c r="Q307" s="307">
        <f t="shared" si="105"/>
        <v>0.9</v>
      </c>
      <c r="R307" s="179">
        <f t="shared" si="106"/>
        <v>0.26194789813978026</v>
      </c>
      <c r="S307" s="839">
        <f t="shared" si="107"/>
        <v>-1</v>
      </c>
      <c r="T307" s="178">
        <f t="shared" si="108"/>
        <v>5</v>
      </c>
      <c r="U307" s="253">
        <f t="shared" si="109"/>
        <v>-0.73805210186021974</v>
      </c>
      <c r="V307" s="385">
        <f t="shared" si="110"/>
        <v>25.218908339260032</v>
      </c>
      <c r="W307" s="404">
        <f t="shared" si="111"/>
        <v>7.3927582549183963</v>
      </c>
      <c r="X307" s="157">
        <f t="shared" si="112"/>
        <v>46680</v>
      </c>
      <c r="Y307" s="387">
        <f t="shared" si="113"/>
        <v>6.8653934639225147</v>
      </c>
      <c r="Z307" s="387">
        <f t="shared" si="114"/>
        <v>7.4249746657472615</v>
      </c>
      <c r="AA307" s="388">
        <f t="shared" si="115"/>
        <v>9.0347950824900476</v>
      </c>
      <c r="AB307" s="199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0.17818006961361083</v>
      </c>
      <c r="AD307" s="233">
        <f>(INDEX(Models!$BJ307:$BT307,,AH307)*(1-AF307)+INDEX(Models!$BJ307:$BT307,,AH307+1)*AF307-ERP_i)*AE307*Ramure*Pc/MaxiM</f>
        <v>0.1160799733440421</v>
      </c>
      <c r="AE307" s="307">
        <f t="shared" si="117"/>
        <v>0.9</v>
      </c>
      <c r="AF307" s="179">
        <f t="shared" si="118"/>
        <v>0.89760355044675944</v>
      </c>
      <c r="AG307" s="839">
        <f t="shared" si="124"/>
        <v>3</v>
      </c>
      <c r="AH307" s="178">
        <f t="shared" si="119"/>
        <v>9</v>
      </c>
      <c r="AI307" s="227">
        <f t="shared" si="120"/>
        <v>3.8976035504467594</v>
      </c>
      <c r="AJ307" s="267" t="b">
        <f t="shared" si="121"/>
        <v>0</v>
      </c>
      <c r="AK307" s="267" t="b">
        <f t="shared" si="122"/>
        <v>0</v>
      </c>
      <c r="AL307" s="267"/>
      <c r="AM307" s="267"/>
      <c r="AN307" s="75"/>
    </row>
    <row r="308" spans="1:40" s="6" customFormat="1" ht="11.25" x14ac:dyDescent="0.2">
      <c r="A308" s="56">
        <f t="shared" si="123"/>
        <v>46681</v>
      </c>
      <c r="B308" s="413">
        <f>'2026'!Wh/'2026'!Env_an*'2027'!Env_an</f>
        <v>12.935490909279505</v>
      </c>
      <c r="C308" s="868"/>
      <c r="D308" s="395">
        <f t="shared" si="102"/>
        <v>13.990156277382077</v>
      </c>
      <c r="E308" s="387">
        <f t="shared" si="125"/>
        <v>15.809449951434276</v>
      </c>
      <c r="F308" s="387">
        <f t="shared" si="103"/>
        <v>15.861959866258989</v>
      </c>
      <c r="G308" s="110">
        <f t="shared" si="126"/>
        <v>0.51568333290747792</v>
      </c>
      <c r="H308" s="416" t="b">
        <f>Wh_hp&gt;='2026'!Maxi_hp</f>
        <v>0</v>
      </c>
      <c r="I308" s="392">
        <f>IF(H308,Wh_hp,'2026'!Maxi_hp)</f>
        <v>22.431533601951021</v>
      </c>
      <c r="J308" s="85">
        <f>IF(H308,An,'2026'!An_max)</f>
        <v>2019</v>
      </c>
      <c r="K308" s="199">
        <f t="shared" si="104"/>
        <v>46681</v>
      </c>
      <c r="L308" s="147">
        <f>IF(t&lt;Tvie,1-EXP((T0-t)*PertePVj)+'2026'!Pspv,1-EXP((T0-t)*PertePVj)+Pspv)</f>
        <v>7.5386246385800049E-2</v>
      </c>
      <c r="M308" s="872"/>
      <c r="N308" s="872"/>
      <c r="O308" s="48">
        <f>IF(t&lt;Tnet,'2026'!Resal+('2026'!Salim-'2026'!Resal)*(1-EXP(('2026'!Tnet-t)/('2026'!Tau_j))),Resal+(Salim-Resal)*(1-EXP((Tnet-t)/(Tau_j))))*Salcycl</f>
        <v>0.11507634229153858</v>
      </c>
      <c r="P308" s="171">
        <f>(INDEX(Models!$BJ308:$BT308,,T308)*(1-R308)+INDEX(Models!$BJ308:$BT308,,T308+1)*R308-ERP_i)*Q308*Ramure*Pc/MaxiM</f>
        <v>1.0559047140501102E-2</v>
      </c>
      <c r="Q308" s="307">
        <f t="shared" si="105"/>
        <v>0.9</v>
      </c>
      <c r="R308" s="179">
        <f t="shared" si="106"/>
        <v>0.2620712398131797</v>
      </c>
      <c r="S308" s="839">
        <f t="shared" si="107"/>
        <v>-1</v>
      </c>
      <c r="T308" s="178">
        <f t="shared" si="108"/>
        <v>5</v>
      </c>
      <c r="U308" s="253">
        <f t="shared" si="109"/>
        <v>-0.7379287601868203</v>
      </c>
      <c r="V308" s="385">
        <f t="shared" si="110"/>
        <v>24.901745398544097</v>
      </c>
      <c r="W308" s="404">
        <f t="shared" si="111"/>
        <v>12.935490909279505</v>
      </c>
      <c r="X308" s="157">
        <f t="shared" si="112"/>
        <v>46681</v>
      </c>
      <c r="Y308" s="387">
        <f t="shared" si="113"/>
        <v>11.602975849865082</v>
      </c>
      <c r="Z308" s="387">
        <f t="shared" si="114"/>
        <v>12.548997680934871</v>
      </c>
      <c r="AA308" s="388">
        <f t="shared" si="115"/>
        <v>15.267903109648485</v>
      </c>
      <c r="AB308" s="199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0.17807981942166068</v>
      </c>
      <c r="AD308" s="233">
        <f>(INDEX(Models!$BJ308:$BT308,,AH308)*(1-AF308)+INDEX(Models!$BJ308:$BT308,,AH308+1)*AF308-ERP_i)*AE308*Ramure*Pc/MaxiM</f>
        <v>0.11945693147899342</v>
      </c>
      <c r="AE308" s="307">
        <f t="shared" si="117"/>
        <v>0.9</v>
      </c>
      <c r="AF308" s="179">
        <f t="shared" si="118"/>
        <v>0.89772689212015866</v>
      </c>
      <c r="AG308" s="839">
        <f t="shared" si="124"/>
        <v>3</v>
      </c>
      <c r="AH308" s="178">
        <f t="shared" si="119"/>
        <v>9</v>
      </c>
      <c r="AI308" s="227">
        <f t="shared" si="120"/>
        <v>3.8977268921201587</v>
      </c>
      <c r="AJ308" s="267" t="b">
        <f t="shared" si="121"/>
        <v>0</v>
      </c>
      <c r="AK308" s="267" t="b">
        <f t="shared" si="122"/>
        <v>0</v>
      </c>
      <c r="AL308" s="267"/>
      <c r="AM308" s="267"/>
      <c r="AN308" s="75"/>
    </row>
    <row r="309" spans="1:40" s="6" customFormat="1" ht="11.25" x14ac:dyDescent="0.2">
      <c r="A309" s="56">
        <f t="shared" si="123"/>
        <v>46682</v>
      </c>
      <c r="B309" s="413">
        <f>'2026'!Wh/'2026'!Env_an*'2027'!Env_an</f>
        <v>22.938861444394536</v>
      </c>
      <c r="C309" s="868"/>
      <c r="D309" s="395">
        <f t="shared" si="102"/>
        <v>24.809705877689694</v>
      </c>
      <c r="E309" s="387">
        <f t="shared" si="125"/>
        <v>28.036693297659603</v>
      </c>
      <c r="F309" s="387">
        <f t="shared" si="103"/>
        <v>28.324540973690134</v>
      </c>
      <c r="G309" s="110">
        <f t="shared" si="126"/>
        <v>0.93192451611299476</v>
      </c>
      <c r="H309" s="416" t="b">
        <f>Wh_hp&gt;='2026'!Maxi_hp</f>
        <v>0</v>
      </c>
      <c r="I309" s="392">
        <f>IF(H309,Wh_hp,'2026'!Maxi_hp)</f>
        <v>28.351350705771125</v>
      </c>
      <c r="J309" s="85">
        <f>IF(H309,An,'2026'!An_max)</f>
        <v>2025</v>
      </c>
      <c r="K309" s="199">
        <f t="shared" si="104"/>
        <v>46682</v>
      </c>
      <c r="L309" s="147">
        <f>IF(t&lt;Tvie,1-EXP((T0-t)*PertePVj)+'2026'!Pspv,1-EXP((T0-t)*PertePVj)+Pspv)</f>
        <v>7.5407763498620439E-2</v>
      </c>
      <c r="M309" s="872"/>
      <c r="N309" s="872"/>
      <c r="O309" s="48">
        <f>IF(t&lt;Tnet,'2026'!Resal+('2026'!Salim-'2026'!Resal)*(1-EXP(('2026'!Tnet-t)/('2026'!Tau_j))),Resal+(Salim-Resal)*(1-EXP((Tnet-t)/(Tau_j))))*Salcycl</f>
        <v>0.11509871673202222</v>
      </c>
      <c r="P309" s="171">
        <f>(INDEX(Models!$BJ309:$BT309,,T309)*(1-R309)+INDEX(Models!$BJ309:$BT309,,T309+1)*R309-ERP_i)*Q309*Ramure*Pc/MaxiM</f>
        <v>1.1239210113026326E-2</v>
      </c>
      <c r="Q309" s="307">
        <f t="shared" si="105"/>
        <v>0.9</v>
      </c>
      <c r="R309" s="179">
        <f t="shared" si="106"/>
        <v>0.26218965638536396</v>
      </c>
      <c r="S309" s="839">
        <f t="shared" si="107"/>
        <v>-1</v>
      </c>
      <c r="T309" s="178">
        <f t="shared" si="108"/>
        <v>5</v>
      </c>
      <c r="U309" s="253">
        <f t="shared" si="109"/>
        <v>-0.73781034361463604</v>
      </c>
      <c r="V309" s="385">
        <f t="shared" si="110"/>
        <v>24.587730640371113</v>
      </c>
      <c r="W309" s="404">
        <f t="shared" si="111"/>
        <v>22.938861444394536</v>
      </c>
      <c r="X309" s="157">
        <f t="shared" si="112"/>
        <v>46682</v>
      </c>
      <c r="Y309" s="387">
        <f t="shared" si="113"/>
        <v>19.134066014003224</v>
      </c>
      <c r="Z309" s="387">
        <f t="shared" si="114"/>
        <v>20.694599477068696</v>
      </c>
      <c r="AA309" s="388">
        <f t="shared" si="115"/>
        <v>25.175205849183445</v>
      </c>
      <c r="AB309" s="199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0.177976950772781</v>
      </c>
      <c r="AD309" s="233">
        <f>(INDEX(Models!$BJ309:$BT309,,AH309)*(1-AF309)+INDEX(Models!$BJ309:$BT309,,AH309+1)*AF309-ERP_i)*AE309*Ramure*Pc/MaxiM</f>
        <v>0.12296795190005498</v>
      </c>
      <c r="AE309" s="307">
        <f t="shared" si="117"/>
        <v>0.9</v>
      </c>
      <c r="AF309" s="179">
        <f t="shared" si="118"/>
        <v>0.89784530869234302</v>
      </c>
      <c r="AG309" s="839">
        <f t="shared" si="124"/>
        <v>3</v>
      </c>
      <c r="AH309" s="178">
        <f t="shared" si="119"/>
        <v>9</v>
      </c>
      <c r="AI309" s="227">
        <f t="shared" si="120"/>
        <v>3.897845308692343</v>
      </c>
      <c r="AJ309" s="267" t="b">
        <f t="shared" si="121"/>
        <v>0</v>
      </c>
      <c r="AK309" s="267" t="b">
        <f t="shared" si="122"/>
        <v>0</v>
      </c>
      <c r="AL309" s="267"/>
      <c r="AM309" s="267"/>
      <c r="AN309" s="75"/>
    </row>
    <row r="310" spans="1:40" s="6" customFormat="1" ht="11.25" x14ac:dyDescent="0.2">
      <c r="A310" s="56">
        <f t="shared" si="123"/>
        <v>46683</v>
      </c>
      <c r="B310" s="413">
        <f>'2026'!Wh/'2026'!Env_an*'2027'!Env_an</f>
        <v>15.508155816977302</v>
      </c>
      <c r="C310" s="868"/>
      <c r="D310" s="395">
        <f t="shared" si="102"/>
        <v>16.773358147048196</v>
      </c>
      <c r="E310" s="387">
        <f t="shared" si="125"/>
        <v>18.955501178806678</v>
      </c>
      <c r="F310" s="387">
        <f t="shared" si="103"/>
        <v>19.066138465198165</v>
      </c>
      <c r="G310" s="110">
        <f t="shared" si="126"/>
        <v>0.63483847899434154</v>
      </c>
      <c r="H310" s="416" t="b">
        <f>Wh_hp&gt;='2026'!Maxi_hp</f>
        <v>0</v>
      </c>
      <c r="I310" s="392">
        <f>IF(H310,Wh_hp,'2026'!Maxi_hp)</f>
        <v>30.486938678311564</v>
      </c>
      <c r="J310" s="85">
        <f>IF(H310,An,'2026'!An_max)</f>
        <v>2021</v>
      </c>
      <c r="K310" s="199">
        <f t="shared" si="104"/>
        <v>46683</v>
      </c>
      <c r="L310" s="147">
        <f>IF(t&lt;Tvie,1-EXP((T0-t)*PertePVj)+'2026'!Pspv,1-EXP((T0-t)*PertePVj)+Pspv)</f>
        <v>7.5429280110706154E-2</v>
      </c>
      <c r="M310" s="872"/>
      <c r="N310" s="872"/>
      <c r="O310" s="48">
        <f>IF(t&lt;Tnet,'2026'!Resal+('2026'!Salim-'2026'!Resal)*(1-EXP(('2026'!Tnet-t)/('2026'!Tau_j))),Resal+(Salim-Resal)*(1-EXP((Tnet-t)/(Tau_j))))*Salcycl</f>
        <v>0.11511924750363443</v>
      </c>
      <c r="P310" s="171">
        <f>(INDEX(Models!$BJ310:$BT310,,T310)*(1-R310)+INDEX(Models!$BJ310:$BT310,,T310+1)*R310-ERP_i)*Q310*Ramure*Pc/MaxiM</f>
        <v>1.1988819805426345E-2</v>
      </c>
      <c r="Q310" s="307">
        <f t="shared" si="105"/>
        <v>0.9</v>
      </c>
      <c r="R310" s="179">
        <f t="shared" si="106"/>
        <v>0.26230334293991442</v>
      </c>
      <c r="S310" s="839">
        <f t="shared" si="107"/>
        <v>-1</v>
      </c>
      <c r="T310" s="178">
        <f t="shared" si="108"/>
        <v>5</v>
      </c>
      <c r="U310" s="253">
        <f t="shared" si="109"/>
        <v>-0.73769665706008558</v>
      </c>
      <c r="V310" s="385">
        <f t="shared" si="110"/>
        <v>24.276509500708308</v>
      </c>
      <c r="W310" s="404">
        <f t="shared" si="111"/>
        <v>15.508155816977302</v>
      </c>
      <c r="X310" s="157">
        <f t="shared" si="112"/>
        <v>46683</v>
      </c>
      <c r="Y310" s="387">
        <f t="shared" si="113"/>
        <v>13.604569021501556</v>
      </c>
      <c r="Z310" s="387">
        <f t="shared" si="114"/>
        <v>14.714470974303122</v>
      </c>
      <c r="AA310" s="388">
        <f t="shared" si="115"/>
        <v>17.898021152446717</v>
      </c>
      <c r="AB310" s="199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0.17787162899337586</v>
      </c>
      <c r="AD310" s="233">
        <f>(INDEX(Models!$BJ310:$BT310,,AH310)*(1-AF310)+INDEX(Models!$BJ310:$BT310,,AH310+1)*AF310-ERP_i)*AE310*Ramure*Pc/MaxiM</f>
        <v>0.12657891774950172</v>
      </c>
      <c r="AE310" s="307">
        <f t="shared" si="117"/>
        <v>0.9</v>
      </c>
      <c r="AF310" s="179">
        <f t="shared" si="118"/>
        <v>0.89795899524689338</v>
      </c>
      <c r="AG310" s="839">
        <f t="shared" si="124"/>
        <v>3</v>
      </c>
      <c r="AH310" s="178">
        <f t="shared" si="119"/>
        <v>9</v>
      </c>
      <c r="AI310" s="227">
        <f t="shared" si="120"/>
        <v>3.8979589952468934</v>
      </c>
      <c r="AJ310" s="267" t="b">
        <f t="shared" si="121"/>
        <v>0</v>
      </c>
      <c r="AK310" s="267" t="b">
        <f t="shared" si="122"/>
        <v>0</v>
      </c>
      <c r="AL310" s="267"/>
      <c r="AM310" s="267"/>
      <c r="AN310" s="75"/>
    </row>
    <row r="311" spans="1:40" s="6" customFormat="1" ht="11.25" x14ac:dyDescent="0.2">
      <c r="A311" s="56">
        <f t="shared" si="123"/>
        <v>46684</v>
      </c>
      <c r="B311" s="413">
        <f>'2026'!Wh/'2026'!Env_an*'2027'!Env_an</f>
        <v>18.340699698513166</v>
      </c>
      <c r="C311" s="868"/>
      <c r="D311" s="395">
        <f t="shared" si="102"/>
        <v>19.837451185473572</v>
      </c>
      <c r="E311" s="387">
        <f t="shared" si="125"/>
        <v>22.418696044603156</v>
      </c>
      <c r="F311" s="387">
        <f t="shared" si="103"/>
        <v>22.610884832956934</v>
      </c>
      <c r="G311" s="110">
        <f t="shared" si="126"/>
        <v>0.7618957887261768</v>
      </c>
      <c r="H311" s="416" t="b">
        <f>Wh_hp&gt;='2026'!Maxi_hp</f>
        <v>0</v>
      </c>
      <c r="I311" s="392">
        <f>IF(H311,Wh_hp,'2026'!Maxi_hp)</f>
        <v>30.713396956245166</v>
      </c>
      <c r="J311" s="85">
        <f>IF(H311,An,'2026'!An_max)</f>
        <v>2021</v>
      </c>
      <c r="K311" s="199">
        <f t="shared" si="104"/>
        <v>46684</v>
      </c>
      <c r="L311" s="147">
        <f>IF(t&lt;Tvie,1-EXP((T0-t)*PertePVj)+'2026'!Pspv,1-EXP((T0-t)*PertePVj)+Pspv)</f>
        <v>7.545079622206885E-2</v>
      </c>
      <c r="M311" s="872"/>
      <c r="N311" s="872"/>
      <c r="O311" s="48">
        <f>IF(t&lt;Tnet,'2026'!Resal+('2026'!Salim-'2026'!Resal)*(1-EXP(('2026'!Tnet-t)/('2026'!Tau_j))),Resal+(Salim-Resal)*(1-EXP((Tnet-t)/(Tau_j))))*Salcycl</f>
        <v>0.11513804611981286</v>
      </c>
      <c r="P311" s="171">
        <f>(INDEX(Models!$BJ311:$BT311,,T311)*(1-R311)+INDEX(Models!$BJ311:$BT311,,T311+1)*R311-ERP_i)*Q311*Ramure*Pc/MaxiM</f>
        <v>1.2789767489454221E-2</v>
      </c>
      <c r="Q311" s="307">
        <f t="shared" si="105"/>
        <v>0.9</v>
      </c>
      <c r="R311" s="179">
        <f t="shared" si="106"/>
        <v>0.26241248695726416</v>
      </c>
      <c r="S311" s="839">
        <f t="shared" si="107"/>
        <v>-1</v>
      </c>
      <c r="T311" s="178">
        <f t="shared" si="108"/>
        <v>5</v>
      </c>
      <c r="U311" s="253">
        <f t="shared" si="109"/>
        <v>-0.73758751304273584</v>
      </c>
      <c r="V311" s="385">
        <f t="shared" si="110"/>
        <v>23.968297371326873</v>
      </c>
      <c r="W311" s="404">
        <f t="shared" si="111"/>
        <v>18.340699698513166</v>
      </c>
      <c r="X311" s="157">
        <f t="shared" si="112"/>
        <v>46684</v>
      </c>
      <c r="Y311" s="387">
        <f t="shared" si="113"/>
        <v>15.700713310061808</v>
      </c>
      <c r="Z311" s="387">
        <f t="shared" si="114"/>
        <v>16.982020260149383</v>
      </c>
      <c r="AA311" s="388">
        <f t="shared" si="115"/>
        <v>20.65346311722184</v>
      </c>
      <c r="AB311" s="199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0.17776403096345775</v>
      </c>
      <c r="AD311" s="233">
        <f>(INDEX(Models!$BJ311:$BT311,,AH311)*(1-AF311)+INDEX(Models!$BJ311:$BT311,,AH311+1)*AF311-ERP_i)*AE311*Ramure*Pc/MaxiM</f>
        <v>0.13026237814131281</v>
      </c>
      <c r="AE311" s="307">
        <f t="shared" si="117"/>
        <v>0.9</v>
      </c>
      <c r="AF311" s="179">
        <f t="shared" si="118"/>
        <v>0.89806813926424311</v>
      </c>
      <c r="AG311" s="839">
        <f t="shared" si="124"/>
        <v>3</v>
      </c>
      <c r="AH311" s="178">
        <f t="shared" si="119"/>
        <v>9</v>
      </c>
      <c r="AI311" s="227">
        <f t="shared" si="120"/>
        <v>3.8980681392642431</v>
      </c>
      <c r="AJ311" s="267" t="b">
        <f t="shared" si="121"/>
        <v>0</v>
      </c>
      <c r="AK311" s="267" t="b">
        <f t="shared" si="122"/>
        <v>0</v>
      </c>
      <c r="AL311" s="267"/>
      <c r="AM311" s="267"/>
      <c r="AN311" s="75"/>
    </row>
    <row r="312" spans="1:40" s="6" customFormat="1" ht="11.25" x14ac:dyDescent="0.2">
      <c r="A312" s="56">
        <f t="shared" si="123"/>
        <v>46685</v>
      </c>
      <c r="B312" s="413">
        <f>'2026'!Wh/'2026'!Env_an*'2027'!Env_an</f>
        <v>16.957930013651094</v>
      </c>
      <c r="C312" s="868"/>
      <c r="D312" s="395">
        <f t="shared" si="102"/>
        <v>18.342263007035871</v>
      </c>
      <c r="E312" s="387">
        <f t="shared" si="125"/>
        <v>20.729356902373578</v>
      </c>
      <c r="F312" s="387">
        <f t="shared" si="103"/>
        <v>20.89907797473056</v>
      </c>
      <c r="G312" s="110">
        <f t="shared" si="126"/>
        <v>0.71265866000837697</v>
      </c>
      <c r="H312" s="416" t="b">
        <f>Wh_hp&gt;='2026'!Maxi_hp</f>
        <v>0</v>
      </c>
      <c r="I312" s="392">
        <f>IF(H312,Wh_hp,'2026'!Maxi_hp)</f>
        <v>29.429997890434077</v>
      </c>
      <c r="J312" s="85">
        <f>IF(H312,An,'2026'!An_max)</f>
        <v>2021</v>
      </c>
      <c r="K312" s="199">
        <f t="shared" si="104"/>
        <v>46685</v>
      </c>
      <c r="L312" s="147">
        <f>IF(t&lt;Tvie,1-EXP((T0-t)*PertePVj)+'2026'!Pspv,1-EXP((T0-t)*PertePVj)+Pspv)</f>
        <v>7.5472311832720185E-2</v>
      </c>
      <c r="M312" s="872"/>
      <c r="N312" s="872"/>
      <c r="O312" s="48">
        <f>IF(t&lt;Tnet,'2026'!Resal+('2026'!Salim-'2026'!Resal)*(1-EXP(('2026'!Tnet-t)/('2026'!Tau_j))),Resal+(Salim-Resal)*(1-EXP((Tnet-t)/(Tau_j))))*Salcycl</f>
        <v>0.11515523161571772</v>
      </c>
      <c r="P312" s="171">
        <f>(INDEX(Models!$BJ312:$BT312,,T312)*(1-R312)+INDEX(Models!$BJ312:$BT312,,T312+1)*R312-ERP_i)*Q312*Ramure*Pc/MaxiM</f>
        <v>1.3643830898537827E-2</v>
      </c>
      <c r="Q312" s="307">
        <f t="shared" si="105"/>
        <v>0.9</v>
      </c>
      <c r="R312" s="179">
        <f t="shared" si="106"/>
        <v>0.2625172686012357</v>
      </c>
      <c r="S312" s="839">
        <f t="shared" si="107"/>
        <v>-1</v>
      </c>
      <c r="T312" s="178">
        <f t="shared" si="108"/>
        <v>5</v>
      </c>
      <c r="U312" s="253">
        <f t="shared" si="109"/>
        <v>-0.7374827313987643</v>
      </c>
      <c r="V312" s="385">
        <f t="shared" si="110"/>
        <v>23.662810960983958</v>
      </c>
      <c r="W312" s="404">
        <f t="shared" si="111"/>
        <v>16.957930013651094</v>
      </c>
      <c r="X312" s="157">
        <f t="shared" si="112"/>
        <v>46685</v>
      </c>
      <c r="Y312" s="387">
        <f t="shared" si="113"/>
        <v>14.621675736071964</v>
      </c>
      <c r="Z312" s="387">
        <f t="shared" si="114"/>
        <v>15.815292417101071</v>
      </c>
      <c r="AA312" s="388">
        <f t="shared" si="115"/>
        <v>19.231927977497087</v>
      </c>
      <c r="AB312" s="199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0.1776543446082865</v>
      </c>
      <c r="AD312" s="233">
        <f>(INDEX(Models!$BJ312:$BT312,,AH312)*(1-AF312)+INDEX(Models!$BJ312:$BT312,,AH312+1)*AF312-ERP_i)*AE312*Ramure*Pc/MaxiM</f>
        <v>0.13402173536181786</v>
      </c>
      <c r="AE312" s="307">
        <f t="shared" si="117"/>
        <v>0.9</v>
      </c>
      <c r="AF312" s="179">
        <f t="shared" si="118"/>
        <v>0.89817292090821477</v>
      </c>
      <c r="AG312" s="839">
        <f t="shared" si="124"/>
        <v>3</v>
      </c>
      <c r="AH312" s="178">
        <f t="shared" si="119"/>
        <v>9</v>
      </c>
      <c r="AI312" s="227">
        <f t="shared" si="120"/>
        <v>3.8981729209082148</v>
      </c>
      <c r="AJ312" s="267" t="b">
        <f t="shared" si="121"/>
        <v>0</v>
      </c>
      <c r="AK312" s="267" t="b">
        <f t="shared" si="122"/>
        <v>0</v>
      </c>
      <c r="AL312" s="267"/>
      <c r="AM312" s="267"/>
      <c r="AN312" s="75"/>
    </row>
    <row r="313" spans="1:40" s="6" customFormat="1" ht="11.25" x14ac:dyDescent="0.2">
      <c r="A313" s="56">
        <f t="shared" si="123"/>
        <v>46686</v>
      </c>
      <c r="B313" s="413">
        <f>'2026'!Wh/'2026'!Env_an*'2027'!Env_an</f>
        <v>13.437939261281381</v>
      </c>
      <c r="C313" s="868"/>
      <c r="D313" s="395">
        <f t="shared" si="102"/>
        <v>14.535261800191465</v>
      </c>
      <c r="E313" s="387">
        <f t="shared" si="125"/>
        <v>16.427197405886243</v>
      </c>
      <c r="F313" s="387">
        <f t="shared" si="103"/>
        <v>16.521744124235482</v>
      </c>
      <c r="G313" s="110">
        <f t="shared" si="126"/>
        <v>0.57015102992059485</v>
      </c>
      <c r="H313" s="416" t="b">
        <f>Wh_hp&gt;='2026'!Maxi_hp</f>
        <v>0</v>
      </c>
      <c r="I313" s="392">
        <f>IF(H313,Wh_hp,'2026'!Maxi_hp)</f>
        <v>29.199862154592079</v>
      </c>
      <c r="J313" s="85">
        <f>IF(H313,An,'2026'!An_max)</f>
        <v>2019</v>
      </c>
      <c r="K313" s="199">
        <f t="shared" si="104"/>
        <v>46686</v>
      </c>
      <c r="L313" s="147">
        <f>IF(t&lt;Tvie,1-EXP((T0-t)*PertePVj)+'2026'!Pspv,1-EXP((T0-t)*PertePVj)+Pspv)</f>
        <v>7.5493826942671927E-2</v>
      </c>
      <c r="M313" s="872"/>
      <c r="N313" s="872"/>
      <c r="O313" s="48">
        <f>IF(t&lt;Tnet,'2026'!Resal+('2026'!Salim-'2026'!Resal)*(1-EXP(('2026'!Tnet-t)/('2026'!Tau_j))),Resal+(Salim-Resal)*(1-EXP((Tnet-t)/(Tau_j))))*Salcycl</f>
        <v>0.11517093019268484</v>
      </c>
      <c r="P313" s="171">
        <f>(INDEX(Models!$BJ313:$BT313,,T313)*(1-R313)+INDEX(Models!$BJ313:$BT313,,T313+1)*R313-ERP_i)*Q313*Ramure*Pc/MaxiM</f>
        <v>1.4552768257300034E-2</v>
      </c>
      <c r="Q313" s="307">
        <f t="shared" si="105"/>
        <v>0.9</v>
      </c>
      <c r="R313" s="179">
        <f t="shared" si="106"/>
        <v>0.26261786099555706</v>
      </c>
      <c r="S313" s="839">
        <f t="shared" si="107"/>
        <v>-1</v>
      </c>
      <c r="T313" s="178">
        <f t="shared" si="108"/>
        <v>5</v>
      </c>
      <c r="U313" s="253">
        <f t="shared" si="109"/>
        <v>-0.73738213900444294</v>
      </c>
      <c r="V313" s="385">
        <f t="shared" si="110"/>
        <v>23.359769344634834</v>
      </c>
      <c r="W313" s="404">
        <f t="shared" si="111"/>
        <v>13.437939261281381</v>
      </c>
      <c r="X313" s="157">
        <f t="shared" si="112"/>
        <v>46686</v>
      </c>
      <c r="Y313" s="387">
        <f t="shared" si="113"/>
        <v>11.881563787048183</v>
      </c>
      <c r="Z313" s="387">
        <f t="shared" si="114"/>
        <v>12.851794972613357</v>
      </c>
      <c r="AA313" s="388">
        <f t="shared" si="115"/>
        <v>15.626095166325497</v>
      </c>
      <c r="AB313" s="199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0.1775427683104609</v>
      </c>
      <c r="AD313" s="233">
        <f>(INDEX(Models!$BJ313:$BT313,,AH313)*(1-AF313)+INDEX(Models!$BJ313:$BT313,,AH313+1)*AF313-ERP_i)*AE313*Ramure*Pc/MaxiM</f>
        <v>0.13785958890937078</v>
      </c>
      <c r="AE313" s="307">
        <f t="shared" si="117"/>
        <v>0.9</v>
      </c>
      <c r="AF313" s="179">
        <f t="shared" si="118"/>
        <v>0.89827351330253613</v>
      </c>
      <c r="AG313" s="839">
        <f t="shared" si="124"/>
        <v>3</v>
      </c>
      <c r="AH313" s="178">
        <f t="shared" si="119"/>
        <v>9</v>
      </c>
      <c r="AI313" s="227">
        <f t="shared" si="120"/>
        <v>3.8982735133025361</v>
      </c>
      <c r="AJ313" s="267" t="b">
        <f t="shared" si="121"/>
        <v>0</v>
      </c>
      <c r="AK313" s="267" t="b">
        <f t="shared" si="122"/>
        <v>0</v>
      </c>
      <c r="AL313" s="267"/>
      <c r="AM313" s="267"/>
      <c r="AN313" s="75"/>
    </row>
    <row r="314" spans="1:40" s="6" customFormat="1" ht="11.25" x14ac:dyDescent="0.2">
      <c r="A314" s="56">
        <f t="shared" si="123"/>
        <v>46687</v>
      </c>
      <c r="B314" s="413">
        <f>'2026'!Wh/'2026'!Env_an*'2027'!Env_an</f>
        <v>10.743251506778007</v>
      </c>
      <c r="C314" s="868"/>
      <c r="D314" s="395">
        <f t="shared" si="102"/>
        <v>11.620800203231862</v>
      </c>
      <c r="E314" s="387">
        <f t="shared" si="125"/>
        <v>13.133597206746078</v>
      </c>
      <c r="F314" s="387">
        <f t="shared" si="103"/>
        <v>13.182080567347903</v>
      </c>
      <c r="G314" s="110">
        <f t="shared" si="126"/>
        <v>0.46036805249678903</v>
      </c>
      <c r="H314" s="416" t="b">
        <f>Wh_hp&gt;='2026'!Maxi_hp</f>
        <v>0</v>
      </c>
      <c r="I314" s="392">
        <f>IF(H314,Wh_hp,'2026'!Maxi_hp)</f>
        <v>29.266376232509479</v>
      </c>
      <c r="J314" s="85">
        <f>IF(H314,An,'2026'!An_max)</f>
        <v>2021</v>
      </c>
      <c r="K314" s="199">
        <f t="shared" si="104"/>
        <v>46687</v>
      </c>
      <c r="L314" s="147">
        <f>IF(t&lt;Tvie,1-EXP((T0-t)*PertePVj)+'2026'!Pspv,1-EXP((T0-t)*PertePVj)+Pspv)</f>
        <v>7.5515341551935511E-2</v>
      </c>
      <c r="M314" s="872"/>
      <c r="N314" s="872"/>
      <c r="O314" s="48">
        <f>IF(t&lt;Tnet,'2026'!Resal+('2026'!Salim-'2026'!Resal)*(1-EXP(('2026'!Tnet-t)/('2026'!Tau_j))),Resal+(Salim-Resal)*(1-EXP((Tnet-t)/(Tau_j))))*Salcycl</f>
        <v>0.11518527481086199</v>
      </c>
      <c r="P314" s="171">
        <f>(INDEX(Models!$BJ314:$BT314,,T314)*(1-R314)+INDEX(Models!$BJ314:$BT314,,T314+1)*R314-ERP_i)*Q314*Ramure*Pc/MaxiM</f>
        <v>1.5518419206836012E-2</v>
      </c>
      <c r="Q314" s="307">
        <f t="shared" si="105"/>
        <v>0.9</v>
      </c>
      <c r="R314" s="179">
        <f t="shared" si="106"/>
        <v>0.26271443049064525</v>
      </c>
      <c r="S314" s="839">
        <f t="shared" si="107"/>
        <v>-1</v>
      </c>
      <c r="T314" s="178">
        <f t="shared" si="108"/>
        <v>5</v>
      </c>
      <c r="U314" s="253">
        <f t="shared" si="109"/>
        <v>-0.73728556950935475</v>
      </c>
      <c r="V314" s="385">
        <f t="shared" si="110"/>
        <v>23.058891671423257</v>
      </c>
      <c r="W314" s="404">
        <f t="shared" si="111"/>
        <v>10.743251506778007</v>
      </c>
      <c r="X314" s="157">
        <f t="shared" si="112"/>
        <v>46687</v>
      </c>
      <c r="Y314" s="387">
        <f t="shared" si="113"/>
        <v>9.6875188781445267</v>
      </c>
      <c r="Z314" s="387">
        <f t="shared" si="114"/>
        <v>10.478831411228605</v>
      </c>
      <c r="AA314" s="388">
        <f t="shared" si="115"/>
        <v>12.739128794118102</v>
      </c>
      <c r="AB314" s="199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0.17742951024508988</v>
      </c>
      <c r="AD314" s="233">
        <f>(INDEX(Models!$BJ314:$BT314,,AH314)*(1-AF314)+INDEX(Models!$BJ314:$BT314,,AH314+1)*AF314-ERP_i)*AE314*Ramure*Pc/MaxiM</f>
        <v>0.14177877152213869</v>
      </c>
      <c r="AE314" s="307">
        <f t="shared" si="117"/>
        <v>0.9</v>
      </c>
      <c r="AF314" s="179">
        <f t="shared" si="118"/>
        <v>0.8983700827976242</v>
      </c>
      <c r="AG314" s="839">
        <f t="shared" si="124"/>
        <v>3</v>
      </c>
      <c r="AH314" s="178">
        <f t="shared" si="119"/>
        <v>9</v>
      </c>
      <c r="AI314" s="227">
        <f t="shared" si="120"/>
        <v>3.8983700827976242</v>
      </c>
      <c r="AJ314" s="267" t="b">
        <f t="shared" si="121"/>
        <v>0</v>
      </c>
      <c r="AK314" s="267" t="b">
        <f t="shared" si="122"/>
        <v>0</v>
      </c>
      <c r="AL314" s="267"/>
      <c r="AM314" s="267"/>
      <c r="AN314" s="75"/>
    </row>
    <row r="315" spans="1:40" s="6" customFormat="1" ht="11.25" x14ac:dyDescent="0.2">
      <c r="A315" s="56">
        <f t="shared" si="123"/>
        <v>46688</v>
      </c>
      <c r="B315" s="413">
        <f>'2026'!Wh/'2026'!Env_an*'2027'!Env_an</f>
        <v>14.623225682126312</v>
      </c>
      <c r="C315" s="868"/>
      <c r="D315" s="395">
        <f t="shared" si="102"/>
        <v>15.818073193793476</v>
      </c>
      <c r="E315" s="387">
        <f t="shared" si="125"/>
        <v>17.877536928491669</v>
      </c>
      <c r="F315" s="387">
        <f t="shared" si="103"/>
        <v>18.023420382640566</v>
      </c>
      <c r="G315" s="110">
        <f t="shared" si="126"/>
        <v>0.6370271135993707</v>
      </c>
      <c r="H315" s="416" t="b">
        <f>Wh_hp&gt;='2026'!Maxi_hp</f>
        <v>0</v>
      </c>
      <c r="I315" s="392">
        <f>IF(H315,Wh_hp,'2026'!Maxi_hp)</f>
        <v>28.371022569697843</v>
      </c>
      <c r="J315" s="85">
        <f>IF(H315,An,'2026'!An_max)</f>
        <v>2021</v>
      </c>
      <c r="K315" s="199">
        <f t="shared" si="104"/>
        <v>46688</v>
      </c>
      <c r="L315" s="147">
        <f>IF(t&lt;Tvie,1-EXP((T0-t)*PertePVj)+'2026'!Pspv,1-EXP((T0-t)*PertePVj)+Pspv)</f>
        <v>7.5536855660522817E-2</v>
      </c>
      <c r="M315" s="872"/>
      <c r="N315" s="872"/>
      <c r="O315" s="48">
        <f>IF(t&lt;Tnet,'2026'!Resal+('2026'!Salim-'2026'!Resal)*(1-EXP(('2026'!Tnet-t)/('2026'!Tau_j))),Resal+(Salim-Resal)*(1-EXP((Tnet-t)/(Tau_j))))*Salcycl</f>
        <v>0.11519840473191799</v>
      </c>
      <c r="P315" s="171">
        <f>(INDEX(Models!$BJ315:$BT315,,T315)*(1-R315)+INDEX(Models!$BJ315:$BT315,,T315+1)*R315-ERP_i)*Q315*Ramure*Pc/MaxiM</f>
        <v>1.6542713564824427E-2</v>
      </c>
      <c r="Q315" s="307">
        <f t="shared" si="105"/>
        <v>0.9</v>
      </c>
      <c r="R315" s="179">
        <f t="shared" si="106"/>
        <v>0.26280713692094015</v>
      </c>
      <c r="S315" s="839">
        <f t="shared" si="107"/>
        <v>-1</v>
      </c>
      <c r="T315" s="178">
        <f t="shared" si="108"/>
        <v>5</v>
      </c>
      <c r="U315" s="253">
        <f t="shared" si="109"/>
        <v>-0.73719286307905985</v>
      </c>
      <c r="V315" s="385">
        <f t="shared" si="110"/>
        <v>22.759897195666571</v>
      </c>
      <c r="W315" s="404">
        <f t="shared" si="111"/>
        <v>14.623225682126312</v>
      </c>
      <c r="X315" s="157">
        <f t="shared" si="112"/>
        <v>46688</v>
      </c>
      <c r="Y315" s="387">
        <f t="shared" si="113"/>
        <v>12.729821577877075</v>
      </c>
      <c r="Z315" s="387">
        <f t="shared" si="114"/>
        <v>13.769961145365562</v>
      </c>
      <c r="AA315" s="388">
        <f t="shared" si="115"/>
        <v>16.737825037460887</v>
      </c>
      <c r="AB315" s="199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0.17731478764134265</v>
      </c>
      <c r="AD315" s="233">
        <f>(INDEX(Models!$BJ315:$BT315,,AH315)*(1-AF315)+INDEX(Models!$BJ315:$BT315,,AH315+1)*AF315-ERP_i)*AE315*Ramure*Pc/MaxiM</f>
        <v>0.14578236908122877</v>
      </c>
      <c r="AE315" s="307">
        <f t="shared" si="117"/>
        <v>0.9</v>
      </c>
      <c r="AF315" s="179">
        <f t="shared" si="118"/>
        <v>0.89846278922791889</v>
      </c>
      <c r="AG315" s="839">
        <f t="shared" si="124"/>
        <v>3</v>
      </c>
      <c r="AH315" s="178">
        <f t="shared" si="119"/>
        <v>9</v>
      </c>
      <c r="AI315" s="227">
        <f t="shared" si="120"/>
        <v>3.8984627892279189</v>
      </c>
      <c r="AJ315" s="267" t="b">
        <f t="shared" si="121"/>
        <v>0</v>
      </c>
      <c r="AK315" s="267" t="b">
        <f t="shared" si="122"/>
        <v>0</v>
      </c>
      <c r="AL315" s="267"/>
      <c r="AM315" s="267"/>
      <c r="AN315" s="75"/>
    </row>
    <row r="316" spans="1:40" s="6" customFormat="1" ht="11.25" x14ac:dyDescent="0.2">
      <c r="A316" s="56">
        <f t="shared" si="123"/>
        <v>46689</v>
      </c>
      <c r="B316" s="413">
        <f>'2026'!Wh/'2026'!Env_an*'2027'!Env_an</f>
        <v>18.568355242953352</v>
      </c>
      <c r="C316" s="868"/>
      <c r="D316" s="395">
        <f t="shared" si="102"/>
        <v>20.086022335730735</v>
      </c>
      <c r="E316" s="387">
        <f t="shared" si="125"/>
        <v>22.701469153398115</v>
      </c>
      <c r="F316" s="387">
        <f t="shared" si="103"/>
        <v>23.00658253619579</v>
      </c>
      <c r="G316" s="110">
        <f t="shared" si="126"/>
        <v>0.82298043069294768</v>
      </c>
      <c r="H316" s="416" t="b">
        <f>Wh_hp&gt;='2026'!Maxi_hp</f>
        <v>0</v>
      </c>
      <c r="I316" s="392">
        <f>IF(H316,Wh_hp,'2026'!Maxi_hp)</f>
        <v>25.15927908632538</v>
      </c>
      <c r="J316" s="85">
        <f>IF(H316,An,'2026'!An_max)</f>
        <v>2019</v>
      </c>
      <c r="K316" s="199">
        <f t="shared" si="104"/>
        <v>46689</v>
      </c>
      <c r="L316" s="147">
        <f>IF(t&lt;Tvie,1-EXP((T0-t)*PertePVj)+'2026'!Pspv,1-EXP((T0-t)*PertePVj)+Pspv)</f>
        <v>7.555836926844528E-2</v>
      </c>
      <c r="M316" s="872"/>
      <c r="N316" s="872"/>
      <c r="O316" s="48">
        <f>IF(t&lt;Tnet,'2026'!Resal+('2026'!Salim-'2026'!Resal)*(1-EXP(('2026'!Tnet-t)/('2026'!Tau_j))),Resal+(Salim-Resal)*(1-EXP((Tnet-t)/(Tau_j))))*Salcycl</f>
        <v>0.11521046501415001</v>
      </c>
      <c r="P316" s="171">
        <f>(INDEX(Models!$BJ316:$BT316,,T316)*(1-R316)+INDEX(Models!$BJ316:$BT316,,T316+1)*R316-ERP_i)*Q316*Ramure*Pc/MaxiM</f>
        <v>1.7627681027012801E-2</v>
      </c>
      <c r="Q316" s="307">
        <f t="shared" si="105"/>
        <v>0.9</v>
      </c>
      <c r="R316" s="179">
        <f t="shared" si="106"/>
        <v>0.26289613385307076</v>
      </c>
      <c r="S316" s="839">
        <f t="shared" si="107"/>
        <v>-1</v>
      </c>
      <c r="T316" s="178">
        <f t="shared" si="108"/>
        <v>5</v>
      </c>
      <c r="U316" s="253">
        <f t="shared" si="109"/>
        <v>-0.73710386614692924</v>
      </c>
      <c r="V316" s="385">
        <f t="shared" si="110"/>
        <v>22.462505295664904</v>
      </c>
      <c r="W316" s="404">
        <f t="shared" si="111"/>
        <v>18.568355242953352</v>
      </c>
      <c r="X316" s="157">
        <f t="shared" si="112"/>
        <v>46689</v>
      </c>
      <c r="Y316" s="387">
        <f t="shared" si="113"/>
        <v>15.52635814250657</v>
      </c>
      <c r="Z316" s="387">
        <f t="shared" si="114"/>
        <v>16.795390456636859</v>
      </c>
      <c r="AA316" s="388">
        <f t="shared" si="115"/>
        <v>20.412453198702909</v>
      </c>
      <c r="AB316" s="199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0.17719882597432685</v>
      </c>
      <c r="AD316" s="233">
        <f>(INDEX(Models!$BJ316:$BT316,,AH316)*(1-AF316)+INDEX(Models!$BJ316:$BT316,,AH316+1)*AF316-ERP_i)*AE316*Ramure*Pc/MaxiM</f>
        <v>0.14987374229488851</v>
      </c>
      <c r="AE316" s="307">
        <f t="shared" si="117"/>
        <v>0.9</v>
      </c>
      <c r="AF316" s="179">
        <f t="shared" si="118"/>
        <v>0.89855178616004983</v>
      </c>
      <c r="AG316" s="839">
        <f t="shared" si="124"/>
        <v>3</v>
      </c>
      <c r="AH316" s="178">
        <f t="shared" si="119"/>
        <v>9</v>
      </c>
      <c r="AI316" s="227">
        <f t="shared" si="120"/>
        <v>3.8985517861600498</v>
      </c>
      <c r="AJ316" s="267" t="b">
        <f t="shared" si="121"/>
        <v>0</v>
      </c>
      <c r="AK316" s="267" t="b">
        <f t="shared" si="122"/>
        <v>0</v>
      </c>
      <c r="AL316" s="267"/>
      <c r="AM316" s="267"/>
      <c r="AN316" s="75"/>
    </row>
    <row r="317" spans="1:40" s="6" customFormat="1" ht="11.25" x14ac:dyDescent="0.2">
      <c r="A317" s="56">
        <f t="shared" si="123"/>
        <v>46690</v>
      </c>
      <c r="B317" s="413">
        <f>'2026'!Wh/'2026'!Env_an*'2027'!Env_an</f>
        <v>16.004790530635173</v>
      </c>
      <c r="C317" s="868"/>
      <c r="D317" s="395">
        <f t="shared" si="102"/>
        <v>17.313329973569491</v>
      </c>
      <c r="E317" s="387">
        <f t="shared" si="125"/>
        <v>19.567984582634782</v>
      </c>
      <c r="F317" s="387">
        <f t="shared" si="103"/>
        <v>19.792026830171991</v>
      </c>
      <c r="G317" s="110">
        <f t="shared" si="126"/>
        <v>0.71658672843910176</v>
      </c>
      <c r="H317" s="416" t="b">
        <f>Wh_hp&gt;='2026'!Maxi_hp</f>
        <v>0</v>
      </c>
      <c r="I317" s="392">
        <f>IF(H317,Wh_hp,'2026'!Maxi_hp)</f>
        <v>25.463678721185552</v>
      </c>
      <c r="J317" s="85">
        <f>IF(H317,An,'2026'!An_max)</f>
        <v>2020</v>
      </c>
      <c r="K317" s="199">
        <f t="shared" si="104"/>
        <v>46690</v>
      </c>
      <c r="L317" s="147">
        <f>IF(t&lt;Tvie,1-EXP((T0-t)*PertePVj)+'2026'!Pspv,1-EXP((T0-t)*PertePVj)+Pspv)</f>
        <v>7.557988237571478E-2</v>
      </c>
      <c r="M317" s="872"/>
      <c r="N317" s="872"/>
      <c r="O317" s="48">
        <f>IF(t&lt;Tnet,'2026'!Resal+('2026'!Salim-'2026'!Resal)*(1-EXP(('2026'!Tnet-t)/('2026'!Tau_j))),Resal+(Salim-Resal)*(1-EXP((Tnet-t)/(Tau_j))))*Salcycl</f>
        <v>0.11522160596273871</v>
      </c>
      <c r="P317" s="171">
        <f>(INDEX(Models!$BJ317:$BT317,,T317)*(1-R317)+INDEX(Models!$BJ317:$BT317,,T317+1)*R317-ERP_i)*Q317*Ramure*Pc/MaxiM</f>
        <v>1.8775550679969798E-2</v>
      </c>
      <c r="Q317" s="307">
        <f t="shared" si="105"/>
        <v>0.9</v>
      </c>
      <c r="R317" s="179">
        <f t="shared" si="106"/>
        <v>0.26298156882513057</v>
      </c>
      <c r="S317" s="839">
        <f t="shared" si="107"/>
        <v>-1</v>
      </c>
      <c r="T317" s="178">
        <f t="shared" si="108"/>
        <v>5</v>
      </c>
      <c r="U317" s="253">
        <f t="shared" si="109"/>
        <v>-0.73701843117486943</v>
      </c>
      <c r="V317" s="385">
        <f t="shared" si="110"/>
        <v>22.166328674657279</v>
      </c>
      <c r="W317" s="404">
        <f t="shared" si="111"/>
        <v>16.004790530635173</v>
      </c>
      <c r="X317" s="157">
        <f t="shared" si="112"/>
        <v>46690</v>
      </c>
      <c r="Y317" s="387">
        <f t="shared" si="113"/>
        <v>13.657786624601187</v>
      </c>
      <c r="Z317" s="387">
        <f t="shared" si="114"/>
        <v>14.774436821757011</v>
      </c>
      <c r="AA317" s="388">
        <f t="shared" si="115"/>
        <v>17.953713825653367</v>
      </c>
      <c r="AB317" s="199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0.17708185809186791</v>
      </c>
      <c r="AD317" s="233">
        <f>(INDEX(Models!$BJ317:$BT317,,AH317)*(1-AF317)+INDEX(Models!$BJ317:$BT317,,AH317+1)*AF317-ERP_i)*AE317*Ramure*Pc/MaxiM</f>
        <v>0.15405727875611724</v>
      </c>
      <c r="AE317" s="307">
        <f t="shared" si="117"/>
        <v>0.9</v>
      </c>
      <c r="AF317" s="179">
        <f t="shared" si="118"/>
        <v>0.89863722113210942</v>
      </c>
      <c r="AG317" s="839">
        <f t="shared" si="124"/>
        <v>3</v>
      </c>
      <c r="AH317" s="178">
        <f t="shared" si="119"/>
        <v>9</v>
      </c>
      <c r="AI317" s="227">
        <f t="shared" si="120"/>
        <v>3.8986372211321094</v>
      </c>
      <c r="AJ317" s="267" t="b">
        <f t="shared" si="121"/>
        <v>0</v>
      </c>
      <c r="AK317" s="267" t="b">
        <f t="shared" si="122"/>
        <v>0</v>
      </c>
      <c r="AL317" s="267"/>
      <c r="AM317" s="267"/>
      <c r="AN317" s="75"/>
    </row>
    <row r="318" spans="1:40" s="6" customFormat="1" ht="11.25" x14ac:dyDescent="0.2">
      <c r="A318" s="56">
        <f t="shared" si="123"/>
        <v>46691</v>
      </c>
      <c r="B318" s="413">
        <f>'2026'!Wh/'2026'!Env_an*'2027'!Env_an</f>
        <v>15.58875680689502</v>
      </c>
      <c r="C318" s="868"/>
      <c r="D318" s="395">
        <f t="shared" si="102"/>
        <v>16.863674092841425</v>
      </c>
      <c r="E318" s="387">
        <f t="shared" si="125"/>
        <v>19.059995117388517</v>
      </c>
      <c r="F318" s="387">
        <f t="shared" si="103"/>
        <v>19.286933228453595</v>
      </c>
      <c r="G318" s="110">
        <f t="shared" si="126"/>
        <v>0.70681603437611007</v>
      </c>
      <c r="H318" s="416" t="b">
        <f>Wh_hp&gt;='2026'!Maxi_hp</f>
        <v>0</v>
      </c>
      <c r="I318" s="392">
        <f>IF(H318,Wh_hp,'2026'!Maxi_hp)</f>
        <v>27.758372597474693</v>
      </c>
      <c r="J318" s="85">
        <f>IF(H318,An,'2026'!An_max)</f>
        <v>2020</v>
      </c>
      <c r="K318" s="199">
        <f t="shared" si="104"/>
        <v>46691</v>
      </c>
      <c r="L318" s="147">
        <f>IF(t&lt;Tvie,1-EXP((T0-t)*PertePVj)+'2026'!Pspv,1-EXP((T0-t)*PertePVj)+Pspv)</f>
        <v>7.5601394982342751E-2</v>
      </c>
      <c r="M318" s="872"/>
      <c r="N318" s="872"/>
      <c r="O318" s="48">
        <f>IF(t&lt;Tnet,'2026'!Resal+('2026'!Salim-'2026'!Resal)*(1-EXP(('2026'!Tnet-t)/('2026'!Tau_j))),Resal+(Salim-Resal)*(1-EXP((Tnet-t)/(Tau_j))))*Salcycl</f>
        <v>0.11523198253830498</v>
      </c>
      <c r="P318" s="171">
        <f>(INDEX(Models!$BJ318:$BT318,,T318)*(1-R318)+INDEX(Models!$BJ318:$BT318,,T318+1)*R318-ERP_i)*Q318*Ramure*Pc/MaxiM</f>
        <v>1.9956476348753142E-2</v>
      </c>
      <c r="Q318" s="307">
        <f t="shared" si="105"/>
        <v>0.9</v>
      </c>
      <c r="R318" s="179">
        <f t="shared" si="106"/>
        <v>0.26306358357733584</v>
      </c>
      <c r="S318" s="839">
        <f t="shared" si="107"/>
        <v>-1</v>
      </c>
      <c r="T318" s="178">
        <f t="shared" si="108"/>
        <v>5</v>
      </c>
      <c r="U318" s="253">
        <f t="shared" si="109"/>
        <v>-0.73693641642266416</v>
      </c>
      <c r="V318" s="385">
        <f t="shared" si="110"/>
        <v>21.872118179085163</v>
      </c>
      <c r="W318" s="404">
        <f t="shared" si="111"/>
        <v>15.58875680689502</v>
      </c>
      <c r="X318" s="157">
        <f t="shared" si="112"/>
        <v>46691</v>
      </c>
      <c r="Y318" s="387">
        <f t="shared" si="113"/>
        <v>13.304167931144422</v>
      </c>
      <c r="Z318" s="387">
        <f t="shared" si="114"/>
        <v>14.392241462642941</v>
      </c>
      <c r="AA318" s="388">
        <f t="shared" si="115"/>
        <v>17.486772897462554</v>
      </c>
      <c r="AB318" s="199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0.17696412328135455</v>
      </c>
      <c r="AD318" s="233">
        <f>(INDEX(Models!$BJ318:$BT318,,AH318)*(1-AF318)+INDEX(Models!$BJ318:$BT318,,AH318+1)*AF318-ERP_i)*AE318*Ramure*Pc/MaxiM</f>
        <v>0.15830244158101958</v>
      </c>
      <c r="AE318" s="307">
        <f t="shared" si="117"/>
        <v>0.9</v>
      </c>
      <c r="AF318" s="179">
        <f t="shared" si="118"/>
        <v>0.89871923588431457</v>
      </c>
      <c r="AG318" s="839">
        <f t="shared" si="124"/>
        <v>3</v>
      </c>
      <c r="AH318" s="178">
        <f t="shared" si="119"/>
        <v>9</v>
      </c>
      <c r="AI318" s="227">
        <f t="shared" si="120"/>
        <v>3.8987192358843146</v>
      </c>
      <c r="AJ318" s="267" t="b">
        <f t="shared" si="121"/>
        <v>0</v>
      </c>
      <c r="AK318" s="267" t="b">
        <f t="shared" si="122"/>
        <v>0</v>
      </c>
      <c r="AL318" s="267"/>
      <c r="AM318" s="267"/>
      <c r="AN318" s="75"/>
    </row>
    <row r="319" spans="1:40" s="6" customFormat="1" ht="11.25" x14ac:dyDescent="0.2">
      <c r="A319" s="56">
        <f t="shared" si="123"/>
        <v>46692</v>
      </c>
      <c r="B319" s="413">
        <f>'2026'!Wh/'2026'!Env_an*'2027'!Env_an</f>
        <v>14.712537539295186</v>
      </c>
      <c r="C319" s="868"/>
      <c r="D319" s="395">
        <f t="shared" si="102"/>
        <v>15.91616414136004</v>
      </c>
      <c r="E319" s="387">
        <f t="shared" si="125"/>
        <v>17.989280358122183</v>
      </c>
      <c r="F319" s="387">
        <f t="shared" si="103"/>
        <v>18.199048961448479</v>
      </c>
      <c r="G319" s="110">
        <f t="shared" si="126"/>
        <v>0.67510782585082585</v>
      </c>
      <c r="H319" s="416" t="b">
        <f>Wh_hp&gt;='2026'!Maxi_hp</f>
        <v>0</v>
      </c>
      <c r="I319" s="392">
        <f>IF(H319,Wh_hp,'2026'!Maxi_hp)</f>
        <v>26.743008767740822</v>
      </c>
      <c r="J319" s="85">
        <f>IF(H319,An,'2026'!An_max)</f>
        <v>2020</v>
      </c>
      <c r="K319" s="199">
        <f t="shared" si="104"/>
        <v>46692</v>
      </c>
      <c r="L319" s="147">
        <f>IF(t&lt;Tvie,1-EXP((T0-t)*PertePVj)+'2026'!Pspv,1-EXP((T0-t)*PertePVj)+Pspv)</f>
        <v>7.5622907088340963E-2</v>
      </c>
      <c r="M319" s="872"/>
      <c r="N319" s="872"/>
      <c r="O319" s="48">
        <f>IF(t&lt;Tnet,'2026'!Resal+('2026'!Salim-'2026'!Resal)*(1-EXP(('2026'!Tnet-t)/('2026'!Tau_j))),Resal+(Salim-Resal)*(1-EXP((Tnet-t)/(Tau_j))))*Salcycl</f>
        <v>0.11524175372730398</v>
      </c>
      <c r="P319" s="171">
        <f>(INDEX(Models!$BJ319:$BT319,,T319)*(1-R319)+INDEX(Models!$BJ319:$BT319,,T319+1)*R319-ERP_i)*Q319*Ramure*Pc/MaxiM</f>
        <v>2.1136212354581383E-2</v>
      </c>
      <c r="Q319" s="307">
        <f t="shared" si="105"/>
        <v>0.9</v>
      </c>
      <c r="R319" s="179">
        <f t="shared" si="106"/>
        <v>0.2631423142743341</v>
      </c>
      <c r="S319" s="839">
        <f t="shared" si="107"/>
        <v>-1</v>
      </c>
      <c r="T319" s="178">
        <f t="shared" si="108"/>
        <v>5</v>
      </c>
      <c r="U319" s="253">
        <f t="shared" si="109"/>
        <v>-0.7368576857256659</v>
      </c>
      <c r="V319" s="385">
        <f t="shared" si="110"/>
        <v>21.581002109047734</v>
      </c>
      <c r="W319" s="404">
        <f t="shared" si="111"/>
        <v>14.712537539295186</v>
      </c>
      <c r="X319" s="157">
        <f t="shared" si="112"/>
        <v>46692</v>
      </c>
      <c r="Y319" s="387">
        <f t="shared" si="113"/>
        <v>12.620137138159455</v>
      </c>
      <c r="Z319" s="387">
        <f t="shared" si="114"/>
        <v>13.652585330092702</v>
      </c>
      <c r="AA319" s="388">
        <f t="shared" si="115"/>
        <v>16.585697344959151</v>
      </c>
      <c r="AB319" s="199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0.17684586628236659</v>
      </c>
      <c r="AD319" s="233">
        <f>(INDEX(Models!$BJ319:$BT319,,AH319)*(1-AF319)+INDEX(Models!$BJ319:$BT319,,AH319+1)*AF319-ERP_i)*AE319*Ramure*Pc/MaxiM</f>
        <v>0.16256075422155727</v>
      </c>
      <c r="AE319" s="307">
        <f t="shared" si="117"/>
        <v>0.9</v>
      </c>
      <c r="AF319" s="179">
        <f t="shared" si="118"/>
        <v>0.89879796658131283</v>
      </c>
      <c r="AG319" s="839">
        <f t="shared" si="124"/>
        <v>3</v>
      </c>
      <c r="AH319" s="178">
        <f t="shared" si="119"/>
        <v>9</v>
      </c>
      <c r="AI319" s="227">
        <f t="shared" si="120"/>
        <v>3.8987979665813128</v>
      </c>
      <c r="AJ319" s="267" t="b">
        <f t="shared" si="121"/>
        <v>0</v>
      </c>
      <c r="AK319" s="267" t="b">
        <f t="shared" si="122"/>
        <v>0</v>
      </c>
      <c r="AL319" s="267"/>
      <c r="AM319" s="267"/>
      <c r="AN319" s="75"/>
    </row>
    <row r="320" spans="1:40" s="6" customFormat="1" ht="11.25" x14ac:dyDescent="0.2">
      <c r="A320" s="56">
        <f t="shared" si="123"/>
        <v>46693</v>
      </c>
      <c r="B320" s="413">
        <f>'2026'!Wh/'2026'!Env_an*'2027'!Env_an</f>
        <v>19.921050616009769</v>
      </c>
      <c r="C320" s="868"/>
      <c r="D320" s="395">
        <f t="shared" si="102"/>
        <v>21.551285045369418</v>
      </c>
      <c r="E320" s="387">
        <f t="shared" si="125"/>
        <v>24.358645265278788</v>
      </c>
      <c r="F320" s="387">
        <f t="shared" si="103"/>
        <v>24.862344111969296</v>
      </c>
      <c r="G320" s="110">
        <f t="shared" si="126"/>
        <v>0.93359125728824677</v>
      </c>
      <c r="H320" s="416" t="b">
        <f>Wh_hp&gt;='2026'!Maxi_hp</f>
        <v>0</v>
      </c>
      <c r="I320" s="392">
        <f>IF(H320,Wh_hp,'2026'!Maxi_hp)</f>
        <v>25.963625869506139</v>
      </c>
      <c r="J320" s="85">
        <f>IF(H320,An,'2026'!An_max)</f>
        <v>2021</v>
      </c>
      <c r="K320" s="199">
        <f t="shared" si="104"/>
        <v>46693</v>
      </c>
      <c r="L320" s="147">
        <f>IF(t&lt;Tvie,1-EXP((T0-t)*PertePVj)+'2026'!Pspv,1-EXP((T0-t)*PertePVj)+Pspv)</f>
        <v>7.5644418693720961E-2</v>
      </c>
      <c r="M320" s="872"/>
      <c r="N320" s="872"/>
      <c r="O320" s="48">
        <f>IF(t&lt;Tnet,'2026'!Resal+('2026'!Salim-'2026'!Resal)*(1-EXP(('2026'!Tnet-t)/('2026'!Tau_j))),Resal+(Salim-Resal)*(1-EXP((Tnet-t)/(Tau_j))))*Salcycl</f>
        <v>0.11525108187814648</v>
      </c>
      <c r="P320" s="171">
        <f>(INDEX(Models!$BJ320:$BT320,,T320)*(1-R320)+INDEX(Models!$BJ320:$BT320,,T320+1)*R320-ERP_i)*Q320*Ramure*Pc/MaxiM</f>
        <v>2.2313883687736385E-2</v>
      </c>
      <c r="Q320" s="307">
        <f t="shared" si="105"/>
        <v>0.9</v>
      </c>
      <c r="R320" s="179">
        <f t="shared" si="106"/>
        <v>0.26321789171942989</v>
      </c>
      <c r="S320" s="839">
        <f t="shared" si="107"/>
        <v>-1</v>
      </c>
      <c r="T320" s="178">
        <f t="shared" si="108"/>
        <v>5</v>
      </c>
      <c r="U320" s="253">
        <f t="shared" si="109"/>
        <v>-0.73678210828057011</v>
      </c>
      <c r="V320" s="385">
        <f t="shared" si="110"/>
        <v>21.293343158919953</v>
      </c>
      <c r="W320" s="404">
        <f t="shared" si="111"/>
        <v>19.921050616009769</v>
      </c>
      <c r="X320" s="157">
        <f t="shared" si="112"/>
        <v>46693</v>
      </c>
      <c r="Y320" s="387">
        <f t="shared" si="113"/>
        <v>16.054347206150457</v>
      </c>
      <c r="Z320" s="387">
        <f t="shared" si="114"/>
        <v>17.368150883519096</v>
      </c>
      <c r="AA320" s="388">
        <f t="shared" si="115"/>
        <v>21.096474653287974</v>
      </c>
      <c r="AB320" s="199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0.1767273362513106</v>
      </c>
      <c r="AD320" s="233">
        <f>(INDEX(Models!$BJ320:$BT320,,AH320)*(1-AF320)+INDEX(Models!$BJ320:$BT320,,AH320+1)*AF320-ERP_i)*AE320*Ramure*Pc/MaxiM</f>
        <v>0.16682820228064926</v>
      </c>
      <c r="AE320" s="307">
        <f t="shared" si="117"/>
        <v>0.9</v>
      </c>
      <c r="AF320" s="179">
        <f t="shared" si="118"/>
        <v>0.89887354402640884</v>
      </c>
      <c r="AG320" s="839">
        <f t="shared" si="124"/>
        <v>3</v>
      </c>
      <c r="AH320" s="178">
        <f t="shared" si="119"/>
        <v>9</v>
      </c>
      <c r="AI320" s="227">
        <f t="shared" si="120"/>
        <v>3.8988735440264088</v>
      </c>
      <c r="AJ320" s="267" t="b">
        <f t="shared" si="121"/>
        <v>0</v>
      </c>
      <c r="AK320" s="267" t="b">
        <f t="shared" si="122"/>
        <v>0</v>
      </c>
      <c r="AL320" s="267"/>
      <c r="AM320" s="267"/>
      <c r="AN320" s="75"/>
    </row>
    <row r="321" spans="1:40" s="6" customFormat="1" ht="11.25" x14ac:dyDescent="0.2">
      <c r="A321" s="56">
        <f t="shared" si="123"/>
        <v>46694</v>
      </c>
      <c r="B321" s="413">
        <f>'2026'!Wh/'2026'!Env_an*'2027'!Env_an</f>
        <v>5.2428844845953115</v>
      </c>
      <c r="C321" s="868"/>
      <c r="D321" s="395">
        <f t="shared" si="102"/>
        <v>5.6720666841289962</v>
      </c>
      <c r="E321" s="387">
        <f t="shared" si="125"/>
        <v>6.4109993110150736</v>
      </c>
      <c r="F321" s="387">
        <f t="shared" si="103"/>
        <v>6.4109993110150736</v>
      </c>
      <c r="G321" s="110">
        <f t="shared" si="126"/>
        <v>0.24368671421647206</v>
      </c>
      <c r="H321" s="416" t="b">
        <f>Wh_hp&gt;='2026'!Maxi_hp</f>
        <v>0</v>
      </c>
      <c r="I321" s="392">
        <f>IF(H321,Wh_hp,'2026'!Maxi_hp)</f>
        <v>25.318145187066094</v>
      </c>
      <c r="J321" s="85">
        <f>IF(H321,An,'2026'!An_max)</f>
        <v>2020</v>
      </c>
      <c r="K321" s="199">
        <f t="shared" si="104"/>
        <v>46694</v>
      </c>
      <c r="L321" s="147">
        <f>IF(t&lt;Tvie,1-EXP((T0-t)*PertePVj)+'2026'!Pspv,1-EXP((T0-t)*PertePVj)+Pspv)</f>
        <v>7.5665929798494624E-2</v>
      </c>
      <c r="M321" s="872"/>
      <c r="N321" s="872"/>
      <c r="O321" s="48">
        <f>IF(t&lt;Tnet,'2026'!Resal+('2026'!Salim-'2026'!Resal)*(1-EXP(('2026'!Tnet-t)/('2026'!Tau_j))),Resal+(Salim-Resal)*(1-EXP((Tnet-t)/(Tau_j))))*Salcycl</f>
        <v>0.11526013200726425</v>
      </c>
      <c r="P321" s="171">
        <f>(INDEX(Models!$BJ321:$BT321,,T321)*(1-R321)+INDEX(Models!$BJ321:$BT321,,T321+1)*R321-ERP_i)*Q321*Ramure*Pc/MaxiM</f>
        <v>2.3488489593635368E-2</v>
      </c>
      <c r="Q321" s="307">
        <f t="shared" si="105"/>
        <v>0.9</v>
      </c>
      <c r="R321" s="179">
        <f t="shared" si="106"/>
        <v>0.26329044156098047</v>
      </c>
      <c r="S321" s="839">
        <f t="shared" si="107"/>
        <v>-1</v>
      </c>
      <c r="T321" s="178">
        <f t="shared" si="108"/>
        <v>5</v>
      </c>
      <c r="U321" s="253">
        <f t="shared" si="109"/>
        <v>-0.73670955843901953</v>
      </c>
      <c r="V321" s="385">
        <f t="shared" si="110"/>
        <v>21.009504204608756</v>
      </c>
      <c r="W321" s="404">
        <f t="shared" si="111"/>
        <v>5.2428844845953115</v>
      </c>
      <c r="X321" s="157">
        <f t="shared" si="112"/>
        <v>46694</v>
      </c>
      <c r="Y321" s="387">
        <f t="shared" si="113"/>
        <v>4.8793381856744542</v>
      </c>
      <c r="Z321" s="387">
        <f t="shared" si="114"/>
        <v>5.2787605076709498</v>
      </c>
      <c r="AA321" s="388">
        <f t="shared" si="115"/>
        <v>6.4109993110150736</v>
      </c>
      <c r="AB321" s="199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0.17660878568474739</v>
      </c>
      <c r="AD321" s="233">
        <f>(INDEX(Models!$BJ321:$BT321,,AH321)*(1-AF321)+INDEX(Models!$BJ321:$BT321,,AH321+1)*AF321-ERP_i)*AE321*Ramure*Pc/MaxiM</f>
        <v>0.17110026628678907</v>
      </c>
      <c r="AE321" s="307">
        <f t="shared" si="117"/>
        <v>0.9</v>
      </c>
      <c r="AF321" s="179">
        <f t="shared" si="118"/>
        <v>0.89894609386795921</v>
      </c>
      <c r="AG321" s="839">
        <f t="shared" si="124"/>
        <v>3</v>
      </c>
      <c r="AH321" s="178">
        <f t="shared" si="119"/>
        <v>9</v>
      </c>
      <c r="AI321" s="227">
        <f t="shared" si="120"/>
        <v>3.8989460938679592</v>
      </c>
      <c r="AJ321" s="267" t="b">
        <f t="shared" si="121"/>
        <v>0</v>
      </c>
      <c r="AK321" s="267" t="b">
        <f t="shared" si="122"/>
        <v>0</v>
      </c>
      <c r="AL321" s="267"/>
      <c r="AM321" s="267"/>
      <c r="AN321" s="75"/>
    </row>
    <row r="322" spans="1:40" s="6" customFormat="1" ht="11.25" x14ac:dyDescent="0.2">
      <c r="A322" s="56">
        <f t="shared" si="123"/>
        <v>46695</v>
      </c>
      <c r="B322" s="413">
        <f>'2026'!Wh/'2026'!Env_an*'2027'!Env_an</f>
        <v>10.839567435604478</v>
      </c>
      <c r="C322" s="868"/>
      <c r="D322" s="395">
        <f t="shared" si="102"/>
        <v>11.727166663543656</v>
      </c>
      <c r="E322" s="387">
        <f t="shared" si="125"/>
        <v>13.255065783507966</v>
      </c>
      <c r="F322" s="387">
        <f t="shared" si="103"/>
        <v>13.359967961099839</v>
      </c>
      <c r="G322" s="110">
        <f t="shared" si="126"/>
        <v>0.51403877842472556</v>
      </c>
      <c r="H322" s="416" t="b">
        <f>Wh_hp&gt;='2026'!Maxi_hp</f>
        <v>0</v>
      </c>
      <c r="I322" s="392">
        <f>IF(H322,Wh_hp,'2026'!Maxi_hp)</f>
        <v>18.873766608269342</v>
      </c>
      <c r="J322" s="85">
        <f>IF(H322,An,'2026'!An_max)</f>
        <v>2018</v>
      </c>
      <c r="K322" s="199">
        <f t="shared" si="104"/>
        <v>46695</v>
      </c>
      <c r="L322" s="147">
        <f>IF(t&lt;Tvie,1-EXP((T0-t)*PertePVj)+'2026'!Pspv,1-EXP((T0-t)*PertePVj)+Pspv)</f>
        <v>7.5687440402673389E-2</v>
      </c>
      <c r="M322" s="872"/>
      <c r="N322" s="872"/>
      <c r="O322" s="48">
        <f>IF(t&lt;Tnet,'2026'!Resal+('2026'!Salim-'2026'!Resal)*(1-EXP(('2026'!Tnet-t)/('2026'!Tau_j))),Resal+(Salim-Resal)*(1-EXP((Tnet-t)/(Tau_j))))*Salcycl</f>
        <v>0.11526907107962697</v>
      </c>
      <c r="P322" s="171">
        <f>(INDEX(Models!$BJ322:$BT322,,T322)*(1-R322)+INDEX(Models!$BJ322:$BT322,,T322+1)*R322-ERP_i)*Q322*Ramure*Pc/MaxiM</f>
        <v>2.4658897822429963E-2</v>
      </c>
      <c r="Q322" s="307">
        <f t="shared" si="105"/>
        <v>0.9</v>
      </c>
      <c r="R322" s="179">
        <f t="shared" si="106"/>
        <v>0.26336008449122172</v>
      </c>
      <c r="S322" s="839">
        <f t="shared" si="107"/>
        <v>-1</v>
      </c>
      <c r="T322" s="178">
        <f t="shared" si="108"/>
        <v>5</v>
      </c>
      <c r="U322" s="253">
        <f t="shared" si="109"/>
        <v>-0.73663991550877828</v>
      </c>
      <c r="V322" s="385">
        <f t="shared" si="110"/>
        <v>20.729848315526819</v>
      </c>
      <c r="W322" s="404">
        <f t="shared" si="111"/>
        <v>10.839567435604478</v>
      </c>
      <c r="X322" s="157">
        <f t="shared" si="112"/>
        <v>46695</v>
      </c>
      <c r="Y322" s="387">
        <f t="shared" si="113"/>
        <v>9.601460825528056</v>
      </c>
      <c r="Z322" s="387">
        <f t="shared" si="114"/>
        <v>10.387677551099054</v>
      </c>
      <c r="AA322" s="388">
        <f t="shared" si="115"/>
        <v>12.613912971203328</v>
      </c>
      <c r="AB322" s="199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0.17649046930850179</v>
      </c>
      <c r="AD322" s="233">
        <f>(INDEX(Models!$BJ322:$BT322,,AH322)*(1-AF322)+INDEX(Models!$BJ322:$BT322,,AH322+1)*AF322-ERP_i)*AE322*Ramure*Pc/MaxiM</f>
        <v>0.17537189587566235</v>
      </c>
      <c r="AE322" s="307">
        <f t="shared" si="117"/>
        <v>0.9</v>
      </c>
      <c r="AF322" s="179">
        <f t="shared" si="118"/>
        <v>0.89901573679820057</v>
      </c>
      <c r="AG322" s="839">
        <f t="shared" si="124"/>
        <v>3</v>
      </c>
      <c r="AH322" s="178">
        <f t="shared" si="119"/>
        <v>9</v>
      </c>
      <c r="AI322" s="227">
        <f t="shared" si="120"/>
        <v>3.8990157367982006</v>
      </c>
      <c r="AJ322" s="267" t="b">
        <f t="shared" si="121"/>
        <v>0</v>
      </c>
      <c r="AK322" s="267" t="b">
        <f t="shared" si="122"/>
        <v>0</v>
      </c>
      <c r="AL322" s="267"/>
      <c r="AM322" s="267"/>
      <c r="AN322" s="75"/>
    </row>
    <row r="323" spans="1:40" s="6" customFormat="1" ht="11.25" x14ac:dyDescent="0.2">
      <c r="A323" s="56">
        <f t="shared" si="123"/>
        <v>46696</v>
      </c>
      <c r="B323" s="413">
        <f>'2026'!Wh/'2026'!Env_an*'2027'!Env_an</f>
        <v>18.975966554767641</v>
      </c>
      <c r="C323" s="868"/>
      <c r="D323" s="395">
        <f t="shared" si="102"/>
        <v>20.530293531633234</v>
      </c>
      <c r="E323" s="387">
        <f t="shared" si="125"/>
        <v>23.205362919225045</v>
      </c>
      <c r="F323" s="387">
        <f t="shared" si="103"/>
        <v>23.755463326423769</v>
      </c>
      <c r="G323" s="110">
        <f t="shared" si="126"/>
        <v>0.92517226939650232</v>
      </c>
      <c r="H323" s="416" t="b">
        <f>Wh_hp&gt;='2026'!Maxi_hp</f>
        <v>0</v>
      </c>
      <c r="I323" s="392">
        <f>IF(H323,Wh_hp,'2026'!Maxi_hp)</f>
        <v>23.811224002491421</v>
      </c>
      <c r="J323" s="85">
        <f>IF(H323,An,'2026'!An_max)</f>
        <v>2025</v>
      </c>
      <c r="K323" s="199">
        <f t="shared" si="104"/>
        <v>46696</v>
      </c>
      <c r="L323" s="147">
        <f>IF(t&lt;Tvie,1-EXP((T0-t)*PertePVj)+'2026'!Pspv,1-EXP((T0-t)*PertePVj)+Pspv)</f>
        <v>7.5708950506268913E-2</v>
      </c>
      <c r="M323" s="872"/>
      <c r="N323" s="872"/>
      <c r="O323" s="48">
        <f>IF(t&lt;Tnet,'2026'!Resal+('2026'!Salim-'2026'!Resal)*(1-EXP(('2026'!Tnet-t)/('2026'!Tau_j))),Resal+(Salim-Resal)*(1-EXP((Tnet-t)/(Tau_j))))*Salcycl</f>
        <v>0.11527806726847542</v>
      </c>
      <c r="P323" s="171">
        <f>(INDEX(Models!$BJ323:$BT323,,T323)*(1-R323)+INDEX(Models!$BJ323:$BT323,,T323+1)*R323-ERP_i)*Q323*Ramure*Pc/MaxiM</f>
        <v>2.5823839110080869E-2</v>
      </c>
      <c r="Q323" s="307">
        <f t="shared" si="105"/>
        <v>0.9</v>
      </c>
      <c r="R323" s="179">
        <f t="shared" si="106"/>
        <v>0.26342693643776693</v>
      </c>
      <c r="S323" s="839">
        <f t="shared" si="107"/>
        <v>-1</v>
      </c>
      <c r="T323" s="178">
        <f t="shared" si="108"/>
        <v>5</v>
      </c>
      <c r="U323" s="253">
        <f t="shared" si="109"/>
        <v>-0.73657306356223307</v>
      </c>
      <c r="V323" s="385">
        <f t="shared" si="110"/>
        <v>20.454738765779926</v>
      </c>
      <c r="W323" s="404">
        <f t="shared" si="111"/>
        <v>18.975966554767641</v>
      </c>
      <c r="X323" s="157">
        <f t="shared" si="112"/>
        <v>46696</v>
      </c>
      <c r="Y323" s="387">
        <f t="shared" si="113"/>
        <v>15.171239644244785</v>
      </c>
      <c r="Z323" s="387">
        <f t="shared" si="114"/>
        <v>16.413920325804998</v>
      </c>
      <c r="AA323" s="388">
        <f t="shared" si="115"/>
        <v>19.92881876143063</v>
      </c>
      <c r="AB323" s="199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0.17637264293999275</v>
      </c>
      <c r="AD323" s="233">
        <f>(INDEX(Models!$BJ323:$BT323,,AH323)*(1-AF323)+INDEX(Models!$BJ323:$BT323,,AH323+1)*AF323-ERP_i)*AE323*Ramure*Pc/MaxiM</f>
        <v>0.17963748487492059</v>
      </c>
      <c r="AE323" s="307">
        <f t="shared" si="117"/>
        <v>0.9</v>
      </c>
      <c r="AF323" s="179">
        <f t="shared" si="118"/>
        <v>0.89908258874474578</v>
      </c>
      <c r="AG323" s="839">
        <f t="shared" si="124"/>
        <v>3</v>
      </c>
      <c r="AH323" s="178">
        <f t="shared" si="119"/>
        <v>9</v>
      </c>
      <c r="AI323" s="227">
        <f t="shared" si="120"/>
        <v>3.8990825887447458</v>
      </c>
      <c r="AJ323" s="267" t="b">
        <f t="shared" si="121"/>
        <v>0</v>
      </c>
      <c r="AK323" s="267" t="b">
        <f t="shared" si="122"/>
        <v>0</v>
      </c>
      <c r="AL323" s="267"/>
      <c r="AM323" s="267"/>
      <c r="AN323" s="75"/>
    </row>
    <row r="324" spans="1:40" s="6" customFormat="1" ht="11.25" x14ac:dyDescent="0.2">
      <c r="A324" s="56">
        <f t="shared" si="123"/>
        <v>46697</v>
      </c>
      <c r="B324" s="413">
        <f>'2026'!Wh/'2026'!Env_an*'2027'!Env_an</f>
        <v>19.016068255520029</v>
      </c>
      <c r="C324" s="868"/>
      <c r="D324" s="395">
        <f t="shared" si="102"/>
        <v>20.57415876516783</v>
      </c>
      <c r="E324" s="387">
        <f t="shared" si="125"/>
        <v>23.255186134430314</v>
      </c>
      <c r="F324" s="387">
        <f t="shared" si="103"/>
        <v>23.844765454535647</v>
      </c>
      <c r="G324" s="110">
        <f t="shared" si="126"/>
        <v>0.93993115516095105</v>
      </c>
      <c r="H324" s="416" t="b">
        <f>Wh_hp&gt;='2026'!Maxi_hp</f>
        <v>0</v>
      </c>
      <c r="I324" s="392">
        <f>IF(H324,Wh_hp,'2026'!Maxi_hp)</f>
        <v>23.891269759184908</v>
      </c>
      <c r="J324" s="85">
        <f>IF(H324,An,'2026'!An_max)</f>
        <v>2025</v>
      </c>
      <c r="K324" s="199">
        <f t="shared" si="104"/>
        <v>46697</v>
      </c>
      <c r="L324" s="147">
        <f>IF(t&lt;Tvie,1-EXP((T0-t)*PertePVj)+'2026'!Pspv,1-EXP((T0-t)*PertePVj)+Pspv)</f>
        <v>7.5730460109292963E-2</v>
      </c>
      <c r="M324" s="872"/>
      <c r="N324" s="872"/>
      <c r="O324" s="48">
        <f>IF(t&lt;Tnet,'2026'!Resal+('2026'!Salim-'2026'!Resal)*(1-EXP(('2026'!Tnet-t)/('2026'!Tau_j))),Resal+(Salim-Resal)*(1-EXP((Tnet-t)/(Tau_j))))*Salcycl</f>
        <v>0.11528728919925123</v>
      </c>
      <c r="P324" s="171">
        <f>(INDEX(Models!$BJ324:$BT324,,T324)*(1-R324)+INDEX(Models!$BJ324:$BT324,,T324+1)*R324-ERP_i)*Q324*Ramure*Pc/MaxiM</f>
        <v>2.695593438065666E-2</v>
      </c>
      <c r="Q324" s="307">
        <f t="shared" si="105"/>
        <v>0.9</v>
      </c>
      <c r="R324" s="179">
        <f t="shared" si="106"/>
        <v>0.26349110874802373</v>
      </c>
      <c r="S324" s="839">
        <f t="shared" si="107"/>
        <v>-1</v>
      </c>
      <c r="T324" s="178">
        <f t="shared" si="108"/>
        <v>5</v>
      </c>
      <c r="U324" s="253">
        <f t="shared" si="109"/>
        <v>-0.73650889125197627</v>
      </c>
      <c r="V324" s="385">
        <f t="shared" si="110"/>
        <v>20.185077713181542</v>
      </c>
      <c r="W324" s="404">
        <f t="shared" si="111"/>
        <v>19.016068255520029</v>
      </c>
      <c r="X324" s="157">
        <f t="shared" si="112"/>
        <v>46697</v>
      </c>
      <c r="Y324" s="387">
        <f t="shared" si="113"/>
        <v>15.092062374947718</v>
      </c>
      <c r="Z324" s="387">
        <f t="shared" si="114"/>
        <v>16.328637614447754</v>
      </c>
      <c r="AA324" s="388">
        <f t="shared" si="115"/>
        <v>19.822455688640499</v>
      </c>
      <c r="AB324" s="199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0.1762555623315088</v>
      </c>
      <c r="AD324" s="233">
        <f>(INDEX(Models!$BJ324:$BT324,,AH324)*(1-AF324)+INDEX(Models!$BJ324:$BT324,,AH324+1)*AF324-ERP_i)*AE324*Ramure*Pc/MaxiM</f>
        <v>0.18390251219933085</v>
      </c>
      <c r="AE324" s="307">
        <f t="shared" si="117"/>
        <v>0.9</v>
      </c>
      <c r="AF324" s="179">
        <f t="shared" si="118"/>
        <v>0.89914676105500257</v>
      </c>
      <c r="AG324" s="839">
        <f t="shared" si="124"/>
        <v>3</v>
      </c>
      <c r="AH324" s="178">
        <f t="shared" si="119"/>
        <v>9</v>
      </c>
      <c r="AI324" s="227">
        <f t="shared" si="120"/>
        <v>3.8991467610550026</v>
      </c>
      <c r="AJ324" s="267" t="b">
        <f t="shared" si="121"/>
        <v>0</v>
      </c>
      <c r="AK324" s="267" t="b">
        <f t="shared" si="122"/>
        <v>0</v>
      </c>
      <c r="AL324" s="267"/>
      <c r="AM324" s="267"/>
      <c r="AN324" s="75"/>
    </row>
    <row r="325" spans="1:40" s="6" customFormat="1" ht="11.25" x14ac:dyDescent="0.2">
      <c r="A325" s="56">
        <f t="shared" si="123"/>
        <v>46698</v>
      </c>
      <c r="B325" s="413">
        <f>'2026'!Wh/'2026'!Env_an*'2027'!Env_an</f>
        <v>18.881326671701451</v>
      </c>
      <c r="C325" s="868"/>
      <c r="D325" s="395">
        <f t="shared" si="102"/>
        <v>20.428852475453535</v>
      </c>
      <c r="E325" s="387">
        <f t="shared" si="125"/>
        <v>23.091195899655453</v>
      </c>
      <c r="F325" s="387">
        <f t="shared" si="103"/>
        <v>23.706551714406725</v>
      </c>
      <c r="G325" s="110">
        <f t="shared" si="126"/>
        <v>0.94576027623481929</v>
      </c>
      <c r="H325" s="416" t="b">
        <f>Wh_hp&gt;='2026'!Maxi_hp</f>
        <v>0</v>
      </c>
      <c r="I325" s="392">
        <f>IF(H325,Wh_hp,'2026'!Maxi_hp)</f>
        <v>23.749641321685267</v>
      </c>
      <c r="J325" s="85">
        <f>IF(H325,An,'2026'!An_max)</f>
        <v>2025</v>
      </c>
      <c r="K325" s="199">
        <f t="shared" si="104"/>
        <v>46698</v>
      </c>
      <c r="L325" s="147">
        <f>IF(t&lt;Tvie,1-EXP((T0-t)*PertePVj)+'2026'!Pspv,1-EXP((T0-t)*PertePVj)+Pspv)</f>
        <v>7.5751969211757086E-2</v>
      </c>
      <c r="M325" s="872"/>
      <c r="N325" s="872"/>
      <c r="O325" s="48">
        <f>IF(t&lt;Tnet,'2026'!Resal+('2026'!Salim-'2026'!Resal)*(1-EXP(('2026'!Tnet-t)/('2026'!Tau_j))),Resal+(Salim-Resal)*(1-EXP((Tnet-t)/(Tau_j))))*Salcycl</f>
        <v>0.11529690518288162</v>
      </c>
      <c r="P325" s="171">
        <f>(INDEX(Models!$BJ325:$BT325,,T325)*(1-R325)+INDEX(Models!$BJ325:$BT325,,T325+1)*R325-ERP_i)*Q325*Ramure*Pc/MaxiM</f>
        <v>2.8049031901938182E-2</v>
      </c>
      <c r="Q325" s="307">
        <f t="shared" si="105"/>
        <v>0.9</v>
      </c>
      <c r="R325" s="179">
        <f t="shared" si="106"/>
        <v>0.26355270836676326</v>
      </c>
      <c r="S325" s="839">
        <f t="shared" si="107"/>
        <v>-1</v>
      </c>
      <c r="T325" s="178">
        <f t="shared" si="108"/>
        <v>5</v>
      </c>
      <c r="U325" s="253">
        <f t="shared" si="109"/>
        <v>-0.73644729163323674</v>
      </c>
      <c r="V325" s="385">
        <f t="shared" si="110"/>
        <v>19.921303667238302</v>
      </c>
      <c r="W325" s="404">
        <f t="shared" si="111"/>
        <v>18.881326671701451</v>
      </c>
      <c r="X325" s="157">
        <f t="shared" si="112"/>
        <v>46698</v>
      </c>
      <c r="Y325" s="387">
        <f t="shared" si="113"/>
        <v>14.907357921319907</v>
      </c>
      <c r="Z325" s="387">
        <f t="shared" si="114"/>
        <v>16.129174663868312</v>
      </c>
      <c r="AA325" s="388">
        <f t="shared" si="115"/>
        <v>19.577555073363555</v>
      </c>
      <c r="AB325" s="199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0.17613948200237589</v>
      </c>
      <c r="AD325" s="233">
        <f>(INDEX(Models!$BJ325:$BT325,,AH325)*(1-AF325)+INDEX(Models!$BJ325:$BT325,,AH325+1)*AF325-ERP_i)*AE325*Ramure*Pc/MaxiM</f>
        <v>0.18820714086276746</v>
      </c>
      <c r="AE325" s="307">
        <f t="shared" si="117"/>
        <v>0.9</v>
      </c>
      <c r="AF325" s="179">
        <f t="shared" si="118"/>
        <v>0.89920836067374221</v>
      </c>
      <c r="AG325" s="839">
        <f t="shared" si="124"/>
        <v>3</v>
      </c>
      <c r="AH325" s="178">
        <f t="shared" si="119"/>
        <v>9</v>
      </c>
      <c r="AI325" s="227">
        <f t="shared" si="120"/>
        <v>3.8992083606737422</v>
      </c>
      <c r="AJ325" s="267" t="b">
        <f t="shared" si="121"/>
        <v>0</v>
      </c>
      <c r="AK325" s="267" t="b">
        <f t="shared" si="122"/>
        <v>0</v>
      </c>
      <c r="AL325" s="267"/>
      <c r="AM325" s="267"/>
      <c r="AN325" s="75"/>
    </row>
    <row r="326" spans="1:40" s="6" customFormat="1" ht="11.25" x14ac:dyDescent="0.2">
      <c r="A326" s="56">
        <f t="shared" si="123"/>
        <v>46699</v>
      </c>
      <c r="B326" s="413">
        <f>'2026'!Wh/'2026'!Env_an*'2027'!Env_an</f>
        <v>12.482700273748895</v>
      </c>
      <c r="C326" s="868"/>
      <c r="D326" s="395">
        <f t="shared" si="102"/>
        <v>13.50610480666594</v>
      </c>
      <c r="E326" s="387">
        <f t="shared" si="125"/>
        <v>15.266432610280932</v>
      </c>
      <c r="F326" s="387">
        <f t="shared" si="103"/>
        <v>15.481918294864643</v>
      </c>
      <c r="G326" s="110">
        <f t="shared" si="126"/>
        <v>0.62503318907572547</v>
      </c>
      <c r="H326" s="416" t="b">
        <f>Wh_hp&gt;='2026'!Maxi_hp</f>
        <v>0</v>
      </c>
      <c r="I326" s="392">
        <f>IF(H326,Wh_hp,'2026'!Maxi_hp)</f>
        <v>20.22602199592037</v>
      </c>
      <c r="J326" s="85">
        <f>IF(H326,An,'2026'!An_max)</f>
        <v>2021</v>
      </c>
      <c r="K326" s="199">
        <f t="shared" si="104"/>
        <v>46699</v>
      </c>
      <c r="L326" s="147">
        <f>IF(t&lt;Tvie,1-EXP((T0-t)*PertePVj)+'2026'!Pspv,1-EXP((T0-t)*PertePVj)+Pspv)</f>
        <v>7.5773477813673051E-2</v>
      </c>
      <c r="M326" s="872"/>
      <c r="N326" s="872"/>
      <c r="O326" s="48">
        <f>IF(t&lt;Tnet,'2026'!Resal+('2026'!Salim-'2026'!Resal)*(1-EXP(('2026'!Tnet-t)/('2026'!Tau_j))),Resal+(Salim-Resal)*(1-EXP((Tnet-t)/(Tau_j))))*Salcycl</f>
        <v>0.11530708244370906</v>
      </c>
      <c r="P326" s="171">
        <f>(INDEX(Models!$BJ326:$BT326,,T326)*(1-R326)+INDEX(Models!$BJ326:$BT326,,T326+1)*R326-ERP_i)*Q326*Ramure*Pc/MaxiM</f>
        <v>2.9100304987023852E-2</v>
      </c>
      <c r="Q326" s="307">
        <f t="shared" si="105"/>
        <v>0.9</v>
      </c>
      <c r="R326" s="179">
        <f t="shared" si="106"/>
        <v>0.26361183800707577</v>
      </c>
      <c r="S326" s="839">
        <f t="shared" si="107"/>
        <v>-1</v>
      </c>
      <c r="T326" s="178">
        <f t="shared" si="108"/>
        <v>5</v>
      </c>
      <c r="U326" s="253">
        <f t="shared" si="109"/>
        <v>-0.73638816199292423</v>
      </c>
      <c r="V326" s="385">
        <f t="shared" si="110"/>
        <v>19.663781267005643</v>
      </c>
      <c r="W326" s="404">
        <f t="shared" si="111"/>
        <v>12.482700273748895</v>
      </c>
      <c r="X326" s="157">
        <f t="shared" si="112"/>
        <v>46699</v>
      </c>
      <c r="Y326" s="387">
        <f t="shared" si="113"/>
        <v>10.704301667673885</v>
      </c>
      <c r="Z326" s="387">
        <f t="shared" si="114"/>
        <v>11.581902716178345</v>
      </c>
      <c r="AA326" s="388">
        <f t="shared" si="115"/>
        <v>14.056127738967408</v>
      </c>
      <c r="AB326" s="199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0.1760246540681214</v>
      </c>
      <c r="AD326" s="233">
        <f>(INDEX(Models!$BJ326:$BT326,,AH326)*(1-AF326)+INDEX(Models!$BJ326:$BT326,,AH326+1)*AF326-ERP_i)*AE326*Ramure*Pc/MaxiM</f>
        <v>0.1925461550004246</v>
      </c>
      <c r="AE326" s="307">
        <f t="shared" si="117"/>
        <v>0.9</v>
      </c>
      <c r="AF326" s="179">
        <f t="shared" si="118"/>
        <v>0.89926749031405473</v>
      </c>
      <c r="AG326" s="839">
        <f t="shared" si="124"/>
        <v>3</v>
      </c>
      <c r="AH326" s="178">
        <f t="shared" si="119"/>
        <v>9</v>
      </c>
      <c r="AI326" s="227">
        <f t="shared" si="120"/>
        <v>3.8992674903140547</v>
      </c>
      <c r="AJ326" s="267" t="b">
        <f t="shared" si="121"/>
        <v>0</v>
      </c>
      <c r="AK326" s="267" t="b">
        <f t="shared" si="122"/>
        <v>0</v>
      </c>
      <c r="AL326" s="267"/>
      <c r="AM326" s="267"/>
      <c r="AN326" s="75"/>
    </row>
    <row r="327" spans="1:40" s="6" customFormat="1" ht="11.25" x14ac:dyDescent="0.2">
      <c r="A327" s="56">
        <f t="shared" si="123"/>
        <v>46700</v>
      </c>
      <c r="B327" s="413">
        <f>'2026'!Wh/'2026'!Env_an*'2027'!Env_an</f>
        <v>7.3817426611985804</v>
      </c>
      <c r="C327" s="868"/>
      <c r="D327" s="395">
        <f t="shared" si="102"/>
        <v>7.9871268265161053</v>
      </c>
      <c r="E327" s="387">
        <f t="shared" si="125"/>
        <v>9.0282459722900281</v>
      </c>
      <c r="F327" s="387">
        <f t="shared" si="103"/>
        <v>9.0595150639669537</v>
      </c>
      <c r="G327" s="110">
        <f t="shared" si="126"/>
        <v>0.37007907596983081</v>
      </c>
      <c r="H327" s="416" t="b">
        <f>Wh_hp&gt;='2026'!Maxi_hp</f>
        <v>0</v>
      </c>
      <c r="I327" s="392">
        <f>IF(H327,Wh_hp,'2026'!Maxi_hp)</f>
        <v>19.543383638603277</v>
      </c>
      <c r="J327" s="85">
        <f>IF(H327,An,'2026'!An_max)</f>
        <v>2020</v>
      </c>
      <c r="K327" s="199">
        <f t="shared" si="104"/>
        <v>46700</v>
      </c>
      <c r="L327" s="147">
        <f>IF(t&lt;Tvie,1-EXP((T0-t)*PertePVj)+'2026'!Pspv,1-EXP((T0-t)*PertePVj)+Pspv)</f>
        <v>7.5794985915052293E-2</v>
      </c>
      <c r="M327" s="872"/>
      <c r="N327" s="872"/>
      <c r="O327" s="48">
        <f>IF(t&lt;Tnet,'2026'!Resal+('2026'!Salim-'2026'!Resal)*(1-EXP(('2026'!Tnet-t)/('2026'!Tau_j))),Resal+(Salim-Resal)*(1-EXP((Tnet-t)/(Tau_j))))*Salcycl</f>
        <v>0.11531798634744557</v>
      </c>
      <c r="P327" s="171">
        <f>(INDEX(Models!$BJ327:$BT327,,T327)*(1-R327)+INDEX(Models!$BJ327:$BT327,,T327+1)*R327-ERP_i)*Q327*Ramure*Pc/MaxiM</f>
        <v>3.0106772435384843E-2</v>
      </c>
      <c r="Q327" s="307">
        <f t="shared" si="105"/>
        <v>0.9</v>
      </c>
      <c r="R327" s="179">
        <f t="shared" si="106"/>
        <v>0.26366859631493311</v>
      </c>
      <c r="S327" s="839">
        <f t="shared" si="107"/>
        <v>-1</v>
      </c>
      <c r="T327" s="178">
        <f t="shared" si="108"/>
        <v>5</v>
      </c>
      <c r="U327" s="253">
        <f t="shared" si="109"/>
        <v>-0.73633140368506689</v>
      </c>
      <c r="V327" s="385">
        <f t="shared" si="110"/>
        <v>19.412875323689459</v>
      </c>
      <c r="W327" s="404">
        <f t="shared" si="111"/>
        <v>7.3817426611985804</v>
      </c>
      <c r="X327" s="157">
        <f t="shared" si="112"/>
        <v>46700</v>
      </c>
      <c r="Y327" s="387">
        <f t="shared" si="113"/>
        <v>6.7442054389377333</v>
      </c>
      <c r="Z327" s="387">
        <f t="shared" si="114"/>
        <v>7.2973045332535316</v>
      </c>
      <c r="AA327" s="388">
        <f t="shared" si="115"/>
        <v>8.854999192442607</v>
      </c>
      <c r="AB327" s="199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0.17591132707482418</v>
      </c>
      <c r="AD327" s="233">
        <f>(INDEX(Models!$BJ327:$BT327,,AH327)*(1-AF327)+INDEX(Models!$BJ327:$BT327,,AH327+1)*AF327-ERP_i)*AE327*Ramure*Pc/MaxiM</f>
        <v>0.19691370849610071</v>
      </c>
      <c r="AE327" s="307">
        <f t="shared" si="117"/>
        <v>0.9</v>
      </c>
      <c r="AF327" s="179">
        <f t="shared" si="118"/>
        <v>0.89932424862191196</v>
      </c>
      <c r="AG327" s="839">
        <f t="shared" si="124"/>
        <v>3</v>
      </c>
      <c r="AH327" s="178">
        <f t="shared" si="119"/>
        <v>9</v>
      </c>
      <c r="AI327" s="227">
        <f t="shared" si="120"/>
        <v>3.899324248621912</v>
      </c>
      <c r="AJ327" s="267" t="b">
        <f t="shared" si="121"/>
        <v>0</v>
      </c>
      <c r="AK327" s="267" t="b">
        <f t="shared" si="122"/>
        <v>0</v>
      </c>
      <c r="AL327" s="267"/>
      <c r="AM327" s="267"/>
      <c r="AN327" s="75"/>
    </row>
    <row r="328" spans="1:40" s="6" customFormat="1" ht="11.25" x14ac:dyDescent="0.2">
      <c r="A328" s="56">
        <f t="shared" si="123"/>
        <v>46701</v>
      </c>
      <c r="B328" s="413">
        <f>'2026'!Wh/'2026'!Env_an*'2027'!Env_an</f>
        <v>16.605550360939024</v>
      </c>
      <c r="C328" s="868"/>
      <c r="D328" s="395">
        <f t="shared" si="102"/>
        <v>17.967806441506575</v>
      </c>
      <c r="E328" s="387">
        <f t="shared" si="125"/>
        <v>20.310174376712617</v>
      </c>
      <c r="F328" s="387">
        <f t="shared" si="103"/>
        <v>20.833739744909597</v>
      </c>
      <c r="G328" s="110">
        <f t="shared" si="126"/>
        <v>0.86099974048907124</v>
      </c>
      <c r="H328" s="416" t="b">
        <f>Wh_hp&gt;='2026'!Maxi_hp</f>
        <v>0</v>
      </c>
      <c r="I328" s="392">
        <f>IF(H328,Wh_hp,'2026'!Maxi_hp)</f>
        <v>20.939015806316032</v>
      </c>
      <c r="J328" s="85">
        <f>IF(H328,An,'2026'!An_max)</f>
        <v>2025</v>
      </c>
      <c r="K328" s="199">
        <f t="shared" si="104"/>
        <v>46701</v>
      </c>
      <c r="L328" s="147">
        <f>IF(t&lt;Tvie,1-EXP((T0-t)*PertePVj)+'2026'!Pspv,1-EXP((T0-t)*PertePVj)+Pspv)</f>
        <v>7.5816493515906691E-2</v>
      </c>
      <c r="M328" s="872"/>
      <c r="N328" s="872"/>
      <c r="O328" s="48">
        <f>IF(t&lt;Tnet,'2026'!Resal+('2026'!Salim-'2026'!Resal)*(1-EXP(('2026'!Tnet-t)/('2026'!Tau_j))),Resal+(Salim-Resal)*(1-EXP((Tnet-t)/(Tau_j))))*Salcycl</f>
        <v>0.11532977963457422</v>
      </c>
      <c r="P328" s="171">
        <f>(INDEX(Models!$BJ328:$BT328,,T328)*(1-R328)+INDEX(Models!$BJ328:$BT328,,T328+1)*R328-ERP_i)*Q328*Ramure*Pc/MaxiM</f>
        <v>3.1065305505577311E-2</v>
      </c>
      <c r="Q328" s="307">
        <f t="shared" si="105"/>
        <v>0.9</v>
      </c>
      <c r="R328" s="179">
        <f t="shared" si="106"/>
        <v>0.26372307802758232</v>
      </c>
      <c r="S328" s="839">
        <f t="shared" si="107"/>
        <v>-1</v>
      </c>
      <c r="T328" s="178">
        <f t="shared" si="108"/>
        <v>5</v>
      </c>
      <c r="U328" s="253">
        <f t="shared" si="109"/>
        <v>-0.73627692197241768</v>
      </c>
      <c r="V328" s="385">
        <f t="shared" si="110"/>
        <v>19.168950810438719</v>
      </c>
      <c r="W328" s="404">
        <f t="shared" si="111"/>
        <v>16.605550360939024</v>
      </c>
      <c r="X328" s="157">
        <f t="shared" si="112"/>
        <v>46701</v>
      </c>
      <c r="Y328" s="387">
        <f t="shared" si="113"/>
        <v>13.285049954581872</v>
      </c>
      <c r="Z328" s="387">
        <f t="shared" si="114"/>
        <v>14.374904833697689</v>
      </c>
      <c r="AA328" s="388">
        <f t="shared" si="115"/>
        <v>17.44103419505344</v>
      </c>
      <c r="AB328" s="199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0.17579974484685973</v>
      </c>
      <c r="AD328" s="233">
        <f>(INDEX(Models!$BJ328:$BT328,,AH328)*(1-AF328)+INDEX(Models!$BJ328:$BT328,,AH328+1)*AF328-ERP_i)*AE328*Ramure*Pc/MaxiM</f>
        <v>0.20130329620483253</v>
      </c>
      <c r="AE328" s="307">
        <f t="shared" si="117"/>
        <v>0.9</v>
      </c>
      <c r="AF328" s="179">
        <f t="shared" si="118"/>
        <v>0.89937873033456128</v>
      </c>
      <c r="AG328" s="839">
        <f t="shared" si="124"/>
        <v>3</v>
      </c>
      <c r="AH328" s="178">
        <f t="shared" si="119"/>
        <v>9</v>
      </c>
      <c r="AI328" s="227">
        <f t="shared" si="120"/>
        <v>3.8993787303345613</v>
      </c>
      <c r="AJ328" s="267" t="b">
        <f t="shared" si="121"/>
        <v>0</v>
      </c>
      <c r="AK328" s="267" t="b">
        <f t="shared" si="122"/>
        <v>0</v>
      </c>
      <c r="AL328" s="267"/>
      <c r="AM328" s="267"/>
      <c r="AN328" s="75"/>
    </row>
    <row r="329" spans="1:40" s="6" customFormat="1" ht="11.25" x14ac:dyDescent="0.2">
      <c r="A329" s="56">
        <f t="shared" si="123"/>
        <v>46702</v>
      </c>
      <c r="B329" s="413">
        <f>'2026'!Wh/'2026'!Env_an*'2027'!Env_an</f>
        <v>17.112653481943145</v>
      </c>
      <c r="C329" s="868"/>
      <c r="D329" s="395">
        <f t="shared" si="102"/>
        <v>18.516941286651225</v>
      </c>
      <c r="E329" s="387">
        <f t="shared" si="125"/>
        <v>20.931200869531732</v>
      </c>
      <c r="F329" s="387">
        <f t="shared" si="103"/>
        <v>21.524911367477035</v>
      </c>
      <c r="G329" s="110">
        <f t="shared" si="126"/>
        <v>0.89980244184391234</v>
      </c>
      <c r="H329" s="416" t="b">
        <f>Wh_hp&gt;='2026'!Maxi_hp</f>
        <v>0</v>
      </c>
      <c r="I329" s="392">
        <f>IF(H329,Wh_hp,'2026'!Maxi_hp)</f>
        <v>21.604845905421222</v>
      </c>
      <c r="J329" s="85">
        <f>IF(H329,An,'2026'!An_max)</f>
        <v>2025</v>
      </c>
      <c r="K329" s="199">
        <f t="shared" si="104"/>
        <v>46702</v>
      </c>
      <c r="L329" s="147">
        <f>IF(t&lt;Tvie,1-EXP((T0-t)*PertePVj)+'2026'!Pspv,1-EXP((T0-t)*PertePVj)+Pspv)</f>
        <v>7.5838000616247792E-2</v>
      </c>
      <c r="M329" s="872"/>
      <c r="N329" s="872"/>
      <c r="O329" s="48">
        <f>IF(t&lt;Tnet,'2026'!Resal+('2026'!Salim-'2026'!Resal)*(1-EXP(('2026'!Tnet-t)/('2026'!Tau_j))),Resal+(Salim-Resal)*(1-EXP((Tnet-t)/(Tau_j))))*Salcycl</f>
        <v>0.11534262166461745</v>
      </c>
      <c r="P329" s="171">
        <f>(INDEX(Models!$BJ329:$BT329,,T329)*(1-R329)+INDEX(Models!$BJ329:$BT329,,T329+1)*R329-ERP_i)*Q329*Ramure*Pc/MaxiM</f>
        <v>3.1972637148628857E-2</v>
      </c>
      <c r="Q329" s="307">
        <f t="shared" si="105"/>
        <v>0.9</v>
      </c>
      <c r="R329" s="179">
        <f t="shared" si="106"/>
        <v>0.26377537412597829</v>
      </c>
      <c r="S329" s="839">
        <f t="shared" si="107"/>
        <v>-1</v>
      </c>
      <c r="T329" s="178">
        <f t="shared" si="108"/>
        <v>5</v>
      </c>
      <c r="U329" s="253">
        <f t="shared" si="109"/>
        <v>-0.73622462587402171</v>
      </c>
      <c r="V329" s="385">
        <f t="shared" si="110"/>
        <v>18.932372849886356</v>
      </c>
      <c r="W329" s="404">
        <f t="shared" si="111"/>
        <v>17.112653481943145</v>
      </c>
      <c r="X329" s="157">
        <f t="shared" si="112"/>
        <v>46702</v>
      </c>
      <c r="Y329" s="387">
        <f t="shared" si="113"/>
        <v>13.487638352461607</v>
      </c>
      <c r="Z329" s="387">
        <f t="shared" si="114"/>
        <v>14.59445244605968</v>
      </c>
      <c r="AA329" s="388">
        <f t="shared" si="115"/>
        <v>17.705056373936159</v>
      </c>
      <c r="AB329" s="199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0.17569014535619548</v>
      </c>
      <c r="AD329" s="233">
        <f>(INDEX(Models!$BJ329:$BT329,,AH329)*(1-AF329)+INDEX(Models!$BJ329:$BT329,,AH329+1)*AF329-ERP_i)*AE329*Ramure*Pc/MaxiM</f>
        <v>0.20570772807879845</v>
      </c>
      <c r="AE329" s="307">
        <f t="shared" si="117"/>
        <v>0.9</v>
      </c>
      <c r="AF329" s="179">
        <f t="shared" si="118"/>
        <v>0.89943102643295703</v>
      </c>
      <c r="AG329" s="839">
        <f t="shared" si="124"/>
        <v>3</v>
      </c>
      <c r="AH329" s="178">
        <f t="shared" si="119"/>
        <v>9</v>
      </c>
      <c r="AI329" s="227">
        <f t="shared" si="120"/>
        <v>3.899431026432957</v>
      </c>
      <c r="AJ329" s="267" t="b">
        <f t="shared" si="121"/>
        <v>0</v>
      </c>
      <c r="AK329" s="267" t="b">
        <f t="shared" si="122"/>
        <v>0</v>
      </c>
      <c r="AL329" s="267"/>
      <c r="AM329" s="267"/>
      <c r="AN329" s="75"/>
    </row>
    <row r="330" spans="1:40" s="6" customFormat="1" ht="11.25" x14ac:dyDescent="0.2">
      <c r="A330" s="56">
        <f t="shared" si="123"/>
        <v>46703</v>
      </c>
      <c r="B330" s="413">
        <f>'2026'!Wh/'2026'!Env_an*'2027'!Env_an</f>
        <v>16.984252121613469</v>
      </c>
      <c r="C330" s="868"/>
      <c r="D330" s="395">
        <f t="shared" si="102"/>
        <v>18.378430827600166</v>
      </c>
      <c r="E330" s="387">
        <f t="shared" si="125"/>
        <v>20.774961112669576</v>
      </c>
      <c r="F330" s="387">
        <f t="shared" si="103"/>
        <v>21.384744150626904</v>
      </c>
      <c r="G330" s="110">
        <f t="shared" si="126"/>
        <v>0.90404931643366393</v>
      </c>
      <c r="H330" s="416" t="b">
        <f>Wh_hp&gt;='2026'!Maxi_hp</f>
        <v>0</v>
      </c>
      <c r="I330" s="392">
        <f>IF(H330,Wh_hp,'2026'!Maxi_hp)</f>
        <v>21.462168250104178</v>
      </c>
      <c r="J330" s="85">
        <f>IF(H330,An,'2026'!An_max)</f>
        <v>2025</v>
      </c>
      <c r="K330" s="199">
        <f t="shared" si="104"/>
        <v>46703</v>
      </c>
      <c r="L330" s="147">
        <f>IF(t&lt;Tvie,1-EXP((T0-t)*PertePVj)+'2026'!Pspv,1-EXP((T0-t)*PertePVj)+Pspv)</f>
        <v>7.5859507216087252E-2</v>
      </c>
      <c r="M330" s="872"/>
      <c r="N330" s="872"/>
      <c r="O330" s="48">
        <f>IF(t&lt;Tnet,'2026'!Resal+('2026'!Salim-'2026'!Resal)*(1-EXP(('2026'!Tnet-t)/('2026'!Tau_j))),Resal+(Salim-Resal)*(1-EXP((Tnet-t)/(Tau_j))))*Salcycl</f>
        <v>0.1153566676766432</v>
      </c>
      <c r="P330" s="171">
        <f>(INDEX(Models!$BJ330:$BT330,,T330)*(1-R330)+INDEX(Models!$BJ330:$BT330,,T330+1)*R330-ERP_i)*Q330*Ramure*Pc/MaxiM</f>
        <v>3.2825373747544247E-2</v>
      </c>
      <c r="Q330" s="307">
        <f t="shared" si="105"/>
        <v>0.9</v>
      </c>
      <c r="R330" s="179">
        <f t="shared" si="106"/>
        <v>0.26382557198146683</v>
      </c>
      <c r="S330" s="839">
        <f t="shared" si="107"/>
        <v>-1</v>
      </c>
      <c r="T330" s="178">
        <f t="shared" si="108"/>
        <v>5</v>
      </c>
      <c r="U330" s="253">
        <f t="shared" si="109"/>
        <v>-0.73617442801853317</v>
      </c>
      <c r="V330" s="385">
        <f t="shared" si="110"/>
        <v>18.703506692189407</v>
      </c>
      <c r="W330" s="404">
        <f t="shared" si="111"/>
        <v>16.984252121613469</v>
      </c>
      <c r="X330" s="157">
        <f t="shared" si="112"/>
        <v>46703</v>
      </c>
      <c r="Y330" s="387">
        <f t="shared" si="113"/>
        <v>13.318721391207198</v>
      </c>
      <c r="Z330" s="387">
        <f t="shared" si="114"/>
        <v>14.412009315905443</v>
      </c>
      <c r="AA330" s="388">
        <f t="shared" si="115"/>
        <v>17.481450666030124</v>
      </c>
      <c r="AB330" s="199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0.17558275962127134</v>
      </c>
      <c r="AD330" s="233">
        <f>(INDEX(Models!$BJ330:$BT330,,AH330)*(1-AF330)+INDEX(Models!$BJ330:$BT330,,AH330+1)*AF330-ERP_i)*AE330*Ramure*Pc/MaxiM</f>
        <v>0.21011910712939466</v>
      </c>
      <c r="AE330" s="307">
        <f t="shared" si="117"/>
        <v>0.9</v>
      </c>
      <c r="AF330" s="179">
        <f t="shared" si="118"/>
        <v>0.89948122428844579</v>
      </c>
      <c r="AG330" s="839">
        <f t="shared" si="124"/>
        <v>3</v>
      </c>
      <c r="AH330" s="178">
        <f t="shared" si="119"/>
        <v>9</v>
      </c>
      <c r="AI330" s="227">
        <f t="shared" si="120"/>
        <v>3.8994812242884458</v>
      </c>
      <c r="AJ330" s="267" t="b">
        <f t="shared" si="121"/>
        <v>0</v>
      </c>
      <c r="AK330" s="267" t="b">
        <f t="shared" si="122"/>
        <v>0</v>
      </c>
      <c r="AL330" s="267"/>
      <c r="AM330" s="267"/>
      <c r="AN330" s="75"/>
    </row>
    <row r="331" spans="1:40" s="6" customFormat="1" ht="11.25" x14ac:dyDescent="0.2">
      <c r="A331" s="56">
        <f t="shared" si="123"/>
        <v>46704</v>
      </c>
      <c r="B331" s="413">
        <f>'2026'!Wh/'2026'!Env_an*'2027'!Env_an</f>
        <v>15.06869686296425</v>
      </c>
      <c r="C331" s="868"/>
      <c r="D331" s="395">
        <f t="shared" si="102"/>
        <v>16.306013706120037</v>
      </c>
      <c r="E331" s="387">
        <f t="shared" si="125"/>
        <v>18.432623612244207</v>
      </c>
      <c r="F331" s="387">
        <f t="shared" si="103"/>
        <v>18.900399812640405</v>
      </c>
      <c r="G331" s="110">
        <f t="shared" si="126"/>
        <v>0.8078838101230339</v>
      </c>
      <c r="H331" s="416" t="b">
        <f>Wh_hp&gt;='2026'!Maxi_hp</f>
        <v>0</v>
      </c>
      <c r="I331" s="392">
        <f>IF(H331,Wh_hp,'2026'!Maxi_hp)</f>
        <v>23.366158746660897</v>
      </c>
      <c r="J331" s="85">
        <f>IF(H331,An,'2026'!An_max)</f>
        <v>2020</v>
      </c>
      <c r="K331" s="199">
        <f t="shared" si="104"/>
        <v>46704</v>
      </c>
      <c r="L331" s="147">
        <f>IF(t&lt;Tvie,1-EXP((T0-t)*PertePVj)+'2026'!Pspv,1-EXP((T0-t)*PertePVj)+Pspv)</f>
        <v>7.5881013315436729E-2</v>
      </c>
      <c r="M331" s="872"/>
      <c r="N331" s="872"/>
      <c r="O331" s="48">
        <f>IF(t&lt;Tnet,'2026'!Resal+('2026'!Salim-'2026'!Resal)*(1-EXP(('2026'!Tnet-t)/('2026'!Tau_j))),Resal+(Salim-Resal)*(1-EXP((Tnet-t)/(Tau_j))))*Salcycl</f>
        <v>0.11537206807128263</v>
      </c>
      <c r="P331" s="171">
        <f>(INDEX(Models!$BJ331:$BT331,,T331)*(1-R331)+INDEX(Models!$BJ331:$BT331,,T331+1)*R331-ERP_i)*Q331*Ramure*Pc/MaxiM</f>
        <v>3.3620572655374242E-2</v>
      </c>
      <c r="Q331" s="307">
        <f t="shared" si="105"/>
        <v>0.9</v>
      </c>
      <c r="R331" s="179">
        <f t="shared" si="106"/>
        <v>0.26387375549691772</v>
      </c>
      <c r="S331" s="839">
        <f t="shared" si="107"/>
        <v>-1</v>
      </c>
      <c r="T331" s="178">
        <f t="shared" si="108"/>
        <v>5</v>
      </c>
      <c r="U331" s="253">
        <f t="shared" si="109"/>
        <v>-0.73612624450308228</v>
      </c>
      <c r="V331" s="385">
        <f t="shared" si="110"/>
        <v>18.48239737177034</v>
      </c>
      <c r="W331" s="404">
        <f t="shared" si="111"/>
        <v>15.06869686296425</v>
      </c>
      <c r="X331" s="157">
        <f t="shared" si="112"/>
        <v>46704</v>
      </c>
      <c r="Y331" s="387">
        <f t="shared" si="113"/>
        <v>12.126940546912154</v>
      </c>
      <c r="Z331" s="387">
        <f t="shared" si="114"/>
        <v>13.122704675097793</v>
      </c>
      <c r="AA331" s="388">
        <f t="shared" si="115"/>
        <v>15.915526403645179</v>
      </c>
      <c r="AB331" s="199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0.175477810643306</v>
      </c>
      <c r="AD331" s="233">
        <f>(INDEX(Models!$BJ331:$BT331,,AH331)*(1-AF331)+INDEX(Models!$BJ331:$BT331,,AH331+1)*AF331-ERP_i)*AE331*Ramure*Pc/MaxiM</f>
        <v>0.21453240508863244</v>
      </c>
      <c r="AE331" s="307">
        <f t="shared" si="117"/>
        <v>0.9</v>
      </c>
      <c r="AF331" s="179">
        <f t="shared" si="118"/>
        <v>0.89952940780389667</v>
      </c>
      <c r="AG331" s="839">
        <f t="shared" si="124"/>
        <v>3</v>
      </c>
      <c r="AH331" s="178">
        <f t="shared" si="119"/>
        <v>9</v>
      </c>
      <c r="AI331" s="227">
        <f t="shared" si="120"/>
        <v>3.8995294078038967</v>
      </c>
      <c r="AJ331" s="267" t="b">
        <f t="shared" si="121"/>
        <v>0</v>
      </c>
      <c r="AK331" s="267" t="b">
        <f t="shared" si="122"/>
        <v>0</v>
      </c>
      <c r="AL331" s="267"/>
      <c r="AM331" s="267"/>
      <c r="AN331" s="75"/>
    </row>
    <row r="332" spans="1:40" s="6" customFormat="1" ht="11.25" x14ac:dyDescent="0.2">
      <c r="A332" s="56">
        <f t="shared" si="123"/>
        <v>46705</v>
      </c>
      <c r="B332" s="413">
        <f>'2026'!Wh/'2026'!Env_an*'2027'!Env_an</f>
        <v>8.6982702115265376</v>
      </c>
      <c r="C332" s="868"/>
      <c r="D332" s="395">
        <f t="shared" si="102"/>
        <v>9.412719317562928</v>
      </c>
      <c r="E332" s="387">
        <f t="shared" si="125"/>
        <v>10.640517667178653</v>
      </c>
      <c r="F332" s="387">
        <f t="shared" si="103"/>
        <v>10.733291639430913</v>
      </c>
      <c r="G332" s="110">
        <f t="shared" si="126"/>
        <v>0.46378140221918879</v>
      </c>
      <c r="H332" s="416" t="b">
        <f>Wh_hp&gt;='2026'!Maxi_hp</f>
        <v>0</v>
      </c>
      <c r="I332" s="392">
        <f>IF(H332,Wh_hp,'2026'!Maxi_hp)</f>
        <v>17.041501964262778</v>
      </c>
      <c r="J332" s="85">
        <f>IF(H332,An,'2026'!An_max)</f>
        <v>2020</v>
      </c>
      <c r="K332" s="199">
        <f t="shared" si="104"/>
        <v>46705</v>
      </c>
      <c r="L332" s="147">
        <f>IF(t&lt;Tvie,1-EXP((T0-t)*PertePVj)+'2026'!Pspv,1-EXP((T0-t)*PertePVj)+Pspv)</f>
        <v>7.5902518914307771E-2</v>
      </c>
      <c r="M332" s="872"/>
      <c r="N332" s="872"/>
      <c r="O332" s="48">
        <f>IF(t&lt;Tnet,'2026'!Resal+('2026'!Salim-'2026'!Resal)*(1-EXP(('2026'!Tnet-t)/('2026'!Tau_j))),Resal+(Salim-Resal)*(1-EXP((Tnet-t)/(Tau_j))))*Salcycl</f>
        <v>0.11538896771939451</v>
      </c>
      <c r="P332" s="171">
        <f>(INDEX(Models!$BJ332:$BT332,,T332)*(1-R332)+INDEX(Models!$BJ332:$BT332,,T332+1)*R332-ERP_i)*Q332*Ramure*Pc/MaxiM</f>
        <v>3.4352666679011268E-2</v>
      </c>
      <c r="Q332" s="307">
        <f t="shared" si="105"/>
        <v>0.9</v>
      </c>
      <c r="R332" s="179">
        <f t="shared" si="106"/>
        <v>0.26392000524250414</v>
      </c>
      <c r="S332" s="839">
        <f t="shared" si="107"/>
        <v>-1</v>
      </c>
      <c r="T332" s="178">
        <f t="shared" si="108"/>
        <v>5</v>
      </c>
      <c r="U332" s="253">
        <f t="shared" si="109"/>
        <v>-0.73607999475749586</v>
      </c>
      <c r="V332" s="385">
        <f t="shared" si="110"/>
        <v>18.268726913980846</v>
      </c>
      <c r="W332" s="404">
        <f t="shared" si="111"/>
        <v>8.6982702115265376</v>
      </c>
      <c r="X332" s="157">
        <f t="shared" si="112"/>
        <v>46705</v>
      </c>
      <c r="Y332" s="387">
        <f t="shared" si="113"/>
        <v>7.7286345326411157</v>
      </c>
      <c r="Z332" s="387">
        <f t="shared" si="114"/>
        <v>8.3634407525502539</v>
      </c>
      <c r="AA332" s="388">
        <f t="shared" si="115"/>
        <v>10.142120296191694</v>
      </c>
      <c r="AB332" s="199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0.17537551238761426</v>
      </c>
      <c r="AD332" s="233">
        <f>(INDEX(Models!$BJ332:$BT332,,AH332)*(1-AF332)+INDEX(Models!$BJ332:$BT332,,AH332+1)*AF332-ERP_i)*AE332*Ramure*Pc/MaxiM</f>
        <v>0.21890096555594632</v>
      </c>
      <c r="AE332" s="307">
        <f t="shared" si="117"/>
        <v>0.9</v>
      </c>
      <c r="AF332" s="179">
        <f t="shared" si="118"/>
        <v>0.89957565754948288</v>
      </c>
      <c r="AG332" s="839">
        <f t="shared" si="124"/>
        <v>3</v>
      </c>
      <c r="AH332" s="178">
        <f t="shared" si="119"/>
        <v>9</v>
      </c>
      <c r="AI332" s="227">
        <f t="shared" si="120"/>
        <v>3.8995756575494829</v>
      </c>
      <c r="AJ332" s="267" t="b">
        <f t="shared" si="121"/>
        <v>0</v>
      </c>
      <c r="AK332" s="267" t="b">
        <f t="shared" si="122"/>
        <v>0</v>
      </c>
      <c r="AL332" s="267"/>
      <c r="AM332" s="267"/>
      <c r="AN332" s="75"/>
    </row>
    <row r="333" spans="1:40" s="6" customFormat="1" ht="11.25" x14ac:dyDescent="0.2">
      <c r="A333" s="56">
        <f t="shared" si="123"/>
        <v>46706</v>
      </c>
      <c r="B333" s="413">
        <f>'2026'!Wh/'2026'!Env_an*'2027'!Env_an</f>
        <v>10.599204358838941</v>
      </c>
      <c r="C333" s="868"/>
      <c r="D333" s="395">
        <f t="shared" si="102"/>
        <v>11.470057261811935</v>
      </c>
      <c r="E333" s="387">
        <f t="shared" si="125"/>
        <v>12.966487202372216</v>
      </c>
      <c r="F333" s="387">
        <f t="shared" si="103"/>
        <v>13.155472181079499</v>
      </c>
      <c r="G333" s="110">
        <f t="shared" si="126"/>
        <v>0.57451964854403526</v>
      </c>
      <c r="H333" s="416" t="b">
        <f>Wh_hp&gt;='2026'!Maxi_hp</f>
        <v>0</v>
      </c>
      <c r="I333" s="392">
        <f>IF(H333,Wh_hp,'2026'!Maxi_hp)</f>
        <v>21.801305387637619</v>
      </c>
      <c r="J333" s="85">
        <f>IF(H333,An,'2026'!An_max)</f>
        <v>2020</v>
      </c>
      <c r="K333" s="199">
        <f t="shared" si="104"/>
        <v>46706</v>
      </c>
      <c r="L333" s="147">
        <f>IF(t&lt;Tvie,1-EXP((T0-t)*PertePVj)+'2026'!Pspv,1-EXP((T0-t)*PertePVj)+Pspv)</f>
        <v>7.5924024012712255E-2</v>
      </c>
      <c r="M333" s="872"/>
      <c r="N333" s="872"/>
      <c r="O333" s="48">
        <f>IF(t&lt;Tnet,'2026'!Resal+('2026'!Salim-'2026'!Resal)*(1-EXP(('2026'!Tnet-t)/('2026'!Tau_j))),Resal+(Salim-Resal)*(1-EXP((Tnet-t)/(Tau_j))))*Salcycl</f>
        <v>0.11540750530232349</v>
      </c>
      <c r="P333" s="171">
        <f>(INDEX(Models!$BJ333:$BT333,,T333)*(1-R333)+INDEX(Models!$BJ333:$BT333,,T333+1)*R333-ERP_i)*Q333*Ramure*Pc/MaxiM</f>
        <v>3.5057422582122251E-2</v>
      </c>
      <c r="Q333" s="307">
        <f t="shared" si="105"/>
        <v>0.9</v>
      </c>
      <c r="R333" s="179">
        <f t="shared" si="106"/>
        <v>0.26396439858631726</v>
      </c>
      <c r="S333" s="839">
        <f t="shared" si="107"/>
        <v>-1</v>
      </c>
      <c r="T333" s="178">
        <f t="shared" si="108"/>
        <v>5</v>
      </c>
      <c r="U333" s="253">
        <f t="shared" si="109"/>
        <v>-0.73603560141368274</v>
      </c>
      <c r="V333" s="385">
        <f t="shared" si="110"/>
        <v>18.061505767994777</v>
      </c>
      <c r="W333" s="404">
        <f t="shared" si="111"/>
        <v>10.599204358838941</v>
      </c>
      <c r="X333" s="157">
        <f t="shared" si="112"/>
        <v>46706</v>
      </c>
      <c r="Y333" s="387">
        <f t="shared" si="113"/>
        <v>9.1086599782636988</v>
      </c>
      <c r="Z333" s="387">
        <f t="shared" si="114"/>
        <v>9.8570466227432849</v>
      </c>
      <c r="AA333" s="388">
        <f t="shared" si="115"/>
        <v>11.951934762710778</v>
      </c>
      <c r="AB333" s="199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0.17527606881719285</v>
      </c>
      <c r="AD333" s="233">
        <f>(INDEX(Models!$BJ333:$BT333,,AH333)*(1-AF333)+INDEX(Models!$BJ333:$BT333,,AH333+1)*AF333-ERP_i)*AE333*Ramure*Pc/MaxiM</f>
        <v>0.2232607065268454</v>
      </c>
      <c r="AE333" s="307">
        <f t="shared" si="117"/>
        <v>0.9</v>
      </c>
      <c r="AF333" s="179">
        <f t="shared" si="118"/>
        <v>0.89962005089329633</v>
      </c>
      <c r="AG333" s="839">
        <f t="shared" si="124"/>
        <v>3</v>
      </c>
      <c r="AH333" s="178">
        <f t="shared" si="119"/>
        <v>9</v>
      </c>
      <c r="AI333" s="227">
        <f t="shared" si="120"/>
        <v>3.8996200508932963</v>
      </c>
      <c r="AJ333" s="267" t="b">
        <f t="shared" si="121"/>
        <v>0</v>
      </c>
      <c r="AK333" s="267" t="b">
        <f t="shared" si="122"/>
        <v>0</v>
      </c>
      <c r="AL333" s="267"/>
      <c r="AM333" s="267"/>
      <c r="AN333" s="75"/>
    </row>
    <row r="334" spans="1:40" s="6" customFormat="1" ht="11.25" x14ac:dyDescent="0.2">
      <c r="A334" s="56">
        <f t="shared" si="123"/>
        <v>46707</v>
      </c>
      <c r="B334" s="413">
        <f>'2026'!Wh/'2026'!Env_an*'2027'!Env_an</f>
        <v>16.610750004745661</v>
      </c>
      <c r="C334" s="868"/>
      <c r="D334" s="395">
        <f t="shared" si="102"/>
        <v>17.975942456910566</v>
      </c>
      <c r="E334" s="387">
        <f t="shared" si="125"/>
        <v>20.321622943566297</v>
      </c>
      <c r="F334" s="387">
        <f t="shared" si="103"/>
        <v>20.996922901952619</v>
      </c>
      <c r="G334" s="110">
        <f t="shared" si="126"/>
        <v>0.92659696979014428</v>
      </c>
      <c r="H334" s="416" t="b">
        <f>Wh_hp&gt;='2026'!Maxi_hp</f>
        <v>0</v>
      </c>
      <c r="I334" s="392">
        <f>IF(H334,Wh_hp,'2026'!Maxi_hp)</f>
        <v>21.058310836751197</v>
      </c>
      <c r="J334" s="85">
        <f>IF(H334,An,'2026'!An_max)</f>
        <v>2025</v>
      </c>
      <c r="K334" s="199">
        <f t="shared" si="104"/>
        <v>46707</v>
      </c>
      <c r="L334" s="147">
        <f>IF(t&lt;Tvie,1-EXP((T0-t)*PertePVj)+'2026'!Pspv,1-EXP((T0-t)*PertePVj)+Pspv)</f>
        <v>7.5945528610661506E-2</v>
      </c>
      <c r="M334" s="872"/>
      <c r="N334" s="872"/>
      <c r="O334" s="48">
        <f>IF(t&lt;Tnet,'2026'!Resal+('2026'!Salim-'2026'!Resal)*(1-EXP(('2026'!Tnet-t)/('2026'!Tau_j))),Resal+(Salim-Resal)*(1-EXP((Tnet-t)/(Tau_j))))*Salcycl</f>
        <v>0.1154278126884723</v>
      </c>
      <c r="P334" s="171">
        <f>(INDEX(Models!$BJ334:$BT334,,T334)*(1-R334)+INDEX(Models!$BJ334:$BT334,,T334+1)*R334-ERP_i)*Q334*Ramure*Pc/MaxiM</f>
        <v>3.5733730293046412E-2</v>
      </c>
      <c r="Q334" s="307">
        <f t="shared" si="105"/>
        <v>0.9</v>
      </c>
      <c r="R334" s="179">
        <f t="shared" si="106"/>
        <v>0.26400700982000269</v>
      </c>
      <c r="S334" s="839">
        <f t="shared" si="107"/>
        <v>-1</v>
      </c>
      <c r="T334" s="178">
        <f t="shared" si="108"/>
        <v>5</v>
      </c>
      <c r="U334" s="253">
        <f t="shared" si="109"/>
        <v>-0.73599299017999731</v>
      </c>
      <c r="V334" s="385">
        <f t="shared" si="110"/>
        <v>17.8604586115957</v>
      </c>
      <c r="W334" s="404">
        <f t="shared" si="111"/>
        <v>16.610750004745661</v>
      </c>
      <c r="X334" s="157">
        <f t="shared" si="112"/>
        <v>46707</v>
      </c>
      <c r="Y334" s="387">
        <f t="shared" si="113"/>
        <v>12.724972694648267</v>
      </c>
      <c r="Z334" s="387">
        <f t="shared" si="114"/>
        <v>13.770803657836273</v>
      </c>
      <c r="AA334" s="388">
        <f t="shared" si="115"/>
        <v>16.695519262576692</v>
      </c>
      <c r="AB334" s="199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0.17517967298544709</v>
      </c>
      <c r="AD334" s="233">
        <f>(INDEX(Models!$BJ334:$BT334,,AH334)*(1-AF334)+INDEX(Models!$BJ334:$BT334,,AH334+1)*AF334-ERP_i)*AE334*Ramure*Pc/MaxiM</f>
        <v>0.22761025766724058</v>
      </c>
      <c r="AE334" s="307">
        <f t="shared" si="117"/>
        <v>0.9</v>
      </c>
      <c r="AF334" s="179">
        <f t="shared" si="118"/>
        <v>0.89966266212698187</v>
      </c>
      <c r="AG334" s="839">
        <f t="shared" si="124"/>
        <v>3</v>
      </c>
      <c r="AH334" s="178">
        <f t="shared" si="119"/>
        <v>9</v>
      </c>
      <c r="AI334" s="227">
        <f t="shared" si="120"/>
        <v>3.8996626621269819</v>
      </c>
      <c r="AJ334" s="267" t="b">
        <f t="shared" si="121"/>
        <v>0</v>
      </c>
      <c r="AK334" s="267" t="b">
        <f t="shared" si="122"/>
        <v>0</v>
      </c>
      <c r="AL334" s="267"/>
      <c r="AM334" s="267"/>
      <c r="AN334" s="75"/>
    </row>
    <row r="335" spans="1:40" s="6" customFormat="1" ht="11.25" x14ac:dyDescent="0.2">
      <c r="A335" s="56">
        <f t="shared" si="123"/>
        <v>46708</v>
      </c>
      <c r="B335" s="413">
        <f>'2026'!Wh/'2026'!Env_an*'2027'!Env_an</f>
        <v>10.906307563244733</v>
      </c>
      <c r="C335" s="868"/>
      <c r="D335" s="395">
        <f t="shared" ref="D335:D379" si="127">Wh/(1-Ppv)</f>
        <v>11.802942047846059</v>
      </c>
      <c r="E335" s="387">
        <f t="shared" si="125"/>
        <v>13.34344269892372</v>
      </c>
      <c r="F335" s="387">
        <f t="shared" ref="F335:F379" si="128">Wh_sa/(1-Pvg*MEDIAN((-Sdif+Wh/Env_an)/Csdif,0,1))</f>
        <v>13.567237263278916</v>
      </c>
      <c r="G335" s="110">
        <f t="shared" si="126"/>
        <v>0.60490275479594491</v>
      </c>
      <c r="H335" s="416" t="b">
        <f>Wh_hp&gt;='2026'!Maxi_hp</f>
        <v>0</v>
      </c>
      <c r="I335" s="392">
        <f>IF(H335,Wh_hp,'2026'!Maxi_hp)</f>
        <v>21.918634591687038</v>
      </c>
      <c r="J335" s="85">
        <f>IF(H335,An,'2026'!An_max)</f>
        <v>2018</v>
      </c>
      <c r="K335" s="199">
        <f t="shared" ref="K335:K379" si="129">t</f>
        <v>46708</v>
      </c>
      <c r="L335" s="147">
        <f>IF(t&lt;Tvie,1-EXP((T0-t)*PertePVj)+'2026'!Pspv,1-EXP((T0-t)*PertePVj)+Pspv)</f>
        <v>7.5967032708167515E-2</v>
      </c>
      <c r="M335" s="872"/>
      <c r="N335" s="872"/>
      <c r="O335" s="48">
        <f>IF(t&lt;Tnet,'2026'!Resal+('2026'!Salim-'2026'!Resal)*(1-EXP(('2026'!Tnet-t)/('2026'!Tau_j))),Resal+(Salim-Resal)*(1-EXP((Tnet-t)/(Tau_j))))*Salcycl</f>
        <v>0.11545001435063808</v>
      </c>
      <c r="P335" s="171">
        <f>(INDEX(Models!$BJ335:$BT335,,T335)*(1-R335)+INDEX(Models!$BJ335:$BT335,,T335+1)*R335-ERP_i)*Q335*Ramure*Pc/MaxiM</f>
        <v>3.6380527020765482E-2</v>
      </c>
      <c r="Q335" s="307">
        <f t="shared" ref="Q335:Q379" si="130">IF(OR(t&lt;Ttai,Notai),Dd+PousD*Croivg,Dens+PousD*(Croivg-Croi_tai))</f>
        <v>0.9</v>
      </c>
      <c r="R335" s="179">
        <f t="shared" ref="R335:R379" si="131">(Hp_vg-S335)/(INDEX(Echel_vg,T335+1)-S335)</f>
        <v>0.26404791027959462</v>
      </c>
      <c r="S335" s="839">
        <f t="shared" ref="S335:S379" si="132">INDEX(Echel_vg,T335)</f>
        <v>-1</v>
      </c>
      <c r="T335" s="178">
        <f t="shared" ref="T335:T379" si="133">MIN(MATCH(Hp_vg,Echel_vg),10)</f>
        <v>5</v>
      </c>
      <c r="U335" s="253">
        <f t="shared" ref="U335:U379" si="134">IF(OR(t&lt;Ttai,Notai),Hdd+PousH*Croivg,Hdtf+PousH*(Croivg-Croi_tai))</f>
        <v>-0.73595208972040538</v>
      </c>
      <c r="V335" s="385">
        <f t="shared" ref="V335:V379" si="135">MaxiM*(1-Ppv)*(1-Pvg)*(1-Psa)</f>
        <v>17.665310332492808</v>
      </c>
      <c r="W335" s="404">
        <f t="shared" ref="W335:W379" si="136">Wh*(A335&gt;Tmaj)</f>
        <v>10.906307563244733</v>
      </c>
      <c r="X335" s="157">
        <f t="shared" ref="X335:X379" si="137">t</f>
        <v>46708</v>
      </c>
      <c r="Y335" s="387">
        <f t="shared" ref="Y335:Y379" si="138">Wh_pvt_s*(1-Ppv)</f>
        <v>9.2539926683377871</v>
      </c>
      <c r="Z335" s="387">
        <f t="shared" ref="Z335:Z379" si="139">Wh_sa_s*(1-Psa_s)</f>
        <v>10.014786264022058</v>
      </c>
      <c r="AA335" s="388">
        <f t="shared" ref="AA335:AA379" si="140">Wh_hp*(1-Pvg_s*MEDIAN((-Sdif+Wh/Env_an)/Csdif,0,1))</f>
        <v>12.140407860006663</v>
      </c>
      <c r="AB335" s="199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0.1750865061944829</v>
      </c>
      <c r="AD335" s="233">
        <f>(INDEX(Models!$BJ335:$BT335,,AH335)*(1-AF335)+INDEX(Models!$BJ335:$BT335,,AH335+1)*AF335-ERP_i)*AE335*Ramure*Pc/MaxiM</f>
        <v>0.23194846492063073</v>
      </c>
      <c r="AE335" s="307">
        <f t="shared" ref="AE335:AE379" si="142">IF(OR(t&lt;Ttai,Notai),Dd_s+PousD*Croivg,Dens_s+PousD*(Croivg-Croi_tai))</f>
        <v>0.9</v>
      </c>
      <c r="AF335" s="179">
        <f t="shared" ref="AF335:AF379" si="143">(Hp_vg_s-AG335)/(INDEX(Echel_vg,AH335+1)-AG335)</f>
        <v>0.89970356258657347</v>
      </c>
      <c r="AG335" s="839">
        <f t="shared" si="124"/>
        <v>3</v>
      </c>
      <c r="AH335" s="178">
        <f t="shared" ref="AH335:AH379" si="144">MIN(MATCH(Hp_vg_s,Echel_vg),10)</f>
        <v>9</v>
      </c>
      <c r="AI335" s="227">
        <f t="shared" ref="AI335:AI379" si="145">IF(OR(t&lt;Ttai,Notai),Hdd_s+PousH*Croivg,Hdtai_s+PousH*(Croivg-Croi_tai))</f>
        <v>3.8997035625865735</v>
      </c>
      <c r="AJ335" s="267" t="b">
        <f t="shared" ref="AJ335:AJ380" si="146">t&lt;Tnet</f>
        <v>0</v>
      </c>
      <c r="AK335" s="267" t="b">
        <f t="shared" ref="AK335:AK380" si="147">t&lt;Ttai</f>
        <v>0</v>
      </c>
      <c r="AL335" s="267"/>
      <c r="AM335" s="267"/>
      <c r="AN335" s="75"/>
    </row>
    <row r="336" spans="1:40" s="6" customFormat="1" ht="11.25" x14ac:dyDescent="0.2">
      <c r="A336" s="56">
        <f t="shared" ref="A336:A379" si="148">A335+1</f>
        <v>46709</v>
      </c>
      <c r="B336" s="413">
        <f>'2026'!Wh/'2026'!Env_an*'2027'!Env_an</f>
        <v>10.317814788690164</v>
      </c>
      <c r="C336" s="868"/>
      <c r="D336" s="395">
        <f t="shared" si="127"/>
        <v>11.166327685409097</v>
      </c>
      <c r="E336" s="387">
        <f t="shared" si="125"/>
        <v>12.624084027951737</v>
      </c>
      <c r="F336" s="387">
        <f t="shared" si="128"/>
        <v>12.82086795477306</v>
      </c>
      <c r="G336" s="110">
        <f t="shared" si="126"/>
        <v>0.577425940810948</v>
      </c>
      <c r="H336" s="416" t="b">
        <f>Wh_hp&gt;='2026'!Maxi_hp</f>
        <v>0</v>
      </c>
      <c r="I336" s="392">
        <f>IF(H336,Wh_hp,'2026'!Maxi_hp)</f>
        <v>20.767759562159952</v>
      </c>
      <c r="J336" s="85">
        <f>IF(H336,An,'2026'!An_max)</f>
        <v>2020</v>
      </c>
      <c r="K336" s="199">
        <f t="shared" si="129"/>
        <v>46709</v>
      </c>
      <c r="L336" s="147">
        <f>IF(t&lt;Tvie,1-EXP((T0-t)*PertePVj)+'2026'!Pspv,1-EXP((T0-t)*PertePVj)+Pspv)</f>
        <v>7.5988536305241605E-2</v>
      </c>
      <c r="M336" s="872"/>
      <c r="N336" s="872"/>
      <c r="O336" s="48">
        <f>IF(t&lt;Tnet,'2026'!Resal+('2026'!Salim-'2026'!Resal)*(1-EXP(('2026'!Tnet-t)/('2026'!Tau_j))),Resal+(Salim-Resal)*(1-EXP((Tnet-t)/(Tau_j))))*Salcycl</f>
        <v>0.11547422682825415</v>
      </c>
      <c r="P336" s="171">
        <f>(INDEX(Models!$BJ336:$BT336,,T336)*(1-R336)+INDEX(Models!$BJ336:$BT336,,T336+1)*R336-ERP_i)*Q336*Ramure*Pc/MaxiM</f>
        <v>3.6996798875723866E-2</v>
      </c>
      <c r="Q336" s="307">
        <f t="shared" si="130"/>
        <v>0.9</v>
      </c>
      <c r="R336" s="179">
        <f t="shared" si="131"/>
        <v>0.26408716846172331</v>
      </c>
      <c r="S336" s="839">
        <f t="shared" si="132"/>
        <v>-1</v>
      </c>
      <c r="T336" s="178">
        <f t="shared" si="133"/>
        <v>5</v>
      </c>
      <c r="U336" s="253">
        <f t="shared" si="134"/>
        <v>-0.73591283153827669</v>
      </c>
      <c r="V336" s="385">
        <f t="shared" si="135"/>
        <v>17.475786027108473</v>
      </c>
      <c r="W336" s="404">
        <f t="shared" si="136"/>
        <v>10.317814788690164</v>
      </c>
      <c r="X336" s="157">
        <f t="shared" si="137"/>
        <v>46709</v>
      </c>
      <c r="Y336" s="387">
        <f t="shared" si="138"/>
        <v>8.8154862241926342</v>
      </c>
      <c r="Z336" s="387">
        <f t="shared" si="139"/>
        <v>9.5404511421784441</v>
      </c>
      <c r="AA336" s="388">
        <f t="shared" si="140"/>
        <v>11.564137467876977</v>
      </c>
      <c r="AB336" s="199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0.17499673722488659</v>
      </c>
      <c r="AD336" s="233">
        <f>(INDEX(Models!$BJ336:$BT336,,AH336)*(1-AF336)+INDEX(Models!$BJ336:$BT336,,AH336+1)*AF336-ERP_i)*AE336*Ramure*Pc/MaxiM</f>
        <v>0.23627440419410678</v>
      </c>
      <c r="AE336" s="307">
        <f t="shared" si="142"/>
        <v>0.9</v>
      </c>
      <c r="AF336" s="179">
        <f t="shared" si="143"/>
        <v>0.89974282076870216</v>
      </c>
      <c r="AG336" s="839">
        <f t="shared" ref="AG336:AG379" si="149">INDEX(Echel_vg,AH336)</f>
        <v>3</v>
      </c>
      <c r="AH336" s="178">
        <f t="shared" si="144"/>
        <v>9</v>
      </c>
      <c r="AI336" s="227">
        <f t="shared" si="145"/>
        <v>3.8997428207687022</v>
      </c>
      <c r="AJ336" s="267" t="b">
        <f t="shared" si="146"/>
        <v>0</v>
      </c>
      <c r="AK336" s="267" t="b">
        <f t="shared" si="147"/>
        <v>0</v>
      </c>
      <c r="AL336" s="267"/>
      <c r="AM336" s="267"/>
      <c r="AN336" s="75"/>
    </row>
    <row r="337" spans="1:40" s="6" customFormat="1" ht="11.25" x14ac:dyDescent="0.2">
      <c r="A337" s="56">
        <f t="shared" si="148"/>
        <v>46710</v>
      </c>
      <c r="B337" s="413">
        <f>'2026'!Wh/'2026'!Env_an*'2027'!Env_an</f>
        <v>7.5899417151430573</v>
      </c>
      <c r="C337" s="868"/>
      <c r="D337" s="395">
        <f t="shared" si="127"/>
        <v>8.2143118851962864</v>
      </c>
      <c r="E337" s="387">
        <f t="shared" si="125"/>
        <v>9.2869610735262533</v>
      </c>
      <c r="F337" s="387">
        <f t="shared" si="128"/>
        <v>9.3567558206194761</v>
      </c>
      <c r="G337" s="110">
        <f t="shared" si="126"/>
        <v>0.4256166221244711</v>
      </c>
      <c r="H337" s="416" t="b">
        <f>Wh_hp&gt;='2026'!Maxi_hp</f>
        <v>0</v>
      </c>
      <c r="I337" s="392">
        <f>IF(H337,Wh_hp,'2026'!Maxi_hp)</f>
        <v>21.77433778544162</v>
      </c>
      <c r="J337" s="85">
        <f>IF(H337,An,'2026'!An_max)</f>
        <v>2021</v>
      </c>
      <c r="K337" s="199">
        <f t="shared" si="129"/>
        <v>46710</v>
      </c>
      <c r="L337" s="147">
        <f>IF(t&lt;Tvie,1-EXP((T0-t)*PertePVj)+'2026'!Pspv,1-EXP((T0-t)*PertePVj)+Pspv)</f>
        <v>7.6010039401895657E-2</v>
      </c>
      <c r="M337" s="872"/>
      <c r="N337" s="872"/>
      <c r="O337" s="48">
        <f>IF(t&lt;Tnet,'2026'!Resal+('2026'!Salim-'2026'!Resal)*(1-EXP(('2026'!Tnet-t)/('2026'!Tau_j))),Resal+(Salim-Resal)*(1-EXP((Tnet-t)/(Tau_j))))*Salcycl</f>
        <v>0.11550055823833483</v>
      </c>
      <c r="P337" s="171">
        <f>(INDEX(Models!$BJ337:$BT337,,T337)*(1-R337)+INDEX(Models!$BJ337:$BT337,,T337+1)*R337-ERP_i)*Q337*Ramure*Pc/MaxiM</f>
        <v>3.7581582083454343E-2</v>
      </c>
      <c r="Q337" s="307">
        <f t="shared" si="130"/>
        <v>0.9</v>
      </c>
      <c r="R337" s="179">
        <f t="shared" si="131"/>
        <v>0.26412485013536202</v>
      </c>
      <c r="S337" s="839">
        <f t="shared" si="132"/>
        <v>-1</v>
      </c>
      <c r="T337" s="178">
        <f t="shared" si="133"/>
        <v>5</v>
      </c>
      <c r="U337" s="253">
        <f t="shared" si="134"/>
        <v>-0.73587514986463798</v>
      </c>
      <c r="V337" s="385">
        <f t="shared" si="135"/>
        <v>17.291610988469806</v>
      </c>
      <c r="W337" s="404">
        <f t="shared" si="136"/>
        <v>7.5899417151430573</v>
      </c>
      <c r="X337" s="157">
        <f t="shared" si="137"/>
        <v>46710</v>
      </c>
      <c r="Y337" s="387">
        <f t="shared" si="138"/>
        <v>6.7927163831512436</v>
      </c>
      <c r="Z337" s="387">
        <f t="shared" si="139"/>
        <v>7.3515045323157802</v>
      </c>
      <c r="AA337" s="388">
        <f t="shared" si="140"/>
        <v>8.9099482239782564</v>
      </c>
      <c r="AB337" s="199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0.17491052164236234</v>
      </c>
      <c r="AD337" s="233">
        <f>(INDEX(Models!$BJ337:$BT337,,AH337)*(1-AF337)+INDEX(Models!$BJ337:$BT337,,AH337+1)*AF337-ERP_i)*AE337*Ramure*Pc/MaxiM</f>
        <v>0.2405873947254896</v>
      </c>
      <c r="AE337" s="307">
        <f t="shared" si="142"/>
        <v>0.9</v>
      </c>
      <c r="AF337" s="179">
        <f t="shared" si="143"/>
        <v>0.89978050244234087</v>
      </c>
      <c r="AG337" s="839">
        <f t="shared" si="149"/>
        <v>3</v>
      </c>
      <c r="AH337" s="178">
        <f t="shared" si="144"/>
        <v>9</v>
      </c>
      <c r="AI337" s="227">
        <f t="shared" si="145"/>
        <v>3.8997805024423409</v>
      </c>
      <c r="AJ337" s="267" t="b">
        <f t="shared" si="146"/>
        <v>0</v>
      </c>
      <c r="AK337" s="267" t="b">
        <f t="shared" si="147"/>
        <v>0</v>
      </c>
      <c r="AL337" s="267"/>
      <c r="AM337" s="267"/>
      <c r="AN337" s="75"/>
    </row>
    <row r="338" spans="1:40" s="6" customFormat="1" ht="11.25" x14ac:dyDescent="0.2">
      <c r="A338" s="56">
        <f t="shared" si="148"/>
        <v>46711</v>
      </c>
      <c r="B338" s="413">
        <f>'2026'!Wh/'2026'!Env_an*'2027'!Env_an</f>
        <v>12.412072089131115</v>
      </c>
      <c r="C338" s="868"/>
      <c r="D338" s="395">
        <f t="shared" si="127"/>
        <v>13.433437020104583</v>
      </c>
      <c r="E338" s="387">
        <f t="shared" si="125"/>
        <v>15.188105271928322</v>
      </c>
      <c r="F338" s="387">
        <f t="shared" si="128"/>
        <v>15.548484091907987</v>
      </c>
      <c r="G338" s="110">
        <f t="shared" si="126"/>
        <v>0.7142160431180451</v>
      </c>
      <c r="H338" s="416" t="b">
        <f>Wh_hp&gt;='2026'!Maxi_hp</f>
        <v>0</v>
      </c>
      <c r="I338" s="392">
        <f>IF(H338,Wh_hp,'2026'!Maxi_hp)</f>
        <v>22.468091458324675</v>
      </c>
      <c r="J338" s="85">
        <f>IF(H338,An,'2026'!An_max)</f>
        <v>2019</v>
      </c>
      <c r="K338" s="199">
        <f t="shared" si="129"/>
        <v>46711</v>
      </c>
      <c r="L338" s="147">
        <f>IF(t&lt;Tvie,1-EXP((T0-t)*PertePVj)+'2026'!Pspv,1-EXP((T0-t)*PertePVj)+Pspv)</f>
        <v>7.6031541998141217E-2</v>
      </c>
      <c r="M338" s="872"/>
      <c r="N338" s="872"/>
      <c r="O338" s="48">
        <f>IF(t&lt;Tnet,'2026'!Resal+('2026'!Salim-'2026'!Resal)*(1-EXP(('2026'!Tnet-t)/('2026'!Tau_j))),Resal+(Salim-Resal)*(1-EXP((Tnet-t)/(Tau_j))))*Salcycl</f>
        <v>0.11552910783854231</v>
      </c>
      <c r="P338" s="171">
        <f>(INDEX(Models!$BJ338:$BT338,,T338)*(1-R338)+INDEX(Models!$BJ338:$BT338,,T338+1)*R338-ERP_i)*Q338*Ramure*Pc/MaxiM</f>
        <v>3.8145475697793432E-2</v>
      </c>
      <c r="Q338" s="307">
        <f t="shared" si="130"/>
        <v>0.9</v>
      </c>
      <c r="R338" s="179">
        <f t="shared" si="131"/>
        <v>0.26416101844927664</v>
      </c>
      <c r="S338" s="839">
        <f t="shared" si="132"/>
        <v>-1</v>
      </c>
      <c r="T338" s="178">
        <f t="shared" si="133"/>
        <v>5</v>
      </c>
      <c r="U338" s="253">
        <f t="shared" si="134"/>
        <v>-0.73583898155072336</v>
      </c>
      <c r="V338" s="385">
        <f t="shared" si="135"/>
        <v>17.112305899421898</v>
      </c>
      <c r="W338" s="404">
        <f t="shared" si="136"/>
        <v>12.412072089131115</v>
      </c>
      <c r="X338" s="157">
        <f t="shared" si="137"/>
        <v>46711</v>
      </c>
      <c r="Y338" s="387">
        <f t="shared" si="138"/>
        <v>10.091203455117281</v>
      </c>
      <c r="Z338" s="387">
        <f t="shared" si="139"/>
        <v>10.921588683817365</v>
      </c>
      <c r="AA338" s="388">
        <f t="shared" si="140"/>
        <v>13.235529925293932</v>
      </c>
      <c r="AB338" s="199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0.17482800118599556</v>
      </c>
      <c r="AD338" s="233">
        <f>(INDEX(Models!$BJ338:$BT338,,AH338)*(1-AF338)+INDEX(Models!$BJ338:$BT338,,AH338+1)*AF338-ERP_i)*AE338*Ramure*Pc/MaxiM</f>
        <v>0.24482220391771384</v>
      </c>
      <c r="AE338" s="307">
        <f t="shared" si="142"/>
        <v>0.9</v>
      </c>
      <c r="AF338" s="179">
        <f t="shared" si="143"/>
        <v>0.89981667075625538</v>
      </c>
      <c r="AG338" s="839">
        <f t="shared" si="149"/>
        <v>3</v>
      </c>
      <c r="AH338" s="178">
        <f t="shared" si="144"/>
        <v>9</v>
      </c>
      <c r="AI338" s="227">
        <f t="shared" si="145"/>
        <v>3.8998166707562554</v>
      </c>
      <c r="AJ338" s="267" t="b">
        <f t="shared" si="146"/>
        <v>0</v>
      </c>
      <c r="AK338" s="267" t="b">
        <f t="shared" si="147"/>
        <v>0</v>
      </c>
      <c r="AL338" s="267"/>
      <c r="AM338" s="267"/>
      <c r="AN338" s="75"/>
    </row>
    <row r="339" spans="1:40" s="6" customFormat="1" ht="11.25" x14ac:dyDescent="0.2">
      <c r="A339" s="56">
        <f t="shared" si="148"/>
        <v>46712</v>
      </c>
      <c r="B339" s="413">
        <f>'2026'!Wh/'2026'!Env_an*'2027'!Env_an</f>
        <v>2.9632720673187229</v>
      </c>
      <c r="C339" s="868"/>
      <c r="D339" s="395">
        <f t="shared" si="127"/>
        <v>3.2071885170214975</v>
      </c>
      <c r="E339" s="387">
        <f t="shared" si="125"/>
        <v>3.6262362539500246</v>
      </c>
      <c r="F339" s="387">
        <f t="shared" si="128"/>
        <v>3.6262362539500246</v>
      </c>
      <c r="G339" s="110">
        <f t="shared" si="126"/>
        <v>0.16818378825331654</v>
      </c>
      <c r="H339" s="416" t="b">
        <f>Wh_hp&gt;='2026'!Maxi_hp</f>
        <v>0</v>
      </c>
      <c r="I339" s="392">
        <f>IF(H339,Wh_hp,'2026'!Maxi_hp)</f>
        <v>21.653761632843604</v>
      </c>
      <c r="J339" s="85">
        <f>IF(H339,An,'2026'!An_max)</f>
        <v>2019</v>
      </c>
      <c r="K339" s="199">
        <f t="shared" si="129"/>
        <v>46712</v>
      </c>
      <c r="L339" s="147">
        <f>IF(t&lt;Tvie,1-EXP((T0-t)*PertePVj)+'2026'!Pspv,1-EXP((T0-t)*PertePVj)+Pspv)</f>
        <v>7.6053044093990052E-2</v>
      </c>
      <c r="M339" s="872"/>
      <c r="N339" s="872"/>
      <c r="O339" s="48">
        <f>IF(t&lt;Tnet,'2026'!Resal+('2026'!Salim-'2026'!Resal)*(1-EXP(('2026'!Tnet-t)/('2026'!Tau_j))),Resal+(Salim-Resal)*(1-EXP((Tnet-t)/(Tau_j))))*Salcycl</f>
        <v>0.11555996564538847</v>
      </c>
      <c r="P339" s="171">
        <f>(INDEX(Models!$BJ339:$BT339,,T339)*(1-R339)+INDEX(Models!$BJ339:$BT339,,T339+1)*R339-ERP_i)*Q339*Ramure*Pc/MaxiM</f>
        <v>3.8718692918895556E-2</v>
      </c>
      <c r="Q339" s="307">
        <f t="shared" si="130"/>
        <v>0.9</v>
      </c>
      <c r="R339" s="179">
        <f t="shared" si="131"/>
        <v>0.26419573403533581</v>
      </c>
      <c r="S339" s="839">
        <f t="shared" si="132"/>
        <v>-1</v>
      </c>
      <c r="T339" s="178">
        <f t="shared" si="133"/>
        <v>5</v>
      </c>
      <c r="U339" s="253">
        <f t="shared" si="134"/>
        <v>-0.73580426596466419</v>
      </c>
      <c r="V339" s="385">
        <f t="shared" si="135"/>
        <v>16.937054847513796</v>
      </c>
      <c r="W339" s="404">
        <f t="shared" si="136"/>
        <v>2.9632720673187229</v>
      </c>
      <c r="X339" s="157">
        <f t="shared" si="137"/>
        <v>46712</v>
      </c>
      <c r="Y339" s="387">
        <f t="shared" si="138"/>
        <v>2.7649611542312909</v>
      </c>
      <c r="Z339" s="387">
        <f t="shared" si="139"/>
        <v>2.992553995180391</v>
      </c>
      <c r="AA339" s="388">
        <f t="shared" si="140"/>
        <v>3.6262362539500246</v>
      </c>
      <c r="AB339" s="199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0.17474930324227214</v>
      </c>
      <c r="AD339" s="233">
        <f>(INDEX(Models!$BJ339:$BT339,,AH339)*(1-AF339)+INDEX(Models!$BJ339:$BT339,,AH339+1)*AF339-ERP_i)*AE339*Ramure*Pc/MaxiM</f>
        <v>0.24896289440191482</v>
      </c>
      <c r="AE339" s="307">
        <f t="shared" si="142"/>
        <v>0.9</v>
      </c>
      <c r="AF339" s="179">
        <f t="shared" si="143"/>
        <v>0.89985138634231454</v>
      </c>
      <c r="AG339" s="839">
        <f t="shared" si="149"/>
        <v>3</v>
      </c>
      <c r="AH339" s="178">
        <f t="shared" si="144"/>
        <v>9</v>
      </c>
      <c r="AI339" s="227">
        <f t="shared" si="145"/>
        <v>3.8998513863423145</v>
      </c>
      <c r="AJ339" s="267" t="b">
        <f t="shared" si="146"/>
        <v>0</v>
      </c>
      <c r="AK339" s="267" t="b">
        <f t="shared" si="147"/>
        <v>0</v>
      </c>
      <c r="AL339" s="267"/>
      <c r="AM339" s="267"/>
      <c r="AN339" s="75"/>
    </row>
    <row r="340" spans="1:40" s="6" customFormat="1" ht="11.25" x14ac:dyDescent="0.2">
      <c r="A340" s="56">
        <f t="shared" si="148"/>
        <v>46713</v>
      </c>
      <c r="B340" s="413">
        <f>'2026'!Wh/'2026'!Env_an*'2027'!Env_an</f>
        <v>7.8513621604440846</v>
      </c>
      <c r="C340" s="868"/>
      <c r="D340" s="395">
        <f t="shared" si="127"/>
        <v>8.4978307760802458</v>
      </c>
      <c r="E340" s="387">
        <f t="shared" si="125"/>
        <v>9.6085092204636293</v>
      </c>
      <c r="F340" s="387">
        <f t="shared" si="128"/>
        <v>9.7001697697862106</v>
      </c>
      <c r="G340" s="110">
        <f t="shared" si="126"/>
        <v>0.45418909670999802</v>
      </c>
      <c r="H340" s="416" t="b">
        <f>Wh_hp&gt;='2026'!Maxi_hp</f>
        <v>0</v>
      </c>
      <c r="I340" s="392">
        <f>IF(H340,Wh_hp,'2026'!Maxi_hp)</f>
        <v>21.944926765970493</v>
      </c>
      <c r="J340" s="85">
        <f>IF(H340,An,'2026'!An_max)</f>
        <v>2020</v>
      </c>
      <c r="K340" s="199">
        <f t="shared" si="129"/>
        <v>46713</v>
      </c>
      <c r="L340" s="147">
        <f>IF(t&lt;Tvie,1-EXP((T0-t)*PertePVj)+'2026'!Pspv,1-EXP((T0-t)*PertePVj)+Pspv)</f>
        <v>7.6074545689453599E-2</v>
      </c>
      <c r="M340" s="872"/>
      <c r="N340" s="872"/>
      <c r="O340" s="48">
        <f>IF(t&lt;Tnet,'2026'!Resal+('2026'!Salim-'2026'!Resal)*(1-EXP(('2026'!Tnet-t)/('2026'!Tau_j))),Resal+(Salim-Resal)*(1-EXP((Tnet-t)/(Tau_j))))*Salcycl</f>
        <v>0.11559321211014996</v>
      </c>
      <c r="P340" s="171">
        <f>(INDEX(Models!$BJ340:$BT340,,T340)*(1-R340)+INDEX(Models!$BJ340:$BT340,,T340+1)*R340-ERP_i)*Q340*Ramure*Pc/MaxiM</f>
        <v>3.9301666344369247E-2</v>
      </c>
      <c r="Q340" s="307">
        <f t="shared" si="130"/>
        <v>0.9</v>
      </c>
      <c r="R340" s="179">
        <f t="shared" si="131"/>
        <v>0.2642290551078319</v>
      </c>
      <c r="S340" s="839">
        <f t="shared" si="132"/>
        <v>-1</v>
      </c>
      <c r="T340" s="178">
        <f t="shared" si="133"/>
        <v>5</v>
      </c>
      <c r="U340" s="253">
        <f t="shared" si="134"/>
        <v>-0.7357709448921681</v>
      </c>
      <c r="V340" s="385">
        <f t="shared" si="135"/>
        <v>16.765583295332771</v>
      </c>
      <c r="W340" s="404">
        <f t="shared" si="136"/>
        <v>7.8513621604440846</v>
      </c>
      <c r="X340" s="157">
        <f t="shared" si="137"/>
        <v>46713</v>
      </c>
      <c r="Y340" s="387">
        <f t="shared" si="138"/>
        <v>6.9468072582381479</v>
      </c>
      <c r="Z340" s="387">
        <f t="shared" si="139"/>
        <v>7.5187962684955023</v>
      </c>
      <c r="AA340" s="388">
        <f t="shared" si="140"/>
        <v>9.1100985449003478</v>
      </c>
      <c r="AB340" s="199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0.17467454040830599</v>
      </c>
      <c r="AD340" s="233">
        <f>(INDEX(Models!$BJ340:$BT340,,AH340)*(1-AF340)+INDEX(Models!$BJ340:$BT340,,AH340+1)*AF340-ERP_i)*AE340*Ramure*Pc/MaxiM</f>
        <v>0.25300723780589507</v>
      </c>
      <c r="AE340" s="307">
        <f t="shared" si="142"/>
        <v>0.9</v>
      </c>
      <c r="AF340" s="179">
        <f t="shared" si="143"/>
        <v>0.89988470741481086</v>
      </c>
      <c r="AG340" s="839">
        <f t="shared" si="149"/>
        <v>3</v>
      </c>
      <c r="AH340" s="178">
        <f t="shared" si="144"/>
        <v>9</v>
      </c>
      <c r="AI340" s="227">
        <f t="shared" si="145"/>
        <v>3.8998847074148109</v>
      </c>
      <c r="AJ340" s="267" t="b">
        <f t="shared" si="146"/>
        <v>0</v>
      </c>
      <c r="AK340" s="267" t="b">
        <f t="shared" si="147"/>
        <v>0</v>
      </c>
      <c r="AL340" s="267"/>
      <c r="AM340" s="267"/>
      <c r="AN340" s="75"/>
    </row>
    <row r="341" spans="1:40" s="6" customFormat="1" ht="11.25" x14ac:dyDescent="0.2">
      <c r="A341" s="56">
        <f t="shared" si="148"/>
        <v>46714</v>
      </c>
      <c r="B341" s="413">
        <f>'2026'!Wh/'2026'!Env_an*'2027'!Env_an</f>
        <v>11.672957063714755</v>
      </c>
      <c r="C341" s="868"/>
      <c r="D341" s="395">
        <f t="shared" si="127"/>
        <v>12.634383718231149</v>
      </c>
      <c r="E341" s="387">
        <f t="shared" si="125"/>
        <v>14.286292228802445</v>
      </c>
      <c r="F341" s="387">
        <f t="shared" si="128"/>
        <v>14.62238010415467</v>
      </c>
      <c r="G341" s="110">
        <f t="shared" si="126"/>
        <v>0.69111844003873046</v>
      </c>
      <c r="H341" s="416" t="b">
        <f>Wh_hp&gt;='2026'!Maxi_hp</f>
        <v>0</v>
      </c>
      <c r="I341" s="392">
        <f>IF(H341,Wh_hp,'2026'!Maxi_hp)</f>
        <v>21.331642050489656</v>
      </c>
      <c r="J341" s="85">
        <f>IF(H341,An,'2026'!An_max)</f>
        <v>2020</v>
      </c>
      <c r="K341" s="199">
        <f t="shared" si="129"/>
        <v>46714</v>
      </c>
      <c r="L341" s="147">
        <f>IF(t&lt;Tvie,1-EXP((T0-t)*PertePVj)+'2026'!Pspv,1-EXP((T0-t)*PertePVj)+Pspv)</f>
        <v>7.6096046784543625E-2</v>
      </c>
      <c r="M341" s="872"/>
      <c r="N341" s="872"/>
      <c r="O341" s="48">
        <f>IF(t&lt;Tnet,'2026'!Resal+('2026'!Salim-'2026'!Resal)*(1-EXP(('2026'!Tnet-t)/('2026'!Tau_j))),Resal+(Salim-Resal)*(1-EXP((Tnet-t)/(Tau_j))))*Salcycl</f>
        <v>0.11562891785462012</v>
      </c>
      <c r="P341" s="171">
        <f>(INDEX(Models!$BJ341:$BT341,,T341)*(1-R341)+INDEX(Models!$BJ341:$BT341,,T341+1)*R341-ERP_i)*Q341*Ramure*Pc/MaxiM</f>
        <v>3.9894619272592163E-2</v>
      </c>
      <c r="Q341" s="307">
        <f t="shared" si="130"/>
        <v>0.9</v>
      </c>
      <c r="R341" s="179">
        <f t="shared" si="131"/>
        <v>0.26426103755896146</v>
      </c>
      <c r="S341" s="839">
        <f t="shared" si="132"/>
        <v>-1</v>
      </c>
      <c r="T341" s="178">
        <f t="shared" si="133"/>
        <v>5</v>
      </c>
      <c r="U341" s="253">
        <f t="shared" si="134"/>
        <v>-0.73573896244103854</v>
      </c>
      <c r="V341" s="385">
        <f t="shared" si="135"/>
        <v>16.597621273214578</v>
      </c>
      <c r="W341" s="404">
        <f t="shared" si="136"/>
        <v>11.672957063714755</v>
      </c>
      <c r="X341" s="157">
        <f t="shared" si="137"/>
        <v>46714</v>
      </c>
      <c r="Y341" s="387">
        <f t="shared" si="138"/>
        <v>9.5000915861130313</v>
      </c>
      <c r="Z341" s="387">
        <f t="shared" si="139"/>
        <v>10.282553238407445</v>
      </c>
      <c r="AA341" s="388">
        <f t="shared" si="140"/>
        <v>12.457718323413902</v>
      </c>
      <c r="AB341" s="199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0.17460381014702353</v>
      </c>
      <c r="AD341" s="233">
        <f>(INDEX(Models!$BJ341:$BT341,,AH341)*(1-AF341)+INDEX(Models!$BJ341:$BT341,,AH341+1)*AF341-ERP_i)*AE341*Ramure*Pc/MaxiM</f>
        <v>0.25695171986219267</v>
      </c>
      <c r="AE341" s="307">
        <f t="shared" si="142"/>
        <v>0.9</v>
      </c>
      <c r="AF341" s="179">
        <f t="shared" si="143"/>
        <v>0.89991668986594053</v>
      </c>
      <c r="AG341" s="839">
        <f t="shared" si="149"/>
        <v>3</v>
      </c>
      <c r="AH341" s="178">
        <f t="shared" si="144"/>
        <v>9</v>
      </c>
      <c r="AI341" s="227">
        <f t="shared" si="145"/>
        <v>3.8999166898659405</v>
      </c>
      <c r="AJ341" s="267" t="b">
        <f t="shared" si="146"/>
        <v>0</v>
      </c>
      <c r="AK341" s="267" t="b">
        <f t="shared" si="147"/>
        <v>0</v>
      </c>
      <c r="AL341" s="267"/>
      <c r="AM341" s="267"/>
      <c r="AN341" s="75"/>
    </row>
    <row r="342" spans="1:40" s="6" customFormat="1" ht="11.25" x14ac:dyDescent="0.2">
      <c r="A342" s="56">
        <f t="shared" si="148"/>
        <v>46715</v>
      </c>
      <c r="B342" s="413">
        <f>'2026'!Wh/'2026'!Env_an*'2027'!Env_an</f>
        <v>10.551756045112016</v>
      </c>
      <c r="C342" s="868"/>
      <c r="D342" s="395">
        <f t="shared" si="127"/>
        <v>11.421102343897116</v>
      </c>
      <c r="E342" s="387">
        <f t="shared" si="125"/>
        <v>12.914936112054669</v>
      </c>
      <c r="F342" s="387">
        <f t="shared" si="128"/>
        <v>13.175718049411078</v>
      </c>
      <c r="G342" s="110">
        <f t="shared" si="126"/>
        <v>0.62854815492435723</v>
      </c>
      <c r="H342" s="416" t="b">
        <f>Wh_hp&gt;='2026'!Maxi_hp</f>
        <v>0</v>
      </c>
      <c r="I342" s="392">
        <f>IF(H342,Wh_hp,'2026'!Maxi_hp)</f>
        <v>20.115501391985529</v>
      </c>
      <c r="J342" s="85">
        <f>IF(H342,An,'2026'!An_max)</f>
        <v>2020</v>
      </c>
      <c r="K342" s="199">
        <f t="shared" si="129"/>
        <v>46715</v>
      </c>
      <c r="L342" s="147">
        <f>IF(t&lt;Tvie,1-EXP((T0-t)*PertePVj)+'2026'!Pspv,1-EXP((T0-t)*PertePVj)+Pspv)</f>
        <v>7.6117547379271677E-2</v>
      </c>
      <c r="M342" s="872"/>
      <c r="N342" s="872"/>
      <c r="O342" s="48">
        <f>IF(t&lt;Tnet,'2026'!Resal+('2026'!Salim-'2026'!Resal)*(1-EXP(('2026'!Tnet-t)/('2026'!Tau_j))),Resal+(Salim-Resal)*(1-EXP((Tnet-t)/(Tau_j))))*Salcycl</f>
        <v>0.11566714346834617</v>
      </c>
      <c r="P342" s="171">
        <f>(INDEX(Models!$BJ342:$BT342,,T342)*(1-R342)+INDEX(Models!$BJ342:$BT342,,T342+1)*R342-ERP_i)*Q342*Ramure*Pc/MaxiM</f>
        <v>4.0497969186410208E-2</v>
      </c>
      <c r="Q342" s="307">
        <f t="shared" si="130"/>
        <v>0.9</v>
      </c>
      <c r="R342" s="179">
        <f t="shared" si="131"/>
        <v>0.26429173505060866</v>
      </c>
      <c r="S342" s="839">
        <f t="shared" si="132"/>
        <v>-1</v>
      </c>
      <c r="T342" s="178">
        <f t="shared" si="133"/>
        <v>5</v>
      </c>
      <c r="U342" s="253">
        <f t="shared" si="134"/>
        <v>-0.73570826494939134</v>
      </c>
      <c r="V342" s="385">
        <f t="shared" si="135"/>
        <v>16.432896305267565</v>
      </c>
      <c r="W342" s="404">
        <f t="shared" si="136"/>
        <v>10.551756045112016</v>
      </c>
      <c r="X342" s="157">
        <f t="shared" si="137"/>
        <v>46715</v>
      </c>
      <c r="Y342" s="387">
        <f t="shared" si="138"/>
        <v>8.7674795566144219</v>
      </c>
      <c r="Z342" s="387">
        <f t="shared" si="139"/>
        <v>9.4898214937887158</v>
      </c>
      <c r="AA342" s="388">
        <f t="shared" si="140"/>
        <v>11.496364743482465</v>
      </c>
      <c r="AB342" s="199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0.17453719453632521</v>
      </c>
      <c r="AD342" s="233">
        <f>(INDEX(Models!$BJ342:$BT342,,AH342)*(1-AF342)+INDEX(Models!$BJ342:$BT342,,AH342+1)*AF342-ERP_i)*AE342*Ramure*Pc/MaxiM</f>
        <v>0.26079412986200651</v>
      </c>
      <c r="AE342" s="307">
        <f t="shared" si="142"/>
        <v>0.9</v>
      </c>
      <c r="AF342" s="179">
        <f t="shared" si="143"/>
        <v>0.89994738735758784</v>
      </c>
      <c r="AG342" s="839">
        <f t="shared" si="149"/>
        <v>3</v>
      </c>
      <c r="AH342" s="178">
        <f t="shared" si="144"/>
        <v>9</v>
      </c>
      <c r="AI342" s="227">
        <f t="shared" si="145"/>
        <v>3.8999473873575878</v>
      </c>
      <c r="AJ342" s="267" t="b">
        <f t="shared" si="146"/>
        <v>0</v>
      </c>
      <c r="AK342" s="267" t="b">
        <f t="shared" si="147"/>
        <v>0</v>
      </c>
      <c r="AL342" s="267"/>
      <c r="AM342" s="267"/>
      <c r="AN342" s="75"/>
    </row>
    <row r="343" spans="1:40" s="6" customFormat="1" ht="11.25" x14ac:dyDescent="0.2">
      <c r="A343" s="56">
        <f t="shared" si="148"/>
        <v>46716</v>
      </c>
      <c r="B343" s="413">
        <f>'2026'!Wh/'2026'!Env_an*'2027'!Env_an</f>
        <v>4.3287081282365794</v>
      </c>
      <c r="C343" s="868"/>
      <c r="D343" s="395">
        <f t="shared" si="127"/>
        <v>4.6854541437209578</v>
      </c>
      <c r="E343" s="387">
        <f t="shared" si="125"/>
        <v>5.2985369340249475</v>
      </c>
      <c r="F343" s="387">
        <f t="shared" si="128"/>
        <v>5.2985369340249475</v>
      </c>
      <c r="G343" s="110">
        <f t="shared" si="126"/>
        <v>0.25509868996368062</v>
      </c>
      <c r="H343" s="416" t="b">
        <f>Wh_hp&gt;='2026'!Maxi_hp</f>
        <v>0</v>
      </c>
      <c r="I343" s="392">
        <f>IF(H343,Wh_hp,'2026'!Maxi_hp)</f>
        <v>18.431846699348394</v>
      </c>
      <c r="J343" s="85">
        <f>IF(H343,An,'2026'!An_max)</f>
        <v>2020</v>
      </c>
      <c r="K343" s="199">
        <f t="shared" si="129"/>
        <v>46716</v>
      </c>
      <c r="L343" s="147">
        <f>IF(t&lt;Tvie,1-EXP((T0-t)*PertePVj)+'2026'!Pspv,1-EXP((T0-t)*PertePVj)+Pspv)</f>
        <v>7.6139047473649635E-2</v>
      </c>
      <c r="M343" s="872"/>
      <c r="N343" s="872"/>
      <c r="O343" s="48">
        <f>IF(t&lt;Tnet,'2026'!Resal+('2026'!Salim-'2026'!Resal)*(1-EXP(('2026'!Tnet-t)/('2026'!Tau_j))),Resal+(Salim-Resal)*(1-EXP((Tnet-t)/(Tau_j))))*Salcycl</f>
        <v>0.11570793936851372</v>
      </c>
      <c r="P343" s="171">
        <f>(INDEX(Models!$BJ343:$BT343,,T343)*(1-R343)+INDEX(Models!$BJ343:$BT343,,T343+1)*R343-ERP_i)*Q343*Ramure*Pc/MaxiM</f>
        <v>4.111238254370142E-2</v>
      </c>
      <c r="Q343" s="307">
        <f t="shared" si="130"/>
        <v>0.9</v>
      </c>
      <c r="R343" s="179">
        <f t="shared" si="131"/>
        <v>0.26432119910256491</v>
      </c>
      <c r="S343" s="839">
        <f t="shared" si="132"/>
        <v>-1</v>
      </c>
      <c r="T343" s="178">
        <f t="shared" si="133"/>
        <v>5</v>
      </c>
      <c r="U343" s="253">
        <f t="shared" si="134"/>
        <v>-0.73567880089743509</v>
      </c>
      <c r="V343" s="385">
        <f t="shared" si="135"/>
        <v>16.271132651992236</v>
      </c>
      <c r="W343" s="404">
        <f t="shared" si="136"/>
        <v>4.3287081282365794</v>
      </c>
      <c r="X343" s="157">
        <f t="shared" si="137"/>
        <v>46716</v>
      </c>
      <c r="Y343" s="387">
        <f t="shared" si="138"/>
        <v>4.0410379953081117</v>
      </c>
      <c r="Z343" s="387">
        <f t="shared" si="139"/>
        <v>4.3740759735084191</v>
      </c>
      <c r="AA343" s="388">
        <f t="shared" si="140"/>
        <v>5.2985369340249475</v>
      </c>
      <c r="AB343" s="199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0.17447476011350105</v>
      </c>
      <c r="AD343" s="233">
        <f>(INDEX(Models!$BJ343:$BT343,,AH343)*(1-AF343)+INDEX(Models!$BJ343:$BT343,,AH343+1)*AF343-ERP_i)*AE343*Ramure*Pc/MaxiM</f>
        <v>0.26453390704480395</v>
      </c>
      <c r="AE343" s="307">
        <f t="shared" si="142"/>
        <v>0.9</v>
      </c>
      <c r="AF343" s="179">
        <f t="shared" si="143"/>
        <v>0.89997685140954387</v>
      </c>
      <c r="AG343" s="839">
        <f t="shared" si="149"/>
        <v>3</v>
      </c>
      <c r="AH343" s="178">
        <f t="shared" si="144"/>
        <v>9</v>
      </c>
      <c r="AI343" s="227">
        <f t="shared" si="145"/>
        <v>3.8999768514095439</v>
      </c>
      <c r="AJ343" s="267" t="b">
        <f t="shared" si="146"/>
        <v>0</v>
      </c>
      <c r="AK343" s="267" t="b">
        <f t="shared" si="147"/>
        <v>0</v>
      </c>
      <c r="AL343" s="267"/>
      <c r="AM343" s="267"/>
      <c r="AN343" s="75"/>
    </row>
    <row r="344" spans="1:40" s="6" customFormat="1" ht="11.25" x14ac:dyDescent="0.2">
      <c r="A344" s="56">
        <f t="shared" si="148"/>
        <v>46717</v>
      </c>
      <c r="B344" s="413">
        <f>'2026'!Wh/'2026'!Env_an*'2027'!Env_an</f>
        <v>9.2902215946471358</v>
      </c>
      <c r="C344" s="868"/>
      <c r="D344" s="395">
        <f t="shared" si="127"/>
        <v>10.056099644975676</v>
      </c>
      <c r="E344" s="387">
        <f t="shared" si="125"/>
        <v>11.372479444935758</v>
      </c>
      <c r="F344" s="387">
        <f t="shared" si="128"/>
        <v>11.563188115542225</v>
      </c>
      <c r="G344" s="110">
        <f t="shared" si="126"/>
        <v>0.56179979570264271</v>
      </c>
      <c r="H344" s="416" t="b">
        <f>Wh_hp&gt;='2026'!Maxi_hp</f>
        <v>0</v>
      </c>
      <c r="I344" s="392">
        <f>IF(H344,Wh_hp,'2026'!Maxi_hp)</f>
        <v>20.271977727485368</v>
      </c>
      <c r="J344" s="85">
        <f>IF(H344,An,'2026'!An_max)</f>
        <v>2020</v>
      </c>
      <c r="K344" s="199">
        <f t="shared" si="129"/>
        <v>46717</v>
      </c>
      <c r="L344" s="147">
        <f>IF(t&lt;Tvie,1-EXP((T0-t)*PertePVj)+'2026'!Pspv,1-EXP((T0-t)*PertePVj)+Pspv)</f>
        <v>7.6160547067688933E-2</v>
      </c>
      <c r="M344" s="872"/>
      <c r="N344" s="872"/>
      <c r="O344" s="48">
        <f>IF(t&lt;Tnet,'2026'!Resal+('2026'!Salim-'2026'!Resal)*(1-EXP(('2026'!Tnet-t)/('2026'!Tau_j))),Resal+(Salim-Resal)*(1-EXP((Tnet-t)/(Tau_j))))*Salcycl</f>
        <v>0.11575134572314169</v>
      </c>
      <c r="P344" s="171">
        <f>(INDEX(Models!$BJ344:$BT344,,T344)*(1-R344)+INDEX(Models!$BJ344:$BT344,,T344+1)*R344-ERP_i)*Q344*Ramure*Pc/MaxiM</f>
        <v>4.1738579119173058E-2</v>
      </c>
      <c r="Q344" s="307">
        <f t="shared" si="130"/>
        <v>0.9</v>
      </c>
      <c r="R344" s="179">
        <f t="shared" si="131"/>
        <v>0.26434947917732265</v>
      </c>
      <c r="S344" s="839">
        <f t="shared" si="132"/>
        <v>-1</v>
      </c>
      <c r="T344" s="178">
        <f t="shared" si="133"/>
        <v>5</v>
      </c>
      <c r="U344" s="253">
        <f t="shared" si="134"/>
        <v>-0.73565052082267735</v>
      </c>
      <c r="V344" s="385">
        <f t="shared" si="135"/>
        <v>16.112054812767468</v>
      </c>
      <c r="W344" s="404">
        <f t="shared" si="136"/>
        <v>9.2902215946471358</v>
      </c>
      <c r="X344" s="157">
        <f t="shared" si="137"/>
        <v>46717</v>
      </c>
      <c r="Y344" s="387">
        <f t="shared" si="138"/>
        <v>7.8847708754339036</v>
      </c>
      <c r="Z344" s="387">
        <f t="shared" si="139"/>
        <v>8.5347847511894628</v>
      </c>
      <c r="AA344" s="388">
        <f t="shared" si="140"/>
        <v>10.337882659813959</v>
      </c>
      <c r="AB344" s="199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0.17441655781542265</v>
      </c>
      <c r="AD344" s="233">
        <f>(INDEX(Models!$BJ344:$BT344,,AH344)*(1-AF344)+INDEX(Models!$BJ344:$BT344,,AH344+1)*AF344-ERP_i)*AE344*Ramure*Pc/MaxiM</f>
        <v>0.26817086263792766</v>
      </c>
      <c r="AE344" s="307">
        <f t="shared" si="142"/>
        <v>0.9</v>
      </c>
      <c r="AF344" s="179">
        <f t="shared" si="143"/>
        <v>0.90000513148430183</v>
      </c>
      <c r="AG344" s="839">
        <f t="shared" si="149"/>
        <v>3</v>
      </c>
      <c r="AH344" s="178">
        <f t="shared" si="144"/>
        <v>9</v>
      </c>
      <c r="AI344" s="227">
        <f t="shared" si="145"/>
        <v>3.9000051314843018</v>
      </c>
      <c r="AJ344" s="267" t="b">
        <f t="shared" si="146"/>
        <v>0</v>
      </c>
      <c r="AK344" s="267" t="b">
        <f t="shared" si="147"/>
        <v>0</v>
      </c>
      <c r="AL344" s="267"/>
      <c r="AM344" s="267"/>
      <c r="AN344" s="75"/>
    </row>
    <row r="345" spans="1:40" s="6" customFormat="1" ht="11.25" x14ac:dyDescent="0.2">
      <c r="A345" s="56">
        <f t="shared" si="148"/>
        <v>46718</v>
      </c>
      <c r="B345" s="413">
        <f>'2026'!Wh/'2026'!Env_an*'2027'!Env_an</f>
        <v>11.021432195153254</v>
      </c>
      <c r="C345" s="868"/>
      <c r="D345" s="395">
        <f t="shared" si="127"/>
        <v>11.930307426217027</v>
      </c>
      <c r="E345" s="387">
        <f t="shared" si="125"/>
        <v>13.492730426467448</v>
      </c>
      <c r="F345" s="387">
        <f t="shared" si="128"/>
        <v>13.819718944718074</v>
      </c>
      <c r="G345" s="110">
        <f t="shared" si="126"/>
        <v>0.67756827791259999</v>
      </c>
      <c r="H345" s="416" t="b">
        <f>Wh_hp&gt;='2026'!Maxi_hp</f>
        <v>0</v>
      </c>
      <c r="I345" s="392">
        <f>IF(H345,Wh_hp,'2026'!Maxi_hp)</f>
        <v>18.707105113619761</v>
      </c>
      <c r="J345" s="85">
        <f>IF(H345,An,'2026'!An_max)</f>
        <v>2018</v>
      </c>
      <c r="K345" s="199">
        <f t="shared" si="129"/>
        <v>46718</v>
      </c>
      <c r="L345" s="147">
        <f>IF(t&lt;Tvie,1-EXP((T0-t)*PertePVj)+'2026'!Pspv,1-EXP((T0-t)*PertePVj)+Pspv)</f>
        <v>7.6182046161401229E-2</v>
      </c>
      <c r="M345" s="872"/>
      <c r="N345" s="872"/>
      <c r="O345" s="48">
        <f>IF(t&lt;Tnet,'2026'!Resal+('2026'!Salim-'2026'!Resal)*(1-EXP(('2026'!Tnet-t)/('2026'!Tau_j))),Resal+(Salim-Resal)*(1-EXP((Tnet-t)/(Tau_j))))*Salcycl</f>
        <v>0.11579739243774997</v>
      </c>
      <c r="P345" s="171">
        <f>(INDEX(Models!$BJ345:$BT345,,T345)*(1-R345)+INDEX(Models!$BJ345:$BT345,,T345+1)*R345-ERP_i)*Q345*Ramure*Pc/MaxiM</f>
        <v>4.2380126591057776E-2</v>
      </c>
      <c r="Q345" s="307">
        <f t="shared" si="130"/>
        <v>0.9</v>
      </c>
      <c r="R345" s="179">
        <f t="shared" si="131"/>
        <v>0.26437662276156748</v>
      </c>
      <c r="S345" s="839">
        <f t="shared" si="132"/>
        <v>-1</v>
      </c>
      <c r="T345" s="178">
        <f t="shared" si="133"/>
        <v>5</v>
      </c>
      <c r="U345" s="253">
        <f t="shared" si="134"/>
        <v>-0.73562337723843252</v>
      </c>
      <c r="V345" s="385">
        <f t="shared" si="135"/>
        <v>15.954290131748945</v>
      </c>
      <c r="W345" s="404">
        <f t="shared" si="136"/>
        <v>11.021432195153254</v>
      </c>
      <c r="X345" s="157">
        <f t="shared" si="137"/>
        <v>46718</v>
      </c>
      <c r="Y345" s="387">
        <f t="shared" si="138"/>
        <v>8.9417449596405856</v>
      </c>
      <c r="Z345" s="387">
        <f t="shared" si="139"/>
        <v>9.6791201366961168</v>
      </c>
      <c r="AA345" s="388">
        <f t="shared" si="140"/>
        <v>11.723209736498539</v>
      </c>
      <c r="AB345" s="199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0.17436262301427924</v>
      </c>
      <c r="AD345" s="233">
        <f>(INDEX(Models!$BJ345:$BT345,,AH345)*(1-AF345)+INDEX(Models!$BJ345:$BT345,,AH345+1)*AF345-ERP_i)*AE345*Ramure*Pc/MaxiM</f>
        <v>0.27172307492326486</v>
      </c>
      <c r="AE345" s="307">
        <f t="shared" si="142"/>
        <v>0.9</v>
      </c>
      <c r="AF345" s="179">
        <f t="shared" si="143"/>
        <v>0.90003227506854655</v>
      </c>
      <c r="AG345" s="839">
        <f t="shared" si="149"/>
        <v>3</v>
      </c>
      <c r="AH345" s="178">
        <f t="shared" si="144"/>
        <v>9</v>
      </c>
      <c r="AI345" s="227">
        <f t="shared" si="145"/>
        <v>3.9000322750685466</v>
      </c>
      <c r="AJ345" s="267" t="b">
        <f t="shared" si="146"/>
        <v>0</v>
      </c>
      <c r="AK345" s="267" t="b">
        <f t="shared" si="147"/>
        <v>0</v>
      </c>
      <c r="AL345" s="267"/>
      <c r="AM345" s="267"/>
      <c r="AN345" s="75"/>
    </row>
    <row r="346" spans="1:40" s="6" customFormat="1" ht="11.25" x14ac:dyDescent="0.2">
      <c r="A346" s="56">
        <f t="shared" si="148"/>
        <v>46719</v>
      </c>
      <c r="B346" s="413">
        <f>'2026'!Wh/'2026'!Env_an*'2027'!Env_an</f>
        <v>8.6866104135088946</v>
      </c>
      <c r="C346" s="868"/>
      <c r="D346" s="395">
        <f t="shared" si="127"/>
        <v>9.40316491169391</v>
      </c>
      <c r="E346" s="387">
        <f t="shared" si="125"/>
        <v>10.635212832562953</v>
      </c>
      <c r="F346" s="387">
        <f t="shared" si="128"/>
        <v>10.801164262252756</v>
      </c>
      <c r="G346" s="110">
        <f t="shared" si="126"/>
        <v>0.53442762081878603</v>
      </c>
      <c r="H346" s="416" t="b">
        <f>Wh_hp&gt;='2026'!Maxi_hp</f>
        <v>0</v>
      </c>
      <c r="I346" s="392">
        <f>IF(H346,Wh_hp,'2026'!Maxi_hp)</f>
        <v>15.033904025861062</v>
      </c>
      <c r="J346" s="85">
        <f>IF(H346,An,'2026'!An_max)</f>
        <v>2018</v>
      </c>
      <c r="K346" s="199">
        <f t="shared" si="129"/>
        <v>46719</v>
      </c>
      <c r="L346" s="147">
        <f>IF(t&lt;Tvie,1-EXP((T0-t)*PertePVj)+'2026'!Pspv,1-EXP((T0-t)*PertePVj)+Pspv)</f>
        <v>7.620354475479818E-2</v>
      </c>
      <c r="M346" s="872"/>
      <c r="N346" s="872"/>
      <c r="O346" s="48">
        <f>IF(t&lt;Tnet,'2026'!Resal+('2026'!Salim-'2026'!Resal)*(1-EXP(('2026'!Tnet-t)/('2026'!Tau_j))),Resal+(Salim-Resal)*(1-EXP((Tnet-t)/(Tau_j))))*Salcycl</f>
        <v>0.11584609920515671</v>
      </c>
      <c r="P346" s="171">
        <f>(INDEX(Models!$BJ346:$BT346,,T346)*(1-R346)+INDEX(Models!$BJ346:$BT346,,T346+1)*R346-ERP_i)*Q346*Ramure*Pc/MaxiM</f>
        <v>4.303986862344647E-2</v>
      </c>
      <c r="Q346" s="307">
        <f t="shared" si="130"/>
        <v>0.9</v>
      </c>
      <c r="R346" s="179">
        <f t="shared" si="131"/>
        <v>0.26440267544449603</v>
      </c>
      <c r="S346" s="839">
        <f t="shared" si="132"/>
        <v>-1</v>
      </c>
      <c r="T346" s="178">
        <f t="shared" si="133"/>
        <v>5</v>
      </c>
      <c r="U346" s="253">
        <f t="shared" si="134"/>
        <v>-0.73559732455550397</v>
      </c>
      <c r="V346" s="385">
        <f t="shared" si="135"/>
        <v>15.797184069460126</v>
      </c>
      <c r="W346" s="404">
        <f t="shared" si="136"/>
        <v>8.6866104135088946</v>
      </c>
      <c r="X346" s="157">
        <f t="shared" si="137"/>
        <v>46719</v>
      </c>
      <c r="Y346" s="387">
        <f t="shared" si="138"/>
        <v>7.4294929806990977</v>
      </c>
      <c r="Z346" s="387">
        <f t="shared" si="139"/>
        <v>8.0423484399786958</v>
      </c>
      <c r="AA346" s="388">
        <f t="shared" si="140"/>
        <v>9.7401899300634884</v>
      </c>
      <c r="AB346" s="199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0.17431297564787079</v>
      </c>
      <c r="AD346" s="233">
        <f>(INDEX(Models!$BJ346:$BT346,,AH346)*(1-AF346)+INDEX(Models!$BJ346:$BT346,,AH346+1)*AF346-ERP_i)*AE346*Ramure*Pc/MaxiM</f>
        <v>0.27516602873280888</v>
      </c>
      <c r="AE346" s="307">
        <f t="shared" si="142"/>
        <v>0.9</v>
      </c>
      <c r="AF346" s="179">
        <f t="shared" si="143"/>
        <v>0.90005832775147487</v>
      </c>
      <c r="AG346" s="839">
        <f t="shared" si="149"/>
        <v>3</v>
      </c>
      <c r="AH346" s="178">
        <f t="shared" si="144"/>
        <v>9</v>
      </c>
      <c r="AI346" s="227">
        <f t="shared" si="145"/>
        <v>3.9000583277514749</v>
      </c>
      <c r="AJ346" s="267" t="b">
        <f t="shared" si="146"/>
        <v>0</v>
      </c>
      <c r="AK346" s="267" t="b">
        <f t="shared" si="147"/>
        <v>0</v>
      </c>
      <c r="AL346" s="267"/>
      <c r="AM346" s="267"/>
      <c r="AN346" s="75"/>
    </row>
    <row r="347" spans="1:40" s="6" customFormat="1" ht="11.25" x14ac:dyDescent="0.2">
      <c r="A347" s="56">
        <f t="shared" si="148"/>
        <v>46720</v>
      </c>
      <c r="B347" s="413">
        <f>'2026'!Wh/'2026'!Env_an*'2027'!Env_an</f>
        <v>9.8287450808322721</v>
      </c>
      <c r="C347" s="868"/>
      <c r="D347" s="395">
        <f t="shared" si="127"/>
        <v>10.639761345266555</v>
      </c>
      <c r="E347" s="387">
        <f t="shared" si="125"/>
        <v>12.034533384800223</v>
      </c>
      <c r="F347" s="387">
        <f t="shared" si="128"/>
        <v>12.286523292041531</v>
      </c>
      <c r="G347" s="110">
        <f t="shared" si="126"/>
        <v>0.6134859571069089</v>
      </c>
      <c r="H347" s="416" t="b">
        <f>Wh_hp&gt;='2026'!Maxi_hp</f>
        <v>0</v>
      </c>
      <c r="I347" s="392">
        <f>IF(H347,Wh_hp,'2026'!Maxi_hp)</f>
        <v>19.928845702990856</v>
      </c>
      <c r="J347" s="85">
        <f>IF(H347,An,'2026'!An_max)</f>
        <v>2018</v>
      </c>
      <c r="K347" s="199">
        <f t="shared" si="129"/>
        <v>46720</v>
      </c>
      <c r="L347" s="147">
        <f>IF(t&lt;Tvie,1-EXP((T0-t)*PertePVj)+'2026'!Pspv,1-EXP((T0-t)*PertePVj)+Pspv)</f>
        <v>7.6225042847891444E-2</v>
      </c>
      <c r="M347" s="872"/>
      <c r="N347" s="872"/>
      <c r="O347" s="48">
        <f>IF(t&lt;Tnet,'2026'!Resal+('2026'!Salim-'2026'!Resal)*(1-EXP(('2026'!Tnet-t)/('2026'!Tau_j))),Resal+(Salim-Resal)*(1-EXP((Tnet-t)/(Tau_j))))*Salcycl</f>
        <v>0.11589747561756605</v>
      </c>
      <c r="P347" s="171">
        <f>(INDEX(Models!$BJ347:$BT347,,T347)*(1-R347)+INDEX(Models!$BJ347:$BT347,,T347+1)*R347-ERP_i)*Q347*Ramure*Pc/MaxiM</f>
        <v>4.3720019624647083E-2</v>
      </c>
      <c r="Q347" s="307">
        <f t="shared" si="130"/>
        <v>0.9</v>
      </c>
      <c r="R347" s="179">
        <f t="shared" si="131"/>
        <v>0.2644276809930769</v>
      </c>
      <c r="S347" s="839">
        <f t="shared" si="132"/>
        <v>-1</v>
      </c>
      <c r="T347" s="178">
        <f t="shared" si="133"/>
        <v>5</v>
      </c>
      <c r="U347" s="253">
        <f t="shared" si="134"/>
        <v>-0.7355723190069231</v>
      </c>
      <c r="V347" s="385">
        <f t="shared" si="135"/>
        <v>15.641495047787398</v>
      </c>
      <c r="W347" s="404">
        <f t="shared" si="136"/>
        <v>9.8287450808322721</v>
      </c>
      <c r="X347" s="157">
        <f t="shared" si="137"/>
        <v>46720</v>
      </c>
      <c r="Y347" s="387">
        <f t="shared" si="138"/>
        <v>8.1474595923143589</v>
      </c>
      <c r="Z347" s="387">
        <f t="shared" si="139"/>
        <v>8.8197450355571831</v>
      </c>
      <c r="AA347" s="388">
        <f t="shared" si="140"/>
        <v>10.681118064288643</v>
      </c>
      <c r="AB347" s="199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0.17426762044273186</v>
      </c>
      <c r="AD347" s="233">
        <f>(INDEX(Models!$BJ347:$BT347,,AH347)*(1-AF347)+INDEX(Models!$BJ347:$BT347,,AH347+1)*AF347-ERP_i)*AE347*Ramure*Pc/MaxiM</f>
        <v>0.27853634628173413</v>
      </c>
      <c r="AE347" s="307">
        <f t="shared" si="142"/>
        <v>0.9</v>
      </c>
      <c r="AF347" s="179">
        <f t="shared" si="143"/>
        <v>0.90008333330005597</v>
      </c>
      <c r="AG347" s="839">
        <f t="shared" si="149"/>
        <v>3</v>
      </c>
      <c r="AH347" s="178">
        <f t="shared" si="144"/>
        <v>9</v>
      </c>
      <c r="AI347" s="227">
        <f t="shared" si="145"/>
        <v>3.900083333300056</v>
      </c>
      <c r="AJ347" s="267" t="b">
        <f t="shared" si="146"/>
        <v>0</v>
      </c>
      <c r="AK347" s="267" t="b">
        <f t="shared" si="147"/>
        <v>0</v>
      </c>
      <c r="AL347" s="267"/>
      <c r="AM347" s="267"/>
      <c r="AN347" s="75"/>
    </row>
    <row r="348" spans="1:40" s="6" customFormat="1" ht="11.25" x14ac:dyDescent="0.2">
      <c r="A348" s="56">
        <f t="shared" si="148"/>
        <v>46721</v>
      </c>
      <c r="B348" s="413">
        <f>'2026'!Wh/'2026'!Env_an*'2027'!Env_an</f>
        <v>3.9903346665870347</v>
      </c>
      <c r="C348" s="868"/>
      <c r="D348" s="395">
        <f t="shared" si="127"/>
        <v>4.3196965871074449</v>
      </c>
      <c r="E348" s="387">
        <f t="shared" si="125"/>
        <v>4.8862666373830042</v>
      </c>
      <c r="F348" s="387">
        <f t="shared" si="128"/>
        <v>4.8862666373830042</v>
      </c>
      <c r="G348" s="110">
        <f t="shared" si="126"/>
        <v>0.24619561576257204</v>
      </c>
      <c r="H348" s="416" t="b">
        <f>Wh_hp&gt;='2026'!Maxi_hp</f>
        <v>0</v>
      </c>
      <c r="I348" s="392">
        <f>IF(H348,Wh_hp,'2026'!Maxi_hp)</f>
        <v>19.468754862857971</v>
      </c>
      <c r="J348" s="85">
        <f>IF(H348,An,'2026'!An_max)</f>
        <v>2021</v>
      </c>
      <c r="K348" s="199">
        <f t="shared" si="129"/>
        <v>46721</v>
      </c>
      <c r="L348" s="147">
        <f>IF(t&lt;Tvie,1-EXP((T0-t)*PertePVj)+'2026'!Pspv,1-EXP((T0-t)*PertePVj)+Pspv)</f>
        <v>7.6246540440692789E-2</v>
      </c>
      <c r="M348" s="872"/>
      <c r="N348" s="872"/>
      <c r="O348" s="48">
        <f>IF(t&lt;Tnet,'2026'!Resal+('2026'!Salim-'2026'!Resal)*(1-EXP(('2026'!Tnet-t)/('2026'!Tau_j))),Resal+(Salim-Resal)*(1-EXP((Tnet-t)/(Tau_j))))*Salcycl</f>
        <v>0.11595152133961407</v>
      </c>
      <c r="P348" s="171">
        <f>(INDEX(Models!$BJ348:$BT348,,T348)*(1-R348)+INDEX(Models!$BJ348:$BT348,,T348+1)*R348-ERP_i)*Q348*Ramure*Pc/MaxiM</f>
        <v>4.4418764010994198E-2</v>
      </c>
      <c r="Q348" s="307">
        <f t="shared" si="130"/>
        <v>0.9</v>
      </c>
      <c r="R348" s="179">
        <f t="shared" si="131"/>
        <v>0.26445168142436959</v>
      </c>
      <c r="S348" s="839">
        <f t="shared" si="132"/>
        <v>-1</v>
      </c>
      <c r="T348" s="178">
        <f t="shared" si="133"/>
        <v>5</v>
      </c>
      <c r="U348" s="253">
        <f t="shared" si="134"/>
        <v>-0.73554831857563041</v>
      </c>
      <c r="V348" s="385">
        <f t="shared" si="135"/>
        <v>15.488045637597018</v>
      </c>
      <c r="W348" s="404">
        <f t="shared" si="136"/>
        <v>3.9903346665870347</v>
      </c>
      <c r="X348" s="157">
        <f t="shared" si="137"/>
        <v>46721</v>
      </c>
      <c r="Y348" s="387">
        <f t="shared" si="138"/>
        <v>3.7272983494502294</v>
      </c>
      <c r="Z348" s="387">
        <f t="shared" si="139"/>
        <v>4.0349492723181815</v>
      </c>
      <c r="AA348" s="388">
        <f t="shared" si="140"/>
        <v>4.8862666373830042</v>
      </c>
      <c r="AB348" s="199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0.17422654722763414</v>
      </c>
      <c r="AD348" s="233">
        <f>(INDEX(Models!$BJ348:$BT348,,AH348)*(1-AF348)+INDEX(Models!$BJ348:$BT348,,AH348+1)*AF348-ERP_i)*AE348*Ramure*Pc/MaxiM</f>
        <v>0.28181718889862462</v>
      </c>
      <c r="AE348" s="307">
        <f t="shared" si="142"/>
        <v>0.9</v>
      </c>
      <c r="AF348" s="179">
        <f t="shared" si="143"/>
        <v>0.90010733373134855</v>
      </c>
      <c r="AG348" s="839">
        <f t="shared" si="149"/>
        <v>3</v>
      </c>
      <c r="AH348" s="178">
        <f t="shared" si="144"/>
        <v>9</v>
      </c>
      <c r="AI348" s="227">
        <f t="shared" si="145"/>
        <v>3.9001073337313485</v>
      </c>
      <c r="AJ348" s="267" t="b">
        <f t="shared" si="146"/>
        <v>0</v>
      </c>
      <c r="AK348" s="267" t="b">
        <f t="shared" si="147"/>
        <v>0</v>
      </c>
      <c r="AL348" s="267"/>
      <c r="AM348" s="267"/>
      <c r="AN348" s="75"/>
    </row>
    <row r="349" spans="1:40" s="6" customFormat="1" ht="11.25" x14ac:dyDescent="0.2">
      <c r="A349" s="56">
        <f t="shared" si="148"/>
        <v>46722</v>
      </c>
      <c r="B349" s="413">
        <f>'2026'!Wh/'2026'!Env_an*'2027'!Env_an</f>
        <v>3.4524531537118266</v>
      </c>
      <c r="C349" s="868"/>
      <c r="D349" s="395">
        <f t="shared" si="127"/>
        <v>3.7375053521935078</v>
      </c>
      <c r="E349" s="387">
        <f t="shared" si="125"/>
        <v>4.2279865758495241</v>
      </c>
      <c r="F349" s="387">
        <f t="shared" si="128"/>
        <v>4.2279865758495241</v>
      </c>
      <c r="G349" s="110">
        <f t="shared" si="126"/>
        <v>0.21493697839615902</v>
      </c>
      <c r="H349" s="416" t="b">
        <f>Wh_hp&gt;='2026'!Maxi_hp</f>
        <v>0</v>
      </c>
      <c r="I349" s="392">
        <f>IF(H349,Wh_hp,'2026'!Maxi_hp)</f>
        <v>18.687325201357915</v>
      </c>
      <c r="J349" s="85">
        <f>IF(H349,An,'2026'!An_max)</f>
        <v>2020</v>
      </c>
      <c r="K349" s="199">
        <f t="shared" si="129"/>
        <v>46722</v>
      </c>
      <c r="L349" s="147">
        <f>IF(t&lt;Tvie,1-EXP((T0-t)*PertePVj)+'2026'!Pspv,1-EXP((T0-t)*PertePVj)+Pspv)</f>
        <v>7.6268037533213651E-2</v>
      </c>
      <c r="M349" s="872"/>
      <c r="N349" s="872"/>
      <c r="O349" s="48">
        <f>IF(t&lt;Tnet,'2026'!Resal+('2026'!Salim-'2026'!Resal)*(1-EXP(('2026'!Tnet-t)/('2026'!Tau_j))),Resal+(Salim-Resal)*(1-EXP((Tnet-t)/(Tau_j))))*Salcycl</f>
        <v>0.11600822634056379</v>
      </c>
      <c r="P349" s="171">
        <f>(INDEX(Models!$BJ349:$BT349,,T349)*(1-R349)+INDEX(Models!$BJ349:$BT349,,T349+1)*R349-ERP_i)*Q349*Ramure*Pc/MaxiM</f>
        <v>4.5134061938678027E-2</v>
      </c>
      <c r="Q349" s="307">
        <f t="shared" si="130"/>
        <v>0.9</v>
      </c>
      <c r="R349" s="179">
        <f t="shared" si="131"/>
        <v>0.26447471707501535</v>
      </c>
      <c r="S349" s="839">
        <f t="shared" si="132"/>
        <v>-1</v>
      </c>
      <c r="T349" s="178">
        <f t="shared" si="133"/>
        <v>5</v>
      </c>
      <c r="U349" s="253">
        <f t="shared" si="134"/>
        <v>-0.73552528292498465</v>
      </c>
      <c r="V349" s="385">
        <f t="shared" si="135"/>
        <v>15.33765824676134</v>
      </c>
      <c r="W349" s="404">
        <f t="shared" si="136"/>
        <v>3.4524531537118266</v>
      </c>
      <c r="X349" s="157">
        <f t="shared" si="137"/>
        <v>46722</v>
      </c>
      <c r="Y349" s="387">
        <f t="shared" si="138"/>
        <v>3.2252237536328581</v>
      </c>
      <c r="Z349" s="387">
        <f t="shared" si="139"/>
        <v>3.4915147301172054</v>
      </c>
      <c r="AA349" s="388">
        <f t="shared" si="140"/>
        <v>4.2279865758495241</v>
      </c>
      <c r="AB349" s="199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0.1741897313343149</v>
      </c>
      <c r="AD349" s="233">
        <f>(INDEX(Models!$BJ349:$BT349,,AH349)*(1-AF349)+INDEX(Models!$BJ349:$BT349,,AH349+1)*AF349-ERP_i)*AE349*Ramure*Pc/MaxiM</f>
        <v>0.28499051545129889</v>
      </c>
      <c r="AE349" s="307">
        <f t="shared" si="142"/>
        <v>0.9</v>
      </c>
      <c r="AF349" s="179">
        <f t="shared" si="143"/>
        <v>0.9001303693819942</v>
      </c>
      <c r="AG349" s="839">
        <f t="shared" si="149"/>
        <v>3</v>
      </c>
      <c r="AH349" s="178">
        <f t="shared" si="144"/>
        <v>9</v>
      </c>
      <c r="AI349" s="227">
        <f t="shared" si="145"/>
        <v>3.9001303693819942</v>
      </c>
      <c r="AJ349" s="267" t="b">
        <f t="shared" si="146"/>
        <v>0</v>
      </c>
      <c r="AK349" s="267" t="b">
        <f t="shared" si="147"/>
        <v>0</v>
      </c>
      <c r="AL349" s="267"/>
      <c r="AM349" s="267"/>
      <c r="AN349" s="75"/>
    </row>
    <row r="350" spans="1:40" s="6" customFormat="1" ht="11.25" x14ac:dyDescent="0.2">
      <c r="A350" s="56">
        <f t="shared" si="148"/>
        <v>46723</v>
      </c>
      <c r="B350" s="413">
        <f>'2026'!Wh/'2026'!Env_an*'2027'!Env_an</f>
        <v>4.7642586509955134</v>
      </c>
      <c r="C350" s="868"/>
      <c r="D350" s="395">
        <f t="shared" si="127"/>
        <v>5.1577402519575148</v>
      </c>
      <c r="E350" s="387">
        <f t="shared" si="125"/>
        <v>5.8349938115321001</v>
      </c>
      <c r="F350" s="387">
        <f t="shared" si="128"/>
        <v>5.8402056831582998</v>
      </c>
      <c r="G350" s="110">
        <f t="shared" si="126"/>
        <v>0.29950406803482715</v>
      </c>
      <c r="H350" s="416" t="b">
        <f>Wh_hp&gt;='2026'!Maxi_hp</f>
        <v>0</v>
      </c>
      <c r="I350" s="392">
        <f>IF(H350,Wh_hp,'2026'!Maxi_hp)</f>
        <v>8.2113391342416708</v>
      </c>
      <c r="J350" s="85">
        <f>IF(H350,An,'2026'!An_max)</f>
        <v>2021</v>
      </c>
      <c r="K350" s="199">
        <f t="shared" si="129"/>
        <v>46723</v>
      </c>
      <c r="L350" s="147">
        <f>IF(t&lt;Tvie,1-EXP((T0-t)*PertePVj)+'2026'!Pspv,1-EXP((T0-t)*PertePVj)+Pspv)</f>
        <v>7.6289534125465797E-2</v>
      </c>
      <c r="M350" s="872"/>
      <c r="N350" s="872"/>
      <c r="O350" s="48">
        <f>IF(t&lt;Tnet,'2026'!Resal+('2026'!Salim-'2026'!Resal)*(1-EXP(('2026'!Tnet-t)/('2026'!Tau_j))),Resal+(Salim-Resal)*(1-EXP((Tnet-t)/(Tau_j))))*Salcycl</f>
        <v>0.11606757118338029</v>
      </c>
      <c r="P350" s="171">
        <f>(INDEX(Models!$BJ350:$BT350,,T350)*(1-R350)+INDEX(Models!$BJ350:$BT350,,T350+1)*R350-ERP_i)*Q350*Ramure*Pc/MaxiM</f>
        <v>4.5863633871137101E-2</v>
      </c>
      <c r="Q350" s="307">
        <f t="shared" si="130"/>
        <v>0.9</v>
      </c>
      <c r="R350" s="179">
        <f t="shared" si="131"/>
        <v>0.264496826668006</v>
      </c>
      <c r="S350" s="839">
        <f t="shared" si="132"/>
        <v>-1</v>
      </c>
      <c r="T350" s="178">
        <f t="shared" si="133"/>
        <v>5</v>
      </c>
      <c r="U350" s="253">
        <f t="shared" si="134"/>
        <v>-0.735503173331994</v>
      </c>
      <c r="V350" s="385">
        <f t="shared" si="135"/>
        <v>15.191155083321446</v>
      </c>
      <c r="W350" s="404">
        <f t="shared" si="136"/>
        <v>4.7642586509955134</v>
      </c>
      <c r="X350" s="157">
        <f t="shared" si="137"/>
        <v>46723</v>
      </c>
      <c r="Y350" s="387">
        <f t="shared" si="138"/>
        <v>4.4301714070240212</v>
      </c>
      <c r="Z350" s="387">
        <f t="shared" si="139"/>
        <v>4.7960606387951898</v>
      </c>
      <c r="AA350" s="388">
        <f t="shared" si="140"/>
        <v>5.8074735966407651</v>
      </c>
      <c r="AB350" s="199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0.17415713408160996</v>
      </c>
      <c r="AD350" s="233">
        <f>(INDEX(Models!$BJ350:$BT350,,AH350)*(1-AF350)+INDEX(Models!$BJ350:$BT350,,AH350+1)*AF350-ERP_i)*AE350*Ramure*Pc/MaxiM</f>
        <v>0.28803710826875639</v>
      </c>
      <c r="AE350" s="307">
        <f t="shared" si="142"/>
        <v>0.9</v>
      </c>
      <c r="AF350" s="179">
        <f t="shared" si="143"/>
        <v>0.90015247897498485</v>
      </c>
      <c r="AG350" s="839">
        <f t="shared" si="149"/>
        <v>3</v>
      </c>
      <c r="AH350" s="178">
        <f t="shared" si="144"/>
        <v>9</v>
      </c>
      <c r="AI350" s="227">
        <f t="shared" si="145"/>
        <v>3.9001524789749848</v>
      </c>
      <c r="AJ350" s="267" t="b">
        <f t="shared" si="146"/>
        <v>0</v>
      </c>
      <c r="AK350" s="267" t="b">
        <f t="shared" si="147"/>
        <v>0</v>
      </c>
      <c r="AL350" s="267"/>
      <c r="AM350" s="267"/>
      <c r="AN350" s="75"/>
    </row>
    <row r="351" spans="1:40" s="6" customFormat="1" ht="11.25" x14ac:dyDescent="0.2">
      <c r="A351" s="56">
        <f t="shared" si="148"/>
        <v>46724</v>
      </c>
      <c r="B351" s="413">
        <f>'2026'!Wh/'2026'!Env_an*'2027'!Env_an</f>
        <v>7.4808136864906034</v>
      </c>
      <c r="C351" s="868"/>
      <c r="D351" s="395">
        <f t="shared" si="127"/>
        <v>8.0988448830906634</v>
      </c>
      <c r="E351" s="387">
        <f t="shared" si="125"/>
        <v>9.1629318252635077</v>
      </c>
      <c r="F351" s="387">
        <f t="shared" si="128"/>
        <v>9.2847631303495106</v>
      </c>
      <c r="G351" s="110">
        <f t="shared" si="126"/>
        <v>0.48021987393883298</v>
      </c>
      <c r="H351" s="416" t="b">
        <f>Wh_hp&gt;='2026'!Maxi_hp</f>
        <v>0</v>
      </c>
      <c r="I351" s="392">
        <f>IF(H351,Wh_hp,'2026'!Maxi_hp)</f>
        <v>13.277660836257485</v>
      </c>
      <c r="J351" s="85">
        <f>IF(H351,An,'2026'!An_max)</f>
        <v>2021</v>
      </c>
      <c r="K351" s="199">
        <f t="shared" si="129"/>
        <v>46724</v>
      </c>
      <c r="L351" s="147">
        <f>IF(t&lt;Tvie,1-EXP((T0-t)*PertePVj)+'2026'!Pspv,1-EXP((T0-t)*PertePVj)+Pspv)</f>
        <v>7.6311030217460885E-2</v>
      </c>
      <c r="M351" s="872"/>
      <c r="N351" s="872"/>
      <c r="O351" s="48">
        <f>IF(t&lt;Tnet,'2026'!Resal+('2026'!Salim-'2026'!Resal)*(1-EXP(('2026'!Tnet-t)/('2026'!Tau_j))),Resal+(Salim-Resal)*(1-EXP((Tnet-t)/(Tau_j))))*Salcycl</f>
        <v>0.11612952736797678</v>
      </c>
      <c r="P351" s="171">
        <f>(INDEX(Models!$BJ351:$BT351,,T351)*(1-R351)+INDEX(Models!$BJ351:$BT351,,T351+1)*R351-ERP_i)*Q351*Ramure*Pc/MaxiM</f>
        <v>4.6604947345114979E-2</v>
      </c>
      <c r="Q351" s="307">
        <f t="shared" si="130"/>
        <v>0.9</v>
      </c>
      <c r="R351" s="179">
        <f t="shared" si="131"/>
        <v>0.2645180473768336</v>
      </c>
      <c r="S351" s="839">
        <f t="shared" si="132"/>
        <v>-1</v>
      </c>
      <c r="T351" s="178">
        <f t="shared" si="133"/>
        <v>5</v>
      </c>
      <c r="U351" s="253">
        <f t="shared" si="134"/>
        <v>-0.7354819526231664</v>
      </c>
      <c r="V351" s="385">
        <f t="shared" si="135"/>
        <v>15.049358102679554</v>
      </c>
      <c r="W351" s="404">
        <f t="shared" si="136"/>
        <v>7.4808136864906034</v>
      </c>
      <c r="X351" s="157">
        <f t="shared" si="137"/>
        <v>46724</v>
      </c>
      <c r="Y351" s="387">
        <f t="shared" si="138"/>
        <v>6.5026840452748687</v>
      </c>
      <c r="Z351" s="387">
        <f t="shared" si="139"/>
        <v>7.0399065681230049</v>
      </c>
      <c r="AA351" s="388">
        <f t="shared" si="140"/>
        <v>8.5242175101391471</v>
      </c>
      <c r="AB351" s="199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0.17412870333853242</v>
      </c>
      <c r="AD351" s="233">
        <f>(INDEX(Models!$BJ351:$BT351,,AH351)*(1-AF351)+INDEX(Models!$BJ351:$BT351,,AH351+1)*AF351-ERP_i)*AE351*Ramure*Pc/MaxiM</f>
        <v>0.29093662387052599</v>
      </c>
      <c r="AE351" s="307">
        <f t="shared" si="142"/>
        <v>0.9</v>
      </c>
      <c r="AF351" s="179">
        <f t="shared" si="143"/>
        <v>0.90017369968381278</v>
      </c>
      <c r="AG351" s="839">
        <f t="shared" si="149"/>
        <v>3</v>
      </c>
      <c r="AH351" s="178">
        <f t="shared" si="144"/>
        <v>9</v>
      </c>
      <c r="AI351" s="227">
        <f t="shared" si="145"/>
        <v>3.9001736996838128</v>
      </c>
      <c r="AJ351" s="267" t="b">
        <f t="shared" si="146"/>
        <v>0</v>
      </c>
      <c r="AK351" s="267" t="b">
        <f t="shared" si="147"/>
        <v>0</v>
      </c>
      <c r="AL351" s="267"/>
      <c r="AM351" s="267"/>
      <c r="AN351" s="75"/>
    </row>
    <row r="352" spans="1:40" s="6" customFormat="1" ht="11.25" x14ac:dyDescent="0.2">
      <c r="A352" s="56">
        <f t="shared" si="148"/>
        <v>46725</v>
      </c>
      <c r="B352" s="413">
        <f>'2026'!Wh/'2026'!Env_an*'2027'!Env_an</f>
        <v>12.697585649231236</v>
      </c>
      <c r="C352" s="868"/>
      <c r="D352" s="395">
        <f t="shared" si="127"/>
        <v>13.746923004250409</v>
      </c>
      <c r="E352" s="387">
        <f t="shared" si="125"/>
        <v>15.554232379194502</v>
      </c>
      <c r="F352" s="387">
        <f t="shared" si="128"/>
        <v>16.156778698854179</v>
      </c>
      <c r="G352" s="110">
        <f t="shared" si="126"/>
        <v>0.84254039816031512</v>
      </c>
      <c r="H352" s="416" t="b">
        <f>Wh_hp&gt;='2026'!Maxi_hp</f>
        <v>0</v>
      </c>
      <c r="I352" s="392">
        <f>IF(H352,Wh_hp,'2026'!Maxi_hp)</f>
        <v>16.294399514359675</v>
      </c>
      <c r="J352" s="85">
        <f>IF(H352,An,'2026'!An_max)</f>
        <v>2025</v>
      </c>
      <c r="K352" s="199">
        <f t="shared" si="129"/>
        <v>46725</v>
      </c>
      <c r="L352" s="147">
        <f>IF(t&lt;Tvie,1-EXP((T0-t)*PertePVj)+'2026'!Pspv,1-EXP((T0-t)*PertePVj)+Pspv)</f>
        <v>7.6332525809210461E-2</v>
      </c>
      <c r="M352" s="872"/>
      <c r="N352" s="872"/>
      <c r="O352" s="48">
        <f>IF(t&lt;Tnet,'2026'!Resal+('2026'!Salim-'2026'!Resal)*(1-EXP(('2026'!Tnet-t)/('2026'!Tau_j))),Resal+(Salim-Resal)*(1-EXP((Tnet-t)/(Tau_j))))*Salcycl</f>
        <v>0.11619405772550816</v>
      </c>
      <c r="P352" s="171">
        <f>(INDEX(Models!$BJ352:$BT352,,T352)*(1-R352)+INDEX(Models!$BJ352:$BT352,,T352+1)*R352-ERP_i)*Q352*Ramure*Pc/MaxiM</f>
        <v>4.7341890081571865E-2</v>
      </c>
      <c r="Q352" s="307">
        <f t="shared" si="130"/>
        <v>0.9</v>
      </c>
      <c r="R352" s="179">
        <f t="shared" si="131"/>
        <v>0.2645384148871226</v>
      </c>
      <c r="S352" s="839">
        <f t="shared" si="132"/>
        <v>-1</v>
      </c>
      <c r="T352" s="178">
        <f t="shared" si="133"/>
        <v>5</v>
      </c>
      <c r="U352" s="253">
        <f t="shared" si="134"/>
        <v>-0.7354615851128774</v>
      </c>
      <c r="V352" s="385">
        <f t="shared" si="135"/>
        <v>14.913297438112986</v>
      </c>
      <c r="W352" s="404">
        <f t="shared" si="136"/>
        <v>12.697585649231236</v>
      </c>
      <c r="X352" s="157">
        <f t="shared" si="137"/>
        <v>46725</v>
      </c>
      <c r="Y352" s="387">
        <f t="shared" si="138"/>
        <v>9.4740626950848554</v>
      </c>
      <c r="Z352" s="387">
        <f t="shared" si="139"/>
        <v>10.257005859587004</v>
      </c>
      <c r="AA352" s="388">
        <f t="shared" si="140"/>
        <v>12.419251947448364</v>
      </c>
      <c r="AB352" s="199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0.17410437416124819</v>
      </c>
      <c r="AD352" s="233">
        <f>(INDEX(Models!$BJ352:$BT352,,AH352)*(1-AF352)+INDEX(Models!$BJ352:$BT352,,AH352+1)*AF352-ERP_i)*AE352*Ramure*Pc/MaxiM</f>
        <v>0.29365639597952647</v>
      </c>
      <c r="AE352" s="307">
        <f t="shared" si="142"/>
        <v>0.9</v>
      </c>
      <c r="AF352" s="179">
        <f t="shared" si="143"/>
        <v>0.90019406719410178</v>
      </c>
      <c r="AG352" s="839">
        <f t="shared" si="149"/>
        <v>3</v>
      </c>
      <c r="AH352" s="178">
        <f t="shared" si="144"/>
        <v>9</v>
      </c>
      <c r="AI352" s="227">
        <f t="shared" si="145"/>
        <v>3.9001940671941018</v>
      </c>
      <c r="AJ352" s="267" t="b">
        <f t="shared" si="146"/>
        <v>0</v>
      </c>
      <c r="AK352" s="267" t="b">
        <f t="shared" si="147"/>
        <v>0</v>
      </c>
      <c r="AL352" s="267"/>
      <c r="AM352" s="267"/>
      <c r="AN352" s="75"/>
    </row>
    <row r="353" spans="1:40" s="6" customFormat="1" ht="11.25" x14ac:dyDescent="0.2">
      <c r="A353" s="56">
        <f t="shared" si="148"/>
        <v>46726</v>
      </c>
      <c r="B353" s="413">
        <f>'2026'!Wh/'2026'!Env_an*'2027'!Env_an</f>
        <v>14.891002821669213</v>
      </c>
      <c r="C353" s="868"/>
      <c r="D353" s="395">
        <f t="shared" si="127"/>
        <v>16.121980887299163</v>
      </c>
      <c r="E353" s="387">
        <f t="shared" si="125"/>
        <v>18.242923554546024</v>
      </c>
      <c r="F353" s="387">
        <f t="shared" si="128"/>
        <v>19.163900067358469</v>
      </c>
      <c r="G353" s="110">
        <f t="shared" si="126"/>
        <v>1.0072377932128669</v>
      </c>
      <c r="H353" s="416" t="b">
        <f>Wh_hp&gt;='2026'!Maxi_hp</f>
        <v>1</v>
      </c>
      <c r="I353" s="392">
        <f>IF(H353,Wh_hp,'2026'!Maxi_hp)</f>
        <v>19.163900067358469</v>
      </c>
      <c r="J353" s="85">
        <f>IF(H353,An,'2026'!An_max)</f>
        <v>2027</v>
      </c>
      <c r="K353" s="199">
        <f t="shared" si="129"/>
        <v>46726</v>
      </c>
      <c r="L353" s="147">
        <f>IF(t&lt;Tvie,1-EXP((T0-t)*PertePVj)+'2026'!Pspv,1-EXP((T0-t)*PertePVj)+Pspv)</f>
        <v>7.6354020900726183E-2</v>
      </c>
      <c r="M353" s="872"/>
      <c r="N353" s="872"/>
      <c r="O353" s="48">
        <f>IF(t&lt;Tnet,'2026'!Resal+('2026'!Salim-'2026'!Resal)*(1-EXP(('2026'!Tnet-t)/('2026'!Tau_j))),Resal+(Salim-Resal)*(1-EXP((Tnet-t)/(Tau_j))))*Salcycl</f>
        <v>0.11626111686020506</v>
      </c>
      <c r="P353" s="171">
        <f>(INDEX(Models!$BJ353:$BT353,,T353)*(1-R353)+INDEX(Models!$BJ353:$BT353,,T353+1)*R353-ERP_i)*Q353*Ramure*Pc/MaxiM</f>
        <v>4.805788537695041E-2</v>
      </c>
      <c r="Q353" s="307">
        <f t="shared" si="130"/>
        <v>0.9</v>
      </c>
      <c r="R353" s="179">
        <f t="shared" si="131"/>
        <v>0.26455796345583915</v>
      </c>
      <c r="S353" s="839">
        <f t="shared" si="132"/>
        <v>-1</v>
      </c>
      <c r="T353" s="178">
        <f t="shared" si="133"/>
        <v>5</v>
      </c>
      <c r="U353" s="253">
        <f t="shared" si="134"/>
        <v>-0.73544203654416085</v>
      </c>
      <c r="V353" s="385">
        <f t="shared" si="135"/>
        <v>14.783999291935014</v>
      </c>
      <c r="W353" s="404">
        <f t="shared" si="136"/>
        <v>14.891002821669213</v>
      </c>
      <c r="X353" s="157">
        <f t="shared" si="137"/>
        <v>46726</v>
      </c>
      <c r="Y353" s="387">
        <f t="shared" si="138"/>
        <v>10.288328495917847</v>
      </c>
      <c r="Z353" s="387">
        <f t="shared" si="139"/>
        <v>11.13882237212885</v>
      </c>
      <c r="AA353" s="388">
        <f t="shared" si="140"/>
        <v>13.486629765529882</v>
      </c>
      <c r="AB353" s="199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0.17408406949835084</v>
      </c>
      <c r="AD353" s="233">
        <f>(INDEX(Models!$BJ353:$BT353,,AH353)*(1-AF353)+INDEX(Models!$BJ353:$BT353,,AH353+1)*AF353-ERP_i)*AE353*Ramure*Pc/MaxiM</f>
        <v>0.29624816878995219</v>
      </c>
      <c r="AE353" s="307">
        <f t="shared" si="142"/>
        <v>0.9</v>
      </c>
      <c r="AF353" s="179">
        <f t="shared" si="143"/>
        <v>0.900213615762818</v>
      </c>
      <c r="AG353" s="839">
        <f t="shared" si="149"/>
        <v>3</v>
      </c>
      <c r="AH353" s="178">
        <f t="shared" si="144"/>
        <v>9</v>
      </c>
      <c r="AI353" s="227">
        <f t="shared" si="145"/>
        <v>3.900213615762818</v>
      </c>
      <c r="AJ353" s="267" t="b">
        <f t="shared" si="146"/>
        <v>0</v>
      </c>
      <c r="AK353" s="267" t="b">
        <f t="shared" si="147"/>
        <v>0</v>
      </c>
      <c r="AL353" s="267"/>
      <c r="AM353" s="267"/>
      <c r="AN353" s="75"/>
    </row>
    <row r="354" spans="1:40" s="6" customFormat="1" ht="11.25" x14ac:dyDescent="0.2">
      <c r="A354" s="56">
        <f t="shared" si="148"/>
        <v>46727</v>
      </c>
      <c r="B354" s="413">
        <f>'2026'!Wh/'2026'!Env_an*'2027'!Env_an</f>
        <v>10.68406156396679</v>
      </c>
      <c r="C354" s="868"/>
      <c r="D354" s="395">
        <f t="shared" si="127"/>
        <v>11.567538261675953</v>
      </c>
      <c r="E354" s="387">
        <f t="shared" si="125"/>
        <v>13.090346839660302</v>
      </c>
      <c r="F354" s="387">
        <f t="shared" si="128"/>
        <v>13.493167096161296</v>
      </c>
      <c r="G354" s="110">
        <f t="shared" si="126"/>
        <v>0.71448416015635019</v>
      </c>
      <c r="H354" s="416" t="b">
        <f>Wh_hp&gt;='2026'!Maxi_hp</f>
        <v>0</v>
      </c>
      <c r="I354" s="392">
        <f>IF(H354,Wh_hp,'2026'!Maxi_hp)</f>
        <v>16.199835950430391</v>
      </c>
      <c r="J354" s="85">
        <f>IF(H354,An,'2026'!An_max)</f>
        <v>2020</v>
      </c>
      <c r="K354" s="199">
        <f t="shared" si="129"/>
        <v>46727</v>
      </c>
      <c r="L354" s="147">
        <f>IF(t&lt;Tvie,1-EXP((T0-t)*PertePVj)+'2026'!Pspv,1-EXP((T0-t)*PertePVj)+Pspv)</f>
        <v>7.6375515492019708E-2</v>
      </c>
      <c r="M354" s="872"/>
      <c r="N354" s="872"/>
      <c r="O354" s="48">
        <f>IF(t&lt;Tnet,'2026'!Resal+('2026'!Salim-'2026'!Resal)*(1-EXP(('2026'!Tnet-t)/('2026'!Tau_j))),Resal+(Salim-Resal)*(1-EXP((Tnet-t)/(Tau_j))))*Salcycl</f>
        <v>0.11633065163488576</v>
      </c>
      <c r="P354" s="171">
        <f>(INDEX(Models!$BJ354:$BT354,,T354)*(1-R354)+INDEX(Models!$BJ354:$BT354,,T354+1)*R354-ERP_i)*Q354*Ramure*Pc/MaxiM</f>
        <v>4.8749010964044825E-2</v>
      </c>
      <c r="Q354" s="307">
        <f t="shared" si="130"/>
        <v>0.9</v>
      </c>
      <c r="R354" s="179">
        <f t="shared" si="131"/>
        <v>0.26457672596817128</v>
      </c>
      <c r="S354" s="839">
        <f t="shared" si="132"/>
        <v>-1</v>
      </c>
      <c r="T354" s="178">
        <f t="shared" si="133"/>
        <v>5</v>
      </c>
      <c r="U354" s="253">
        <f t="shared" si="134"/>
        <v>-0.73542327403182872</v>
      </c>
      <c r="V354" s="385">
        <f t="shared" si="135"/>
        <v>14.662284530182447</v>
      </c>
      <c r="W354" s="404">
        <f t="shared" si="136"/>
        <v>10.68406156396679</v>
      </c>
      <c r="X354" s="157">
        <f t="shared" si="137"/>
        <v>46727</v>
      </c>
      <c r="Y354" s="387">
        <f t="shared" si="138"/>
        <v>8.4104702515128906</v>
      </c>
      <c r="Z354" s="387">
        <f t="shared" si="139"/>
        <v>9.1059412050917992</v>
      </c>
      <c r="AA354" s="388">
        <f t="shared" si="140"/>
        <v>11.025045534189182</v>
      </c>
      <c r="AB354" s="199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0.17406770095834537</v>
      </c>
      <c r="AD354" s="233">
        <f>(INDEX(Models!$BJ354:$BT354,,AH354)*(1-AF354)+INDEX(Models!$BJ354:$BT354,,AH354+1)*AF354-ERP_i)*AE354*Ramure*Pc/MaxiM</f>
        <v>0.29869025488016304</v>
      </c>
      <c r="AE354" s="307">
        <f t="shared" si="142"/>
        <v>0.9</v>
      </c>
      <c r="AF354" s="179">
        <f t="shared" si="143"/>
        <v>0.90023237827515024</v>
      </c>
      <c r="AG354" s="839">
        <f t="shared" si="149"/>
        <v>3</v>
      </c>
      <c r="AH354" s="178">
        <f t="shared" si="144"/>
        <v>9</v>
      </c>
      <c r="AI354" s="227">
        <f t="shared" si="145"/>
        <v>3.9002323782751502</v>
      </c>
      <c r="AJ354" s="267" t="b">
        <f t="shared" si="146"/>
        <v>0</v>
      </c>
      <c r="AK354" s="267" t="b">
        <f t="shared" si="147"/>
        <v>0</v>
      </c>
      <c r="AL354" s="267"/>
      <c r="AM354" s="267"/>
      <c r="AN354" s="75"/>
    </row>
    <row r="355" spans="1:40" s="6" customFormat="1" ht="11.25" x14ac:dyDescent="0.2">
      <c r="A355" s="56">
        <f t="shared" si="148"/>
        <v>46728</v>
      </c>
      <c r="B355" s="413">
        <f>'2026'!Wh/'2026'!Env_an*'2027'!Env_an</f>
        <v>13.14347178399932</v>
      </c>
      <c r="C355" s="868"/>
      <c r="D355" s="395">
        <f t="shared" si="127"/>
        <v>14.230650961910163</v>
      </c>
      <c r="E355" s="387">
        <f t="shared" si="125"/>
        <v>16.105356341275264</v>
      </c>
      <c r="F355" s="387">
        <f t="shared" si="128"/>
        <v>16.821832937357954</v>
      </c>
      <c r="G355" s="110">
        <f t="shared" si="126"/>
        <v>0.89696074262696335</v>
      </c>
      <c r="H355" s="416" t="b">
        <f>Wh_hp&gt;='2026'!Maxi_hp</f>
        <v>0</v>
      </c>
      <c r="I355" s="392">
        <f>IF(H355,Wh_hp,'2026'!Maxi_hp)</f>
        <v>16.920524492655719</v>
      </c>
      <c r="J355" s="85">
        <f>IF(H355,An,'2026'!An_max)</f>
        <v>2025</v>
      </c>
      <c r="K355" s="199">
        <f t="shared" si="129"/>
        <v>46728</v>
      </c>
      <c r="L355" s="147">
        <f>IF(t&lt;Tvie,1-EXP((T0-t)*PertePVj)+'2026'!Pspv,1-EXP((T0-t)*PertePVj)+Pspv)</f>
        <v>7.6397009583102804E-2</v>
      </c>
      <c r="M355" s="872"/>
      <c r="N355" s="872"/>
      <c r="O355" s="48">
        <f>IF(t&lt;Tnet,'2026'!Resal+('2026'!Salim-'2026'!Resal)*(1-EXP(('2026'!Tnet-t)/('2026'!Tau_j))),Resal+(Salim-Resal)*(1-EXP((Tnet-t)/(Tau_j))))*Salcycl</f>
        <v>0.11640260169596822</v>
      </c>
      <c r="P355" s="171">
        <f>(INDEX(Models!$BJ355:$BT355,,T355)*(1-R355)+INDEX(Models!$BJ355:$BT355,,T355+1)*R355-ERP_i)*Q355*Ramure*Pc/MaxiM</f>
        <v>4.9411147297853369E-2</v>
      </c>
      <c r="Q355" s="307">
        <f t="shared" si="130"/>
        <v>0.9</v>
      </c>
      <c r="R355" s="179">
        <f t="shared" si="131"/>
        <v>0.26459473399217037</v>
      </c>
      <c r="S355" s="839">
        <f t="shared" si="132"/>
        <v>-1</v>
      </c>
      <c r="T355" s="178">
        <f t="shared" si="133"/>
        <v>5</v>
      </c>
      <c r="U355" s="253">
        <f t="shared" si="134"/>
        <v>-0.73540526600782963</v>
      </c>
      <c r="V355" s="385">
        <f t="shared" si="135"/>
        <v>14.548973601919471</v>
      </c>
      <c r="W355" s="404">
        <f t="shared" si="136"/>
        <v>13.14347178399932</v>
      </c>
      <c r="X355" s="157">
        <f t="shared" si="137"/>
        <v>46728</v>
      </c>
      <c r="Y355" s="387">
        <f t="shared" si="138"/>
        <v>9.503386393962959</v>
      </c>
      <c r="Z355" s="387">
        <f t="shared" si="139"/>
        <v>10.289471225805913</v>
      </c>
      <c r="AA355" s="388">
        <f t="shared" si="140"/>
        <v>12.457819030396388</v>
      </c>
      <c r="AB355" s="199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0.17405516963280865</v>
      </c>
      <c r="AD355" s="233">
        <f>(INDEX(Models!$BJ355:$BT355,,AH355)*(1-AF355)+INDEX(Models!$BJ355:$BT355,,AH355+1)*AF355-ERP_i)*AE355*Ramure*Pc/MaxiM</f>
        <v>0.30096019206449054</v>
      </c>
      <c r="AE355" s="307">
        <f t="shared" si="142"/>
        <v>0.9</v>
      </c>
      <c r="AF355" s="179">
        <f t="shared" si="143"/>
        <v>0.90025038629914933</v>
      </c>
      <c r="AG355" s="839">
        <f t="shared" si="149"/>
        <v>3</v>
      </c>
      <c r="AH355" s="178">
        <f t="shared" si="144"/>
        <v>9</v>
      </c>
      <c r="AI355" s="227">
        <f t="shared" si="145"/>
        <v>3.9002503862991493</v>
      </c>
      <c r="AJ355" s="267" t="b">
        <f t="shared" si="146"/>
        <v>0</v>
      </c>
      <c r="AK355" s="267" t="b">
        <f t="shared" si="147"/>
        <v>0</v>
      </c>
      <c r="AL355" s="267"/>
      <c r="AM355" s="267"/>
      <c r="AN355" s="75"/>
    </row>
    <row r="356" spans="1:40" s="6" customFormat="1" ht="11.25" x14ac:dyDescent="0.2">
      <c r="A356" s="56">
        <f t="shared" si="148"/>
        <v>46729</v>
      </c>
      <c r="B356" s="413">
        <f>'2026'!Wh/'2026'!Env_an*'2027'!Env_an</f>
        <v>3.9232057665199527</v>
      </c>
      <c r="C356" s="868"/>
      <c r="D356" s="395">
        <f t="shared" si="127"/>
        <v>4.2478176316897533</v>
      </c>
      <c r="E356" s="387">
        <f t="shared" si="125"/>
        <v>4.807817284970735</v>
      </c>
      <c r="F356" s="387">
        <f t="shared" si="128"/>
        <v>4.807817284970735</v>
      </c>
      <c r="G356" s="110">
        <f t="shared" si="126"/>
        <v>0.258007463413574</v>
      </c>
      <c r="H356" s="416" t="b">
        <f>Wh_hp&gt;='2026'!Maxi_hp</f>
        <v>0</v>
      </c>
      <c r="I356" s="392">
        <f>IF(H356,Wh_hp,'2026'!Maxi_hp)</f>
        <v>15.165312115790208</v>
      </c>
      <c r="J356" s="85">
        <f>IF(H356,An,'2026'!An_max)</f>
        <v>2019</v>
      </c>
      <c r="K356" s="199">
        <f t="shared" si="129"/>
        <v>46729</v>
      </c>
      <c r="L356" s="147">
        <f>IF(t&lt;Tvie,1-EXP((T0-t)*PertePVj)+'2026'!Pspv,1-EXP((T0-t)*PertePVj)+Pspv)</f>
        <v>7.6418503173986907E-2</v>
      </c>
      <c r="M356" s="872"/>
      <c r="N356" s="872"/>
      <c r="O356" s="48">
        <f>IF(t&lt;Tnet,'2026'!Resal+('2026'!Salim-'2026'!Resal)*(1-EXP(('2026'!Tnet-t)/('2026'!Tau_j))),Resal+(Salim-Resal)*(1-EXP((Tnet-t)/(Tau_j))))*Salcycl</f>
        <v>0.11647690003352323</v>
      </c>
      <c r="P356" s="171">
        <f>(INDEX(Models!$BJ356:$BT356,,T356)*(1-R356)+INDEX(Models!$BJ356:$BT356,,T356+1)*R356-ERP_i)*Q356*Ramure*Pc/MaxiM</f>
        <v>5.0040005606606729E-2</v>
      </c>
      <c r="Q356" s="307">
        <f t="shared" si="130"/>
        <v>0.9</v>
      </c>
      <c r="R356" s="179">
        <f t="shared" si="131"/>
        <v>0.264612017831238</v>
      </c>
      <c r="S356" s="839">
        <f t="shared" si="132"/>
        <v>-1</v>
      </c>
      <c r="T356" s="178">
        <f t="shared" si="133"/>
        <v>5</v>
      </c>
      <c r="U356" s="253">
        <f t="shared" si="134"/>
        <v>-0.735387982168762</v>
      </c>
      <c r="V356" s="385">
        <f t="shared" si="135"/>
        <v>14.444886510873495</v>
      </c>
      <c r="W356" s="404">
        <f t="shared" si="136"/>
        <v>3.9232057665199527</v>
      </c>
      <c r="X356" s="157">
        <f t="shared" si="137"/>
        <v>46729</v>
      </c>
      <c r="Y356" s="387">
        <f t="shared" si="138"/>
        <v>3.6675736674128272</v>
      </c>
      <c r="Z356" s="387">
        <f t="shared" si="139"/>
        <v>3.9710341534740978</v>
      </c>
      <c r="AA356" s="388">
        <f t="shared" si="140"/>
        <v>4.807817284970735</v>
      </c>
      <c r="AB356" s="199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0.17404636696831766</v>
      </c>
      <c r="AD356" s="233">
        <f>(INDEX(Models!$BJ356:$BT356,,AH356)*(1-AF356)+INDEX(Models!$BJ356:$BT356,,AH356+1)*AF356-ERP_i)*AE356*Ramure*Pc/MaxiM</f>
        <v>0.30303491576344266</v>
      </c>
      <c r="AE356" s="307">
        <f t="shared" si="142"/>
        <v>0.9</v>
      </c>
      <c r="AF356" s="179">
        <f t="shared" si="143"/>
        <v>0.90026767013821685</v>
      </c>
      <c r="AG356" s="839">
        <f t="shared" si="149"/>
        <v>3</v>
      </c>
      <c r="AH356" s="178">
        <f t="shared" si="144"/>
        <v>9</v>
      </c>
      <c r="AI356" s="227">
        <f t="shared" si="145"/>
        <v>3.9002676701382168</v>
      </c>
      <c r="AJ356" s="267" t="b">
        <f t="shared" si="146"/>
        <v>0</v>
      </c>
      <c r="AK356" s="267" t="b">
        <f t="shared" si="147"/>
        <v>0</v>
      </c>
      <c r="AL356" s="267"/>
      <c r="AM356" s="267"/>
      <c r="AN356" s="75"/>
    </row>
    <row r="357" spans="1:40" s="6" customFormat="1" ht="11.25" x14ac:dyDescent="0.2">
      <c r="A357" s="56">
        <f t="shared" si="148"/>
        <v>46730</v>
      </c>
      <c r="B357" s="413">
        <f>'2026'!Wh/'2026'!Env_an*'2027'!Env_an</f>
        <v>7.4775725010567928</v>
      </c>
      <c r="C357" s="868"/>
      <c r="D357" s="395">
        <f t="shared" si="127"/>
        <v>8.0964663593203809</v>
      </c>
      <c r="E357" s="387">
        <f t="shared" si="125"/>
        <v>9.1646365876307669</v>
      </c>
      <c r="F357" s="387">
        <f t="shared" si="128"/>
        <v>9.3135502909338932</v>
      </c>
      <c r="G357" s="110">
        <f t="shared" si="126"/>
        <v>0.50271079729844703</v>
      </c>
      <c r="H357" s="416" t="b">
        <f>Wh_hp&gt;='2026'!Maxi_hp</f>
        <v>0</v>
      </c>
      <c r="I357" s="392">
        <f>IF(H357,Wh_hp,'2026'!Maxi_hp)</f>
        <v>9.5919095052966057</v>
      </c>
      <c r="J357" s="85">
        <f>IF(H357,An,'2026'!An_max)</f>
        <v>2025</v>
      </c>
      <c r="K357" s="199">
        <f t="shared" si="129"/>
        <v>46730</v>
      </c>
      <c r="L357" s="147">
        <f>IF(t&lt;Tvie,1-EXP((T0-t)*PertePVj)+'2026'!Pspv,1-EXP((T0-t)*PertePVj)+Pspv)</f>
        <v>7.6439996264683785E-2</v>
      </c>
      <c r="M357" s="872"/>
      <c r="N357" s="872"/>
      <c r="O357" s="48">
        <f>IF(t&lt;Tnet,'2026'!Resal+('2026'!Salim-'2026'!Resal)*(1-EXP(('2026'!Tnet-t)/('2026'!Tau_j))),Resal+(Salim-Resal)*(1-EXP((Tnet-t)/(Tau_j))))*Salcycl</f>
        <v>0.11655347357167049</v>
      </c>
      <c r="P357" s="171">
        <f>(INDEX(Models!$BJ357:$BT357,,T357)*(1-R357)+INDEX(Models!$BJ357:$BT357,,T357+1)*R357-ERP_i)*Q357*Ramure*Pc/MaxiM</f>
        <v>5.0631163100368595E-2</v>
      </c>
      <c r="Q357" s="307">
        <f t="shared" si="130"/>
        <v>0.9</v>
      </c>
      <c r="R357" s="179">
        <f t="shared" si="131"/>
        <v>0.26462860657454212</v>
      </c>
      <c r="S357" s="839">
        <f t="shared" si="132"/>
        <v>-1</v>
      </c>
      <c r="T357" s="178">
        <f t="shared" si="133"/>
        <v>5</v>
      </c>
      <c r="U357" s="253">
        <f t="shared" si="134"/>
        <v>-0.73537139342545788</v>
      </c>
      <c r="V357" s="385">
        <f t="shared" si="135"/>
        <v>14.350842794842723</v>
      </c>
      <c r="W357" s="404">
        <f t="shared" si="136"/>
        <v>7.4775725010567928</v>
      </c>
      <c r="X357" s="157">
        <f t="shared" si="137"/>
        <v>46730</v>
      </c>
      <c r="Y357" s="387">
        <f t="shared" si="138"/>
        <v>6.4205407876167611</v>
      </c>
      <c r="Z357" s="387">
        <f t="shared" si="139"/>
        <v>6.9519476391886164</v>
      </c>
      <c r="AA357" s="388">
        <f t="shared" si="140"/>
        <v>8.4168210744783103</v>
      </c>
      <c r="AB357" s="199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0.17404117567991534</v>
      </c>
      <c r="AD357" s="233">
        <f>(INDEX(Models!$BJ357:$BT357,,AH357)*(1-AF357)+INDEX(Models!$BJ357:$BT357,,AH357+1)*AF357-ERP_i)*AE357*Ramure*Pc/MaxiM</f>
        <v>0.30489096844773222</v>
      </c>
      <c r="AE357" s="307">
        <f t="shared" si="142"/>
        <v>0.9</v>
      </c>
      <c r="AF357" s="179">
        <f t="shared" si="143"/>
        <v>0.90028425888152119</v>
      </c>
      <c r="AG357" s="839">
        <f t="shared" si="149"/>
        <v>3</v>
      </c>
      <c r="AH357" s="178">
        <f t="shared" si="144"/>
        <v>9</v>
      </c>
      <c r="AI357" s="227">
        <f t="shared" si="145"/>
        <v>3.9002842588815212</v>
      </c>
      <c r="AJ357" s="267" t="b">
        <f t="shared" si="146"/>
        <v>0</v>
      </c>
      <c r="AK357" s="267" t="b">
        <f t="shared" si="147"/>
        <v>0</v>
      </c>
      <c r="AL357" s="267"/>
      <c r="AM357" s="267"/>
      <c r="AN357" s="75"/>
    </row>
    <row r="358" spans="1:40" s="6" customFormat="1" ht="11.25" x14ac:dyDescent="0.2">
      <c r="A358" s="56">
        <f t="shared" si="148"/>
        <v>46731</v>
      </c>
      <c r="B358" s="413">
        <f>'2026'!Wh/'2026'!Env_an*'2027'!Env_an</f>
        <v>10.952205304659993</v>
      </c>
      <c r="C358" s="868"/>
      <c r="D358" s="395">
        <f t="shared" si="127"/>
        <v>11.85895896326393</v>
      </c>
      <c r="E358" s="387">
        <f t="shared" si="125"/>
        <v>13.424713410492517</v>
      </c>
      <c r="F358" s="387">
        <f t="shared" si="128"/>
        <v>13.899954172685167</v>
      </c>
      <c r="G358" s="110">
        <f t="shared" si="126"/>
        <v>0.75412077756623419</v>
      </c>
      <c r="H358" s="416" t="b">
        <f>Wh_hp&gt;='2026'!Maxi_hp</f>
        <v>0</v>
      </c>
      <c r="I358" s="392">
        <f>IF(H358,Wh_hp,'2026'!Maxi_hp)</f>
        <v>16.668106879337483</v>
      </c>
      <c r="J358" s="85">
        <f>IF(H358,An,'2026'!An_max)</f>
        <v>2019</v>
      </c>
      <c r="K358" s="199">
        <f t="shared" si="129"/>
        <v>46731</v>
      </c>
      <c r="L358" s="147">
        <f>IF(t&lt;Tvie,1-EXP((T0-t)*PertePVj)+'2026'!Pspv,1-EXP((T0-t)*PertePVj)+Pspv)</f>
        <v>7.6461488855204984E-2</v>
      </c>
      <c r="M358" s="872"/>
      <c r="N358" s="872"/>
      <c r="O358" s="48">
        <f>IF(t&lt;Tnet,'2026'!Resal+('2026'!Salim-'2026'!Resal)*(1-EXP(('2026'!Tnet-t)/('2026'!Tau_j))),Resal+(Salim-Resal)*(1-EXP((Tnet-t)/(Tau_j))))*Salcycl</f>
        <v>0.11663224378442383</v>
      </c>
      <c r="P358" s="171">
        <f>(INDEX(Models!$BJ358:$BT358,,T358)*(1-R358)+INDEX(Models!$BJ358:$BT358,,T358+1)*R358-ERP_i)*Q358*Ramure*Pc/MaxiM</f>
        <v>5.1180105610186828E-2</v>
      </c>
      <c r="Q358" s="307">
        <f t="shared" si="130"/>
        <v>0.9</v>
      </c>
      <c r="R358" s="179">
        <f t="shared" si="131"/>
        <v>0.26464452814544448</v>
      </c>
      <c r="S358" s="839">
        <f t="shared" si="132"/>
        <v>-1</v>
      </c>
      <c r="T358" s="178">
        <f t="shared" si="133"/>
        <v>5</v>
      </c>
      <c r="U358" s="253">
        <f t="shared" si="134"/>
        <v>-0.73535547185455552</v>
      </c>
      <c r="V358" s="385">
        <f t="shared" si="135"/>
        <v>14.267661495744152</v>
      </c>
      <c r="W358" s="404">
        <f t="shared" si="136"/>
        <v>10.952205304659993</v>
      </c>
      <c r="X358" s="157">
        <f t="shared" si="137"/>
        <v>46731</v>
      </c>
      <c r="Y358" s="387">
        <f t="shared" si="138"/>
        <v>8.4319524602722584</v>
      </c>
      <c r="Z358" s="387">
        <f t="shared" si="139"/>
        <v>9.1300496498193926</v>
      </c>
      <c r="AA358" s="388">
        <f t="shared" si="140"/>
        <v>11.053857086296851</v>
      </c>
      <c r="AB358" s="199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0.17403947069863493</v>
      </c>
      <c r="AD358" s="233">
        <f>(INDEX(Models!$BJ358:$BT358,,AH358)*(1-AF358)+INDEX(Models!$BJ358:$BT358,,AH358+1)*AF358-ERP_i)*AE358*Ramure*Pc/MaxiM</f>
        <v>0.30650474674382172</v>
      </c>
      <c r="AE358" s="307">
        <f t="shared" si="142"/>
        <v>0.9</v>
      </c>
      <c r="AF358" s="179">
        <f t="shared" si="143"/>
        <v>0.90030018045242333</v>
      </c>
      <c r="AG358" s="839">
        <f t="shared" si="149"/>
        <v>3</v>
      </c>
      <c r="AH358" s="178">
        <f t="shared" si="144"/>
        <v>9</v>
      </c>
      <c r="AI358" s="227">
        <f t="shared" si="145"/>
        <v>3.9003001804524233</v>
      </c>
      <c r="AJ358" s="267" t="b">
        <f t="shared" si="146"/>
        <v>0</v>
      </c>
      <c r="AK358" s="267" t="b">
        <f t="shared" si="147"/>
        <v>0</v>
      </c>
      <c r="AL358" s="267"/>
      <c r="AM358" s="267"/>
      <c r="AN358" s="75"/>
    </row>
    <row r="359" spans="1:40" s="6" customFormat="1" ht="11.25" x14ac:dyDescent="0.2">
      <c r="A359" s="56">
        <f t="shared" si="148"/>
        <v>46732</v>
      </c>
      <c r="B359" s="413">
        <f>'2026'!Wh/'2026'!Env_an*'2027'!Env_an</f>
        <v>11.470895148582169</v>
      </c>
      <c r="C359" s="868"/>
      <c r="D359" s="395">
        <f t="shared" si="127"/>
        <v>12.420881166139077</v>
      </c>
      <c r="E359" s="387">
        <f t="shared" si="125"/>
        <v>14.062114529813485</v>
      </c>
      <c r="F359" s="387">
        <f t="shared" si="128"/>
        <v>14.610351942809471</v>
      </c>
      <c r="G359" s="110">
        <f t="shared" si="126"/>
        <v>0.79626262925791891</v>
      </c>
      <c r="H359" s="416" t="b">
        <f>Wh_hp&gt;='2026'!Maxi_hp</f>
        <v>0</v>
      </c>
      <c r="I359" s="392">
        <f>IF(H359,Wh_hp,'2026'!Maxi_hp)</f>
        <v>15.154011286324524</v>
      </c>
      <c r="J359" s="85">
        <f>IF(H359,An,'2026'!An_max)</f>
        <v>2018</v>
      </c>
      <c r="K359" s="199">
        <f t="shared" si="129"/>
        <v>46732</v>
      </c>
      <c r="L359" s="147">
        <f>IF(t&lt;Tvie,1-EXP((T0-t)*PertePVj)+'2026'!Pspv,1-EXP((T0-t)*PertePVj)+Pspv)</f>
        <v>7.6482980945562273E-2</v>
      </c>
      <c r="M359" s="872"/>
      <c r="N359" s="872"/>
      <c r="O359" s="48">
        <f>IF(t&lt;Tnet,'2026'!Resal+('2026'!Salim-'2026'!Resal)*(1-EXP(('2026'!Tnet-t)/('2026'!Tau_j))),Resal+(Salim-Resal)*(1-EXP((Tnet-t)/(Tau_j))))*Salcycl</f>
        <v>0.11671312733193735</v>
      </c>
      <c r="P359" s="171">
        <f>(INDEX(Models!$BJ359:$BT359,,T359)*(1-R359)+INDEX(Models!$BJ359:$BT359,,T359+1)*R359-ERP_i)*Q359*Ramure*Pc/MaxiM</f>
        <v>5.1690135960357729E-2</v>
      </c>
      <c r="Q359" s="307">
        <f t="shared" si="130"/>
        <v>0.9</v>
      </c>
      <c r="R359" s="179">
        <f t="shared" si="131"/>
        <v>0.26465980934801236</v>
      </c>
      <c r="S359" s="839">
        <f t="shared" si="132"/>
        <v>-1</v>
      </c>
      <c r="T359" s="178">
        <f t="shared" si="133"/>
        <v>5</v>
      </c>
      <c r="U359" s="253">
        <f t="shared" si="134"/>
        <v>-0.73534019065198764</v>
      </c>
      <c r="V359" s="385">
        <f t="shared" si="135"/>
        <v>14.193885296294061</v>
      </c>
      <c r="W359" s="404">
        <f t="shared" si="136"/>
        <v>11.470895148582169</v>
      </c>
      <c r="X359" s="157">
        <f t="shared" si="137"/>
        <v>46732</v>
      </c>
      <c r="Y359" s="387">
        <f t="shared" si="138"/>
        <v>8.6535893744429426</v>
      </c>
      <c r="Z359" s="387">
        <f t="shared" si="139"/>
        <v>9.3702543601233277</v>
      </c>
      <c r="AA359" s="388">
        <f t="shared" si="140"/>
        <v>11.344698372603014</v>
      </c>
      <c r="AB359" s="199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0.1740411201454142</v>
      </c>
      <c r="AD359" s="233">
        <f>(INDEX(Models!$BJ359:$BT359,,AH359)*(1-AF359)+INDEX(Models!$BJ359:$BT359,,AH359+1)*AF359-ERP_i)*AE359*Ramure*Pc/MaxiM</f>
        <v>0.30789959430338149</v>
      </c>
      <c r="AE359" s="307">
        <f t="shared" si="142"/>
        <v>0.9</v>
      </c>
      <c r="AF359" s="179">
        <f t="shared" si="143"/>
        <v>0.90031546165499154</v>
      </c>
      <c r="AG359" s="839">
        <f t="shared" si="149"/>
        <v>3</v>
      </c>
      <c r="AH359" s="178">
        <f t="shared" si="144"/>
        <v>9</v>
      </c>
      <c r="AI359" s="227">
        <f t="shared" si="145"/>
        <v>3.9003154616549915</v>
      </c>
      <c r="AJ359" s="267" t="b">
        <f t="shared" si="146"/>
        <v>0</v>
      </c>
      <c r="AK359" s="267" t="b">
        <f t="shared" si="147"/>
        <v>0</v>
      </c>
      <c r="AL359" s="267"/>
      <c r="AM359" s="267"/>
      <c r="AN359" s="75"/>
    </row>
    <row r="360" spans="1:40" s="6" customFormat="1" ht="11.25" x14ac:dyDescent="0.2">
      <c r="A360" s="56">
        <f t="shared" si="148"/>
        <v>46733</v>
      </c>
      <c r="B360" s="413">
        <f>'2026'!Wh/'2026'!Env_an*'2027'!Env_an</f>
        <v>3.9834098320401305</v>
      </c>
      <c r="C360" s="868"/>
      <c r="D360" s="395">
        <f t="shared" si="127"/>
        <v>4.3134045737914075</v>
      </c>
      <c r="E360" s="387">
        <f t="shared" si="125"/>
        <v>4.8838147846771571</v>
      </c>
      <c r="F360" s="387">
        <f t="shared" si="128"/>
        <v>4.8838147846771571</v>
      </c>
      <c r="G360" s="110">
        <f t="shared" si="126"/>
        <v>0.26725096039872026</v>
      </c>
      <c r="H360" s="416" t="b">
        <f>Wh_hp&gt;='2026'!Maxi_hp</f>
        <v>0</v>
      </c>
      <c r="I360" s="392">
        <f>IF(H360,Wh_hp,'2026'!Maxi_hp)</f>
        <v>17.813849297428309</v>
      </c>
      <c r="J360" s="85">
        <f>IF(H360,An,'2026'!An_max)</f>
        <v>2021</v>
      </c>
      <c r="K360" s="199">
        <f t="shared" si="129"/>
        <v>46733</v>
      </c>
      <c r="L360" s="147">
        <f>IF(t&lt;Tvie,1-EXP((T0-t)*PertePVj)+'2026'!Pspv,1-EXP((T0-t)*PertePVj)+Pspv)</f>
        <v>7.6504472535767198E-2</v>
      </c>
      <c r="M360" s="872"/>
      <c r="N360" s="872"/>
      <c r="O360" s="48">
        <f>IF(t&lt;Tnet,'2026'!Resal+('2026'!Salim-'2026'!Resal)*(1-EXP(('2026'!Tnet-t)/('2026'!Tau_j))),Resal+(Salim-Resal)*(1-EXP((Tnet-t)/(Tau_j))))*Salcycl</f>
        <v>0.11679603671199761</v>
      </c>
      <c r="P360" s="171">
        <f>(INDEX(Models!$BJ360:$BT360,,T360)*(1-R360)+INDEX(Models!$BJ360:$BT360,,T360+1)*R360-ERP_i)*Q360*Ramure*Pc/MaxiM</f>
        <v>5.2166654361196566E-2</v>
      </c>
      <c r="Q360" s="307">
        <f t="shared" si="130"/>
        <v>0.9</v>
      </c>
      <c r="R360" s="179">
        <f t="shared" si="131"/>
        <v>0.26467447591169302</v>
      </c>
      <c r="S360" s="839">
        <f t="shared" si="132"/>
        <v>-1</v>
      </c>
      <c r="T360" s="178">
        <f t="shared" si="133"/>
        <v>5</v>
      </c>
      <c r="U360" s="253">
        <f t="shared" si="134"/>
        <v>-0.73532552408830698</v>
      </c>
      <c r="V360" s="385">
        <f t="shared" si="135"/>
        <v>14.127577549282327</v>
      </c>
      <c r="W360" s="404">
        <f t="shared" si="136"/>
        <v>3.9834098320401305</v>
      </c>
      <c r="X360" s="157">
        <f t="shared" si="137"/>
        <v>46733</v>
      </c>
      <c r="Y360" s="387">
        <f t="shared" si="138"/>
        <v>3.725202190718258</v>
      </c>
      <c r="Z360" s="387">
        <f t="shared" si="139"/>
        <v>4.033806423456161</v>
      </c>
      <c r="AA360" s="388">
        <f t="shared" si="140"/>
        <v>4.8838147846771571</v>
      </c>
      <c r="AB360" s="199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0.1740459863236164</v>
      </c>
      <c r="AD360" s="233">
        <f>(INDEX(Models!$BJ360:$BT360,,AH360)*(1-AF360)+INDEX(Models!$BJ360:$BT360,,AH360+1)*AF360-ERP_i)*AE360*Ramure*Pc/MaxiM</f>
        <v>0.30911066372144896</v>
      </c>
      <c r="AE360" s="307">
        <f t="shared" si="142"/>
        <v>0.9</v>
      </c>
      <c r="AF360" s="179">
        <f t="shared" si="143"/>
        <v>0.90033012821867198</v>
      </c>
      <c r="AG360" s="839">
        <f t="shared" si="149"/>
        <v>3</v>
      </c>
      <c r="AH360" s="178">
        <f t="shared" si="144"/>
        <v>9</v>
      </c>
      <c r="AI360" s="227">
        <f t="shared" si="145"/>
        <v>3.900330128218672</v>
      </c>
      <c r="AJ360" s="267" t="b">
        <f t="shared" si="146"/>
        <v>0</v>
      </c>
      <c r="AK360" s="267" t="b">
        <f t="shared" si="147"/>
        <v>0</v>
      </c>
      <c r="AL360" s="267"/>
      <c r="AM360" s="267"/>
      <c r="AN360" s="75"/>
    </row>
    <row r="361" spans="1:40" s="6" customFormat="1" ht="11.25" x14ac:dyDescent="0.2">
      <c r="A361" s="56">
        <f t="shared" si="148"/>
        <v>46734</v>
      </c>
      <c r="B361" s="413">
        <f>'2026'!Wh/'2026'!Env_an*'2027'!Env_an</f>
        <v>4.7946268677331236</v>
      </c>
      <c r="C361" s="868"/>
      <c r="D361" s="395">
        <f t="shared" si="127"/>
        <v>5.1919455002311086</v>
      </c>
      <c r="E361" s="387">
        <f t="shared" ref="E361:E379" si="150">Wh_pvt/(1-Psa)</f>
        <v>5.8790998723354102</v>
      </c>
      <c r="F361" s="387">
        <f t="shared" si="128"/>
        <v>5.8971748990912536</v>
      </c>
      <c r="G361" s="110">
        <f t="shared" ref="G361:G379" si="151">+Wh_hp/MaxiM</f>
        <v>0.32386151025500326</v>
      </c>
      <c r="H361" s="416" t="b">
        <f>Wh_hp&gt;='2026'!Maxi_hp</f>
        <v>0</v>
      </c>
      <c r="I361" s="392">
        <f>IF(H361,Wh_hp,'2026'!Maxi_hp)</f>
        <v>18.138305430753984</v>
      </c>
      <c r="J361" s="85">
        <f>IF(H361,An,'2026'!An_max)</f>
        <v>2021</v>
      </c>
      <c r="K361" s="199">
        <f t="shared" si="129"/>
        <v>46734</v>
      </c>
      <c r="L361" s="147">
        <f>IF(t&lt;Tvie,1-EXP((T0-t)*PertePVj)+'2026'!Pspv,1-EXP((T0-t)*PertePVj)+Pspv)</f>
        <v>7.6525963625831417E-2</v>
      </c>
      <c r="M361" s="872"/>
      <c r="N361" s="872"/>
      <c r="O361" s="48">
        <f>IF(t&lt;Tnet,'2026'!Resal+('2026'!Salim-'2026'!Resal)*(1-EXP(('2026'!Tnet-t)/('2026'!Tau_j))),Resal+(Salim-Resal)*(1-EXP((Tnet-t)/(Tau_j))))*Salcycl</f>
        <v>0.11688088092154435</v>
      </c>
      <c r="P361" s="171">
        <f>(INDEX(Models!$BJ361:$BT361,,T361)*(1-R361)+INDEX(Models!$BJ361:$BT361,,T361+1)*R361-ERP_i)*Q361*Ramure*Pc/MaxiM</f>
        <v>5.2595356583158163E-2</v>
      </c>
      <c r="Q361" s="307">
        <f t="shared" si="130"/>
        <v>0.9</v>
      </c>
      <c r="R361" s="179">
        <f t="shared" si="131"/>
        <v>0.26468855253421919</v>
      </c>
      <c r="S361" s="839">
        <f t="shared" si="132"/>
        <v>-1</v>
      </c>
      <c r="T361" s="178">
        <f t="shared" si="133"/>
        <v>5</v>
      </c>
      <c r="U361" s="253">
        <f t="shared" si="134"/>
        <v>-0.73531144746578081</v>
      </c>
      <c r="V361" s="385">
        <f t="shared" si="135"/>
        <v>14.069030052115723</v>
      </c>
      <c r="W361" s="404">
        <f t="shared" si="136"/>
        <v>4.7946268677331236</v>
      </c>
      <c r="X361" s="157">
        <f t="shared" si="137"/>
        <v>46734</v>
      </c>
      <c r="Y361" s="387">
        <f t="shared" si="138"/>
        <v>4.416704713806868</v>
      </c>
      <c r="Z361" s="387">
        <f t="shared" si="139"/>
        <v>4.7827058908425331</v>
      </c>
      <c r="AA361" s="388">
        <f t="shared" si="140"/>
        <v>5.7905788835134118</v>
      </c>
      <c r="AB361" s="199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0.17405392672232375</v>
      </c>
      <c r="AD361" s="233">
        <f>(INDEX(Models!$BJ361:$BT361,,AH361)*(1-AF361)+INDEX(Models!$BJ361:$BT361,,AH361+1)*AF361-ERP_i)*AE361*Ramure*Pc/MaxiM</f>
        <v>0.3101768824684018</v>
      </c>
      <c r="AE361" s="307">
        <f t="shared" si="142"/>
        <v>0.9</v>
      </c>
      <c r="AF361" s="179">
        <f t="shared" si="143"/>
        <v>0.90034420484119826</v>
      </c>
      <c r="AG361" s="839">
        <f t="shared" si="149"/>
        <v>3</v>
      </c>
      <c r="AH361" s="178">
        <f t="shared" si="144"/>
        <v>9</v>
      </c>
      <c r="AI361" s="227">
        <f t="shared" si="145"/>
        <v>3.9003442048411983</v>
      </c>
      <c r="AJ361" s="267" t="b">
        <f t="shared" si="146"/>
        <v>0</v>
      </c>
      <c r="AK361" s="267" t="b">
        <f t="shared" si="147"/>
        <v>0</v>
      </c>
      <c r="AL361" s="267"/>
      <c r="AM361" s="267"/>
      <c r="AN361" s="75"/>
    </row>
    <row r="362" spans="1:40" s="6" customFormat="1" ht="11.25" x14ac:dyDescent="0.2">
      <c r="A362" s="56">
        <f t="shared" si="148"/>
        <v>46735</v>
      </c>
      <c r="B362" s="413">
        <f>'2026'!Wh/'2026'!Env_an*'2027'!Env_an</f>
        <v>11.288084816224828</v>
      </c>
      <c r="C362" s="868"/>
      <c r="D362" s="395">
        <f t="shared" si="127"/>
        <v>12.223784392340949</v>
      </c>
      <c r="E362" s="387">
        <f t="shared" si="150"/>
        <v>13.842961960832646</v>
      </c>
      <c r="F362" s="387">
        <f t="shared" si="128"/>
        <v>14.393296530483932</v>
      </c>
      <c r="G362" s="110">
        <f t="shared" si="151"/>
        <v>0.79289627000506435</v>
      </c>
      <c r="H362" s="416" t="b">
        <f>Wh_hp&gt;='2026'!Maxi_hp</f>
        <v>0</v>
      </c>
      <c r="I362" s="392">
        <f>IF(H362,Wh_hp,'2026'!Maxi_hp)</f>
        <v>18.109392366943464</v>
      </c>
      <c r="J362" s="85">
        <f>IF(H362,An,'2026'!An_max)</f>
        <v>2021</v>
      </c>
      <c r="K362" s="199">
        <f t="shared" si="129"/>
        <v>46735</v>
      </c>
      <c r="L362" s="147">
        <f>IF(t&lt;Tvie,1-EXP((T0-t)*PertePVj)+'2026'!Pspv,1-EXP((T0-t)*PertePVj)+Pspv)</f>
        <v>7.6547454215766586E-2</v>
      </c>
      <c r="M362" s="872"/>
      <c r="N362" s="872"/>
      <c r="O362" s="48">
        <f>IF(t&lt;Tnet,'2026'!Resal+('2026'!Salim-'2026'!Resal)*(1-EXP(('2026'!Tnet-t)/('2026'!Tau_j))),Resal+(Salim-Resal)*(1-EXP((Tnet-t)/(Tau_j))))*Salcycl</f>
        <v>0.11696756612298775</v>
      </c>
      <c r="P362" s="171">
        <f>(INDEX(Models!$BJ362:$BT362,,T362)*(1-R362)+INDEX(Models!$BJ362:$BT362,,T362+1)*R362-ERP_i)*Q362*Ramure*Pc/MaxiM</f>
        <v>5.2974833090951044E-2</v>
      </c>
      <c r="Q362" s="307">
        <f t="shared" si="130"/>
        <v>0.9</v>
      </c>
      <c r="R362" s="179">
        <f t="shared" si="131"/>
        <v>0.26470206292281628</v>
      </c>
      <c r="S362" s="839">
        <f t="shared" si="132"/>
        <v>-1</v>
      </c>
      <c r="T362" s="178">
        <f t="shared" si="133"/>
        <v>5</v>
      </c>
      <c r="U362" s="253">
        <f t="shared" si="134"/>
        <v>-0.73529793707718372</v>
      </c>
      <c r="V362" s="385">
        <f t="shared" si="135"/>
        <v>14.018342186002132</v>
      </c>
      <c r="W362" s="404">
        <f t="shared" si="136"/>
        <v>11.288084816224828</v>
      </c>
      <c r="X362" s="157">
        <f t="shared" si="137"/>
        <v>46735</v>
      </c>
      <c r="Y362" s="387">
        <f t="shared" si="138"/>
        <v>8.5129854746298985</v>
      </c>
      <c r="Z362" s="387">
        <f t="shared" si="139"/>
        <v>9.2186496355373908</v>
      </c>
      <c r="AA362" s="388">
        <f t="shared" si="140"/>
        <v>11.161468333087367</v>
      </c>
      <c r="AB362" s="199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0.17406479502258956</v>
      </c>
      <c r="AD362" s="233">
        <f>(INDEX(Models!$BJ362:$BT362,,AH362)*(1-AF362)+INDEX(Models!$BJ362:$BT362,,AH362+1)*AF362-ERP_i)*AE362*Ramure*Pc/MaxiM</f>
        <v>0.3110935942915507</v>
      </c>
      <c r="AE362" s="307">
        <f t="shared" si="142"/>
        <v>0.9</v>
      </c>
      <c r="AF362" s="179">
        <f t="shared" si="143"/>
        <v>0.90035771522979502</v>
      </c>
      <c r="AG362" s="839">
        <f t="shared" si="149"/>
        <v>3</v>
      </c>
      <c r="AH362" s="178">
        <f t="shared" si="144"/>
        <v>9</v>
      </c>
      <c r="AI362" s="227">
        <f t="shared" si="145"/>
        <v>3.900357715229795</v>
      </c>
      <c r="AJ362" s="267" t="b">
        <f t="shared" si="146"/>
        <v>0</v>
      </c>
      <c r="AK362" s="267" t="b">
        <f t="shared" si="147"/>
        <v>0</v>
      </c>
      <c r="AL362" s="267"/>
      <c r="AM362" s="267"/>
      <c r="AN362" s="75"/>
    </row>
    <row r="363" spans="1:40" s="6" customFormat="1" ht="11.25" x14ac:dyDescent="0.2">
      <c r="A363" s="56">
        <f t="shared" si="148"/>
        <v>46736</v>
      </c>
      <c r="B363" s="413">
        <f>'2026'!Wh/'2026'!Env_an*'2027'!Env_an</f>
        <v>5.5338891115458475</v>
      </c>
      <c r="C363" s="868"/>
      <c r="D363" s="395">
        <f t="shared" si="127"/>
        <v>5.9927474578861659</v>
      </c>
      <c r="E363" s="387">
        <f t="shared" si="150"/>
        <v>6.7872338821511589</v>
      </c>
      <c r="F363" s="387">
        <f t="shared" si="128"/>
        <v>6.8371985049575388</v>
      </c>
      <c r="G363" s="110">
        <f t="shared" si="151"/>
        <v>0.37762052433642879</v>
      </c>
      <c r="H363" s="416" t="b">
        <f>Wh_hp&gt;='2026'!Maxi_hp</f>
        <v>0</v>
      </c>
      <c r="I363" s="392">
        <f>IF(H363,Wh_hp,'2026'!Maxi_hp)</f>
        <v>17.774835996132822</v>
      </c>
      <c r="J363" s="85">
        <f>IF(H363,An,'2026'!An_max)</f>
        <v>2019</v>
      </c>
      <c r="K363" s="199">
        <f t="shared" si="129"/>
        <v>46736</v>
      </c>
      <c r="L363" s="147">
        <f>IF(t&lt;Tvie,1-EXP((T0-t)*PertePVj)+'2026'!Pspv,1-EXP((T0-t)*PertePVj)+Pspv)</f>
        <v>7.6568944305584363E-2</v>
      </c>
      <c r="M363" s="872"/>
      <c r="N363" s="872"/>
      <c r="O363" s="48">
        <f>IF(t&lt;Tnet,'2026'!Resal+('2026'!Salim-'2026'!Resal)*(1-EXP(('2026'!Tnet-t)/('2026'!Tau_j))),Resal+(Salim-Resal)*(1-EXP((Tnet-t)/(Tau_j))))*Salcycl</f>
        <v>0.11705599631011789</v>
      </c>
      <c r="P363" s="171">
        <f>(INDEX(Models!$BJ363:$BT363,,T363)*(1-R363)+INDEX(Models!$BJ363:$BT363,,T363+1)*R363-ERP_i)*Q363*Ramure*Pc/MaxiM</f>
        <v>5.3303794185699083E-2</v>
      </c>
      <c r="Q363" s="307">
        <f t="shared" si="130"/>
        <v>0.9</v>
      </c>
      <c r="R363" s="179">
        <f t="shared" si="131"/>
        <v>0.26471502983377537</v>
      </c>
      <c r="S363" s="839">
        <f t="shared" si="132"/>
        <v>-1</v>
      </c>
      <c r="T363" s="178">
        <f t="shared" si="133"/>
        <v>5</v>
      </c>
      <c r="U363" s="253">
        <f t="shared" si="134"/>
        <v>-0.73528497016622463</v>
      </c>
      <c r="V363" s="385">
        <f t="shared" si="135"/>
        <v>13.97561319839312</v>
      </c>
      <c r="W363" s="404">
        <f t="shared" si="136"/>
        <v>5.5338891115458475</v>
      </c>
      <c r="X363" s="157">
        <f t="shared" si="137"/>
        <v>46736</v>
      </c>
      <c r="Y363" s="387">
        <f t="shared" si="138"/>
        <v>4.991658119826508</v>
      </c>
      <c r="Z363" s="387">
        <f t="shared" si="139"/>
        <v>5.4055558225435743</v>
      </c>
      <c r="AA363" s="388">
        <f t="shared" si="140"/>
        <v>6.5448779860895741</v>
      </c>
      <c r="AB363" s="199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0.17407844209892143</v>
      </c>
      <c r="AD363" s="233">
        <f>(INDEX(Models!$BJ363:$BT363,,AH363)*(1-AF363)+INDEX(Models!$BJ363:$BT363,,AH363+1)*AF363-ERP_i)*AE363*Ramure*Pc/MaxiM</f>
        <v>0.31185650764094414</v>
      </c>
      <c r="AE363" s="307">
        <f t="shared" si="142"/>
        <v>0.9</v>
      </c>
      <c r="AF363" s="179">
        <f t="shared" si="143"/>
        <v>0.90037068214075422</v>
      </c>
      <c r="AG363" s="839">
        <f t="shared" si="149"/>
        <v>3</v>
      </c>
      <c r="AH363" s="178">
        <f t="shared" si="144"/>
        <v>9</v>
      </c>
      <c r="AI363" s="227">
        <f t="shared" si="145"/>
        <v>3.9003706821407542</v>
      </c>
      <c r="AJ363" s="267" t="b">
        <f t="shared" si="146"/>
        <v>0</v>
      </c>
      <c r="AK363" s="267" t="b">
        <f t="shared" si="147"/>
        <v>0</v>
      </c>
      <c r="AL363" s="267"/>
      <c r="AM363" s="267"/>
      <c r="AN363" s="75"/>
    </row>
    <row r="364" spans="1:40" s="6" customFormat="1" ht="11.25" x14ac:dyDescent="0.2">
      <c r="A364" s="56">
        <f t="shared" si="148"/>
        <v>46737</v>
      </c>
      <c r="B364" s="413">
        <f>'2026'!Wh/'2026'!Env_an*'2027'!Env_an</f>
        <v>4.885857714215879</v>
      </c>
      <c r="C364" s="868"/>
      <c r="D364" s="395">
        <f t="shared" si="127"/>
        <v>5.29110580349119</v>
      </c>
      <c r="E364" s="387">
        <f t="shared" si="150"/>
        <v>5.9931837504252021</v>
      </c>
      <c r="F364" s="387">
        <f t="shared" si="128"/>
        <v>6.0164255786633936</v>
      </c>
      <c r="G364" s="110">
        <f t="shared" si="151"/>
        <v>0.33297609608603124</v>
      </c>
      <c r="H364" s="416" t="b">
        <f>Wh_hp&gt;='2026'!Maxi_hp</f>
        <v>0</v>
      </c>
      <c r="I364" s="392">
        <f>IF(H364,Wh_hp,'2026'!Maxi_hp)</f>
        <v>17.653857308333976</v>
      </c>
      <c r="J364" s="85">
        <f>IF(H364,An,'2026'!An_max)</f>
        <v>2021</v>
      </c>
      <c r="K364" s="199">
        <f t="shared" si="129"/>
        <v>46737</v>
      </c>
      <c r="L364" s="147">
        <f>IF(t&lt;Tvie,1-EXP((T0-t)*PertePVj)+'2026'!Pspv,1-EXP((T0-t)*PertePVj)+Pspv)</f>
        <v>7.6590433895296295E-2</v>
      </c>
      <c r="M364" s="872"/>
      <c r="N364" s="872"/>
      <c r="O364" s="48">
        <f>IF(t&lt;Tnet,'2026'!Resal+('2026'!Salim-'2026'!Resal)*(1-EXP(('2026'!Tnet-t)/('2026'!Tau_j))),Resal+(Salim-Resal)*(1-EXP((Tnet-t)/(Tau_j))))*Salcycl</f>
        <v>0.11714607396848156</v>
      </c>
      <c r="P364" s="171">
        <f>(INDEX(Models!$BJ364:$BT364,,T364)*(1-R364)+INDEX(Models!$BJ364:$BT364,,T364+1)*R364-ERP_i)*Q364*Ramure*Pc/MaxiM</f>
        <v>5.3581081366863181E-2</v>
      </c>
      <c r="Q364" s="307">
        <f t="shared" si="130"/>
        <v>0.9</v>
      </c>
      <c r="R364" s="179">
        <f t="shared" si="131"/>
        <v>0.26472747511045869</v>
      </c>
      <c r="S364" s="839">
        <f t="shared" si="132"/>
        <v>-1</v>
      </c>
      <c r="T364" s="178">
        <f t="shared" si="133"/>
        <v>5</v>
      </c>
      <c r="U364" s="253">
        <f t="shared" si="134"/>
        <v>-0.73527252488954131</v>
      </c>
      <c r="V364" s="385">
        <f t="shared" si="135"/>
        <v>13.940942209693091</v>
      </c>
      <c r="W364" s="404">
        <f t="shared" si="136"/>
        <v>4.885857714215879</v>
      </c>
      <c r="X364" s="157">
        <f t="shared" si="137"/>
        <v>46737</v>
      </c>
      <c r="Y364" s="387">
        <f t="shared" si="138"/>
        <v>4.4850533746467161</v>
      </c>
      <c r="Z364" s="387">
        <f t="shared" si="139"/>
        <v>4.8570575173553747</v>
      </c>
      <c r="AA364" s="388">
        <f t="shared" si="140"/>
        <v>5.8808892706948832</v>
      </c>
      <c r="AB364" s="199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0.17409471700842502</v>
      </c>
      <c r="AD364" s="233">
        <f>(INDEX(Models!$BJ364:$BT364,,AH364)*(1-AF364)+INDEX(Models!$BJ364:$BT364,,AH364+1)*AF364-ERP_i)*AE364*Ramure*Pc/MaxiM</f>
        <v>0.31246173368975932</v>
      </c>
      <c r="AE364" s="307">
        <f t="shared" si="142"/>
        <v>0.9</v>
      </c>
      <c r="AF364" s="179">
        <f t="shared" si="143"/>
        <v>0.90038312741743765</v>
      </c>
      <c r="AG364" s="839">
        <f t="shared" si="149"/>
        <v>3</v>
      </c>
      <c r="AH364" s="178">
        <f t="shared" si="144"/>
        <v>9</v>
      </c>
      <c r="AI364" s="227">
        <f t="shared" si="145"/>
        <v>3.9003831274174376</v>
      </c>
      <c r="AJ364" s="267" t="b">
        <f t="shared" si="146"/>
        <v>0</v>
      </c>
      <c r="AK364" s="267" t="b">
        <f t="shared" si="147"/>
        <v>0</v>
      </c>
      <c r="AL364" s="267"/>
      <c r="AM364" s="267"/>
      <c r="AN364" s="75"/>
    </row>
    <row r="365" spans="1:40" s="6" customFormat="1" ht="11.25" x14ac:dyDescent="0.2">
      <c r="A365" s="56">
        <f t="shared" si="148"/>
        <v>46738</v>
      </c>
      <c r="B365" s="413">
        <f>'2026'!Wh/'2026'!Env_an*'2027'!Env_an</f>
        <v>3.0277230651606266</v>
      </c>
      <c r="C365" s="868"/>
      <c r="D365" s="395">
        <f t="shared" si="127"/>
        <v>3.2789280482675771</v>
      </c>
      <c r="E365" s="387">
        <f t="shared" si="150"/>
        <v>3.7143952012464982</v>
      </c>
      <c r="F365" s="387">
        <f t="shared" si="128"/>
        <v>3.7143952012464982</v>
      </c>
      <c r="G365" s="110">
        <f t="shared" si="151"/>
        <v>0.20588804141412664</v>
      </c>
      <c r="H365" s="416" t="b">
        <f>Wh_hp&gt;='2026'!Maxi_hp</f>
        <v>0</v>
      </c>
      <c r="I365" s="392">
        <f>IF(H365,Wh_hp,'2026'!Maxi_hp)</f>
        <v>17.652836359239622</v>
      </c>
      <c r="J365" s="85">
        <f>IF(H365,An,'2026'!An_max)</f>
        <v>2021</v>
      </c>
      <c r="K365" s="199">
        <f t="shared" si="129"/>
        <v>46738</v>
      </c>
      <c r="L365" s="147">
        <f>IF(t&lt;Tvie,1-EXP((T0-t)*PertePVj)+'2026'!Pspv,1-EXP((T0-t)*PertePVj)+Pspv)</f>
        <v>7.6611922984914149E-2</v>
      </c>
      <c r="M365" s="872"/>
      <c r="N365" s="872"/>
      <c r="O365" s="48">
        <f>IF(t&lt;Tnet,'2026'!Resal+('2026'!Salim-'2026'!Resal)*(1-EXP(('2026'!Tnet-t)/('2026'!Tau_j))),Resal+(Salim-Resal)*(1-EXP((Tnet-t)/(Tau_j))))*Salcycl</f>
        <v>0.11723770072521755</v>
      </c>
      <c r="P365" s="171">
        <f>(INDEX(Models!$BJ365:$BT365,,T365)*(1-R365)+INDEX(Models!$BJ365:$BT365,,T365+1)*R365-ERP_i)*Q365*Ramure*Pc/MaxiM</f>
        <v>5.3805678061587855E-2</v>
      </c>
      <c r="Q365" s="307">
        <f t="shared" si="130"/>
        <v>0.9</v>
      </c>
      <c r="R365" s="179">
        <f t="shared" si="131"/>
        <v>0.26473941971979609</v>
      </c>
      <c r="S365" s="839">
        <f t="shared" si="132"/>
        <v>-1</v>
      </c>
      <c r="T365" s="178">
        <f t="shared" si="133"/>
        <v>5</v>
      </c>
      <c r="U365" s="253">
        <f t="shared" si="134"/>
        <v>-0.73526058028020391</v>
      </c>
      <c r="V365" s="385">
        <f t="shared" si="135"/>
        <v>13.914428215355228</v>
      </c>
      <c r="W365" s="404">
        <f t="shared" si="136"/>
        <v>3.0277230651606266</v>
      </c>
      <c r="X365" s="157">
        <f t="shared" si="137"/>
        <v>46738</v>
      </c>
      <c r="Y365" s="387">
        <f t="shared" si="138"/>
        <v>2.8326489524037788</v>
      </c>
      <c r="Z365" s="387">
        <f t="shared" si="139"/>
        <v>3.0676689713825493</v>
      </c>
      <c r="AA365" s="388">
        <f t="shared" si="140"/>
        <v>3.7143952012464982</v>
      </c>
      <c r="AB365" s="199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0.17411346796025282</v>
      </c>
      <c r="AD365" s="233">
        <f>(INDEX(Models!$BJ365:$BT365,,AH365)*(1-AF365)+INDEX(Models!$BJ365:$BT365,,AH365+1)*AF365-ERP_i)*AE365*Ramure*Pc/MaxiM</f>
        <v>0.31290582256971189</v>
      </c>
      <c r="AE365" s="307">
        <f t="shared" si="142"/>
        <v>0.9</v>
      </c>
      <c r="AF365" s="179">
        <f t="shared" si="143"/>
        <v>0.90039507202677527</v>
      </c>
      <c r="AG365" s="839">
        <f t="shared" si="149"/>
        <v>3</v>
      </c>
      <c r="AH365" s="178">
        <f t="shared" si="144"/>
        <v>9</v>
      </c>
      <c r="AI365" s="227">
        <f t="shared" si="145"/>
        <v>3.9003950720267753</v>
      </c>
      <c r="AJ365" s="267" t="b">
        <f t="shared" si="146"/>
        <v>0</v>
      </c>
      <c r="AK365" s="267" t="b">
        <f t="shared" si="147"/>
        <v>0</v>
      </c>
      <c r="AL365" s="267"/>
      <c r="AM365" s="267"/>
      <c r="AN365" s="75"/>
    </row>
    <row r="366" spans="1:40" s="6" customFormat="1" ht="11.25" x14ac:dyDescent="0.2">
      <c r="A366" s="56">
        <f t="shared" si="148"/>
        <v>46739</v>
      </c>
      <c r="B366" s="413">
        <f>'2026'!Wh/'2026'!Env_an*'2027'!Env_an</f>
        <v>11.786633545862891</v>
      </c>
      <c r="C366" s="868"/>
      <c r="D366" s="395">
        <f t="shared" si="127"/>
        <v>12.764847346231683</v>
      </c>
      <c r="E366" s="387">
        <f t="shared" si="150"/>
        <v>14.461643192984448</v>
      </c>
      <c r="F366" s="387">
        <f t="shared" si="128"/>
        <v>15.099768443181716</v>
      </c>
      <c r="G366" s="110">
        <f t="shared" si="151"/>
        <v>0.83781692464000224</v>
      </c>
      <c r="H366" s="416" t="b">
        <f>Wh_hp&gt;='2026'!Maxi_hp</f>
        <v>0</v>
      </c>
      <c r="I366" s="392">
        <f>IF(H366,Wh_hp,'2026'!Maxi_hp)</f>
        <v>18.053067103991125</v>
      </c>
      <c r="J366" s="85">
        <f>IF(H366,An,'2026'!An_max)</f>
        <v>2021</v>
      </c>
      <c r="K366" s="199">
        <f t="shared" si="129"/>
        <v>46739</v>
      </c>
      <c r="L366" s="147">
        <f>IF(t&lt;Tvie,1-EXP((T0-t)*PertePVj)+'2026'!Pspv,1-EXP((T0-t)*PertePVj)+Pspv)</f>
        <v>7.6633411574449473E-2</v>
      </c>
      <c r="M366" s="872"/>
      <c r="N366" s="872"/>
      <c r="O366" s="48">
        <f>IF(t&lt;Tnet,'2026'!Resal+('2026'!Salim-'2026'!Resal)*(1-EXP(('2026'!Tnet-t)/('2026'!Tau_j))),Resal+(Salim-Resal)*(1-EXP((Tnet-t)/(Tau_j))))*Salcycl</f>
        <v>0.1173307779835078</v>
      </c>
      <c r="P366" s="171">
        <f>(INDEX(Models!$BJ366:$BT366,,T366)*(1-R366)+INDEX(Models!$BJ366:$BT366,,T366+1)*R366-ERP_i)*Q366*Ramure*Pc/MaxiM</f>
        <v>5.3964586298341916E-2</v>
      </c>
      <c r="Q366" s="307">
        <f t="shared" si="130"/>
        <v>0.9</v>
      </c>
      <c r="R366" s="179">
        <f t="shared" si="131"/>
        <v>0.26475088378733314</v>
      </c>
      <c r="S366" s="839">
        <f t="shared" si="132"/>
        <v>-1</v>
      </c>
      <c r="T366" s="178">
        <f t="shared" si="133"/>
        <v>5</v>
      </c>
      <c r="U366" s="253">
        <f t="shared" si="134"/>
        <v>-0.73524911621266686</v>
      </c>
      <c r="V366" s="385">
        <f t="shared" si="135"/>
        <v>13.896348314495743</v>
      </c>
      <c r="W366" s="404">
        <f t="shared" si="136"/>
        <v>11.786633545862891</v>
      </c>
      <c r="X366" s="157">
        <f t="shared" si="137"/>
        <v>46739</v>
      </c>
      <c r="Y366" s="387">
        <f t="shared" si="138"/>
        <v>8.6905353423101879</v>
      </c>
      <c r="Z366" s="387">
        <f t="shared" si="139"/>
        <v>9.4117931612931542</v>
      </c>
      <c r="AA366" s="388">
        <f t="shared" si="140"/>
        <v>11.396278999760439</v>
      </c>
      <c r="AB366" s="199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0.1741345432582864</v>
      </c>
      <c r="AD366" s="233">
        <f>(INDEX(Models!$BJ366:$BT366,,AH366)*(1-AF366)+INDEX(Models!$BJ366:$BT366,,AH366+1)*AF366-ERP_i)*AE366*Ramure*Pc/MaxiM</f>
        <v>0.31319443261761382</v>
      </c>
      <c r="AE366" s="307">
        <f t="shared" si="142"/>
        <v>0.9</v>
      </c>
      <c r="AF366" s="179">
        <f t="shared" si="143"/>
        <v>0.90040653609431232</v>
      </c>
      <c r="AG366" s="839">
        <f t="shared" si="149"/>
        <v>3</v>
      </c>
      <c r="AH366" s="178">
        <f t="shared" si="144"/>
        <v>9</v>
      </c>
      <c r="AI366" s="227">
        <f t="shared" si="145"/>
        <v>3.9004065360943123</v>
      </c>
      <c r="AJ366" s="267" t="b">
        <f t="shared" si="146"/>
        <v>0</v>
      </c>
      <c r="AK366" s="267" t="b">
        <f t="shared" si="147"/>
        <v>0</v>
      </c>
      <c r="AL366" s="267"/>
      <c r="AM366" s="267"/>
      <c r="AN366" s="75"/>
    </row>
    <row r="367" spans="1:40" s="6" customFormat="1" ht="11.25" x14ac:dyDescent="0.2">
      <c r="A367" s="56">
        <f t="shared" si="148"/>
        <v>46740</v>
      </c>
      <c r="B367" s="413">
        <f>'2026'!Wh/'2026'!Env_an*'2027'!Env_an</f>
        <v>11.558841423708996</v>
      </c>
      <c r="C367" s="868"/>
      <c r="D367" s="395">
        <f t="shared" si="127"/>
        <v>12.518441284306075</v>
      </c>
      <c r="E367" s="387">
        <f t="shared" si="150"/>
        <v>14.184000484957135</v>
      </c>
      <c r="F367" s="387">
        <f t="shared" si="128"/>
        <v>14.792305468899691</v>
      </c>
      <c r="G367" s="110">
        <f t="shared" si="151"/>
        <v>0.82113420854582564</v>
      </c>
      <c r="H367" s="416" t="b">
        <f>Wh_hp&gt;='2026'!Maxi_hp</f>
        <v>0</v>
      </c>
      <c r="I367" s="392">
        <f>IF(H367,Wh_hp,'2026'!Maxi_hp)</f>
        <v>17.589332525794376</v>
      </c>
      <c r="J367" s="85">
        <f>IF(H367,An,'2026'!An_max)</f>
        <v>2021</v>
      </c>
      <c r="K367" s="199">
        <f t="shared" si="129"/>
        <v>46740</v>
      </c>
      <c r="L367" s="147">
        <f>IF(t&lt;Tvie,1-EXP((T0-t)*PertePVj)+'2026'!Pspv,1-EXP((T0-t)*PertePVj)+Pspv)</f>
        <v>7.6654899663913811E-2</v>
      </c>
      <c r="M367" s="872"/>
      <c r="N367" s="872"/>
      <c r="O367" s="48">
        <f>IF(t&lt;Tnet,'2026'!Resal+('2026'!Salim-'2026'!Resal)*(1-EXP(('2026'!Tnet-t)/('2026'!Tau_j))),Resal+(Salim-Resal)*(1-EXP((Tnet-t)/(Tau_j))))*Salcycl</f>
        <v>0.11742520753700428</v>
      </c>
      <c r="P367" s="171">
        <f>(INDEX(Models!$BJ367:$BT367,,T367)*(1-R367)+INDEX(Models!$BJ367:$BT367,,T367+1)*R367-ERP_i)*Q367*Ramure*Pc/MaxiM</f>
        <v>5.4071269317384603E-2</v>
      </c>
      <c r="Q367" s="307">
        <f t="shared" si="130"/>
        <v>0.9</v>
      </c>
      <c r="R367" s="179">
        <f t="shared" si="131"/>
        <v>0.26476188663088585</v>
      </c>
      <c r="S367" s="839">
        <f t="shared" si="132"/>
        <v>-1</v>
      </c>
      <c r="T367" s="178">
        <f t="shared" si="133"/>
        <v>5</v>
      </c>
      <c r="U367" s="253">
        <f t="shared" si="134"/>
        <v>-0.73523811336911415</v>
      </c>
      <c r="V367" s="385">
        <f t="shared" si="135"/>
        <v>13.886592970710488</v>
      </c>
      <c r="W367" s="404">
        <f t="shared" si="136"/>
        <v>11.558841423708996</v>
      </c>
      <c r="X367" s="157">
        <f t="shared" si="137"/>
        <v>46740</v>
      </c>
      <c r="Y367" s="387">
        <f t="shared" si="138"/>
        <v>8.5916947641179711</v>
      </c>
      <c r="Z367" s="387">
        <f t="shared" si="139"/>
        <v>9.3049659991596858</v>
      </c>
      <c r="AA367" s="388">
        <f t="shared" si="140"/>
        <v>11.267244409878126</v>
      </c>
      <c r="AB367" s="199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0.17415779221031955</v>
      </c>
      <c r="AD367" s="233">
        <f>(INDEX(Models!$BJ367:$BT367,,AH367)*(1-AF367)+INDEX(Models!$BJ367:$BT367,,AH367+1)*AF367-ERP_i)*AE367*Ramure*Pc/MaxiM</f>
        <v>0.31333711035413636</v>
      </c>
      <c r="AE367" s="307">
        <f t="shared" si="142"/>
        <v>0.9</v>
      </c>
      <c r="AF367" s="179">
        <f t="shared" si="143"/>
        <v>0.90041753893786503</v>
      </c>
      <c r="AG367" s="839">
        <f t="shared" si="149"/>
        <v>3</v>
      </c>
      <c r="AH367" s="178">
        <f t="shared" si="144"/>
        <v>9</v>
      </c>
      <c r="AI367" s="227">
        <f t="shared" si="145"/>
        <v>3.900417538937865</v>
      </c>
      <c r="AJ367" s="267" t="b">
        <f t="shared" si="146"/>
        <v>0</v>
      </c>
      <c r="AK367" s="267" t="b">
        <f t="shared" si="147"/>
        <v>0</v>
      </c>
      <c r="AL367" s="267"/>
      <c r="AM367" s="267"/>
      <c r="AN367" s="75"/>
    </row>
    <row r="368" spans="1:40" s="6" customFormat="1" ht="11.25" x14ac:dyDescent="0.2">
      <c r="A368" s="56">
        <f t="shared" si="148"/>
        <v>46741</v>
      </c>
      <c r="B368" s="413">
        <f>'2026'!Wh/'2026'!Env_an*'2027'!Env_an</f>
        <v>3.6736164877493307</v>
      </c>
      <c r="C368" s="868"/>
      <c r="D368" s="395">
        <f t="shared" si="127"/>
        <v>3.9786879020900856</v>
      </c>
      <c r="E368" s="387">
        <f t="shared" si="150"/>
        <v>4.508534951980649</v>
      </c>
      <c r="F368" s="387">
        <f t="shared" si="128"/>
        <v>4.508534951980649</v>
      </c>
      <c r="G368" s="110">
        <f t="shared" si="151"/>
        <v>0.25024961776755206</v>
      </c>
      <c r="H368" s="416" t="b">
        <f>Wh_hp&gt;='2026'!Maxi_hp</f>
        <v>0</v>
      </c>
      <c r="I368" s="392">
        <f>IF(H368,Wh_hp,'2026'!Maxi_hp)</f>
        <v>18.435000096108368</v>
      </c>
      <c r="J368" s="85">
        <f>IF(H368,An,'2026'!An_max)</f>
        <v>2021</v>
      </c>
      <c r="K368" s="199">
        <f t="shared" si="129"/>
        <v>46741</v>
      </c>
      <c r="L368" s="147">
        <f>IF(t&lt;Tvie,1-EXP((T0-t)*PertePVj)+'2026'!Pspv,1-EXP((T0-t)*PertePVj)+Pspv)</f>
        <v>7.6676387253319045E-2</v>
      </c>
      <c r="M368" s="872"/>
      <c r="N368" s="872"/>
      <c r="O368" s="48">
        <f>IF(t&lt;Tnet,'2026'!Resal+('2026'!Salim-'2026'!Resal)*(1-EXP(('2026'!Tnet-t)/('2026'!Tau_j))),Resal+(Salim-Resal)*(1-EXP((Tnet-t)/(Tau_j))))*Salcycl</f>
        <v>0.11752089215983462</v>
      </c>
      <c r="P368" s="171">
        <f>(INDEX(Models!$BJ368:$BT368,,T368)*(1-R368)+INDEX(Models!$BJ368:$BT368,,T368+1)*R368-ERP_i)*Q368*Ramure*Pc/MaxiM</f>
        <v>5.4125211772688656E-2</v>
      </c>
      <c r="Q368" s="307">
        <f t="shared" si="130"/>
        <v>0.9</v>
      </c>
      <c r="R368" s="179">
        <f t="shared" si="131"/>
        <v>0.26477244679285949</v>
      </c>
      <c r="S368" s="839">
        <f t="shared" si="132"/>
        <v>-1</v>
      </c>
      <c r="T368" s="178">
        <f t="shared" si="133"/>
        <v>5</v>
      </c>
      <c r="U368" s="253">
        <f t="shared" si="134"/>
        <v>-0.73522755320714051</v>
      </c>
      <c r="V368" s="385">
        <f t="shared" si="135"/>
        <v>13.885260838263731</v>
      </c>
      <c r="W368" s="404">
        <f t="shared" si="136"/>
        <v>3.6736164877493307</v>
      </c>
      <c r="X368" s="157">
        <f t="shared" si="137"/>
        <v>46741</v>
      </c>
      <c r="Y368" s="387">
        <f t="shared" si="138"/>
        <v>3.4377411064602854</v>
      </c>
      <c r="Z368" s="387">
        <f t="shared" si="139"/>
        <v>3.7232245108881985</v>
      </c>
      <c r="AA368" s="388">
        <f t="shared" si="140"/>
        <v>4.508534951980649</v>
      </c>
      <c r="AB368" s="199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0.17418306599740452</v>
      </c>
      <c r="AD368" s="233">
        <f>(INDEX(Models!$BJ368:$BT368,,AH368)*(1-AF368)+INDEX(Models!$BJ368:$BT368,,AH368+1)*AF368-ERP_i)*AE368*Ramure*Pc/MaxiM</f>
        <v>0.31333190423077367</v>
      </c>
      <c r="AE368" s="307">
        <f t="shared" si="142"/>
        <v>0.9</v>
      </c>
      <c r="AF368" s="179">
        <f t="shared" si="143"/>
        <v>0.90042809909983834</v>
      </c>
      <c r="AG368" s="839">
        <f t="shared" si="149"/>
        <v>3</v>
      </c>
      <c r="AH368" s="178">
        <f t="shared" si="144"/>
        <v>9</v>
      </c>
      <c r="AI368" s="227">
        <f t="shared" si="145"/>
        <v>3.9004280990998383</v>
      </c>
      <c r="AJ368" s="267" t="b">
        <f t="shared" si="146"/>
        <v>0</v>
      </c>
      <c r="AK368" s="267" t="b">
        <f t="shared" si="147"/>
        <v>0</v>
      </c>
      <c r="AL368" s="267"/>
      <c r="AM368" s="267"/>
      <c r="AN368" s="75"/>
    </row>
    <row r="369" spans="1:40" s="18" customFormat="1" ht="11.25" x14ac:dyDescent="0.2">
      <c r="A369" s="56">
        <f t="shared" si="148"/>
        <v>46742</v>
      </c>
      <c r="B369" s="413">
        <f>'2026'!Wh/'2026'!Env_an*'2027'!Env_an</f>
        <v>13.393077349799551</v>
      </c>
      <c r="C369" s="868"/>
      <c r="D369" s="395">
        <f t="shared" si="127"/>
        <v>14.505628198640464</v>
      </c>
      <c r="E369" s="387">
        <f t="shared" si="150"/>
        <v>16.439165646470205</v>
      </c>
      <c r="F369" s="387">
        <f t="shared" si="128"/>
        <v>17.328949014006749</v>
      </c>
      <c r="G369" s="110">
        <f t="shared" si="151"/>
        <v>0.96122980640830435</v>
      </c>
      <c r="H369" s="416" t="b">
        <f>Wh_hp&gt;='2026'!Maxi_hp</f>
        <v>0</v>
      </c>
      <c r="I369" s="392">
        <f>IF(H369,Wh_hp,'2026'!Maxi_hp)</f>
        <v>17.371680030442185</v>
      </c>
      <c r="J369" s="85">
        <f>IF(H369,An,'2026'!An_max)</f>
        <v>2025</v>
      </c>
      <c r="K369" s="199">
        <f t="shared" si="129"/>
        <v>46742</v>
      </c>
      <c r="L369" s="147">
        <f>IF(t&lt;Tvie,1-EXP((T0-t)*PertePVj)+'2026'!Pspv,1-EXP((T0-t)*PertePVj)+Pspv)</f>
        <v>7.6697874342676609E-2</v>
      </c>
      <c r="M369" s="872"/>
      <c r="N369" s="872"/>
      <c r="O369" s="48">
        <f>IF(t&lt;Tnet,'2026'!Resal+('2026'!Salim-'2026'!Resal)*(1-EXP(('2026'!Tnet-t)/('2026'!Tau_j))),Resal+(Salim-Resal)*(1-EXP((Tnet-t)/(Tau_j))))*Salcycl</f>
        <v>0.11761773616807061</v>
      </c>
      <c r="P369" s="171">
        <f>(INDEX(Models!$BJ369:$BT369,,T369)*(1-R369)+INDEX(Models!$BJ369:$BT369,,T369+1)*R369-ERP_i)*Q369*Ramure*Pc/MaxiM</f>
        <v>5.4126067106158034E-2</v>
      </c>
      <c r="Q369" s="307">
        <f t="shared" si="130"/>
        <v>0.9</v>
      </c>
      <c r="R369" s="179">
        <f t="shared" si="131"/>
        <v>0.26478258207128114</v>
      </c>
      <c r="S369" s="839">
        <f t="shared" si="132"/>
        <v>-1</v>
      </c>
      <c r="T369" s="178">
        <f t="shared" si="133"/>
        <v>5</v>
      </c>
      <c r="U369" s="253">
        <f t="shared" si="134"/>
        <v>-0.73521741792871886</v>
      </c>
      <c r="V369" s="385">
        <f t="shared" si="135"/>
        <v>13.892450473331882</v>
      </c>
      <c r="W369" s="404">
        <f t="shared" si="136"/>
        <v>13.393077349799551</v>
      </c>
      <c r="X369" s="157">
        <f t="shared" si="137"/>
        <v>46742</v>
      </c>
      <c r="Y369" s="387">
        <f t="shared" si="138"/>
        <v>9.2871390210384739</v>
      </c>
      <c r="Z369" s="387">
        <f t="shared" si="139"/>
        <v>10.058613278320692</v>
      </c>
      <c r="AA369" s="388">
        <f t="shared" si="140"/>
        <v>12.180597899890456</v>
      </c>
      <c r="AB369" s="199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0.17421021849747192</v>
      </c>
      <c r="AD369" s="233">
        <f>(INDEX(Models!$BJ369:$BT369,,AH369)*(1-AF369)+INDEX(Models!$BJ369:$BT369,,AH369+1)*AF369-ERP_i)*AE369*Ramure*Pc/MaxiM</f>
        <v>0.31317735086487397</v>
      </c>
      <c r="AE369" s="307">
        <f t="shared" si="142"/>
        <v>0.9</v>
      </c>
      <c r="AF369" s="179">
        <f t="shared" si="143"/>
        <v>0.9004382343782602</v>
      </c>
      <c r="AG369" s="839">
        <f t="shared" si="149"/>
        <v>3</v>
      </c>
      <c r="AH369" s="178">
        <f t="shared" si="144"/>
        <v>9</v>
      </c>
      <c r="AI369" s="227">
        <f t="shared" si="145"/>
        <v>3.9004382343782602</v>
      </c>
      <c r="AJ369" s="267" t="b">
        <f t="shared" si="146"/>
        <v>0</v>
      </c>
      <c r="AK369" s="267" t="b">
        <f t="shared" si="147"/>
        <v>0</v>
      </c>
      <c r="AL369" s="267"/>
      <c r="AM369" s="267"/>
      <c r="AN369" s="267"/>
    </row>
    <row r="370" spans="1:40" s="18" customFormat="1" ht="11.25" x14ac:dyDescent="0.2">
      <c r="A370" s="56">
        <f t="shared" si="148"/>
        <v>46743</v>
      </c>
      <c r="B370" s="413">
        <f>'2026'!Wh/'2026'!Env_an*'2027'!Env_an</f>
        <v>11.880211313721725</v>
      </c>
      <c r="C370" s="868"/>
      <c r="D370" s="395">
        <f t="shared" si="127"/>
        <v>12.867389189178828</v>
      </c>
      <c r="E370" s="387">
        <f t="shared" si="150"/>
        <v>14.584174739239351</v>
      </c>
      <c r="F370" s="387">
        <f t="shared" si="128"/>
        <v>15.236441360750277</v>
      </c>
      <c r="G370" s="110">
        <f t="shared" si="151"/>
        <v>0.84413198758800745</v>
      </c>
      <c r="H370" s="416" t="b">
        <f>Wh_hp&gt;='2026'!Maxi_hp</f>
        <v>0</v>
      </c>
      <c r="I370" s="392">
        <f>IF(H370,Wh_hp,'2026'!Maxi_hp)</f>
        <v>17.399805301490186</v>
      </c>
      <c r="J370" s="85">
        <f>IF(H370,An,'2026'!An_max)</f>
        <v>2021</v>
      </c>
      <c r="K370" s="199">
        <f t="shared" si="129"/>
        <v>46743</v>
      </c>
      <c r="L370" s="147">
        <f>IF(t&lt;Tvie,1-EXP((T0-t)*PertePVj)+'2026'!Pspv,1-EXP((T0-t)*PertePVj)+Pspv)</f>
        <v>7.6719360931998271E-2</v>
      </c>
      <c r="M370" s="872"/>
      <c r="N370" s="872"/>
      <c r="O370" s="48">
        <f>IF(t&lt;Tnet,'2026'!Resal+('2026'!Salim-'2026'!Resal)*(1-EXP(('2026'!Tnet-t)/('2026'!Tau_j))),Resal+(Salim-Resal)*(1-EXP((Tnet-t)/(Tau_j))))*Salcycl</f>
        <v>0.11771564594885416</v>
      </c>
      <c r="P370" s="171">
        <f>(INDEX(Models!$BJ370:$BT370,,T370)*(1-R370)+INDEX(Models!$BJ370:$BT370,,T370+1)*R370-ERP_i)*Q370*Ramure*Pc/MaxiM</f>
        <v>5.407366261152597E-2</v>
      </c>
      <c r="Q370" s="307">
        <f t="shared" si="130"/>
        <v>0.9</v>
      </c>
      <c r="R370" s="179">
        <f t="shared" si="131"/>
        <v>0.26479230954959732</v>
      </c>
      <c r="S370" s="839">
        <f t="shared" si="132"/>
        <v>-1</v>
      </c>
      <c r="T370" s="178">
        <f t="shared" si="133"/>
        <v>5</v>
      </c>
      <c r="U370" s="253">
        <f t="shared" si="134"/>
        <v>-0.73520769045040268</v>
      </c>
      <c r="V370" s="385">
        <f t="shared" si="135"/>
        <v>13.908260323793288</v>
      </c>
      <c r="W370" s="404">
        <f t="shared" si="136"/>
        <v>11.880211313721725</v>
      </c>
      <c r="X370" s="157">
        <f t="shared" si="137"/>
        <v>46743</v>
      </c>
      <c r="Y370" s="387">
        <f t="shared" si="138"/>
        <v>8.7390367974066923</v>
      </c>
      <c r="Z370" s="387">
        <f t="shared" si="139"/>
        <v>9.4652009666619286</v>
      </c>
      <c r="AA370" s="388">
        <f t="shared" si="140"/>
        <v>11.462399161260299</v>
      </c>
      <c r="AB370" s="199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0.17423910705782625</v>
      </c>
      <c r="AD370" s="233">
        <f>(INDEX(Models!$BJ370:$BT370,,AH370)*(1-AF370)+INDEX(Models!$BJ370:$BT370,,AH370+1)*AF370-ERP_i)*AE370*Ramure*Pc/MaxiM</f>
        <v>0.31287249392611161</v>
      </c>
      <c r="AE370" s="307">
        <f t="shared" si="142"/>
        <v>0.9</v>
      </c>
      <c r="AF370" s="179">
        <f t="shared" si="143"/>
        <v>0.90044796185657638</v>
      </c>
      <c r="AG370" s="839">
        <f t="shared" si="149"/>
        <v>3</v>
      </c>
      <c r="AH370" s="178">
        <f t="shared" si="144"/>
        <v>9</v>
      </c>
      <c r="AI370" s="227">
        <f t="shared" si="145"/>
        <v>3.9004479618565764</v>
      </c>
      <c r="AJ370" s="267" t="b">
        <f t="shared" si="146"/>
        <v>0</v>
      </c>
      <c r="AK370" s="267" t="b">
        <f t="shared" si="147"/>
        <v>0</v>
      </c>
      <c r="AL370" s="267"/>
      <c r="AM370" s="267"/>
      <c r="AN370" s="267"/>
    </row>
    <row r="371" spans="1:40" s="6" customFormat="1" ht="11.25" x14ac:dyDescent="0.2">
      <c r="A371" s="56">
        <f t="shared" si="148"/>
        <v>46744</v>
      </c>
      <c r="B371" s="413">
        <f>'2026'!Wh/'2026'!Env_an*'2027'!Env_an</f>
        <v>12.448262402213038</v>
      </c>
      <c r="C371" s="868"/>
      <c r="D371" s="395">
        <f t="shared" si="127"/>
        <v>13.482955854866207</v>
      </c>
      <c r="E371" s="387">
        <f t="shared" si="150"/>
        <v>15.28358414450047</v>
      </c>
      <c r="F371" s="387">
        <f t="shared" si="128"/>
        <v>16.016382914322776</v>
      </c>
      <c r="G371" s="110">
        <f t="shared" si="151"/>
        <v>0.88575933515180982</v>
      </c>
      <c r="H371" s="416" t="b">
        <f>Wh_hp&gt;='2026'!Maxi_hp</f>
        <v>0</v>
      </c>
      <c r="I371" s="392">
        <f>IF(H371,Wh_hp,'2026'!Maxi_hp)</f>
        <v>16.132955185432667</v>
      </c>
      <c r="J371" s="85">
        <f>IF(H371,An,'2026'!An_max)</f>
        <v>2025</v>
      </c>
      <c r="K371" s="199">
        <f t="shared" si="129"/>
        <v>46744</v>
      </c>
      <c r="L371" s="147">
        <f>IF(t&lt;Tvie,1-EXP((T0-t)*PertePVj)+'2026'!Pspv,1-EXP((T0-t)*PertePVj)+Pspv)</f>
        <v>7.6740847021295577E-2</v>
      </c>
      <c r="M371" s="872"/>
      <c r="N371" s="872"/>
      <c r="O371" s="48">
        <f>IF(t&lt;Tnet,'2026'!Resal+('2026'!Salim-'2026'!Resal)*(1-EXP(('2026'!Tnet-t)/('2026'!Tau_j))),Resal+(Salim-Resal)*(1-EXP((Tnet-t)/(Tau_j))))*Salcycl</f>
        <v>0.11781453045372135</v>
      </c>
      <c r="P371" s="171">
        <f>(INDEX(Models!$BJ371:$BT371,,T371)*(1-R371)+INDEX(Models!$BJ371:$BT371,,T371+1)*R371-ERP_i)*Q371*Ramure*Pc/MaxiM</f>
        <v>5.3967682691314724E-2</v>
      </c>
      <c r="Q371" s="307">
        <f t="shared" si="130"/>
        <v>0.9</v>
      </c>
      <c r="R371" s="179">
        <f t="shared" si="131"/>
        <v>0.26479230954959732</v>
      </c>
      <c r="S371" s="839">
        <f t="shared" si="132"/>
        <v>-1</v>
      </c>
      <c r="T371" s="178">
        <f t="shared" si="133"/>
        <v>5</v>
      </c>
      <c r="U371" s="253">
        <f t="shared" si="134"/>
        <v>-0.73520769045040268</v>
      </c>
      <c r="V371" s="385">
        <f t="shared" si="135"/>
        <v>13.932793478081747</v>
      </c>
      <c r="W371" s="404">
        <f t="shared" si="136"/>
        <v>12.448262402213038</v>
      </c>
      <c r="X371" s="157">
        <f t="shared" si="137"/>
        <v>46744</v>
      </c>
      <c r="Y371" s="387">
        <f t="shared" si="138"/>
        <v>8.9762483137653231</v>
      </c>
      <c r="Z371" s="387">
        <f t="shared" si="139"/>
        <v>9.7223496618531389</v>
      </c>
      <c r="AA371" s="388">
        <f t="shared" si="140"/>
        <v>11.774242030964986</v>
      </c>
      <c r="AB371" s="199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0.17426959321165583</v>
      </c>
      <c r="AD371" s="233">
        <f>(INDEX(Models!$BJ371:$BT371,,AH371)*(1-AF371)+INDEX(Models!$BJ371:$BT371,,AH371+1)*AF371-ERP_i)*AE371*Ramure*Pc/MaxiM</f>
        <v>0.31241661770314011</v>
      </c>
      <c r="AE371" s="307">
        <f t="shared" si="142"/>
        <v>0.9</v>
      </c>
      <c r="AF371" s="179">
        <f t="shared" si="143"/>
        <v>0.90044796185657638</v>
      </c>
      <c r="AG371" s="839">
        <f t="shared" si="149"/>
        <v>3</v>
      </c>
      <c r="AH371" s="178">
        <f t="shared" si="144"/>
        <v>9</v>
      </c>
      <c r="AI371" s="227">
        <f t="shared" si="145"/>
        <v>3.9004479618565764</v>
      </c>
      <c r="AJ371" s="267" t="b">
        <f t="shared" si="146"/>
        <v>0</v>
      </c>
      <c r="AK371" s="267" t="b">
        <f t="shared" si="147"/>
        <v>0</v>
      </c>
      <c r="AL371" s="267"/>
      <c r="AM371" s="267"/>
      <c r="AN371" s="75"/>
    </row>
    <row r="372" spans="1:40" s="6" customFormat="1" ht="11.25" x14ac:dyDescent="0.2">
      <c r="A372" s="56">
        <f t="shared" si="148"/>
        <v>46745</v>
      </c>
      <c r="B372" s="413">
        <f>'2026'!Wh/'2026'!Env_an*'2027'!Env_an</f>
        <v>14.174472496311081</v>
      </c>
      <c r="C372" s="868"/>
      <c r="D372" s="395">
        <f t="shared" si="127"/>
        <v>15.353004970422548</v>
      </c>
      <c r="E372" s="387">
        <f t="shared" si="150"/>
        <v>17.405343946959086</v>
      </c>
      <c r="F372" s="387">
        <f t="shared" si="128"/>
        <v>18.395161157636583</v>
      </c>
      <c r="G372" s="110">
        <f t="shared" si="151"/>
        <v>1.014916642032514</v>
      </c>
      <c r="H372" s="416" t="b">
        <f>Wh_hp&gt;='2026'!Maxi_hp</f>
        <v>1</v>
      </c>
      <c r="I372" s="392">
        <f>IF(H372,Wh_hp,'2026'!Maxi_hp)</f>
        <v>18.395161157636583</v>
      </c>
      <c r="J372" s="85">
        <f>IF(H372,An,'2026'!An_max)</f>
        <v>2027</v>
      </c>
      <c r="K372" s="199">
        <f t="shared" si="129"/>
        <v>46745</v>
      </c>
      <c r="L372" s="147">
        <f>IF(t&lt;Tvie,1-EXP((T0-t)*PertePVj)+'2026'!Pspv,1-EXP((T0-t)*PertePVj)+Pspv)</f>
        <v>7.6762332610580186E-2</v>
      </c>
      <c r="M372" s="872"/>
      <c r="N372" s="872"/>
      <c r="O372" s="48">
        <f>IF(t&lt;Tnet,'2026'!Resal+('2026'!Salim-'2026'!Resal)*(1-EXP(('2026'!Tnet-t)/('2026'!Tau_j))),Resal+(Salim-Resal)*(1-EXP((Tnet-t)/(Tau_j))))*Salcycl</f>
        <v>0.11791430165303363</v>
      </c>
      <c r="P372" s="171">
        <f>(INDEX(Models!$BJ372:$BT372,,T372)*(1-R372)+INDEX(Models!$BJ372:$BT372,,T372+1)*R372-ERP_i)*Q372*Ramure*Pc/MaxiM</f>
        <v>5.380856423030491E-2</v>
      </c>
      <c r="Q372" s="307">
        <f t="shared" si="130"/>
        <v>0.9</v>
      </c>
      <c r="R372" s="179">
        <f t="shared" si="131"/>
        <v>0.26479230954959732</v>
      </c>
      <c r="S372" s="839">
        <f t="shared" si="132"/>
        <v>-1</v>
      </c>
      <c r="T372" s="178">
        <f t="shared" si="133"/>
        <v>5</v>
      </c>
      <c r="U372" s="253">
        <f t="shared" si="134"/>
        <v>-0.73520769045040268</v>
      </c>
      <c r="V372" s="385">
        <f t="shared" si="135"/>
        <v>13.966144517962281</v>
      </c>
      <c r="W372" s="404">
        <f t="shared" si="136"/>
        <v>14.174472496311081</v>
      </c>
      <c r="X372" s="157">
        <f t="shared" si="137"/>
        <v>46745</v>
      </c>
      <c r="Y372" s="387">
        <f t="shared" si="138"/>
        <v>9.6504412352940001</v>
      </c>
      <c r="Z372" s="387">
        <f t="shared" si="139"/>
        <v>10.452824420153844</v>
      </c>
      <c r="AA372" s="388">
        <f t="shared" si="140"/>
        <v>12.659372602394779</v>
      </c>
      <c r="AB372" s="199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0.17430154333426615</v>
      </c>
      <c r="AD372" s="233">
        <f>(INDEX(Models!$BJ372:$BT372,,AH372)*(1-AF372)+INDEX(Models!$BJ372:$BT372,,AH372+1)*AF372-ERP_i)*AE372*Ramure*Pc/MaxiM</f>
        <v>0.31180963874625506</v>
      </c>
      <c r="AE372" s="307">
        <f t="shared" si="142"/>
        <v>0.9</v>
      </c>
      <c r="AF372" s="179">
        <f t="shared" si="143"/>
        <v>0.90044796185657638</v>
      </c>
      <c r="AG372" s="839">
        <f t="shared" si="149"/>
        <v>3</v>
      </c>
      <c r="AH372" s="178">
        <f t="shared" si="144"/>
        <v>9</v>
      </c>
      <c r="AI372" s="227">
        <f t="shared" si="145"/>
        <v>3.9004479618565764</v>
      </c>
      <c r="AJ372" s="267" t="b">
        <f t="shared" si="146"/>
        <v>0</v>
      </c>
      <c r="AK372" s="267" t="b">
        <f t="shared" si="147"/>
        <v>0</v>
      </c>
      <c r="AL372" s="267"/>
      <c r="AM372" s="267"/>
      <c r="AN372" s="75"/>
    </row>
    <row r="373" spans="1:40" s="6" customFormat="1" ht="11.25" x14ac:dyDescent="0.2">
      <c r="A373" s="56">
        <f t="shared" si="148"/>
        <v>46746</v>
      </c>
      <c r="B373" s="413">
        <f>'2026'!Wh/'2026'!Env_an*'2027'!Env_an</f>
        <v>8.012916239962804</v>
      </c>
      <c r="C373" s="868"/>
      <c r="D373" s="395">
        <f t="shared" si="127"/>
        <v>8.6793498571473453</v>
      </c>
      <c r="E373" s="387">
        <f t="shared" si="150"/>
        <v>9.8406986814473605</v>
      </c>
      <c r="F373" s="387">
        <f t="shared" si="128"/>
        <v>10.049994798073392</v>
      </c>
      <c r="G373" s="110">
        <f t="shared" si="151"/>
        <v>0.55285433270608841</v>
      </c>
      <c r="H373" s="416" t="b">
        <f>Wh_hp&gt;='2026'!Maxi_hp</f>
        <v>0</v>
      </c>
      <c r="I373" s="392">
        <f>IF(H373,Wh_hp,'2026'!Maxi_hp)</f>
        <v>13.899256266993024</v>
      </c>
      <c r="J373" s="85">
        <f>IF(H373,An,'2026'!An_max)</f>
        <v>2018</v>
      </c>
      <c r="K373" s="199">
        <f t="shared" si="129"/>
        <v>46746</v>
      </c>
      <c r="L373" s="147">
        <f>IF(t&lt;Tvie,1-EXP((T0-t)*PertePVj)+'2026'!Pspv,1-EXP((T0-t)*PertePVj)+Pspv)</f>
        <v>7.6783817699863866E-2</v>
      </c>
      <c r="M373" s="872"/>
      <c r="N373" s="872"/>
      <c r="O373" s="48">
        <f>IF(t&lt;Tnet,'2026'!Resal+('2026'!Salim-'2026'!Resal)*(1-EXP(('2026'!Tnet-t)/('2026'!Tau_j))),Resal+(Salim-Resal)*(1-EXP((Tnet-t)/(Tau_j))))*Salcycl</f>
        <v>0.11801487494881864</v>
      </c>
      <c r="P373" s="171">
        <f>(INDEX(Models!$BJ373:$BT373,,T373)*(1-R373)+INDEX(Models!$BJ373:$BT373,,T373+1)*R373-ERP_i)*Q373*Ramure*Pc/MaxiM</f>
        <v>5.3595540922012526E-2</v>
      </c>
      <c r="Q373" s="307">
        <f t="shared" si="130"/>
        <v>0.9</v>
      </c>
      <c r="R373" s="179">
        <f t="shared" si="131"/>
        <v>0.26479230954959732</v>
      </c>
      <c r="S373" s="839">
        <f t="shared" si="132"/>
        <v>-1</v>
      </c>
      <c r="T373" s="178">
        <f t="shared" si="133"/>
        <v>5</v>
      </c>
      <c r="U373" s="253">
        <f t="shared" si="134"/>
        <v>-0.73520769045040268</v>
      </c>
      <c r="V373" s="385">
        <f t="shared" si="135"/>
        <v>14.008659080177903</v>
      </c>
      <c r="W373" s="404">
        <f t="shared" si="136"/>
        <v>8.012916239962804</v>
      </c>
      <c r="X373" s="157">
        <f t="shared" si="137"/>
        <v>46746</v>
      </c>
      <c r="Y373" s="387">
        <f t="shared" si="138"/>
        <v>6.7348840819016891</v>
      </c>
      <c r="Z373" s="387">
        <f t="shared" si="139"/>
        <v>7.2950238644237597</v>
      </c>
      <c r="AA373" s="388">
        <f t="shared" si="140"/>
        <v>8.8353295291211147</v>
      </c>
      <c r="AB373" s="199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0.17433482923534765</v>
      </c>
      <c r="AD373" s="233">
        <f>(INDEX(Models!$BJ373:$BT373,,AH373)*(1-AF373)+INDEX(Models!$BJ373:$BT373,,AH373+1)*AF373-ERP_i)*AE373*Ramure*Pc/MaxiM</f>
        <v>0.31104562845282269</v>
      </c>
      <c r="AE373" s="307">
        <f t="shared" si="142"/>
        <v>0.9</v>
      </c>
      <c r="AF373" s="179">
        <f t="shared" si="143"/>
        <v>0.90044796185657638</v>
      </c>
      <c r="AG373" s="839">
        <f t="shared" si="149"/>
        <v>3</v>
      </c>
      <c r="AH373" s="178">
        <f t="shared" si="144"/>
        <v>9</v>
      </c>
      <c r="AI373" s="227">
        <f t="shared" si="145"/>
        <v>3.9004479618565764</v>
      </c>
      <c r="AJ373" s="267" t="b">
        <f t="shared" si="146"/>
        <v>0</v>
      </c>
      <c r="AK373" s="267" t="b">
        <f t="shared" si="147"/>
        <v>0</v>
      </c>
      <c r="AL373" s="267"/>
      <c r="AM373" s="267"/>
      <c r="AN373" s="75"/>
    </row>
    <row r="374" spans="1:40" s="6" customFormat="1" ht="11.25" x14ac:dyDescent="0.2">
      <c r="A374" s="56">
        <f t="shared" si="148"/>
        <v>46747</v>
      </c>
      <c r="B374" s="413">
        <f>'2026'!Wh/'2026'!Env_an*'2027'!Env_an</f>
        <v>12.46184041468589</v>
      </c>
      <c r="C374" s="868"/>
      <c r="D374" s="395">
        <f t="shared" si="127"/>
        <v>13.498604839895991</v>
      </c>
      <c r="E374" s="387">
        <f t="shared" si="150"/>
        <v>15.30655668435624</v>
      </c>
      <c r="F374" s="387">
        <f t="shared" si="128"/>
        <v>16.022220063804884</v>
      </c>
      <c r="G374" s="110">
        <f t="shared" si="151"/>
        <v>0.87826711462869278</v>
      </c>
      <c r="H374" s="416" t="b">
        <f>Wh_hp&gt;='2026'!Maxi_hp</f>
        <v>0</v>
      </c>
      <c r="I374" s="392">
        <f>IF(H374,Wh_hp,'2026'!Maxi_hp)</f>
        <v>17.569018811526597</v>
      </c>
      <c r="J374" s="85">
        <f>IF(H374,An,'2026'!An_max)</f>
        <v>2018</v>
      </c>
      <c r="K374" s="199">
        <f t="shared" si="129"/>
        <v>46747</v>
      </c>
      <c r="L374" s="147">
        <f>IF(t&lt;Tvie,1-EXP((T0-t)*PertePVj)+'2026'!Pspv,1-EXP((T0-t)*PertePVj)+Pspv)</f>
        <v>7.680530228915794E-2</v>
      </c>
      <c r="M374" s="872"/>
      <c r="N374" s="872"/>
      <c r="O374" s="48">
        <f>IF(t&lt;Tnet,'2026'!Resal+('2026'!Salim-'2026'!Resal)*(1-EXP(('2026'!Tnet-t)/('2026'!Tau_j))),Resal+(Salim-Resal)*(1-EXP((Tnet-t)/(Tau_j))))*Salcycl</f>
        <v>0.11811616954373744</v>
      </c>
      <c r="P374" s="171">
        <f>(INDEX(Models!$BJ374:$BT374,,T374)*(1-R374)+INDEX(Models!$BJ374:$BT374,,T374+1)*R374-ERP_i)*Q374*Ramure*Pc/MaxiM</f>
        <v>5.3328815936107513E-2</v>
      </c>
      <c r="Q374" s="307">
        <f t="shared" si="130"/>
        <v>0.9</v>
      </c>
      <c r="R374" s="179">
        <f t="shared" si="131"/>
        <v>0.26479230954959732</v>
      </c>
      <c r="S374" s="839">
        <f t="shared" si="132"/>
        <v>-1</v>
      </c>
      <c r="T374" s="178">
        <f t="shared" si="133"/>
        <v>5</v>
      </c>
      <c r="U374" s="253">
        <f t="shared" si="134"/>
        <v>-0.73520769045040268</v>
      </c>
      <c r="V374" s="385">
        <f t="shared" si="135"/>
        <v>14.060472323617304</v>
      </c>
      <c r="W374" s="404">
        <f t="shared" si="136"/>
        <v>12.46184041468589</v>
      </c>
      <c r="X374" s="157">
        <f t="shared" si="137"/>
        <v>46747</v>
      </c>
      <c r="Y374" s="387">
        <f t="shared" si="138"/>
        <v>9.0402191632433375</v>
      </c>
      <c r="Z374" s="387">
        <f t="shared" si="139"/>
        <v>9.792321365860861</v>
      </c>
      <c r="AA374" s="388">
        <f t="shared" si="140"/>
        <v>11.860413749231387</v>
      </c>
      <c r="AB374" s="199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0.1743693286842164</v>
      </c>
      <c r="AD374" s="233">
        <f>(INDEX(Models!$BJ374:$BT374,,AH374)*(1-AF374)+INDEX(Models!$BJ374:$BT374,,AH374+1)*AF374-ERP_i)*AE374*Ramure*Pc/MaxiM</f>
        <v>0.31012373873678994</v>
      </c>
      <c r="AE374" s="307">
        <f t="shared" si="142"/>
        <v>0.9</v>
      </c>
      <c r="AF374" s="179">
        <f t="shared" si="143"/>
        <v>0.90044796185657638</v>
      </c>
      <c r="AG374" s="839">
        <f t="shared" si="149"/>
        <v>3</v>
      </c>
      <c r="AH374" s="178">
        <f t="shared" si="144"/>
        <v>9</v>
      </c>
      <c r="AI374" s="227">
        <f t="shared" si="145"/>
        <v>3.9004479618565764</v>
      </c>
      <c r="AJ374" s="267" t="b">
        <f t="shared" si="146"/>
        <v>0</v>
      </c>
      <c r="AK374" s="267" t="b">
        <f t="shared" si="147"/>
        <v>0</v>
      </c>
      <c r="AL374" s="267"/>
      <c r="AM374" s="267"/>
      <c r="AN374" s="75"/>
    </row>
    <row r="375" spans="1:40" s="6" customFormat="1" ht="11.25" x14ac:dyDescent="0.2">
      <c r="A375" s="56">
        <f t="shared" si="148"/>
        <v>46748</v>
      </c>
      <c r="B375" s="413">
        <f>'2026'!Wh/'2026'!Env_an*'2027'!Env_an</f>
        <v>5.9373704739897413</v>
      </c>
      <c r="C375" s="868"/>
      <c r="D375" s="395">
        <f t="shared" si="127"/>
        <v>6.4314804485043169</v>
      </c>
      <c r="E375" s="387">
        <f t="shared" si="150"/>
        <v>7.2937316046393272</v>
      </c>
      <c r="F375" s="387">
        <f t="shared" si="128"/>
        <v>7.3608541338184672</v>
      </c>
      <c r="G375" s="110">
        <f t="shared" si="151"/>
        <v>0.40182885009345992</v>
      </c>
      <c r="H375" s="416" t="b">
        <f>Wh_hp&gt;='2026'!Maxi_hp</f>
        <v>0</v>
      </c>
      <c r="I375" s="392">
        <f>IF(H375,Wh_hp,'2026'!Maxi_hp)</f>
        <v>17.805021501401317</v>
      </c>
      <c r="J375" s="85">
        <f>IF(H375,An,'2026'!An_max)</f>
        <v>2018</v>
      </c>
      <c r="K375" s="199">
        <f t="shared" si="129"/>
        <v>46748</v>
      </c>
      <c r="L375" s="147">
        <f>IF(t&lt;Tvie,1-EXP((T0-t)*PertePVj)+'2026'!Pspv,1-EXP((T0-t)*PertePVj)+Pspv)</f>
        <v>7.6826786378474399E-2</v>
      </c>
      <c r="M375" s="872"/>
      <c r="N375" s="872"/>
      <c r="O375" s="48">
        <f>IF(t&lt;Tnet,'2026'!Resal+('2026'!Salim-'2026'!Resal)*(1-EXP(('2026'!Tnet-t)/('2026'!Tau_j))),Resal+(Salim-Resal)*(1-EXP((Tnet-t)/(Tau_j))))*Salcycl</f>
        <v>0.11821810876432007</v>
      </c>
      <c r="P375" s="171">
        <f>(INDEX(Models!$BJ375:$BT375,,T375)*(1-R375)+INDEX(Models!$BJ375:$BT375,,T375+1)*R375-ERP_i)*Q375*Ramure*Pc/MaxiM</f>
        <v>5.2996043365754218E-2</v>
      </c>
      <c r="Q375" s="307">
        <f t="shared" si="130"/>
        <v>0.9</v>
      </c>
      <c r="R375" s="179">
        <f t="shared" si="131"/>
        <v>0.26479230954959732</v>
      </c>
      <c r="S375" s="839">
        <f t="shared" si="132"/>
        <v>-1</v>
      </c>
      <c r="T375" s="178">
        <f t="shared" si="133"/>
        <v>5</v>
      </c>
      <c r="U375" s="253">
        <f t="shared" si="134"/>
        <v>-0.73520769045040268</v>
      </c>
      <c r="V375" s="385">
        <f t="shared" si="135"/>
        <v>14.121579033181982</v>
      </c>
      <c r="W375" s="404">
        <f t="shared" si="136"/>
        <v>5.9373704739897413</v>
      </c>
      <c r="X375" s="157">
        <f t="shared" si="137"/>
        <v>46748</v>
      </c>
      <c r="Y375" s="387">
        <f t="shared" si="138"/>
        <v>5.3118777079542809</v>
      </c>
      <c r="Z375" s="387">
        <f t="shared" si="139"/>
        <v>5.7539339633959505</v>
      </c>
      <c r="AA375" s="388">
        <f t="shared" si="140"/>
        <v>6.9694383404949045</v>
      </c>
      <c r="AB375" s="199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0.1744049258656101</v>
      </c>
      <c r="AD375" s="233">
        <f>(INDEX(Models!$BJ375:$BT375,,AH375)*(1-AF375)+INDEX(Models!$BJ375:$BT375,,AH375+1)*AF375-ERP_i)*AE375*Ramure*Pc/MaxiM</f>
        <v>0.30903913500719532</v>
      </c>
      <c r="AE375" s="307">
        <f t="shared" si="142"/>
        <v>0.9</v>
      </c>
      <c r="AF375" s="179">
        <f t="shared" si="143"/>
        <v>0.90044796185657638</v>
      </c>
      <c r="AG375" s="839">
        <f t="shared" si="149"/>
        <v>3</v>
      </c>
      <c r="AH375" s="178">
        <f t="shared" si="144"/>
        <v>9</v>
      </c>
      <c r="AI375" s="227">
        <f t="shared" si="145"/>
        <v>3.9004479618565764</v>
      </c>
      <c r="AJ375" s="267" t="b">
        <f t="shared" si="146"/>
        <v>0</v>
      </c>
      <c r="AK375" s="267" t="b">
        <f t="shared" si="147"/>
        <v>0</v>
      </c>
      <c r="AL375" s="267"/>
      <c r="AM375" s="267"/>
      <c r="AN375" s="75"/>
    </row>
    <row r="376" spans="1:40" s="6" customFormat="1" ht="11.25" x14ac:dyDescent="0.2">
      <c r="A376" s="56">
        <f t="shared" si="148"/>
        <v>46749</v>
      </c>
      <c r="B376" s="413">
        <f>'2026'!Wh/'2026'!Env_an*'2027'!Env_an</f>
        <v>13.211350852585609</v>
      </c>
      <c r="C376" s="868"/>
      <c r="D376" s="395">
        <f t="shared" si="127"/>
        <v>14.311136970002908</v>
      </c>
      <c r="E376" s="387">
        <f t="shared" si="150"/>
        <v>16.231679338439157</v>
      </c>
      <c r="F376" s="387">
        <f t="shared" si="128"/>
        <v>17.039697731011785</v>
      </c>
      <c r="G376" s="110">
        <f t="shared" si="151"/>
        <v>0.92585501285702843</v>
      </c>
      <c r="H376" s="416" t="b">
        <f>Wh_hp&gt;='2026'!Maxi_hp</f>
        <v>0</v>
      </c>
      <c r="I376" s="392">
        <f>IF(H376,Wh_hp,'2026'!Maxi_hp)</f>
        <v>17.117646537458672</v>
      </c>
      <c r="J376" s="85">
        <f>IF(H376,An,'2026'!An_max)</f>
        <v>2025</v>
      </c>
      <c r="K376" s="199">
        <f t="shared" si="129"/>
        <v>46749</v>
      </c>
      <c r="L376" s="147">
        <f>IF(t&lt;Tvie,1-EXP((T0-t)*PertePVj)+'2026'!Pspv,1-EXP((T0-t)*PertePVj)+Pspv)</f>
        <v>7.6848269967824567E-2</v>
      </c>
      <c r="M376" s="872"/>
      <c r="N376" s="872"/>
      <c r="O376" s="48">
        <f>IF(t&lt;Tnet,'2026'!Resal+('2026'!Salim-'2026'!Resal)*(1-EXP(('2026'!Tnet-t)/('2026'!Tau_j))),Resal+(Salim-Resal)*(1-EXP((Tnet-t)/(Tau_j))))*Salcycl</f>
        <v>0.11832062033705319</v>
      </c>
      <c r="P376" s="171">
        <f>(INDEX(Models!$BJ376:$BT376,,T376)*(1-R376)+INDEX(Models!$BJ376:$BT376,,T376+1)*R376-ERP_i)*Q376*Ramure*Pc/MaxiM</f>
        <v>5.2611096934135501E-2</v>
      </c>
      <c r="Q376" s="307">
        <f t="shared" si="130"/>
        <v>0.9</v>
      </c>
      <c r="R376" s="179">
        <f t="shared" si="131"/>
        <v>0.26479230954959732</v>
      </c>
      <c r="S376" s="839">
        <f t="shared" si="132"/>
        <v>-1</v>
      </c>
      <c r="T376" s="178">
        <f t="shared" si="133"/>
        <v>5</v>
      </c>
      <c r="U376" s="253">
        <f t="shared" si="134"/>
        <v>-0.73520769045040268</v>
      </c>
      <c r="V376" s="385">
        <f t="shared" si="135"/>
        <v>14.191587177686031</v>
      </c>
      <c r="W376" s="404">
        <f t="shared" si="136"/>
        <v>13.211350852585609</v>
      </c>
      <c r="X376" s="157">
        <f t="shared" si="137"/>
        <v>46749</v>
      </c>
      <c r="Y376" s="387">
        <f t="shared" si="138"/>
        <v>9.3835847453888963</v>
      </c>
      <c r="Z376" s="387">
        <f t="shared" si="139"/>
        <v>10.164726382587011</v>
      </c>
      <c r="AA376" s="388">
        <f t="shared" si="140"/>
        <v>12.312545419174121</v>
      </c>
      <c r="AB376" s="199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0.17444151176428127</v>
      </c>
      <c r="AD376" s="233">
        <f>(INDEX(Models!$BJ376:$BT376,,AH376)*(1-AF376)+INDEX(Models!$BJ376:$BT376,,AH376+1)*AF376-ERP_i)*AE376*Ramure*Pc/MaxiM</f>
        <v>0.30779085078581303</v>
      </c>
      <c r="AE376" s="307">
        <f t="shared" si="142"/>
        <v>0.9</v>
      </c>
      <c r="AF376" s="179">
        <f t="shared" si="143"/>
        <v>0.90044796185657638</v>
      </c>
      <c r="AG376" s="839">
        <f t="shared" si="149"/>
        <v>3</v>
      </c>
      <c r="AH376" s="178">
        <f t="shared" si="144"/>
        <v>9</v>
      </c>
      <c r="AI376" s="227">
        <f t="shared" si="145"/>
        <v>3.9004479618565764</v>
      </c>
      <c r="AJ376" s="267" t="b">
        <f t="shared" si="146"/>
        <v>0</v>
      </c>
      <c r="AK376" s="267" t="b">
        <f t="shared" si="147"/>
        <v>0</v>
      </c>
      <c r="AL376" s="267"/>
      <c r="AM376" s="267"/>
      <c r="AN376" s="75"/>
    </row>
    <row r="377" spans="1:40" s="6" customFormat="1" ht="11.25" x14ac:dyDescent="0.2">
      <c r="A377" s="56">
        <f t="shared" si="148"/>
        <v>46750</v>
      </c>
      <c r="B377" s="413">
        <f>'2026'!Wh/'2026'!Env_an*'2027'!Env_an</f>
        <v>8.8771095373559259</v>
      </c>
      <c r="C377" s="868"/>
      <c r="D377" s="395">
        <f t="shared" si="127"/>
        <v>9.6163131548934881</v>
      </c>
      <c r="E377" s="387">
        <f t="shared" si="150"/>
        <v>10.908088685572626</v>
      </c>
      <c r="F377" s="387">
        <f t="shared" si="128"/>
        <v>11.17639038977903</v>
      </c>
      <c r="G377" s="110">
        <f t="shared" si="151"/>
        <v>0.60411501151767277</v>
      </c>
      <c r="H377" s="416" t="b">
        <f>Wh_hp&gt;='2026'!Maxi_hp</f>
        <v>0</v>
      </c>
      <c r="I377" s="392">
        <f>IF(H377,Wh_hp,'2026'!Maxi_hp)</f>
        <v>18.983624487934243</v>
      </c>
      <c r="J377" s="85">
        <f>IF(H377,An,'2026'!An_max)</f>
        <v>2019</v>
      </c>
      <c r="K377" s="199">
        <f t="shared" si="129"/>
        <v>46750</v>
      </c>
      <c r="L377" s="147">
        <f>IF(t&lt;Tvie,1-EXP((T0-t)*PertePVj)+'2026'!Pspv,1-EXP((T0-t)*PertePVj)+Pspv)</f>
        <v>7.6869753057220325E-2</v>
      </c>
      <c r="M377" s="872"/>
      <c r="N377" s="872"/>
      <c r="O377" s="48">
        <f>IF(t&lt;Tnet,'2026'!Resal+('2026'!Salim-'2026'!Resal)*(1-EXP(('2026'!Tnet-t)/('2026'!Tau_j))),Resal+(Salim-Resal)*(1-EXP((Tnet-t)/(Tau_j))))*Salcycl</f>
        <v>0.11842363661634686</v>
      </c>
      <c r="P377" s="171">
        <f>(INDEX(Models!$BJ377:$BT377,,T377)*(1-R377)+INDEX(Models!$BJ377:$BT377,,T377+1)*R377-ERP_i)*Q377*Ramure*Pc/MaxiM</f>
        <v>5.2175924624582148E-2</v>
      </c>
      <c r="Q377" s="307">
        <f t="shared" si="130"/>
        <v>0.9</v>
      </c>
      <c r="R377" s="179">
        <f t="shared" si="131"/>
        <v>0.26479230954959732</v>
      </c>
      <c r="S377" s="839">
        <f t="shared" si="132"/>
        <v>-1</v>
      </c>
      <c r="T377" s="178">
        <f t="shared" si="133"/>
        <v>5</v>
      </c>
      <c r="U377" s="253">
        <f t="shared" si="134"/>
        <v>-0.73520769045040268</v>
      </c>
      <c r="V377" s="385">
        <f t="shared" si="135"/>
        <v>14.270283140135501</v>
      </c>
      <c r="W377" s="404">
        <f t="shared" si="136"/>
        <v>8.8771095373559259</v>
      </c>
      <c r="X377" s="157">
        <f t="shared" si="137"/>
        <v>46750</v>
      </c>
      <c r="Y377" s="387">
        <f t="shared" si="138"/>
        <v>7.3164735367525466</v>
      </c>
      <c r="Z377" s="387">
        <f t="shared" si="139"/>
        <v>7.9257218155111095</v>
      </c>
      <c r="AA377" s="388">
        <f t="shared" si="140"/>
        <v>9.6008722570104972</v>
      </c>
      <c r="AB377" s="199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0.17447898447729088</v>
      </c>
      <c r="AD377" s="233">
        <f>(INDEX(Models!$BJ377:$BT377,,AH377)*(1-AF377)+INDEX(Models!$BJ377:$BT377,,AH377+1)*AF377-ERP_i)*AE377*Ramure*Pc/MaxiM</f>
        <v>0.30638685498901708</v>
      </c>
      <c r="AE377" s="307">
        <f t="shared" si="142"/>
        <v>0.9</v>
      </c>
      <c r="AF377" s="179">
        <f t="shared" si="143"/>
        <v>0.90044796185657638</v>
      </c>
      <c r="AG377" s="839">
        <f t="shared" si="149"/>
        <v>3</v>
      </c>
      <c r="AH377" s="178">
        <f t="shared" si="144"/>
        <v>9</v>
      </c>
      <c r="AI377" s="227">
        <f t="shared" si="145"/>
        <v>3.9004479618565764</v>
      </c>
      <c r="AJ377" s="267" t="b">
        <f t="shared" si="146"/>
        <v>0</v>
      </c>
      <c r="AK377" s="267" t="b">
        <f t="shared" si="147"/>
        <v>0</v>
      </c>
      <c r="AL377" s="267"/>
      <c r="AM377" s="267"/>
      <c r="AN377" s="75"/>
    </row>
    <row r="378" spans="1:40" s="6" customFormat="1" ht="11.25" x14ac:dyDescent="0.2">
      <c r="A378" s="56">
        <f t="shared" si="148"/>
        <v>46751</v>
      </c>
      <c r="B378" s="413">
        <f>'2026'!Wh/'2026'!Env_an*'2027'!Env_an</f>
        <v>11.281950586428032</v>
      </c>
      <c r="C378" s="868"/>
      <c r="D378" s="395">
        <f t="shared" si="127"/>
        <v>12.221691551516654</v>
      </c>
      <c r="E378" s="387">
        <f t="shared" si="150"/>
        <v>13.865079095360873</v>
      </c>
      <c r="F378" s="387">
        <f t="shared" si="128"/>
        <v>14.3809816898798</v>
      </c>
      <c r="G378" s="110">
        <f t="shared" si="151"/>
        <v>0.7728978705247096</v>
      </c>
      <c r="H378" s="416" t="b">
        <f>Wh_hp&gt;='2026'!Maxi_hp</f>
        <v>0</v>
      </c>
      <c r="I378" s="392">
        <f>IF(H378,Wh_hp,'2026'!Maxi_hp)</f>
        <v>18.10568803478461</v>
      </c>
      <c r="J378" s="85">
        <f>IF(H378,An,'2026'!An_max)</f>
        <v>2019</v>
      </c>
      <c r="K378" s="199">
        <f t="shared" si="129"/>
        <v>46751</v>
      </c>
      <c r="L378" s="147">
        <f>IF(t&lt;Tvie,1-EXP((T0-t)*PertePVj)+'2026'!Pspv,1-EXP((T0-t)*PertePVj)+Pspv)</f>
        <v>7.6891235646673217E-2</v>
      </c>
      <c r="M378" s="872"/>
      <c r="N378" s="872"/>
      <c r="O378" s="48">
        <f>IF(t&lt;Tnet,'2026'!Resal+('2026'!Salim-'2026'!Resal)*(1-EXP(('2026'!Tnet-t)/('2026'!Tau_j))),Resal+(Salim-Resal)*(1-EXP((Tnet-t)/(Tau_j))))*Salcycl</f>
        <v>0.11852709476385755</v>
      </c>
      <c r="P378" s="171">
        <f>(INDEX(Models!$BJ378:$BT378,,T378)*(1-R378)+INDEX(Models!$BJ378:$BT378,,T378+1)*R378-ERP_i)*Q378*Ramure*Pc/MaxiM</f>
        <v>5.1692578098618797E-2</v>
      </c>
      <c r="Q378" s="307">
        <f t="shared" si="130"/>
        <v>0.9</v>
      </c>
      <c r="R378" s="179">
        <f t="shared" si="131"/>
        <v>0.26479230954959732</v>
      </c>
      <c r="S378" s="839">
        <f t="shared" si="132"/>
        <v>-1</v>
      </c>
      <c r="T378" s="178">
        <f t="shared" si="133"/>
        <v>5</v>
      </c>
      <c r="U378" s="253">
        <f t="shared" si="134"/>
        <v>-0.73520769045040268</v>
      </c>
      <c r="V378" s="385">
        <f t="shared" si="135"/>
        <v>14.357453354128491</v>
      </c>
      <c r="W378" s="404">
        <f t="shared" si="136"/>
        <v>11.281950586428032</v>
      </c>
      <c r="X378" s="157">
        <f t="shared" si="137"/>
        <v>46751</v>
      </c>
      <c r="Y378" s="387">
        <f t="shared" si="138"/>
        <v>8.6401775589495191</v>
      </c>
      <c r="Z378" s="387">
        <f t="shared" si="139"/>
        <v>9.3598694894878349</v>
      </c>
      <c r="AA378" s="388">
        <f t="shared" si="140"/>
        <v>11.338661508422893</v>
      </c>
      <c r="AB378" s="199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0.17451724945357247</v>
      </c>
      <c r="AD378" s="233">
        <f>(INDEX(Models!$BJ378:$BT378,,AH378)*(1-AF378)+INDEX(Models!$BJ378:$BT378,,AH378+1)*AF378-ERP_i)*AE378*Ramure*Pc/MaxiM</f>
        <v>0.30483539965061274</v>
      </c>
      <c r="AE378" s="307">
        <f t="shared" si="142"/>
        <v>0.9</v>
      </c>
      <c r="AF378" s="179">
        <f t="shared" si="143"/>
        <v>0.90044796185657638</v>
      </c>
      <c r="AG378" s="839">
        <f t="shared" si="149"/>
        <v>3</v>
      </c>
      <c r="AH378" s="178">
        <f t="shared" si="144"/>
        <v>9</v>
      </c>
      <c r="AI378" s="227">
        <f t="shared" si="145"/>
        <v>3.9004479618565764</v>
      </c>
      <c r="AJ378" s="267" t="b">
        <f t="shared" si="146"/>
        <v>0</v>
      </c>
      <c r="AK378" s="267" t="b">
        <f t="shared" si="147"/>
        <v>0</v>
      </c>
      <c r="AL378" s="267"/>
      <c r="AM378" s="267"/>
      <c r="AN378" s="75"/>
    </row>
    <row r="379" spans="1:40" s="18" customFormat="1" ht="12.75" x14ac:dyDescent="0.2">
      <c r="A379" s="56">
        <f t="shared" si="148"/>
        <v>46752</v>
      </c>
      <c r="B379" s="413">
        <f>'2026'!Wh/'2026'!Env_an*'2027'!Env_an</f>
        <v>8.8064666068800932</v>
      </c>
      <c r="C379" s="868"/>
      <c r="D379" s="395">
        <f t="shared" si="127"/>
        <v>9.5402317593227668</v>
      </c>
      <c r="E379" s="387">
        <f t="shared" si="150"/>
        <v>10.824332460162603</v>
      </c>
      <c r="F379" s="387">
        <f t="shared" si="128"/>
        <v>11.074714723865011</v>
      </c>
      <c r="G379" s="110">
        <f t="shared" si="151"/>
        <v>0.59152092913539855</v>
      </c>
      <c r="H379" s="416" t="b">
        <f>Wh_hp&gt;='2026'!Maxi_hp</f>
        <v>0</v>
      </c>
      <c r="I379" s="392">
        <f>IF(H379,Wh_hp,'2026'!Maxi_hp)</f>
        <v>17.949916308915405</v>
      </c>
      <c r="J379" s="85">
        <f>IF(H379,An,'2026'!An_max)</f>
        <v>2021</v>
      </c>
      <c r="K379" s="199">
        <f t="shared" si="129"/>
        <v>46752</v>
      </c>
      <c r="L379" s="147">
        <f>IF(t&lt;Tvie,1-EXP((T0-t)*PertePVj)+'2026'!Pspv,1-EXP((T0-t)*PertePVj)+Pspv)</f>
        <v>7.6912717736194791E-2</v>
      </c>
      <c r="M379" s="872"/>
      <c r="N379" s="872"/>
      <c r="O379" s="48">
        <f>IF(t&lt;Tnet,'2026'!Resal+('2026'!Salim-'2026'!Resal)*(1-EXP(('2026'!Tnet-t)/('2026'!Tau_j))),Resal+(Salim-Resal)*(1-EXP((Tnet-t)/(Tau_j))))*Salcycl</f>
        <v>0.11863093687909014</v>
      </c>
      <c r="P379" s="171">
        <f>(INDEX(Models!$BJ379:$BT379,,T379)*(1-R379)+INDEX(Models!$BJ379:$BT379,,T379+1)*R379-ERP_i)*Q379*Ramure*Pc/MaxiM</f>
        <v>5.1163192712144909E-2</v>
      </c>
      <c r="Q379" s="308">
        <f t="shared" si="130"/>
        <v>0.9</v>
      </c>
      <c r="R379" s="179">
        <f t="shared" si="131"/>
        <v>0.26479230954959732</v>
      </c>
      <c r="S379" s="839">
        <f t="shared" si="132"/>
        <v>-1</v>
      </c>
      <c r="T379" s="178">
        <f t="shared" si="133"/>
        <v>5</v>
      </c>
      <c r="U379" s="309">
        <f t="shared" si="134"/>
        <v>-0.73520769045040268</v>
      </c>
      <c r="V379" s="385">
        <f t="shared" si="135"/>
        <v>14.452884296215485</v>
      </c>
      <c r="W379" s="404">
        <f t="shared" si="136"/>
        <v>8.8064666068800932</v>
      </c>
      <c r="X379" s="157">
        <f t="shared" si="137"/>
        <v>46752</v>
      </c>
      <c r="Y379" s="387">
        <f t="shared" si="138"/>
        <v>7.3080672350696352</v>
      </c>
      <c r="Z379" s="387">
        <f t="shared" si="139"/>
        <v>7.9169839900156846</v>
      </c>
      <c r="AA379" s="388">
        <f t="shared" si="140"/>
        <v>9.5911849826576692</v>
      </c>
      <c r="AB379" s="199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0.17455621966099041</v>
      </c>
      <c r="AD379" s="233">
        <f>(INDEX(Models!$BJ379:$BT379,,AH379)*(1-AF379)+INDEX(Models!$BJ379:$BT379,,AH379+1)*AF379-ERP_i)*AE379*Ramure*Pc/MaxiM</f>
        <v>0.30314494693523264</v>
      </c>
      <c r="AE379" s="308">
        <f t="shared" si="142"/>
        <v>0.9</v>
      </c>
      <c r="AF379" s="179">
        <f t="shared" si="143"/>
        <v>0.90044796185657638</v>
      </c>
      <c r="AG379" s="839">
        <f t="shared" si="149"/>
        <v>3</v>
      </c>
      <c r="AH379" s="178">
        <f t="shared" si="144"/>
        <v>9</v>
      </c>
      <c r="AI379" s="224">
        <f t="shared" si="145"/>
        <v>3.9004479618565764</v>
      </c>
      <c r="AJ379" s="267" t="b">
        <f t="shared" si="146"/>
        <v>0</v>
      </c>
      <c r="AK379" s="267" t="b">
        <f t="shared" si="147"/>
        <v>0</v>
      </c>
      <c r="AL379" s="267"/>
      <c r="AM379" s="267"/>
      <c r="AN379" s="267"/>
    </row>
    <row r="380" spans="1:40" s="18" customFormat="1" ht="12" thickBot="1" x14ac:dyDescent="0.25">
      <c r="A380" s="610"/>
      <c r="B380" s="832"/>
      <c r="C380" s="869"/>
      <c r="D380" s="611"/>
      <c r="E380" s="389"/>
      <c r="F380" s="389"/>
      <c r="G380" s="612"/>
      <c r="H380" s="605" t="b">
        <f>Wh_hp&gt;='2026'!Maxi_hp</f>
        <v>0</v>
      </c>
      <c r="I380" s="606">
        <f>IF(H380,Wh_hp,'2026'!Maxi_hp)</f>
        <v>13.024115631411625</v>
      </c>
      <c r="J380" s="151">
        <f>IF(H380,An,'2026'!An_max)</f>
        <v>2020</v>
      </c>
      <c r="K380" s="236"/>
      <c r="L380" s="613"/>
      <c r="M380" s="873"/>
      <c r="N380" s="873"/>
      <c r="O380" s="614"/>
      <c r="P380" s="324"/>
      <c r="Q380" s="231"/>
      <c r="R380" s="231"/>
      <c r="S380" s="231"/>
      <c r="T380" s="231"/>
      <c r="U380" s="325"/>
      <c r="V380" s="399">
        <f>(V379+V15)/2</f>
        <v>15.168883805807134</v>
      </c>
      <c r="W380" s="831"/>
      <c r="X380" s="615"/>
      <c r="Y380" s="389"/>
      <c r="Z380" s="389"/>
      <c r="AA380" s="390"/>
      <c r="AB380" s="236"/>
      <c r="AC380" s="616"/>
      <c r="AD380" s="324"/>
      <c r="AE380" s="231"/>
      <c r="AF380" s="231"/>
      <c r="AG380" s="231"/>
      <c r="AH380" s="231"/>
      <c r="AI380" s="617"/>
      <c r="AJ380" s="267" t="b">
        <f t="shared" si="146"/>
        <v>1</v>
      </c>
      <c r="AK380" s="267" t="b">
        <f t="shared" si="147"/>
        <v>1</v>
      </c>
      <c r="AL380" s="267"/>
      <c r="AM380" s="267"/>
      <c r="AN380" s="267"/>
    </row>
    <row r="381" spans="1:40" s="104" customFormat="1" ht="11.25" customHeight="1" x14ac:dyDescent="0.2">
      <c r="A381" s="112" t="s">
        <v>7</v>
      </c>
      <c r="B381" s="377">
        <f>MIN(B15:B380)</f>
        <v>0.77121259237634998</v>
      </c>
      <c r="C381" s="377"/>
      <c r="D381" s="375">
        <f>MIN(D15:D380)</f>
        <v>0.83079831962272899</v>
      </c>
      <c r="E381" s="375">
        <f>MIN(E15:E380)</f>
        <v>0.91244716960967398</v>
      </c>
      <c r="F381" s="376">
        <f>MIN(F15:F380)</f>
        <v>0.91244716960967398</v>
      </c>
      <c r="G381" s="125">
        <f>+MIN(G15:G380)</f>
        <v>1.4757520827596066E-2</v>
      </c>
      <c r="H381" s="94"/>
      <c r="I381" s="376">
        <f>MIN(I15:I380)</f>
        <v>8.2113391342416708</v>
      </c>
      <c r="J381" s="57">
        <f>MIN(J15:J380)</f>
        <v>2018</v>
      </c>
      <c r="K381" s="202" t="s">
        <v>7</v>
      </c>
      <c r="L381" s="146">
        <f t="shared" ref="L381:T381" si="152">MIN(L15:L380)</f>
        <v>6.9060115748831863E-2</v>
      </c>
      <c r="M381" s="874"/>
      <c r="N381" s="874"/>
      <c r="O381" s="47">
        <f t="shared" si="152"/>
        <v>6.8843844967681589E-2</v>
      </c>
      <c r="P381" s="170">
        <f t="shared" si="152"/>
        <v>7.0777371429815795E-5</v>
      </c>
      <c r="Q381" s="312">
        <f t="shared" si="152"/>
        <v>0.9</v>
      </c>
      <c r="R381" s="313">
        <f t="shared" si="152"/>
        <v>5.9095280553741469E-3</v>
      </c>
      <c r="S381" s="839">
        <f t="shared" si="152"/>
        <v>-2</v>
      </c>
      <c r="T381" s="178">
        <f t="shared" si="152"/>
        <v>4</v>
      </c>
      <c r="U381" s="254">
        <f>MIN(U15:U380)</f>
        <v>-1.435205908199763</v>
      </c>
      <c r="V381" s="57">
        <f>MIN(V15:V380)</f>
        <v>13.885260838263731</v>
      </c>
      <c r="W381" s="58"/>
      <c r="X381" s="112" t="s">
        <v>7</v>
      </c>
      <c r="Y381" s="375">
        <f>MIN(Y15:Y380)</f>
        <v>0.708437509313945</v>
      </c>
      <c r="Z381" s="375">
        <f>MIN(Z15:Z380)</f>
        <v>0.76317308367874359</v>
      </c>
      <c r="AA381" s="375">
        <f>MIN(AA15:AA380)</f>
        <v>0.91244716960967398</v>
      </c>
      <c r="AB381" s="202" t="s">
        <v>7</v>
      </c>
      <c r="AC381" s="47">
        <f t="shared" ref="AC381:AH381" si="153">MIN(AC15:AC380)</f>
        <v>0.15217822520961027</v>
      </c>
      <c r="AD381" s="170">
        <f t="shared" si="153"/>
        <v>9.4899294034121273E-4</v>
      </c>
      <c r="AE381" s="312">
        <f t="shared" si="153"/>
        <v>0.9</v>
      </c>
      <c r="AF381" s="313">
        <f t="shared" si="153"/>
        <v>0.20044974410721572</v>
      </c>
      <c r="AG381" s="839">
        <f t="shared" si="153"/>
        <v>3</v>
      </c>
      <c r="AH381" s="178">
        <f t="shared" si="153"/>
        <v>9</v>
      </c>
      <c r="AI381" s="228">
        <f>MIN(AI15:AI380)</f>
        <v>3.2004497441072157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26.456830761792389</v>
      </c>
      <c r="C382" s="377"/>
      <c r="D382" s="377">
        <f>AVERAGE(D15:D380)</f>
        <v>28.535298539959634</v>
      </c>
      <c r="E382" s="377">
        <f>AVERAGE(E15:E380)</f>
        <v>31.662427560015232</v>
      </c>
      <c r="F382" s="378">
        <f>AVERAGE(F15:F380)</f>
        <v>31.786945905120174</v>
      </c>
      <c r="G382" s="126">
        <f>AVERAGE(G15:G380)</f>
        <v>0.71300570659414142</v>
      </c>
      <c r="H382" s="94"/>
      <c r="I382" s="378">
        <f>AVERAGE(I15:I380)</f>
        <v>40.692271104278028</v>
      </c>
      <c r="J382" s="59">
        <f>AVERAGE(J15:J380)</f>
        <v>2021.327868852459</v>
      </c>
      <c r="K382" s="202" t="s">
        <v>8</v>
      </c>
      <c r="L382" s="147">
        <f t="shared" ref="L382:V382" si="154">AVERAGE(L15:L380)</f>
        <v>7.2991944731209499E-2</v>
      </c>
      <c r="M382" s="872"/>
      <c r="N382" s="872"/>
      <c r="O382" s="48">
        <f t="shared" si="154"/>
        <v>9.8406305590510501E-2</v>
      </c>
      <c r="P382" s="171">
        <f t="shared" si="154"/>
        <v>1.1594857624779676E-2</v>
      </c>
      <c r="Q382" s="314">
        <f t="shared" si="154"/>
        <v>0.89999999999999813</v>
      </c>
      <c r="R382" s="179">
        <f t="shared" si="154"/>
        <v>0.43060373033876415</v>
      </c>
      <c r="S382" s="839">
        <f t="shared" si="154"/>
        <v>-1.473972602739726</v>
      </c>
      <c r="T382" s="178">
        <f t="shared" si="154"/>
        <v>4.5260273972602736</v>
      </c>
      <c r="U382" s="253">
        <f>AVERAGE(U15:U380)</f>
        <v>-1.043368872400962</v>
      </c>
      <c r="V382" s="59">
        <f t="shared" si="154"/>
        <v>36.018610640809754</v>
      </c>
      <c r="X382" s="112" t="s">
        <v>8</v>
      </c>
      <c r="Y382" s="377">
        <f>AVERAGE(Y15:Y380)</f>
        <v>23.618269778865699</v>
      </c>
      <c r="Z382" s="377">
        <f>AVERAGE(Z15:Z380)</f>
        <v>25.473730521985569</v>
      </c>
      <c r="AA382" s="377">
        <f>AVERAGE(AA15:AA380)</f>
        <v>30.707319479103525</v>
      </c>
      <c r="AB382" s="202" t="s">
        <v>8</v>
      </c>
      <c r="AC382" s="48">
        <f t="shared" ref="AC382:AH382" si="155">AVERAGE(AC15:AC380)</f>
        <v>0.16908851320822488</v>
      </c>
      <c r="AD382" s="171">
        <f t="shared" si="155"/>
        <v>9.1290664064027666E-2</v>
      </c>
      <c r="AE382" s="314">
        <f t="shared" si="155"/>
        <v>0.89999999999999813</v>
      </c>
      <c r="AF382" s="179">
        <f t="shared" si="155"/>
        <v>0.59228677990601675</v>
      </c>
      <c r="AG382" s="839">
        <f t="shared" si="155"/>
        <v>3</v>
      </c>
      <c r="AH382" s="178">
        <f t="shared" si="155"/>
        <v>9</v>
      </c>
      <c r="AI382" s="227">
        <f>AVERAGE(AI15:AI380)</f>
        <v>3.5922867799060154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54.959063108691232</v>
      </c>
      <c r="C383" s="379"/>
      <c r="D383" s="379">
        <f>MAX(D15:D380)</f>
        <v>59.281159716978301</v>
      </c>
      <c r="E383" s="379">
        <f>MAX(E15:E380)</f>
        <v>65.999646905088284</v>
      </c>
      <c r="F383" s="380">
        <f>MAX(F15:F380)</f>
        <v>66.004608536540772</v>
      </c>
      <c r="G383" s="127">
        <f>+MAX(G15:G380)</f>
        <v>1.0377981106491903</v>
      </c>
      <c r="H383" s="94"/>
      <c r="I383" s="380">
        <f>MAX(I15:I380)</f>
        <v>66.004608536540772</v>
      </c>
      <c r="J383" s="60">
        <f>MAX(J15:J380)</f>
        <v>2027</v>
      </c>
      <c r="K383" s="202" t="s">
        <v>9</v>
      </c>
      <c r="L383" s="148">
        <f t="shared" ref="L383:T383" si="156">MAX(L15:L380)</f>
        <v>7.6912717736194791E-2</v>
      </c>
      <c r="M383" s="875"/>
      <c r="N383" s="875"/>
      <c r="O383" s="49">
        <f t="shared" si="156"/>
        <v>0.11863093687909014</v>
      </c>
      <c r="P383" s="172">
        <f t="shared" si="156"/>
        <v>5.4126067106158034E-2</v>
      </c>
      <c r="Q383" s="315">
        <f t="shared" si="156"/>
        <v>0.9</v>
      </c>
      <c r="R383" s="316">
        <f t="shared" si="156"/>
        <v>0.99916066729166353</v>
      </c>
      <c r="S383" s="840">
        <f t="shared" si="156"/>
        <v>-1</v>
      </c>
      <c r="T383" s="235">
        <f t="shared" si="156"/>
        <v>5</v>
      </c>
      <c r="U383" s="255">
        <f>MAX(U15:U380)</f>
        <v>-0.73520769045040268</v>
      </c>
      <c r="V383" s="60">
        <f>MAX(V15:V380)</f>
        <v>54.022656800941554</v>
      </c>
      <c r="X383" s="112" t="s">
        <v>9</v>
      </c>
      <c r="Y383" s="379">
        <f>MAX(Y15:Y380)</f>
        <v>50.444039376687478</v>
      </c>
      <c r="Z383" s="379">
        <f>MAX(Z15:Z380)</f>
        <v>54.411064998414311</v>
      </c>
      <c r="AA383" s="379">
        <f>MAX(AA15:AA380)</f>
        <v>65.933384696162165</v>
      </c>
      <c r="AB383" s="202" t="s">
        <v>9</v>
      </c>
      <c r="AC383" s="49">
        <f t="shared" ref="AC383:AH383" si="157">MAX(AC15:AC380)</f>
        <v>0.17963845971174738</v>
      </c>
      <c r="AD383" s="172">
        <f t="shared" si="157"/>
        <v>0.31333711035413636</v>
      </c>
      <c r="AE383" s="315">
        <f t="shared" si="157"/>
        <v>0.9</v>
      </c>
      <c r="AF383" s="316">
        <f t="shared" si="157"/>
        <v>0.90044796185657638</v>
      </c>
      <c r="AG383" s="840">
        <f t="shared" si="157"/>
        <v>3</v>
      </c>
      <c r="AH383" s="235">
        <f t="shared" si="157"/>
        <v>9</v>
      </c>
      <c r="AI383" s="229">
        <f>MAX(AI15:AI380)</f>
        <v>3.9004479618565764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7"/>
      <c r="AK384" s="857"/>
      <c r="AL384" s="857"/>
      <c r="AM384" s="857"/>
      <c r="AN384" s="406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" priority="5" stopIfTrue="1" operator="lessThan">
      <formula>0.01</formula>
    </cfRule>
    <cfRule type="cellIs" dxfId="0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/>
  <dimension ref="A1:AH195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F49" sqref="F49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4" width="8" style="639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44" customWidth="1"/>
    <col min="19" max="19" width="8" style="21" customWidth="1"/>
    <col min="20" max="20" width="8" style="15" customWidth="1"/>
    <col min="21" max="21" width="8" style="21" customWidth="1"/>
    <col min="22" max="22" width="8.140625" style="15" customWidth="1"/>
    <col min="23" max="23" width="6.85546875" style="21" customWidth="1"/>
    <col min="24" max="24" width="6.85546875" style="715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5" max="16384" width="11.42578125" style="15"/>
  </cols>
  <sheetData>
    <row r="1" spans="1:31" ht="21.75" thickBot="1" x14ac:dyDescent="0.4">
      <c r="A1" s="671" t="str">
        <f>"Calcul Masques  "&amp;Station</f>
        <v>Calcul Masques  Crèche Ayguesvives</v>
      </c>
      <c r="B1" s="1216" t="str">
        <f>Station</f>
        <v>Crèche Ayguesvives</v>
      </c>
      <c r="C1" s="1217"/>
      <c r="D1" s="1217"/>
      <c r="E1" s="1217"/>
      <c r="F1" s="1218"/>
      <c r="H1" s="22" t="s">
        <v>307</v>
      </c>
      <c r="I1" s="1223">
        <v>44567</v>
      </c>
      <c r="J1" s="1224"/>
      <c r="K1" s="1050"/>
      <c r="M1" s="813" t="s">
        <v>170</v>
      </c>
      <c r="N1" s="673"/>
      <c r="O1" s="674"/>
      <c r="P1" s="674"/>
      <c r="Q1" s="673"/>
      <c r="R1" s="673"/>
      <c r="S1" s="675"/>
      <c r="T1" s="676"/>
      <c r="U1" s="675"/>
      <c r="V1" s="673"/>
      <c r="W1" s="675"/>
      <c r="X1" s="673"/>
      <c r="Y1" s="15"/>
      <c r="AA1" s="15"/>
    </row>
    <row r="2" spans="1:31" s="6" customFormat="1" ht="12.75" customHeight="1" thickBot="1" x14ac:dyDescent="0.25">
      <c r="A2" s="1124" t="s">
        <v>339</v>
      </c>
      <c r="C2" s="677"/>
      <c r="D2" s="678"/>
      <c r="E2" s="1127"/>
      <c r="F2" s="1127"/>
      <c r="G2" s="26"/>
      <c r="H2" s="25"/>
      <c r="L2" s="8"/>
      <c r="P2" s="935" t="s">
        <v>310</v>
      </c>
      <c r="S2" s="26"/>
      <c r="T2" s="26"/>
      <c r="V2" s="26"/>
    </row>
    <row r="3" spans="1:31" ht="16.5" thickBot="1" x14ac:dyDescent="0.3">
      <c r="A3" s="680" t="s">
        <v>340</v>
      </c>
      <c r="B3" s="681"/>
      <c r="C3" s="681"/>
      <c r="E3" s="1128"/>
      <c r="F3" s="1129" t="s">
        <v>192</v>
      </c>
      <c r="G3" s="20"/>
      <c r="H3" s="22" t="s">
        <v>15</v>
      </c>
      <c r="I3" s="931">
        <v>0.3</v>
      </c>
      <c r="J3" s="933">
        <f>DEGREES(ATAN(I3))</f>
        <v>16.699244233993621</v>
      </c>
      <c r="K3" s="933"/>
      <c r="L3" s="850"/>
      <c r="M3" s="15"/>
      <c r="O3" s="639"/>
      <c r="P3" s="22" t="s">
        <v>315</v>
      </c>
      <c r="Q3" s="932" t="s">
        <v>334</v>
      </c>
      <c r="R3" s="937">
        <f>H_pv</f>
        <v>3.6752767804040829</v>
      </c>
      <c r="T3" s="21"/>
      <c r="U3" s="15"/>
      <c r="V3" s="21"/>
      <c r="W3" s="15"/>
      <c r="X3" s="15"/>
      <c r="Y3" s="15"/>
      <c r="AA3" s="15"/>
    </row>
    <row r="4" spans="1:31" s="25" customFormat="1" ht="12" thickBot="1" x14ac:dyDescent="0.25">
      <c r="A4" s="682" t="s">
        <v>139</v>
      </c>
      <c r="B4" s="1007" t="s">
        <v>140</v>
      </c>
      <c r="C4" s="1007" t="s">
        <v>141</v>
      </c>
      <c r="D4" s="1007" t="s">
        <v>142</v>
      </c>
      <c r="E4" s="1008" t="s">
        <v>168</v>
      </c>
      <c r="F4" s="683" t="s">
        <v>191</v>
      </c>
      <c r="I4" s="6"/>
      <c r="J4" s="949" t="s">
        <v>311</v>
      </c>
      <c r="K4" s="949"/>
      <c r="L4" s="6"/>
      <c r="N4" s="949" t="s">
        <v>311</v>
      </c>
      <c r="Q4" s="951"/>
      <c r="R4" s="6"/>
      <c r="T4" s="26"/>
      <c r="U4" s="6"/>
      <c r="V4" s="26"/>
      <c r="W4" s="6"/>
    </row>
    <row r="5" spans="1:31" ht="16.5" thickBot="1" x14ac:dyDescent="0.3">
      <c r="A5" s="684" t="s">
        <v>143</v>
      </c>
      <c r="B5" s="1009">
        <v>2</v>
      </c>
      <c r="C5" s="1010">
        <v>15</v>
      </c>
      <c r="D5" s="173">
        <f>+C5*B5</f>
        <v>30</v>
      </c>
      <c r="E5" s="1011">
        <v>0.3</v>
      </c>
      <c r="F5" s="685">
        <f>+D5*E5</f>
        <v>9</v>
      </c>
      <c r="G5" s="639"/>
      <c r="H5" s="22" t="s">
        <v>308</v>
      </c>
      <c r="I5" s="932">
        <v>68</v>
      </c>
      <c r="J5" s="933">
        <f>90-$J$3</f>
        <v>73.300755766006375</v>
      </c>
      <c r="K5" s="933"/>
      <c r="L5" s="22" t="s">
        <v>309</v>
      </c>
      <c r="M5" s="932">
        <v>68</v>
      </c>
      <c r="N5" s="933">
        <f>90-$J$3</f>
        <v>73.300755766006375</v>
      </c>
      <c r="O5" s="639"/>
      <c r="P5" s="22" t="s">
        <v>312</v>
      </c>
      <c r="Q5" s="932" t="s">
        <v>330</v>
      </c>
      <c r="R5" s="936">
        <f>+IF($Q$5="G",Azi_pvG,Azi_pvD)</f>
        <v>68</v>
      </c>
      <c r="S5" s="934">
        <f>+IF($Q$5="G",J5,N5)</f>
        <v>73.300755766006375</v>
      </c>
      <c r="T5" s="21"/>
      <c r="U5" s="15"/>
      <c r="V5" s="21"/>
      <c r="W5" s="15"/>
      <c r="X5" s="15"/>
      <c r="Y5" s="15"/>
      <c r="AA5" s="15"/>
      <c r="AD5" s="934"/>
      <c r="AE5" s="934"/>
    </row>
    <row r="6" spans="1:31" s="6" customFormat="1" ht="11.25" x14ac:dyDescent="0.2">
      <c r="A6" s="564" t="s">
        <v>138</v>
      </c>
      <c r="B6" s="8">
        <f>1.776+0.002+0.01</f>
        <v>1.788</v>
      </c>
      <c r="C6" s="8">
        <f>1.052+0.002+0.01</f>
        <v>1.0640000000000001</v>
      </c>
      <c r="E6" s="638"/>
      <c r="F6" s="602"/>
      <c r="G6" s="25"/>
      <c r="N6" s="18"/>
      <c r="R6" s="26"/>
      <c r="S6" s="679"/>
      <c r="T6" s="26"/>
      <c r="V6" s="26"/>
      <c r="AD6" s="934"/>
      <c r="AE6" s="934"/>
    </row>
    <row r="7" spans="1:31" s="6" customFormat="1" ht="19.5" thickBot="1" x14ac:dyDescent="0.35">
      <c r="A7" s="16" t="s">
        <v>163</v>
      </c>
      <c r="D7" s="686"/>
      <c r="F7" s="8"/>
      <c r="G7" s="26"/>
      <c r="M7" s="687" t="s">
        <v>144</v>
      </c>
      <c r="N7" s="26"/>
      <c r="O7" s="18"/>
      <c r="P7" s="18"/>
      <c r="S7" s="687" t="s">
        <v>144</v>
      </c>
      <c r="U7" s="26"/>
      <c r="V7" s="26"/>
      <c r="Y7" s="688"/>
      <c r="Z7" s="679"/>
    </row>
    <row r="8" spans="1:31" s="19" customFormat="1" ht="16.5" thickBot="1" x14ac:dyDescent="0.3">
      <c r="A8" s="680" t="s">
        <v>171</v>
      </c>
      <c r="D8" s="105"/>
      <c r="F8" s="136" t="s">
        <v>240</v>
      </c>
      <c r="G8" s="1013">
        <v>1.66</v>
      </c>
      <c r="H8" s="29"/>
      <c r="I8" s="31"/>
      <c r="L8" s="689" t="s">
        <v>172</v>
      </c>
      <c r="M8" s="29"/>
      <c r="O8" s="29"/>
      <c r="P8" s="34"/>
      <c r="R8" s="689" t="s">
        <v>173</v>
      </c>
      <c r="S8" s="29"/>
      <c r="U8" s="29"/>
      <c r="V8" s="29"/>
      <c r="Y8" s="689" t="s">
        <v>174</v>
      </c>
      <c r="Z8" s="690"/>
    </row>
    <row r="9" spans="1:31" s="19" customFormat="1" ht="15.75" thickBot="1" x14ac:dyDescent="0.3">
      <c r="A9" s="691" t="s">
        <v>175</v>
      </c>
      <c r="B9" s="994" t="s">
        <v>176</v>
      </c>
      <c r="C9" s="994" t="s">
        <v>177</v>
      </c>
      <c r="D9" s="691" t="s">
        <v>178</v>
      </c>
      <c r="E9" s="691" t="s">
        <v>179</v>
      </c>
      <c r="F9" s="994" t="s">
        <v>180</v>
      </c>
      <c r="G9" s="1012" t="s">
        <v>181</v>
      </c>
      <c r="H9" s="692" t="s">
        <v>147</v>
      </c>
      <c r="I9" s="693" t="s">
        <v>182</v>
      </c>
      <c r="L9" s="694" t="s">
        <v>149</v>
      </c>
      <c r="M9" s="701" t="s">
        <v>150</v>
      </c>
      <c r="N9" s="701" t="s">
        <v>151</v>
      </c>
      <c r="O9" s="701" t="s">
        <v>152</v>
      </c>
      <c r="P9" s="34"/>
      <c r="R9" s="694" t="s">
        <v>149</v>
      </c>
      <c r="S9" s="701" t="s">
        <v>150</v>
      </c>
      <c r="T9" s="701" t="s">
        <v>151</v>
      </c>
      <c r="U9" s="701" t="s">
        <v>152</v>
      </c>
      <c r="V9" s="562"/>
      <c r="W9" s="817" t="s">
        <v>293</v>
      </c>
    </row>
    <row r="10" spans="1:31" s="19" customFormat="1" x14ac:dyDescent="0.25">
      <c r="A10" s="814" t="s">
        <v>289</v>
      </c>
      <c r="B10" s="995">
        <f>-9.77+14.92</f>
        <v>5.15</v>
      </c>
      <c r="C10" s="996"/>
      <c r="D10" s="1071">
        <f>DEGREES(ATAN2(H10,F10))</f>
        <v>1.08638302224692</v>
      </c>
      <c r="E10" s="1071">
        <f>DEGREES(ATAN2(H10,G10))</f>
        <v>0</v>
      </c>
      <c r="F10" s="995">
        <f>Hrm</f>
        <v>1.66</v>
      </c>
      <c r="G10" s="996"/>
      <c r="H10" s="558">
        <f>SQRT(POWER(N10-T$10,2)+POWER(M10-S$10,2))</f>
        <v>87.537814685997319</v>
      </c>
      <c r="I10" s="696">
        <f>(D10-E10)/(B10-C10)</f>
        <v>0.2109481596595961</v>
      </c>
      <c r="J10" s="43"/>
      <c r="K10" s="43"/>
      <c r="L10" s="1125" t="str">
        <f>A10</f>
        <v>barrière bois à l'angle droit</v>
      </c>
      <c r="M10" s="1000">
        <v>6691.56</v>
      </c>
      <c r="N10" s="940">
        <v>275.85000000000002</v>
      </c>
      <c r="O10" s="941">
        <v>169.21</v>
      </c>
      <c r="P10" s="851"/>
      <c r="Q10" s="851"/>
      <c r="R10" s="815" t="s">
        <v>290</v>
      </c>
      <c r="S10" s="1000">
        <v>6658.39</v>
      </c>
      <c r="T10" s="940">
        <v>194.84</v>
      </c>
      <c r="U10" s="941">
        <v>173.76</v>
      </c>
      <c r="V10" s="697" t="s">
        <v>183</v>
      </c>
      <c r="W10" s="1004">
        <f>1.6+U10-U12-1</f>
        <v>5.2699999999999818</v>
      </c>
      <c r="X10" s="43" t="s">
        <v>85</v>
      </c>
      <c r="Y10" s="628" t="s">
        <v>294</v>
      </c>
      <c r="Z10" s="631"/>
      <c r="AA10" s="562"/>
      <c r="AB10" s="562"/>
      <c r="AD10" s="19">
        <v>1</v>
      </c>
    </row>
    <row r="11" spans="1:31" s="19" customFormat="1" x14ac:dyDescent="0.25">
      <c r="A11" s="814" t="s">
        <v>289</v>
      </c>
      <c r="B11" s="997">
        <v>17.5</v>
      </c>
      <c r="C11" s="989"/>
      <c r="D11" s="1071">
        <f>DEGREES(ATAN2(H11,F11))</f>
        <v>7.7693994821530366</v>
      </c>
      <c r="E11" s="1071">
        <f>DEGREES(ATAN2(H11,G11))</f>
        <v>0</v>
      </c>
      <c r="F11" s="997">
        <f>Hrm</f>
        <v>1.66</v>
      </c>
      <c r="G11" s="989"/>
      <c r="H11" s="558">
        <f>SQRT(POWER(N11-T$11,2)+POWER(M11-S$11,2))</f>
        <v>12.166618264743926</v>
      </c>
      <c r="I11" s="696">
        <f>(D11-E11)/(B11-C11)</f>
        <v>0.44396568469445924</v>
      </c>
      <c r="J11" s="117"/>
      <c r="K11" s="43"/>
      <c r="L11" s="1125" t="str">
        <f>A11</f>
        <v>barrière bois à l'angle droit</v>
      </c>
      <c r="M11" s="1001">
        <v>6691.56</v>
      </c>
      <c r="N11" s="632">
        <v>275.85000000000002</v>
      </c>
      <c r="O11" s="942">
        <v>169.21</v>
      </c>
      <c r="P11" s="852"/>
      <c r="Q11" s="852"/>
      <c r="R11" s="816" t="s">
        <v>291</v>
      </c>
      <c r="S11" s="1001">
        <v>6682.35</v>
      </c>
      <c r="T11" s="632">
        <v>283.8</v>
      </c>
      <c r="U11" s="942">
        <v>169.22</v>
      </c>
      <c r="V11" s="698" t="s">
        <v>184</v>
      </c>
      <c r="W11" s="1005">
        <v>1.6</v>
      </c>
      <c r="X11" s="117" t="s">
        <v>85</v>
      </c>
      <c r="Y11" s="629" t="s">
        <v>295</v>
      </c>
      <c r="Z11" s="631"/>
      <c r="AA11" s="562"/>
      <c r="AB11" s="562"/>
      <c r="AD11" s="19">
        <v>2</v>
      </c>
    </row>
    <row r="12" spans="1:31" s="19" customFormat="1" ht="15.75" thickBot="1" x14ac:dyDescent="0.3">
      <c r="A12" s="814" t="s">
        <v>288</v>
      </c>
      <c r="B12" s="998">
        <v>1.08</v>
      </c>
      <c r="C12" s="999">
        <v>-2.77</v>
      </c>
      <c r="D12" s="1071">
        <f>DEGREES(ATAN2(H12,F12))</f>
        <v>1.0675616042574967</v>
      </c>
      <c r="E12" s="1071">
        <f>DEGREES(ATAN2(H12,G12))</f>
        <v>-2.736332455739761</v>
      </c>
      <c r="F12" s="998">
        <f>B12/(B12-C12)*Hrm</f>
        <v>0.46566233766233772</v>
      </c>
      <c r="G12" s="999">
        <f>C12/(-C12+B12)*Hrm</f>
        <v>-1.1943376623376623</v>
      </c>
      <c r="H12" s="558">
        <f>SQRT(POWER(N12-T$12,2)+POWER(M12-S$12,2))</f>
        <v>24.989095621891053</v>
      </c>
      <c r="I12" s="696">
        <f>(D12-E12)/(B12-C12)</f>
        <v>0.98802443116811878</v>
      </c>
      <c r="J12" s="117"/>
      <c r="K12" s="43"/>
      <c r="L12" s="1125" t="str">
        <f>A12</f>
        <v>barrière bois / mur gauche</v>
      </c>
      <c r="M12" s="1002">
        <v>6685</v>
      </c>
      <c r="N12" s="943">
        <v>291.63</v>
      </c>
      <c r="O12" s="1003">
        <v>169.06</v>
      </c>
      <c r="P12" s="852"/>
      <c r="Q12" s="852"/>
      <c r="R12" s="816" t="s">
        <v>292</v>
      </c>
      <c r="S12" s="1002">
        <v>6665.15</v>
      </c>
      <c r="T12" s="943">
        <v>276.45</v>
      </c>
      <c r="U12" s="1003">
        <v>169.09</v>
      </c>
      <c r="V12" s="698" t="s">
        <v>241</v>
      </c>
      <c r="W12" s="1006">
        <v>1.6</v>
      </c>
      <c r="X12" s="117" t="s">
        <v>85</v>
      </c>
      <c r="Y12" s="629" t="s">
        <v>296</v>
      </c>
      <c r="Z12" s="631"/>
      <c r="AA12" s="562"/>
      <c r="AB12" s="562"/>
      <c r="AD12" s="19">
        <v>3</v>
      </c>
    </row>
    <row r="13" spans="1:31" s="6" customFormat="1" ht="11.25" x14ac:dyDescent="0.2">
      <c r="A13" s="564"/>
      <c r="C13" s="61"/>
      <c r="E13" s="61"/>
      <c r="G13" s="61"/>
      <c r="H13" s="74"/>
      <c r="I13" s="819"/>
      <c r="O13" s="18"/>
      <c r="P13" s="18"/>
      <c r="U13" s="820"/>
      <c r="V13" s="26"/>
      <c r="Y13" s="26"/>
      <c r="Z13" s="679"/>
      <c r="AA13" s="821"/>
      <c r="AB13" s="822"/>
      <c r="AC13" s="823"/>
      <c r="AD13" s="822"/>
    </row>
    <row r="14" spans="1:31" s="19" customFormat="1" ht="15.75" x14ac:dyDescent="0.25">
      <c r="A14" s="680" t="s">
        <v>161</v>
      </c>
      <c r="B14" s="700"/>
      <c r="C14" s="28"/>
      <c r="D14" s="136" t="s">
        <v>332</v>
      </c>
      <c r="E14" s="1112">
        <f>IF(Q5&amp;Q3="DE",4,IF(Q5&amp;Q3="DC",3,IF(Q5&amp;Q3="GC",2,1)))</f>
        <v>1</v>
      </c>
      <c r="F14" s="1101">
        <f>+CHOOSE(E14,F16,F17,F18,F19)</f>
        <v>3.6752767804040829</v>
      </c>
      <c r="G14" s="935" t="s">
        <v>333</v>
      </c>
      <c r="K14" s="945"/>
      <c r="L14" s="6"/>
      <c r="M14" s="687" t="s">
        <v>144</v>
      </c>
      <c r="N14" s="71"/>
      <c r="O14" s="690"/>
      <c r="Q14" s="419"/>
      <c r="W14" s="29"/>
      <c r="Z14" s="29"/>
    </row>
    <row r="15" spans="1:31" s="19" customFormat="1" ht="13.5" thickBot="1" x14ac:dyDescent="0.25">
      <c r="A15" s="701" t="s">
        <v>149</v>
      </c>
      <c r="B15" s="702" t="s">
        <v>185</v>
      </c>
      <c r="C15" s="701" t="s">
        <v>145</v>
      </c>
      <c r="D15" s="701" t="s">
        <v>146</v>
      </c>
      <c r="E15" s="701" t="s">
        <v>147</v>
      </c>
      <c r="F15" s="701" t="s">
        <v>148</v>
      </c>
      <c r="G15" s="701" t="s">
        <v>154</v>
      </c>
      <c r="H15" s="701" t="s">
        <v>155</v>
      </c>
      <c r="I15" s="701" t="s">
        <v>153</v>
      </c>
      <c r="K15" s="1051"/>
      <c r="L15" s="703" t="s">
        <v>149</v>
      </c>
      <c r="M15" s="701" t="s">
        <v>150</v>
      </c>
      <c r="N15" s="701" t="s">
        <v>151</v>
      </c>
      <c r="O15" s="701" t="s">
        <v>152</v>
      </c>
      <c r="P15" s="29"/>
      <c r="Q15" s="249"/>
    </row>
    <row r="16" spans="1:31" s="19" customFormat="1" ht="12.75" x14ac:dyDescent="0.2">
      <c r="A16" s="973" t="s">
        <v>317</v>
      </c>
      <c r="B16" s="971">
        <v>3</v>
      </c>
      <c r="C16" s="977">
        <v>3.81</v>
      </c>
      <c r="D16" s="938">
        <f>C16*CHOOSE(B16,Rata1,Rata2,Rata3)</f>
        <v>3.7643730827505326</v>
      </c>
      <c r="E16" s="939">
        <f>SQRT(+POWER(M16-CHOOSE(B16,$S$10,$S$11,$S$12),2)+POWER(N16-CHOOSE(B16,$T$10,$T$11,$T$12),2))</f>
        <v>31.54136473669395</v>
      </c>
      <c r="F16" s="938">
        <f>E16*TAN(RADIANS(D16))+CHOOSE(B16,Hobs1,Hobs2,Hobs3)</f>
        <v>3.6752767804040829</v>
      </c>
      <c r="G16" s="958"/>
      <c r="H16" s="952"/>
      <c r="I16" s="952"/>
      <c r="J16" s="1055"/>
      <c r="K16" s="1052"/>
      <c r="L16" s="957" t="str">
        <f t="shared" ref="L16:L43" si="0">A16</f>
        <v>Centre du champ PV G.E.:</v>
      </c>
      <c r="M16" s="981">
        <v>6695.8537500000002</v>
      </c>
      <c r="N16" s="961">
        <v>283.67062499999997</v>
      </c>
      <c r="O16" s="962">
        <v>169.01</v>
      </c>
      <c r="P16" s="29"/>
      <c r="Q16" s="704"/>
      <c r="W16" s="29"/>
    </row>
    <row r="17" spans="1:17" s="39" customFormat="1" ht="12.75" x14ac:dyDescent="0.2">
      <c r="A17" s="974" t="s">
        <v>314</v>
      </c>
      <c r="B17" s="972">
        <v>3</v>
      </c>
      <c r="C17" s="978"/>
      <c r="D17" s="918"/>
      <c r="E17" s="919"/>
      <c r="F17" s="963">
        <f>F16</f>
        <v>3.6752767804040829</v>
      </c>
      <c r="G17" s="959"/>
      <c r="H17" s="953"/>
      <c r="I17" s="953"/>
      <c r="J17" s="1056"/>
      <c r="K17" s="1053"/>
      <c r="L17" s="964" t="str">
        <f t="shared" si="0"/>
        <v>Centre du champ PV G.C.:</v>
      </c>
      <c r="M17" s="982">
        <v>6694.5012500000012</v>
      </c>
      <c r="N17" s="965">
        <v>287.14187500000003</v>
      </c>
      <c r="O17" s="966">
        <v>168.96</v>
      </c>
      <c r="P17" s="705"/>
      <c r="Q17" s="706"/>
    </row>
    <row r="18" spans="1:17" s="28" customFormat="1" ht="12.75" x14ac:dyDescent="0.2">
      <c r="A18" s="974" t="s">
        <v>313</v>
      </c>
      <c r="B18" s="666">
        <v>3</v>
      </c>
      <c r="C18" s="979"/>
      <c r="D18" s="963"/>
      <c r="E18" s="967"/>
      <c r="F18" s="963">
        <f>F17</f>
        <v>3.6752767804040829</v>
      </c>
      <c r="G18" s="960"/>
      <c r="H18" s="954"/>
      <c r="I18" s="954"/>
      <c r="J18" s="165" t="s">
        <v>186</v>
      </c>
      <c r="K18" s="1053"/>
      <c r="L18" s="968" t="str">
        <f t="shared" si="0"/>
        <v>Centre du champ PV D.C.:</v>
      </c>
      <c r="M18" s="982">
        <v>6693.1487500000003</v>
      </c>
      <c r="N18" s="965">
        <v>290.61312499999997</v>
      </c>
      <c r="O18" s="966">
        <v>168.96</v>
      </c>
    </row>
    <row r="19" spans="1:17" s="34" customFormat="1" ht="13.5" thickBot="1" x14ac:dyDescent="0.25">
      <c r="A19" s="975" t="s">
        <v>316</v>
      </c>
      <c r="B19" s="969">
        <v>3</v>
      </c>
      <c r="C19" s="980"/>
      <c r="D19" s="1014"/>
      <c r="E19" s="1015"/>
      <c r="F19" s="1016">
        <f>F18</f>
        <v>3.6752767804040829</v>
      </c>
      <c r="G19" s="1017"/>
      <c r="H19" s="1018"/>
      <c r="I19" s="1018"/>
      <c r="J19" s="166" t="s">
        <v>187</v>
      </c>
      <c r="K19" s="1063" t="s">
        <v>326</v>
      </c>
      <c r="L19" s="1019" t="str">
        <f t="shared" si="0"/>
        <v>Centre du champ PV D.E.:</v>
      </c>
      <c r="M19" s="983">
        <v>6691.7962500000012</v>
      </c>
      <c r="N19" s="970">
        <v>294.08437500000002</v>
      </c>
      <c r="O19" s="984">
        <v>168.96</v>
      </c>
    </row>
    <row r="20" spans="1:17" s="34" customFormat="1" ht="12.75" x14ac:dyDescent="0.2">
      <c r="A20" s="985" t="s">
        <v>298</v>
      </c>
      <c r="B20" s="986"/>
      <c r="C20" s="977"/>
      <c r="D20" s="1020"/>
      <c r="E20" s="917"/>
      <c r="F20" s="916"/>
      <c r="G20" s="1021"/>
      <c r="H20" s="1022">
        <v>0</v>
      </c>
      <c r="I20" s="1113">
        <f>+Azi_pv_sel+$AC56-270</f>
        <v>-202</v>
      </c>
      <c r="J20" s="1117">
        <f t="shared" ref="J20:J35" si="1">I21-I20</f>
        <v>90</v>
      </c>
      <c r="K20" s="1064"/>
      <c r="L20" s="1058" t="str">
        <f t="shared" si="0"/>
        <v>Toiture</v>
      </c>
      <c r="M20" s="981"/>
      <c r="N20" s="961"/>
      <c r="O20" s="962"/>
    </row>
    <row r="21" spans="1:17" s="34" customFormat="1" ht="12.75" x14ac:dyDescent="0.2">
      <c r="A21" s="987" t="s">
        <v>162</v>
      </c>
      <c r="B21" s="666"/>
      <c r="C21" s="978"/>
      <c r="D21" s="918"/>
      <c r="E21" s="919"/>
      <c r="F21" s="918"/>
      <c r="G21" s="920"/>
      <c r="H21" s="667">
        <f>+$J$3</f>
        <v>16.699244233993621</v>
      </c>
      <c r="I21" s="1114">
        <f>+Azi_pv_sel+$AC57-180</f>
        <v>-112</v>
      </c>
      <c r="J21" s="1118">
        <f t="shared" si="1"/>
        <v>59.788093096174883</v>
      </c>
      <c r="K21" s="1065"/>
      <c r="L21" s="1059" t="str">
        <f t="shared" si="0"/>
        <v>Arrière PV</v>
      </c>
      <c r="M21" s="992">
        <v>6697.92</v>
      </c>
      <c r="N21" s="669">
        <v>290.66000000000003</v>
      </c>
      <c r="O21" s="993">
        <v>169.02</v>
      </c>
    </row>
    <row r="22" spans="1:17" s="34" customFormat="1" ht="12.75" x14ac:dyDescent="0.2">
      <c r="A22" s="988" t="s">
        <v>299</v>
      </c>
      <c r="B22" s="972">
        <v>1</v>
      </c>
      <c r="C22" s="978">
        <v>15.31</v>
      </c>
      <c r="D22" s="918">
        <f t="shared" ref="D22:D35" si="2">C22*CHOOSE(B22,Rata1,Rata2,Rata3)</f>
        <v>3.2296163243884162</v>
      </c>
      <c r="E22" s="919">
        <f t="shared" ref="E22:E35" si="3">SQRT(+POWER(M22-CHOOSE(B22,$S$10,$S$11,$S$12),2)+POWER(N22-CHOOSE(B22,$T$10,$T$11,$T$12),2))</f>
        <v>96.111652779462318</v>
      </c>
      <c r="F22" s="918">
        <f t="shared" ref="F22:F35" si="4">E22*TAN(RADIANS(D22))+CHOOSE(B22,Hobs1,Hobs2,Hobs3)</f>
        <v>10.693312697110343</v>
      </c>
      <c r="G22" s="920">
        <f t="shared" ref="G22:G35" si="5">SQRT(POWER($N22-CHOOSE($E$14,N$16,N$17,N$18,N$19),2)+POWER($M22-CHOOSE($E$14,M$16,M$17,M$18,M$19),2))</f>
        <v>48.471599049887921</v>
      </c>
      <c r="H22" s="1100">
        <f t="shared" ref="H22:H35" si="6">DEGREES(ATAN2(G22,$F22-F$14))</f>
        <v>8.2384092855485136</v>
      </c>
      <c r="I22" s="1115">
        <f t="shared" ref="I22:I35" si="7">DEGREES(ATAN2(CHOOSE($E$14,N$16,N$17,N$18,N$19)-$N22,CHOOSE($E$14,M$16,M$17,M$18,M$19)-$M22))+$AC58</f>
        <v>-52.211906903825117</v>
      </c>
      <c r="J22" s="1118">
        <f t="shared" si="1"/>
        <v>14.843012646865468</v>
      </c>
      <c r="K22" s="1065"/>
      <c r="L22" s="1060" t="str">
        <f t="shared" si="0"/>
        <v>Groupe arbre 1 Est</v>
      </c>
      <c r="M22" s="982">
        <v>6734.16</v>
      </c>
      <c r="N22" s="965">
        <v>253.97</v>
      </c>
      <c r="O22" s="966">
        <v>169.88</v>
      </c>
    </row>
    <row r="23" spans="1:17" s="34" customFormat="1" ht="12.75" x14ac:dyDescent="0.2">
      <c r="A23" s="988" t="s">
        <v>301</v>
      </c>
      <c r="B23" s="972">
        <v>1</v>
      </c>
      <c r="C23" s="978">
        <v>21.59</v>
      </c>
      <c r="D23" s="918">
        <f t="shared" si="2"/>
        <v>4.5543707670506794</v>
      </c>
      <c r="E23" s="919">
        <f t="shared" si="3"/>
        <v>77.112163113220447</v>
      </c>
      <c r="F23" s="918">
        <f t="shared" si="4"/>
        <v>11.412493123890084</v>
      </c>
      <c r="G23" s="920">
        <f t="shared" si="5"/>
        <v>47.863001127730122</v>
      </c>
      <c r="H23" s="1100">
        <f t="shared" si="6"/>
        <v>9.1826206268670525</v>
      </c>
      <c r="I23" s="1115">
        <f t="shared" si="7"/>
        <v>-37.368894256959649</v>
      </c>
      <c r="J23" s="1118">
        <f t="shared" si="1"/>
        <v>15.036537734565236</v>
      </c>
      <c r="K23" s="1065" t="s">
        <v>330</v>
      </c>
      <c r="L23" s="1061" t="str">
        <f t="shared" si="0"/>
        <v>Groupe arbre 1 Sud</v>
      </c>
      <c r="M23" s="982">
        <v>6719.4</v>
      </c>
      <c r="N23" s="965">
        <v>242</v>
      </c>
      <c r="O23" s="966">
        <v>170.08</v>
      </c>
    </row>
    <row r="24" spans="1:17" s="34" customFormat="1" ht="12.75" x14ac:dyDescent="0.2">
      <c r="A24" s="988" t="s">
        <v>300</v>
      </c>
      <c r="B24" s="972">
        <v>1</v>
      </c>
      <c r="C24" s="978">
        <v>13.62</v>
      </c>
      <c r="D24" s="918">
        <f t="shared" si="2"/>
        <v>2.8731139345636985</v>
      </c>
      <c r="E24" s="919">
        <f t="shared" si="3"/>
        <v>86.970028170628922</v>
      </c>
      <c r="F24" s="918">
        <f t="shared" si="4"/>
        <v>9.6347970896709114</v>
      </c>
      <c r="G24" s="920">
        <f t="shared" si="5"/>
        <v>14.227775281228071</v>
      </c>
      <c r="H24" s="1100">
        <f t="shared" si="6"/>
        <v>22.727114936447027</v>
      </c>
      <c r="I24" s="1115">
        <f t="shared" si="7"/>
        <v>-22.332356522394413</v>
      </c>
      <c r="J24" s="1118">
        <f t="shared" si="1"/>
        <v>19.865462113139252</v>
      </c>
      <c r="K24" s="1065"/>
      <c r="L24" s="1060" t="str">
        <f t="shared" si="0"/>
        <v>Groupe arbre 1 Ouest</v>
      </c>
      <c r="M24" s="982">
        <v>6701.26</v>
      </c>
      <c r="N24" s="965">
        <v>270.51</v>
      </c>
      <c r="O24" s="966">
        <v>169.6</v>
      </c>
    </row>
    <row r="25" spans="1:17" s="34" customFormat="1" ht="12.75" x14ac:dyDescent="0.2">
      <c r="A25" s="988" t="s">
        <v>306</v>
      </c>
      <c r="B25" s="972">
        <v>2</v>
      </c>
      <c r="C25" s="978">
        <v>21.1</v>
      </c>
      <c r="D25" s="918">
        <f t="shared" si="2"/>
        <v>9.3676759470530904</v>
      </c>
      <c r="E25" s="919">
        <f t="shared" si="3"/>
        <v>34.928665877757069</v>
      </c>
      <c r="F25" s="918">
        <f t="shared" si="4"/>
        <v>7.3621595764381134</v>
      </c>
      <c r="G25" s="920">
        <f t="shared" si="5"/>
        <v>31.509826474500347</v>
      </c>
      <c r="H25" s="1100">
        <f t="shared" si="6"/>
        <v>6.6736845829903579</v>
      </c>
      <c r="I25" s="1115">
        <f t="shared" si="7"/>
        <v>-2.466894409255163</v>
      </c>
      <c r="J25" s="1118">
        <f t="shared" si="1"/>
        <v>15.016317671897724</v>
      </c>
      <c r="K25" s="1065"/>
      <c r="L25" s="1060" t="str">
        <f t="shared" si="0"/>
        <v>Creux 1 (A4)</v>
      </c>
      <c r="M25" s="982">
        <v>6697.21</v>
      </c>
      <c r="N25" s="965">
        <v>252.19</v>
      </c>
      <c r="O25" s="966">
        <v>169.79</v>
      </c>
    </row>
    <row r="26" spans="1:17" s="34" customFormat="1" ht="12.75" x14ac:dyDescent="0.2">
      <c r="A26" s="988" t="s">
        <v>156</v>
      </c>
      <c r="B26" s="972">
        <v>1</v>
      </c>
      <c r="C26" s="978">
        <v>20.04</v>
      </c>
      <c r="D26" s="918">
        <f t="shared" si="2"/>
        <v>4.2274011195783059</v>
      </c>
      <c r="E26" s="919">
        <f t="shared" si="3"/>
        <v>66.239953200466545</v>
      </c>
      <c r="F26" s="918">
        <f t="shared" si="4"/>
        <v>10.166208629651734</v>
      </c>
      <c r="G26" s="920">
        <f t="shared" si="5"/>
        <v>30.898830713363935</v>
      </c>
      <c r="H26" s="1100">
        <f t="shared" si="6"/>
        <v>11.863646087742012</v>
      </c>
      <c r="I26" s="1115">
        <f t="shared" si="7"/>
        <v>12.549423262642561</v>
      </c>
      <c r="J26" s="1118">
        <f t="shared" si="1"/>
        <v>12.51014196913083</v>
      </c>
      <c r="K26" s="1065"/>
      <c r="L26" s="1061" t="str">
        <f t="shared" si="0"/>
        <v>Arbre 2</v>
      </c>
      <c r="M26" s="982">
        <v>6689.14</v>
      </c>
      <c r="N26" s="965">
        <v>253.51</v>
      </c>
      <c r="O26" s="966">
        <v>169.84</v>
      </c>
    </row>
    <row r="27" spans="1:17" s="34" customFormat="1" ht="12.75" x14ac:dyDescent="0.2">
      <c r="A27" s="988" t="s">
        <v>304</v>
      </c>
      <c r="B27" s="972">
        <v>1</v>
      </c>
      <c r="C27" s="978">
        <v>10</v>
      </c>
      <c r="D27" s="918">
        <f t="shared" si="2"/>
        <v>2.1094815965959608</v>
      </c>
      <c r="E27" s="919">
        <f t="shared" si="3"/>
        <v>87.340005152278238</v>
      </c>
      <c r="F27" s="918">
        <f t="shared" si="4"/>
        <v>8.487085591032967</v>
      </c>
      <c r="G27" s="920">
        <f t="shared" si="5"/>
        <v>9.0748602993723679</v>
      </c>
      <c r="H27" s="1100">
        <f t="shared" si="6"/>
        <v>27.934101729224128</v>
      </c>
      <c r="I27" s="1115">
        <f t="shared" si="7"/>
        <v>25.059565231773391</v>
      </c>
      <c r="J27" s="1118">
        <f t="shared" si="1"/>
        <v>18.936890581616076</v>
      </c>
      <c r="K27" s="1065"/>
      <c r="L27" s="1102" t="str">
        <f t="shared" si="0"/>
        <v>Arbre 3g</v>
      </c>
      <c r="M27" s="982">
        <v>6692.01</v>
      </c>
      <c r="N27" s="965">
        <v>275.45</v>
      </c>
      <c r="O27" s="966">
        <v>169.53</v>
      </c>
    </row>
    <row r="28" spans="1:17" s="34" customFormat="1" ht="12.75" x14ac:dyDescent="0.2">
      <c r="A28" s="988" t="s">
        <v>305</v>
      </c>
      <c r="B28" s="972">
        <v>1</v>
      </c>
      <c r="C28" s="978">
        <v>10</v>
      </c>
      <c r="D28" s="918">
        <f t="shared" si="2"/>
        <v>2.1094815965959608</v>
      </c>
      <c r="E28" s="919">
        <f t="shared" si="3"/>
        <v>86.814425644589477</v>
      </c>
      <c r="F28" s="918">
        <f t="shared" si="4"/>
        <v>8.4677263723315281</v>
      </c>
      <c r="G28" s="920">
        <f t="shared" si="5"/>
        <v>10.370869753937384</v>
      </c>
      <c r="H28" s="1100">
        <f t="shared" si="6"/>
        <v>24.801980421777102</v>
      </c>
      <c r="I28" s="1115">
        <f t="shared" si="7"/>
        <v>43.996455813389467</v>
      </c>
      <c r="J28" s="1118">
        <f t="shared" si="1"/>
        <v>9.0832934659061308</v>
      </c>
      <c r="K28" s="1065" t="s">
        <v>135</v>
      </c>
      <c r="L28" s="1102" t="str">
        <f t="shared" si="0"/>
        <v>Arbre 3d</v>
      </c>
      <c r="M28" s="982">
        <v>6688.65</v>
      </c>
      <c r="N28" s="965">
        <v>276.20999999999998</v>
      </c>
      <c r="O28" s="966">
        <v>169.42</v>
      </c>
    </row>
    <row r="29" spans="1:17" s="34" customFormat="1" ht="12.75" x14ac:dyDescent="0.2">
      <c r="A29" s="988" t="s">
        <v>158</v>
      </c>
      <c r="B29" s="972">
        <v>1</v>
      </c>
      <c r="C29" s="978">
        <v>22.23</v>
      </c>
      <c r="D29" s="918">
        <f t="shared" si="2"/>
        <v>4.6893775892328211</v>
      </c>
      <c r="E29" s="919">
        <f t="shared" si="3"/>
        <v>64.593776790028286</v>
      </c>
      <c r="F29" s="918">
        <f t="shared" si="4"/>
        <v>10.568518954461208</v>
      </c>
      <c r="G29" s="920">
        <f t="shared" si="5"/>
        <v>36.159578633511813</v>
      </c>
      <c r="H29" s="1100">
        <f t="shared" si="6"/>
        <v>10.79301837761202</v>
      </c>
      <c r="I29" s="1115">
        <f t="shared" si="7"/>
        <v>53.079749279295598</v>
      </c>
      <c r="J29" s="1118">
        <f t="shared" si="1"/>
        <v>8.0534939825890888</v>
      </c>
      <c r="K29" s="1065"/>
      <c r="L29" s="1102" t="str">
        <f t="shared" si="0"/>
        <v>Arbre 5</v>
      </c>
      <c r="M29" s="982">
        <v>6670.01</v>
      </c>
      <c r="N29" s="965">
        <v>258.38</v>
      </c>
      <c r="O29" s="966">
        <v>169.98</v>
      </c>
    </row>
    <row r="30" spans="1:17" s="34" customFormat="1" ht="12.75" x14ac:dyDescent="0.2">
      <c r="A30" s="988" t="s">
        <v>159</v>
      </c>
      <c r="B30" s="972">
        <v>1</v>
      </c>
      <c r="C30" s="978">
        <v>19.16</v>
      </c>
      <c r="D30" s="918">
        <f t="shared" si="2"/>
        <v>4.0417667390778611</v>
      </c>
      <c r="E30" s="919">
        <f t="shared" si="3"/>
        <v>71.730540915289325</v>
      </c>
      <c r="F30" s="918">
        <f t="shared" si="4"/>
        <v>10.338435620139276</v>
      </c>
      <c r="G30" s="920">
        <f t="shared" si="5"/>
        <v>35.939409106900065</v>
      </c>
      <c r="H30" s="1100">
        <f t="shared" si="6"/>
        <v>10.503364720236332</v>
      </c>
      <c r="I30" s="1115">
        <f t="shared" si="7"/>
        <v>61.133243261884687</v>
      </c>
      <c r="J30" s="1118">
        <f t="shared" si="1"/>
        <v>24.511310773614596</v>
      </c>
      <c r="K30" s="1065"/>
      <c r="L30" s="1060" t="str">
        <f t="shared" si="0"/>
        <v>Arbre 6</v>
      </c>
      <c r="M30" s="982">
        <v>6664.38</v>
      </c>
      <c r="N30" s="965">
        <v>266.32</v>
      </c>
      <c r="O30" s="966">
        <v>169.64</v>
      </c>
    </row>
    <row r="31" spans="1:17" s="34" customFormat="1" ht="12.75" x14ac:dyDescent="0.2">
      <c r="A31" s="988" t="s">
        <v>284</v>
      </c>
      <c r="B31" s="972">
        <v>2</v>
      </c>
      <c r="C31" s="978">
        <v>57.22</v>
      </c>
      <c r="D31" s="918">
        <f t="shared" si="2"/>
        <v>25.403716478216957</v>
      </c>
      <c r="E31" s="919">
        <f t="shared" si="3"/>
        <v>23.714202495551707</v>
      </c>
      <c r="F31" s="918">
        <f t="shared" si="4"/>
        <v>12.862216325293362</v>
      </c>
      <c r="G31" s="920">
        <f t="shared" si="5"/>
        <v>37.141009200789931</v>
      </c>
      <c r="H31" s="1100">
        <f t="shared" si="6"/>
        <v>13.893413435082872</v>
      </c>
      <c r="I31" s="1115">
        <f t="shared" si="7"/>
        <v>85.644554035499283</v>
      </c>
      <c r="J31" s="1118">
        <f t="shared" si="1"/>
        <v>19.945913108316802</v>
      </c>
      <c r="K31" s="1065"/>
      <c r="L31" s="1102" t="str">
        <f t="shared" si="0"/>
        <v>Arbre 7</v>
      </c>
      <c r="M31" s="982">
        <v>6658.82</v>
      </c>
      <c r="N31" s="965">
        <v>280.85000000000002</v>
      </c>
      <c r="O31" s="966">
        <v>169.05</v>
      </c>
    </row>
    <row r="32" spans="1:17" s="34" customFormat="1" ht="12.75" x14ac:dyDescent="0.2">
      <c r="A32" s="988" t="s">
        <v>160</v>
      </c>
      <c r="B32" s="972">
        <v>2</v>
      </c>
      <c r="C32" s="978">
        <v>40.36</v>
      </c>
      <c r="D32" s="918">
        <f t="shared" si="2"/>
        <v>17.918455034268376</v>
      </c>
      <c r="E32" s="919">
        <f t="shared" si="3"/>
        <v>31.984196097448152</v>
      </c>
      <c r="F32" s="918">
        <f t="shared" si="4"/>
        <v>11.941991940792576</v>
      </c>
      <c r="G32" s="920">
        <f t="shared" si="5"/>
        <v>44.833287878016918</v>
      </c>
      <c r="H32" s="1100">
        <f t="shared" si="6"/>
        <v>10.447303470878108</v>
      </c>
      <c r="I32" s="1115">
        <f t="shared" si="7"/>
        <v>105.59046714381608</v>
      </c>
      <c r="J32" s="1118">
        <f t="shared" si="1"/>
        <v>13.109675970911979</v>
      </c>
      <c r="K32" s="1065" t="s">
        <v>135</v>
      </c>
      <c r="L32" s="1060" t="str">
        <f t="shared" si="0"/>
        <v>Arbre 8</v>
      </c>
      <c r="M32" s="982">
        <v>6652.67</v>
      </c>
      <c r="N32" s="965">
        <v>295.72000000000003</v>
      </c>
      <c r="O32" s="966">
        <v>169.05</v>
      </c>
    </row>
    <row r="33" spans="1:26" s="34" customFormat="1" ht="12.75" x14ac:dyDescent="0.2">
      <c r="A33" s="988" t="s">
        <v>297</v>
      </c>
      <c r="B33" s="972">
        <v>2</v>
      </c>
      <c r="C33" s="978">
        <v>11.96</v>
      </c>
      <c r="D33" s="918">
        <f t="shared" si="2"/>
        <v>5.3098295889457328</v>
      </c>
      <c r="E33" s="919">
        <f t="shared" si="3"/>
        <v>149.91296741776569</v>
      </c>
      <c r="F33" s="918">
        <f t="shared" si="4"/>
        <v>15.532946127987822</v>
      </c>
      <c r="G33" s="920">
        <f t="shared" si="5"/>
        <v>162.47032548885093</v>
      </c>
      <c r="H33" s="1100">
        <f t="shared" si="6"/>
        <v>4.1742512567552001</v>
      </c>
      <c r="I33" s="1115">
        <f t="shared" si="7"/>
        <v>118.70014311472806</v>
      </c>
      <c r="J33" s="1118">
        <f t="shared" si="1"/>
        <v>9.454556733384436</v>
      </c>
      <c r="K33" s="1065"/>
      <c r="L33" s="1102" t="str">
        <f t="shared" si="0"/>
        <v>Creux 2</v>
      </c>
      <c r="M33" s="982">
        <v>6544.42</v>
      </c>
      <c r="N33" s="965">
        <v>342.53</v>
      </c>
      <c r="O33" s="966">
        <v>166.18</v>
      </c>
    </row>
    <row r="34" spans="1:26" s="34" customFormat="1" ht="12.75" x14ac:dyDescent="0.2">
      <c r="A34" s="988" t="s">
        <v>286</v>
      </c>
      <c r="B34" s="972">
        <v>2</v>
      </c>
      <c r="C34" s="978">
        <v>23</v>
      </c>
      <c r="D34" s="918">
        <f t="shared" si="2"/>
        <v>10.211210747972563</v>
      </c>
      <c r="E34" s="919">
        <f t="shared" si="3"/>
        <v>129.65944624284091</v>
      </c>
      <c r="F34" s="918">
        <f t="shared" si="4"/>
        <v>24.955608608329342</v>
      </c>
      <c r="G34" s="920">
        <f t="shared" si="5"/>
        <v>140.09584621591489</v>
      </c>
      <c r="H34" s="1100">
        <f t="shared" si="6"/>
        <v>8.6371114771352548</v>
      </c>
      <c r="I34" s="1115">
        <f t="shared" si="7"/>
        <v>128.1546998481125</v>
      </c>
      <c r="J34" s="1118">
        <f t="shared" si="1"/>
        <v>13.291676943976142</v>
      </c>
      <c r="K34" s="1065"/>
      <c r="L34" s="1102" t="str">
        <f t="shared" si="0"/>
        <v>Arbre 9</v>
      </c>
      <c r="M34" s="982">
        <v>6585.69</v>
      </c>
      <c r="N34" s="965">
        <v>370.22</v>
      </c>
      <c r="O34" s="966">
        <v>166.26</v>
      </c>
    </row>
    <row r="35" spans="1:26" s="34" customFormat="1" ht="12.75" x14ac:dyDescent="0.2">
      <c r="A35" s="988" t="s">
        <v>285</v>
      </c>
      <c r="B35" s="972">
        <v>2</v>
      </c>
      <c r="C35" s="978">
        <v>10.51</v>
      </c>
      <c r="D35" s="918">
        <f t="shared" si="2"/>
        <v>4.6660793461387664</v>
      </c>
      <c r="E35" s="919">
        <f t="shared" si="3"/>
        <v>134.20164566800241</v>
      </c>
      <c r="F35" s="918">
        <f t="shared" si="4"/>
        <v>12.553399543381115</v>
      </c>
      <c r="G35" s="920">
        <f t="shared" si="5"/>
        <v>142.30919252442266</v>
      </c>
      <c r="H35" s="1100">
        <f t="shared" si="6"/>
        <v>3.5698366391257768</v>
      </c>
      <c r="I35" s="1115">
        <f t="shared" si="7"/>
        <v>141.44637679208864</v>
      </c>
      <c r="J35" s="1118">
        <f t="shared" si="1"/>
        <v>16.553623207911357</v>
      </c>
      <c r="K35" s="1065"/>
      <c r="L35" s="1102" t="str">
        <f t="shared" si="0"/>
        <v>Creux 3</v>
      </c>
      <c r="M35" s="982">
        <v>6607.16</v>
      </c>
      <c r="N35" s="965">
        <v>394.96</v>
      </c>
      <c r="O35" s="966">
        <v>166.38</v>
      </c>
    </row>
    <row r="36" spans="1:26" s="34" customFormat="1" ht="12.75" x14ac:dyDescent="0.2">
      <c r="A36" s="987" t="s">
        <v>298</v>
      </c>
      <c r="B36" s="666"/>
      <c r="C36" s="978"/>
      <c r="D36" s="918"/>
      <c r="E36" s="919"/>
      <c r="F36" s="918"/>
      <c r="G36" s="920"/>
      <c r="H36" s="667">
        <v>0</v>
      </c>
      <c r="I36" s="1114">
        <f t="shared" ref="I36:I43" si="8">Azi_pv_sel+$AC72+90</f>
        <v>158</v>
      </c>
      <c r="J36" s="1118"/>
      <c r="K36" s="1065"/>
      <c r="L36" s="1103" t="str">
        <f t="shared" si="0"/>
        <v>Toiture</v>
      </c>
      <c r="M36" s="982"/>
      <c r="N36" s="965"/>
      <c r="O36" s="966"/>
    </row>
    <row r="37" spans="1:26" s="34" customFormat="1" ht="12.75" x14ac:dyDescent="0.2">
      <c r="A37" s="987"/>
      <c r="B37" s="668"/>
      <c r="C37" s="978"/>
      <c r="D37" s="918"/>
      <c r="E37" s="919"/>
      <c r="F37" s="928"/>
      <c r="G37" s="920"/>
      <c r="H37" s="667">
        <v>0</v>
      </c>
      <c r="I37" s="1114">
        <f t="shared" si="8"/>
        <v>158</v>
      </c>
      <c r="J37" s="1118"/>
      <c r="K37" s="1065"/>
      <c r="L37" s="1059">
        <f t="shared" si="0"/>
        <v>0</v>
      </c>
      <c r="M37" s="982"/>
      <c r="N37" s="965"/>
      <c r="O37" s="966"/>
    </row>
    <row r="38" spans="1:26" s="34" customFormat="1" ht="12.75" x14ac:dyDescent="0.2">
      <c r="A38" s="987"/>
      <c r="B38" s="668"/>
      <c r="C38" s="978"/>
      <c r="D38" s="918"/>
      <c r="E38" s="919"/>
      <c r="F38" s="928"/>
      <c r="G38" s="920"/>
      <c r="H38" s="667">
        <v>0</v>
      </c>
      <c r="I38" s="1114">
        <f t="shared" si="8"/>
        <v>158</v>
      </c>
      <c r="J38" s="1118"/>
      <c r="K38" s="1065"/>
      <c r="L38" s="1059">
        <f t="shared" si="0"/>
        <v>0</v>
      </c>
      <c r="M38" s="982"/>
      <c r="N38" s="965"/>
      <c r="O38" s="966"/>
    </row>
    <row r="39" spans="1:26" s="34" customFormat="1" ht="12.75" x14ac:dyDescent="0.2">
      <c r="A39" s="987"/>
      <c r="B39" s="668"/>
      <c r="C39" s="978"/>
      <c r="D39" s="918"/>
      <c r="E39" s="919"/>
      <c r="F39" s="928"/>
      <c r="G39" s="920"/>
      <c r="H39" s="667">
        <v>0</v>
      </c>
      <c r="I39" s="1114">
        <f t="shared" si="8"/>
        <v>158</v>
      </c>
      <c r="J39" s="1118"/>
      <c r="K39" s="1065"/>
      <c r="L39" s="1059">
        <f t="shared" si="0"/>
        <v>0</v>
      </c>
      <c r="M39" s="982"/>
      <c r="N39" s="965"/>
      <c r="O39" s="966"/>
    </row>
    <row r="40" spans="1:26" s="34" customFormat="1" ht="12.75" x14ac:dyDescent="0.2">
      <c r="A40" s="987"/>
      <c r="B40" s="668"/>
      <c r="C40" s="978"/>
      <c r="D40" s="918"/>
      <c r="E40" s="919"/>
      <c r="F40" s="928"/>
      <c r="G40" s="920"/>
      <c r="H40" s="667">
        <v>0</v>
      </c>
      <c r="I40" s="1114">
        <f t="shared" si="8"/>
        <v>158</v>
      </c>
      <c r="J40" s="1118"/>
      <c r="K40" s="1065"/>
      <c r="L40" s="1059">
        <f t="shared" si="0"/>
        <v>0</v>
      </c>
      <c r="M40" s="982"/>
      <c r="N40" s="965"/>
      <c r="O40" s="966"/>
    </row>
    <row r="41" spans="1:26" s="34" customFormat="1" ht="12.75" x14ac:dyDescent="0.2">
      <c r="A41" s="987"/>
      <c r="B41" s="668"/>
      <c r="C41" s="978"/>
      <c r="D41" s="918"/>
      <c r="E41" s="919"/>
      <c r="F41" s="928"/>
      <c r="G41" s="920"/>
      <c r="H41" s="667">
        <v>0</v>
      </c>
      <c r="I41" s="1114">
        <f t="shared" si="8"/>
        <v>158</v>
      </c>
      <c r="J41" s="1118"/>
      <c r="K41" s="1065"/>
      <c r="L41" s="1059">
        <f t="shared" si="0"/>
        <v>0</v>
      </c>
      <c r="M41" s="982"/>
      <c r="N41" s="965"/>
      <c r="O41" s="966"/>
    </row>
    <row r="42" spans="1:26" s="19" customFormat="1" ht="12.75" x14ac:dyDescent="0.2">
      <c r="A42" s="974"/>
      <c r="B42" s="666"/>
      <c r="C42" s="978"/>
      <c r="D42" s="918"/>
      <c r="E42" s="919"/>
      <c r="F42" s="918"/>
      <c r="G42" s="920"/>
      <c r="H42" s="667">
        <v>0</v>
      </c>
      <c r="I42" s="1114">
        <f t="shared" si="8"/>
        <v>158</v>
      </c>
      <c r="J42" s="1118"/>
      <c r="K42" s="1065"/>
      <c r="L42" s="1059">
        <f t="shared" si="0"/>
        <v>0</v>
      </c>
      <c r="M42" s="982"/>
      <c r="N42" s="965"/>
      <c r="O42" s="966"/>
    </row>
    <row r="43" spans="1:26" s="19" customFormat="1" ht="13.5" thickBot="1" x14ac:dyDescent="0.25">
      <c r="A43" s="975"/>
      <c r="B43" s="969"/>
      <c r="C43" s="990"/>
      <c r="D43" s="946"/>
      <c r="E43" s="947"/>
      <c r="F43" s="946"/>
      <c r="G43" s="948"/>
      <c r="H43" s="818">
        <v>0</v>
      </c>
      <c r="I43" s="1116">
        <f t="shared" si="8"/>
        <v>158</v>
      </c>
      <c r="J43" s="1119"/>
      <c r="K43" s="1066"/>
      <c r="L43" s="1062">
        <f t="shared" si="0"/>
        <v>0</v>
      </c>
      <c r="M43" s="983"/>
      <c r="N43" s="970"/>
      <c r="O43" s="984"/>
    </row>
    <row r="44" spans="1:26" s="19" customFormat="1" ht="12.75" x14ac:dyDescent="0.2">
      <c r="A44" s="929" t="s">
        <v>188</v>
      </c>
      <c r="B44" s="929"/>
      <c r="C44" s="1023"/>
      <c r="D44" s="922"/>
      <c r="E44" s="630"/>
      <c r="F44" s="929"/>
      <c r="G44" s="929"/>
      <c r="H44" s="930"/>
      <c r="I44" s="930"/>
      <c r="J44" s="630"/>
      <c r="K44" s="929"/>
      <c r="L44" s="670"/>
      <c r="M44" s="630"/>
      <c r="N44" s="630"/>
      <c r="O44" s="670"/>
    </row>
    <row r="45" spans="1:26" s="39" customFormat="1" ht="12.75" x14ac:dyDescent="0.2">
      <c r="A45" s="988" t="s">
        <v>301</v>
      </c>
      <c r="B45" s="972">
        <v>1</v>
      </c>
      <c r="C45" s="978">
        <v>21.59</v>
      </c>
      <c r="D45" s="918"/>
      <c r="E45" s="919"/>
      <c r="F45" s="918"/>
      <c r="G45" s="920"/>
      <c r="H45" s="1100"/>
      <c r="I45" s="1026"/>
      <c r="J45" s="667"/>
      <c r="K45" s="1065"/>
      <c r="L45" s="991" t="str">
        <f>A45</f>
        <v>Groupe arbre 1 Sud</v>
      </c>
      <c r="M45" s="982">
        <v>6719.4</v>
      </c>
      <c r="N45" s="965">
        <v>242</v>
      </c>
      <c r="O45" s="966">
        <v>170.08</v>
      </c>
      <c r="P45" s="19"/>
      <c r="Q45" s="19"/>
      <c r="R45" s="19"/>
    </row>
    <row r="46" spans="1:26" s="39" customFormat="1" ht="12.75" x14ac:dyDescent="0.2">
      <c r="A46" s="988" t="s">
        <v>302</v>
      </c>
      <c r="B46" s="972">
        <v>1</v>
      </c>
      <c r="C46" s="978">
        <v>20.11</v>
      </c>
      <c r="D46" s="918"/>
      <c r="E46" s="919"/>
      <c r="F46" s="918"/>
      <c r="G46" s="920"/>
      <c r="H46" s="1100"/>
      <c r="I46" s="1026"/>
      <c r="J46" s="667"/>
      <c r="K46" s="1065"/>
      <c r="L46" s="991" t="str">
        <f>A46</f>
        <v>Groupe arbre 1 SO</v>
      </c>
      <c r="M46" s="982">
        <v>6707.61</v>
      </c>
      <c r="N46" s="965">
        <v>248.12</v>
      </c>
      <c r="O46" s="966">
        <v>169.96</v>
      </c>
      <c r="P46" s="19"/>
      <c r="Q46" s="19"/>
      <c r="R46" s="19"/>
    </row>
    <row r="47" spans="1:26" s="39" customFormat="1" ht="12.75" x14ac:dyDescent="0.2">
      <c r="A47" s="988" t="s">
        <v>156</v>
      </c>
      <c r="B47" s="972">
        <v>1</v>
      </c>
      <c r="C47" s="978">
        <v>20.04</v>
      </c>
      <c r="D47" s="918"/>
      <c r="E47" s="919"/>
      <c r="F47" s="918"/>
      <c r="G47" s="920"/>
      <c r="H47" s="1100"/>
      <c r="I47" s="1026"/>
      <c r="J47" s="667"/>
      <c r="K47" s="1065"/>
      <c r="L47" s="991" t="str">
        <f>A47</f>
        <v>Arbre 2</v>
      </c>
      <c r="M47" s="982">
        <v>6689.14</v>
      </c>
      <c r="N47" s="965">
        <v>253.51</v>
      </c>
      <c r="O47" s="966">
        <v>169.84</v>
      </c>
      <c r="P47" s="19"/>
      <c r="Q47" s="19"/>
      <c r="R47" s="19"/>
    </row>
    <row r="48" spans="1:26" s="34" customFormat="1" ht="12.75" x14ac:dyDescent="0.2">
      <c r="A48" s="988" t="s">
        <v>306</v>
      </c>
      <c r="B48" s="972">
        <v>2</v>
      </c>
      <c r="C48" s="978">
        <v>21.1</v>
      </c>
      <c r="D48" s="918"/>
      <c r="E48" s="919"/>
      <c r="F48" s="918"/>
      <c r="G48" s="920"/>
      <c r="H48" s="1100"/>
      <c r="I48" s="1026"/>
      <c r="J48" s="667"/>
      <c r="K48" s="1065"/>
      <c r="L48" s="1060" t="str">
        <f>A48</f>
        <v>Creux 1 (A4)</v>
      </c>
      <c r="M48" s="982">
        <v>6697.21</v>
      </c>
      <c r="N48" s="965">
        <v>252.19</v>
      </c>
      <c r="O48" s="966">
        <v>169.79</v>
      </c>
      <c r="P48" s="19"/>
      <c r="Q48" s="19"/>
      <c r="R48" s="19"/>
      <c r="S48" s="709"/>
      <c r="T48" s="707"/>
      <c r="U48" s="712"/>
      <c r="V48" s="713"/>
      <c r="W48" s="714"/>
      <c r="X48" s="714"/>
      <c r="Y48" s="714"/>
      <c r="Z48" s="708"/>
    </row>
    <row r="49" spans="1:34" s="39" customFormat="1" ht="12.75" x14ac:dyDescent="0.2">
      <c r="A49" s="988" t="s">
        <v>157</v>
      </c>
      <c r="B49" s="972">
        <v>2</v>
      </c>
      <c r="C49" s="978">
        <v>27.38</v>
      </c>
      <c r="D49" s="918"/>
      <c r="E49" s="919"/>
      <c r="F49" s="918"/>
      <c r="G49" s="920"/>
      <c r="H49" s="1100"/>
      <c r="I49" s="1026"/>
      <c r="J49" s="667"/>
      <c r="K49" s="1065"/>
      <c r="L49" s="991" t="str">
        <f>A49</f>
        <v>Arbre 4</v>
      </c>
      <c r="M49" s="982">
        <v>6666.91</v>
      </c>
      <c r="N49" s="965">
        <v>185.21</v>
      </c>
      <c r="O49" s="966">
        <v>174.75</v>
      </c>
      <c r="P49" s="19"/>
      <c r="Q49" s="19"/>
      <c r="R49" s="19"/>
    </row>
    <row r="50" spans="1:34" s="34" customFormat="1" ht="12.75" x14ac:dyDescent="0.2">
      <c r="A50" s="987"/>
      <c r="B50" s="972"/>
      <c r="C50" s="978"/>
      <c r="D50" s="918"/>
      <c r="E50" s="919"/>
      <c r="F50" s="928"/>
      <c r="G50" s="920"/>
      <c r="H50" s="1100"/>
      <c r="I50" s="1026"/>
      <c r="J50" s="1095"/>
      <c r="K50" s="1054"/>
      <c r="L50" s="1059"/>
      <c r="M50" s="982"/>
      <c r="N50" s="965"/>
      <c r="O50" s="966"/>
      <c r="P50" s="19"/>
      <c r="Q50" s="19"/>
      <c r="R50" s="19"/>
      <c r="S50" s="709"/>
      <c r="T50" s="707"/>
      <c r="U50" s="712"/>
      <c r="V50" s="713"/>
      <c r="W50" s="714"/>
      <c r="X50" s="714"/>
      <c r="Y50" s="714"/>
      <c r="Z50" s="708"/>
    </row>
    <row r="51" spans="1:34" s="34" customFormat="1" ht="12.75" x14ac:dyDescent="0.2">
      <c r="A51" s="987" t="s">
        <v>303</v>
      </c>
      <c r="B51" s="972"/>
      <c r="C51" s="978"/>
      <c r="D51" s="918"/>
      <c r="E51" s="919"/>
      <c r="F51" s="928">
        <v>3.1</v>
      </c>
      <c r="G51" s="920"/>
      <c r="H51" s="1100"/>
      <c r="I51" s="1026"/>
      <c r="J51" s="667"/>
      <c r="K51" s="1065"/>
      <c r="L51" s="1059" t="str">
        <f>A51</f>
        <v>Batiment p1</v>
      </c>
      <c r="M51" s="982">
        <v>6681.51</v>
      </c>
      <c r="N51" s="965">
        <v>290.33999999999997</v>
      </c>
      <c r="O51" s="966">
        <v>169.1</v>
      </c>
      <c r="P51" s="19"/>
      <c r="Q51" s="19"/>
      <c r="R51" s="19"/>
      <c r="S51" s="709"/>
      <c r="T51" s="707"/>
      <c r="U51" s="712"/>
      <c r="V51" s="713"/>
      <c r="W51" s="714"/>
      <c r="X51" s="714"/>
      <c r="Y51" s="714"/>
      <c r="Z51" s="708"/>
    </row>
    <row r="52" spans="1:34" ht="21" x14ac:dyDescent="0.35">
      <c r="A52" s="671" t="s">
        <v>169</v>
      </c>
      <c r="C52" s="639"/>
      <c r="F52" s="15"/>
      <c r="K52" s="15"/>
      <c r="L52" s="639"/>
      <c r="M52" s="976"/>
      <c r="N52" s="41"/>
      <c r="O52" s="1047"/>
      <c r="P52" s="21"/>
      <c r="R52" s="21"/>
      <c r="S52" s="344"/>
    </row>
    <row r="53" spans="1:34" s="36" customFormat="1" ht="15.75" x14ac:dyDescent="0.25">
      <c r="A53" s="710"/>
      <c r="B53" s="716"/>
      <c r="D53" s="710" t="s">
        <v>201</v>
      </c>
      <c r="E53" s="836">
        <v>1</v>
      </c>
      <c r="G53" s="708"/>
      <c r="I53" s="710" t="s">
        <v>189</v>
      </c>
      <c r="J53" s="1229">
        <f>I1</f>
        <v>44567</v>
      </c>
      <c r="K53" s="1229"/>
      <c r="O53" s="705" t="s">
        <v>318</v>
      </c>
      <c r="Q53" s="708"/>
      <c r="U53" s="708"/>
      <c r="W53" s="708"/>
      <c r="X53" s="717"/>
      <c r="Y53" s="708"/>
      <c r="Z53" s="705" t="s">
        <v>319</v>
      </c>
      <c r="AA53" s="708"/>
    </row>
    <row r="54" spans="1:34" s="4" customFormat="1" x14ac:dyDescent="0.25">
      <c r="A54" s="735" t="str">
        <f>Station</f>
        <v>Crèche Ayguesvives</v>
      </c>
      <c r="B54" s="1225" t="str">
        <f>"Hauteur fonction de la croissance vue du champ PV "&amp;Q3</f>
        <v>Hauteur fonction de la croissance vue du champ PV E</v>
      </c>
      <c r="C54" s="1226"/>
      <c r="D54" s="1226"/>
      <c r="E54" s="1227"/>
      <c r="F54" s="1226"/>
      <c r="G54" s="1226"/>
      <c r="H54" s="1226"/>
      <c r="I54" s="1226"/>
      <c r="J54" s="1226"/>
      <c r="K54" s="1226"/>
      <c r="L54" s="1228"/>
      <c r="N54" s="950" t="str">
        <f>Station</f>
        <v>Crèche Ayguesvives</v>
      </c>
      <c r="O54" s="955">
        <f>Azi_pv_sel</f>
        <v>68</v>
      </c>
      <c r="P54" s="1225" t="str">
        <f>"Elevation vue du champ PV zone: "&amp;ZonePV</f>
        <v>Elevation vue du champ PV zone: 1</v>
      </c>
      <c r="Q54" s="1226"/>
      <c r="R54" s="1226"/>
      <c r="S54" s="1226"/>
      <c r="T54" s="1226"/>
      <c r="U54" s="1226"/>
      <c r="V54" s="1226"/>
      <c r="W54" s="1226"/>
      <c r="X54" s="1226"/>
      <c r="Y54" s="1228"/>
      <c r="Z54" s="956">
        <f>Ram_pv</f>
        <v>0.3</v>
      </c>
      <c r="AA54" s="2"/>
      <c r="AB54" s="2"/>
      <c r="AC54" s="28"/>
      <c r="AD54" s="1097"/>
      <c r="AE54" s="1098" t="s">
        <v>322</v>
      </c>
    </row>
    <row r="55" spans="1:34" s="19" customFormat="1" ht="12.75" x14ac:dyDescent="0.2">
      <c r="A55" s="736" t="s">
        <v>200</v>
      </c>
      <c r="B55" s="718">
        <f>+C$55-$E$53</f>
        <v>-5</v>
      </c>
      <c r="C55" s="718">
        <f>+D$55-$E$53</f>
        <v>-4</v>
      </c>
      <c r="D55" s="718">
        <f>+E$55-$E$53</f>
        <v>-3</v>
      </c>
      <c r="E55" s="718">
        <f>+F$55-$E$53</f>
        <v>-2</v>
      </c>
      <c r="F55" s="718">
        <f>+G$55-$E$53</f>
        <v>-1</v>
      </c>
      <c r="G55" s="719">
        <v>0</v>
      </c>
      <c r="H55" s="718">
        <f>$E$53+G$55</f>
        <v>1</v>
      </c>
      <c r="I55" s="718">
        <f>$E$53+H$55</f>
        <v>2</v>
      </c>
      <c r="J55" s="718">
        <f>$E$53+I$55</f>
        <v>3</v>
      </c>
      <c r="K55" s="718">
        <f>$E$53+J$55</f>
        <v>4</v>
      </c>
      <c r="L55" s="718">
        <f>$E$53+K$55</f>
        <v>5</v>
      </c>
      <c r="M55" s="695" t="s">
        <v>154</v>
      </c>
      <c r="N55" s="695" t="str">
        <f>"zone "&amp;ZonePV</f>
        <v>zone 1</v>
      </c>
      <c r="O55" s="720" t="s">
        <v>153</v>
      </c>
      <c r="P55" s="718">
        <f t="shared" ref="P55:Z55" si="9">B55</f>
        <v>-5</v>
      </c>
      <c r="Q55" s="718">
        <f t="shared" si="9"/>
        <v>-4</v>
      </c>
      <c r="R55" s="718">
        <f t="shared" si="9"/>
        <v>-3</v>
      </c>
      <c r="S55" s="718">
        <f t="shared" si="9"/>
        <v>-2</v>
      </c>
      <c r="T55" s="718">
        <f t="shared" si="9"/>
        <v>-1</v>
      </c>
      <c r="U55" s="719">
        <f t="shared" si="9"/>
        <v>0</v>
      </c>
      <c r="V55" s="718">
        <f t="shared" si="9"/>
        <v>1</v>
      </c>
      <c r="W55" s="718">
        <f t="shared" si="9"/>
        <v>2</v>
      </c>
      <c r="X55" s="718">
        <f t="shared" si="9"/>
        <v>3</v>
      </c>
      <c r="Y55" s="718">
        <f t="shared" si="9"/>
        <v>4</v>
      </c>
      <c r="Z55" s="718">
        <f t="shared" si="9"/>
        <v>5</v>
      </c>
      <c r="AA55" s="1099" t="s">
        <v>324</v>
      </c>
      <c r="AB55" s="751" t="s">
        <v>320</v>
      </c>
      <c r="AC55" s="751" t="s">
        <v>325</v>
      </c>
      <c r="AD55" s="1024" t="s">
        <v>321</v>
      </c>
      <c r="AE55" s="1024" t="s">
        <v>323</v>
      </c>
      <c r="AF55" s="751" t="s">
        <v>331</v>
      </c>
    </row>
    <row r="56" spans="1:34" s="28" customFormat="1" ht="12.75" x14ac:dyDescent="0.2">
      <c r="A56" s="923" t="str">
        <f t="shared" ref="A56:A79" si="10">A20</f>
        <v>Toiture</v>
      </c>
      <c r="B56" s="924"/>
      <c r="C56" s="925"/>
      <c r="D56" s="925"/>
      <c r="E56" s="925"/>
      <c r="F56" s="926"/>
      <c r="G56" s="927"/>
      <c r="H56" s="924"/>
      <c r="I56" s="925"/>
      <c r="J56" s="925"/>
      <c r="K56" s="925"/>
      <c r="L56" s="926"/>
      <c r="M56" s="714">
        <f t="shared" ref="M56:M79" si="11">$G20</f>
        <v>0</v>
      </c>
      <c r="N56" s="944" t="str">
        <f t="shared" ref="N56:N79" si="12">L20</f>
        <v>Toiture</v>
      </c>
      <c r="O56" s="1120">
        <f t="shared" ref="O56:O79" si="13">$I20</f>
        <v>-202</v>
      </c>
      <c r="P56" s="921">
        <f t="shared" ref="P56:P79" si="14">IF($M56=0,$H20,DEGREES(ATAN2($M56,B56-H_pv)))</f>
        <v>0</v>
      </c>
      <c r="Q56" s="1025">
        <f t="shared" ref="Q56:Q79" si="15">IF($M56=0,$H20,DEGREES(ATAN2($M56,C56-H_pv)))</f>
        <v>0</v>
      </c>
      <c r="R56" s="1025">
        <f t="shared" ref="R56:R79" si="16">IF($M56=0,$H20,DEGREES(ATAN2($M56,D56-H_pv)))</f>
        <v>0</v>
      </c>
      <c r="S56" s="1025">
        <f t="shared" ref="S56:S79" si="17">IF($M56=0,$H20,DEGREES(ATAN2($M56,E56-H_pv)))</f>
        <v>0</v>
      </c>
      <c r="T56" s="1026">
        <f t="shared" ref="T56:T79" si="18">IF($M56=0,$H20,DEGREES(ATAN2($M56,F56-H_pv)))</f>
        <v>0</v>
      </c>
      <c r="U56" s="1027">
        <f t="shared" ref="U56:U79" si="19">IF($M56=0,$H20,DEGREES(ATAN2($M56,G56-H_pv)))</f>
        <v>0</v>
      </c>
      <c r="V56" s="921">
        <f t="shared" ref="V56:V79" si="20">IF($M56=0,$H20,DEGREES(ATAN2($M56,H56-H_pv)))</f>
        <v>0</v>
      </c>
      <c r="W56" s="1025">
        <f t="shared" ref="W56:W79" si="21">IF($M56=0,$H20,DEGREES(ATAN2($M56,I56-H_pv)))</f>
        <v>0</v>
      </c>
      <c r="X56" s="1025">
        <f t="shared" ref="X56:X79" si="22">IF($M56=0,$H20,DEGREES(ATAN2($M56,J56-H_pv)))</f>
        <v>0</v>
      </c>
      <c r="Y56" s="1025">
        <f t="shared" ref="Y56:Y79" si="23">IF($M56=0,$H20,DEGREES(ATAN2($M56,K56-H_pv)))</f>
        <v>0</v>
      </c>
      <c r="Z56" s="1026">
        <f t="shared" ref="Z56:Z79" si="24">IF($M56=0,$H20,DEGREES(ATAN2($M56,L56-H_pv)))</f>
        <v>0</v>
      </c>
      <c r="AA56" s="452" t="b">
        <f t="shared" ref="AA56:AA79" si="25">J20&lt;AB56</f>
        <v>0</v>
      </c>
      <c r="AB56" s="1057">
        <f>INDEX($AE$56:$AE$82,MATCH((Z56+Z57)/2,$AD$56:$AD$82)+1)</f>
        <v>7.4599999999999795</v>
      </c>
      <c r="AC56" s="1123">
        <f t="shared" ref="AC56:AC79" si="26">+IF(K19="D",AB56,IF(K20="G",-AB57,0))</f>
        <v>0</v>
      </c>
      <c r="AD56" s="1068">
        <v>-10</v>
      </c>
      <c r="AE56" s="1069">
        <v>7.5</v>
      </c>
      <c r="AF56" s="1096">
        <f>(Z56+Z57)/2</f>
        <v>8.3496221169968106</v>
      </c>
      <c r="AG56" s="1096"/>
      <c r="AH56" s="1096"/>
    </row>
    <row r="57" spans="1:34" s="28" customFormat="1" ht="12.75" x14ac:dyDescent="0.2">
      <c r="A57" s="923" t="str">
        <f t="shared" si="10"/>
        <v>Arrière PV</v>
      </c>
      <c r="B57" s="924"/>
      <c r="C57" s="925"/>
      <c r="D57" s="925"/>
      <c r="E57" s="925"/>
      <c r="F57" s="926"/>
      <c r="G57" s="927"/>
      <c r="H57" s="924"/>
      <c r="I57" s="925"/>
      <c r="J57" s="925"/>
      <c r="K57" s="925"/>
      <c r="L57" s="926"/>
      <c r="M57" s="714">
        <f t="shared" si="11"/>
        <v>0</v>
      </c>
      <c r="N57" s="944" t="str">
        <f t="shared" si="12"/>
        <v>Arrière PV</v>
      </c>
      <c r="O57" s="1120">
        <f t="shared" si="13"/>
        <v>-112</v>
      </c>
      <c r="P57" s="921">
        <f t="shared" si="14"/>
        <v>16.699244233993621</v>
      </c>
      <c r="Q57" s="1025">
        <f t="shared" si="15"/>
        <v>16.699244233993621</v>
      </c>
      <c r="R57" s="1025">
        <f t="shared" si="16"/>
        <v>16.699244233993621</v>
      </c>
      <c r="S57" s="1025">
        <f t="shared" si="17"/>
        <v>16.699244233993621</v>
      </c>
      <c r="T57" s="1026">
        <f t="shared" si="18"/>
        <v>16.699244233993621</v>
      </c>
      <c r="U57" s="1027">
        <f t="shared" si="19"/>
        <v>16.699244233993621</v>
      </c>
      <c r="V57" s="921">
        <f t="shared" si="20"/>
        <v>16.699244233993621</v>
      </c>
      <c r="W57" s="1025">
        <f t="shared" si="21"/>
        <v>16.699244233993621</v>
      </c>
      <c r="X57" s="1025">
        <f t="shared" si="22"/>
        <v>16.699244233993621</v>
      </c>
      <c r="Y57" s="1025">
        <f t="shared" si="23"/>
        <v>16.699244233993621</v>
      </c>
      <c r="Z57" s="1026">
        <f t="shared" si="24"/>
        <v>16.699244233993621</v>
      </c>
      <c r="AA57" s="28" t="b">
        <f t="shared" si="25"/>
        <v>0</v>
      </c>
      <c r="AB57" s="1057">
        <f t="shared" ref="AB57:AB79" si="27">INDEX($AE$56:$AE$82,MATCH((Z57+Z58)/2,$AD$56:$AD$82)+1)</f>
        <v>7.4599999999999795</v>
      </c>
      <c r="AC57" s="1123">
        <f t="shared" si="26"/>
        <v>0</v>
      </c>
      <c r="AD57" s="1068">
        <v>22.98</v>
      </c>
      <c r="AE57" s="1069">
        <v>7.4599999999999795</v>
      </c>
      <c r="AF57" s="1096">
        <f t="shared" ref="AF57:AF79" si="28">(Z57+Z58)/2</f>
        <v>15.312166905370859</v>
      </c>
      <c r="AG57" s="1096"/>
      <c r="AH57" s="1096"/>
    </row>
    <row r="58" spans="1:34" s="19" customFormat="1" ht="12.75" x14ac:dyDescent="0.2">
      <c r="A58" s="923" t="str">
        <f t="shared" si="10"/>
        <v>Groupe arbre 1 Est</v>
      </c>
      <c r="B58" s="924">
        <f t="shared" ref="B58:L58" si="29">MAX($F22+B$55,1)</f>
        <v>5.6933126971103434</v>
      </c>
      <c r="C58" s="925">
        <f t="shared" si="29"/>
        <v>6.6933126971103434</v>
      </c>
      <c r="D58" s="925">
        <f t="shared" si="29"/>
        <v>7.6933126971103434</v>
      </c>
      <c r="E58" s="925">
        <f t="shared" si="29"/>
        <v>8.6933126971103434</v>
      </c>
      <c r="F58" s="926">
        <f t="shared" si="29"/>
        <v>9.6933126971103434</v>
      </c>
      <c r="G58" s="927">
        <f t="shared" si="29"/>
        <v>10.693312697110343</v>
      </c>
      <c r="H58" s="924">
        <f t="shared" si="29"/>
        <v>11.693312697110343</v>
      </c>
      <c r="I58" s="925">
        <f t="shared" si="29"/>
        <v>12.693312697110343</v>
      </c>
      <c r="J58" s="925">
        <f t="shared" si="29"/>
        <v>13.693312697110343</v>
      </c>
      <c r="K58" s="925">
        <f t="shared" si="29"/>
        <v>14.693312697110343</v>
      </c>
      <c r="L58" s="926">
        <f t="shared" si="29"/>
        <v>15.693312697110343</v>
      </c>
      <c r="M58" s="714">
        <f>$G22</f>
        <v>48.471599049887921</v>
      </c>
      <c r="N58" s="944" t="str">
        <f t="shared" si="12"/>
        <v>Groupe arbre 1 Est</v>
      </c>
      <c r="O58" s="1120">
        <f t="shared" si="13"/>
        <v>-52.211906903825117</v>
      </c>
      <c r="P58" s="921">
        <f t="shared" si="14"/>
        <v>2.384039456405604</v>
      </c>
      <c r="Q58" s="1025">
        <f t="shared" si="15"/>
        <v>3.5628653094026004</v>
      </c>
      <c r="R58" s="1025">
        <f t="shared" si="16"/>
        <v>4.7386790478899465</v>
      </c>
      <c r="S58" s="1025">
        <f t="shared" si="17"/>
        <v>5.9105064380493024</v>
      </c>
      <c r="T58" s="1026">
        <f t="shared" si="18"/>
        <v>7.0773931584707208</v>
      </c>
      <c r="U58" s="1027">
        <f t="shared" si="19"/>
        <v>8.2384092855485136</v>
      </c>
      <c r="V58" s="921">
        <f t="shared" si="20"/>
        <v>9.3926534826513493</v>
      </c>
      <c r="W58" s="1025">
        <f t="shared" si="21"/>
        <v>10.539256849294107</v>
      </c>
      <c r="X58" s="1025">
        <f t="shared" si="22"/>
        <v>11.677386393898646</v>
      </c>
      <c r="Y58" s="1025">
        <f t="shared" si="23"/>
        <v>12.806248101606897</v>
      </c>
      <c r="Z58" s="1026">
        <f t="shared" si="24"/>
        <v>13.925089576748096</v>
      </c>
      <c r="AA58" s="28" t="b">
        <f t="shared" si="25"/>
        <v>0</v>
      </c>
      <c r="AB58" s="1057">
        <f t="shared" si="27"/>
        <v>7.4599999999999795</v>
      </c>
      <c r="AC58" s="1123">
        <f t="shared" si="26"/>
        <v>0</v>
      </c>
      <c r="AD58" s="1068">
        <v>23.38</v>
      </c>
      <c r="AE58" s="1069">
        <v>7.5199999999999818</v>
      </c>
      <c r="AF58" s="1096">
        <f t="shared" si="28"/>
        <v>14.413582466449315</v>
      </c>
      <c r="AG58" s="1096"/>
      <c r="AH58" s="1096"/>
    </row>
    <row r="59" spans="1:34" s="19" customFormat="1" ht="12.75" x14ac:dyDescent="0.2">
      <c r="A59" s="923" t="str">
        <f t="shared" si="10"/>
        <v>Groupe arbre 1 Sud</v>
      </c>
      <c r="B59" s="924">
        <f t="shared" ref="B59:L59" si="30">MAX($F23+B$55,1)</f>
        <v>6.4124931238900835</v>
      </c>
      <c r="C59" s="925">
        <f t="shared" si="30"/>
        <v>7.4124931238900835</v>
      </c>
      <c r="D59" s="925">
        <f t="shared" si="30"/>
        <v>8.4124931238900835</v>
      </c>
      <c r="E59" s="925">
        <f t="shared" si="30"/>
        <v>9.4124931238900835</v>
      </c>
      <c r="F59" s="926">
        <f t="shared" si="30"/>
        <v>10.412493123890084</v>
      </c>
      <c r="G59" s="927">
        <f t="shared" si="30"/>
        <v>11.412493123890084</v>
      </c>
      <c r="H59" s="924">
        <f t="shared" si="30"/>
        <v>12.412493123890084</v>
      </c>
      <c r="I59" s="925">
        <f t="shared" si="30"/>
        <v>13.412493123890084</v>
      </c>
      <c r="J59" s="925">
        <f t="shared" si="30"/>
        <v>14.412493123890084</v>
      </c>
      <c r="K59" s="925">
        <f t="shared" si="30"/>
        <v>15.412493123890084</v>
      </c>
      <c r="L59" s="926">
        <f t="shared" si="30"/>
        <v>16.412493123890084</v>
      </c>
      <c r="M59" s="714">
        <f t="shared" si="11"/>
        <v>47.863001127730122</v>
      </c>
      <c r="N59" s="944" t="str">
        <f t="shared" si="12"/>
        <v>Groupe arbre 1 Sud</v>
      </c>
      <c r="O59" s="1120">
        <f t="shared" si="13"/>
        <v>-37.368894256959649</v>
      </c>
      <c r="P59" s="921">
        <f t="shared" si="14"/>
        <v>3.2730982510487214</v>
      </c>
      <c r="Q59" s="1025">
        <f t="shared" si="15"/>
        <v>4.464683497185904</v>
      </c>
      <c r="R59" s="1025">
        <f t="shared" si="16"/>
        <v>5.652411868778719</v>
      </c>
      <c r="S59" s="1025">
        <f t="shared" si="17"/>
        <v>6.8352870786773305</v>
      </c>
      <c r="T59" s="1026">
        <f t="shared" si="18"/>
        <v>8.0123374853701481</v>
      </c>
      <c r="U59" s="1027">
        <f t="shared" si="19"/>
        <v>9.1826206268670525</v>
      </c>
      <c r="V59" s="921">
        <f t="shared" si="20"/>
        <v>10.345227397041779</v>
      </c>
      <c r="W59" s="1025">
        <f t="shared" si="21"/>
        <v>11.499285822983369</v>
      </c>
      <c r="X59" s="1025">
        <f t="shared" si="22"/>
        <v>12.64396441052884</v>
      </c>
      <c r="Y59" s="1025">
        <f t="shared" si="23"/>
        <v>13.778475034118783</v>
      </c>
      <c r="Z59" s="1026">
        <f t="shared" si="24"/>
        <v>14.902075356150533</v>
      </c>
      <c r="AA59" s="28" t="b">
        <f t="shared" si="25"/>
        <v>0</v>
      </c>
      <c r="AB59" s="1057">
        <f t="shared" si="27"/>
        <v>7.9000000000000057</v>
      </c>
      <c r="AC59" s="1123">
        <f t="shared" si="26"/>
        <v>-7.9000000000000057</v>
      </c>
      <c r="AD59" s="1068">
        <v>24.23</v>
      </c>
      <c r="AE59" s="1069">
        <v>7.6000000000000227</v>
      </c>
      <c r="AF59" s="1096">
        <f t="shared" si="28"/>
        <v>26.254397304444698</v>
      </c>
      <c r="AG59" s="1096"/>
      <c r="AH59" s="1096"/>
    </row>
    <row r="60" spans="1:34" s="19" customFormat="1" ht="12.75" x14ac:dyDescent="0.2">
      <c r="A60" s="923" t="str">
        <f t="shared" si="10"/>
        <v>Groupe arbre 1 Ouest</v>
      </c>
      <c r="B60" s="924">
        <f t="shared" ref="B60:L60" si="31">MAX($F24+B$55,1)</f>
        <v>4.6347970896709114</v>
      </c>
      <c r="C60" s="925">
        <f t="shared" si="31"/>
        <v>5.6347970896709114</v>
      </c>
      <c r="D60" s="925">
        <f t="shared" si="31"/>
        <v>6.6347970896709114</v>
      </c>
      <c r="E60" s="925">
        <f t="shared" si="31"/>
        <v>7.6347970896709114</v>
      </c>
      <c r="F60" s="926">
        <f t="shared" si="31"/>
        <v>8.6347970896709114</v>
      </c>
      <c r="G60" s="927">
        <f t="shared" si="31"/>
        <v>9.6347970896709114</v>
      </c>
      <c r="H60" s="924">
        <f t="shared" si="31"/>
        <v>10.634797089670911</v>
      </c>
      <c r="I60" s="925">
        <f t="shared" si="31"/>
        <v>11.634797089670911</v>
      </c>
      <c r="J60" s="925">
        <f t="shared" si="31"/>
        <v>12.634797089670911</v>
      </c>
      <c r="K60" s="925">
        <f t="shared" si="31"/>
        <v>13.634797089670911</v>
      </c>
      <c r="L60" s="926">
        <f t="shared" si="31"/>
        <v>14.634797089670911</v>
      </c>
      <c r="M60" s="714">
        <f t="shared" si="11"/>
        <v>14.227775281228071</v>
      </c>
      <c r="N60" s="944" t="str">
        <f t="shared" si="12"/>
        <v>Groupe arbre 1 Ouest</v>
      </c>
      <c r="O60" s="1120">
        <f t="shared" si="13"/>
        <v>-22.332356522394413</v>
      </c>
      <c r="P60" s="921">
        <f t="shared" si="14"/>
        <v>3.8581818109724653</v>
      </c>
      <c r="Q60" s="1025">
        <f t="shared" si="15"/>
        <v>7.8417283043656401</v>
      </c>
      <c r="R60" s="1025">
        <f t="shared" si="16"/>
        <v>11.750535751871896</v>
      </c>
      <c r="S60" s="1025">
        <f t="shared" si="17"/>
        <v>15.551625082949885</v>
      </c>
      <c r="T60" s="1026">
        <f t="shared" si="18"/>
        <v>19.217541700644617</v>
      </c>
      <c r="U60" s="1027">
        <f t="shared" si="19"/>
        <v>22.727114936447027</v>
      </c>
      <c r="V60" s="921">
        <f t="shared" si="20"/>
        <v>26.065581752332093</v>
      </c>
      <c r="W60" s="1025">
        <f t="shared" si="21"/>
        <v>29.224191445429987</v>
      </c>
      <c r="X60" s="1025">
        <f t="shared" si="22"/>
        <v>32.199458005914181</v>
      </c>
      <c r="Y60" s="1025">
        <f t="shared" si="23"/>
        <v>34.992229961810644</v>
      </c>
      <c r="Z60" s="1026">
        <f t="shared" si="24"/>
        <v>37.606719252738863</v>
      </c>
      <c r="AA60" s="28" t="b">
        <f t="shared" si="25"/>
        <v>0</v>
      </c>
      <c r="AB60" s="1057">
        <f t="shared" si="27"/>
        <v>7.9000000000000057</v>
      </c>
      <c r="AC60" s="1123">
        <f t="shared" si="26"/>
        <v>0</v>
      </c>
      <c r="AD60" s="1068">
        <v>25.31</v>
      </c>
      <c r="AE60" s="1069">
        <v>7.7300000000000182</v>
      </c>
      <c r="AF60" s="1096">
        <f t="shared" si="28"/>
        <v>26.509807504496393</v>
      </c>
      <c r="AG60" s="1096"/>
      <c r="AH60" s="1096"/>
    </row>
    <row r="61" spans="1:34" s="19" customFormat="1" ht="12.75" x14ac:dyDescent="0.2">
      <c r="A61" s="923" t="str">
        <f t="shared" si="10"/>
        <v>Creux 1 (A4)</v>
      </c>
      <c r="B61" s="924">
        <f t="shared" ref="B61:L61" si="32">MAX($F25+B$55,1)</f>
        <v>2.3621595764381134</v>
      </c>
      <c r="C61" s="925">
        <f t="shared" si="32"/>
        <v>3.3621595764381134</v>
      </c>
      <c r="D61" s="925">
        <f t="shared" si="32"/>
        <v>4.3621595764381134</v>
      </c>
      <c r="E61" s="925">
        <f t="shared" si="32"/>
        <v>5.3621595764381134</v>
      </c>
      <c r="F61" s="926">
        <f t="shared" si="32"/>
        <v>6.3621595764381134</v>
      </c>
      <c r="G61" s="927">
        <f t="shared" si="32"/>
        <v>7.3621595764381134</v>
      </c>
      <c r="H61" s="924">
        <f t="shared" si="32"/>
        <v>8.3621595764381134</v>
      </c>
      <c r="I61" s="925">
        <f t="shared" si="32"/>
        <v>9.3621595764381134</v>
      </c>
      <c r="J61" s="925">
        <f t="shared" si="32"/>
        <v>10.362159576438113</v>
      </c>
      <c r="K61" s="925">
        <f t="shared" si="32"/>
        <v>11.362159576438113</v>
      </c>
      <c r="L61" s="926">
        <f t="shared" si="32"/>
        <v>12.362159576438113</v>
      </c>
      <c r="M61" s="714">
        <f t="shared" si="11"/>
        <v>31.509826474500347</v>
      </c>
      <c r="N61" s="944" t="str">
        <f t="shared" si="12"/>
        <v>Creux 1 (A4)</v>
      </c>
      <c r="O61" s="1120">
        <f t="shared" si="13"/>
        <v>-2.466894409255163</v>
      </c>
      <c r="P61" s="921">
        <f t="shared" si="14"/>
        <v>-2.3863211688681498</v>
      </c>
      <c r="Q61" s="1025">
        <f t="shared" si="15"/>
        <v>-0.56933680087896688</v>
      </c>
      <c r="R61" s="1025">
        <f t="shared" si="16"/>
        <v>1.2487930766062576</v>
      </c>
      <c r="S61" s="1025">
        <f t="shared" si="17"/>
        <v>3.064411946597708</v>
      </c>
      <c r="T61" s="1026">
        <f t="shared" si="18"/>
        <v>4.8738934760416734</v>
      </c>
      <c r="U61" s="1027">
        <f t="shared" si="19"/>
        <v>6.6736845829903579</v>
      </c>
      <c r="V61" s="921">
        <f t="shared" si="20"/>
        <v>8.460346337109705</v>
      </c>
      <c r="W61" s="1025">
        <f t="shared" si="21"/>
        <v>10.230591547217839</v>
      </c>
      <c r="X61" s="1025">
        <f t="shared" si="22"/>
        <v>11.981318066070724</v>
      </c>
      <c r="Y61" s="1025">
        <f t="shared" si="23"/>
        <v>13.709637062461358</v>
      </c>
      <c r="Z61" s="1026">
        <f t="shared" si="24"/>
        <v>15.412895756253921</v>
      </c>
      <c r="AA61" s="28" t="b">
        <f t="shared" si="25"/>
        <v>0</v>
      </c>
      <c r="AB61" s="1057">
        <f t="shared" si="27"/>
        <v>7.4599999999999795</v>
      </c>
      <c r="AC61" s="1123">
        <f t="shared" si="26"/>
        <v>0</v>
      </c>
      <c r="AD61" s="1068">
        <v>26.83</v>
      </c>
      <c r="AE61" s="1069">
        <v>7.9000000000000057</v>
      </c>
      <c r="AF61" s="1096">
        <f t="shared" si="28"/>
        <v>17.9062521637155</v>
      </c>
      <c r="AG61" s="1096"/>
      <c r="AH61" s="1096"/>
    </row>
    <row r="62" spans="1:34" s="19" customFormat="1" ht="12.75" x14ac:dyDescent="0.2">
      <c r="A62" s="923" t="str">
        <f t="shared" si="10"/>
        <v>Arbre 2</v>
      </c>
      <c r="B62" s="924">
        <f t="shared" ref="B62:L62" si="33">MAX($F26+B$55,1)</f>
        <v>5.1662086296517344</v>
      </c>
      <c r="C62" s="925">
        <f t="shared" si="33"/>
        <v>6.1662086296517344</v>
      </c>
      <c r="D62" s="925">
        <f t="shared" si="33"/>
        <v>7.1662086296517344</v>
      </c>
      <c r="E62" s="925">
        <f t="shared" si="33"/>
        <v>8.1662086296517344</v>
      </c>
      <c r="F62" s="926">
        <f t="shared" si="33"/>
        <v>9.1662086296517344</v>
      </c>
      <c r="G62" s="927">
        <f t="shared" si="33"/>
        <v>10.166208629651734</v>
      </c>
      <c r="H62" s="924">
        <f t="shared" si="33"/>
        <v>11.166208629651734</v>
      </c>
      <c r="I62" s="925">
        <f t="shared" si="33"/>
        <v>12.166208629651734</v>
      </c>
      <c r="J62" s="925">
        <f t="shared" si="33"/>
        <v>13.166208629651734</v>
      </c>
      <c r="K62" s="925">
        <f t="shared" si="33"/>
        <v>14.166208629651734</v>
      </c>
      <c r="L62" s="926">
        <f t="shared" si="33"/>
        <v>15.166208629651734</v>
      </c>
      <c r="M62" s="714">
        <f t="shared" si="11"/>
        <v>30.898830713363935</v>
      </c>
      <c r="N62" s="944" t="str">
        <f t="shared" si="12"/>
        <v>Arbre 2</v>
      </c>
      <c r="O62" s="1120">
        <f t="shared" si="13"/>
        <v>12.549423262642561</v>
      </c>
      <c r="P62" s="921">
        <f t="shared" si="14"/>
        <v>2.762496071300601</v>
      </c>
      <c r="Q62" s="1025">
        <f t="shared" si="15"/>
        <v>4.6089740237349721</v>
      </c>
      <c r="R62" s="1025">
        <f t="shared" si="16"/>
        <v>6.4459104938961085</v>
      </c>
      <c r="S62" s="1025">
        <f t="shared" si="17"/>
        <v>8.26963968244584</v>
      </c>
      <c r="T62" s="1026">
        <f t="shared" si="18"/>
        <v>10.076654939357304</v>
      </c>
      <c r="U62" s="1027">
        <f t="shared" si="19"/>
        <v>11.863646087742012</v>
      </c>
      <c r="V62" s="921">
        <f t="shared" si="20"/>
        <v>13.627531167836128</v>
      </c>
      <c r="W62" s="1025">
        <f t="shared" si="21"/>
        <v>15.365481994696761</v>
      </c>
      <c r="X62" s="1025">
        <f t="shared" si="22"/>
        <v>17.074943218720644</v>
      </c>
      <c r="Y62" s="1025">
        <f t="shared" si="23"/>
        <v>18.753644863335495</v>
      </c>
      <c r="Z62" s="1026">
        <f t="shared" si="24"/>
        <v>20.399608571177076</v>
      </c>
      <c r="AA62" s="28" t="b">
        <f t="shared" si="25"/>
        <v>0</v>
      </c>
      <c r="AB62" s="1057">
        <f t="shared" si="27"/>
        <v>9</v>
      </c>
      <c r="AC62" s="1123">
        <f t="shared" si="26"/>
        <v>0</v>
      </c>
      <c r="AD62" s="1068">
        <v>28.54</v>
      </c>
      <c r="AE62" s="1069">
        <v>8.1200000000000045</v>
      </c>
      <c r="AF62" s="1096">
        <f t="shared" si="28"/>
        <v>33.817064023497309</v>
      </c>
      <c r="AG62" s="1096"/>
      <c r="AH62" s="1096"/>
    </row>
    <row r="63" spans="1:34" s="19" customFormat="1" ht="12.75" x14ac:dyDescent="0.2">
      <c r="A63" s="923" t="str">
        <f t="shared" si="10"/>
        <v>Arbre 3g</v>
      </c>
      <c r="B63" s="924">
        <f t="shared" ref="B63:L63" si="34">MAX($F27+B$55,1)</f>
        <v>3.487085591032967</v>
      </c>
      <c r="C63" s="925">
        <f t="shared" si="34"/>
        <v>4.487085591032967</v>
      </c>
      <c r="D63" s="925">
        <f t="shared" si="34"/>
        <v>5.487085591032967</v>
      </c>
      <c r="E63" s="925">
        <f t="shared" si="34"/>
        <v>6.487085591032967</v>
      </c>
      <c r="F63" s="926">
        <f t="shared" si="34"/>
        <v>7.487085591032967</v>
      </c>
      <c r="G63" s="927">
        <f t="shared" si="34"/>
        <v>8.487085591032967</v>
      </c>
      <c r="H63" s="924">
        <f t="shared" si="34"/>
        <v>9.487085591032967</v>
      </c>
      <c r="I63" s="925">
        <f t="shared" si="34"/>
        <v>10.487085591032967</v>
      </c>
      <c r="J63" s="925">
        <f t="shared" si="34"/>
        <v>11.487085591032967</v>
      </c>
      <c r="K63" s="925">
        <f t="shared" si="34"/>
        <v>12.487085591032967</v>
      </c>
      <c r="L63" s="926">
        <f t="shared" si="34"/>
        <v>13.487085591032967</v>
      </c>
      <c r="M63" s="714">
        <f t="shared" si="11"/>
        <v>9.0748602993723679</v>
      </c>
      <c r="N63" s="944" t="str">
        <f t="shared" si="12"/>
        <v>Arbre 3g</v>
      </c>
      <c r="O63" s="1120">
        <f t="shared" si="13"/>
        <v>25.059565231773391</v>
      </c>
      <c r="P63" s="921">
        <f t="shared" si="14"/>
        <v>-1.188008989277632</v>
      </c>
      <c r="Q63" s="1025">
        <f t="shared" si="15"/>
        <v>5.1118953776895397</v>
      </c>
      <c r="R63" s="1025">
        <f t="shared" si="16"/>
        <v>11.290727582649469</v>
      </c>
      <c r="S63" s="1025">
        <f t="shared" si="17"/>
        <v>17.215383853213652</v>
      </c>
      <c r="T63" s="1026">
        <f t="shared" si="18"/>
        <v>22.784377975551998</v>
      </c>
      <c r="U63" s="1027">
        <f t="shared" si="19"/>
        <v>27.934101729224128</v>
      </c>
      <c r="V63" s="921">
        <f t="shared" si="20"/>
        <v>32.636700019389856</v>
      </c>
      <c r="W63" s="1025">
        <f t="shared" si="21"/>
        <v>36.892775962246553</v>
      </c>
      <c r="X63" s="1025">
        <f t="shared" si="22"/>
        <v>40.722482676512925</v>
      </c>
      <c r="Y63" s="1025">
        <f t="shared" si="23"/>
        <v>44.157436548952298</v>
      </c>
      <c r="Z63" s="1026">
        <f t="shared" si="24"/>
        <v>47.234519475817535</v>
      </c>
      <c r="AA63" s="28" t="b">
        <f t="shared" si="25"/>
        <v>0</v>
      </c>
      <c r="AB63" s="1057">
        <f>INDEX($AE$56:$AE$82,MATCH((Z63+Z64)/2,$AD$56:$AD$82)+1)</f>
        <v>10.759999999999991</v>
      </c>
      <c r="AC63" s="1123">
        <f t="shared" si="26"/>
        <v>0</v>
      </c>
      <c r="AD63" s="1068">
        <v>30.6</v>
      </c>
      <c r="AE63" s="1069">
        <v>8.3700000000000045</v>
      </c>
      <c r="AF63" s="1096">
        <f t="shared" si="28"/>
        <v>45.295670120857878</v>
      </c>
      <c r="AG63" s="1096"/>
      <c r="AH63" s="1096"/>
    </row>
    <row r="64" spans="1:34" s="19" customFormat="1" ht="12.75" x14ac:dyDescent="0.2">
      <c r="A64" s="923" t="str">
        <f t="shared" si="10"/>
        <v>Arbre 3d</v>
      </c>
      <c r="B64" s="924">
        <f t="shared" ref="B64:L64" si="35">MAX($F28+B$55,1)</f>
        <v>3.4677263723315281</v>
      </c>
      <c r="C64" s="925">
        <f t="shared" si="35"/>
        <v>4.4677263723315281</v>
      </c>
      <c r="D64" s="925">
        <f t="shared" si="35"/>
        <v>5.4677263723315281</v>
      </c>
      <c r="E64" s="925">
        <f t="shared" si="35"/>
        <v>6.4677263723315281</v>
      </c>
      <c r="F64" s="926">
        <f t="shared" si="35"/>
        <v>7.4677263723315281</v>
      </c>
      <c r="G64" s="927">
        <f t="shared" si="35"/>
        <v>8.4677263723315281</v>
      </c>
      <c r="H64" s="924">
        <f t="shared" si="35"/>
        <v>9.4677263723315281</v>
      </c>
      <c r="I64" s="925">
        <f t="shared" si="35"/>
        <v>10.467726372331528</v>
      </c>
      <c r="J64" s="925">
        <f t="shared" si="35"/>
        <v>11.467726372331528</v>
      </c>
      <c r="K64" s="925">
        <f t="shared" si="35"/>
        <v>12.467726372331528</v>
      </c>
      <c r="L64" s="926">
        <f t="shared" si="35"/>
        <v>13.467726372331528</v>
      </c>
      <c r="M64" s="714">
        <f>$G28</f>
        <v>10.370869753937384</v>
      </c>
      <c r="N64" s="944" t="str">
        <f t="shared" si="12"/>
        <v>Arbre 3d</v>
      </c>
      <c r="O64" s="1120">
        <f t="shared" si="13"/>
        <v>43.996455813389467</v>
      </c>
      <c r="P64" s="921">
        <f t="shared" si="14"/>
        <v>-1.1464973989379086</v>
      </c>
      <c r="Q64" s="1025">
        <f t="shared" si="15"/>
        <v>4.369542795693528</v>
      </c>
      <c r="R64" s="1025">
        <f t="shared" si="16"/>
        <v>9.8058437700955121</v>
      </c>
      <c r="S64" s="1025">
        <f t="shared" si="17"/>
        <v>15.069994131445032</v>
      </c>
      <c r="T64" s="1026">
        <f t="shared" si="18"/>
        <v>20.086601268123655</v>
      </c>
      <c r="U64" s="1027">
        <f t="shared" si="19"/>
        <v>24.801980421777102</v>
      </c>
      <c r="V64" s="921">
        <f t="shared" si="20"/>
        <v>29.184701080571529</v>
      </c>
      <c r="W64" s="1025">
        <f t="shared" si="21"/>
        <v>33.222981344659438</v>
      </c>
      <c r="X64" s="1025">
        <f t="shared" si="22"/>
        <v>36.920416482320469</v>
      </c>
      <c r="Y64" s="1025">
        <f t="shared" si="23"/>
        <v>40.291362408862462</v>
      </c>
      <c r="Z64" s="1026">
        <f t="shared" si="24"/>
        <v>43.35682076589822</v>
      </c>
      <c r="AA64" s="28" t="b">
        <f t="shared" si="25"/>
        <v>0</v>
      </c>
      <c r="AB64" s="1057">
        <f t="shared" si="27"/>
        <v>8.660000000000025</v>
      </c>
      <c r="AC64" s="1123">
        <f t="shared" si="26"/>
        <v>0</v>
      </c>
      <c r="AD64" s="1068">
        <v>32.76</v>
      </c>
      <c r="AE64" s="1069">
        <v>8.660000000000025</v>
      </c>
      <c r="AF64" s="1096">
        <f t="shared" si="28"/>
        <v>30.781683152242056</v>
      </c>
      <c r="AG64" s="1096"/>
      <c r="AH64" s="1096"/>
    </row>
    <row r="65" spans="1:34" s="19" customFormat="1" ht="12.75" x14ac:dyDescent="0.2">
      <c r="A65" s="923" t="str">
        <f t="shared" si="10"/>
        <v>Arbre 5</v>
      </c>
      <c r="B65" s="924">
        <f t="shared" ref="B65:L65" si="36">MAX($F29+B$55,1)</f>
        <v>5.5685189544612079</v>
      </c>
      <c r="C65" s="925">
        <f t="shared" si="36"/>
        <v>6.5685189544612079</v>
      </c>
      <c r="D65" s="925">
        <f t="shared" si="36"/>
        <v>7.5685189544612079</v>
      </c>
      <c r="E65" s="925">
        <f t="shared" si="36"/>
        <v>8.5685189544612079</v>
      </c>
      <c r="F65" s="926">
        <f t="shared" si="36"/>
        <v>9.5685189544612079</v>
      </c>
      <c r="G65" s="927">
        <f t="shared" si="36"/>
        <v>10.568518954461208</v>
      </c>
      <c r="H65" s="924">
        <f t="shared" si="36"/>
        <v>11.568518954461208</v>
      </c>
      <c r="I65" s="925">
        <f t="shared" si="36"/>
        <v>12.568518954461208</v>
      </c>
      <c r="J65" s="925">
        <f t="shared" si="36"/>
        <v>13.568518954461208</v>
      </c>
      <c r="K65" s="925">
        <f t="shared" si="36"/>
        <v>14.568518954461208</v>
      </c>
      <c r="L65" s="926">
        <f t="shared" si="36"/>
        <v>15.568518954461208</v>
      </c>
      <c r="M65" s="714">
        <f t="shared" si="11"/>
        <v>36.159578633511813</v>
      </c>
      <c r="N65" s="944" t="str">
        <f t="shared" si="12"/>
        <v>Arbre 5</v>
      </c>
      <c r="O65" s="1120">
        <f t="shared" si="13"/>
        <v>53.079749279295598</v>
      </c>
      <c r="P65" s="921">
        <f t="shared" si="14"/>
        <v>2.997154012165625</v>
      </c>
      <c r="Q65" s="1025">
        <f t="shared" si="15"/>
        <v>4.5746705133018892</v>
      </c>
      <c r="R65" s="1025">
        <f t="shared" si="16"/>
        <v>6.1452687280205494</v>
      </c>
      <c r="S65" s="1025">
        <f t="shared" si="17"/>
        <v>7.7066526484389701</v>
      </c>
      <c r="T65" s="1026">
        <f t="shared" si="18"/>
        <v>9.2566077118413936</v>
      </c>
      <c r="U65" s="1027">
        <f t="shared" si="19"/>
        <v>10.79301837761202</v>
      </c>
      <c r="V65" s="921">
        <f t="shared" si="20"/>
        <v>12.313883620449342</v>
      </c>
      <c r="W65" s="1025">
        <f t="shared" si="21"/>
        <v>13.817330100554843</v>
      </c>
      <c r="X65" s="1025">
        <f t="shared" si="22"/>
        <v>15.301622855461606</v>
      </c>
      <c r="Y65" s="1025">
        <f t="shared" si="23"/>
        <v>16.765173442221091</v>
      </c>
      <c r="Z65" s="1026">
        <f t="shared" si="24"/>
        <v>18.206545538585893</v>
      </c>
      <c r="AA65" s="28" t="b">
        <f t="shared" si="25"/>
        <v>0</v>
      </c>
      <c r="AB65" s="1057">
        <f t="shared" si="27"/>
        <v>7.4599999999999795</v>
      </c>
      <c r="AC65" s="1123">
        <f t="shared" si="26"/>
        <v>7.4599999999999795</v>
      </c>
      <c r="AD65" s="1068">
        <v>35.270000000000003</v>
      </c>
      <c r="AE65" s="1069">
        <v>9</v>
      </c>
      <c r="AF65" s="1096">
        <f t="shared" si="28"/>
        <v>18.092987932591388</v>
      </c>
      <c r="AG65" s="1096"/>
      <c r="AH65" s="1096"/>
    </row>
    <row r="66" spans="1:34" s="19" customFormat="1" ht="12.75" x14ac:dyDescent="0.2">
      <c r="A66" s="923" t="str">
        <f t="shared" si="10"/>
        <v>Arbre 6</v>
      </c>
      <c r="B66" s="924">
        <f t="shared" ref="B66:L66" si="37">MAX($F30+B$55,1)</f>
        <v>5.3384356201392755</v>
      </c>
      <c r="C66" s="925">
        <f t="shared" si="37"/>
        <v>6.3384356201392755</v>
      </c>
      <c r="D66" s="925">
        <f t="shared" si="37"/>
        <v>7.3384356201392755</v>
      </c>
      <c r="E66" s="925">
        <f t="shared" si="37"/>
        <v>8.3384356201392755</v>
      </c>
      <c r="F66" s="926">
        <f t="shared" si="37"/>
        <v>9.3384356201392755</v>
      </c>
      <c r="G66" s="927">
        <f t="shared" si="37"/>
        <v>10.338435620139276</v>
      </c>
      <c r="H66" s="924">
        <f t="shared" si="37"/>
        <v>11.338435620139276</v>
      </c>
      <c r="I66" s="925">
        <f t="shared" si="37"/>
        <v>12.338435620139276</v>
      </c>
      <c r="J66" s="925">
        <f t="shared" si="37"/>
        <v>13.338435620139276</v>
      </c>
      <c r="K66" s="925">
        <f t="shared" si="37"/>
        <v>14.338435620139276</v>
      </c>
      <c r="L66" s="926">
        <f t="shared" si="37"/>
        <v>15.338435620139276</v>
      </c>
      <c r="M66" s="714">
        <f t="shared" si="11"/>
        <v>35.939409106900065</v>
      </c>
      <c r="N66" s="944" t="str">
        <f t="shared" si="12"/>
        <v>Arbre 6</v>
      </c>
      <c r="O66" s="1120">
        <f t="shared" si="13"/>
        <v>61.133243261884687</v>
      </c>
      <c r="P66" s="921">
        <f t="shared" si="14"/>
        <v>2.6495718222624483</v>
      </c>
      <c r="Q66" s="1025">
        <f t="shared" si="15"/>
        <v>4.2379492323520305</v>
      </c>
      <c r="R66" s="1025">
        <f t="shared" si="16"/>
        <v>5.8198290884903612</v>
      </c>
      <c r="S66" s="1025">
        <f t="shared" si="17"/>
        <v>7.3928579386989721</v>
      </c>
      <c r="T66" s="1026">
        <f t="shared" si="18"/>
        <v>8.9547618078363094</v>
      </c>
      <c r="U66" s="1027">
        <f t="shared" si="19"/>
        <v>10.503364720236332</v>
      </c>
      <c r="V66" s="921">
        <f t="shared" si="20"/>
        <v>12.036605121327639</v>
      </c>
      <c r="W66" s="1025">
        <f t="shared" si="21"/>
        <v>13.552549931528677</v>
      </c>
      <c r="X66" s="1025">
        <f t="shared" si="22"/>
        <v>15.049406053296053</v>
      </c>
      <c r="Y66" s="1025">
        <f t="shared" si="23"/>
        <v>16.525529240786724</v>
      </c>
      <c r="Z66" s="1026">
        <f t="shared" si="24"/>
        <v>17.979430326596884</v>
      </c>
      <c r="AA66" s="28" t="b">
        <f t="shared" si="25"/>
        <v>0</v>
      </c>
      <c r="AB66" s="1057">
        <f t="shared" si="27"/>
        <v>7.4599999999999795</v>
      </c>
      <c r="AC66" s="1123">
        <f t="shared" si="26"/>
        <v>0</v>
      </c>
      <c r="AD66" s="1068">
        <v>37.65</v>
      </c>
      <c r="AE66" s="1069">
        <v>9.3500000000000227</v>
      </c>
      <c r="AF66" s="1096">
        <f t="shared" si="28"/>
        <v>19.442520328854254</v>
      </c>
      <c r="AG66" s="1096"/>
      <c r="AH66" s="1096"/>
    </row>
    <row r="67" spans="1:34" s="19" customFormat="1" ht="12.75" x14ac:dyDescent="0.2">
      <c r="A67" s="923" t="str">
        <f t="shared" si="10"/>
        <v>Arbre 7</v>
      </c>
      <c r="B67" s="924">
        <f t="shared" ref="B67:L67" si="38">MAX($F31+B$55,1)</f>
        <v>7.8622163252933621</v>
      </c>
      <c r="C67" s="925">
        <f t="shared" si="38"/>
        <v>8.8622163252933621</v>
      </c>
      <c r="D67" s="925">
        <f t="shared" si="38"/>
        <v>9.8622163252933621</v>
      </c>
      <c r="E67" s="925">
        <f t="shared" si="38"/>
        <v>10.862216325293362</v>
      </c>
      <c r="F67" s="926">
        <f t="shared" si="38"/>
        <v>11.862216325293362</v>
      </c>
      <c r="G67" s="927">
        <f t="shared" si="38"/>
        <v>12.862216325293362</v>
      </c>
      <c r="H67" s="924">
        <f t="shared" si="38"/>
        <v>13.862216325293362</v>
      </c>
      <c r="I67" s="925">
        <f t="shared" si="38"/>
        <v>14.862216325293362</v>
      </c>
      <c r="J67" s="925">
        <f t="shared" si="38"/>
        <v>15.862216325293362</v>
      </c>
      <c r="K67" s="925">
        <f t="shared" si="38"/>
        <v>16.86221632529336</v>
      </c>
      <c r="L67" s="926">
        <f t="shared" si="38"/>
        <v>17.86221632529336</v>
      </c>
      <c r="M67" s="714">
        <f t="shared" si="11"/>
        <v>37.141009200789931</v>
      </c>
      <c r="N67" s="944" t="str">
        <f t="shared" si="12"/>
        <v>Arbre 7</v>
      </c>
      <c r="O67" s="1120">
        <f t="shared" si="13"/>
        <v>85.644554035499283</v>
      </c>
      <c r="P67" s="921">
        <f t="shared" si="14"/>
        <v>6.4318508756407056</v>
      </c>
      <c r="Q67" s="1025">
        <f t="shared" si="15"/>
        <v>7.9502404329254857</v>
      </c>
      <c r="R67" s="1025">
        <f t="shared" si="16"/>
        <v>9.4574760507638125</v>
      </c>
      <c r="S67" s="1025">
        <f t="shared" si="17"/>
        <v>10.951619736754408</v>
      </c>
      <c r="T67" s="1026">
        <f t="shared" si="18"/>
        <v>12.430838062190647</v>
      </c>
      <c r="U67" s="1027">
        <f t="shared" si="19"/>
        <v>13.893413435082872</v>
      </c>
      <c r="V67" s="921">
        <f t="shared" si="20"/>
        <v>15.337753252163772</v>
      </c>
      <c r="W67" s="1025">
        <f t="shared" si="21"/>
        <v>16.762396877028092</v>
      </c>
      <c r="X67" s="1025">
        <f t="shared" si="22"/>
        <v>18.166020455729523</v>
      </c>
      <c r="Y67" s="1025">
        <f t="shared" si="23"/>
        <v>19.547439639135042</v>
      </c>
      <c r="Z67" s="1026">
        <f t="shared" si="24"/>
        <v>20.905610331111625</v>
      </c>
      <c r="AA67" s="28" t="b">
        <f t="shared" si="25"/>
        <v>0</v>
      </c>
      <c r="AB67" s="1057">
        <f t="shared" si="27"/>
        <v>7.4599999999999795</v>
      </c>
      <c r="AC67" s="1123">
        <f t="shared" si="26"/>
        <v>0</v>
      </c>
      <c r="AD67" s="1068">
        <v>40.520000000000003</v>
      </c>
      <c r="AE67" s="1069">
        <v>9.789999999999992</v>
      </c>
      <c r="AF67" s="1096">
        <f t="shared" si="28"/>
        <v>18.6948683121831</v>
      </c>
      <c r="AG67" s="1096"/>
      <c r="AH67" s="1096"/>
    </row>
    <row r="68" spans="1:34" s="19" customFormat="1" ht="12.75" x14ac:dyDescent="0.2">
      <c r="A68" s="923" t="str">
        <f t="shared" si="10"/>
        <v>Arbre 8</v>
      </c>
      <c r="B68" s="924">
        <f t="shared" ref="B68:L68" si="39">MAX($F32+B$55,1)</f>
        <v>6.9419919407925761</v>
      </c>
      <c r="C68" s="925">
        <f t="shared" si="39"/>
        <v>7.9419919407925761</v>
      </c>
      <c r="D68" s="925">
        <f t="shared" si="39"/>
        <v>8.9419919407925761</v>
      </c>
      <c r="E68" s="925">
        <f t="shared" si="39"/>
        <v>9.9419919407925761</v>
      </c>
      <c r="F68" s="926">
        <f t="shared" si="39"/>
        <v>10.941991940792576</v>
      </c>
      <c r="G68" s="927">
        <f t="shared" si="39"/>
        <v>11.941991940792576</v>
      </c>
      <c r="H68" s="924">
        <f t="shared" si="39"/>
        <v>12.941991940792576</v>
      </c>
      <c r="I68" s="925">
        <f t="shared" si="39"/>
        <v>13.941991940792576</v>
      </c>
      <c r="J68" s="925">
        <f t="shared" si="39"/>
        <v>14.941991940792576</v>
      </c>
      <c r="K68" s="925">
        <f t="shared" si="39"/>
        <v>15.941991940792576</v>
      </c>
      <c r="L68" s="926">
        <f t="shared" si="39"/>
        <v>16.941991940792576</v>
      </c>
      <c r="M68" s="714">
        <f t="shared" si="11"/>
        <v>44.833287878016918</v>
      </c>
      <c r="N68" s="944" t="str">
        <f t="shared" si="12"/>
        <v>Arbre 8</v>
      </c>
      <c r="O68" s="1120">
        <f t="shared" si="13"/>
        <v>105.59046714381608</v>
      </c>
      <c r="P68" s="921">
        <f t="shared" si="14"/>
        <v>4.1674126133183593</v>
      </c>
      <c r="Q68" s="1025">
        <f t="shared" si="15"/>
        <v>5.4363783118105875</v>
      </c>
      <c r="R68" s="1025">
        <f t="shared" si="16"/>
        <v>6.7000179896146141</v>
      </c>
      <c r="S68" s="1025">
        <f t="shared" si="17"/>
        <v>7.9571447006789455</v>
      </c>
      <c r="T68" s="1026">
        <f t="shared" si="18"/>
        <v>9.2066087390166125</v>
      </c>
      <c r="U68" s="1027">
        <f t="shared" si="19"/>
        <v>10.447303470878108</v>
      </c>
      <c r="V68" s="921">
        <f t="shared" si="20"/>
        <v>11.678170579285808</v>
      </c>
      <c r="W68" s="1025">
        <f t="shared" si="21"/>
        <v>12.898204668883089</v>
      </c>
      <c r="X68" s="1025">
        <f t="shared" si="22"/>
        <v>14.106457194170511</v>
      </c>
      <c r="Y68" s="1025">
        <f t="shared" si="23"/>
        <v>15.30203968940881</v>
      </c>
      <c r="Z68" s="1026">
        <f t="shared" si="24"/>
        <v>16.484126293254576</v>
      </c>
      <c r="AA68" s="28" t="b">
        <f t="shared" si="25"/>
        <v>0</v>
      </c>
      <c r="AB68" s="1057">
        <f t="shared" si="27"/>
        <v>7.4599999999999795</v>
      </c>
      <c r="AC68" s="1123">
        <f t="shared" si="26"/>
        <v>0</v>
      </c>
      <c r="AD68" s="1068">
        <v>42.91</v>
      </c>
      <c r="AE68" s="1069">
        <v>10.22999999999999</v>
      </c>
      <c r="AF68" s="1096">
        <f t="shared" si="28"/>
        <v>11.203925208897925</v>
      </c>
      <c r="AG68" s="1096"/>
      <c r="AH68" s="1096"/>
    </row>
    <row r="69" spans="1:34" s="19" customFormat="1" ht="12.75" x14ac:dyDescent="0.2">
      <c r="A69" s="923" t="str">
        <f t="shared" si="10"/>
        <v>Creux 2</v>
      </c>
      <c r="B69" s="924">
        <f t="shared" ref="B69:L69" si="40">MAX($F33+B$55,1)</f>
        <v>10.532946127987822</v>
      </c>
      <c r="C69" s="925">
        <f t="shared" si="40"/>
        <v>11.532946127987822</v>
      </c>
      <c r="D69" s="925">
        <f t="shared" si="40"/>
        <v>12.532946127987822</v>
      </c>
      <c r="E69" s="925">
        <f t="shared" si="40"/>
        <v>13.532946127987822</v>
      </c>
      <c r="F69" s="926">
        <f t="shared" si="40"/>
        <v>14.532946127987822</v>
      </c>
      <c r="G69" s="927">
        <f t="shared" si="40"/>
        <v>15.532946127987822</v>
      </c>
      <c r="H69" s="924">
        <f t="shared" si="40"/>
        <v>16.53294612798782</v>
      </c>
      <c r="I69" s="925">
        <f t="shared" si="40"/>
        <v>17.53294612798782</v>
      </c>
      <c r="J69" s="925">
        <f t="shared" si="40"/>
        <v>18.53294612798782</v>
      </c>
      <c r="K69" s="925">
        <f t="shared" si="40"/>
        <v>19.53294612798782</v>
      </c>
      <c r="L69" s="926">
        <f t="shared" si="40"/>
        <v>20.53294612798782</v>
      </c>
      <c r="M69" s="714">
        <f t="shared" si="11"/>
        <v>162.47032548885093</v>
      </c>
      <c r="N69" s="944" t="str">
        <f t="shared" si="12"/>
        <v>Creux 2</v>
      </c>
      <c r="O69" s="1120">
        <f t="shared" si="13"/>
        <v>118.70014311472806</v>
      </c>
      <c r="P69" s="921">
        <f t="shared" si="14"/>
        <v>2.4169485856580191</v>
      </c>
      <c r="Q69" s="1025">
        <f t="shared" si="15"/>
        <v>2.7688795398953685</v>
      </c>
      <c r="R69" s="1025">
        <f t="shared" si="16"/>
        <v>3.1206015267089127</v>
      </c>
      <c r="S69" s="1025">
        <f t="shared" si="17"/>
        <v>3.4720882493649978</v>
      </c>
      <c r="T69" s="1026">
        <f t="shared" si="18"/>
        <v>3.8233135171171604</v>
      </c>
      <c r="U69" s="1027">
        <f t="shared" si="19"/>
        <v>4.1742512567552001</v>
      </c>
      <c r="V69" s="921">
        <f t="shared" si="20"/>
        <v>4.5248755240228355</v>
      </c>
      <c r="W69" s="1025">
        <f t="shared" si="21"/>
        <v>4.8751605148916735</v>
      </c>
      <c r="X69" s="1025">
        <f t="shared" si="22"/>
        <v>5.2250805766794919</v>
      </c>
      <c r="Y69" s="1025">
        <f t="shared" si="23"/>
        <v>5.5746102190012241</v>
      </c>
      <c r="Z69" s="1026">
        <f t="shared" si="24"/>
        <v>5.9237241245412733</v>
      </c>
      <c r="AA69" s="28" t="b">
        <f t="shared" si="25"/>
        <v>0</v>
      </c>
      <c r="AB69" s="1057">
        <f t="shared" si="27"/>
        <v>7.4599999999999795</v>
      </c>
      <c r="AC69" s="1123">
        <f t="shared" si="26"/>
        <v>7.4599999999999795</v>
      </c>
      <c r="AD69" s="1068">
        <v>46.04</v>
      </c>
      <c r="AE69" s="1069">
        <v>10.759999999999991</v>
      </c>
      <c r="AF69" s="1096">
        <f t="shared" si="28"/>
        <v>8.2741314226735927</v>
      </c>
      <c r="AG69" s="1096"/>
      <c r="AH69" s="1096"/>
    </row>
    <row r="70" spans="1:34" s="28" customFormat="1" ht="12.75" x14ac:dyDescent="0.2">
      <c r="A70" s="1028" t="str">
        <f t="shared" si="10"/>
        <v>Arbre 9</v>
      </c>
      <c r="B70" s="924">
        <f t="shared" ref="B70:L70" si="41">MAX($F34+B$55,1)</f>
        <v>19.955608608329342</v>
      </c>
      <c r="C70" s="925">
        <f t="shared" si="41"/>
        <v>20.955608608329342</v>
      </c>
      <c r="D70" s="925">
        <f t="shared" si="41"/>
        <v>21.955608608329342</v>
      </c>
      <c r="E70" s="925">
        <f t="shared" si="41"/>
        <v>22.955608608329342</v>
      </c>
      <c r="F70" s="926">
        <f t="shared" si="41"/>
        <v>23.955608608329342</v>
      </c>
      <c r="G70" s="927">
        <f t="shared" si="41"/>
        <v>24.955608608329342</v>
      </c>
      <c r="H70" s="924">
        <f t="shared" si="41"/>
        <v>25.955608608329342</v>
      </c>
      <c r="I70" s="925">
        <f t="shared" si="41"/>
        <v>26.955608608329342</v>
      </c>
      <c r="J70" s="925">
        <f t="shared" si="41"/>
        <v>27.955608608329342</v>
      </c>
      <c r="K70" s="925">
        <f t="shared" si="41"/>
        <v>28.955608608329342</v>
      </c>
      <c r="L70" s="926">
        <f t="shared" si="41"/>
        <v>29.955608608329342</v>
      </c>
      <c r="M70" s="714">
        <f t="shared" si="11"/>
        <v>140.09584621591489</v>
      </c>
      <c r="N70" s="944" t="str">
        <f t="shared" si="12"/>
        <v>Arbre 9</v>
      </c>
      <c r="O70" s="1120">
        <f t="shared" si="13"/>
        <v>128.1546998481125</v>
      </c>
      <c r="P70" s="921">
        <f t="shared" si="14"/>
        <v>6.628526659272679</v>
      </c>
      <c r="Q70" s="1025">
        <f t="shared" si="15"/>
        <v>7.0317162008819869</v>
      </c>
      <c r="R70" s="1025">
        <f t="shared" si="16"/>
        <v>7.434207040011759</v>
      </c>
      <c r="S70" s="1025">
        <f t="shared" si="17"/>
        <v>7.8359613742774172</v>
      </c>
      <c r="T70" s="1026">
        <f t="shared" si="18"/>
        <v>8.236941829155068</v>
      </c>
      <c r="U70" s="1027">
        <f t="shared" si="19"/>
        <v>8.6371114771352548</v>
      </c>
      <c r="V70" s="921">
        <f t="shared" si="20"/>
        <v>9.0364338562482693</v>
      </c>
      <c r="W70" s="1025">
        <f t="shared" si="21"/>
        <v>9.4348729879408531</v>
      </c>
      <c r="X70" s="1025">
        <f t="shared" si="22"/>
        <v>9.8323933942856829</v>
      </c>
      <c r="Y70" s="1025">
        <f t="shared" si="23"/>
        <v>10.228960114506831</v>
      </c>
      <c r="Z70" s="1026">
        <f t="shared" si="24"/>
        <v>10.624538720805912</v>
      </c>
      <c r="AA70" s="28" t="b">
        <f t="shared" si="25"/>
        <v>0</v>
      </c>
      <c r="AB70" s="1057">
        <f t="shared" si="27"/>
        <v>7.4599999999999795</v>
      </c>
      <c r="AC70" s="1123">
        <f t="shared" si="26"/>
        <v>0</v>
      </c>
      <c r="AD70" s="1068">
        <v>48.37</v>
      </c>
      <c r="AE70" s="1069">
        <v>11.280000000000001</v>
      </c>
      <c r="AF70" s="1096">
        <f t="shared" si="28"/>
        <v>8.097231445538128</v>
      </c>
      <c r="AG70" s="1096"/>
      <c r="AH70" s="1096"/>
    </row>
    <row r="71" spans="1:34" s="28" customFormat="1" ht="12.75" x14ac:dyDescent="0.2">
      <c r="A71" s="1028" t="str">
        <f t="shared" si="10"/>
        <v>Creux 3</v>
      </c>
      <c r="B71" s="924">
        <f t="shared" ref="B71:L71" si="42">MAX($F35+B$55,1)</f>
        <v>7.553399543381115</v>
      </c>
      <c r="C71" s="925">
        <f t="shared" si="42"/>
        <v>8.553399543381115</v>
      </c>
      <c r="D71" s="925">
        <f t="shared" si="42"/>
        <v>9.553399543381115</v>
      </c>
      <c r="E71" s="925">
        <f t="shared" si="42"/>
        <v>10.553399543381115</v>
      </c>
      <c r="F71" s="926">
        <f t="shared" si="42"/>
        <v>11.553399543381115</v>
      </c>
      <c r="G71" s="927">
        <f t="shared" si="42"/>
        <v>12.553399543381115</v>
      </c>
      <c r="H71" s="924">
        <f t="shared" si="42"/>
        <v>13.553399543381115</v>
      </c>
      <c r="I71" s="925">
        <f t="shared" si="42"/>
        <v>14.553399543381115</v>
      </c>
      <c r="J71" s="925">
        <f t="shared" si="42"/>
        <v>15.553399543381115</v>
      </c>
      <c r="K71" s="925">
        <f t="shared" si="42"/>
        <v>16.553399543381115</v>
      </c>
      <c r="L71" s="926">
        <f t="shared" si="42"/>
        <v>17.553399543381115</v>
      </c>
      <c r="M71" s="714">
        <f t="shared" si="11"/>
        <v>142.30919252442266</v>
      </c>
      <c r="N71" s="944" t="str">
        <f t="shared" si="12"/>
        <v>Creux 3</v>
      </c>
      <c r="O71" s="1120">
        <f t="shared" si="13"/>
        <v>141.44637679208864</v>
      </c>
      <c r="P71" s="921">
        <f t="shared" si="14"/>
        <v>1.5610030706126021</v>
      </c>
      <c r="Q71" s="1025">
        <f t="shared" si="15"/>
        <v>1.9632354649203065</v>
      </c>
      <c r="R71" s="1025">
        <f t="shared" si="16"/>
        <v>2.3652743662873958</v>
      </c>
      <c r="S71" s="1025">
        <f t="shared" si="17"/>
        <v>2.7670803564283966</v>
      </c>
      <c r="T71" s="1026">
        <f t="shared" si="18"/>
        <v>3.1686141543350348</v>
      </c>
      <c r="U71" s="1027">
        <f t="shared" si="19"/>
        <v>3.5698366391257768</v>
      </c>
      <c r="V71" s="921">
        <f t="shared" si="20"/>
        <v>3.9707088726606656</v>
      </c>
      <c r="W71" s="1025">
        <f t="shared" si="21"/>
        <v>4.3711921218891465</v>
      </c>
      <c r="X71" s="1025">
        <f t="shared" si="22"/>
        <v>4.7712478808993053</v>
      </c>
      <c r="Y71" s="1025">
        <f t="shared" si="23"/>
        <v>5.1708378926377678</v>
      </c>
      <c r="Z71" s="1026">
        <f t="shared" si="24"/>
        <v>5.5699241702703448</v>
      </c>
      <c r="AA71" s="28" t="b">
        <f t="shared" si="25"/>
        <v>0</v>
      </c>
      <c r="AB71" s="1057">
        <f t="shared" si="27"/>
        <v>7.4599999999999795</v>
      </c>
      <c r="AC71" s="1123">
        <f t="shared" si="26"/>
        <v>0</v>
      </c>
      <c r="AD71" s="1068">
        <v>51.52</v>
      </c>
      <c r="AE71" s="1069">
        <v>11.930000000000007</v>
      </c>
      <c r="AF71" s="1096">
        <f t="shared" si="28"/>
        <v>2.7849620851351724</v>
      </c>
      <c r="AG71" s="1096"/>
      <c r="AH71" s="1096"/>
    </row>
    <row r="72" spans="1:34" s="28" customFormat="1" ht="12.75" x14ac:dyDescent="0.2">
      <c r="A72" s="1028" t="str">
        <f t="shared" si="10"/>
        <v>Toiture</v>
      </c>
      <c r="B72" s="924">
        <f t="shared" ref="B72:L72" si="43">MAX($F36+B$55,1)</f>
        <v>1</v>
      </c>
      <c r="C72" s="925">
        <f t="shared" si="43"/>
        <v>1</v>
      </c>
      <c r="D72" s="925">
        <f t="shared" si="43"/>
        <v>1</v>
      </c>
      <c r="E72" s="925">
        <f t="shared" si="43"/>
        <v>1</v>
      </c>
      <c r="F72" s="926">
        <f t="shared" si="43"/>
        <v>1</v>
      </c>
      <c r="G72" s="927">
        <f t="shared" si="43"/>
        <v>1</v>
      </c>
      <c r="H72" s="924">
        <f t="shared" si="43"/>
        <v>1</v>
      </c>
      <c r="I72" s="925">
        <f t="shared" si="43"/>
        <v>2</v>
      </c>
      <c r="J72" s="925">
        <f t="shared" si="43"/>
        <v>3</v>
      </c>
      <c r="K72" s="925">
        <f t="shared" si="43"/>
        <v>4</v>
      </c>
      <c r="L72" s="926">
        <f t="shared" si="43"/>
        <v>5</v>
      </c>
      <c r="M72" s="714">
        <f t="shared" si="11"/>
        <v>0</v>
      </c>
      <c r="N72" s="944" t="str">
        <f t="shared" si="12"/>
        <v>Toiture</v>
      </c>
      <c r="O72" s="1120">
        <f t="shared" si="13"/>
        <v>158</v>
      </c>
      <c r="P72" s="921">
        <f t="shared" si="14"/>
        <v>0</v>
      </c>
      <c r="Q72" s="1025">
        <f t="shared" si="15"/>
        <v>0</v>
      </c>
      <c r="R72" s="1025">
        <f t="shared" si="16"/>
        <v>0</v>
      </c>
      <c r="S72" s="1025">
        <f t="shared" si="17"/>
        <v>0</v>
      </c>
      <c r="T72" s="1026">
        <f t="shared" si="18"/>
        <v>0</v>
      </c>
      <c r="U72" s="1027">
        <f t="shared" si="19"/>
        <v>0</v>
      </c>
      <c r="V72" s="921">
        <f t="shared" si="20"/>
        <v>0</v>
      </c>
      <c r="W72" s="1025">
        <f t="shared" si="21"/>
        <v>0</v>
      </c>
      <c r="X72" s="1025">
        <f t="shared" si="22"/>
        <v>0</v>
      </c>
      <c r="Y72" s="1025">
        <f t="shared" si="23"/>
        <v>0</v>
      </c>
      <c r="Z72" s="1026">
        <f t="shared" si="24"/>
        <v>0</v>
      </c>
      <c r="AA72" s="28" t="b">
        <f t="shared" si="25"/>
        <v>1</v>
      </c>
      <c r="AB72" s="1057">
        <f t="shared" si="27"/>
        <v>7.4599999999999795</v>
      </c>
      <c r="AC72" s="1123">
        <f t="shared" si="26"/>
        <v>0</v>
      </c>
      <c r="AD72" s="1068">
        <v>53.73</v>
      </c>
      <c r="AE72" s="1048">
        <v>12.530000000000001</v>
      </c>
      <c r="AF72" s="1096">
        <f t="shared" si="28"/>
        <v>0</v>
      </c>
      <c r="AG72" s="1096"/>
      <c r="AH72" s="1096"/>
    </row>
    <row r="73" spans="1:34" s="28" customFormat="1" ht="12.75" x14ac:dyDescent="0.2">
      <c r="A73" s="1028">
        <f t="shared" si="10"/>
        <v>0</v>
      </c>
      <c r="B73" s="924">
        <f t="shared" ref="B73:L73" si="44">MAX($F37+B$55,1)</f>
        <v>1</v>
      </c>
      <c r="C73" s="925">
        <f t="shared" si="44"/>
        <v>1</v>
      </c>
      <c r="D73" s="925">
        <f t="shared" si="44"/>
        <v>1</v>
      </c>
      <c r="E73" s="925">
        <f t="shared" si="44"/>
        <v>1</v>
      </c>
      <c r="F73" s="926">
        <f t="shared" si="44"/>
        <v>1</v>
      </c>
      <c r="G73" s="927">
        <f t="shared" si="44"/>
        <v>1</v>
      </c>
      <c r="H73" s="924">
        <f t="shared" si="44"/>
        <v>1</v>
      </c>
      <c r="I73" s="925">
        <f t="shared" si="44"/>
        <v>2</v>
      </c>
      <c r="J73" s="925">
        <f t="shared" si="44"/>
        <v>3</v>
      </c>
      <c r="K73" s="925">
        <f t="shared" si="44"/>
        <v>4</v>
      </c>
      <c r="L73" s="926">
        <f t="shared" si="44"/>
        <v>5</v>
      </c>
      <c r="M73" s="714">
        <f t="shared" si="11"/>
        <v>0</v>
      </c>
      <c r="N73" s="944">
        <f t="shared" si="12"/>
        <v>0</v>
      </c>
      <c r="O73" s="1120">
        <f t="shared" si="13"/>
        <v>158</v>
      </c>
      <c r="P73" s="921">
        <f t="shared" si="14"/>
        <v>0</v>
      </c>
      <c r="Q73" s="1025">
        <f t="shared" si="15"/>
        <v>0</v>
      </c>
      <c r="R73" s="1025">
        <f t="shared" si="16"/>
        <v>0</v>
      </c>
      <c r="S73" s="1025">
        <f t="shared" si="17"/>
        <v>0</v>
      </c>
      <c r="T73" s="1026">
        <f t="shared" si="18"/>
        <v>0</v>
      </c>
      <c r="U73" s="1027">
        <f t="shared" si="19"/>
        <v>0</v>
      </c>
      <c r="V73" s="921">
        <f t="shared" si="20"/>
        <v>0</v>
      </c>
      <c r="W73" s="1025">
        <f t="shared" si="21"/>
        <v>0</v>
      </c>
      <c r="X73" s="1025">
        <f t="shared" si="22"/>
        <v>0</v>
      </c>
      <c r="Y73" s="1025">
        <f t="shared" si="23"/>
        <v>0</v>
      </c>
      <c r="Z73" s="1026">
        <f t="shared" si="24"/>
        <v>0</v>
      </c>
      <c r="AA73" s="28" t="b">
        <f t="shared" si="25"/>
        <v>1</v>
      </c>
      <c r="AB73" s="1057">
        <f t="shared" si="27"/>
        <v>7.4599999999999795</v>
      </c>
      <c r="AC73" s="1123">
        <f t="shared" si="26"/>
        <v>0</v>
      </c>
      <c r="AD73" s="1068">
        <v>56.67</v>
      </c>
      <c r="AE73" s="1048">
        <v>13.370000000000005</v>
      </c>
      <c r="AF73" s="1096">
        <f t="shared" si="28"/>
        <v>0</v>
      </c>
      <c r="AG73" s="1096"/>
      <c r="AH73" s="1096"/>
    </row>
    <row r="74" spans="1:34" s="28" customFormat="1" ht="12.75" x14ac:dyDescent="0.2">
      <c r="A74" s="1028">
        <f t="shared" si="10"/>
        <v>0</v>
      </c>
      <c r="B74" s="924"/>
      <c r="C74" s="925"/>
      <c r="D74" s="925"/>
      <c r="E74" s="925"/>
      <c r="F74" s="926"/>
      <c r="G74" s="927"/>
      <c r="H74" s="924"/>
      <c r="I74" s="925"/>
      <c r="J74" s="925"/>
      <c r="K74" s="925"/>
      <c r="L74" s="926"/>
      <c r="M74" s="714">
        <f t="shared" si="11"/>
        <v>0</v>
      </c>
      <c r="N74" s="944">
        <f t="shared" si="12"/>
        <v>0</v>
      </c>
      <c r="O74" s="1120">
        <f t="shared" si="13"/>
        <v>158</v>
      </c>
      <c r="P74" s="921">
        <f t="shared" si="14"/>
        <v>0</v>
      </c>
      <c r="Q74" s="1025">
        <f t="shared" si="15"/>
        <v>0</v>
      </c>
      <c r="R74" s="1025">
        <f t="shared" si="16"/>
        <v>0</v>
      </c>
      <c r="S74" s="1025">
        <f t="shared" si="17"/>
        <v>0</v>
      </c>
      <c r="T74" s="1026">
        <f t="shared" si="18"/>
        <v>0</v>
      </c>
      <c r="U74" s="1027">
        <f t="shared" si="19"/>
        <v>0</v>
      </c>
      <c r="V74" s="921">
        <f t="shared" si="20"/>
        <v>0</v>
      </c>
      <c r="W74" s="1025">
        <f t="shared" si="21"/>
        <v>0</v>
      </c>
      <c r="X74" s="1025">
        <f t="shared" si="22"/>
        <v>0</v>
      </c>
      <c r="Y74" s="1025">
        <f t="shared" si="23"/>
        <v>0</v>
      </c>
      <c r="Z74" s="1026">
        <f t="shared" si="24"/>
        <v>0</v>
      </c>
      <c r="AA74" s="28" t="b">
        <f t="shared" si="25"/>
        <v>1</v>
      </c>
      <c r="AB74" s="1057">
        <f t="shared" si="27"/>
        <v>7.4599999999999795</v>
      </c>
      <c r="AC74" s="1123">
        <f t="shared" si="26"/>
        <v>0</v>
      </c>
      <c r="AD74" s="1068">
        <v>58.66</v>
      </c>
      <c r="AE74" s="1048">
        <v>13.969999999999999</v>
      </c>
      <c r="AF74" s="1096">
        <f t="shared" si="28"/>
        <v>0</v>
      </c>
      <c r="AG74" s="1096"/>
      <c r="AH74" s="1096"/>
    </row>
    <row r="75" spans="1:34" s="28" customFormat="1" ht="12.75" x14ac:dyDescent="0.2">
      <c r="A75" s="1028">
        <f t="shared" si="10"/>
        <v>0</v>
      </c>
      <c r="B75" s="1029"/>
      <c r="C75" s="1030"/>
      <c r="D75" s="1030"/>
      <c r="E75" s="1030"/>
      <c r="F75" s="1031"/>
      <c r="G75" s="927"/>
      <c r="H75" s="924"/>
      <c r="I75" s="1032"/>
      <c r="J75" s="925"/>
      <c r="K75" s="1032"/>
      <c r="L75" s="926"/>
      <c r="M75" s="714">
        <f t="shared" si="11"/>
        <v>0</v>
      </c>
      <c r="N75" s="944">
        <f t="shared" si="12"/>
        <v>0</v>
      </c>
      <c r="O75" s="1121">
        <f t="shared" si="13"/>
        <v>158</v>
      </c>
      <c r="P75" s="921">
        <f t="shared" si="14"/>
        <v>0</v>
      </c>
      <c r="Q75" s="1025">
        <f t="shared" si="15"/>
        <v>0</v>
      </c>
      <c r="R75" s="1025">
        <f t="shared" si="16"/>
        <v>0</v>
      </c>
      <c r="S75" s="1025">
        <f t="shared" si="17"/>
        <v>0</v>
      </c>
      <c r="T75" s="1026">
        <f t="shared" si="18"/>
        <v>0</v>
      </c>
      <c r="U75" s="1027">
        <f t="shared" si="19"/>
        <v>0</v>
      </c>
      <c r="V75" s="921">
        <f t="shared" si="20"/>
        <v>0</v>
      </c>
      <c r="W75" s="1025">
        <f t="shared" si="21"/>
        <v>0</v>
      </c>
      <c r="X75" s="1025">
        <f t="shared" si="22"/>
        <v>0</v>
      </c>
      <c r="Y75" s="1025">
        <f t="shared" si="23"/>
        <v>0</v>
      </c>
      <c r="Z75" s="1026">
        <f t="shared" si="24"/>
        <v>0</v>
      </c>
      <c r="AA75" s="28" t="b">
        <f t="shared" si="25"/>
        <v>1</v>
      </c>
      <c r="AB75" s="1057">
        <f t="shared" si="27"/>
        <v>7.4599999999999795</v>
      </c>
      <c r="AC75" s="1123">
        <f t="shared" si="26"/>
        <v>0</v>
      </c>
      <c r="AD75" s="1068">
        <v>61.27</v>
      </c>
      <c r="AE75" s="1048">
        <v>15.02000000000001</v>
      </c>
      <c r="AF75" s="1096">
        <f t="shared" si="28"/>
        <v>0</v>
      </c>
      <c r="AG75" s="1096"/>
      <c r="AH75" s="1096"/>
    </row>
    <row r="76" spans="1:34" s="28" customFormat="1" ht="12.75" x14ac:dyDescent="0.2">
      <c r="A76" s="1028">
        <f t="shared" si="10"/>
        <v>0</v>
      </c>
      <c r="B76" s="1029"/>
      <c r="C76" s="1030"/>
      <c r="D76" s="1030"/>
      <c r="E76" s="1030"/>
      <c r="F76" s="1031"/>
      <c r="G76" s="927"/>
      <c r="H76" s="924"/>
      <c r="I76" s="1032"/>
      <c r="J76" s="925"/>
      <c r="K76" s="1032"/>
      <c r="L76" s="926"/>
      <c r="M76" s="714">
        <f t="shared" si="11"/>
        <v>0</v>
      </c>
      <c r="N76" s="944">
        <f t="shared" si="12"/>
        <v>0</v>
      </c>
      <c r="O76" s="1121">
        <f t="shared" si="13"/>
        <v>158</v>
      </c>
      <c r="P76" s="921">
        <f t="shared" si="14"/>
        <v>0</v>
      </c>
      <c r="Q76" s="1025">
        <f t="shared" si="15"/>
        <v>0</v>
      </c>
      <c r="R76" s="1025">
        <f t="shared" si="16"/>
        <v>0</v>
      </c>
      <c r="S76" s="1025">
        <f t="shared" si="17"/>
        <v>0</v>
      </c>
      <c r="T76" s="1026">
        <f t="shared" si="18"/>
        <v>0</v>
      </c>
      <c r="U76" s="1027">
        <f t="shared" si="19"/>
        <v>0</v>
      </c>
      <c r="V76" s="921">
        <f t="shared" si="20"/>
        <v>0</v>
      </c>
      <c r="W76" s="1025">
        <f t="shared" si="21"/>
        <v>0</v>
      </c>
      <c r="X76" s="1025">
        <f t="shared" si="22"/>
        <v>0</v>
      </c>
      <c r="Y76" s="1025">
        <f t="shared" si="23"/>
        <v>0</v>
      </c>
      <c r="Z76" s="1026">
        <f t="shared" si="24"/>
        <v>0</v>
      </c>
      <c r="AA76" s="28" t="b">
        <f t="shared" si="25"/>
        <v>1</v>
      </c>
      <c r="AB76" s="1057">
        <f t="shared" si="27"/>
        <v>7.4599999999999795</v>
      </c>
      <c r="AC76" s="1123">
        <f t="shared" si="26"/>
        <v>0</v>
      </c>
      <c r="AD76" s="1068">
        <v>62.95</v>
      </c>
      <c r="AE76" s="1048">
        <v>15.569999999999993</v>
      </c>
      <c r="AF76" s="1096">
        <f t="shared" si="28"/>
        <v>0</v>
      </c>
      <c r="AG76" s="1096"/>
      <c r="AH76" s="1096"/>
    </row>
    <row r="77" spans="1:34" s="28" customFormat="1" ht="12.75" x14ac:dyDescent="0.2">
      <c r="A77" s="1028">
        <f t="shared" si="10"/>
        <v>0</v>
      </c>
      <c r="B77" s="1029"/>
      <c r="C77" s="1030"/>
      <c r="D77" s="1030"/>
      <c r="E77" s="1030"/>
      <c r="F77" s="1031"/>
      <c r="G77" s="927"/>
      <c r="H77" s="924"/>
      <c r="I77" s="1032"/>
      <c r="J77" s="925"/>
      <c r="K77" s="1032"/>
      <c r="L77" s="926"/>
      <c r="M77" s="714">
        <f t="shared" si="11"/>
        <v>0</v>
      </c>
      <c r="N77" s="944">
        <f t="shared" si="12"/>
        <v>0</v>
      </c>
      <c r="O77" s="1121">
        <f t="shared" si="13"/>
        <v>158</v>
      </c>
      <c r="P77" s="921">
        <f t="shared" si="14"/>
        <v>0</v>
      </c>
      <c r="Q77" s="1025">
        <f t="shared" si="15"/>
        <v>0</v>
      </c>
      <c r="R77" s="1025">
        <f t="shared" si="16"/>
        <v>0</v>
      </c>
      <c r="S77" s="1025">
        <f t="shared" si="17"/>
        <v>0</v>
      </c>
      <c r="T77" s="1026">
        <f t="shared" si="18"/>
        <v>0</v>
      </c>
      <c r="U77" s="1027">
        <f t="shared" si="19"/>
        <v>0</v>
      </c>
      <c r="V77" s="921">
        <f t="shared" si="20"/>
        <v>0</v>
      </c>
      <c r="W77" s="1025">
        <f t="shared" si="21"/>
        <v>0</v>
      </c>
      <c r="X77" s="1025">
        <f t="shared" si="22"/>
        <v>0</v>
      </c>
      <c r="Y77" s="1025">
        <f t="shared" si="23"/>
        <v>0</v>
      </c>
      <c r="Z77" s="1026">
        <f t="shared" si="24"/>
        <v>0</v>
      </c>
      <c r="AA77" s="28" t="b">
        <f t="shared" si="25"/>
        <v>1</v>
      </c>
      <c r="AB77" s="1057">
        <f t="shared" si="27"/>
        <v>7.4599999999999795</v>
      </c>
      <c r="AC77" s="1123">
        <f t="shared" si="26"/>
        <v>0</v>
      </c>
      <c r="AD77" s="1068">
        <v>65.069999999999993</v>
      </c>
      <c r="AE77" s="1048">
        <v>16.789999999999992</v>
      </c>
      <c r="AF77" s="1096">
        <f t="shared" si="28"/>
        <v>0</v>
      </c>
      <c r="AG77" s="1096"/>
      <c r="AH77" s="1096"/>
    </row>
    <row r="78" spans="1:34" s="28" customFormat="1" ht="12.75" x14ac:dyDescent="0.2">
      <c r="A78" s="1028">
        <f t="shared" si="10"/>
        <v>0</v>
      </c>
      <c r="B78" s="1029"/>
      <c r="C78" s="1030"/>
      <c r="D78" s="1030"/>
      <c r="E78" s="1030"/>
      <c r="F78" s="1031"/>
      <c r="G78" s="927"/>
      <c r="H78" s="924"/>
      <c r="I78" s="1032"/>
      <c r="J78" s="925"/>
      <c r="K78" s="1032"/>
      <c r="L78" s="926"/>
      <c r="M78" s="714">
        <f t="shared" si="11"/>
        <v>0</v>
      </c>
      <c r="N78" s="944">
        <f t="shared" si="12"/>
        <v>0</v>
      </c>
      <c r="O78" s="1121">
        <f t="shared" si="13"/>
        <v>158</v>
      </c>
      <c r="P78" s="921">
        <f t="shared" si="14"/>
        <v>0</v>
      </c>
      <c r="Q78" s="1025">
        <f t="shared" si="15"/>
        <v>0</v>
      </c>
      <c r="R78" s="1025">
        <f t="shared" si="16"/>
        <v>0</v>
      </c>
      <c r="S78" s="1025">
        <f t="shared" si="17"/>
        <v>0</v>
      </c>
      <c r="T78" s="1026">
        <f t="shared" si="18"/>
        <v>0</v>
      </c>
      <c r="U78" s="1027">
        <f t="shared" si="19"/>
        <v>0</v>
      </c>
      <c r="V78" s="921">
        <f t="shared" si="20"/>
        <v>0</v>
      </c>
      <c r="W78" s="1025">
        <f t="shared" si="21"/>
        <v>0</v>
      </c>
      <c r="X78" s="1025">
        <f t="shared" si="22"/>
        <v>0</v>
      </c>
      <c r="Y78" s="1025">
        <f t="shared" si="23"/>
        <v>0</v>
      </c>
      <c r="Z78" s="1026">
        <f t="shared" si="24"/>
        <v>0</v>
      </c>
      <c r="AA78" s="28" t="b">
        <f t="shared" si="25"/>
        <v>1</v>
      </c>
      <c r="AB78" s="1057">
        <f t="shared" si="27"/>
        <v>7.4599999999999795</v>
      </c>
      <c r="AC78" s="1123">
        <f t="shared" si="26"/>
        <v>0</v>
      </c>
      <c r="AD78" s="1068">
        <v>66.36</v>
      </c>
      <c r="AE78" s="1048">
        <v>17.259999999999991</v>
      </c>
      <c r="AF78" s="1096">
        <f t="shared" si="28"/>
        <v>0</v>
      </c>
      <c r="AG78" s="1096"/>
      <c r="AH78" s="1096"/>
    </row>
    <row r="79" spans="1:34" s="28" customFormat="1" ht="12.75" x14ac:dyDescent="0.2">
      <c r="A79" s="1033">
        <f t="shared" si="10"/>
        <v>0</v>
      </c>
      <c r="B79" s="1034"/>
      <c r="C79" s="1035"/>
      <c r="D79" s="1035"/>
      <c r="E79" s="1035"/>
      <c r="F79" s="1036"/>
      <c r="G79" s="1037"/>
      <c r="H79" s="1038"/>
      <c r="I79" s="1039"/>
      <c r="J79" s="1040"/>
      <c r="K79" s="1039"/>
      <c r="L79" s="1041"/>
      <c r="M79" s="724">
        <f t="shared" si="11"/>
        <v>0</v>
      </c>
      <c r="N79" s="1042">
        <f t="shared" si="12"/>
        <v>0</v>
      </c>
      <c r="O79" s="1122">
        <f t="shared" si="13"/>
        <v>158</v>
      </c>
      <c r="P79" s="1043">
        <f t="shared" si="14"/>
        <v>0</v>
      </c>
      <c r="Q79" s="1044">
        <f t="shared" si="15"/>
        <v>0</v>
      </c>
      <c r="R79" s="1044">
        <f t="shared" si="16"/>
        <v>0</v>
      </c>
      <c r="S79" s="1044">
        <f t="shared" si="17"/>
        <v>0</v>
      </c>
      <c r="T79" s="1045">
        <f t="shared" si="18"/>
        <v>0</v>
      </c>
      <c r="U79" s="1046">
        <f t="shared" si="19"/>
        <v>0</v>
      </c>
      <c r="V79" s="1043">
        <f t="shared" si="20"/>
        <v>0</v>
      </c>
      <c r="W79" s="1044">
        <f t="shared" si="21"/>
        <v>0</v>
      </c>
      <c r="X79" s="1044">
        <f t="shared" si="22"/>
        <v>0</v>
      </c>
      <c r="Y79" s="1044">
        <f t="shared" si="23"/>
        <v>0</v>
      </c>
      <c r="Z79" s="1045">
        <f t="shared" si="24"/>
        <v>0</v>
      </c>
      <c r="AA79" s="28" t="b">
        <f t="shared" si="25"/>
        <v>1</v>
      </c>
      <c r="AB79" s="1057">
        <f t="shared" si="27"/>
        <v>7.4599999999999795</v>
      </c>
      <c r="AC79" s="1123">
        <f t="shared" si="26"/>
        <v>0</v>
      </c>
      <c r="AD79" s="1068">
        <v>67.87</v>
      </c>
      <c r="AE79" s="1048">
        <v>18.400000000000006</v>
      </c>
      <c r="AF79" s="1096">
        <f t="shared" si="28"/>
        <v>0</v>
      </c>
      <c r="AG79" s="1096"/>
      <c r="AH79" s="1096"/>
    </row>
    <row r="80" spans="1:34" s="19" customFormat="1" ht="12.75" x14ac:dyDescent="0.2">
      <c r="G80" s="31"/>
      <c r="H80" s="31"/>
      <c r="U80" s="29"/>
      <c r="W80" s="29"/>
      <c r="X80" s="721"/>
      <c r="Y80" s="29"/>
      <c r="AA80" s="29"/>
      <c r="AD80" s="1068">
        <v>68.69</v>
      </c>
      <c r="AE80" s="1048">
        <v>18.659999999999997</v>
      </c>
      <c r="AF80" s="1096"/>
      <c r="AG80" s="1096"/>
      <c r="AH80" s="1096"/>
    </row>
    <row r="81" spans="1:34" s="19" customFormat="1" ht="15.75" x14ac:dyDescent="0.25">
      <c r="A81" s="672" t="s">
        <v>198</v>
      </c>
      <c r="F81" s="30"/>
      <c r="G81" s="29"/>
      <c r="H81" s="31"/>
      <c r="K81" s="30"/>
      <c r="Q81" s="29"/>
      <c r="R81" s="690"/>
      <c r="S81" s="29"/>
      <c r="U81" s="29"/>
      <c r="W81" s="29"/>
      <c r="X81" s="721"/>
      <c r="Y81" s="29"/>
      <c r="AA81" s="29"/>
      <c r="AD81" s="1068">
        <v>69.48</v>
      </c>
      <c r="AE81" s="1048">
        <v>19.439999999999998</v>
      </c>
      <c r="AF81" s="1096"/>
      <c r="AG81" s="1096"/>
      <c r="AH81" s="1096"/>
    </row>
    <row r="82" spans="1:34" s="19" customFormat="1" ht="12.75" x14ac:dyDescent="0.2">
      <c r="A82" s="702" t="str">
        <f t="array" ref="A82:Z94">TRANSPOSE(N54:Z79)</f>
        <v>Crèche Ayguesvives</v>
      </c>
      <c r="B82" s="1075" t="str">
        <v>zone 1</v>
      </c>
      <c r="C82" s="1076" t="str">
        <v>Toiture</v>
      </c>
      <c r="D82" s="1076" t="str">
        <v>Arrière PV</v>
      </c>
      <c r="E82" s="1076" t="str">
        <v>Groupe arbre 1 Est</v>
      </c>
      <c r="F82" s="1076" t="str">
        <v>Groupe arbre 1 Sud</v>
      </c>
      <c r="G82" s="1076" t="str">
        <v>Groupe arbre 1 Ouest</v>
      </c>
      <c r="H82" s="1076" t="str">
        <v>Creux 1 (A4)</v>
      </c>
      <c r="I82" s="1076" t="str">
        <v>Arbre 2</v>
      </c>
      <c r="J82" s="1076" t="str">
        <v>Arbre 3g</v>
      </c>
      <c r="K82" s="1076" t="str">
        <v>Arbre 3d</v>
      </c>
      <c r="L82" s="1076" t="str">
        <v>Arbre 5</v>
      </c>
      <c r="M82" s="1076" t="str">
        <v>Arbre 6</v>
      </c>
      <c r="N82" s="1076" t="str">
        <v>Arbre 7</v>
      </c>
      <c r="O82" s="1076" t="str">
        <v>Arbre 8</v>
      </c>
      <c r="P82" s="1076" t="str">
        <v>Creux 2</v>
      </c>
      <c r="Q82" s="1076" t="str">
        <v>Arbre 9</v>
      </c>
      <c r="R82" s="1076" t="str">
        <v>Creux 3</v>
      </c>
      <c r="S82" s="1076" t="str">
        <v>Toiture</v>
      </c>
      <c r="T82" s="1076">
        <v>0</v>
      </c>
      <c r="U82" s="1076">
        <v>0</v>
      </c>
      <c r="V82" s="1076">
        <v>0</v>
      </c>
      <c r="W82" s="1076">
        <v>0</v>
      </c>
      <c r="X82" s="1076">
        <v>0</v>
      </c>
      <c r="Y82" s="1076">
        <v>0</v>
      </c>
      <c r="Z82" s="1076">
        <v>0</v>
      </c>
      <c r="AD82" s="1070">
        <v>69.760000000000005</v>
      </c>
      <c r="AE82" s="1049">
        <v>19.519999999999982</v>
      </c>
      <c r="AF82" s="28"/>
      <c r="AG82" s="28"/>
    </row>
    <row r="83" spans="1:34" s="19" customFormat="1" ht="12.75" x14ac:dyDescent="0.2">
      <c r="A83" s="1077">
        <v>68</v>
      </c>
      <c r="B83" s="1078" t="str">
        <v>Azi.S / PV</v>
      </c>
      <c r="C83" s="1079">
        <v>-202</v>
      </c>
      <c r="D83" s="722">
        <v>-112</v>
      </c>
      <c r="E83" s="722">
        <v>-52.211906903825117</v>
      </c>
      <c r="F83" s="722">
        <v>-37.368894256959649</v>
      </c>
      <c r="G83" s="722">
        <v>-22.332356522394413</v>
      </c>
      <c r="H83" s="722">
        <v>-2.466894409255163</v>
      </c>
      <c r="I83" s="722">
        <v>12.549423262642561</v>
      </c>
      <c r="J83" s="722">
        <v>25.059565231773391</v>
      </c>
      <c r="K83" s="722">
        <v>43.996455813389467</v>
      </c>
      <c r="L83" s="722">
        <v>53.079749279295598</v>
      </c>
      <c r="M83" s="722">
        <v>61.133243261884687</v>
      </c>
      <c r="N83" s="722">
        <v>85.644554035499283</v>
      </c>
      <c r="O83" s="722">
        <v>105.59046714381608</v>
      </c>
      <c r="P83" s="722">
        <v>118.70014311472806</v>
      </c>
      <c r="Q83" s="722">
        <v>128.1546998481125</v>
      </c>
      <c r="R83" s="722">
        <v>141.44637679208864</v>
      </c>
      <c r="S83" s="722">
        <v>158</v>
      </c>
      <c r="T83" s="722">
        <v>158</v>
      </c>
      <c r="U83" s="722">
        <v>158</v>
      </c>
      <c r="V83" s="722">
        <v>158</v>
      </c>
      <c r="W83" s="722">
        <v>158</v>
      </c>
      <c r="X83" s="722">
        <v>158</v>
      </c>
      <c r="Y83" s="722">
        <v>158</v>
      </c>
      <c r="Z83" s="1080">
        <v>158</v>
      </c>
      <c r="AD83" s="28"/>
      <c r="AE83" s="34"/>
      <c r="AF83" s="28"/>
    </row>
    <row r="84" spans="1:34" s="19" customFormat="1" ht="12.75" x14ac:dyDescent="0.2">
      <c r="A84" s="1081" t="str">
        <v>Elevation vue du champ PV zone: 1</v>
      </c>
      <c r="B84" s="1082">
        <v>-5</v>
      </c>
      <c r="C84" s="1083">
        <v>0</v>
      </c>
      <c r="D84" s="723">
        <v>16.699244233993621</v>
      </c>
      <c r="E84" s="723">
        <v>2.384039456405604</v>
      </c>
      <c r="F84" s="723">
        <v>3.2730982510487214</v>
      </c>
      <c r="G84" s="723">
        <v>3.8581818109724653</v>
      </c>
      <c r="H84" s="723">
        <v>-2.3863211688681498</v>
      </c>
      <c r="I84" s="723">
        <v>2.762496071300601</v>
      </c>
      <c r="J84" s="723">
        <v>-1.188008989277632</v>
      </c>
      <c r="K84" s="723">
        <v>-1.1464973989379086</v>
      </c>
      <c r="L84" s="723">
        <v>2.997154012165625</v>
      </c>
      <c r="M84" s="723">
        <v>2.6495718222624483</v>
      </c>
      <c r="N84" s="723">
        <v>6.4318508756407056</v>
      </c>
      <c r="O84" s="723">
        <v>4.1674126133183593</v>
      </c>
      <c r="P84" s="723">
        <v>2.4169485856580191</v>
      </c>
      <c r="Q84" s="723">
        <v>6.628526659272679</v>
      </c>
      <c r="R84" s="723">
        <v>1.5610030706126021</v>
      </c>
      <c r="S84" s="723">
        <v>0</v>
      </c>
      <c r="T84" s="723">
        <v>0</v>
      </c>
      <c r="U84" s="723">
        <v>0</v>
      </c>
      <c r="V84" s="723">
        <v>0</v>
      </c>
      <c r="W84" s="723">
        <v>0</v>
      </c>
      <c r="X84" s="723">
        <v>0</v>
      </c>
      <c r="Y84" s="723">
        <v>0</v>
      </c>
      <c r="Z84" s="1084">
        <v>0</v>
      </c>
      <c r="AD84" s="28"/>
      <c r="AE84" s="34"/>
      <c r="AF84" s="28"/>
      <c r="AG84" s="28"/>
    </row>
    <row r="85" spans="1:34" s="19" customFormat="1" ht="12.75" x14ac:dyDescent="0.2">
      <c r="A85" s="1085">
        <v>0</v>
      </c>
      <c r="B85" s="1082">
        <v>-4</v>
      </c>
      <c r="C85" s="1086">
        <v>0</v>
      </c>
      <c r="D85" s="714">
        <v>16.699244233993621</v>
      </c>
      <c r="E85" s="714">
        <v>3.5628653094026004</v>
      </c>
      <c r="F85" s="714">
        <v>4.464683497185904</v>
      </c>
      <c r="G85" s="714">
        <v>7.8417283043656401</v>
      </c>
      <c r="H85" s="714">
        <v>-0.56933680087896688</v>
      </c>
      <c r="I85" s="714">
        <v>4.6089740237349721</v>
      </c>
      <c r="J85" s="714">
        <v>5.1118953776895397</v>
      </c>
      <c r="K85" s="714">
        <v>4.369542795693528</v>
      </c>
      <c r="L85" s="714">
        <v>4.5746705133018892</v>
      </c>
      <c r="M85" s="714">
        <v>4.2379492323520305</v>
      </c>
      <c r="N85" s="714">
        <v>7.9502404329254857</v>
      </c>
      <c r="O85" s="714">
        <v>5.4363783118105875</v>
      </c>
      <c r="P85" s="714">
        <v>2.7688795398953685</v>
      </c>
      <c r="Q85" s="714">
        <v>7.0317162008819869</v>
      </c>
      <c r="R85" s="714">
        <v>1.9632354649203065</v>
      </c>
      <c r="S85" s="714">
        <v>0</v>
      </c>
      <c r="T85" s="714">
        <v>0</v>
      </c>
      <c r="U85" s="714">
        <v>0</v>
      </c>
      <c r="V85" s="714">
        <v>0</v>
      </c>
      <c r="W85" s="714">
        <v>0</v>
      </c>
      <c r="X85" s="714">
        <v>0</v>
      </c>
      <c r="Y85" s="714">
        <v>0</v>
      </c>
      <c r="Z85" s="1087">
        <v>0</v>
      </c>
      <c r="AD85" s="28"/>
      <c r="AE85" s="34"/>
      <c r="AF85" s="28"/>
    </row>
    <row r="86" spans="1:34" s="19" customFormat="1" ht="12.75" x14ac:dyDescent="0.2">
      <c r="A86" s="1085">
        <v>0</v>
      </c>
      <c r="B86" s="1082">
        <v>-3</v>
      </c>
      <c r="C86" s="1086">
        <v>0</v>
      </c>
      <c r="D86" s="714">
        <v>16.699244233993621</v>
      </c>
      <c r="E86" s="714">
        <v>4.7386790478899465</v>
      </c>
      <c r="F86" s="714">
        <v>5.652411868778719</v>
      </c>
      <c r="G86" s="714">
        <v>11.750535751871896</v>
      </c>
      <c r="H86" s="714">
        <v>1.2487930766062576</v>
      </c>
      <c r="I86" s="714">
        <v>6.4459104938961085</v>
      </c>
      <c r="J86" s="714">
        <v>11.290727582649469</v>
      </c>
      <c r="K86" s="714">
        <v>9.8058437700955121</v>
      </c>
      <c r="L86" s="714">
        <v>6.1452687280205494</v>
      </c>
      <c r="M86" s="714">
        <v>5.8198290884903612</v>
      </c>
      <c r="N86" s="714">
        <v>9.4574760507638125</v>
      </c>
      <c r="O86" s="714">
        <v>6.7000179896146141</v>
      </c>
      <c r="P86" s="714">
        <v>3.1206015267089127</v>
      </c>
      <c r="Q86" s="714">
        <v>7.434207040011759</v>
      </c>
      <c r="R86" s="714">
        <v>2.3652743662873958</v>
      </c>
      <c r="S86" s="714">
        <v>0</v>
      </c>
      <c r="T86" s="714">
        <v>0</v>
      </c>
      <c r="U86" s="714">
        <v>0</v>
      </c>
      <c r="V86" s="714">
        <v>0</v>
      </c>
      <c r="W86" s="714">
        <v>0</v>
      </c>
      <c r="X86" s="714">
        <v>0</v>
      </c>
      <c r="Y86" s="714">
        <v>0</v>
      </c>
      <c r="Z86" s="1087">
        <v>0</v>
      </c>
      <c r="AD86" s="28"/>
      <c r="AF86" s="28"/>
      <c r="AG86" s="28"/>
    </row>
    <row r="87" spans="1:34" s="19" customFormat="1" ht="12.75" x14ac:dyDescent="0.2">
      <c r="A87" s="1085">
        <v>0</v>
      </c>
      <c r="B87" s="1082">
        <v>-2</v>
      </c>
      <c r="C87" s="1086">
        <v>0</v>
      </c>
      <c r="D87" s="714">
        <v>16.699244233993621</v>
      </c>
      <c r="E87" s="714">
        <v>5.9105064380493024</v>
      </c>
      <c r="F87" s="714">
        <v>6.8352870786773305</v>
      </c>
      <c r="G87" s="714">
        <v>15.551625082949885</v>
      </c>
      <c r="H87" s="714">
        <v>3.064411946597708</v>
      </c>
      <c r="I87" s="714">
        <v>8.26963968244584</v>
      </c>
      <c r="J87" s="714">
        <v>17.215383853213652</v>
      </c>
      <c r="K87" s="714">
        <v>15.069994131445032</v>
      </c>
      <c r="L87" s="714">
        <v>7.7066526484389701</v>
      </c>
      <c r="M87" s="714">
        <v>7.3928579386989721</v>
      </c>
      <c r="N87" s="714">
        <v>10.951619736754408</v>
      </c>
      <c r="O87" s="714">
        <v>7.9571447006789455</v>
      </c>
      <c r="P87" s="714">
        <v>3.4720882493649978</v>
      </c>
      <c r="Q87" s="714">
        <v>7.8359613742774172</v>
      </c>
      <c r="R87" s="714">
        <v>2.7670803564283966</v>
      </c>
      <c r="S87" s="714">
        <v>0</v>
      </c>
      <c r="T87" s="714">
        <v>0</v>
      </c>
      <c r="U87" s="714">
        <v>0</v>
      </c>
      <c r="V87" s="714">
        <v>0</v>
      </c>
      <c r="W87" s="714">
        <v>0</v>
      </c>
      <c r="X87" s="714">
        <v>0</v>
      </c>
      <c r="Y87" s="714">
        <v>0</v>
      </c>
      <c r="Z87" s="1087">
        <v>0</v>
      </c>
      <c r="AD87" s="28"/>
      <c r="AF87" s="28"/>
    </row>
    <row r="88" spans="1:34" s="19" customFormat="1" ht="12.75" x14ac:dyDescent="0.2">
      <c r="A88" s="1085">
        <v>0</v>
      </c>
      <c r="B88" s="1088">
        <v>-1</v>
      </c>
      <c r="C88" s="1086">
        <v>0</v>
      </c>
      <c r="D88" s="714">
        <v>16.699244233993621</v>
      </c>
      <c r="E88" s="714">
        <v>7.0773931584707208</v>
      </c>
      <c r="F88" s="714">
        <v>8.0123374853701481</v>
      </c>
      <c r="G88" s="714">
        <v>19.217541700644617</v>
      </c>
      <c r="H88" s="714">
        <v>4.8738934760416734</v>
      </c>
      <c r="I88" s="714">
        <v>10.076654939357304</v>
      </c>
      <c r="J88" s="714">
        <v>22.784377975551998</v>
      </c>
      <c r="K88" s="714">
        <v>20.086601268123655</v>
      </c>
      <c r="L88" s="714">
        <v>9.2566077118413936</v>
      </c>
      <c r="M88" s="714">
        <v>8.9547618078363094</v>
      </c>
      <c r="N88" s="714">
        <v>12.430838062190647</v>
      </c>
      <c r="O88" s="714">
        <v>9.2066087390166125</v>
      </c>
      <c r="P88" s="714">
        <v>3.8233135171171604</v>
      </c>
      <c r="Q88" s="714">
        <v>8.236941829155068</v>
      </c>
      <c r="R88" s="714">
        <v>3.1686141543350348</v>
      </c>
      <c r="S88" s="714">
        <v>0</v>
      </c>
      <c r="T88" s="714">
        <v>0</v>
      </c>
      <c r="U88" s="714">
        <v>0</v>
      </c>
      <c r="V88" s="714">
        <v>0</v>
      </c>
      <c r="W88" s="714">
        <v>0</v>
      </c>
      <c r="X88" s="714">
        <v>0</v>
      </c>
      <c r="Y88" s="714">
        <v>0</v>
      </c>
      <c r="Z88" s="1087">
        <v>0</v>
      </c>
      <c r="AF88" s="28"/>
      <c r="AG88" s="28"/>
    </row>
    <row r="89" spans="1:34" s="19" customFormat="1" ht="12.75" x14ac:dyDescent="0.2">
      <c r="A89" s="1085">
        <v>0</v>
      </c>
      <c r="B89" s="1082">
        <v>0</v>
      </c>
      <c r="C89" s="1089">
        <v>0</v>
      </c>
      <c r="D89" s="699">
        <v>16.699244233993621</v>
      </c>
      <c r="E89" s="699">
        <v>8.2384092855485136</v>
      </c>
      <c r="F89" s="699">
        <v>9.1826206268670525</v>
      </c>
      <c r="G89" s="699">
        <v>22.727114936447027</v>
      </c>
      <c r="H89" s="699">
        <v>6.6736845829903579</v>
      </c>
      <c r="I89" s="699">
        <v>11.863646087742012</v>
      </c>
      <c r="J89" s="699">
        <v>27.934101729224128</v>
      </c>
      <c r="K89" s="699">
        <v>24.801980421777102</v>
      </c>
      <c r="L89" s="699">
        <v>10.79301837761202</v>
      </c>
      <c r="M89" s="699">
        <v>10.503364720236332</v>
      </c>
      <c r="N89" s="699">
        <v>13.893413435082872</v>
      </c>
      <c r="O89" s="699">
        <v>10.447303470878108</v>
      </c>
      <c r="P89" s="699">
        <v>4.1742512567552001</v>
      </c>
      <c r="Q89" s="699">
        <v>8.6371114771352548</v>
      </c>
      <c r="R89" s="699">
        <v>3.5698366391257768</v>
      </c>
      <c r="S89" s="699">
        <v>0</v>
      </c>
      <c r="T89" s="699">
        <v>0</v>
      </c>
      <c r="U89" s="699">
        <v>0</v>
      </c>
      <c r="V89" s="699">
        <v>0</v>
      </c>
      <c r="W89" s="699">
        <v>0</v>
      </c>
      <c r="X89" s="699">
        <v>0</v>
      </c>
      <c r="Y89" s="699">
        <v>0</v>
      </c>
      <c r="Z89" s="1090">
        <v>0</v>
      </c>
      <c r="AF89" s="28"/>
    </row>
    <row r="90" spans="1:34" s="19" customFormat="1" ht="12.75" x14ac:dyDescent="0.2">
      <c r="A90" s="1085">
        <v>0</v>
      </c>
      <c r="B90" s="1091">
        <v>1</v>
      </c>
      <c r="C90" s="1086">
        <v>0</v>
      </c>
      <c r="D90" s="714">
        <v>16.699244233993621</v>
      </c>
      <c r="E90" s="714">
        <v>9.3926534826513493</v>
      </c>
      <c r="F90" s="714">
        <v>10.345227397041779</v>
      </c>
      <c r="G90" s="714">
        <v>26.065581752332093</v>
      </c>
      <c r="H90" s="714">
        <v>8.460346337109705</v>
      </c>
      <c r="I90" s="714">
        <v>13.627531167836128</v>
      </c>
      <c r="J90" s="714">
        <v>32.636700019389856</v>
      </c>
      <c r="K90" s="714">
        <v>29.184701080571529</v>
      </c>
      <c r="L90" s="714">
        <v>12.313883620449342</v>
      </c>
      <c r="M90" s="714">
        <v>12.036605121327639</v>
      </c>
      <c r="N90" s="714">
        <v>15.337753252163772</v>
      </c>
      <c r="O90" s="714">
        <v>11.678170579285808</v>
      </c>
      <c r="P90" s="714">
        <v>4.5248755240228355</v>
      </c>
      <c r="Q90" s="714">
        <v>9.0364338562482693</v>
      </c>
      <c r="R90" s="714">
        <v>3.9707088726606656</v>
      </c>
      <c r="S90" s="714">
        <v>0</v>
      </c>
      <c r="T90" s="714">
        <v>0</v>
      </c>
      <c r="U90" s="714">
        <v>0</v>
      </c>
      <c r="V90" s="714">
        <v>0</v>
      </c>
      <c r="W90" s="714">
        <v>0</v>
      </c>
      <c r="X90" s="714">
        <v>0</v>
      </c>
      <c r="Y90" s="714">
        <v>0</v>
      </c>
      <c r="Z90" s="1087">
        <v>0</v>
      </c>
      <c r="AF90" s="28"/>
      <c r="AG90" s="28"/>
    </row>
    <row r="91" spans="1:34" s="19" customFormat="1" ht="12.75" x14ac:dyDescent="0.2">
      <c r="A91" s="1085">
        <v>0</v>
      </c>
      <c r="B91" s="1082">
        <v>2</v>
      </c>
      <c r="C91" s="1086">
        <v>0</v>
      </c>
      <c r="D91" s="714">
        <v>16.699244233993621</v>
      </c>
      <c r="E91" s="714">
        <v>10.539256849294107</v>
      </c>
      <c r="F91" s="714">
        <v>11.499285822983369</v>
      </c>
      <c r="G91" s="714">
        <v>29.224191445429987</v>
      </c>
      <c r="H91" s="714">
        <v>10.230591547217839</v>
      </c>
      <c r="I91" s="714">
        <v>15.365481994696761</v>
      </c>
      <c r="J91" s="714">
        <v>36.892775962246553</v>
      </c>
      <c r="K91" s="714">
        <v>33.222981344659438</v>
      </c>
      <c r="L91" s="714">
        <v>13.817330100554843</v>
      </c>
      <c r="M91" s="714">
        <v>13.552549931528677</v>
      </c>
      <c r="N91" s="714">
        <v>16.762396877028092</v>
      </c>
      <c r="O91" s="714">
        <v>12.898204668883089</v>
      </c>
      <c r="P91" s="714">
        <v>4.8751605148916735</v>
      </c>
      <c r="Q91" s="714">
        <v>9.4348729879408531</v>
      </c>
      <c r="R91" s="714">
        <v>4.3711921218891465</v>
      </c>
      <c r="S91" s="714">
        <v>0</v>
      </c>
      <c r="T91" s="714">
        <v>0</v>
      </c>
      <c r="U91" s="714">
        <v>0</v>
      </c>
      <c r="V91" s="714">
        <v>0</v>
      </c>
      <c r="W91" s="714">
        <v>0</v>
      </c>
      <c r="X91" s="714">
        <v>0</v>
      </c>
      <c r="Y91" s="714">
        <v>0</v>
      </c>
      <c r="Z91" s="1087">
        <v>0</v>
      </c>
      <c r="AF91" s="28"/>
    </row>
    <row r="92" spans="1:34" s="19" customFormat="1" ht="12.75" x14ac:dyDescent="0.2">
      <c r="A92" s="1085">
        <v>0</v>
      </c>
      <c r="B92" s="1082">
        <v>3</v>
      </c>
      <c r="C92" s="1086">
        <v>0</v>
      </c>
      <c r="D92" s="714">
        <v>16.699244233993621</v>
      </c>
      <c r="E92" s="714">
        <v>11.677386393898646</v>
      </c>
      <c r="F92" s="714">
        <v>12.64396441052884</v>
      </c>
      <c r="G92" s="714">
        <v>32.199458005914181</v>
      </c>
      <c r="H92" s="714">
        <v>11.981318066070724</v>
      </c>
      <c r="I92" s="714">
        <v>17.074943218720644</v>
      </c>
      <c r="J92" s="714">
        <v>40.722482676512925</v>
      </c>
      <c r="K92" s="714">
        <v>36.920416482320469</v>
      </c>
      <c r="L92" s="714">
        <v>15.301622855461606</v>
      </c>
      <c r="M92" s="714">
        <v>15.049406053296053</v>
      </c>
      <c r="N92" s="714">
        <v>18.166020455729523</v>
      </c>
      <c r="O92" s="714">
        <v>14.106457194170511</v>
      </c>
      <c r="P92" s="714">
        <v>5.2250805766794919</v>
      </c>
      <c r="Q92" s="714">
        <v>9.8323933942856829</v>
      </c>
      <c r="R92" s="714">
        <v>4.7712478808993053</v>
      </c>
      <c r="S92" s="714">
        <v>0</v>
      </c>
      <c r="T92" s="714">
        <v>0</v>
      </c>
      <c r="U92" s="714">
        <v>0</v>
      </c>
      <c r="V92" s="714">
        <v>0</v>
      </c>
      <c r="W92" s="714">
        <v>0</v>
      </c>
      <c r="X92" s="714">
        <v>0</v>
      </c>
      <c r="Y92" s="714">
        <v>0</v>
      </c>
      <c r="Z92" s="1087">
        <v>0</v>
      </c>
      <c r="AF92" s="28"/>
      <c r="AG92" s="28"/>
    </row>
    <row r="93" spans="1:34" s="19" customFormat="1" ht="12.75" x14ac:dyDescent="0.2">
      <c r="A93" s="1085">
        <v>0</v>
      </c>
      <c r="B93" s="1082">
        <v>4</v>
      </c>
      <c r="C93" s="1086">
        <v>0</v>
      </c>
      <c r="D93" s="714">
        <v>16.699244233993621</v>
      </c>
      <c r="E93" s="714">
        <v>12.806248101606897</v>
      </c>
      <c r="F93" s="714">
        <v>13.778475034118783</v>
      </c>
      <c r="G93" s="714">
        <v>34.992229961810644</v>
      </c>
      <c r="H93" s="714">
        <v>13.709637062461358</v>
      </c>
      <c r="I93" s="714">
        <v>18.753644863335495</v>
      </c>
      <c r="J93" s="714">
        <v>44.157436548952298</v>
      </c>
      <c r="K93" s="714">
        <v>40.291362408862462</v>
      </c>
      <c r="L93" s="714">
        <v>16.765173442221091</v>
      </c>
      <c r="M93" s="714">
        <v>16.525529240786724</v>
      </c>
      <c r="N93" s="714">
        <v>19.547439639135042</v>
      </c>
      <c r="O93" s="714">
        <v>15.30203968940881</v>
      </c>
      <c r="P93" s="714">
        <v>5.5746102190012241</v>
      </c>
      <c r="Q93" s="714">
        <v>10.228960114506831</v>
      </c>
      <c r="R93" s="714">
        <v>5.1708378926377678</v>
      </c>
      <c r="S93" s="714">
        <v>0</v>
      </c>
      <c r="T93" s="714">
        <v>0</v>
      </c>
      <c r="U93" s="714">
        <v>0</v>
      </c>
      <c r="V93" s="714">
        <v>0</v>
      </c>
      <c r="W93" s="714">
        <v>0</v>
      </c>
      <c r="X93" s="714">
        <v>0</v>
      </c>
      <c r="Y93" s="714">
        <v>0</v>
      </c>
      <c r="Z93" s="1087">
        <v>0</v>
      </c>
      <c r="AF93" s="28"/>
    </row>
    <row r="94" spans="1:34" s="19" customFormat="1" ht="12.75" x14ac:dyDescent="0.2">
      <c r="A94" s="1092">
        <v>0.3</v>
      </c>
      <c r="B94" s="1082">
        <v>5</v>
      </c>
      <c r="C94" s="1093">
        <v>0</v>
      </c>
      <c r="D94" s="724">
        <v>16.699244233993621</v>
      </c>
      <c r="E94" s="724">
        <v>13.925089576748096</v>
      </c>
      <c r="F94" s="724">
        <v>14.902075356150533</v>
      </c>
      <c r="G94" s="724">
        <v>37.606719252738863</v>
      </c>
      <c r="H94" s="724">
        <v>15.412895756253921</v>
      </c>
      <c r="I94" s="724">
        <v>20.399608571177076</v>
      </c>
      <c r="J94" s="724">
        <v>47.234519475817535</v>
      </c>
      <c r="K94" s="724">
        <v>43.35682076589822</v>
      </c>
      <c r="L94" s="724">
        <v>18.206545538585893</v>
      </c>
      <c r="M94" s="724">
        <v>17.979430326596884</v>
      </c>
      <c r="N94" s="724">
        <v>20.905610331111625</v>
      </c>
      <c r="O94" s="724">
        <v>16.484126293254576</v>
      </c>
      <c r="P94" s="724">
        <v>5.9237241245412733</v>
      </c>
      <c r="Q94" s="724">
        <v>10.624538720805912</v>
      </c>
      <c r="R94" s="724">
        <v>5.5699241702703448</v>
      </c>
      <c r="S94" s="724">
        <v>0</v>
      </c>
      <c r="T94" s="724">
        <v>0</v>
      </c>
      <c r="U94" s="724">
        <v>0</v>
      </c>
      <c r="V94" s="724">
        <v>0</v>
      </c>
      <c r="W94" s="724">
        <v>0</v>
      </c>
      <c r="X94" s="724">
        <v>0</v>
      </c>
      <c r="Y94" s="724">
        <v>0</v>
      </c>
      <c r="Z94" s="1094">
        <v>0</v>
      </c>
      <c r="AF94" s="28"/>
      <c r="AG94" s="28"/>
    </row>
    <row r="95" spans="1:34" x14ac:dyDescent="0.25">
      <c r="AD95" s="19"/>
      <c r="AE95" s="19"/>
      <c r="AF95" s="28"/>
      <c r="AG95" s="19"/>
    </row>
    <row r="96" spans="1:34" s="562" customFormat="1" ht="12.75" x14ac:dyDescent="0.2">
      <c r="A96" s="1067"/>
      <c r="B96" s="1067"/>
      <c r="C96" s="1067"/>
      <c r="D96" s="1067"/>
      <c r="E96" s="1067"/>
      <c r="F96" s="1067"/>
      <c r="G96" s="1067"/>
      <c r="H96" s="1067"/>
      <c r="I96" s="1067"/>
      <c r="J96" s="1067"/>
      <c r="K96" s="1067"/>
      <c r="L96" s="1067"/>
      <c r="M96" s="1067"/>
      <c r="N96" s="1067"/>
      <c r="O96" s="1067"/>
      <c r="Q96" s="1067"/>
      <c r="R96" s="631"/>
      <c r="S96" s="1067"/>
      <c r="U96" s="1067"/>
      <c r="W96" s="1067"/>
      <c r="X96" s="1074"/>
      <c r="Y96" s="1067"/>
      <c r="AA96" s="1067"/>
    </row>
    <row r="97" spans="1:34" s="562" customFormat="1" ht="13.5" thickBot="1" x14ac:dyDescent="0.25">
      <c r="A97" s="562" t="s">
        <v>327</v>
      </c>
      <c r="F97" s="1072"/>
      <c r="G97" s="1067"/>
      <c r="H97" s="1073"/>
      <c r="J97" s="19" t="s">
        <v>338</v>
      </c>
      <c r="K97" s="19"/>
      <c r="L97" s="19"/>
      <c r="M97" s="19"/>
      <c r="N97" s="19"/>
      <c r="O97" s="30"/>
      <c r="P97" s="29"/>
      <c r="Q97" s="1067"/>
      <c r="R97" s="631"/>
      <c r="S97" s="19" t="s">
        <v>328</v>
      </c>
      <c r="T97" s="19"/>
      <c r="U97" s="19"/>
      <c r="V97" s="19"/>
      <c r="W97" s="19"/>
      <c r="X97" s="30"/>
      <c r="Y97" s="29"/>
      <c r="Z97" s="31"/>
      <c r="AA97" s="19"/>
      <c r="AB97" s="19" t="s">
        <v>329</v>
      </c>
      <c r="AC97" s="19"/>
      <c r="AD97" s="19"/>
      <c r="AE97" s="19"/>
      <c r="AF97" s="19"/>
      <c r="AG97" s="30"/>
      <c r="AH97" s="29"/>
    </row>
    <row r="98" spans="1:34" s="19" customFormat="1" ht="12.75" x14ac:dyDescent="0.2">
      <c r="A98" s="985" t="s">
        <v>298</v>
      </c>
      <c r="B98" s="986"/>
      <c r="C98" s="977"/>
      <c r="D98" s="981"/>
      <c r="E98" s="961"/>
      <c r="F98" s="962"/>
      <c r="G98" s="1064"/>
      <c r="H98" s="1020"/>
      <c r="I98" s="917"/>
      <c r="J98" s="985" t="s">
        <v>298</v>
      </c>
      <c r="K98" s="986"/>
      <c r="L98" s="977"/>
      <c r="M98" s="981"/>
      <c r="N98" s="961"/>
      <c r="O98" s="962"/>
      <c r="P98" s="1064"/>
      <c r="Q98" s="29"/>
      <c r="R98" s="690"/>
      <c r="S98" s="985" t="s">
        <v>298</v>
      </c>
      <c r="T98" s="986"/>
      <c r="U98" s="977"/>
      <c r="V98" s="981"/>
      <c r="W98" s="961"/>
      <c r="X98" s="962"/>
      <c r="Y98" s="1064"/>
      <c r="Z98" s="1020"/>
      <c r="AA98" s="917"/>
      <c r="AB98" s="985" t="s">
        <v>298</v>
      </c>
      <c r="AC98" s="986"/>
      <c r="AD98" s="977"/>
      <c r="AE98" s="981"/>
      <c r="AF98" s="961"/>
      <c r="AG98" s="962"/>
      <c r="AH98" s="1064"/>
    </row>
    <row r="99" spans="1:34" s="19" customFormat="1" ht="12.75" x14ac:dyDescent="0.2">
      <c r="A99" s="987" t="s">
        <v>162</v>
      </c>
      <c r="B99" s="666"/>
      <c r="C99" s="978"/>
      <c r="D99" s="992">
        <v>6697.92</v>
      </c>
      <c r="E99" s="669">
        <v>290.66000000000003</v>
      </c>
      <c r="F99" s="993">
        <v>169.02</v>
      </c>
      <c r="G99" s="1065"/>
      <c r="H99" s="918"/>
      <c r="I99" s="919"/>
      <c r="J99" s="987" t="s">
        <v>162</v>
      </c>
      <c r="K99" s="666"/>
      <c r="L99" s="978"/>
      <c r="M99" s="992">
        <v>6697.92</v>
      </c>
      <c r="N99" s="669">
        <v>290.66000000000003</v>
      </c>
      <c r="O99" s="993">
        <v>169.02</v>
      </c>
      <c r="P99" s="1065"/>
      <c r="Q99" s="29"/>
      <c r="R99" s="690"/>
      <c r="S99" s="987" t="s">
        <v>162</v>
      </c>
      <c r="T99" s="666"/>
      <c r="U99" s="978"/>
      <c r="V99" s="992">
        <v>6697.92</v>
      </c>
      <c r="W99" s="669">
        <v>290.66000000000003</v>
      </c>
      <c r="X99" s="993">
        <v>169.02</v>
      </c>
      <c r="Y99" s="1065"/>
      <c r="Z99" s="918"/>
      <c r="AA99" s="919"/>
      <c r="AB99" s="987" t="s">
        <v>162</v>
      </c>
      <c r="AC99" s="666"/>
      <c r="AD99" s="978"/>
      <c r="AE99" s="992">
        <v>6697.92</v>
      </c>
      <c r="AF99" s="669">
        <v>290.66000000000003</v>
      </c>
      <c r="AG99" s="993">
        <v>169.02</v>
      </c>
      <c r="AH99" s="1065"/>
    </row>
    <row r="100" spans="1:34" s="19" customFormat="1" ht="12.75" x14ac:dyDescent="0.2">
      <c r="A100" s="988" t="s">
        <v>299</v>
      </c>
      <c r="B100" s="972">
        <v>1</v>
      </c>
      <c r="C100" s="978">
        <v>15.31</v>
      </c>
      <c r="D100" s="982">
        <v>6734.16</v>
      </c>
      <c r="E100" s="965">
        <v>253.97</v>
      </c>
      <c r="F100" s="966">
        <v>169.88</v>
      </c>
      <c r="G100" s="1065"/>
      <c r="H100" s="918"/>
      <c r="I100" s="919"/>
      <c r="J100" s="988" t="s">
        <v>299</v>
      </c>
      <c r="K100" s="972">
        <v>1</v>
      </c>
      <c r="L100" s="978">
        <v>15.31</v>
      </c>
      <c r="M100" s="982">
        <v>6734.16</v>
      </c>
      <c r="N100" s="965">
        <v>253.97</v>
      </c>
      <c r="O100" s="966">
        <v>169.88</v>
      </c>
      <c r="P100" s="1065"/>
      <c r="Q100" s="918"/>
      <c r="R100" s="919"/>
      <c r="S100" s="988" t="s">
        <v>299</v>
      </c>
      <c r="T100" s="972">
        <v>1</v>
      </c>
      <c r="U100" s="978">
        <v>15.31</v>
      </c>
      <c r="V100" s="982">
        <v>6734.16</v>
      </c>
      <c r="W100" s="965">
        <v>253.97</v>
      </c>
      <c r="X100" s="966">
        <v>169.88</v>
      </c>
      <c r="Y100" s="1065"/>
      <c r="Z100" s="918"/>
      <c r="AA100" s="919"/>
      <c r="AB100" s="988" t="s">
        <v>299</v>
      </c>
      <c r="AC100" s="972">
        <v>1</v>
      </c>
      <c r="AD100" s="978">
        <v>15.31</v>
      </c>
      <c r="AE100" s="982">
        <v>6734.16</v>
      </c>
      <c r="AF100" s="965">
        <v>253.97</v>
      </c>
      <c r="AG100" s="966">
        <v>169.88</v>
      </c>
      <c r="AH100" s="1065"/>
    </row>
    <row r="101" spans="1:34" s="19" customFormat="1" ht="12.75" x14ac:dyDescent="0.2">
      <c r="A101" s="988" t="s">
        <v>301</v>
      </c>
      <c r="B101" s="972">
        <v>1</v>
      </c>
      <c r="C101" s="978">
        <v>21.59</v>
      </c>
      <c r="D101" s="982">
        <v>6719.4</v>
      </c>
      <c r="E101" s="965">
        <v>242</v>
      </c>
      <c r="F101" s="966">
        <v>170.08</v>
      </c>
      <c r="G101" s="1065" t="s">
        <v>330</v>
      </c>
      <c r="H101" s="918"/>
      <c r="I101" s="919"/>
      <c r="J101" s="988" t="s">
        <v>301</v>
      </c>
      <c r="K101" s="972">
        <v>1</v>
      </c>
      <c r="L101" s="978">
        <v>21.59</v>
      </c>
      <c r="M101" s="982">
        <v>6719.4</v>
      </c>
      <c r="N101" s="965">
        <v>242</v>
      </c>
      <c r="O101" s="966">
        <v>170.08</v>
      </c>
      <c r="P101" s="1065" t="s">
        <v>330</v>
      </c>
      <c r="Q101" s="918"/>
      <c r="R101" s="919"/>
      <c r="S101" s="988" t="s">
        <v>301</v>
      </c>
      <c r="T101" s="972">
        <v>1</v>
      </c>
      <c r="U101" s="978">
        <v>21.59</v>
      </c>
      <c r="V101" s="982">
        <v>6719.4</v>
      </c>
      <c r="W101" s="965">
        <v>242</v>
      </c>
      <c r="X101" s="966">
        <v>170.08</v>
      </c>
      <c r="Y101" s="1065" t="s">
        <v>330</v>
      </c>
      <c r="Z101" s="918"/>
      <c r="AA101" s="919"/>
      <c r="AB101" s="988" t="s">
        <v>301</v>
      </c>
      <c r="AC101" s="972">
        <v>1</v>
      </c>
      <c r="AD101" s="978">
        <v>21.59</v>
      </c>
      <c r="AE101" s="982">
        <v>6719.4</v>
      </c>
      <c r="AF101" s="965">
        <v>242</v>
      </c>
      <c r="AG101" s="966">
        <v>170.08</v>
      </c>
      <c r="AH101" s="1065" t="s">
        <v>330</v>
      </c>
    </row>
    <row r="102" spans="1:34" s="19" customFormat="1" ht="12.75" x14ac:dyDescent="0.2">
      <c r="A102" s="988" t="s">
        <v>300</v>
      </c>
      <c r="B102" s="972">
        <v>1</v>
      </c>
      <c r="C102" s="978">
        <v>13.62</v>
      </c>
      <c r="D102" s="982">
        <v>6701.26</v>
      </c>
      <c r="E102" s="965">
        <v>270.51</v>
      </c>
      <c r="F102" s="966">
        <v>169.6</v>
      </c>
      <c r="G102" s="1065"/>
      <c r="H102" s="918"/>
      <c r="I102" s="919"/>
      <c r="J102" s="988" t="s">
        <v>300</v>
      </c>
      <c r="K102" s="972">
        <v>1</v>
      </c>
      <c r="L102" s="978">
        <v>13.62</v>
      </c>
      <c r="M102" s="982">
        <v>6701.26</v>
      </c>
      <c r="N102" s="965">
        <v>270.51</v>
      </c>
      <c r="O102" s="966">
        <v>169.6</v>
      </c>
      <c r="P102" s="1065"/>
      <c r="Q102" s="918"/>
      <c r="R102" s="919"/>
      <c r="S102" s="988" t="s">
        <v>300</v>
      </c>
      <c r="T102" s="972">
        <v>1</v>
      </c>
      <c r="U102" s="978">
        <v>13.62</v>
      </c>
      <c r="V102" s="982">
        <v>6701.26</v>
      </c>
      <c r="W102" s="965">
        <v>270.51</v>
      </c>
      <c r="X102" s="966">
        <v>169.6</v>
      </c>
      <c r="Y102" s="1065" t="s">
        <v>135</v>
      </c>
      <c r="Z102" s="918"/>
      <c r="AA102" s="919"/>
      <c r="AB102" s="988" t="s">
        <v>300</v>
      </c>
      <c r="AC102" s="972">
        <v>1</v>
      </c>
      <c r="AD102" s="978">
        <v>13.62</v>
      </c>
      <c r="AE102" s="982">
        <v>6701.26</v>
      </c>
      <c r="AF102" s="965">
        <v>270.51</v>
      </c>
      <c r="AG102" s="966">
        <v>169.6</v>
      </c>
      <c r="AH102" s="1065"/>
    </row>
    <row r="103" spans="1:34" s="19" customFormat="1" ht="12.75" x14ac:dyDescent="0.2">
      <c r="A103" s="988" t="s">
        <v>306</v>
      </c>
      <c r="B103" s="972">
        <v>2</v>
      </c>
      <c r="C103" s="978">
        <v>21.1</v>
      </c>
      <c r="D103" s="982">
        <v>6697.21</v>
      </c>
      <c r="E103" s="965">
        <v>252.19</v>
      </c>
      <c r="F103" s="966">
        <v>169.79</v>
      </c>
      <c r="G103" s="1065"/>
      <c r="H103" s="918"/>
      <c r="I103" s="919"/>
      <c r="J103" s="988" t="s">
        <v>306</v>
      </c>
      <c r="K103" s="972">
        <v>2</v>
      </c>
      <c r="L103" s="978">
        <v>21.1</v>
      </c>
      <c r="M103" s="982">
        <v>6697.21</v>
      </c>
      <c r="N103" s="965">
        <v>252.19</v>
      </c>
      <c r="O103" s="966">
        <v>169.79</v>
      </c>
      <c r="P103" s="1065"/>
      <c r="Q103" s="918"/>
      <c r="R103" s="919"/>
      <c r="S103" s="988" t="s">
        <v>302</v>
      </c>
      <c r="T103" s="972">
        <v>1</v>
      </c>
      <c r="U103" s="978">
        <v>20.11</v>
      </c>
      <c r="V103" s="982">
        <v>6707.61</v>
      </c>
      <c r="W103" s="965">
        <v>248.12</v>
      </c>
      <c r="X103" s="966">
        <v>169.96</v>
      </c>
      <c r="Y103" s="1065"/>
      <c r="Z103" s="918"/>
      <c r="AA103" s="919"/>
      <c r="AB103" s="988" t="s">
        <v>306</v>
      </c>
      <c r="AC103" s="972">
        <v>2</v>
      </c>
      <c r="AD103" s="978">
        <v>21.1</v>
      </c>
      <c r="AE103" s="982">
        <v>6697.21</v>
      </c>
      <c r="AF103" s="965">
        <v>252.19</v>
      </c>
      <c r="AG103" s="966">
        <v>169.79</v>
      </c>
      <c r="AH103" s="1065" t="s">
        <v>330</v>
      </c>
    </row>
    <row r="104" spans="1:34" s="19" customFormat="1" ht="12.75" x14ac:dyDescent="0.2">
      <c r="A104" s="988" t="s">
        <v>156</v>
      </c>
      <c r="B104" s="972">
        <v>1</v>
      </c>
      <c r="C104" s="978">
        <v>20.04</v>
      </c>
      <c r="D104" s="982">
        <v>6689.14</v>
      </c>
      <c r="E104" s="965">
        <v>253.51</v>
      </c>
      <c r="F104" s="966">
        <v>169.84</v>
      </c>
      <c r="G104" s="1065"/>
      <c r="H104" s="918"/>
      <c r="I104" s="919"/>
      <c r="J104" s="988" t="s">
        <v>304</v>
      </c>
      <c r="K104" s="972">
        <v>1</v>
      </c>
      <c r="L104" s="978">
        <v>10</v>
      </c>
      <c r="M104" s="982">
        <v>6692.01</v>
      </c>
      <c r="N104" s="965">
        <v>275.45</v>
      </c>
      <c r="O104" s="966">
        <v>169.53</v>
      </c>
      <c r="P104" s="1065"/>
      <c r="Q104" s="918"/>
      <c r="R104" s="919"/>
      <c r="S104" s="988" t="s">
        <v>304</v>
      </c>
      <c r="T104" s="972">
        <v>1</v>
      </c>
      <c r="U104" s="978">
        <v>10</v>
      </c>
      <c r="V104" s="982">
        <v>6692.01</v>
      </c>
      <c r="W104" s="965">
        <v>275.45</v>
      </c>
      <c r="X104" s="966">
        <v>169.53</v>
      </c>
      <c r="Y104" s="1065"/>
      <c r="Z104" s="918"/>
      <c r="AA104" s="919"/>
      <c r="AB104" s="988" t="s">
        <v>304</v>
      </c>
      <c r="AC104" s="972">
        <v>1</v>
      </c>
      <c r="AD104" s="978">
        <v>10</v>
      </c>
      <c r="AE104" s="982">
        <v>6692.01</v>
      </c>
      <c r="AF104" s="965">
        <v>275.45</v>
      </c>
      <c r="AG104" s="966">
        <v>169.53</v>
      </c>
      <c r="AH104" s="1065"/>
    </row>
    <row r="105" spans="1:34" s="19" customFormat="1" ht="12.75" x14ac:dyDescent="0.2">
      <c r="A105" s="988" t="s">
        <v>304</v>
      </c>
      <c r="B105" s="972">
        <v>1</v>
      </c>
      <c r="C105" s="978">
        <v>10</v>
      </c>
      <c r="D105" s="982">
        <v>6692.01</v>
      </c>
      <c r="E105" s="965">
        <v>275.45</v>
      </c>
      <c r="F105" s="966">
        <v>169.53</v>
      </c>
      <c r="G105" s="1065"/>
      <c r="H105" s="918"/>
      <c r="I105" s="919"/>
      <c r="J105" s="988" t="s">
        <v>305</v>
      </c>
      <c r="K105" s="972">
        <v>1</v>
      </c>
      <c r="L105" s="978">
        <v>10</v>
      </c>
      <c r="M105" s="982">
        <v>6688.65</v>
      </c>
      <c r="N105" s="965">
        <v>276.20999999999998</v>
      </c>
      <c r="O105" s="966">
        <v>169.42</v>
      </c>
      <c r="P105" s="1065"/>
      <c r="Q105" s="918"/>
      <c r="R105" s="919"/>
      <c r="S105" s="988" t="s">
        <v>305</v>
      </c>
      <c r="T105" s="972">
        <v>1</v>
      </c>
      <c r="U105" s="978">
        <v>10</v>
      </c>
      <c r="V105" s="982">
        <v>6688.65</v>
      </c>
      <c r="W105" s="965">
        <v>276.20999999999998</v>
      </c>
      <c r="X105" s="966">
        <v>169.42</v>
      </c>
      <c r="Y105" s="1065"/>
      <c r="Z105" s="918"/>
      <c r="AA105" s="919"/>
      <c r="AB105" s="988" t="s">
        <v>305</v>
      </c>
      <c r="AC105" s="972">
        <v>1</v>
      </c>
      <c r="AD105" s="978">
        <v>10</v>
      </c>
      <c r="AE105" s="982">
        <v>6688.65</v>
      </c>
      <c r="AF105" s="965">
        <v>276.20999999999998</v>
      </c>
      <c r="AG105" s="966">
        <v>169.42</v>
      </c>
      <c r="AH105" s="1065" t="s">
        <v>135</v>
      </c>
    </row>
    <row r="106" spans="1:34" s="19" customFormat="1" ht="12.75" x14ac:dyDescent="0.2">
      <c r="A106" s="988" t="s">
        <v>305</v>
      </c>
      <c r="B106" s="972">
        <v>1</v>
      </c>
      <c r="C106" s="978">
        <v>10</v>
      </c>
      <c r="D106" s="982">
        <v>6688.65</v>
      </c>
      <c r="E106" s="965">
        <v>276.20999999999998</v>
      </c>
      <c r="F106" s="966">
        <v>169.42</v>
      </c>
      <c r="G106" s="1065" t="s">
        <v>135</v>
      </c>
      <c r="H106" s="918"/>
      <c r="I106" s="919"/>
      <c r="J106" s="988" t="s">
        <v>158</v>
      </c>
      <c r="K106" s="972">
        <v>1</v>
      </c>
      <c r="L106" s="978">
        <v>22.23</v>
      </c>
      <c r="M106" s="982">
        <v>6670.01</v>
      </c>
      <c r="N106" s="965">
        <v>258.38</v>
      </c>
      <c r="O106" s="966">
        <v>169.98</v>
      </c>
      <c r="P106" s="1065"/>
      <c r="Q106" s="918"/>
      <c r="R106" s="919"/>
      <c r="S106" s="988" t="s">
        <v>158</v>
      </c>
      <c r="T106" s="972">
        <v>1</v>
      </c>
      <c r="U106" s="978">
        <v>22.23</v>
      </c>
      <c r="V106" s="982">
        <v>6670.01</v>
      </c>
      <c r="W106" s="965">
        <v>258.38</v>
      </c>
      <c r="X106" s="966">
        <v>169.98</v>
      </c>
      <c r="Y106" s="1065"/>
      <c r="Z106" s="918"/>
      <c r="AA106" s="919"/>
      <c r="AB106" s="988" t="s">
        <v>157</v>
      </c>
      <c r="AC106" s="972">
        <v>2</v>
      </c>
      <c r="AD106" s="978">
        <v>27.38</v>
      </c>
      <c r="AE106" s="982">
        <v>6666.91</v>
      </c>
      <c r="AF106" s="965">
        <v>185.21</v>
      </c>
      <c r="AG106" s="966">
        <v>174.75</v>
      </c>
      <c r="AH106" s="1065"/>
    </row>
    <row r="107" spans="1:34" s="19" customFormat="1" ht="12.75" x14ac:dyDescent="0.2">
      <c r="A107" s="988" t="s">
        <v>158</v>
      </c>
      <c r="B107" s="972">
        <v>1</v>
      </c>
      <c r="C107" s="978">
        <v>22.23</v>
      </c>
      <c r="D107" s="982">
        <v>6670.01</v>
      </c>
      <c r="E107" s="965">
        <v>258.38</v>
      </c>
      <c r="F107" s="966">
        <v>169.98</v>
      </c>
      <c r="G107" s="1065"/>
      <c r="H107" s="918"/>
      <c r="I107" s="919"/>
      <c r="J107" s="988" t="s">
        <v>159</v>
      </c>
      <c r="K107" s="972">
        <v>1</v>
      </c>
      <c r="L107" s="978">
        <v>19.16</v>
      </c>
      <c r="M107" s="982">
        <v>6664.38</v>
      </c>
      <c r="N107" s="965">
        <v>266.32</v>
      </c>
      <c r="O107" s="966">
        <v>169.64</v>
      </c>
      <c r="P107" s="1065"/>
      <c r="Q107" s="918"/>
      <c r="R107" s="919"/>
      <c r="S107" s="988" t="s">
        <v>159</v>
      </c>
      <c r="T107" s="972">
        <v>1</v>
      </c>
      <c r="U107" s="978">
        <v>19.16</v>
      </c>
      <c r="V107" s="982">
        <v>6664.38</v>
      </c>
      <c r="W107" s="965">
        <v>266.32</v>
      </c>
      <c r="X107" s="966">
        <v>169.64</v>
      </c>
      <c r="Y107" s="1065"/>
      <c r="Z107" s="918"/>
      <c r="AA107" s="919"/>
      <c r="AB107" s="988" t="s">
        <v>158</v>
      </c>
      <c r="AC107" s="972">
        <v>1</v>
      </c>
      <c r="AD107" s="978">
        <v>22.23</v>
      </c>
      <c r="AE107" s="982">
        <v>6670.01</v>
      </c>
      <c r="AF107" s="965">
        <v>258.38</v>
      </c>
      <c r="AG107" s="966">
        <v>169.98</v>
      </c>
      <c r="AH107" s="1065"/>
    </row>
    <row r="108" spans="1:34" s="19" customFormat="1" ht="12.75" x14ac:dyDescent="0.2">
      <c r="A108" s="988" t="s">
        <v>159</v>
      </c>
      <c r="B108" s="972">
        <v>1</v>
      </c>
      <c r="C108" s="978">
        <v>19.16</v>
      </c>
      <c r="D108" s="982">
        <v>6664.38</v>
      </c>
      <c r="E108" s="965">
        <v>266.32</v>
      </c>
      <c r="F108" s="966">
        <v>169.64</v>
      </c>
      <c r="G108" s="1065"/>
      <c r="H108" s="918"/>
      <c r="I108" s="919"/>
      <c r="J108" s="988" t="s">
        <v>284</v>
      </c>
      <c r="K108" s="972">
        <v>2</v>
      </c>
      <c r="L108" s="978">
        <v>57.22</v>
      </c>
      <c r="M108" s="982">
        <v>6658.82</v>
      </c>
      <c r="N108" s="965">
        <v>280.85000000000002</v>
      </c>
      <c r="O108" s="966">
        <v>169.05</v>
      </c>
      <c r="P108" s="1065"/>
      <c r="Q108" s="918"/>
      <c r="R108" s="919"/>
      <c r="S108" s="988" t="s">
        <v>284</v>
      </c>
      <c r="T108" s="972">
        <v>2</v>
      </c>
      <c r="U108" s="978">
        <v>57.22</v>
      </c>
      <c r="V108" s="982">
        <v>6658.82</v>
      </c>
      <c r="W108" s="965">
        <v>280.85000000000002</v>
      </c>
      <c r="X108" s="966">
        <v>169.05</v>
      </c>
      <c r="Y108" s="1065"/>
      <c r="Z108" s="918"/>
      <c r="AA108" s="919"/>
      <c r="AB108" s="988" t="s">
        <v>159</v>
      </c>
      <c r="AC108" s="972">
        <v>1</v>
      </c>
      <c r="AD108" s="978">
        <v>19.16</v>
      </c>
      <c r="AE108" s="982">
        <v>6664.38</v>
      </c>
      <c r="AF108" s="965">
        <v>266.32</v>
      </c>
      <c r="AG108" s="966">
        <v>169.64</v>
      </c>
      <c r="AH108" s="1065"/>
    </row>
    <row r="109" spans="1:34" s="19" customFormat="1" ht="12.75" x14ac:dyDescent="0.2">
      <c r="A109" s="988" t="s">
        <v>284</v>
      </c>
      <c r="B109" s="972">
        <v>2</v>
      </c>
      <c r="C109" s="978">
        <v>57.22</v>
      </c>
      <c r="D109" s="982">
        <v>6658.82</v>
      </c>
      <c r="E109" s="965">
        <v>280.85000000000002</v>
      </c>
      <c r="F109" s="966">
        <v>169.05</v>
      </c>
      <c r="G109" s="1065"/>
      <c r="H109" s="918"/>
      <c r="I109" s="919"/>
      <c r="J109" s="988" t="s">
        <v>160</v>
      </c>
      <c r="K109" s="972">
        <v>2</v>
      </c>
      <c r="L109" s="978">
        <v>40.36</v>
      </c>
      <c r="M109" s="982">
        <v>6652.67</v>
      </c>
      <c r="N109" s="965">
        <v>295.72000000000003</v>
      </c>
      <c r="O109" s="966">
        <v>169.05</v>
      </c>
      <c r="P109" s="1065"/>
      <c r="Q109" s="918"/>
      <c r="R109" s="919"/>
      <c r="S109" s="988" t="s">
        <v>160</v>
      </c>
      <c r="T109" s="972">
        <v>2</v>
      </c>
      <c r="U109" s="978">
        <v>40.36</v>
      </c>
      <c r="V109" s="982">
        <v>6652.67</v>
      </c>
      <c r="W109" s="965">
        <v>295.72000000000003</v>
      </c>
      <c r="X109" s="966">
        <v>169.05</v>
      </c>
      <c r="Y109" s="1065"/>
      <c r="Z109" s="918"/>
      <c r="AA109" s="919"/>
      <c r="AB109" s="988" t="s">
        <v>284</v>
      </c>
      <c r="AC109" s="972">
        <v>2</v>
      </c>
      <c r="AD109" s="978">
        <v>57.22</v>
      </c>
      <c r="AE109" s="982">
        <v>6658.82</v>
      </c>
      <c r="AF109" s="965">
        <v>280.85000000000002</v>
      </c>
      <c r="AG109" s="966">
        <v>169.05</v>
      </c>
      <c r="AH109" s="1065"/>
    </row>
    <row r="110" spans="1:34" s="19" customFormat="1" ht="12.75" x14ac:dyDescent="0.2">
      <c r="A110" s="988" t="s">
        <v>160</v>
      </c>
      <c r="B110" s="972">
        <v>2</v>
      </c>
      <c r="C110" s="978">
        <v>40.36</v>
      </c>
      <c r="D110" s="982">
        <v>6652.67</v>
      </c>
      <c r="E110" s="965">
        <v>295.72000000000003</v>
      </c>
      <c r="F110" s="966">
        <v>169.05</v>
      </c>
      <c r="G110" s="1065" t="s">
        <v>135</v>
      </c>
      <c r="H110" s="918"/>
      <c r="I110" s="919"/>
      <c r="J110" s="988" t="s">
        <v>297</v>
      </c>
      <c r="K110" s="972">
        <v>2</v>
      </c>
      <c r="L110" s="978">
        <v>11.96</v>
      </c>
      <c r="M110" s="982">
        <v>6544.42</v>
      </c>
      <c r="N110" s="965">
        <v>342.53</v>
      </c>
      <c r="O110" s="966">
        <v>166.18</v>
      </c>
      <c r="P110" s="1065"/>
      <c r="Q110" s="918"/>
      <c r="R110" s="919"/>
      <c r="S110" s="988" t="s">
        <v>297</v>
      </c>
      <c r="T110" s="972">
        <v>2</v>
      </c>
      <c r="U110" s="978">
        <v>11.96</v>
      </c>
      <c r="V110" s="982">
        <v>6544.42</v>
      </c>
      <c r="W110" s="965">
        <v>342.53</v>
      </c>
      <c r="X110" s="966">
        <v>166.18</v>
      </c>
      <c r="Y110" s="1065"/>
      <c r="Z110" s="918"/>
      <c r="AA110" s="919"/>
      <c r="AB110" s="988" t="s">
        <v>160</v>
      </c>
      <c r="AC110" s="972">
        <v>2</v>
      </c>
      <c r="AD110" s="978">
        <v>40.36</v>
      </c>
      <c r="AE110" s="982">
        <v>6652.67</v>
      </c>
      <c r="AF110" s="965">
        <v>295.72000000000003</v>
      </c>
      <c r="AG110" s="966">
        <v>169.05</v>
      </c>
      <c r="AH110" s="1065"/>
    </row>
    <row r="111" spans="1:34" s="19" customFormat="1" ht="12.75" x14ac:dyDescent="0.2">
      <c r="A111" s="988" t="s">
        <v>297</v>
      </c>
      <c r="B111" s="972">
        <v>2</v>
      </c>
      <c r="C111" s="978">
        <v>11.96</v>
      </c>
      <c r="D111" s="982">
        <v>6544.42</v>
      </c>
      <c r="E111" s="965">
        <v>342.53</v>
      </c>
      <c r="F111" s="966">
        <v>166.18</v>
      </c>
      <c r="G111" s="1065"/>
      <c r="H111" s="918"/>
      <c r="I111" s="919"/>
      <c r="J111" s="988" t="s">
        <v>286</v>
      </c>
      <c r="K111" s="972">
        <v>2</v>
      </c>
      <c r="L111" s="978">
        <v>23</v>
      </c>
      <c r="M111" s="982">
        <v>6585.69</v>
      </c>
      <c r="N111" s="965">
        <v>370.22</v>
      </c>
      <c r="O111" s="966">
        <v>166.26</v>
      </c>
      <c r="P111" s="1065"/>
      <c r="Q111" s="918"/>
      <c r="R111" s="919"/>
      <c r="S111" s="988" t="s">
        <v>286</v>
      </c>
      <c r="T111" s="972">
        <v>2</v>
      </c>
      <c r="U111" s="978">
        <v>23</v>
      </c>
      <c r="V111" s="982">
        <v>6585.69</v>
      </c>
      <c r="W111" s="965">
        <v>370.22</v>
      </c>
      <c r="X111" s="966">
        <v>166.26</v>
      </c>
      <c r="Y111" s="1065"/>
      <c r="Z111" s="918"/>
      <c r="AA111" s="919"/>
      <c r="AB111" s="988" t="s">
        <v>297</v>
      </c>
      <c r="AC111" s="972">
        <v>2</v>
      </c>
      <c r="AD111" s="978">
        <v>11.96</v>
      </c>
      <c r="AE111" s="982">
        <v>6544.42</v>
      </c>
      <c r="AF111" s="965">
        <v>342.53</v>
      </c>
      <c r="AG111" s="966">
        <v>166.18</v>
      </c>
      <c r="AH111" s="1065"/>
    </row>
    <row r="112" spans="1:34" s="19" customFormat="1" ht="12.75" x14ac:dyDescent="0.2">
      <c r="A112" s="988" t="s">
        <v>286</v>
      </c>
      <c r="B112" s="972">
        <v>2</v>
      </c>
      <c r="C112" s="978">
        <v>23</v>
      </c>
      <c r="D112" s="982">
        <v>6585.69</v>
      </c>
      <c r="E112" s="965">
        <v>370.22</v>
      </c>
      <c r="F112" s="966">
        <v>166.26</v>
      </c>
      <c r="G112" s="1065"/>
      <c r="H112" s="918"/>
      <c r="I112" s="919"/>
      <c r="J112" s="988" t="s">
        <v>285</v>
      </c>
      <c r="K112" s="972">
        <v>2</v>
      </c>
      <c r="L112" s="978">
        <v>10.51</v>
      </c>
      <c r="M112" s="982">
        <v>6607.16</v>
      </c>
      <c r="N112" s="965">
        <v>394.96</v>
      </c>
      <c r="O112" s="966">
        <v>166.38</v>
      </c>
      <c r="P112" s="1065"/>
      <c r="Q112" s="918"/>
      <c r="R112" s="919"/>
      <c r="S112" s="988" t="s">
        <v>285</v>
      </c>
      <c r="T112" s="972">
        <v>2</v>
      </c>
      <c r="U112" s="978">
        <v>10.51</v>
      </c>
      <c r="V112" s="982">
        <v>6607.16</v>
      </c>
      <c r="W112" s="965">
        <v>394.96</v>
      </c>
      <c r="X112" s="966">
        <v>166.38</v>
      </c>
      <c r="Y112" s="1065"/>
      <c r="Z112" s="918"/>
      <c r="AA112" s="919"/>
      <c r="AB112" s="988" t="s">
        <v>286</v>
      </c>
      <c r="AC112" s="972">
        <v>2</v>
      </c>
      <c r="AD112" s="978">
        <v>23</v>
      </c>
      <c r="AE112" s="982">
        <v>6585.69</v>
      </c>
      <c r="AF112" s="965">
        <v>370.22</v>
      </c>
      <c r="AG112" s="966">
        <v>166.26</v>
      </c>
      <c r="AH112" s="1065"/>
    </row>
    <row r="113" spans="1:34" s="19" customFormat="1" ht="12.75" x14ac:dyDescent="0.2">
      <c r="A113" s="988" t="s">
        <v>285</v>
      </c>
      <c r="B113" s="972">
        <v>2</v>
      </c>
      <c r="C113" s="978">
        <v>10.51</v>
      </c>
      <c r="D113" s="982">
        <v>6607.16</v>
      </c>
      <c r="E113" s="965">
        <v>394.96</v>
      </c>
      <c r="F113" s="966">
        <v>166.38</v>
      </c>
      <c r="G113" s="1065"/>
      <c r="H113" s="918"/>
      <c r="I113" s="919"/>
      <c r="J113" s="988" t="s">
        <v>298</v>
      </c>
      <c r="K113" s="972"/>
      <c r="L113" s="978"/>
      <c r="M113" s="982"/>
      <c r="N113" s="965"/>
      <c r="O113" s="966"/>
      <c r="P113" s="1065"/>
      <c r="Q113" s="918"/>
      <c r="R113" s="919"/>
      <c r="S113" s="988" t="s">
        <v>298</v>
      </c>
      <c r="T113" s="972"/>
      <c r="U113" s="978"/>
      <c r="V113" s="982"/>
      <c r="W113" s="965"/>
      <c r="X113" s="966"/>
      <c r="Y113" s="1065"/>
      <c r="Z113" s="918"/>
      <c r="AA113" s="919"/>
      <c r="AB113" s="988" t="s">
        <v>285</v>
      </c>
      <c r="AC113" s="972">
        <v>2</v>
      </c>
      <c r="AD113" s="978">
        <v>10.51</v>
      </c>
      <c r="AE113" s="982">
        <v>6607.16</v>
      </c>
      <c r="AF113" s="965">
        <v>394.96</v>
      </c>
      <c r="AG113" s="966">
        <v>166.38</v>
      </c>
      <c r="AH113" s="1065"/>
    </row>
    <row r="114" spans="1:34" s="19" customFormat="1" ht="12.75" x14ac:dyDescent="0.2">
      <c r="A114" s="987" t="s">
        <v>298</v>
      </c>
      <c r="B114" s="666"/>
      <c r="C114" s="978"/>
      <c r="D114" s="982"/>
      <c r="E114" s="965"/>
      <c r="F114" s="966"/>
      <c r="G114" s="1065"/>
      <c r="H114" s="918"/>
      <c r="I114" s="919"/>
      <c r="J114" s="987"/>
      <c r="K114" s="666"/>
      <c r="L114" s="978"/>
      <c r="M114" s="982"/>
      <c r="N114" s="965"/>
      <c r="O114" s="966"/>
      <c r="P114" s="1065"/>
      <c r="Q114" s="918"/>
      <c r="R114" s="919"/>
      <c r="S114" s="987"/>
      <c r="T114" s="666"/>
      <c r="U114" s="978"/>
      <c r="V114" s="982"/>
      <c r="W114" s="965"/>
      <c r="X114" s="966"/>
      <c r="Y114" s="1065"/>
      <c r="Z114" s="918"/>
      <c r="AA114" s="919"/>
      <c r="AB114" s="987" t="s">
        <v>298</v>
      </c>
      <c r="AC114" s="666"/>
      <c r="AD114" s="978"/>
      <c r="AE114" s="982"/>
      <c r="AF114" s="965"/>
      <c r="AG114" s="966"/>
      <c r="AH114" s="1065"/>
    </row>
    <row r="115" spans="1:34" s="19" customFormat="1" ht="12.75" x14ac:dyDescent="0.2">
      <c r="A115" s="987"/>
      <c r="B115" s="668"/>
      <c r="C115" s="978"/>
      <c r="D115" s="982"/>
      <c r="E115" s="965"/>
      <c r="F115" s="966"/>
      <c r="G115" s="1065"/>
      <c r="H115" s="918"/>
      <c r="I115" s="919"/>
      <c r="J115" s="987"/>
      <c r="K115" s="668"/>
      <c r="L115" s="978"/>
      <c r="M115" s="982"/>
      <c r="N115" s="965"/>
      <c r="O115" s="966"/>
      <c r="P115" s="1065"/>
      <c r="Q115" s="918"/>
      <c r="R115" s="919"/>
      <c r="S115" s="987"/>
      <c r="T115" s="668"/>
      <c r="U115" s="978"/>
      <c r="V115" s="982"/>
      <c r="W115" s="965"/>
      <c r="X115" s="966"/>
      <c r="Y115" s="1065"/>
      <c r="Z115" s="918"/>
      <c r="AA115" s="919"/>
      <c r="AB115" s="987"/>
      <c r="AC115" s="668"/>
      <c r="AD115" s="978"/>
      <c r="AE115" s="982"/>
      <c r="AF115" s="965"/>
      <c r="AG115" s="966"/>
      <c r="AH115" s="1065"/>
    </row>
    <row r="116" spans="1:34" s="19" customFormat="1" ht="12.75" x14ac:dyDescent="0.2">
      <c r="A116" s="987"/>
      <c r="B116" s="668"/>
      <c r="C116" s="978"/>
      <c r="D116" s="982"/>
      <c r="E116" s="965"/>
      <c r="F116" s="966"/>
      <c r="G116" s="1065"/>
      <c r="H116" s="918"/>
      <c r="I116" s="919"/>
      <c r="J116" s="987"/>
      <c r="K116" s="668"/>
      <c r="L116" s="978"/>
      <c r="M116" s="982"/>
      <c r="N116" s="965"/>
      <c r="O116" s="966"/>
      <c r="P116" s="1065"/>
      <c r="Q116" s="918"/>
      <c r="R116" s="919"/>
      <c r="S116" s="987"/>
      <c r="T116" s="668"/>
      <c r="U116" s="978"/>
      <c r="V116" s="982"/>
      <c r="W116" s="965"/>
      <c r="X116" s="966"/>
      <c r="Y116" s="1065"/>
      <c r="Z116" s="918"/>
      <c r="AA116" s="919"/>
      <c r="AB116" s="987"/>
      <c r="AC116" s="668"/>
      <c r="AD116" s="978"/>
      <c r="AE116" s="982"/>
      <c r="AF116" s="965"/>
      <c r="AG116" s="966"/>
      <c r="AH116" s="1065"/>
    </row>
    <row r="117" spans="1:34" s="19" customFormat="1" ht="12.75" x14ac:dyDescent="0.2">
      <c r="A117" s="987"/>
      <c r="B117" s="668"/>
      <c r="C117" s="978"/>
      <c r="D117" s="982"/>
      <c r="E117" s="965"/>
      <c r="F117" s="966"/>
      <c r="G117" s="1065"/>
      <c r="H117" s="918"/>
      <c r="I117" s="919"/>
      <c r="J117" s="987"/>
      <c r="K117" s="668"/>
      <c r="L117" s="978"/>
      <c r="M117" s="982"/>
      <c r="N117" s="965"/>
      <c r="O117" s="966"/>
      <c r="P117" s="1065"/>
      <c r="Q117" s="918"/>
      <c r="R117" s="919"/>
      <c r="S117" s="987"/>
      <c r="T117" s="668"/>
      <c r="U117" s="978"/>
      <c r="V117" s="982"/>
      <c r="W117" s="965"/>
      <c r="X117" s="966"/>
      <c r="Y117" s="1065"/>
      <c r="Z117" s="918"/>
      <c r="AA117" s="919"/>
      <c r="AB117" s="987"/>
      <c r="AC117" s="668"/>
      <c r="AD117" s="978"/>
      <c r="AE117" s="982"/>
      <c r="AF117" s="965"/>
      <c r="AG117" s="966"/>
      <c r="AH117" s="1065"/>
    </row>
    <row r="118" spans="1:34" s="19" customFormat="1" ht="12.75" x14ac:dyDescent="0.2">
      <c r="A118" s="987"/>
      <c r="B118" s="668"/>
      <c r="C118" s="978"/>
      <c r="D118" s="982"/>
      <c r="E118" s="965"/>
      <c r="F118" s="966"/>
      <c r="G118" s="1065"/>
      <c r="H118" s="918"/>
      <c r="I118" s="919"/>
      <c r="J118" s="987"/>
      <c r="K118" s="668"/>
      <c r="L118" s="978"/>
      <c r="M118" s="982"/>
      <c r="N118" s="965"/>
      <c r="O118" s="966"/>
      <c r="P118" s="1065"/>
      <c r="Q118" s="918"/>
      <c r="R118" s="919"/>
      <c r="S118" s="987"/>
      <c r="T118" s="668"/>
      <c r="U118" s="978"/>
      <c r="V118" s="982"/>
      <c r="W118" s="965"/>
      <c r="X118" s="966"/>
      <c r="Y118" s="1065"/>
      <c r="Z118" s="918"/>
      <c r="AA118" s="919"/>
      <c r="AB118" s="987"/>
      <c r="AC118" s="668"/>
      <c r="AD118" s="978"/>
      <c r="AE118" s="982"/>
      <c r="AF118" s="965"/>
      <c r="AG118" s="966"/>
      <c r="AH118" s="1065"/>
    </row>
    <row r="119" spans="1:34" s="19" customFormat="1" ht="12.75" x14ac:dyDescent="0.2">
      <c r="A119" s="987"/>
      <c r="B119" s="668"/>
      <c r="C119" s="978"/>
      <c r="D119" s="982"/>
      <c r="E119" s="965"/>
      <c r="F119" s="966"/>
      <c r="G119" s="1065"/>
      <c r="H119" s="918"/>
      <c r="I119" s="919"/>
      <c r="J119" s="987"/>
      <c r="K119" s="668"/>
      <c r="L119" s="978"/>
      <c r="M119" s="982"/>
      <c r="N119" s="965"/>
      <c r="O119" s="966"/>
      <c r="P119" s="1065"/>
      <c r="Q119" s="918"/>
      <c r="R119" s="919"/>
      <c r="S119" s="987"/>
      <c r="T119" s="668"/>
      <c r="U119" s="978"/>
      <c r="V119" s="982"/>
      <c r="W119" s="965"/>
      <c r="X119" s="966"/>
      <c r="Y119" s="1065"/>
      <c r="Z119" s="918"/>
      <c r="AA119" s="919"/>
      <c r="AB119" s="987"/>
      <c r="AC119" s="668"/>
      <c r="AD119" s="978"/>
      <c r="AE119" s="982"/>
      <c r="AF119" s="965"/>
      <c r="AG119" s="966"/>
      <c r="AH119" s="1065"/>
    </row>
    <row r="120" spans="1:34" s="19" customFormat="1" ht="12.75" x14ac:dyDescent="0.2">
      <c r="A120" s="974"/>
      <c r="B120" s="666"/>
      <c r="C120" s="978"/>
      <c r="D120" s="982"/>
      <c r="E120" s="965"/>
      <c r="F120" s="966"/>
      <c r="G120" s="1065"/>
      <c r="H120" s="918"/>
      <c r="I120" s="919"/>
      <c r="J120" s="974"/>
      <c r="K120" s="666"/>
      <c r="L120" s="978"/>
      <c r="M120" s="982"/>
      <c r="N120" s="965"/>
      <c r="O120" s="966"/>
      <c r="P120" s="1065"/>
      <c r="Q120" s="918"/>
      <c r="R120" s="919"/>
      <c r="S120" s="974"/>
      <c r="T120" s="666"/>
      <c r="U120" s="978"/>
      <c r="V120" s="982"/>
      <c r="W120" s="965"/>
      <c r="X120" s="966"/>
      <c r="Y120" s="1065"/>
      <c r="Z120" s="918"/>
      <c r="AA120" s="919"/>
      <c r="AB120" s="974"/>
      <c r="AC120" s="666"/>
      <c r="AD120" s="978"/>
      <c r="AE120" s="982"/>
      <c r="AF120" s="965"/>
      <c r="AG120" s="966"/>
      <c r="AH120" s="1065"/>
    </row>
    <row r="121" spans="1:34" s="19" customFormat="1" ht="13.5" thickBot="1" x14ac:dyDescent="0.25">
      <c r="A121" s="975"/>
      <c r="B121" s="969"/>
      <c r="C121" s="990"/>
      <c r="D121" s="983"/>
      <c r="E121" s="970"/>
      <c r="F121" s="984"/>
      <c r="G121" s="1066"/>
      <c r="H121" s="946"/>
      <c r="I121" s="947"/>
      <c r="J121" s="975"/>
      <c r="K121" s="969"/>
      <c r="L121" s="990"/>
      <c r="M121" s="983"/>
      <c r="N121" s="970"/>
      <c r="O121" s="984"/>
      <c r="P121" s="1066"/>
      <c r="Q121" s="946"/>
      <c r="R121" s="947"/>
      <c r="S121" s="975"/>
      <c r="T121" s="969"/>
      <c r="U121" s="990"/>
      <c r="V121" s="983"/>
      <c r="W121" s="970"/>
      <c r="X121" s="984"/>
      <c r="Y121" s="1066"/>
      <c r="Z121" s="946"/>
      <c r="AA121" s="947"/>
      <c r="AB121" s="975"/>
      <c r="AC121" s="969"/>
      <c r="AD121" s="990"/>
      <c r="AE121" s="983"/>
      <c r="AF121" s="970"/>
      <c r="AG121" s="984"/>
      <c r="AH121" s="1066"/>
    </row>
    <row r="122" spans="1:34" s="19" customFormat="1" ht="12.75" x14ac:dyDescent="0.2">
      <c r="R122" s="690"/>
      <c r="AH122" s="1126"/>
    </row>
    <row r="123" spans="1:34" s="19" customFormat="1" ht="12.75" x14ac:dyDescent="0.2">
      <c r="R123" s="690"/>
      <c r="S123" s="29"/>
      <c r="U123" s="29"/>
      <c r="W123" s="29"/>
      <c r="X123" s="721"/>
      <c r="Y123" s="29"/>
      <c r="AA123" s="29"/>
      <c r="AH123" s="1126"/>
    </row>
    <row r="124" spans="1:34" s="19" customFormat="1" ht="12.75" x14ac:dyDescent="0.2">
      <c r="R124" s="690"/>
      <c r="S124" s="29"/>
      <c r="U124" s="29"/>
      <c r="W124" s="29"/>
      <c r="X124" s="721"/>
      <c r="Y124" s="29"/>
      <c r="AA124" s="29"/>
      <c r="AH124" s="1126"/>
    </row>
    <row r="125" spans="1:34" s="19" customFormat="1" ht="12.75" x14ac:dyDescent="0.2">
      <c r="R125" s="690"/>
      <c r="S125" s="29"/>
      <c r="U125" s="29"/>
      <c r="W125" s="29"/>
      <c r="X125" s="721"/>
      <c r="Y125" s="29"/>
      <c r="AA125" s="29"/>
      <c r="AH125" s="1126"/>
    </row>
    <row r="126" spans="1:34" s="19" customFormat="1" ht="12.75" x14ac:dyDescent="0.2">
      <c r="R126" s="690"/>
      <c r="S126" s="29"/>
      <c r="U126" s="29"/>
      <c r="W126" s="29"/>
      <c r="X126" s="721"/>
      <c r="Y126" s="29"/>
      <c r="AA126" s="29"/>
      <c r="AH126" s="1126"/>
    </row>
    <row r="127" spans="1:34" s="19" customFormat="1" ht="12.75" x14ac:dyDescent="0.2">
      <c r="R127" s="690"/>
      <c r="S127" s="29"/>
      <c r="U127" s="29"/>
      <c r="W127" s="29"/>
      <c r="X127" s="721"/>
      <c r="Y127" s="29"/>
      <c r="AA127" s="29"/>
      <c r="AH127" s="1126"/>
    </row>
    <row r="128" spans="1:34" s="19" customFormat="1" ht="12.75" x14ac:dyDescent="0.2">
      <c r="R128" s="690"/>
      <c r="S128" s="29"/>
      <c r="U128" s="29"/>
      <c r="W128" s="29"/>
      <c r="X128" s="721"/>
      <c r="Y128" s="29"/>
      <c r="AA128" s="29"/>
      <c r="AH128" s="1126"/>
    </row>
    <row r="129" spans="6:34" s="19" customFormat="1" ht="12.75" x14ac:dyDescent="0.2">
      <c r="R129" s="690"/>
      <c r="S129" s="29"/>
      <c r="U129" s="29"/>
      <c r="W129" s="29"/>
      <c r="X129" s="721"/>
      <c r="Y129" s="29"/>
      <c r="AA129" s="29"/>
      <c r="AH129" s="1126"/>
    </row>
    <row r="130" spans="6:34" s="19" customFormat="1" ht="12.75" x14ac:dyDescent="0.2">
      <c r="R130" s="690"/>
      <c r="S130" s="29"/>
      <c r="U130" s="29"/>
      <c r="W130" s="29"/>
      <c r="X130" s="721"/>
      <c r="Y130" s="29"/>
      <c r="AA130" s="29"/>
      <c r="AH130" s="1126"/>
    </row>
    <row r="131" spans="6:34" s="19" customFormat="1" ht="12.75" x14ac:dyDescent="0.2">
      <c r="R131" s="690"/>
      <c r="S131" s="29"/>
      <c r="U131" s="29"/>
      <c r="W131" s="29"/>
      <c r="X131" s="721"/>
      <c r="Y131" s="29"/>
      <c r="AA131" s="29"/>
      <c r="AH131" s="1126"/>
    </row>
    <row r="132" spans="6:34" s="19" customFormat="1" ht="12.75" x14ac:dyDescent="0.2">
      <c r="R132" s="690"/>
      <c r="S132" s="29"/>
      <c r="U132" s="29"/>
      <c r="W132" s="29"/>
      <c r="X132" s="721"/>
      <c r="Y132" s="29"/>
      <c r="AA132" s="29"/>
      <c r="AH132" s="1126"/>
    </row>
    <row r="133" spans="6:34" s="19" customFormat="1" ht="12.75" x14ac:dyDescent="0.2">
      <c r="R133" s="690"/>
      <c r="S133" s="29"/>
      <c r="U133" s="29"/>
      <c r="W133" s="29"/>
      <c r="X133" s="721"/>
      <c r="Y133" s="29"/>
      <c r="AA133" s="29"/>
      <c r="AH133" s="1126"/>
    </row>
    <row r="134" spans="6:34" s="19" customFormat="1" ht="12.75" x14ac:dyDescent="0.2">
      <c r="R134" s="690"/>
      <c r="S134" s="29"/>
      <c r="U134" s="29"/>
      <c r="W134" s="29"/>
      <c r="X134" s="721"/>
      <c r="Y134" s="29"/>
      <c r="AA134" s="29"/>
      <c r="AH134" s="1126"/>
    </row>
    <row r="135" spans="6:34" s="19" customFormat="1" ht="12.75" x14ac:dyDescent="0.2">
      <c r="R135" s="690"/>
      <c r="S135" s="29"/>
      <c r="U135" s="29"/>
      <c r="W135" s="29"/>
      <c r="X135" s="721"/>
      <c r="Y135" s="29"/>
      <c r="AA135" s="29"/>
      <c r="AH135" s="1126"/>
    </row>
    <row r="136" spans="6:34" s="19" customFormat="1" ht="12.75" x14ac:dyDescent="0.2">
      <c r="R136" s="690"/>
      <c r="S136" s="29"/>
      <c r="U136" s="29"/>
      <c r="W136" s="29"/>
      <c r="X136" s="721"/>
      <c r="Y136" s="29"/>
      <c r="AA136" s="29"/>
      <c r="AH136" s="1126"/>
    </row>
    <row r="137" spans="6:34" s="19" customFormat="1" ht="12.75" x14ac:dyDescent="0.2">
      <c r="R137" s="690"/>
      <c r="S137" s="29"/>
      <c r="U137" s="29"/>
      <c r="W137" s="29"/>
      <c r="X137" s="721"/>
      <c r="Y137" s="29"/>
      <c r="AA137" s="29"/>
      <c r="AH137" s="1126"/>
    </row>
    <row r="138" spans="6:34" s="19" customFormat="1" ht="12.75" x14ac:dyDescent="0.2">
      <c r="R138" s="690"/>
      <c r="S138" s="29"/>
      <c r="U138" s="29"/>
      <c r="W138" s="29"/>
      <c r="X138" s="721"/>
      <c r="Y138" s="29"/>
      <c r="AA138" s="29"/>
      <c r="AH138" s="1126"/>
    </row>
    <row r="139" spans="6:34" s="19" customFormat="1" ht="12.75" x14ac:dyDescent="0.2">
      <c r="R139" s="690"/>
      <c r="S139" s="29"/>
      <c r="U139" s="29"/>
      <c r="W139" s="29"/>
      <c r="X139" s="721"/>
      <c r="Y139" s="29"/>
      <c r="AA139" s="29"/>
      <c r="AH139" s="1126"/>
    </row>
    <row r="140" spans="6:34" s="19" customFormat="1" ht="12.75" x14ac:dyDescent="0.2">
      <c r="R140" s="690"/>
      <c r="S140" s="29"/>
      <c r="U140" s="29"/>
      <c r="W140" s="29"/>
      <c r="X140" s="721"/>
      <c r="Y140" s="29"/>
      <c r="AA140" s="29"/>
      <c r="AH140" s="1126"/>
    </row>
    <row r="141" spans="6:34" s="19" customFormat="1" ht="12.75" x14ac:dyDescent="0.2">
      <c r="R141" s="690"/>
      <c r="S141" s="29"/>
      <c r="U141" s="29"/>
      <c r="W141" s="29"/>
      <c r="X141" s="721"/>
      <c r="Y141" s="29"/>
      <c r="AA141" s="29"/>
      <c r="AH141" s="1126"/>
    </row>
    <row r="142" spans="6:34" s="19" customFormat="1" ht="12.75" x14ac:dyDescent="0.2">
      <c r="R142" s="690"/>
      <c r="S142" s="29"/>
      <c r="U142" s="29"/>
      <c r="W142" s="29"/>
      <c r="X142" s="721"/>
      <c r="Y142" s="29"/>
      <c r="AA142" s="29"/>
      <c r="AH142" s="1126"/>
    </row>
    <row r="143" spans="6:34" s="19" customFormat="1" ht="12.75" x14ac:dyDescent="0.2">
      <c r="R143" s="690"/>
      <c r="S143" s="29"/>
      <c r="U143" s="29"/>
      <c r="W143" s="29"/>
      <c r="X143" s="721"/>
      <c r="Y143" s="29"/>
      <c r="AA143" s="29"/>
      <c r="AH143" s="1126"/>
    </row>
    <row r="144" spans="6:34" s="19" customFormat="1" ht="12.75" x14ac:dyDescent="0.2">
      <c r="F144" s="30"/>
      <c r="G144" s="29"/>
      <c r="H144" s="31"/>
      <c r="K144" s="30"/>
      <c r="M144" s="34"/>
      <c r="N144" s="34"/>
      <c r="Q144" s="29"/>
      <c r="R144" s="690"/>
      <c r="S144" s="29"/>
      <c r="U144" s="29"/>
      <c r="W144" s="29"/>
      <c r="X144" s="721"/>
      <c r="Y144" s="29"/>
      <c r="AA144" s="29"/>
      <c r="AH144" s="1126"/>
    </row>
    <row r="145" spans="17:34" s="19" customFormat="1" ht="12.75" x14ac:dyDescent="0.2">
      <c r="Q145" s="29"/>
      <c r="R145" s="690"/>
      <c r="S145" s="29"/>
      <c r="U145" s="29"/>
      <c r="W145" s="29"/>
      <c r="X145" s="721"/>
      <c r="Y145" s="29"/>
      <c r="AA145" s="29"/>
      <c r="AH145" s="1126"/>
    </row>
    <row r="146" spans="17:34" s="19" customFormat="1" ht="12.75" x14ac:dyDescent="0.2">
      <c r="Q146" s="29"/>
      <c r="R146" s="690"/>
      <c r="S146" s="29"/>
      <c r="U146" s="29"/>
      <c r="W146" s="29"/>
      <c r="X146" s="721"/>
      <c r="Y146" s="29"/>
      <c r="AA146" s="29"/>
      <c r="AH146" s="1126"/>
    </row>
    <row r="147" spans="17:34" s="19" customFormat="1" ht="12.75" x14ac:dyDescent="0.2">
      <c r="Q147" s="29"/>
      <c r="R147" s="690"/>
      <c r="S147" s="29"/>
      <c r="U147" s="29"/>
      <c r="W147" s="29"/>
      <c r="X147" s="721"/>
      <c r="Y147" s="29"/>
      <c r="AA147" s="29"/>
      <c r="AH147" s="1126"/>
    </row>
    <row r="148" spans="17:34" s="19" customFormat="1" ht="12.75" x14ac:dyDescent="0.2">
      <c r="Q148" s="29"/>
      <c r="R148" s="690"/>
      <c r="S148" s="29"/>
      <c r="U148" s="29"/>
      <c r="W148" s="29"/>
      <c r="X148" s="721"/>
      <c r="Y148" s="29"/>
      <c r="AA148" s="29"/>
      <c r="AH148" s="1126"/>
    </row>
    <row r="149" spans="17:34" s="19" customFormat="1" ht="12.75" x14ac:dyDescent="0.2">
      <c r="Q149" s="29"/>
      <c r="R149" s="690"/>
      <c r="S149" s="29"/>
      <c r="U149" s="29"/>
      <c r="W149" s="29"/>
      <c r="X149" s="721"/>
      <c r="Y149" s="29"/>
      <c r="AA149" s="29"/>
      <c r="AH149" s="1126"/>
    </row>
    <row r="150" spans="17:34" s="19" customFormat="1" ht="12.75" x14ac:dyDescent="0.2">
      <c r="Q150" s="29"/>
      <c r="R150" s="690"/>
      <c r="S150" s="29"/>
      <c r="U150" s="29"/>
      <c r="W150" s="29"/>
      <c r="X150" s="721"/>
      <c r="Y150" s="29"/>
      <c r="AA150" s="29"/>
      <c r="AH150" s="1126"/>
    </row>
    <row r="151" spans="17:34" s="19" customFormat="1" ht="12.75" x14ac:dyDescent="0.2">
      <c r="Q151" s="29"/>
      <c r="R151" s="690"/>
      <c r="S151" s="29"/>
      <c r="U151" s="29"/>
      <c r="W151" s="29"/>
      <c r="X151" s="721"/>
      <c r="Y151" s="29"/>
      <c r="AA151" s="29"/>
      <c r="AH151" s="1126"/>
    </row>
    <row r="152" spans="17:34" s="19" customFormat="1" ht="12.75" x14ac:dyDescent="0.2">
      <c r="Q152" s="29"/>
      <c r="R152" s="690"/>
      <c r="S152" s="29"/>
      <c r="U152" s="29"/>
      <c r="W152" s="29"/>
      <c r="X152" s="721"/>
      <c r="Y152" s="29"/>
      <c r="AA152" s="29"/>
      <c r="AH152" s="1126"/>
    </row>
    <row r="153" spans="17:34" s="19" customFormat="1" ht="12.75" x14ac:dyDescent="0.2">
      <c r="Q153" s="29"/>
      <c r="R153" s="690"/>
      <c r="S153" s="29"/>
      <c r="U153" s="29"/>
      <c r="W153" s="29"/>
      <c r="X153" s="721"/>
      <c r="Y153" s="29"/>
      <c r="AA153" s="29"/>
      <c r="AH153" s="1126"/>
    </row>
    <row r="154" spans="17:34" s="19" customFormat="1" ht="12.75" x14ac:dyDescent="0.2">
      <c r="Q154" s="29"/>
      <c r="R154" s="690"/>
      <c r="S154" s="29"/>
      <c r="U154" s="29"/>
      <c r="W154" s="29"/>
      <c r="X154" s="721"/>
      <c r="Y154" s="29"/>
      <c r="AA154" s="29"/>
      <c r="AH154" s="1126"/>
    </row>
    <row r="155" spans="17:34" s="19" customFormat="1" ht="12.75" x14ac:dyDescent="0.2">
      <c r="Q155" s="29"/>
      <c r="R155" s="690"/>
      <c r="S155" s="29"/>
      <c r="U155" s="29"/>
      <c r="W155" s="29"/>
      <c r="X155" s="721"/>
      <c r="Y155" s="29"/>
      <c r="AA155" s="29"/>
      <c r="AH155" s="1126"/>
    </row>
    <row r="156" spans="17:34" s="19" customFormat="1" ht="12.75" x14ac:dyDescent="0.2">
      <c r="Q156" s="29"/>
      <c r="R156" s="690"/>
      <c r="S156" s="29"/>
      <c r="U156" s="29"/>
      <c r="W156" s="29"/>
      <c r="X156" s="721"/>
      <c r="Y156" s="29"/>
      <c r="AA156" s="29"/>
      <c r="AH156" s="1126"/>
    </row>
    <row r="157" spans="17:34" s="19" customFormat="1" ht="12.75" x14ac:dyDescent="0.2">
      <c r="Q157" s="29"/>
      <c r="R157" s="690"/>
      <c r="S157" s="29"/>
      <c r="U157" s="29"/>
      <c r="W157" s="29"/>
      <c r="X157" s="721"/>
      <c r="Y157" s="29"/>
      <c r="AA157" s="29"/>
      <c r="AH157" s="1126"/>
    </row>
    <row r="158" spans="17:34" s="19" customFormat="1" ht="12.75" x14ac:dyDescent="0.2">
      <c r="Q158" s="29"/>
      <c r="R158" s="690"/>
      <c r="S158" s="29"/>
      <c r="U158" s="29"/>
      <c r="W158" s="29"/>
      <c r="X158" s="721"/>
      <c r="Y158" s="29"/>
      <c r="AA158" s="29"/>
      <c r="AH158" s="1126"/>
    </row>
    <row r="159" spans="17:34" s="19" customFormat="1" ht="12.75" x14ac:dyDescent="0.2">
      <c r="Q159" s="29"/>
      <c r="R159" s="690"/>
      <c r="S159" s="29"/>
      <c r="U159" s="29"/>
      <c r="W159" s="29"/>
      <c r="X159" s="721"/>
      <c r="Y159" s="29"/>
      <c r="AA159" s="29"/>
      <c r="AH159" s="1126"/>
    </row>
    <row r="160" spans="17:34" s="19" customFormat="1" ht="12.75" x14ac:dyDescent="0.2">
      <c r="Q160" s="29"/>
      <c r="R160" s="690"/>
      <c r="S160" s="29"/>
      <c r="U160" s="29"/>
      <c r="W160" s="29"/>
      <c r="X160" s="721"/>
      <c r="Y160" s="29"/>
      <c r="AA160" s="29"/>
      <c r="AH160" s="1126"/>
    </row>
    <row r="161" spans="6:34" s="19" customFormat="1" ht="12.75" x14ac:dyDescent="0.2">
      <c r="Q161" s="29"/>
      <c r="R161" s="690"/>
      <c r="S161" s="29"/>
      <c r="U161" s="29"/>
      <c r="W161" s="29"/>
      <c r="X161" s="721"/>
      <c r="Y161" s="29"/>
      <c r="AA161" s="29"/>
      <c r="AH161" s="1126"/>
    </row>
    <row r="162" spans="6:34" s="19" customFormat="1" ht="12.75" x14ac:dyDescent="0.2">
      <c r="Q162" s="29"/>
      <c r="R162" s="690"/>
      <c r="S162" s="29"/>
      <c r="U162" s="29"/>
      <c r="W162" s="29"/>
      <c r="X162" s="721"/>
      <c r="Y162" s="29"/>
      <c r="AA162" s="29"/>
      <c r="AH162" s="1126"/>
    </row>
    <row r="163" spans="6:34" s="19" customFormat="1" ht="12.75" x14ac:dyDescent="0.2">
      <c r="Q163" s="29"/>
      <c r="R163" s="690"/>
      <c r="S163" s="29"/>
      <c r="U163" s="29"/>
      <c r="W163" s="29"/>
      <c r="X163" s="721"/>
      <c r="Y163" s="29"/>
      <c r="AA163" s="29"/>
      <c r="AH163" s="1126"/>
    </row>
    <row r="164" spans="6:34" s="19" customFormat="1" ht="12.75" x14ac:dyDescent="0.2">
      <c r="Q164" s="29"/>
      <c r="R164" s="690"/>
      <c r="S164" s="29"/>
      <c r="U164" s="29"/>
      <c r="W164" s="29"/>
      <c r="X164" s="721"/>
      <c r="Y164" s="29"/>
      <c r="AA164" s="29"/>
      <c r="AH164" s="1126"/>
    </row>
    <row r="165" spans="6:34" s="19" customFormat="1" ht="12.75" x14ac:dyDescent="0.2">
      <c r="Q165" s="29"/>
      <c r="R165" s="690"/>
      <c r="S165" s="29"/>
      <c r="U165" s="29"/>
      <c r="W165" s="29"/>
      <c r="X165" s="721"/>
      <c r="Y165" s="29"/>
      <c r="AA165" s="29"/>
      <c r="AH165" s="1126"/>
    </row>
    <row r="166" spans="6:34" s="19" customFormat="1" ht="12.75" x14ac:dyDescent="0.2">
      <c r="Q166" s="29"/>
      <c r="R166" s="690"/>
      <c r="S166" s="29"/>
      <c r="U166" s="29"/>
      <c r="W166" s="29"/>
      <c r="X166" s="721"/>
      <c r="Y166" s="29"/>
      <c r="AA166" s="29"/>
      <c r="AH166" s="1126"/>
    </row>
    <row r="167" spans="6:34" s="19" customFormat="1" ht="12.75" x14ac:dyDescent="0.2">
      <c r="Q167" s="29"/>
      <c r="R167" s="690"/>
      <c r="S167" s="29"/>
      <c r="U167" s="29"/>
      <c r="W167" s="29"/>
      <c r="X167" s="721"/>
      <c r="Y167" s="29"/>
      <c r="AA167" s="29"/>
      <c r="AH167" s="1126"/>
    </row>
    <row r="168" spans="6:34" s="19" customFormat="1" ht="12.75" x14ac:dyDescent="0.2">
      <c r="Q168" s="29"/>
      <c r="R168" s="690"/>
      <c r="S168" s="29"/>
      <c r="U168" s="29"/>
      <c r="W168" s="29"/>
      <c r="X168" s="721"/>
      <c r="Y168" s="29"/>
      <c r="AA168" s="29"/>
      <c r="AH168" s="1126"/>
    </row>
    <row r="169" spans="6:34" s="19" customFormat="1" ht="12.75" x14ac:dyDescent="0.2">
      <c r="Q169" s="29"/>
      <c r="R169" s="690"/>
      <c r="S169" s="29"/>
      <c r="U169" s="29"/>
      <c r="W169" s="29"/>
      <c r="X169" s="721"/>
      <c r="Y169" s="29"/>
      <c r="AA169" s="29"/>
      <c r="AH169" s="1126"/>
    </row>
    <row r="170" spans="6:34" s="19" customFormat="1" ht="12.75" x14ac:dyDescent="0.2">
      <c r="F170" s="30"/>
      <c r="G170" s="29"/>
      <c r="H170" s="31"/>
      <c r="K170" s="30"/>
      <c r="M170" s="34"/>
      <c r="N170" s="34"/>
      <c r="Q170" s="29"/>
      <c r="R170" s="690"/>
      <c r="S170" s="29"/>
      <c r="U170" s="29"/>
      <c r="W170" s="29"/>
      <c r="X170" s="721"/>
      <c r="Y170" s="29"/>
      <c r="AA170" s="29"/>
      <c r="AH170" s="1126"/>
    </row>
    <row r="171" spans="6:34" s="19" customFormat="1" ht="12.75" x14ac:dyDescent="0.2">
      <c r="N171" s="34"/>
      <c r="Q171" s="29"/>
      <c r="R171" s="690"/>
      <c r="S171" s="29"/>
      <c r="U171" s="29"/>
      <c r="W171" s="29"/>
      <c r="X171" s="721"/>
      <c r="Y171" s="29"/>
      <c r="AA171" s="29"/>
      <c r="AH171" s="1126"/>
    </row>
    <row r="172" spans="6:34" s="19" customFormat="1" ht="12.75" x14ac:dyDescent="0.2">
      <c r="Q172" s="29"/>
      <c r="R172" s="690"/>
      <c r="S172" s="29"/>
      <c r="U172" s="29"/>
      <c r="W172" s="29"/>
      <c r="X172" s="721"/>
      <c r="Y172" s="29"/>
      <c r="AA172" s="29"/>
      <c r="AH172" s="1126"/>
    </row>
    <row r="173" spans="6:34" s="19" customFormat="1" ht="12.75" x14ac:dyDescent="0.2">
      <c r="Q173" s="29"/>
      <c r="R173" s="690"/>
      <c r="S173" s="29"/>
      <c r="U173" s="29"/>
      <c r="W173" s="29"/>
      <c r="X173" s="721"/>
      <c r="Y173" s="29"/>
      <c r="AA173" s="29"/>
      <c r="AH173" s="1126"/>
    </row>
    <row r="174" spans="6:34" s="19" customFormat="1" ht="12.75" x14ac:dyDescent="0.2">
      <c r="Q174" s="29"/>
      <c r="R174" s="690"/>
      <c r="S174" s="29"/>
      <c r="U174" s="29"/>
      <c r="W174" s="29"/>
      <c r="X174" s="721"/>
      <c r="Y174" s="29"/>
      <c r="AA174" s="29"/>
      <c r="AH174" s="1126"/>
    </row>
    <row r="175" spans="6:34" s="19" customFormat="1" ht="12.75" x14ac:dyDescent="0.2">
      <c r="Q175" s="29"/>
      <c r="R175" s="690"/>
      <c r="S175" s="29"/>
      <c r="U175" s="29"/>
      <c r="W175" s="29"/>
      <c r="X175" s="721"/>
      <c r="Y175" s="29"/>
      <c r="AA175" s="29"/>
      <c r="AH175" s="1126"/>
    </row>
    <row r="176" spans="6:34" s="19" customFormat="1" ht="12.75" x14ac:dyDescent="0.2">
      <c r="Q176" s="29"/>
      <c r="R176" s="690"/>
      <c r="S176" s="29"/>
      <c r="U176" s="29"/>
      <c r="W176" s="29"/>
      <c r="X176" s="721"/>
      <c r="Y176" s="29"/>
      <c r="AA176" s="29"/>
      <c r="AH176" s="1126"/>
    </row>
    <row r="177" spans="17:34" s="19" customFormat="1" ht="12.75" x14ac:dyDescent="0.2">
      <c r="Q177" s="29"/>
      <c r="R177" s="690"/>
      <c r="S177" s="29"/>
      <c r="U177" s="29"/>
      <c r="W177" s="29"/>
      <c r="X177" s="721"/>
      <c r="Y177" s="29"/>
      <c r="AA177" s="29"/>
      <c r="AH177" s="1126"/>
    </row>
    <row r="178" spans="17:34" s="19" customFormat="1" ht="12.75" x14ac:dyDescent="0.2">
      <c r="Q178" s="29"/>
      <c r="R178" s="690"/>
      <c r="S178" s="29"/>
      <c r="U178" s="29"/>
      <c r="W178" s="29"/>
      <c r="X178" s="721"/>
      <c r="Y178" s="29"/>
      <c r="AA178" s="29"/>
      <c r="AH178" s="1126"/>
    </row>
    <row r="179" spans="17:34" s="19" customFormat="1" ht="12.75" x14ac:dyDescent="0.2">
      <c r="Q179" s="29"/>
      <c r="R179" s="690"/>
      <c r="S179" s="29"/>
      <c r="U179" s="29"/>
      <c r="W179" s="29"/>
      <c r="X179" s="721"/>
      <c r="Y179" s="29"/>
      <c r="AA179" s="29"/>
      <c r="AH179" s="1126"/>
    </row>
    <row r="180" spans="17:34" s="19" customFormat="1" ht="12.75" x14ac:dyDescent="0.2">
      <c r="Q180" s="29"/>
      <c r="R180" s="690"/>
      <c r="S180" s="29"/>
      <c r="U180" s="29"/>
      <c r="W180" s="29"/>
      <c r="X180" s="721"/>
      <c r="Y180" s="29"/>
      <c r="AA180" s="29"/>
      <c r="AH180" s="1126"/>
    </row>
    <row r="181" spans="17:34" s="19" customFormat="1" ht="12.75" x14ac:dyDescent="0.2">
      <c r="Q181" s="29"/>
      <c r="R181" s="690"/>
      <c r="S181" s="29"/>
      <c r="U181" s="29"/>
      <c r="W181" s="29"/>
      <c r="X181" s="721"/>
      <c r="Y181" s="29"/>
      <c r="AA181" s="29"/>
      <c r="AH181" s="1126"/>
    </row>
    <row r="182" spans="17:34" s="19" customFormat="1" ht="12.75" x14ac:dyDescent="0.2">
      <c r="Q182" s="29"/>
      <c r="R182" s="690"/>
      <c r="S182" s="29"/>
      <c r="U182" s="29"/>
      <c r="W182" s="29"/>
      <c r="X182" s="721"/>
      <c r="Y182" s="29"/>
      <c r="AA182" s="29"/>
      <c r="AH182" s="1126"/>
    </row>
    <row r="183" spans="17:34" s="19" customFormat="1" ht="12.75" x14ac:dyDescent="0.2">
      <c r="Q183" s="29"/>
      <c r="R183" s="690"/>
      <c r="S183" s="29"/>
      <c r="U183" s="29"/>
      <c r="W183" s="29"/>
      <c r="X183" s="721"/>
      <c r="Y183" s="29"/>
      <c r="AA183" s="29"/>
      <c r="AH183" s="1126"/>
    </row>
    <row r="184" spans="17:34" s="19" customFormat="1" ht="12.75" x14ac:dyDescent="0.2">
      <c r="Q184" s="29"/>
      <c r="R184" s="690"/>
      <c r="S184" s="29"/>
      <c r="U184" s="29"/>
      <c r="W184" s="29"/>
      <c r="X184" s="721"/>
      <c r="Y184" s="29"/>
      <c r="AA184" s="29"/>
      <c r="AH184" s="1126"/>
    </row>
    <row r="185" spans="17:34" s="19" customFormat="1" ht="12.75" x14ac:dyDescent="0.2">
      <c r="Q185" s="29"/>
      <c r="R185" s="690"/>
      <c r="S185" s="29"/>
      <c r="U185" s="29"/>
      <c r="W185" s="29"/>
      <c r="X185" s="721"/>
      <c r="Y185" s="29"/>
      <c r="AA185" s="29"/>
      <c r="AH185" s="1126"/>
    </row>
    <row r="186" spans="17:34" s="19" customFormat="1" ht="12.75" x14ac:dyDescent="0.2">
      <c r="Q186" s="29"/>
      <c r="R186" s="690"/>
      <c r="S186" s="29"/>
      <c r="U186" s="29"/>
      <c r="W186" s="29"/>
      <c r="X186" s="721"/>
      <c r="Y186" s="29"/>
      <c r="AA186" s="29"/>
      <c r="AH186" s="1126"/>
    </row>
    <row r="187" spans="17:34" s="19" customFormat="1" ht="12.75" x14ac:dyDescent="0.2">
      <c r="Q187" s="29"/>
      <c r="R187" s="690"/>
      <c r="S187" s="29"/>
      <c r="U187" s="29"/>
      <c r="W187" s="29"/>
      <c r="X187" s="721"/>
      <c r="Y187" s="29"/>
      <c r="AA187" s="29"/>
      <c r="AH187" s="1126"/>
    </row>
    <row r="188" spans="17:34" s="19" customFormat="1" ht="12.75" x14ac:dyDescent="0.2">
      <c r="Q188" s="29"/>
      <c r="R188" s="690"/>
      <c r="S188" s="29"/>
      <c r="U188" s="29"/>
      <c r="W188" s="29"/>
      <c r="X188" s="721"/>
      <c r="Y188" s="29"/>
      <c r="AA188" s="29"/>
      <c r="AH188" s="1126"/>
    </row>
    <row r="189" spans="17:34" s="19" customFormat="1" ht="12.75" x14ac:dyDescent="0.2">
      <c r="Q189" s="29"/>
      <c r="R189" s="690"/>
      <c r="S189" s="29"/>
      <c r="U189" s="29"/>
      <c r="W189" s="29"/>
      <c r="X189" s="721"/>
      <c r="Y189" s="29"/>
      <c r="AA189" s="29"/>
      <c r="AH189" s="1126"/>
    </row>
    <row r="190" spans="17:34" s="19" customFormat="1" ht="12.75" x14ac:dyDescent="0.2">
      <c r="Q190" s="29"/>
      <c r="R190" s="690"/>
      <c r="S190" s="29"/>
      <c r="U190" s="29"/>
      <c r="W190" s="29"/>
      <c r="X190" s="721"/>
      <c r="Y190" s="29"/>
      <c r="AA190" s="29"/>
      <c r="AH190" s="1126"/>
    </row>
    <row r="191" spans="17:34" s="19" customFormat="1" ht="12.75" x14ac:dyDescent="0.2">
      <c r="Q191" s="29"/>
      <c r="R191" s="690"/>
      <c r="S191" s="29"/>
      <c r="U191" s="29"/>
      <c r="W191" s="29"/>
      <c r="X191" s="721"/>
      <c r="Y191" s="29"/>
      <c r="AA191" s="29"/>
      <c r="AH191" s="1126"/>
    </row>
    <row r="192" spans="17:34" s="19" customFormat="1" ht="12.75" x14ac:dyDescent="0.2">
      <c r="Q192" s="29"/>
      <c r="R192" s="690"/>
      <c r="S192" s="29"/>
      <c r="U192" s="29"/>
      <c r="W192" s="29"/>
      <c r="X192" s="721"/>
      <c r="Y192" s="29"/>
      <c r="AA192" s="29"/>
      <c r="AH192" s="1126"/>
    </row>
    <row r="193" spans="17:34" s="19" customFormat="1" ht="12.75" x14ac:dyDescent="0.2">
      <c r="Q193" s="29"/>
      <c r="R193" s="690"/>
      <c r="S193" s="29"/>
      <c r="U193" s="29"/>
      <c r="W193" s="29"/>
      <c r="X193" s="721"/>
      <c r="Y193" s="29"/>
      <c r="AA193" s="29"/>
      <c r="AH193" s="1126"/>
    </row>
    <row r="194" spans="17:34" s="19" customFormat="1" ht="12.75" x14ac:dyDescent="0.2">
      <c r="Q194" s="29"/>
      <c r="R194" s="690"/>
      <c r="S194" s="29"/>
      <c r="U194" s="29"/>
      <c r="W194" s="29"/>
      <c r="X194" s="721"/>
      <c r="Y194" s="29"/>
      <c r="AA194" s="29"/>
      <c r="AH194" s="1126"/>
    </row>
    <row r="195" spans="17:34" s="19" customFormat="1" ht="12.75" x14ac:dyDescent="0.2">
      <c r="Q195" s="29"/>
      <c r="R195" s="690"/>
      <c r="S195" s="29"/>
      <c r="U195" s="29"/>
      <c r="W195" s="29"/>
      <c r="X195" s="721"/>
      <c r="Y195" s="29"/>
      <c r="AA195" s="29"/>
      <c r="AH195" s="1126"/>
    </row>
  </sheetData>
  <sheetProtection sheet="1" formatCells="0" formatColumns="0" formatRows="0" sort="0"/>
  <mergeCells count="5">
    <mergeCell ref="B1:F1"/>
    <mergeCell ref="I1:J1"/>
    <mergeCell ref="B54:L54"/>
    <mergeCell ref="P54:Y54"/>
    <mergeCell ref="J53:K53"/>
  </mergeCells>
  <conditionalFormatting sqref="A56:Z79">
    <cfRule type="expression" dxfId="43" priority="248" stopIfTrue="1">
      <formula>$M56=0</formula>
    </cfRule>
  </conditionalFormatting>
  <conditionalFormatting sqref="C82:Z94">
    <cfRule type="expression" dxfId="42" priority="227" stopIfTrue="1">
      <formula>C$82=0</formula>
    </cfRule>
  </conditionalFormatting>
  <conditionalFormatting sqref="AA56:AA79">
    <cfRule type="expression" dxfId="41" priority="1408">
      <formula>$AA56=TRUE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3"/>
  <dimension ref="A1:CF381"/>
  <sheetViews>
    <sheetView zoomScaleNormal="100" workbookViewId="0">
      <pane ySplit="42" topLeftCell="A43" activePane="bottomLeft" state="frozen"/>
      <selection pane="bottomLeft" activeCell="Y2" sqref="Y2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50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8" style="6" customWidth="1"/>
    <col min="62" max="64" width="10.140625" style="6" customWidth="1"/>
    <col min="65" max="65" width="10.140625" style="575" customWidth="1"/>
    <col min="66" max="69" width="10.140625" style="6" customWidth="1"/>
    <col min="70" max="70" width="10.140625" style="575" customWidth="1"/>
    <col min="71" max="71" width="10.140625" style="571" customWidth="1"/>
    <col min="72" max="72" width="10.140625" style="6" customWidth="1"/>
    <col min="73" max="73" width="9.140625" style="15" customWidth="1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63" t="s">
        <v>197</v>
      </c>
      <c r="B1" s="90"/>
      <c r="K1" s="4"/>
      <c r="L1" s="4"/>
      <c r="M1" s="4"/>
      <c r="N1" s="275" t="s">
        <v>245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824">
        <v>1.024</v>
      </c>
      <c r="Z1" s="690" t="s">
        <v>230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57" t="s">
        <v>75</v>
      </c>
      <c r="AN1" s="4"/>
      <c r="AO1" s="4"/>
      <c r="AT1" s="787"/>
      <c r="AY1" s="787"/>
      <c r="BC1" s="1239" t="s">
        <v>212</v>
      </c>
      <c r="BD1" s="1239"/>
      <c r="BE1" s="1239"/>
      <c r="BF1" s="837"/>
      <c r="BH1" s="754" t="s">
        <v>203</v>
      </c>
      <c r="BJ1" s="737"/>
      <c r="BK1" s="737"/>
      <c r="BL1" s="737"/>
      <c r="BM1" s="737"/>
      <c r="BN1" s="737"/>
      <c r="BO1" s="737"/>
      <c r="BP1" s="737"/>
      <c r="BQ1" s="737"/>
      <c r="BR1" s="576"/>
      <c r="BS1" s="577"/>
      <c r="BT1" s="464"/>
    </row>
    <row r="2" spans="1:84" s="4" customFormat="1" ht="12.75" customHeight="1" thickBot="1" x14ac:dyDescent="0.3">
      <c r="A2" s="1230" t="str">
        <f>'Réglage perte'!B2</f>
        <v>Crèche Ayguesvives</v>
      </c>
      <c r="B2" s="1231"/>
      <c r="C2" s="1231"/>
      <c r="D2" s="1232"/>
      <c r="I2" s="1195" t="s">
        <v>356</v>
      </c>
      <c r="J2" s="1196">
        <f>AVERAGEIF($BW$15:$CF$380,"&gt;0,97")</f>
        <v>0.9997156702724227</v>
      </c>
      <c r="L2" s="177">
        <v>43079</v>
      </c>
      <c r="M2" s="177">
        <v>43093</v>
      </c>
      <c r="N2" s="784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7">
        <v>43473</v>
      </c>
      <c r="AO2" s="177">
        <v>43487</v>
      </c>
      <c r="BB2" s="752"/>
      <c r="BC2" s="1239"/>
      <c r="BD2" s="1239"/>
      <c r="BE2" s="1239"/>
      <c r="BF2" s="837"/>
      <c r="BH2" s="28" t="s">
        <v>336</v>
      </c>
      <c r="BI2" s="568"/>
      <c r="BJ2" s="569"/>
      <c r="BK2" s="284"/>
      <c r="BL2" s="569"/>
      <c r="BM2" s="570"/>
      <c r="BN2" s="284"/>
      <c r="BP2" s="6"/>
      <c r="BQ2" s="284"/>
      <c r="BR2" s="570"/>
      <c r="BS2" s="571"/>
      <c r="BT2" s="6"/>
    </row>
    <row r="3" spans="1:84" s="4" customFormat="1" ht="12.75" customHeight="1" thickBot="1" x14ac:dyDescent="0.3">
      <c r="A3" s="1233"/>
      <c r="B3" s="1234"/>
      <c r="C3" s="1234"/>
      <c r="D3" s="1235"/>
      <c r="E3" s="3"/>
      <c r="L3" s="779">
        <f>AL3</f>
        <v>180</v>
      </c>
      <c r="M3" s="783">
        <f>+AM3</f>
        <v>177</v>
      </c>
      <c r="N3" s="173">
        <v>195</v>
      </c>
      <c r="O3" s="173">
        <v>229</v>
      </c>
      <c r="P3" s="173">
        <v>273</v>
      </c>
      <c r="Q3" s="173">
        <v>324</v>
      </c>
      <c r="R3" s="173">
        <v>383</v>
      </c>
      <c r="S3" s="173">
        <v>446</v>
      </c>
      <c r="T3" s="173">
        <v>507</v>
      </c>
      <c r="U3" s="173">
        <v>558</v>
      </c>
      <c r="V3" s="173">
        <v>596</v>
      </c>
      <c r="W3" s="173">
        <v>618</v>
      </c>
      <c r="X3" s="173">
        <v>628</v>
      </c>
      <c r="Y3" s="173">
        <v>629</v>
      </c>
      <c r="Z3" s="173">
        <v>623</v>
      </c>
      <c r="AA3" s="173">
        <v>612</v>
      </c>
      <c r="AB3" s="173">
        <v>594</v>
      </c>
      <c r="AC3" s="173">
        <v>571</v>
      </c>
      <c r="AD3" s="173">
        <v>541</v>
      </c>
      <c r="AE3" s="173">
        <v>500</v>
      </c>
      <c r="AF3" s="173">
        <v>446</v>
      </c>
      <c r="AG3" s="173">
        <v>384</v>
      </c>
      <c r="AH3" s="173">
        <v>323</v>
      </c>
      <c r="AI3" s="173">
        <v>273</v>
      </c>
      <c r="AJ3" s="173">
        <v>231</v>
      </c>
      <c r="AK3" s="173">
        <v>201</v>
      </c>
      <c r="AL3" s="173">
        <v>180</v>
      </c>
      <c r="AM3" s="173">
        <v>177</v>
      </c>
      <c r="AN3" s="779">
        <f>+N3</f>
        <v>195</v>
      </c>
      <c r="AO3" s="780">
        <f>+O3</f>
        <v>229</v>
      </c>
      <c r="BC3" s="1239"/>
      <c r="BD3" s="1239"/>
      <c r="BE3" s="1239"/>
      <c r="BF3" s="837"/>
      <c r="BH3" s="28"/>
      <c r="BI3" s="6"/>
      <c r="BJ3" s="6"/>
      <c r="BK3" s="6"/>
      <c r="BL3" s="6"/>
      <c r="BM3" s="6"/>
      <c r="BN3" s="6"/>
      <c r="BP3" s="825" t="s">
        <v>242</v>
      </c>
      <c r="BQ3" s="826">
        <v>0.3</v>
      </c>
      <c r="BR3" s="827" t="s">
        <v>243</v>
      </c>
      <c r="BS3" s="828" t="s">
        <v>248</v>
      </c>
      <c r="BT3" s="569"/>
    </row>
    <row r="4" spans="1:84" s="4" customFormat="1" ht="12.75" customHeight="1" x14ac:dyDescent="0.25">
      <c r="A4" s="2"/>
      <c r="B4" s="421"/>
      <c r="E4" s="33"/>
      <c r="F4" s="572"/>
      <c r="K4" s="2"/>
      <c r="M4" s="641" t="s">
        <v>194</v>
      </c>
      <c r="N4" s="785">
        <f>MAX($BA15:$BA28)-1</f>
        <v>2.4331906404541526E-2</v>
      </c>
      <c r="O4" s="658">
        <f>MAX($BA29:$BA42)-1</f>
        <v>1.4551310660016581E-2</v>
      </c>
      <c r="P4" s="658">
        <f>MAX($BA43:$BA56)-1</f>
        <v>1.7675368308762485E-2</v>
      </c>
      <c r="Q4" s="658">
        <f>MAX(BA57:BA70)-1</f>
        <v>2.5421485187644866E-2</v>
      </c>
      <c r="R4" s="658">
        <f>MAX(BA71:BA84)-1</f>
        <v>3.0919351973311304E-2</v>
      </c>
      <c r="S4" s="658">
        <f>MAX(BA85:BA98)-1</f>
        <v>3.5566899617249348E-2</v>
      </c>
      <c r="T4" s="658">
        <f>MAX(BA99:BA112)-1</f>
        <v>3.7457577834161038E-2</v>
      </c>
      <c r="U4" s="658">
        <f>MAX(BA113:BA126)-1</f>
        <v>1.805858965093643E-2</v>
      </c>
      <c r="V4" s="658">
        <f>MAX(BA127:BA140)-1</f>
        <v>3.4543380752322106E-2</v>
      </c>
      <c r="W4" s="658">
        <f>MAX(BA141:BA154)-1</f>
        <v>3.2213613884759074E-2</v>
      </c>
      <c r="X4" s="658">
        <f>MAX(BA155:BA168)-1</f>
        <v>1.6812165318367711E-2</v>
      </c>
      <c r="Y4" s="658">
        <f>MAX(BA169:BA182)-1</f>
        <v>2.3796927861278405E-2</v>
      </c>
      <c r="Z4" s="658">
        <f>MAX(BA183:BA196)-1</f>
        <v>3.7798110649190475E-2</v>
      </c>
      <c r="AA4" s="658">
        <f>MAX(BA197:BA210)-1</f>
        <v>3.1739902677772713E-2</v>
      </c>
      <c r="AB4" s="658">
        <f>MAX(BA211:BA224)-1</f>
        <v>2.1555070437456525E-2</v>
      </c>
      <c r="AC4" s="658">
        <f>MAX(BA225:BA238)-1</f>
        <v>-1.1071125007399374E-2</v>
      </c>
      <c r="AD4" s="658">
        <f>MAX(BA239:BA252)-1</f>
        <v>5.5762645499586316E-3</v>
      </c>
      <c r="AE4" s="658">
        <f>MAX(BA253:BA266)-1</f>
        <v>3.4481973637155328E-2</v>
      </c>
      <c r="AF4" s="658">
        <f>MAX(BA267:BA280)-1</f>
        <v>2.2860932730508488E-2</v>
      </c>
      <c r="AG4" s="658">
        <f>MAX(BA281:BA294)-1</f>
        <v>1.6986676016480518E-2</v>
      </c>
      <c r="AH4" s="658">
        <f>MAX(BA295:BA308)-1</f>
        <v>2.8682216287499562E-2</v>
      </c>
      <c r="AI4" s="658">
        <f>MAX(BA309:BA322)-1</f>
        <v>3.4917827025099379E-2</v>
      </c>
      <c r="AJ4" s="658">
        <f>MAX(BA323:BA336)-1</f>
        <v>-1.2305801294631991E-3</v>
      </c>
      <c r="AK4" s="658">
        <f>MAX(BA337:BA350)-1</f>
        <v>3.2066617100666051E-2</v>
      </c>
      <c r="AL4" s="658">
        <f>MAX(BA351:BA364)-1</f>
        <v>7.2377932128668832E-3</v>
      </c>
      <c r="AM4" s="658">
        <f>MAX(BA365:BA380)-1</f>
        <v>2.6117746984168466E-2</v>
      </c>
      <c r="AN4" s="646"/>
      <c r="AP4" s="572"/>
      <c r="AU4" s="572"/>
      <c r="BC4" s="19"/>
      <c r="BD4" s="285"/>
      <c r="BE4" s="285"/>
      <c r="BF4" s="285"/>
      <c r="BI4" s="6"/>
      <c r="BJ4" s="6"/>
      <c r="BK4" s="6"/>
      <c r="BL4" s="6"/>
      <c r="BM4" s="6"/>
      <c r="BN4" s="6"/>
      <c r="BP4" s="358" t="s">
        <v>244</v>
      </c>
      <c r="BQ4" s="829">
        <f>1-Sdif</f>
        <v>0.7</v>
      </c>
      <c r="BR4" s="61">
        <v>0</v>
      </c>
      <c r="BS4" s="61">
        <f t="shared" ref="BS4:BS11" si="0">MEDIAN((-Sdif+BR4)/Csdif,0,1)</f>
        <v>0</v>
      </c>
      <c r="BT4" s="6"/>
    </row>
    <row r="5" spans="1:84" s="4" customFormat="1" ht="15" customHeight="1" x14ac:dyDescent="0.25">
      <c r="A5" s="1236" t="s">
        <v>193</v>
      </c>
      <c r="B5" s="1237"/>
      <c r="C5" s="1237"/>
      <c r="D5" s="1237"/>
      <c r="E5" s="1237"/>
      <c r="F5" s="1237"/>
      <c r="G5" s="1237"/>
      <c r="H5" s="1237"/>
      <c r="I5" s="1237"/>
      <c r="J5" s="1238"/>
      <c r="K5" s="89"/>
      <c r="N5" s="88"/>
      <c r="O5" s="88"/>
      <c r="P5" s="19"/>
      <c r="Q5" s="70"/>
      <c r="R5" s="70"/>
      <c r="S5" s="70"/>
      <c r="T5" s="70"/>
      <c r="U5" s="70"/>
      <c r="V5" s="642"/>
      <c r="W5" s="70"/>
      <c r="X5" s="70"/>
      <c r="Y5" s="70"/>
      <c r="Z5" s="70"/>
      <c r="AA5" s="70"/>
      <c r="AB5" s="70"/>
      <c r="AC5" s="70"/>
      <c r="AD5" s="70"/>
      <c r="AE5" s="643"/>
      <c r="AF5" s="19"/>
      <c r="AG5" s="19"/>
      <c r="AH5" s="71"/>
      <c r="AI5" s="657"/>
      <c r="AJ5" s="657"/>
      <c r="AK5" s="657"/>
      <c r="AL5" s="657"/>
      <c r="AM5" s="88"/>
      <c r="AN5" s="656"/>
      <c r="AP5" s="781"/>
      <c r="AQ5" s="781"/>
      <c r="AR5" s="781"/>
      <c r="AS5" s="781"/>
      <c r="AT5" s="788"/>
      <c r="AU5" s="781"/>
      <c r="AV5" s="781"/>
      <c r="AW5" s="781"/>
      <c r="AX5" s="781"/>
      <c r="AY5" s="788"/>
      <c r="AZ5" s="781"/>
      <c r="BC5" s="19"/>
      <c r="BD5" s="285"/>
      <c r="BE5" s="285"/>
      <c r="BF5" s="285"/>
      <c r="BH5" s="28"/>
      <c r="BI5" s="6"/>
      <c r="BJ5" s="6"/>
      <c r="BK5" s="6"/>
      <c r="BL5" s="6"/>
      <c r="BM5" s="6"/>
      <c r="BN5" s="6"/>
      <c r="BR5" s="61">
        <v>0.1</v>
      </c>
      <c r="BS5" s="61">
        <f t="shared" si="0"/>
        <v>0</v>
      </c>
      <c r="BT5" s="6"/>
    </row>
    <row r="6" spans="1:84" s="4" customFormat="1" ht="15" customHeight="1" x14ac:dyDescent="0.25">
      <c r="A6" s="270">
        <f>'2018'!An</f>
        <v>2018</v>
      </c>
      <c r="B6" s="270">
        <f>'2019'!An</f>
        <v>2019</v>
      </c>
      <c r="C6" s="270">
        <f>'2020'!An</f>
        <v>2020</v>
      </c>
      <c r="D6" s="270">
        <f>'2021'!An</f>
        <v>2021</v>
      </c>
      <c r="E6" s="270">
        <f>'2022'!An</f>
        <v>2022</v>
      </c>
      <c r="F6" s="272">
        <f>'2023'!An</f>
        <v>2023</v>
      </c>
      <c r="G6" s="272">
        <f>'2024'!An</f>
        <v>2024</v>
      </c>
      <c r="H6" s="272">
        <f>'2025'!An</f>
        <v>2025</v>
      </c>
      <c r="I6" s="272">
        <f>'2026'!An</f>
        <v>2026</v>
      </c>
      <c r="J6" s="272">
        <f>'2027'!An</f>
        <v>2027</v>
      </c>
      <c r="K6" s="2"/>
      <c r="BC6" s="37"/>
      <c r="BD6" s="286"/>
      <c r="BE6" s="286"/>
      <c r="BF6" s="286"/>
      <c r="BH6" s="164"/>
      <c r="BI6" s="6"/>
      <c r="BJ6" s="6"/>
      <c r="BK6" s="6"/>
      <c r="BL6" s="6"/>
      <c r="BM6" s="6"/>
      <c r="BN6" s="6"/>
      <c r="BR6" s="61">
        <v>0.2</v>
      </c>
      <c r="BS6" s="61">
        <f t="shared" si="0"/>
        <v>0</v>
      </c>
    </row>
    <row r="7" spans="1:84" s="4" customFormat="1" ht="15" customHeight="1" x14ac:dyDescent="0.25">
      <c r="A7" s="271">
        <f>'2018'!Dépas_env</f>
        <v>-4.9205385827444381E-3</v>
      </c>
      <c r="B7" s="271">
        <f>'2019'!Dépas_env</f>
        <v>3.4543380752322106E-2</v>
      </c>
      <c r="C7" s="271">
        <f>'2020'!Dépas_env</f>
        <v>3.7457577834161038E-2</v>
      </c>
      <c r="D7" s="271">
        <f>'2021'!Dépas_env</f>
        <v>3.4917827025099379E-2</v>
      </c>
      <c r="E7" s="271">
        <f>'2022'!Dépas_env</f>
        <v>3.7798110649190475E-2</v>
      </c>
      <c r="F7" s="603">
        <f>'2023'!Dépas_env</f>
        <v>3.7798110649190475E-2</v>
      </c>
      <c r="G7" s="603">
        <f>'2024'!Dépas_env</f>
        <v>3.7798110649190253E-2</v>
      </c>
      <c r="H7" s="603">
        <f>'2025'!Dépas_env</f>
        <v>3.7798110649190475E-2</v>
      </c>
      <c r="I7" s="603">
        <f>'2026'!Dépas_env</f>
        <v>3.7798110649190475E-2</v>
      </c>
      <c r="J7" s="603">
        <f>'2027'!Dépas_env</f>
        <v>3.7798110649190253E-2</v>
      </c>
      <c r="K7" s="2"/>
      <c r="BA7" s="647"/>
      <c r="BC7" s="19"/>
      <c r="BD7" s="285"/>
      <c r="BE7" s="285"/>
      <c r="BF7" s="285"/>
      <c r="BH7" s="28"/>
      <c r="BR7" s="61">
        <v>0.3</v>
      </c>
      <c r="BS7" s="61">
        <f t="shared" si="0"/>
        <v>0</v>
      </c>
      <c r="BT7" s="6"/>
    </row>
    <row r="8" spans="1:84" s="4" customFormat="1" ht="15" customHeight="1" x14ac:dyDescent="0.25">
      <c r="A8" s="272"/>
      <c r="B8" s="272"/>
      <c r="C8" s="272"/>
      <c r="D8" s="272"/>
      <c r="E8" s="272"/>
      <c r="F8" s="270"/>
      <c r="G8" s="270"/>
      <c r="H8" s="270"/>
      <c r="I8" s="270"/>
      <c r="J8" s="270"/>
      <c r="K8" s="2"/>
      <c r="BA8" s="647"/>
      <c r="BC8" s="6"/>
      <c r="BD8" s="284"/>
      <c r="BE8" s="284"/>
      <c r="BF8" s="284"/>
      <c r="BJ8" s="6"/>
      <c r="BK8" s="6"/>
      <c r="BL8" s="6"/>
      <c r="BM8" s="6"/>
      <c r="BN8" s="6"/>
      <c r="BP8" s="573"/>
      <c r="BQ8" s="573"/>
      <c r="BR8" s="61">
        <v>0.4</v>
      </c>
      <c r="BS8" s="61">
        <f t="shared" si="0"/>
        <v>0.1428571428571429</v>
      </c>
    </row>
    <row r="9" spans="1:84" s="4" customFormat="1" ht="15" customHeight="1" x14ac:dyDescent="0.25">
      <c r="A9" s="273"/>
      <c r="B9" s="273"/>
      <c r="C9" s="273"/>
      <c r="D9" s="273"/>
      <c r="E9" s="273"/>
      <c r="F9" s="273"/>
      <c r="G9" s="273"/>
      <c r="H9" s="273"/>
      <c r="I9" s="273"/>
      <c r="J9" s="273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47"/>
      <c r="BB9" s="19"/>
      <c r="BC9" s="19"/>
      <c r="BD9" s="285"/>
      <c r="BE9" s="285"/>
      <c r="BF9" s="285"/>
      <c r="BH9" s="719">
        <f>PousHi*($A$6-BP13-INDEX(Croivg,MIN(MAX(BO13-DATE(BP13,1,1)+1,0),366)))</f>
        <v>-2.800224011995649</v>
      </c>
      <c r="BI9" s="1111" t="s">
        <v>337</v>
      </c>
      <c r="BJ9" s="6"/>
      <c r="BK9" s="6"/>
      <c r="BL9" s="6"/>
      <c r="BM9" s="6"/>
      <c r="BN9" s="6"/>
      <c r="BP9" s="573"/>
      <c r="BQ9" s="573"/>
      <c r="BR9" s="61">
        <v>0.5</v>
      </c>
      <c r="BS9" s="61">
        <f t="shared" si="0"/>
        <v>0.28571428571428575</v>
      </c>
      <c r="BT9" s="6"/>
    </row>
    <row r="10" spans="1:84" s="6" customFormat="1" ht="12" thickBot="1" x14ac:dyDescent="0.25">
      <c r="K10" s="7"/>
      <c r="BA10" s="656"/>
      <c r="BD10" s="284"/>
      <c r="BE10" s="284"/>
      <c r="BF10" s="284"/>
      <c r="BH10" s="1136">
        <f>MIN(MATCH(H_i,Echel_vg),10)</f>
        <v>3</v>
      </c>
      <c r="BI10" s="564"/>
      <c r="BP10" s="753"/>
      <c r="BQ10" s="753"/>
      <c r="BR10" s="61">
        <v>1</v>
      </c>
      <c r="BS10" s="61">
        <f t="shared" si="0"/>
        <v>1</v>
      </c>
    </row>
    <row r="11" spans="1:84" s="6" customFormat="1" ht="12.75" customHeight="1" thickBot="1" x14ac:dyDescent="0.3">
      <c r="C11" s="564" t="s">
        <v>342</v>
      </c>
      <c r="D11" s="1130"/>
      <c r="E11" s="8"/>
      <c r="J11" s="9"/>
      <c r="K11" s="7"/>
      <c r="L11" s="782" t="s">
        <v>231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700" t="s">
        <v>234</v>
      </c>
      <c r="AT11" s="27"/>
      <c r="AU11" s="700" t="s">
        <v>235</v>
      </c>
      <c r="AY11" s="27"/>
      <c r="AZ11" s="793" t="s">
        <v>238</v>
      </c>
      <c r="BA11" s="647"/>
      <c r="BB11" s="19"/>
      <c r="BC11" s="15"/>
      <c r="BD11" s="1240" t="s">
        <v>254</v>
      </c>
      <c r="BE11" s="1241"/>
      <c r="BF11" s="1244" t="s">
        <v>249</v>
      </c>
      <c r="BH11" s="1137">
        <f>INDEX(Echel_vg,$BH$10)</f>
        <v>-3</v>
      </c>
      <c r="BI11" s="564"/>
      <c r="BR11" s="61">
        <v>1.1000000000000001</v>
      </c>
      <c r="BS11" s="61">
        <f t="shared" si="0"/>
        <v>1</v>
      </c>
    </row>
    <row r="12" spans="1:84" s="4" customFormat="1" ht="12.75" customHeight="1" x14ac:dyDescent="0.25">
      <c r="A12" s="25" t="s">
        <v>1</v>
      </c>
      <c r="B12" s="393">
        <f>+MIN(B15:B379)</f>
        <v>8.2113391342416708</v>
      </c>
      <c r="C12" s="12">
        <f>+MIN(C15:C379)</f>
        <v>2018</v>
      </c>
      <c r="D12" s="1131"/>
      <c r="E12" s="12">
        <f t="shared" ref="E12:J12" si="1">+MIN(E15:E379)</f>
        <v>18.1248</v>
      </c>
      <c r="F12" s="420">
        <f t="shared" si="1"/>
        <v>1</v>
      </c>
      <c r="G12" s="12">
        <f t="shared" si="1"/>
        <v>2</v>
      </c>
      <c r="H12" s="175">
        <f t="shared" si="1"/>
        <v>43093</v>
      </c>
      <c r="I12" s="393">
        <f t="shared" si="1"/>
        <v>0</v>
      </c>
      <c r="J12" s="393">
        <f t="shared" si="1"/>
        <v>18.014479624586443</v>
      </c>
      <c r="K12" s="6"/>
      <c r="L12" s="177">
        <f>L2</f>
        <v>43079</v>
      </c>
      <c r="M12" s="177">
        <f t="shared" ref="M12:AO12" si="2">M2</f>
        <v>43093</v>
      </c>
      <c r="N12" s="177">
        <f t="shared" si="2"/>
        <v>43108</v>
      </c>
      <c r="O12" s="177">
        <f t="shared" si="2"/>
        <v>43122</v>
      </c>
      <c r="P12" s="177">
        <f t="shared" si="2"/>
        <v>43136</v>
      </c>
      <c r="Q12" s="177">
        <f t="shared" si="2"/>
        <v>43150</v>
      </c>
      <c r="R12" s="177">
        <f t="shared" si="2"/>
        <v>43164</v>
      </c>
      <c r="S12" s="177">
        <f t="shared" si="2"/>
        <v>43178</v>
      </c>
      <c r="T12" s="177">
        <f t="shared" si="2"/>
        <v>43192</v>
      </c>
      <c r="U12" s="177">
        <f t="shared" si="2"/>
        <v>43206</v>
      </c>
      <c r="V12" s="177">
        <f t="shared" si="2"/>
        <v>43220</v>
      </c>
      <c r="W12" s="177">
        <f t="shared" si="2"/>
        <v>43234</v>
      </c>
      <c r="X12" s="177">
        <f t="shared" si="2"/>
        <v>43248</v>
      </c>
      <c r="Y12" s="177">
        <f t="shared" si="2"/>
        <v>43262</v>
      </c>
      <c r="Z12" s="177">
        <f t="shared" si="2"/>
        <v>43276</v>
      </c>
      <c r="AA12" s="177">
        <f t="shared" si="2"/>
        <v>43290</v>
      </c>
      <c r="AB12" s="177">
        <f t="shared" si="2"/>
        <v>43304</v>
      </c>
      <c r="AC12" s="177">
        <f t="shared" si="2"/>
        <v>43318</v>
      </c>
      <c r="AD12" s="177">
        <f t="shared" si="2"/>
        <v>43332</v>
      </c>
      <c r="AE12" s="177">
        <f t="shared" si="2"/>
        <v>43346</v>
      </c>
      <c r="AF12" s="177">
        <f t="shared" si="2"/>
        <v>43360</v>
      </c>
      <c r="AG12" s="177">
        <f t="shared" si="2"/>
        <v>43374</v>
      </c>
      <c r="AH12" s="177">
        <f t="shared" si="2"/>
        <v>43388</v>
      </c>
      <c r="AI12" s="177">
        <f t="shared" si="2"/>
        <v>43402</v>
      </c>
      <c r="AJ12" s="177">
        <f t="shared" si="2"/>
        <v>43416</v>
      </c>
      <c r="AK12" s="177">
        <f t="shared" si="2"/>
        <v>43430</v>
      </c>
      <c r="AL12" s="177">
        <f t="shared" si="2"/>
        <v>43444</v>
      </c>
      <c r="AM12" s="177">
        <f t="shared" si="2"/>
        <v>43458</v>
      </c>
      <c r="AN12" s="177">
        <f t="shared" si="2"/>
        <v>43473</v>
      </c>
      <c r="AO12" s="177">
        <f t="shared" si="2"/>
        <v>43487</v>
      </c>
      <c r="AP12" s="420">
        <f t="shared" ref="AP12:AZ12" si="3">+MIN(AP15:AP379)</f>
        <v>1</v>
      </c>
      <c r="AQ12" s="12">
        <f t="shared" si="3"/>
        <v>2</v>
      </c>
      <c r="AR12" s="175">
        <f t="shared" si="3"/>
        <v>43079</v>
      </c>
      <c r="AS12" s="393">
        <f t="shared" si="3"/>
        <v>0</v>
      </c>
      <c r="AT12" s="393">
        <f t="shared" si="3"/>
        <v>18.155733398116869</v>
      </c>
      <c r="AU12" s="420">
        <f t="shared" si="3"/>
        <v>1</v>
      </c>
      <c r="AV12" s="12">
        <f t="shared" si="3"/>
        <v>2</v>
      </c>
      <c r="AW12" s="175">
        <f t="shared" si="3"/>
        <v>43093</v>
      </c>
      <c r="AX12" s="393">
        <f t="shared" si="3"/>
        <v>0</v>
      </c>
      <c r="AY12" s="393">
        <f t="shared" si="3"/>
        <v>18.041121471566814</v>
      </c>
      <c r="AZ12" s="393">
        <f t="shared" si="3"/>
        <v>18.104504096907164</v>
      </c>
      <c r="BA12" s="645"/>
      <c r="BC12" s="15"/>
      <c r="BD12" s="1242"/>
      <c r="BE12" s="1243"/>
      <c r="BF12" s="1245"/>
      <c r="BH12" s="1138">
        <f>(H_i-BH11)/(INDEX(Echel_vg,$BH$10+1)-BH$11)</f>
        <v>0.19977598800435103</v>
      </c>
      <c r="BJ12" s="6"/>
      <c r="BK12" s="6"/>
      <c r="BL12" s="6"/>
      <c r="BN12" s="358" t="str">
        <f>Masques!D53</f>
        <v>Pas de calcul pousse en hauteur:</v>
      </c>
      <c r="BO12" s="739">
        <f>Masques!E53</f>
        <v>1</v>
      </c>
      <c r="BP12" s="573"/>
      <c r="BQ12" s="573"/>
      <c r="BR12" s="574"/>
      <c r="BS12" s="571"/>
      <c r="BT12" s="6"/>
    </row>
    <row r="13" spans="1:84" s="4" customFormat="1" ht="12.75" customHeight="1" thickBot="1" x14ac:dyDescent="0.3">
      <c r="A13" s="27" t="s">
        <v>5</v>
      </c>
      <c r="B13" s="393">
        <f>+MAX(B15:B379)</f>
        <v>66.004608536540786</v>
      </c>
      <c r="C13" s="12">
        <f>+MAX(C15:C379)</f>
        <v>2022</v>
      </c>
      <c r="D13" s="1131"/>
      <c r="E13" s="12">
        <f t="shared" ref="E13:J13" si="4">+MAX(E15:E379)</f>
        <v>64.409599999999998</v>
      </c>
      <c r="F13" s="420">
        <f t="shared" si="4"/>
        <v>27</v>
      </c>
      <c r="G13" s="12">
        <f t="shared" si="4"/>
        <v>28</v>
      </c>
      <c r="H13" s="175">
        <f t="shared" si="4"/>
        <v>43458</v>
      </c>
      <c r="I13" s="393">
        <f t="shared" si="4"/>
        <v>1</v>
      </c>
      <c r="J13" s="393">
        <f t="shared" si="4"/>
        <v>64.464233236440592</v>
      </c>
      <c r="K13" s="6"/>
      <c r="L13" s="796">
        <f>AL13</f>
        <v>184.32</v>
      </c>
      <c r="M13" s="796">
        <f>+AM13</f>
        <v>181.24799999999999</v>
      </c>
      <c r="N13" s="795">
        <f t="shared" ref="N13:AM13" si="5">Ajust_M*N3</f>
        <v>199.68</v>
      </c>
      <c r="O13" s="786">
        <f t="shared" si="5"/>
        <v>234.49600000000001</v>
      </c>
      <c r="P13" s="786">
        <f t="shared" si="5"/>
        <v>279.55200000000002</v>
      </c>
      <c r="Q13" s="786">
        <f t="shared" si="5"/>
        <v>331.77600000000001</v>
      </c>
      <c r="R13" s="786">
        <f t="shared" si="5"/>
        <v>392.19200000000001</v>
      </c>
      <c r="S13" s="786">
        <f t="shared" si="5"/>
        <v>456.70400000000001</v>
      </c>
      <c r="T13" s="786">
        <f t="shared" si="5"/>
        <v>519.16800000000001</v>
      </c>
      <c r="U13" s="786">
        <f t="shared" si="5"/>
        <v>571.39200000000005</v>
      </c>
      <c r="V13" s="786">
        <f t="shared" si="5"/>
        <v>610.30399999999997</v>
      </c>
      <c r="W13" s="786">
        <f t="shared" si="5"/>
        <v>632.83199999999999</v>
      </c>
      <c r="X13" s="786">
        <f t="shared" si="5"/>
        <v>643.072</v>
      </c>
      <c r="Y13" s="786">
        <f t="shared" si="5"/>
        <v>644.096</v>
      </c>
      <c r="Z13" s="786">
        <f t="shared" si="5"/>
        <v>637.952</v>
      </c>
      <c r="AA13" s="786">
        <f t="shared" si="5"/>
        <v>626.68799999999999</v>
      </c>
      <c r="AB13" s="786">
        <f t="shared" si="5"/>
        <v>608.25599999999997</v>
      </c>
      <c r="AC13" s="786">
        <f t="shared" si="5"/>
        <v>584.70400000000006</v>
      </c>
      <c r="AD13" s="786">
        <f t="shared" si="5"/>
        <v>553.98400000000004</v>
      </c>
      <c r="AE13" s="786">
        <f t="shared" si="5"/>
        <v>512</v>
      </c>
      <c r="AF13" s="786">
        <f t="shared" si="5"/>
        <v>456.70400000000001</v>
      </c>
      <c r="AG13" s="786">
        <f t="shared" si="5"/>
        <v>393.21600000000001</v>
      </c>
      <c r="AH13" s="786">
        <f t="shared" si="5"/>
        <v>330.75200000000001</v>
      </c>
      <c r="AI13" s="786">
        <f t="shared" si="5"/>
        <v>279.55200000000002</v>
      </c>
      <c r="AJ13" s="786">
        <f t="shared" si="5"/>
        <v>236.54400000000001</v>
      </c>
      <c r="AK13" s="786">
        <f t="shared" si="5"/>
        <v>205.82400000000001</v>
      </c>
      <c r="AL13" s="786">
        <f t="shared" si="5"/>
        <v>184.32</v>
      </c>
      <c r="AM13" s="786">
        <f t="shared" si="5"/>
        <v>181.24799999999999</v>
      </c>
      <c r="AN13" s="796">
        <f>+N13</f>
        <v>199.68</v>
      </c>
      <c r="AO13" s="796">
        <f>+O13</f>
        <v>234.49600000000001</v>
      </c>
      <c r="AP13" s="420">
        <f t="shared" ref="AP13:AZ13" si="6">+MAX(AP15:AP379)</f>
        <v>15</v>
      </c>
      <c r="AQ13" s="12">
        <f t="shared" si="6"/>
        <v>14</v>
      </c>
      <c r="AR13" s="175">
        <f t="shared" si="6"/>
        <v>43473</v>
      </c>
      <c r="AS13" s="393">
        <f t="shared" si="6"/>
        <v>1</v>
      </c>
      <c r="AT13" s="393">
        <f t="shared" si="6"/>
        <v>64.50915685159022</v>
      </c>
      <c r="AU13" s="420">
        <f t="shared" si="6"/>
        <v>15</v>
      </c>
      <c r="AV13" s="12">
        <f t="shared" si="6"/>
        <v>14</v>
      </c>
      <c r="AW13" s="175">
        <f t="shared" si="6"/>
        <v>43487</v>
      </c>
      <c r="AX13" s="393">
        <f t="shared" si="6"/>
        <v>1</v>
      </c>
      <c r="AY13" s="393">
        <f t="shared" si="6"/>
        <v>64.448391836988066</v>
      </c>
      <c r="AZ13" s="393">
        <f t="shared" si="6"/>
        <v>64.478553936151513</v>
      </c>
      <c r="BA13" s="645"/>
      <c r="BC13" s="37"/>
      <c r="BD13" s="287" t="s">
        <v>49</v>
      </c>
      <c r="BE13" s="287" t="s">
        <v>48</v>
      </c>
      <c r="BF13" s="287" t="s">
        <v>252</v>
      </c>
      <c r="BH13" s="1139" t="s">
        <v>89</v>
      </c>
      <c r="BJ13" s="6"/>
      <c r="BN13" s="33" t="s">
        <v>210</v>
      </c>
      <c r="BO13" s="750">
        <f>Masques!I1</f>
        <v>44567</v>
      </c>
      <c r="BP13" s="828">
        <f>YEAR(BO13)</f>
        <v>2022</v>
      </c>
      <c r="BW13" s="689" t="s">
        <v>355</v>
      </c>
    </row>
    <row r="14" spans="1:84" ht="37.5" customHeight="1" thickBot="1" x14ac:dyDescent="0.3">
      <c r="A14" s="358" t="s">
        <v>114</v>
      </c>
      <c r="B14" s="79" t="s">
        <v>3</v>
      </c>
      <c r="C14" s="79" t="s">
        <v>13</v>
      </c>
      <c r="D14" s="1132"/>
      <c r="E14" s="176" t="s">
        <v>228</v>
      </c>
      <c r="F14" s="176" t="s">
        <v>224</v>
      </c>
      <c r="G14" s="176" t="s">
        <v>225</v>
      </c>
      <c r="H14" s="176" t="s">
        <v>226</v>
      </c>
      <c r="I14" s="763" t="s">
        <v>227</v>
      </c>
      <c r="J14" s="78" t="s">
        <v>0</v>
      </c>
      <c r="L14" s="2"/>
      <c r="M14" s="4" t="s">
        <v>229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6" t="s">
        <v>224</v>
      </c>
      <c r="AQ14" s="176" t="s">
        <v>225</v>
      </c>
      <c r="AR14" s="176" t="s">
        <v>226</v>
      </c>
      <c r="AS14" s="763" t="s">
        <v>227</v>
      </c>
      <c r="AT14" s="789" t="s">
        <v>236</v>
      </c>
      <c r="AU14" s="176" t="s">
        <v>224</v>
      </c>
      <c r="AV14" s="176" t="s">
        <v>225</v>
      </c>
      <c r="AW14" s="176" t="s">
        <v>226</v>
      </c>
      <c r="AX14" s="763" t="s">
        <v>227</v>
      </c>
      <c r="AY14" s="789" t="s">
        <v>237</v>
      </c>
      <c r="AZ14" s="78" t="s">
        <v>239</v>
      </c>
      <c r="BA14" s="648" t="s">
        <v>195</v>
      </c>
      <c r="BB14" s="72"/>
      <c r="BC14" s="358" t="s">
        <v>114</v>
      </c>
      <c r="BD14" s="288" t="s">
        <v>19</v>
      </c>
      <c r="BE14" s="289" t="s">
        <v>21</v>
      </c>
      <c r="BF14" s="842" t="s">
        <v>253</v>
      </c>
      <c r="BH14" s="1105" t="s">
        <v>90</v>
      </c>
      <c r="BI14" s="1104" t="s">
        <v>335</v>
      </c>
      <c r="BJ14" s="738">
        <f>Masques!B55</f>
        <v>-5</v>
      </c>
      <c r="BK14" s="738">
        <f>Masques!C55</f>
        <v>-4</v>
      </c>
      <c r="BL14" s="738">
        <f>Masques!D55</f>
        <v>-3</v>
      </c>
      <c r="BM14" s="740">
        <f>Masques!E55</f>
        <v>-2</v>
      </c>
      <c r="BN14" s="740">
        <f>Masques!F55</f>
        <v>-1</v>
      </c>
      <c r="BO14" s="741">
        <f>Masques!G55</f>
        <v>0</v>
      </c>
      <c r="BP14" s="738">
        <f>Masques!H55</f>
        <v>1</v>
      </c>
      <c r="BQ14" s="738">
        <f>Masques!I55</f>
        <v>2</v>
      </c>
      <c r="BR14" s="738">
        <f>Masques!J55</f>
        <v>3</v>
      </c>
      <c r="BS14" s="738">
        <f>Masques!K55</f>
        <v>4</v>
      </c>
      <c r="BT14" s="738">
        <f>Masques!L55</f>
        <v>5</v>
      </c>
      <c r="BU14" s="1110" t="s">
        <v>202</v>
      </c>
      <c r="BW14" s="1187">
        <v>2018</v>
      </c>
      <c r="BX14" s="1187">
        <v>2019</v>
      </c>
      <c r="BY14" s="1187">
        <v>2020</v>
      </c>
      <c r="BZ14" s="1187">
        <v>2021</v>
      </c>
      <c r="CA14" s="1187">
        <v>2022</v>
      </c>
      <c r="CB14" s="1187">
        <v>2023</v>
      </c>
      <c r="CC14" s="1187">
        <v>2024</v>
      </c>
      <c r="CD14" s="1187">
        <v>2025</v>
      </c>
      <c r="CE14" s="1187">
        <v>2026</v>
      </c>
      <c r="CF14" s="1187">
        <v>2027</v>
      </c>
    </row>
    <row r="15" spans="1:84" s="6" customFormat="1" ht="11.25" x14ac:dyDescent="0.2">
      <c r="A15" s="11">
        <v>43101</v>
      </c>
      <c r="B15" s="381">
        <f>'2022'!Maxi_hp</f>
        <v>19.096733183956804</v>
      </c>
      <c r="C15" s="84">
        <f>'2022'!An_max</f>
        <v>2022</v>
      </c>
      <c r="D15" s="1133"/>
      <c r="E15" s="769"/>
      <c r="F15" s="770">
        <f>INT(MATCH($A15,x.2m)/2)*2+1</f>
        <v>1</v>
      </c>
      <c r="G15" s="770">
        <f>INT((MATCH($A15,x.2m)+1)/2)*2</f>
        <v>2</v>
      </c>
      <c r="H15" s="771">
        <f t="shared" ref="H15:H78" si="7">INDEX(x.2m,F15)</f>
        <v>43093</v>
      </c>
      <c r="I15" s="772">
        <f t="shared" ref="I15:I78" si="8">($A15-H15)/(INDEX(x.2m,G15)-H15)</f>
        <v>0.53333333333333333</v>
      </c>
      <c r="J15" s="764">
        <f>((1-I15)*(INDEX(a.m,F15)*$A15*$A15+INDEX(b.m,F15)*$A15+INDEX(c.m,F15))+I15*(INDEX(a.m,G15)*$A15*$A15+INDEX(b.m,G15)*$A15+INDEX(c.m,G15)))/10</f>
        <v>18.847767541805904</v>
      </c>
      <c r="L15" s="776" t="s">
        <v>213</v>
      </c>
      <c r="M15" s="806">
        <f t="shared" ref="M15:AN15" si="9">L12</f>
        <v>43079</v>
      </c>
      <c r="N15" s="807">
        <f t="shared" si="9"/>
        <v>43093</v>
      </c>
      <c r="O15" s="797">
        <f t="shared" si="9"/>
        <v>43108</v>
      </c>
      <c r="P15" s="797">
        <f t="shared" si="9"/>
        <v>43122</v>
      </c>
      <c r="Q15" s="797">
        <f t="shared" si="9"/>
        <v>43136</v>
      </c>
      <c r="R15" s="797">
        <f t="shared" si="9"/>
        <v>43150</v>
      </c>
      <c r="S15" s="797">
        <f t="shared" si="9"/>
        <v>43164</v>
      </c>
      <c r="T15" s="797">
        <f t="shared" si="9"/>
        <v>43178</v>
      </c>
      <c r="U15" s="797">
        <f t="shared" si="9"/>
        <v>43192</v>
      </c>
      <c r="V15" s="797">
        <f t="shared" si="9"/>
        <v>43206</v>
      </c>
      <c r="W15" s="797">
        <f t="shared" si="9"/>
        <v>43220</v>
      </c>
      <c r="X15" s="797">
        <f t="shared" si="9"/>
        <v>43234</v>
      </c>
      <c r="Y15" s="797">
        <f t="shared" si="9"/>
        <v>43248</v>
      </c>
      <c r="Z15" s="797">
        <f t="shared" si="9"/>
        <v>43262</v>
      </c>
      <c r="AA15" s="797">
        <f t="shared" si="9"/>
        <v>43276</v>
      </c>
      <c r="AB15" s="797">
        <f t="shared" si="9"/>
        <v>43290</v>
      </c>
      <c r="AC15" s="797">
        <f t="shared" si="9"/>
        <v>43304</v>
      </c>
      <c r="AD15" s="797">
        <f t="shared" si="9"/>
        <v>43318</v>
      </c>
      <c r="AE15" s="797">
        <f t="shared" si="9"/>
        <v>43332</v>
      </c>
      <c r="AF15" s="797">
        <f t="shared" si="9"/>
        <v>43346</v>
      </c>
      <c r="AG15" s="797">
        <f t="shared" si="9"/>
        <v>43360</v>
      </c>
      <c r="AH15" s="797">
        <f t="shared" si="9"/>
        <v>43374</v>
      </c>
      <c r="AI15" s="797">
        <f t="shared" si="9"/>
        <v>43388</v>
      </c>
      <c r="AJ15" s="797">
        <f t="shared" si="9"/>
        <v>43402</v>
      </c>
      <c r="AK15" s="797">
        <f t="shared" si="9"/>
        <v>43416</v>
      </c>
      <c r="AL15" s="797">
        <f t="shared" si="9"/>
        <v>43430</v>
      </c>
      <c r="AM15" s="797">
        <f t="shared" si="9"/>
        <v>43444</v>
      </c>
      <c r="AN15" s="799">
        <f t="shared" si="9"/>
        <v>43458</v>
      </c>
      <c r="AP15" s="770">
        <f t="shared" ref="AP15:AP78" si="10">INT(MATCH($A15,x.2lg)/2)*2+1</f>
        <v>1</v>
      </c>
      <c r="AQ15" s="770">
        <f t="shared" ref="AQ15:AQ78" si="11">INT((MATCH($A15,x.2lg)+1)/2)*2</f>
        <v>2</v>
      </c>
      <c r="AR15" s="771">
        <f t="shared" ref="AR15:AR78" si="12">INDEX(x.2lg,AP15)</f>
        <v>43079</v>
      </c>
      <c r="AS15" s="772">
        <f t="shared" ref="AS15:AS78" si="13">($A15-AR15)/(INDEX(x.2lg,AQ15)-AR15)</f>
        <v>0.75862068965517238</v>
      </c>
      <c r="AT15" s="790">
        <f t="shared" ref="AT15:AT78" si="14">((1-AS15)*(INDEX(a.lg,AP15)*$A15*$A15+INDEX(b.lg,AP15)*$A15+INDEX(c.lg,AP15))+AS15*(INDEX(a.lg,AQ15)*$A15*$A15+INDEX(b.lg,AQ15)*$A15+INDEX(c.lg,AQ15)))/10</f>
        <v>18.96495870793688</v>
      </c>
      <c r="AU15" s="770">
        <f t="shared" ref="AU15:AU78" si="15">INT(MATCH($A15,x.2ld)/2)*2+1</f>
        <v>1</v>
      </c>
      <c r="AV15" s="770">
        <f t="shared" ref="AV15:AV78" si="16">INT((MATCH($A15,x.2ld)+1)/2)*2</f>
        <v>2</v>
      </c>
      <c r="AW15" s="771">
        <f t="shared" ref="AW15:AW78" si="17">INDEX(x.2ld,AU15)</f>
        <v>43093</v>
      </c>
      <c r="AX15" s="772">
        <f t="shared" ref="AX15:AX78" si="18">($A15-AW15)/(INDEX(x.2ld,AV15)-AW15)</f>
        <v>0.27586206896551724</v>
      </c>
      <c r="AY15" s="790">
        <f t="shared" ref="AY15:AY78" si="19">((1-AX15)*(INDEX(a.ld,AU15)*$A15*$A15+INDEX(b.ld,AU15)*$A15+INDEX(c.ld,AU15))+AX15*(INDEX(a.ld,AV15)*$A15*$A15+INDEX(b.ld,AV15)*$A15+INDEX(c.ld,AV15)))/10</f>
        <v>18.881300105000363</v>
      </c>
      <c r="AZ15" s="764">
        <f>(AY15+AT15)/2</f>
        <v>18.923129406468622</v>
      </c>
      <c r="BA15" s="649">
        <f t="shared" ref="BA15:BA78" si="20">+B15/J15</f>
        <v>1.0132092907872867</v>
      </c>
      <c r="BB15" s="644">
        <v>43101</v>
      </c>
      <c r="BC15" s="11">
        <v>43101</v>
      </c>
      <c r="BD15" s="290">
        <f>[2]!FeuilCaduc*(1-Persistant)+Persistant</f>
        <v>1</v>
      </c>
      <c r="BE15" s="291">
        <f>[2]!CroissVégét</f>
        <v>2.3909964587625958E-6</v>
      </c>
      <c r="BF15" s="843">
        <f>1+[2]!Salcycl*Ksac</f>
        <v>1.0008012024000075</v>
      </c>
      <c r="BH15" s="1106">
        <f t="shared" ref="BH15:BH78" si="21">INDEX($BJ15:$BT15,,$BH$10)*(1-Ratini)+INDEX($BJ15:$BT15,,$BH$10+1)*Ratini</f>
        <v>2.4372204386507557E-2</v>
      </c>
      <c r="BI15" s="11">
        <v>44197</v>
      </c>
      <c r="BJ15" s="848">
        <v>4.1125870155699063E-4</v>
      </c>
      <c r="BK15" s="742">
        <v>2.9979938181374922E-3</v>
      </c>
      <c r="BL15" s="742">
        <v>1.8050760638635126E-2</v>
      </c>
      <c r="BM15" s="742">
        <v>4.9693421055535425E-2</v>
      </c>
      <c r="BN15" s="742">
        <v>0.11916899734671965</v>
      </c>
      <c r="BO15" s="743">
        <v>0.20572830472163448</v>
      </c>
      <c r="BP15" s="742">
        <v>0.33220571554611583</v>
      </c>
      <c r="BQ15" s="742">
        <v>0.46423987531026545</v>
      </c>
      <c r="BR15" s="742">
        <v>0.61213593049044202</v>
      </c>
      <c r="BS15" s="742">
        <v>0.73805410594683185</v>
      </c>
      <c r="BT15" s="742">
        <v>0.85357806620388721</v>
      </c>
      <c r="BW15" s="1188">
        <f>'2018'!R\Max</f>
        <v>0</v>
      </c>
      <c r="BX15" s="1189">
        <f>'2019'!R\Max</f>
        <v>0.11363969249177877</v>
      </c>
      <c r="BY15" s="1189">
        <f>'2020'!R\Max</f>
        <v>0.72765427193745968</v>
      </c>
      <c r="BZ15" s="1189">
        <f>'2021'!R\Max</f>
        <v>0.61308135161363109</v>
      </c>
      <c r="CA15" s="1189">
        <f>'2022'!R\Max</f>
        <v>1.0132092907872867</v>
      </c>
      <c r="CB15" s="1189">
        <f>'2023'!R\Max</f>
        <v>1.0132092907872867</v>
      </c>
      <c r="CC15" s="1189">
        <f>'2024'!R\Max</f>
        <v>1.0132092907872867</v>
      </c>
      <c r="CD15" s="1189">
        <f>'2025'!R\Max</f>
        <v>1.0132092907872865</v>
      </c>
      <c r="CE15" s="1189">
        <f>'2026'!R\Max</f>
        <v>1.0132092907872867</v>
      </c>
      <c r="CF15" s="1190">
        <f>'2027'!R\Max</f>
        <v>1.0132092907872867</v>
      </c>
    </row>
    <row r="16" spans="1:84" s="6" customFormat="1" ht="11.25" x14ac:dyDescent="0.2">
      <c r="A16" s="11">
        <v>43102</v>
      </c>
      <c r="B16" s="382">
        <f>'2022'!Maxi_hp</f>
        <v>17.78447596879985</v>
      </c>
      <c r="C16" s="85">
        <f>'2022'!An_max</f>
        <v>2020</v>
      </c>
      <c r="D16" s="1134"/>
      <c r="E16" s="773"/>
      <c r="F16" s="13">
        <f t="shared" ref="F16:F79" si="22">INT(MATCH($A16,x.2m)/2)*2+1</f>
        <v>1</v>
      </c>
      <c r="G16" s="13">
        <f t="shared" ref="G16:G78" si="23">INT((MATCH($A16,x.2m)+1)/2)*2</f>
        <v>2</v>
      </c>
      <c r="H16" s="175">
        <f t="shared" si="7"/>
        <v>43093</v>
      </c>
      <c r="I16" s="774">
        <f t="shared" si="8"/>
        <v>0.6</v>
      </c>
      <c r="J16" s="765">
        <f>((1-I16)*(INDEX(a.m,F16)*$A16*$A16+INDEX(b.m,F16)*$A16+INDEX(c.m,F16))+I16*(INDEX(a.m,G16)*$A16*$A16+INDEX(b.m,G16)*$A16+INDEX(c.m,G16)))/10</f>
        <v>18.982296589612961</v>
      </c>
      <c r="L16" s="777" t="s">
        <v>214</v>
      </c>
      <c r="M16" s="760">
        <f t="shared" ref="M16:AN16" si="24">L13</f>
        <v>184.32</v>
      </c>
      <c r="N16" s="802">
        <f t="shared" si="24"/>
        <v>181.24799999999999</v>
      </c>
      <c r="O16" s="761">
        <f t="shared" si="24"/>
        <v>199.68</v>
      </c>
      <c r="P16" s="761">
        <f t="shared" si="24"/>
        <v>234.49600000000001</v>
      </c>
      <c r="Q16" s="761">
        <f t="shared" si="24"/>
        <v>279.55200000000002</v>
      </c>
      <c r="R16" s="761">
        <f t="shared" si="24"/>
        <v>331.77600000000001</v>
      </c>
      <c r="S16" s="761">
        <f t="shared" si="24"/>
        <v>392.19200000000001</v>
      </c>
      <c r="T16" s="761">
        <f t="shared" si="24"/>
        <v>456.70400000000001</v>
      </c>
      <c r="U16" s="761">
        <f t="shared" si="24"/>
        <v>519.16800000000001</v>
      </c>
      <c r="V16" s="761">
        <f t="shared" si="24"/>
        <v>571.39200000000005</v>
      </c>
      <c r="W16" s="761">
        <f t="shared" si="24"/>
        <v>610.30399999999997</v>
      </c>
      <c r="X16" s="761">
        <f t="shared" si="24"/>
        <v>632.83199999999999</v>
      </c>
      <c r="Y16" s="761">
        <f t="shared" si="24"/>
        <v>643.072</v>
      </c>
      <c r="Z16" s="761">
        <f t="shared" si="24"/>
        <v>644.096</v>
      </c>
      <c r="AA16" s="761">
        <f t="shared" si="24"/>
        <v>637.952</v>
      </c>
      <c r="AB16" s="761">
        <f t="shared" si="24"/>
        <v>626.68799999999999</v>
      </c>
      <c r="AC16" s="761">
        <f t="shared" si="24"/>
        <v>608.25599999999997</v>
      </c>
      <c r="AD16" s="761">
        <f t="shared" si="24"/>
        <v>584.70400000000006</v>
      </c>
      <c r="AE16" s="761">
        <f t="shared" si="24"/>
        <v>553.98400000000004</v>
      </c>
      <c r="AF16" s="761">
        <f t="shared" si="24"/>
        <v>512</v>
      </c>
      <c r="AG16" s="761">
        <f t="shared" si="24"/>
        <v>456.70400000000001</v>
      </c>
      <c r="AH16" s="761">
        <f t="shared" si="24"/>
        <v>393.21600000000001</v>
      </c>
      <c r="AI16" s="761">
        <f t="shared" si="24"/>
        <v>330.75200000000001</v>
      </c>
      <c r="AJ16" s="761">
        <f t="shared" si="24"/>
        <v>279.55200000000002</v>
      </c>
      <c r="AK16" s="761">
        <f t="shared" si="24"/>
        <v>236.54400000000001</v>
      </c>
      <c r="AL16" s="761">
        <f t="shared" si="24"/>
        <v>205.82400000000001</v>
      </c>
      <c r="AM16" s="761">
        <f t="shared" si="24"/>
        <v>184.32</v>
      </c>
      <c r="AN16" s="800">
        <f t="shared" si="24"/>
        <v>181.24799999999999</v>
      </c>
      <c r="AP16" s="13">
        <f t="shared" si="10"/>
        <v>1</v>
      </c>
      <c r="AQ16" s="13">
        <f t="shared" si="11"/>
        <v>2</v>
      </c>
      <c r="AR16" s="175">
        <f t="shared" si="12"/>
        <v>43079</v>
      </c>
      <c r="AS16" s="774">
        <f t="shared" si="13"/>
        <v>0.7931034482758621</v>
      </c>
      <c r="AT16" s="791">
        <f t="shared" si="14"/>
        <v>19.084216031586301</v>
      </c>
      <c r="AU16" s="13">
        <f t="shared" si="15"/>
        <v>1</v>
      </c>
      <c r="AV16" s="13">
        <f t="shared" si="16"/>
        <v>2</v>
      </c>
      <c r="AW16" s="175">
        <f t="shared" si="17"/>
        <v>43093</v>
      </c>
      <c r="AX16" s="774">
        <f t="shared" si="18"/>
        <v>0.31034482758620691</v>
      </c>
      <c r="AY16" s="791">
        <f t="shared" si="19"/>
        <v>19.025741112129442</v>
      </c>
      <c r="AZ16" s="765">
        <f t="shared" ref="AZ16:AZ79" si="25">(AY16+AT16)/2</f>
        <v>19.054978571857873</v>
      </c>
      <c r="BA16" s="649">
        <f t="shared" si="20"/>
        <v>0.93689801362241099</v>
      </c>
      <c r="BB16" s="644">
        <v>43102</v>
      </c>
      <c r="BC16" s="11">
        <v>43102</v>
      </c>
      <c r="BD16" s="292">
        <f>[2]!FeuilCaduc*(1-Persistant)+Persistant</f>
        <v>1</v>
      </c>
      <c r="BE16" s="293">
        <f>[2]!CroissVégét</f>
        <v>6.0820224447240291E-5</v>
      </c>
      <c r="BF16" s="844">
        <f>1+[2]!Salcycl*Ksac</f>
        <v>1.0007451942139318</v>
      </c>
      <c r="BH16" s="1107">
        <f t="shared" si="21"/>
        <v>2.4246482887017987E-2</v>
      </c>
      <c r="BI16" s="11">
        <v>44198</v>
      </c>
      <c r="BJ16" s="744">
        <v>4.2356302145848328E-4</v>
      </c>
      <c r="BK16" s="744">
        <v>2.9340698084268017E-3</v>
      </c>
      <c r="BL16" s="744">
        <v>1.7878221321546223E-2</v>
      </c>
      <c r="BM16" s="744">
        <v>4.9755233314264104E-2</v>
      </c>
      <c r="BN16" s="744">
        <v>0.11843592622618958</v>
      </c>
      <c r="BO16" s="745">
        <v>0.20513124447736186</v>
      </c>
      <c r="BP16" s="744">
        <v>0.33063726018727219</v>
      </c>
      <c r="BQ16" s="744">
        <v>0.46313615630294108</v>
      </c>
      <c r="BR16" s="744">
        <v>0.61093927665109116</v>
      </c>
      <c r="BS16" s="744">
        <v>0.73843732667310447</v>
      </c>
      <c r="BT16" s="744">
        <v>0.85613177940858243</v>
      </c>
      <c r="BW16" s="1191">
        <f>'2018'!R\Max</f>
        <v>0</v>
      </c>
      <c r="BX16" s="1189">
        <f>'2019'!R\Max</f>
        <v>0.37229926416771758</v>
      </c>
      <c r="BY16" s="1189">
        <f>'2020'!R\Max</f>
        <v>0.93689801362241099</v>
      </c>
      <c r="BZ16" s="1189">
        <f>'2021'!R\Max</f>
        <v>0.2230467963612168</v>
      </c>
      <c r="CA16" s="1189">
        <f>'2022'!R\Max</f>
        <v>0.84766682200869126</v>
      </c>
      <c r="CB16" s="1189">
        <f>'2023'!R\Max</f>
        <v>0.84162482841450814</v>
      </c>
      <c r="CC16" s="1189">
        <f>'2024'!R\Max</f>
        <v>0.83483117258576711</v>
      </c>
      <c r="CD16" s="1189">
        <f>'2025'!R\Max</f>
        <v>0.82598724009668356</v>
      </c>
      <c r="CE16" s="1189">
        <f>'2026'!R\Max</f>
        <v>0.85945825749478943</v>
      </c>
      <c r="CF16" s="1190">
        <f>'2027'!R\Max</f>
        <v>0.85621987736445027</v>
      </c>
    </row>
    <row r="17" spans="1:84" s="6" customFormat="1" ht="11.25" x14ac:dyDescent="0.2">
      <c r="A17" s="11">
        <v>43103</v>
      </c>
      <c r="B17" s="382">
        <f>'2022'!Maxi_hp</f>
        <v>19.408966249247889</v>
      </c>
      <c r="C17" s="85">
        <f>'2022'!An_max</f>
        <v>2019</v>
      </c>
      <c r="D17" s="1134"/>
      <c r="E17" s="773"/>
      <c r="F17" s="13">
        <f t="shared" si="22"/>
        <v>1</v>
      </c>
      <c r="G17" s="13">
        <f t="shared" si="23"/>
        <v>2</v>
      </c>
      <c r="H17" s="175">
        <f t="shared" si="7"/>
        <v>43093</v>
      </c>
      <c r="I17" s="774">
        <f t="shared" si="8"/>
        <v>0.66666666666666663</v>
      </c>
      <c r="J17" s="765">
        <f t="shared" ref="J17:J78" si="26">((1-I17)*(INDEX(a.m,F17)*$A17*$A17+INDEX(b.m,F17)*$A17+INDEX(c.m,F17))+I17*(INDEX(a.m,G17)*$A17*$A17+INDEX(b.m,G17)*$A17+INDEX(c.m,G17)))/10</f>
        <v>19.125764205058413</v>
      </c>
      <c r="L17" s="777" t="s">
        <v>215</v>
      </c>
      <c r="M17" s="803">
        <f t="shared" ref="M17:AN17" si="27">M12</f>
        <v>43093</v>
      </c>
      <c r="N17" s="756">
        <f t="shared" si="27"/>
        <v>43108</v>
      </c>
      <c r="O17" s="756">
        <f t="shared" si="27"/>
        <v>43122</v>
      </c>
      <c r="P17" s="756">
        <f t="shared" si="27"/>
        <v>43136</v>
      </c>
      <c r="Q17" s="756">
        <f t="shared" si="27"/>
        <v>43150</v>
      </c>
      <c r="R17" s="756">
        <f t="shared" si="27"/>
        <v>43164</v>
      </c>
      <c r="S17" s="756">
        <f t="shared" si="27"/>
        <v>43178</v>
      </c>
      <c r="T17" s="756">
        <f t="shared" si="27"/>
        <v>43192</v>
      </c>
      <c r="U17" s="756">
        <f t="shared" si="27"/>
        <v>43206</v>
      </c>
      <c r="V17" s="756">
        <f t="shared" si="27"/>
        <v>43220</v>
      </c>
      <c r="W17" s="756">
        <f t="shared" si="27"/>
        <v>43234</v>
      </c>
      <c r="X17" s="756">
        <f t="shared" si="27"/>
        <v>43248</v>
      </c>
      <c r="Y17" s="756">
        <f t="shared" si="27"/>
        <v>43262</v>
      </c>
      <c r="Z17" s="756">
        <f t="shared" si="27"/>
        <v>43276</v>
      </c>
      <c r="AA17" s="756">
        <f t="shared" si="27"/>
        <v>43290</v>
      </c>
      <c r="AB17" s="756">
        <f t="shared" si="27"/>
        <v>43304</v>
      </c>
      <c r="AC17" s="756">
        <f t="shared" si="27"/>
        <v>43318</v>
      </c>
      <c r="AD17" s="756">
        <f t="shared" si="27"/>
        <v>43332</v>
      </c>
      <c r="AE17" s="756">
        <f t="shared" si="27"/>
        <v>43346</v>
      </c>
      <c r="AF17" s="756">
        <f t="shared" si="27"/>
        <v>43360</v>
      </c>
      <c r="AG17" s="756">
        <f t="shared" si="27"/>
        <v>43374</v>
      </c>
      <c r="AH17" s="756">
        <f t="shared" si="27"/>
        <v>43388</v>
      </c>
      <c r="AI17" s="756">
        <f t="shared" si="27"/>
        <v>43402</v>
      </c>
      <c r="AJ17" s="756">
        <f t="shared" si="27"/>
        <v>43416</v>
      </c>
      <c r="AK17" s="756">
        <f t="shared" si="27"/>
        <v>43430</v>
      </c>
      <c r="AL17" s="756">
        <f t="shared" si="27"/>
        <v>43444</v>
      </c>
      <c r="AM17" s="801">
        <f t="shared" si="27"/>
        <v>43458</v>
      </c>
      <c r="AN17" s="808">
        <f t="shared" si="27"/>
        <v>43473</v>
      </c>
      <c r="AP17" s="13">
        <f t="shared" si="10"/>
        <v>1</v>
      </c>
      <c r="AQ17" s="13">
        <f t="shared" si="11"/>
        <v>2</v>
      </c>
      <c r="AR17" s="175">
        <f t="shared" si="12"/>
        <v>43079</v>
      </c>
      <c r="AS17" s="774">
        <f t="shared" si="13"/>
        <v>0.82758620689655171</v>
      </c>
      <c r="AT17" s="791">
        <f t="shared" si="14"/>
        <v>19.211528272515743</v>
      </c>
      <c r="AU17" s="13">
        <f t="shared" si="15"/>
        <v>1</v>
      </c>
      <c r="AV17" s="13">
        <f t="shared" si="16"/>
        <v>2</v>
      </c>
      <c r="AW17" s="175">
        <f t="shared" si="17"/>
        <v>43093</v>
      </c>
      <c r="AX17" s="774">
        <f t="shared" si="18"/>
        <v>0.34482758620689657</v>
      </c>
      <c r="AY17" s="791">
        <f t="shared" si="19"/>
        <v>19.17996471251907</v>
      </c>
      <c r="AZ17" s="765">
        <f t="shared" si="25"/>
        <v>19.195746492517408</v>
      </c>
      <c r="BA17" s="649">
        <f t="shared" si="20"/>
        <v>1.0148073583441217</v>
      </c>
      <c r="BB17" s="644">
        <v>43103</v>
      </c>
      <c r="BC17" s="11">
        <v>43103</v>
      </c>
      <c r="BD17" s="292">
        <f>[2]!FeuilCaduc*(1-Persistant)+Persistant</f>
        <v>1</v>
      </c>
      <c r="BE17" s="293">
        <f>[2]!CroissVégét</f>
        <v>1.216934154264056E-4</v>
      </c>
      <c r="BF17" s="844">
        <f>1+[2]!Salcycl*Ksac</f>
        <v>1.0006923375522503</v>
      </c>
      <c r="BH17" s="1107">
        <f t="shared" si="21"/>
        <v>2.4124435508611146E-2</v>
      </c>
      <c r="BI17" s="11">
        <v>44199</v>
      </c>
      <c r="BJ17" s="744">
        <v>4.362276637260847E-4</v>
      </c>
      <c r="BK17" s="744">
        <v>2.8726369547969464E-3</v>
      </c>
      <c r="BL17" s="744">
        <v>1.7704941058153092E-2</v>
      </c>
      <c r="BM17" s="744">
        <v>4.9838404717050068E-2</v>
      </c>
      <c r="BN17" s="744">
        <v>0.117677586055227</v>
      </c>
      <c r="BO17" s="745">
        <v>0.20450684655097676</v>
      </c>
      <c r="BP17" s="744">
        <v>0.32884760576026023</v>
      </c>
      <c r="BQ17" s="744">
        <v>0.46183369599390955</v>
      </c>
      <c r="BR17" s="744">
        <v>0.60951093453466321</v>
      </c>
      <c r="BS17" s="744">
        <v>0.73873494261773587</v>
      </c>
      <c r="BT17" s="744">
        <v>0.85860796003586715</v>
      </c>
      <c r="BW17" s="1191">
        <f>'2018'!R\Max</f>
        <v>0</v>
      </c>
      <c r="BX17" s="1189">
        <f>'2019'!R\Max</f>
        <v>1.0148073583441217</v>
      </c>
      <c r="BY17" s="1189">
        <f>'2020'!R\Max</f>
        <v>0.47527529591357115</v>
      </c>
      <c r="BZ17" s="1189">
        <f>'2021'!R\Max</f>
        <v>0.96787132465213621</v>
      </c>
      <c r="CA17" s="1189">
        <f>'2022'!R\Max</f>
        <v>0.81376092507898068</v>
      </c>
      <c r="CB17" s="1189">
        <f>'2023'!R\Max</f>
        <v>0.80679620295101739</v>
      </c>
      <c r="CC17" s="1189">
        <f>'2024'!R\Max</f>
        <v>0.79899040165367152</v>
      </c>
      <c r="CD17" s="1189">
        <f>'2025'!R\Max</f>
        <v>0.78876794009502149</v>
      </c>
      <c r="CE17" s="1189">
        <f>'2026'!R\Max</f>
        <v>0.82747835363589795</v>
      </c>
      <c r="CF17" s="1190">
        <f>'2027'!R\Max</f>
        <v>0.82372256628713125</v>
      </c>
    </row>
    <row r="18" spans="1:84" s="6" customFormat="1" ht="11.25" x14ac:dyDescent="0.2">
      <c r="A18" s="11">
        <v>43104</v>
      </c>
      <c r="B18" s="382">
        <f>'2022'!Maxi_hp</f>
        <v>19.187961348193991</v>
      </c>
      <c r="C18" s="85">
        <f>'2022'!An_max</f>
        <v>2019</v>
      </c>
      <c r="D18" s="1134"/>
      <c r="E18" s="773"/>
      <c r="F18" s="13">
        <f t="shared" si="22"/>
        <v>1</v>
      </c>
      <c r="G18" s="13">
        <f t="shared" si="23"/>
        <v>2</v>
      </c>
      <c r="H18" s="175">
        <f t="shared" si="7"/>
        <v>43093</v>
      </c>
      <c r="I18" s="774">
        <f t="shared" si="8"/>
        <v>0.73333333333333328</v>
      </c>
      <c r="J18" s="765">
        <f t="shared" si="26"/>
        <v>19.277908074061077</v>
      </c>
      <c r="L18" s="777" t="s">
        <v>216</v>
      </c>
      <c r="M18" s="802">
        <f t="shared" ref="M18:AN18" si="28">M13</f>
        <v>181.24799999999999</v>
      </c>
      <c r="N18" s="762">
        <f t="shared" si="28"/>
        <v>199.68</v>
      </c>
      <c r="O18" s="762">
        <f t="shared" si="28"/>
        <v>234.49600000000001</v>
      </c>
      <c r="P18" s="762">
        <f t="shared" si="28"/>
        <v>279.55200000000002</v>
      </c>
      <c r="Q18" s="762">
        <f t="shared" si="28"/>
        <v>331.77600000000001</v>
      </c>
      <c r="R18" s="762">
        <f t="shared" si="28"/>
        <v>392.19200000000001</v>
      </c>
      <c r="S18" s="762">
        <f t="shared" si="28"/>
        <v>456.70400000000001</v>
      </c>
      <c r="T18" s="762">
        <f t="shared" si="28"/>
        <v>519.16800000000001</v>
      </c>
      <c r="U18" s="762">
        <f t="shared" si="28"/>
        <v>571.39200000000005</v>
      </c>
      <c r="V18" s="762">
        <f t="shared" si="28"/>
        <v>610.30399999999997</v>
      </c>
      <c r="W18" s="762">
        <f t="shared" si="28"/>
        <v>632.83199999999999</v>
      </c>
      <c r="X18" s="762">
        <f t="shared" si="28"/>
        <v>643.072</v>
      </c>
      <c r="Y18" s="762">
        <f t="shared" si="28"/>
        <v>644.096</v>
      </c>
      <c r="Z18" s="762">
        <f t="shared" si="28"/>
        <v>637.952</v>
      </c>
      <c r="AA18" s="762">
        <f t="shared" si="28"/>
        <v>626.68799999999999</v>
      </c>
      <c r="AB18" s="762">
        <f t="shared" si="28"/>
        <v>608.25599999999997</v>
      </c>
      <c r="AC18" s="762">
        <f t="shared" si="28"/>
        <v>584.70400000000006</v>
      </c>
      <c r="AD18" s="762">
        <f t="shared" si="28"/>
        <v>553.98400000000004</v>
      </c>
      <c r="AE18" s="762">
        <f t="shared" si="28"/>
        <v>512</v>
      </c>
      <c r="AF18" s="762">
        <f t="shared" si="28"/>
        <v>456.70400000000001</v>
      </c>
      <c r="AG18" s="762">
        <f t="shared" si="28"/>
        <v>393.21600000000001</v>
      </c>
      <c r="AH18" s="762">
        <f t="shared" si="28"/>
        <v>330.75200000000001</v>
      </c>
      <c r="AI18" s="762">
        <f t="shared" si="28"/>
        <v>279.55200000000002</v>
      </c>
      <c r="AJ18" s="762">
        <f t="shared" si="28"/>
        <v>236.54400000000001</v>
      </c>
      <c r="AK18" s="762">
        <f t="shared" si="28"/>
        <v>205.82400000000001</v>
      </c>
      <c r="AL18" s="762">
        <f t="shared" si="28"/>
        <v>184.32</v>
      </c>
      <c r="AM18" s="800">
        <f t="shared" si="28"/>
        <v>181.24799999999999</v>
      </c>
      <c r="AN18" s="798">
        <f t="shared" si="28"/>
        <v>199.68</v>
      </c>
      <c r="AP18" s="13">
        <f t="shared" si="10"/>
        <v>1</v>
      </c>
      <c r="AQ18" s="13">
        <f t="shared" si="11"/>
        <v>2</v>
      </c>
      <c r="AR18" s="175">
        <f t="shared" si="12"/>
        <v>43079</v>
      </c>
      <c r="AS18" s="774">
        <f t="shared" si="13"/>
        <v>0.86206896551724133</v>
      </c>
      <c r="AT18" s="791">
        <f t="shared" si="14"/>
        <v>19.346869335246495</v>
      </c>
      <c r="AU18" s="13">
        <f t="shared" si="15"/>
        <v>1</v>
      </c>
      <c r="AV18" s="13">
        <f t="shared" si="16"/>
        <v>2</v>
      </c>
      <c r="AW18" s="175">
        <f t="shared" si="17"/>
        <v>43093</v>
      </c>
      <c r="AX18" s="774">
        <f t="shared" si="18"/>
        <v>0.37931034482758619</v>
      </c>
      <c r="AY18" s="791">
        <f t="shared" si="19"/>
        <v>19.343580449655139</v>
      </c>
      <c r="AZ18" s="765">
        <f t="shared" si="25"/>
        <v>19.345224892450815</v>
      </c>
      <c r="BA18" s="649">
        <f t="shared" si="20"/>
        <v>0.9953342071389939</v>
      </c>
      <c r="BB18" s="644">
        <v>43104</v>
      </c>
      <c r="BC18" s="11">
        <v>43104</v>
      </c>
      <c r="BD18" s="292">
        <f>[2]!FeuilCaduc*(1-Persistant)+Persistant</f>
        <v>1</v>
      </c>
      <c r="BE18" s="293">
        <f>[2]!CroissVégét</f>
        <v>1.8511247801664469E-4</v>
      </c>
      <c r="BF18" s="844">
        <f>1+[2]!Salcycl*Ksac</f>
        <v>1.0006423046352915</v>
      </c>
      <c r="BH18" s="1107">
        <f t="shared" si="21"/>
        <v>2.4006003872704351E-2</v>
      </c>
      <c r="BI18" s="11">
        <v>44200</v>
      </c>
      <c r="BJ18" s="744">
        <v>4.4925220331855088E-4</v>
      </c>
      <c r="BK18" s="744">
        <v>2.8136905830190122E-3</v>
      </c>
      <c r="BL18" s="744">
        <v>1.7530870902721905E-2</v>
      </c>
      <c r="BM18" s="744">
        <v>4.9942839101029202E-2</v>
      </c>
      <c r="BN18" s="744">
        <v>0.11689362794654622</v>
      </c>
      <c r="BO18" s="745">
        <v>0.20385453814196997</v>
      </c>
      <c r="BP18" s="744">
        <v>0.32683556642863038</v>
      </c>
      <c r="BQ18" s="744">
        <v>0.46033100626535089</v>
      </c>
      <c r="BR18" s="744">
        <v>0.60784898808281185</v>
      </c>
      <c r="BS18" s="744">
        <v>0.73894493952791773</v>
      </c>
      <c r="BT18" s="744">
        <v>0.86100432849394948</v>
      </c>
      <c r="BW18" s="1191">
        <f>'2018'!R\Max</f>
        <v>0</v>
      </c>
      <c r="BX18" s="1189">
        <f>'2019'!R\Max</f>
        <v>0.9953342071389939</v>
      </c>
      <c r="BY18" s="1189">
        <f>'2020'!R\Max</f>
        <v>0.29984958056796635</v>
      </c>
      <c r="BZ18" s="1189">
        <f>'2021'!R\Max</f>
        <v>0.90914476746575901</v>
      </c>
      <c r="CA18" s="1189">
        <f>'2022'!R\Max</f>
        <v>0.85044519131680307</v>
      </c>
      <c r="CB18" s="1189">
        <f>'2023'!R\Max</f>
        <v>0.84469690976849365</v>
      </c>
      <c r="CC18" s="1189">
        <f>'2024'!R\Max</f>
        <v>0.8382306013706875</v>
      </c>
      <c r="CD18" s="1189">
        <f>'2025'!R\Max</f>
        <v>0.82962735205489391</v>
      </c>
      <c r="CE18" s="1189">
        <f>'2026'!R\Max</f>
        <v>0.86177522766783887</v>
      </c>
      <c r="CF18" s="1190">
        <f>'2027'!R\Max</f>
        <v>0.85869787355779092</v>
      </c>
    </row>
    <row r="19" spans="1:84" s="6" customFormat="1" ht="11.25" x14ac:dyDescent="0.2">
      <c r="A19" s="11">
        <v>43105</v>
      </c>
      <c r="B19" s="382">
        <f>'2022'!Maxi_hp</f>
        <v>19.412334573306765</v>
      </c>
      <c r="C19" s="85">
        <f>'2022'!An_max</f>
        <v>2019</v>
      </c>
      <c r="D19" s="1134"/>
      <c r="E19" s="773"/>
      <c r="F19" s="13">
        <f t="shared" si="22"/>
        <v>1</v>
      </c>
      <c r="G19" s="13">
        <f t="shared" si="23"/>
        <v>2</v>
      </c>
      <c r="H19" s="175">
        <f t="shared" si="7"/>
        <v>43093</v>
      </c>
      <c r="I19" s="774">
        <f t="shared" si="8"/>
        <v>0.8</v>
      </c>
      <c r="J19" s="765">
        <f t="shared" si="26"/>
        <v>19.438465891480444</v>
      </c>
      <c r="L19" s="777" t="s">
        <v>217</v>
      </c>
      <c r="M19" s="804">
        <f t="shared" ref="M19:AN19" si="29">N12</f>
        <v>43108</v>
      </c>
      <c r="N19" s="757">
        <f t="shared" si="29"/>
        <v>43122</v>
      </c>
      <c r="O19" s="757">
        <f t="shared" si="29"/>
        <v>43136</v>
      </c>
      <c r="P19" s="757">
        <f t="shared" si="29"/>
        <v>43150</v>
      </c>
      <c r="Q19" s="757">
        <f t="shared" si="29"/>
        <v>43164</v>
      </c>
      <c r="R19" s="757">
        <f t="shared" si="29"/>
        <v>43178</v>
      </c>
      <c r="S19" s="757">
        <f t="shared" si="29"/>
        <v>43192</v>
      </c>
      <c r="T19" s="757">
        <f t="shared" si="29"/>
        <v>43206</v>
      </c>
      <c r="U19" s="757">
        <f t="shared" si="29"/>
        <v>43220</v>
      </c>
      <c r="V19" s="757">
        <f t="shared" si="29"/>
        <v>43234</v>
      </c>
      <c r="W19" s="757">
        <f t="shared" si="29"/>
        <v>43248</v>
      </c>
      <c r="X19" s="757">
        <f t="shared" si="29"/>
        <v>43262</v>
      </c>
      <c r="Y19" s="757">
        <f t="shared" si="29"/>
        <v>43276</v>
      </c>
      <c r="Z19" s="757">
        <f t="shared" si="29"/>
        <v>43290</v>
      </c>
      <c r="AA19" s="757">
        <f t="shared" si="29"/>
        <v>43304</v>
      </c>
      <c r="AB19" s="757">
        <f t="shared" si="29"/>
        <v>43318</v>
      </c>
      <c r="AC19" s="757">
        <f t="shared" si="29"/>
        <v>43332</v>
      </c>
      <c r="AD19" s="757">
        <f t="shared" si="29"/>
        <v>43346</v>
      </c>
      <c r="AE19" s="757">
        <f t="shared" si="29"/>
        <v>43360</v>
      </c>
      <c r="AF19" s="757">
        <f t="shared" si="29"/>
        <v>43374</v>
      </c>
      <c r="AG19" s="757">
        <f t="shared" si="29"/>
        <v>43388</v>
      </c>
      <c r="AH19" s="757">
        <f t="shared" si="29"/>
        <v>43402</v>
      </c>
      <c r="AI19" s="757">
        <f t="shared" si="29"/>
        <v>43416</v>
      </c>
      <c r="AJ19" s="757">
        <f t="shared" si="29"/>
        <v>43430</v>
      </c>
      <c r="AK19" s="757">
        <f t="shared" si="29"/>
        <v>43444</v>
      </c>
      <c r="AL19" s="801">
        <f t="shared" si="29"/>
        <v>43458</v>
      </c>
      <c r="AM19" s="758">
        <f t="shared" si="29"/>
        <v>43473</v>
      </c>
      <c r="AN19" s="758">
        <f t="shared" si="29"/>
        <v>43487</v>
      </c>
      <c r="AP19" s="13">
        <f t="shared" si="10"/>
        <v>1</v>
      </c>
      <c r="AQ19" s="13">
        <f t="shared" si="11"/>
        <v>2</v>
      </c>
      <c r="AR19" s="175">
        <f t="shared" si="12"/>
        <v>43079</v>
      </c>
      <c r="AS19" s="774">
        <f t="shared" si="13"/>
        <v>0.89655172413793105</v>
      </c>
      <c r="AT19" s="791">
        <f t="shared" si="14"/>
        <v>19.490213132469819</v>
      </c>
      <c r="AU19" s="13">
        <f t="shared" si="15"/>
        <v>1</v>
      </c>
      <c r="AV19" s="13">
        <f t="shared" si="16"/>
        <v>2</v>
      </c>
      <c r="AW19" s="175">
        <f t="shared" si="17"/>
        <v>43093</v>
      </c>
      <c r="AX19" s="774">
        <f t="shared" si="18"/>
        <v>0.41379310344827586</v>
      </c>
      <c r="AY19" s="791">
        <f t="shared" si="19"/>
        <v>19.516197866869383</v>
      </c>
      <c r="AZ19" s="765">
        <f t="shared" si="25"/>
        <v>19.503205499669601</v>
      </c>
      <c r="BA19" s="649">
        <f t="shared" si="20"/>
        <v>0.9986556903039796</v>
      </c>
      <c r="BB19" s="644">
        <v>43105</v>
      </c>
      <c r="BC19" s="11">
        <v>43105</v>
      </c>
      <c r="BD19" s="292">
        <f>[2]!FeuilCaduc*(1-Persistant)+Persistant</f>
        <v>1</v>
      </c>
      <c r="BE19" s="293">
        <f>[2]!CroissVégét</f>
        <v>2.5118354313997834E-4</v>
      </c>
      <c r="BF19" s="844">
        <f>1+[2]!Salcycl*Ksac</f>
        <v>1.0005948099654767</v>
      </c>
      <c r="BH19" s="1107">
        <f t="shared" si="21"/>
        <v>2.3891131021453956E-2</v>
      </c>
      <c r="BI19" s="11">
        <v>44201</v>
      </c>
      <c r="BJ19" s="744">
        <v>4.6263609342990243E-4</v>
      </c>
      <c r="BK19" s="744">
        <v>2.7572266996466941E-3</v>
      </c>
      <c r="BL19" s="744">
        <v>1.7355963754332487E-2</v>
      </c>
      <c r="BM19" s="744">
        <v>5.006844002540034E-2</v>
      </c>
      <c r="BN19" s="744">
        <v>0.11608371093463277</v>
      </c>
      <c r="BO19" s="745">
        <v>0.20317375338551066</v>
      </c>
      <c r="BP19" s="744">
        <v>0.32459997277068237</v>
      </c>
      <c r="BQ19" s="744">
        <v>0.45862661142070982</v>
      </c>
      <c r="BR19" s="744">
        <v>0.60595153513752509</v>
      </c>
      <c r="BS19" s="744">
        <v>0.73906530230659451</v>
      </c>
      <c r="BT19" s="744">
        <v>0.86331858277294771</v>
      </c>
      <c r="BW19" s="1191">
        <f>'2018'!R\Max</f>
        <v>0</v>
      </c>
      <c r="BX19" s="1189">
        <f>'2019'!R\Max</f>
        <v>0.9986556903039796</v>
      </c>
      <c r="BY19" s="1189">
        <f>'2020'!R\Max</f>
        <v>0.6209031892724538</v>
      </c>
      <c r="BZ19" s="1189">
        <f>'2021'!R\Max</f>
        <v>0.17968480486360891</v>
      </c>
      <c r="CA19" s="1189">
        <f>'2022'!R\Max</f>
        <v>0.65290160909315775</v>
      </c>
      <c r="CB19" s="1189">
        <f>'2023'!R\Max</f>
        <v>0.64295228754769806</v>
      </c>
      <c r="CC19" s="1189">
        <f>'2024'!R\Max</f>
        <v>0.63196248107225295</v>
      </c>
      <c r="CD19" s="1189">
        <f>'2025'!R\Max</f>
        <v>0.61748297772834648</v>
      </c>
      <c r="CE19" s="1189">
        <f>'2026'!R\Max</f>
        <v>0.67317417303226745</v>
      </c>
      <c r="CF19" s="1190">
        <f>'2027'!R\Max</f>
        <v>0.66763029387991701</v>
      </c>
    </row>
    <row r="20" spans="1:84" s="6" customFormat="1" ht="11.25" x14ac:dyDescent="0.2">
      <c r="A20" s="11">
        <v>43106</v>
      </c>
      <c r="B20" s="382">
        <f>'2022'!Maxi_hp</f>
        <v>20.084255313401073</v>
      </c>
      <c r="C20" s="85">
        <f>'2022'!An_max</f>
        <v>2022</v>
      </c>
      <c r="D20" s="1134"/>
      <c r="E20" s="773"/>
      <c r="F20" s="13">
        <f t="shared" si="22"/>
        <v>1</v>
      </c>
      <c r="G20" s="13">
        <f t="shared" si="23"/>
        <v>2</v>
      </c>
      <c r="H20" s="175">
        <f t="shared" si="7"/>
        <v>43093</v>
      </c>
      <c r="I20" s="774">
        <f t="shared" si="8"/>
        <v>0.8666666666666667</v>
      </c>
      <c r="J20" s="765">
        <f t="shared" si="26"/>
        <v>19.607175357739131</v>
      </c>
      <c r="L20" s="777" t="s">
        <v>218</v>
      </c>
      <c r="M20" s="805">
        <f>N13</f>
        <v>199.68</v>
      </c>
      <c r="N20" s="762">
        <f t="shared" ref="N20:AN20" si="30">O13</f>
        <v>234.49600000000001</v>
      </c>
      <c r="O20" s="762">
        <f t="shared" si="30"/>
        <v>279.55200000000002</v>
      </c>
      <c r="P20" s="762">
        <f t="shared" si="30"/>
        <v>331.77600000000001</v>
      </c>
      <c r="Q20" s="762">
        <f t="shared" si="30"/>
        <v>392.19200000000001</v>
      </c>
      <c r="R20" s="762">
        <f t="shared" si="30"/>
        <v>456.70400000000001</v>
      </c>
      <c r="S20" s="762">
        <f t="shared" si="30"/>
        <v>519.16800000000001</v>
      </c>
      <c r="T20" s="762">
        <f t="shared" si="30"/>
        <v>571.39200000000005</v>
      </c>
      <c r="U20" s="762">
        <f t="shared" si="30"/>
        <v>610.30399999999997</v>
      </c>
      <c r="V20" s="762">
        <f t="shared" si="30"/>
        <v>632.83199999999999</v>
      </c>
      <c r="W20" s="762">
        <f t="shared" si="30"/>
        <v>643.072</v>
      </c>
      <c r="X20" s="762">
        <f t="shared" si="30"/>
        <v>644.096</v>
      </c>
      <c r="Y20" s="762">
        <f t="shared" si="30"/>
        <v>637.952</v>
      </c>
      <c r="Z20" s="762">
        <f t="shared" si="30"/>
        <v>626.68799999999999</v>
      </c>
      <c r="AA20" s="762">
        <f t="shared" si="30"/>
        <v>608.25599999999997</v>
      </c>
      <c r="AB20" s="762">
        <f t="shared" si="30"/>
        <v>584.70400000000006</v>
      </c>
      <c r="AC20" s="762">
        <f t="shared" si="30"/>
        <v>553.98400000000004</v>
      </c>
      <c r="AD20" s="762">
        <f t="shared" si="30"/>
        <v>512</v>
      </c>
      <c r="AE20" s="762">
        <f t="shared" si="30"/>
        <v>456.70400000000001</v>
      </c>
      <c r="AF20" s="762">
        <f t="shared" si="30"/>
        <v>393.21600000000001</v>
      </c>
      <c r="AG20" s="762">
        <f t="shared" si="30"/>
        <v>330.75200000000001</v>
      </c>
      <c r="AH20" s="762">
        <f t="shared" si="30"/>
        <v>279.55200000000002</v>
      </c>
      <c r="AI20" s="762">
        <f t="shared" si="30"/>
        <v>236.54400000000001</v>
      </c>
      <c r="AJ20" s="762">
        <f t="shared" si="30"/>
        <v>205.82400000000001</v>
      </c>
      <c r="AK20" s="762">
        <f t="shared" si="30"/>
        <v>184.32</v>
      </c>
      <c r="AL20" s="800">
        <f t="shared" si="30"/>
        <v>181.24799999999999</v>
      </c>
      <c r="AM20" s="798">
        <f t="shared" si="30"/>
        <v>199.68</v>
      </c>
      <c r="AN20" s="798">
        <f t="shared" si="30"/>
        <v>234.49600000000001</v>
      </c>
      <c r="AP20" s="13">
        <f t="shared" si="10"/>
        <v>1</v>
      </c>
      <c r="AQ20" s="13">
        <f t="shared" si="11"/>
        <v>2</v>
      </c>
      <c r="AR20" s="175">
        <f t="shared" si="12"/>
        <v>43079</v>
      </c>
      <c r="AS20" s="774">
        <f t="shared" si="13"/>
        <v>0.93103448275862066</v>
      </c>
      <c r="AT20" s="791">
        <f>((1-AS20)*(INDEX(a.lg,AP20)*$A20*$A20+INDEX(b.lg,AP20)*$A20+INDEX(c.lg,AP20))+AS20*(INDEX(a.lg,AQ20)*$A20*$A20+INDEX(b.lg,AQ20)*$A20+INDEX(c.lg,AQ20)))/10</f>
        <v>19.641533568039023</v>
      </c>
      <c r="AU20" s="13">
        <f t="shared" si="15"/>
        <v>1</v>
      </c>
      <c r="AV20" s="13">
        <f t="shared" si="16"/>
        <v>2</v>
      </c>
      <c r="AW20" s="175">
        <f t="shared" si="17"/>
        <v>43093</v>
      </c>
      <c r="AX20" s="774">
        <f t="shared" si="18"/>
        <v>0.44827586206896552</v>
      </c>
      <c r="AY20" s="791">
        <f t="shared" si="19"/>
        <v>19.697426510422396</v>
      </c>
      <c r="AZ20" s="765">
        <f t="shared" si="25"/>
        <v>19.669480039230709</v>
      </c>
      <c r="BA20" s="649">
        <f t="shared" si="20"/>
        <v>1.0243319064045415</v>
      </c>
      <c r="BB20" s="644">
        <v>43106</v>
      </c>
      <c r="BC20" s="11">
        <v>43106</v>
      </c>
      <c r="BD20" s="292">
        <f>[2]!FeuilCaduc*(1-Persistant)+Persistant</f>
        <v>1</v>
      </c>
      <c r="BE20" s="293">
        <f>[2]!CroissVégét</f>
        <v>3.2001713664140156E-4</v>
      </c>
      <c r="BF20" s="844">
        <f>1+[2]!Salcycl*Ksac</f>
        <v>1.0005496089569741</v>
      </c>
      <c r="BH20" s="1107">
        <f t="shared" si="21"/>
        <v>2.3779761324362512E-2</v>
      </c>
      <c r="BI20" s="11">
        <v>44202</v>
      </c>
      <c r="BJ20" s="744">
        <v>4.763786566542657E-4</v>
      </c>
      <c r="BK20" s="744">
        <v>2.7032419273250387E-3</v>
      </c>
      <c r="BL20" s="744">
        <v>1.7180174374096784E-2</v>
      </c>
      <c r="BM20" s="744">
        <v>5.0215110234967081E-2</v>
      </c>
      <c r="BN20" s="744">
        <v>0.11524750261916149</v>
      </c>
      <c r="BO20" s="745">
        <v>0.20246393406402896</v>
      </c>
      <c r="BP20" s="744">
        <v>0.3221396774306815</v>
      </c>
      <c r="BQ20" s="744">
        <v>0.45671905329273171</v>
      </c>
      <c r="BR20" s="744">
        <v>0.60381669340805411</v>
      </c>
      <c r="BS20" s="744">
        <v>0.73909401730867696</v>
      </c>
      <c r="BT20" s="744">
        <v>0.86554840060416416</v>
      </c>
      <c r="BW20" s="1191">
        <f>'2018'!R\Max</f>
        <v>0</v>
      </c>
      <c r="BX20" s="1189">
        <f>'2019'!R\Max</f>
        <v>0.25160704895520236</v>
      </c>
      <c r="BY20" s="1189">
        <f>'2020'!R\Max</f>
        <v>0.9598916563919323</v>
      </c>
      <c r="BZ20" s="1189">
        <f>'2021'!R\Max</f>
        <v>0.40370669364157041</v>
      </c>
      <c r="CA20" s="1189">
        <f>'2022'!R\Max</f>
        <v>1.0243319064045415</v>
      </c>
      <c r="CB20" s="1189">
        <f>'2023'!R\Max</f>
        <v>1.0243319064045417</v>
      </c>
      <c r="CC20" s="1189">
        <f>'2024'!R\Max</f>
        <v>1.0243319064045417</v>
      </c>
      <c r="CD20" s="1189">
        <f>'2025'!R\Max</f>
        <v>1.024331906404542</v>
      </c>
      <c r="CE20" s="1189">
        <f>'2026'!R\Max</f>
        <v>1.0243319064045415</v>
      </c>
      <c r="CF20" s="1190">
        <f>'2027'!R\Max</f>
        <v>1.0243319064045417</v>
      </c>
    </row>
    <row r="21" spans="1:84" s="6" customFormat="1" ht="11.25" x14ac:dyDescent="0.2">
      <c r="A21" s="11">
        <v>43107</v>
      </c>
      <c r="B21" s="382">
        <f>'2022'!Maxi_hp</f>
        <v>11.638105968264961</v>
      </c>
      <c r="C21" s="85">
        <f>'2022'!An_max</f>
        <v>2021</v>
      </c>
      <c r="D21" s="1134"/>
      <c r="E21" s="773"/>
      <c r="F21" s="13">
        <f t="shared" si="22"/>
        <v>1</v>
      </c>
      <c r="G21" s="13">
        <f t="shared" si="23"/>
        <v>2</v>
      </c>
      <c r="H21" s="175">
        <f t="shared" si="7"/>
        <v>43093</v>
      </c>
      <c r="I21" s="774">
        <f t="shared" si="8"/>
        <v>0.93333333333333335</v>
      </c>
      <c r="J21" s="765">
        <f t="shared" si="26"/>
        <v>19.783774161338805</v>
      </c>
      <c r="L21" s="778" t="s">
        <v>219</v>
      </c>
      <c r="M21" s="759">
        <f>x.1m*x.1m-x.2m*x.2m</f>
        <v>-1206408</v>
      </c>
      <c r="N21" s="759">
        <f t="shared" ref="N21:AM21" si="31">x.1m*x.1m-x.2m*x.2m</f>
        <v>-1293015</v>
      </c>
      <c r="O21" s="759">
        <f t="shared" si="31"/>
        <v>-1207220</v>
      </c>
      <c r="P21" s="759">
        <f t="shared" si="31"/>
        <v>-1207612</v>
      </c>
      <c r="Q21" s="759">
        <f t="shared" si="31"/>
        <v>-1208004</v>
      </c>
      <c r="R21" s="759">
        <f t="shared" si="31"/>
        <v>-1208396</v>
      </c>
      <c r="S21" s="759">
        <f t="shared" si="31"/>
        <v>-1208788</v>
      </c>
      <c r="T21" s="759">
        <f t="shared" si="31"/>
        <v>-1209180</v>
      </c>
      <c r="U21" s="759">
        <f t="shared" si="31"/>
        <v>-1209572</v>
      </c>
      <c r="V21" s="759">
        <f t="shared" si="31"/>
        <v>-1209964</v>
      </c>
      <c r="W21" s="759">
        <f t="shared" si="31"/>
        <v>-1210356</v>
      </c>
      <c r="X21" s="759">
        <f t="shared" si="31"/>
        <v>-1210748</v>
      </c>
      <c r="Y21" s="759">
        <f t="shared" si="31"/>
        <v>-1211140</v>
      </c>
      <c r="Z21" s="759">
        <f t="shared" si="31"/>
        <v>-1211532</v>
      </c>
      <c r="AA21" s="759">
        <f t="shared" si="31"/>
        <v>-1211924</v>
      </c>
      <c r="AB21" s="759">
        <f t="shared" si="31"/>
        <v>-1212316</v>
      </c>
      <c r="AC21" s="759">
        <f t="shared" si="31"/>
        <v>-1212708</v>
      </c>
      <c r="AD21" s="759">
        <f t="shared" si="31"/>
        <v>-1213100</v>
      </c>
      <c r="AE21" s="759">
        <f t="shared" si="31"/>
        <v>-1213492</v>
      </c>
      <c r="AF21" s="759">
        <f t="shared" si="31"/>
        <v>-1213884</v>
      </c>
      <c r="AG21" s="759">
        <f t="shared" si="31"/>
        <v>-1214276</v>
      </c>
      <c r="AH21" s="759">
        <f t="shared" si="31"/>
        <v>-1214668</v>
      </c>
      <c r="AI21" s="759">
        <f t="shared" si="31"/>
        <v>-1215060</v>
      </c>
      <c r="AJ21" s="759">
        <f t="shared" si="31"/>
        <v>-1215452</v>
      </c>
      <c r="AK21" s="759">
        <f t="shared" si="31"/>
        <v>-1215844</v>
      </c>
      <c r="AL21" s="759">
        <f t="shared" si="31"/>
        <v>-1216236</v>
      </c>
      <c r="AM21" s="759">
        <f t="shared" si="31"/>
        <v>-1216628</v>
      </c>
      <c r="AN21" s="759">
        <f>x.1m*x.1m-x.2m*x.2m</f>
        <v>-1303965</v>
      </c>
      <c r="AP21" s="13">
        <f t="shared" si="10"/>
        <v>1</v>
      </c>
      <c r="AQ21" s="13">
        <f t="shared" si="11"/>
        <v>2</v>
      </c>
      <c r="AR21" s="175">
        <f t="shared" si="12"/>
        <v>43079</v>
      </c>
      <c r="AS21" s="774">
        <f t="shared" si="13"/>
        <v>0.96551724137931039</v>
      </c>
      <c r="AT21" s="791">
        <f t="shared" si="14"/>
        <v>19.800804556032709</v>
      </c>
      <c r="AU21" s="13">
        <f t="shared" si="15"/>
        <v>1</v>
      </c>
      <c r="AV21" s="13">
        <f t="shared" si="16"/>
        <v>2</v>
      </c>
      <c r="AW21" s="175">
        <f t="shared" si="17"/>
        <v>43093</v>
      </c>
      <c r="AX21" s="774">
        <f t="shared" si="18"/>
        <v>0.48275862068965519</v>
      </c>
      <c r="AY21" s="791">
        <f t="shared" si="19"/>
        <v>19.886875925033259</v>
      </c>
      <c r="AZ21" s="765">
        <f t="shared" si="25"/>
        <v>19.843840240532984</v>
      </c>
      <c r="BA21" s="649">
        <f t="shared" si="20"/>
        <v>0.58826520528160886</v>
      </c>
      <c r="BB21" s="644">
        <v>43107</v>
      </c>
      <c r="BC21" s="11">
        <v>43107</v>
      </c>
      <c r="BD21" s="292">
        <f>[2]!FeuilCaduc*(1-Persistant)+Persistant</f>
        <v>1</v>
      </c>
      <c r="BE21" s="293">
        <f>[2]!CroissVégét</f>
        <v>3.9172835876776901E-4</v>
      </c>
      <c r="BF21" s="844">
        <f>1+[2]!Salcycl*Ksac</f>
        <v>1.0005064962572598</v>
      </c>
      <c r="BH21" s="1107">
        <f t="shared" si="21"/>
        <v>2.3671840385190046E-2</v>
      </c>
      <c r="BI21" s="11">
        <v>44203</v>
      </c>
      <c r="BJ21" s="744">
        <v>4.904790761567873E-4</v>
      </c>
      <c r="BK21" s="744">
        <v>2.651733440133754E-3</v>
      </c>
      <c r="BL21" s="744">
        <v>1.7003459402597142E-2</v>
      </c>
      <c r="BM21" s="744">
        <v>5.0382751124321334E-2</v>
      </c>
      <c r="BN21" s="744">
        <v>0.11438467980988802</v>
      </c>
      <c r="BO21" s="745">
        <v>0.20172453032138851</v>
      </c>
      <c r="BP21" s="744">
        <v>0.31945356077419612</v>
      </c>
      <c r="BQ21" s="744">
        <v>0.4546068963573407</v>
      </c>
      <c r="BR21" s="744">
        <v>0.60144260644556458</v>
      </c>
      <c r="BS21" s="744">
        <v>0.7390290746467022</v>
      </c>
      <c r="BT21" s="744">
        <v>0.86769144163042178</v>
      </c>
      <c r="BW21" s="1191">
        <f>'2018'!R\Max</f>
        <v>0</v>
      </c>
      <c r="BX21" s="1189">
        <f>'2019'!R\Max</f>
        <v>0.15003836124857881</v>
      </c>
      <c r="BY21" s="1189">
        <f>'2020'!R\Max</f>
        <v>0.37873823586515648</v>
      </c>
      <c r="BZ21" s="1189">
        <f>'2021'!R\Max</f>
        <v>0.58826520528160886</v>
      </c>
      <c r="CA21" s="1189">
        <f>'2022'!R\Max</f>
        <v>0.48291444245689108</v>
      </c>
      <c r="CB21" s="1189">
        <f>'2023'!R\Max</f>
        <v>0.47251957307953096</v>
      </c>
      <c r="CC21" s="1189">
        <f>'2024'!R\Max</f>
        <v>0.46119100753363734</v>
      </c>
      <c r="CD21" s="1189">
        <f>'2025'!R\Max</f>
        <v>0.44607584590242394</v>
      </c>
      <c r="CE21" s="1189">
        <f>'2026'!R\Max</f>
        <v>0.5049352994178905</v>
      </c>
      <c r="CF21" s="1190">
        <f>'2027'!R\Max</f>
        <v>0.49892795920535532</v>
      </c>
    </row>
    <row r="22" spans="1:84" s="6" customFormat="1" ht="11.25" x14ac:dyDescent="0.2">
      <c r="A22" s="11">
        <v>43108</v>
      </c>
      <c r="B22" s="382">
        <f>'2022'!Maxi_hp</f>
        <v>14.643565191481343</v>
      </c>
      <c r="C22" s="85">
        <f>'2022'!An_max</f>
        <v>2021</v>
      </c>
      <c r="D22" s="1134"/>
      <c r="E22" s="773">
        <f>N$13/10</f>
        <v>19.968</v>
      </c>
      <c r="F22" s="13">
        <f t="shared" si="22"/>
        <v>3</v>
      </c>
      <c r="G22" s="13">
        <f t="shared" si="23"/>
        <v>2</v>
      </c>
      <c r="H22" s="175">
        <f t="shared" si="7"/>
        <v>43122</v>
      </c>
      <c r="I22" s="774">
        <f t="shared" si="8"/>
        <v>1</v>
      </c>
      <c r="J22" s="765">
        <f t="shared" si="26"/>
        <v>19.968000000715257</v>
      </c>
      <c r="L22" s="778" t="s">
        <v>220</v>
      </c>
      <c r="M22" s="759">
        <f t="shared" ref="M22:AM22" si="32">x.2m*x.2m-x.3m*x.3m</f>
        <v>-1293015</v>
      </c>
      <c r="N22" s="759">
        <f>x.2m*x.2m-x.3m*x.3m</f>
        <v>-1207220</v>
      </c>
      <c r="O22" s="759">
        <f t="shared" si="32"/>
        <v>-1207612</v>
      </c>
      <c r="P22" s="759">
        <f t="shared" si="32"/>
        <v>-1208004</v>
      </c>
      <c r="Q22" s="759">
        <f t="shared" si="32"/>
        <v>-1208396</v>
      </c>
      <c r="R22" s="759">
        <f t="shared" si="32"/>
        <v>-1208788</v>
      </c>
      <c r="S22" s="759">
        <f t="shared" si="32"/>
        <v>-1209180</v>
      </c>
      <c r="T22" s="759">
        <f t="shared" si="32"/>
        <v>-1209572</v>
      </c>
      <c r="U22" s="759">
        <f t="shared" si="32"/>
        <v>-1209964</v>
      </c>
      <c r="V22" s="759">
        <f t="shared" si="32"/>
        <v>-1210356</v>
      </c>
      <c r="W22" s="759">
        <f t="shared" si="32"/>
        <v>-1210748</v>
      </c>
      <c r="X22" s="759">
        <f t="shared" si="32"/>
        <v>-1211140</v>
      </c>
      <c r="Y22" s="759">
        <f t="shared" si="32"/>
        <v>-1211532</v>
      </c>
      <c r="Z22" s="759">
        <f t="shared" si="32"/>
        <v>-1211924</v>
      </c>
      <c r="AA22" s="759">
        <f t="shared" si="32"/>
        <v>-1212316</v>
      </c>
      <c r="AB22" s="759">
        <f t="shared" si="32"/>
        <v>-1212708</v>
      </c>
      <c r="AC22" s="759">
        <f t="shared" si="32"/>
        <v>-1213100</v>
      </c>
      <c r="AD22" s="759">
        <f t="shared" si="32"/>
        <v>-1213492</v>
      </c>
      <c r="AE22" s="759">
        <f t="shared" si="32"/>
        <v>-1213884</v>
      </c>
      <c r="AF22" s="759">
        <f t="shared" si="32"/>
        <v>-1214276</v>
      </c>
      <c r="AG22" s="759">
        <f t="shared" si="32"/>
        <v>-1214668</v>
      </c>
      <c r="AH22" s="759">
        <f t="shared" si="32"/>
        <v>-1215060</v>
      </c>
      <c r="AI22" s="759">
        <f t="shared" si="32"/>
        <v>-1215452</v>
      </c>
      <c r="AJ22" s="759">
        <f t="shared" si="32"/>
        <v>-1215844</v>
      </c>
      <c r="AK22" s="759">
        <f t="shared" si="32"/>
        <v>-1216236</v>
      </c>
      <c r="AL22" s="759">
        <f t="shared" si="32"/>
        <v>-1216628</v>
      </c>
      <c r="AM22" s="759">
        <f t="shared" si="32"/>
        <v>-1303965</v>
      </c>
      <c r="AN22" s="759">
        <f>x.2m*x.2m-x.3m*x.3m</f>
        <v>-1217440</v>
      </c>
      <c r="AP22" s="13">
        <f t="shared" si="10"/>
        <v>3</v>
      </c>
      <c r="AQ22" s="13">
        <f t="shared" si="11"/>
        <v>2</v>
      </c>
      <c r="AR22" s="175">
        <f t="shared" si="12"/>
        <v>43136</v>
      </c>
      <c r="AS22" s="774">
        <f t="shared" si="13"/>
        <v>1</v>
      </c>
      <c r="AT22" s="791">
        <f t="shared" si="14"/>
        <v>19.967999999225139</v>
      </c>
      <c r="AU22" s="13">
        <f t="shared" si="15"/>
        <v>1</v>
      </c>
      <c r="AV22" s="13">
        <f t="shared" si="16"/>
        <v>2</v>
      </c>
      <c r="AW22" s="175">
        <f t="shared" si="17"/>
        <v>43093</v>
      </c>
      <c r="AX22" s="774">
        <f t="shared" si="18"/>
        <v>0.51724137931034486</v>
      </c>
      <c r="AY22" s="791">
        <f t="shared" si="19"/>
        <v>20.084155655087066</v>
      </c>
      <c r="AZ22" s="765">
        <f t="shared" si="25"/>
        <v>20.026077827156101</v>
      </c>
      <c r="BA22" s="649">
        <f t="shared" si="20"/>
        <v>0.73335162214326965</v>
      </c>
      <c r="BB22" s="644">
        <v>43108</v>
      </c>
      <c r="BC22" s="11">
        <v>43108</v>
      </c>
      <c r="BD22" s="292">
        <f>[2]!FeuilCaduc*(1-Persistant)+Persistant</f>
        <v>1</v>
      </c>
      <c r="BE22" s="293">
        <f>[2]!CroissVégét</f>
        <v>4.664370707620742E-4</v>
      </c>
      <c r="BF22" s="844">
        <f>1+[2]!Salcycl*Ksac</f>
        <v>1.0004653037873532</v>
      </c>
      <c r="BH22" s="1107">
        <f t="shared" si="21"/>
        <v>2.3567314948327929E-2</v>
      </c>
      <c r="BI22" s="11">
        <v>44204</v>
      </c>
      <c r="BJ22" s="744">
        <v>5.0493638683407789E-4</v>
      </c>
      <c r="BK22" s="744">
        <v>2.6026988988687083E-3</v>
      </c>
      <c r="BL22" s="744">
        <v>1.6825777376934564E-2</v>
      </c>
      <c r="BM22" s="744">
        <v>5.0571262200899171E-2</v>
      </c>
      <c r="BN22" s="744">
        <v>0.11349492916893072</v>
      </c>
      <c r="BO22" s="745">
        <v>0.20095500137248754</v>
      </c>
      <c r="BP22" s="744">
        <v>0.3165405365361364</v>
      </c>
      <c r="BQ22" s="744">
        <v>0.45228873283719739</v>
      </c>
      <c r="BR22" s="744">
        <v>0.59882744960415391</v>
      </c>
      <c r="BS22" s="744">
        <v>0.73886847047985704</v>
      </c>
      <c r="BT22" s="744">
        <v>0.86974534955695426</v>
      </c>
      <c r="BW22" s="1191">
        <f>'2018'!R\Max</f>
        <v>0</v>
      </c>
      <c r="BX22" s="1189">
        <f>'2019'!R\Max</f>
        <v>0.32507242864410002</v>
      </c>
      <c r="BY22" s="1189">
        <f>'2020'!R\Max</f>
        <v>0.59182196328759351</v>
      </c>
      <c r="BZ22" s="1189">
        <f>'2021'!R\Max</f>
        <v>0.73335162214326965</v>
      </c>
      <c r="CA22" s="1189">
        <f>'2022'!R\Max</f>
        <v>0.38441323956706785</v>
      </c>
      <c r="CB22" s="1189">
        <f>'2023'!R\Max</f>
        <v>0.37485229542760856</v>
      </c>
      <c r="CC22" s="1189">
        <f>'2024'!R\Max</f>
        <v>0.36450542126784513</v>
      </c>
      <c r="CD22" s="1189">
        <f>'2025'!R\Max</f>
        <v>0.35059043238653281</v>
      </c>
      <c r="CE22" s="1189">
        <f>'2026'!R\Max</f>
        <v>0.40513124658133309</v>
      </c>
      <c r="CF22" s="1190">
        <f>'2027'!R\Max</f>
        <v>0.39948564493085792</v>
      </c>
    </row>
    <row r="23" spans="1:84" s="6" customFormat="1" ht="11.25" x14ac:dyDescent="0.2">
      <c r="A23" s="11">
        <v>43109</v>
      </c>
      <c r="B23" s="382">
        <f>'2022'!Maxi_hp</f>
        <v>18.867508996859197</v>
      </c>
      <c r="C23" s="85">
        <f>'2022'!An_max</f>
        <v>2020</v>
      </c>
      <c r="D23" s="1134"/>
      <c r="E23" s="773"/>
      <c r="F23" s="13">
        <f t="shared" si="22"/>
        <v>3</v>
      </c>
      <c r="G23" s="13">
        <f t="shared" si="23"/>
        <v>2</v>
      </c>
      <c r="H23" s="175">
        <f t="shared" si="7"/>
        <v>43122</v>
      </c>
      <c r="I23" s="774">
        <f t="shared" si="8"/>
        <v>0.9285714285714286</v>
      </c>
      <c r="J23" s="765">
        <f t="shared" si="26"/>
        <v>20.161892654746772</v>
      </c>
      <c r="L23" s="778" t="s">
        <v>221</v>
      </c>
      <c r="M23" s="759">
        <f t="shared" ref="M23:AM23" si="33">(y.1m-y.2m-b.m*(x.1m-x.2m))/D2x12</f>
        <v>4.9938916256141615E-2</v>
      </c>
      <c r="N23" s="759">
        <f>(y.1m-y.2m-b.m*(x.1m-x.2m))/D2x12</f>
        <v>4.3381280788164459E-2</v>
      </c>
      <c r="O23" s="759">
        <f t="shared" si="33"/>
        <v>2.6122448979593923E-2</v>
      </c>
      <c r="P23" s="759">
        <f t="shared" si="33"/>
        <v>1.8285714285718763E-2</v>
      </c>
      <c r="Q23" s="759">
        <f t="shared" si="33"/>
        <v>2.0897959183676412E-2</v>
      </c>
      <c r="R23" s="759">
        <f t="shared" si="33"/>
        <v>1.0448979591835486E-2</v>
      </c>
      <c r="S23" s="759">
        <f t="shared" si="33"/>
        <v>-5.2244897959175989E-3</v>
      </c>
      <c r="T23" s="759">
        <f t="shared" si="33"/>
        <v>-2.6122448979592441E-2</v>
      </c>
      <c r="U23" s="759">
        <f t="shared" si="33"/>
        <v>-3.3959183673468243E-2</v>
      </c>
      <c r="V23" s="759">
        <f t="shared" si="33"/>
        <v>-4.179591836735249E-2</v>
      </c>
      <c r="W23" s="759">
        <f t="shared" si="33"/>
        <v>-3.1346938775509224E-2</v>
      </c>
      <c r="X23" s="759">
        <f t="shared" si="33"/>
        <v>-2.351020408162768E-2</v>
      </c>
      <c r="Y23" s="759">
        <f t="shared" si="33"/>
        <v>-1.828571428571809E-2</v>
      </c>
      <c r="Z23" s="759">
        <f t="shared" si="33"/>
        <v>-1.3061224489796458E-2</v>
      </c>
      <c r="AA23" s="759">
        <f t="shared" si="33"/>
        <v>-1.8285714285709506E-2</v>
      </c>
      <c r="AB23" s="759">
        <f t="shared" si="33"/>
        <v>-1.3061224489795782E-2</v>
      </c>
      <c r="AC23" s="759">
        <f t="shared" si="33"/>
        <v>-1.8285714285710516E-2</v>
      </c>
      <c r="AD23" s="759">
        <f t="shared" si="33"/>
        <v>-2.8734693877558937E-2</v>
      </c>
      <c r="AE23" s="759">
        <f t="shared" si="33"/>
        <v>-3.3959183673477999E-2</v>
      </c>
      <c r="AF23" s="759">
        <f t="shared" si="33"/>
        <v>-2.0897959183675818E-2</v>
      </c>
      <c r="AG23" s="759">
        <f t="shared" si="33"/>
        <v>2.6122448979586516E-3</v>
      </c>
      <c r="AH23" s="759">
        <f t="shared" si="33"/>
        <v>2.8734693877558032E-2</v>
      </c>
      <c r="AI23" s="759">
        <f t="shared" si="33"/>
        <v>2.0897959183670257E-2</v>
      </c>
      <c r="AJ23" s="759">
        <f t="shared" si="33"/>
        <v>3.1346938775512069E-2</v>
      </c>
      <c r="AK23" s="759">
        <f t="shared" si="33"/>
        <v>2.3510204081628135E-2</v>
      </c>
      <c r="AL23" s="759">
        <f t="shared" si="33"/>
        <v>4.7020408163250288E-2</v>
      </c>
      <c r="AM23" s="759">
        <f t="shared" si="33"/>
        <v>4.9938916256160384E-2</v>
      </c>
      <c r="AN23" s="759">
        <f>(y.1m-y.2m-b.m*(x.1m-x.2m))/D2x12</f>
        <v>4.3381280788179169E-2</v>
      </c>
      <c r="AP23" s="13">
        <f t="shared" si="10"/>
        <v>3</v>
      </c>
      <c r="AQ23" s="13">
        <f t="shared" si="11"/>
        <v>2</v>
      </c>
      <c r="AR23" s="175">
        <f t="shared" si="12"/>
        <v>43136</v>
      </c>
      <c r="AS23" s="774">
        <f t="shared" si="13"/>
        <v>0.9642857142857143</v>
      </c>
      <c r="AT23" s="791">
        <f t="shared" si="14"/>
        <v>20.145138849956648</v>
      </c>
      <c r="AU23" s="13">
        <f t="shared" si="15"/>
        <v>1</v>
      </c>
      <c r="AV23" s="13">
        <f t="shared" si="16"/>
        <v>2</v>
      </c>
      <c r="AW23" s="175">
        <f t="shared" si="17"/>
        <v>43093</v>
      </c>
      <c r="AX23" s="774">
        <f t="shared" si="18"/>
        <v>0.55172413793103448</v>
      </c>
      <c r="AY23" s="791">
        <f t="shared" si="19"/>
        <v>20.288875243324657</v>
      </c>
      <c r="AZ23" s="765">
        <f t="shared" si="25"/>
        <v>20.217007046640653</v>
      </c>
      <c r="BA23" s="649">
        <f t="shared" si="20"/>
        <v>0.93580048857254305</v>
      </c>
      <c r="BB23" s="644">
        <v>43109</v>
      </c>
      <c r="BC23" s="11">
        <v>43109</v>
      </c>
      <c r="BD23" s="292">
        <f>[2]!FeuilCaduc*(1-Persistant)+Persistant</f>
        <v>1</v>
      </c>
      <c r="BE23" s="293">
        <f>[2]!CroissVégét</f>
        <v>5.4426808883230738E-4</v>
      </c>
      <c r="BF23" s="844">
        <f>1+[2]!Salcycl*Ksac</f>
        <v>1.0004258985294689</v>
      </c>
      <c r="BH23" s="1107">
        <f t="shared" si="21"/>
        <v>2.3466132805508935E-2</v>
      </c>
      <c r="BI23" s="11">
        <v>44205</v>
      </c>
      <c r="BJ23" s="744">
        <v>5.1974946648090524E-4</v>
      </c>
      <c r="BK23" s="744">
        <v>2.556136386362842E-3</v>
      </c>
      <c r="BL23" s="744">
        <v>1.6647088748022801E-2</v>
      </c>
      <c r="BM23" s="744">
        <v>5.0780540548734793E-2</v>
      </c>
      <c r="BN23" s="744">
        <v>0.11257794785469143</v>
      </c>
      <c r="BO23" s="745">
        <v>0.20015481621571504</v>
      </c>
      <c r="BP23" s="744">
        <v>0.31339955747338016</v>
      </c>
      <c r="BQ23" s="744">
        <v>0.44976318781171254</v>
      </c>
      <c r="BR23" s="744">
        <v>0.59596943601038721</v>
      </c>
      <c r="BS23" s="744">
        <v>0.73861020931334576</v>
      </c>
      <c r="BT23" s="744">
        <v>0.87170775431434588</v>
      </c>
      <c r="BW23" s="1191">
        <f>'2018'!R\Max</f>
        <v>0</v>
      </c>
      <c r="BX23" s="1189">
        <f>'2019'!R\Max</f>
        <v>0.41632131685180984</v>
      </c>
      <c r="BY23" s="1189">
        <f>'2020'!R\Max</f>
        <v>0.93580048857254305</v>
      </c>
      <c r="BZ23" s="1189">
        <f>'2021'!R\Max</f>
        <v>0.27155941009522711</v>
      </c>
      <c r="CA23" s="1189">
        <f>'2022'!R\Max</f>
        <v>0.1135657446891386</v>
      </c>
      <c r="CB23" s="1189">
        <f>'2023'!R\Max</f>
        <v>0.1103652925784953</v>
      </c>
      <c r="CC23" s="1189">
        <f>'2024'!R\Max</f>
        <v>0.1069253163772074</v>
      </c>
      <c r="CD23" s="1189">
        <f>'2025'!R\Max</f>
        <v>0.10225508658114214</v>
      </c>
      <c r="CE23" s="1189">
        <f>'2026'!R\Max</f>
        <v>0.12067214622300212</v>
      </c>
      <c r="CF23" s="1190">
        <f>'2027'!R\Max</f>
        <v>0.11873817348024357</v>
      </c>
    </row>
    <row r="24" spans="1:84" s="6" customFormat="1" ht="11.25" x14ac:dyDescent="0.2">
      <c r="A24" s="11">
        <v>43110</v>
      </c>
      <c r="B24" s="382">
        <f>'2022'!Maxi_hp</f>
        <v>10.733503548463755</v>
      </c>
      <c r="C24" s="85">
        <f>'2022'!An_max</f>
        <v>2019</v>
      </c>
      <c r="D24" s="1134"/>
      <c r="E24" s="773"/>
      <c r="F24" s="13">
        <f t="shared" si="22"/>
        <v>3</v>
      </c>
      <c r="G24" s="13">
        <f t="shared" si="23"/>
        <v>2</v>
      </c>
      <c r="H24" s="175">
        <f t="shared" si="7"/>
        <v>43122</v>
      </c>
      <c r="I24" s="774">
        <f t="shared" si="8"/>
        <v>0.8571428571428571</v>
      </c>
      <c r="J24" s="765">
        <f t="shared" si="26"/>
        <v>20.367173668635743</v>
      </c>
      <c r="L24" s="778" t="s">
        <v>222</v>
      </c>
      <c r="M24" s="759">
        <f t="shared" ref="M24:AM24" si="34">(y.2m-y.3m-(y.1m-y.2m)*D2x23/D2x12)/(x.2m-x.3m)/(1-(x.2m+x.3m)/(x.1m+x.2m))</f>
        <v>-4303.5557201956635</v>
      </c>
      <c r="N24" s="759">
        <f>(y.2m-y.3m-(y.1m-y.2m)*D2x23/D2x12)/(x.2m-x.3m)/(1-(x.2m+x.3m)/(x.1m+x.2m))</f>
        <v>-3738.2809852205646</v>
      </c>
      <c r="O24" s="759">
        <f t="shared" si="34"/>
        <v>-2250.0519183675269</v>
      </c>
      <c r="P24" s="759">
        <f t="shared" si="34"/>
        <v>-1574.0708571432433</v>
      </c>
      <c r="Q24" s="759">
        <f t="shared" si="34"/>
        <v>-1799.4710204084172</v>
      </c>
      <c r="R24" s="759">
        <f t="shared" si="34"/>
        <v>-897.57779591825954</v>
      </c>
      <c r="S24" s="759">
        <f t="shared" si="34"/>
        <v>455.7008979591173</v>
      </c>
      <c r="T24" s="759">
        <f t="shared" si="34"/>
        <v>2260.6576326531135</v>
      </c>
      <c r="U24" s="759">
        <f t="shared" si="34"/>
        <v>2937.7358367345951</v>
      </c>
      <c r="V24" s="759">
        <f t="shared" si="34"/>
        <v>3615.0334693882346</v>
      </c>
      <c r="W24" s="759">
        <f t="shared" si="34"/>
        <v>2711.6773877550168</v>
      </c>
      <c r="X24" s="759">
        <f t="shared" si="34"/>
        <v>2033.9408979587538</v>
      </c>
      <c r="Y24" s="759">
        <f t="shared" si="34"/>
        <v>1581.9702857146149</v>
      </c>
      <c r="Z24" s="759">
        <f t="shared" si="34"/>
        <v>1129.8533877551488</v>
      </c>
      <c r="AA24" s="759">
        <f t="shared" si="34"/>
        <v>1582.1165714281578</v>
      </c>
      <c r="AB24" s="759">
        <f t="shared" si="34"/>
        <v>1129.7071020408043</v>
      </c>
      <c r="AC24" s="759">
        <f t="shared" si="34"/>
        <v>1582.2628571425305</v>
      </c>
      <c r="AD24" s="759">
        <f t="shared" si="34"/>
        <v>2487.6669387761958</v>
      </c>
      <c r="AE24" s="759">
        <f t="shared" si="34"/>
        <v>2940.515265306869</v>
      </c>
      <c r="AF24" s="759">
        <f t="shared" si="34"/>
        <v>1808.0287346940813</v>
      </c>
      <c r="AG24" s="759">
        <f t="shared" si="34"/>
        <v>-231.10530612240282</v>
      </c>
      <c r="AH24" s="759">
        <f t="shared" si="34"/>
        <v>-2497.5412244904041</v>
      </c>
      <c r="AI24" s="759">
        <f t="shared" si="34"/>
        <v>-1817.3910204078843</v>
      </c>
      <c r="AJ24" s="759">
        <f t="shared" si="34"/>
        <v>-2724.5505306124069</v>
      </c>
      <c r="AK24" s="759">
        <f t="shared" si="34"/>
        <v>-2043.9614693873627</v>
      </c>
      <c r="AL24" s="759">
        <f t="shared" si="34"/>
        <v>-4086.3869387742056</v>
      </c>
      <c r="AM24" s="759">
        <f t="shared" si="34"/>
        <v>-4340.0111290642781</v>
      </c>
      <c r="AN24" s="759">
        <f>(y.2m-y.3m-(y.1m-y.2m)*D2x23/D2x12)/(x.2m-x.3m)/(1-(x.2m+x.3m)/(x.1m+x.2m))</f>
        <v>-3769.9493201972036</v>
      </c>
      <c r="AP24" s="13">
        <f t="shared" si="10"/>
        <v>3</v>
      </c>
      <c r="AQ24" s="13">
        <f t="shared" si="11"/>
        <v>2</v>
      </c>
      <c r="AR24" s="175">
        <f t="shared" si="12"/>
        <v>43136</v>
      </c>
      <c r="AS24" s="774">
        <f t="shared" si="13"/>
        <v>0.9285714285714286</v>
      </c>
      <c r="AT24" s="791">
        <f t="shared" si="14"/>
        <v>20.333973816569362</v>
      </c>
      <c r="AU24" s="13">
        <f t="shared" si="15"/>
        <v>1</v>
      </c>
      <c r="AV24" s="13">
        <f t="shared" si="16"/>
        <v>2</v>
      </c>
      <c r="AW24" s="175">
        <f t="shared" si="17"/>
        <v>43093</v>
      </c>
      <c r="AX24" s="774">
        <f t="shared" si="18"/>
        <v>0.58620689655172409</v>
      </c>
      <c r="AY24" s="791">
        <f t="shared" si="19"/>
        <v>20.500644238498705</v>
      </c>
      <c r="AZ24" s="765">
        <f t="shared" si="25"/>
        <v>20.417309027534031</v>
      </c>
      <c r="BA24" s="649">
        <f t="shared" si="20"/>
        <v>0.52700014852785992</v>
      </c>
      <c r="BB24" s="644">
        <v>43110</v>
      </c>
      <c r="BC24" s="11">
        <v>43110</v>
      </c>
      <c r="BD24" s="292">
        <f>[2]!FeuilCaduc*(1-Persistant)+Persistant</f>
        <v>1</v>
      </c>
      <c r="BE24" s="293">
        <f>[2]!CroissVégét</f>
        <v>6.2535138577142317E-4</v>
      </c>
      <c r="BF24" s="844">
        <f>1+[2]!Salcycl*Ksac</f>
        <v>1.0003881800925203</v>
      </c>
      <c r="BH24" s="1107">
        <f t="shared" si="21"/>
        <v>2.3349642100613032E-2</v>
      </c>
      <c r="BI24" s="1109">
        <v>44206</v>
      </c>
      <c r="BJ24" s="744">
        <v>5.3549127746198972E-4</v>
      </c>
      <c r="BK24" s="744">
        <v>2.5165463574855925E-3</v>
      </c>
      <c r="BL24" s="744">
        <v>1.6453127082318181E-2</v>
      </c>
      <c r="BM24" s="744">
        <v>5.0974368034181962E-2</v>
      </c>
      <c r="BN24" s="744">
        <v>0.11165359727645768</v>
      </c>
      <c r="BO24" s="745">
        <v>0.19931540057341465</v>
      </c>
      <c r="BP24" s="744">
        <v>0.31016427326082291</v>
      </c>
      <c r="BQ24" s="744">
        <v>0.44702224827384335</v>
      </c>
      <c r="BR24" s="744">
        <v>0.59285627812426034</v>
      </c>
      <c r="BS24" s="744">
        <v>0.73803696755734949</v>
      </c>
      <c r="BT24" s="744">
        <v>0.87332619108810405</v>
      </c>
      <c r="BW24" s="1191">
        <f>'2018'!R\Max</f>
        <v>0</v>
      </c>
      <c r="BX24" s="1189">
        <f>'2019'!R\Max</f>
        <v>0.52700014852785992</v>
      </c>
      <c r="BY24" s="1189">
        <f>'2020'!R\Max</f>
        <v>0.50424146378265566</v>
      </c>
      <c r="BZ24" s="1189">
        <f>'2021'!R\Max</f>
        <v>0.24844744569835234</v>
      </c>
      <c r="CA24" s="1189">
        <f>'2022'!R\Max</f>
        <v>9.5147723311419741E-2</v>
      </c>
      <c r="CB24" s="1189">
        <f>'2023'!R\Max</f>
        <v>9.2544324769868333E-2</v>
      </c>
      <c r="CC24" s="1189">
        <f>'2024'!R\Max</f>
        <v>8.9740642140893653E-2</v>
      </c>
      <c r="CD24" s="1189">
        <f>'2025'!R\Max</f>
        <v>8.5857259320469947E-2</v>
      </c>
      <c r="CE24" s="1189">
        <f>'2026'!R\Max</f>
        <v>0.10099546998939343</v>
      </c>
      <c r="CF24" s="1190">
        <f>'2027'!R\Max</f>
        <v>9.9416582275865487E-2</v>
      </c>
    </row>
    <row r="25" spans="1:84" s="6" customFormat="1" ht="11.25" x14ac:dyDescent="0.2">
      <c r="A25" s="11">
        <v>43111</v>
      </c>
      <c r="B25" s="382">
        <f>'2022'!Maxi_hp</f>
        <v>21.020658697052703</v>
      </c>
      <c r="C25" s="85">
        <f>'2022'!An_max</f>
        <v>2022</v>
      </c>
      <c r="D25" s="1134"/>
      <c r="E25" s="773"/>
      <c r="F25" s="13">
        <f t="shared" si="22"/>
        <v>3</v>
      </c>
      <c r="G25" s="13">
        <f t="shared" si="23"/>
        <v>2</v>
      </c>
      <c r="H25" s="175">
        <f t="shared" si="7"/>
        <v>43122</v>
      </c>
      <c r="I25" s="774">
        <f t="shared" si="8"/>
        <v>0.7857142857142857</v>
      </c>
      <c r="J25" s="765">
        <f t="shared" si="26"/>
        <v>20.58310337524329</v>
      </c>
      <c r="L25" s="778" t="s">
        <v>223</v>
      </c>
      <c r="M25" s="759">
        <f t="shared" ref="M25:AM25" si="35">(y.1m+y.2m+y.3m-a.m*(x.3m*x.3m+x.2m*x.2m+x.1m*x.1m)-b.m*(x.3m+x.2m+x.1m))/3</f>
        <v>92716408.366882578</v>
      </c>
      <c r="N25" s="759">
        <f>(y.1m+y.2m+y.3m-a.m*(x.3m*x.3m+x.2m*x.2m+x.1m*x.1m)-b.m*(x.3m+x.2m+x.1m))/3</f>
        <v>80534596.878352433</v>
      </c>
      <c r="O25" s="759">
        <f t="shared" si="35"/>
        <v>48452099.615350813</v>
      </c>
      <c r="P25" s="759">
        <f t="shared" si="35"/>
        <v>33874906.404579751</v>
      </c>
      <c r="Q25" s="759">
        <f t="shared" si="35"/>
        <v>38737125.89845445</v>
      </c>
      <c r="R25" s="759">
        <f t="shared" si="35"/>
        <v>19275623.465793591</v>
      </c>
      <c r="S25" s="759">
        <f t="shared" si="35"/>
        <v>-9935573.0128965247</v>
      </c>
      <c r="T25" s="759">
        <f t="shared" si="35"/>
        <v>-48909100.282776631</v>
      </c>
      <c r="U25" s="759">
        <f t="shared" si="35"/>
        <v>-63533650.567834608</v>
      </c>
      <c r="V25" s="759">
        <f t="shared" si="35"/>
        <v>-78167681.483765453</v>
      </c>
      <c r="W25" s="759">
        <f t="shared" si="35"/>
        <v>-58642995.325385898</v>
      </c>
      <c r="X25" s="759">
        <f t="shared" si="35"/>
        <v>-43989993.931745812</v>
      </c>
      <c r="Y25" s="759">
        <f t="shared" si="35"/>
        <v>-34214999.771435685</v>
      </c>
      <c r="Z25" s="759">
        <f t="shared" si="35"/>
        <v>-24433676.998531625</v>
      </c>
      <c r="AA25" s="759">
        <f t="shared" si="35"/>
        <v>-34221330.431991056</v>
      </c>
      <c r="AB25" s="759">
        <f t="shared" si="35"/>
        <v>-24427344.289958924</v>
      </c>
      <c r="AC25" s="759">
        <f t="shared" si="35"/>
        <v>-34227665.188564353</v>
      </c>
      <c r="AD25" s="759">
        <f t="shared" si="35"/>
        <v>-53840980.594953619</v>
      </c>
      <c r="AE25" s="759">
        <f t="shared" si="35"/>
        <v>-63653977.150710046</v>
      </c>
      <c r="AF25" s="759">
        <f t="shared" si="35"/>
        <v>-39105633.509881966</v>
      </c>
      <c r="AG25" s="759">
        <f t="shared" si="35"/>
        <v>5109928.3121622652</v>
      </c>
      <c r="AH25" s="759">
        <f t="shared" si="35"/>
        <v>54270055.319523402</v>
      </c>
      <c r="AI25" s="759">
        <f t="shared" si="35"/>
        <v>39512496.650442921</v>
      </c>
      <c r="AJ25" s="759">
        <f t="shared" si="35"/>
        <v>59201939.727676988</v>
      </c>
      <c r="AK25" s="759">
        <f t="shared" si="35"/>
        <v>44425330.708889447</v>
      </c>
      <c r="AL25" s="759">
        <f t="shared" si="35"/>
        <v>88783747.113767594</v>
      </c>
      <c r="AM25" s="759">
        <f t="shared" si="35"/>
        <v>94293859.316907659</v>
      </c>
      <c r="AN25" s="759">
        <f>(y.1m+y.2m+y.3m-a.m*(x.3m*x.3m+x.2m*x.2m+x.1m*x.1m)-b.m*(x.3m+x.2m+x.1m))/3</f>
        <v>81904848.909118742</v>
      </c>
      <c r="AP25" s="13">
        <f t="shared" si="10"/>
        <v>3</v>
      </c>
      <c r="AQ25" s="13">
        <f t="shared" si="11"/>
        <v>2</v>
      </c>
      <c r="AR25" s="175">
        <f t="shared" si="12"/>
        <v>43136</v>
      </c>
      <c r="AS25" s="774">
        <f t="shared" si="13"/>
        <v>0.8928571428571429</v>
      </c>
      <c r="AT25" s="791">
        <f>((1-AS25)*(INDEX(a.lg,AP25)*$A25*$A25+INDEX(b.lg,AP25)*$A25+INDEX(c.lg,AP25))+AS25*(INDEX(a.lg,AQ25)*$A25*$A25+INDEX(b.lg,AQ25)*$A25+INDEX(c.lg,AQ25)))/10</f>
        <v>20.534079427431738</v>
      </c>
      <c r="AU25" s="13">
        <f t="shared" si="15"/>
        <v>1</v>
      </c>
      <c r="AV25" s="13">
        <f t="shared" si="16"/>
        <v>2</v>
      </c>
      <c r="AW25" s="175">
        <f t="shared" si="17"/>
        <v>43093</v>
      </c>
      <c r="AX25" s="774">
        <f t="shared" si="18"/>
        <v>0.62068965517241381</v>
      </c>
      <c r="AY25" s="791">
        <f t="shared" si="19"/>
        <v>20.719072181448855</v>
      </c>
      <c r="AZ25" s="765">
        <f t="shared" si="25"/>
        <v>20.626575804440296</v>
      </c>
      <c r="BA25" s="649">
        <f t="shared" si="20"/>
        <v>1.0212579859233322</v>
      </c>
      <c r="BB25" s="644">
        <v>43111</v>
      </c>
      <c r="BC25" s="11">
        <v>43111</v>
      </c>
      <c r="BD25" s="292">
        <f>[2]!FeuilCaduc*(1-Persistant)+Persistant</f>
        <v>1</v>
      </c>
      <c r="BE25" s="293">
        <f>[2]!CroissVégét</f>
        <v>7.0982230050345072E-4</v>
      </c>
      <c r="BF25" s="844">
        <f>1+[2]!Salcycl*Ksac</f>
        <v>1.0003520780872477</v>
      </c>
      <c r="BH25" s="1107">
        <f t="shared" si="21"/>
        <v>2.3219943934193535E-2</v>
      </c>
      <c r="BI25" s="11">
        <v>44207</v>
      </c>
      <c r="BJ25" s="744">
        <v>5.5154148337589705E-4</v>
      </c>
      <c r="BK25" s="744">
        <v>2.485474446381647E-3</v>
      </c>
      <c r="BL25" s="744">
        <v>1.6248137752038792E-2</v>
      </c>
      <c r="BM25" s="744">
        <v>5.1146256649105153E-2</v>
      </c>
      <c r="BN25" s="744">
        <v>0.1107530043959316</v>
      </c>
      <c r="BO25" s="745">
        <v>0.19847759625155903</v>
      </c>
      <c r="BP25" s="744">
        <v>0.3069836270859157</v>
      </c>
      <c r="BQ25" s="744">
        <v>0.44418927166939731</v>
      </c>
      <c r="BR25" s="744">
        <v>0.58960961750195495</v>
      </c>
      <c r="BS25" s="744">
        <v>0.73716518877617443</v>
      </c>
      <c r="BT25" s="744">
        <v>0.87457679605560013</v>
      </c>
      <c r="BW25" s="1191">
        <f>'2018'!R\Max</f>
        <v>0</v>
      </c>
      <c r="BX25" s="1189">
        <f>'2019'!R\Max</f>
        <v>0.97493155586484193</v>
      </c>
      <c r="BY25" s="1189">
        <f>'2020'!R\Max</f>
        <v>0.98847823468128437</v>
      </c>
      <c r="BZ25" s="1189">
        <f>'2021'!R\Max</f>
        <v>0.33013082888046719</v>
      </c>
      <c r="CA25" s="1189">
        <f>'2022'!R\Max</f>
        <v>1.0212579859233322</v>
      </c>
      <c r="CB25" s="1189">
        <f>'2023'!R\Max</f>
        <v>1.0212579859233324</v>
      </c>
      <c r="CC25" s="1189">
        <f>'2024'!R\Max</f>
        <v>1.0212579859233322</v>
      </c>
      <c r="CD25" s="1189">
        <f>'2025'!R\Max</f>
        <v>1.0212579859233319</v>
      </c>
      <c r="CE25" s="1189">
        <f>'2026'!R\Max</f>
        <v>1.0212579859233324</v>
      </c>
      <c r="CF25" s="1190">
        <f>'2027'!R\Max</f>
        <v>1.0212579859233324</v>
      </c>
    </row>
    <row r="26" spans="1:84" s="6" customFormat="1" ht="11.25" x14ac:dyDescent="0.2">
      <c r="A26" s="11">
        <v>43112</v>
      </c>
      <c r="B26" s="382">
        <f>'2022'!Maxi_hp</f>
        <v>20.696537437632458</v>
      </c>
      <c r="C26" s="85">
        <f>'2022'!An_max</f>
        <v>2020</v>
      </c>
      <c r="D26" s="1134"/>
      <c r="E26" s="773"/>
      <c r="F26" s="13">
        <f t="shared" si="22"/>
        <v>3</v>
      </c>
      <c r="G26" s="13">
        <f t="shared" si="23"/>
        <v>2</v>
      </c>
      <c r="H26" s="175">
        <f t="shared" si="7"/>
        <v>43122</v>
      </c>
      <c r="I26" s="774">
        <f t="shared" si="8"/>
        <v>0.7142857142857143</v>
      </c>
      <c r="J26" s="765">
        <f t="shared" si="26"/>
        <v>20.808942114242484</v>
      </c>
      <c r="L26" s="10"/>
      <c r="AP26" s="13">
        <f t="shared" si="10"/>
        <v>3</v>
      </c>
      <c r="AQ26" s="13">
        <f t="shared" si="11"/>
        <v>2</v>
      </c>
      <c r="AR26" s="175">
        <f t="shared" si="12"/>
        <v>43136</v>
      </c>
      <c r="AS26" s="774">
        <f t="shared" si="13"/>
        <v>0.8571428571428571</v>
      </c>
      <c r="AT26" s="791">
        <f>((1-AS26)*(INDEX(a.lg,AP26)*$A26*$A26+INDEX(b.lg,AP26)*$A26+INDEX(c.lg,AP26))+AS26*(INDEX(a.lg,AQ26)*$A26*$A26+INDEX(b.lg,AQ26)*$A26+INDEX(c.lg,AQ26)))/10</f>
        <v>20.745030225600516</v>
      </c>
      <c r="AU26" s="13">
        <f t="shared" si="15"/>
        <v>1</v>
      </c>
      <c r="AV26" s="13">
        <f t="shared" si="16"/>
        <v>2</v>
      </c>
      <c r="AW26" s="175">
        <f t="shared" si="17"/>
        <v>43093</v>
      </c>
      <c r="AX26" s="774">
        <f t="shared" si="18"/>
        <v>0.65517241379310343</v>
      </c>
      <c r="AY26" s="791">
        <f t="shared" si="19"/>
        <v>20.943768620491028</v>
      </c>
      <c r="AZ26" s="765">
        <f t="shared" si="25"/>
        <v>20.844399423045772</v>
      </c>
      <c r="BA26" s="649">
        <f t="shared" si="20"/>
        <v>0.99459825127135648</v>
      </c>
      <c r="BB26" s="644">
        <v>43112</v>
      </c>
      <c r="BC26" s="11">
        <v>43112</v>
      </c>
      <c r="BD26" s="292">
        <f>[2]!FeuilCaduc*(1-Persistant)+Persistant</f>
        <v>1</v>
      </c>
      <c r="BE26" s="293">
        <f>[2]!CroissVégét</f>
        <v>7.9782175584567966E-4</v>
      </c>
      <c r="BF26" s="844">
        <f>1+[2]!Salcycl*Ksac</f>
        <v>1.000317549343787</v>
      </c>
      <c r="BH26" s="1107">
        <f t="shared" si="21"/>
        <v>2.3076969155414864E-2</v>
      </c>
      <c r="BI26" s="11">
        <v>44208</v>
      </c>
      <c r="BJ26" s="744">
        <v>5.6789835239990163E-4</v>
      </c>
      <c r="BK26" s="744">
        <v>2.4629269149262917E-3</v>
      </c>
      <c r="BL26" s="744">
        <v>1.6032075399712561E-2</v>
      </c>
      <c r="BM26" s="744">
        <v>5.1296041935815329E-2</v>
      </c>
      <c r="BN26" s="744">
        <v>0.10987596489974545</v>
      </c>
      <c r="BO26" s="745">
        <v>0.19764094776323626</v>
      </c>
      <c r="BP26" s="744">
        <v>0.30385707012770996</v>
      </c>
      <c r="BQ26" s="744">
        <v>0.44126315959479995</v>
      </c>
      <c r="BR26" s="744">
        <v>0.58622795743364342</v>
      </c>
      <c r="BS26" s="744">
        <v>0.73599268218345859</v>
      </c>
      <c r="BT26" s="744">
        <v>0.87545684551705416</v>
      </c>
      <c r="BW26" s="1191">
        <f>'2018'!R\Max</f>
        <v>0</v>
      </c>
      <c r="BX26" s="1189">
        <f>'2019'!R\Max</f>
        <v>0.40513387600947393</v>
      </c>
      <c r="BY26" s="1189">
        <f>'2020'!R\Max</f>
        <v>0.99459825127135648</v>
      </c>
      <c r="BZ26" s="1189">
        <f>'2021'!R\Max</f>
        <v>0.68351241175702726</v>
      </c>
      <c r="CA26" s="1189">
        <f>'2022'!R\Max</f>
        <v>0.91239785061988854</v>
      </c>
      <c r="CB26" s="1189">
        <f>'2023'!R\Max</f>
        <v>0.90946887799704301</v>
      </c>
      <c r="CC26" s="1189">
        <f>'2024'!R\Max</f>
        <v>0.90614722955704086</v>
      </c>
      <c r="CD26" s="1189">
        <f>'2025'!R\Max</f>
        <v>0.90106238622575929</v>
      </c>
      <c r="CE26" s="1189">
        <f>'2026'!R\Max</f>
        <v>0.91865422198076963</v>
      </c>
      <c r="CF26" s="1190">
        <f>'2027'!R\Max</f>
        <v>0.91705127840948453</v>
      </c>
    </row>
    <row r="27" spans="1:84" s="6" customFormat="1" ht="11.25" x14ac:dyDescent="0.2">
      <c r="A27" s="11">
        <v>43113</v>
      </c>
      <c r="B27" s="382">
        <f>'2022'!Maxi_hp</f>
        <v>14.73462756836317</v>
      </c>
      <c r="C27" s="85">
        <f>'2022'!An_max</f>
        <v>2020</v>
      </c>
      <c r="D27" s="1134"/>
      <c r="E27" s="773"/>
      <c r="F27" s="13">
        <f t="shared" si="22"/>
        <v>3</v>
      </c>
      <c r="G27" s="13">
        <f t="shared" si="23"/>
        <v>2</v>
      </c>
      <c r="H27" s="175">
        <f t="shared" si="7"/>
        <v>43122</v>
      </c>
      <c r="I27" s="774">
        <f t="shared" si="8"/>
        <v>0.6428571428571429</v>
      </c>
      <c r="J27" s="765">
        <f t="shared" si="26"/>
        <v>21.043950215939965</v>
      </c>
      <c r="L27" s="10"/>
      <c r="M27" s="6" t="s">
        <v>232</v>
      </c>
      <c r="AC27" s="69"/>
      <c r="AE27" s="69"/>
      <c r="AG27" s="69"/>
      <c r="AI27" s="69"/>
      <c r="AK27" s="69"/>
      <c r="AM27" s="69"/>
      <c r="AO27" s="177"/>
      <c r="AP27" s="13">
        <f t="shared" si="10"/>
        <v>3</v>
      </c>
      <c r="AQ27" s="13">
        <f t="shared" si="11"/>
        <v>2</v>
      </c>
      <c r="AR27" s="175">
        <f t="shared" si="12"/>
        <v>43136</v>
      </c>
      <c r="AS27" s="774">
        <f t="shared" si="13"/>
        <v>0.8214285714285714</v>
      </c>
      <c r="AT27" s="791">
        <f>((1-AS27)*(INDEX(a.lg,AP27)*$A27*$A27+INDEX(b.lg,AP27)*$A27+INDEX(c.lg,AP27))+AS27*(INDEX(a.lg,AQ27)*$A27*$A27+INDEX(b.lg,AQ27)*$A27+INDEX(c.lg,AQ27)))/10</f>
        <v>20.966400744233813</v>
      </c>
      <c r="AU27" s="13">
        <f t="shared" si="15"/>
        <v>1</v>
      </c>
      <c r="AV27" s="13">
        <f t="shared" si="16"/>
        <v>2</v>
      </c>
      <c r="AW27" s="175">
        <f t="shared" si="17"/>
        <v>43093</v>
      </c>
      <c r="AX27" s="774">
        <f t="shared" si="18"/>
        <v>0.68965517241379315</v>
      </c>
      <c r="AY27" s="791">
        <f t="shared" si="19"/>
        <v>21.174343096798864</v>
      </c>
      <c r="AZ27" s="765">
        <f t="shared" si="25"/>
        <v>21.070371920516337</v>
      </c>
      <c r="BA27" s="649">
        <f t="shared" si="20"/>
        <v>0.70018354050287901</v>
      </c>
      <c r="BB27" s="644">
        <v>43113</v>
      </c>
      <c r="BC27" s="11">
        <v>43113</v>
      </c>
      <c r="BD27" s="292">
        <f>[2]!FeuilCaduc*(1-Persistant)+Persistant</f>
        <v>1</v>
      </c>
      <c r="BE27" s="293">
        <f>[2]!CroissVégét</f>
        <v>8.8949648478391823E-4</v>
      </c>
      <c r="BF27" s="844">
        <f>1+[2]!Salcycl*Ksac</f>
        <v>1.000284575005181</v>
      </c>
      <c r="BH27" s="1107">
        <f t="shared" si="21"/>
        <v>2.2920651392931059E-2</v>
      </c>
      <c r="BI27" s="11">
        <v>44209</v>
      </c>
      <c r="BJ27" s="744">
        <v>5.84559959695838E-4</v>
      </c>
      <c r="BK27" s="744">
        <v>2.4489094376047133E-3</v>
      </c>
      <c r="BL27" s="744">
        <v>1.5804897954050077E-2</v>
      </c>
      <c r="BM27" s="744">
        <v>5.1423560186500177E-2</v>
      </c>
      <c r="BN27" s="744">
        <v>0.10902228133059404</v>
      </c>
      <c r="BO27" s="745">
        <v>0.19680500845219981</v>
      </c>
      <c r="BP27" s="744">
        <v>0.30078408065923551</v>
      </c>
      <c r="BQ27" s="744">
        <v>0.43824285325126228</v>
      </c>
      <c r="BR27" s="744">
        <v>0.58270984981094298</v>
      </c>
      <c r="BS27" s="744">
        <v>0.73451729966447443</v>
      </c>
      <c r="BT27" s="744">
        <v>0.8759636448302579</v>
      </c>
      <c r="BW27" s="1191">
        <f>'2018'!R\Max</f>
        <v>0</v>
      </c>
      <c r="BX27" s="1189">
        <f>'2019'!R\Max</f>
        <v>0.30723517371712294</v>
      </c>
      <c r="BY27" s="1189">
        <f>'2020'!R\Max</f>
        <v>0.70018354050287901</v>
      </c>
      <c r="BZ27" s="1189">
        <f>'2021'!R\Max</f>
        <v>0.66452087044106911</v>
      </c>
      <c r="CA27" s="1189">
        <f>'2022'!R\Max</f>
        <v>0.31376394032979699</v>
      </c>
      <c r="CB27" s="1189">
        <f>'2023'!R\Max</f>
        <v>0.30627216553443781</v>
      </c>
      <c r="CC27" s="1189">
        <f>'2024'!R\Max</f>
        <v>0.29814447683431006</v>
      </c>
      <c r="CD27" s="1189">
        <f>'2025'!R\Max</f>
        <v>0.28622353276105972</v>
      </c>
      <c r="CE27" s="1189">
        <f>'2026'!R\Max</f>
        <v>0.33112672099027912</v>
      </c>
      <c r="CF27" s="1190">
        <f>'2027'!R\Max</f>
        <v>0.3265494628653548</v>
      </c>
    </row>
    <row r="28" spans="1:84" s="6" customFormat="1" ht="11.25" x14ac:dyDescent="0.2">
      <c r="A28" s="11">
        <v>43114</v>
      </c>
      <c r="B28" s="382">
        <f>'2022'!Maxi_hp</f>
        <v>21.692421575213363</v>
      </c>
      <c r="C28" s="85">
        <f>'2022'!An_max</f>
        <v>2022</v>
      </c>
      <c r="D28" s="1134"/>
      <c r="E28" s="773"/>
      <c r="F28" s="13">
        <f t="shared" si="22"/>
        <v>3</v>
      </c>
      <c r="G28" s="13">
        <f t="shared" si="23"/>
        <v>2</v>
      </c>
      <c r="H28" s="175">
        <f t="shared" si="7"/>
        <v>43122</v>
      </c>
      <c r="I28" s="774">
        <f t="shared" si="8"/>
        <v>0.5714285714285714</v>
      </c>
      <c r="J28" s="765">
        <f t="shared" si="26"/>
        <v>21.287388020434548</v>
      </c>
      <c r="L28" s="177">
        <f>M28-28</f>
        <v>43051</v>
      </c>
      <c r="M28" s="177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7">
        <f>AN12</f>
        <v>43473</v>
      </c>
      <c r="AB28" s="177">
        <f>AA28+28</f>
        <v>43501</v>
      </c>
      <c r="AP28" s="13">
        <f t="shared" si="10"/>
        <v>3</v>
      </c>
      <c r="AQ28" s="13">
        <f t="shared" si="11"/>
        <v>2</v>
      </c>
      <c r="AR28" s="175">
        <f t="shared" si="12"/>
        <v>43136</v>
      </c>
      <c r="AS28" s="774">
        <f t="shared" si="13"/>
        <v>0.7857142857142857</v>
      </c>
      <c r="AT28" s="791">
        <f t="shared" si="14"/>
        <v>21.197765519523195</v>
      </c>
      <c r="AU28" s="13">
        <f t="shared" si="15"/>
        <v>1</v>
      </c>
      <c r="AV28" s="13">
        <f t="shared" si="16"/>
        <v>2</v>
      </c>
      <c r="AW28" s="175">
        <f t="shared" si="17"/>
        <v>43093</v>
      </c>
      <c r="AX28" s="774">
        <f t="shared" si="18"/>
        <v>0.72413793103448276</v>
      </c>
      <c r="AY28" s="791">
        <f t="shared" si="19"/>
        <v>21.410405156992631</v>
      </c>
      <c r="AZ28" s="765">
        <f t="shared" si="25"/>
        <v>21.304085338257913</v>
      </c>
      <c r="BA28" s="649">
        <f t="shared" si="20"/>
        <v>1.0190269259145373</v>
      </c>
      <c r="BB28" s="644">
        <v>43114</v>
      </c>
      <c r="BC28" s="11">
        <v>43114</v>
      </c>
      <c r="BD28" s="292">
        <f>[2]!FeuilCaduc*(1-Persistant)+Persistant</f>
        <v>1</v>
      </c>
      <c r="BE28" s="293">
        <f>[2]!CroissVégét</f>
        <v>9.849992655628797E-4</v>
      </c>
      <c r="BF28" s="844">
        <f>1+[2]!Salcycl*Ksac</f>
        <v>1.0002531575306968</v>
      </c>
      <c r="BH28" s="1107">
        <f t="shared" si="21"/>
        <v>2.2750927379253303E-2</v>
      </c>
      <c r="BI28" s="11">
        <v>44210</v>
      </c>
      <c r="BJ28" s="744">
        <v>6.0152417972396117E-4</v>
      </c>
      <c r="BK28" s="744">
        <v>2.4434268831880022E-3</v>
      </c>
      <c r="BL28" s="744">
        <v>1.5566566899750984E-2</v>
      </c>
      <c r="BM28" s="744">
        <v>5.1528648986141901E-2</v>
      </c>
      <c r="BN28" s="744">
        <v>0.10819176242106542</v>
      </c>
      <c r="BO28" s="745">
        <v>0.19596934035876543</v>
      </c>
      <c r="BP28" s="744">
        <v>0.29776416247071452</v>
      </c>
      <c r="BQ28" s="744">
        <v>0.43512733555592487</v>
      </c>
      <c r="BR28" s="744">
        <v>0.57905389822922404</v>
      </c>
      <c r="BS28" s="744">
        <v>0.7327369430756222</v>
      </c>
      <c r="BT28" s="744">
        <v>0.87609453746980503</v>
      </c>
      <c r="BW28" s="1191">
        <f>'2018'!R\Max</f>
        <v>0</v>
      </c>
      <c r="BX28" s="1189">
        <f>'2019'!R\Max</f>
        <v>0.34565944027262624</v>
      </c>
      <c r="BY28" s="1189">
        <f>'2020'!R\Max</f>
        <v>0.9601501365167816</v>
      </c>
      <c r="BZ28" s="1189">
        <f>'2021'!R\Max</f>
        <v>0.49820469651922095</v>
      </c>
      <c r="CA28" s="1189">
        <f>'2022'!R\Max</f>
        <v>1.0190269259145373</v>
      </c>
      <c r="CB28" s="1189">
        <f>'2023'!R\Max</f>
        <v>1.0190269259145368</v>
      </c>
      <c r="CC28" s="1189">
        <f>'2024'!R\Max</f>
        <v>1.0190269259145368</v>
      </c>
      <c r="CD28" s="1189">
        <f>'2025'!R\Max</f>
        <v>1.0190269259145368</v>
      </c>
      <c r="CE28" s="1189">
        <f>'2026'!R\Max</f>
        <v>1.0190269259145368</v>
      </c>
      <c r="CF28" s="1190">
        <f>'2027'!R\Max</f>
        <v>1.0190269259145373</v>
      </c>
    </row>
    <row r="29" spans="1:84" s="6" customFormat="1" ht="11.25" x14ac:dyDescent="0.2">
      <c r="A29" s="11">
        <v>43115</v>
      </c>
      <c r="B29" s="382">
        <f>'2022'!Maxi_hp</f>
        <v>21.851929496030461</v>
      </c>
      <c r="C29" s="85">
        <f>'2022'!An_max</f>
        <v>2022</v>
      </c>
      <c r="D29" s="1134"/>
      <c r="E29" s="773"/>
      <c r="F29" s="13">
        <f t="shared" si="22"/>
        <v>3</v>
      </c>
      <c r="G29" s="13">
        <f t="shared" si="23"/>
        <v>2</v>
      </c>
      <c r="H29" s="175">
        <f t="shared" si="7"/>
        <v>43122</v>
      </c>
      <c r="I29" s="774">
        <f t="shared" si="8"/>
        <v>0.5</v>
      </c>
      <c r="J29" s="765">
        <f t="shared" si="26"/>
        <v>21.53851586058736</v>
      </c>
      <c r="L29" s="796">
        <f>AJ13</f>
        <v>236.54400000000001</v>
      </c>
      <c r="M29" s="796">
        <f>L13</f>
        <v>184.32</v>
      </c>
      <c r="N29" s="786">
        <f>N13</f>
        <v>199.68</v>
      </c>
      <c r="O29" s="786">
        <f>P13</f>
        <v>279.55200000000002</v>
      </c>
      <c r="P29" s="786">
        <f>R13</f>
        <v>392.19200000000001</v>
      </c>
      <c r="Q29" s="786">
        <f>T13</f>
        <v>519.16800000000001</v>
      </c>
      <c r="R29" s="786">
        <f>V13</f>
        <v>610.30399999999997</v>
      </c>
      <c r="S29" s="786">
        <f>X13</f>
        <v>643.072</v>
      </c>
      <c r="T29" s="786">
        <f>Z13</f>
        <v>637.952</v>
      </c>
      <c r="U29" s="786">
        <f>AB13</f>
        <v>608.25599999999997</v>
      </c>
      <c r="V29" s="786">
        <f>AD13</f>
        <v>553.98400000000004</v>
      </c>
      <c r="W29" s="786">
        <f>AF13</f>
        <v>456.70400000000001</v>
      </c>
      <c r="X29" s="786">
        <f>AH13</f>
        <v>330.75200000000001</v>
      </c>
      <c r="Y29" s="786">
        <f>AJ13</f>
        <v>236.54400000000001</v>
      </c>
      <c r="Z29" s="786">
        <f>AL13</f>
        <v>184.32</v>
      </c>
      <c r="AA29" s="794">
        <f>AN13</f>
        <v>199.68</v>
      </c>
      <c r="AB29" s="794">
        <f>P13</f>
        <v>279.55200000000002</v>
      </c>
      <c r="AP29" s="13">
        <f t="shared" si="10"/>
        <v>3</v>
      </c>
      <c r="AQ29" s="13">
        <f t="shared" si="11"/>
        <v>2</v>
      </c>
      <c r="AR29" s="175">
        <f t="shared" si="12"/>
        <v>43136</v>
      </c>
      <c r="AS29" s="774">
        <f t="shared" si="13"/>
        <v>0.75</v>
      </c>
      <c r="AT29" s="791">
        <f t="shared" si="14"/>
        <v>21.438699092157186</v>
      </c>
      <c r="AU29" s="13">
        <f t="shared" si="15"/>
        <v>1</v>
      </c>
      <c r="AV29" s="13">
        <f t="shared" si="16"/>
        <v>2</v>
      </c>
      <c r="AW29" s="175">
        <f t="shared" si="17"/>
        <v>43093</v>
      </c>
      <c r="AX29" s="774">
        <f t="shared" si="18"/>
        <v>0.75862068965517238</v>
      </c>
      <c r="AY29" s="791">
        <f t="shared" si="19"/>
        <v>21.651564344815139</v>
      </c>
      <c r="AZ29" s="765">
        <f t="shared" si="25"/>
        <v>21.545131718486161</v>
      </c>
      <c r="BA29" s="649">
        <f t="shared" si="20"/>
        <v>1.0145513106600166</v>
      </c>
      <c r="BB29" s="644">
        <v>43115</v>
      </c>
      <c r="BC29" s="11">
        <v>43115</v>
      </c>
      <c r="BD29" s="292">
        <f>[2]!FeuilCaduc*(1-Persistant)+Persistant</f>
        <v>1</v>
      </c>
      <c r="BE29" s="293">
        <f>[2]!CroissVégét</f>
        <v>1.0844891659074879E-3</v>
      </c>
      <c r="BF29" s="844">
        <f>1+[2]!Salcycl*Ksac</f>
        <v>1.0002233176428463</v>
      </c>
      <c r="BH29" s="1107">
        <f t="shared" si="21"/>
        <v>2.256773727472914E-2</v>
      </c>
      <c r="BI29" s="11">
        <v>44211</v>
      </c>
      <c r="BJ29" s="744">
        <v>6.1878867854639886E-4</v>
      </c>
      <c r="BK29" s="744">
        <v>2.4464830963674216E-3</v>
      </c>
      <c r="BL29" s="744">
        <v>1.5317047547045588E-2</v>
      </c>
      <c r="BM29" s="744">
        <v>5.1611147754552167E-2</v>
      </c>
      <c r="BN29" s="744">
        <v>0.10738422242562574</v>
      </c>
      <c r="BO29" s="745">
        <v>0.19513351408235968</v>
      </c>
      <c r="BP29" s="744">
        <v>0.29479684328769878</v>
      </c>
      <c r="BQ29" s="744">
        <v>0.43191563324557425</v>
      </c>
      <c r="BR29" s="744">
        <v>0.57525876108002583</v>
      </c>
      <c r="BS29" s="744">
        <v>0.73064957153138721</v>
      </c>
      <c r="BT29" s="744">
        <v>0.87584691407132209</v>
      </c>
      <c r="BW29" s="1191">
        <f>'2018'!R\Max</f>
        <v>0</v>
      </c>
      <c r="BX29" s="1189">
        <f>'2019'!R\Max</f>
        <v>0.99182861658702981</v>
      </c>
      <c r="BY29" s="1189">
        <f>'2020'!R\Max</f>
        <v>0.83503941919036662</v>
      </c>
      <c r="BZ29" s="1189">
        <f>'2021'!R\Max</f>
        <v>0.72385266922104219</v>
      </c>
      <c r="CA29" s="1189">
        <f>'2022'!R\Max</f>
        <v>1.0145513106600166</v>
      </c>
      <c r="CB29" s="1189">
        <f>'2023'!R\Max</f>
        <v>1.0145513106600166</v>
      </c>
      <c r="CC29" s="1189">
        <f>'2024'!R\Max</f>
        <v>1.0145513106600164</v>
      </c>
      <c r="CD29" s="1189">
        <f>'2025'!R\Max</f>
        <v>1.0145513106600166</v>
      </c>
      <c r="CE29" s="1189">
        <f>'2026'!R\Max</f>
        <v>1.0145513106600166</v>
      </c>
      <c r="CF29" s="1190">
        <f>'2027'!R\Max</f>
        <v>1.0145513106600164</v>
      </c>
    </row>
    <row r="30" spans="1:84" s="6" customFormat="1" ht="11.25" x14ac:dyDescent="0.2">
      <c r="A30" s="11">
        <v>43116</v>
      </c>
      <c r="B30" s="382">
        <f>'2022'!Maxi_hp</f>
        <v>21.813416600563912</v>
      </c>
      <c r="C30" s="85">
        <f>'2022'!An_max</f>
        <v>2022</v>
      </c>
      <c r="D30" s="1134"/>
      <c r="E30" s="773"/>
      <c r="F30" s="13">
        <f t="shared" si="22"/>
        <v>3</v>
      </c>
      <c r="G30" s="13">
        <f t="shared" si="23"/>
        <v>2</v>
      </c>
      <c r="H30" s="175">
        <f t="shared" si="7"/>
        <v>43122</v>
      </c>
      <c r="I30" s="774">
        <f t="shared" si="8"/>
        <v>0.42857142857142855</v>
      </c>
      <c r="J30" s="765">
        <f t="shared" si="26"/>
        <v>21.796594076497211</v>
      </c>
      <c r="L30" s="776" t="s">
        <v>213</v>
      </c>
      <c r="M30" s="806">
        <f t="shared" ref="M30:AA30" si="36">L28</f>
        <v>43051</v>
      </c>
      <c r="N30" s="807">
        <f t="shared" si="36"/>
        <v>43079</v>
      </c>
      <c r="O30" s="755">
        <f t="shared" si="36"/>
        <v>43108</v>
      </c>
      <c r="P30" s="755">
        <f t="shared" si="36"/>
        <v>43136</v>
      </c>
      <c r="Q30" s="755">
        <f t="shared" si="36"/>
        <v>43164</v>
      </c>
      <c r="R30" s="755">
        <f t="shared" si="36"/>
        <v>43192</v>
      </c>
      <c r="S30" s="755">
        <f t="shared" si="36"/>
        <v>43220</v>
      </c>
      <c r="T30" s="755">
        <f t="shared" si="36"/>
        <v>43248</v>
      </c>
      <c r="U30" s="755">
        <f t="shared" si="36"/>
        <v>43276</v>
      </c>
      <c r="V30" s="755">
        <f t="shared" si="36"/>
        <v>43304</v>
      </c>
      <c r="W30" s="755">
        <f t="shared" si="36"/>
        <v>43332</v>
      </c>
      <c r="X30" s="755">
        <f t="shared" si="36"/>
        <v>43360</v>
      </c>
      <c r="Y30" s="755">
        <f t="shared" si="36"/>
        <v>43388</v>
      </c>
      <c r="Z30" s="755">
        <f t="shared" si="36"/>
        <v>43416</v>
      </c>
      <c r="AA30" s="799">
        <f t="shared" si="36"/>
        <v>43444</v>
      </c>
      <c r="AP30" s="13">
        <f t="shared" si="10"/>
        <v>3</v>
      </c>
      <c r="AQ30" s="13">
        <f t="shared" si="11"/>
        <v>2</v>
      </c>
      <c r="AR30" s="175">
        <f t="shared" si="12"/>
        <v>43136</v>
      </c>
      <c r="AS30" s="774">
        <f t="shared" si="13"/>
        <v>0.7142857142857143</v>
      </c>
      <c r="AT30" s="791">
        <f t="shared" si="14"/>
        <v>21.688775992393495</v>
      </c>
      <c r="AU30" s="13">
        <f t="shared" si="15"/>
        <v>1</v>
      </c>
      <c r="AV30" s="13">
        <f t="shared" si="16"/>
        <v>2</v>
      </c>
      <c r="AW30" s="175">
        <f t="shared" si="17"/>
        <v>43093</v>
      </c>
      <c r="AX30" s="774">
        <f t="shared" si="18"/>
        <v>0.7931034482758621</v>
      </c>
      <c r="AY30" s="791">
        <f t="shared" si="19"/>
        <v>21.897430205884678</v>
      </c>
      <c r="AZ30" s="765">
        <f t="shared" si="25"/>
        <v>21.793103099139088</v>
      </c>
      <c r="BA30" s="649">
        <f t="shared" si="20"/>
        <v>1.0007717959974691</v>
      </c>
      <c r="BB30" s="644">
        <v>43116</v>
      </c>
      <c r="BC30" s="11">
        <v>43116</v>
      </c>
      <c r="BD30" s="292">
        <f>[2]!FeuilCaduc*(1-Persistant)+Persistant</f>
        <v>1</v>
      </c>
      <c r="BE30" s="293">
        <f>[2]!CroissVégét</f>
        <v>1.1881317966940647E-3</v>
      </c>
      <c r="BF30" s="844">
        <f>1+[2]!Salcycl*Ksac</f>
        <v>1.0001950912516955</v>
      </c>
      <c r="BH30" s="1107">
        <f t="shared" si="21"/>
        <v>2.2343275847291136E-2</v>
      </c>
      <c r="BI30" s="11">
        <v>44212</v>
      </c>
      <c r="BJ30" s="744">
        <v>6.3827003656402375E-4</v>
      </c>
      <c r="BK30" s="744">
        <v>2.4609918650164318E-3</v>
      </c>
      <c r="BL30" s="744">
        <v>1.5044317482910666E-2</v>
      </c>
      <c r="BM30" s="744">
        <v>5.1580031495855515E-2</v>
      </c>
      <c r="BN30" s="744">
        <v>0.10657741766657806</v>
      </c>
      <c r="BO30" s="745">
        <v>0.19421632441380518</v>
      </c>
      <c r="BP30" s="744">
        <v>0.29194576138392664</v>
      </c>
      <c r="BQ30" s="744">
        <v>0.42855190629056544</v>
      </c>
      <c r="BR30" s="744">
        <v>0.57131066333388303</v>
      </c>
      <c r="BS30" s="744">
        <v>0.72807436679242554</v>
      </c>
      <c r="BT30" s="744">
        <v>0.87492102298533558</v>
      </c>
      <c r="BW30" s="1191">
        <f>'2018'!R\Max</f>
        <v>0</v>
      </c>
      <c r="BX30" s="1189">
        <f>'2019'!R\Max</f>
        <v>0.97243066311939375</v>
      </c>
      <c r="BY30" s="1189">
        <f>'2020'!R\Max</f>
        <v>0.9315962507174157</v>
      </c>
      <c r="BZ30" s="1189">
        <f>'2021'!R\Max</f>
        <v>0.67866579885448175</v>
      </c>
      <c r="CA30" s="1189">
        <f>'2022'!R\Max</f>
        <v>1.0007717959974691</v>
      </c>
      <c r="CB30" s="1189">
        <f>'2023'!R\Max</f>
        <v>1.0007717959974689</v>
      </c>
      <c r="CC30" s="1189">
        <f>'2024'!R\Max</f>
        <v>1.0007717959974691</v>
      </c>
      <c r="CD30" s="1189">
        <f>'2025'!R\Max</f>
        <v>1.0007717959974689</v>
      </c>
      <c r="CE30" s="1189">
        <f>'2026'!R\Max</f>
        <v>1.0007717959974689</v>
      </c>
      <c r="CF30" s="1190">
        <f>'2027'!R\Max</f>
        <v>1.0007717959974693</v>
      </c>
    </row>
    <row r="31" spans="1:84" s="6" customFormat="1" ht="11.25" x14ac:dyDescent="0.2">
      <c r="A31" s="11">
        <v>43117</v>
      </c>
      <c r="B31" s="382">
        <f>'2022'!Maxi_hp</f>
        <v>17.129787184609615</v>
      </c>
      <c r="C31" s="85">
        <f>'2022'!An_max</f>
        <v>2022</v>
      </c>
      <c r="D31" s="1134"/>
      <c r="E31" s="773"/>
      <c r="F31" s="13">
        <f t="shared" si="22"/>
        <v>3</v>
      </c>
      <c r="G31" s="13">
        <f t="shared" si="23"/>
        <v>2</v>
      </c>
      <c r="H31" s="175">
        <f t="shared" si="7"/>
        <v>43122</v>
      </c>
      <c r="I31" s="774">
        <f t="shared" si="8"/>
        <v>0.35714285714285715</v>
      </c>
      <c r="J31" s="765">
        <f t="shared" si="26"/>
        <v>22.060882999535117</v>
      </c>
      <c r="L31" s="777" t="s">
        <v>214</v>
      </c>
      <c r="M31" s="798">
        <f t="shared" ref="M31:AA31" si="37">L29</f>
        <v>236.54400000000001</v>
      </c>
      <c r="N31" s="802">
        <f t="shared" si="37"/>
        <v>184.32</v>
      </c>
      <c r="O31" s="761">
        <f t="shared" si="37"/>
        <v>199.68</v>
      </c>
      <c r="P31" s="761">
        <f t="shared" si="37"/>
        <v>279.55200000000002</v>
      </c>
      <c r="Q31" s="761">
        <f t="shared" si="37"/>
        <v>392.19200000000001</v>
      </c>
      <c r="R31" s="761">
        <f t="shared" si="37"/>
        <v>519.16800000000001</v>
      </c>
      <c r="S31" s="761">
        <f t="shared" si="37"/>
        <v>610.30399999999997</v>
      </c>
      <c r="T31" s="761">
        <f t="shared" si="37"/>
        <v>643.072</v>
      </c>
      <c r="U31" s="761">
        <f t="shared" si="37"/>
        <v>637.952</v>
      </c>
      <c r="V31" s="761">
        <f t="shared" si="37"/>
        <v>608.25599999999997</v>
      </c>
      <c r="W31" s="761">
        <f t="shared" si="37"/>
        <v>553.98400000000004</v>
      </c>
      <c r="X31" s="761">
        <f t="shared" si="37"/>
        <v>456.70400000000001</v>
      </c>
      <c r="Y31" s="761">
        <f t="shared" si="37"/>
        <v>330.75200000000001</v>
      </c>
      <c r="Z31" s="761">
        <f t="shared" si="37"/>
        <v>236.54400000000001</v>
      </c>
      <c r="AA31" s="800">
        <f t="shared" si="37"/>
        <v>184.32</v>
      </c>
      <c r="AP31" s="13">
        <f t="shared" si="10"/>
        <v>3</v>
      </c>
      <c r="AQ31" s="13">
        <f t="shared" si="11"/>
        <v>2</v>
      </c>
      <c r="AR31" s="175">
        <f t="shared" si="12"/>
        <v>43136</v>
      </c>
      <c r="AS31" s="774">
        <f t="shared" si="13"/>
        <v>0.6785714285714286</v>
      </c>
      <c r="AT31" s="791">
        <f t="shared" si="14"/>
        <v>21.947570764166969</v>
      </c>
      <c r="AU31" s="13">
        <f t="shared" si="15"/>
        <v>1</v>
      </c>
      <c r="AV31" s="13">
        <f t="shared" si="16"/>
        <v>2</v>
      </c>
      <c r="AW31" s="175">
        <f t="shared" si="17"/>
        <v>43093</v>
      </c>
      <c r="AX31" s="774">
        <f t="shared" si="18"/>
        <v>0.82758620689655171</v>
      </c>
      <c r="AY31" s="791">
        <f t="shared" si="19"/>
        <v>22.147612283198999</v>
      </c>
      <c r="AZ31" s="765">
        <f t="shared" si="25"/>
        <v>22.047591523682982</v>
      </c>
      <c r="BA31" s="649">
        <f t="shared" si="20"/>
        <v>0.77647785834187077</v>
      </c>
      <c r="BB31" s="644">
        <v>43117</v>
      </c>
      <c r="BC31" s="11">
        <v>43117</v>
      </c>
      <c r="BD31" s="292">
        <f>[2]!FeuilCaduc*(1-Persistant)+Persistant</f>
        <v>1</v>
      </c>
      <c r="BE31" s="293">
        <f>[2]!CroissVégét</f>
        <v>1.2960995754023115E-3</v>
      </c>
      <c r="BF31" s="844">
        <f>1+[2]!Salcycl*Ksac</f>
        <v>1.0001685263894387</v>
      </c>
      <c r="BH31" s="1107">
        <f t="shared" si="21"/>
        <v>2.2071606184009274E-2</v>
      </c>
      <c r="BI31" s="11">
        <v>44213</v>
      </c>
      <c r="BJ31" s="744">
        <v>6.6023979225056156E-4</v>
      </c>
      <c r="BK31" s="744">
        <v>2.4828620140898805E-3</v>
      </c>
      <c r="BL31" s="744">
        <v>1.4744711655955587E-2</v>
      </c>
      <c r="BM31" s="744">
        <v>5.1420263113591762E-2</v>
      </c>
      <c r="BN31" s="744">
        <v>0.10576508353715057</v>
      </c>
      <c r="BO31" s="745">
        <v>0.19320391258003844</v>
      </c>
      <c r="BP31" s="744">
        <v>0.28928335256175108</v>
      </c>
      <c r="BQ31" s="744">
        <v>0.42511174569255289</v>
      </c>
      <c r="BR31" s="744">
        <v>0.56732008244492682</v>
      </c>
      <c r="BS31" s="744">
        <v>0.72508113659558437</v>
      </c>
      <c r="BT31" s="744">
        <v>0.87342052578006668</v>
      </c>
      <c r="BW31" s="1191">
        <f>'2018'!R\Max</f>
        <v>0</v>
      </c>
      <c r="BX31" s="1189">
        <f>'2019'!R\Max</f>
        <v>0.44554895611490852</v>
      </c>
      <c r="BY31" s="1189">
        <f>'2020'!R\Max</f>
        <v>0.19777002702182195</v>
      </c>
      <c r="BZ31" s="1189">
        <f>'2021'!R\Max</f>
        <v>0.30117558711843384</v>
      </c>
      <c r="CA31" s="1189">
        <f>'2022'!R\Max</f>
        <v>0.77647785834187077</v>
      </c>
      <c r="CB31" s="1189">
        <f>'2023'!R\Max</f>
        <v>0.77103176181304955</v>
      </c>
      <c r="CC31" s="1189">
        <f>'2024'!R\Max</f>
        <v>0.76492134968586978</v>
      </c>
      <c r="CD31" s="1189">
        <f>'2025'!R\Max</f>
        <v>0.7550856894205189</v>
      </c>
      <c r="CE31" s="1189">
        <f>'2026'!R\Max</f>
        <v>0.78904156724700214</v>
      </c>
      <c r="CF31" s="1190">
        <f>'2027'!R\Max</f>
        <v>0.78588201716697359</v>
      </c>
    </row>
    <row r="32" spans="1:84" s="6" customFormat="1" ht="11.25" x14ac:dyDescent="0.2">
      <c r="A32" s="11">
        <v>43118</v>
      </c>
      <c r="B32" s="382">
        <f>'2022'!Maxi_hp</f>
        <v>21.664293726015998</v>
      </c>
      <c r="C32" s="85">
        <f>'2022'!An_max</f>
        <v>2021</v>
      </c>
      <c r="D32" s="1134"/>
      <c r="E32" s="773"/>
      <c r="F32" s="13">
        <f t="shared" si="22"/>
        <v>3</v>
      </c>
      <c r="G32" s="13">
        <f t="shared" si="23"/>
        <v>2</v>
      </c>
      <c r="H32" s="175">
        <f t="shared" si="7"/>
        <v>43122</v>
      </c>
      <c r="I32" s="774">
        <f t="shared" si="8"/>
        <v>0.2857142857142857</v>
      </c>
      <c r="J32" s="765">
        <f t="shared" si="26"/>
        <v>22.330642967032535</v>
      </c>
      <c r="L32" s="777" t="s">
        <v>215</v>
      </c>
      <c r="M32" s="809">
        <f t="shared" ref="M32:AA32" si="38">M28</f>
        <v>43079</v>
      </c>
      <c r="N32" s="756">
        <f t="shared" si="38"/>
        <v>43108</v>
      </c>
      <c r="O32" s="756">
        <f t="shared" si="38"/>
        <v>43136</v>
      </c>
      <c r="P32" s="756">
        <f t="shared" si="38"/>
        <v>43164</v>
      </c>
      <c r="Q32" s="756">
        <f t="shared" si="38"/>
        <v>43192</v>
      </c>
      <c r="R32" s="756">
        <f t="shared" si="38"/>
        <v>43220</v>
      </c>
      <c r="S32" s="756">
        <f t="shared" si="38"/>
        <v>43248</v>
      </c>
      <c r="T32" s="756">
        <f t="shared" si="38"/>
        <v>43276</v>
      </c>
      <c r="U32" s="756">
        <f t="shared" si="38"/>
        <v>43304</v>
      </c>
      <c r="V32" s="756">
        <f t="shared" si="38"/>
        <v>43332</v>
      </c>
      <c r="W32" s="756">
        <f t="shared" si="38"/>
        <v>43360</v>
      </c>
      <c r="X32" s="756">
        <f t="shared" si="38"/>
        <v>43388</v>
      </c>
      <c r="Y32" s="756">
        <f t="shared" si="38"/>
        <v>43416</v>
      </c>
      <c r="Z32" s="801">
        <f t="shared" si="38"/>
        <v>43444</v>
      </c>
      <c r="AA32" s="808">
        <f t="shared" si="38"/>
        <v>43473</v>
      </c>
      <c r="AP32" s="13">
        <f t="shared" si="10"/>
        <v>3</v>
      </c>
      <c r="AQ32" s="13">
        <f t="shared" si="11"/>
        <v>2</v>
      </c>
      <c r="AR32" s="175">
        <f t="shared" si="12"/>
        <v>43136</v>
      </c>
      <c r="AS32" s="774">
        <f t="shared" si="13"/>
        <v>0.6428571428571429</v>
      </c>
      <c r="AT32" s="791">
        <f t="shared" si="14"/>
        <v>22.214657938161068</v>
      </c>
      <c r="AU32" s="13">
        <f t="shared" si="15"/>
        <v>1</v>
      </c>
      <c r="AV32" s="13">
        <f t="shared" si="16"/>
        <v>2</v>
      </c>
      <c r="AW32" s="175">
        <f t="shared" si="17"/>
        <v>43093</v>
      </c>
      <c r="AX32" s="774">
        <f t="shared" si="18"/>
        <v>0.86206896551724133</v>
      </c>
      <c r="AY32" s="791">
        <f t="shared" si="19"/>
        <v>22.401720124046353</v>
      </c>
      <c r="AZ32" s="765">
        <f t="shared" si="25"/>
        <v>22.308189031103709</v>
      </c>
      <c r="BA32" s="649">
        <f t="shared" si="20"/>
        <v>0.97015987215413857</v>
      </c>
      <c r="BB32" s="644">
        <v>43118</v>
      </c>
      <c r="BC32" s="11">
        <v>43118</v>
      </c>
      <c r="BD32" s="292">
        <f>[2]!FeuilCaduc*(1-Persistant)+Persistant</f>
        <v>1</v>
      </c>
      <c r="BE32" s="293">
        <f>[2]!CroissVégét</f>
        <v>1.4085719996856784E-3</v>
      </c>
      <c r="BF32" s="844">
        <f>1+[2]!Salcycl*Ksac</f>
        <v>1.000143680187277</v>
      </c>
      <c r="BH32" s="1107">
        <f t="shared" si="21"/>
        <v>2.1752657136440198E-2</v>
      </c>
      <c r="BI32" s="11">
        <v>44214</v>
      </c>
      <c r="BJ32" s="744">
        <v>6.8469646492411737E-4</v>
      </c>
      <c r="BK32" s="744">
        <v>2.5120918037976948E-3</v>
      </c>
      <c r="BL32" s="744">
        <v>1.4418197445671544E-2</v>
      </c>
      <c r="BM32" s="744">
        <v>5.1131617131569496E-2</v>
      </c>
      <c r="BN32" s="744">
        <v>0.10494702705090381</v>
      </c>
      <c r="BO32" s="745">
        <v>0.19209580840680704</v>
      </c>
      <c r="BP32" s="744">
        <v>0.28680930748378924</v>
      </c>
      <c r="BQ32" s="744">
        <v>0.42159434445111893</v>
      </c>
      <c r="BR32" s="744">
        <v>0.56328593838926533</v>
      </c>
      <c r="BS32" s="744">
        <v>0.72166798942934307</v>
      </c>
      <c r="BT32" s="744">
        <v>0.87134288875615296</v>
      </c>
      <c r="BW32" s="1191">
        <f>'2018'!R\Max</f>
        <v>0</v>
      </c>
      <c r="BX32" s="1189">
        <f>'2019'!R\Max</f>
        <v>0.57004523346299263</v>
      </c>
      <c r="BY32" s="1189">
        <f>'2020'!R\Max</f>
        <v>0.81416318432412838</v>
      </c>
      <c r="BZ32" s="1189">
        <f>'2021'!R\Max</f>
        <v>0.97015987215413857</v>
      </c>
      <c r="CA32" s="1189">
        <f>'2022'!R\Max</f>
        <v>0.20360120215922334</v>
      </c>
      <c r="CB32" s="1189">
        <f>'2023'!R\Max</f>
        <v>0.19919999227285273</v>
      </c>
      <c r="CC32" s="1189">
        <f>'2024'!R\Max</f>
        <v>0.1944200050239881</v>
      </c>
      <c r="CD32" s="1189">
        <f>'2025'!R\Max</f>
        <v>0.18701791113381122</v>
      </c>
      <c r="CE32" s="1189">
        <f>'2026'!R\Max</f>
        <v>0.21436906587952251</v>
      </c>
      <c r="CF32" s="1190">
        <f>'2027'!R\Max</f>
        <v>0.21159373099139528</v>
      </c>
    </row>
    <row r="33" spans="1:84" s="6" customFormat="1" ht="11.25" x14ac:dyDescent="0.2">
      <c r="A33" s="11">
        <v>43119</v>
      </c>
      <c r="B33" s="382">
        <f>'2022'!Maxi_hp</f>
        <v>22.003301908530709</v>
      </c>
      <c r="C33" s="85">
        <f>'2022'!An_max</f>
        <v>2021</v>
      </c>
      <c r="D33" s="1134"/>
      <c r="E33" s="773"/>
      <c r="F33" s="13">
        <f t="shared" si="22"/>
        <v>3</v>
      </c>
      <c r="G33" s="13">
        <f t="shared" si="23"/>
        <v>2</v>
      </c>
      <c r="H33" s="175">
        <f t="shared" si="7"/>
        <v>43122</v>
      </c>
      <c r="I33" s="774">
        <f t="shared" si="8"/>
        <v>0.21428571428571427</v>
      </c>
      <c r="J33" s="765">
        <f t="shared" si="26"/>
        <v>22.605134315362996</v>
      </c>
      <c r="L33" s="777" t="s">
        <v>216</v>
      </c>
      <c r="M33" s="802">
        <f t="shared" ref="M33:AA33" si="39">M29</f>
        <v>184.32</v>
      </c>
      <c r="N33" s="762">
        <f t="shared" si="39"/>
        <v>199.68</v>
      </c>
      <c r="O33" s="762">
        <f t="shared" si="39"/>
        <v>279.55200000000002</v>
      </c>
      <c r="P33" s="762">
        <f t="shared" si="39"/>
        <v>392.19200000000001</v>
      </c>
      <c r="Q33" s="762">
        <f t="shared" si="39"/>
        <v>519.16800000000001</v>
      </c>
      <c r="R33" s="762">
        <f t="shared" si="39"/>
        <v>610.30399999999997</v>
      </c>
      <c r="S33" s="762">
        <f t="shared" si="39"/>
        <v>643.072</v>
      </c>
      <c r="T33" s="762">
        <f t="shared" si="39"/>
        <v>637.952</v>
      </c>
      <c r="U33" s="762">
        <f t="shared" si="39"/>
        <v>608.25599999999997</v>
      </c>
      <c r="V33" s="762">
        <f t="shared" si="39"/>
        <v>553.98400000000004</v>
      </c>
      <c r="W33" s="762">
        <f t="shared" si="39"/>
        <v>456.70400000000001</v>
      </c>
      <c r="X33" s="762">
        <f t="shared" si="39"/>
        <v>330.75200000000001</v>
      </c>
      <c r="Y33" s="762">
        <f t="shared" si="39"/>
        <v>236.54400000000001</v>
      </c>
      <c r="Z33" s="800">
        <f t="shared" si="39"/>
        <v>184.32</v>
      </c>
      <c r="AA33" s="798">
        <f t="shared" si="39"/>
        <v>199.68</v>
      </c>
      <c r="AP33" s="13">
        <f t="shared" si="10"/>
        <v>3</v>
      </c>
      <c r="AQ33" s="13">
        <f t="shared" si="11"/>
        <v>2</v>
      </c>
      <c r="AR33" s="175">
        <f t="shared" si="12"/>
        <v>43136</v>
      </c>
      <c r="AS33" s="774">
        <f t="shared" si="13"/>
        <v>0.6071428571428571</v>
      </c>
      <c r="AT33" s="791">
        <f t="shared" si="14"/>
        <v>22.489612054798222</v>
      </c>
      <c r="AU33" s="13">
        <f t="shared" si="15"/>
        <v>1</v>
      </c>
      <c r="AV33" s="13">
        <f t="shared" si="16"/>
        <v>2</v>
      </c>
      <c r="AW33" s="175">
        <f t="shared" si="17"/>
        <v>43093</v>
      </c>
      <c r="AX33" s="774">
        <f t="shared" si="18"/>
        <v>0.89655172413793105</v>
      </c>
      <c r="AY33" s="791">
        <f t="shared" si="19"/>
        <v>22.65936327088496</v>
      </c>
      <c r="AZ33" s="765">
        <f t="shared" si="25"/>
        <v>22.574487662841591</v>
      </c>
      <c r="BA33" s="649">
        <f t="shared" si="20"/>
        <v>0.97337629591418673</v>
      </c>
      <c r="BB33" s="644">
        <v>43119</v>
      </c>
      <c r="BC33" s="11">
        <v>43119</v>
      </c>
      <c r="BD33" s="292">
        <f>[2]!FeuilCaduc*(1-Persistant)+Persistant</f>
        <v>1</v>
      </c>
      <c r="BE33" s="293">
        <f>[2]!CroissVégét</f>
        <v>1.5257359314074395E-3</v>
      </c>
      <c r="BF33" s="844">
        <f>1+[2]!Salcycl*Ksac</f>
        <v>1.0001206159254252</v>
      </c>
      <c r="BH33" s="1107">
        <f t="shared" si="21"/>
        <v>2.1386369543980883E-2</v>
      </c>
      <c r="BI33" s="11">
        <v>44215</v>
      </c>
      <c r="BJ33" s="744">
        <v>7.1163786001650418E-4</v>
      </c>
      <c r="BK33" s="744">
        <v>2.5486778130372361E-3</v>
      </c>
      <c r="BL33" s="744">
        <v>1.4064750502300371E-2</v>
      </c>
      <c r="BM33" s="744">
        <v>5.0713894950636419E-2</v>
      </c>
      <c r="BN33" s="744">
        <v>0.10412306414466427</v>
      </c>
      <c r="BO33" s="745">
        <v>0.19089157011878069</v>
      </c>
      <c r="BP33" s="744">
        <v>0.28452330535568165</v>
      </c>
      <c r="BQ33" s="744">
        <v>0.41799894390003695</v>
      </c>
      <c r="BR33" s="744">
        <v>0.55920719786649742</v>
      </c>
      <c r="BS33" s="744">
        <v>0.71783314427132427</v>
      </c>
      <c r="BT33" s="744">
        <v>0.86868570425734692</v>
      </c>
      <c r="BW33" s="1191">
        <f>'2018'!R\Max</f>
        <v>0</v>
      </c>
      <c r="BX33" s="1189">
        <f>'2019'!R\Max</f>
        <v>0.71811268561948149</v>
      </c>
      <c r="BY33" s="1189">
        <f>'2020'!R\Max</f>
        <v>0.8905789499267931</v>
      </c>
      <c r="BZ33" s="1189">
        <f>'2021'!R\Max</f>
        <v>0.97337629591418673</v>
      </c>
      <c r="CA33" s="1189">
        <f>'2022'!R\Max</f>
        <v>0.50198716108816954</v>
      </c>
      <c r="CB33" s="1189">
        <f>'2023'!R\Max</f>
        <v>0.49458148755612991</v>
      </c>
      <c r="CC33" s="1189">
        <f>'2024'!R\Max</f>
        <v>0.48643402158616839</v>
      </c>
      <c r="CD33" s="1189">
        <f>'2025'!R\Max</f>
        <v>0.47356988946822764</v>
      </c>
      <c r="CE33" s="1189">
        <f>'2026'!R\Max</f>
        <v>0.51979401941292958</v>
      </c>
      <c r="CF33" s="1190">
        <f>'2027'!R\Max</f>
        <v>0.51526338578165765</v>
      </c>
    </row>
    <row r="34" spans="1:84" s="6" customFormat="1" ht="11.25" x14ac:dyDescent="0.2">
      <c r="A34" s="11">
        <v>43120</v>
      </c>
      <c r="B34" s="382">
        <f>'2022'!Maxi_hp</f>
        <v>9.8558030999389263</v>
      </c>
      <c r="C34" s="85">
        <f>'2022'!An_max</f>
        <v>2020</v>
      </c>
      <c r="D34" s="1134"/>
      <c r="E34" s="711"/>
      <c r="F34" s="13">
        <f t="shared" si="22"/>
        <v>3</v>
      </c>
      <c r="G34" s="13">
        <f t="shared" si="23"/>
        <v>2</v>
      </c>
      <c r="H34" s="175">
        <f t="shared" si="7"/>
        <v>43122</v>
      </c>
      <c r="I34" s="774">
        <f t="shared" si="8"/>
        <v>0.14285714285714285</v>
      </c>
      <c r="J34" s="765">
        <f t="shared" si="26"/>
        <v>22.88361737898418</v>
      </c>
      <c r="L34" s="777" t="s">
        <v>217</v>
      </c>
      <c r="M34" s="804">
        <f t="shared" ref="M34:AA34" si="40">N28</f>
        <v>43108</v>
      </c>
      <c r="N34" s="757">
        <f t="shared" si="40"/>
        <v>43136</v>
      </c>
      <c r="O34" s="757">
        <f t="shared" si="40"/>
        <v>43164</v>
      </c>
      <c r="P34" s="757">
        <f t="shared" si="40"/>
        <v>43192</v>
      </c>
      <c r="Q34" s="757">
        <f t="shared" si="40"/>
        <v>43220</v>
      </c>
      <c r="R34" s="757">
        <f t="shared" si="40"/>
        <v>43248</v>
      </c>
      <c r="S34" s="757">
        <f t="shared" si="40"/>
        <v>43276</v>
      </c>
      <c r="T34" s="757">
        <f t="shared" si="40"/>
        <v>43304</v>
      </c>
      <c r="U34" s="757">
        <f t="shared" si="40"/>
        <v>43332</v>
      </c>
      <c r="V34" s="757">
        <f t="shared" si="40"/>
        <v>43360</v>
      </c>
      <c r="W34" s="757">
        <f t="shared" si="40"/>
        <v>43388</v>
      </c>
      <c r="X34" s="757">
        <f t="shared" si="40"/>
        <v>43416</v>
      </c>
      <c r="Y34" s="757">
        <f t="shared" si="40"/>
        <v>43444</v>
      </c>
      <c r="Z34" s="810">
        <f t="shared" si="40"/>
        <v>43473</v>
      </c>
      <c r="AA34" s="808">
        <f t="shared" si="40"/>
        <v>43501</v>
      </c>
      <c r="AP34" s="13">
        <f t="shared" si="10"/>
        <v>3</v>
      </c>
      <c r="AQ34" s="13">
        <f t="shared" si="11"/>
        <v>2</v>
      </c>
      <c r="AR34" s="175">
        <f t="shared" si="12"/>
        <v>43136</v>
      </c>
      <c r="AS34" s="774">
        <f t="shared" si="13"/>
        <v>0.5714285714285714</v>
      </c>
      <c r="AT34" s="791">
        <f t="shared" si="14"/>
        <v>22.772007647688902</v>
      </c>
      <c r="AU34" s="13">
        <f t="shared" si="15"/>
        <v>1</v>
      </c>
      <c r="AV34" s="13">
        <f t="shared" si="16"/>
        <v>2</v>
      </c>
      <c r="AW34" s="175">
        <f t="shared" si="17"/>
        <v>43093</v>
      </c>
      <c r="AX34" s="774">
        <f t="shared" si="18"/>
        <v>0.93103448275862066</v>
      </c>
      <c r="AY34" s="791">
        <f t="shared" si="19"/>
        <v>22.920151270206631</v>
      </c>
      <c r="AZ34" s="765">
        <f t="shared" si="25"/>
        <v>22.846079458947766</v>
      </c>
      <c r="BA34" s="649">
        <f t="shared" si="20"/>
        <v>0.43069253154836801</v>
      </c>
      <c r="BB34" s="644">
        <v>43120</v>
      </c>
      <c r="BC34" s="11">
        <v>43120</v>
      </c>
      <c r="BD34" s="292">
        <f>[2]!FeuilCaduc*(1-Persistant)+Persistant</f>
        <v>1</v>
      </c>
      <c r="BE34" s="293">
        <f>[2]!CroissVégét</f>
        <v>1.6477858914927391E-3</v>
      </c>
      <c r="BF34" s="844">
        <f>1+[2]!Salcycl*Ksac</f>
        <v>1.0000994001855641</v>
      </c>
      <c r="BH34" s="1107">
        <f t="shared" si="21"/>
        <v>2.0972814394681783E-2</v>
      </c>
      <c r="BI34" s="11">
        <v>44216</v>
      </c>
      <c r="BJ34" s="744">
        <v>7.4106513935486224E-4</v>
      </c>
      <c r="BK34" s="744">
        <v>2.5926292124358254E-3</v>
      </c>
      <c r="BL34" s="744">
        <v>1.3684431743006646E-2</v>
      </c>
      <c r="BM34" s="744">
        <v>5.0167207898849757E-2</v>
      </c>
      <c r="BN34" s="744">
        <v>0.10329359588515069</v>
      </c>
      <c r="BO34" s="745">
        <v>0.18959184411443486</v>
      </c>
      <c r="BP34" s="744">
        <v>0.28242658421814187</v>
      </c>
      <c r="BQ34" s="744">
        <v>0.41432714633751999</v>
      </c>
      <c r="BR34" s="744">
        <v>0.55508597108799584</v>
      </c>
      <c r="BS34" s="744">
        <v>0.71357892085881236</v>
      </c>
      <c r="BT34" s="744">
        <v>0.8654515319542373</v>
      </c>
      <c r="BW34" s="1191">
        <f>'2018'!R\Max</f>
        <v>0</v>
      </c>
      <c r="BX34" s="1189">
        <f>'2019'!R\Max</f>
        <v>0.33439198204351905</v>
      </c>
      <c r="BY34" s="1189">
        <f>'2020'!R\Max</f>
        <v>0.43069253154836801</v>
      </c>
      <c r="BZ34" s="1189">
        <f>'2021'!R\Max</f>
        <v>0.2870798511696474</v>
      </c>
      <c r="CA34" s="1189">
        <f>'2022'!R\Max</f>
        <v>0.28746828311115591</v>
      </c>
      <c r="CB34" s="1189">
        <f>'2023'!R\Max</f>
        <v>0.2815638963786381</v>
      </c>
      <c r="CC34" s="1189">
        <f>'2024'!R\Max</f>
        <v>0.27516124965721406</v>
      </c>
      <c r="CD34" s="1189">
        <f>'2025'!R\Max</f>
        <v>0.26525658091351756</v>
      </c>
      <c r="CE34" s="1189">
        <f>'2026'!R\Max</f>
        <v>0.30201741682503547</v>
      </c>
      <c r="CF34" s="1190">
        <f>'2027'!R\Max</f>
        <v>0.29827228996337285</v>
      </c>
    </row>
    <row r="35" spans="1:84" s="6" customFormat="1" ht="11.25" x14ac:dyDescent="0.2">
      <c r="A35" s="11">
        <v>43121</v>
      </c>
      <c r="B35" s="382">
        <f>'2022'!Maxi_hp</f>
        <v>16.681922261721198</v>
      </c>
      <c r="C35" s="85">
        <f>'2022'!An_max</f>
        <v>2022</v>
      </c>
      <c r="D35" s="1134"/>
      <c r="E35" s="711"/>
      <c r="F35" s="13">
        <f t="shared" si="22"/>
        <v>3</v>
      </c>
      <c r="G35" s="13">
        <f t="shared" si="23"/>
        <v>2</v>
      </c>
      <c r="H35" s="175">
        <f t="shared" si="7"/>
        <v>43122</v>
      </c>
      <c r="I35" s="774">
        <f t="shared" si="8"/>
        <v>7.1428571428571425E-2</v>
      </c>
      <c r="J35" s="765">
        <f t="shared" si="26"/>
        <v>23.165352494269609</v>
      </c>
      <c r="L35" s="777" t="s">
        <v>218</v>
      </c>
      <c r="M35" s="805">
        <f t="shared" ref="M35:AA35" si="41">N29</f>
        <v>199.68</v>
      </c>
      <c r="N35" s="762">
        <f t="shared" si="41"/>
        <v>279.55200000000002</v>
      </c>
      <c r="O35" s="762">
        <f t="shared" si="41"/>
        <v>392.19200000000001</v>
      </c>
      <c r="P35" s="762">
        <f t="shared" si="41"/>
        <v>519.16800000000001</v>
      </c>
      <c r="Q35" s="762">
        <f t="shared" si="41"/>
        <v>610.30399999999997</v>
      </c>
      <c r="R35" s="762">
        <f t="shared" si="41"/>
        <v>643.072</v>
      </c>
      <c r="S35" s="762">
        <f t="shared" si="41"/>
        <v>637.952</v>
      </c>
      <c r="T35" s="762">
        <f t="shared" si="41"/>
        <v>608.25599999999997</v>
      </c>
      <c r="U35" s="762">
        <f t="shared" si="41"/>
        <v>553.98400000000004</v>
      </c>
      <c r="V35" s="762">
        <f t="shared" si="41"/>
        <v>456.70400000000001</v>
      </c>
      <c r="W35" s="762">
        <f t="shared" si="41"/>
        <v>330.75200000000001</v>
      </c>
      <c r="X35" s="762">
        <f t="shared" si="41"/>
        <v>236.54400000000001</v>
      </c>
      <c r="Y35" s="762">
        <f t="shared" si="41"/>
        <v>184.32</v>
      </c>
      <c r="Z35" s="811">
        <f t="shared" si="41"/>
        <v>199.68</v>
      </c>
      <c r="AA35" s="798">
        <f t="shared" si="41"/>
        <v>279.55200000000002</v>
      </c>
      <c r="AP35" s="13">
        <f t="shared" si="10"/>
        <v>3</v>
      </c>
      <c r="AQ35" s="13">
        <f t="shared" si="11"/>
        <v>2</v>
      </c>
      <c r="AR35" s="175">
        <f t="shared" si="12"/>
        <v>43136</v>
      </c>
      <c r="AS35" s="774">
        <f t="shared" si="13"/>
        <v>0.5357142857142857</v>
      </c>
      <c r="AT35" s="791">
        <f t="shared" si="14"/>
        <v>23.061419255153407</v>
      </c>
      <c r="AU35" s="13">
        <f t="shared" si="15"/>
        <v>1</v>
      </c>
      <c r="AV35" s="13">
        <f t="shared" si="16"/>
        <v>2</v>
      </c>
      <c r="AW35" s="175">
        <f t="shared" si="17"/>
        <v>43093</v>
      </c>
      <c r="AX35" s="774">
        <f t="shared" si="18"/>
        <v>0.96551724137931039</v>
      </c>
      <c r="AY35" s="791">
        <f t="shared" si="19"/>
        <v>23.183693663364853</v>
      </c>
      <c r="AZ35" s="765">
        <f t="shared" si="25"/>
        <v>23.12255645925913</v>
      </c>
      <c r="BA35" s="649">
        <f t="shared" si="20"/>
        <v>0.72012382569390165</v>
      </c>
      <c r="BB35" s="644">
        <v>43121</v>
      </c>
      <c r="BC35" s="11">
        <v>43121</v>
      </c>
      <c r="BD35" s="292">
        <f>[2]!FeuilCaduc*(1-Persistant)+Persistant</f>
        <v>1</v>
      </c>
      <c r="BE35" s="293">
        <f>[2]!CroissVégét</f>
        <v>1.7749243659651206E-3</v>
      </c>
      <c r="BF35" s="844">
        <f>1+[2]!Salcycl*Ksac</f>
        <v>1.0000801001333062</v>
      </c>
      <c r="BH35" s="1107">
        <f t="shared" si="21"/>
        <v>2.0512118420230839E-2</v>
      </c>
      <c r="BI35" s="11">
        <v>44217</v>
      </c>
      <c r="BJ35" s="744">
        <v>7.7298128393657852E-4</v>
      </c>
      <c r="BK35" s="744">
        <v>2.6439609214404659E-3</v>
      </c>
      <c r="BL35" s="744">
        <v>1.3277336057396109E-2</v>
      </c>
      <c r="BM35" s="744">
        <v>4.9491810254751391E-2</v>
      </c>
      <c r="BN35" s="744">
        <v>0.10245927189007931</v>
      </c>
      <c r="BO35" s="745">
        <v>0.1881977527633556</v>
      </c>
      <c r="BP35" s="744">
        <v>0.28052102481788732</v>
      </c>
      <c r="BQ35" s="744">
        <v>0.41058155642049304</v>
      </c>
      <c r="BR35" s="744">
        <v>0.55092571140538971</v>
      </c>
      <c r="BS35" s="744">
        <v>0.7089094513720301</v>
      </c>
      <c r="BT35" s="744">
        <v>0.8616451713641784</v>
      </c>
      <c r="BW35" s="1191">
        <f>'2018'!R\Max</f>
        <v>0</v>
      </c>
      <c r="BX35" s="1189">
        <f>'2019'!R\Max</f>
        <v>0.44037015803348678</v>
      </c>
      <c r="BY35" s="1189">
        <f>'2020'!R\Max</f>
        <v>0.17240405426757818</v>
      </c>
      <c r="BZ35" s="1189">
        <f>'2021'!R\Max</f>
        <v>0.52442156881302371</v>
      </c>
      <c r="CA35" s="1189">
        <f>'2022'!R\Max</f>
        <v>0.72012382569390165</v>
      </c>
      <c r="CB35" s="1189">
        <f>'2023'!R\Max</f>
        <v>0.7143502317028696</v>
      </c>
      <c r="CC35" s="1189">
        <f>'2024'!R\Max</f>
        <v>0.70793659455439528</v>
      </c>
      <c r="CD35" s="1189">
        <f>'2025'!R\Max</f>
        <v>0.69773419758590738</v>
      </c>
      <c r="CE35" s="1189">
        <f>'2026'!R\Max</f>
        <v>0.73377249159336277</v>
      </c>
      <c r="CF35" s="1190">
        <f>'2027'!R\Max</f>
        <v>0.73033065781062789</v>
      </c>
    </row>
    <row r="36" spans="1:84" s="6" customFormat="1" ht="11.25" x14ac:dyDescent="0.2">
      <c r="A36" s="11">
        <v>43122</v>
      </c>
      <c r="B36" s="382">
        <f>'2022'!Maxi_hp</f>
        <v>23.286743891331543</v>
      </c>
      <c r="C36" s="85">
        <f>'2022'!An_max</f>
        <v>2022</v>
      </c>
      <c r="D36" s="1134"/>
      <c r="E36" s="773">
        <f>O$13/10</f>
        <v>23.4496</v>
      </c>
      <c r="F36" s="13">
        <f t="shared" si="22"/>
        <v>3</v>
      </c>
      <c r="G36" s="13">
        <f t="shared" si="23"/>
        <v>4</v>
      </c>
      <c r="H36" s="175">
        <f t="shared" si="7"/>
        <v>43122</v>
      </c>
      <c r="I36" s="774">
        <f t="shared" si="8"/>
        <v>0</v>
      </c>
      <c r="J36" s="765">
        <f t="shared" si="26"/>
        <v>23.449599999934435</v>
      </c>
      <c r="L36" s="778" t="s">
        <v>219</v>
      </c>
      <c r="M36" s="759">
        <f t="shared" ref="M36:AA36" si="42">x.1lg*x.1lg-x.2lg*x.2lg</f>
        <v>-2411640</v>
      </c>
      <c r="N36" s="759">
        <f t="shared" si="42"/>
        <v>-2499423</v>
      </c>
      <c r="O36" s="759">
        <f t="shared" si="42"/>
        <v>-2414832</v>
      </c>
      <c r="P36" s="759">
        <f t="shared" si="42"/>
        <v>-2416400</v>
      </c>
      <c r="Q36" s="759">
        <f t="shared" si="42"/>
        <v>-2417968</v>
      </c>
      <c r="R36" s="759">
        <f t="shared" si="42"/>
        <v>-2419536</v>
      </c>
      <c r="S36" s="759">
        <f t="shared" si="42"/>
        <v>-2421104</v>
      </c>
      <c r="T36" s="759">
        <f t="shared" si="42"/>
        <v>-2422672</v>
      </c>
      <c r="U36" s="759">
        <f t="shared" si="42"/>
        <v>-2424240</v>
      </c>
      <c r="V36" s="759">
        <f t="shared" si="42"/>
        <v>-2425808</v>
      </c>
      <c r="W36" s="759">
        <f t="shared" si="42"/>
        <v>-2427376</v>
      </c>
      <c r="X36" s="759">
        <f t="shared" si="42"/>
        <v>-2428944</v>
      </c>
      <c r="Y36" s="759">
        <f t="shared" si="42"/>
        <v>-2430512</v>
      </c>
      <c r="Z36" s="759">
        <f t="shared" si="42"/>
        <v>-2432080</v>
      </c>
      <c r="AA36" s="759">
        <f t="shared" si="42"/>
        <v>-2520593</v>
      </c>
      <c r="AP36" s="13">
        <f t="shared" si="10"/>
        <v>3</v>
      </c>
      <c r="AQ36" s="13">
        <f t="shared" si="11"/>
        <v>2</v>
      </c>
      <c r="AR36" s="175">
        <f t="shared" si="12"/>
        <v>43136</v>
      </c>
      <c r="AS36" s="774">
        <f t="shared" si="13"/>
        <v>0.5</v>
      </c>
      <c r="AT36" s="791">
        <f t="shared" si="14"/>
        <v>23.357421414926648</v>
      </c>
      <c r="AU36" s="13">
        <f t="shared" si="15"/>
        <v>3</v>
      </c>
      <c r="AV36" s="13">
        <f t="shared" si="16"/>
        <v>2</v>
      </c>
      <c r="AW36" s="175">
        <f t="shared" si="17"/>
        <v>43150</v>
      </c>
      <c r="AX36" s="774">
        <f t="shared" si="18"/>
        <v>1</v>
      </c>
      <c r="AY36" s="791">
        <f t="shared" si="19"/>
        <v>23.449599999934435</v>
      </c>
      <c r="AZ36" s="765">
        <f t="shared" si="25"/>
        <v>23.403510707430542</v>
      </c>
      <c r="BA36" s="649">
        <f t="shared" si="20"/>
        <v>0.99305505814157402</v>
      </c>
      <c r="BB36" s="644">
        <v>43122</v>
      </c>
      <c r="BC36" s="11">
        <v>43122</v>
      </c>
      <c r="BD36" s="292">
        <f>[2]!FeuilCaduc*(1-Persistant)+Persistant</f>
        <v>1</v>
      </c>
      <c r="BE36" s="293">
        <f>[2]!CroissVégét</f>
        <v>1.9073621235293117E-3</v>
      </c>
      <c r="BF36" s="844">
        <f>1+[2]!Salcycl*Ksac</f>
        <v>1.0000627809562408</v>
      </c>
      <c r="BH36" s="1107">
        <f t="shared" si="21"/>
        <v>2.0004319458789461E-2</v>
      </c>
      <c r="BI36" s="11">
        <v>44218</v>
      </c>
      <c r="BJ36" s="744">
        <v>8.0738608195398917E-4</v>
      </c>
      <c r="BK36" s="744">
        <v>2.7026760905630985E-3</v>
      </c>
      <c r="BL36" s="744">
        <v>1.2843498192635324E-2</v>
      </c>
      <c r="BM36" s="744">
        <v>4.8687752237812049E-2</v>
      </c>
      <c r="BN36" s="744">
        <v>0.10162028466552118</v>
      </c>
      <c r="BO36" s="745">
        <v>0.18670959594422218</v>
      </c>
      <c r="BP36" s="744">
        <v>0.2788072281776009</v>
      </c>
      <c r="BQ36" s="744">
        <v>0.40676294910002514</v>
      </c>
      <c r="BR36" s="744">
        <v>0.54672742235804295</v>
      </c>
      <c r="BS36" s="744">
        <v>0.70382579053352989</v>
      </c>
      <c r="BT36" s="744">
        <v>0.85726772674439844</v>
      </c>
      <c r="BW36" s="1191">
        <f>'2018'!R\Max</f>
        <v>0</v>
      </c>
      <c r="BX36" s="1189">
        <f>'2019'!R\Max</f>
        <v>0.43284360505748765</v>
      </c>
      <c r="BY36" s="1189">
        <f>'2020'!R\Max</f>
        <v>5.6987063096063925E-2</v>
      </c>
      <c r="BZ36" s="1189">
        <f>'2021'!R\Max</f>
        <v>0.258688680912741</v>
      </c>
      <c r="CA36" s="1189">
        <f>'2022'!R\Max</f>
        <v>0.99305505814157402</v>
      </c>
      <c r="CB36" s="1189">
        <f>'2023'!R\Max</f>
        <v>0.99285917229051734</v>
      </c>
      <c r="CC36" s="1189">
        <f>'2024'!R\Max</f>
        <v>0.9926385773435793</v>
      </c>
      <c r="CD36" s="1189">
        <f>'2025'!R\Max</f>
        <v>0.99228394149553156</v>
      </c>
      <c r="CE36" s="1189">
        <f>'2026'!R\Max</f>
        <v>0.99350593390194275</v>
      </c>
      <c r="CF36" s="1190">
        <f>'2027'!R\Max</f>
        <v>0.99339337261779481</v>
      </c>
    </row>
    <row r="37" spans="1:84" s="6" customFormat="1" ht="11.25" x14ac:dyDescent="0.2">
      <c r="A37" s="11">
        <v>43123</v>
      </c>
      <c r="B37" s="382">
        <f>'2022'!Maxi_hp</f>
        <v>23.298620808792489</v>
      </c>
      <c r="C37" s="85">
        <f>'2022'!An_max</f>
        <v>2022</v>
      </c>
      <c r="D37" s="1134"/>
      <c r="E37" s="711"/>
      <c r="F37" s="13">
        <f t="shared" si="22"/>
        <v>3</v>
      </c>
      <c r="G37" s="13">
        <f t="shared" si="23"/>
        <v>4</v>
      </c>
      <c r="H37" s="175">
        <f t="shared" si="7"/>
        <v>43122</v>
      </c>
      <c r="I37" s="774">
        <f t="shared" si="8"/>
        <v>7.1428571428571425E-2</v>
      </c>
      <c r="J37" s="765">
        <f>((1-I37)*(INDEX(a.m,F37)*$A37*$A37+INDEX(b.m,F37)*$A37+INDEX(c.m,F37))+I37*(INDEX(a.m,G37)*$A37*$A37+INDEX(b.m,G37)*$A37+INDEX(c.m,G37)))/10</f>
        <v>23.738197083824449</v>
      </c>
      <c r="L37" s="778" t="s">
        <v>220</v>
      </c>
      <c r="M37" s="759">
        <f t="shared" ref="M37:AA37" si="43">x.2lg*x.2lg-x.3lg*x.3lg</f>
        <v>-2499423</v>
      </c>
      <c r="N37" s="759">
        <f t="shared" si="43"/>
        <v>-2414832</v>
      </c>
      <c r="O37" s="759">
        <f t="shared" si="43"/>
        <v>-2416400</v>
      </c>
      <c r="P37" s="759">
        <f t="shared" si="43"/>
        <v>-2417968</v>
      </c>
      <c r="Q37" s="759">
        <f t="shared" si="43"/>
        <v>-2419536</v>
      </c>
      <c r="R37" s="759">
        <f t="shared" si="43"/>
        <v>-2421104</v>
      </c>
      <c r="S37" s="759">
        <f t="shared" si="43"/>
        <v>-2422672</v>
      </c>
      <c r="T37" s="759">
        <f t="shared" si="43"/>
        <v>-2424240</v>
      </c>
      <c r="U37" s="759">
        <f t="shared" si="43"/>
        <v>-2425808</v>
      </c>
      <c r="V37" s="759">
        <f t="shared" si="43"/>
        <v>-2427376</v>
      </c>
      <c r="W37" s="759">
        <f t="shared" si="43"/>
        <v>-2428944</v>
      </c>
      <c r="X37" s="759">
        <f t="shared" si="43"/>
        <v>-2430512</v>
      </c>
      <c r="Y37" s="759">
        <f t="shared" si="43"/>
        <v>-2432080</v>
      </c>
      <c r="Z37" s="759">
        <f t="shared" si="43"/>
        <v>-2520593</v>
      </c>
      <c r="AA37" s="759">
        <f t="shared" si="43"/>
        <v>-2435272</v>
      </c>
      <c r="AP37" s="13">
        <f t="shared" si="10"/>
        <v>3</v>
      </c>
      <c r="AQ37" s="13">
        <f t="shared" si="11"/>
        <v>2</v>
      </c>
      <c r="AR37" s="175">
        <f t="shared" si="12"/>
        <v>43136</v>
      </c>
      <c r="AS37" s="774">
        <f t="shared" si="13"/>
        <v>0.4642857142857143</v>
      </c>
      <c r="AT37" s="791">
        <f t="shared" si="14"/>
        <v>23.659588660033684</v>
      </c>
      <c r="AU37" s="13">
        <f t="shared" si="15"/>
        <v>3</v>
      </c>
      <c r="AV37" s="13">
        <f t="shared" si="16"/>
        <v>2</v>
      </c>
      <c r="AW37" s="175">
        <f t="shared" si="17"/>
        <v>43150</v>
      </c>
      <c r="AX37" s="774">
        <f t="shared" si="18"/>
        <v>0.9642857142857143</v>
      </c>
      <c r="AY37" s="791">
        <f t="shared" si="19"/>
        <v>23.720503109467348</v>
      </c>
      <c r="AZ37" s="765">
        <f t="shared" si="25"/>
        <v>23.690045884750518</v>
      </c>
      <c r="BA37" s="649">
        <f t="shared" si="20"/>
        <v>0.98148232262628343</v>
      </c>
      <c r="BB37" s="644">
        <v>43123</v>
      </c>
      <c r="BC37" s="11">
        <v>43123</v>
      </c>
      <c r="BD37" s="292">
        <f>[2]!FeuilCaduc*(1-Persistant)+Persistant</f>
        <v>1</v>
      </c>
      <c r="BE37" s="293">
        <f>[2]!CroissVégét</f>
        <v>2.045318545083899E-3</v>
      </c>
      <c r="BF37" s="844">
        <f>1+[2]!Salcycl*Ksac</f>
        <v>1.000047503480928</v>
      </c>
      <c r="BH37" s="1107">
        <f t="shared" si="21"/>
        <v>1.9449459799350387E-2</v>
      </c>
      <c r="BI37" s="11">
        <v>44219</v>
      </c>
      <c r="BJ37" s="744">
        <v>8.442791164736045E-4</v>
      </c>
      <c r="BK37" s="744">
        <v>2.7687770412536034E-3</v>
      </c>
      <c r="BL37" s="744">
        <v>1.2382954680691054E-2</v>
      </c>
      <c r="BM37" s="744">
        <v>4.7755099197405587E-2</v>
      </c>
      <c r="BN37" s="744">
        <v>0.10077682273104499</v>
      </c>
      <c r="BO37" s="745">
        <v>0.18512767937844712</v>
      </c>
      <c r="BP37" s="744">
        <v>0.27728575649614706</v>
      </c>
      <c r="BQ37" s="744">
        <v>0.40287208924288986</v>
      </c>
      <c r="BR37" s="744">
        <v>0.54249208958439443</v>
      </c>
      <c r="BS37" s="744">
        <v>0.69832902674061004</v>
      </c>
      <c r="BT37" s="744">
        <v>0.8523203625844824</v>
      </c>
      <c r="BW37" s="1191">
        <f>'2018'!R\Max</f>
        <v>0</v>
      </c>
      <c r="BX37" s="1189">
        <f>'2019'!R\Max</f>
        <v>0.38883514285337661</v>
      </c>
      <c r="BY37" s="1189">
        <f>'2020'!R\Max</f>
        <v>0.59084164511937909</v>
      </c>
      <c r="BZ37" s="1189">
        <f>'2021'!R\Max</f>
        <v>0.41330924605499414</v>
      </c>
      <c r="CA37" s="1189">
        <f>'2022'!R\Max</f>
        <v>0.98148232262628343</v>
      </c>
      <c r="CB37" s="1189">
        <f>'2023'!R\Max</f>
        <v>0.98097340628898111</v>
      </c>
      <c r="CC37" s="1189">
        <f>'2024'!R\Max</f>
        <v>0.98040263119952631</v>
      </c>
      <c r="CD37" s="1189">
        <f>'2025'!R\Max</f>
        <v>0.97950105875260329</v>
      </c>
      <c r="CE37" s="1189">
        <f>'2026'!R\Max</f>
        <v>0.98265161021575498</v>
      </c>
      <c r="CF37" s="1190">
        <f>'2027'!R\Max</f>
        <v>0.98235804088330514</v>
      </c>
    </row>
    <row r="38" spans="1:84" s="6" customFormat="1" ht="11.25" x14ac:dyDescent="0.2">
      <c r="A38" s="11">
        <v>43124</v>
      </c>
      <c r="B38" s="382">
        <f>'2022'!Maxi_hp</f>
        <v>23.805877087103614</v>
      </c>
      <c r="C38" s="85">
        <f>'2022'!An_max</f>
        <v>2022</v>
      </c>
      <c r="D38" s="1134"/>
      <c r="E38" s="711"/>
      <c r="F38" s="13">
        <f t="shared" si="22"/>
        <v>3</v>
      </c>
      <c r="G38" s="13">
        <f t="shared" si="23"/>
        <v>4</v>
      </c>
      <c r="H38" s="175">
        <f t="shared" si="7"/>
        <v>43122</v>
      </c>
      <c r="I38" s="774">
        <f t="shared" si="8"/>
        <v>0.14285714285714285</v>
      </c>
      <c r="J38" s="765">
        <f t="shared" si="26"/>
        <v>24.033250144230472</v>
      </c>
      <c r="L38" s="778" t="s">
        <v>221</v>
      </c>
      <c r="M38" s="759">
        <f t="shared" ref="M38:AA38" si="44">(y.1lg-y.2lg-b.lg*(x.1lg-x.2lg))/D2x12Lg</f>
        <v>4.2014000518534322E-2</v>
      </c>
      <c r="N38" s="759">
        <f t="shared" si="44"/>
        <v>4.0752916774699131E-2</v>
      </c>
      <c r="O38" s="759">
        <f t="shared" si="44"/>
        <v>2.0897959183670392E-2</v>
      </c>
      <c r="P38" s="759">
        <f t="shared" si="44"/>
        <v>9.1428571428572511E-3</v>
      </c>
      <c r="Q38" s="759">
        <f t="shared" si="44"/>
        <v>-2.2857142857145622E-2</v>
      </c>
      <c r="R38" s="759">
        <f t="shared" si="44"/>
        <v>-3.7224489795915791E-2</v>
      </c>
      <c r="S38" s="759">
        <f t="shared" si="44"/>
        <v>-2.4163265306122918E-2</v>
      </c>
      <c r="T38" s="759">
        <f t="shared" si="44"/>
        <v>-1.5673469387755851E-2</v>
      </c>
      <c r="U38" s="759">
        <f t="shared" si="44"/>
        <v>-1.5673469387757134E-2</v>
      </c>
      <c r="V38" s="759">
        <f t="shared" si="44"/>
        <v>-2.7428571428575528E-2</v>
      </c>
      <c r="W38" s="759">
        <f t="shared" si="44"/>
        <v>-1.8285714285714939E-2</v>
      </c>
      <c r="X38" s="759">
        <f t="shared" si="44"/>
        <v>2.0244897959186998E-2</v>
      </c>
      <c r="Y38" s="759">
        <f t="shared" si="44"/>
        <v>2.6775510204079155E-2</v>
      </c>
      <c r="Z38" s="759">
        <f t="shared" si="44"/>
        <v>4.2014000518542004E-2</v>
      </c>
      <c r="AA38" s="759">
        <f t="shared" si="44"/>
        <v>4.0752916774691797E-2</v>
      </c>
      <c r="AP38" s="13">
        <f t="shared" si="10"/>
        <v>3</v>
      </c>
      <c r="AQ38" s="13">
        <f t="shared" si="11"/>
        <v>2</v>
      </c>
      <c r="AR38" s="175">
        <f t="shared" si="12"/>
        <v>43136</v>
      </c>
      <c r="AS38" s="774">
        <f t="shared" si="13"/>
        <v>0.42857142857142855</v>
      </c>
      <c r="AT38" s="791">
        <f t="shared" si="14"/>
        <v>23.967495531695228</v>
      </c>
      <c r="AU38" s="13">
        <f t="shared" si="15"/>
        <v>3</v>
      </c>
      <c r="AV38" s="13">
        <f t="shared" si="16"/>
        <v>2</v>
      </c>
      <c r="AW38" s="175">
        <f t="shared" si="17"/>
        <v>43150</v>
      </c>
      <c r="AX38" s="774">
        <f t="shared" si="18"/>
        <v>0.9285714285714286</v>
      </c>
      <c r="AY38" s="791">
        <f t="shared" si="19"/>
        <v>23.999137457513381</v>
      </c>
      <c r="AZ38" s="765">
        <f t="shared" si="25"/>
        <v>23.983316494604303</v>
      </c>
      <c r="BA38" s="649">
        <f t="shared" si="20"/>
        <v>0.99053922978530462</v>
      </c>
      <c r="BB38" s="644">
        <v>43124</v>
      </c>
      <c r="BC38" s="11">
        <v>43124</v>
      </c>
      <c r="BD38" s="292">
        <f>[2]!FeuilCaduc*(1-Persistant)+Persistant</f>
        <v>1</v>
      </c>
      <c r="BE38" s="293">
        <f>[2]!CroissVégét</f>
        <v>2.1890219655428525E-3</v>
      </c>
      <c r="BF38" s="844">
        <f>1+[2]!Salcycl*Ksac</f>
        <v>1.0000343219898149</v>
      </c>
      <c r="BH38" s="1107">
        <f t="shared" si="21"/>
        <v>1.8866084362581623E-2</v>
      </c>
      <c r="BI38" s="11">
        <v>44220</v>
      </c>
      <c r="BJ38" s="744">
        <v>8.837599578171095E-4</v>
      </c>
      <c r="BK38" s="744">
        <v>2.8447388648482129E-3</v>
      </c>
      <c r="BL38" s="744">
        <v>1.1924779047097434E-2</v>
      </c>
      <c r="BM38" s="744">
        <v>4.6670222605274266E-2</v>
      </c>
      <c r="BN38" s="744">
        <v>9.9865356177678929E-2</v>
      </c>
      <c r="BO38" s="745">
        <v>0.18338542702065361</v>
      </c>
      <c r="BP38" s="744">
        <v>0.27583422579538869</v>
      </c>
      <c r="BQ38" s="744">
        <v>0.39892023529740678</v>
      </c>
      <c r="BR38" s="744">
        <v>0.53817296399943182</v>
      </c>
      <c r="BS38" s="744">
        <v>0.69248769166803081</v>
      </c>
      <c r="BT38" s="744">
        <v>0.84682533668027515</v>
      </c>
      <c r="BW38" s="1191">
        <f>'2018'!R\Max</f>
        <v>0</v>
      </c>
      <c r="BX38" s="1189">
        <f>'2019'!R\Max</f>
        <v>0.53118887315507912</v>
      </c>
      <c r="BY38" s="1189">
        <f>'2020'!R\Max</f>
        <v>0.54495878689031807</v>
      </c>
      <c r="BZ38" s="1189">
        <f>'2021'!R\Max</f>
        <v>0.64809052892975183</v>
      </c>
      <c r="CA38" s="1189">
        <f>'2022'!R\Max</f>
        <v>0.99053922978530462</v>
      </c>
      <c r="CB38" s="1189">
        <f>'2023'!R\Max</f>
        <v>0.99027990301732316</v>
      </c>
      <c r="CC38" s="1189">
        <f>'2024'!R\Max</f>
        <v>0.9899899305687111</v>
      </c>
      <c r="CD38" s="1189">
        <f>'2025'!R\Max</f>
        <v>0.98954054240298506</v>
      </c>
      <c r="CE38" s="1189">
        <f>'2026'!R\Max</f>
        <v>0.99113157702277155</v>
      </c>
      <c r="CF38" s="1190">
        <f>'2027'!R\Max</f>
        <v>0.99098201954556553</v>
      </c>
    </row>
    <row r="39" spans="1:84" s="6" customFormat="1" ht="11.25" x14ac:dyDescent="0.2">
      <c r="A39" s="11">
        <v>43125</v>
      </c>
      <c r="B39" s="382">
        <f>'2022'!Maxi_hp</f>
        <v>24.058949643818465</v>
      </c>
      <c r="C39" s="85">
        <f>'2022'!An_max</f>
        <v>2022</v>
      </c>
      <c r="D39" s="1134"/>
      <c r="E39" s="711"/>
      <c r="F39" s="13">
        <f t="shared" si="22"/>
        <v>3</v>
      </c>
      <c r="G39" s="13">
        <f t="shared" si="23"/>
        <v>4</v>
      </c>
      <c r="H39" s="175">
        <f t="shared" si="7"/>
        <v>43122</v>
      </c>
      <c r="I39" s="774">
        <f t="shared" si="8"/>
        <v>0.21428571428571427</v>
      </c>
      <c r="J39" s="765">
        <f t="shared" si="26"/>
        <v>24.334423322922415</v>
      </c>
      <c r="L39" s="778" t="s">
        <v>222</v>
      </c>
      <c r="M39" s="759">
        <f t="shared" ref="M39:AA39" si="45">(y.2lg-y.3lg-(y.1lg-y.2lg)*D2x23Lg/D2x12Lg)/(x.2lg-x.3lg)/(1-(x.2lg+x.3lg)/(x.1lg+x.2lg))</f>
        <v>-3620.5310075185039</v>
      </c>
      <c r="N39" s="759">
        <f t="shared" si="45"/>
        <v>-3511.8419828885803</v>
      </c>
      <c r="O39" s="759">
        <f t="shared" si="45"/>
        <v>-1799.4710204078979</v>
      </c>
      <c r="P39" s="759">
        <f t="shared" si="45"/>
        <v>-785.00571428572368</v>
      </c>
      <c r="Q39" s="759">
        <f t="shared" si="45"/>
        <v>1978.3862857145245</v>
      </c>
      <c r="R39" s="759">
        <f t="shared" si="45"/>
        <v>3219.8974693875325</v>
      </c>
      <c r="S39" s="759">
        <f t="shared" si="45"/>
        <v>2090.5195102041221</v>
      </c>
      <c r="T39" s="759">
        <f t="shared" si="45"/>
        <v>1355.9484081633298</v>
      </c>
      <c r="U39" s="759">
        <f t="shared" si="45"/>
        <v>1355.9484081634412</v>
      </c>
      <c r="V39" s="759">
        <f t="shared" si="45"/>
        <v>2374.363428571784</v>
      </c>
      <c r="W39" s="759">
        <f t="shared" si="45"/>
        <v>1581.7508571429139</v>
      </c>
      <c r="X39" s="759">
        <f t="shared" si="45"/>
        <v>-1760.7026938778395</v>
      </c>
      <c r="Y39" s="759">
        <f t="shared" si="45"/>
        <v>-2327.5859591834583</v>
      </c>
      <c r="Z39" s="759">
        <f t="shared" si="45"/>
        <v>-3651.2012278977013</v>
      </c>
      <c r="AA39" s="759">
        <f t="shared" si="45"/>
        <v>-3541.5916121334731</v>
      </c>
      <c r="AP39" s="13">
        <f t="shared" si="10"/>
        <v>3</v>
      </c>
      <c r="AQ39" s="13">
        <f t="shared" si="11"/>
        <v>2</v>
      </c>
      <c r="AR39" s="175">
        <f t="shared" si="12"/>
        <v>43136</v>
      </c>
      <c r="AS39" s="774">
        <f t="shared" si="13"/>
        <v>0.39285714285714285</v>
      </c>
      <c r="AT39" s="791">
        <f t="shared" si="14"/>
        <v>24.280716563495144</v>
      </c>
      <c r="AU39" s="13">
        <f t="shared" si="15"/>
        <v>3</v>
      </c>
      <c r="AV39" s="13">
        <f t="shared" si="16"/>
        <v>2</v>
      </c>
      <c r="AW39" s="175">
        <f t="shared" si="17"/>
        <v>43150</v>
      </c>
      <c r="AX39" s="774">
        <f t="shared" si="18"/>
        <v>0.8928571428571429</v>
      </c>
      <c r="AY39" s="791">
        <f t="shared" si="19"/>
        <v>24.285265046504456</v>
      </c>
      <c r="AZ39" s="765">
        <f t="shared" si="25"/>
        <v>24.282990804999798</v>
      </c>
      <c r="BA39" s="649">
        <f t="shared" si="20"/>
        <v>0.98867967095630904</v>
      </c>
      <c r="BB39" s="644">
        <v>43125</v>
      </c>
      <c r="BC39" s="11">
        <v>43125</v>
      </c>
      <c r="BD39" s="292">
        <f>[2]!FeuilCaduc*(1-Persistant)+Persistant</f>
        <v>1</v>
      </c>
      <c r="BE39" s="293">
        <f>[2]!CroissVégét</f>
        <v>2.3387100283593187E-3</v>
      </c>
      <c r="BF39" s="844">
        <f>1+[2]!Salcycl*Ksac</f>
        <v>1.0000232822564965</v>
      </c>
      <c r="BH39" s="1107">
        <f t="shared" si="21"/>
        <v>1.8272919366793199E-2</v>
      </c>
      <c r="BI39" s="11">
        <v>44221</v>
      </c>
      <c r="BJ39" s="744">
        <v>9.2525142379789606E-4</v>
      </c>
      <c r="BK39" s="744">
        <v>2.9260436412349745E-3</v>
      </c>
      <c r="BL39" s="744">
        <v>1.1483300890319818E-2</v>
      </c>
      <c r="BM39" s="744">
        <v>4.5469459809105918E-2</v>
      </c>
      <c r="BN39" s="744">
        <v>9.8865819860013707E-2</v>
      </c>
      <c r="BO39" s="745">
        <v>0.18149122256859859</v>
      </c>
      <c r="BP39" s="744">
        <v>0.27431792695949681</v>
      </c>
      <c r="BQ39" s="744">
        <v>0.3949148339017014</v>
      </c>
      <c r="BR39" s="744">
        <v>0.53378156883429728</v>
      </c>
      <c r="BS39" s="744">
        <v>0.68651911322290127</v>
      </c>
      <c r="BT39" s="744">
        <v>0.8410349685633155</v>
      </c>
      <c r="BW39" s="1191">
        <f>'2018'!R\Max</f>
        <v>0</v>
      </c>
      <c r="BX39" s="1189">
        <f>'2019'!R\Max</f>
        <v>0.19325498615142012</v>
      </c>
      <c r="BY39" s="1189">
        <f>'2020'!R\Max</f>
        <v>0.56552129355501823</v>
      </c>
      <c r="BZ39" s="1189">
        <f>'2021'!R\Max</f>
        <v>0.31099793927588526</v>
      </c>
      <c r="CA39" s="1189">
        <f>'2022'!R\Max</f>
        <v>0.98867967095630904</v>
      </c>
      <c r="CB39" s="1189">
        <f>'2023'!R\Max</f>
        <v>0.98837350609144325</v>
      </c>
      <c r="CC39" s="1189">
        <f>'2024'!R\Max</f>
        <v>0.98803237828085866</v>
      </c>
      <c r="CD39" s="1189">
        <f>'2025'!R\Max</f>
        <v>0.98751467088493861</v>
      </c>
      <c r="CE39" s="1189">
        <f>'2026'!R\Max</f>
        <v>0.98937486695282306</v>
      </c>
      <c r="CF39" s="1190">
        <f>'2027'!R\Max</f>
        <v>0.98919819967291667</v>
      </c>
    </row>
    <row r="40" spans="1:84" s="6" customFormat="1" ht="11.25" x14ac:dyDescent="0.2">
      <c r="A40" s="11">
        <v>43126</v>
      </c>
      <c r="B40" s="382">
        <f>'2022'!Maxi_hp</f>
        <v>24.131302627113506</v>
      </c>
      <c r="C40" s="85">
        <f>'2022'!An_max</f>
        <v>2022</v>
      </c>
      <c r="D40" s="1134"/>
      <c r="E40" s="711"/>
      <c r="F40" s="13">
        <f t="shared" si="22"/>
        <v>3</v>
      </c>
      <c r="G40" s="13">
        <f t="shared" si="23"/>
        <v>4</v>
      </c>
      <c r="H40" s="175">
        <f t="shared" si="7"/>
        <v>43122</v>
      </c>
      <c r="I40" s="774">
        <f t="shared" si="8"/>
        <v>0.2857142857142857</v>
      </c>
      <c r="J40" s="765">
        <f t="shared" si="26"/>
        <v>24.64138075709343</v>
      </c>
      <c r="L40" s="778" t="s">
        <v>223</v>
      </c>
      <c r="M40" s="759">
        <f t="shared" ref="M40:AA40" si="46">(y.1lg+y.2lg+y.3lg-a.lg*(x.3lg*x.3lg+x.2lg*x.2lg+x.1lg*x.1lg)-b.lg*(x.3lg+x.2lg+x.1lg))/3</f>
        <v>77999447.305219516</v>
      </c>
      <c r="N40" s="759">
        <f t="shared" si="46"/>
        <v>75657552.328917548</v>
      </c>
      <c r="O40" s="759">
        <f t="shared" si="46"/>
        <v>38737125.898443252</v>
      </c>
      <c r="P40" s="759">
        <f t="shared" si="46"/>
        <v>16850039.222857349</v>
      </c>
      <c r="Q40" s="759">
        <f t="shared" si="46"/>
        <v>-42808824.393148012</v>
      </c>
      <c r="R40" s="759">
        <f t="shared" si="46"/>
        <v>-69629187.678036019</v>
      </c>
      <c r="S40" s="759">
        <f t="shared" si="46"/>
        <v>-45215426.894368209</v>
      </c>
      <c r="T40" s="759">
        <f t="shared" si="46"/>
        <v>-29325921.050123829</v>
      </c>
      <c r="U40" s="759">
        <f t="shared" si="46"/>
        <v>-29325921.050126255</v>
      </c>
      <c r="V40" s="759">
        <f t="shared" si="46"/>
        <v>-51383769.673150547</v>
      </c>
      <c r="W40" s="759">
        <f t="shared" si="46"/>
        <v>-34205479.204572663</v>
      </c>
      <c r="X40" s="759">
        <f t="shared" si="46"/>
        <v>38282303.404414423</v>
      </c>
      <c r="Y40" s="759">
        <f t="shared" si="46"/>
        <v>50584235.864811659</v>
      </c>
      <c r="Z40" s="759">
        <f t="shared" si="46"/>
        <v>79326538.43819733</v>
      </c>
      <c r="AA40" s="759">
        <f t="shared" si="46"/>
        <v>76944803.959995329</v>
      </c>
      <c r="AB40" s="7"/>
      <c r="AC40" s="7"/>
      <c r="AD40" s="7"/>
      <c r="AE40" s="7"/>
      <c r="AF40" s="7"/>
      <c r="AH40" s="7"/>
      <c r="AI40" s="74"/>
      <c r="AP40" s="13">
        <f t="shared" si="10"/>
        <v>3</v>
      </c>
      <c r="AQ40" s="13">
        <f t="shared" si="11"/>
        <v>2</v>
      </c>
      <c r="AR40" s="175">
        <f t="shared" si="12"/>
        <v>43136</v>
      </c>
      <c r="AS40" s="774">
        <f t="shared" si="13"/>
        <v>0.35714285714285715</v>
      </c>
      <c r="AT40" s="791">
        <f t="shared" si="14"/>
        <v>24.598826291997518</v>
      </c>
      <c r="AU40" s="13">
        <f t="shared" si="15"/>
        <v>3</v>
      </c>
      <c r="AV40" s="13">
        <f t="shared" si="16"/>
        <v>2</v>
      </c>
      <c r="AW40" s="175">
        <f t="shared" si="17"/>
        <v>43150</v>
      </c>
      <c r="AX40" s="774">
        <f t="shared" si="18"/>
        <v>0.8571428571428571</v>
      </c>
      <c r="AY40" s="791">
        <f t="shared" si="19"/>
        <v>24.578647869186746</v>
      </c>
      <c r="AZ40" s="765">
        <f t="shared" si="25"/>
        <v>24.588737080592132</v>
      </c>
      <c r="BA40" s="649">
        <f t="shared" si="20"/>
        <v>0.979299937166342</v>
      </c>
      <c r="BB40" s="644">
        <v>43126</v>
      </c>
      <c r="BC40" s="11">
        <v>43126</v>
      </c>
      <c r="BD40" s="292">
        <f>[2]!FeuilCaduc*(1-Persistant)+Persistant</f>
        <v>1</v>
      </c>
      <c r="BE40" s="293">
        <f>[2]!CroissVégét</f>
        <v>2.4946300531446561E-3</v>
      </c>
      <c r="BF40" s="844">
        <f>1+[2]!Salcycl*Ksac</f>
        <v>1.0000144198150671</v>
      </c>
      <c r="BH40" s="1107">
        <f t="shared" si="21"/>
        <v>1.7670022167697121E-2</v>
      </c>
      <c r="BI40" s="11">
        <v>44222</v>
      </c>
      <c r="BJ40" s="744">
        <v>9.6875258289372268E-4</v>
      </c>
      <c r="BK40" s="744">
        <v>3.0126912695058604E-3</v>
      </c>
      <c r="BL40" s="744">
        <v>1.1058565742930035E-2</v>
      </c>
      <c r="BM40" s="744">
        <v>4.4152915523460685E-2</v>
      </c>
      <c r="BN40" s="744">
        <v>9.7778379740164012E-2</v>
      </c>
      <c r="BO40" s="745">
        <v>0.17944537657680057</v>
      </c>
      <c r="BP40" s="744">
        <v>0.27273728420770393</v>
      </c>
      <c r="BQ40" s="744">
        <v>0.39085661730142035</v>
      </c>
      <c r="BR40" s="744">
        <v>0.52931883078092601</v>
      </c>
      <c r="BS40" s="744">
        <v>0.68042449515826953</v>
      </c>
      <c r="BT40" s="744">
        <v>0.83495060702543134</v>
      </c>
      <c r="BW40" s="1191">
        <f>'2018'!R\Max</f>
        <v>0</v>
      </c>
      <c r="BX40" s="1189">
        <f>'2019'!R\Max</f>
        <v>0.55672076796389847</v>
      </c>
      <c r="BY40" s="1189">
        <f>'2020'!R\Max</f>
        <v>0.27033116362472231</v>
      </c>
      <c r="BZ40" s="1189">
        <f>'2021'!R\Max</f>
        <v>0.71027236708535124</v>
      </c>
      <c r="CA40" s="1189">
        <f>'2022'!R\Max</f>
        <v>0.979299937166342</v>
      </c>
      <c r="CB40" s="1189">
        <f>'2023'!R\Max</f>
        <v>0.97875154376949769</v>
      </c>
      <c r="CC40" s="1189">
        <f>'2024'!R\Max</f>
        <v>0.97814289735797955</v>
      </c>
      <c r="CD40" s="1189">
        <f>'2025'!R\Max</f>
        <v>0.97723978207809692</v>
      </c>
      <c r="CE40" s="1189">
        <f>'2026'!R\Max</f>
        <v>0.98053726255699292</v>
      </c>
      <c r="CF40" s="1190">
        <f>'2027'!R\Max</f>
        <v>0.98022056329652352</v>
      </c>
    </row>
    <row r="41" spans="1:84" s="6" customFormat="1" ht="11.25" x14ac:dyDescent="0.2">
      <c r="A41" s="11">
        <v>43127</v>
      </c>
      <c r="B41" s="382">
        <f>'2022'!Maxi_hp</f>
        <v>23.460443635711847</v>
      </c>
      <c r="C41" s="85">
        <f>'2022'!An_max</f>
        <v>2022</v>
      </c>
      <c r="D41" s="1134"/>
      <c r="E41" s="711"/>
      <c r="F41" s="13">
        <f t="shared" si="22"/>
        <v>3</v>
      </c>
      <c r="G41" s="13">
        <f t="shared" si="23"/>
        <v>4</v>
      </c>
      <c r="H41" s="175">
        <f t="shared" si="7"/>
        <v>43122</v>
      </c>
      <c r="I41" s="774">
        <f t="shared" si="8"/>
        <v>0.35714285714285715</v>
      </c>
      <c r="J41" s="765">
        <f t="shared" si="26"/>
        <v>24.953786588247333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P41" s="13">
        <f t="shared" si="10"/>
        <v>3</v>
      </c>
      <c r="AQ41" s="13">
        <f t="shared" si="11"/>
        <v>2</v>
      </c>
      <c r="AR41" s="175">
        <f t="shared" si="12"/>
        <v>43136</v>
      </c>
      <c r="AS41" s="774">
        <f t="shared" si="13"/>
        <v>0.32142857142857145</v>
      </c>
      <c r="AT41" s="791">
        <f t="shared" si="14"/>
        <v>24.921399255469446</v>
      </c>
      <c r="AU41" s="13">
        <f t="shared" si="15"/>
        <v>3</v>
      </c>
      <c r="AV41" s="13">
        <f t="shared" si="16"/>
        <v>2</v>
      </c>
      <c r="AW41" s="175">
        <f t="shared" si="17"/>
        <v>43150</v>
      </c>
      <c r="AX41" s="774">
        <f t="shared" si="18"/>
        <v>0.8214285714285714</v>
      </c>
      <c r="AY41" s="791">
        <f t="shared" si="19"/>
        <v>24.879047927074133</v>
      </c>
      <c r="AZ41" s="765">
        <f t="shared" si="25"/>
        <v>24.900223591271789</v>
      </c>
      <c r="BA41" s="649">
        <f t="shared" si="20"/>
        <v>0.94015565744884522</v>
      </c>
      <c r="BB41" s="644">
        <v>43127</v>
      </c>
      <c r="BC41" s="11">
        <v>43127</v>
      </c>
      <c r="BD41" s="292">
        <f>[2]!FeuilCaduc*(1-Persistant)+Persistant</f>
        <v>1</v>
      </c>
      <c r="BE41" s="293">
        <f>[2]!CroissVégét</f>
        <v>2.6570394167881404E-3</v>
      </c>
      <c r="BF41" s="844">
        <f>1+[2]!Salcycl*Ksac</f>
        <v>1.0000077584765197</v>
      </c>
      <c r="BH41" s="1107">
        <f t="shared" si="21"/>
        <v>1.7057448223134708E-2</v>
      </c>
      <c r="BI41" s="11">
        <v>44223</v>
      </c>
      <c r="BJ41" s="744">
        <v>1.0142624766546274E-3</v>
      </c>
      <c r="BK41" s="744">
        <v>3.1046814304279348E-3</v>
      </c>
      <c r="BL41" s="744">
        <v>1.065061495416819E-2</v>
      </c>
      <c r="BM41" s="744">
        <v>4.2720701719685672E-2</v>
      </c>
      <c r="BN41" s="744">
        <v>9.6603206677726747E-2</v>
      </c>
      <c r="BO41" s="745">
        <v>0.17724820716681541</v>
      </c>
      <c r="BP41" s="744">
        <v>0.27109272087065578</v>
      </c>
      <c r="BQ41" s="744">
        <v>0.38674630271121629</v>
      </c>
      <c r="BR41" s="744">
        <v>0.52478566133913052</v>
      </c>
      <c r="BS41" s="744">
        <v>0.67420502404766258</v>
      </c>
      <c r="BT41" s="744">
        <v>0.82857360360268983</v>
      </c>
      <c r="BW41" s="1191">
        <f>'2018'!R\Max</f>
        <v>0</v>
      </c>
      <c r="BX41" s="1189">
        <f>'2019'!R\Max</f>
        <v>0.52274856850044193</v>
      </c>
      <c r="BY41" s="1189">
        <f>'2020'!R\Max</f>
        <v>0.45120391213770633</v>
      </c>
      <c r="BZ41" s="1189">
        <f>'2021'!R\Max</f>
        <v>0.28179476055236341</v>
      </c>
      <c r="CA41" s="1189">
        <f>'2022'!R\Max</f>
        <v>0.94015565744884522</v>
      </c>
      <c r="CB41" s="1189">
        <f>'2023'!R\Max</f>
        <v>0.93865072798041449</v>
      </c>
      <c r="CC41" s="1189">
        <f>'2024'!R\Max</f>
        <v>0.93698952281044878</v>
      </c>
      <c r="CD41" s="1189">
        <f>'2025'!R\Max</f>
        <v>0.93458716446696322</v>
      </c>
      <c r="CE41" s="1189">
        <f>'2026'!R\Max</f>
        <v>0.94353465600966446</v>
      </c>
      <c r="CF41" s="1190">
        <f>'2027'!R\Max</f>
        <v>0.94266211362401064</v>
      </c>
    </row>
    <row r="42" spans="1:84" s="6" customFormat="1" ht="11.25" x14ac:dyDescent="0.2">
      <c r="A42" s="11">
        <v>43128</v>
      </c>
      <c r="B42" s="382">
        <f>'2022'!Maxi_hp</f>
        <v>17.183861490086507</v>
      </c>
      <c r="C42" s="85">
        <f>'2022'!An_max</f>
        <v>2020</v>
      </c>
      <c r="D42" s="1134"/>
      <c r="E42" s="711"/>
      <c r="F42" s="13">
        <f t="shared" si="22"/>
        <v>3</v>
      </c>
      <c r="G42" s="13">
        <f t="shared" si="23"/>
        <v>4</v>
      </c>
      <c r="H42" s="175">
        <f t="shared" si="7"/>
        <v>43122</v>
      </c>
      <c r="I42" s="774">
        <f t="shared" si="8"/>
        <v>0.42857142857142855</v>
      </c>
      <c r="J42" s="765">
        <f t="shared" si="26"/>
        <v>25.271304955439909</v>
      </c>
      <c r="M42" s="6" t="s">
        <v>233</v>
      </c>
      <c r="AC42" s="7"/>
      <c r="AD42" s="7"/>
      <c r="AE42" s="7"/>
      <c r="AF42" s="7"/>
      <c r="AH42" s="7"/>
      <c r="AI42" s="74"/>
      <c r="AP42" s="13">
        <f t="shared" si="10"/>
        <v>3</v>
      </c>
      <c r="AQ42" s="13">
        <f t="shared" si="11"/>
        <v>2</v>
      </c>
      <c r="AR42" s="175">
        <f t="shared" si="12"/>
        <v>43136</v>
      </c>
      <c r="AS42" s="774">
        <f t="shared" si="13"/>
        <v>0.2857142857142857</v>
      </c>
      <c r="AT42" s="791">
        <f t="shared" si="14"/>
        <v>25.248009988133397</v>
      </c>
      <c r="AU42" s="13">
        <f t="shared" si="15"/>
        <v>3</v>
      </c>
      <c r="AV42" s="13">
        <f t="shared" si="16"/>
        <v>2</v>
      </c>
      <c r="AW42" s="175">
        <f t="shared" si="17"/>
        <v>43150</v>
      </c>
      <c r="AX42" s="774">
        <f t="shared" si="18"/>
        <v>0.7857142857142857</v>
      </c>
      <c r="AY42" s="791">
        <f t="shared" si="19"/>
        <v>25.186227214575879</v>
      </c>
      <c r="AZ42" s="765">
        <f t="shared" si="25"/>
        <v>25.217118601354638</v>
      </c>
      <c r="BA42" s="649">
        <f t="shared" si="20"/>
        <v>0.67997523358553369</v>
      </c>
      <c r="BB42" s="644">
        <v>43128</v>
      </c>
      <c r="BC42" s="11">
        <v>43128</v>
      </c>
      <c r="BD42" s="292">
        <f>[2]!FeuilCaduc*(1-Persistant)+Persistant</f>
        <v>1</v>
      </c>
      <c r="BE42" s="293">
        <f>[2]!CroissVégét</f>
        <v>2.826205948480045E-3</v>
      </c>
      <c r="BF42" s="844">
        <f>1+[2]!Salcycl*Ksac</f>
        <v>1.0000033091023024</v>
      </c>
      <c r="BH42" s="1107">
        <f t="shared" si="21"/>
        <v>1.6435250976712744E-2</v>
      </c>
      <c r="BI42" s="11">
        <v>44224</v>
      </c>
      <c r="BJ42" s="744">
        <v>1.0617801449774524E-3</v>
      </c>
      <c r="BK42" s="744">
        <v>3.2020136537952403E-3</v>
      </c>
      <c r="BL42" s="744">
        <v>1.0259485902712032E-2</v>
      </c>
      <c r="BM42" s="744">
        <v>4.1172936191173154E-2</v>
      </c>
      <c r="BN42" s="744">
        <v>9.5340475355848275E-2</v>
      </c>
      <c r="BO42" s="745">
        <v>0.17490003817747976</v>
      </c>
      <c r="BP42" s="744">
        <v>0.26938465865335104</v>
      </c>
      <c r="BQ42" s="744">
        <v>0.38258459175447079</v>
      </c>
      <c r="BR42" s="744">
        <v>0.52018295605815457</v>
      </c>
      <c r="BS42" s="744">
        <v>0.66786186788155122</v>
      </c>
      <c r="BT42" s="744">
        <v>0.82190530910834325</v>
      </c>
      <c r="BW42" s="1191">
        <f>'2018'!R\Max</f>
        <v>0</v>
      </c>
      <c r="BX42" s="1189">
        <f>'2019'!R\Max</f>
        <v>0.45650969042775286</v>
      </c>
      <c r="BY42" s="1189">
        <f>'2020'!R\Max</f>
        <v>0.67997523358553369</v>
      </c>
      <c r="BZ42" s="1189">
        <f>'2021'!R\Max</f>
        <v>0.65825850188633195</v>
      </c>
      <c r="CA42" s="1189">
        <f>'2022'!R\Max</f>
        <v>0.18536616335821621</v>
      </c>
      <c r="CB42" s="1189">
        <f>'2023'!R\Max</f>
        <v>0.18191733255217196</v>
      </c>
      <c r="CC42" s="1189">
        <f>'2024'!R\Max</f>
        <v>0.17825557289146177</v>
      </c>
      <c r="CD42" s="1189">
        <f>'2025'!R\Max</f>
        <v>0.17330876717404692</v>
      </c>
      <c r="CE42" s="1189">
        <f>'2026'!R\Max</f>
        <v>0.19348336767267252</v>
      </c>
      <c r="CF42" s="1190">
        <f>'2027'!R\Max</f>
        <v>0.19130967135205229</v>
      </c>
    </row>
    <row r="43" spans="1:84" s="6" customFormat="1" ht="11.25" x14ac:dyDescent="0.2">
      <c r="A43" s="11">
        <v>43129</v>
      </c>
      <c r="B43" s="382">
        <f>'2022'!Maxi_hp</f>
        <v>19.986344451656461</v>
      </c>
      <c r="C43" s="85">
        <f>'2022'!An_max</f>
        <v>2020</v>
      </c>
      <c r="D43" s="1134"/>
      <c r="E43" s="711"/>
      <c r="F43" s="13">
        <f t="shared" si="22"/>
        <v>3</v>
      </c>
      <c r="G43" s="13">
        <f t="shared" si="23"/>
        <v>4</v>
      </c>
      <c r="H43" s="175">
        <f t="shared" si="7"/>
        <v>43122</v>
      </c>
      <c r="I43" s="774">
        <f t="shared" si="8"/>
        <v>0.5</v>
      </c>
      <c r="J43" s="765">
        <f t="shared" si="26"/>
        <v>25.593599998950957</v>
      </c>
      <c r="L43" s="177">
        <f>M43-28</f>
        <v>43065</v>
      </c>
      <c r="M43" s="177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7">
        <f>AO12</f>
        <v>43487</v>
      </c>
      <c r="AB43" s="177">
        <f>AA43+28</f>
        <v>43515</v>
      </c>
      <c r="AC43" s="7"/>
      <c r="AD43" s="7"/>
      <c r="AE43" s="7"/>
      <c r="AF43" s="7"/>
      <c r="AH43" s="7"/>
      <c r="AI43" s="74"/>
      <c r="AP43" s="13">
        <f t="shared" si="10"/>
        <v>3</v>
      </c>
      <c r="AQ43" s="13">
        <f t="shared" si="11"/>
        <v>2</v>
      </c>
      <c r="AR43" s="175">
        <f t="shared" si="12"/>
        <v>43136</v>
      </c>
      <c r="AS43" s="774">
        <f t="shared" si="13"/>
        <v>0.25</v>
      </c>
      <c r="AT43" s="791">
        <f t="shared" si="14"/>
        <v>25.578233030438422</v>
      </c>
      <c r="AU43" s="13">
        <f t="shared" si="15"/>
        <v>3</v>
      </c>
      <c r="AV43" s="13">
        <f t="shared" si="16"/>
        <v>2</v>
      </c>
      <c r="AW43" s="175">
        <f t="shared" si="17"/>
        <v>43150</v>
      </c>
      <c r="AX43" s="774">
        <f t="shared" si="18"/>
        <v>0.75</v>
      </c>
      <c r="AY43" s="791">
        <f t="shared" si="19"/>
        <v>25.499947731476276</v>
      </c>
      <c r="AZ43" s="765">
        <f t="shared" si="25"/>
        <v>25.539090380957347</v>
      </c>
      <c r="BA43" s="649">
        <f t="shared" si="20"/>
        <v>0.78091180812686256</v>
      </c>
      <c r="BB43" s="644">
        <v>43129</v>
      </c>
      <c r="BC43" s="11">
        <v>43129</v>
      </c>
      <c r="BD43" s="292">
        <f>[2]!FeuilCaduc*(1-Persistant)+Persistant</f>
        <v>1</v>
      </c>
      <c r="BE43" s="293">
        <f>[2]!CroissVégét</f>
        <v>3.0024083390505912E-3</v>
      </c>
      <c r="BF43" s="844">
        <f>1+[2]!Salcycl*Ksac</f>
        <v>1.0000010686422387</v>
      </c>
      <c r="BH43" s="1107">
        <f t="shared" si="21"/>
        <v>1.5803481741818629E-2</v>
      </c>
      <c r="BI43" s="11">
        <v>44225</v>
      </c>
      <c r="BJ43" s="744">
        <v>1.1113046514014506E-3</v>
      </c>
      <c r="BK43" s="744">
        <v>3.3046873858460658E-3</v>
      </c>
      <c r="BL43" s="744">
        <v>9.8852122096835388E-3</v>
      </c>
      <c r="BM43" s="744">
        <v>3.9509741119565289E-2</v>
      </c>
      <c r="BN43" s="744">
        <v>9.3990363209396091E-2</v>
      </c>
      <c r="BO43" s="745">
        <v>0.1724011973190159</v>
      </c>
      <c r="BP43" s="744">
        <v>0.26761351690395724</v>
      </c>
      <c r="BQ43" s="744">
        <v>0.37837216991143002</v>
      </c>
      <c r="BR43" s="744">
        <v>0.51551159378962941</v>
      </c>
      <c r="BS43" s="744">
        <v>0.66139617467847478</v>
      </c>
      <c r="BT43" s="744">
        <v>0.81494707018376333</v>
      </c>
      <c r="BW43" s="1191">
        <f>'2018'!R\Max</f>
        <v>0</v>
      </c>
      <c r="BX43" s="1189">
        <f>'2019'!R\Max</f>
        <v>0.21922218857275144</v>
      </c>
      <c r="BY43" s="1189">
        <f>'2020'!R\Max</f>
        <v>0.78091180812686256</v>
      </c>
      <c r="BZ43" s="1189">
        <f>'2021'!R\Max</f>
        <v>0.53187055983043019</v>
      </c>
      <c r="CA43" s="1189">
        <f>'2022'!R\Max</f>
        <v>0.28624493899007197</v>
      </c>
      <c r="CB43" s="1189">
        <f>'2023'!R\Max</f>
        <v>0.28097129208662824</v>
      </c>
      <c r="CC43" s="1189">
        <f>'2024'!R\Max</f>
        <v>0.27538655395384481</v>
      </c>
      <c r="CD43" s="1189">
        <f>'2025'!R\Max</f>
        <v>0.26801902449127368</v>
      </c>
      <c r="CE43" s="1189">
        <f>'2026'!R\Max</f>
        <v>0.29851526696546954</v>
      </c>
      <c r="CF43" s="1190">
        <f>'2027'!R\Max</f>
        <v>0.29520598970625783</v>
      </c>
    </row>
    <row r="44" spans="1:84" s="6" customFormat="1" ht="11.25" x14ac:dyDescent="0.2">
      <c r="A44" s="11">
        <v>43130</v>
      </c>
      <c r="B44" s="382">
        <f>'2022'!Maxi_hp</f>
        <v>10.95637555418933</v>
      </c>
      <c r="C44" s="85">
        <f>'2022'!An_max</f>
        <v>2020</v>
      </c>
      <c r="D44" s="1134"/>
      <c r="E44" s="711"/>
      <c r="F44" s="13">
        <f t="shared" si="22"/>
        <v>3</v>
      </c>
      <c r="G44" s="13">
        <f t="shared" si="23"/>
        <v>4</v>
      </c>
      <c r="H44" s="175">
        <f t="shared" si="7"/>
        <v>43122</v>
      </c>
      <c r="I44" s="774">
        <f t="shared" si="8"/>
        <v>0.5714285714285714</v>
      </c>
      <c r="J44" s="765">
        <f t="shared" si="26"/>
        <v>25.920335859486034</v>
      </c>
      <c r="L44" s="796">
        <f>AK13</f>
        <v>205.82400000000001</v>
      </c>
      <c r="M44" s="796">
        <f>M13</f>
        <v>181.24799999999999</v>
      </c>
      <c r="N44" s="786">
        <f>O13</f>
        <v>234.49600000000001</v>
      </c>
      <c r="O44" s="786">
        <f>Q13</f>
        <v>331.77600000000001</v>
      </c>
      <c r="P44" s="786">
        <f>S13</f>
        <v>456.70400000000001</v>
      </c>
      <c r="Q44" s="786">
        <f>U13</f>
        <v>571.39200000000005</v>
      </c>
      <c r="R44" s="786">
        <f>W13</f>
        <v>632.83199999999999</v>
      </c>
      <c r="S44" s="786">
        <f>Y13</f>
        <v>644.096</v>
      </c>
      <c r="T44" s="786">
        <f>AA13</f>
        <v>626.68799999999999</v>
      </c>
      <c r="U44" s="786">
        <f>AC13</f>
        <v>584.70400000000006</v>
      </c>
      <c r="V44" s="786">
        <f>AE13</f>
        <v>512</v>
      </c>
      <c r="W44" s="786">
        <f>AG13</f>
        <v>393.21600000000001</v>
      </c>
      <c r="X44" s="786">
        <f>AI13</f>
        <v>279.55200000000002</v>
      </c>
      <c r="Y44" s="786">
        <f>AK13</f>
        <v>205.82400000000001</v>
      </c>
      <c r="Z44" s="786">
        <f>AM13</f>
        <v>181.24799999999999</v>
      </c>
      <c r="AA44" s="794">
        <f>AO13</f>
        <v>234.49600000000001</v>
      </c>
      <c r="AB44" s="794">
        <f>Q13</f>
        <v>331.77600000000001</v>
      </c>
      <c r="AD44" s="7"/>
      <c r="AE44" s="7"/>
      <c r="AF44" s="7"/>
      <c r="AH44" s="7"/>
      <c r="AI44" s="74"/>
      <c r="AP44" s="13">
        <f t="shared" si="10"/>
        <v>3</v>
      </c>
      <c r="AQ44" s="13">
        <f t="shared" si="11"/>
        <v>2</v>
      </c>
      <c r="AR44" s="175">
        <f t="shared" si="12"/>
        <v>43136</v>
      </c>
      <c r="AS44" s="774">
        <f t="shared" si="13"/>
        <v>0.21428571428571427</v>
      </c>
      <c r="AT44" s="791">
        <f t="shared" si="14"/>
        <v>25.911642914371829</v>
      </c>
      <c r="AU44" s="13">
        <f t="shared" si="15"/>
        <v>3</v>
      </c>
      <c r="AV44" s="13">
        <f t="shared" si="16"/>
        <v>2</v>
      </c>
      <c r="AW44" s="175">
        <f t="shared" si="17"/>
        <v>43150</v>
      </c>
      <c r="AX44" s="774">
        <f t="shared" si="18"/>
        <v>0.7142857142857143</v>
      </c>
      <c r="AY44" s="791">
        <f t="shared" si="19"/>
        <v>25.819971473834347</v>
      </c>
      <c r="AZ44" s="765">
        <f t="shared" si="25"/>
        <v>25.865807194103088</v>
      </c>
      <c r="BA44" s="649">
        <f t="shared" si="20"/>
        <v>0.42269419708076966</v>
      </c>
      <c r="BB44" s="644">
        <v>43130</v>
      </c>
      <c r="BC44" s="11">
        <v>43130</v>
      </c>
      <c r="BD44" s="292">
        <f>[2]!FeuilCaduc*(1-Persistant)+Persistant</f>
        <v>1</v>
      </c>
      <c r="BE44" s="293">
        <f>[2]!CroissVégét</f>
        <v>3.1859365650375344E-3</v>
      </c>
      <c r="BF44" s="844">
        <f>1+[2]!Salcycl*Ksac</f>
        <v>1.0000010194411175</v>
      </c>
      <c r="BH44" s="1107">
        <f t="shared" si="21"/>
        <v>1.5196965956083199E-2</v>
      </c>
      <c r="BI44" s="11">
        <v>44226</v>
      </c>
      <c r="BJ44" s="744">
        <v>1.1640306502679445E-3</v>
      </c>
      <c r="BK44" s="744">
        <v>3.4148145777907831E-3</v>
      </c>
      <c r="BL44" s="744">
        <v>9.5539449529606496E-3</v>
      </c>
      <c r="BM44" s="744">
        <v>3.7800688014992943E-2</v>
      </c>
      <c r="BN44" s="744">
        <v>9.2465828456434432E-2</v>
      </c>
      <c r="BO44" s="745">
        <v>0.16971089372511003</v>
      </c>
      <c r="BP44" s="744">
        <v>0.2656276327952895</v>
      </c>
      <c r="BQ44" s="744">
        <v>0.37409028924748639</v>
      </c>
      <c r="BR44" s="744">
        <v>0.51064650415760027</v>
      </c>
      <c r="BS44" s="744">
        <v>0.65473781829984468</v>
      </c>
      <c r="BT44" s="744">
        <v>0.8076622385002199</v>
      </c>
      <c r="BW44" s="1191">
        <f>'2018'!R\Max</f>
        <v>0</v>
      </c>
      <c r="BX44" s="1189">
        <f>'2019'!R\Max</f>
        <v>0.32645245667622691</v>
      </c>
      <c r="BY44" s="1189">
        <f>'2020'!R\Max</f>
        <v>0.42269419708076966</v>
      </c>
      <c r="BZ44" s="1189">
        <f>'2021'!R\Max</f>
        <v>0.3028059648357202</v>
      </c>
      <c r="CA44" s="1189">
        <f>'2022'!R\Max</f>
        <v>0.20572407597021772</v>
      </c>
      <c r="CB44" s="1189">
        <f>'2023'!R\Max</f>
        <v>0.20196820098313983</v>
      </c>
      <c r="CC44" s="1189">
        <f>'2024'!R\Max</f>
        <v>0.19800006277879001</v>
      </c>
      <c r="CD44" s="1189">
        <f>'2025'!R\Max</f>
        <v>0.19288416705389602</v>
      </c>
      <c r="CE44" s="1189">
        <f>'2026'!R\Max</f>
        <v>0.2143549997804588</v>
      </c>
      <c r="CF44" s="1190">
        <f>'2027'!R\Max</f>
        <v>0.21201330609114791</v>
      </c>
    </row>
    <row r="45" spans="1:84" s="6" customFormat="1" ht="11.25" x14ac:dyDescent="0.2">
      <c r="A45" s="11">
        <v>43131</v>
      </c>
      <c r="B45" s="382">
        <f>'2022'!Maxi_hp</f>
        <v>19.362829984004698</v>
      </c>
      <c r="C45" s="85">
        <f>'2022'!An_max</f>
        <v>2020</v>
      </c>
      <c r="D45" s="1134"/>
      <c r="E45" s="711"/>
      <c r="F45" s="13">
        <f t="shared" si="22"/>
        <v>3</v>
      </c>
      <c r="G45" s="13">
        <f t="shared" si="23"/>
        <v>4</v>
      </c>
      <c r="H45" s="175">
        <f t="shared" si="7"/>
        <v>43122</v>
      </c>
      <c r="I45" s="774">
        <f t="shared" si="8"/>
        <v>0.6428571428571429</v>
      </c>
      <c r="J45" s="765">
        <f t="shared" si="26"/>
        <v>26.251176675888047</v>
      </c>
      <c r="L45" s="776" t="s">
        <v>213</v>
      </c>
      <c r="M45" s="806">
        <f t="shared" ref="M45:AA45" si="47">L43</f>
        <v>43065</v>
      </c>
      <c r="N45" s="807">
        <f t="shared" si="47"/>
        <v>43093</v>
      </c>
      <c r="O45" s="755">
        <f t="shared" si="47"/>
        <v>43122</v>
      </c>
      <c r="P45" s="755">
        <f t="shared" si="47"/>
        <v>43150</v>
      </c>
      <c r="Q45" s="755">
        <f t="shared" si="47"/>
        <v>43178</v>
      </c>
      <c r="R45" s="755">
        <f t="shared" si="47"/>
        <v>43206</v>
      </c>
      <c r="S45" s="755">
        <f t="shared" si="47"/>
        <v>43234</v>
      </c>
      <c r="T45" s="755">
        <f t="shared" si="47"/>
        <v>43262</v>
      </c>
      <c r="U45" s="755">
        <f t="shared" si="47"/>
        <v>43290</v>
      </c>
      <c r="V45" s="755">
        <f t="shared" si="47"/>
        <v>43318</v>
      </c>
      <c r="W45" s="755">
        <f t="shared" si="47"/>
        <v>43346</v>
      </c>
      <c r="X45" s="755">
        <f t="shared" si="47"/>
        <v>43374</v>
      </c>
      <c r="Y45" s="755">
        <f t="shared" si="47"/>
        <v>43402</v>
      </c>
      <c r="Z45" s="755">
        <f t="shared" si="47"/>
        <v>43430</v>
      </c>
      <c r="AA45" s="799">
        <f t="shared" si="47"/>
        <v>43458</v>
      </c>
      <c r="AD45" s="7"/>
      <c r="AE45" s="7"/>
      <c r="AF45" s="7"/>
      <c r="AH45" s="7"/>
      <c r="AI45" s="74"/>
      <c r="AP45" s="13">
        <f t="shared" si="10"/>
        <v>3</v>
      </c>
      <c r="AQ45" s="13">
        <f t="shared" si="11"/>
        <v>2</v>
      </c>
      <c r="AR45" s="175">
        <f t="shared" si="12"/>
        <v>43136</v>
      </c>
      <c r="AS45" s="774">
        <f t="shared" si="13"/>
        <v>0.17857142857142858</v>
      </c>
      <c r="AT45" s="791">
        <f t="shared" si="14"/>
        <v>26.247814180888234</v>
      </c>
      <c r="AU45" s="13">
        <f t="shared" si="15"/>
        <v>3</v>
      </c>
      <c r="AV45" s="13">
        <f t="shared" si="16"/>
        <v>2</v>
      </c>
      <c r="AW45" s="175">
        <f t="shared" si="17"/>
        <v>43150</v>
      </c>
      <c r="AX45" s="774">
        <f t="shared" si="18"/>
        <v>0.6785714285714286</v>
      </c>
      <c r="AY45" s="791">
        <f t="shared" si="19"/>
        <v>26.146060440742541</v>
      </c>
      <c r="AZ45" s="765">
        <f t="shared" si="25"/>
        <v>26.196937310815386</v>
      </c>
      <c r="BA45" s="649">
        <f t="shared" si="20"/>
        <v>0.73759855503123561</v>
      </c>
      <c r="BB45" s="644">
        <v>43131</v>
      </c>
      <c r="BC45" s="11">
        <v>43131</v>
      </c>
      <c r="BD45" s="292">
        <f>[2]!FeuilCaduc*(1-Persistant)+Persistant</f>
        <v>1</v>
      </c>
      <c r="BE45" s="293">
        <f>[2]!CroissVégét</f>
        <v>3.3770923278976551E-3</v>
      </c>
      <c r="BF45" s="844">
        <f>1+[2]!Salcycl*Ksac</f>
        <v>1.0000031288153666</v>
      </c>
      <c r="BH45" s="1107">
        <f t="shared" si="21"/>
        <v>1.4643543151191147E-2</v>
      </c>
      <c r="BI45" s="11">
        <v>44227</v>
      </c>
      <c r="BJ45" s="744">
        <v>1.2180349246570677E-3</v>
      </c>
      <c r="BK45" s="744">
        <v>3.5294785392297723E-3</v>
      </c>
      <c r="BL45" s="744">
        <v>9.277720796754289E-3</v>
      </c>
      <c r="BM45" s="744">
        <v>3.6136916479070184E-2</v>
      </c>
      <c r="BN45" s="744">
        <v>9.0789156379765715E-2</v>
      </c>
      <c r="BO45" s="745">
        <v>0.16691037867857095</v>
      </c>
      <c r="BP45" s="744">
        <v>0.26336323471151235</v>
      </c>
      <c r="BQ45" s="744">
        <v>0.36979460661210012</v>
      </c>
      <c r="BR45" s="744">
        <v>0.50560105126428689</v>
      </c>
      <c r="BS45" s="744">
        <v>0.64806704676458782</v>
      </c>
      <c r="BT45" s="744">
        <v>0.80034983708096252</v>
      </c>
      <c r="BW45" s="1191">
        <f>'2018'!R\Max</f>
        <v>0</v>
      </c>
      <c r="BX45" s="1189">
        <f>'2019'!R\Max</f>
        <v>0.3170876763290012</v>
      </c>
      <c r="BY45" s="1189">
        <f>'2020'!R\Max</f>
        <v>0.73759855503123561</v>
      </c>
      <c r="BZ45" s="1189">
        <f>'2021'!R\Max</f>
        <v>0.35892576338081811</v>
      </c>
      <c r="CA45" s="1189">
        <f>'2022'!R\Max</f>
        <v>0.46068367670058208</v>
      </c>
      <c r="CB45" s="1189">
        <f>'2023'!R\Max</f>
        <v>0.4543677209298253</v>
      </c>
      <c r="CC45" s="1189">
        <f>'2024'!R\Max</f>
        <v>0.44764627747925539</v>
      </c>
      <c r="CD45" s="1189">
        <f>'2025'!R\Max</f>
        <v>0.43906116154253955</v>
      </c>
      <c r="CE45" s="1189">
        <f>'2026'!R\Max</f>
        <v>0.47481500339436949</v>
      </c>
      <c r="CF45" s="1190">
        <f>'2027'!R\Max</f>
        <v>0.47099329156156994</v>
      </c>
    </row>
    <row r="46" spans="1:84" s="6" customFormat="1" ht="11.25" x14ac:dyDescent="0.2">
      <c r="A46" s="11">
        <v>43132</v>
      </c>
      <c r="B46" s="382">
        <f>'2022'!Maxi_hp</f>
        <v>21.665220022404377</v>
      </c>
      <c r="C46" s="85">
        <f>'2022'!An_max</f>
        <v>2019</v>
      </c>
      <c r="D46" s="1134"/>
      <c r="E46" s="711"/>
      <c r="F46" s="13">
        <f t="shared" si="22"/>
        <v>3</v>
      </c>
      <c r="G46" s="13">
        <f t="shared" si="23"/>
        <v>4</v>
      </c>
      <c r="H46" s="175">
        <f t="shared" si="7"/>
        <v>43122</v>
      </c>
      <c r="I46" s="774">
        <f t="shared" si="8"/>
        <v>0.7142857142857143</v>
      </c>
      <c r="J46" s="765">
        <f t="shared" si="26"/>
        <v>26.585786588702881</v>
      </c>
      <c r="L46" s="777" t="s">
        <v>214</v>
      </c>
      <c r="M46" s="798">
        <f t="shared" ref="M46:AA46" si="48">L44</f>
        <v>205.82400000000001</v>
      </c>
      <c r="N46" s="802">
        <f t="shared" si="48"/>
        <v>181.24799999999999</v>
      </c>
      <c r="O46" s="761">
        <f t="shared" si="48"/>
        <v>234.49600000000001</v>
      </c>
      <c r="P46" s="761">
        <f t="shared" si="48"/>
        <v>331.77600000000001</v>
      </c>
      <c r="Q46" s="761">
        <f t="shared" si="48"/>
        <v>456.70400000000001</v>
      </c>
      <c r="R46" s="761">
        <f t="shared" si="48"/>
        <v>571.39200000000005</v>
      </c>
      <c r="S46" s="761">
        <f t="shared" si="48"/>
        <v>632.83199999999999</v>
      </c>
      <c r="T46" s="761">
        <f t="shared" si="48"/>
        <v>644.096</v>
      </c>
      <c r="U46" s="761">
        <f t="shared" si="48"/>
        <v>626.68799999999999</v>
      </c>
      <c r="V46" s="761">
        <f t="shared" si="48"/>
        <v>584.70400000000006</v>
      </c>
      <c r="W46" s="761">
        <f t="shared" si="48"/>
        <v>512</v>
      </c>
      <c r="X46" s="761">
        <f t="shared" si="48"/>
        <v>393.21600000000001</v>
      </c>
      <c r="Y46" s="761">
        <f t="shared" si="48"/>
        <v>279.55200000000002</v>
      </c>
      <c r="Z46" s="761">
        <f t="shared" si="48"/>
        <v>205.82400000000001</v>
      </c>
      <c r="AA46" s="800">
        <f t="shared" si="48"/>
        <v>181.24799999999999</v>
      </c>
      <c r="AD46" s="7"/>
      <c r="AE46" s="7"/>
      <c r="AF46" s="7"/>
      <c r="AH46" s="7"/>
      <c r="AI46" s="74"/>
      <c r="AP46" s="13">
        <f t="shared" si="10"/>
        <v>3</v>
      </c>
      <c r="AQ46" s="13">
        <f t="shared" si="11"/>
        <v>2</v>
      </c>
      <c r="AR46" s="175">
        <f t="shared" si="12"/>
        <v>43136</v>
      </c>
      <c r="AS46" s="774">
        <f t="shared" si="13"/>
        <v>0.14285714285714285</v>
      </c>
      <c r="AT46" s="791">
        <f t="shared" si="14"/>
        <v>26.586321363065924</v>
      </c>
      <c r="AU46" s="13">
        <f t="shared" si="15"/>
        <v>3</v>
      </c>
      <c r="AV46" s="13">
        <f t="shared" si="16"/>
        <v>2</v>
      </c>
      <c r="AW46" s="175">
        <f t="shared" si="17"/>
        <v>43150</v>
      </c>
      <c r="AX46" s="774">
        <f t="shared" si="18"/>
        <v>0.6428571428571429</v>
      </c>
      <c r="AY46" s="791">
        <f t="shared" si="19"/>
        <v>26.477976627301956</v>
      </c>
      <c r="AZ46" s="765">
        <f t="shared" si="25"/>
        <v>26.532148995183938</v>
      </c>
      <c r="BA46" s="649">
        <f t="shared" si="20"/>
        <v>0.81491739768988425</v>
      </c>
      <c r="BB46" s="644">
        <v>43132</v>
      </c>
      <c r="BC46" s="11">
        <v>43132</v>
      </c>
      <c r="BD46" s="292">
        <f>[2]!FeuilCaduc*(1-Persistant)+Persistant</f>
        <v>1</v>
      </c>
      <c r="BE46" s="293">
        <f>[2]!CroissVégét</f>
        <v>3.5761895087786043E-3</v>
      </c>
      <c r="BF46" s="844">
        <f>1+[2]!Salcycl*Ksac</f>
        <v>1.0000073488983803</v>
      </c>
      <c r="BH46" s="1107">
        <f t="shared" si="21"/>
        <v>1.4143249606461818E-2</v>
      </c>
      <c r="BI46" s="11">
        <v>44228</v>
      </c>
      <c r="BJ46" s="744">
        <v>1.2733167944485911E-3</v>
      </c>
      <c r="BK46" s="744">
        <v>3.6486788783026834E-3</v>
      </c>
      <c r="BL46" s="744">
        <v>9.0565583436978663E-3</v>
      </c>
      <c r="BM46" s="744">
        <v>3.4518533596965877E-2</v>
      </c>
      <c r="BN46" s="744">
        <v>8.8960536368317925E-2</v>
      </c>
      <c r="BO46" s="745">
        <v>0.16399997767468136</v>
      </c>
      <c r="BP46" s="744">
        <v>0.26082075915162772</v>
      </c>
      <c r="BQ46" s="744">
        <v>0.36548575262728239</v>
      </c>
      <c r="BR46" s="744">
        <v>0.50037607604684387</v>
      </c>
      <c r="BS46" s="744">
        <v>0.64138493088771942</v>
      </c>
      <c r="BT46" s="744">
        <v>0.79301115298157521</v>
      </c>
      <c r="BW46" s="1191">
        <f>'2018'!R\Max</f>
        <v>0</v>
      </c>
      <c r="BX46" s="1189">
        <f>'2019'!R\Max</f>
        <v>0.81491739768988425</v>
      </c>
      <c r="BY46" s="1189">
        <f>'2020'!R\Max</f>
        <v>0.45163957111868341</v>
      </c>
      <c r="BZ46" s="1189">
        <f>'2021'!R\Max</f>
        <v>0.40142740037440211</v>
      </c>
      <c r="CA46" s="1189">
        <f>'2022'!R\Max</f>
        <v>0.44674037944510259</v>
      </c>
      <c r="CB46" s="1189">
        <f>'2023'!R\Max</f>
        <v>0.44053474320715619</v>
      </c>
      <c r="CC46" s="1189">
        <f>'2024'!R\Max</f>
        <v>0.43394544630968729</v>
      </c>
      <c r="CD46" s="1189">
        <f>'2025'!R\Max</f>
        <v>0.42567855161952717</v>
      </c>
      <c r="CE46" s="1189">
        <f>'2026'!R\Max</f>
        <v>0.46047524201458789</v>
      </c>
      <c r="CF46" s="1190">
        <f>'2027'!R\Max</f>
        <v>0.45675017331109358</v>
      </c>
    </row>
    <row r="47" spans="1:84" s="6" customFormat="1" ht="11.25" x14ac:dyDescent="0.2">
      <c r="A47" s="11">
        <v>43133</v>
      </c>
      <c r="B47" s="382">
        <f>'2022'!Maxi_hp</f>
        <v>24.095566163036541</v>
      </c>
      <c r="C47" s="85">
        <f>'2022'!An_max</f>
        <v>2021</v>
      </c>
      <c r="D47" s="1134"/>
      <c r="E47" s="711"/>
      <c r="F47" s="13">
        <f t="shared" si="22"/>
        <v>3</v>
      </c>
      <c r="G47" s="13">
        <f t="shared" si="23"/>
        <v>4</v>
      </c>
      <c r="H47" s="175">
        <f t="shared" si="7"/>
        <v>43122</v>
      </c>
      <c r="I47" s="774">
        <f t="shared" si="8"/>
        <v>0.7857142857142857</v>
      </c>
      <c r="J47" s="765">
        <f t="shared" si="26"/>
        <v>26.923829736613801</v>
      </c>
      <c r="L47" s="777" t="s">
        <v>215</v>
      </c>
      <c r="M47" s="809">
        <f t="shared" ref="M47:AA47" si="49">M43</f>
        <v>43093</v>
      </c>
      <c r="N47" s="756">
        <f t="shared" si="49"/>
        <v>43122</v>
      </c>
      <c r="O47" s="756">
        <f t="shared" si="49"/>
        <v>43150</v>
      </c>
      <c r="P47" s="756">
        <f t="shared" si="49"/>
        <v>43178</v>
      </c>
      <c r="Q47" s="756">
        <f t="shared" si="49"/>
        <v>43206</v>
      </c>
      <c r="R47" s="756">
        <f t="shared" si="49"/>
        <v>43234</v>
      </c>
      <c r="S47" s="756">
        <f t="shared" si="49"/>
        <v>43262</v>
      </c>
      <c r="T47" s="756">
        <f t="shared" si="49"/>
        <v>43290</v>
      </c>
      <c r="U47" s="756">
        <f t="shared" si="49"/>
        <v>43318</v>
      </c>
      <c r="V47" s="756">
        <f t="shared" si="49"/>
        <v>43346</v>
      </c>
      <c r="W47" s="756">
        <f t="shared" si="49"/>
        <v>43374</v>
      </c>
      <c r="X47" s="756">
        <f t="shared" si="49"/>
        <v>43402</v>
      </c>
      <c r="Y47" s="756">
        <f t="shared" si="49"/>
        <v>43430</v>
      </c>
      <c r="Z47" s="801">
        <f t="shared" si="49"/>
        <v>43458</v>
      </c>
      <c r="AA47" s="808">
        <f t="shared" si="49"/>
        <v>43487</v>
      </c>
      <c r="AD47" s="7"/>
      <c r="AE47" s="7"/>
      <c r="AF47" s="7"/>
      <c r="AH47" s="7"/>
      <c r="AI47" s="74"/>
      <c r="AP47" s="13">
        <f t="shared" si="10"/>
        <v>3</v>
      </c>
      <c r="AQ47" s="13">
        <f t="shared" si="11"/>
        <v>2</v>
      </c>
      <c r="AR47" s="175">
        <f t="shared" si="12"/>
        <v>43136</v>
      </c>
      <c r="AS47" s="774">
        <f t="shared" si="13"/>
        <v>0.10714285714285714</v>
      </c>
      <c r="AT47" s="791">
        <f t="shared" si="14"/>
        <v>26.926739000369395</v>
      </c>
      <c r="AU47" s="13">
        <f t="shared" si="15"/>
        <v>3</v>
      </c>
      <c r="AV47" s="13">
        <f t="shared" si="16"/>
        <v>2</v>
      </c>
      <c r="AW47" s="175">
        <f t="shared" si="17"/>
        <v>43150</v>
      </c>
      <c r="AX47" s="774">
        <f t="shared" si="18"/>
        <v>0.6071428571428571</v>
      </c>
      <c r="AY47" s="791">
        <f t="shared" si="19"/>
        <v>26.815482033669419</v>
      </c>
      <c r="AZ47" s="765">
        <f t="shared" si="25"/>
        <v>26.871110517019407</v>
      </c>
      <c r="BA47" s="649">
        <f t="shared" si="20"/>
        <v>0.8949531474071426</v>
      </c>
      <c r="BB47" s="644">
        <v>43133</v>
      </c>
      <c r="BC47" s="11">
        <v>43133</v>
      </c>
      <c r="BD47" s="292">
        <f>[2]!FeuilCaduc*(1-Persistant)+Persistant</f>
        <v>1</v>
      </c>
      <c r="BE47" s="293">
        <f>[2]!CroissVégét</f>
        <v>3.7835546392683654E-3</v>
      </c>
      <c r="BF47" s="844">
        <f>1+[2]!Salcycl*Ksac</f>
        <v>1.0000136167503104</v>
      </c>
      <c r="BH47" s="1107">
        <f t="shared" si="21"/>
        <v>1.3696115066660667E-2</v>
      </c>
      <c r="BI47" s="11">
        <v>44229</v>
      </c>
      <c r="BJ47" s="744">
        <v>1.3298757580548024E-3</v>
      </c>
      <c r="BK47" s="744">
        <v>3.7724154524947499E-3</v>
      </c>
      <c r="BL47" s="744">
        <v>8.8904709141509122E-3</v>
      </c>
      <c r="BM47" s="744">
        <v>3.2945634903153886E-2</v>
      </c>
      <c r="BN47" s="744">
        <v>8.6980160115228869E-2</v>
      </c>
      <c r="BO47" s="745">
        <v>0.16098000986536939</v>
      </c>
      <c r="BP47" s="744">
        <v>0.25800065077622208</v>
      </c>
      <c r="BQ47" s="744">
        <v>0.36116433710785811</v>
      </c>
      <c r="BR47" s="744">
        <v>0.49497240655584318</v>
      </c>
      <c r="BS47" s="744">
        <v>0.63469250847316727</v>
      </c>
      <c r="BT47" s="744">
        <v>0.78564743798376224</v>
      </c>
      <c r="BW47" s="1191">
        <f>'2018'!R\Max</f>
        <v>0</v>
      </c>
      <c r="BX47" s="1189">
        <f>'2019'!R\Max</f>
        <v>0.13326843526053675</v>
      </c>
      <c r="BY47" s="1189">
        <f>'2020'!R\Max</f>
        <v>0.85663773155094036</v>
      </c>
      <c r="BZ47" s="1189">
        <f>'2021'!R\Max</f>
        <v>0.8949531474071426</v>
      </c>
      <c r="CA47" s="1189">
        <f>'2022'!R\Max</f>
        <v>0.22817561426797722</v>
      </c>
      <c r="CB47" s="1189">
        <f>'2023'!R\Max</f>
        <v>0.22416344342592198</v>
      </c>
      <c r="CC47" s="1189">
        <f>'2024'!R\Max</f>
        <v>0.2199420254800423</v>
      </c>
      <c r="CD47" s="1189">
        <f>'2025'!R\Max</f>
        <v>0.21476669980886104</v>
      </c>
      <c r="CE47" s="1189">
        <f>'2026'!R\Max</f>
        <v>0.2370615587300712</v>
      </c>
      <c r="CF47" s="1190">
        <f>'2027'!R\Max</f>
        <v>0.23463565716045587</v>
      </c>
    </row>
    <row r="48" spans="1:84" s="6" customFormat="1" ht="11.25" x14ac:dyDescent="0.2">
      <c r="A48" s="11">
        <v>43134</v>
      </c>
      <c r="B48" s="382">
        <f>'2022'!Maxi_hp</f>
        <v>22.364236578915285</v>
      </c>
      <c r="C48" s="85">
        <f>'2022'!An_max</f>
        <v>2020</v>
      </c>
      <c r="D48" s="1134"/>
      <c r="E48" s="711"/>
      <c r="F48" s="13">
        <f t="shared" si="22"/>
        <v>3</v>
      </c>
      <c r="G48" s="13">
        <f t="shared" si="23"/>
        <v>4</v>
      </c>
      <c r="H48" s="175">
        <f t="shared" si="7"/>
        <v>43122</v>
      </c>
      <c r="I48" s="774">
        <f t="shared" si="8"/>
        <v>0.8571428571428571</v>
      </c>
      <c r="J48" s="765">
        <f t="shared" si="26"/>
        <v>27.264970261710033</v>
      </c>
      <c r="L48" s="777" t="s">
        <v>216</v>
      </c>
      <c r="M48" s="802">
        <f t="shared" ref="M48:AA48" si="50">M44</f>
        <v>181.24799999999999</v>
      </c>
      <c r="N48" s="762">
        <f t="shared" si="50"/>
        <v>234.49600000000001</v>
      </c>
      <c r="O48" s="762">
        <f t="shared" si="50"/>
        <v>331.77600000000001</v>
      </c>
      <c r="P48" s="762">
        <f t="shared" si="50"/>
        <v>456.70400000000001</v>
      </c>
      <c r="Q48" s="762">
        <f t="shared" si="50"/>
        <v>571.39200000000005</v>
      </c>
      <c r="R48" s="762">
        <f t="shared" si="50"/>
        <v>632.83199999999999</v>
      </c>
      <c r="S48" s="762">
        <f t="shared" si="50"/>
        <v>644.096</v>
      </c>
      <c r="T48" s="762">
        <f t="shared" si="50"/>
        <v>626.68799999999999</v>
      </c>
      <c r="U48" s="762">
        <f t="shared" si="50"/>
        <v>584.70400000000006</v>
      </c>
      <c r="V48" s="762">
        <f t="shared" si="50"/>
        <v>512</v>
      </c>
      <c r="W48" s="762">
        <f t="shared" si="50"/>
        <v>393.21600000000001</v>
      </c>
      <c r="X48" s="762">
        <f t="shared" si="50"/>
        <v>279.55200000000002</v>
      </c>
      <c r="Y48" s="762">
        <f t="shared" si="50"/>
        <v>205.82400000000001</v>
      </c>
      <c r="Z48" s="800">
        <f t="shared" si="50"/>
        <v>181.24799999999999</v>
      </c>
      <c r="AA48" s="798">
        <f t="shared" si="50"/>
        <v>234.49600000000001</v>
      </c>
      <c r="AD48" s="7"/>
      <c r="AE48" s="7"/>
      <c r="AF48" s="7"/>
      <c r="AH48" s="7"/>
      <c r="AI48" s="74"/>
      <c r="AP48" s="13">
        <f t="shared" si="10"/>
        <v>3</v>
      </c>
      <c r="AQ48" s="13">
        <f t="shared" si="11"/>
        <v>2</v>
      </c>
      <c r="AR48" s="175">
        <f t="shared" si="12"/>
        <v>43136</v>
      </c>
      <c r="AS48" s="774">
        <f t="shared" si="13"/>
        <v>7.1428571428571425E-2</v>
      </c>
      <c r="AT48" s="791">
        <f t="shared" si="14"/>
        <v>27.268641626994526</v>
      </c>
      <c r="AU48" s="13">
        <f t="shared" si="15"/>
        <v>3</v>
      </c>
      <c r="AV48" s="13">
        <f t="shared" si="16"/>
        <v>2</v>
      </c>
      <c r="AW48" s="175">
        <f t="shared" si="17"/>
        <v>43150</v>
      </c>
      <c r="AX48" s="774">
        <f t="shared" si="18"/>
        <v>0.5714285714285714</v>
      </c>
      <c r="AY48" s="791">
        <f t="shared" si="19"/>
        <v>27.158338656010368</v>
      </c>
      <c r="AZ48" s="765">
        <f t="shared" si="25"/>
        <v>27.213490141502447</v>
      </c>
      <c r="BA48" s="649">
        <f t="shared" si="20"/>
        <v>0.82025530797379353</v>
      </c>
      <c r="BB48" s="644">
        <v>43134</v>
      </c>
      <c r="BC48" s="11">
        <v>43134</v>
      </c>
      <c r="BD48" s="292">
        <f>[2]!FeuilCaduc*(1-Persistant)+Persistant</f>
        <v>1</v>
      </c>
      <c r="BE48" s="293">
        <f>[2]!CroissVégét</f>
        <v>3.9995273885343324E-3</v>
      </c>
      <c r="BF48" s="844">
        <f>1+[2]!Salcycl*Ksac</f>
        <v>1.0000218547254631</v>
      </c>
      <c r="BH48" s="1107">
        <f t="shared" si="21"/>
        <v>1.3302163408021754E-2</v>
      </c>
      <c r="BI48" s="11">
        <v>44230</v>
      </c>
      <c r="BJ48" s="744">
        <v>1.3877115086157661E-3</v>
      </c>
      <c r="BK48" s="744">
        <v>3.9006884259655625E-3</v>
      </c>
      <c r="BL48" s="744">
        <v>8.779467235775015E-3</v>
      </c>
      <c r="BM48" s="744">
        <v>3.1418304953089851E-2</v>
      </c>
      <c r="BN48" s="744">
        <v>8.4848219730645436E-2</v>
      </c>
      <c r="BO48" s="745">
        <v>0.15785078670850916</v>
      </c>
      <c r="BP48" s="744">
        <v>0.25490335896895505</v>
      </c>
      <c r="BQ48" s="744">
        <v>0.35683094894935158</v>
      </c>
      <c r="BR48" s="744">
        <v>0.48939085578334951</v>
      </c>
      <c r="BS48" s="744">
        <v>0.62799078426467003</v>
      </c>
      <c r="BT48" s="744">
        <v>0.77825990838195236</v>
      </c>
      <c r="BW48" s="1191">
        <f>'2018'!R\Max</f>
        <v>0</v>
      </c>
      <c r="BX48" s="1189">
        <f>'2019'!R\Max</f>
        <v>0.52244319842086717</v>
      </c>
      <c r="BY48" s="1189">
        <f>'2020'!R\Max</f>
        <v>0.82025530797379353</v>
      </c>
      <c r="BZ48" s="1189">
        <f>'2021'!R\Max</f>
        <v>0.71331225159165068</v>
      </c>
      <c r="CA48" s="1189">
        <f>'2022'!R\Max</f>
        <v>0.54723099835258671</v>
      </c>
      <c r="CB48" s="1189">
        <f>'2023'!R\Max</f>
        <v>0.541169136608599</v>
      </c>
      <c r="CC48" s="1189">
        <f>'2024'!R\Max</f>
        <v>0.53471039287317934</v>
      </c>
      <c r="CD48" s="1189">
        <f>'2025'!R\Max</f>
        <v>0.52675501658246737</v>
      </c>
      <c r="CE48" s="1189">
        <f>'2026'!R\Max</f>
        <v>0.56022942338892978</v>
      </c>
      <c r="CF48" s="1190">
        <f>'2027'!R\Max</f>
        <v>0.55672300107057904</v>
      </c>
    </row>
    <row r="49" spans="1:84" s="6" customFormat="1" ht="11.25" x14ac:dyDescent="0.2">
      <c r="A49" s="11">
        <v>43135</v>
      </c>
      <c r="B49" s="382">
        <f>'2022'!Maxi_hp</f>
        <v>23.372565339149336</v>
      </c>
      <c r="C49" s="85">
        <f>'2022'!An_max</f>
        <v>2019</v>
      </c>
      <c r="D49" s="1134"/>
      <c r="E49" s="711"/>
      <c r="F49" s="13">
        <f t="shared" si="22"/>
        <v>3</v>
      </c>
      <c r="G49" s="13">
        <f t="shared" si="23"/>
        <v>4</v>
      </c>
      <c r="H49" s="175">
        <f t="shared" si="7"/>
        <v>43122</v>
      </c>
      <c r="I49" s="774">
        <f t="shared" si="8"/>
        <v>0.9285714285714286</v>
      </c>
      <c r="J49" s="765">
        <f t="shared" si="26"/>
        <v>27.608872303207004</v>
      </c>
      <c r="L49" s="777" t="s">
        <v>217</v>
      </c>
      <c r="M49" s="804">
        <f t="shared" ref="M49:AA49" si="51">N43</f>
        <v>43122</v>
      </c>
      <c r="N49" s="757">
        <f t="shared" si="51"/>
        <v>43150</v>
      </c>
      <c r="O49" s="757">
        <f t="shared" si="51"/>
        <v>43178</v>
      </c>
      <c r="P49" s="757">
        <f t="shared" si="51"/>
        <v>43206</v>
      </c>
      <c r="Q49" s="757">
        <f t="shared" si="51"/>
        <v>43234</v>
      </c>
      <c r="R49" s="757">
        <f t="shared" si="51"/>
        <v>43262</v>
      </c>
      <c r="S49" s="757">
        <f t="shared" si="51"/>
        <v>43290</v>
      </c>
      <c r="T49" s="757">
        <f t="shared" si="51"/>
        <v>43318</v>
      </c>
      <c r="U49" s="757">
        <f t="shared" si="51"/>
        <v>43346</v>
      </c>
      <c r="V49" s="757">
        <f t="shared" si="51"/>
        <v>43374</v>
      </c>
      <c r="W49" s="757">
        <f t="shared" si="51"/>
        <v>43402</v>
      </c>
      <c r="X49" s="757">
        <f t="shared" si="51"/>
        <v>43430</v>
      </c>
      <c r="Y49" s="757">
        <f t="shared" si="51"/>
        <v>43458</v>
      </c>
      <c r="Z49" s="810">
        <f t="shared" si="51"/>
        <v>43487</v>
      </c>
      <c r="AA49" s="808">
        <f t="shared" si="51"/>
        <v>43515</v>
      </c>
      <c r="AD49" s="7"/>
      <c r="AE49" s="7"/>
      <c r="AF49" s="7"/>
      <c r="AH49" s="7"/>
      <c r="AI49" s="74"/>
      <c r="AP49" s="13">
        <f t="shared" si="10"/>
        <v>3</v>
      </c>
      <c r="AQ49" s="13">
        <f t="shared" si="11"/>
        <v>2</v>
      </c>
      <c r="AR49" s="175">
        <f t="shared" si="12"/>
        <v>43136</v>
      </c>
      <c r="AS49" s="774">
        <f t="shared" si="13"/>
        <v>3.5714285714285712E-2</v>
      </c>
      <c r="AT49" s="791">
        <f t="shared" si="14"/>
        <v>27.611603781713974</v>
      </c>
      <c r="AU49" s="13">
        <f t="shared" si="15"/>
        <v>3</v>
      </c>
      <c r="AV49" s="13">
        <f t="shared" si="16"/>
        <v>2</v>
      </c>
      <c r="AW49" s="175">
        <f t="shared" si="17"/>
        <v>43150</v>
      </c>
      <c r="AX49" s="774">
        <f t="shared" si="18"/>
        <v>0.5357142857142857</v>
      </c>
      <c r="AY49" s="791">
        <f t="shared" si="19"/>
        <v>27.506308492033611</v>
      </c>
      <c r="AZ49" s="765">
        <f t="shared" si="25"/>
        <v>27.558956136873793</v>
      </c>
      <c r="BA49" s="649">
        <f t="shared" si="20"/>
        <v>0.84655994212535857</v>
      </c>
      <c r="BB49" s="644">
        <v>43135</v>
      </c>
      <c r="BC49" s="11">
        <v>43135</v>
      </c>
      <c r="BD49" s="292">
        <f>[2]!FeuilCaduc*(1-Persistant)+Persistant</f>
        <v>1</v>
      </c>
      <c r="BE49" s="293">
        <f>[2]!CroissVégét</f>
        <v>4.2244610672662677E-3</v>
      </c>
      <c r="BF49" s="844">
        <f>1+[2]!Salcycl*Ksac</f>
        <v>1.0000319710879078</v>
      </c>
      <c r="BH49" s="1107">
        <f t="shared" si="21"/>
        <v>1.2961413304333218E-2</v>
      </c>
      <c r="BI49" s="11">
        <v>44231</v>
      </c>
      <c r="BJ49" s="744">
        <v>1.4468239502004256E-3</v>
      </c>
      <c r="BK49" s="744">
        <v>4.0334983268945279E-3</v>
      </c>
      <c r="BL49" s="744">
        <v>8.723552133149964E-3</v>
      </c>
      <c r="BM49" s="744">
        <v>2.9936617895042008E-2</v>
      </c>
      <c r="BN49" s="744">
        <v>8.2564905854926582E-2</v>
      </c>
      <c r="BO49" s="745">
        <v>0.154612610617964</v>
      </c>
      <c r="BP49" s="744">
        <v>0.25152933439923425</v>
      </c>
      <c r="BQ49" s="744">
        <v>0.35248615601752897</v>
      </c>
      <c r="BR49" s="744">
        <v>0.48363221949326135</v>
      </c>
      <c r="BS49" s="744">
        <v>0.62128072989958272</v>
      </c>
      <c r="BT49" s="744">
        <v>0.77084974477349522</v>
      </c>
      <c r="BW49" s="1191">
        <f>'2018'!R\Max</f>
        <v>0</v>
      </c>
      <c r="BX49" s="1189">
        <f>'2019'!R\Max</f>
        <v>0.84655994212535857</v>
      </c>
      <c r="BY49" s="1189">
        <f>'2020'!R\Max</f>
        <v>0.6079816099100126</v>
      </c>
      <c r="BZ49" s="1189">
        <f>'2021'!R\Max</f>
        <v>0.56111270849702188</v>
      </c>
      <c r="CA49" s="1189">
        <f>'2022'!R\Max</f>
        <v>0.44786446944834812</v>
      </c>
      <c r="CB49" s="1189">
        <f>'2023'!R\Max</f>
        <v>0.4419265630320135</v>
      </c>
      <c r="CC49" s="1189">
        <f>'2024'!R\Max</f>
        <v>0.43563229725853631</v>
      </c>
      <c r="CD49" s="1189">
        <f>'2025'!R\Max</f>
        <v>0.42797745278804894</v>
      </c>
      <c r="CE49" s="1189">
        <f>'2026'!R\Max</f>
        <v>0.46054134470700897</v>
      </c>
      <c r="CF49" s="1190">
        <f>'2027'!R\Max</f>
        <v>0.45712220177571727</v>
      </c>
    </row>
    <row r="50" spans="1:84" s="6" customFormat="1" ht="11.25" x14ac:dyDescent="0.2">
      <c r="A50" s="11">
        <v>43136</v>
      </c>
      <c r="B50" s="382">
        <f>'2022'!Maxi_hp</f>
        <v>27.755080564710749</v>
      </c>
      <c r="C50" s="85">
        <f>'2022'!An_max</f>
        <v>2020</v>
      </c>
      <c r="D50" s="1134"/>
      <c r="E50" s="773">
        <f>P$13/10</f>
        <v>27.955200000000001</v>
      </c>
      <c r="F50" s="13">
        <f t="shared" si="22"/>
        <v>5</v>
      </c>
      <c r="G50" s="13">
        <f t="shared" si="23"/>
        <v>4</v>
      </c>
      <c r="H50" s="175">
        <f t="shared" si="7"/>
        <v>43150</v>
      </c>
      <c r="I50" s="774">
        <f t="shared" si="8"/>
        <v>1</v>
      </c>
      <c r="J50" s="765">
        <f t="shared" si="26"/>
        <v>27.955199999362229</v>
      </c>
      <c r="L50" s="777" t="s">
        <v>218</v>
      </c>
      <c r="M50" s="805">
        <f t="shared" ref="M50:AA50" si="52">N44</f>
        <v>234.49600000000001</v>
      </c>
      <c r="N50" s="762">
        <f t="shared" si="52"/>
        <v>331.77600000000001</v>
      </c>
      <c r="O50" s="762">
        <f t="shared" si="52"/>
        <v>456.70400000000001</v>
      </c>
      <c r="P50" s="762">
        <f t="shared" si="52"/>
        <v>571.39200000000005</v>
      </c>
      <c r="Q50" s="762">
        <f t="shared" si="52"/>
        <v>632.83199999999999</v>
      </c>
      <c r="R50" s="762">
        <f t="shared" si="52"/>
        <v>644.096</v>
      </c>
      <c r="S50" s="762">
        <f t="shared" si="52"/>
        <v>626.68799999999999</v>
      </c>
      <c r="T50" s="762">
        <f t="shared" si="52"/>
        <v>584.70400000000006</v>
      </c>
      <c r="U50" s="762">
        <f t="shared" si="52"/>
        <v>512</v>
      </c>
      <c r="V50" s="762">
        <f t="shared" si="52"/>
        <v>393.21600000000001</v>
      </c>
      <c r="W50" s="762">
        <f t="shared" si="52"/>
        <v>279.55200000000002</v>
      </c>
      <c r="X50" s="762">
        <f t="shared" si="52"/>
        <v>205.82400000000001</v>
      </c>
      <c r="Y50" s="762">
        <f t="shared" si="52"/>
        <v>181.24799999999999</v>
      </c>
      <c r="Z50" s="811">
        <f t="shared" si="52"/>
        <v>234.49600000000001</v>
      </c>
      <c r="AA50" s="798">
        <f t="shared" si="52"/>
        <v>331.77600000000001</v>
      </c>
      <c r="AD50" s="7"/>
      <c r="AE50" s="7"/>
      <c r="AF50" s="7"/>
      <c r="AH50" s="7"/>
      <c r="AI50" s="74"/>
      <c r="AP50" s="13">
        <f t="shared" si="10"/>
        <v>3</v>
      </c>
      <c r="AQ50" s="13">
        <f t="shared" si="11"/>
        <v>4</v>
      </c>
      <c r="AR50" s="175">
        <f t="shared" si="12"/>
        <v>43136</v>
      </c>
      <c r="AS50" s="774">
        <f t="shared" si="13"/>
        <v>0</v>
      </c>
      <c r="AT50" s="791">
        <f t="shared" si="14"/>
        <v>27.955199998617172</v>
      </c>
      <c r="AU50" s="13">
        <f t="shared" si="15"/>
        <v>3</v>
      </c>
      <c r="AV50" s="13">
        <f t="shared" si="16"/>
        <v>2</v>
      </c>
      <c r="AW50" s="175">
        <f t="shared" si="17"/>
        <v>43150</v>
      </c>
      <c r="AX50" s="774">
        <f t="shared" si="18"/>
        <v>0.5</v>
      </c>
      <c r="AY50" s="791">
        <f t="shared" si="19"/>
        <v>27.859153538383545</v>
      </c>
      <c r="AZ50" s="765">
        <f t="shared" si="25"/>
        <v>27.907176768500356</v>
      </c>
      <c r="BA50" s="649">
        <f t="shared" si="20"/>
        <v>0.99284142361149108</v>
      </c>
      <c r="BB50" s="644">
        <v>43136</v>
      </c>
      <c r="BC50" s="11">
        <v>43136</v>
      </c>
      <c r="BD50" s="292">
        <f>[2]!FeuilCaduc*(1-Persistant)+Persistant</f>
        <v>1</v>
      </c>
      <c r="BE50" s="293">
        <f>[2]!CroissVégét</f>
        <v>4.4587231488279668E-3</v>
      </c>
      <c r="BF50" s="844">
        <f>1+[2]!Salcycl*Ksac</f>
        <v>1.0000438608635227</v>
      </c>
      <c r="BH50" s="1107">
        <f t="shared" si="21"/>
        <v>1.2673878893006219E-2</v>
      </c>
      <c r="BI50" s="11">
        <v>44232</v>
      </c>
      <c r="BJ50" s="744">
        <v>1.5072132140073412E-3</v>
      </c>
      <c r="BK50" s="744">
        <v>4.1708461048248309E-3</v>
      </c>
      <c r="BL50" s="744">
        <v>8.7227272173808559E-3</v>
      </c>
      <c r="BM50" s="744">
        <v>2.8500638041875481E-2</v>
      </c>
      <c r="BN50" s="744">
        <v>8.0130405771749E-2</v>
      </c>
      <c r="BO50" s="745">
        <v>0.15126577361345903</v>
      </c>
      <c r="BP50" s="744">
        <v>0.24787902558464037</v>
      </c>
      <c r="BQ50" s="744">
        <v>0.34813050503758719</v>
      </c>
      <c r="BR50" s="744">
        <v>0.47769727405117918</v>
      </c>
      <c r="BS50" s="744">
        <v>0.61456328386207737</v>
      </c>
      <c r="BT50" s="744">
        <v>0.76341809184812615</v>
      </c>
      <c r="BW50" s="1191">
        <f>'2018'!R\Max</f>
        <v>0</v>
      </c>
      <c r="BX50" s="1189">
        <f>'2019'!R\Max</f>
        <v>0.16156385259787548</v>
      </c>
      <c r="BY50" s="1189">
        <f>'2020'!R\Max</f>
        <v>0.99284142361149108</v>
      </c>
      <c r="BZ50" s="1189">
        <f>'2021'!R\Max</f>
        <v>0.36017155399083417</v>
      </c>
      <c r="CA50" s="1189">
        <f>'2022'!R\Max</f>
        <v>0.38168157761471755</v>
      </c>
      <c r="CB50" s="1189">
        <f>'2023'!R\Max</f>
        <v>0.37612240280794584</v>
      </c>
      <c r="CC50" s="1189">
        <f>'2024'!R\Max</f>
        <v>0.37024646634648073</v>
      </c>
      <c r="CD50" s="1189">
        <f>'2025'!R\Max</f>
        <v>0.36315076122476403</v>
      </c>
      <c r="CE50" s="1189">
        <f>'2026'!R\Max</f>
        <v>0.39346345761630303</v>
      </c>
      <c r="CF50" s="1190">
        <f>'2027'!R\Max</f>
        <v>0.39029802728879975</v>
      </c>
    </row>
    <row r="51" spans="1:84" s="6" customFormat="1" ht="11.25" x14ac:dyDescent="0.2">
      <c r="A51" s="11">
        <v>43137</v>
      </c>
      <c r="B51" s="382">
        <f>'2022'!Maxi_hp</f>
        <v>28.804501994668065</v>
      </c>
      <c r="C51" s="85">
        <f>'2022'!An_max</f>
        <v>2020</v>
      </c>
      <c r="D51" s="1134"/>
      <c r="E51" s="711"/>
      <c r="F51" s="13">
        <f t="shared" si="22"/>
        <v>5</v>
      </c>
      <c r="G51" s="13">
        <f t="shared" si="23"/>
        <v>4</v>
      </c>
      <c r="H51" s="175">
        <f t="shared" si="7"/>
        <v>43150</v>
      </c>
      <c r="I51" s="774">
        <f t="shared" si="8"/>
        <v>0.9285714285714286</v>
      </c>
      <c r="J51" s="765">
        <f t="shared" si="26"/>
        <v>28.304214577323627</v>
      </c>
      <c r="L51" s="778" t="s">
        <v>219</v>
      </c>
      <c r="M51" s="759">
        <f t="shared" ref="M51:AA51" si="53">x.1ld*x.1ld-x.2ld*x.2ld</f>
        <v>-2412424</v>
      </c>
      <c r="N51" s="759">
        <f t="shared" si="53"/>
        <v>-2500235</v>
      </c>
      <c r="O51" s="759">
        <f t="shared" si="53"/>
        <v>-2415616</v>
      </c>
      <c r="P51" s="759">
        <f t="shared" si="53"/>
        <v>-2417184</v>
      </c>
      <c r="Q51" s="759">
        <f t="shared" si="53"/>
        <v>-2418752</v>
      </c>
      <c r="R51" s="759">
        <f t="shared" si="53"/>
        <v>-2420320</v>
      </c>
      <c r="S51" s="759">
        <f t="shared" si="53"/>
        <v>-2421888</v>
      </c>
      <c r="T51" s="759">
        <f t="shared" si="53"/>
        <v>-2423456</v>
      </c>
      <c r="U51" s="759">
        <f t="shared" si="53"/>
        <v>-2425024</v>
      </c>
      <c r="V51" s="759">
        <f t="shared" si="53"/>
        <v>-2426592</v>
      </c>
      <c r="W51" s="759">
        <f t="shared" si="53"/>
        <v>-2428160</v>
      </c>
      <c r="X51" s="759">
        <f t="shared" si="53"/>
        <v>-2429728</v>
      </c>
      <c r="Y51" s="759">
        <f t="shared" si="53"/>
        <v>-2431296</v>
      </c>
      <c r="Z51" s="759">
        <f t="shared" si="53"/>
        <v>-2432864</v>
      </c>
      <c r="AA51" s="759">
        <f t="shared" si="53"/>
        <v>-2521405</v>
      </c>
      <c r="AC51" s="7"/>
      <c r="AD51" s="7"/>
      <c r="AE51" s="7"/>
      <c r="AF51" s="7"/>
      <c r="AH51" s="7"/>
      <c r="AI51" s="74"/>
      <c r="AP51" s="13">
        <f t="shared" si="10"/>
        <v>3</v>
      </c>
      <c r="AQ51" s="13">
        <f t="shared" si="11"/>
        <v>4</v>
      </c>
      <c r="AR51" s="175">
        <f t="shared" si="12"/>
        <v>43136</v>
      </c>
      <c r="AS51" s="774">
        <f t="shared" si="13"/>
        <v>3.5714285714285712E-2</v>
      </c>
      <c r="AT51" s="791">
        <f t="shared" si="14"/>
        <v>28.302194751905546</v>
      </c>
      <c r="AU51" s="13">
        <f t="shared" si="15"/>
        <v>3</v>
      </c>
      <c r="AV51" s="13">
        <f t="shared" si="16"/>
        <v>2</v>
      </c>
      <c r="AW51" s="175">
        <f t="shared" si="17"/>
        <v>43150</v>
      </c>
      <c r="AX51" s="774">
        <f t="shared" si="18"/>
        <v>0.4642857142857143</v>
      </c>
      <c r="AY51" s="791">
        <f t="shared" si="19"/>
        <v>28.216635794631607</v>
      </c>
      <c r="AZ51" s="765">
        <f t="shared" si="25"/>
        <v>28.259415273268576</v>
      </c>
      <c r="BA51" s="649">
        <f t="shared" si="20"/>
        <v>1.0176753683087625</v>
      </c>
      <c r="BB51" s="644">
        <v>43137</v>
      </c>
      <c r="BC51" s="11">
        <v>43137</v>
      </c>
      <c r="BD51" s="292">
        <f>[2]!FeuilCaduc*(1-Persistant)+Persistant</f>
        <v>1</v>
      </c>
      <c r="BE51" s="293">
        <f>[2]!CroissVégét</f>
        <v>4.7026958080162657E-3</v>
      </c>
      <c r="BF51" s="844">
        <f>1+[2]!Salcycl*Ksac</f>
        <v>1.0000574069144899</v>
      </c>
      <c r="BH51" s="1107">
        <f t="shared" si="21"/>
        <v>1.2439570441116248E-2</v>
      </c>
      <c r="BI51" s="11">
        <v>44233</v>
      </c>
      <c r="BJ51" s="744">
        <v>1.5688796745628379E-3</v>
      </c>
      <c r="BK51" s="744">
        <v>4.3127331880000123E-3</v>
      </c>
      <c r="BL51" s="744">
        <v>8.7769915756879882E-3</v>
      </c>
      <c r="BM51" s="744">
        <v>2.7110420442767305E-2</v>
      </c>
      <c r="BN51" s="744">
        <v>7.7544901521027623E-2</v>
      </c>
      <c r="BO51" s="745">
        <v>0.14781055597011636</v>
      </c>
      <c r="BP51" s="744">
        <v>0.243952875452813</v>
      </c>
      <c r="BQ51" s="744">
        <v>0.3437645214825979</v>
      </c>
      <c r="BR51" s="744">
        <v>0.47158677425324469</v>
      </c>
      <c r="BS51" s="744">
        <v>0.60783935143503109</v>
      </c>
      <c r="BT51" s="744">
        <v>0.75596605817580143</v>
      </c>
      <c r="BW51" s="1191">
        <f>'2018'!R\Max</f>
        <v>0</v>
      </c>
      <c r="BX51" s="1189">
        <f>'2019'!R\Max</f>
        <v>0.44321713962961146</v>
      </c>
      <c r="BY51" s="1189">
        <f>'2020'!R\Max</f>
        <v>1.0176753683087625</v>
      </c>
      <c r="BZ51" s="1189">
        <f>'2021'!R\Max</f>
        <v>0.29569867124594373</v>
      </c>
      <c r="CA51" s="1189">
        <f>'2022'!R\Max</f>
        <v>0.71208275427243917</v>
      </c>
      <c r="CB51" s="1189">
        <f>'2023'!R\Max</f>
        <v>0.70730795509528055</v>
      </c>
      <c r="CC51" s="1189">
        <f>'2024'!R\Max</f>
        <v>0.70217595235070551</v>
      </c>
      <c r="CD51" s="1189">
        <f>'2025'!R\Max</f>
        <v>0.6958636795231552</v>
      </c>
      <c r="CE51" s="1189">
        <f>'2026'!R\Max</f>
        <v>0.72184439739890915</v>
      </c>
      <c r="CF51" s="1190">
        <f>'2027'!R\Max</f>
        <v>0.71927507404680024</v>
      </c>
    </row>
    <row r="52" spans="1:84" s="6" customFormat="1" ht="11.25" x14ac:dyDescent="0.2">
      <c r="A52" s="11">
        <v>43138</v>
      </c>
      <c r="B52" s="382">
        <f>'2022'!Maxi_hp</f>
        <v>20.435045615049184</v>
      </c>
      <c r="C52" s="85">
        <f>'2022'!An_max</f>
        <v>2021</v>
      </c>
      <c r="D52" s="1134"/>
      <c r="E52" s="711"/>
      <c r="F52" s="13">
        <f t="shared" si="22"/>
        <v>5</v>
      </c>
      <c r="G52" s="13">
        <f t="shared" si="23"/>
        <v>4</v>
      </c>
      <c r="H52" s="175">
        <f t="shared" si="7"/>
        <v>43150</v>
      </c>
      <c r="I52" s="774">
        <f t="shared" si="8"/>
        <v>0.8571428571428571</v>
      </c>
      <c r="J52" s="765">
        <f t="shared" si="26"/>
        <v>28.656475801659479</v>
      </c>
      <c r="L52" s="778" t="s">
        <v>220</v>
      </c>
      <c r="M52" s="759">
        <f t="shared" ref="M52:AA52" si="54">x.2ld*x.2ld-x.3ld*x.3ld</f>
        <v>-2500235</v>
      </c>
      <c r="N52" s="759">
        <f t="shared" si="54"/>
        <v>-2415616</v>
      </c>
      <c r="O52" s="759">
        <f t="shared" si="54"/>
        <v>-2417184</v>
      </c>
      <c r="P52" s="759">
        <f t="shared" si="54"/>
        <v>-2418752</v>
      </c>
      <c r="Q52" s="759">
        <f t="shared" si="54"/>
        <v>-2420320</v>
      </c>
      <c r="R52" s="759">
        <f t="shared" si="54"/>
        <v>-2421888</v>
      </c>
      <c r="S52" s="759">
        <f t="shared" si="54"/>
        <v>-2423456</v>
      </c>
      <c r="T52" s="759">
        <f t="shared" si="54"/>
        <v>-2425024</v>
      </c>
      <c r="U52" s="759">
        <f t="shared" si="54"/>
        <v>-2426592</v>
      </c>
      <c r="V52" s="759">
        <f t="shared" si="54"/>
        <v>-2428160</v>
      </c>
      <c r="W52" s="759">
        <f t="shared" si="54"/>
        <v>-2429728</v>
      </c>
      <c r="X52" s="759">
        <f t="shared" si="54"/>
        <v>-2431296</v>
      </c>
      <c r="Y52" s="759">
        <f t="shared" si="54"/>
        <v>-2432864</v>
      </c>
      <c r="Z52" s="759">
        <f t="shared" si="54"/>
        <v>-2521405</v>
      </c>
      <c r="AA52" s="759">
        <f t="shared" si="54"/>
        <v>-2436056</v>
      </c>
      <c r="AC52" s="7"/>
      <c r="AD52" s="7"/>
      <c r="AE52" s="7"/>
      <c r="AF52" s="7"/>
      <c r="AH52" s="7"/>
      <c r="AI52" s="74"/>
      <c r="AP52" s="13">
        <f t="shared" si="10"/>
        <v>3</v>
      </c>
      <c r="AQ52" s="13">
        <f t="shared" si="11"/>
        <v>4</v>
      </c>
      <c r="AR52" s="175">
        <f t="shared" si="12"/>
        <v>43136</v>
      </c>
      <c r="AS52" s="774">
        <f t="shared" si="13"/>
        <v>7.1428571428571425E-2</v>
      </c>
      <c r="AT52" s="791">
        <f t="shared" si="14"/>
        <v>28.655468220077456</v>
      </c>
      <c r="AU52" s="13">
        <f t="shared" si="15"/>
        <v>3</v>
      </c>
      <c r="AV52" s="13">
        <f t="shared" si="16"/>
        <v>2</v>
      </c>
      <c r="AW52" s="175">
        <f t="shared" si="17"/>
        <v>43150</v>
      </c>
      <c r="AX52" s="774">
        <f t="shared" si="18"/>
        <v>0.42857142857142855</v>
      </c>
      <c r="AY52" s="791">
        <f t="shared" si="19"/>
        <v>28.578517256783584</v>
      </c>
      <c r="AZ52" s="765">
        <f t="shared" si="25"/>
        <v>28.616992738430518</v>
      </c>
      <c r="BA52" s="649">
        <f t="shared" si="20"/>
        <v>0.71310393352227219</v>
      </c>
      <c r="BB52" s="644">
        <v>43138</v>
      </c>
      <c r="BC52" s="11">
        <v>43138</v>
      </c>
      <c r="BD52" s="292">
        <f>[2]!FeuilCaduc*(1-Persistant)+Persistant</f>
        <v>1</v>
      </c>
      <c r="BE52" s="293">
        <f>[2]!CroissVégét</f>
        <v>4.9567764778191995E-3</v>
      </c>
      <c r="BF52" s="844">
        <f>1+[2]!Salcycl*Ksac</f>
        <v>1.0000724812202288</v>
      </c>
      <c r="BH52" s="1107">
        <f t="shared" si="21"/>
        <v>1.2275900573286088E-2</v>
      </c>
      <c r="BI52" s="11">
        <v>44234</v>
      </c>
      <c r="BJ52" s="744">
        <v>1.6358361823495052E-3</v>
      </c>
      <c r="BK52" s="744">
        <v>4.4625169415777521E-3</v>
      </c>
      <c r="BL52" s="744">
        <v>8.8903334258442698E-3</v>
      </c>
      <c r="BM52" s="744">
        <v>2.5837150614745282E-2</v>
      </c>
      <c r="BN52" s="744">
        <v>7.4841416497779867E-2</v>
      </c>
      <c r="BO52" s="745">
        <v>0.14426481562199753</v>
      </c>
      <c r="BP52" s="744">
        <v>0.23978254974614979</v>
      </c>
      <c r="BQ52" s="744">
        <v>0.33936576180358052</v>
      </c>
      <c r="BR52" s="744">
        <v>0.46530578185406307</v>
      </c>
      <c r="BS52" s="744">
        <v>0.60096536919787791</v>
      </c>
      <c r="BT52" s="744">
        <v>0.74829414974435204</v>
      </c>
      <c r="BW52" s="1191">
        <f>'2018'!R\Max</f>
        <v>0</v>
      </c>
      <c r="BX52" s="1189">
        <f>'2019'!R\Max</f>
        <v>0.22263357434890299</v>
      </c>
      <c r="BY52" s="1189">
        <f>'2020'!R\Max</f>
        <v>0.68453138056819507</v>
      </c>
      <c r="BZ52" s="1189">
        <f>'2021'!R\Max</f>
        <v>0.71310393352227219</v>
      </c>
      <c r="CA52" s="1189">
        <f>'2022'!R\Max</f>
        <v>0.48145898408017662</v>
      </c>
      <c r="CB52" s="1189">
        <f>'2023'!R\Max</f>
        <v>0.47579277251479479</v>
      </c>
      <c r="CC52" s="1189">
        <f>'2024'!R\Max</f>
        <v>0.46976242791714434</v>
      </c>
      <c r="CD52" s="1189">
        <f>'2025'!R\Max</f>
        <v>0.46241537993478476</v>
      </c>
      <c r="CE52" s="1189">
        <f>'2026'!R\Max</f>
        <v>0.49308247138694256</v>
      </c>
      <c r="CF52" s="1190">
        <f>'2027'!R\Max</f>
        <v>0.49003373355054647</v>
      </c>
    </row>
    <row r="53" spans="1:84" s="6" customFormat="1" ht="11.25" x14ac:dyDescent="0.2">
      <c r="A53" s="11">
        <v>43139</v>
      </c>
      <c r="B53" s="382">
        <f>'2022'!Maxi_hp</f>
        <v>29.411050619732659</v>
      </c>
      <c r="C53" s="85">
        <f>'2022'!An_max</f>
        <v>2022</v>
      </c>
      <c r="D53" s="1134"/>
      <c r="E53" s="711"/>
      <c r="F53" s="13">
        <f t="shared" si="22"/>
        <v>5</v>
      </c>
      <c r="G53" s="13">
        <f t="shared" si="23"/>
        <v>4</v>
      </c>
      <c r="H53" s="175">
        <f t="shared" si="7"/>
        <v>43150</v>
      </c>
      <c r="I53" s="774">
        <f t="shared" si="8"/>
        <v>0.7857142857142857</v>
      </c>
      <c r="J53" s="765">
        <f t="shared" si="26"/>
        <v>29.01209562617753</v>
      </c>
      <c r="L53" s="778" t="s">
        <v>221</v>
      </c>
      <c r="M53" s="759">
        <f t="shared" ref="M53:AA53" si="55">(y.1ld-y.2ld-b.ld*(x.1ld-x.2ld))/D2x12Ld</f>
        <v>4.7611442399098536E-2</v>
      </c>
      <c r="N53" s="759">
        <f t="shared" si="55"/>
        <v>2.8739434793877812E-2</v>
      </c>
      <c r="O53" s="759">
        <f t="shared" si="55"/>
        <v>1.763265306122247E-2</v>
      </c>
      <c r="P53" s="759">
        <f t="shared" si="55"/>
        <v>-6.5306122448988858E-3</v>
      </c>
      <c r="Q53" s="759">
        <f t="shared" si="55"/>
        <v>-3.3959183673470852E-2</v>
      </c>
      <c r="R53" s="759">
        <f t="shared" si="55"/>
        <v>-3.2000000000002575E-2</v>
      </c>
      <c r="S53" s="759">
        <f t="shared" si="55"/>
        <v>-1.8285714285711997E-2</v>
      </c>
      <c r="T53" s="759">
        <f t="shared" si="55"/>
        <v>-1.5673469387757679E-2</v>
      </c>
      <c r="U53" s="759">
        <f t="shared" si="55"/>
        <v>-1.9591836734695934E-2</v>
      </c>
      <c r="V53" s="759">
        <f t="shared" si="55"/>
        <v>-2.9387755102038584E-2</v>
      </c>
      <c r="W53" s="759">
        <f t="shared" si="55"/>
        <v>3.2653061224488869E-3</v>
      </c>
      <c r="X53" s="759">
        <f t="shared" si="55"/>
        <v>2.5469387755100433E-2</v>
      </c>
      <c r="Y53" s="759">
        <f t="shared" si="55"/>
        <v>3.1346938775507635E-2</v>
      </c>
      <c r="Z53" s="759">
        <f t="shared" si="55"/>
        <v>4.761144239909508E-2</v>
      </c>
      <c r="AA53" s="759">
        <f t="shared" si="55"/>
        <v>2.8739434793884529E-2</v>
      </c>
      <c r="AC53" s="7"/>
      <c r="AD53" s="7"/>
      <c r="AE53" s="7"/>
      <c r="AF53" s="7"/>
      <c r="AH53" s="7"/>
      <c r="AI53" s="74"/>
      <c r="AP53" s="13">
        <f t="shared" si="10"/>
        <v>3</v>
      </c>
      <c r="AQ53" s="13">
        <f t="shared" si="11"/>
        <v>4</v>
      </c>
      <c r="AR53" s="175">
        <f t="shared" si="12"/>
        <v>43136</v>
      </c>
      <c r="AS53" s="774">
        <f t="shared" si="13"/>
        <v>0.10714285714285714</v>
      </c>
      <c r="AT53" s="791">
        <f t="shared" si="14"/>
        <v>29.014768512413973</v>
      </c>
      <c r="AU53" s="13">
        <f t="shared" si="15"/>
        <v>3</v>
      </c>
      <c r="AV53" s="13">
        <f t="shared" si="16"/>
        <v>2</v>
      </c>
      <c r="AW53" s="175">
        <f t="shared" si="17"/>
        <v>43150</v>
      </c>
      <c r="AX53" s="774">
        <f t="shared" si="18"/>
        <v>0.39285714285714285</v>
      </c>
      <c r="AY53" s="791">
        <f t="shared" si="19"/>
        <v>28.944559923306645</v>
      </c>
      <c r="AZ53" s="765">
        <f t="shared" si="25"/>
        <v>28.979664217860311</v>
      </c>
      <c r="BA53" s="649">
        <f t="shared" si="20"/>
        <v>1.0137513331920482</v>
      </c>
      <c r="BB53" s="644">
        <v>43139</v>
      </c>
      <c r="BC53" s="11">
        <v>43139</v>
      </c>
      <c r="BD53" s="292">
        <f>[2]!FeuilCaduc*(1-Persistant)+Persistant</f>
        <v>1</v>
      </c>
      <c r="BE53" s="293">
        <f>[2]!CroissVégét</f>
        <v>5.2213784245517241E-3</v>
      </c>
      <c r="BF53" s="844">
        <f>1+[2]!Salcycl*Ksac</f>
        <v>1.0000889463469604</v>
      </c>
      <c r="BH53" s="1107">
        <f t="shared" si="21"/>
        <v>1.2164377186394765E-2</v>
      </c>
      <c r="BI53" s="11">
        <v>44235</v>
      </c>
      <c r="BJ53" s="744">
        <v>1.7079824863742859E-3</v>
      </c>
      <c r="BK53" s="744">
        <v>4.6177264372501189E-3</v>
      </c>
      <c r="BL53" s="744">
        <v>9.0337227095960201E-3</v>
      </c>
      <c r="BM53" s="744">
        <v>2.4704547357103507E-2</v>
      </c>
      <c r="BN53" s="744">
        <v>7.208379970631737E-2</v>
      </c>
      <c r="BO53" s="745">
        <v>0.14069566329345792</v>
      </c>
      <c r="BP53" s="744">
        <v>0.23549132764373984</v>
      </c>
      <c r="BQ53" s="744">
        <v>0.33492421386913046</v>
      </c>
      <c r="BR53" s="744">
        <v>0.45890270030146207</v>
      </c>
      <c r="BS53" s="744">
        <v>0.593874822744211</v>
      </c>
      <c r="BT53" s="744">
        <v>0.7403824215842576</v>
      </c>
      <c r="BW53" s="1191">
        <f>'2018'!R\Max</f>
        <v>0</v>
      </c>
      <c r="BX53" s="1189">
        <f>'2019'!R\Max</f>
        <v>0.85961216417700415</v>
      </c>
      <c r="BY53" s="1189">
        <f>'2020'!R\Max</f>
        <v>0.86318906470230106</v>
      </c>
      <c r="BZ53" s="1189">
        <f>'2021'!R\Max</f>
        <v>0.15176365317062535</v>
      </c>
      <c r="CA53" s="1189">
        <f>'2022'!R\Max</f>
        <v>1.0137513331920482</v>
      </c>
      <c r="CB53" s="1189">
        <f>'2023'!R\Max</f>
        <v>1.0137513331920482</v>
      </c>
      <c r="CC53" s="1189">
        <f>'2024'!R\Max</f>
        <v>1.0137513331920485</v>
      </c>
      <c r="CD53" s="1189">
        <f>'2025'!R\Max</f>
        <v>1.0137513331920482</v>
      </c>
      <c r="CE53" s="1189">
        <f>'2026'!R\Max</f>
        <v>1.0137513331920482</v>
      </c>
      <c r="CF53" s="1190">
        <f>'2027'!R\Max</f>
        <v>1.0137513331920482</v>
      </c>
    </row>
    <row r="54" spans="1:84" s="6" customFormat="1" ht="11.25" x14ac:dyDescent="0.2">
      <c r="A54" s="11">
        <v>43140</v>
      </c>
      <c r="B54" s="382">
        <f>'2022'!Maxi_hp</f>
        <v>29.418936956466233</v>
      </c>
      <c r="C54" s="85">
        <f>'2022'!An_max</f>
        <v>2022</v>
      </c>
      <c r="D54" s="1134"/>
      <c r="E54" s="711"/>
      <c r="F54" s="13">
        <f t="shared" si="22"/>
        <v>5</v>
      </c>
      <c r="G54" s="13">
        <f t="shared" si="23"/>
        <v>4</v>
      </c>
      <c r="H54" s="175">
        <f t="shared" si="7"/>
        <v>43150</v>
      </c>
      <c r="I54" s="774">
        <f t="shared" si="8"/>
        <v>0.7142857142857143</v>
      </c>
      <c r="J54" s="765">
        <f t="shared" si="26"/>
        <v>29.371186005430566</v>
      </c>
      <c r="L54" s="778" t="s">
        <v>222</v>
      </c>
      <c r="M54" s="759">
        <f t="shared" ref="M54:AA54" si="56">(y.2ld-y.3ld-(y.1ld-y.2ld)*D2x23Ld/D2x12Ld)/(x.2ld-x.3ld)/(1-(x.2ld+x.3ld)/(x.1ld+x.2ld))</f>
        <v>-4102.9843685072456</v>
      </c>
      <c r="N54" s="759">
        <f t="shared" si="56"/>
        <v>-2475.9342328231405</v>
      </c>
      <c r="O54" s="759">
        <f t="shared" si="56"/>
        <v>-1517.7299591834994</v>
      </c>
      <c r="P54" s="759">
        <f t="shared" si="56"/>
        <v>568.23640816334523</v>
      </c>
      <c r="Q54" s="759">
        <f t="shared" si="56"/>
        <v>2937.6261224491059</v>
      </c>
      <c r="R54" s="759">
        <f t="shared" si="56"/>
        <v>2768.2742857145086</v>
      </c>
      <c r="S54" s="759">
        <f t="shared" si="56"/>
        <v>1582.0434285712308</v>
      </c>
      <c r="T54" s="759">
        <f t="shared" si="56"/>
        <v>1355.948408163488</v>
      </c>
      <c r="U54" s="759">
        <f t="shared" si="56"/>
        <v>1695.3103673471171</v>
      </c>
      <c r="V54" s="759">
        <f t="shared" si="56"/>
        <v>2544.2638367345003</v>
      </c>
      <c r="W54" s="759">
        <f t="shared" si="56"/>
        <v>-287.40963265305317</v>
      </c>
      <c r="X54" s="759">
        <f t="shared" si="56"/>
        <v>-2214.1910204080236</v>
      </c>
      <c r="Y54" s="759">
        <f t="shared" si="56"/>
        <v>-2724.5505306120217</v>
      </c>
      <c r="Z54" s="759">
        <f t="shared" si="56"/>
        <v>-4137.7407214582872</v>
      </c>
      <c r="AA54" s="759">
        <f t="shared" si="56"/>
        <v>-2496.9140202232556</v>
      </c>
      <c r="AC54" s="7"/>
      <c r="AD54" s="7"/>
      <c r="AE54" s="7"/>
      <c r="AF54" s="7"/>
      <c r="AH54" s="7"/>
      <c r="AI54" s="74"/>
      <c r="AP54" s="13">
        <f t="shared" si="10"/>
        <v>3</v>
      </c>
      <c r="AQ54" s="13">
        <f t="shared" si="11"/>
        <v>4</v>
      </c>
      <c r="AR54" s="175">
        <f t="shared" si="12"/>
        <v>43136</v>
      </c>
      <c r="AS54" s="774">
        <f t="shared" si="13"/>
        <v>0.14285714285714285</v>
      </c>
      <c r="AT54" s="791">
        <f t="shared" si="14"/>
        <v>29.379843730319827</v>
      </c>
      <c r="AU54" s="13">
        <f t="shared" si="15"/>
        <v>3</v>
      </c>
      <c r="AV54" s="13">
        <f t="shared" si="16"/>
        <v>2</v>
      </c>
      <c r="AW54" s="175">
        <f t="shared" si="17"/>
        <v>43150</v>
      </c>
      <c r="AX54" s="774">
        <f t="shared" si="18"/>
        <v>0.35714285714285715</v>
      </c>
      <c r="AY54" s="791">
        <f t="shared" si="19"/>
        <v>29.314525790991524</v>
      </c>
      <c r="AZ54" s="765">
        <f t="shared" si="25"/>
        <v>29.347184760655676</v>
      </c>
      <c r="BA54" s="649">
        <f t="shared" si="20"/>
        <v>1.0016257753781832</v>
      </c>
      <c r="BB54" s="644">
        <v>43140</v>
      </c>
      <c r="BC54" s="11">
        <v>43140</v>
      </c>
      <c r="BD54" s="292">
        <f>[2]!FeuilCaduc*(1-Persistant)+Persistant</f>
        <v>1</v>
      </c>
      <c r="BE54" s="293">
        <f>[2]!CroissVégét</f>
        <v>5.4969313417339892E-3</v>
      </c>
      <c r="BF54" s="844">
        <f>1+[2]!Salcycl*Ksac</f>
        <v>1.0001066570864945</v>
      </c>
      <c r="BH54" s="1107">
        <f t="shared" si="21"/>
        <v>1.2105003105552438E-2</v>
      </c>
      <c r="BI54" s="11">
        <v>44236</v>
      </c>
      <c r="BJ54" s="744">
        <v>1.785318726233547E-3</v>
      </c>
      <c r="BK54" s="744">
        <v>4.7783646275277245E-3</v>
      </c>
      <c r="BL54" s="744">
        <v>9.2071616808345972E-3</v>
      </c>
      <c r="BM54" s="744">
        <v>2.3712615783029942E-2</v>
      </c>
      <c r="BN54" s="744">
        <v>6.9272180359489635E-2</v>
      </c>
      <c r="BO54" s="745">
        <v>0.13710331344983151</v>
      </c>
      <c r="BP54" s="744">
        <v>0.23107957367465992</v>
      </c>
      <c r="BQ54" s="744">
        <v>0.33044034773156222</v>
      </c>
      <c r="BR54" s="744">
        <v>0.45237819285268194</v>
      </c>
      <c r="BS54" s="744">
        <v>0.58656857449072952</v>
      </c>
      <c r="BT54" s="744">
        <v>0.73223193261642461</v>
      </c>
      <c r="BW54" s="1191">
        <f>'2018'!R\Max</f>
        <v>0</v>
      </c>
      <c r="BX54" s="1189">
        <f>'2019'!R\Max</f>
        <v>0.8817090940985981</v>
      </c>
      <c r="BY54" s="1189">
        <f>'2020'!R\Max</f>
        <v>0.87722094724651611</v>
      </c>
      <c r="BZ54" s="1189">
        <f>'2021'!R\Max</f>
        <v>0.46901167298940266</v>
      </c>
      <c r="CA54" s="1189">
        <f>'2022'!R\Max</f>
        <v>1.0016257753781832</v>
      </c>
      <c r="CB54" s="1189">
        <f>'2023'!R\Max</f>
        <v>1.001625775378183</v>
      </c>
      <c r="CC54" s="1189">
        <f>'2024'!R\Max</f>
        <v>1.0016257753781832</v>
      </c>
      <c r="CD54" s="1189">
        <f>'2025'!R\Max</f>
        <v>1.0016257753781828</v>
      </c>
      <c r="CE54" s="1189">
        <f>'2026'!R\Max</f>
        <v>1.001625775378183</v>
      </c>
      <c r="CF54" s="1190">
        <f>'2027'!R\Max</f>
        <v>1.001625775378183</v>
      </c>
    </row>
    <row r="55" spans="1:84" s="6" customFormat="1" ht="11.25" x14ac:dyDescent="0.2">
      <c r="A55" s="11">
        <v>43141</v>
      </c>
      <c r="B55" s="382">
        <f>'2022'!Maxi_hp</f>
        <v>28.45850777930519</v>
      </c>
      <c r="C55" s="85">
        <f>'2022'!An_max</f>
        <v>2022</v>
      </c>
      <c r="D55" s="1134"/>
      <c r="E55" s="711"/>
      <c r="F55" s="13">
        <f t="shared" si="22"/>
        <v>5</v>
      </c>
      <c r="G55" s="13">
        <f t="shared" si="23"/>
        <v>4</v>
      </c>
      <c r="H55" s="175">
        <f t="shared" si="7"/>
        <v>43150</v>
      </c>
      <c r="I55" s="774">
        <f t="shared" si="8"/>
        <v>0.6428571428571429</v>
      </c>
      <c r="J55" s="765">
        <f t="shared" si="26"/>
        <v>29.733858890725031</v>
      </c>
      <c r="L55" s="778" t="s">
        <v>223</v>
      </c>
      <c r="M55" s="759">
        <f t="shared" ref="M55:AA55" si="57">(y.1ld+y.2ld+y.3ld-a.ld*(x.3ld*x.3ld+x.2ld*x.2ld+x.1ld*x.1ld)-b.ld*(x.3ld+x.2ld+x.1ld))/3</f>
        <v>88395321.53647624</v>
      </c>
      <c r="N55" s="759">
        <f t="shared" si="57"/>
        <v>53326293.642314553</v>
      </c>
      <c r="O55" s="759">
        <f t="shared" si="57"/>
        <v>32659746.045384005</v>
      </c>
      <c r="P55" s="759">
        <f t="shared" si="57"/>
        <v>-12359575.358695602</v>
      </c>
      <c r="Q55" s="759">
        <f t="shared" si="57"/>
        <v>-63528910.252410889</v>
      </c>
      <c r="R55" s="759">
        <f t="shared" si="57"/>
        <v>-59869217.444576256</v>
      </c>
      <c r="S55" s="759">
        <f t="shared" si="57"/>
        <v>-34218164.07771001</v>
      </c>
      <c r="T55" s="759">
        <f t="shared" si="57"/>
        <v>-29325920.538127262</v>
      </c>
      <c r="U55" s="759">
        <f t="shared" si="57"/>
        <v>-36673784.910371214</v>
      </c>
      <c r="V55" s="759">
        <f t="shared" si="57"/>
        <v>-55067208.858118266</v>
      </c>
      <c r="W55" s="759">
        <f t="shared" si="57"/>
        <v>6323465.5582039058</v>
      </c>
      <c r="X55" s="759">
        <f t="shared" si="57"/>
        <v>48123056.632160246</v>
      </c>
      <c r="Y55" s="759">
        <f t="shared" si="57"/>
        <v>59201939.727668636</v>
      </c>
      <c r="Z55" s="759">
        <f t="shared" si="57"/>
        <v>89899253.865388468</v>
      </c>
      <c r="AA55" s="759">
        <f t="shared" si="57"/>
        <v>54233838.448508121</v>
      </c>
      <c r="AB55" s="7"/>
      <c r="AC55" s="7"/>
      <c r="AD55" s="7"/>
      <c r="AE55" s="7"/>
      <c r="AF55" s="7"/>
      <c r="AH55" s="7"/>
      <c r="AI55" s="74"/>
      <c r="AP55" s="13">
        <f t="shared" si="10"/>
        <v>3</v>
      </c>
      <c r="AQ55" s="13">
        <f t="shared" si="11"/>
        <v>4</v>
      </c>
      <c r="AR55" s="175">
        <f t="shared" si="12"/>
        <v>43136</v>
      </c>
      <c r="AS55" s="774">
        <f t="shared" si="13"/>
        <v>0.17857142857142858</v>
      </c>
      <c r="AT55" s="791">
        <f t="shared" si="14"/>
        <v>29.75044198217136</v>
      </c>
      <c r="AU55" s="13">
        <f t="shared" si="15"/>
        <v>3</v>
      </c>
      <c r="AV55" s="13">
        <f t="shared" si="16"/>
        <v>2</v>
      </c>
      <c r="AW55" s="175">
        <f t="shared" si="17"/>
        <v>43150</v>
      </c>
      <c r="AX55" s="774">
        <f t="shared" si="18"/>
        <v>0.32142857142857145</v>
      </c>
      <c r="AY55" s="791">
        <f t="shared" si="19"/>
        <v>29.688176857387383</v>
      </c>
      <c r="AZ55" s="765">
        <f t="shared" si="25"/>
        <v>29.719309419779371</v>
      </c>
      <c r="BA55" s="649">
        <f t="shared" si="20"/>
        <v>0.95710778355050086</v>
      </c>
      <c r="BB55" s="644">
        <v>43141</v>
      </c>
      <c r="BC55" s="11">
        <v>43141</v>
      </c>
      <c r="BD55" s="292">
        <f>[2]!FeuilCaduc*(1-Persistant)+Persistant</f>
        <v>1</v>
      </c>
      <c r="BE55" s="293">
        <f>[2]!CroissVégét</f>
        <v>5.7838819630590035E-3</v>
      </c>
      <c r="BF55" s="844">
        <f>1+[2]!Salcycl*Ksac</f>
        <v>1.0001254622434985</v>
      </c>
      <c r="BH55" s="1107">
        <f t="shared" si="21"/>
        <v>1.2097780042983092E-2</v>
      </c>
      <c r="BI55" s="11">
        <v>44237</v>
      </c>
      <c r="BJ55" s="744">
        <v>1.8678453472712776E-3</v>
      </c>
      <c r="BK55" s="744">
        <v>4.944435184669335E-3</v>
      </c>
      <c r="BL55" s="744">
        <v>9.4106529914447078E-3</v>
      </c>
      <c r="BM55" s="744">
        <v>2.2861353840837373E-2</v>
      </c>
      <c r="BN55" s="744">
        <v>6.6406674488546008E-2</v>
      </c>
      <c r="BO55" s="745">
        <v>0.13348796301323809</v>
      </c>
      <c r="BP55" s="744">
        <v>0.22654763229730024</v>
      </c>
      <c r="BQ55" s="744">
        <v>0.32591461182081022</v>
      </c>
      <c r="BR55" s="744">
        <v>0.44573289223266183</v>
      </c>
      <c r="BS55" s="744">
        <v>0.57904745395075718</v>
      </c>
      <c r="BT55" s="744">
        <v>0.72384370505840279</v>
      </c>
      <c r="BW55" s="1191">
        <f>'2018'!R\Max</f>
        <v>0</v>
      </c>
      <c r="BX55" s="1189">
        <f>'2019'!R\Max</f>
        <v>0.290581435357052</v>
      </c>
      <c r="BY55" s="1189">
        <f>'2020'!R\Max</f>
        <v>0.48525129203177464</v>
      </c>
      <c r="BZ55" s="1189">
        <f>'2021'!R\Max</f>
        <v>0.47758302940711062</v>
      </c>
      <c r="CA55" s="1189">
        <f>'2022'!R\Max</f>
        <v>0.95710778355050086</v>
      </c>
      <c r="CB55" s="1189">
        <f>'2023'!R\Max</f>
        <v>0.95622715729170471</v>
      </c>
      <c r="CC55" s="1189">
        <f>'2024'!R\Max</f>
        <v>0.95526544092192522</v>
      </c>
      <c r="CD55" s="1189">
        <f>'2025'!R\Max</f>
        <v>0.95404156203217882</v>
      </c>
      <c r="CE55" s="1189">
        <f>'2026'!R\Max</f>
        <v>0.95878455162744147</v>
      </c>
      <c r="CF55" s="1190">
        <f>'2027'!R\Max</f>
        <v>0.9583731079166985</v>
      </c>
    </row>
    <row r="56" spans="1:84" s="6" customFormat="1" ht="11.25" x14ac:dyDescent="0.2">
      <c r="A56" s="11">
        <v>43142</v>
      </c>
      <c r="B56" s="382">
        <f>'2022'!Maxi_hp</f>
        <v>26.844997488492737</v>
      </c>
      <c r="C56" s="85">
        <f>'2022'!An_max</f>
        <v>2021</v>
      </c>
      <c r="D56" s="1134"/>
      <c r="E56" s="711"/>
      <c r="F56" s="13">
        <f t="shared" si="22"/>
        <v>5</v>
      </c>
      <c r="G56" s="13">
        <f t="shared" si="23"/>
        <v>4</v>
      </c>
      <c r="H56" s="175">
        <f t="shared" si="7"/>
        <v>43150</v>
      </c>
      <c r="I56" s="774">
        <f t="shared" si="8"/>
        <v>0.5714285714285714</v>
      </c>
      <c r="J56" s="765">
        <f t="shared" si="26"/>
        <v>30.100226238369942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P56" s="13">
        <f t="shared" si="10"/>
        <v>3</v>
      </c>
      <c r="AQ56" s="13">
        <f t="shared" si="11"/>
        <v>4</v>
      </c>
      <c r="AR56" s="175">
        <f t="shared" si="12"/>
        <v>43136</v>
      </c>
      <c r="AS56" s="774">
        <f t="shared" si="13"/>
        <v>0.21428571428571427</v>
      </c>
      <c r="AT56" s="791">
        <f t="shared" si="14"/>
        <v>30.126311370278046</v>
      </c>
      <c r="AU56" s="13">
        <f t="shared" si="15"/>
        <v>3</v>
      </c>
      <c r="AV56" s="13">
        <f t="shared" si="16"/>
        <v>2</v>
      </c>
      <c r="AW56" s="175">
        <f t="shared" si="17"/>
        <v>43150</v>
      </c>
      <c r="AX56" s="774">
        <f t="shared" si="18"/>
        <v>0.2857142857142857</v>
      </c>
      <c r="AY56" s="791">
        <f t="shared" si="19"/>
        <v>30.065275120522294</v>
      </c>
      <c r="AZ56" s="765">
        <f t="shared" si="25"/>
        <v>30.09579324540017</v>
      </c>
      <c r="BA56" s="649">
        <f t="shared" si="20"/>
        <v>0.89185367830466211</v>
      </c>
      <c r="BB56" s="644">
        <v>43142</v>
      </c>
      <c r="BC56" s="11">
        <v>43142</v>
      </c>
      <c r="BD56" s="292">
        <f>[2]!FeuilCaduc*(1-Persistant)+Persistant</f>
        <v>1</v>
      </c>
      <c r="BE56" s="293">
        <f>[2]!CroissVégét</f>
        <v>6.0826946947814143E-3</v>
      </c>
      <c r="BF56" s="844">
        <f>1+[2]!Salcycl*Ksac</f>
        <v>1.0001452065493954</v>
      </c>
      <c r="BH56" s="1107">
        <f t="shared" si="21"/>
        <v>1.2142709250536305E-2</v>
      </c>
      <c r="BI56" s="11">
        <v>44238</v>
      </c>
      <c r="BJ56" s="744">
        <v>1.9555631657157909E-3</v>
      </c>
      <c r="BK56" s="744">
        <v>5.115942569084631E-3</v>
      </c>
      <c r="BL56" s="744">
        <v>9.6442000678184734E-3</v>
      </c>
      <c r="BM56" s="744">
        <v>2.2150754072013484E-2</v>
      </c>
      <c r="BN56" s="744">
        <v>6.3487384264034455E-2</v>
      </c>
      <c r="BO56" s="745">
        <v>0.1298497910693773</v>
      </c>
      <c r="BP56" s="744">
        <v>0.22189582639021757</v>
      </c>
      <c r="BQ56" s="744">
        <v>0.32134743241670144</v>
      </c>
      <c r="BR56" s="744">
        <v>0.43896739911665744</v>
      </c>
      <c r="BS56" s="744">
        <v>0.57131225504061012</v>
      </c>
      <c r="BT56" s="744">
        <v>0.71521872144546506</v>
      </c>
      <c r="BW56" s="1191">
        <f>'2018'!R\Max</f>
        <v>0</v>
      </c>
      <c r="BX56" s="1189">
        <f>'2019'!R\Max</f>
        <v>0.68966292925865347</v>
      </c>
      <c r="BY56" s="1189">
        <f>'2020'!R\Max</f>
        <v>0.32207924012209471</v>
      </c>
      <c r="BZ56" s="1189">
        <f>'2021'!R\Max</f>
        <v>0.89185367830466211</v>
      </c>
      <c r="CA56" s="1189">
        <f>'2022'!R\Max</f>
        <v>0.48813172494347823</v>
      </c>
      <c r="CB56" s="1189">
        <f>'2023'!R\Max</f>
        <v>0.48295125545281775</v>
      </c>
      <c r="CC56" s="1189">
        <f>'2024'!R\Max</f>
        <v>0.47739965995802441</v>
      </c>
      <c r="CD56" s="1189">
        <f>'2025'!R\Max</f>
        <v>0.47044026581174703</v>
      </c>
      <c r="CE56" s="1189">
        <f>'2026'!R\Max</f>
        <v>0.49811658408266246</v>
      </c>
      <c r="CF56" s="1190">
        <f>'2027'!R\Max</f>
        <v>0.49569072826929272</v>
      </c>
    </row>
    <row r="57" spans="1:84" s="6" customFormat="1" ht="11.25" x14ac:dyDescent="0.2">
      <c r="A57" s="11">
        <v>43143</v>
      </c>
      <c r="B57" s="382">
        <f>'2022'!Maxi_hp</f>
        <v>30.627768501609644</v>
      </c>
      <c r="C57" s="85">
        <f>'2022'!An_max</f>
        <v>2019</v>
      </c>
      <c r="D57" s="1134"/>
      <c r="E57" s="711"/>
      <c r="F57" s="13">
        <f t="shared" si="22"/>
        <v>5</v>
      </c>
      <c r="G57" s="13">
        <f t="shared" si="23"/>
        <v>4</v>
      </c>
      <c r="H57" s="175">
        <f t="shared" si="7"/>
        <v>43150</v>
      </c>
      <c r="I57" s="774">
        <f t="shared" si="8"/>
        <v>0.5</v>
      </c>
      <c r="J57" s="765">
        <f t="shared" si="26"/>
        <v>30.470399999246002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P57" s="13">
        <f t="shared" si="10"/>
        <v>3</v>
      </c>
      <c r="AQ57" s="13">
        <f t="shared" si="11"/>
        <v>4</v>
      </c>
      <c r="AR57" s="175">
        <f t="shared" si="12"/>
        <v>43136</v>
      </c>
      <c r="AS57" s="774">
        <f t="shared" si="13"/>
        <v>0.25</v>
      </c>
      <c r="AT57" s="791">
        <f t="shared" si="14"/>
        <v>30.50719999950379</v>
      </c>
      <c r="AU57" s="13">
        <f t="shared" si="15"/>
        <v>3</v>
      </c>
      <c r="AV57" s="13">
        <f t="shared" si="16"/>
        <v>2</v>
      </c>
      <c r="AW57" s="175">
        <f t="shared" si="17"/>
        <v>43150</v>
      </c>
      <c r="AX57" s="774">
        <f t="shared" si="18"/>
        <v>0.25</v>
      </c>
      <c r="AY57" s="791">
        <f t="shared" si="19"/>
        <v>30.445582576747984</v>
      </c>
      <c r="AZ57" s="765">
        <f t="shared" si="25"/>
        <v>30.476391288125889</v>
      </c>
      <c r="BA57" s="649">
        <f t="shared" si="20"/>
        <v>1.0051646352646351</v>
      </c>
      <c r="BB57" s="644">
        <v>43143</v>
      </c>
      <c r="BC57" s="11">
        <v>43143</v>
      </c>
      <c r="BD57" s="292">
        <f>[2]!FeuilCaduc*(1-Persistant)+Persistant</f>
        <v>1</v>
      </c>
      <c r="BE57" s="293">
        <f>[2]!CroissVégét</f>
        <v>6.3938522678270975E-3</v>
      </c>
      <c r="BF57" s="844">
        <f>1+[2]!Salcycl*Ksac</f>
        <v>1.0001657326801925</v>
      </c>
      <c r="BH57" s="1107">
        <f t="shared" si="21"/>
        <v>1.2239792172114985E-2</v>
      </c>
      <c r="BI57" s="11">
        <v>44239</v>
      </c>
      <c r="BJ57" s="744">
        <v>2.048473433805314E-3</v>
      </c>
      <c r="BK57" s="744">
        <v>5.2928920977064337E-3</v>
      </c>
      <c r="BL57" s="744">
        <v>9.9078074873087969E-3</v>
      </c>
      <c r="BM57" s="744">
        <v>2.1580805369093254E-2</v>
      </c>
      <c r="BN57" s="744">
        <v>6.0514397316177138E-2</v>
      </c>
      <c r="BO57" s="745">
        <v>0.12618895857331772</v>
      </c>
      <c r="BP57" s="744">
        <v>0.21712445574131914</v>
      </c>
      <c r="BQ57" s="744">
        <v>0.31673921311887127</v>
      </c>
      <c r="BR57" s="744">
        <v>0.43208228060962295</v>
      </c>
      <c r="BS57" s="744">
        <v>0.56336373338178924</v>
      </c>
      <c r="BT57" s="744">
        <v>0.70635792164649114</v>
      </c>
      <c r="BW57" s="1191">
        <f>'2018'!R\Max</f>
        <v>0</v>
      </c>
      <c r="BX57" s="1189">
        <f>'2019'!R\Max</f>
        <v>1.0051646352646351</v>
      </c>
      <c r="BY57" s="1189">
        <f>'2020'!R\Max</f>
        <v>0.65462966238254894</v>
      </c>
      <c r="BZ57" s="1189">
        <f>'2021'!R\Max</f>
        <v>0.15158794258236802</v>
      </c>
      <c r="CA57" s="1189">
        <f>'2022'!R\Max</f>
        <v>0.83601462976602503</v>
      </c>
      <c r="CB57" s="1189">
        <f>'2023'!R\Max</f>
        <v>0.83322267884396284</v>
      </c>
      <c r="CC57" s="1189">
        <f>'2024'!R\Max</f>
        <v>0.83017989928958247</v>
      </c>
      <c r="CD57" s="1189">
        <f>'2025'!R\Max</f>
        <v>0.82625586487742186</v>
      </c>
      <c r="CE57" s="1189">
        <f>'2026'!R\Max</f>
        <v>0.84119106519895337</v>
      </c>
      <c r="CF57" s="1190">
        <f>'2027'!R\Max</f>
        <v>0.83998191856045168</v>
      </c>
    </row>
    <row r="58" spans="1:84" s="6" customFormat="1" ht="11.25" x14ac:dyDescent="0.2">
      <c r="A58" s="11">
        <v>43144</v>
      </c>
      <c r="B58" s="382">
        <f>'2022'!Maxi_hp</f>
        <v>31.571868913069107</v>
      </c>
      <c r="C58" s="85">
        <f>'2022'!An_max</f>
        <v>2019</v>
      </c>
      <c r="D58" s="1134"/>
      <c r="E58" s="711"/>
      <c r="F58" s="13">
        <f t="shared" si="22"/>
        <v>5</v>
      </c>
      <c r="G58" s="13">
        <f t="shared" si="23"/>
        <v>4</v>
      </c>
      <c r="H58" s="175">
        <f t="shared" si="7"/>
        <v>43150</v>
      </c>
      <c r="I58" s="774">
        <f t="shared" si="8"/>
        <v>0.42857142857142855</v>
      </c>
      <c r="J58" s="765">
        <f t="shared" si="26"/>
        <v>30.844492127746342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P58" s="13">
        <f t="shared" si="10"/>
        <v>3</v>
      </c>
      <c r="AQ58" s="13">
        <f t="shared" si="11"/>
        <v>4</v>
      </c>
      <c r="AR58" s="175">
        <f t="shared" si="12"/>
        <v>43136</v>
      </c>
      <c r="AS58" s="774">
        <f t="shared" si="13"/>
        <v>0.2857142857142857</v>
      </c>
      <c r="AT58" s="791">
        <f t="shared" si="14"/>
        <v>30.892855976841282</v>
      </c>
      <c r="AU58" s="13">
        <f t="shared" si="15"/>
        <v>3</v>
      </c>
      <c r="AV58" s="13">
        <f t="shared" si="16"/>
        <v>2</v>
      </c>
      <c r="AW58" s="175">
        <f t="shared" si="17"/>
        <v>43150</v>
      </c>
      <c r="AX58" s="774">
        <f t="shared" si="18"/>
        <v>0.21428571428571427</v>
      </c>
      <c r="AY58" s="791">
        <f t="shared" si="19"/>
        <v>30.82886122510369</v>
      </c>
      <c r="AZ58" s="765">
        <f t="shared" si="25"/>
        <v>30.860858600972485</v>
      </c>
      <c r="BA58" s="649">
        <f t="shared" si="20"/>
        <v>1.0235820639325246</v>
      </c>
      <c r="BB58" s="644">
        <v>43144</v>
      </c>
      <c r="BC58" s="11">
        <v>43144</v>
      </c>
      <c r="BD58" s="292">
        <f>[2]!FeuilCaduc*(1-Persistant)+Persistant</f>
        <v>1</v>
      </c>
      <c r="BE58" s="293">
        <f>[2]!CroissVégét</f>
        <v>6.7178564099054624E-3</v>
      </c>
      <c r="BF58" s="844">
        <f>1+[2]!Salcycl*Ksac</f>
        <v>1.0001868833549463</v>
      </c>
      <c r="BH58" s="1107">
        <f t="shared" si="21"/>
        <v>1.2394253292552712E-2</v>
      </c>
      <c r="BI58" s="11">
        <v>44240</v>
      </c>
      <c r="BJ58" s="744">
        <v>2.1442162859582345E-3</v>
      </c>
      <c r="BK58" s="744">
        <v>5.4752094146638857E-3</v>
      </c>
      <c r="BL58" s="744">
        <v>1.0201941049241988E-2</v>
      </c>
      <c r="BM58" s="744">
        <v>2.1175793638888437E-2</v>
      </c>
      <c r="BN58" s="744">
        <v>5.7642990287089531E-2</v>
      </c>
      <c r="BO58" s="745">
        <v>0.12254061214662461</v>
      </c>
      <c r="BP58" s="744">
        <v>0.21229030791365122</v>
      </c>
      <c r="BQ58" s="744">
        <v>0.31210467075928844</v>
      </c>
      <c r="BR58" s="744">
        <v>0.42523005262176189</v>
      </c>
      <c r="BS58" s="744">
        <v>0.55536804804521189</v>
      </c>
      <c r="BT58" s="744">
        <v>0.69744007025140742</v>
      </c>
      <c r="BW58" s="1191">
        <f>'2018'!R\Max</f>
        <v>0</v>
      </c>
      <c r="BX58" s="1189">
        <f>'2019'!R\Max</f>
        <v>1.0235820639325246</v>
      </c>
      <c r="BY58" s="1189">
        <f>'2020'!R\Max</f>
        <v>0.59355715441283152</v>
      </c>
      <c r="BZ58" s="1189">
        <f>'2021'!R\Max</f>
        <v>0.28723075750749166</v>
      </c>
      <c r="CA58" s="1189">
        <f>'2022'!R\Max</f>
        <v>0.96663471279104396</v>
      </c>
      <c r="CB58" s="1189">
        <f>'2023'!R\Max</f>
        <v>0.96599320186629389</v>
      </c>
      <c r="CC58" s="1189">
        <f>'2024'!R\Max</f>
        <v>0.96528874137553755</v>
      </c>
      <c r="CD58" s="1189">
        <f>'2025'!R\Max</f>
        <v>0.96436351346802651</v>
      </c>
      <c r="CE58" s="1189">
        <f>'2026'!R\Max</f>
        <v>0.96779325836916474</v>
      </c>
      <c r="CF58" s="1190">
        <f>'2027'!R\Max</f>
        <v>0.96753192247016551</v>
      </c>
    </row>
    <row r="59" spans="1:84" s="6" customFormat="1" ht="11.25" x14ac:dyDescent="0.2">
      <c r="A59" s="11">
        <v>43145</v>
      </c>
      <c r="B59" s="382">
        <f>'2022'!Maxi_hp</f>
        <v>31.764389384281085</v>
      </c>
      <c r="C59" s="85">
        <f>'2022'!An_max</f>
        <v>2019</v>
      </c>
      <c r="D59" s="1134"/>
      <c r="E59" s="711"/>
      <c r="F59" s="13">
        <f t="shared" si="22"/>
        <v>5</v>
      </c>
      <c r="G59" s="13">
        <f t="shared" si="23"/>
        <v>4</v>
      </c>
      <c r="H59" s="175">
        <f t="shared" si="7"/>
        <v>43150</v>
      </c>
      <c r="I59" s="774">
        <f t="shared" si="8"/>
        <v>0.35714285714285715</v>
      </c>
      <c r="J59" s="765">
        <f t="shared" si="26"/>
        <v>31.222614576295019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P59" s="13">
        <f t="shared" si="10"/>
        <v>3</v>
      </c>
      <c r="AQ59" s="13">
        <f t="shared" si="11"/>
        <v>4</v>
      </c>
      <c r="AR59" s="175">
        <f t="shared" si="12"/>
        <v>43136</v>
      </c>
      <c r="AS59" s="774">
        <f t="shared" si="13"/>
        <v>0.32142857142857145</v>
      </c>
      <c r="AT59" s="791">
        <f t="shared" si="14"/>
        <v>31.283027405305102</v>
      </c>
      <c r="AU59" s="13">
        <f t="shared" si="15"/>
        <v>3</v>
      </c>
      <c r="AV59" s="13">
        <f t="shared" si="16"/>
        <v>2</v>
      </c>
      <c r="AW59" s="175">
        <f t="shared" si="17"/>
        <v>43150</v>
      </c>
      <c r="AX59" s="774">
        <f t="shared" si="18"/>
        <v>0.17857142857142858</v>
      </c>
      <c r="AY59" s="791">
        <f t="shared" si="19"/>
        <v>31.214873062566454</v>
      </c>
      <c r="AZ59" s="765">
        <f t="shared" si="25"/>
        <v>31.24895023393578</v>
      </c>
      <c r="BA59" s="649">
        <f t="shared" si="20"/>
        <v>1.0173519999954583</v>
      </c>
      <c r="BB59" s="644">
        <v>43145</v>
      </c>
      <c r="BC59" s="11">
        <v>43145</v>
      </c>
      <c r="BD59" s="292">
        <f>[2]!FeuilCaduc*(1-Persistant)+Persistant</f>
        <v>1</v>
      </c>
      <c r="BE59" s="293">
        <f>[2]!CroissVégét</f>
        <v>7.0552285378688686E-3</v>
      </c>
      <c r="BF59" s="844">
        <f>1+[2]!Salcycl*Ksac</f>
        <v>1.000208503491236</v>
      </c>
      <c r="BH59" s="1107">
        <f t="shared" si="21"/>
        <v>1.2571355730429643E-2</v>
      </c>
      <c r="BI59" s="11">
        <v>44241</v>
      </c>
      <c r="BJ59" s="744">
        <v>2.2416003414080397E-3</v>
      </c>
      <c r="BK59" s="744">
        <v>5.6607914988718207E-3</v>
      </c>
      <c r="BL59" s="744">
        <v>1.0500515415300796E-2</v>
      </c>
      <c r="BM59" s="744">
        <v>2.0866327322003744E-2</v>
      </c>
      <c r="BN59" s="744">
        <v>5.4960310365169428E-2</v>
      </c>
      <c r="BO59" s="745">
        <v>0.11894594403038061</v>
      </c>
      <c r="BP59" s="744">
        <v>0.20754553575223453</v>
      </c>
      <c r="BQ59" s="744">
        <v>0.30746355459462771</v>
      </c>
      <c r="BR59" s="744">
        <v>0.41853697173982524</v>
      </c>
      <c r="BS59" s="744">
        <v>0.54739700703273564</v>
      </c>
      <c r="BT59" s="744">
        <v>0.68850391681404288</v>
      </c>
      <c r="BW59" s="1191">
        <f>'2018'!R\Max</f>
        <v>0</v>
      </c>
      <c r="BX59" s="1189">
        <f>'2019'!R\Max</f>
        <v>1.0173519999954583</v>
      </c>
      <c r="BY59" s="1189">
        <f>'2020'!R\Max</f>
        <v>0.78213927810209571</v>
      </c>
      <c r="BZ59" s="1189">
        <f>'2021'!R\Max</f>
        <v>0.93001844178138293</v>
      </c>
      <c r="CA59" s="1189">
        <f>'2022'!R\Max</f>
        <v>0.55194369754532979</v>
      </c>
      <c r="CB59" s="1189">
        <f>'2023'!R\Max</f>
        <v>0.54719041249654909</v>
      </c>
      <c r="CC59" s="1189">
        <f>'2024'!R\Max</f>
        <v>0.54204635006451163</v>
      </c>
      <c r="CD59" s="1189">
        <f>'2025'!R\Max</f>
        <v>0.53535505430736918</v>
      </c>
      <c r="CE59" s="1189">
        <f>'2026'!R\Max</f>
        <v>0.56054818907738779</v>
      </c>
      <c r="CF59" s="1190">
        <f>'2027'!R\Max</f>
        <v>0.55864579561584904</v>
      </c>
    </row>
    <row r="60" spans="1:84" s="6" customFormat="1" ht="11.25" x14ac:dyDescent="0.2">
      <c r="A60" s="11">
        <v>43146</v>
      </c>
      <c r="B60" s="382">
        <f>'2022'!Maxi_hp</f>
        <v>31.923977618483878</v>
      </c>
      <c r="C60" s="85">
        <f>'2022'!An_max</f>
        <v>2019</v>
      </c>
      <c r="D60" s="1134"/>
      <c r="E60" s="711"/>
      <c r="F60" s="13">
        <f t="shared" si="22"/>
        <v>5</v>
      </c>
      <c r="G60" s="13">
        <f t="shared" si="23"/>
        <v>4</v>
      </c>
      <c r="H60" s="175">
        <f t="shared" si="7"/>
        <v>43150</v>
      </c>
      <c r="I60" s="774">
        <f t="shared" si="8"/>
        <v>0.2857142857142857</v>
      </c>
      <c r="J60" s="765">
        <f t="shared" si="26"/>
        <v>31.604879299764121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P60" s="13">
        <f t="shared" si="10"/>
        <v>3</v>
      </c>
      <c r="AQ60" s="13">
        <f t="shared" si="11"/>
        <v>4</v>
      </c>
      <c r="AR60" s="175">
        <f t="shared" si="12"/>
        <v>43136</v>
      </c>
      <c r="AS60" s="774">
        <f t="shared" si="13"/>
        <v>0.35714285714285715</v>
      </c>
      <c r="AT60" s="791">
        <f t="shared" si="14"/>
        <v>31.677462390517547</v>
      </c>
      <c r="AU60" s="13">
        <f t="shared" si="15"/>
        <v>3</v>
      </c>
      <c r="AV60" s="13">
        <f t="shared" si="16"/>
        <v>2</v>
      </c>
      <c r="AW60" s="175">
        <f t="shared" si="17"/>
        <v>43150</v>
      </c>
      <c r="AX60" s="774">
        <f t="shared" si="18"/>
        <v>0.14285714285714285</v>
      </c>
      <c r="AY60" s="791">
        <f t="shared" si="19"/>
        <v>31.603380087018014</v>
      </c>
      <c r="AZ60" s="765">
        <f t="shared" si="25"/>
        <v>31.640421238767779</v>
      </c>
      <c r="BA60" s="649">
        <f t="shared" si="20"/>
        <v>1.010096489079841</v>
      </c>
      <c r="BB60" s="644">
        <v>43146</v>
      </c>
      <c r="BC60" s="11">
        <v>43146</v>
      </c>
      <c r="BD60" s="292">
        <f>[2]!FeuilCaduc*(1-Persistant)+Persistant</f>
        <v>1</v>
      </c>
      <c r="BE60" s="293">
        <f>[2]!CroissVégét</f>
        <v>7.4065104705297478E-3</v>
      </c>
      <c r="BF60" s="844">
        <f>1+[2]!Salcycl*Ksac</f>
        <v>1.0002304423939314</v>
      </c>
      <c r="BH60" s="1107">
        <f t="shared" si="21"/>
        <v>1.2771112167370927E-2</v>
      </c>
      <c r="BI60" s="11">
        <v>44242</v>
      </c>
      <c r="BJ60" s="744">
        <v>2.3406293163598197E-3</v>
      </c>
      <c r="BK60" s="744">
        <v>5.8496471403911834E-3</v>
      </c>
      <c r="BL60" s="744">
        <v>1.0803546668820614E-2</v>
      </c>
      <c r="BM60" s="744">
        <v>2.0652405474151415E-2</v>
      </c>
      <c r="BN60" s="744">
        <v>5.2466345243616049E-2</v>
      </c>
      <c r="BO60" s="745">
        <v>0.11540504240395909</v>
      </c>
      <c r="BP60" s="744">
        <v>0.20289031455287965</v>
      </c>
      <c r="BQ60" s="744">
        <v>0.30281618961678575</v>
      </c>
      <c r="BR60" s="744">
        <v>0.41200343494210845</v>
      </c>
      <c r="BS60" s="744">
        <v>0.53945118410939785</v>
      </c>
      <c r="BT60" s="744">
        <v>0.67955020940901434</v>
      </c>
      <c r="BW60" s="1191">
        <f>'2018'!R\Max</f>
        <v>0</v>
      </c>
      <c r="BX60" s="1189">
        <f>'2019'!R\Max</f>
        <v>1.010096489079841</v>
      </c>
      <c r="BY60" s="1189">
        <f>'2020'!R\Max</f>
        <v>1.0065034162534963</v>
      </c>
      <c r="BZ60" s="1189">
        <f>'2021'!R\Max</f>
        <v>0.95048010163520702</v>
      </c>
      <c r="CA60" s="1189">
        <f>'2022'!R\Max</f>
        <v>0.66638990114821961</v>
      </c>
      <c r="CB60" s="1189">
        <f>'2023'!R\Max</f>
        <v>0.66221790047351348</v>
      </c>
      <c r="CC60" s="1189">
        <f>'2024'!R\Max</f>
        <v>0.65767045620291442</v>
      </c>
      <c r="CD60" s="1189">
        <f>'2025'!R\Max</f>
        <v>0.65166390168534238</v>
      </c>
      <c r="CE60" s="1189">
        <f>'2026'!R\Max</f>
        <v>0.67373241783630589</v>
      </c>
      <c r="CF60" s="1190">
        <f>'2027'!R\Max</f>
        <v>0.67216428435363829</v>
      </c>
    </row>
    <row r="61" spans="1:84" s="6" customFormat="1" ht="11.25" x14ac:dyDescent="0.2">
      <c r="A61" s="11">
        <v>43147</v>
      </c>
      <c r="B61" s="382">
        <f>'2022'!Maxi_hp</f>
        <v>32.585872870752389</v>
      </c>
      <c r="C61" s="85">
        <f>'2022'!An_max</f>
        <v>2019</v>
      </c>
      <c r="D61" s="1134"/>
      <c r="E61" s="711"/>
      <c r="F61" s="13">
        <f t="shared" si="22"/>
        <v>5</v>
      </c>
      <c r="G61" s="13">
        <f t="shared" si="23"/>
        <v>4</v>
      </c>
      <c r="H61" s="175">
        <f t="shared" si="7"/>
        <v>43150</v>
      </c>
      <c r="I61" s="774">
        <f t="shared" si="8"/>
        <v>0.21428571428571427</v>
      </c>
      <c r="J61" s="765">
        <f t="shared" si="26"/>
        <v>31.991398249566554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P61" s="13">
        <f t="shared" si="10"/>
        <v>3</v>
      </c>
      <c r="AQ61" s="13">
        <f t="shared" si="11"/>
        <v>4</v>
      </c>
      <c r="AR61" s="175">
        <f t="shared" si="12"/>
        <v>43136</v>
      </c>
      <c r="AS61" s="774">
        <f t="shared" si="13"/>
        <v>0.39285714285714285</v>
      </c>
      <c r="AT61" s="791">
        <f t="shared" si="14"/>
        <v>32.075909037448994</v>
      </c>
      <c r="AU61" s="13">
        <f t="shared" si="15"/>
        <v>3</v>
      </c>
      <c r="AV61" s="13">
        <f t="shared" si="16"/>
        <v>2</v>
      </c>
      <c r="AW61" s="175">
        <f t="shared" si="17"/>
        <v>43150</v>
      </c>
      <c r="AX61" s="774">
        <f t="shared" si="18"/>
        <v>0.10714285714285714</v>
      </c>
      <c r="AY61" s="791">
        <f t="shared" si="19"/>
        <v>31.994144295302352</v>
      </c>
      <c r="AZ61" s="765">
        <f t="shared" si="25"/>
        <v>32.035026666375671</v>
      </c>
      <c r="BA61" s="649">
        <f t="shared" si="20"/>
        <v>1.0185823269288923</v>
      </c>
      <c r="BB61" s="644">
        <v>43147</v>
      </c>
      <c r="BC61" s="11">
        <v>43147</v>
      </c>
      <c r="BD61" s="292">
        <f>[2]!FeuilCaduc*(1-Persistant)+Persistant</f>
        <v>1</v>
      </c>
      <c r="BE61" s="293">
        <f>[2]!CroissVégét</f>
        <v>7.7722651621059055E-3</v>
      </c>
      <c r="BF61" s="844">
        <f>1+[2]!Salcycl*Ksac</f>
        <v>1.000252555953715</v>
      </c>
      <c r="BH61" s="1107">
        <f t="shared" si="21"/>
        <v>1.2993536952433498E-2</v>
      </c>
      <c r="BI61" s="11">
        <v>44243</v>
      </c>
      <c r="BJ61" s="744">
        <v>2.4413074719137964E-3</v>
      </c>
      <c r="BK61" s="744">
        <v>6.0417861727423486E-3</v>
      </c>
      <c r="BL61" s="744">
        <v>1.1111052544429604E-2</v>
      </c>
      <c r="BM61" s="744">
        <v>2.0534028883121995E-2</v>
      </c>
      <c r="BN61" s="744">
        <v>5.0161075660268943E-2</v>
      </c>
      <c r="BO61" s="745">
        <v>0.1119179793054122</v>
      </c>
      <c r="BP61" s="744">
        <v>0.19832479895428737</v>
      </c>
      <c r="BQ61" s="744">
        <v>0.29816287741478259</v>
      </c>
      <c r="BR61" s="744">
        <v>0.4056298112348049</v>
      </c>
      <c r="BS61" s="744">
        <v>0.53153111408387244</v>
      </c>
      <c r="BT61" s="744">
        <v>0.670579650881862</v>
      </c>
      <c r="BW61" s="1191">
        <f>'2018'!R\Max</f>
        <v>0</v>
      </c>
      <c r="BX61" s="1189">
        <f>'2019'!R\Max</f>
        <v>1.0185823269288923</v>
      </c>
      <c r="BY61" s="1189">
        <f>'2020'!R\Max</f>
        <v>0.68977330788671498</v>
      </c>
      <c r="BZ61" s="1189">
        <f>'2021'!R\Max</f>
        <v>0.89595650655169468</v>
      </c>
      <c r="CA61" s="1189">
        <f>'2022'!R\Max</f>
        <v>0.33186804952620602</v>
      </c>
      <c r="CB61" s="1189">
        <f>'2023'!R\Max</f>
        <v>0.32783900317104014</v>
      </c>
      <c r="CC61" s="1189">
        <f>'2024'!R\Max</f>
        <v>0.32349116225322661</v>
      </c>
      <c r="CD61" s="1189">
        <f>'2025'!R\Max</f>
        <v>0.31778588330328872</v>
      </c>
      <c r="CE61" s="1189">
        <f>'2026'!R\Max</f>
        <v>0.33891091420420927</v>
      </c>
      <c r="CF61" s="1190">
        <f>'2027'!R\Max</f>
        <v>0.3374409793976853</v>
      </c>
    </row>
    <row r="62" spans="1:84" s="6" customFormat="1" ht="11.25" x14ac:dyDescent="0.2">
      <c r="A62" s="11">
        <v>43148</v>
      </c>
      <c r="B62" s="382">
        <f>'2022'!Maxi_hp</f>
        <v>33.205489118694373</v>
      </c>
      <c r="C62" s="85">
        <f>'2022'!An_max</f>
        <v>2019</v>
      </c>
      <c r="D62" s="1134"/>
      <c r="E62" s="711"/>
      <c r="F62" s="13">
        <f t="shared" si="22"/>
        <v>5</v>
      </c>
      <c r="G62" s="13">
        <f t="shared" si="23"/>
        <v>4</v>
      </c>
      <c r="H62" s="175">
        <f t="shared" si="7"/>
        <v>43150</v>
      </c>
      <c r="I62" s="774">
        <f t="shared" si="8"/>
        <v>0.14285714285714285</v>
      </c>
      <c r="J62" s="765">
        <f t="shared" si="26"/>
        <v>32.382283381372687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P62" s="13">
        <f t="shared" si="10"/>
        <v>3</v>
      </c>
      <c r="AQ62" s="13">
        <f t="shared" si="11"/>
        <v>4</v>
      </c>
      <c r="AR62" s="175">
        <f t="shared" si="12"/>
        <v>43136</v>
      </c>
      <c r="AS62" s="774">
        <f t="shared" si="13"/>
        <v>0.42857142857142855</v>
      </c>
      <c r="AT62" s="791">
        <f t="shared" si="14"/>
        <v>32.478115452080964</v>
      </c>
      <c r="AU62" s="13">
        <f t="shared" si="15"/>
        <v>3</v>
      </c>
      <c r="AV62" s="13">
        <f t="shared" si="16"/>
        <v>2</v>
      </c>
      <c r="AW62" s="175">
        <f t="shared" si="17"/>
        <v>43150</v>
      </c>
      <c r="AX62" s="774">
        <f t="shared" si="18"/>
        <v>7.1428571428571425E-2</v>
      </c>
      <c r="AY62" s="791">
        <f t="shared" si="19"/>
        <v>32.386927685141565</v>
      </c>
      <c r="AZ62" s="765">
        <f t="shared" si="25"/>
        <v>32.432521568611264</v>
      </c>
      <c r="BA62" s="649">
        <f t="shared" si="20"/>
        <v>1.0254214851876449</v>
      </c>
      <c r="BB62" s="644">
        <v>43148</v>
      </c>
      <c r="BC62" s="11">
        <v>43148</v>
      </c>
      <c r="BD62" s="292">
        <f>[2]!FeuilCaduc*(1-Persistant)+Persistant</f>
        <v>1</v>
      </c>
      <c r="BE62" s="293">
        <f>[2]!CroissVégét</f>
        <v>8.1530774564185747E-3</v>
      </c>
      <c r="BF62" s="844">
        <f>1+[2]!Salcycl*Ksac</f>
        <v>1.0002747088322232</v>
      </c>
      <c r="BH62" s="1107">
        <f t="shared" si="21"/>
        <v>1.3238646385238452E-2</v>
      </c>
      <c r="BI62" s="11">
        <v>44244</v>
      </c>
      <c r="BJ62" s="744">
        <v>2.5436396347106659E-3</v>
      </c>
      <c r="BK62" s="744">
        <v>6.2372195139048167E-3</v>
      </c>
      <c r="BL62" s="744">
        <v>1.1423052483794343E-2</v>
      </c>
      <c r="BM62" s="744">
        <v>2.0511201262738515E-2</v>
      </c>
      <c r="BN62" s="744">
        <v>4.8044477750993485E-2</v>
      </c>
      <c r="BO62" s="745">
        <v>0.10848481129036595</v>
      </c>
      <c r="BP62" s="744">
        <v>0.19384912403734567</v>
      </c>
      <c r="BQ62" s="744">
        <v>0.29350389606940219</v>
      </c>
      <c r="BR62" s="744">
        <v>0.39941644361108342</v>
      </c>
      <c r="BS62" s="744">
        <v>0.52363729307631546</v>
      </c>
      <c r="BT62" s="744">
        <v>0.66159289857139447</v>
      </c>
      <c r="BW62" s="1191">
        <f>'2018'!R\Max</f>
        <v>0</v>
      </c>
      <c r="BX62" s="1189">
        <f>'2019'!R\Max</f>
        <v>1.0254214851876449</v>
      </c>
      <c r="BY62" s="1189">
        <f>'2020'!R\Max</f>
        <v>0.19298742515185782</v>
      </c>
      <c r="BZ62" s="1189">
        <f>'2021'!R\Max</f>
        <v>0.93944858850521229</v>
      </c>
      <c r="CA62" s="1189">
        <f>'2022'!R\Max</f>
        <v>0.38157336728940044</v>
      </c>
      <c r="CB62" s="1189">
        <f>'2023'!R\Max</f>
        <v>0.37739189695633502</v>
      </c>
      <c r="CC62" s="1189">
        <f>'2024'!R\Max</f>
        <v>0.37285710389167137</v>
      </c>
      <c r="CD62" s="1189">
        <f>'2025'!R\Max</f>
        <v>0.36684497224138901</v>
      </c>
      <c r="CE62" s="1189">
        <f>'2026'!R\Max</f>
        <v>0.38867982765929193</v>
      </c>
      <c r="CF62" s="1190">
        <f>'2027'!R\Max</f>
        <v>0.38724418985393039</v>
      </c>
    </row>
    <row r="63" spans="1:84" s="6" customFormat="1" ht="11.25" x14ac:dyDescent="0.2">
      <c r="A63" s="11">
        <v>43149</v>
      </c>
      <c r="B63" s="382">
        <f>'2022'!Maxi_hp</f>
        <v>33.121421529464264</v>
      </c>
      <c r="C63" s="85">
        <f>'2022'!An_max</f>
        <v>2019</v>
      </c>
      <c r="D63" s="1134"/>
      <c r="E63" s="711"/>
      <c r="F63" s="13">
        <f t="shared" si="22"/>
        <v>5</v>
      </c>
      <c r="G63" s="13">
        <f t="shared" si="23"/>
        <v>4</v>
      </c>
      <c r="H63" s="175">
        <f t="shared" si="7"/>
        <v>43150</v>
      </c>
      <c r="I63" s="774">
        <f t="shared" si="8"/>
        <v>7.1428571428571425E-2</v>
      </c>
      <c r="J63" s="765">
        <f t="shared" si="26"/>
        <v>32.777646645956807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P63" s="13">
        <f t="shared" si="10"/>
        <v>3</v>
      </c>
      <c r="AQ63" s="13">
        <f t="shared" si="11"/>
        <v>4</v>
      </c>
      <c r="AR63" s="175">
        <f t="shared" si="12"/>
        <v>43136</v>
      </c>
      <c r="AS63" s="774">
        <f t="shared" si="13"/>
        <v>0.4642857142857143</v>
      </c>
      <c r="AT63" s="791">
        <f t="shared" si="14"/>
        <v>32.883829737148645</v>
      </c>
      <c r="AU63" s="13">
        <f t="shared" si="15"/>
        <v>3</v>
      </c>
      <c r="AV63" s="13">
        <f t="shared" si="16"/>
        <v>2</v>
      </c>
      <c r="AW63" s="175">
        <f t="shared" si="17"/>
        <v>43150</v>
      </c>
      <c r="AX63" s="774">
        <f t="shared" si="18"/>
        <v>3.5714285714285712E-2</v>
      </c>
      <c r="AY63" s="791">
        <f t="shared" si="19"/>
        <v>32.781492254656868</v>
      </c>
      <c r="AZ63" s="765">
        <f t="shared" si="25"/>
        <v>32.832660995902756</v>
      </c>
      <c r="BA63" s="649">
        <f t="shared" si="20"/>
        <v>1.0104880892524315</v>
      </c>
      <c r="BB63" s="644">
        <v>43149</v>
      </c>
      <c r="BC63" s="11">
        <v>43149</v>
      </c>
      <c r="BD63" s="292">
        <f>[2]!FeuilCaduc*(1-Persistant)+Persistant</f>
        <v>1</v>
      </c>
      <c r="BE63" s="293">
        <f>[2]!CroissVégét</f>
        <v>8.5495548619151183E-3</v>
      </c>
      <c r="BF63" s="844">
        <f>1+[2]!Salcycl*Ksac</f>
        <v>1.000296776611328</v>
      </c>
      <c r="BH63" s="1107">
        <f t="shared" si="21"/>
        <v>1.3506458998937466E-2</v>
      </c>
      <c r="BI63" s="11">
        <v>44245</v>
      </c>
      <c r="BJ63" s="744">
        <v>2.6476312175468331E-3</v>
      </c>
      <c r="BK63" s="744">
        <v>6.4359592072413749E-3</v>
      </c>
      <c r="BL63" s="744">
        <v>1.1739567691225779E-2</v>
      </c>
      <c r="BM63" s="744">
        <v>2.0583930446539524E-2</v>
      </c>
      <c r="BN63" s="744">
        <v>4.6116525402367707E-2</v>
      </c>
      <c r="BO63" s="745">
        <v>0.10510558008938947</v>
      </c>
      <c r="BP63" s="744">
        <v>0.18946340642175122</v>
      </c>
      <c r="BQ63" s="744">
        <v>0.28883950004385117</v>
      </c>
      <c r="BR63" s="744">
        <v>0.39336365100474741</v>
      </c>
      <c r="BS63" s="744">
        <v>0.5157701787791179</v>
      </c>
      <c r="BT63" s="744">
        <v>0.65259056402310722</v>
      </c>
      <c r="BW63" s="1191">
        <f>'2018'!R\Max</f>
        <v>0</v>
      </c>
      <c r="BX63" s="1189">
        <f>'2019'!R\Max</f>
        <v>1.0104880892524315</v>
      </c>
      <c r="BY63" s="1189">
        <f>'2020'!R\Max</f>
        <v>0.8540004396798323</v>
      </c>
      <c r="BZ63" s="1189">
        <f>'2021'!R\Max</f>
        <v>0.45464135161980951</v>
      </c>
      <c r="CA63" s="1189">
        <f>'2022'!R\Max</f>
        <v>0.90413733988569356</v>
      </c>
      <c r="CB63" s="1189">
        <f>'2023'!R\Max</f>
        <v>0.90262736717327952</v>
      </c>
      <c r="CC63" s="1189">
        <f>'2024'!R\Max</f>
        <v>0.90095300963539471</v>
      </c>
      <c r="CD63" s="1189">
        <f>'2025'!R\Max</f>
        <v>0.89866464481532227</v>
      </c>
      <c r="CE63" s="1189">
        <f>'2026'!R\Max</f>
        <v>0.9065752795144526</v>
      </c>
      <c r="CF63" s="1190">
        <f>'2027'!R\Max</f>
        <v>0.90610337248173345</v>
      </c>
    </row>
    <row r="64" spans="1:84" s="6" customFormat="1" ht="11.25" x14ac:dyDescent="0.2">
      <c r="A64" s="11">
        <v>43150</v>
      </c>
      <c r="B64" s="382">
        <f>'2022'!Maxi_hp</f>
        <v>32.195162026357977</v>
      </c>
      <c r="C64" s="85">
        <f>'2022'!An_max</f>
        <v>2021</v>
      </c>
      <c r="D64" s="1134"/>
      <c r="E64" s="773">
        <f>Q$13/10</f>
        <v>33.177599999999998</v>
      </c>
      <c r="F64" s="13">
        <f t="shared" si="22"/>
        <v>5</v>
      </c>
      <c r="G64" s="13">
        <f t="shared" si="23"/>
        <v>6</v>
      </c>
      <c r="H64" s="175">
        <f t="shared" si="7"/>
        <v>43150</v>
      </c>
      <c r="I64" s="774">
        <f t="shared" si="8"/>
        <v>0</v>
      </c>
      <c r="J64" s="765">
        <f t="shared" si="26"/>
        <v>33.177600000053644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P64" s="13">
        <f t="shared" si="10"/>
        <v>3</v>
      </c>
      <c r="AQ64" s="13">
        <f t="shared" si="11"/>
        <v>4</v>
      </c>
      <c r="AR64" s="175">
        <f t="shared" si="12"/>
        <v>43136</v>
      </c>
      <c r="AS64" s="774">
        <f t="shared" si="13"/>
        <v>0.5</v>
      </c>
      <c r="AT64" s="791">
        <f t="shared" si="14"/>
        <v>33.292800000123677</v>
      </c>
      <c r="AU64" s="13">
        <f t="shared" si="15"/>
        <v>3</v>
      </c>
      <c r="AV64" s="13">
        <f t="shared" si="16"/>
        <v>4</v>
      </c>
      <c r="AW64" s="175">
        <f t="shared" si="17"/>
        <v>43150</v>
      </c>
      <c r="AX64" s="774">
        <f t="shared" si="18"/>
        <v>0</v>
      </c>
      <c r="AY64" s="791">
        <f t="shared" si="19"/>
        <v>33.177599999308583</v>
      </c>
      <c r="AZ64" s="765">
        <f t="shared" si="25"/>
        <v>33.23519999971613</v>
      </c>
      <c r="BA64" s="649">
        <f t="shared" si="20"/>
        <v>0.97038851593562891</v>
      </c>
      <c r="BB64" s="644">
        <v>43150</v>
      </c>
      <c r="BC64" s="11">
        <v>43150</v>
      </c>
      <c r="BD64" s="292">
        <f>[2]!FeuilCaduc*(1-Persistant)+Persistant</f>
        <v>1</v>
      </c>
      <c r="BE64" s="293">
        <f>[2]!CroissVégét</f>
        <v>8.9623283475330478E-3</v>
      </c>
      <c r="BF64" s="844">
        <f>1+[2]!Salcycl*Ksac</f>
        <v>1.0003186478849331</v>
      </c>
      <c r="BH64" s="1107">
        <f t="shared" si="21"/>
        <v>1.379699584329536E-2</v>
      </c>
      <c r="BI64" s="11">
        <v>44246</v>
      </c>
      <c r="BJ64" s="744">
        <v>2.7532882400110302E-3</v>
      </c>
      <c r="BK64" s="744">
        <v>6.6380184624755837E-3</v>
      </c>
      <c r="BL64" s="744">
        <v>1.206062118938356E-2</v>
      </c>
      <c r="BM64" s="744">
        <v>2.0752229581649319E-2</v>
      </c>
      <c r="BN64" s="744">
        <v>4.4377192604840937E-2</v>
      </c>
      <c r="BO64" s="745">
        <v>0.10178031326640201</v>
      </c>
      <c r="BP64" s="744">
        <v>0.18516774536445924</v>
      </c>
      <c r="BQ64" s="744">
        <v>0.28416992007714903</v>
      </c>
      <c r="BR64" s="744">
        <v>0.38747173024761256</v>
      </c>
      <c r="BS64" s="744">
        <v>0.50793019072252732</v>
      </c>
      <c r="BT64" s="744">
        <v>0.64357321270873358</v>
      </c>
      <c r="BW64" s="1191">
        <f>'2018'!R\Max</f>
        <v>0</v>
      </c>
      <c r="BX64" s="1189">
        <f>'2019'!R\Max</f>
        <v>0.79919283843916111</v>
      </c>
      <c r="BY64" s="1189">
        <f>'2020'!R\Max</f>
        <v>0.81313969116678386</v>
      </c>
      <c r="BZ64" s="1189">
        <f>'2021'!R\Max</f>
        <v>0.97038851593562891</v>
      </c>
      <c r="CA64" s="1189">
        <f>'2022'!R\Max</f>
        <v>0.53296707224892514</v>
      </c>
      <c r="CB64" s="1189">
        <f>'2023'!R\Max</f>
        <v>0.52876965141806198</v>
      </c>
      <c r="CC64" s="1189">
        <f>'2024'!R\Max</f>
        <v>0.52416322695410544</v>
      </c>
      <c r="CD64" s="1189">
        <f>'2025'!R\Max</f>
        <v>0.51793564655117019</v>
      </c>
      <c r="CE64" s="1189">
        <f>'2026'!R\Max</f>
        <v>0.53966265830485849</v>
      </c>
      <c r="CF64" s="1190">
        <f>'2027'!R\Max</f>
        <v>0.53839401915066343</v>
      </c>
    </row>
    <row r="65" spans="1:84" s="6" customFormat="1" ht="11.25" x14ac:dyDescent="0.2">
      <c r="A65" s="11">
        <v>43151</v>
      </c>
      <c r="B65" s="382">
        <f>'2022'!Maxi_hp</f>
        <v>33.58083461156118</v>
      </c>
      <c r="C65" s="85">
        <f>'2022'!An_max</f>
        <v>2020</v>
      </c>
      <c r="D65" s="1134"/>
      <c r="E65" s="711"/>
      <c r="F65" s="13">
        <f t="shared" si="22"/>
        <v>5</v>
      </c>
      <c r="G65" s="13">
        <f t="shared" si="23"/>
        <v>6</v>
      </c>
      <c r="H65" s="175">
        <f t="shared" si="7"/>
        <v>43150</v>
      </c>
      <c r="I65" s="774">
        <f t="shared" si="8"/>
        <v>7.1428571428571425E-2</v>
      </c>
      <c r="J65" s="765">
        <f t="shared" si="26"/>
        <v>33.582945771675028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P65" s="13">
        <f t="shared" si="10"/>
        <v>3</v>
      </c>
      <c r="AQ65" s="13">
        <f t="shared" si="11"/>
        <v>4</v>
      </c>
      <c r="AR65" s="175">
        <f t="shared" si="12"/>
        <v>43136</v>
      </c>
      <c r="AS65" s="774">
        <f t="shared" si="13"/>
        <v>0.5357142857142857</v>
      </c>
      <c r="AT65" s="791">
        <f t="shared" si="14"/>
        <v>33.704774344100485</v>
      </c>
      <c r="AU65" s="13">
        <f t="shared" si="15"/>
        <v>3</v>
      </c>
      <c r="AV65" s="13">
        <f t="shared" si="16"/>
        <v>4</v>
      </c>
      <c r="AW65" s="175">
        <f t="shared" si="17"/>
        <v>43150</v>
      </c>
      <c r="AX65" s="774">
        <f t="shared" si="18"/>
        <v>3.5714285714285712E-2</v>
      </c>
      <c r="AY65" s="791">
        <f t="shared" si="19"/>
        <v>33.578493293906959</v>
      </c>
      <c r="AZ65" s="765">
        <f t="shared" si="25"/>
        <v>33.641633819003722</v>
      </c>
      <c r="BA65" s="649">
        <f t="shared" si="20"/>
        <v>0.99993713594607803</v>
      </c>
      <c r="BB65" s="644">
        <v>43151</v>
      </c>
      <c r="BC65" s="11">
        <v>43151</v>
      </c>
      <c r="BD65" s="292">
        <f>[2]!FeuilCaduc*(1-Persistant)+Persistant</f>
        <v>1</v>
      </c>
      <c r="BE65" s="293">
        <f>[2]!CroissVégét</f>
        <v>9.3920531593536197E-3</v>
      </c>
      <c r="BF65" s="844">
        <f>1+[2]!Salcycl*Ksac</f>
        <v>1.0003402262727483</v>
      </c>
      <c r="BH65" s="1107">
        <f t="shared" si="21"/>
        <v>1.4110280767691823E-2</v>
      </c>
      <c r="BI65" s="11">
        <v>44247</v>
      </c>
      <c r="BJ65" s="744">
        <v>2.8606173491055225E-3</v>
      </c>
      <c r="BK65" s="744">
        <v>6.8434116966313704E-3</v>
      </c>
      <c r="BL65" s="744">
        <v>1.2386237874910909E-2</v>
      </c>
      <c r="BM65" s="744">
        <v>2.1016118322521888E-2</v>
      </c>
      <c r="BN65" s="744">
        <v>4.2826455805593112E-2</v>
      </c>
      <c r="BO65" s="745">
        <v>9.8509024876409654E-2</v>
      </c>
      <c r="BP65" s="744">
        <v>0.1809622238569378</v>
      </c>
      <c r="BQ65" s="744">
        <v>0.27949536307571382</v>
      </c>
      <c r="BR65" s="744">
        <v>0.38174095802442581</v>
      </c>
      <c r="BS65" s="744">
        <v>0.50011771053704945</v>
      </c>
      <c r="BT65" s="744">
        <v>0.63454136374172954</v>
      </c>
      <c r="BW65" s="1191">
        <f>'2018'!R\Max</f>
        <v>0</v>
      </c>
      <c r="BX65" s="1189">
        <f>'2019'!R\Max</f>
        <v>0.99031464672348402</v>
      </c>
      <c r="BY65" s="1189">
        <f>'2020'!R\Max</f>
        <v>0.99993713594607803</v>
      </c>
      <c r="BZ65" s="1189">
        <f>'2021'!R\Max</f>
        <v>0.8224886862102132</v>
      </c>
      <c r="CA65" s="1189">
        <f>'2022'!R\Max</f>
        <v>0.63159389041000658</v>
      </c>
      <c r="CB65" s="1189">
        <f>'2023'!R\Max</f>
        <v>0.62776532459819978</v>
      </c>
      <c r="CC65" s="1189">
        <f>'2024'!R\Max</f>
        <v>0.62353538993389146</v>
      </c>
      <c r="CD65" s="1189">
        <f>'2025'!R\Max</f>
        <v>0.61776493722607362</v>
      </c>
      <c r="CE65" s="1189">
        <f>'2026'!R\Max</f>
        <v>0.63748950483454181</v>
      </c>
      <c r="CF65" s="1190">
        <f>'2027'!R\Max</f>
        <v>0.6364062421841773</v>
      </c>
    </row>
    <row r="66" spans="1:84" s="6" customFormat="1" ht="11.25" x14ac:dyDescent="0.2">
      <c r="A66" s="11">
        <v>43152</v>
      </c>
      <c r="B66" s="382">
        <f>'2022'!Maxi_hp</f>
        <v>33.349979242504801</v>
      </c>
      <c r="C66" s="85">
        <f>'2022'!An_max</f>
        <v>2019</v>
      </c>
      <c r="D66" s="1134"/>
      <c r="E66" s="711"/>
      <c r="F66" s="13">
        <f t="shared" si="22"/>
        <v>5</v>
      </c>
      <c r="G66" s="13">
        <f t="shared" si="23"/>
        <v>6</v>
      </c>
      <c r="H66" s="175">
        <f t="shared" si="7"/>
        <v>43150</v>
      </c>
      <c r="I66" s="774">
        <f t="shared" si="8"/>
        <v>0.14285714285714285</v>
      </c>
      <c r="J66" s="765">
        <f t="shared" si="26"/>
        <v>33.994113118999778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P66" s="13">
        <f t="shared" si="10"/>
        <v>3</v>
      </c>
      <c r="AQ66" s="13">
        <f t="shared" si="11"/>
        <v>4</v>
      </c>
      <c r="AR66" s="175">
        <f t="shared" si="12"/>
        <v>43136</v>
      </c>
      <c r="AS66" s="774">
        <f t="shared" si="13"/>
        <v>0.5714285714285714</v>
      </c>
      <c r="AT66" s="791">
        <f t="shared" si="14"/>
        <v>34.119500874727962</v>
      </c>
      <c r="AU66" s="13">
        <f t="shared" si="15"/>
        <v>3</v>
      </c>
      <c r="AV66" s="13">
        <f t="shared" si="16"/>
        <v>4</v>
      </c>
      <c r="AW66" s="175">
        <f t="shared" si="17"/>
        <v>43150</v>
      </c>
      <c r="AX66" s="774">
        <f t="shared" si="18"/>
        <v>7.1428571428571425E-2</v>
      </c>
      <c r="AY66" s="791">
        <f t="shared" si="19"/>
        <v>33.987227988083447</v>
      </c>
      <c r="AZ66" s="765">
        <f t="shared" si="25"/>
        <v>34.053364431405704</v>
      </c>
      <c r="BA66" s="649">
        <f t="shared" si="20"/>
        <v>0.98105160519293089</v>
      </c>
      <c r="BB66" s="644">
        <v>43152</v>
      </c>
      <c r="BC66" s="11">
        <v>43152</v>
      </c>
      <c r="BD66" s="292">
        <f>[2]!FeuilCaduc*(1-Persistant)+Persistant</f>
        <v>1</v>
      </c>
      <c r="BE66" s="293">
        <f>[2]!CroissVégét</f>
        <v>9.8394096579268626E-3</v>
      </c>
      <c r="BF66" s="844">
        <f>1+[2]!Salcycl*Ksac</f>
        <v>1.00036143233676</v>
      </c>
      <c r="BH66" s="1107">
        <f t="shared" si="21"/>
        <v>1.4441007889858746E-2</v>
      </c>
      <c r="BI66" s="11">
        <v>44248</v>
      </c>
      <c r="BJ66" s="744">
        <v>2.9643036602164108E-3</v>
      </c>
      <c r="BK66" s="744">
        <v>7.0458269997621279E-3</v>
      </c>
      <c r="BL66" s="744">
        <v>1.2710872991345953E-2</v>
      </c>
      <c r="BM66" s="744">
        <v>2.1371247622931366E-2</v>
      </c>
      <c r="BN66" s="744">
        <v>4.153728491560011E-2</v>
      </c>
      <c r="BO66" s="745">
        <v>9.5361191847407725E-2</v>
      </c>
      <c r="BP66" s="744">
        <v>0.17678763008247023</v>
      </c>
      <c r="BQ66" s="744">
        <v>0.27478143906895725</v>
      </c>
      <c r="BR66" s="744">
        <v>0.37616891722014373</v>
      </c>
      <c r="BS66" s="744">
        <v>0.49246210380361893</v>
      </c>
      <c r="BT66" s="744">
        <v>0.62550033877079725</v>
      </c>
      <c r="BW66" s="1191">
        <f>'2018'!R\Max</f>
        <v>0</v>
      </c>
      <c r="BX66" s="1189">
        <f>'2019'!R\Max</f>
        <v>0.98105160519293089</v>
      </c>
      <c r="BY66" s="1189">
        <f>'2020'!R\Max</f>
        <v>0.46739549744895609</v>
      </c>
      <c r="BZ66" s="1189">
        <f>'2021'!R\Max</f>
        <v>0.31355908051163001</v>
      </c>
      <c r="CA66" s="1189">
        <f>'2022'!R\Max</f>
        <v>0.64044227298514822</v>
      </c>
      <c r="CB66" s="1189">
        <f>'2023'!R\Max</f>
        <v>0.63675619886383839</v>
      </c>
      <c r="CC66" s="1189">
        <f>'2024'!R\Max</f>
        <v>0.63266805180477936</v>
      </c>
      <c r="CD66" s="1189">
        <f>'2025'!R\Max</f>
        <v>0.62706037687767324</v>
      </c>
      <c r="CE66" s="1189">
        <f>'2026'!R\Max</f>
        <v>0.64594431833006616</v>
      </c>
      <c r="CF66" s="1190">
        <f>'2027'!R\Max</f>
        <v>0.64495807623935553</v>
      </c>
    </row>
    <row r="67" spans="1:84" s="6" customFormat="1" ht="11.25" x14ac:dyDescent="0.2">
      <c r="A67" s="11">
        <v>43153</v>
      </c>
      <c r="B67" s="382">
        <f>'2022'!Maxi_hp</f>
        <v>33.437622553718462</v>
      </c>
      <c r="C67" s="85">
        <f>'2022'!An_max</f>
        <v>2020</v>
      </c>
      <c r="D67" s="1134"/>
      <c r="E67" s="711"/>
      <c r="F67" s="13">
        <f t="shared" si="22"/>
        <v>5</v>
      </c>
      <c r="G67" s="13">
        <f t="shared" si="23"/>
        <v>6</v>
      </c>
      <c r="H67" s="175">
        <f t="shared" si="7"/>
        <v>43150</v>
      </c>
      <c r="I67" s="774">
        <f t="shared" si="8"/>
        <v>0.21428571428571427</v>
      </c>
      <c r="J67" s="765">
        <f t="shared" si="26"/>
        <v>34.410654226318002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P67" s="13">
        <f t="shared" si="10"/>
        <v>3</v>
      </c>
      <c r="AQ67" s="13">
        <f t="shared" si="11"/>
        <v>4</v>
      </c>
      <c r="AR67" s="175">
        <f t="shared" si="12"/>
        <v>43136</v>
      </c>
      <c r="AS67" s="774">
        <f t="shared" si="13"/>
        <v>0.6071428571428571</v>
      </c>
      <c r="AT67" s="791">
        <f t="shared" si="14"/>
        <v>34.536727696949882</v>
      </c>
      <c r="AU67" s="13">
        <f t="shared" si="15"/>
        <v>3</v>
      </c>
      <c r="AV67" s="13">
        <f t="shared" si="16"/>
        <v>4</v>
      </c>
      <c r="AW67" s="175">
        <f t="shared" si="17"/>
        <v>43150</v>
      </c>
      <c r="AX67" s="774">
        <f t="shared" si="18"/>
        <v>0.10714285714285714</v>
      </c>
      <c r="AY67" s="791">
        <f t="shared" si="19"/>
        <v>34.403286297220205</v>
      </c>
      <c r="AZ67" s="765">
        <f t="shared" si="25"/>
        <v>34.470006997085044</v>
      </c>
      <c r="BA67" s="649">
        <f t="shared" si="20"/>
        <v>0.97172295341437176</v>
      </c>
      <c r="BB67" s="644">
        <v>43153</v>
      </c>
      <c r="BC67" s="11">
        <v>43153</v>
      </c>
      <c r="BD67" s="292">
        <f>[2]!FeuilCaduc*(1-Persistant)+Persistant</f>
        <v>1</v>
      </c>
      <c r="BE67" s="293">
        <f>[2]!CroissVégét</f>
        <v>1.0305104176065441E-2</v>
      </c>
      <c r="BF67" s="844">
        <f>1+[2]!Salcycl*Ksac</f>
        <v>1.0003822053825553</v>
      </c>
      <c r="BH67" s="1107">
        <f t="shared" si="21"/>
        <v>1.4771737381752605E-2</v>
      </c>
      <c r="BI67" s="11">
        <v>44249</v>
      </c>
      <c r="BJ67" s="744">
        <v>3.0603299710921031E-3</v>
      </c>
      <c r="BK67" s="744">
        <v>7.2418893729442263E-3</v>
      </c>
      <c r="BL67" s="744">
        <v>1.3030496611058156E-2</v>
      </c>
      <c r="BM67" s="744">
        <v>2.1746462869508227E-2</v>
      </c>
      <c r="BN67" s="744">
        <v>4.047662798927136E-2</v>
      </c>
      <c r="BO67" s="745">
        <v>9.2318721068085183E-2</v>
      </c>
      <c r="BP67" s="744">
        <v>0.17261186740523449</v>
      </c>
      <c r="BQ67" s="744">
        <v>0.27004974859657138</v>
      </c>
      <c r="BR67" s="744">
        <v>0.37074948550061598</v>
      </c>
      <c r="BS67" s="744">
        <v>0.48510530707391736</v>
      </c>
      <c r="BT67" s="744">
        <v>0.61664754863339311</v>
      </c>
      <c r="BW67" s="1191">
        <f>'2018'!R\Max</f>
        <v>0</v>
      </c>
      <c r="BX67" s="1189">
        <f>'2019'!R\Max</f>
        <v>0.9705785121531344</v>
      </c>
      <c r="BY67" s="1189">
        <f>'2020'!R\Max</f>
        <v>0.97172295341437176</v>
      </c>
      <c r="BZ67" s="1189">
        <f>'2021'!R\Max</f>
        <v>0.2542129905215903</v>
      </c>
      <c r="CA67" s="1189">
        <f>'2022'!R\Max</f>
        <v>0.94173916958346993</v>
      </c>
      <c r="CB67" s="1189">
        <f>'2023'!R\Max</f>
        <v>0.94088225692090166</v>
      </c>
      <c r="CC67" s="1189">
        <f>'2024'!R\Max</f>
        <v>0.93991855400917035</v>
      </c>
      <c r="CD67" s="1189">
        <f>'2025'!R\Max</f>
        <v>0.93857177924069879</v>
      </c>
      <c r="CE67" s="1189">
        <f>'2026'!R\Max</f>
        <v>0.94296640504191187</v>
      </c>
      <c r="CF67" s="1190">
        <f>'2027'!R\Max</f>
        <v>0.94275175117217536</v>
      </c>
    </row>
    <row r="68" spans="1:84" s="6" customFormat="1" ht="11.25" x14ac:dyDescent="0.2">
      <c r="A68" s="11">
        <v>43154</v>
      </c>
      <c r="B68" s="382">
        <f>'2022'!Maxi_hp</f>
        <v>34.318205709303783</v>
      </c>
      <c r="C68" s="85">
        <f>'2022'!An_max</f>
        <v>2022</v>
      </c>
      <c r="D68" s="1134"/>
      <c r="E68" s="711"/>
      <c r="F68" s="13">
        <f t="shared" si="22"/>
        <v>5</v>
      </c>
      <c r="G68" s="13">
        <f t="shared" si="23"/>
        <v>6</v>
      </c>
      <c r="H68" s="175">
        <f t="shared" si="7"/>
        <v>43150</v>
      </c>
      <c r="I68" s="774">
        <f t="shared" si="8"/>
        <v>0.2857142857142857</v>
      </c>
      <c r="J68" s="765">
        <f t="shared" si="26"/>
        <v>34.83212128239019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P68" s="13">
        <f t="shared" si="10"/>
        <v>3</v>
      </c>
      <c r="AQ68" s="13">
        <f t="shared" si="11"/>
        <v>4</v>
      </c>
      <c r="AR68" s="175">
        <f t="shared" si="12"/>
        <v>43136</v>
      </c>
      <c r="AS68" s="774">
        <f t="shared" si="13"/>
        <v>0.6428571428571429</v>
      </c>
      <c r="AT68" s="791">
        <f t="shared" si="14"/>
        <v>34.956202915497123</v>
      </c>
      <c r="AU68" s="13">
        <f t="shared" si="15"/>
        <v>3</v>
      </c>
      <c r="AV68" s="13">
        <f t="shared" si="16"/>
        <v>4</v>
      </c>
      <c r="AW68" s="175">
        <f t="shared" si="17"/>
        <v>43150</v>
      </c>
      <c r="AX68" s="774">
        <f t="shared" si="18"/>
        <v>0.14285714285714285</v>
      </c>
      <c r="AY68" s="791">
        <f t="shared" si="19"/>
        <v>34.826150437391235</v>
      </c>
      <c r="AZ68" s="765">
        <f t="shared" si="25"/>
        <v>34.891176676444175</v>
      </c>
      <c r="BA68" s="649">
        <f t="shared" si="20"/>
        <v>0.9852459294993835</v>
      </c>
      <c r="BB68" s="644">
        <v>43154</v>
      </c>
      <c r="BC68" s="11">
        <v>43154</v>
      </c>
      <c r="BD68" s="292">
        <f>[2]!FeuilCaduc*(1-Persistant)+Persistant</f>
        <v>1</v>
      </c>
      <c r="BE68" s="293">
        <f>[2]!CroissVégét</f>
        <v>1.0789869896821172E-2</v>
      </c>
      <c r="BF68" s="844">
        <f>1+[2]!Salcycl*Ksac</f>
        <v>1.0004025051292555</v>
      </c>
      <c r="BH68" s="1107">
        <f t="shared" si="21"/>
        <v>1.5102397309160461E-2</v>
      </c>
      <c r="BI68" s="11">
        <v>44250</v>
      </c>
      <c r="BJ68" s="744">
        <v>3.1486821779233435E-3</v>
      </c>
      <c r="BK68" s="744">
        <v>7.4315644393704765E-3</v>
      </c>
      <c r="BL68" s="744">
        <v>1.3345046003475429E-2</v>
      </c>
      <c r="BM68" s="744">
        <v>2.2141655261875174E-2</v>
      </c>
      <c r="BN68" s="744">
        <v>3.9644240717019136E-2</v>
      </c>
      <c r="BO68" s="745">
        <v>8.9381055565974768E-2</v>
      </c>
      <c r="BP68" s="744">
        <v>0.16843393143441729</v>
      </c>
      <c r="BQ68" s="744">
        <v>0.26529875750222304</v>
      </c>
      <c r="BR68" s="744">
        <v>0.36548057306251419</v>
      </c>
      <c r="BS68" s="744">
        <v>0.47804457745208434</v>
      </c>
      <c r="BT68" s="744">
        <v>0.6079795227975977</v>
      </c>
      <c r="BW68" s="1191">
        <f>'2018'!R\Max</f>
        <v>0</v>
      </c>
      <c r="BX68" s="1189">
        <f>'2019'!R\Max</f>
        <v>0.97285997172568051</v>
      </c>
      <c r="BY68" s="1189">
        <f>'2020'!R\Max</f>
        <v>0.97990586338509589</v>
      </c>
      <c r="BZ68" s="1189">
        <f>'2021'!R\Max</f>
        <v>0.83226806822576804</v>
      </c>
      <c r="CA68" s="1189">
        <f>'2022'!R\Max</f>
        <v>0.9852459294993835</v>
      </c>
      <c r="CB68" s="1189">
        <f>'2023'!R\Max</f>
        <v>0.98502571350071988</v>
      </c>
      <c r="CC68" s="1189">
        <f>'2024'!R\Max</f>
        <v>0.98477667051265994</v>
      </c>
      <c r="CD68" s="1189">
        <f>'2025'!R\Max</f>
        <v>0.98442561590005884</v>
      </c>
      <c r="CE68" s="1189">
        <f>'2026'!R\Max</f>
        <v>0.98555198901215724</v>
      </c>
      <c r="CF68" s="1190">
        <f>'2027'!R\Max</f>
        <v>0.98549911477213525</v>
      </c>
    </row>
    <row r="69" spans="1:84" s="6" customFormat="1" ht="11.25" x14ac:dyDescent="0.2">
      <c r="A69" s="11">
        <v>43155</v>
      </c>
      <c r="B69" s="382">
        <f>'2022'!Maxi_hp</f>
        <v>35.33766783326174</v>
      </c>
      <c r="C69" s="85">
        <f>'2022'!An_max</f>
        <v>2020</v>
      </c>
      <c r="D69" s="1134"/>
      <c r="E69" s="711"/>
      <c r="F69" s="13">
        <f t="shared" si="22"/>
        <v>5</v>
      </c>
      <c r="G69" s="13">
        <f t="shared" si="23"/>
        <v>6</v>
      </c>
      <c r="H69" s="175">
        <f t="shared" si="7"/>
        <v>43150</v>
      </c>
      <c r="I69" s="774">
        <f t="shared" si="8"/>
        <v>0.35714285714285715</v>
      </c>
      <c r="J69" s="765">
        <f t="shared" si="26"/>
        <v>35.258066471293567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P69" s="13">
        <f t="shared" si="10"/>
        <v>3</v>
      </c>
      <c r="AQ69" s="13">
        <f t="shared" si="11"/>
        <v>4</v>
      </c>
      <c r="AR69" s="175">
        <f t="shared" si="12"/>
        <v>43136</v>
      </c>
      <c r="AS69" s="774">
        <f t="shared" si="13"/>
        <v>0.6785714285714286</v>
      </c>
      <c r="AT69" s="791">
        <f t="shared" si="14"/>
        <v>35.377674635619456</v>
      </c>
      <c r="AU69" s="13">
        <f t="shared" si="15"/>
        <v>3</v>
      </c>
      <c r="AV69" s="13">
        <f t="shared" si="16"/>
        <v>4</v>
      </c>
      <c r="AW69" s="175">
        <f t="shared" si="17"/>
        <v>43150</v>
      </c>
      <c r="AX69" s="774">
        <f t="shared" si="18"/>
        <v>0.17857142857142858</v>
      </c>
      <c r="AY69" s="791">
        <f t="shared" si="19"/>
        <v>35.255302624005296</v>
      </c>
      <c r="AZ69" s="765">
        <f t="shared" si="25"/>
        <v>35.316488629812376</v>
      </c>
      <c r="BA69" s="649">
        <f t="shared" si="20"/>
        <v>1.0022576780276078</v>
      </c>
      <c r="BB69" s="644">
        <v>43155</v>
      </c>
      <c r="BC69" s="11">
        <v>43155</v>
      </c>
      <c r="BD69" s="292">
        <f>[2]!FeuilCaduc*(1-Persistant)+Persistant</f>
        <v>1</v>
      </c>
      <c r="BE69" s="293">
        <f>[2]!CroissVégét</f>
        <v>1.1294467751257744E-2</v>
      </c>
      <c r="BF69" s="844">
        <f>1+[2]!Salcycl*Ksac</f>
        <v>1.0004223132335279</v>
      </c>
      <c r="BH69" s="1107">
        <f t="shared" si="21"/>
        <v>1.5432985181527841E-2</v>
      </c>
      <c r="BI69" s="11">
        <v>44251</v>
      </c>
      <c r="BJ69" s="744">
        <v>3.229360069175442E-3</v>
      </c>
      <c r="BK69" s="744">
        <v>7.6148513303658507E-3</v>
      </c>
      <c r="BL69" s="744">
        <v>1.365451925963404E-2</v>
      </c>
      <c r="BM69" s="744">
        <v>2.2556819979854065E-2</v>
      </c>
      <c r="BN69" s="744">
        <v>3.9040096890279687E-2</v>
      </c>
      <c r="BO69" s="745">
        <v>8.6548133069280928E-2</v>
      </c>
      <c r="BP69" s="744">
        <v>0.16425372081492898</v>
      </c>
      <c r="BQ69" s="744">
        <v>0.26052832352411487</v>
      </c>
      <c r="BR69" s="744">
        <v>0.36036199294959381</v>
      </c>
      <c r="BS69" s="744">
        <v>0.47127966718707848</v>
      </c>
      <c r="BT69" s="744">
        <v>0.59949595224667873</v>
      </c>
      <c r="BW69" s="1191">
        <f>'2018'!R\Max</f>
        <v>0</v>
      </c>
      <c r="BX69" s="1189">
        <f>'2019'!R\Max</f>
        <v>0.9759878464052959</v>
      </c>
      <c r="BY69" s="1189">
        <f>'2020'!R\Max</f>
        <v>1.0022576780276078</v>
      </c>
      <c r="BZ69" s="1189">
        <f>'2021'!R\Max</f>
        <v>0.95571690393280206</v>
      </c>
      <c r="CA69" s="1189">
        <f>'2022'!R\Max</f>
        <v>0.58025981213055156</v>
      </c>
      <c r="CB69" s="1189">
        <f>'2023'!R\Max</f>
        <v>0.57671067702495282</v>
      </c>
      <c r="CC69" s="1189">
        <f>'2024'!R\Max</f>
        <v>0.57272877323555493</v>
      </c>
      <c r="CD69" s="1189">
        <f>'2025'!R\Max</f>
        <v>0.5671618530641257</v>
      </c>
      <c r="CE69" s="1189">
        <f>'2026'!R\Max</f>
        <v>0.58512695460355402</v>
      </c>
      <c r="CF69" s="1190">
        <f>'2027'!R\Max</f>
        <v>0.58428308737640477</v>
      </c>
    </row>
    <row r="70" spans="1:84" s="6" customFormat="1" ht="11.25" x14ac:dyDescent="0.2">
      <c r="A70" s="11">
        <v>43156</v>
      </c>
      <c r="B70" s="382">
        <f>'2022'!Maxi_hp</f>
        <v>35.142931851813223</v>
      </c>
      <c r="C70" s="85">
        <f>'2022'!An_max</f>
        <v>2019</v>
      </c>
      <c r="D70" s="1134"/>
      <c r="E70" s="711"/>
      <c r="F70" s="13">
        <f t="shared" si="22"/>
        <v>5</v>
      </c>
      <c r="G70" s="13">
        <f t="shared" si="23"/>
        <v>6</v>
      </c>
      <c r="H70" s="175">
        <f t="shared" si="7"/>
        <v>43150</v>
      </c>
      <c r="I70" s="774">
        <f t="shared" si="8"/>
        <v>0.42857142857142855</v>
      </c>
      <c r="J70" s="765">
        <f t="shared" si="26"/>
        <v>35.688041982320804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P70" s="13">
        <f t="shared" si="10"/>
        <v>3</v>
      </c>
      <c r="AQ70" s="13">
        <f t="shared" si="11"/>
        <v>4</v>
      </c>
      <c r="AR70" s="175">
        <f t="shared" si="12"/>
        <v>43136</v>
      </c>
      <c r="AS70" s="774">
        <f t="shared" si="13"/>
        <v>0.7142857142857143</v>
      </c>
      <c r="AT70" s="791">
        <f t="shared" si="14"/>
        <v>35.800890962087678</v>
      </c>
      <c r="AU70" s="13">
        <f t="shared" si="15"/>
        <v>3</v>
      </c>
      <c r="AV70" s="13">
        <f t="shared" si="16"/>
        <v>4</v>
      </c>
      <c r="AW70" s="175">
        <f t="shared" si="17"/>
        <v>43150</v>
      </c>
      <c r="AX70" s="774">
        <f t="shared" si="18"/>
        <v>0.21428571428571427</v>
      </c>
      <c r="AY70" s="791">
        <f t="shared" si="19"/>
        <v>35.69022507285699</v>
      </c>
      <c r="AZ70" s="765">
        <f t="shared" si="25"/>
        <v>35.745558017472334</v>
      </c>
      <c r="BA70" s="649">
        <f t="shared" si="20"/>
        <v>0.98472569241042651</v>
      </c>
      <c r="BB70" s="644">
        <v>43156</v>
      </c>
      <c r="BC70" s="11">
        <v>43156</v>
      </c>
      <c r="BD70" s="292">
        <f>[2]!FeuilCaduc*(1-Persistant)+Persistant</f>
        <v>1</v>
      </c>
      <c r="BE70" s="293">
        <f>[2]!CroissVégét</f>
        <v>1.1819687335529849E-2</v>
      </c>
      <c r="BF70" s="844">
        <f>1+[2]!Salcycl*Ksac</f>
        <v>1.0004416346549843</v>
      </c>
      <c r="BH70" s="1107">
        <f t="shared" si="21"/>
        <v>1.5763498016995264E-2</v>
      </c>
      <c r="BI70" s="11">
        <v>44252</v>
      </c>
      <c r="BJ70" s="744">
        <v>3.3023631758127073E-3</v>
      </c>
      <c r="BK70" s="744">
        <v>7.7917487908042817E-3</v>
      </c>
      <c r="BL70" s="744">
        <v>1.3958913920656874E-2</v>
      </c>
      <c r="BM70" s="744">
        <v>2.2991951946723783E-2</v>
      </c>
      <c r="BN70" s="744">
        <v>3.8664175294966407E-2</v>
      </c>
      <c r="BO70" s="745">
        <v>8.3819897375957339E-2</v>
      </c>
      <c r="BP70" s="744">
        <v>0.16007114032700887</v>
      </c>
      <c r="BQ70" s="744">
        <v>0.25573831109518913</v>
      </c>
      <c r="BR70" s="744">
        <v>0.3553935684617055</v>
      </c>
      <c r="BS70" s="744">
        <v>0.46481034382898367</v>
      </c>
      <c r="BT70" s="744">
        <v>0.5911965437991954</v>
      </c>
      <c r="BW70" s="1191">
        <f>'2018'!R\Max</f>
        <v>0</v>
      </c>
      <c r="BX70" s="1189">
        <f>'2019'!R\Max</f>
        <v>0.98472569241042651</v>
      </c>
      <c r="BY70" s="1189">
        <f>'2020'!R\Max</f>
        <v>0.55426618526554006</v>
      </c>
      <c r="BZ70" s="1189">
        <f>'2021'!R\Max</f>
        <v>0.89733727746758252</v>
      </c>
      <c r="CA70" s="1189">
        <f>'2022'!R\Max</f>
        <v>0.8530453132361917</v>
      </c>
      <c r="CB70" s="1189">
        <f>'2023'!R\Max</f>
        <v>0.85127389085535721</v>
      </c>
      <c r="CC70" s="1189">
        <f>'2024'!R\Max</f>
        <v>0.8492588328569225</v>
      </c>
      <c r="CD70" s="1189">
        <f>'2025'!R\Max</f>
        <v>0.84638502564840457</v>
      </c>
      <c r="CE70" s="1189">
        <f>'2026'!R\Max</f>
        <v>0.85538897131642322</v>
      </c>
      <c r="CF70" s="1190">
        <f>'2027'!R\Max</f>
        <v>0.85498170144078423</v>
      </c>
    </row>
    <row r="71" spans="1:84" s="6" customFormat="1" ht="11.25" x14ac:dyDescent="0.2">
      <c r="A71" s="11">
        <v>43157</v>
      </c>
      <c r="B71" s="382">
        <f>'2022'!Maxi_hp</f>
        <v>37.238456464048674</v>
      </c>
      <c r="C71" s="85">
        <f>'2022'!An_max</f>
        <v>2022</v>
      </c>
      <c r="D71" s="1134"/>
      <c r="E71" s="711"/>
      <c r="F71" s="13">
        <f t="shared" si="22"/>
        <v>5</v>
      </c>
      <c r="G71" s="13">
        <f t="shared" si="23"/>
        <v>6</v>
      </c>
      <c r="H71" s="175">
        <f t="shared" si="7"/>
        <v>43150</v>
      </c>
      <c r="I71" s="774">
        <f t="shared" si="8"/>
        <v>0.5</v>
      </c>
      <c r="J71" s="765">
        <f t="shared" si="26"/>
        <v>36.121599999815224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P71" s="13">
        <f t="shared" si="10"/>
        <v>3</v>
      </c>
      <c r="AQ71" s="13">
        <f t="shared" si="11"/>
        <v>4</v>
      </c>
      <c r="AR71" s="175">
        <f t="shared" si="12"/>
        <v>43136</v>
      </c>
      <c r="AS71" s="774">
        <f t="shared" si="13"/>
        <v>0.75</v>
      </c>
      <c r="AT71" s="791">
        <f t="shared" si="14"/>
        <v>36.225599999912085</v>
      </c>
      <c r="AU71" s="13">
        <f t="shared" si="15"/>
        <v>3</v>
      </c>
      <c r="AV71" s="13">
        <f t="shared" si="16"/>
        <v>4</v>
      </c>
      <c r="AW71" s="175">
        <f t="shared" si="17"/>
        <v>43150</v>
      </c>
      <c r="AX71" s="774">
        <f t="shared" si="18"/>
        <v>0.25</v>
      </c>
      <c r="AY71" s="791">
        <f t="shared" si="19"/>
        <v>36.130399999441579</v>
      </c>
      <c r="AZ71" s="765">
        <f t="shared" si="25"/>
        <v>36.177999999676828</v>
      </c>
      <c r="BA71" s="649">
        <f t="shared" si="20"/>
        <v>1.0309193519733113</v>
      </c>
      <c r="BB71" s="644">
        <v>43157</v>
      </c>
      <c r="BC71" s="11">
        <v>43157</v>
      </c>
      <c r="BD71" s="292">
        <f>[2]!FeuilCaduc*(1-Persistant)+Persistant</f>
        <v>1</v>
      </c>
      <c r="BE71" s="293">
        <f>[2]!CroissVégét</f>
        <v>1.236634784666045E-2</v>
      </c>
      <c r="BF71" s="844">
        <f>1+[2]!Salcycl*Ksac</f>
        <v>1.0004604988521888</v>
      </c>
      <c r="BH71" s="1107">
        <f t="shared" si="21"/>
        <v>1.6093932342810001E-2</v>
      </c>
      <c r="BI71" s="11">
        <v>44253</v>
      </c>
      <c r="BJ71" s="744">
        <v>3.3676907997203511E-3</v>
      </c>
      <c r="BK71" s="744">
        <v>7.9622552028132624E-3</v>
      </c>
      <c r="BL71" s="744">
        <v>1.4258226996660961E-2</v>
      </c>
      <c r="BM71" s="744">
        <v>2.3447045755545338E-2</v>
      </c>
      <c r="BN71" s="744">
        <v>3.8516458867482804E-2</v>
      </c>
      <c r="BO71" s="745">
        <v>8.1196297967200487E-2</v>
      </c>
      <c r="BP71" s="744">
        <v>0.15588610089649271</v>
      </c>
      <c r="BQ71" s="744">
        <v>0.25092859141792317</v>
      </c>
      <c r="BR71" s="744">
        <v>0.3505751326025271</v>
      </c>
      <c r="BS71" s="744">
        <v>0.45863638913970101</v>
      </c>
      <c r="BT71" s="744">
        <v>0.58308101943307822</v>
      </c>
      <c r="BW71" s="1191">
        <f>'2018'!R\Max</f>
        <v>0</v>
      </c>
      <c r="BX71" s="1189">
        <f>'2019'!R\Max</f>
        <v>0.92812498858010095</v>
      </c>
      <c r="BY71" s="1189">
        <f>'2020'!R\Max</f>
        <v>0.51923804077566815</v>
      </c>
      <c r="BZ71" s="1189">
        <f>'2021'!R\Max</f>
        <v>0.25921484308137965</v>
      </c>
      <c r="CA71" s="1189">
        <f>'2022'!R\Max</f>
        <v>1.0309193519733113</v>
      </c>
      <c r="CB71" s="1189">
        <f>'2023'!R\Max</f>
        <v>1.0309193519733113</v>
      </c>
      <c r="CC71" s="1189">
        <f>'2024'!R\Max</f>
        <v>1.0309193519733113</v>
      </c>
      <c r="CD71" s="1189">
        <f>'2025'!R\Max</f>
        <v>1.0309193519733113</v>
      </c>
      <c r="CE71" s="1189">
        <f>'2026'!R\Max</f>
        <v>1.0309193519733113</v>
      </c>
      <c r="CF71" s="1190">
        <f>'2027'!R\Max</f>
        <v>1.0309193519733115</v>
      </c>
    </row>
    <row r="72" spans="1:84" s="6" customFormat="1" ht="11.25" x14ac:dyDescent="0.2">
      <c r="A72" s="11">
        <v>43158</v>
      </c>
      <c r="B72" s="382">
        <f>'2022'!Maxi_hp</f>
        <v>35.739850450809598</v>
      </c>
      <c r="C72" s="85">
        <f>'2022'!An_max</f>
        <v>2019</v>
      </c>
      <c r="D72" s="1134"/>
      <c r="E72" s="711"/>
      <c r="F72" s="13">
        <f t="shared" si="22"/>
        <v>5</v>
      </c>
      <c r="G72" s="13">
        <f t="shared" si="23"/>
        <v>6</v>
      </c>
      <c r="H72" s="175">
        <f t="shared" si="7"/>
        <v>43150</v>
      </c>
      <c r="I72" s="774">
        <f t="shared" si="8"/>
        <v>0.5714285714285714</v>
      </c>
      <c r="J72" s="765">
        <f t="shared" si="26"/>
        <v>36.558292710781096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P72" s="13">
        <f t="shared" si="10"/>
        <v>3</v>
      </c>
      <c r="AQ72" s="13">
        <f t="shared" si="11"/>
        <v>4</v>
      </c>
      <c r="AR72" s="175">
        <f t="shared" si="12"/>
        <v>43136</v>
      </c>
      <c r="AS72" s="774">
        <f t="shared" si="13"/>
        <v>0.7857142857142857</v>
      </c>
      <c r="AT72" s="791">
        <f t="shared" si="14"/>
        <v>36.651549854076336</v>
      </c>
      <c r="AU72" s="13">
        <f t="shared" si="15"/>
        <v>3</v>
      </c>
      <c r="AV72" s="13">
        <f t="shared" si="16"/>
        <v>4</v>
      </c>
      <c r="AW72" s="175">
        <f t="shared" si="17"/>
        <v>43150</v>
      </c>
      <c r="AX72" s="774">
        <f t="shared" si="18"/>
        <v>0.2857142857142857</v>
      </c>
      <c r="AY72" s="791">
        <f t="shared" si="19"/>
        <v>36.57530962074442</v>
      </c>
      <c r="AZ72" s="765">
        <f t="shared" si="25"/>
        <v>36.613429737410378</v>
      </c>
      <c r="BA72" s="649">
        <f t="shared" si="20"/>
        <v>0.97761267829309384</v>
      </c>
      <c r="BB72" s="644">
        <v>43158</v>
      </c>
      <c r="BC72" s="11">
        <v>43158</v>
      </c>
      <c r="BD72" s="292">
        <f>[2]!FeuilCaduc*(1-Persistant)+Persistant</f>
        <v>1</v>
      </c>
      <c r="BE72" s="293">
        <f>[2]!CroissVégét</f>
        <v>1.2935299036280712E-2</v>
      </c>
      <c r="BF72" s="844">
        <f>1+[2]!Salcycl*Ksac</f>
        <v>1.0004789608004896</v>
      </c>
      <c r="BH72" s="1107">
        <f t="shared" si="21"/>
        <v>1.641419378883819E-2</v>
      </c>
      <c r="BI72" s="11">
        <v>44254</v>
      </c>
      <c r="BJ72" s="744">
        <v>3.4267115569456717E-3</v>
      </c>
      <c r="BK72" s="744">
        <v>8.1207457070220142E-3</v>
      </c>
      <c r="BL72" s="744">
        <v>1.4542738771368866E-2</v>
      </c>
      <c r="BM72" s="744">
        <v>2.391050632023246E-2</v>
      </c>
      <c r="BN72" s="744">
        <v>3.8583526401681306E-2</v>
      </c>
      <c r="BO72" s="745">
        <v>7.8793138427380463E-2</v>
      </c>
      <c r="BP72" s="744">
        <v>0.1517597884143837</v>
      </c>
      <c r="BQ72" s="744">
        <v>0.24603266662670878</v>
      </c>
      <c r="BR72" s="744">
        <v>0.34579833533446919</v>
      </c>
      <c r="BS72" s="744">
        <v>0.4526902030594096</v>
      </c>
      <c r="BT72" s="744">
        <v>0.57509446835031253</v>
      </c>
      <c r="BW72" s="1191">
        <f>'2018'!R\Max</f>
        <v>0</v>
      </c>
      <c r="BX72" s="1189">
        <f>'2019'!R\Max</f>
        <v>0.97761267829309384</v>
      </c>
      <c r="BY72" s="1189">
        <f>'2020'!R\Max</f>
        <v>0.25877804569337121</v>
      </c>
      <c r="BZ72" s="1189">
        <f>'2021'!R\Max</f>
        <v>0.97196219131223316</v>
      </c>
      <c r="CA72" s="1189">
        <f>'2022'!R\Max</f>
        <v>0.7739735505738502</v>
      </c>
      <c r="CB72" s="1189">
        <f>'2023'!R\Max</f>
        <v>0.77168449136285922</v>
      </c>
      <c r="CC72" s="1189">
        <f>'2024'!R\Max</f>
        <v>0.7690546839433039</v>
      </c>
      <c r="CD72" s="1189">
        <f>'2025'!R\Max</f>
        <v>0.76523450893470424</v>
      </c>
      <c r="CE72" s="1189">
        <f>'2026'!R\Max</f>
        <v>0.77687134832184779</v>
      </c>
      <c r="CF72" s="1190">
        <f>'2027'!R\Max</f>
        <v>0.77634334258729398</v>
      </c>
    </row>
    <row r="73" spans="1:84" s="6" customFormat="1" ht="11.25" x14ac:dyDescent="0.2">
      <c r="A73" s="11">
        <v>43159</v>
      </c>
      <c r="B73" s="382">
        <f>'2022'!Maxi_hp</f>
        <v>33.764181045667172</v>
      </c>
      <c r="C73" s="85">
        <f>'2022'!An_max</f>
        <v>2022</v>
      </c>
      <c r="D73" s="1134"/>
      <c r="E73" s="711"/>
      <c r="F73" s="13">
        <f t="shared" si="22"/>
        <v>5</v>
      </c>
      <c r="G73" s="13">
        <f t="shared" si="23"/>
        <v>6</v>
      </c>
      <c r="H73" s="175">
        <f t="shared" si="7"/>
        <v>43150</v>
      </c>
      <c r="I73" s="774">
        <f t="shared" si="8"/>
        <v>0.6428571428571429</v>
      </c>
      <c r="J73" s="765">
        <f t="shared" si="26"/>
        <v>36.997672303154005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P73" s="13">
        <f t="shared" si="10"/>
        <v>3</v>
      </c>
      <c r="AQ73" s="13">
        <f t="shared" si="11"/>
        <v>4</v>
      </c>
      <c r="AR73" s="175">
        <f t="shared" si="12"/>
        <v>43136</v>
      </c>
      <c r="AS73" s="774">
        <f t="shared" si="13"/>
        <v>0.8214285714285714</v>
      </c>
      <c r="AT73" s="791">
        <f t="shared" si="14"/>
        <v>37.078488629737066</v>
      </c>
      <c r="AU73" s="13">
        <f t="shared" si="15"/>
        <v>3</v>
      </c>
      <c r="AV73" s="13">
        <f t="shared" si="16"/>
        <v>4</v>
      </c>
      <c r="AW73" s="175">
        <f t="shared" si="17"/>
        <v>43150</v>
      </c>
      <c r="AX73" s="774">
        <f t="shared" si="18"/>
        <v>0.32142857142857145</v>
      </c>
      <c r="AY73" s="791">
        <f t="shared" si="19"/>
        <v>37.024436151402611</v>
      </c>
      <c r="AZ73" s="765">
        <f t="shared" si="25"/>
        <v>37.051462390569839</v>
      </c>
      <c r="BA73" s="649">
        <f t="shared" si="20"/>
        <v>0.91260284617388798</v>
      </c>
      <c r="BB73" s="644">
        <v>43159</v>
      </c>
      <c r="BC73" s="11">
        <v>43159</v>
      </c>
      <c r="BD73" s="292">
        <f>[2]!FeuilCaduc*(1-Persistant)+Persistant</f>
        <v>1</v>
      </c>
      <c r="BE73" s="293">
        <f>[2]!CroissVégét</f>
        <v>1.352742218145603E-2</v>
      </c>
      <c r="BF73" s="844">
        <f>1+[2]!Salcycl*Ksac</f>
        <v>1.0004971018248976</v>
      </c>
      <c r="BH73" s="1107">
        <f t="shared" si="21"/>
        <v>1.6719057795567469E-2</v>
      </c>
      <c r="BI73" s="11">
        <v>44255</v>
      </c>
      <c r="BJ73" s="744">
        <v>3.4817849993784185E-3</v>
      </c>
      <c r="BK73" s="744">
        <v>8.267298504723063E-3</v>
      </c>
      <c r="BL73" s="744">
        <v>1.4811985598659134E-2</v>
      </c>
      <c r="BM73" s="744">
        <v>2.4358038735269316E-2</v>
      </c>
      <c r="BN73" s="744">
        <v>3.8710229049097412E-2</v>
      </c>
      <c r="BO73" s="745">
        <v>7.6575391281469118E-2</v>
      </c>
      <c r="BP73" s="744">
        <v>0.1476356390818068</v>
      </c>
      <c r="BQ73" s="744">
        <v>0.24103609036752691</v>
      </c>
      <c r="BR73" s="744">
        <v>0.34091110729788737</v>
      </c>
      <c r="BS73" s="744">
        <v>0.44680621829540529</v>
      </c>
      <c r="BT73" s="744">
        <v>0.56705884623777891</v>
      </c>
      <c r="BW73" s="1191">
        <f>'2018'!R\Max</f>
        <v>0</v>
      </c>
      <c r="BX73" s="1189">
        <f>'2019'!R\Max</f>
        <v>0.84163603730636793</v>
      </c>
      <c r="BY73" s="1189">
        <f>'2020'!R\Max</f>
        <v>0.5158587666032769</v>
      </c>
      <c r="BZ73" s="1189">
        <f>'2021'!R\Max</f>
        <v>0.8382486701645</v>
      </c>
      <c r="CA73" s="1189">
        <f>'2022'!R\Max</f>
        <v>0.91260284617388798</v>
      </c>
      <c r="CB73" s="1189">
        <f>'2023'!R\Max</f>
        <v>0.91160016172068459</v>
      </c>
      <c r="CC73" s="1189">
        <f>'2024'!R\Max</f>
        <v>0.91043649499418289</v>
      </c>
      <c r="CD73" s="1189">
        <f>'2025'!R\Max</f>
        <v>0.90871620435667599</v>
      </c>
      <c r="CE73" s="1189">
        <f>'2026'!R\Max</f>
        <v>0.91384547151387074</v>
      </c>
      <c r="CF73" s="1190">
        <f>'2027'!R\Max</f>
        <v>0.91361235292352971</v>
      </c>
    </row>
    <row r="74" spans="1:84" s="6" customFormat="1" ht="11.25" x14ac:dyDescent="0.2">
      <c r="A74" s="11">
        <v>43160</v>
      </c>
      <c r="B74" s="382">
        <f>'2022'!Maxi_hp</f>
        <v>37.154113437752279</v>
      </c>
      <c r="C74" s="85">
        <f>'2022'!An_max</f>
        <v>2022</v>
      </c>
      <c r="D74" s="1134"/>
      <c r="E74" s="711"/>
      <c r="F74" s="13">
        <f t="shared" si="22"/>
        <v>5</v>
      </c>
      <c r="G74" s="13">
        <f t="shared" si="23"/>
        <v>6</v>
      </c>
      <c r="H74" s="175">
        <f t="shared" si="7"/>
        <v>43150</v>
      </c>
      <c r="I74" s="774">
        <f t="shared" si="8"/>
        <v>0.7142857142857143</v>
      </c>
      <c r="J74" s="765">
        <f t="shared" si="26"/>
        <v>37.439290961463534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P74" s="13">
        <f t="shared" si="10"/>
        <v>3</v>
      </c>
      <c r="AQ74" s="13">
        <f t="shared" si="11"/>
        <v>4</v>
      </c>
      <c r="AR74" s="175">
        <f t="shared" si="12"/>
        <v>43136</v>
      </c>
      <c r="AS74" s="774">
        <f t="shared" si="13"/>
        <v>0.8571428571428571</v>
      </c>
      <c r="AT74" s="791">
        <f t="shared" si="14"/>
        <v>37.506164431891271</v>
      </c>
      <c r="AU74" s="13">
        <f t="shared" si="15"/>
        <v>3</v>
      </c>
      <c r="AV74" s="13">
        <f t="shared" si="16"/>
        <v>4</v>
      </c>
      <c r="AW74" s="175">
        <f t="shared" si="17"/>
        <v>43150</v>
      </c>
      <c r="AX74" s="774">
        <f t="shared" si="18"/>
        <v>0.35714285714285715</v>
      </c>
      <c r="AY74" s="791">
        <f t="shared" si="19"/>
        <v>37.477261807436925</v>
      </c>
      <c r="AZ74" s="765">
        <f t="shared" si="25"/>
        <v>37.491713119664098</v>
      </c>
      <c r="BA74" s="649">
        <f t="shared" si="20"/>
        <v>0.99238293470875849</v>
      </c>
      <c r="BB74" s="644">
        <v>43160</v>
      </c>
      <c r="BC74" s="11">
        <v>43160</v>
      </c>
      <c r="BD74" s="292">
        <f>[2]!FeuilCaduc*(1-Persistant)+Persistant</f>
        <v>1</v>
      </c>
      <c r="BE74" s="293">
        <f>[2]!CroissVégét</f>
        <v>1.4143631071573595E-2</v>
      </c>
      <c r="BF74" s="844">
        <f>1+[2]!Salcycl*Ksac</f>
        <v>1.0005150302432886</v>
      </c>
      <c r="BH74" s="1107">
        <f t="shared" si="21"/>
        <v>1.700851909870504E-2</v>
      </c>
      <c r="BI74" s="11">
        <v>44256</v>
      </c>
      <c r="BJ74" s="744">
        <v>3.5329099871667519E-3</v>
      </c>
      <c r="BK74" s="744">
        <v>8.4019109096720463E-3</v>
      </c>
      <c r="BL74" s="744">
        <v>1.5065962786286281E-2</v>
      </c>
      <c r="BM74" s="744">
        <v>2.478963544496661E-2</v>
      </c>
      <c r="BN74" s="744">
        <v>3.8896553895556678E-2</v>
      </c>
      <c r="BO74" s="745">
        <v>7.4543022630900069E-2</v>
      </c>
      <c r="BP74" s="744">
        <v>0.14351358260218802</v>
      </c>
      <c r="BQ74" s="744">
        <v>0.23593875286648411</v>
      </c>
      <c r="BR74" s="744">
        <v>0.33591330202949049</v>
      </c>
      <c r="BS74" s="744">
        <v>0.44098424808852626</v>
      </c>
      <c r="BT74" s="744">
        <v>0.55897391192106194</v>
      </c>
      <c r="BW74" s="1191">
        <f>'2018'!R\Max</f>
        <v>0</v>
      </c>
      <c r="BX74" s="1189">
        <f>'2019'!R\Max</f>
        <v>0.42079507857022741</v>
      </c>
      <c r="BY74" s="1189">
        <f>'2020'!R\Max</f>
        <v>0.41820644715080912</v>
      </c>
      <c r="BZ74" s="1189">
        <f>'2021'!R\Max</f>
        <v>0.89831344067812413</v>
      </c>
      <c r="CA74" s="1189">
        <f>'2022'!R\Max</f>
        <v>0.99238293470875849</v>
      </c>
      <c r="CB74" s="1189">
        <f>'2023'!R\Max</f>
        <v>0.99229197615778919</v>
      </c>
      <c r="CC74" s="1189">
        <f>'2024'!R\Max</f>
        <v>0.99218551423275847</v>
      </c>
      <c r="CD74" s="1189">
        <f>'2025'!R\Max</f>
        <v>0.99202546674290015</v>
      </c>
      <c r="CE74" s="1189">
        <f>'2026'!R\Max</f>
        <v>0.99249401054029052</v>
      </c>
      <c r="CF74" s="1190">
        <f>'2027'!R\Max</f>
        <v>0.99247247809471739</v>
      </c>
    </row>
    <row r="75" spans="1:84" s="6" customFormat="1" ht="11.25" x14ac:dyDescent="0.2">
      <c r="A75" s="11">
        <v>43161</v>
      </c>
      <c r="B75" s="382">
        <f>'2022'!Maxi_hp</f>
        <v>26.224711056387971</v>
      </c>
      <c r="C75" s="85">
        <f>'2022'!An_max</f>
        <v>2020</v>
      </c>
      <c r="D75" s="1134"/>
      <c r="E75" s="711"/>
      <c r="F75" s="13">
        <f t="shared" si="22"/>
        <v>5</v>
      </c>
      <c r="G75" s="13">
        <f t="shared" si="23"/>
        <v>6</v>
      </c>
      <c r="H75" s="175">
        <f t="shared" si="7"/>
        <v>43150</v>
      </c>
      <c r="I75" s="774">
        <f t="shared" si="8"/>
        <v>0.7857142857142857</v>
      </c>
      <c r="J75" s="765">
        <f t="shared" si="26"/>
        <v>37.882700874443557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P75" s="13">
        <f t="shared" si="10"/>
        <v>3</v>
      </c>
      <c r="AQ75" s="13">
        <f t="shared" si="11"/>
        <v>4</v>
      </c>
      <c r="AR75" s="175">
        <f t="shared" si="12"/>
        <v>43136</v>
      </c>
      <c r="AS75" s="774">
        <f t="shared" si="13"/>
        <v>0.8928571428571429</v>
      </c>
      <c r="AT75" s="791">
        <f t="shared" si="14"/>
        <v>37.934325364365108</v>
      </c>
      <c r="AU75" s="13">
        <f t="shared" si="15"/>
        <v>3</v>
      </c>
      <c r="AV75" s="13">
        <f t="shared" si="16"/>
        <v>4</v>
      </c>
      <c r="AW75" s="175">
        <f t="shared" si="17"/>
        <v>43150</v>
      </c>
      <c r="AX75" s="774">
        <f t="shared" si="18"/>
        <v>0.39285714285714285</v>
      </c>
      <c r="AY75" s="791">
        <f t="shared" si="19"/>
        <v>37.93326880476171</v>
      </c>
      <c r="AZ75" s="765">
        <f t="shared" si="25"/>
        <v>37.933797084563409</v>
      </c>
      <c r="BA75" s="649">
        <f t="shared" si="20"/>
        <v>0.69226085920604719</v>
      </c>
      <c r="BB75" s="644">
        <v>43161</v>
      </c>
      <c r="BC75" s="11">
        <v>43161</v>
      </c>
      <c r="BD75" s="292">
        <f>[2]!FeuilCaduc*(1-Persistant)+Persistant</f>
        <v>1</v>
      </c>
      <c r="BE75" s="293">
        <f>[2]!CroissVégét</f>
        <v>1.47848730100967E-2</v>
      </c>
      <c r="BF75" s="844">
        <f>1+[2]!Salcycl*Ksac</f>
        <v>1.0005328818172239</v>
      </c>
      <c r="BH75" s="1107">
        <f t="shared" si="21"/>
        <v>1.7282571899706597E-2</v>
      </c>
      <c r="BI75" s="11">
        <v>44257</v>
      </c>
      <c r="BJ75" s="744">
        <v>3.5800852776557467E-3</v>
      </c>
      <c r="BK75" s="744">
        <v>8.5245799543237407E-3</v>
      </c>
      <c r="BL75" s="744">
        <v>1.5304665161177155E-2</v>
      </c>
      <c r="BM75" s="744">
        <v>2.5205288145388666E-2</v>
      </c>
      <c r="BN75" s="744">
        <v>3.9142488161211721E-2</v>
      </c>
      <c r="BO75" s="745">
        <v>7.2696002859727687E-2</v>
      </c>
      <c r="BP75" s="744">
        <v>0.13939355479395879</v>
      </c>
      <c r="BQ75" s="744">
        <v>0.23074055120098039</v>
      </c>
      <c r="BR75" s="744">
        <v>0.33080477970271666</v>
      </c>
      <c r="BS75" s="744">
        <v>0.43522411472307171</v>
      </c>
      <c r="BT75" s="744">
        <v>0.55083943585295181</v>
      </c>
      <c r="BW75" s="1191">
        <f>'2018'!R\Max</f>
        <v>0</v>
      </c>
      <c r="BX75" s="1189">
        <f>'2019'!R\Max</f>
        <v>0.54358290784704821</v>
      </c>
      <c r="BY75" s="1189">
        <f>'2020'!R\Max</f>
        <v>0.69226085920604719</v>
      </c>
      <c r="BZ75" s="1189">
        <f>'2021'!R\Max</f>
        <v>0.42353253453074746</v>
      </c>
      <c r="CA75" s="1189">
        <f>'2022'!R\Max</f>
        <v>0.45116541976962876</v>
      </c>
      <c r="CB75" s="1189">
        <f>'2023'!R\Max</f>
        <v>0.44834278345292361</v>
      </c>
      <c r="CC75" s="1189">
        <f>'2024'!R\Max</f>
        <v>0.44506159109479076</v>
      </c>
      <c r="CD75" s="1189">
        <f>'2025'!R\Max</f>
        <v>0.44014170946251197</v>
      </c>
      <c r="CE75" s="1189">
        <f>'2026'!R\Max</f>
        <v>0.45463452083069367</v>
      </c>
      <c r="CF75" s="1190">
        <f>'2027'!R\Max</f>
        <v>0.45393293725439726</v>
      </c>
    </row>
    <row r="76" spans="1:84" s="6" customFormat="1" ht="11.25" x14ac:dyDescent="0.2">
      <c r="A76" s="11">
        <v>43162</v>
      </c>
      <c r="B76" s="382">
        <f>'2022'!Maxi_hp</f>
        <v>35.584060448329645</v>
      </c>
      <c r="C76" s="85">
        <f>'2022'!An_max</f>
        <v>2022</v>
      </c>
      <c r="D76" s="1134"/>
      <c r="E76" s="711"/>
      <c r="F76" s="13">
        <f t="shared" si="22"/>
        <v>5</v>
      </c>
      <c r="G76" s="13">
        <f t="shared" si="23"/>
        <v>6</v>
      </c>
      <c r="H76" s="175">
        <f t="shared" si="7"/>
        <v>43150</v>
      </c>
      <c r="I76" s="774">
        <f t="shared" si="8"/>
        <v>0.8571428571428571</v>
      </c>
      <c r="J76" s="765">
        <f t="shared" si="26"/>
        <v>38.327454227421967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P76" s="13">
        <f t="shared" si="10"/>
        <v>3</v>
      </c>
      <c r="AQ76" s="13">
        <f t="shared" si="11"/>
        <v>4</v>
      </c>
      <c r="AR76" s="175">
        <f t="shared" si="12"/>
        <v>43136</v>
      </c>
      <c r="AS76" s="774">
        <f t="shared" si="13"/>
        <v>0.9285714285714286</v>
      </c>
      <c r="AT76" s="791">
        <f t="shared" si="14"/>
        <v>38.362719533858552</v>
      </c>
      <c r="AU76" s="13">
        <f t="shared" si="15"/>
        <v>3</v>
      </c>
      <c r="AV76" s="13">
        <f t="shared" si="16"/>
        <v>4</v>
      </c>
      <c r="AW76" s="175">
        <f t="shared" si="17"/>
        <v>43150</v>
      </c>
      <c r="AX76" s="774">
        <f t="shared" si="18"/>
        <v>0.42857142857142855</v>
      </c>
      <c r="AY76" s="791">
        <f t="shared" si="19"/>
        <v>38.391939358333389</v>
      </c>
      <c r="AZ76" s="765">
        <f t="shared" si="25"/>
        <v>38.37732944609597</v>
      </c>
      <c r="BA76" s="649">
        <f t="shared" si="20"/>
        <v>0.92842222802448693</v>
      </c>
      <c r="BB76" s="644">
        <v>43162</v>
      </c>
      <c r="BC76" s="11">
        <v>43162</v>
      </c>
      <c r="BD76" s="292">
        <f>[2]!FeuilCaduc*(1-Persistant)+Persistant</f>
        <v>1</v>
      </c>
      <c r="BE76" s="293">
        <f>[2]!CroissVégét</f>
        <v>1.5452129829812465E-2</v>
      </c>
      <c r="BF76" s="844">
        <f>1+[2]!Salcycl*Ksac</f>
        <v>1.0005508200096911</v>
      </c>
      <c r="BH76" s="1107">
        <f t="shared" si="21"/>
        <v>1.7541209922842148E-2</v>
      </c>
      <c r="BI76" s="11">
        <v>44258</v>
      </c>
      <c r="BJ76" s="744">
        <v>3.6233095400117921E-3</v>
      </c>
      <c r="BK76" s="744">
        <v>8.6353024340469781E-3</v>
      </c>
      <c r="BL76" s="744">
        <v>1.5528087125995042E-2</v>
      </c>
      <c r="BM76" s="744">
        <v>2.5604987843428923E-2</v>
      </c>
      <c r="BN76" s="744">
        <v>3.9448018980130957E-2</v>
      </c>
      <c r="BO76" s="745">
        <v>7.1034305949024421E-2</v>
      </c>
      <c r="BP76" s="744">
        <v>0.13527549758324131</v>
      </c>
      <c r="BQ76" s="744">
        <v>0.22544138967325764</v>
      </c>
      <c r="BR76" s="744">
        <v>0.32558540753801324</v>
      </c>
      <c r="BS76" s="744">
        <v>0.42952564929895831</v>
      </c>
      <c r="BT76" s="744">
        <v>0.54265520029786307</v>
      </c>
      <c r="BW76" s="1191">
        <f>'2018'!R\Max</f>
        <v>0</v>
      </c>
      <c r="BX76" s="1189">
        <f>'2019'!R\Max</f>
        <v>0.86890698219309026</v>
      </c>
      <c r="BY76" s="1189">
        <f>'2020'!R\Max</f>
        <v>0.58009049375933031</v>
      </c>
      <c r="BZ76" s="1189">
        <f>'2021'!R\Max</f>
        <v>0.47402985307845791</v>
      </c>
      <c r="CA76" s="1189">
        <f>'2022'!R\Max</f>
        <v>0.92842222802448693</v>
      </c>
      <c r="CB76" s="1189">
        <f>'2023'!R\Max</f>
        <v>0.92769867682463525</v>
      </c>
      <c r="CC76" s="1189">
        <f>'2024'!R\Max</f>
        <v>0.92684157448709159</v>
      </c>
      <c r="CD76" s="1189">
        <f>'2025'!R\Max</f>
        <v>0.9255124983331614</v>
      </c>
      <c r="CE76" s="1189">
        <f>'2026'!R\Max</f>
        <v>0.92929941720387432</v>
      </c>
      <c r="CF76" s="1190">
        <f>'2027'!R\Max</f>
        <v>0.92911602341691613</v>
      </c>
    </row>
    <row r="77" spans="1:84" s="6" customFormat="1" ht="11.25" x14ac:dyDescent="0.2">
      <c r="A77" s="11">
        <v>43163</v>
      </c>
      <c r="B77" s="382">
        <f>'2022'!Maxi_hp</f>
        <v>29.708311263077956</v>
      </c>
      <c r="C77" s="85">
        <f>'2022'!An_max</f>
        <v>2021</v>
      </c>
      <c r="D77" s="1134"/>
      <c r="E77" s="711"/>
      <c r="F77" s="13">
        <f t="shared" si="22"/>
        <v>5</v>
      </c>
      <c r="G77" s="13">
        <f t="shared" si="23"/>
        <v>6</v>
      </c>
      <c r="H77" s="175">
        <f t="shared" si="7"/>
        <v>43150</v>
      </c>
      <c r="I77" s="774">
        <f t="shared" si="8"/>
        <v>0.9285714285714286</v>
      </c>
      <c r="J77" s="765">
        <f t="shared" si="26"/>
        <v>38.773103206844198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P77" s="13">
        <f t="shared" si="10"/>
        <v>3</v>
      </c>
      <c r="AQ77" s="13">
        <f t="shared" si="11"/>
        <v>4</v>
      </c>
      <c r="AR77" s="175">
        <f t="shared" si="12"/>
        <v>43136</v>
      </c>
      <c r="AS77" s="774">
        <f t="shared" si="13"/>
        <v>0.9642857142857143</v>
      </c>
      <c r="AT77" s="791">
        <f t="shared" si="14"/>
        <v>38.791095043612373</v>
      </c>
      <c r="AU77" s="13">
        <f t="shared" si="15"/>
        <v>3</v>
      </c>
      <c r="AV77" s="13">
        <f t="shared" si="16"/>
        <v>4</v>
      </c>
      <c r="AW77" s="175">
        <f t="shared" si="17"/>
        <v>43150</v>
      </c>
      <c r="AX77" s="774">
        <f t="shared" si="18"/>
        <v>0.4642857142857143</v>
      </c>
      <c r="AY77" s="791">
        <f t="shared" si="19"/>
        <v>38.85275568507079</v>
      </c>
      <c r="AZ77" s="765">
        <f t="shared" si="25"/>
        <v>38.821925364341581</v>
      </c>
      <c r="BA77" s="649">
        <f t="shared" si="20"/>
        <v>0.7662092741092198</v>
      </c>
      <c r="BB77" s="644">
        <v>43163</v>
      </c>
      <c r="BC77" s="11">
        <v>43163</v>
      </c>
      <c r="BD77" s="292">
        <f>[2]!FeuilCaduc*(1-Persistant)+Persistant</f>
        <v>1</v>
      </c>
      <c r="BE77" s="293">
        <f>[2]!CroissVégét</f>
        <v>1.6146418920009037E-2</v>
      </c>
      <c r="BF77" s="844">
        <f>1+[2]!Salcycl*Ksac</f>
        <v>1.00056903605101</v>
      </c>
      <c r="BH77" s="1107">
        <f t="shared" si="21"/>
        <v>1.7784426472235708E-2</v>
      </c>
      <c r="BI77" s="11">
        <v>44259</v>
      </c>
      <c r="BJ77" s="744">
        <v>3.6625813698415613E-3</v>
      </c>
      <c r="BK77" s="744">
        <v>8.7340749513266803E-3</v>
      </c>
      <c r="BL77" s="744">
        <v>1.5736222715680624E-2</v>
      </c>
      <c r="BM77" s="744">
        <v>2.598872491584733E-2</v>
      </c>
      <c r="BN77" s="744">
        <v>3.981313317982834E-2</v>
      </c>
      <c r="BO77" s="745">
        <v>6.95579087911707E-2</v>
      </c>
      <c r="BP77" s="744">
        <v>0.13115935899632822</v>
      </c>
      <c r="BQ77" s="744">
        <v>0.22004118018360663</v>
      </c>
      <c r="BR77" s="744">
        <v>0.3202550602126264</v>
      </c>
      <c r="BS77" s="744">
        <v>0.42388869150323116</v>
      </c>
      <c r="BT77" s="744">
        <v>0.53442099951543798</v>
      </c>
      <c r="BW77" s="1191">
        <f>'2018'!R\Max</f>
        <v>0</v>
      </c>
      <c r="BX77" s="1189">
        <f>'2019'!R\Max</f>
        <v>0.2566303889074274</v>
      </c>
      <c r="BY77" s="1189">
        <f>'2020'!R\Max</f>
        <v>0.14443799526282272</v>
      </c>
      <c r="BZ77" s="1189">
        <f>'2021'!R\Max</f>
        <v>0.7662092741092198</v>
      </c>
      <c r="CA77" s="1189">
        <f>'2022'!R\Max</f>
        <v>0.17277659164500503</v>
      </c>
      <c r="CB77" s="1189">
        <f>'2023'!R\Max</f>
        <v>0.17153310347203149</v>
      </c>
      <c r="CC77" s="1189">
        <f>'2024'!R\Max</f>
        <v>0.17006990164386243</v>
      </c>
      <c r="CD77" s="1189">
        <f>'2025'!R\Max</f>
        <v>0.16780094167566448</v>
      </c>
      <c r="CE77" s="1189">
        <f>'2026'!R\Max</f>
        <v>0.17431385261902227</v>
      </c>
      <c r="CF77" s="1190">
        <f>'2027'!R\Max</f>
        <v>0.17397708552702398</v>
      </c>
    </row>
    <row r="78" spans="1:84" s="6" customFormat="1" ht="11.25" x14ac:dyDescent="0.2">
      <c r="A78" s="11">
        <v>43164</v>
      </c>
      <c r="B78" s="382">
        <f>'2022'!Maxi_hp</f>
        <v>38.591105820273576</v>
      </c>
      <c r="C78" s="85">
        <f>'2022'!An_max</f>
        <v>2019</v>
      </c>
      <c r="D78" s="1134"/>
      <c r="E78" s="773">
        <f>R$13/10</f>
        <v>39.219200000000001</v>
      </c>
      <c r="F78" s="13">
        <f t="shared" si="22"/>
        <v>7</v>
      </c>
      <c r="G78" s="13">
        <f t="shared" si="23"/>
        <v>6</v>
      </c>
      <c r="H78" s="175">
        <f t="shared" si="7"/>
        <v>43178</v>
      </c>
      <c r="I78" s="774">
        <f t="shared" si="8"/>
        <v>1</v>
      </c>
      <c r="J78" s="765">
        <f t="shared" si="26"/>
        <v>39.219200000166893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P78" s="13">
        <f t="shared" si="10"/>
        <v>5</v>
      </c>
      <c r="AQ78" s="13">
        <f t="shared" si="11"/>
        <v>4</v>
      </c>
      <c r="AR78" s="175">
        <f t="shared" si="12"/>
        <v>43192</v>
      </c>
      <c r="AS78" s="774">
        <f t="shared" si="13"/>
        <v>1</v>
      </c>
      <c r="AT78" s="791">
        <f t="shared" si="14"/>
        <v>39.219200000166893</v>
      </c>
      <c r="AU78" s="13">
        <f t="shared" si="15"/>
        <v>3</v>
      </c>
      <c r="AV78" s="13">
        <f t="shared" si="16"/>
        <v>4</v>
      </c>
      <c r="AW78" s="175">
        <f t="shared" si="17"/>
        <v>43150</v>
      </c>
      <c r="AX78" s="774">
        <f t="shared" si="18"/>
        <v>0.5</v>
      </c>
      <c r="AY78" s="791">
        <f t="shared" si="19"/>
        <v>39.315199999697505</v>
      </c>
      <c r="AZ78" s="765">
        <f t="shared" si="25"/>
        <v>39.267199999932203</v>
      </c>
      <c r="BA78" s="649">
        <f t="shared" si="20"/>
        <v>0.98398503335380005</v>
      </c>
      <c r="BB78" s="644">
        <v>43164</v>
      </c>
      <c r="BC78" s="11">
        <v>43164</v>
      </c>
      <c r="BD78" s="292">
        <f>[2]!FeuilCaduc*(1-Persistant)+Persistant</f>
        <v>1</v>
      </c>
      <c r="BE78" s="293">
        <f>[2]!CroissVégét</f>
        <v>1.6868794263800321E-2</v>
      </c>
      <c r="BF78" s="844">
        <f>1+[2]!Salcycl*Ksac</f>
        <v>1.000587748816022</v>
      </c>
      <c r="BH78" s="1107">
        <f t="shared" si="21"/>
        <v>1.8012214488957394E-2</v>
      </c>
      <c r="BI78" s="11">
        <v>44260</v>
      </c>
      <c r="BJ78" s="744">
        <v>3.6978993038218298E-3</v>
      </c>
      <c r="BK78" s="744">
        <v>8.8208939599916988E-3</v>
      </c>
      <c r="BL78" s="744">
        <v>1.592906565403936E-2</v>
      </c>
      <c r="BM78" s="744">
        <v>2.6356489168384151E-2</v>
      </c>
      <c r="BN78" s="744">
        <v>4.0237817060911292E-2</v>
      </c>
      <c r="BO78" s="745">
        <v>6.8266790504359673E-2</v>
      </c>
      <c r="BP78" s="744">
        <v>0.12704509315257242</v>
      </c>
      <c r="BQ78" s="744">
        <v>0.21453984260425565</v>
      </c>
      <c r="BR78" s="744">
        <v>0.31481362027137194</v>
      </c>
      <c r="BS78" s="744">
        <v>0.41831308938286965</v>
      </c>
      <c r="BT78" s="744">
        <v>0.52613663994578586</v>
      </c>
      <c r="BW78" s="1191">
        <f>'2018'!R\Max</f>
        <v>0</v>
      </c>
      <c r="BX78" s="1189">
        <f>'2019'!R\Max</f>
        <v>0.98398503335380005</v>
      </c>
      <c r="BY78" s="1189">
        <f>'2020'!R\Max</f>
        <v>0.2278183772938166</v>
      </c>
      <c r="BZ78" s="1189">
        <f>'2021'!R\Max</f>
        <v>0.78944470030216218</v>
      </c>
      <c r="CA78" s="1189">
        <f>'2022'!R\Max</f>
        <v>0.38331760307439333</v>
      </c>
      <c r="CB78" s="1189">
        <f>'2023'!R\Max</f>
        <v>0.38103491444682142</v>
      </c>
      <c r="CC78" s="1189">
        <f>'2024'!R\Max</f>
        <v>0.37832003133995412</v>
      </c>
      <c r="CD78" s="1189">
        <f>'2025'!R\Max</f>
        <v>0.37400160132459637</v>
      </c>
      <c r="CE78" s="1189">
        <f>'2026'!R\Max</f>
        <v>0.38616788087954251</v>
      </c>
      <c r="CF78" s="1190">
        <f>'2027'!R\Max</f>
        <v>0.385517408606395</v>
      </c>
    </row>
    <row r="79" spans="1:84" s="6" customFormat="1" ht="11.25" x14ac:dyDescent="0.2">
      <c r="A79" s="11">
        <v>43165</v>
      </c>
      <c r="B79" s="382">
        <f>'2022'!Maxi_hp</f>
        <v>24.167812123505598</v>
      </c>
      <c r="C79" s="85">
        <f>'2022'!An_max</f>
        <v>2019</v>
      </c>
      <c r="D79" s="1134"/>
      <c r="E79" s="711"/>
      <c r="F79" s="13">
        <f t="shared" si="22"/>
        <v>7</v>
      </c>
      <c r="G79" s="13">
        <f t="shared" ref="G79:G142" si="58">INT((MATCH($A79,x.2m)+1)/2)*2</f>
        <v>6</v>
      </c>
      <c r="H79" s="175">
        <f t="shared" ref="H79:H142" si="59">INDEX(x.2m,F79)</f>
        <v>43178</v>
      </c>
      <c r="I79" s="774">
        <f t="shared" ref="I79:I142" si="60">($A79-H79)/(INDEX(x.2m,G79)-H79)</f>
        <v>0.9285714285714286</v>
      </c>
      <c r="J79" s="765">
        <f t="shared" ref="J79:J142" si="61">((1-I79)*(INDEX(a.m,F79)*$A79*$A79+INDEX(b.m,F79)*$A79+INDEX(c.m,F79))+I79*(INDEX(a.m,G79)*$A79*$A79+INDEX(b.m,G79)*$A79+INDEX(c.m,G79)))/10</f>
        <v>39.667871719785033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P79" s="13">
        <f t="shared" ref="AP79:AP142" si="62">INT(MATCH($A79,x.2lg)/2)*2+1</f>
        <v>5</v>
      </c>
      <c r="AQ79" s="13">
        <f t="shared" ref="AQ79:AQ142" si="63">INT((MATCH($A79,x.2lg)+1)/2)*2</f>
        <v>4</v>
      </c>
      <c r="AR79" s="175">
        <f t="shared" ref="AR79:AR142" si="64">INDEX(x.2lg,AP79)</f>
        <v>43192</v>
      </c>
      <c r="AS79" s="774">
        <f t="shared" ref="AS79:AS142" si="65">($A79-AR79)/(INDEX(x.2lg,AQ79)-AR79)</f>
        <v>0.9642857142857143</v>
      </c>
      <c r="AT79" s="791">
        <f t="shared" ref="AT79:AT142" si="66">((1-AS79)*(INDEX(a.lg,AP79)*$A79*$A79+INDEX(b.lg,AP79)*$A79+INDEX(c.lg,AP79))+AS79*(INDEX(a.lg,AQ79)*$A79*$A79+INDEX(b.lg,AQ79)*$A79+INDEX(c.lg,AQ79)))/10</f>
        <v>39.651085714343935</v>
      </c>
      <c r="AU79" s="13">
        <f t="shared" ref="AU79:AU142" si="67">INT(MATCH($A79,x.2ld)/2)*2+1</f>
        <v>3</v>
      </c>
      <c r="AV79" s="13">
        <f t="shared" ref="AV79:AV142" si="68">INT((MATCH($A79,x.2ld)+1)/2)*2</f>
        <v>4</v>
      </c>
      <c r="AW79" s="175">
        <f t="shared" ref="AW79:AW142" si="69">INDEX(x.2ld,AU79)</f>
        <v>43150</v>
      </c>
      <c r="AX79" s="774">
        <f t="shared" ref="AX79:AX142" si="70">($A79-AW79)/(INDEX(x.2ld,AV79)-AW79)</f>
        <v>0.5357142857142857</v>
      </c>
      <c r="AY79" s="791">
        <f t="shared" ref="AY79:AY142" si="71">((1-AX79)*(INDEX(a.ld,AU79)*$A79*$A79+INDEX(b.ld,AU79)*$A79+INDEX(c.ld,AU79))+AX79*(INDEX(a.ld,AV79)*$A79*$A79+INDEX(b.ld,AV79)*$A79+INDEX(c.ld,AV79)))/10</f>
        <v>39.778754518633448</v>
      </c>
      <c r="AZ79" s="765">
        <f t="shared" si="25"/>
        <v>39.714920116488692</v>
      </c>
      <c r="BA79" s="649">
        <f t="shared" ref="BA79:BA142" si="72">+B79/J79</f>
        <v>0.60925406571413021</v>
      </c>
      <c r="BB79" s="644">
        <v>43165</v>
      </c>
      <c r="BC79" s="11">
        <v>43165</v>
      </c>
      <c r="BD79" s="292">
        <f>[2]!FeuilCaduc*(1-Persistant)+Persistant</f>
        <v>1</v>
      </c>
      <c r="BE79" s="293">
        <f>[2]!CroissVégét</f>
        <v>1.7620347483596571E-2</v>
      </c>
      <c r="BF79" s="844">
        <f>1+[2]!Salcycl*Ksac</f>
        <v>1.0006072045174599</v>
      </c>
      <c r="BH79" s="1107">
        <f t="shared" ref="BH79:BH142" si="73">INDEX($BJ79:$BT79,,$BH$10)*(1-Ratini)+INDEX($BJ79:$BT79,,$BH$10+1)*Ratini</f>
        <v>1.822456660804532E-2</v>
      </c>
      <c r="BI79" s="11">
        <v>44261</v>
      </c>
      <c r="BJ79" s="744">
        <v>3.729261834314798E-3</v>
      </c>
      <c r="BK79" s="744">
        <v>8.8957558094081429E-3</v>
      </c>
      <c r="BL79" s="744">
        <v>1.6106609410266714E-2</v>
      </c>
      <c r="BM79" s="744">
        <v>2.6708269894771371E-2</v>
      </c>
      <c r="BN79" s="744">
        <v>4.0722056176570841E-2</v>
      </c>
      <c r="BO79" s="745">
        <v>6.7160931746819516E-2</v>
      </c>
      <c r="BP79" s="744">
        <v>0.12293266025674092</v>
      </c>
      <c r="BQ79" s="744">
        <v>0.20893730515236544</v>
      </c>
      <c r="BR79" s="744">
        <v>0.3092609785361124</v>
      </c>
      <c r="BS79" s="744">
        <v>0.41279869911588268</v>
      </c>
      <c r="BT79" s="744">
        <v>0.51780194039256311</v>
      </c>
      <c r="BW79" s="1191">
        <f>'2018'!R\Max</f>
        <v>0</v>
      </c>
      <c r="BX79" s="1189">
        <f>'2019'!R\Max</f>
        <v>0.60925406571413021</v>
      </c>
      <c r="BY79" s="1189">
        <f>'2020'!R\Max</f>
        <v>0.30931613609988423</v>
      </c>
      <c r="BZ79" s="1189">
        <f>'2021'!R\Max</f>
        <v>0.29087396218948697</v>
      </c>
      <c r="CA79" s="1189">
        <f>'2022'!R\Max</f>
        <v>0.55723070150697507</v>
      </c>
      <c r="CB79" s="1189">
        <f>'2023'!R\Max</f>
        <v>0.554992714722085</v>
      </c>
      <c r="CC79" s="1189">
        <f>'2024'!R\Max</f>
        <v>0.55229605087061218</v>
      </c>
      <c r="CD79" s="1189">
        <f>'2025'!R\Max</f>
        <v>0.54787342682699758</v>
      </c>
      <c r="CE79" s="1189">
        <f>'2026'!R\Max</f>
        <v>0.56007279603573679</v>
      </c>
      <c r="CF79" s="1190">
        <f>'2027'!R\Max</f>
        <v>0.55939681931121443</v>
      </c>
    </row>
    <row r="80" spans="1:84" s="6" customFormat="1" ht="11.25" x14ac:dyDescent="0.2">
      <c r="A80" s="11">
        <v>43166</v>
      </c>
      <c r="B80" s="382">
        <f>'2022'!Maxi_hp</f>
        <v>37.878473795726443</v>
      </c>
      <c r="C80" s="85">
        <f>'2022'!An_max</f>
        <v>2022</v>
      </c>
      <c r="D80" s="1134"/>
      <c r="E80" s="711"/>
      <c r="F80" s="13">
        <f t="shared" ref="F80:F143" si="74">INT(MATCH($A80,x.2m)/2)*2+1</f>
        <v>7</v>
      </c>
      <c r="G80" s="13">
        <f t="shared" si="58"/>
        <v>6</v>
      </c>
      <c r="H80" s="175">
        <f t="shared" si="59"/>
        <v>43178</v>
      </c>
      <c r="I80" s="774">
        <f t="shared" si="60"/>
        <v>0.8571428571428571</v>
      </c>
      <c r="J80" s="765">
        <f t="shared" si="61"/>
        <v>40.121096209729359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P80" s="13">
        <f t="shared" si="62"/>
        <v>5</v>
      </c>
      <c r="AQ80" s="13">
        <f t="shared" si="63"/>
        <v>4</v>
      </c>
      <c r="AR80" s="175">
        <f t="shared" si="64"/>
        <v>43192</v>
      </c>
      <c r="AS80" s="774">
        <f t="shared" si="65"/>
        <v>0.9285714285714286</v>
      </c>
      <c r="AT80" s="791">
        <f t="shared" si="66"/>
        <v>40.09051428594227</v>
      </c>
      <c r="AU80" s="13">
        <f t="shared" si="67"/>
        <v>3</v>
      </c>
      <c r="AV80" s="13">
        <f t="shared" si="68"/>
        <v>4</v>
      </c>
      <c r="AW80" s="175">
        <f t="shared" si="69"/>
        <v>43150</v>
      </c>
      <c r="AX80" s="774">
        <f t="shared" si="70"/>
        <v>0.5714285714285714</v>
      </c>
      <c r="AY80" s="791">
        <f t="shared" si="71"/>
        <v>40.242901457739734</v>
      </c>
      <c r="AZ80" s="765">
        <f t="shared" ref="AZ80:AZ143" si="75">(AY80+AT80)/2</f>
        <v>40.166707871840998</v>
      </c>
      <c r="BA80" s="649">
        <f t="shared" si="72"/>
        <v>0.94410366052114292</v>
      </c>
      <c r="BB80" s="644">
        <v>43166</v>
      </c>
      <c r="BC80" s="11">
        <v>43166</v>
      </c>
      <c r="BD80" s="292">
        <f>[2]!FeuilCaduc*(1-Persistant)+Persistant</f>
        <v>1</v>
      </c>
      <c r="BE80" s="293">
        <f>[2]!CroissVégét</f>
        <v>1.8402208892467707E-2</v>
      </c>
      <c r="BF80" s="844">
        <f>1+[2]!Salcycl*Ksac</f>
        <v>1.0006276762220585</v>
      </c>
      <c r="BH80" s="1107">
        <f t="shared" si="73"/>
        <v>1.841209895247E-2</v>
      </c>
      <c r="BI80" s="11">
        <v>44262</v>
      </c>
      <c r="BJ80" s="744">
        <v>3.7545427415551632E-3</v>
      </c>
      <c r="BK80" s="744">
        <v>8.9542883761305325E-3</v>
      </c>
      <c r="BL80" s="744">
        <v>1.6260637523332164E-2</v>
      </c>
      <c r="BM80" s="744">
        <v>2.7030007008772925E-2</v>
      </c>
      <c r="BN80" s="744">
        <v>4.1245697327142179E-2</v>
      </c>
      <c r="BO80" s="745">
        <v>6.6273803798574935E-2</v>
      </c>
      <c r="BP80" s="744">
        <v>0.11900190778402529</v>
      </c>
      <c r="BQ80" s="744">
        <v>0.2032778551165102</v>
      </c>
      <c r="BR80" s="744">
        <v>0.30352427251331193</v>
      </c>
      <c r="BS80" s="744">
        <v>0.4072497852170287</v>
      </c>
      <c r="BT80" s="744">
        <v>0.50976689152270882</v>
      </c>
      <c r="BW80" s="1191">
        <f>'2018'!R\Max</f>
        <v>0</v>
      </c>
      <c r="BX80" s="1189">
        <f>'2019'!R\Max</f>
        <v>0.90735733583994738</v>
      </c>
      <c r="BY80" s="1189">
        <f>'2020'!R\Max</f>
        <v>0.58055423813946427</v>
      </c>
      <c r="BZ80" s="1189">
        <f>'2021'!R\Max</f>
        <v>0.28760924788330344</v>
      </c>
      <c r="CA80" s="1189">
        <f>'2022'!R\Max</f>
        <v>0.94410366052114292</v>
      </c>
      <c r="CB80" s="1189">
        <f>'2023'!R\Max</f>
        <v>0.94365464249412945</v>
      </c>
      <c r="CC80" s="1189">
        <f>'2024'!R\Max</f>
        <v>0.94310456167513856</v>
      </c>
      <c r="CD80" s="1189">
        <f>'2025'!R\Max</f>
        <v>0.94216917402780032</v>
      </c>
      <c r="CE80" s="1189">
        <f>'2026'!R\Max</f>
        <v>0.94468604182251026</v>
      </c>
      <c r="CF80" s="1190">
        <f>'2027'!R\Max</f>
        <v>0.944542049274953</v>
      </c>
    </row>
    <row r="81" spans="1:84" s="6" customFormat="1" ht="11.25" x14ac:dyDescent="0.2">
      <c r="A81" s="11">
        <v>43167</v>
      </c>
      <c r="B81" s="382">
        <f>'2022'!Maxi_hp</f>
        <v>30.478520113862707</v>
      </c>
      <c r="C81" s="85">
        <f>'2022'!An_max</f>
        <v>2022</v>
      </c>
      <c r="D81" s="1134"/>
      <c r="E81" s="711"/>
      <c r="F81" s="13">
        <f t="shared" si="74"/>
        <v>7</v>
      </c>
      <c r="G81" s="13">
        <f t="shared" si="58"/>
        <v>6</v>
      </c>
      <c r="H81" s="175">
        <f t="shared" si="59"/>
        <v>43178</v>
      </c>
      <c r="I81" s="774">
        <f t="shared" si="60"/>
        <v>0.7857142857142857</v>
      </c>
      <c r="J81" s="765">
        <f t="shared" si="61"/>
        <v>40.578201749415271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P81" s="13">
        <f t="shared" si="62"/>
        <v>5</v>
      </c>
      <c r="AQ81" s="13">
        <f t="shared" si="63"/>
        <v>4</v>
      </c>
      <c r="AR81" s="175">
        <f t="shared" si="64"/>
        <v>43192</v>
      </c>
      <c r="AS81" s="774">
        <f t="shared" si="65"/>
        <v>0.8928571428571429</v>
      </c>
      <c r="AT81" s="791">
        <f t="shared" si="66"/>
        <v>40.536799999845343</v>
      </c>
      <c r="AU81" s="13">
        <f t="shared" si="67"/>
        <v>3</v>
      </c>
      <c r="AV81" s="13">
        <f t="shared" si="68"/>
        <v>4</v>
      </c>
      <c r="AW81" s="175">
        <f t="shared" si="69"/>
        <v>43150</v>
      </c>
      <c r="AX81" s="774">
        <f t="shared" si="70"/>
        <v>0.6071428571428571</v>
      </c>
      <c r="AY81" s="791">
        <f t="shared" si="71"/>
        <v>40.707123031966127</v>
      </c>
      <c r="AZ81" s="765">
        <f t="shared" si="75"/>
        <v>40.621961515905738</v>
      </c>
      <c r="BA81" s="649">
        <f t="shared" si="72"/>
        <v>0.75110573657448731</v>
      </c>
      <c r="BB81" s="644">
        <v>43167</v>
      </c>
      <c r="BC81" s="11">
        <v>43167</v>
      </c>
      <c r="BD81" s="292">
        <f>[2]!FeuilCaduc*(1-Persistant)+Persistant</f>
        <v>1</v>
      </c>
      <c r="BE81" s="293">
        <f>[2]!CroissVégét</f>
        <v>1.9215548548887868E-2</v>
      </c>
      <c r="BF81" s="844">
        <f>1+[2]!Salcycl*Ksac</f>
        <v>1.0006494631975054</v>
      </c>
      <c r="BH81" s="1107">
        <f t="shared" si="73"/>
        <v>1.8580136672515124E-2</v>
      </c>
      <c r="BI81" s="11">
        <v>44263</v>
      </c>
      <c r="BJ81" s="744">
        <v>3.7790628620367923E-3</v>
      </c>
      <c r="BK81" s="744">
        <v>9.0028157399850411E-3</v>
      </c>
      <c r="BL81" s="744">
        <v>1.6396714868668304E-2</v>
      </c>
      <c r="BM81" s="744">
        <v>2.7326065416038731E-2</v>
      </c>
      <c r="BN81" s="744">
        <v>4.1735731925061838E-2</v>
      </c>
      <c r="BO81" s="745">
        <v>6.5535909940538831E-2</v>
      </c>
      <c r="BP81" s="744">
        <v>0.11531209196670127</v>
      </c>
      <c r="BQ81" s="744">
        <v>0.19759601336635235</v>
      </c>
      <c r="BR81" s="744">
        <v>0.29760608585381026</v>
      </c>
      <c r="BS81" s="744">
        <v>0.40153719140887528</v>
      </c>
      <c r="BT81" s="744">
        <v>0.50202649131900323</v>
      </c>
      <c r="BW81" s="1191">
        <f>'2018'!R\Max</f>
        <v>0</v>
      </c>
      <c r="BX81" s="1189">
        <f>'2019'!R\Max</f>
        <v>0.65874314189567196</v>
      </c>
      <c r="BY81" s="1189">
        <f>'2020'!R\Max</f>
        <v>0.7412610806826716</v>
      </c>
      <c r="BZ81" s="1189">
        <f>'2021'!R\Max</f>
        <v>0.59073359685016025</v>
      </c>
      <c r="CA81" s="1189">
        <f>'2022'!R\Max</f>
        <v>0.75110573657448731</v>
      </c>
      <c r="CB81" s="1189">
        <f>'2023'!R\Max</f>
        <v>0.74962257044331304</v>
      </c>
      <c r="CC81" s="1189">
        <f>'2024'!R\Max</f>
        <v>0.74779701933338005</v>
      </c>
      <c r="CD81" s="1189">
        <f>'2025'!R\Max</f>
        <v>0.74463688000500872</v>
      </c>
      <c r="CE81" s="1189">
        <f>'2026'!R\Max</f>
        <v>0.75310201643644425</v>
      </c>
      <c r="CF81" s="1190">
        <f>'2027'!R\Max</f>
        <v>0.75258857656664968</v>
      </c>
    </row>
    <row r="82" spans="1:84" s="6" customFormat="1" ht="11.25" x14ac:dyDescent="0.2">
      <c r="A82" s="11">
        <v>43168</v>
      </c>
      <c r="B82" s="382">
        <f>'2022'!Maxi_hp</f>
        <v>39.141345127163731</v>
      </c>
      <c r="C82" s="85">
        <f>'2022'!An_max</f>
        <v>2021</v>
      </c>
      <c r="D82" s="1134"/>
      <c r="E82" s="711"/>
      <c r="F82" s="13">
        <f t="shared" si="74"/>
        <v>7</v>
      </c>
      <c r="G82" s="13">
        <f t="shared" si="58"/>
        <v>6</v>
      </c>
      <c r="H82" s="175">
        <f t="shared" si="59"/>
        <v>43178</v>
      </c>
      <c r="I82" s="774">
        <f t="shared" si="60"/>
        <v>0.7142857142857143</v>
      </c>
      <c r="J82" s="765">
        <f t="shared" si="61"/>
        <v>41.038516617992094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P82" s="13">
        <f t="shared" si="62"/>
        <v>5</v>
      </c>
      <c r="AQ82" s="13">
        <f t="shared" si="63"/>
        <v>4</v>
      </c>
      <c r="AR82" s="175">
        <f t="shared" si="64"/>
        <v>43192</v>
      </c>
      <c r="AS82" s="774">
        <f t="shared" si="65"/>
        <v>0.8571428571428571</v>
      </c>
      <c r="AT82" s="791">
        <f t="shared" si="66"/>
        <v>40.98925714311855</v>
      </c>
      <c r="AU82" s="13">
        <f t="shared" si="67"/>
        <v>3</v>
      </c>
      <c r="AV82" s="13">
        <f t="shared" si="68"/>
        <v>4</v>
      </c>
      <c r="AW82" s="175">
        <f t="shared" si="69"/>
        <v>43150</v>
      </c>
      <c r="AX82" s="774">
        <f t="shared" si="70"/>
        <v>0.6428571428571429</v>
      </c>
      <c r="AY82" s="791">
        <f t="shared" si="71"/>
        <v>41.170901457606149</v>
      </c>
      <c r="AZ82" s="765">
        <f t="shared" si="75"/>
        <v>41.08007930036235</v>
      </c>
      <c r="BA82" s="649">
        <f t="shared" si="72"/>
        <v>0.95377095355350627</v>
      </c>
      <c r="BB82" s="644">
        <v>43168</v>
      </c>
      <c r="BC82" s="11">
        <v>43168</v>
      </c>
      <c r="BD82" s="292">
        <f>[2]!FeuilCaduc*(1-Persistant)+Persistant</f>
        <v>1</v>
      </c>
      <c r="BE82" s="293">
        <f>[2]!CroissVégét</f>
        <v>2.0061577312061717E-2</v>
      </c>
      <c r="BF82" s="844">
        <f>1+[2]!Salcycl*Ksac</f>
        <v>1.0006728900997195</v>
      </c>
      <c r="BH82" s="1107">
        <f t="shared" si="73"/>
        <v>1.8728671867625953E-2</v>
      </c>
      <c r="BI82" s="11">
        <v>44264</v>
      </c>
      <c r="BJ82" s="744">
        <v>3.8028206666523229E-3</v>
      </c>
      <c r="BK82" s="744">
        <v>9.0413342346019158E-3</v>
      </c>
      <c r="BL82" s="744">
        <v>1.6514834529354389E-2</v>
      </c>
      <c r="BM82" s="744">
        <v>2.7596433275963245E-2</v>
      </c>
      <c r="BN82" s="744">
        <v>4.2192141744444113E-2</v>
      </c>
      <c r="BO82" s="745">
        <v>6.494723101482365E-2</v>
      </c>
      <c r="BP82" s="744">
        <v>0.11186319102785641</v>
      </c>
      <c r="BQ82" s="744">
        <v>0.19189173541848292</v>
      </c>
      <c r="BR82" s="744">
        <v>0.29150633684595134</v>
      </c>
      <c r="BS82" s="744">
        <v>0.39566079665197423</v>
      </c>
      <c r="BT82" s="744">
        <v>0.49458059597688575</v>
      </c>
      <c r="BW82" s="1191">
        <f>'2018'!R\Max</f>
        <v>0</v>
      </c>
      <c r="BX82" s="1189">
        <f>'2019'!R\Max</f>
        <v>0.54401411855703052</v>
      </c>
      <c r="BY82" s="1189">
        <f>'2020'!R\Max</f>
        <v>0.80554975379976435</v>
      </c>
      <c r="BZ82" s="1189">
        <f>'2021'!R\Max</f>
        <v>0.95377095355350627</v>
      </c>
      <c r="CA82" s="1189">
        <f>'2022'!R\Max</f>
        <v>0.77350005301539337</v>
      </c>
      <c r="CB82" s="1189">
        <f>'2023'!R\Max</f>
        <v>0.77220289125451369</v>
      </c>
      <c r="CC82" s="1189">
        <f>'2024'!R\Max</f>
        <v>0.77059366846728528</v>
      </c>
      <c r="CD82" s="1189">
        <f>'2025'!R\Max</f>
        <v>0.76774654082390836</v>
      </c>
      <c r="CE82" s="1189">
        <f>'2026'!R\Max</f>
        <v>0.7753127940140625</v>
      </c>
      <c r="CF82" s="1190">
        <f>'2027'!R\Max</f>
        <v>0.77483081579369684</v>
      </c>
    </row>
    <row r="83" spans="1:84" s="6" customFormat="1" ht="11.25" x14ac:dyDescent="0.2">
      <c r="A83" s="11">
        <v>43169</v>
      </c>
      <c r="B83" s="382">
        <f>'2022'!Maxi_hp</f>
        <v>39.134897044525324</v>
      </c>
      <c r="C83" s="85">
        <f>'2022'!An_max</f>
        <v>2021</v>
      </c>
      <c r="D83" s="1134"/>
      <c r="E83" s="711"/>
      <c r="F83" s="13">
        <f t="shared" si="74"/>
        <v>7</v>
      </c>
      <c r="G83" s="13">
        <f t="shared" si="58"/>
        <v>6</v>
      </c>
      <c r="H83" s="175">
        <f t="shared" si="59"/>
        <v>43178</v>
      </c>
      <c r="I83" s="774">
        <f t="shared" si="60"/>
        <v>0.6428571428571429</v>
      </c>
      <c r="J83" s="765">
        <f t="shared" si="61"/>
        <v>41.501369096298831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P83" s="13">
        <f t="shared" si="62"/>
        <v>5</v>
      </c>
      <c r="AQ83" s="13">
        <f t="shared" si="63"/>
        <v>4</v>
      </c>
      <c r="AR83" s="175">
        <f t="shared" si="64"/>
        <v>43192</v>
      </c>
      <c r="AS83" s="774">
        <f t="shared" si="65"/>
        <v>0.8214285714285714</v>
      </c>
      <c r="AT83" s="791">
        <f t="shared" si="66"/>
        <v>41.447200000472364</v>
      </c>
      <c r="AU83" s="13">
        <f t="shared" si="67"/>
        <v>3</v>
      </c>
      <c r="AV83" s="13">
        <f t="shared" si="68"/>
        <v>4</v>
      </c>
      <c r="AW83" s="175">
        <f t="shared" si="69"/>
        <v>43150</v>
      </c>
      <c r="AX83" s="774">
        <f t="shared" si="70"/>
        <v>0.6785714285714286</v>
      </c>
      <c r="AY83" s="791">
        <f t="shared" si="71"/>
        <v>41.633718950441107</v>
      </c>
      <c r="AZ83" s="765">
        <f t="shared" si="75"/>
        <v>41.540459475456736</v>
      </c>
      <c r="BA83" s="649">
        <f t="shared" si="72"/>
        <v>0.94297845822188664</v>
      </c>
      <c r="BB83" s="644">
        <v>43169</v>
      </c>
      <c r="BC83" s="11">
        <v>43169</v>
      </c>
      <c r="BD83" s="292">
        <f>[2]!FeuilCaduc*(1-Persistant)+Persistant</f>
        <v>1</v>
      </c>
      <c r="BE83" s="293">
        <f>[2]!CroissVégét</f>
        <v>2.0941547894735235E-2</v>
      </c>
      <c r="BF83" s="844">
        <f>1+[2]!Salcycl*Ksac</f>
        <v>1.0006983060111823</v>
      </c>
      <c r="BH83" s="1107">
        <f t="shared" si="73"/>
        <v>1.8857696629348338E-2</v>
      </c>
      <c r="BI83" s="11">
        <v>44265</v>
      </c>
      <c r="BJ83" s="744">
        <v>3.8258145993690365E-3</v>
      </c>
      <c r="BK83" s="744">
        <v>9.0698402453684001E-3</v>
      </c>
      <c r="BL83" s="744">
        <v>1.661498960880468E-2</v>
      </c>
      <c r="BM83" s="744">
        <v>2.7841098626945598E-2</v>
      </c>
      <c r="BN83" s="744">
        <v>4.2614908249203352E-2</v>
      </c>
      <c r="BO83" s="745">
        <v>6.4507747109833549E-2</v>
      </c>
      <c r="BP83" s="744">
        <v>0.10865518567051836</v>
      </c>
      <c r="BQ83" s="744">
        <v>0.18616498547093432</v>
      </c>
      <c r="BR83" s="744">
        <v>0.28522495477447313</v>
      </c>
      <c r="BS83" s="744">
        <v>0.38962049037770252</v>
      </c>
      <c r="BT83" s="744">
        <v>0.48742906949633746</v>
      </c>
      <c r="BW83" s="1191">
        <f>'2018'!R\Max</f>
        <v>0</v>
      </c>
      <c r="BX83" s="1189">
        <f>'2019'!R\Max</f>
        <v>0.42175621642481537</v>
      </c>
      <c r="BY83" s="1189">
        <f>'2020'!R\Max</f>
        <v>0.72308250718449529</v>
      </c>
      <c r="BZ83" s="1189">
        <f>'2021'!R\Max</f>
        <v>0.94297845822188664</v>
      </c>
      <c r="CA83" s="1189">
        <f>'2022'!R\Max</f>
        <v>0.53496207819910069</v>
      </c>
      <c r="CB83" s="1189">
        <f>'2023'!R\Max</f>
        <v>0.53324779945054346</v>
      </c>
      <c r="CC83" s="1189">
        <f>'2024'!R\Max</f>
        <v>0.53111529574568039</v>
      </c>
      <c r="CD83" s="1189">
        <f>'2025'!R\Max</f>
        <v>0.52729155161048569</v>
      </c>
      <c r="CE83" s="1189">
        <f>'2026'!R\Max</f>
        <v>0.53747285558853319</v>
      </c>
      <c r="CF83" s="1190">
        <f>'2027'!R\Max</f>
        <v>0.53678464217148625</v>
      </c>
    </row>
    <row r="84" spans="1:84" s="6" customFormat="1" ht="11.25" x14ac:dyDescent="0.2">
      <c r="A84" s="11">
        <v>43170</v>
      </c>
      <c r="B84" s="382">
        <f>'2022'!Maxi_hp</f>
        <v>33.079373904008349</v>
      </c>
      <c r="C84" s="85">
        <f>'2022'!An_max</f>
        <v>2019</v>
      </c>
      <c r="D84" s="1134"/>
      <c r="E84" s="711"/>
      <c r="F84" s="13">
        <f t="shared" si="74"/>
        <v>7</v>
      </c>
      <c r="G84" s="13">
        <f t="shared" si="58"/>
        <v>6</v>
      </c>
      <c r="H84" s="175">
        <f t="shared" si="59"/>
        <v>43178</v>
      </c>
      <c r="I84" s="774">
        <f t="shared" si="60"/>
        <v>0.5714285714285714</v>
      </c>
      <c r="J84" s="765">
        <f t="shared" si="61"/>
        <v>41.966087463311851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P84" s="13">
        <f t="shared" si="62"/>
        <v>5</v>
      </c>
      <c r="AQ84" s="13">
        <f t="shared" si="63"/>
        <v>4</v>
      </c>
      <c r="AR84" s="175">
        <f t="shared" si="64"/>
        <v>43192</v>
      </c>
      <c r="AS84" s="774">
        <f t="shared" si="65"/>
        <v>0.7857142857142857</v>
      </c>
      <c r="AT84" s="791">
        <f t="shared" si="66"/>
        <v>41.909942857309112</v>
      </c>
      <c r="AU84" s="13">
        <f t="shared" si="67"/>
        <v>3</v>
      </c>
      <c r="AV84" s="13">
        <f t="shared" si="68"/>
        <v>4</v>
      </c>
      <c r="AW84" s="175">
        <f t="shared" si="69"/>
        <v>43150</v>
      </c>
      <c r="AX84" s="774">
        <f t="shared" si="70"/>
        <v>0.7142857142857143</v>
      </c>
      <c r="AY84" s="791">
        <f t="shared" si="71"/>
        <v>42.095057725799933</v>
      </c>
      <c r="AZ84" s="765">
        <f t="shared" si="75"/>
        <v>42.002500291554526</v>
      </c>
      <c r="BA84" s="649">
        <f t="shared" si="72"/>
        <v>0.78824059862448315</v>
      </c>
      <c r="BB84" s="644">
        <v>43170</v>
      </c>
      <c r="BC84" s="11">
        <v>43170</v>
      </c>
      <c r="BD84" s="292">
        <f>[2]!FeuilCaduc*(1-Persistant)+Persistant</f>
        <v>1</v>
      </c>
      <c r="BE84" s="293">
        <f>[2]!CroissVégét</f>
        <v>2.1856755910064932E-2</v>
      </c>
      <c r="BF84" s="844">
        <f>1+[2]!Salcycl*Ksac</f>
        <v>1.0007260833421092</v>
      </c>
      <c r="BH84" s="1107">
        <f t="shared" si="73"/>
        <v>1.8967203113286792E-2</v>
      </c>
      <c r="BI84" s="11">
        <v>44266</v>
      </c>
      <c r="BJ84" s="744">
        <v>3.848043080010217E-3</v>
      </c>
      <c r="BK84" s="744">
        <v>9.0883302463631559E-3</v>
      </c>
      <c r="BL84" s="744">
        <v>1.6697173297033591E-2</v>
      </c>
      <c r="BM84" s="744">
        <v>2.8060049481151175E-2</v>
      </c>
      <c r="BN84" s="744">
        <v>4.300401271702118E-2</v>
      </c>
      <c r="BO84" s="745">
        <v>6.4217437007565367E-2</v>
      </c>
      <c r="BP84" s="744">
        <v>0.10568805818515559</v>
      </c>
      <c r="BQ84" s="744">
        <v>0.18041573648403961</v>
      </c>
      <c r="BR84" s="744">
        <v>0.27876188058900064</v>
      </c>
      <c r="BS84" s="744">
        <v>0.38341617308997389</v>
      </c>
      <c r="BT84" s="744">
        <v>0.48057178258705552</v>
      </c>
      <c r="BW84" s="1191">
        <f>'2018'!R\Max</f>
        <v>0</v>
      </c>
      <c r="BX84" s="1189">
        <f>'2019'!R\Max</f>
        <v>0.78824059862448315</v>
      </c>
      <c r="BY84" s="1189">
        <f>'2020'!R\Max</f>
        <v>0.77309623941565608</v>
      </c>
      <c r="BZ84" s="1189">
        <f>'2021'!R\Max</f>
        <v>0.76291007019688706</v>
      </c>
      <c r="CA84" s="1189">
        <f>'2022'!R\Max</f>
        <v>0.37558551890800074</v>
      </c>
      <c r="CB84" s="1189">
        <f>'2023'!R\Max</f>
        <v>0.37408170991552703</v>
      </c>
      <c r="CC84" s="1189">
        <f>'2024'!R\Max</f>
        <v>0.37220523968307212</v>
      </c>
      <c r="CD84" s="1189">
        <f>'2025'!R\Max</f>
        <v>0.36879475034358672</v>
      </c>
      <c r="CE84" s="1189">
        <f>'2026'!R\Max</f>
        <v>0.37790194701123342</v>
      </c>
      <c r="CF84" s="1190">
        <f>'2027'!R\Max</f>
        <v>0.37725099062528539</v>
      </c>
    </row>
    <row r="85" spans="1:84" s="6" customFormat="1" ht="11.25" x14ac:dyDescent="0.2">
      <c r="A85" s="11">
        <v>43171</v>
      </c>
      <c r="B85" s="382">
        <f>'2022'!Maxi_hp</f>
        <v>39.985849154638863</v>
      </c>
      <c r="C85" s="85">
        <f>'2022'!An_max</f>
        <v>2020</v>
      </c>
      <c r="D85" s="1134"/>
      <c r="E85" s="711"/>
      <c r="F85" s="13">
        <f t="shared" si="74"/>
        <v>7</v>
      </c>
      <c r="G85" s="13">
        <f t="shared" si="58"/>
        <v>6</v>
      </c>
      <c r="H85" s="175">
        <f t="shared" si="59"/>
        <v>43178</v>
      </c>
      <c r="I85" s="774">
        <f t="shared" si="60"/>
        <v>0.5</v>
      </c>
      <c r="J85" s="765">
        <f t="shared" si="61"/>
        <v>42.432000000029802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P85" s="13">
        <f t="shared" si="62"/>
        <v>5</v>
      </c>
      <c r="AQ85" s="13">
        <f t="shared" si="63"/>
        <v>4</v>
      </c>
      <c r="AR85" s="175">
        <f t="shared" si="64"/>
        <v>43192</v>
      </c>
      <c r="AS85" s="774">
        <f t="shared" si="65"/>
        <v>0.75</v>
      </c>
      <c r="AT85" s="791">
        <f t="shared" si="66"/>
        <v>42.376800000574441</v>
      </c>
      <c r="AU85" s="13">
        <f t="shared" si="67"/>
        <v>3</v>
      </c>
      <c r="AV85" s="13">
        <f t="shared" si="68"/>
        <v>4</v>
      </c>
      <c r="AW85" s="175">
        <f t="shared" si="69"/>
        <v>43150</v>
      </c>
      <c r="AX85" s="774">
        <f t="shared" si="70"/>
        <v>0.75</v>
      </c>
      <c r="AY85" s="791">
        <f t="shared" si="71"/>
        <v>42.554399999743325</v>
      </c>
      <c r="AZ85" s="765">
        <f t="shared" si="75"/>
        <v>42.465600000158886</v>
      </c>
      <c r="BA85" s="649">
        <f t="shared" si="72"/>
        <v>0.94235127155474119</v>
      </c>
      <c r="BB85" s="644">
        <v>43171</v>
      </c>
      <c r="BC85" s="11">
        <v>43171</v>
      </c>
      <c r="BD85" s="292">
        <f>[2]!FeuilCaduc*(1-Persistant)+Persistant</f>
        <v>1</v>
      </c>
      <c r="BE85" s="293">
        <f>[2]!CroissVégét</f>
        <v>2.2808540908775418E-2</v>
      </c>
      <c r="BF85" s="844">
        <f>1+[2]!Salcycl*Ksac</f>
        <v>1.00075661660714</v>
      </c>
      <c r="BH85" s="1107">
        <f t="shared" si="73"/>
        <v>1.9057183611149279E-2</v>
      </c>
      <c r="BI85" s="11">
        <v>44267</v>
      </c>
      <c r="BJ85" s="744">
        <v>3.8695045070541311E-3</v>
      </c>
      <c r="BK85" s="744">
        <v>9.0968008373327452E-3</v>
      </c>
      <c r="BL85" s="744">
        <v>1.6761378936997421E-2</v>
      </c>
      <c r="BM85" s="744">
        <v>2.82532739194007E-2</v>
      </c>
      <c r="BN85" s="744">
        <v>4.3359436363508752E-2</v>
      </c>
      <c r="BO85" s="745">
        <v>6.4076277631215914E-2</v>
      </c>
      <c r="BP85" s="744">
        <v>0.10296179155771806</v>
      </c>
      <c r="BQ85" s="744">
        <v>0.1746439702622187</v>
      </c>
      <c r="BR85" s="744">
        <v>0.27211706757393156</v>
      </c>
      <c r="BS85" s="744">
        <v>0.37704775696883058</v>
      </c>
      <c r="BT85" s="744">
        <v>0.4740086115759759</v>
      </c>
      <c r="BW85" s="1191">
        <f>'2018'!R\Max</f>
        <v>0</v>
      </c>
      <c r="BX85" s="1189">
        <f>'2019'!R\Max</f>
        <v>0.86590280423196264</v>
      </c>
      <c r="BY85" s="1189">
        <f>'2020'!R\Max</f>
        <v>0.94235127155474119</v>
      </c>
      <c r="BZ85" s="1189">
        <f>'2021'!R\Max</f>
        <v>0.65047222544436778</v>
      </c>
      <c r="CA85" s="1189">
        <f>'2022'!R\Max</f>
        <v>0.35204291328130644</v>
      </c>
      <c r="CB85" s="1189">
        <f>'2023'!R\Max</f>
        <v>0.35068166174835647</v>
      </c>
      <c r="CC85" s="1189">
        <f>'2024'!R\Max</f>
        <v>0.34897686957907648</v>
      </c>
      <c r="CD85" s="1189">
        <f>'2025'!R\Max</f>
        <v>0.34583366786958025</v>
      </c>
      <c r="CE85" s="1189">
        <f>'2026'!R\Max</f>
        <v>0.35425467794012522</v>
      </c>
      <c r="CF85" s="1190">
        <f>'2027'!R\Max</f>
        <v>0.35362126275572486</v>
      </c>
    </row>
    <row r="86" spans="1:84" s="6" customFormat="1" ht="11.25" x14ac:dyDescent="0.2">
      <c r="A86" s="11">
        <v>43172</v>
      </c>
      <c r="B86" s="382">
        <f>'2022'!Maxi_hp</f>
        <v>40.053703033892276</v>
      </c>
      <c r="C86" s="85">
        <f>'2022'!An_max</f>
        <v>2021</v>
      </c>
      <c r="D86" s="1134"/>
      <c r="E86" s="711"/>
      <c r="F86" s="13">
        <f t="shared" si="74"/>
        <v>7</v>
      </c>
      <c r="G86" s="13">
        <f t="shared" si="58"/>
        <v>6</v>
      </c>
      <c r="H86" s="175">
        <f t="shared" si="59"/>
        <v>43178</v>
      </c>
      <c r="I86" s="774">
        <f t="shared" si="60"/>
        <v>0.42857142857142855</v>
      </c>
      <c r="J86" s="765">
        <f t="shared" si="61"/>
        <v>42.8984349855887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P86" s="13">
        <f t="shared" si="62"/>
        <v>5</v>
      </c>
      <c r="AQ86" s="13">
        <f t="shared" si="63"/>
        <v>4</v>
      </c>
      <c r="AR86" s="175">
        <f t="shared" si="64"/>
        <v>43192</v>
      </c>
      <c r="AS86" s="774">
        <f t="shared" si="65"/>
        <v>0.7142857142857143</v>
      </c>
      <c r="AT86" s="791">
        <f t="shared" si="66"/>
        <v>42.84708571434021</v>
      </c>
      <c r="AU86" s="13">
        <f t="shared" si="67"/>
        <v>3</v>
      </c>
      <c r="AV86" s="13">
        <f t="shared" si="68"/>
        <v>4</v>
      </c>
      <c r="AW86" s="175">
        <f t="shared" si="69"/>
        <v>43150</v>
      </c>
      <c r="AX86" s="774">
        <f t="shared" si="70"/>
        <v>0.7857142857142857</v>
      </c>
      <c r="AY86" s="791">
        <f t="shared" si="71"/>
        <v>43.011227988052582</v>
      </c>
      <c r="AZ86" s="765">
        <f t="shared" si="75"/>
        <v>42.929156851196396</v>
      </c>
      <c r="BA86" s="649">
        <f t="shared" si="72"/>
        <v>0.93368681275547505</v>
      </c>
      <c r="BB86" s="644">
        <v>43172</v>
      </c>
      <c r="BC86" s="11">
        <v>43172</v>
      </c>
      <c r="BD86" s="292">
        <f>[2]!FeuilCaduc*(1-Persistant)+Persistant</f>
        <v>1</v>
      </c>
      <c r="BE86" s="293">
        <f>[2]!CroissVégét</f>
        <v>2.3798287402466985E-2</v>
      </c>
      <c r="BF86" s="844">
        <f>1+[2]!Salcycl*Ksac</f>
        <v>1.0007903210909299</v>
      </c>
      <c r="BH86" s="1107">
        <f t="shared" si="73"/>
        <v>1.9117358134662834E-2</v>
      </c>
      <c r="BI86" s="11">
        <v>44268</v>
      </c>
      <c r="BJ86" s="744">
        <v>3.8816028759901776E-3</v>
      </c>
      <c r="BK86" s="744">
        <v>9.0888086986096323E-3</v>
      </c>
      <c r="BL86" s="744">
        <v>1.679913553713528E-2</v>
      </c>
      <c r="BM86" s="744">
        <v>2.8403245824288825E-2</v>
      </c>
      <c r="BN86" s="744">
        <v>4.3652701699291641E-2</v>
      </c>
      <c r="BO86" s="745">
        <v>6.4049923842968384E-2</v>
      </c>
      <c r="BP86" s="744">
        <v>0.10053550488278751</v>
      </c>
      <c r="BQ86" s="744">
        <v>0.16905871047494681</v>
      </c>
      <c r="BR86" s="744">
        <v>0.26535620070827831</v>
      </c>
      <c r="BS86" s="744">
        <v>0.37041893360396433</v>
      </c>
      <c r="BT86" s="744">
        <v>0.46750047865191224</v>
      </c>
      <c r="BW86" s="1191">
        <f>'2018'!R\Max</f>
        <v>0</v>
      </c>
      <c r="BX86" s="1189">
        <f>'2019'!R\Max</f>
        <v>0.50070338463514208</v>
      </c>
      <c r="BY86" s="1189">
        <f>'2020'!R\Max</f>
        <v>0.39617538938220331</v>
      </c>
      <c r="BZ86" s="1189">
        <f>'2021'!R\Max</f>
        <v>0.93368681275547505</v>
      </c>
      <c r="CA86" s="1189">
        <f>'2022'!R\Max</f>
        <v>0.22980740206392</v>
      </c>
      <c r="CB86" s="1189">
        <f>'2023'!R\Max</f>
        <v>0.22890966047840736</v>
      </c>
      <c r="CC86" s="1189">
        <f>'2024'!R\Max</f>
        <v>0.22778366113154183</v>
      </c>
      <c r="CD86" s="1189">
        <f>'2025'!R\Max</f>
        <v>0.22568520950162912</v>
      </c>
      <c r="CE86" s="1189">
        <f>'2026'!R\Max</f>
        <v>0.23135058570669528</v>
      </c>
      <c r="CF86" s="1190">
        <f>'2027'!R\Max</f>
        <v>0.23090249300098814</v>
      </c>
    </row>
    <row r="87" spans="1:84" s="6" customFormat="1" ht="11.25" x14ac:dyDescent="0.2">
      <c r="A87" s="11">
        <v>43173</v>
      </c>
      <c r="B87" s="382">
        <f>'2022'!Maxi_hp</f>
        <v>37.84988818165337</v>
      </c>
      <c r="C87" s="85">
        <f>'2022'!An_max</f>
        <v>2020</v>
      </c>
      <c r="D87" s="1134"/>
      <c r="E87" s="711"/>
      <c r="F87" s="13">
        <f t="shared" si="74"/>
        <v>7</v>
      </c>
      <c r="G87" s="13">
        <f t="shared" si="58"/>
        <v>6</v>
      </c>
      <c r="H87" s="175">
        <f t="shared" si="59"/>
        <v>43178</v>
      </c>
      <c r="I87" s="774">
        <f t="shared" si="60"/>
        <v>0.35714285714285715</v>
      </c>
      <c r="J87" s="765">
        <f t="shared" si="61"/>
        <v>43.36472069965675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P87" s="13">
        <f t="shared" si="62"/>
        <v>5</v>
      </c>
      <c r="AQ87" s="13">
        <f t="shared" si="63"/>
        <v>4</v>
      </c>
      <c r="AR87" s="175">
        <f t="shared" si="64"/>
        <v>43192</v>
      </c>
      <c r="AS87" s="774">
        <f t="shared" si="65"/>
        <v>0.6785714285714286</v>
      </c>
      <c r="AT87" s="791">
        <f t="shared" si="66"/>
        <v>43.320114286031043</v>
      </c>
      <c r="AU87" s="13">
        <f t="shared" si="67"/>
        <v>3</v>
      </c>
      <c r="AV87" s="13">
        <f t="shared" si="68"/>
        <v>4</v>
      </c>
      <c r="AW87" s="175">
        <f t="shared" si="69"/>
        <v>43150</v>
      </c>
      <c r="AX87" s="774">
        <f t="shared" si="70"/>
        <v>0.8214285714285714</v>
      </c>
      <c r="AY87" s="791">
        <f t="shared" si="71"/>
        <v>43.465023906795039</v>
      </c>
      <c r="AZ87" s="765">
        <f t="shared" si="75"/>
        <v>43.392569096413041</v>
      </c>
      <c r="BA87" s="649">
        <f t="shared" si="72"/>
        <v>0.87282674881733913</v>
      </c>
      <c r="BB87" s="644">
        <v>43173</v>
      </c>
      <c r="BC87" s="11">
        <v>43173</v>
      </c>
      <c r="BD87" s="292">
        <f>[2]!FeuilCaduc*(1-Persistant)+Persistant</f>
        <v>1</v>
      </c>
      <c r="BE87" s="293">
        <f>[2]!CroissVégét</f>
        <v>2.4827425868542252E-2</v>
      </c>
      <c r="BF87" s="844">
        <f>1+[2]!Salcycl*Ksac</f>
        <v>1.0008276314165465</v>
      </c>
      <c r="BH87" s="1107">
        <f t="shared" si="73"/>
        <v>1.9157810490874977E-2</v>
      </c>
      <c r="BI87" s="11">
        <v>44269</v>
      </c>
      <c r="BJ87" s="744">
        <v>3.8829673729435681E-3</v>
      </c>
      <c r="BK87" s="744">
        <v>9.0699740703809335E-3</v>
      </c>
      <c r="BL87" s="744">
        <v>1.6820153696580197E-2</v>
      </c>
      <c r="BM87" s="744">
        <v>2.8521543926940941E-2</v>
      </c>
      <c r="BN87" s="744">
        <v>4.389719908536871E-2</v>
      </c>
      <c r="BO87" s="745">
        <v>6.4022497680938359E-2</v>
      </c>
      <c r="BP87" s="744">
        <v>9.8347907422522404E-2</v>
      </c>
      <c r="BQ87" s="744">
        <v>0.16372632519457309</v>
      </c>
      <c r="BR87" s="744">
        <v>0.25858745138576228</v>
      </c>
      <c r="BS87" s="744">
        <v>0.36359704058752002</v>
      </c>
      <c r="BT87" s="744">
        <v>0.46110192644101161</v>
      </c>
      <c r="BW87" s="1191">
        <f>'2018'!R\Max</f>
        <v>0</v>
      </c>
      <c r="BX87" s="1189">
        <f>'2019'!R\Max</f>
        <v>0.55351421323088523</v>
      </c>
      <c r="BY87" s="1189">
        <f>'2020'!R\Max</f>
        <v>0.87282674881733913</v>
      </c>
      <c r="BZ87" s="1189">
        <f>'2021'!R\Max</f>
        <v>0.59211467643630755</v>
      </c>
      <c r="CA87" s="1189">
        <f>'2022'!R\Max</f>
        <v>0.31323156994643919</v>
      </c>
      <c r="CB87" s="1189">
        <f>'2023'!R\Max</f>
        <v>0.31211301274756559</v>
      </c>
      <c r="CC87" s="1189">
        <f>'2024'!R\Max</f>
        <v>0.31070857786171918</v>
      </c>
      <c r="CD87" s="1189">
        <f>'2025'!R\Max</f>
        <v>0.30806788100542537</v>
      </c>
      <c r="CE87" s="1189">
        <f>'2026'!R\Max</f>
        <v>0.31525932569949783</v>
      </c>
      <c r="CF87" s="1190">
        <f>'2027'!R\Max</f>
        <v>0.31466375217295861</v>
      </c>
    </row>
    <row r="88" spans="1:84" s="6" customFormat="1" ht="11.25" x14ac:dyDescent="0.2">
      <c r="A88" s="11">
        <v>43174</v>
      </c>
      <c r="B88" s="382">
        <f>'2022'!Maxi_hp</f>
        <v>32.044042478479284</v>
      </c>
      <c r="C88" s="85">
        <f>'2022'!An_max</f>
        <v>2020</v>
      </c>
      <c r="D88" s="1134"/>
      <c r="E88" s="711"/>
      <c r="F88" s="13">
        <f t="shared" si="74"/>
        <v>7</v>
      </c>
      <c r="G88" s="13">
        <f t="shared" si="58"/>
        <v>6</v>
      </c>
      <c r="H88" s="175">
        <f t="shared" si="59"/>
        <v>43178</v>
      </c>
      <c r="I88" s="774">
        <f t="shared" si="60"/>
        <v>0.2857142857142857</v>
      </c>
      <c r="J88" s="765">
        <f t="shared" si="61"/>
        <v>43.830185422727041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P88" s="13">
        <f t="shared" si="62"/>
        <v>5</v>
      </c>
      <c r="AQ88" s="13">
        <f t="shared" si="63"/>
        <v>4</v>
      </c>
      <c r="AR88" s="175">
        <f t="shared" si="64"/>
        <v>43192</v>
      </c>
      <c r="AS88" s="774">
        <f t="shared" si="65"/>
        <v>0.6428571428571429</v>
      </c>
      <c r="AT88" s="791">
        <f t="shared" si="66"/>
        <v>43.795199999984888</v>
      </c>
      <c r="AU88" s="13">
        <f t="shared" si="67"/>
        <v>3</v>
      </c>
      <c r="AV88" s="13">
        <f t="shared" si="68"/>
        <v>4</v>
      </c>
      <c r="AW88" s="175">
        <f t="shared" si="69"/>
        <v>43150</v>
      </c>
      <c r="AX88" s="774">
        <f t="shared" si="70"/>
        <v>0.8571428571428571</v>
      </c>
      <c r="AY88" s="791">
        <f t="shared" si="71"/>
        <v>43.91526997084064</v>
      </c>
      <c r="AZ88" s="765">
        <f t="shared" si="75"/>
        <v>43.855234985412764</v>
      </c>
      <c r="BA88" s="649">
        <f t="shared" si="72"/>
        <v>0.73109529812446672</v>
      </c>
      <c r="BB88" s="644">
        <v>43174</v>
      </c>
      <c r="BC88" s="11">
        <v>43174</v>
      </c>
      <c r="BD88" s="292">
        <f>[2]!FeuilCaduc*(1-Persistant)+Persistant</f>
        <v>1</v>
      </c>
      <c r="BE88" s="293">
        <f>[2]!CroissVégét</f>
        <v>2.5897433731805454E-2</v>
      </c>
      <c r="BF88" s="844">
        <f>1+[2]!Salcycl*Ksac</f>
        <v>1.0008690000308975</v>
      </c>
      <c r="BH88" s="1107">
        <f t="shared" si="73"/>
        <v>1.9178533949920779E-2</v>
      </c>
      <c r="BI88" s="11">
        <v>44270</v>
      </c>
      <c r="BJ88" s="744">
        <v>3.8735970004412398E-3</v>
      </c>
      <c r="BK88" s="744">
        <v>9.0402942760960444E-3</v>
      </c>
      <c r="BL88" s="744">
        <v>1.6824427652188816E-2</v>
      </c>
      <c r="BM88" s="744">
        <v>2.8608157625185825E-2</v>
      </c>
      <c r="BN88" s="744">
        <v>4.4092911472561731E-2</v>
      </c>
      <c r="BO88" s="745">
        <v>6.3993975806176828E-2</v>
      </c>
      <c r="BP88" s="744">
        <v>9.6398978275633304E-2</v>
      </c>
      <c r="BQ88" s="744">
        <v>0.1586468055991824</v>
      </c>
      <c r="BR88" s="744">
        <v>0.25181080359424385</v>
      </c>
      <c r="BS88" s="744">
        <v>0.35658203152049661</v>
      </c>
      <c r="BT88" s="744">
        <v>0.45481285460771637</v>
      </c>
      <c r="BW88" s="1191">
        <f>'2018'!R\Max</f>
        <v>0</v>
      </c>
      <c r="BX88" s="1189">
        <f>'2019'!R\Max</f>
        <v>0.32293232750184847</v>
      </c>
      <c r="BY88" s="1189">
        <f>'2020'!R\Max</f>
        <v>0.73109529812446672</v>
      </c>
      <c r="BZ88" s="1189">
        <f>'2021'!R\Max</f>
        <v>0.42543461867217858</v>
      </c>
      <c r="CA88" s="1189">
        <f>'2022'!R\Max</f>
        <v>0.35836967090596028</v>
      </c>
      <c r="CB88" s="1189">
        <f>'2023'!R\Max</f>
        <v>0.35724756197247975</v>
      </c>
      <c r="CC88" s="1189">
        <f>'2024'!R\Max</f>
        <v>0.35583911264889928</v>
      </c>
      <c r="CD88" s="1189">
        <f>'2025'!R\Max</f>
        <v>0.3531763495280647</v>
      </c>
      <c r="CE88" s="1189">
        <f>'2026'!R\Max</f>
        <v>0.36050810863819333</v>
      </c>
      <c r="CF88" s="1190">
        <f>'2027'!R\Max</f>
        <v>0.35987410658570113</v>
      </c>
    </row>
    <row r="89" spans="1:84" s="6" customFormat="1" ht="11.25" x14ac:dyDescent="0.2">
      <c r="A89" s="11">
        <v>43175</v>
      </c>
      <c r="B89" s="382">
        <f>'2022'!Maxi_hp</f>
        <v>45.869563285625219</v>
      </c>
      <c r="C89" s="85">
        <f>'2022'!An_max</f>
        <v>2020</v>
      </c>
      <c r="D89" s="1134"/>
      <c r="E89" s="711"/>
      <c r="F89" s="13">
        <f t="shared" si="74"/>
        <v>7</v>
      </c>
      <c r="G89" s="13">
        <f t="shared" si="58"/>
        <v>6</v>
      </c>
      <c r="H89" s="175">
        <f t="shared" si="59"/>
        <v>43178</v>
      </c>
      <c r="I89" s="774">
        <f t="shared" si="60"/>
        <v>0.21428571428571427</v>
      </c>
      <c r="J89" s="765">
        <f t="shared" si="61"/>
        <v>44.294157434520976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P89" s="13">
        <f t="shared" si="62"/>
        <v>5</v>
      </c>
      <c r="AQ89" s="13">
        <f t="shared" si="63"/>
        <v>4</v>
      </c>
      <c r="AR89" s="175">
        <f t="shared" si="64"/>
        <v>43192</v>
      </c>
      <c r="AS89" s="774">
        <f t="shared" si="65"/>
        <v>0.6071428571428571</v>
      </c>
      <c r="AT89" s="791">
        <f t="shared" si="66"/>
        <v>44.271657143400184</v>
      </c>
      <c r="AU89" s="13">
        <f t="shared" si="67"/>
        <v>3</v>
      </c>
      <c r="AV89" s="13">
        <f t="shared" si="68"/>
        <v>4</v>
      </c>
      <c r="AW89" s="175">
        <f t="shared" si="69"/>
        <v>43150</v>
      </c>
      <c r="AX89" s="774">
        <f t="shared" si="70"/>
        <v>0.8928571428571429</v>
      </c>
      <c r="AY89" s="791">
        <f t="shared" si="71"/>
        <v>44.361448396396426</v>
      </c>
      <c r="AZ89" s="765">
        <f t="shared" si="75"/>
        <v>44.316552769898308</v>
      </c>
      <c r="BA89" s="649">
        <f t="shared" si="72"/>
        <v>1.0355668996172493</v>
      </c>
      <c r="BB89" s="644">
        <v>43175</v>
      </c>
      <c r="BC89" s="11">
        <v>43175</v>
      </c>
      <c r="BD89" s="292">
        <f>[2]!FeuilCaduc*(1-Persistant)+Persistant</f>
        <v>1</v>
      </c>
      <c r="BE89" s="293">
        <f>[2]!CroissVégét</f>
        <v>2.7009836317349309E-2</v>
      </c>
      <c r="BF89" s="844">
        <f>1+[2]!Salcycl*Ksac</f>
        <v>1.0009148956215679</v>
      </c>
      <c r="BH89" s="1107">
        <f t="shared" si="73"/>
        <v>1.9179522226227416E-2</v>
      </c>
      <c r="BI89" s="11">
        <v>44271</v>
      </c>
      <c r="BJ89" s="744">
        <v>3.8534910341665295E-3</v>
      </c>
      <c r="BK89" s="744">
        <v>8.9997669444353088E-3</v>
      </c>
      <c r="BL89" s="744">
        <v>1.6811952037536663E-2</v>
      </c>
      <c r="BM89" s="744">
        <v>2.8663076951703965E-2</v>
      </c>
      <c r="BN89" s="744">
        <v>4.4239822696866583E-2</v>
      </c>
      <c r="BO89" s="745">
        <v>6.3964334940269416E-2</v>
      </c>
      <c r="BP89" s="744">
        <v>9.4688693638156851E-2</v>
      </c>
      <c r="BQ89" s="744">
        <v>0.15382014424746471</v>
      </c>
      <c r="BR89" s="744">
        <v>0.24502625151324406</v>
      </c>
      <c r="BS89" s="744">
        <v>0.34937387501721573</v>
      </c>
      <c r="BT89" s="744">
        <v>0.44863316941970655</v>
      </c>
      <c r="BW89" s="1191">
        <f>'2018'!R\Max</f>
        <v>0</v>
      </c>
      <c r="BX89" s="1189">
        <f>'2019'!R\Max</f>
        <v>0.97984831261927841</v>
      </c>
      <c r="BY89" s="1189">
        <f>'2020'!R\Max</f>
        <v>1.0355668996172493</v>
      </c>
      <c r="BZ89" s="1189">
        <f>'2021'!R\Max</f>
        <v>0.75958535933967353</v>
      </c>
      <c r="CA89" s="1189">
        <f>'2022'!R\Max</f>
        <v>0.31110301151807224</v>
      </c>
      <c r="CB89" s="1189">
        <f>'2023'!R\Max</f>
        <v>0.31011757248740435</v>
      </c>
      <c r="CC89" s="1189">
        <f>'2024'!R\Max</f>
        <v>0.30888475641985147</v>
      </c>
      <c r="CD89" s="1189">
        <f>'2025'!R\Max</f>
        <v>0.30655573403264347</v>
      </c>
      <c r="CE89" s="1189">
        <f>'2026'!R\Max</f>
        <v>0.31307280226216705</v>
      </c>
      <c r="CF89" s="1190">
        <f>'2027'!R\Max</f>
        <v>0.31248403248308165</v>
      </c>
    </row>
    <row r="90" spans="1:84" s="6" customFormat="1" ht="11.25" x14ac:dyDescent="0.2">
      <c r="A90" s="11">
        <v>43176</v>
      </c>
      <c r="B90" s="382">
        <f>'2022'!Maxi_hp</f>
        <v>24.974741617292128</v>
      </c>
      <c r="C90" s="85">
        <f>'2022'!An_max</f>
        <v>2021</v>
      </c>
      <c r="D90" s="1134"/>
      <c r="E90" s="711"/>
      <c r="F90" s="13">
        <f t="shared" si="74"/>
        <v>7</v>
      </c>
      <c r="G90" s="13">
        <f t="shared" si="58"/>
        <v>6</v>
      </c>
      <c r="H90" s="175">
        <f t="shared" si="59"/>
        <v>43178</v>
      </c>
      <c r="I90" s="774">
        <f t="shared" si="60"/>
        <v>0.14285714285714285</v>
      </c>
      <c r="J90" s="765">
        <f t="shared" si="61"/>
        <v>44.755965014653547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P90" s="13">
        <f t="shared" si="62"/>
        <v>5</v>
      </c>
      <c r="AQ90" s="13">
        <f t="shared" si="63"/>
        <v>4</v>
      </c>
      <c r="AR90" s="175">
        <f t="shared" si="64"/>
        <v>43192</v>
      </c>
      <c r="AS90" s="774">
        <f t="shared" si="65"/>
        <v>0.5714285714285714</v>
      </c>
      <c r="AT90" s="791">
        <f t="shared" si="66"/>
        <v>44.748800000229053</v>
      </c>
      <c r="AU90" s="13">
        <f t="shared" si="67"/>
        <v>3</v>
      </c>
      <c r="AV90" s="13">
        <f t="shared" si="68"/>
        <v>4</v>
      </c>
      <c r="AW90" s="175">
        <f t="shared" si="69"/>
        <v>43150</v>
      </c>
      <c r="AX90" s="774">
        <f t="shared" si="70"/>
        <v>0.9285714285714286</v>
      </c>
      <c r="AY90" s="791">
        <f t="shared" si="71"/>
        <v>44.80304139925699</v>
      </c>
      <c r="AZ90" s="765">
        <f t="shared" si="75"/>
        <v>44.775920699743025</v>
      </c>
      <c r="BA90" s="649">
        <f t="shared" si="72"/>
        <v>0.5580204026237654</v>
      </c>
      <c r="BB90" s="644">
        <v>43176</v>
      </c>
      <c r="BC90" s="11">
        <v>43176</v>
      </c>
      <c r="BD90" s="292">
        <f>[2]!FeuilCaduc*(1-Persistant)+Persistant</f>
        <v>1</v>
      </c>
      <c r="BE90" s="293">
        <f>[2]!CroissVégét</f>
        <v>2.8166207768877807E-2</v>
      </c>
      <c r="BF90" s="844">
        <f>1+[2]!Salcycl*Ksac</f>
        <v>1.0009658014793861</v>
      </c>
      <c r="BH90" s="1107">
        <f t="shared" si="73"/>
        <v>1.9160769551232831E-2</v>
      </c>
      <c r="BI90" s="11">
        <v>44272</v>
      </c>
      <c r="BJ90" s="744">
        <v>3.8226490626200029E-3</v>
      </c>
      <c r="BK90" s="744">
        <v>8.9483900493092898E-3</v>
      </c>
      <c r="BL90" s="744">
        <v>1.678272194462934E-2</v>
      </c>
      <c r="BM90" s="744">
        <v>2.868629269083783E-2</v>
      </c>
      <c r="BN90" s="744">
        <v>4.4337917659300792E-2</v>
      </c>
      <c r="BO90" s="745">
        <v>6.393355186850494E-2</v>
      </c>
      <c r="BP90" s="744">
        <v>9.3217025919369256E-2</v>
      </c>
      <c r="BQ90" s="744">
        <v>0.14924633414156907</v>
      </c>
      <c r="BR90" s="744">
        <v>0.2382337995403794</v>
      </c>
      <c r="BS90" s="744">
        <v>0.34197255541553856</v>
      </c>
      <c r="BT90" s="744">
        <v>0.44256278333722382</v>
      </c>
      <c r="BW90" s="1191">
        <f>'2018'!R\Max</f>
        <v>0</v>
      </c>
      <c r="BX90" s="1189">
        <f>'2019'!R\Max</f>
        <v>0.36782843333052545</v>
      </c>
      <c r="BY90" s="1189">
        <f>'2020'!R\Max</f>
        <v>0.21575539556294943</v>
      </c>
      <c r="BZ90" s="1189">
        <f>'2021'!R\Max</f>
        <v>0.5580204026237654</v>
      </c>
      <c r="CA90" s="1189">
        <f>'2022'!R\Max</f>
        <v>0.27001851861271942</v>
      </c>
      <c r="CB90" s="1189">
        <f>'2023'!R\Max</f>
        <v>0.26919246573393529</v>
      </c>
      <c r="CC90" s="1189">
        <f>'2024'!R\Max</f>
        <v>0.26816441656312245</v>
      </c>
      <c r="CD90" s="1189">
        <f>'2025'!R\Max</f>
        <v>0.26623269151637263</v>
      </c>
      <c r="CE90" s="1189">
        <f>'2026'!R\Max</f>
        <v>0.27174206263825501</v>
      </c>
      <c r="CF90" s="1190">
        <f>'2027'!R\Max</f>
        <v>0.271223760810343</v>
      </c>
    </row>
    <row r="91" spans="1:84" s="6" customFormat="1" ht="11.25" x14ac:dyDescent="0.2">
      <c r="A91" s="11">
        <v>43177</v>
      </c>
      <c r="B91" s="382">
        <f>'2022'!Maxi_hp</f>
        <v>30.155899568656967</v>
      </c>
      <c r="C91" s="85">
        <f>'2022'!An_max</f>
        <v>2019</v>
      </c>
      <c r="D91" s="1134"/>
      <c r="E91" s="711"/>
      <c r="F91" s="13">
        <f t="shared" si="74"/>
        <v>7</v>
      </c>
      <c r="G91" s="13">
        <f t="shared" si="58"/>
        <v>6</v>
      </c>
      <c r="H91" s="175">
        <f t="shared" si="59"/>
        <v>43178</v>
      </c>
      <c r="I91" s="774">
        <f t="shared" si="60"/>
        <v>7.1428571428571425E-2</v>
      </c>
      <c r="J91" s="765">
        <f t="shared" si="61"/>
        <v>45.214936443258608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P91" s="13">
        <f t="shared" si="62"/>
        <v>5</v>
      </c>
      <c r="AQ91" s="13">
        <f t="shared" si="63"/>
        <v>4</v>
      </c>
      <c r="AR91" s="175">
        <f t="shared" si="64"/>
        <v>43192</v>
      </c>
      <c r="AS91" s="774">
        <f t="shared" si="65"/>
        <v>0.5357142857142857</v>
      </c>
      <c r="AT91" s="791">
        <f t="shared" si="66"/>
        <v>45.225942857643325</v>
      </c>
      <c r="AU91" s="13">
        <f t="shared" si="67"/>
        <v>3</v>
      </c>
      <c r="AV91" s="13">
        <f t="shared" si="68"/>
        <v>4</v>
      </c>
      <c r="AW91" s="175">
        <f t="shared" si="69"/>
        <v>43150</v>
      </c>
      <c r="AX91" s="774">
        <f t="shared" si="70"/>
        <v>0.9642857142857143</v>
      </c>
      <c r="AY91" s="791">
        <f t="shared" si="71"/>
        <v>45.23953119521029</v>
      </c>
      <c r="AZ91" s="765">
        <f t="shared" si="75"/>
        <v>45.232737026426804</v>
      </c>
      <c r="BA91" s="649">
        <f t="shared" si="72"/>
        <v>0.66694552598786427</v>
      </c>
      <c r="BB91" s="644">
        <v>43177</v>
      </c>
      <c r="BC91" s="11">
        <v>43177</v>
      </c>
      <c r="BD91" s="292">
        <f>[2]!FeuilCaduc*(1-Persistant)+Persistant</f>
        <v>1</v>
      </c>
      <c r="BE91" s="293">
        <f>[2]!CroissVégét</f>
        <v>2.9368171926128662E-2</v>
      </c>
      <c r="BF91" s="844">
        <f>1+[2]!Salcycl*Ksac</f>
        <v>1.0010222138208305</v>
      </c>
      <c r="BH91" s="1107">
        <f t="shared" si="73"/>
        <v>1.912227074604483E-2</v>
      </c>
      <c r="BI91" s="11">
        <v>44273</v>
      </c>
      <c r="BJ91" s="744">
        <v>3.7810710267682686E-3</v>
      </c>
      <c r="BK91" s="744">
        <v>8.886161949830015E-3</v>
      </c>
      <c r="BL91" s="744">
        <v>1.6736732985561466E-2</v>
      </c>
      <c r="BM91" s="744">
        <v>2.867779649531323E-2</v>
      </c>
      <c r="BN91" s="744">
        <v>4.4387182505614055E-2</v>
      </c>
      <c r="BO91" s="745">
        <v>6.3901603442844998E-2</v>
      </c>
      <c r="BP91" s="744">
        <v>9.1983942857400317E-2</v>
      </c>
      <c r="BQ91" s="744">
        <v>0.14492536778946502</v>
      </c>
      <c r="BR91" s="744">
        <v>0.23143346231701509</v>
      </c>
      <c r="BS91" s="744">
        <v>0.33437807348597692</v>
      </c>
      <c r="BT91" s="744">
        <v>0.43660161460098323</v>
      </c>
      <c r="BW91" s="1191">
        <f>'2018'!R\Max</f>
        <v>0</v>
      </c>
      <c r="BX91" s="1189">
        <f>'2019'!R\Max</f>
        <v>0.66694552598786427</v>
      </c>
      <c r="BY91" s="1189">
        <f>'2020'!R\Max</f>
        <v>0.24801741981711076</v>
      </c>
      <c r="BZ91" s="1189">
        <f>'2021'!R\Max</f>
        <v>0.438217377415485</v>
      </c>
      <c r="CA91" s="1189">
        <f>'2022'!R\Max</f>
        <v>0.33562471907704872</v>
      </c>
      <c r="CB91" s="1189">
        <f>'2023'!R\Max</f>
        <v>0.33469885647794689</v>
      </c>
      <c r="CC91" s="1189">
        <f>'2024'!R\Max</f>
        <v>0.33355496095313553</v>
      </c>
      <c r="CD91" s="1189">
        <f>'2025'!R\Max</f>
        <v>0.33142846884335053</v>
      </c>
      <c r="CE91" s="1189">
        <f>'2026'!R\Max</f>
        <v>0.33762940254474832</v>
      </c>
      <c r="CF91" s="1190">
        <f>'2027'!R\Max</f>
        <v>0.33702419289924385</v>
      </c>
    </row>
    <row r="92" spans="1:84" s="6" customFormat="1" ht="11.25" x14ac:dyDescent="0.2">
      <c r="A92" s="11">
        <v>43178</v>
      </c>
      <c r="B92" s="382">
        <f>'2022'!Maxi_hp</f>
        <v>42.600345506877346</v>
      </c>
      <c r="C92" s="85">
        <f>'2022'!An_max</f>
        <v>2020</v>
      </c>
      <c r="D92" s="1134"/>
      <c r="E92" s="773">
        <f>S$13/10</f>
        <v>45.670400000000001</v>
      </c>
      <c r="F92" s="13">
        <f t="shared" si="74"/>
        <v>7</v>
      </c>
      <c r="G92" s="13">
        <f t="shared" si="58"/>
        <v>8</v>
      </c>
      <c r="H92" s="175">
        <f t="shared" si="59"/>
        <v>43178</v>
      </c>
      <c r="I92" s="774">
        <f t="shared" si="60"/>
        <v>0</v>
      </c>
      <c r="J92" s="765">
        <f t="shared" si="61"/>
        <v>45.670399999991062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P92" s="13">
        <f t="shared" si="62"/>
        <v>5</v>
      </c>
      <c r="AQ92" s="13">
        <f t="shared" si="63"/>
        <v>4</v>
      </c>
      <c r="AR92" s="175">
        <f t="shared" si="64"/>
        <v>43192</v>
      </c>
      <c r="AS92" s="774">
        <f t="shared" si="65"/>
        <v>0.5</v>
      </c>
      <c r="AT92" s="791">
        <f t="shared" si="66"/>
        <v>45.702400000020859</v>
      </c>
      <c r="AU92" s="13">
        <f t="shared" si="67"/>
        <v>5</v>
      </c>
      <c r="AV92" s="13">
        <f t="shared" si="68"/>
        <v>4</v>
      </c>
      <c r="AW92" s="175">
        <f t="shared" si="69"/>
        <v>43206</v>
      </c>
      <c r="AX92" s="774">
        <f t="shared" si="70"/>
        <v>1</v>
      </c>
      <c r="AY92" s="791">
        <f t="shared" si="71"/>
        <v>45.670399999804793</v>
      </c>
      <c r="AZ92" s="765">
        <f t="shared" si="75"/>
        <v>45.686399999912823</v>
      </c>
      <c r="BA92" s="649">
        <f t="shared" si="72"/>
        <v>0.93277802486699668</v>
      </c>
      <c r="BB92" s="644">
        <v>43178</v>
      </c>
      <c r="BC92" s="11">
        <v>43178</v>
      </c>
      <c r="BD92" s="292">
        <f>[2]!FeuilCaduc*(1-Persistant)+Persistant</f>
        <v>1</v>
      </c>
      <c r="BE92" s="293">
        <f>[2]!CroissVégét</f>
        <v>3.0617403154541836E-2</v>
      </c>
      <c r="BF92" s="844">
        <f>1+[2]!Salcycl*Ksac</f>
        <v>1.0010846400839761</v>
      </c>
      <c r="BH92" s="1107">
        <f t="shared" si="73"/>
        <v>1.9064021294162431E-2</v>
      </c>
      <c r="BI92" s="11">
        <v>44274</v>
      </c>
      <c r="BJ92" s="744">
        <v>3.728757259705289E-3</v>
      </c>
      <c r="BK92" s="744">
        <v>8.8130814303113963E-3</v>
      </c>
      <c r="BL92" s="744">
        <v>1.6673981354230184E-2</v>
      </c>
      <c r="BM92" s="744">
        <v>2.8637581003053813E-2</v>
      </c>
      <c r="BN92" s="744">
        <v>4.4387604806142504E-2</v>
      </c>
      <c r="BO92" s="745">
        <v>6.3868466585101341E-2</v>
      </c>
      <c r="BP92" s="744">
        <v>9.098940663515552E-2</v>
      </c>
      <c r="BQ92" s="744">
        <v>0.14085723626780422</v>
      </c>
      <c r="BR92" s="744">
        <v>0.22462526475471364</v>
      </c>
      <c r="BS92" s="744">
        <v>0.3265904471419383</v>
      </c>
      <c r="BT92" s="744">
        <v>0.43074958682154157</v>
      </c>
      <c r="BW92" s="1191">
        <f>'2018'!R\Max</f>
        <v>0</v>
      </c>
      <c r="BX92" s="1189">
        <f>'2019'!R\Max</f>
        <v>0.3606347638449145</v>
      </c>
      <c r="BY92" s="1189">
        <f>'2020'!R\Max</f>
        <v>0.93277802486699668</v>
      </c>
      <c r="BZ92" s="1189">
        <f>'2021'!R\Max</f>
        <v>0.28804829798440118</v>
      </c>
      <c r="CA92" s="1189">
        <f>'2022'!R\Max</f>
        <v>0.67174460888320842</v>
      </c>
      <c r="CB92" s="1189">
        <f>'2023'!R\Max</f>
        <v>0.67086480205102583</v>
      </c>
      <c r="CC92" s="1189">
        <f>'2024'!R\Max</f>
        <v>0.66978591194305881</v>
      </c>
      <c r="CD92" s="1189">
        <f>'2025'!R\Max</f>
        <v>0.66780741514841235</v>
      </c>
      <c r="CE92" s="1189">
        <f>'2026'!R\Max</f>
        <v>0.67370225090194946</v>
      </c>
      <c r="CF92" s="1190">
        <f>'2027'!R\Max</f>
        <v>0.67311109544234049</v>
      </c>
    </row>
    <row r="93" spans="1:84" s="6" customFormat="1" ht="11.25" x14ac:dyDescent="0.2">
      <c r="A93" s="11">
        <v>43179</v>
      </c>
      <c r="B93" s="382">
        <f>'2022'!Maxi_hp</f>
        <v>46.71339553405334</v>
      </c>
      <c r="C93" s="85">
        <f>'2022'!An_max</f>
        <v>2019</v>
      </c>
      <c r="D93" s="1134"/>
      <c r="E93" s="711"/>
      <c r="F93" s="13">
        <f t="shared" si="74"/>
        <v>7</v>
      </c>
      <c r="G93" s="13">
        <f t="shared" si="58"/>
        <v>8</v>
      </c>
      <c r="H93" s="175">
        <f t="shared" si="59"/>
        <v>43178</v>
      </c>
      <c r="I93" s="774">
        <f t="shared" si="60"/>
        <v>7.1428571428571425E-2</v>
      </c>
      <c r="J93" s="765">
        <f t="shared" si="61"/>
        <v>46.12530379046553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P93" s="13">
        <f t="shared" si="62"/>
        <v>5</v>
      </c>
      <c r="AQ93" s="13">
        <f t="shared" si="63"/>
        <v>4</v>
      </c>
      <c r="AR93" s="175">
        <f t="shared" si="64"/>
        <v>43192</v>
      </c>
      <c r="AS93" s="774">
        <f t="shared" si="65"/>
        <v>0.4642857142857143</v>
      </c>
      <c r="AT93" s="791">
        <f t="shared" si="66"/>
        <v>46.177485714200884</v>
      </c>
      <c r="AU93" s="13">
        <f t="shared" si="67"/>
        <v>5</v>
      </c>
      <c r="AV93" s="13">
        <f t="shared" si="68"/>
        <v>4</v>
      </c>
      <c r="AW93" s="175">
        <f t="shared" si="69"/>
        <v>43206</v>
      </c>
      <c r="AX93" s="774">
        <f t="shared" si="70"/>
        <v>0.9642857142857143</v>
      </c>
      <c r="AY93" s="791">
        <f t="shared" si="71"/>
        <v>46.100277550851125</v>
      </c>
      <c r="AZ93" s="765">
        <f t="shared" si="75"/>
        <v>46.138881632526008</v>
      </c>
      <c r="BA93" s="649">
        <f t="shared" si="72"/>
        <v>1.0127498725267881</v>
      </c>
      <c r="BB93" s="644">
        <v>43179</v>
      </c>
      <c r="BC93" s="11">
        <v>43179</v>
      </c>
      <c r="BD93" s="292">
        <f>[2]!FeuilCaduc*(1-Persistant)+Persistant</f>
        <v>1</v>
      </c>
      <c r="BE93" s="293">
        <f>[2]!CroissVégét</f>
        <v>3.1915627119784788E-2</v>
      </c>
      <c r="BF93" s="844">
        <f>1+[2]!Salcycl*Ksac</f>
        <v>1.0011535972111323</v>
      </c>
      <c r="BH93" s="1107">
        <f t="shared" si="73"/>
        <v>1.8986018044488615E-2</v>
      </c>
      <c r="BI93" s="11">
        <v>44275</v>
      </c>
      <c r="BJ93" s="744">
        <v>3.6657086480062486E-3</v>
      </c>
      <c r="BK93" s="744">
        <v>8.7291480300565327E-3</v>
      </c>
      <c r="BL93" s="744">
        <v>1.6594464438945945E-2</v>
      </c>
      <c r="BM93" s="744">
        <v>2.8565640902308408E-2</v>
      </c>
      <c r="BN93" s="744">
        <v>4.4339175207621068E-2</v>
      </c>
      <c r="BO93" s="745">
        <v>6.383412040925833E-2</v>
      </c>
      <c r="BP93" s="744">
        <v>9.0233375991766826E-2</v>
      </c>
      <c r="BQ93" s="744">
        <v>0.13704193283421678</v>
      </c>
      <c r="BR93" s="744">
        <v>0.21780924929238102</v>
      </c>
      <c r="BS93" s="744">
        <v>0.3186097227270005</v>
      </c>
      <c r="BT93" s="744">
        <v>0.42500664267784682</v>
      </c>
      <c r="BW93" s="1191">
        <f>'2018'!R\Max</f>
        <v>0</v>
      </c>
      <c r="BX93" s="1189">
        <f>'2019'!R\Max</f>
        <v>1.0127498725267881</v>
      </c>
      <c r="BY93" s="1189">
        <f>'2020'!R\Max</f>
        <v>0.96367703037244334</v>
      </c>
      <c r="BZ93" s="1189">
        <f>'2021'!R\Max</f>
        <v>0.83942948135185591</v>
      </c>
      <c r="CA93" s="1189">
        <f>'2022'!R\Max</f>
        <v>0.75091382615726721</v>
      </c>
      <c r="CB93" s="1189">
        <f>'2023'!R\Max</f>
        <v>0.75019209095645478</v>
      </c>
      <c r="CC93" s="1189">
        <f>'2024'!R\Max</f>
        <v>0.74931835642028188</v>
      </c>
      <c r="CD93" s="1189">
        <f>'2025'!R\Max</f>
        <v>0.74775629908463004</v>
      </c>
      <c r="CE93" s="1189">
        <f>'2026'!R\Max</f>
        <v>0.75255881237426048</v>
      </c>
      <c r="CF93" s="1190">
        <f>'2027'!R\Max</f>
        <v>0.75206204405659061</v>
      </c>
    </row>
    <row r="94" spans="1:84" s="6" customFormat="1" ht="11.25" x14ac:dyDescent="0.2">
      <c r="A94" s="11">
        <v>43180</v>
      </c>
      <c r="B94" s="382">
        <f>'2022'!Maxi_hp</f>
        <v>47.074007170656884</v>
      </c>
      <c r="C94" s="85">
        <f>'2022'!An_max</f>
        <v>2020</v>
      </c>
      <c r="D94" s="1134"/>
      <c r="E94" s="711"/>
      <c r="F94" s="13">
        <f t="shared" si="74"/>
        <v>7</v>
      </c>
      <c r="G94" s="13">
        <f t="shared" si="58"/>
        <v>8</v>
      </c>
      <c r="H94" s="175">
        <f t="shared" si="59"/>
        <v>43178</v>
      </c>
      <c r="I94" s="774">
        <f t="shared" si="60"/>
        <v>0.14285714285714285</v>
      </c>
      <c r="J94" s="765">
        <f t="shared" si="61"/>
        <v>46.582446647595091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P94" s="13">
        <f t="shared" si="62"/>
        <v>5</v>
      </c>
      <c r="AQ94" s="13">
        <f t="shared" si="63"/>
        <v>4</v>
      </c>
      <c r="AR94" s="175">
        <f t="shared" si="64"/>
        <v>43192</v>
      </c>
      <c r="AS94" s="774">
        <f t="shared" si="65"/>
        <v>0.42857142857142855</v>
      </c>
      <c r="AT94" s="791">
        <f t="shared" si="66"/>
        <v>46.650514285851798</v>
      </c>
      <c r="AU94" s="13">
        <f t="shared" si="67"/>
        <v>5</v>
      </c>
      <c r="AV94" s="13">
        <f t="shared" si="68"/>
        <v>4</v>
      </c>
      <c r="AW94" s="175">
        <f t="shared" si="69"/>
        <v>43206</v>
      </c>
      <c r="AX94" s="774">
        <f t="shared" si="70"/>
        <v>0.9285714285714286</v>
      </c>
      <c r="AY94" s="791">
        <f t="shared" si="71"/>
        <v>46.533746938327589</v>
      </c>
      <c r="AZ94" s="765">
        <f t="shared" si="75"/>
        <v>46.59213061208969</v>
      </c>
      <c r="BA94" s="649">
        <f t="shared" si="72"/>
        <v>1.0105524840028377</v>
      </c>
      <c r="BB94" s="644">
        <v>43180</v>
      </c>
      <c r="BC94" s="11">
        <v>43180</v>
      </c>
      <c r="BD94" s="292">
        <f>[2]!FeuilCaduc*(1-Persistant)+Persistant</f>
        <v>1</v>
      </c>
      <c r="BE94" s="293">
        <f>[2]!CroissVégét</f>
        <v>3.3264621499185201E-2</v>
      </c>
      <c r="BF94" s="844">
        <f>1+[2]!Salcycl*Ksac</f>
        <v>1.0012296099306042</v>
      </c>
      <c r="BH94" s="1107">
        <f t="shared" si="73"/>
        <v>1.8876942248279207E-2</v>
      </c>
      <c r="BI94" s="11">
        <v>44276</v>
      </c>
      <c r="BJ94" s="744">
        <v>3.5898706964001348E-3</v>
      </c>
      <c r="BK94" s="744">
        <v>8.6297746691586259E-3</v>
      </c>
      <c r="BL94" s="744">
        <v>1.6488065916993547E-2</v>
      </c>
      <c r="BM94" s="744">
        <v>2.8445840998719742E-2</v>
      </c>
      <c r="BN94" s="744">
        <v>4.4219747307581027E-2</v>
      </c>
      <c r="BO94" s="745">
        <v>6.3773323992132022E-2</v>
      </c>
      <c r="BP94" s="744">
        <v>8.9680661665253167E-2</v>
      </c>
      <c r="BQ94" s="744">
        <v>0.1335867019691207</v>
      </c>
      <c r="BR94" s="744">
        <v>0.21117632705246084</v>
      </c>
      <c r="BS94" s="744">
        <v>0.31047124170407675</v>
      </c>
      <c r="BT94" s="744">
        <v>0.41885402873132449</v>
      </c>
      <c r="BW94" s="1191">
        <f>'2018'!R\Max</f>
        <v>0</v>
      </c>
      <c r="BX94" s="1189">
        <f>'2019'!R\Max</f>
        <v>0.9931509744906013</v>
      </c>
      <c r="BY94" s="1189">
        <f>'2020'!R\Max</f>
        <v>1.0105524840028377</v>
      </c>
      <c r="BZ94" s="1189">
        <f>'2021'!R\Max</f>
        <v>0.87354479904780502</v>
      </c>
      <c r="CA94" s="1189">
        <f>'2022'!R\Max</f>
        <v>0.99951560737602818</v>
      </c>
      <c r="CB94" s="1189">
        <f>'2023'!R\Max</f>
        <v>0.99951378566967763</v>
      </c>
      <c r="CC94" s="1189">
        <f>'2024'!R\Max</f>
        <v>0.99951160970848296</v>
      </c>
      <c r="CD94" s="1189">
        <f>'2025'!R\Max</f>
        <v>0.9995078336910499</v>
      </c>
      <c r="CE94" s="1189">
        <f>'2026'!R\Max</f>
        <v>0.99951982136523299</v>
      </c>
      <c r="CF94" s="1190">
        <f>'2027'!R\Max</f>
        <v>0.99951855248065657</v>
      </c>
    </row>
    <row r="95" spans="1:84" s="6" customFormat="1" ht="11.25" x14ac:dyDescent="0.2">
      <c r="A95" s="11">
        <v>43181</v>
      </c>
      <c r="B95" s="382">
        <f>'2022'!Maxi_hp</f>
        <v>46.536327342743263</v>
      </c>
      <c r="C95" s="85">
        <f>'2022'!An_max</f>
        <v>2020</v>
      </c>
      <c r="D95" s="1134"/>
      <c r="E95" s="711"/>
      <c r="F95" s="13">
        <f t="shared" si="74"/>
        <v>7</v>
      </c>
      <c r="G95" s="13">
        <f t="shared" si="58"/>
        <v>8</v>
      </c>
      <c r="H95" s="175">
        <f t="shared" si="59"/>
        <v>43178</v>
      </c>
      <c r="I95" s="774">
        <f t="shared" si="60"/>
        <v>0.21428571428571427</v>
      </c>
      <c r="J95" s="765">
        <f t="shared" si="61"/>
        <v>47.040932944696394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P95" s="13">
        <f t="shared" si="62"/>
        <v>5</v>
      </c>
      <c r="AQ95" s="13">
        <f t="shared" si="63"/>
        <v>4</v>
      </c>
      <c r="AR95" s="175">
        <f t="shared" si="64"/>
        <v>43192</v>
      </c>
      <c r="AS95" s="774">
        <f t="shared" si="65"/>
        <v>0.39285714285714285</v>
      </c>
      <c r="AT95" s="791">
        <f t="shared" si="66"/>
        <v>47.120799999511135</v>
      </c>
      <c r="AU95" s="13">
        <f t="shared" si="67"/>
        <v>5</v>
      </c>
      <c r="AV95" s="13">
        <f t="shared" si="68"/>
        <v>4</v>
      </c>
      <c r="AW95" s="175">
        <f t="shared" si="69"/>
        <v>43206</v>
      </c>
      <c r="AX95" s="774">
        <f t="shared" si="70"/>
        <v>0.8928571428571429</v>
      </c>
      <c r="AY95" s="791">
        <f t="shared" si="71"/>
        <v>46.970220408069771</v>
      </c>
      <c r="AZ95" s="765">
        <f t="shared" si="75"/>
        <v>47.045510203790457</v>
      </c>
      <c r="BA95" s="649">
        <f t="shared" si="72"/>
        <v>0.9892730528421626</v>
      </c>
      <c r="BB95" s="644">
        <v>43181</v>
      </c>
      <c r="BC95" s="11">
        <v>43181</v>
      </c>
      <c r="BD95" s="292">
        <f>[2]!FeuilCaduc*(1-Persistant)+Persistant</f>
        <v>1</v>
      </c>
      <c r="BE95" s="293">
        <f>[2]!CroissVégét</f>
        <v>3.4666216621534622E-2</v>
      </c>
      <c r="BF95" s="844">
        <f>1+[2]!Salcycl*Ksac</f>
        <v>1.0013132090491663</v>
      </c>
      <c r="BH95" s="1107">
        <f t="shared" si="73"/>
        <v>1.8746216679659405E-2</v>
      </c>
      <c r="BI95" s="11">
        <v>44277</v>
      </c>
      <c r="BJ95" s="744">
        <v>3.5033780487956001E-3</v>
      </c>
      <c r="BK95" s="744">
        <v>8.5193514112331878E-3</v>
      </c>
      <c r="BL95" s="744">
        <v>1.6363036158103139E-2</v>
      </c>
      <c r="BM95" s="744">
        <v>2.8292300257171752E-2</v>
      </c>
      <c r="BN95" s="744">
        <v>4.4049567496230929E-2</v>
      </c>
      <c r="BO95" s="745">
        <v>6.3652752531543941E-2</v>
      </c>
      <c r="BP95" s="744">
        <v>8.9151624624564205E-2</v>
      </c>
      <c r="BQ95" s="744">
        <v>0.13044748966918707</v>
      </c>
      <c r="BR95" s="744">
        <v>0.20479974338481599</v>
      </c>
      <c r="BS95" s="744">
        <v>0.30227136897511681</v>
      </c>
      <c r="BT95" s="744">
        <v>0.41194277036555998</v>
      </c>
      <c r="BW95" s="1191">
        <f>'2018'!R\Max</f>
        <v>0</v>
      </c>
      <c r="BX95" s="1189">
        <f>'2019'!R\Max</f>
        <v>0.96619722194999036</v>
      </c>
      <c r="BY95" s="1189">
        <f>'2020'!R\Max</f>
        <v>0.9892730528421626</v>
      </c>
      <c r="BZ95" s="1189">
        <f>'2021'!R\Max</f>
        <v>0.80805052149755108</v>
      </c>
      <c r="CA95" s="1189">
        <f>'2022'!R\Max</f>
        <v>0.91472468701266629</v>
      </c>
      <c r="CB95" s="1189">
        <f>'2023'!R\Max</f>
        <v>0.91443810116223168</v>
      </c>
      <c r="CC95" s="1189">
        <f>'2024'!R\Max</f>
        <v>0.91410108900504172</v>
      </c>
      <c r="CD95" s="1189">
        <f>'2025'!R\Max</f>
        <v>0.91353602565722192</v>
      </c>
      <c r="CE95" s="1189">
        <f>'2026'!R\Max</f>
        <v>0.91539808032864556</v>
      </c>
      <c r="CF95" s="1190">
        <f>'2027'!R\Max</f>
        <v>0.91519555509176753</v>
      </c>
    </row>
    <row r="96" spans="1:84" s="6" customFormat="1" ht="11.25" x14ac:dyDescent="0.2">
      <c r="A96" s="11">
        <v>43182</v>
      </c>
      <c r="B96" s="382">
        <f>'2022'!Maxi_hp</f>
        <v>48.667959104368599</v>
      </c>
      <c r="C96" s="85">
        <f>'2022'!An_max</f>
        <v>2022</v>
      </c>
      <c r="D96" s="1134"/>
      <c r="E96" s="711"/>
      <c r="F96" s="13">
        <f t="shared" si="74"/>
        <v>7</v>
      </c>
      <c r="G96" s="13">
        <f t="shared" si="58"/>
        <v>8</v>
      </c>
      <c r="H96" s="175">
        <f t="shared" si="59"/>
        <v>43178</v>
      </c>
      <c r="I96" s="774">
        <f t="shared" si="60"/>
        <v>0.2857142857142857</v>
      </c>
      <c r="J96" s="765">
        <f t="shared" si="61"/>
        <v>47.499867055458679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P96" s="13">
        <f t="shared" si="62"/>
        <v>5</v>
      </c>
      <c r="AQ96" s="13">
        <f t="shared" si="63"/>
        <v>4</v>
      </c>
      <c r="AR96" s="175">
        <f t="shared" si="64"/>
        <v>43192</v>
      </c>
      <c r="AS96" s="774">
        <f t="shared" si="65"/>
        <v>0.35714285714285715</v>
      </c>
      <c r="AT96" s="791">
        <f t="shared" si="66"/>
        <v>47.587657143521518</v>
      </c>
      <c r="AU96" s="13">
        <f t="shared" si="67"/>
        <v>5</v>
      </c>
      <c r="AV96" s="13">
        <f t="shared" si="68"/>
        <v>4</v>
      </c>
      <c r="AW96" s="175">
        <f t="shared" si="69"/>
        <v>43206</v>
      </c>
      <c r="AX96" s="774">
        <f t="shared" si="70"/>
        <v>0.8571428571428571</v>
      </c>
      <c r="AY96" s="791">
        <f t="shared" si="71"/>
        <v>47.409110204183627</v>
      </c>
      <c r="AZ96" s="765">
        <f t="shared" si="75"/>
        <v>47.498383673852572</v>
      </c>
      <c r="BA96" s="649">
        <f t="shared" si="72"/>
        <v>1.0245914803834315</v>
      </c>
      <c r="BB96" s="644">
        <v>43182</v>
      </c>
      <c r="BC96" s="11">
        <v>43182</v>
      </c>
      <c r="BD96" s="292">
        <f>[2]!FeuilCaduc*(1-Persistant)+Persistant</f>
        <v>1</v>
      </c>
      <c r="BE96" s="293">
        <f>[2]!CroissVégét</f>
        <v>3.6122296026123907E-2</v>
      </c>
      <c r="BF96" s="844">
        <f>1+[2]!Salcycl*Ksac</f>
        <v>1.0014049297658574</v>
      </c>
      <c r="BH96" s="1107">
        <f t="shared" si="73"/>
        <v>1.8593838456035763E-2</v>
      </c>
      <c r="BI96" s="11">
        <v>44278</v>
      </c>
      <c r="BJ96" s="744">
        <v>3.4062311309120989E-3</v>
      </c>
      <c r="BK96" s="744">
        <v>8.3978771426820534E-3</v>
      </c>
      <c r="BL96" s="744">
        <v>1.6219372613956905E-2</v>
      </c>
      <c r="BM96" s="744">
        <v>2.8105014456094313E-2</v>
      </c>
      <c r="BN96" s="744">
        <v>4.3828628915042904E-2</v>
      </c>
      <c r="BO96" s="745">
        <v>6.3472394138484198E-2</v>
      </c>
      <c r="BP96" s="744">
        <v>8.864623322491523E-2</v>
      </c>
      <c r="BQ96" s="744">
        <v>0.12762421105678148</v>
      </c>
      <c r="BR96" s="744">
        <v>0.19867939962957995</v>
      </c>
      <c r="BS96" s="744">
        <v>0.29401002044315455</v>
      </c>
      <c r="BT96" s="744">
        <v>0.40427284620703563</v>
      </c>
      <c r="BW96" s="1191">
        <f>'2018'!R\Max</f>
        <v>0</v>
      </c>
      <c r="BX96" s="1189">
        <f>'2019'!R\Max</f>
        <v>0.90648383050603598</v>
      </c>
      <c r="BY96" s="1189">
        <f>'2020'!R\Max</f>
        <v>0.92832361813525355</v>
      </c>
      <c r="BZ96" s="1189">
        <f>'2021'!R\Max</f>
        <v>0.99866844612017425</v>
      </c>
      <c r="CA96" s="1189">
        <f>'2022'!R\Max</f>
        <v>1.0245914803834315</v>
      </c>
      <c r="CB96" s="1189">
        <f>'2023'!R\Max</f>
        <v>1.0245914803834317</v>
      </c>
      <c r="CC96" s="1189">
        <f>'2024'!R\Max</f>
        <v>1.0245914803834315</v>
      </c>
      <c r="CD96" s="1189">
        <f>'2025'!R\Max</f>
        <v>1.0245914803834315</v>
      </c>
      <c r="CE96" s="1189">
        <f>'2026'!R\Max</f>
        <v>1.0245914803834317</v>
      </c>
      <c r="CF96" s="1190">
        <f>'2027'!R\Max</f>
        <v>1.0245914803834315</v>
      </c>
    </row>
    <row r="97" spans="1:84" s="6" customFormat="1" ht="11.25" x14ac:dyDescent="0.2">
      <c r="A97" s="11">
        <v>43183</v>
      </c>
      <c r="B97" s="382">
        <f>'2022'!Maxi_hp</f>
        <v>47.980036095825021</v>
      </c>
      <c r="C97" s="85">
        <f>'2022'!An_max</f>
        <v>2022</v>
      </c>
      <c r="D97" s="1134"/>
      <c r="E97" s="711"/>
      <c r="F97" s="13">
        <f t="shared" si="74"/>
        <v>7</v>
      </c>
      <c r="G97" s="13">
        <f t="shared" si="58"/>
        <v>8</v>
      </c>
      <c r="H97" s="175">
        <f t="shared" si="59"/>
        <v>43178</v>
      </c>
      <c r="I97" s="774">
        <f t="shared" si="60"/>
        <v>0.35714285714285715</v>
      </c>
      <c r="J97" s="765">
        <f t="shared" si="61"/>
        <v>47.958353353650963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P97" s="13">
        <f t="shared" si="62"/>
        <v>5</v>
      </c>
      <c r="AQ97" s="13">
        <f t="shared" si="63"/>
        <v>4</v>
      </c>
      <c r="AR97" s="175">
        <f t="shared" si="64"/>
        <v>43192</v>
      </c>
      <c r="AS97" s="774">
        <f t="shared" si="65"/>
        <v>0.32142857142857145</v>
      </c>
      <c r="AT97" s="791">
        <f t="shared" si="66"/>
        <v>48.050399999772864</v>
      </c>
      <c r="AU97" s="13">
        <f t="shared" si="67"/>
        <v>5</v>
      </c>
      <c r="AV97" s="13">
        <f t="shared" si="68"/>
        <v>4</v>
      </c>
      <c r="AW97" s="175">
        <f t="shared" si="69"/>
        <v>43206</v>
      </c>
      <c r="AX97" s="774">
        <f t="shared" si="70"/>
        <v>0.8214285714285714</v>
      </c>
      <c r="AY97" s="791">
        <f t="shared" si="71"/>
        <v>47.849828571407123</v>
      </c>
      <c r="AZ97" s="765">
        <f t="shared" si="75"/>
        <v>47.95011428558999</v>
      </c>
      <c r="BA97" s="649">
        <f t="shared" si="72"/>
        <v>1.0004521160685849</v>
      </c>
      <c r="BB97" s="644">
        <v>43183</v>
      </c>
      <c r="BC97" s="11">
        <v>43183</v>
      </c>
      <c r="BD97" s="292">
        <f>[2]!FeuilCaduc*(1-Persistant)+Persistant</f>
        <v>1</v>
      </c>
      <c r="BE97" s="293">
        <f>[2]!CroissVégét</f>
        <v>3.7634796931243539E-2</v>
      </c>
      <c r="BF97" s="844">
        <f>1+[2]!Salcycl*Ksac</f>
        <v>1.0015053100166316</v>
      </c>
      <c r="BH97" s="1107">
        <f t="shared" si="73"/>
        <v>1.8419804923771314E-2</v>
      </c>
      <c r="BI97" s="11">
        <v>44279</v>
      </c>
      <c r="BJ97" s="744">
        <v>3.2984305098885461E-3</v>
      </c>
      <c r="BK97" s="744">
        <v>8.2653509228369504E-3</v>
      </c>
      <c r="BL97" s="744">
        <v>1.6057072949316836E-2</v>
      </c>
      <c r="BM97" s="744">
        <v>2.7883979666469539E-2</v>
      </c>
      <c r="BN97" s="744">
        <v>4.3556925067561592E-2</v>
      </c>
      <c r="BO97" s="745">
        <v>6.3232237247325296E-2</v>
      </c>
      <c r="BP97" s="744">
        <v>8.8164456425794402E-2</v>
      </c>
      <c r="BQ97" s="744">
        <v>0.12511678435680199</v>
      </c>
      <c r="BR97" s="744">
        <v>0.19281520454643505</v>
      </c>
      <c r="BS97" s="744">
        <v>0.28568712267953827</v>
      </c>
      <c r="BT97" s="744">
        <v>0.39584424590666539</v>
      </c>
      <c r="BW97" s="1191">
        <f>'2018'!R\Max</f>
        <v>0</v>
      </c>
      <c r="BX97" s="1189">
        <f>'2019'!R\Max</f>
        <v>0.96879709667655145</v>
      </c>
      <c r="BY97" s="1189">
        <f>'2020'!R\Max</f>
        <v>0.84120750694555368</v>
      </c>
      <c r="BZ97" s="1189">
        <f>'2021'!R\Max</f>
        <v>0.9809644978304245</v>
      </c>
      <c r="CA97" s="1189">
        <f>'2022'!R\Max</f>
        <v>1.0004521160685849</v>
      </c>
      <c r="CB97" s="1189">
        <f>'2023'!R\Max</f>
        <v>1.0004521160685846</v>
      </c>
      <c r="CC97" s="1189">
        <f>'2024'!R\Max</f>
        <v>1.0004521160685849</v>
      </c>
      <c r="CD97" s="1189">
        <f>'2025'!R\Max</f>
        <v>1.0004521160685849</v>
      </c>
      <c r="CE97" s="1189">
        <f>'2026'!R\Max</f>
        <v>1.0004521160685846</v>
      </c>
      <c r="CF97" s="1190">
        <f>'2027'!R\Max</f>
        <v>1.0004521160685849</v>
      </c>
    </row>
    <row r="98" spans="1:84" s="6" customFormat="1" ht="11.25" x14ac:dyDescent="0.2">
      <c r="A98" s="11">
        <v>43184</v>
      </c>
      <c r="B98" s="382">
        <f>'2022'!Maxi_hp</f>
        <v>46.654104834621393</v>
      </c>
      <c r="C98" s="85">
        <f>'2022'!An_max</f>
        <v>2020</v>
      </c>
      <c r="D98" s="1134"/>
      <c r="E98" s="711"/>
      <c r="F98" s="13">
        <f t="shared" si="74"/>
        <v>7</v>
      </c>
      <c r="G98" s="13">
        <f t="shared" si="58"/>
        <v>8</v>
      </c>
      <c r="H98" s="175">
        <f t="shared" si="59"/>
        <v>43178</v>
      </c>
      <c r="I98" s="774">
        <f t="shared" si="60"/>
        <v>0.42857142857142855</v>
      </c>
      <c r="J98" s="765">
        <f t="shared" si="61"/>
        <v>48.415496210541036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P98" s="13">
        <f t="shared" si="62"/>
        <v>5</v>
      </c>
      <c r="AQ98" s="13">
        <f t="shared" si="63"/>
        <v>4</v>
      </c>
      <c r="AR98" s="175">
        <f t="shared" si="64"/>
        <v>43192</v>
      </c>
      <c r="AS98" s="774">
        <f t="shared" si="65"/>
        <v>0.2857142857142857</v>
      </c>
      <c r="AT98" s="791">
        <f t="shared" si="66"/>
        <v>48.508342857552428</v>
      </c>
      <c r="AU98" s="13">
        <f t="shared" si="67"/>
        <v>5</v>
      </c>
      <c r="AV98" s="13">
        <f t="shared" si="68"/>
        <v>4</v>
      </c>
      <c r="AW98" s="175">
        <f t="shared" si="69"/>
        <v>43206</v>
      </c>
      <c r="AX98" s="774">
        <f t="shared" si="70"/>
        <v>0.7857142857142857</v>
      </c>
      <c r="AY98" s="791">
        <f t="shared" si="71"/>
        <v>48.291787755023691</v>
      </c>
      <c r="AZ98" s="765">
        <f t="shared" si="75"/>
        <v>48.400065306288056</v>
      </c>
      <c r="BA98" s="649">
        <f t="shared" si="72"/>
        <v>0.9636192642070629</v>
      </c>
      <c r="BB98" s="644">
        <v>43184</v>
      </c>
      <c r="BC98" s="11">
        <v>43184</v>
      </c>
      <c r="BD98" s="292">
        <f>[2]!FeuilCaduc*(1-Persistant)+Persistant</f>
        <v>1</v>
      </c>
      <c r="BE98" s="293">
        <f>[2]!CroissVégét</f>
        <v>3.9205710601738018E-2</v>
      </c>
      <c r="BF98" s="844">
        <f>1+[2]!Salcycl*Ksac</f>
        <v>1.0016148888582224</v>
      </c>
      <c r="BH98" s="1107">
        <f t="shared" si="73"/>
        <v>1.8224113727554656E-2</v>
      </c>
      <c r="BI98" s="11">
        <v>44280</v>
      </c>
      <c r="BJ98" s="744">
        <v>3.1799769284351258E-3</v>
      </c>
      <c r="BK98" s="744">
        <v>8.121772019379251E-3</v>
      </c>
      <c r="BL98" s="744">
        <v>1.5876135101725499E-2</v>
      </c>
      <c r="BM98" s="744">
        <v>2.7629192359928209E-2</v>
      </c>
      <c r="BN98" s="744">
        <v>4.3234449981979561E-2</v>
      </c>
      <c r="BO98" s="745">
        <v>6.2932270807265434E-2</v>
      </c>
      <c r="BP98" s="744">
        <v>8.7706263715186347E-2</v>
      </c>
      <c r="BQ98" s="744">
        <v>0.12292512988521308</v>
      </c>
      <c r="BR98" s="744">
        <v>0.18720707349521393</v>
      </c>
      <c r="BS98" s="744">
        <v>0.27730261312274179</v>
      </c>
      <c r="BT98" s="744">
        <v>0.38665697257155962</v>
      </c>
      <c r="BW98" s="1191">
        <f>'2018'!R\Max</f>
        <v>0</v>
      </c>
      <c r="BX98" s="1189">
        <f>'2019'!R\Max</f>
        <v>0.81882565694206222</v>
      </c>
      <c r="BY98" s="1189">
        <f>'2020'!R\Max</f>
        <v>0.9636192642070629</v>
      </c>
      <c r="BZ98" s="1189">
        <f>'2021'!R\Max</f>
        <v>0.72665141765418506</v>
      </c>
      <c r="CA98" s="1189">
        <f>'2022'!R\Max</f>
        <v>0.90631686125570021</v>
      </c>
      <c r="CB98" s="1189">
        <f>'2023'!R\Max</f>
        <v>0.90602113296967723</v>
      </c>
      <c r="CC98" s="1189">
        <f>'2024'!R\Max</f>
        <v>0.90568671732998196</v>
      </c>
      <c r="CD98" s="1189">
        <f>'2025'!R\Max</f>
        <v>0.90517795874603624</v>
      </c>
      <c r="CE98" s="1189">
        <f>'2026'!R\Max</f>
        <v>0.90702772584850866</v>
      </c>
      <c r="CF98" s="1190">
        <f>'2027'!R\Max</f>
        <v>0.90681543979498858</v>
      </c>
    </row>
    <row r="99" spans="1:84" s="6" customFormat="1" ht="11.25" x14ac:dyDescent="0.2">
      <c r="A99" s="11">
        <v>43185</v>
      </c>
      <c r="B99" s="382">
        <f>'2022'!Maxi_hp</f>
        <v>49.888240917785708</v>
      </c>
      <c r="C99" s="85">
        <f>'2022'!An_max</f>
        <v>2019</v>
      </c>
      <c r="D99" s="1134"/>
      <c r="E99" s="711"/>
      <c r="F99" s="13">
        <f t="shared" si="74"/>
        <v>7</v>
      </c>
      <c r="G99" s="13">
        <f t="shared" si="58"/>
        <v>8</v>
      </c>
      <c r="H99" s="175">
        <f t="shared" si="59"/>
        <v>43178</v>
      </c>
      <c r="I99" s="774">
        <f t="shared" si="60"/>
        <v>0.5</v>
      </c>
      <c r="J99" s="765">
        <f t="shared" si="61"/>
        <v>48.870400000270457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P99" s="13">
        <f t="shared" si="62"/>
        <v>5</v>
      </c>
      <c r="AQ99" s="13">
        <f t="shared" si="63"/>
        <v>4</v>
      </c>
      <c r="AR99" s="175">
        <f t="shared" si="64"/>
        <v>43192</v>
      </c>
      <c r="AS99" s="774">
        <f t="shared" si="65"/>
        <v>0.25</v>
      </c>
      <c r="AT99" s="791">
        <f t="shared" si="66"/>
        <v>48.960800000093876</v>
      </c>
      <c r="AU99" s="13">
        <f t="shared" si="67"/>
        <v>5</v>
      </c>
      <c r="AV99" s="13">
        <f t="shared" si="68"/>
        <v>4</v>
      </c>
      <c r="AW99" s="175">
        <f t="shared" si="69"/>
        <v>43206</v>
      </c>
      <c r="AX99" s="774">
        <f t="shared" si="70"/>
        <v>0.75</v>
      </c>
      <c r="AY99" s="791">
        <f t="shared" si="71"/>
        <v>48.734400000004101</v>
      </c>
      <c r="AZ99" s="765">
        <f t="shared" si="75"/>
        <v>48.847600000048985</v>
      </c>
      <c r="BA99" s="649">
        <f t="shared" si="72"/>
        <v>1.0208273498377263</v>
      </c>
      <c r="BB99" s="644">
        <v>43185</v>
      </c>
      <c r="BC99" s="11">
        <v>43185</v>
      </c>
      <c r="BD99" s="292">
        <f>[2]!FeuilCaduc*(1-Persistant)+Persistant</f>
        <v>1</v>
      </c>
      <c r="BE99" s="293">
        <f>[2]!CroissVégét</f>
        <v>4.0837082604545251E-2</v>
      </c>
      <c r="BF99" s="844">
        <f>1+[2]!Salcycl*Ksac</f>
        <v>1.0017342048983409</v>
      </c>
      <c r="BH99" s="1107">
        <f t="shared" si="73"/>
        <v>1.8006762879830163E-2</v>
      </c>
      <c r="BI99" s="11">
        <v>44281</v>
      </c>
      <c r="BJ99" s="744">
        <v>3.0508713389958992E-3</v>
      </c>
      <c r="BK99" s="744">
        <v>7.9671399437870726E-3</v>
      </c>
      <c r="BL99" s="744">
        <v>1.5676557341260118E-2</v>
      </c>
      <c r="BM99" s="744">
        <v>2.7340649516938886E-2</v>
      </c>
      <c r="BN99" s="744">
        <v>4.2861198373857594E-2</v>
      </c>
      <c r="BO99" s="745">
        <v>6.257248447398249E-2</v>
      </c>
      <c r="BP99" s="744">
        <v>8.7271625034090028E-2</v>
      </c>
      <c r="BQ99" s="744">
        <v>0.12104916903799577</v>
      </c>
      <c r="BR99" s="744">
        <v>0.18185492761713742</v>
      </c>
      <c r="BS99" s="744">
        <v>0.26885644027811662</v>
      </c>
      <c r="BT99" s="744">
        <v>0.37671104519809456</v>
      </c>
      <c r="BW99" s="1191">
        <f>'2018'!R\Max</f>
        <v>0</v>
      </c>
      <c r="BX99" s="1189">
        <f>'2019'!R\Max</f>
        <v>1.0208273498377263</v>
      </c>
      <c r="BY99" s="1189">
        <f>'2020'!R\Max</f>
        <v>1.0153625087544094</v>
      </c>
      <c r="BZ99" s="1189">
        <f>'2021'!R\Max</f>
        <v>0.82135109968238473</v>
      </c>
      <c r="CA99" s="1189">
        <f>'2022'!R\Max</f>
        <v>0.97035584224708638</v>
      </c>
      <c r="CB99" s="1189">
        <f>'2023'!R\Max</f>
        <v>0.97025679934124487</v>
      </c>
      <c r="CC99" s="1189">
        <f>'2024'!R\Max</f>
        <v>0.97014591397295968</v>
      </c>
      <c r="CD99" s="1189">
        <f>'2025'!R\Max</f>
        <v>0.96998199552882547</v>
      </c>
      <c r="CE99" s="1189">
        <f>'2026'!R\Max</f>
        <v>0.97059379265842749</v>
      </c>
      <c r="CF99" s="1190">
        <f>'2027'!R\Max</f>
        <v>0.970522978096096</v>
      </c>
    </row>
    <row r="100" spans="1:84" s="6" customFormat="1" ht="11.25" x14ac:dyDescent="0.2">
      <c r="A100" s="11">
        <v>43186</v>
      </c>
      <c r="B100" s="382">
        <f>'2022'!Maxi_hp</f>
        <v>49.214148253624103</v>
      </c>
      <c r="C100" s="85">
        <f>'2022'!An_max</f>
        <v>2019</v>
      </c>
      <c r="D100" s="1134"/>
      <c r="E100" s="711"/>
      <c r="F100" s="13">
        <f t="shared" si="74"/>
        <v>7</v>
      </c>
      <c r="G100" s="13">
        <f t="shared" si="58"/>
        <v>8</v>
      </c>
      <c r="H100" s="175">
        <f t="shared" si="59"/>
        <v>43178</v>
      </c>
      <c r="I100" s="774">
        <f t="shared" si="60"/>
        <v>0.5714285714285714</v>
      </c>
      <c r="J100" s="765">
        <f t="shared" si="61"/>
        <v>49.322169096315548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P100" s="13">
        <f t="shared" si="62"/>
        <v>5</v>
      </c>
      <c r="AQ100" s="13">
        <f t="shared" si="63"/>
        <v>4</v>
      </c>
      <c r="AR100" s="175">
        <f t="shared" si="64"/>
        <v>43192</v>
      </c>
      <c r="AS100" s="774">
        <f t="shared" si="65"/>
        <v>0.21428571428571427</v>
      </c>
      <c r="AT100" s="791">
        <f t="shared" si="66"/>
        <v>49.407085714648879</v>
      </c>
      <c r="AU100" s="13">
        <f t="shared" si="67"/>
        <v>5</v>
      </c>
      <c r="AV100" s="13">
        <f t="shared" si="68"/>
        <v>4</v>
      </c>
      <c r="AW100" s="175">
        <f t="shared" si="69"/>
        <v>43206</v>
      </c>
      <c r="AX100" s="774">
        <f t="shared" si="70"/>
        <v>0.7142857142857143</v>
      </c>
      <c r="AY100" s="791">
        <f t="shared" si="71"/>
        <v>49.177077550919989</v>
      </c>
      <c r="AZ100" s="765">
        <f t="shared" si="75"/>
        <v>49.292081632784431</v>
      </c>
      <c r="BA100" s="649">
        <f t="shared" si="72"/>
        <v>0.99780989269793663</v>
      </c>
      <c r="BB100" s="644">
        <v>43186</v>
      </c>
      <c r="BC100" s="11">
        <v>43186</v>
      </c>
      <c r="BD100" s="292">
        <f>[2]!FeuilCaduc*(1-Persistant)+Persistant</f>
        <v>1</v>
      </c>
      <c r="BE100" s="293">
        <f>[2]!CroissVégét</f>
        <v>4.2531012940474407E-2</v>
      </c>
      <c r="BF100" s="844">
        <f>1+[2]!Salcycl*Ksac</f>
        <v>1.0018637947780269</v>
      </c>
      <c r="BH100" s="1107">
        <f t="shared" si="73"/>
        <v>1.7759308189745797E-2</v>
      </c>
      <c r="BI100" s="11">
        <v>44282</v>
      </c>
      <c r="BJ100" s="744">
        <v>2.9156097063940041E-3</v>
      </c>
      <c r="BK100" s="744">
        <v>7.8000823879997294E-3</v>
      </c>
      <c r="BL100" s="744">
        <v>1.5450756811374054E-2</v>
      </c>
      <c r="BM100" s="744">
        <v>2.700645678028854E-2</v>
      </c>
      <c r="BN100" s="744">
        <v>4.2423682040533574E-2</v>
      </c>
      <c r="BO100" s="745">
        <v>6.2130391162350508E-2</v>
      </c>
      <c r="BP100" s="744">
        <v>8.6831890799271852E-2</v>
      </c>
      <c r="BQ100" s="744">
        <v>0.11945626957340361</v>
      </c>
      <c r="BR100" s="744">
        <v>0.17687258003649506</v>
      </c>
      <c r="BS100" s="744">
        <v>0.26058759126587433</v>
      </c>
      <c r="BT100" s="744">
        <v>0.36635346828278015</v>
      </c>
      <c r="BW100" s="1191">
        <f>'2018'!R\Max</f>
        <v>0</v>
      </c>
      <c r="BX100" s="1189">
        <f>'2019'!R\Max</f>
        <v>0.99780989269793663</v>
      </c>
      <c r="BY100" s="1189">
        <f>'2020'!R\Max</f>
        <v>0.61328641440515719</v>
      </c>
      <c r="BZ100" s="1189">
        <f>'2021'!R\Max</f>
        <v>0.83628362323465788</v>
      </c>
      <c r="CA100" s="1189">
        <f>'2022'!R\Max</f>
        <v>0.94903790637739738</v>
      </c>
      <c r="CB100" s="1189">
        <f>'2023'!R\Max</f>
        <v>0.9488728611211934</v>
      </c>
      <c r="CC100" s="1189">
        <f>'2024'!R\Max</f>
        <v>0.94868973684782654</v>
      </c>
      <c r="CD100" s="1189">
        <f>'2025'!R\Max</f>
        <v>0.94842618239851684</v>
      </c>
      <c r="CE100" s="1189">
        <f>'2026'!R\Max</f>
        <v>0.9494331189576638</v>
      </c>
      <c r="CF100" s="1190">
        <f>'2027'!R\Max</f>
        <v>0.9493158738995725</v>
      </c>
    </row>
    <row r="101" spans="1:84" s="6" customFormat="1" ht="11.25" x14ac:dyDescent="0.2">
      <c r="A101" s="11">
        <v>43187</v>
      </c>
      <c r="B101" s="382">
        <f>'2022'!Maxi_hp</f>
        <v>48.325580600194776</v>
      </c>
      <c r="C101" s="85">
        <f>'2022'!An_max</f>
        <v>2021</v>
      </c>
      <c r="D101" s="1134"/>
      <c r="E101" s="711"/>
      <c r="F101" s="13">
        <f t="shared" si="74"/>
        <v>7</v>
      </c>
      <c r="G101" s="13">
        <f t="shared" si="58"/>
        <v>8</v>
      </c>
      <c r="H101" s="175">
        <f t="shared" si="59"/>
        <v>43178</v>
      </c>
      <c r="I101" s="774">
        <f t="shared" si="60"/>
        <v>0.6428571428571429</v>
      </c>
      <c r="J101" s="765">
        <f t="shared" si="61"/>
        <v>49.769907872711443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P101" s="13">
        <f t="shared" si="62"/>
        <v>5</v>
      </c>
      <c r="AQ101" s="13">
        <f t="shared" si="63"/>
        <v>4</v>
      </c>
      <c r="AR101" s="175">
        <f t="shared" si="64"/>
        <v>43192</v>
      </c>
      <c r="AS101" s="774">
        <f t="shared" si="65"/>
        <v>0.17857142857142858</v>
      </c>
      <c r="AT101" s="791">
        <f t="shared" si="66"/>
        <v>49.846514285236061</v>
      </c>
      <c r="AU101" s="13">
        <f t="shared" si="67"/>
        <v>5</v>
      </c>
      <c r="AV101" s="13">
        <f t="shared" si="68"/>
        <v>4</v>
      </c>
      <c r="AW101" s="175">
        <f t="shared" si="69"/>
        <v>43206</v>
      </c>
      <c r="AX101" s="774">
        <f t="shared" si="70"/>
        <v>0.6785714285714286</v>
      </c>
      <c r="AY101" s="791">
        <f t="shared" si="71"/>
        <v>49.619232652828622</v>
      </c>
      <c r="AZ101" s="765">
        <f t="shared" si="75"/>
        <v>49.732873469032342</v>
      </c>
      <c r="BA101" s="649">
        <f t="shared" si="72"/>
        <v>0.97097990865864992</v>
      </c>
      <c r="BB101" s="644">
        <v>43187</v>
      </c>
      <c r="BC101" s="11">
        <v>43187</v>
      </c>
      <c r="BD101" s="292">
        <f>[2]!FeuilCaduc*(1-Persistant)+Persistant</f>
        <v>1</v>
      </c>
      <c r="BE101" s="293">
        <f>[2]!CroissVégét</f>
        <v>4.4289656039802887E-2</v>
      </c>
      <c r="BF101" s="844">
        <f>1+[2]!Salcycl*Ksac</f>
        <v>1.0020041917106479</v>
      </c>
      <c r="BH101" s="1107">
        <f t="shared" si="73"/>
        <v>1.7492016375316548E-2</v>
      </c>
      <c r="BI101" s="11">
        <v>44283</v>
      </c>
      <c r="BJ101" s="744">
        <v>2.7827820610792872E-3</v>
      </c>
      <c r="BK101" s="744">
        <v>7.6270359406552385E-3</v>
      </c>
      <c r="BL101" s="744">
        <v>1.5207193387044092E-2</v>
      </c>
      <c r="BM101" s="744">
        <v>2.6644118370354367E-2</v>
      </c>
      <c r="BN101" s="744">
        <v>4.1950341627490347E-2</v>
      </c>
      <c r="BO101" s="745">
        <v>6.1640285446348891E-2</v>
      </c>
      <c r="BP101" s="744">
        <v>8.6327935054201041E-2</v>
      </c>
      <c r="BQ101" s="744">
        <v>0.11793744838112875</v>
      </c>
      <c r="BR101" s="744">
        <v>0.17219426283354014</v>
      </c>
      <c r="BS101" s="744">
        <v>0.25259217432880426</v>
      </c>
      <c r="BT101" s="744">
        <v>0.35582306050542034</v>
      </c>
      <c r="BW101" s="1191">
        <f>'2018'!R\Max</f>
        <v>0</v>
      </c>
      <c r="BX101" s="1189">
        <f>'2019'!R\Max</f>
        <v>0.97077196633685503</v>
      </c>
      <c r="BY101" s="1189">
        <f>'2020'!R\Max</f>
        <v>0.94031333572463804</v>
      </c>
      <c r="BZ101" s="1189">
        <f>'2021'!R\Max</f>
        <v>0.97097990865864992</v>
      </c>
      <c r="CA101" s="1189">
        <f>'2022'!R\Max</f>
        <v>0.72997227016748412</v>
      </c>
      <c r="CB101" s="1189">
        <f>'2023'!R\Max</f>
        <v>0.72930636899761203</v>
      </c>
      <c r="CC101" s="1189">
        <f>'2024'!R\Max</f>
        <v>0.7285743707121437</v>
      </c>
      <c r="CD101" s="1189">
        <f>'2025'!R\Max</f>
        <v>0.72754773011387408</v>
      </c>
      <c r="CE101" s="1189">
        <f>'2026'!R\Max</f>
        <v>0.73156525848003062</v>
      </c>
      <c r="CF101" s="1190">
        <f>'2027'!R\Max</f>
        <v>0.73109363924433046</v>
      </c>
    </row>
    <row r="102" spans="1:84" s="6" customFormat="1" ht="11.25" x14ac:dyDescent="0.2">
      <c r="A102" s="11">
        <v>43188</v>
      </c>
      <c r="B102" s="382">
        <f>'2022'!Maxi_hp</f>
        <v>50.344049299154825</v>
      </c>
      <c r="C102" s="85">
        <f>'2022'!An_max</f>
        <v>2021</v>
      </c>
      <c r="D102" s="1134"/>
      <c r="E102" s="711"/>
      <c r="F102" s="13">
        <f t="shared" si="74"/>
        <v>7</v>
      </c>
      <c r="G102" s="13">
        <f t="shared" si="58"/>
        <v>8</v>
      </c>
      <c r="H102" s="175">
        <f t="shared" si="59"/>
        <v>43178</v>
      </c>
      <c r="I102" s="774">
        <f t="shared" si="60"/>
        <v>0.7142857142857143</v>
      </c>
      <c r="J102" s="765">
        <f t="shared" si="61"/>
        <v>50.212720700406599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P102" s="13">
        <f t="shared" si="62"/>
        <v>5</v>
      </c>
      <c r="AQ102" s="13">
        <f t="shared" si="63"/>
        <v>4</v>
      </c>
      <c r="AR102" s="175">
        <f t="shared" si="64"/>
        <v>43192</v>
      </c>
      <c r="AS102" s="774">
        <f t="shared" si="65"/>
        <v>0.14285714285714285</v>
      </c>
      <c r="AT102" s="791">
        <f t="shared" si="66"/>
        <v>50.278400000397653</v>
      </c>
      <c r="AU102" s="13">
        <f t="shared" si="67"/>
        <v>5</v>
      </c>
      <c r="AV102" s="13">
        <f t="shared" si="68"/>
        <v>4</v>
      </c>
      <c r="AW102" s="175">
        <f t="shared" si="69"/>
        <v>43206</v>
      </c>
      <c r="AX102" s="774">
        <f t="shared" si="70"/>
        <v>0.6428571428571429</v>
      </c>
      <c r="AY102" s="791">
        <f t="shared" si="71"/>
        <v>50.06027755082718</v>
      </c>
      <c r="AZ102" s="765">
        <f t="shared" si="75"/>
        <v>50.169338775612417</v>
      </c>
      <c r="BA102" s="649">
        <f t="shared" si="72"/>
        <v>1.0026154447900124</v>
      </c>
      <c r="BB102" s="644">
        <v>43188</v>
      </c>
      <c r="BC102" s="11">
        <v>43188</v>
      </c>
      <c r="BD102" s="292">
        <f>[2]!FeuilCaduc*(1-Persistant)+Persistant</f>
        <v>1</v>
      </c>
      <c r="BE102" s="293">
        <f>[2]!CroissVégét</f>
        <v>4.6115220608575654E-2</v>
      </c>
      <c r="BF102" s="844">
        <f>1+[2]!Salcycl*Ksac</f>
        <v>1.0021559240806954</v>
      </c>
      <c r="BH102" s="1107">
        <f t="shared" si="73"/>
        <v>1.7204886718214265E-2</v>
      </c>
      <c r="BI102" s="11">
        <v>44284</v>
      </c>
      <c r="BJ102" s="744">
        <v>2.652387946616065E-3</v>
      </c>
      <c r="BK102" s="744">
        <v>7.4480002104001424E-3</v>
      </c>
      <c r="BL102" s="744">
        <v>1.4945866597870136E-2</v>
      </c>
      <c r="BM102" s="744">
        <v>2.6253632575705923E-2</v>
      </c>
      <c r="BN102" s="744">
        <v>4.1441172451688123E-2</v>
      </c>
      <c r="BO102" s="745">
        <v>6.1102158405728642E-2</v>
      </c>
      <c r="BP102" s="744">
        <v>8.5759743671619273E-2</v>
      </c>
      <c r="BQ102" s="744">
        <v>0.1164926650750268</v>
      </c>
      <c r="BR102" s="744">
        <v>0.16781990064292476</v>
      </c>
      <c r="BS102" s="744">
        <v>0.24487011404910486</v>
      </c>
      <c r="BT102" s="744">
        <v>0.34511980169660067</v>
      </c>
      <c r="BW102" s="1191">
        <f>'2018'!R\Max</f>
        <v>0</v>
      </c>
      <c r="BX102" s="1189">
        <f>'2019'!R\Max</f>
        <v>0.98210567854435571</v>
      </c>
      <c r="BY102" s="1189">
        <f>'2020'!R\Max</f>
        <v>0.91063661656533779</v>
      </c>
      <c r="BZ102" s="1189">
        <f>'2021'!R\Max</f>
        <v>1.0026154447900124</v>
      </c>
      <c r="CA102" s="1189">
        <f>'2022'!R\Max</f>
        <v>0.59671811456098778</v>
      </c>
      <c r="CB102" s="1189">
        <f>'2023'!R\Max</f>
        <v>0.59591342910728862</v>
      </c>
      <c r="CC102" s="1189">
        <f>'2024'!R\Max</f>
        <v>0.59503551168883639</v>
      </c>
      <c r="CD102" s="1189">
        <f>'2025'!R\Max</f>
        <v>0.59383095905424488</v>
      </c>
      <c r="CE102" s="1189">
        <f>'2026'!R\Max</f>
        <v>0.59863936243616178</v>
      </c>
      <c r="CF102" s="1190">
        <f>'2027'!R\Max</f>
        <v>0.59807200857384224</v>
      </c>
    </row>
    <row r="103" spans="1:84" s="6" customFormat="1" ht="11.25" x14ac:dyDescent="0.2">
      <c r="A103" s="11">
        <v>43189</v>
      </c>
      <c r="B103" s="382">
        <f>'2022'!Maxi_hp</f>
        <v>50.446118707020261</v>
      </c>
      <c r="C103" s="85">
        <f>'2022'!An_max</f>
        <v>2019</v>
      </c>
      <c r="D103" s="1134"/>
      <c r="E103" s="711"/>
      <c r="F103" s="13">
        <f t="shared" si="74"/>
        <v>7</v>
      </c>
      <c r="G103" s="13">
        <f t="shared" si="58"/>
        <v>8</v>
      </c>
      <c r="H103" s="175">
        <f t="shared" si="59"/>
        <v>43178</v>
      </c>
      <c r="I103" s="774">
        <f t="shared" si="60"/>
        <v>0.7857142857142857</v>
      </c>
      <c r="J103" s="765">
        <f t="shared" si="61"/>
        <v>50.649711954008254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P103" s="13">
        <f t="shared" si="62"/>
        <v>5</v>
      </c>
      <c r="AQ103" s="13">
        <f t="shared" si="63"/>
        <v>4</v>
      </c>
      <c r="AR103" s="175">
        <f t="shared" si="64"/>
        <v>43192</v>
      </c>
      <c r="AS103" s="774">
        <f t="shared" si="65"/>
        <v>0.10714285714285714</v>
      </c>
      <c r="AT103" s="791">
        <f t="shared" si="66"/>
        <v>50.702057142608936</v>
      </c>
      <c r="AU103" s="13">
        <f t="shared" si="67"/>
        <v>5</v>
      </c>
      <c r="AV103" s="13">
        <f t="shared" si="68"/>
        <v>4</v>
      </c>
      <c r="AW103" s="175">
        <f t="shared" si="69"/>
        <v>43206</v>
      </c>
      <c r="AX103" s="774">
        <f t="shared" si="70"/>
        <v>0.6071428571428571</v>
      </c>
      <c r="AY103" s="791">
        <f t="shared" si="71"/>
        <v>50.499624490072691</v>
      </c>
      <c r="AZ103" s="765">
        <f t="shared" si="75"/>
        <v>50.600840816340813</v>
      </c>
      <c r="BA103" s="649">
        <f t="shared" si="72"/>
        <v>0.99598036713075755</v>
      </c>
      <c r="BB103" s="644">
        <v>43189</v>
      </c>
      <c r="BC103" s="11">
        <v>43189</v>
      </c>
      <c r="BD103" s="292">
        <f>[2]!FeuilCaduc*(1-Persistant)+Persistant</f>
        <v>1</v>
      </c>
      <c r="BE103" s="293">
        <f>[2]!CroissVégét</f>
        <v>4.8009969311812332E-2</v>
      </c>
      <c r="BF103" s="844">
        <f>1+[2]!Salcycl*Ksac</f>
        <v>1.0023195141041918</v>
      </c>
      <c r="BH103" s="1107">
        <f t="shared" si="73"/>
        <v>1.6897919127530893E-2</v>
      </c>
      <c r="BI103" s="11">
        <v>44285</v>
      </c>
      <c r="BJ103" s="744">
        <v>2.5244270416341736E-3</v>
      </c>
      <c r="BK103" s="744">
        <v>7.2629751135769695E-3</v>
      </c>
      <c r="BL103" s="744">
        <v>1.4666776540727774E-2</v>
      </c>
      <c r="BM103" s="744">
        <v>2.5834998553247751E-2</v>
      </c>
      <c r="BN103" s="744">
        <v>4.0896170950117751E-2</v>
      </c>
      <c r="BO103" s="745">
        <v>6.0516002435663512E-2</v>
      </c>
      <c r="BP103" s="744">
        <v>8.5127304088849651E-2</v>
      </c>
      <c r="BQ103" s="744">
        <v>0.11512188013782226</v>
      </c>
      <c r="BR103" s="744">
        <v>0.16374941970023699</v>
      </c>
      <c r="BS103" s="744">
        <v>0.23742134129997203</v>
      </c>
      <c r="BT103" s="744">
        <v>0.33424368765787332</v>
      </c>
      <c r="BW103" s="1191">
        <f>'2018'!R\Max</f>
        <v>0</v>
      </c>
      <c r="BX103" s="1189">
        <f>'2019'!R\Max</f>
        <v>0.99598036713075755</v>
      </c>
      <c r="BY103" s="1189">
        <f>'2020'!R\Max</f>
        <v>0.57186365554783813</v>
      </c>
      <c r="BZ103" s="1189">
        <f>'2021'!R\Max</f>
        <v>0.92918995374567959</v>
      </c>
      <c r="CA103" s="1189">
        <f>'2022'!R\Max</f>
        <v>0.16627379905951711</v>
      </c>
      <c r="CB103" s="1189">
        <f>'2023'!R\Max</f>
        <v>0.1658878332534634</v>
      </c>
      <c r="CC103" s="1189">
        <f>'2024'!R\Max</f>
        <v>0.16546987913865605</v>
      </c>
      <c r="CD103" s="1189">
        <f>'2025'!R\Max</f>
        <v>0.16490777740917745</v>
      </c>
      <c r="CE103" s="1189">
        <f>'2026'!R\Max</f>
        <v>0.16719525309353597</v>
      </c>
      <c r="CF103" s="1190">
        <f>'2027'!R\Max</f>
        <v>0.16692359388131311</v>
      </c>
    </row>
    <row r="104" spans="1:84" s="6" customFormat="1" ht="11.25" x14ac:dyDescent="0.2">
      <c r="A104" s="11">
        <v>43190</v>
      </c>
      <c r="B104" s="382">
        <f>'2022'!Maxi_hp</f>
        <v>45.61734121324757</v>
      </c>
      <c r="C104" s="85">
        <f>'2022'!An_max</f>
        <v>2021</v>
      </c>
      <c r="D104" s="1134"/>
      <c r="E104" s="711"/>
      <c r="F104" s="13">
        <f t="shared" si="74"/>
        <v>7</v>
      </c>
      <c r="G104" s="13">
        <f t="shared" si="58"/>
        <v>8</v>
      </c>
      <c r="H104" s="175">
        <f t="shared" si="59"/>
        <v>43178</v>
      </c>
      <c r="I104" s="774">
        <f t="shared" si="60"/>
        <v>0.8571428571428571</v>
      </c>
      <c r="J104" s="765">
        <f t="shared" si="61"/>
        <v>51.079986007458402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P104" s="13">
        <f t="shared" si="62"/>
        <v>5</v>
      </c>
      <c r="AQ104" s="13">
        <f t="shared" si="63"/>
        <v>4</v>
      </c>
      <c r="AR104" s="175">
        <f t="shared" si="64"/>
        <v>43192</v>
      </c>
      <c r="AS104" s="774">
        <f t="shared" si="65"/>
        <v>7.1428571428571425E-2</v>
      </c>
      <c r="AT104" s="791">
        <f t="shared" si="66"/>
        <v>51.116800000704828</v>
      </c>
      <c r="AU104" s="13">
        <f t="shared" si="67"/>
        <v>5</v>
      </c>
      <c r="AV104" s="13">
        <f t="shared" si="68"/>
        <v>4</v>
      </c>
      <c r="AW104" s="175">
        <f t="shared" si="69"/>
        <v>43206</v>
      </c>
      <c r="AX104" s="774">
        <f t="shared" si="70"/>
        <v>0.5714285714285714</v>
      </c>
      <c r="AY104" s="791">
        <f t="shared" si="71"/>
        <v>50.936685714338509</v>
      </c>
      <c r="AZ104" s="765">
        <f t="shared" si="75"/>
        <v>51.026742857521668</v>
      </c>
      <c r="BA104" s="649">
        <f t="shared" si="72"/>
        <v>0.89305704207880543</v>
      </c>
      <c r="BB104" s="644">
        <v>43190</v>
      </c>
      <c r="BC104" s="11">
        <v>43190</v>
      </c>
      <c r="BD104" s="292">
        <f>[2]!FeuilCaduc*(1-Persistant)+Persistant</f>
        <v>1</v>
      </c>
      <c r="BE104" s="293">
        <f>[2]!CroissVégét</f>
        <v>4.9976218279140845E-2</v>
      </c>
      <c r="BF104" s="844">
        <f>1+[2]!Salcycl*Ksac</f>
        <v>1.0024954765512124</v>
      </c>
      <c r="BH104" s="1107">
        <f t="shared" si="73"/>
        <v>1.6571114203326198E-2</v>
      </c>
      <c r="BI104" s="11">
        <v>44286</v>
      </c>
      <c r="BJ104" s="744">
        <v>2.3988991520581394E-3</v>
      </c>
      <c r="BK104" s="744">
        <v>7.0719608934265224E-3</v>
      </c>
      <c r="BL104" s="744">
        <v>1.4369923936675333E-2</v>
      </c>
      <c r="BM104" s="744">
        <v>2.5388216418366999E-2</v>
      </c>
      <c r="BN104" s="744">
        <v>4.0315334794498524E-2</v>
      </c>
      <c r="BO104" s="745">
        <v>5.9881811400391095E-2</v>
      </c>
      <c r="BP104" s="744">
        <v>8.4430605513233711E-2</v>
      </c>
      <c r="BQ104" s="744">
        <v>0.11382505468356796</v>
      </c>
      <c r="BR104" s="744">
        <v>0.15998274686839695</v>
      </c>
      <c r="BS104" s="744">
        <v>0.23024579237067225</v>
      </c>
      <c r="BT104" s="744">
        <v>0.3231947307169607</v>
      </c>
      <c r="BW104" s="1191">
        <f>'2018'!R\Max</f>
        <v>0</v>
      </c>
      <c r="BX104" s="1189">
        <f>'2019'!R\Max</f>
        <v>0.839137037648507</v>
      </c>
      <c r="BY104" s="1189">
        <f>'2020'!R\Max</f>
        <v>0.47517697790451469</v>
      </c>
      <c r="BZ104" s="1189">
        <f>'2021'!R\Max</f>
        <v>0.89305704207880543</v>
      </c>
      <c r="CA104" s="1189">
        <f>'2022'!R\Max</f>
        <v>0.57738451675462088</v>
      </c>
      <c r="CB104" s="1189">
        <f>'2023'!R\Max</f>
        <v>0.57658551828944582</v>
      </c>
      <c r="CC104" s="1189">
        <f>'2024'!R\Max</f>
        <v>0.57572226178782859</v>
      </c>
      <c r="CD104" s="1189">
        <f>'2025'!R\Max</f>
        <v>0.57970560464043097</v>
      </c>
      <c r="CE104" s="1189">
        <f>'2026'!R\Max</f>
        <v>0.57927969068380702</v>
      </c>
      <c r="CF104" s="1190">
        <f>'2027'!R\Max</f>
        <v>0.57872368793117646</v>
      </c>
    </row>
    <row r="105" spans="1:84" s="6" customFormat="1" ht="11.25" x14ac:dyDescent="0.2">
      <c r="A105" s="11">
        <v>43191</v>
      </c>
      <c r="B105" s="382">
        <f>'2022'!Maxi_hp</f>
        <v>47.773310266895436</v>
      </c>
      <c r="C105" s="85">
        <f>'2022'!An_max</f>
        <v>2020</v>
      </c>
      <c r="D105" s="1134"/>
      <c r="E105" s="711"/>
      <c r="F105" s="13">
        <f t="shared" si="74"/>
        <v>7</v>
      </c>
      <c r="G105" s="13">
        <f t="shared" si="58"/>
        <v>8</v>
      </c>
      <c r="H105" s="175">
        <f t="shared" si="59"/>
        <v>43178</v>
      </c>
      <c r="I105" s="774">
        <f t="shared" si="60"/>
        <v>0.9285714285714286</v>
      </c>
      <c r="J105" s="765">
        <f t="shared" si="61"/>
        <v>51.502647231253128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P105" s="13">
        <f t="shared" si="62"/>
        <v>5</v>
      </c>
      <c r="AQ105" s="13">
        <f t="shared" si="63"/>
        <v>4</v>
      </c>
      <c r="AR105" s="175">
        <f t="shared" si="64"/>
        <v>43192</v>
      </c>
      <c r="AS105" s="774">
        <f t="shared" si="65"/>
        <v>3.5714285714285712E-2</v>
      </c>
      <c r="AT105" s="791">
        <f t="shared" si="66"/>
        <v>51.521942857213858</v>
      </c>
      <c r="AU105" s="13">
        <f t="shared" si="67"/>
        <v>5</v>
      </c>
      <c r="AV105" s="13">
        <f t="shared" si="68"/>
        <v>4</v>
      </c>
      <c r="AW105" s="175">
        <f t="shared" si="69"/>
        <v>43206</v>
      </c>
      <c r="AX105" s="774">
        <f t="shared" si="70"/>
        <v>0.5357142857142857</v>
      </c>
      <c r="AY105" s="791">
        <f t="shared" si="71"/>
        <v>51.370873469254001</v>
      </c>
      <c r="AZ105" s="765">
        <f t="shared" si="75"/>
        <v>51.446408163233926</v>
      </c>
      <c r="BA105" s="649">
        <f t="shared" si="72"/>
        <v>0.92758941210123591</v>
      </c>
      <c r="BB105" s="644">
        <v>43191</v>
      </c>
      <c r="BC105" s="11">
        <v>43191</v>
      </c>
      <c r="BD105" s="292">
        <f>[2]!FeuilCaduc*(1-Persistant)+Persistant</f>
        <v>1</v>
      </c>
      <c r="BE105" s="293">
        <f>[2]!CroissVégét</f>
        <v>5.201633641771132E-2</v>
      </c>
      <c r="BF105" s="844">
        <f>1+[2]!Salcycl*Ksac</f>
        <v>1.0026843175297564</v>
      </c>
      <c r="BH105" s="1107">
        <f t="shared" si="73"/>
        <v>1.6224473300140693E-2</v>
      </c>
      <c r="BI105" s="11">
        <v>44287</v>
      </c>
      <c r="BJ105" s="744">
        <v>2.2758042033312505E-3</v>
      </c>
      <c r="BK105" s="744">
        <v>6.8749581392753495E-3</v>
      </c>
      <c r="BL105" s="744">
        <v>1.405531018783074E-2</v>
      </c>
      <c r="BM105" s="744">
        <v>2.4913287335027786E-2</v>
      </c>
      <c r="BN105" s="744">
        <v>3.9698663005891484E-2</v>
      </c>
      <c r="BO105" s="745">
        <v>5.9199580786728871E-2</v>
      </c>
      <c r="BP105" s="744">
        <v>8.3669639127393017E-2</v>
      </c>
      <c r="BQ105" s="744">
        <v>0.1126021502198654</v>
      </c>
      <c r="BR105" s="744">
        <v>0.15651980866371629</v>
      </c>
      <c r="BS105" s="744">
        <v>0.22334340809112999</v>
      </c>
      <c r="BT105" s="744">
        <v>0.31197296028227739</v>
      </c>
      <c r="BW105" s="1191">
        <f>'2018'!R\Max</f>
        <v>0</v>
      </c>
      <c r="BX105" s="1189">
        <f>'2019'!R\Max</f>
        <v>0.89454744756364035</v>
      </c>
      <c r="BY105" s="1189">
        <f>'2020'!R\Max</f>
        <v>0.92758941210123591</v>
      </c>
      <c r="BZ105" s="1189">
        <f>'2021'!R\Max</f>
        <v>0.91431893427721889</v>
      </c>
      <c r="CA105" s="1189">
        <f>'2022'!R\Max</f>
        <v>0.62457829292133404</v>
      </c>
      <c r="CB105" s="1189">
        <f>'2023'!R\Max</f>
        <v>0.62381887279719173</v>
      </c>
      <c r="CC105" s="1189">
        <f>'2024'!R\Max</f>
        <v>0.62300051305551818</v>
      </c>
      <c r="CD105" s="1189">
        <f>'2025'!R\Max</f>
        <v>0.62677238881514985</v>
      </c>
      <c r="CE105" s="1189">
        <f>'2026'!R\Max</f>
        <v>0.62637269174706978</v>
      </c>
      <c r="CF105" s="1190">
        <f>'2027'!R\Max</f>
        <v>0.6258481500195574</v>
      </c>
    </row>
    <row r="106" spans="1:84" s="6" customFormat="1" ht="11.25" x14ac:dyDescent="0.2">
      <c r="A106" s="11">
        <v>43192</v>
      </c>
      <c r="B106" s="382">
        <f>'2022'!Maxi_hp</f>
        <v>42.352590855929826</v>
      </c>
      <c r="C106" s="85">
        <f>'2022'!An_max</f>
        <v>2020</v>
      </c>
      <c r="D106" s="1134"/>
      <c r="E106" s="773">
        <f>T$13/10</f>
        <v>51.916800000000002</v>
      </c>
      <c r="F106" s="13">
        <f t="shared" si="74"/>
        <v>9</v>
      </c>
      <c r="G106" s="13">
        <f t="shared" si="58"/>
        <v>8</v>
      </c>
      <c r="H106" s="175">
        <f t="shared" si="59"/>
        <v>43206</v>
      </c>
      <c r="I106" s="774">
        <f t="shared" si="60"/>
        <v>1</v>
      </c>
      <c r="J106" s="765">
        <f t="shared" si="61"/>
        <v>51.916800000518563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P106" s="13">
        <f t="shared" si="62"/>
        <v>5</v>
      </c>
      <c r="AQ106" s="13">
        <f t="shared" si="63"/>
        <v>6</v>
      </c>
      <c r="AR106" s="175">
        <f t="shared" si="64"/>
        <v>43192</v>
      </c>
      <c r="AS106" s="774">
        <f t="shared" si="65"/>
        <v>0</v>
      </c>
      <c r="AT106" s="791">
        <f t="shared" si="66"/>
        <v>51.916800000518563</v>
      </c>
      <c r="AU106" s="13">
        <f t="shared" si="67"/>
        <v>5</v>
      </c>
      <c r="AV106" s="13">
        <f t="shared" si="68"/>
        <v>4</v>
      </c>
      <c r="AW106" s="175">
        <f t="shared" si="69"/>
        <v>43206</v>
      </c>
      <c r="AX106" s="774">
        <f t="shared" si="70"/>
        <v>0.5</v>
      </c>
      <c r="AY106" s="791">
        <f t="shared" si="71"/>
        <v>51.801599999796601</v>
      </c>
      <c r="AZ106" s="765">
        <f t="shared" si="75"/>
        <v>51.859200000157585</v>
      </c>
      <c r="BA106" s="649">
        <f t="shared" si="72"/>
        <v>0.81577814610120025</v>
      </c>
      <c r="BB106" s="644">
        <v>43192</v>
      </c>
      <c r="BC106" s="11">
        <v>43192</v>
      </c>
      <c r="BD106" s="292">
        <f>[2]!FeuilCaduc*(1-Persistant)+Persistant</f>
        <v>1</v>
      </c>
      <c r="BE106" s="293">
        <f>[2]!CroissVégét</f>
        <v>5.4132744516590045E-2</v>
      </c>
      <c r="BF106" s="844">
        <f>1+[2]!Salcycl*Ksac</f>
        <v>1.0028865333290011</v>
      </c>
      <c r="BH106" s="1107">
        <f t="shared" si="73"/>
        <v>1.5857998590572346E-2</v>
      </c>
      <c r="BI106" s="11">
        <v>44288</v>
      </c>
      <c r="BJ106" s="744">
        <v>2.1551422326489679E-3</v>
      </c>
      <c r="BK106" s="744">
        <v>6.6719678057504681E-3</v>
      </c>
      <c r="BL106" s="744">
        <v>1.3722937434303731E-2</v>
      </c>
      <c r="BM106" s="744">
        <v>2.4410213605963123E-2</v>
      </c>
      <c r="BN106" s="744">
        <v>3.9046156069467347E-2</v>
      </c>
      <c r="BO106" s="745">
        <v>5.8469307857819362E-2</v>
      </c>
      <c r="BP106" s="744">
        <v>8.2844398294812951E-2</v>
      </c>
      <c r="BQ106" s="744">
        <v>0.11145312841052064</v>
      </c>
      <c r="BR106" s="744">
        <v>0.15336053028257174</v>
      </c>
      <c r="BS106" s="744">
        <v>0.21671413295740269</v>
      </c>
      <c r="BT106" s="744">
        <v>0.30057842339870178</v>
      </c>
      <c r="BW106" s="1191">
        <f>'2018'!R\Max</f>
        <v>0</v>
      </c>
      <c r="BX106" s="1189">
        <f>'2019'!R\Max</f>
        <v>0.34494989719478525</v>
      </c>
      <c r="BY106" s="1189">
        <f>'2020'!R\Max</f>
        <v>0.81577814610120025</v>
      </c>
      <c r="BZ106" s="1189">
        <f>'2021'!R\Max</f>
        <v>0.78317970217582444</v>
      </c>
      <c r="CA106" s="1189">
        <f>'2022'!R\Max</f>
        <v>0.41905458017975616</v>
      </c>
      <c r="CB106" s="1189">
        <f>'2023'!R\Max</f>
        <v>0.41827567571501723</v>
      </c>
      <c r="CC106" s="1189">
        <f>'2024'!R\Max</f>
        <v>0.41743880317887527</v>
      </c>
      <c r="CD106" s="1189">
        <f>'2025'!R\Max</f>
        <v>0.42129967036897298</v>
      </c>
      <c r="CE106" s="1189">
        <f>'2026'!R\Max</f>
        <v>0.42089306044871388</v>
      </c>
      <c r="CF106" s="1190">
        <f>'2027'!R\Max</f>
        <v>0.42035685281733498</v>
      </c>
    </row>
    <row r="107" spans="1:84" s="6" customFormat="1" ht="11.25" x14ac:dyDescent="0.2">
      <c r="A107" s="11">
        <v>43193</v>
      </c>
      <c r="B107" s="382">
        <f>'2022'!Maxi_hp</f>
        <v>48.910344837500652</v>
      </c>
      <c r="C107" s="85">
        <f>'2022'!An_max</f>
        <v>2021</v>
      </c>
      <c r="D107" s="1134"/>
      <c r="E107" s="711"/>
      <c r="F107" s="13">
        <f t="shared" si="74"/>
        <v>9</v>
      </c>
      <c r="G107" s="13">
        <f t="shared" si="58"/>
        <v>8</v>
      </c>
      <c r="H107" s="175">
        <f t="shared" si="59"/>
        <v>43206</v>
      </c>
      <c r="I107" s="774">
        <f t="shared" si="60"/>
        <v>0.9285714285714286</v>
      </c>
      <c r="J107" s="765">
        <f t="shared" si="61"/>
        <v>52.324515452182723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P107" s="13">
        <f t="shared" si="62"/>
        <v>5</v>
      </c>
      <c r="AQ107" s="13">
        <f t="shared" si="63"/>
        <v>6</v>
      </c>
      <c r="AR107" s="175">
        <f t="shared" si="64"/>
        <v>43192</v>
      </c>
      <c r="AS107" s="774">
        <f t="shared" si="65"/>
        <v>3.5714285714285712E-2</v>
      </c>
      <c r="AT107" s="791">
        <f t="shared" si="66"/>
        <v>52.30538542262677</v>
      </c>
      <c r="AU107" s="13">
        <f t="shared" si="67"/>
        <v>5</v>
      </c>
      <c r="AV107" s="13">
        <f t="shared" si="68"/>
        <v>4</v>
      </c>
      <c r="AW107" s="175">
        <f t="shared" si="69"/>
        <v>43206</v>
      </c>
      <c r="AX107" s="774">
        <f t="shared" si="70"/>
        <v>0.4642857142857143</v>
      </c>
      <c r="AY107" s="791">
        <f t="shared" si="71"/>
        <v>52.228277550657673</v>
      </c>
      <c r="AZ107" s="765">
        <f t="shared" si="75"/>
        <v>52.266831486642218</v>
      </c>
      <c r="BA107" s="649">
        <f t="shared" si="72"/>
        <v>0.93475007680095679</v>
      </c>
      <c r="BB107" s="644">
        <v>43193</v>
      </c>
      <c r="BC107" s="11">
        <v>43193</v>
      </c>
      <c r="BD107" s="292">
        <f>[2]!FeuilCaduc*(1-Persistant)+Persistant</f>
        <v>1</v>
      </c>
      <c r="BE107" s="293">
        <f>[2]!CroissVégét</f>
        <v>5.6327914126217182E-2</v>
      </c>
      <c r="BF107" s="844">
        <f>1+[2]!Salcycl*Ksac</f>
        <v>1.0031026093188506</v>
      </c>
      <c r="BH107" s="1107">
        <f t="shared" si="73"/>
        <v>1.5471693128807168E-2</v>
      </c>
      <c r="BI107" s="11">
        <v>44289</v>
      </c>
      <c r="BJ107" s="744">
        <v>2.0369133811852769E-3</v>
      </c>
      <c r="BK107" s="744">
        <v>6.4629912319741538E-3</v>
      </c>
      <c r="BL107" s="744">
        <v>1.3372808611088008E-2</v>
      </c>
      <c r="BM107" s="744">
        <v>2.3878998762796557E-2</v>
      </c>
      <c r="BN107" s="744">
        <v>3.8357816049163544E-2</v>
      </c>
      <c r="BO107" s="745">
        <v>5.7690991806711937E-2</v>
      </c>
      <c r="BP107" s="744">
        <v>8.1954878765197456E-2</v>
      </c>
      <c r="BQ107" s="744">
        <v>0.11037795083788972</v>
      </c>
      <c r="BR107" s="744">
        <v>0.15050483462763234</v>
      </c>
      <c r="BS107" s="744">
        <v>0.21035791425650363</v>
      </c>
      <c r="BT107" s="744">
        <v>0.28901118530242698</v>
      </c>
      <c r="BW107" s="1191">
        <f>'2018'!R\Max</f>
        <v>0</v>
      </c>
      <c r="BX107" s="1189">
        <f>'2019'!R\Max</f>
        <v>0.3550850538575312</v>
      </c>
      <c r="BY107" s="1189">
        <f>'2020'!R\Max</f>
        <v>0.51337859896774718</v>
      </c>
      <c r="BZ107" s="1189">
        <f>'2021'!R\Max</f>
        <v>0.93475007680095679</v>
      </c>
      <c r="CA107" s="1189">
        <f>'2022'!R\Max</f>
        <v>0.51533960245059895</v>
      </c>
      <c r="CB107" s="1189">
        <f>'2023'!R\Max</f>
        <v>0.51454978800564199</v>
      </c>
      <c r="CC107" s="1189">
        <f>'2024'!R\Max</f>
        <v>0.51370082127539229</v>
      </c>
      <c r="CD107" s="1189">
        <f>'2025'!R\Max</f>
        <v>0.51760210194516787</v>
      </c>
      <c r="CE107" s="1189">
        <f>'2026'!R\Max</f>
        <v>0.51719586262699124</v>
      </c>
      <c r="CF107" s="1190">
        <f>'2027'!R\Max</f>
        <v>0.51665658861540265</v>
      </c>
    </row>
    <row r="108" spans="1:84" s="6" customFormat="1" ht="11.25" x14ac:dyDescent="0.2">
      <c r="A108" s="11">
        <v>43194</v>
      </c>
      <c r="B108" s="382">
        <f>'2022'!Maxi_hp</f>
        <v>53.219609194847415</v>
      </c>
      <c r="C108" s="85">
        <f>'2022'!An_max</f>
        <v>2020</v>
      </c>
      <c r="D108" s="1134"/>
      <c r="E108" s="711"/>
      <c r="F108" s="13">
        <f t="shared" si="74"/>
        <v>9</v>
      </c>
      <c r="G108" s="13">
        <f t="shared" si="58"/>
        <v>8</v>
      </c>
      <c r="H108" s="175">
        <f t="shared" si="59"/>
        <v>43206</v>
      </c>
      <c r="I108" s="774">
        <f t="shared" si="60"/>
        <v>0.8571428571428571</v>
      </c>
      <c r="J108" s="765">
        <f t="shared" si="61"/>
        <v>52.728237902053763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P108" s="13">
        <f t="shared" si="62"/>
        <v>5</v>
      </c>
      <c r="AQ108" s="13">
        <f t="shared" si="63"/>
        <v>6</v>
      </c>
      <c r="AR108" s="175">
        <f t="shared" si="64"/>
        <v>43192</v>
      </c>
      <c r="AS108" s="774">
        <f t="shared" si="65"/>
        <v>7.1428571428571425E-2</v>
      </c>
      <c r="AT108" s="791">
        <f t="shared" si="66"/>
        <v>52.691965015658312</v>
      </c>
      <c r="AU108" s="13">
        <f t="shared" si="67"/>
        <v>5</v>
      </c>
      <c r="AV108" s="13">
        <f t="shared" si="68"/>
        <v>4</v>
      </c>
      <c r="AW108" s="175">
        <f t="shared" si="69"/>
        <v>43206</v>
      </c>
      <c r="AX108" s="774">
        <f t="shared" si="70"/>
        <v>0.42857142857142855</v>
      </c>
      <c r="AY108" s="791">
        <f t="shared" si="71"/>
        <v>52.650318366741502</v>
      </c>
      <c r="AZ108" s="765">
        <f t="shared" si="75"/>
        <v>52.671141691199907</v>
      </c>
      <c r="BA108" s="649">
        <f t="shared" si="72"/>
        <v>1.0093189401418345</v>
      </c>
      <c r="BB108" s="644">
        <v>43194</v>
      </c>
      <c r="BC108" s="11">
        <v>43194</v>
      </c>
      <c r="BD108" s="292">
        <f>[2]!FeuilCaduc*(1-Persistant)+Persistant</f>
        <v>1</v>
      </c>
      <c r="BE108" s="293">
        <f>[2]!CroissVégét</f>
        <v>5.8604366195922526E-2</v>
      </c>
      <c r="BF108" s="844">
        <f>1+[2]!Salcycl*Ksac</f>
        <v>1.0033330189016565</v>
      </c>
      <c r="BH108" s="1107">
        <f t="shared" si="73"/>
        <v>1.506351801316113E-2</v>
      </c>
      <c r="BI108" s="11">
        <v>44290</v>
      </c>
      <c r="BJ108" s="744">
        <v>1.9230198774150208E-3</v>
      </c>
      <c r="BK108" s="744">
        <v>6.2487195744365467E-3</v>
      </c>
      <c r="BL108" s="744">
        <v>1.3003595002341438E-2</v>
      </c>
      <c r="BM108" s="744">
        <v>2.3314759178763026E-2</v>
      </c>
      <c r="BN108" s="744">
        <v>3.7622148440246521E-2</v>
      </c>
      <c r="BO108" s="745">
        <v>5.6843089944296682E-2</v>
      </c>
      <c r="BP108" s="744">
        <v>8.0975679837340331E-2</v>
      </c>
      <c r="BQ108" s="744">
        <v>0.10934729147787597</v>
      </c>
      <c r="BR108" s="744">
        <v>0.14796412348008683</v>
      </c>
      <c r="BS108" s="744">
        <v>0.20444840387743532</v>
      </c>
      <c r="BT108" s="744">
        <v>0.27773729302512856</v>
      </c>
      <c r="BW108" s="1191">
        <f>'2018'!R\Max</f>
        <v>0</v>
      </c>
      <c r="BX108" s="1189">
        <f>'2019'!R\Max</f>
        <v>0.78219494517676902</v>
      </c>
      <c r="BY108" s="1189">
        <f>'2020'!R\Max</f>
        <v>1.0093189401418345</v>
      </c>
      <c r="BZ108" s="1189">
        <f>'2021'!R\Max</f>
        <v>0.95644539708854004</v>
      </c>
      <c r="CA108" s="1189">
        <f>'2022'!R\Max</f>
        <v>0.88879656007486452</v>
      </c>
      <c r="CB108" s="1189">
        <f>'2023'!R\Max</f>
        <v>0.88848761204807392</v>
      </c>
      <c r="CC108" s="1189">
        <f>'2024'!R\Max</f>
        <v>0.88815429012442815</v>
      </c>
      <c r="CD108" s="1189">
        <f>'2025'!R\Max</f>
        <v>0.88967292772928719</v>
      </c>
      <c r="CE108" s="1189">
        <f>'2026'!R\Max</f>
        <v>0.8895173060576651</v>
      </c>
      <c r="CF108" s="1190">
        <f>'2027'!R\Max</f>
        <v>0.88930903196180433</v>
      </c>
    </row>
    <row r="109" spans="1:84" s="6" customFormat="1" ht="11.25" x14ac:dyDescent="0.2">
      <c r="A109" s="11">
        <v>43195</v>
      </c>
      <c r="B109" s="382">
        <f>'2022'!Maxi_hp</f>
        <v>55.117663879347624</v>
      </c>
      <c r="C109" s="85">
        <f>'2022'!An_max</f>
        <v>2020</v>
      </c>
      <c r="D109" s="1134"/>
      <c r="E109" s="711"/>
      <c r="F109" s="13">
        <f t="shared" si="74"/>
        <v>9</v>
      </c>
      <c r="G109" s="13">
        <f t="shared" si="58"/>
        <v>8</v>
      </c>
      <c r="H109" s="175">
        <f t="shared" si="59"/>
        <v>43206</v>
      </c>
      <c r="I109" s="774">
        <f t="shared" si="60"/>
        <v>0.7857142857142857</v>
      </c>
      <c r="J109" s="765">
        <f t="shared" si="61"/>
        <v>53.127631487750577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P109" s="13">
        <f t="shared" si="62"/>
        <v>5</v>
      </c>
      <c r="AQ109" s="13">
        <f t="shared" si="63"/>
        <v>6</v>
      </c>
      <c r="AR109" s="175">
        <f t="shared" si="64"/>
        <v>43192</v>
      </c>
      <c r="AS109" s="774">
        <f t="shared" si="65"/>
        <v>0.10714285714285714</v>
      </c>
      <c r="AT109" s="791">
        <f t="shared" si="66"/>
        <v>53.076230903608462</v>
      </c>
      <c r="AU109" s="13">
        <f t="shared" si="67"/>
        <v>5</v>
      </c>
      <c r="AV109" s="13">
        <f t="shared" si="68"/>
        <v>4</v>
      </c>
      <c r="AW109" s="175">
        <f t="shared" si="69"/>
        <v>43206</v>
      </c>
      <c r="AX109" s="774">
        <f t="shared" si="70"/>
        <v>0.39285714285714285</v>
      </c>
      <c r="AY109" s="791">
        <f t="shared" si="71"/>
        <v>53.067134692879129</v>
      </c>
      <c r="AZ109" s="765">
        <f t="shared" si="75"/>
        <v>53.071682798243799</v>
      </c>
      <c r="BA109" s="649">
        <f t="shared" si="72"/>
        <v>1.037457577834161</v>
      </c>
      <c r="BB109" s="644">
        <v>43195</v>
      </c>
      <c r="BC109" s="11">
        <v>43195</v>
      </c>
      <c r="BD109" s="292">
        <f>[2]!FeuilCaduc*(1-Persistant)+Persistant</f>
        <v>1</v>
      </c>
      <c r="BE109" s="293">
        <f>[2]!CroissVégét</f>
        <v>6.0964669451959982E-2</v>
      </c>
      <c r="BF109" s="844">
        <f>1+[2]!Salcycl*Ksac</f>
        <v>1.0035782225110808</v>
      </c>
      <c r="BH109" s="1107">
        <f t="shared" si="73"/>
        <v>1.4644858572453663E-2</v>
      </c>
      <c r="BI109" s="11">
        <v>44291</v>
      </c>
      <c r="BJ109" s="744">
        <v>1.8155295736343737E-3</v>
      </c>
      <c r="BK109" s="744">
        <v>6.0337714589121794E-3</v>
      </c>
      <c r="BL109" s="744">
        <v>1.2625471230929506E-2</v>
      </c>
      <c r="BM109" s="744">
        <v>2.2733729794417009E-2</v>
      </c>
      <c r="BN109" s="744">
        <v>3.6861452894731271E-2</v>
      </c>
      <c r="BO109" s="745">
        <v>5.5951056971750034E-2</v>
      </c>
      <c r="BP109" s="744">
        <v>7.9942267302423944E-2</v>
      </c>
      <c r="BQ109" s="744">
        <v>0.10825447804017839</v>
      </c>
      <c r="BR109" s="744">
        <v>0.14554844100474582</v>
      </c>
      <c r="BS109" s="744">
        <v>0.19895147136311495</v>
      </c>
      <c r="BT109" s="744">
        <v>0.26727660622906713</v>
      </c>
      <c r="BW109" s="1191">
        <f>'2018'!R\Max</f>
        <v>0</v>
      </c>
      <c r="BX109" s="1189">
        <f>'2019'!R\Max</f>
        <v>0.92082598925664183</v>
      </c>
      <c r="BY109" s="1189">
        <f>'2020'!R\Max</f>
        <v>1.037457577834161</v>
      </c>
      <c r="BZ109" s="1189">
        <f>'2021'!R\Max</f>
        <v>0.93110762812482728</v>
      </c>
      <c r="CA109" s="1189">
        <f>'2022'!R\Max</f>
        <v>1.0219121604568475</v>
      </c>
      <c r="CB109" s="1189">
        <f>'2023'!R\Max</f>
        <v>1.0219121604568475</v>
      </c>
      <c r="CC109" s="1189">
        <f>'2024'!R\Max</f>
        <v>1.0219121604568475</v>
      </c>
      <c r="CD109" s="1189">
        <f>'2025'!R\Max</f>
        <v>1.0219121604568473</v>
      </c>
      <c r="CE109" s="1189">
        <f>'2026'!R\Max</f>
        <v>1.0219121604568475</v>
      </c>
      <c r="CF109" s="1190">
        <f>'2027'!R\Max</f>
        <v>1.0219121604568475</v>
      </c>
    </row>
    <row r="110" spans="1:84" s="6" customFormat="1" ht="11.25" x14ac:dyDescent="0.2">
      <c r="A110" s="11">
        <v>43196</v>
      </c>
      <c r="B110" s="382">
        <f>'2022'!Maxi_hp</f>
        <v>55.281205017406521</v>
      </c>
      <c r="C110" s="85">
        <f>'2022'!An_max</f>
        <v>2020</v>
      </c>
      <c r="D110" s="1134"/>
      <c r="E110" s="711"/>
      <c r="F110" s="13">
        <f t="shared" si="74"/>
        <v>9</v>
      </c>
      <c r="G110" s="13">
        <f t="shared" si="58"/>
        <v>8</v>
      </c>
      <c r="H110" s="175">
        <f t="shared" si="59"/>
        <v>43206</v>
      </c>
      <c r="I110" s="774">
        <f t="shared" si="60"/>
        <v>0.7142857142857143</v>
      </c>
      <c r="J110" s="765">
        <f t="shared" si="61"/>
        <v>53.522360349552969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P110" s="13">
        <f t="shared" si="62"/>
        <v>5</v>
      </c>
      <c r="AQ110" s="13">
        <f t="shared" si="63"/>
        <v>6</v>
      </c>
      <c r="AR110" s="175">
        <f t="shared" si="64"/>
        <v>43192</v>
      </c>
      <c r="AS110" s="774">
        <f t="shared" si="65"/>
        <v>0.14285714285714285</v>
      </c>
      <c r="AT110" s="791">
        <f t="shared" si="66"/>
        <v>53.457875219200346</v>
      </c>
      <c r="AU110" s="13">
        <f t="shared" si="67"/>
        <v>5</v>
      </c>
      <c r="AV110" s="13">
        <f t="shared" si="68"/>
        <v>4</v>
      </c>
      <c r="AW110" s="175">
        <f t="shared" si="69"/>
        <v>43206</v>
      </c>
      <c r="AX110" s="774">
        <f t="shared" si="70"/>
        <v>0.35714285714285715</v>
      </c>
      <c r="AY110" s="791">
        <f t="shared" si="71"/>
        <v>53.478138775351852</v>
      </c>
      <c r="AZ110" s="765">
        <f t="shared" si="75"/>
        <v>53.468006997276099</v>
      </c>
      <c r="BA110" s="649">
        <f t="shared" si="72"/>
        <v>1.0328618666360487</v>
      </c>
      <c r="BB110" s="644">
        <v>43196</v>
      </c>
      <c r="BC110" s="11">
        <v>43196</v>
      </c>
      <c r="BD110" s="292">
        <f>[2]!FeuilCaduc*(1-Persistant)+Persistant</f>
        <v>1</v>
      </c>
      <c r="BE110" s="293">
        <f>[2]!CroissVégét</f>
        <v>6.3411438498040387E-2</v>
      </c>
      <c r="BF110" s="844">
        <f>1+[2]!Salcycl*Ksac</f>
        <v>1.0038386666522721</v>
      </c>
      <c r="BH110" s="1107">
        <f t="shared" si="73"/>
        <v>1.4215718498803584E-2</v>
      </c>
      <c r="BI110" s="11">
        <v>44292</v>
      </c>
      <c r="BJ110" s="744">
        <v>1.7144418205671825E-3</v>
      </c>
      <c r="BK110" s="744">
        <v>5.8181481091371945E-3</v>
      </c>
      <c r="BL110" s="744">
        <v>1.2238440688909587E-2</v>
      </c>
      <c r="BM110" s="744">
        <v>2.2135915503805417E-2</v>
      </c>
      <c r="BN110" s="744">
        <v>3.6075734273552248E-2</v>
      </c>
      <c r="BO110" s="745">
        <v>5.5014898096969855E-2</v>
      </c>
      <c r="BP110" s="744">
        <v>7.8854643066318036E-2</v>
      </c>
      <c r="BQ110" s="744">
        <v>0.10709950606288299</v>
      </c>
      <c r="BR110" s="744">
        <v>0.14325774340762495</v>
      </c>
      <c r="BS110" s="744">
        <v>0.19386702842583725</v>
      </c>
      <c r="BT110" s="744">
        <v>0.25762898598053408</v>
      </c>
      <c r="BW110" s="1191">
        <f>'2018'!R\Max</f>
        <v>0</v>
      </c>
      <c r="BX110" s="1189">
        <f>'2019'!R\Max</f>
        <v>0.44826367126143013</v>
      </c>
      <c r="BY110" s="1189">
        <f>'2020'!R\Max</f>
        <v>1.0328618666360487</v>
      </c>
      <c r="BZ110" s="1189">
        <f>'2021'!R\Max</f>
        <v>0.62073146647274358</v>
      </c>
      <c r="CA110" s="1189">
        <f>'2022'!R\Max</f>
        <v>0.25618570658174528</v>
      </c>
      <c r="CB110" s="1189">
        <f>'2023'!R\Max</f>
        <v>0.25563942017634955</v>
      </c>
      <c r="CC110" s="1189">
        <f>'2024'!R\Max</f>
        <v>0.2550505253997814</v>
      </c>
      <c r="CD110" s="1189">
        <f>'2025'!R\Max</f>
        <v>0.2577276803430108</v>
      </c>
      <c r="CE110" s="1189">
        <f>'2026'!R\Max</f>
        <v>0.25745744675844501</v>
      </c>
      <c r="CF110" s="1190">
        <f>'2027'!R\Max</f>
        <v>0.25709116344403998</v>
      </c>
    </row>
    <row r="111" spans="1:84" s="6" customFormat="1" ht="11.25" x14ac:dyDescent="0.2">
      <c r="A111" s="11">
        <v>43197</v>
      </c>
      <c r="B111" s="382">
        <f>'2022'!Maxi_hp</f>
        <v>54.094709331029712</v>
      </c>
      <c r="C111" s="85">
        <f>'2022'!An_max</f>
        <v>2021</v>
      </c>
      <c r="D111" s="1134"/>
      <c r="E111" s="711"/>
      <c r="F111" s="13">
        <f t="shared" si="74"/>
        <v>9</v>
      </c>
      <c r="G111" s="13">
        <f t="shared" si="58"/>
        <v>8</v>
      </c>
      <c r="H111" s="175">
        <f t="shared" si="59"/>
        <v>43206</v>
      </c>
      <c r="I111" s="774">
        <f t="shared" si="60"/>
        <v>0.6428571428571429</v>
      </c>
      <c r="J111" s="765">
        <f t="shared" si="61"/>
        <v>53.912088630561321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P111" s="13">
        <f t="shared" si="62"/>
        <v>5</v>
      </c>
      <c r="AQ111" s="13">
        <f t="shared" si="63"/>
        <v>6</v>
      </c>
      <c r="AR111" s="175">
        <f t="shared" si="64"/>
        <v>43192</v>
      </c>
      <c r="AS111" s="774">
        <f t="shared" si="65"/>
        <v>0.17857142857142858</v>
      </c>
      <c r="AT111" s="791">
        <f t="shared" si="66"/>
        <v>53.836590086615502</v>
      </c>
      <c r="AU111" s="13">
        <f t="shared" si="67"/>
        <v>5</v>
      </c>
      <c r="AV111" s="13">
        <f t="shared" si="68"/>
        <v>4</v>
      </c>
      <c r="AW111" s="175">
        <f t="shared" si="69"/>
        <v>43206</v>
      </c>
      <c r="AX111" s="774">
        <f t="shared" si="70"/>
        <v>0.32142857142857145</v>
      </c>
      <c r="AY111" s="791">
        <f t="shared" si="71"/>
        <v>53.882742856622542</v>
      </c>
      <c r="AZ111" s="765">
        <f t="shared" si="75"/>
        <v>53.859666471619022</v>
      </c>
      <c r="BA111" s="649">
        <f t="shared" si="72"/>
        <v>1.0033873794376587</v>
      </c>
      <c r="BB111" s="644">
        <v>43197</v>
      </c>
      <c r="BC111" s="11">
        <v>43197</v>
      </c>
      <c r="BD111" s="292">
        <f>[2]!FeuilCaduc*(1-Persistant)+Persistant</f>
        <v>1</v>
      </c>
      <c r="BE111" s="293">
        <f>[2]!CroissVégét</f>
        <v>6.5947331619938404E-2</v>
      </c>
      <c r="BF111" s="844">
        <f>1+[2]!Salcycl*Ksac</f>
        <v>1.0041147829768726</v>
      </c>
      <c r="BH111" s="1107">
        <f t="shared" si="73"/>
        <v>1.3776102332197698E-2</v>
      </c>
      <c r="BI111" s="11">
        <v>44293</v>
      </c>
      <c r="BJ111" s="744">
        <v>1.6197559158946182E-3</v>
      </c>
      <c r="BK111" s="744">
        <v>5.6018510441813224E-3</v>
      </c>
      <c r="BL111" s="744">
        <v>1.1842507517590632E-2</v>
      </c>
      <c r="BM111" s="744">
        <v>2.1521322443861717E-2</v>
      </c>
      <c r="BN111" s="744">
        <v>3.5264999153968198E-2</v>
      </c>
      <c r="BO111" s="745">
        <v>5.403462097819519E-2</v>
      </c>
      <c r="BP111" s="744">
        <v>7.7712811961992825E-2</v>
      </c>
      <c r="BQ111" s="744">
        <v>0.10588237431750629</v>
      </c>
      <c r="BR111" s="744">
        <v>0.14109198623997052</v>
      </c>
      <c r="BS111" s="744">
        <v>0.1891949815011563</v>
      </c>
      <c r="BT111" s="744">
        <v>0.24879428249431051</v>
      </c>
      <c r="BW111" s="1191">
        <f>'2018'!R\Max</f>
        <v>0</v>
      </c>
      <c r="BX111" s="1189">
        <f>'2019'!R\Max</f>
        <v>0.66749366679332622</v>
      </c>
      <c r="BY111" s="1189">
        <f>'2020'!R\Max</f>
        <v>0.60496682545978231</v>
      </c>
      <c r="BZ111" s="1189">
        <f>'2021'!R\Max</f>
        <v>1.0033873794376587</v>
      </c>
      <c r="CA111" s="1189">
        <f>'2022'!R\Max</f>
        <v>0.77267833555904486</v>
      </c>
      <c r="CB111" s="1189">
        <f>'2023'!R\Max</f>
        <v>0.77215119072176752</v>
      </c>
      <c r="CC111" s="1189">
        <f>'2024'!R\Max</f>
        <v>0.77158027707767085</v>
      </c>
      <c r="CD111" s="1189">
        <f>'2025'!R\Max</f>
        <v>0.77414836616252181</v>
      </c>
      <c r="CE111" s="1189">
        <f>'2026'!R\Max</f>
        <v>0.7738939340004144</v>
      </c>
      <c r="CF111" s="1190">
        <f>'2027'!R\Max</f>
        <v>0.77354567101034255</v>
      </c>
    </row>
    <row r="112" spans="1:84" s="6" customFormat="1" ht="11.25" x14ac:dyDescent="0.2">
      <c r="A112" s="11">
        <v>43198</v>
      </c>
      <c r="B112" s="382">
        <f>'2022'!Maxi_hp</f>
        <v>51.981553630280644</v>
      </c>
      <c r="C112" s="85">
        <f>'2022'!An_max</f>
        <v>2021</v>
      </c>
      <c r="D112" s="1134"/>
      <c r="E112" s="711"/>
      <c r="F112" s="13">
        <f t="shared" si="74"/>
        <v>9</v>
      </c>
      <c r="G112" s="13">
        <f t="shared" si="58"/>
        <v>8</v>
      </c>
      <c r="H112" s="175">
        <f t="shared" si="59"/>
        <v>43206</v>
      </c>
      <c r="I112" s="774">
        <f t="shared" si="60"/>
        <v>0.5714285714285714</v>
      </c>
      <c r="J112" s="765">
        <f t="shared" si="61"/>
        <v>54.296480466638286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P112" s="13">
        <f t="shared" si="62"/>
        <v>5</v>
      </c>
      <c r="AQ112" s="13">
        <f t="shared" si="63"/>
        <v>6</v>
      </c>
      <c r="AR112" s="175">
        <f t="shared" si="64"/>
        <v>43192</v>
      </c>
      <c r="AS112" s="774">
        <f t="shared" si="65"/>
        <v>0.21428571428571427</v>
      </c>
      <c r="AT112" s="791">
        <f t="shared" si="66"/>
        <v>54.212067639029456</v>
      </c>
      <c r="AU112" s="13">
        <f t="shared" si="67"/>
        <v>5</v>
      </c>
      <c r="AV112" s="13">
        <f t="shared" si="68"/>
        <v>4</v>
      </c>
      <c r="AW112" s="175">
        <f t="shared" si="69"/>
        <v>43206</v>
      </c>
      <c r="AX112" s="774">
        <f t="shared" si="70"/>
        <v>0.2857142857142857</v>
      </c>
      <c r="AY112" s="791">
        <f t="shared" si="71"/>
        <v>54.280359183358293</v>
      </c>
      <c r="AZ112" s="765">
        <f t="shared" si="75"/>
        <v>54.246213411193878</v>
      </c>
      <c r="BA112" s="649">
        <f t="shared" si="72"/>
        <v>0.95736506645619479</v>
      </c>
      <c r="BB112" s="644">
        <v>43198</v>
      </c>
      <c r="BC112" s="11">
        <v>43198</v>
      </c>
      <c r="BD112" s="292">
        <f>[2]!FeuilCaduc*(1-Persistant)+Persistant</f>
        <v>1</v>
      </c>
      <c r="BE112" s="293">
        <f>[2]!CroissVégét</f>
        <v>6.8575048275425571E-2</v>
      </c>
      <c r="BF112" s="844">
        <f>1+[2]!Salcycl*Ksac</f>
        <v>1.0044069873858612</v>
      </c>
      <c r="BH112" s="1107">
        <f t="shared" si="73"/>
        <v>1.3326015494175789E-2</v>
      </c>
      <c r="BI112" s="11">
        <v>44294</v>
      </c>
      <c r="BJ112" s="744">
        <v>1.5314710837650749E-3</v>
      </c>
      <c r="BK112" s="744">
        <v>5.3848820806683189E-3</v>
      </c>
      <c r="BL112" s="744">
        <v>1.143767663616993E-2</v>
      </c>
      <c r="BM112" s="744">
        <v>2.0889958048312077E-2</v>
      </c>
      <c r="BN112" s="744">
        <v>3.4429255909839723E-2</v>
      </c>
      <c r="BO112" s="745">
        <v>5.3010235865417192E-2</v>
      </c>
      <c r="BP112" s="744">
        <v>7.6516781923106805E-2</v>
      </c>
      <c r="BQ112" s="744">
        <v>0.10460308500781407</v>
      </c>
      <c r="BR112" s="744">
        <v>0.13905112399734348</v>
      </c>
      <c r="BS112" s="744">
        <v>0.18493523042621018</v>
      </c>
      <c r="BT112" s="744">
        <v>0.24077233252952901</v>
      </c>
      <c r="BW112" s="1191">
        <f>'2018'!R\Max</f>
        <v>0</v>
      </c>
      <c r="BX112" s="1189">
        <f>'2019'!R\Max</f>
        <v>0.65158717325145388</v>
      </c>
      <c r="BY112" s="1189">
        <f>'2020'!R\Max</f>
        <v>0.61254524793179854</v>
      </c>
      <c r="BZ112" s="1189">
        <f>'2021'!R\Max</f>
        <v>0.95736506645619479</v>
      </c>
      <c r="CA112" s="1189">
        <f>'2022'!R\Max</f>
        <v>0.59852986324153767</v>
      </c>
      <c r="CB112" s="1189">
        <f>'2023'!R\Max</f>
        <v>0.59781919701382524</v>
      </c>
      <c r="CC112" s="1189">
        <f>'2024'!R\Max</f>
        <v>0.59704897065348694</v>
      </c>
      <c r="CD112" s="1189">
        <f>'2025'!R\Max</f>
        <v>0.60050146140598371</v>
      </c>
      <c r="CE112" s="1189">
        <f>'2026'!R\Max</f>
        <v>0.60016303222272027</v>
      </c>
      <c r="CF112" s="1190">
        <f>'2027'!R\Max</f>
        <v>0.59969603069147115</v>
      </c>
    </row>
    <row r="113" spans="1:84" s="6" customFormat="1" ht="11.25" x14ac:dyDescent="0.2">
      <c r="A113" s="11">
        <v>43199</v>
      </c>
      <c r="B113" s="382">
        <f>'2022'!Maxi_hp</f>
        <v>51.372515344218137</v>
      </c>
      <c r="C113" s="85">
        <f>'2022'!An_max</f>
        <v>2020</v>
      </c>
      <c r="D113" s="1134"/>
      <c r="E113" s="711"/>
      <c r="F113" s="13">
        <f t="shared" si="74"/>
        <v>9</v>
      </c>
      <c r="G113" s="13">
        <f t="shared" si="58"/>
        <v>8</v>
      </c>
      <c r="H113" s="175">
        <f t="shared" si="59"/>
        <v>43206</v>
      </c>
      <c r="I113" s="774">
        <f t="shared" si="60"/>
        <v>0.5</v>
      </c>
      <c r="J113" s="765">
        <f t="shared" si="61"/>
        <v>54.675200000032781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P113" s="13">
        <f t="shared" si="62"/>
        <v>5</v>
      </c>
      <c r="AQ113" s="13">
        <f t="shared" si="63"/>
        <v>6</v>
      </c>
      <c r="AR113" s="175">
        <f t="shared" si="64"/>
        <v>43192</v>
      </c>
      <c r="AS113" s="774">
        <f t="shared" si="65"/>
        <v>0.25</v>
      </c>
      <c r="AT113" s="791">
        <f t="shared" si="66"/>
        <v>54.583999999053773</v>
      </c>
      <c r="AU113" s="13">
        <f t="shared" si="67"/>
        <v>5</v>
      </c>
      <c r="AV113" s="13">
        <f t="shared" si="68"/>
        <v>4</v>
      </c>
      <c r="AW113" s="175">
        <f t="shared" si="69"/>
        <v>43206</v>
      </c>
      <c r="AX113" s="774">
        <f t="shared" si="70"/>
        <v>0.25</v>
      </c>
      <c r="AY113" s="791">
        <f t="shared" si="71"/>
        <v>54.670400000363585</v>
      </c>
      <c r="AZ113" s="765">
        <f t="shared" si="75"/>
        <v>54.627199999708679</v>
      </c>
      <c r="BA113" s="649">
        <f t="shared" si="72"/>
        <v>0.93959446594045082</v>
      </c>
      <c r="BB113" s="644">
        <v>43199</v>
      </c>
      <c r="BC113" s="11">
        <v>43199</v>
      </c>
      <c r="BD113" s="292">
        <f>[2]!FeuilCaduc*(1-Persistant)+Persistant</f>
        <v>1</v>
      </c>
      <c r="BE113" s="293">
        <f>[2]!CroissVégét</f>
        <v>7.1297326250557638E-2</v>
      </c>
      <c r="BF113" s="844">
        <f>1+[2]!Salcycl*Ksac</f>
        <v>1.0047156791528793</v>
      </c>
      <c r="BH113" s="1107">
        <f t="shared" si="73"/>
        <v>1.2865464321386027E-2</v>
      </c>
      <c r="BI113" s="11">
        <v>44295</v>
      </c>
      <c r="BJ113" s="744">
        <v>1.449586454288086E-3</v>
      </c>
      <c r="BK113" s="744">
        <v>5.1672433349430969E-3</v>
      </c>
      <c r="BL113" s="744">
        <v>1.1023953770258187E-2</v>
      </c>
      <c r="BM113" s="744">
        <v>2.024183110138035E-2</v>
      </c>
      <c r="BN113" s="744">
        <v>3.3568514791580274E-2</v>
      </c>
      <c r="BO113" s="745">
        <v>5.1941755741294039E-2</v>
      </c>
      <c r="BP113" s="744">
        <v>7.5266564156885554E-2</v>
      </c>
      <c r="BQ113" s="744">
        <v>0.10326164396768028</v>
      </c>
      <c r="BR113" s="744">
        <v>0.13713510971741297</v>
      </c>
      <c r="BS113" s="744">
        <v>0.18108766711628554</v>
      </c>
      <c r="BT113" s="744">
        <v>0.23356295678317526</v>
      </c>
      <c r="BW113" s="1191">
        <f>'2018'!R\Max</f>
        <v>0</v>
      </c>
      <c r="BX113" s="1189">
        <f>'2019'!R\Max</f>
        <v>0.87338951019242894</v>
      </c>
      <c r="BY113" s="1189">
        <f>'2020'!R\Max</f>
        <v>0.93959446594045082</v>
      </c>
      <c r="BZ113" s="1189">
        <f>'2021'!R\Max</f>
        <v>0.57792894868504663</v>
      </c>
      <c r="CA113" s="1189">
        <f>'2022'!R\Max</f>
        <v>0.72213802952194728</v>
      </c>
      <c r="CB113" s="1189">
        <f>'2023'!R\Max</f>
        <v>0.72155291191171733</v>
      </c>
      <c r="CC113" s="1189">
        <f>'2024'!R\Max</f>
        <v>0.72091704396469647</v>
      </c>
      <c r="CD113" s="1189">
        <f>'2025'!R\Max</f>
        <v>0.72374671718178141</v>
      </c>
      <c r="CE113" s="1189">
        <f>'2026'!R\Max</f>
        <v>0.72347352013454935</v>
      </c>
      <c r="CF113" s="1190">
        <f>'2027'!R\Max</f>
        <v>0.72309285969536885</v>
      </c>
    </row>
    <row r="114" spans="1:84" s="6" customFormat="1" ht="11.25" x14ac:dyDescent="0.2">
      <c r="A114" s="11">
        <v>43200</v>
      </c>
      <c r="B114" s="382">
        <f>'2022'!Maxi_hp</f>
        <v>56.041999013019073</v>
      </c>
      <c r="C114" s="85">
        <f>'2022'!An_max</f>
        <v>2022</v>
      </c>
      <c r="D114" s="1134"/>
      <c r="E114" s="711"/>
      <c r="F114" s="13">
        <f t="shared" si="74"/>
        <v>9</v>
      </c>
      <c r="G114" s="13">
        <f t="shared" si="58"/>
        <v>8</v>
      </c>
      <c r="H114" s="175">
        <f t="shared" si="59"/>
        <v>43206</v>
      </c>
      <c r="I114" s="774">
        <f t="shared" si="60"/>
        <v>0.42857142857142855</v>
      </c>
      <c r="J114" s="765">
        <f t="shared" si="61"/>
        <v>55.047911370439195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P114" s="13">
        <f t="shared" si="62"/>
        <v>5</v>
      </c>
      <c r="AQ114" s="13">
        <f t="shared" si="63"/>
        <v>6</v>
      </c>
      <c r="AR114" s="175">
        <f t="shared" si="64"/>
        <v>43192</v>
      </c>
      <c r="AS114" s="774">
        <f t="shared" si="65"/>
        <v>0.2857142857142857</v>
      </c>
      <c r="AT114" s="791">
        <f t="shared" si="66"/>
        <v>54.952079300582412</v>
      </c>
      <c r="AU114" s="13">
        <f t="shared" si="67"/>
        <v>5</v>
      </c>
      <c r="AV114" s="13">
        <f t="shared" si="68"/>
        <v>4</v>
      </c>
      <c r="AW114" s="175">
        <f t="shared" si="69"/>
        <v>43206</v>
      </c>
      <c r="AX114" s="774">
        <f t="shared" si="70"/>
        <v>0.21428571428571427</v>
      </c>
      <c r="AY114" s="791">
        <f t="shared" si="71"/>
        <v>55.052277550926171</v>
      </c>
      <c r="AZ114" s="765">
        <f t="shared" si="75"/>
        <v>55.002178425754295</v>
      </c>
      <c r="BA114" s="649">
        <f t="shared" si="72"/>
        <v>1.0180585896509364</v>
      </c>
      <c r="BB114" s="644">
        <v>43200</v>
      </c>
      <c r="BC114" s="11">
        <v>43200</v>
      </c>
      <c r="BD114" s="292">
        <f>[2]!FeuilCaduc*(1-Persistant)+Persistant</f>
        <v>1</v>
      </c>
      <c r="BE114" s="293">
        <f>[2]!CroissVégét</f>
        <v>7.4116938463242688E-2</v>
      </c>
      <c r="BF114" s="844">
        <f>1+[2]!Salcycl*Ksac</f>
        <v>1.0050412400604856</v>
      </c>
      <c r="BH114" s="1107">
        <f t="shared" si="73"/>
        <v>1.2397006593788496E-2</v>
      </c>
      <c r="BI114" s="11">
        <v>44296</v>
      </c>
      <c r="BJ114" s="744">
        <v>1.374176655281925E-3</v>
      </c>
      <c r="BK114" s="744">
        <v>4.9499857938018884E-3</v>
      </c>
      <c r="BL114" s="744">
        <v>1.0603860575986416E-2</v>
      </c>
      <c r="BM114" s="744">
        <v>1.9579644080874023E-2</v>
      </c>
      <c r="BN114" s="744">
        <v>3.2677863296424726E-2</v>
      </c>
      <c r="BO114" s="745">
        <v>5.0813645924478679E-2</v>
      </c>
      <c r="BP114" s="744">
        <v>7.3935426512677607E-2</v>
      </c>
      <c r="BQ114" s="744">
        <v>0.10181561564068292</v>
      </c>
      <c r="BR114" s="744">
        <v>0.13529223213318028</v>
      </c>
      <c r="BS114" s="744">
        <v>0.17762098708130469</v>
      </c>
      <c r="BT114" s="744">
        <v>0.22719296882089213</v>
      </c>
      <c r="BW114" s="1191">
        <f>'2018'!R\Max</f>
        <v>0</v>
      </c>
      <c r="BX114" s="1189">
        <f>'2019'!R\Max</f>
        <v>0.54737502214954603</v>
      </c>
      <c r="BY114" s="1189">
        <f>'2020'!R\Max</f>
        <v>0.98379107267874899</v>
      </c>
      <c r="BZ114" s="1189">
        <f>'2021'!R\Max</f>
        <v>0.56996120687992946</v>
      </c>
      <c r="CA114" s="1189">
        <f>'2022'!R\Max</f>
        <v>1.0180585896509364</v>
      </c>
      <c r="CB114" s="1189">
        <f>'2023'!R\Max</f>
        <v>1.0180585896509362</v>
      </c>
      <c r="CC114" s="1189">
        <f>'2024'!R\Max</f>
        <v>1.0180585896509362</v>
      </c>
      <c r="CD114" s="1189">
        <f>'2025'!R\Max</f>
        <v>1.0180585896509362</v>
      </c>
      <c r="CE114" s="1189">
        <f>'2026'!R\Max</f>
        <v>1.0180585896509364</v>
      </c>
      <c r="CF114" s="1190">
        <f>'2027'!R\Max</f>
        <v>1.0180585896509362</v>
      </c>
    </row>
    <row r="115" spans="1:84" s="6" customFormat="1" ht="11.25" x14ac:dyDescent="0.2">
      <c r="A115" s="11">
        <v>43201</v>
      </c>
      <c r="B115" s="382">
        <f>'2022'!Maxi_hp</f>
        <v>55.083209342837009</v>
      </c>
      <c r="C115" s="85">
        <f>'2022'!An_max</f>
        <v>2020</v>
      </c>
      <c r="D115" s="1134"/>
      <c r="E115" s="711"/>
      <c r="F115" s="13">
        <f t="shared" si="74"/>
        <v>9</v>
      </c>
      <c r="G115" s="13">
        <f t="shared" si="58"/>
        <v>8</v>
      </c>
      <c r="H115" s="175">
        <f t="shared" si="59"/>
        <v>43206</v>
      </c>
      <c r="I115" s="774">
        <f t="shared" si="60"/>
        <v>0.35714285714285715</v>
      </c>
      <c r="J115" s="765">
        <f t="shared" si="61"/>
        <v>55.414278717126159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P115" s="13">
        <f t="shared" si="62"/>
        <v>5</v>
      </c>
      <c r="AQ115" s="13">
        <f t="shared" si="63"/>
        <v>6</v>
      </c>
      <c r="AR115" s="175">
        <f t="shared" si="64"/>
        <v>43192</v>
      </c>
      <c r="AS115" s="774">
        <f t="shared" si="65"/>
        <v>0.32142857142857145</v>
      </c>
      <c r="AT115" s="791">
        <f t="shared" si="66"/>
        <v>55.315997667317944</v>
      </c>
      <c r="AU115" s="13">
        <f t="shared" si="67"/>
        <v>5</v>
      </c>
      <c r="AV115" s="13">
        <f t="shared" si="68"/>
        <v>4</v>
      </c>
      <c r="AW115" s="175">
        <f t="shared" si="69"/>
        <v>43206</v>
      </c>
      <c r="AX115" s="774">
        <f t="shared" si="70"/>
        <v>0.17857142857142858</v>
      </c>
      <c r="AY115" s="791">
        <f t="shared" si="71"/>
        <v>55.425404081081169</v>
      </c>
      <c r="AZ115" s="765">
        <f t="shared" si="75"/>
        <v>55.370700874199557</v>
      </c>
      <c r="BA115" s="649">
        <f t="shared" si="72"/>
        <v>0.99402555835871897</v>
      </c>
      <c r="BB115" s="644">
        <v>43201</v>
      </c>
      <c r="BC115" s="11">
        <v>43201</v>
      </c>
      <c r="BD115" s="292">
        <f>[2]!FeuilCaduc*(1-Persistant)+Persistant</f>
        <v>1</v>
      </c>
      <c r="BE115" s="293">
        <f>[2]!CroissVégét</f>
        <v>7.7036689395036897E-2</v>
      </c>
      <c r="BF115" s="844">
        <f>1+[2]!Salcycl*Ksac</f>
        <v>1.0053840335417483</v>
      </c>
      <c r="BH115" s="1107">
        <f t="shared" si="73"/>
        <v>1.1929082222780215E-2</v>
      </c>
      <c r="BI115" s="11">
        <v>44297</v>
      </c>
      <c r="BJ115" s="744">
        <v>1.3007511565910782E-3</v>
      </c>
      <c r="BK115" s="744">
        <v>4.7344822714523232E-3</v>
      </c>
      <c r="BL115" s="744">
        <v>1.0184976043403305E-2</v>
      </c>
      <c r="BM115" s="744">
        <v>1.8915285410407531E-2</v>
      </c>
      <c r="BN115" s="744">
        <v>3.1770784991319821E-2</v>
      </c>
      <c r="BO115" s="745">
        <v>4.9648381388744139E-2</v>
      </c>
      <c r="BP115" s="744">
        <v>7.2551982151638703E-2</v>
      </c>
      <c r="BQ115" s="744">
        <v>0.10029754313526262</v>
      </c>
      <c r="BR115" s="744">
        <v>0.1334087074599222</v>
      </c>
      <c r="BS115" s="744">
        <v>0.17429633219805926</v>
      </c>
      <c r="BT115" s="744">
        <v>0.22131558847032948</v>
      </c>
      <c r="BW115" s="1191">
        <f>'2018'!R\Max</f>
        <v>0</v>
      </c>
      <c r="BX115" s="1189">
        <f>'2019'!R\Max</f>
        <v>0.17791342039474367</v>
      </c>
      <c r="BY115" s="1189">
        <f>'2020'!R\Max</f>
        <v>0.99402555835871897</v>
      </c>
      <c r="BZ115" s="1189">
        <f>'2021'!R\Max</f>
        <v>0.14491956396711031</v>
      </c>
      <c r="CA115" s="1189">
        <f>'2022'!R\Max</f>
        <v>0.77258211249940356</v>
      </c>
      <c r="CB115" s="1189">
        <f>'2023'!R\Max</f>
        <v>0.77208545907575599</v>
      </c>
      <c r="CC115" s="1189">
        <f>'2024'!R\Max</f>
        <v>0.77154329925965259</v>
      </c>
      <c r="CD115" s="1189">
        <f>'2025'!R\Max</f>
        <v>0.77392393657597902</v>
      </c>
      <c r="CE115" s="1189">
        <f>'2026'!R\Max</f>
        <v>0.77370052045707327</v>
      </c>
      <c r="CF115" s="1190">
        <f>'2027'!R\Max</f>
        <v>0.77338333150936411</v>
      </c>
    </row>
    <row r="116" spans="1:84" s="6" customFormat="1" ht="11.25" x14ac:dyDescent="0.2">
      <c r="A116" s="11">
        <v>43202</v>
      </c>
      <c r="B116" s="382">
        <f>'2022'!Maxi_hp</f>
        <v>55.421173257782392</v>
      </c>
      <c r="C116" s="85">
        <f>'2022'!An_max</f>
        <v>2019</v>
      </c>
      <c r="D116" s="1134"/>
      <c r="E116" s="711"/>
      <c r="F116" s="13">
        <f t="shared" si="74"/>
        <v>9</v>
      </c>
      <c r="G116" s="13">
        <f t="shared" si="58"/>
        <v>8</v>
      </c>
      <c r="H116" s="175">
        <f t="shared" si="59"/>
        <v>43206</v>
      </c>
      <c r="I116" s="774">
        <f t="shared" si="60"/>
        <v>0.2857142857142857</v>
      </c>
      <c r="J116" s="765">
        <f t="shared" si="61"/>
        <v>55.773966180958915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P116" s="13">
        <f t="shared" si="62"/>
        <v>5</v>
      </c>
      <c r="AQ116" s="13">
        <f t="shared" si="63"/>
        <v>6</v>
      </c>
      <c r="AR116" s="175">
        <f t="shared" si="64"/>
        <v>43192</v>
      </c>
      <c r="AS116" s="774">
        <f t="shared" si="65"/>
        <v>0.35714285714285715</v>
      </c>
      <c r="AT116" s="791">
        <f t="shared" si="66"/>
        <v>55.675447230413553</v>
      </c>
      <c r="AU116" s="13">
        <f t="shared" si="67"/>
        <v>5</v>
      </c>
      <c r="AV116" s="13">
        <f t="shared" si="68"/>
        <v>4</v>
      </c>
      <c r="AW116" s="175">
        <f t="shared" si="69"/>
        <v>43206</v>
      </c>
      <c r="AX116" s="774">
        <f t="shared" si="70"/>
        <v>0.14285714285714285</v>
      </c>
      <c r="AY116" s="791">
        <f t="shared" si="71"/>
        <v>55.789191836304965</v>
      </c>
      <c r="AZ116" s="765">
        <f t="shared" si="75"/>
        <v>55.732319533359259</v>
      </c>
      <c r="BA116" s="649">
        <f t="shared" si="72"/>
        <v>0.99367459502464139</v>
      </c>
      <c r="BB116" s="644">
        <v>43202</v>
      </c>
      <c r="BC116" s="11">
        <v>43202</v>
      </c>
      <c r="BD116" s="292">
        <f>[2]!FeuilCaduc*(1-Persistant)+Persistant</f>
        <v>1</v>
      </c>
      <c r="BE116" s="293">
        <f>[2]!CroissVégét</f>
        <v>8.0059411132293548E-2</v>
      </c>
      <c r="BF116" s="844">
        <f>1+[2]!Salcycl*Ksac</f>
        <v>1.0057444038197074</v>
      </c>
      <c r="BH116" s="1107">
        <f t="shared" si="73"/>
        <v>1.1461696410210971E-2</v>
      </c>
      <c r="BI116" s="11">
        <v>44298</v>
      </c>
      <c r="BJ116" s="744">
        <v>1.2293103011810727E-3</v>
      </c>
      <c r="BK116" s="744">
        <v>4.5207348876213568E-3</v>
      </c>
      <c r="BL116" s="744">
        <v>9.7673047363064872E-3</v>
      </c>
      <c r="BM116" s="744">
        <v>1.8248762847616545E-2</v>
      </c>
      <c r="BN116" s="744">
        <v>3.0847293202347904E-2</v>
      </c>
      <c r="BO116" s="745">
        <v>4.8445981945712903E-2</v>
      </c>
      <c r="BP116" s="744">
        <v>7.1116253009677888E-2</v>
      </c>
      <c r="BQ116" s="744">
        <v>9.8707448871624928E-2</v>
      </c>
      <c r="BR116" s="744">
        <v>0.13148454369530968</v>
      </c>
      <c r="BS116" s="744">
        <v>0.17111366235628725</v>
      </c>
      <c r="BT116" s="744">
        <v>0.21593068930555442</v>
      </c>
      <c r="BW116" s="1191">
        <f>'2018'!R\Max</f>
        <v>0</v>
      </c>
      <c r="BX116" s="1189">
        <f>'2019'!R\Max</f>
        <v>0.99367459502464139</v>
      </c>
      <c r="BY116" s="1189">
        <f>'2020'!R\Max</f>
        <v>0.97535130451898522</v>
      </c>
      <c r="BZ116" s="1189">
        <f>'2021'!R\Max</f>
        <v>0.8029576872078652</v>
      </c>
      <c r="CA116" s="1189">
        <f>'2022'!R\Max</f>
        <v>0.7049864779439603</v>
      </c>
      <c r="CB116" s="1189">
        <f>'2023'!R\Max</f>
        <v>0.70440830843992686</v>
      </c>
      <c r="CC116" s="1189">
        <f>'2024'!R\Max</f>
        <v>0.70377601859786798</v>
      </c>
      <c r="CD116" s="1189">
        <f>'2025'!R\Max</f>
        <v>0.70653515190241512</v>
      </c>
      <c r="CE116" s="1189">
        <f>'2026'!R\Max</f>
        <v>0.7062796243244055</v>
      </c>
      <c r="CF116" s="1190">
        <f>'2027'!R\Max</f>
        <v>0.70591364101792298</v>
      </c>
    </row>
    <row r="117" spans="1:84" s="6" customFormat="1" ht="11.25" x14ac:dyDescent="0.2">
      <c r="A117" s="11">
        <v>43203</v>
      </c>
      <c r="B117" s="382">
        <f>'2022'!Maxi_hp</f>
        <v>56.406019342238785</v>
      </c>
      <c r="C117" s="85">
        <f>'2022'!An_max</f>
        <v>2019</v>
      </c>
      <c r="D117" s="1134"/>
      <c r="E117" s="711"/>
      <c r="F117" s="13">
        <f t="shared" si="74"/>
        <v>9</v>
      </c>
      <c r="G117" s="13">
        <f t="shared" si="58"/>
        <v>8</v>
      </c>
      <c r="H117" s="175">
        <f t="shared" si="59"/>
        <v>43206</v>
      </c>
      <c r="I117" s="774">
        <f t="shared" si="60"/>
        <v>0.21428571428571427</v>
      </c>
      <c r="J117" s="765">
        <f t="shared" si="61"/>
        <v>56.126637900993231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P117" s="13">
        <f t="shared" si="62"/>
        <v>5</v>
      </c>
      <c r="AQ117" s="13">
        <f t="shared" si="63"/>
        <v>6</v>
      </c>
      <c r="AR117" s="175">
        <f t="shared" si="64"/>
        <v>43192</v>
      </c>
      <c r="AS117" s="774">
        <f t="shared" si="65"/>
        <v>0.39285714285714285</v>
      </c>
      <c r="AT117" s="791">
        <f t="shared" si="66"/>
        <v>56.030120116764955</v>
      </c>
      <c r="AU117" s="13">
        <f t="shared" si="67"/>
        <v>5</v>
      </c>
      <c r="AV117" s="13">
        <f t="shared" si="68"/>
        <v>4</v>
      </c>
      <c r="AW117" s="175">
        <f t="shared" si="69"/>
        <v>43206</v>
      </c>
      <c r="AX117" s="774">
        <f t="shared" si="70"/>
        <v>0.10714285714285714</v>
      </c>
      <c r="AY117" s="791">
        <f t="shared" si="71"/>
        <v>56.143053061521741</v>
      </c>
      <c r="AZ117" s="765">
        <f t="shared" si="75"/>
        <v>56.086586589143351</v>
      </c>
      <c r="BA117" s="649">
        <f t="shared" si="72"/>
        <v>1.0049776977865372</v>
      </c>
      <c r="BB117" s="644">
        <v>43203</v>
      </c>
      <c r="BC117" s="11">
        <v>43203</v>
      </c>
      <c r="BD117" s="292">
        <f>[2]!FeuilCaduc*(1-Persistant)+Persistant</f>
        <v>1</v>
      </c>
      <c r="BE117" s="293">
        <f>[2]!CroissVégét</f>
        <v>8.3187958998136649E-2</v>
      </c>
      <c r="BF117" s="844">
        <f>1+[2]!Salcycl*Ksac</f>
        <v>1.0061226750375236</v>
      </c>
      <c r="BH117" s="1107">
        <f t="shared" si="73"/>
        <v>1.0994854935542397E-2</v>
      </c>
      <c r="BI117" s="11">
        <v>44299</v>
      </c>
      <c r="BJ117" s="744">
        <v>1.1598544442406938E-3</v>
      </c>
      <c r="BK117" s="744">
        <v>4.308745965951149E-3</v>
      </c>
      <c r="BL117" s="744">
        <v>9.3508517055160122E-3</v>
      </c>
      <c r="BM117" s="744">
        <v>1.758008509061422E-2</v>
      </c>
      <c r="BN117" s="744">
        <v>2.9907403094277776E-2</v>
      </c>
      <c r="BO117" s="745">
        <v>4.7206470429663118E-2</v>
      </c>
      <c r="BP117" s="744">
        <v>6.9628264944814042E-2</v>
      </c>
      <c r="BQ117" s="744">
        <v>9.7045360171330142E-2</v>
      </c>
      <c r="BR117" s="744">
        <v>0.1295197528976092</v>
      </c>
      <c r="BS117" s="744">
        <v>0.16807293579222862</v>
      </c>
      <c r="BT117" s="744">
        <v>0.21103813201840993</v>
      </c>
      <c r="BW117" s="1191">
        <f>'2018'!R\Max</f>
        <v>0</v>
      </c>
      <c r="BX117" s="1189">
        <f>'2019'!R\Max</f>
        <v>1.0049776977865372</v>
      </c>
      <c r="BY117" s="1189">
        <f>'2020'!R\Max</f>
        <v>0.79467429199326101</v>
      </c>
      <c r="BZ117" s="1189">
        <f>'2021'!R\Max</f>
        <v>0.88022030384372163</v>
      </c>
      <c r="CA117" s="1189">
        <f>'2022'!R\Max</f>
        <v>0.15396715734112715</v>
      </c>
      <c r="CB117" s="1189">
        <f>'2023'!R\Max</f>
        <v>0.15367231342137908</v>
      </c>
      <c r="CC117" s="1189">
        <f>'2024'!R\Max</f>
        <v>0.15334988160726776</v>
      </c>
      <c r="CD117" s="1189">
        <f>'2025'!R\Max</f>
        <v>0.15475228771323549</v>
      </c>
      <c r="CE117" s="1189">
        <f>'2026'!R\Max</f>
        <v>0.15462363397438583</v>
      </c>
      <c r="CF117" s="1190">
        <f>'2027'!R\Max</f>
        <v>0.15443795714507236</v>
      </c>
    </row>
    <row r="118" spans="1:84" s="6" customFormat="1" ht="11.25" x14ac:dyDescent="0.2">
      <c r="A118" s="11">
        <v>43204</v>
      </c>
      <c r="B118" s="382">
        <f>'2022'!Maxi_hp</f>
        <v>56.154090506679154</v>
      </c>
      <c r="C118" s="85">
        <f>'2022'!An_max</f>
        <v>2021</v>
      </c>
      <c r="D118" s="1134"/>
      <c r="E118" s="711"/>
      <c r="F118" s="13">
        <f t="shared" si="74"/>
        <v>9</v>
      </c>
      <c r="G118" s="13">
        <f t="shared" si="58"/>
        <v>8</v>
      </c>
      <c r="H118" s="175">
        <f t="shared" si="59"/>
        <v>43206</v>
      </c>
      <c r="I118" s="774">
        <f t="shared" si="60"/>
        <v>0.14285714285714285</v>
      </c>
      <c r="J118" s="765">
        <f t="shared" si="61"/>
        <v>56.471958017029934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P118" s="13">
        <f t="shared" si="62"/>
        <v>5</v>
      </c>
      <c r="AQ118" s="13">
        <f t="shared" si="63"/>
        <v>6</v>
      </c>
      <c r="AR118" s="175">
        <f t="shared" si="64"/>
        <v>43192</v>
      </c>
      <c r="AS118" s="774">
        <f t="shared" si="65"/>
        <v>0.42857142857142855</v>
      </c>
      <c r="AT118" s="791">
        <f t="shared" si="66"/>
        <v>56.379708453799992</v>
      </c>
      <c r="AU118" s="13">
        <f t="shared" si="67"/>
        <v>5</v>
      </c>
      <c r="AV118" s="13">
        <f t="shared" si="68"/>
        <v>4</v>
      </c>
      <c r="AW118" s="175">
        <f t="shared" si="69"/>
        <v>43206</v>
      </c>
      <c r="AX118" s="774">
        <f t="shared" si="70"/>
        <v>7.1428571428571425E-2</v>
      </c>
      <c r="AY118" s="791">
        <f t="shared" si="71"/>
        <v>56.486399999726565</v>
      </c>
      <c r="AZ118" s="765">
        <f t="shared" si="75"/>
        <v>56.433054226763275</v>
      </c>
      <c r="BA118" s="649">
        <f t="shared" si="72"/>
        <v>0.99437123270535577</v>
      </c>
      <c r="BB118" s="644">
        <v>43204</v>
      </c>
      <c r="BC118" s="11">
        <v>43204</v>
      </c>
      <c r="BD118" s="292">
        <f>[2]!FeuilCaduc*(1-Persistant)+Persistant</f>
        <v>1</v>
      </c>
      <c r="BE118" s="293">
        <f>[2]!CroissVégét</f>
        <v>8.6425206757263798E-2</v>
      </c>
      <c r="BF118" s="844">
        <f>1+[2]!Salcycl*Ksac</f>
        <v>1.0065191503725841</v>
      </c>
      <c r="BH118" s="1107">
        <f t="shared" si="73"/>
        <v>1.0528564154102733E-2</v>
      </c>
      <c r="BI118" s="11">
        <v>44300</v>
      </c>
      <c r="BJ118" s="744">
        <v>1.0923839468296678E-3</v>
      </c>
      <c r="BK118" s="744">
        <v>4.0985180283807038E-3</v>
      </c>
      <c r="BL118" s="744">
        <v>8.935622484981972E-3</v>
      </c>
      <c r="BM118" s="744">
        <v>1.6909261784846516E-2</v>
      </c>
      <c r="BN118" s="744">
        <v>2.8951131722918938E-2</v>
      </c>
      <c r="BO118" s="745">
        <v>4.5929872815998363E-2</v>
      </c>
      <c r="BP118" s="744">
        <v>6.8088047903693036E-2</v>
      </c>
      <c r="BQ118" s="744">
        <v>9.5311309486356022E-2</v>
      </c>
      <c r="BR118" s="744">
        <v>0.1275143513132784</v>
      </c>
      <c r="BS118" s="744">
        <v>0.16517410863007415</v>
      </c>
      <c r="BT118" s="744">
        <v>0.20663776283585772</v>
      </c>
      <c r="BW118" s="1191">
        <f>'2018'!R\Max</f>
        <v>0</v>
      </c>
      <c r="BX118" s="1189">
        <f>'2019'!R\Max</f>
        <v>0.49768172358986068</v>
      </c>
      <c r="BY118" s="1189">
        <f>'2020'!R\Max</f>
        <v>0.28183960124942553</v>
      </c>
      <c r="BZ118" s="1189">
        <f>'2021'!R\Max</f>
        <v>0.99437123270535577</v>
      </c>
      <c r="CA118" s="1189">
        <f>'2022'!R\Max</f>
        <v>0.75075967851721892</v>
      </c>
      <c r="CB118" s="1189">
        <f>'2023'!R\Max</f>
        <v>0.75025725652172515</v>
      </c>
      <c r="CC118" s="1189">
        <f>'2024'!R\Max</f>
        <v>0.7497050949396703</v>
      </c>
      <c r="CD118" s="1189">
        <f>'2025'!R\Max</f>
        <v>0.75207745204768395</v>
      </c>
      <c r="CE118" s="1189">
        <f>'2026'!R\Max</f>
        <v>0.7518640890322601</v>
      </c>
      <c r="CF118" s="1190">
        <f>'2027'!R\Max</f>
        <v>0.75155308961573741</v>
      </c>
    </row>
    <row r="119" spans="1:84" s="6" customFormat="1" ht="11.25" x14ac:dyDescent="0.2">
      <c r="A119" s="11">
        <v>43205</v>
      </c>
      <c r="B119" s="382">
        <f>'2022'!Maxi_hp</f>
        <v>56.104027308625504</v>
      </c>
      <c r="C119" s="85">
        <f>'2022'!An_max</f>
        <v>2021</v>
      </c>
      <c r="D119" s="1134"/>
      <c r="E119" s="711"/>
      <c r="F119" s="13">
        <f t="shared" si="74"/>
        <v>9</v>
      </c>
      <c r="G119" s="13">
        <f t="shared" si="58"/>
        <v>8</v>
      </c>
      <c r="H119" s="175">
        <f t="shared" si="59"/>
        <v>43206</v>
      </c>
      <c r="I119" s="774">
        <f t="shared" si="60"/>
        <v>7.1428571428571425E-2</v>
      </c>
      <c r="J119" s="765">
        <f t="shared" si="61"/>
        <v>56.809590671211481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P119" s="13">
        <f t="shared" si="62"/>
        <v>5</v>
      </c>
      <c r="AQ119" s="13">
        <f t="shared" si="63"/>
        <v>6</v>
      </c>
      <c r="AR119" s="175">
        <f t="shared" si="64"/>
        <v>43192</v>
      </c>
      <c r="AS119" s="774">
        <f t="shared" si="65"/>
        <v>0.4642857142857143</v>
      </c>
      <c r="AT119" s="791">
        <f t="shared" si="66"/>
        <v>56.723904373204071</v>
      </c>
      <c r="AU119" s="13">
        <f t="shared" si="67"/>
        <v>5</v>
      </c>
      <c r="AV119" s="13">
        <f t="shared" si="68"/>
        <v>4</v>
      </c>
      <c r="AW119" s="175">
        <f t="shared" si="69"/>
        <v>43206</v>
      </c>
      <c r="AX119" s="774">
        <f t="shared" si="70"/>
        <v>3.5714285714285712E-2</v>
      </c>
      <c r="AY119" s="791">
        <f t="shared" si="71"/>
        <v>56.818644897686319</v>
      </c>
      <c r="AZ119" s="765">
        <f t="shared" si="75"/>
        <v>56.771274635445195</v>
      </c>
      <c r="BA119" s="649">
        <f t="shared" si="72"/>
        <v>0.98758020689377146</v>
      </c>
      <c r="BB119" s="644">
        <v>43205</v>
      </c>
      <c r="BC119" s="11">
        <v>43205</v>
      </c>
      <c r="BD119" s="292">
        <f>[2]!FeuilCaduc*(1-Persistant)+Persistant</f>
        <v>1</v>
      </c>
      <c r="BE119" s="293">
        <f>[2]!CroissVégét</f>
        <v>8.9774041376326802E-2</v>
      </c>
      <c r="BF119" s="844">
        <f>1+[2]!Salcycl*Ksac</f>
        <v>1.0069341111284209</v>
      </c>
      <c r="BH119" s="1107">
        <f t="shared" si="73"/>
        <v>1.0062830995604812E-2</v>
      </c>
      <c r="BI119" s="11">
        <v>44301</v>
      </c>
      <c r="BJ119" s="744">
        <v>1.0268991695543796E-3</v>
      </c>
      <c r="BK119" s="744">
        <v>3.8900537896310421E-3</v>
      </c>
      <c r="BL119" s="744">
        <v>8.5216230881162616E-3</v>
      </c>
      <c r="BM119" s="744">
        <v>1.623630353036733E-2</v>
      </c>
      <c r="BN119" s="744">
        <v>2.7978498088187153E-2</v>
      </c>
      <c r="BO119" s="745">
        <v>4.4616218340837337E-2</v>
      </c>
      <c r="BP119" s="744">
        <v>6.6495636089751814E-2</v>
      </c>
      <c r="BQ119" s="744">
        <v>9.3505334630450784E-2</v>
      </c>
      <c r="BR119" s="744">
        <v>0.12546835950761506</v>
      </c>
      <c r="BS119" s="744">
        <v>0.16241713442738182</v>
      </c>
      <c r="BT119" s="744">
        <v>0.20272941194231481</v>
      </c>
      <c r="BW119" s="1191">
        <f>'2018'!R\Max</f>
        <v>0</v>
      </c>
      <c r="BX119" s="1189">
        <f>'2019'!R\Max</f>
        <v>0.67383849657528416</v>
      </c>
      <c r="BY119" s="1189">
        <f>'2020'!R\Max</f>
        <v>0.96937893792002039</v>
      </c>
      <c r="BZ119" s="1189">
        <f>'2021'!R\Max</f>
        <v>0.98758020689377146</v>
      </c>
      <c r="CA119" s="1189">
        <f>'2022'!R\Max</f>
        <v>0.82921682204844382</v>
      </c>
      <c r="CB119" s="1189">
        <f>'2023'!R\Max</f>
        <v>0.82884342729348126</v>
      </c>
      <c r="CC119" s="1189">
        <f>'2024'!R\Max</f>
        <v>0.82843188166456583</v>
      </c>
      <c r="CD119" s="1189">
        <f>'2025'!R\Max</f>
        <v>0.83018436348881219</v>
      </c>
      <c r="CE119" s="1189">
        <f>'2026'!R\Max</f>
        <v>0.83002919825430077</v>
      </c>
      <c r="CF119" s="1190">
        <f>'2027'!R\Max</f>
        <v>0.82980107362378486</v>
      </c>
    </row>
    <row r="120" spans="1:84" s="6" customFormat="1" ht="11.25" x14ac:dyDescent="0.2">
      <c r="A120" s="11">
        <v>43206</v>
      </c>
      <c r="B120" s="382">
        <f>'2022'!Maxi_hp</f>
        <v>50.539575554586463</v>
      </c>
      <c r="C120" s="85">
        <f>'2022'!An_max</f>
        <v>2022</v>
      </c>
      <c r="D120" s="1134"/>
      <c r="E120" s="773">
        <f>U$13/10</f>
        <v>57.139200000000002</v>
      </c>
      <c r="F120" s="13">
        <f t="shared" si="74"/>
        <v>9</v>
      </c>
      <c r="G120" s="13">
        <f t="shared" si="58"/>
        <v>10</v>
      </c>
      <c r="H120" s="175">
        <f t="shared" si="59"/>
        <v>43206</v>
      </c>
      <c r="I120" s="774">
        <f t="shared" si="60"/>
        <v>0</v>
      </c>
      <c r="J120" s="765">
        <f t="shared" si="61"/>
        <v>57.139199999719857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P120" s="13">
        <f t="shared" si="62"/>
        <v>5</v>
      </c>
      <c r="AQ120" s="13">
        <f t="shared" si="63"/>
        <v>6</v>
      </c>
      <c r="AR120" s="175">
        <f t="shared" si="64"/>
        <v>43192</v>
      </c>
      <c r="AS120" s="774">
        <f t="shared" si="65"/>
        <v>0.5</v>
      </c>
      <c r="AT120" s="791">
        <f t="shared" si="66"/>
        <v>57.062399998307228</v>
      </c>
      <c r="AU120" s="13">
        <f t="shared" si="67"/>
        <v>5</v>
      </c>
      <c r="AV120" s="13">
        <f t="shared" si="68"/>
        <v>6</v>
      </c>
      <c r="AW120" s="175">
        <f t="shared" si="69"/>
        <v>43206</v>
      </c>
      <c r="AX120" s="774">
        <f t="shared" si="70"/>
        <v>0</v>
      </c>
      <c r="AY120" s="791">
        <f t="shared" si="71"/>
        <v>57.139199998974803</v>
      </c>
      <c r="AZ120" s="765">
        <f t="shared" si="75"/>
        <v>57.100799998641016</v>
      </c>
      <c r="BA120" s="649">
        <f t="shared" si="72"/>
        <v>0.88449918015712947</v>
      </c>
      <c r="BB120" s="644">
        <v>43206</v>
      </c>
      <c r="BC120" s="11">
        <v>43206</v>
      </c>
      <c r="BD120" s="292">
        <f>[2]!FeuilCaduc*(1-Persistant)+Persistant</f>
        <v>1</v>
      </c>
      <c r="BE120" s="293">
        <f>[2]!CroissVégét</f>
        <v>9.3237357323611589E-2</v>
      </c>
      <c r="BF120" s="844">
        <f>1+[2]!Salcycl*Ksac</f>
        <v>1.0073678157990584</v>
      </c>
      <c r="BH120" s="1107">
        <f t="shared" si="73"/>
        <v>9.5976629624194565E-3</v>
      </c>
      <c r="BI120" s="11">
        <v>44302</v>
      </c>
      <c r="BJ120" s="744">
        <v>9.6340046621749701E-4</v>
      </c>
      <c r="BK120" s="744">
        <v>3.6833561515941132E-3</v>
      </c>
      <c r="BL120" s="744">
        <v>8.1088600039160384E-3</v>
      </c>
      <c r="BM120" s="744">
        <v>1.5561221888723704E-2</v>
      </c>
      <c r="BN120" s="744">
        <v>2.6989523186509694E-2</v>
      </c>
      <c r="BO120" s="745">
        <v>4.3265539619564586E-2</v>
      </c>
      <c r="BP120" s="744">
        <v>6.4851068129855707E-2</v>
      </c>
      <c r="BQ120" s="744">
        <v>9.1627479008363488E-2</v>
      </c>
      <c r="BR120" s="744">
        <v>0.12338180249257701</v>
      </c>
      <c r="BS120" s="744">
        <v>0.15980196371681629</v>
      </c>
      <c r="BT120" s="744">
        <v>0.19931289189735979</v>
      </c>
      <c r="BW120" s="1191">
        <f>'2018'!R\Max</f>
        <v>0</v>
      </c>
      <c r="BX120" s="1189">
        <f>'2019'!R\Max</f>
        <v>0.63159928841416546</v>
      </c>
      <c r="BY120" s="1189">
        <f>'2020'!R\Max</f>
        <v>0.84990346304444342</v>
      </c>
      <c r="BZ120" s="1189">
        <f>'2021'!R\Max</f>
        <v>0.81245700794194431</v>
      </c>
      <c r="CA120" s="1189">
        <f>'2022'!R\Max</f>
        <v>0.88449918015712947</v>
      </c>
      <c r="CB120" s="1189">
        <f>'2023'!R\Max</f>
        <v>0.88423486312947297</v>
      </c>
      <c r="CC120" s="1189">
        <f>'2024'!R\Max</f>
        <v>0.88394271567864391</v>
      </c>
      <c r="CD120" s="1189">
        <f>'2025'!R\Max</f>
        <v>0.88517541613922901</v>
      </c>
      <c r="CE120" s="1189">
        <f>'2026'!R\Max</f>
        <v>0.88506797132239634</v>
      </c>
      <c r="CF120" s="1190">
        <f>'2027'!R\Max</f>
        <v>0.88490868648336984</v>
      </c>
    </row>
    <row r="121" spans="1:84" s="6" customFormat="1" ht="11.25" x14ac:dyDescent="0.2">
      <c r="A121" s="11">
        <v>43207</v>
      </c>
      <c r="B121" s="382">
        <f>'2022'!Maxi_hp</f>
        <v>57.416331755569935</v>
      </c>
      <c r="C121" s="85">
        <f>'2022'!An_max</f>
        <v>2022</v>
      </c>
      <c r="D121" s="1134"/>
      <c r="E121" s="711"/>
      <c r="F121" s="13">
        <f t="shared" si="74"/>
        <v>9</v>
      </c>
      <c r="G121" s="13">
        <f t="shared" si="58"/>
        <v>10</v>
      </c>
      <c r="H121" s="175">
        <f t="shared" si="59"/>
        <v>43206</v>
      </c>
      <c r="I121" s="774">
        <f t="shared" si="60"/>
        <v>7.1428571428571425E-2</v>
      </c>
      <c r="J121" s="765">
        <f t="shared" si="61"/>
        <v>57.462017492258134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P121" s="13">
        <f t="shared" si="62"/>
        <v>5</v>
      </c>
      <c r="AQ121" s="13">
        <f t="shared" si="63"/>
        <v>6</v>
      </c>
      <c r="AR121" s="175">
        <f t="shared" si="64"/>
        <v>43192</v>
      </c>
      <c r="AS121" s="774">
        <f t="shared" si="65"/>
        <v>0.5357142857142857</v>
      </c>
      <c r="AT121" s="791">
        <f t="shared" si="66"/>
        <v>57.394887464041155</v>
      </c>
      <c r="AU121" s="13">
        <f t="shared" si="67"/>
        <v>5</v>
      </c>
      <c r="AV121" s="13">
        <f t="shared" si="68"/>
        <v>6</v>
      </c>
      <c r="AW121" s="175">
        <f t="shared" si="69"/>
        <v>43206</v>
      </c>
      <c r="AX121" s="774">
        <f t="shared" si="70"/>
        <v>3.5714285714285712E-2</v>
      </c>
      <c r="AY121" s="791">
        <f t="shared" si="71"/>
        <v>57.450129446493726</v>
      </c>
      <c r="AZ121" s="765">
        <f t="shared" si="75"/>
        <v>57.42250845526744</v>
      </c>
      <c r="BA121" s="649">
        <f t="shared" si="72"/>
        <v>0.99920494025998385</v>
      </c>
      <c r="BB121" s="644">
        <v>43207</v>
      </c>
      <c r="BC121" s="11">
        <v>43207</v>
      </c>
      <c r="BD121" s="292">
        <f>[2]!FeuilCaduc*(1-Persistant)+Persistant</f>
        <v>1</v>
      </c>
      <c r="BE121" s="293">
        <f>[2]!CroissVégét</f>
        <v>9.6818050392965163E-2</v>
      </c>
      <c r="BF121" s="844">
        <f>1+[2]!Salcycl*Ksac</f>
        <v>1.0078204991012725</v>
      </c>
      <c r="BH121" s="1107">
        <f t="shared" si="73"/>
        <v>9.1330681279816264E-3</v>
      </c>
      <c r="BI121" s="11">
        <v>44303</v>
      </c>
      <c r="BJ121" s="744">
        <v>9.0188817748167172E-4</v>
      </c>
      <c r="BK121" s="744">
        <v>3.4784281977738051E-3</v>
      </c>
      <c r="BL121" s="744">
        <v>7.6973401932001256E-3</v>
      </c>
      <c r="BM121" s="744">
        <v>1.488402939005311E-2</v>
      </c>
      <c r="BN121" s="744">
        <v>2.5984230063590744E-2</v>
      </c>
      <c r="BO121" s="745">
        <v>4.1877872765949183E-2</v>
      </c>
      <c r="BP121" s="744">
        <v>6.3154387241772206E-2</v>
      </c>
      <c r="BQ121" s="744">
        <v>8.9677791846240529E-2</v>
      </c>
      <c r="BR121" s="744">
        <v>0.12125470985615867</v>
      </c>
      <c r="BS121" s="744">
        <v>0.15732854354991219</v>
      </c>
      <c r="BT121" s="744">
        <v>0.19638799605598714</v>
      </c>
      <c r="BW121" s="1191">
        <f>'2018'!R\Max</f>
        <v>0</v>
      </c>
      <c r="BX121" s="1189">
        <f>'2019'!R\Max</f>
        <v>0.59604425479911149</v>
      </c>
      <c r="BY121" s="1189">
        <f>'2020'!R\Max</f>
        <v>0.73891151781556996</v>
      </c>
      <c r="BZ121" s="1189">
        <f>'2021'!R\Max</f>
        <v>0.92126210203275205</v>
      </c>
      <c r="CA121" s="1189">
        <f>'2022'!R\Max</f>
        <v>0.99920494025998385</v>
      </c>
      <c r="CB121" s="1189">
        <f>'2023'!R\Max</f>
        <v>0.99920292450857928</v>
      </c>
      <c r="CC121" s="1189">
        <f>'2024'!R\Max</f>
        <v>0.99920068933427719</v>
      </c>
      <c r="CD121" s="1189">
        <f>'2025'!R\Max</f>
        <v>0.99921002484888943</v>
      </c>
      <c r="CE121" s="1189">
        <f>'2026'!R\Max</f>
        <v>0.99920922461092998</v>
      </c>
      <c r="CF121" s="1190">
        <f>'2027'!R\Max</f>
        <v>0.99920802847193602</v>
      </c>
    </row>
    <row r="122" spans="1:84" s="6" customFormat="1" ht="11.25" x14ac:dyDescent="0.2">
      <c r="A122" s="11">
        <v>43208</v>
      </c>
      <c r="B122" s="382">
        <f>'2022'!Maxi_hp</f>
        <v>46.081902572381331</v>
      </c>
      <c r="C122" s="85">
        <f>'2022'!An_max</f>
        <v>2022</v>
      </c>
      <c r="D122" s="1134"/>
      <c r="E122" s="711"/>
      <c r="F122" s="13">
        <f t="shared" si="74"/>
        <v>9</v>
      </c>
      <c r="G122" s="13">
        <f t="shared" si="58"/>
        <v>10</v>
      </c>
      <c r="H122" s="175">
        <f t="shared" si="59"/>
        <v>43206</v>
      </c>
      <c r="I122" s="774">
        <f t="shared" si="60"/>
        <v>0.14285714285714285</v>
      </c>
      <c r="J122" s="765">
        <f t="shared" si="61"/>
        <v>57.779274635229797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P122" s="13">
        <f t="shared" si="62"/>
        <v>5</v>
      </c>
      <c r="AQ122" s="13">
        <f t="shared" si="63"/>
        <v>6</v>
      </c>
      <c r="AR122" s="175">
        <f t="shared" si="64"/>
        <v>43192</v>
      </c>
      <c r="AS122" s="774">
        <f t="shared" si="65"/>
        <v>0.5714285714285714</v>
      </c>
      <c r="AT122" s="791">
        <f t="shared" si="66"/>
        <v>57.721058890755693</v>
      </c>
      <c r="AU122" s="13">
        <f t="shared" si="67"/>
        <v>5</v>
      </c>
      <c r="AV122" s="13">
        <f t="shared" si="68"/>
        <v>6</v>
      </c>
      <c r="AW122" s="175">
        <f t="shared" si="69"/>
        <v>43206</v>
      </c>
      <c r="AX122" s="774">
        <f t="shared" si="70"/>
        <v>7.1428571428571425E-2</v>
      </c>
      <c r="AY122" s="791">
        <f t="shared" si="71"/>
        <v>57.753917200703697</v>
      </c>
      <c r="AZ122" s="765">
        <f t="shared" si="75"/>
        <v>57.737488045729691</v>
      </c>
      <c r="BA122" s="649">
        <f t="shared" si="72"/>
        <v>0.79755072841090635</v>
      </c>
      <c r="BB122" s="644">
        <v>43208</v>
      </c>
      <c r="BC122" s="11">
        <v>43208</v>
      </c>
      <c r="BD122" s="292">
        <f>[2]!FeuilCaduc*(1-Persistant)+Persistant</f>
        <v>1</v>
      </c>
      <c r="BE122" s="293">
        <f>[2]!CroissVégét</f>
        <v>0.10051901103841099</v>
      </c>
      <c r="BF122" s="844">
        <f>1+[2]!Salcycl*Ksac</f>
        <v>1.0082923709712646</v>
      </c>
      <c r="BH122" s="1107">
        <f t="shared" si="73"/>
        <v>8.6731924864900875E-3</v>
      </c>
      <c r="BI122" s="11">
        <v>44304</v>
      </c>
      <c r="BJ122" s="744">
        <v>8.4384590812585725E-4</v>
      </c>
      <c r="BK122" s="744">
        <v>3.2782999473210555E-3</v>
      </c>
      <c r="BL122" s="744">
        <v>7.2915294915327162E-3</v>
      </c>
      <c r="BM122" s="744">
        <v>1.420759086987654E-2</v>
      </c>
      <c r="BN122" s="744">
        <v>2.4962247412828847E-2</v>
      </c>
      <c r="BO122" s="745">
        <v>4.0448395542929012E-2</v>
      </c>
      <c r="BP122" s="744">
        <v>6.1383237208635373E-2</v>
      </c>
      <c r="BQ122" s="744">
        <v>8.7621860669589532E-2</v>
      </c>
      <c r="BR122" s="744">
        <v>0.11902459271731264</v>
      </c>
      <c r="BS122" s="744">
        <v>0.15491842570616113</v>
      </c>
      <c r="BT122" s="744">
        <v>0.19385225145445933</v>
      </c>
      <c r="BW122" s="1191">
        <f>'2018'!R\Max</f>
        <v>0</v>
      </c>
      <c r="BX122" s="1189">
        <f>'2019'!R\Max</f>
        <v>0.46704391631532555</v>
      </c>
      <c r="BY122" s="1189">
        <f>'2020'!R\Max</f>
        <v>0.55385524809047193</v>
      </c>
      <c r="BZ122" s="1189">
        <f>'2021'!R\Max</f>
        <v>0.61682750490608951</v>
      </c>
      <c r="CA122" s="1189">
        <f>'2022'!R\Max</f>
        <v>0.79755072841090635</v>
      </c>
      <c r="CB122" s="1189">
        <f>'2023'!R\Max</f>
        <v>0.79714989464031494</v>
      </c>
      <c r="CC122" s="1189">
        <f>'2024'!R\Max</f>
        <v>0.79670466530781314</v>
      </c>
      <c r="CD122" s="1189">
        <f>'2025'!R\Max</f>
        <v>0.79854985925497735</v>
      </c>
      <c r="CE122" s="1189">
        <f>'2026'!R\Max</f>
        <v>0.79839381067707149</v>
      </c>
      <c r="CF122" s="1190">
        <f>'2027'!R\Max</f>
        <v>0.79815888992037609</v>
      </c>
    </row>
    <row r="123" spans="1:84" s="6" customFormat="1" ht="11.25" x14ac:dyDescent="0.2">
      <c r="A123" s="11">
        <v>43209</v>
      </c>
      <c r="B123" s="382">
        <f>'2022'!Maxi_hp</f>
        <v>56.480000775881308</v>
      </c>
      <c r="C123" s="85">
        <f>'2022'!An_max</f>
        <v>2021</v>
      </c>
      <c r="D123" s="1134"/>
      <c r="E123" s="711"/>
      <c r="F123" s="13">
        <f t="shared" si="74"/>
        <v>9</v>
      </c>
      <c r="G123" s="13">
        <f t="shared" si="58"/>
        <v>10</v>
      </c>
      <c r="H123" s="175">
        <f t="shared" si="59"/>
        <v>43206</v>
      </c>
      <c r="I123" s="774">
        <f t="shared" si="60"/>
        <v>0.21428571428571427</v>
      </c>
      <c r="J123" s="765">
        <f t="shared" si="61"/>
        <v>58.090635568009951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P123" s="13">
        <f t="shared" si="62"/>
        <v>5</v>
      </c>
      <c r="AQ123" s="13">
        <f t="shared" si="63"/>
        <v>6</v>
      </c>
      <c r="AR123" s="175">
        <f t="shared" si="64"/>
        <v>43192</v>
      </c>
      <c r="AS123" s="774">
        <f t="shared" si="65"/>
        <v>0.6071428571428571</v>
      </c>
      <c r="AT123" s="791">
        <f t="shared" si="66"/>
        <v>58.04060641362198</v>
      </c>
      <c r="AU123" s="13">
        <f t="shared" si="67"/>
        <v>5</v>
      </c>
      <c r="AV123" s="13">
        <f t="shared" si="68"/>
        <v>6</v>
      </c>
      <c r="AW123" s="175">
        <f t="shared" si="69"/>
        <v>43206</v>
      </c>
      <c r="AX123" s="774">
        <f t="shared" si="70"/>
        <v>0.10714285714285714</v>
      </c>
      <c r="AY123" s="791">
        <f t="shared" si="71"/>
        <v>58.050605247302784</v>
      </c>
      <c r="AZ123" s="765">
        <f t="shared" si="75"/>
        <v>58.045605830462378</v>
      </c>
      <c r="BA123" s="649">
        <f t="shared" si="72"/>
        <v>0.97227376191739234</v>
      </c>
      <c r="BB123" s="644">
        <v>43209</v>
      </c>
      <c r="BC123" s="11">
        <v>43209</v>
      </c>
      <c r="BD123" s="292">
        <f>[2]!FeuilCaduc*(1-Persistant)+Persistant</f>
        <v>1</v>
      </c>
      <c r="BE123" s="293">
        <f>[2]!CroissVégét</f>
        <v>0.1043431172076847</v>
      </c>
      <c r="BF123" s="844">
        <f>1+[2]!Salcycl*Ksac</f>
        <v>1.0087836155233603</v>
      </c>
      <c r="BH123" s="1107">
        <f t="shared" si="73"/>
        <v>8.2200820906185197E-3</v>
      </c>
      <c r="BI123" s="11">
        <v>44305</v>
      </c>
      <c r="BJ123" s="744">
        <v>7.8737473822615206E-4</v>
      </c>
      <c r="BK123" s="744">
        <v>3.0822850859563503E-3</v>
      </c>
      <c r="BL123" s="744">
        <v>6.8927633974974305E-3</v>
      </c>
      <c r="BM123" s="744">
        <v>1.3536798581005975E-2</v>
      </c>
      <c r="BN123" s="744">
        <v>2.3935079414965147E-2</v>
      </c>
      <c r="BO123" s="745">
        <v>3.8998657529861099E-2</v>
      </c>
      <c r="BP123" s="744">
        <v>5.9563034300566954E-2</v>
      </c>
      <c r="BQ123" s="744">
        <v>8.5488997826739202E-2</v>
      </c>
      <c r="BR123" s="744">
        <v>0.11668006320023798</v>
      </c>
      <c r="BS123" s="744">
        <v>0.15239821457204408</v>
      </c>
      <c r="BT123" s="744">
        <v>0.19124037534679733</v>
      </c>
      <c r="BW123" s="1191">
        <f>'2018'!R\Max</f>
        <v>0</v>
      </c>
      <c r="BX123" s="1189">
        <f>'2019'!R\Max</f>
        <v>0.896643511068135</v>
      </c>
      <c r="BY123" s="1189">
        <f>'2020'!R\Max</f>
        <v>0.77642340095668561</v>
      </c>
      <c r="BZ123" s="1189">
        <f>'2021'!R\Max</f>
        <v>0.97227376191739234</v>
      </c>
      <c r="CA123" s="1189">
        <f>'2022'!R\Max</f>
        <v>0.2161290300832576</v>
      </c>
      <c r="CB123" s="1189">
        <f>'2023'!R\Max</f>
        <v>0.21576169628882835</v>
      </c>
      <c r="CC123" s="1189">
        <f>'2024'!R\Max</f>
        <v>0.21535351108958961</v>
      </c>
      <c r="CD123" s="1189">
        <f>'2025'!R\Max</f>
        <v>0.21703582237896393</v>
      </c>
      <c r="CE123" s="1189">
        <f>'2026'!R\Max</f>
        <v>0.21689507007242637</v>
      </c>
      <c r="CF123" s="1190">
        <f>'2027'!R\Max</f>
        <v>0.21668184830624349</v>
      </c>
    </row>
    <row r="124" spans="1:84" s="6" customFormat="1" ht="11.25" x14ac:dyDescent="0.2">
      <c r="A124" s="11">
        <v>43210</v>
      </c>
      <c r="B124" s="382">
        <f>'2022'!Maxi_hp</f>
        <v>48.589941916916572</v>
      </c>
      <c r="C124" s="85">
        <f>'2022'!An_max</f>
        <v>2019</v>
      </c>
      <c r="D124" s="1134"/>
      <c r="E124" s="711"/>
      <c r="F124" s="13">
        <f t="shared" si="74"/>
        <v>9</v>
      </c>
      <c r="G124" s="13">
        <f t="shared" si="58"/>
        <v>10</v>
      </c>
      <c r="H124" s="175">
        <f t="shared" si="59"/>
        <v>43206</v>
      </c>
      <c r="I124" s="774">
        <f t="shared" si="60"/>
        <v>0.2857142857142857</v>
      </c>
      <c r="J124" s="765">
        <f t="shared" si="61"/>
        <v>58.39576442986727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P124" s="13">
        <f t="shared" si="62"/>
        <v>5</v>
      </c>
      <c r="AQ124" s="13">
        <f t="shared" si="63"/>
        <v>6</v>
      </c>
      <c r="AR124" s="175">
        <f t="shared" si="64"/>
        <v>43192</v>
      </c>
      <c r="AS124" s="774">
        <f t="shared" si="65"/>
        <v>0.6428571428571429</v>
      </c>
      <c r="AT124" s="791">
        <f t="shared" si="66"/>
        <v>58.353222155943513</v>
      </c>
      <c r="AU124" s="13">
        <f t="shared" si="67"/>
        <v>5</v>
      </c>
      <c r="AV124" s="13">
        <f t="shared" si="68"/>
        <v>6</v>
      </c>
      <c r="AW124" s="175">
        <f t="shared" si="69"/>
        <v>43206</v>
      </c>
      <c r="AX124" s="774">
        <f t="shared" si="70"/>
        <v>0.14285714285714285</v>
      </c>
      <c r="AY124" s="791">
        <f t="shared" si="71"/>
        <v>58.340235569221633</v>
      </c>
      <c r="AZ124" s="765">
        <f t="shared" si="75"/>
        <v>58.346728862582573</v>
      </c>
      <c r="BA124" s="649">
        <f t="shared" si="72"/>
        <v>0.83207990153588296</v>
      </c>
      <c r="BB124" s="644">
        <v>43210</v>
      </c>
      <c r="BC124" s="11">
        <v>43210</v>
      </c>
      <c r="BD124" s="292">
        <f>[2]!FeuilCaduc*(1-Persistant)+Persistant</f>
        <v>1</v>
      </c>
      <c r="BE124" s="293">
        <f>[2]!CroissVégét</f>
        <v>0.10829322666502313</v>
      </c>
      <c r="BF124" s="844">
        <f>1+[2]!Salcycl*Ksac</f>
        <v>1.0092943899695677</v>
      </c>
      <c r="BH124" s="1107">
        <f t="shared" si="73"/>
        <v>7.7737431101093778E-3</v>
      </c>
      <c r="BI124" s="11">
        <v>44306</v>
      </c>
      <c r="BJ124" s="744">
        <v>7.3247512409530739E-4</v>
      </c>
      <c r="BK124" s="744">
        <v>2.8903858018971356E-3</v>
      </c>
      <c r="BL124" s="744">
        <v>6.5010468678485785E-3</v>
      </c>
      <c r="BM124" s="744">
        <v>1.2871663551937161E-2</v>
      </c>
      <c r="BN124" s="744">
        <v>2.2902749327403663E-2</v>
      </c>
      <c r="BO124" s="745">
        <v>3.7528696778718514E-2</v>
      </c>
      <c r="BP124" s="744">
        <v>5.7693835472464129E-2</v>
      </c>
      <c r="BQ124" s="744">
        <v>8.327927531217269E-2</v>
      </c>
      <c r="BR124" s="744">
        <v>0.11422120896323912</v>
      </c>
      <c r="BS124" s="744">
        <v>0.149767988518694</v>
      </c>
      <c r="BT124" s="744">
        <v>0.18855241753429036</v>
      </c>
      <c r="BW124" s="1191">
        <f>'2018'!R\Max</f>
        <v>0</v>
      </c>
      <c r="BX124" s="1189">
        <f>'2019'!R\Max</f>
        <v>0.83207990153588296</v>
      </c>
      <c r="BY124" s="1189">
        <f>'2020'!R\Max</f>
        <v>0.35878570397637666</v>
      </c>
      <c r="BZ124" s="1189">
        <f>'2021'!R\Max</f>
        <v>0.69618789993778951</v>
      </c>
      <c r="CA124" s="1189">
        <f>'2022'!R\Max</f>
        <v>0.20301532985221776</v>
      </c>
      <c r="CB124" s="1189">
        <f>'2023'!R\Max</f>
        <v>0.20267858592755397</v>
      </c>
      <c r="CC124" s="1189">
        <f>'2024'!R\Max</f>
        <v>0.20230318758263502</v>
      </c>
      <c r="CD124" s="1189">
        <f>'2025'!R\Max</f>
        <v>0.20383481453213584</v>
      </c>
      <c r="CE124" s="1189">
        <f>'2026'!R\Max</f>
        <v>0.20370872554756889</v>
      </c>
      <c r="CF124" s="1190">
        <f>'2027'!R\Max</f>
        <v>0.20351633560506421</v>
      </c>
    </row>
    <row r="125" spans="1:84" s="6" customFormat="1" ht="11.25" x14ac:dyDescent="0.2">
      <c r="A125" s="11">
        <v>43211</v>
      </c>
      <c r="B125" s="382">
        <f>'2022'!Maxi_hp</f>
        <v>55.308374448877338</v>
      </c>
      <c r="C125" s="85">
        <f>'2022'!An_max</f>
        <v>2021</v>
      </c>
      <c r="D125" s="1134"/>
      <c r="E125" s="711"/>
      <c r="F125" s="13">
        <f t="shared" si="74"/>
        <v>9</v>
      </c>
      <c r="G125" s="13">
        <f t="shared" si="58"/>
        <v>10</v>
      </c>
      <c r="H125" s="175">
        <f t="shared" si="59"/>
        <v>43206</v>
      </c>
      <c r="I125" s="774">
        <f t="shared" si="60"/>
        <v>0.35714285714285715</v>
      </c>
      <c r="J125" s="765">
        <f t="shared" si="61"/>
        <v>58.694325364700376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P125" s="13">
        <f t="shared" si="62"/>
        <v>5</v>
      </c>
      <c r="AQ125" s="13">
        <f t="shared" si="63"/>
        <v>6</v>
      </c>
      <c r="AR125" s="175">
        <f t="shared" si="64"/>
        <v>43192</v>
      </c>
      <c r="AS125" s="774">
        <f t="shared" si="65"/>
        <v>0.6785714285714286</v>
      </c>
      <c r="AT125" s="791">
        <f t="shared" si="66"/>
        <v>58.658598250177285</v>
      </c>
      <c r="AU125" s="13">
        <f t="shared" si="67"/>
        <v>5</v>
      </c>
      <c r="AV125" s="13">
        <f t="shared" si="68"/>
        <v>6</v>
      </c>
      <c r="AW125" s="175">
        <f t="shared" si="69"/>
        <v>43206</v>
      </c>
      <c r="AX125" s="774">
        <f t="shared" si="70"/>
        <v>0.17857142857142858</v>
      </c>
      <c r="AY125" s="791">
        <f t="shared" si="71"/>
        <v>58.622850145452787</v>
      </c>
      <c r="AZ125" s="765">
        <f t="shared" si="75"/>
        <v>58.640724197815032</v>
      </c>
      <c r="BA125" s="649">
        <f t="shared" si="72"/>
        <v>0.94231212481301641</v>
      </c>
      <c r="BB125" s="644">
        <v>43211</v>
      </c>
      <c r="BC125" s="11">
        <v>43211</v>
      </c>
      <c r="BD125" s="292">
        <f>[2]!FeuilCaduc*(1-Persistant)+Persistant</f>
        <v>1</v>
      </c>
      <c r="BE125" s="293">
        <f>[2]!CroissVégét</f>
        <v>0.11237216879596926</v>
      </c>
      <c r="BF125" s="844">
        <f>1+[2]!Salcycl*Ksac</f>
        <v>1.0098248235001224</v>
      </c>
      <c r="BH125" s="1107">
        <f t="shared" si="73"/>
        <v>7.3342028029182941E-3</v>
      </c>
      <c r="BI125" s="11">
        <v>44307</v>
      </c>
      <c r="BJ125" s="744">
        <v>6.7914944003333994E-4</v>
      </c>
      <c r="BK125" s="744">
        <v>2.7026119999778663E-3</v>
      </c>
      <c r="BL125" s="744">
        <v>6.1164023934683377E-3</v>
      </c>
      <c r="BM125" s="744">
        <v>1.2212232135646523E-2</v>
      </c>
      <c r="BN125" s="744">
        <v>2.1865344296995961E-2</v>
      </c>
      <c r="BO125" s="745">
        <v>3.603865699362211E-2</v>
      </c>
      <c r="BP125" s="744">
        <v>5.5775861647820231E-2</v>
      </c>
      <c r="BQ125" s="744">
        <v>8.099300288118845E-2</v>
      </c>
      <c r="BR125" s="744">
        <v>0.1116484451162727</v>
      </c>
      <c r="BS125" s="744">
        <v>0.14702825408876621</v>
      </c>
      <c r="BT125" s="744">
        <v>0.18578896454182567</v>
      </c>
      <c r="BW125" s="1191">
        <f>'2018'!R\Max</f>
        <v>0</v>
      </c>
      <c r="BX125" s="1189">
        <f>'2019'!R\Max</f>
        <v>0.35073248229173298</v>
      </c>
      <c r="BY125" s="1189">
        <f>'2020'!R\Max</f>
        <v>0.22568637773332423</v>
      </c>
      <c r="BZ125" s="1189">
        <f>'2021'!R\Max</f>
        <v>0.94231212481301641</v>
      </c>
      <c r="CA125" s="1189">
        <f>'2022'!R\Max</f>
        <v>0.19278478981995922</v>
      </c>
      <c r="CB125" s="1189">
        <f>'2023'!R\Max</f>
        <v>0.19247321231707804</v>
      </c>
      <c r="CC125" s="1189">
        <f>'2024'!R\Max</f>
        <v>0.19212467188478033</v>
      </c>
      <c r="CD125" s="1189">
        <f>'2025'!R\Max</f>
        <v>0.1935320234107416</v>
      </c>
      <c r="CE125" s="1189">
        <f>'2026'!R\Max</f>
        <v>0.1934180539483078</v>
      </c>
      <c r="CF125" s="1190">
        <f>'2027'!R\Max</f>
        <v>0.19324294907552322</v>
      </c>
    </row>
    <row r="126" spans="1:84" s="6" customFormat="1" ht="11.25" x14ac:dyDescent="0.2">
      <c r="A126" s="11">
        <v>43212</v>
      </c>
      <c r="B126" s="382">
        <f>'2022'!Maxi_hp</f>
        <v>59.256250971912621</v>
      </c>
      <c r="C126" s="85">
        <f>'2022'!An_max</f>
        <v>2021</v>
      </c>
      <c r="D126" s="1134"/>
      <c r="E126" s="711"/>
      <c r="F126" s="13">
        <f t="shared" si="74"/>
        <v>9</v>
      </c>
      <c r="G126" s="13">
        <f t="shared" si="58"/>
        <v>10</v>
      </c>
      <c r="H126" s="175">
        <f t="shared" si="59"/>
        <v>43206</v>
      </c>
      <c r="I126" s="774">
        <f t="shared" si="60"/>
        <v>0.42857142857142855</v>
      </c>
      <c r="J126" s="765">
        <f t="shared" si="61"/>
        <v>58.985982507041527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P126" s="13">
        <f t="shared" si="62"/>
        <v>5</v>
      </c>
      <c r="AQ126" s="13">
        <f t="shared" si="63"/>
        <v>6</v>
      </c>
      <c r="AR126" s="175">
        <f t="shared" si="64"/>
        <v>43192</v>
      </c>
      <c r="AS126" s="774">
        <f t="shared" si="65"/>
        <v>0.7142857142857143</v>
      </c>
      <c r="AT126" s="791">
        <f t="shared" si="66"/>
        <v>58.956426820371824</v>
      </c>
      <c r="AU126" s="13">
        <f t="shared" si="67"/>
        <v>5</v>
      </c>
      <c r="AV126" s="13">
        <f t="shared" si="68"/>
        <v>6</v>
      </c>
      <c r="AW126" s="175">
        <f t="shared" si="69"/>
        <v>43206</v>
      </c>
      <c r="AX126" s="774">
        <f t="shared" si="70"/>
        <v>0.21428571428571427</v>
      </c>
      <c r="AY126" s="791">
        <f t="shared" si="71"/>
        <v>58.898490961694293</v>
      </c>
      <c r="AZ126" s="765">
        <f t="shared" si="75"/>
        <v>58.927458891033055</v>
      </c>
      <c r="BA126" s="649">
        <f t="shared" si="72"/>
        <v>1.0045819100298758</v>
      </c>
      <c r="BB126" s="644">
        <v>43212</v>
      </c>
      <c r="BC126" s="11">
        <v>43212</v>
      </c>
      <c r="BD126" s="292">
        <f>[2]!FeuilCaduc*(1-Persistant)+Persistant</f>
        <v>1</v>
      </c>
      <c r="BE126" s="293">
        <f>[2]!CroissVégét</f>
        <v>0.11658273588973417</v>
      </c>
      <c r="BF126" s="844">
        <f>1+[2]!Salcycl*Ksac</f>
        <v>1.0103750161265057</v>
      </c>
      <c r="BH126" s="1107">
        <f t="shared" si="73"/>
        <v>6.9014841649178834E-3</v>
      </c>
      <c r="BI126" s="11">
        <v>44308</v>
      </c>
      <c r="BJ126" s="744">
        <v>6.2739949397589985E-4</v>
      </c>
      <c r="BK126" s="744">
        <v>2.5189716777940158E-3</v>
      </c>
      <c r="BL126" s="744">
        <v>5.7388486625884081E-3</v>
      </c>
      <c r="BM126" s="744">
        <v>1.1558544582721479E-2</v>
      </c>
      <c r="BN126" s="744">
        <v>2.0822942703544824E-2</v>
      </c>
      <c r="BO126" s="745">
        <v>3.4528670200658834E-2</v>
      </c>
      <c r="BP126" s="744">
        <v>5.3809320433060193E-2</v>
      </c>
      <c r="BQ126" s="744">
        <v>7.8630476280995898E-2</v>
      </c>
      <c r="BR126" s="744">
        <v>0.10896217372418697</v>
      </c>
      <c r="BS126" s="744">
        <v>0.14417950536550717</v>
      </c>
      <c r="BT126" s="744">
        <v>0.18295059134937794</v>
      </c>
      <c r="BW126" s="1191">
        <f>'2018'!R\Max</f>
        <v>0</v>
      </c>
      <c r="BX126" s="1189">
        <f>'2019'!R\Max</f>
        <v>0.59071459259267622</v>
      </c>
      <c r="BY126" s="1189">
        <f>'2020'!R\Max</f>
        <v>0.32168763675156814</v>
      </c>
      <c r="BZ126" s="1189">
        <f>'2021'!R\Max</f>
        <v>1.0045819100298758</v>
      </c>
      <c r="CA126" s="1189">
        <f>'2022'!R\Max</f>
        <v>0.5811856360245623</v>
      </c>
      <c r="CB126" s="1189">
        <f>'2023'!R\Max</f>
        <v>0.58063951544525394</v>
      </c>
      <c r="CC126" s="1189">
        <f>'2024'!R\Max</f>
        <v>0.58002551736560726</v>
      </c>
      <c r="CD126" s="1189">
        <f>'2025'!R\Max</f>
        <v>0.58247306793422304</v>
      </c>
      <c r="CE126" s="1189">
        <f>'2026'!R\Max</f>
        <v>0.58227866443670173</v>
      </c>
      <c r="CF126" s="1190">
        <f>'2027'!R\Max</f>
        <v>0.58197783061778241</v>
      </c>
    </row>
    <row r="127" spans="1:84" s="6" customFormat="1" ht="11.25" x14ac:dyDescent="0.2">
      <c r="A127" s="11">
        <v>43213</v>
      </c>
      <c r="B127" s="382">
        <f>'2022'!Maxi_hp</f>
        <v>58.448809737185101</v>
      </c>
      <c r="C127" s="85">
        <f>'2022'!An_max</f>
        <v>2021</v>
      </c>
      <c r="D127" s="1134"/>
      <c r="E127" s="711"/>
      <c r="F127" s="13">
        <f t="shared" si="74"/>
        <v>9</v>
      </c>
      <c r="G127" s="13">
        <f t="shared" si="58"/>
        <v>10</v>
      </c>
      <c r="H127" s="175">
        <f t="shared" si="59"/>
        <v>43206</v>
      </c>
      <c r="I127" s="774">
        <f t="shared" si="60"/>
        <v>0.5</v>
      </c>
      <c r="J127" s="765">
        <f t="shared" si="61"/>
        <v>59.270399999246003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P127" s="13">
        <f t="shared" si="62"/>
        <v>5</v>
      </c>
      <c r="AQ127" s="13">
        <f t="shared" si="63"/>
        <v>6</v>
      </c>
      <c r="AR127" s="175">
        <f t="shared" si="64"/>
        <v>43192</v>
      </c>
      <c r="AS127" s="774">
        <f t="shared" si="65"/>
        <v>0.75</v>
      </c>
      <c r="AT127" s="791">
        <f t="shared" si="66"/>
        <v>59.246399999968709</v>
      </c>
      <c r="AU127" s="13">
        <f t="shared" si="67"/>
        <v>5</v>
      </c>
      <c r="AV127" s="13">
        <f t="shared" si="68"/>
        <v>6</v>
      </c>
      <c r="AW127" s="175">
        <f t="shared" si="69"/>
        <v>43206</v>
      </c>
      <c r="AX127" s="774">
        <f t="shared" si="70"/>
        <v>0.25</v>
      </c>
      <c r="AY127" s="791">
        <f t="shared" si="71"/>
        <v>59.167199999094009</v>
      </c>
      <c r="AZ127" s="765">
        <f t="shared" si="75"/>
        <v>59.206799999531356</v>
      </c>
      <c r="BA127" s="649">
        <f t="shared" si="72"/>
        <v>0.98613827033272339</v>
      </c>
      <c r="BB127" s="644">
        <v>43213</v>
      </c>
      <c r="BC127" s="11">
        <v>43213</v>
      </c>
      <c r="BD127" s="292">
        <f>[2]!FeuilCaduc*(1-Persistant)+Persistant</f>
        <v>1</v>
      </c>
      <c r="BE127" s="293">
        <f>[2]!CroissVégét</f>
        <v>0.12092767389780094</v>
      </c>
      <c r="BF127" s="844">
        <f>1+[2]!Salcycl*Ksac</f>
        <v>1.0109450374898317</v>
      </c>
      <c r="BH127" s="1107">
        <f t="shared" si="73"/>
        <v>6.4755872809556872E-3</v>
      </c>
      <c r="BI127" s="11">
        <v>44309</v>
      </c>
      <c r="BJ127" s="744">
        <v>5.772248852842825E-4</v>
      </c>
      <c r="BK127" s="744">
        <v>2.3394642214216131E-3</v>
      </c>
      <c r="BL127" s="744">
        <v>5.3683851305807535E-3</v>
      </c>
      <c r="BM127" s="744">
        <v>1.0910603499441077E-2</v>
      </c>
      <c r="BN127" s="744">
        <v>1.97755566455276E-2</v>
      </c>
      <c r="BO127" s="745">
        <v>3.2998760559504618E-2</v>
      </c>
      <c r="BP127" s="744">
        <v>5.1794254842357002E-2</v>
      </c>
      <c r="BQ127" s="744">
        <v>7.6191754781724352E-2</v>
      </c>
      <c r="BR127" s="744">
        <v>0.10616247385518253</v>
      </c>
      <c r="BS127" s="744">
        <v>0.14122181299241607</v>
      </c>
      <c r="BT127" s="744">
        <v>0.18003733937151783</v>
      </c>
      <c r="BW127" s="1191">
        <f>'2018'!R\Max</f>
        <v>0</v>
      </c>
      <c r="BX127" s="1189">
        <f>'2019'!R\Max</f>
        <v>0.64889878759560571</v>
      </c>
      <c r="BY127" s="1189">
        <f>'2020'!R\Max</f>
        <v>0.16622800069216653</v>
      </c>
      <c r="BZ127" s="1189">
        <f>'2021'!R\Max</f>
        <v>0.98613827033272339</v>
      </c>
      <c r="CA127" s="1189">
        <f>'2022'!R\Max</f>
        <v>0.16709096077394778</v>
      </c>
      <c r="CB127" s="1189">
        <f>'2023'!R\Max</f>
        <v>0.16683592474018225</v>
      </c>
      <c r="CC127" s="1189">
        <f>'2024'!R\Max</f>
        <v>0.16654842762034472</v>
      </c>
      <c r="CD127" s="1189">
        <f>'2025'!R\Max</f>
        <v>0.16768417306000211</v>
      </c>
      <c r="CE127" s="1189">
        <f>'2026'!R\Max</f>
        <v>0.16759526580992043</v>
      </c>
      <c r="CF127" s="1190">
        <f>'2027'!R\Max</f>
        <v>0.16745690569229038</v>
      </c>
    </row>
    <row r="128" spans="1:84" s="6" customFormat="1" ht="11.25" x14ac:dyDescent="0.2">
      <c r="A128" s="11">
        <v>43214</v>
      </c>
      <c r="B128" s="382">
        <f>'2022'!Maxi_hp</f>
        <v>54.689071133466982</v>
      </c>
      <c r="C128" s="85">
        <f>'2022'!An_max</f>
        <v>2021</v>
      </c>
      <c r="D128" s="1134"/>
      <c r="E128" s="711"/>
      <c r="F128" s="13">
        <f t="shared" si="74"/>
        <v>9</v>
      </c>
      <c r="G128" s="13">
        <f t="shared" si="58"/>
        <v>10</v>
      </c>
      <c r="H128" s="175">
        <f t="shared" si="59"/>
        <v>43206</v>
      </c>
      <c r="I128" s="774">
        <f t="shared" si="60"/>
        <v>0.5714285714285714</v>
      </c>
      <c r="J128" s="765">
        <f t="shared" si="61"/>
        <v>59.54724198196616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P128" s="13">
        <f t="shared" si="62"/>
        <v>5</v>
      </c>
      <c r="AQ128" s="13">
        <f t="shared" si="63"/>
        <v>6</v>
      </c>
      <c r="AR128" s="175">
        <f t="shared" si="64"/>
        <v>43192</v>
      </c>
      <c r="AS128" s="774">
        <f t="shared" si="65"/>
        <v>0.7857142857142857</v>
      </c>
      <c r="AT128" s="791">
        <f t="shared" si="66"/>
        <v>59.528209910169245</v>
      </c>
      <c r="AU128" s="13">
        <f t="shared" si="67"/>
        <v>5</v>
      </c>
      <c r="AV128" s="13">
        <f t="shared" si="68"/>
        <v>6</v>
      </c>
      <c r="AW128" s="175">
        <f t="shared" si="69"/>
        <v>43206</v>
      </c>
      <c r="AX128" s="774">
        <f t="shared" si="70"/>
        <v>0.2857142857142857</v>
      </c>
      <c r="AY128" s="791">
        <f t="shared" si="71"/>
        <v>59.429019241247865</v>
      </c>
      <c r="AZ128" s="765">
        <f t="shared" si="75"/>
        <v>59.478614575708555</v>
      </c>
      <c r="BA128" s="649">
        <f t="shared" si="72"/>
        <v>0.91841484698870735</v>
      </c>
      <c r="BB128" s="644">
        <v>43214</v>
      </c>
      <c r="BC128" s="11">
        <v>43214</v>
      </c>
      <c r="BD128" s="292">
        <f>[2]!FeuilCaduc*(1-Persistant)+Persistant</f>
        <v>1</v>
      </c>
      <c r="BE128" s="293">
        <f>[2]!CroissVégét</f>
        <v>0.12540967267096395</v>
      </c>
      <c r="BF128" s="844">
        <f>1+[2]!Salcycl*Ksac</f>
        <v>1.0115349256389261</v>
      </c>
      <c r="BH128" s="1107">
        <f t="shared" si="73"/>
        <v>6.0674979573735015E-3</v>
      </c>
      <c r="BI128" s="11">
        <v>44310</v>
      </c>
      <c r="BJ128" s="744">
        <v>5.3056484840641009E-4</v>
      </c>
      <c r="BK128" s="744">
        <v>2.169944216829197E-3</v>
      </c>
      <c r="BL128" s="744">
        <v>5.0152602904990099E-3</v>
      </c>
      <c r="BM128" s="744">
        <v>1.0282348079105386E-2</v>
      </c>
      <c r="BN128" s="744">
        <v>1.874321687636309E-2</v>
      </c>
      <c r="BO128" s="745">
        <v>3.1473927620748701E-2</v>
      </c>
      <c r="BP128" s="744">
        <v>4.9749901521559732E-2</v>
      </c>
      <c r="BQ128" s="744">
        <v>7.3679835623418274E-2</v>
      </c>
      <c r="BR128" s="744">
        <v>0.10323478645520474</v>
      </c>
      <c r="BS128" s="744">
        <v>0.13809245432754783</v>
      </c>
      <c r="BT128" s="744">
        <v>0.17690412906915062</v>
      </c>
      <c r="BW128" s="1191">
        <f>'2018'!R\Max</f>
        <v>0</v>
      </c>
      <c r="BX128" s="1189">
        <f>'2019'!R\Max</f>
        <v>0.90220777929355511</v>
      </c>
      <c r="BY128" s="1189">
        <f>'2020'!R\Max</f>
        <v>0.28930549502829955</v>
      </c>
      <c r="BZ128" s="1189">
        <f>'2021'!R\Max</f>
        <v>0.91841484698870735</v>
      </c>
      <c r="CA128" s="1189">
        <f>'2022'!R\Max</f>
        <v>0.71257649526591449</v>
      </c>
      <c r="CB128" s="1189">
        <f>'2023'!R\Max</f>
        <v>0.71214414110991453</v>
      </c>
      <c r="CC128" s="1189">
        <f>'2024'!R\Max</f>
        <v>0.71165379736557799</v>
      </c>
      <c r="CD128" s="1189">
        <f>'2025'!R\Max</f>
        <v>0.71356402616348547</v>
      </c>
      <c r="CE128" s="1189">
        <f>'2026'!R\Max</f>
        <v>0.71341754139723035</v>
      </c>
      <c r="CF128" s="1190">
        <f>'2027'!R\Max</f>
        <v>0.71318807611343971</v>
      </c>
    </row>
    <row r="129" spans="1:84" s="6" customFormat="1" ht="11.25" x14ac:dyDescent="0.2">
      <c r="A129" s="11">
        <v>43215</v>
      </c>
      <c r="B129" s="382">
        <f>'2022'!Maxi_hp</f>
        <v>56.298016159754951</v>
      </c>
      <c r="C129" s="85">
        <f>'2022'!An_max</f>
        <v>2020</v>
      </c>
      <c r="D129" s="1134"/>
      <c r="E129" s="711"/>
      <c r="F129" s="13">
        <f t="shared" si="74"/>
        <v>9</v>
      </c>
      <c r="G129" s="13">
        <f t="shared" si="58"/>
        <v>10</v>
      </c>
      <c r="H129" s="175">
        <f t="shared" si="59"/>
        <v>43206</v>
      </c>
      <c r="I129" s="774">
        <f t="shared" si="60"/>
        <v>0.6428571428571429</v>
      </c>
      <c r="J129" s="765">
        <f t="shared" si="61"/>
        <v>59.816172595747879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P129" s="13">
        <f t="shared" si="62"/>
        <v>5</v>
      </c>
      <c r="AQ129" s="13">
        <f t="shared" si="63"/>
        <v>6</v>
      </c>
      <c r="AR129" s="175">
        <f t="shared" si="64"/>
        <v>43192</v>
      </c>
      <c r="AS129" s="774">
        <f t="shared" si="65"/>
        <v>0.8214285714285714</v>
      </c>
      <c r="AT129" s="791">
        <f t="shared" si="66"/>
        <v>59.80154868742185</v>
      </c>
      <c r="AU129" s="13">
        <f t="shared" si="67"/>
        <v>5</v>
      </c>
      <c r="AV129" s="13">
        <f t="shared" si="68"/>
        <v>6</v>
      </c>
      <c r="AW129" s="175">
        <f t="shared" si="69"/>
        <v>43206</v>
      </c>
      <c r="AX129" s="774">
        <f t="shared" si="70"/>
        <v>0.32142857142857145</v>
      </c>
      <c r="AY129" s="791">
        <f t="shared" si="71"/>
        <v>59.683990669516582</v>
      </c>
      <c r="AZ129" s="765">
        <f t="shared" si="75"/>
        <v>59.742769678469216</v>
      </c>
      <c r="BA129" s="649">
        <f t="shared" si="72"/>
        <v>0.94118385909159585</v>
      </c>
      <c r="BB129" s="644">
        <v>43215</v>
      </c>
      <c r="BC129" s="11">
        <v>43215</v>
      </c>
      <c r="BD129" s="292">
        <f>[2]!FeuilCaduc*(1-Persistant)+Persistant</f>
        <v>1</v>
      </c>
      <c r="BE129" s="293">
        <f>[2]!CroissVégét</f>
        <v>0.13003135568089563</v>
      </c>
      <c r="BF129" s="844">
        <f>1+[2]!Salcycl*Ksac</f>
        <v>1.012144685783857</v>
      </c>
      <c r="BH129" s="1107">
        <f t="shared" si="73"/>
        <v>5.6746655382227899E-3</v>
      </c>
      <c r="BI129" s="11">
        <v>44311</v>
      </c>
      <c r="BJ129" s="744">
        <v>4.8734231886404848E-4</v>
      </c>
      <c r="BK129" s="744">
        <v>2.0093614567742862E-3</v>
      </c>
      <c r="BL129" s="744">
        <v>4.6769585270351076E-3</v>
      </c>
      <c r="BM129" s="744">
        <v>9.6710873067458736E-3</v>
      </c>
      <c r="BN129" s="744">
        <v>1.7730837078322622E-2</v>
      </c>
      <c r="BO129" s="745">
        <v>2.9969694680756137E-2</v>
      </c>
      <c r="BP129" s="744">
        <v>4.7702976815675896E-2</v>
      </c>
      <c r="BQ129" s="744">
        <v>7.1137122962497815E-2</v>
      </c>
      <c r="BR129" s="744">
        <v>0.10023074342900244</v>
      </c>
      <c r="BS129" s="744">
        <v>0.13482266003386889</v>
      </c>
      <c r="BT129" s="744">
        <v>0.17352416059101514</v>
      </c>
      <c r="BW129" s="1191">
        <f>'2018'!R\Max</f>
        <v>0</v>
      </c>
      <c r="BX129" s="1189">
        <f>'2019'!R\Max</f>
        <v>0.61869255676814927</v>
      </c>
      <c r="BY129" s="1189">
        <f>'2020'!R\Max</f>
        <v>0.94118385909159585</v>
      </c>
      <c r="BZ129" s="1189">
        <f>'2021'!R\Max</f>
        <v>0.48324641020631559</v>
      </c>
      <c r="CA129" s="1189">
        <f>'2022'!R\Max</f>
        <v>0.88593665861179605</v>
      </c>
      <c r="CB129" s="1189">
        <f>'2023'!R\Max</f>
        <v>0.88573031040388661</v>
      </c>
      <c r="CC129" s="1189">
        <f>'2024'!R\Max</f>
        <v>0.88549508025222234</v>
      </c>
      <c r="CD129" s="1189">
        <f>'2025'!R\Max</f>
        <v>0.88640048482579004</v>
      </c>
      <c r="CE129" s="1189">
        <f>'2026'!R\Max</f>
        <v>0.88633235861946003</v>
      </c>
      <c r="CF129" s="1190">
        <f>'2027'!R\Max</f>
        <v>0.88622494348660286</v>
      </c>
    </row>
    <row r="130" spans="1:84" s="6" customFormat="1" ht="11.25" x14ac:dyDescent="0.2">
      <c r="A130" s="11">
        <v>43216</v>
      </c>
      <c r="B130" s="382">
        <f>'2022'!Maxi_hp</f>
        <v>58.802406404772384</v>
      </c>
      <c r="C130" s="85">
        <f>'2022'!An_max</f>
        <v>2022</v>
      </c>
      <c r="D130" s="1134"/>
      <c r="E130" s="711"/>
      <c r="F130" s="13">
        <f t="shared" si="74"/>
        <v>9</v>
      </c>
      <c r="G130" s="13">
        <f t="shared" si="58"/>
        <v>10</v>
      </c>
      <c r="H130" s="175">
        <f t="shared" si="59"/>
        <v>43206</v>
      </c>
      <c r="I130" s="774">
        <f t="shared" si="60"/>
        <v>0.7142857142857143</v>
      </c>
      <c r="J130" s="765">
        <f t="shared" si="61"/>
        <v>60.076855976453849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P130" s="13">
        <f t="shared" si="62"/>
        <v>5</v>
      </c>
      <c r="AQ130" s="13">
        <f t="shared" si="63"/>
        <v>6</v>
      </c>
      <c r="AR130" s="175">
        <f t="shared" si="64"/>
        <v>43192</v>
      </c>
      <c r="AS130" s="774">
        <f t="shared" si="65"/>
        <v>0.8571428571428571</v>
      </c>
      <c r="AT130" s="791">
        <f t="shared" si="66"/>
        <v>60.066108455189635</v>
      </c>
      <c r="AU130" s="13">
        <f t="shared" si="67"/>
        <v>5</v>
      </c>
      <c r="AV130" s="13">
        <f t="shared" si="68"/>
        <v>6</v>
      </c>
      <c r="AW130" s="175">
        <f t="shared" si="69"/>
        <v>43206</v>
      </c>
      <c r="AX130" s="774">
        <f t="shared" si="70"/>
        <v>0.35714285714285715</v>
      </c>
      <c r="AY130" s="791">
        <f t="shared" si="71"/>
        <v>59.932156267283219</v>
      </c>
      <c r="AZ130" s="765">
        <f t="shared" si="75"/>
        <v>59.999132361236427</v>
      </c>
      <c r="BA130" s="649">
        <f t="shared" si="72"/>
        <v>0.97878634707214096</v>
      </c>
      <c r="BB130" s="644">
        <v>43216</v>
      </c>
      <c r="BC130" s="11">
        <v>43216</v>
      </c>
      <c r="BD130" s="292">
        <f>[2]!FeuilCaduc*(1-Persistant)+Persistant</f>
        <v>1</v>
      </c>
      <c r="BE130" s="293">
        <f>[2]!CroissVégét</f>
        <v>0.13479526923661356</v>
      </c>
      <c r="BF130" s="844">
        <f>1+[2]!Salcycl*Ksac</f>
        <v>1.0127742890320997</v>
      </c>
      <c r="BH130" s="1107">
        <f t="shared" si="73"/>
        <v>5.2970849370363319E-3</v>
      </c>
      <c r="BI130" s="11">
        <v>44312</v>
      </c>
      <c r="BJ130" s="744">
        <v>4.4755563970325899E-4</v>
      </c>
      <c r="BK130" s="744">
        <v>1.857712199700097E-3</v>
      </c>
      <c r="BL130" s="744">
        <v>4.3534744268792667E-3</v>
      </c>
      <c r="BM130" s="744">
        <v>9.0768174050980168E-3</v>
      </c>
      <c r="BN130" s="744">
        <v>1.6738415860969417E-2</v>
      </c>
      <c r="BO130" s="745">
        <v>2.848606466725365E-2</v>
      </c>
      <c r="BP130" s="744">
        <v>4.5653502780493231E-2</v>
      </c>
      <c r="BQ130" s="744">
        <v>6.856365922561293E-2</v>
      </c>
      <c r="BR130" s="744">
        <v>9.7150416898164352E-2</v>
      </c>
      <c r="BS130" s="744">
        <v>0.13141253959231752</v>
      </c>
      <c r="BT130" s="744">
        <v>0.16989760458050818</v>
      </c>
      <c r="BW130" s="1191">
        <f>'2018'!R\Max</f>
        <v>0</v>
      </c>
      <c r="BX130" s="1189">
        <f>'2019'!R\Max</f>
        <v>0.58714116749371248</v>
      </c>
      <c r="BY130" s="1189">
        <f>'2020'!R\Max</f>
        <v>0.72228930502668087</v>
      </c>
      <c r="BZ130" s="1189">
        <f>'2021'!R\Max</f>
        <v>0.11107492723670598</v>
      </c>
      <c r="CA130" s="1189">
        <f>'2022'!R\Max</f>
        <v>0.97878634707214096</v>
      </c>
      <c r="CB130" s="1189">
        <f>'2023'!R\Max</f>
        <v>0.97874542372813678</v>
      </c>
      <c r="CC130" s="1189">
        <f>'2024'!R\Max</f>
        <v>0.9786985365806592</v>
      </c>
      <c r="CD130" s="1189">
        <f>'2025'!R\Max</f>
        <v>0.97887695958651377</v>
      </c>
      <c r="CE130" s="1189">
        <f>'2026'!R\Max</f>
        <v>0.97886378585023537</v>
      </c>
      <c r="CF130" s="1190">
        <f>'2027'!R\Max</f>
        <v>0.9788428719778155</v>
      </c>
    </row>
    <row r="131" spans="1:84" s="6" customFormat="1" ht="11.25" x14ac:dyDescent="0.2">
      <c r="A131" s="11">
        <v>43217</v>
      </c>
      <c r="B131" s="382">
        <f>'2022'!Maxi_hp</f>
        <v>41.902156737922802</v>
      </c>
      <c r="C131" s="85">
        <f>'2022'!An_max</f>
        <v>2022</v>
      </c>
      <c r="D131" s="1134"/>
      <c r="E131" s="711"/>
      <c r="F131" s="13">
        <f t="shared" si="74"/>
        <v>9</v>
      </c>
      <c r="G131" s="13">
        <f t="shared" si="58"/>
        <v>10</v>
      </c>
      <c r="H131" s="175">
        <f t="shared" si="59"/>
        <v>43206</v>
      </c>
      <c r="I131" s="774">
        <f t="shared" si="60"/>
        <v>0.7857142857142857</v>
      </c>
      <c r="J131" s="765">
        <f t="shared" si="61"/>
        <v>60.328956267450529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P131" s="13">
        <f t="shared" si="62"/>
        <v>5</v>
      </c>
      <c r="AQ131" s="13">
        <f t="shared" si="63"/>
        <v>6</v>
      </c>
      <c r="AR131" s="175">
        <f t="shared" si="64"/>
        <v>43192</v>
      </c>
      <c r="AS131" s="774">
        <f t="shared" si="65"/>
        <v>0.8928571428571429</v>
      </c>
      <c r="AT131" s="791">
        <f t="shared" si="66"/>
        <v>60.32158133927733</v>
      </c>
      <c r="AU131" s="13">
        <f t="shared" si="67"/>
        <v>5</v>
      </c>
      <c r="AV131" s="13">
        <f t="shared" si="68"/>
        <v>6</v>
      </c>
      <c r="AW131" s="175">
        <f t="shared" si="69"/>
        <v>43206</v>
      </c>
      <c r="AX131" s="774">
        <f t="shared" si="70"/>
        <v>0.39285714285714285</v>
      </c>
      <c r="AY131" s="791">
        <f t="shared" si="71"/>
        <v>60.173558017212372</v>
      </c>
      <c r="AZ131" s="765">
        <f t="shared" si="75"/>
        <v>60.247569678244851</v>
      </c>
      <c r="BA131" s="649">
        <f t="shared" si="72"/>
        <v>0.69456127422728853</v>
      </c>
      <c r="BB131" s="644">
        <v>43217</v>
      </c>
      <c r="BC131" s="11">
        <v>43217</v>
      </c>
      <c r="BD131" s="292">
        <f>[2]!FeuilCaduc*(1-Persistant)+Persistant</f>
        <v>1</v>
      </c>
      <c r="BE131" s="293">
        <f>[2]!CroissVégét</f>
        <v>0.13970387121088346</v>
      </c>
      <c r="BF131" s="844">
        <f>1+[2]!Salcycl*Ksac</f>
        <v>1.0134236711159033</v>
      </c>
      <c r="BH131" s="1107">
        <f t="shared" si="73"/>
        <v>4.9347509380461702E-3</v>
      </c>
      <c r="BI131" s="11">
        <v>44313</v>
      </c>
      <c r="BJ131" s="744">
        <v>4.112030849169416E-4</v>
      </c>
      <c r="BK131" s="744">
        <v>1.7149925670481283E-3</v>
      </c>
      <c r="BL131" s="744">
        <v>4.0448024129016305E-3</v>
      </c>
      <c r="BM131" s="744">
        <v>8.4995346058674686E-3</v>
      </c>
      <c r="BN131" s="744">
        <v>1.5765952103551435E-2</v>
      </c>
      <c r="BO131" s="745">
        <v>2.7023041189997345E-2</v>
      </c>
      <c r="BP131" s="744">
        <v>4.3601503352288219E-2</v>
      </c>
      <c r="BQ131" s="744">
        <v>6.5959490032326887E-2</v>
      </c>
      <c r="BR131" s="744">
        <v>9.3993883998061675E-2</v>
      </c>
      <c r="BS131" s="744">
        <v>0.12786220972072138</v>
      </c>
      <c r="BT131" s="744">
        <v>0.16602464231944397</v>
      </c>
      <c r="BW131" s="1191">
        <f>'2018'!R\Max</f>
        <v>0</v>
      </c>
      <c r="BX131" s="1189">
        <f>'2019'!R\Max</f>
        <v>0.56143813231039674</v>
      </c>
      <c r="BY131" s="1189">
        <f>'2020'!R\Max</f>
        <v>0.45556275912531169</v>
      </c>
      <c r="BZ131" s="1189">
        <f>'2021'!R\Max</f>
        <v>0.3526700569620152</v>
      </c>
      <c r="CA131" s="1189">
        <f>'2022'!R\Max</f>
        <v>0.69456127422728853</v>
      </c>
      <c r="CB131" s="1189">
        <f>'2023'!R\Max</f>
        <v>0.6941588861161585</v>
      </c>
      <c r="CC131" s="1189">
        <f>'2024'!R\Max</f>
        <v>0.69369608734399291</v>
      </c>
      <c r="CD131" s="1189">
        <f>'2025'!R\Max</f>
        <v>0.69544132113953283</v>
      </c>
      <c r="CE131" s="1189">
        <f>'2026'!R\Max</f>
        <v>0.69531460723584904</v>
      </c>
      <c r="CF131" s="1190">
        <f>'2027'!R\Max</f>
        <v>0.69511206589689245</v>
      </c>
    </row>
    <row r="132" spans="1:84" s="6" customFormat="1" ht="11.25" x14ac:dyDescent="0.2">
      <c r="A132" s="11">
        <v>43218</v>
      </c>
      <c r="B132" s="382">
        <f>'2022'!Maxi_hp</f>
        <v>48.054004151723234</v>
      </c>
      <c r="C132" s="85">
        <f>'2022'!An_max</f>
        <v>2019</v>
      </c>
      <c r="D132" s="1134"/>
      <c r="E132" s="711"/>
      <c r="F132" s="13">
        <f t="shared" si="74"/>
        <v>9</v>
      </c>
      <c r="G132" s="13">
        <f t="shared" si="58"/>
        <v>10</v>
      </c>
      <c r="H132" s="175">
        <f t="shared" si="59"/>
        <v>43206</v>
      </c>
      <c r="I132" s="774">
        <f t="shared" si="60"/>
        <v>0.8571428571428571</v>
      </c>
      <c r="J132" s="765">
        <f t="shared" si="61"/>
        <v>60.57213761040142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P132" s="13">
        <f t="shared" si="62"/>
        <v>5</v>
      </c>
      <c r="AQ132" s="13">
        <f t="shared" si="63"/>
        <v>6</v>
      </c>
      <c r="AR132" s="175">
        <f t="shared" si="64"/>
        <v>43192</v>
      </c>
      <c r="AS132" s="774">
        <f t="shared" si="65"/>
        <v>0.9285714285714286</v>
      </c>
      <c r="AT132" s="791">
        <f t="shared" si="66"/>
        <v>60.567659475760806</v>
      </c>
      <c r="AU132" s="13">
        <f t="shared" si="67"/>
        <v>5</v>
      </c>
      <c r="AV132" s="13">
        <f t="shared" si="68"/>
        <v>6</v>
      </c>
      <c r="AW132" s="175">
        <f t="shared" si="69"/>
        <v>43206</v>
      </c>
      <c r="AX132" s="774">
        <f t="shared" si="70"/>
        <v>0.42857142857142855</v>
      </c>
      <c r="AY132" s="791">
        <f t="shared" si="71"/>
        <v>60.408237899839875</v>
      </c>
      <c r="AZ132" s="765">
        <f t="shared" si="75"/>
        <v>60.487948687800341</v>
      </c>
      <c r="BA132" s="649">
        <f t="shared" si="72"/>
        <v>0.7933351215175114</v>
      </c>
      <c r="BB132" s="644">
        <v>43218</v>
      </c>
      <c r="BC132" s="11">
        <v>43218</v>
      </c>
      <c r="BD132" s="292">
        <f>[2]!FeuilCaduc*(1-Persistant)+Persistant</f>
        <v>1</v>
      </c>
      <c r="BE132" s="293">
        <f>[2]!CroissVégét</f>
        <v>0.14475951929663808</v>
      </c>
      <c r="BF132" s="844">
        <f>1+[2]!Salcycl*Ksac</f>
        <v>1.0140927311207564</v>
      </c>
      <c r="BH132" s="1107">
        <f t="shared" si="73"/>
        <v>4.5876581631714344E-3</v>
      </c>
      <c r="BI132" s="11">
        <v>44314</v>
      </c>
      <c r="BJ132" s="744">
        <v>3.782828519683442E-4</v>
      </c>
      <c r="BK132" s="744">
        <v>1.5811985238613066E-3</v>
      </c>
      <c r="BL132" s="744">
        <v>3.7509367120421365E-3</v>
      </c>
      <c r="BM132" s="744">
        <v>7.9392351131046032E-3</v>
      </c>
      <c r="BN132" s="744">
        <v>1.4813444912231627E-2</v>
      </c>
      <c r="BO132" s="745">
        <v>2.5580628497009639E-2</v>
      </c>
      <c r="BP132" s="744">
        <v>4.1547004355147014E-2</v>
      </c>
      <c r="BQ132" s="744">
        <v>6.3324664264498606E-2</v>
      </c>
      <c r="BR132" s="744">
        <v>9.0761227047144399E-2</v>
      </c>
      <c r="BS132" s="744">
        <v>0.12417179468328858</v>
      </c>
      <c r="BT132" s="744">
        <v>0.16190546626992339</v>
      </c>
      <c r="BW132" s="1191">
        <f>'2018'!R\Max</f>
        <v>0</v>
      </c>
      <c r="BX132" s="1189">
        <f>'2019'!R\Max</f>
        <v>0.7933351215175114</v>
      </c>
      <c r="BY132" s="1189">
        <f>'2020'!R\Max</f>
        <v>0.37816534277748975</v>
      </c>
      <c r="BZ132" s="1189">
        <f>'2021'!R\Max</f>
        <v>0.2700018894356605</v>
      </c>
      <c r="CA132" s="1189">
        <f>'2022'!R\Max</f>
        <v>0.42340463217122432</v>
      </c>
      <c r="CB132" s="1189">
        <f>'2023'!R\Max</f>
        <v>0.42296004945537125</v>
      </c>
      <c r="CC132" s="1189">
        <f>'2024'!R\Max</f>
        <v>0.4224464686515535</v>
      </c>
      <c r="CD132" s="1189">
        <f>'2025'!R\Max</f>
        <v>0.42436522471228461</v>
      </c>
      <c r="CE132" s="1189">
        <f>'2026'!R\Max</f>
        <v>0.42422839640479776</v>
      </c>
      <c r="CF132" s="1190">
        <f>'2027'!R\Max</f>
        <v>0.42400802789037628</v>
      </c>
    </row>
    <row r="133" spans="1:84" s="6" customFormat="1" ht="11.25" x14ac:dyDescent="0.2">
      <c r="A133" s="11">
        <v>43219</v>
      </c>
      <c r="B133" s="382">
        <f>'2022'!Maxi_hp</f>
        <v>54.78185076677125</v>
      </c>
      <c r="C133" s="85">
        <f>'2022'!An_max</f>
        <v>2019</v>
      </c>
      <c r="D133" s="1134"/>
      <c r="E133" s="711"/>
      <c r="F133" s="13">
        <f t="shared" si="74"/>
        <v>9</v>
      </c>
      <c r="G133" s="13">
        <f t="shared" si="58"/>
        <v>10</v>
      </c>
      <c r="H133" s="175">
        <f t="shared" si="59"/>
        <v>43206</v>
      </c>
      <c r="I133" s="774">
        <f t="shared" si="60"/>
        <v>0.9285714285714286</v>
      </c>
      <c r="J133" s="765">
        <f t="shared" si="61"/>
        <v>60.806064140583786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P133" s="13">
        <f t="shared" si="62"/>
        <v>5</v>
      </c>
      <c r="AQ133" s="13">
        <f t="shared" si="63"/>
        <v>6</v>
      </c>
      <c r="AR133" s="175">
        <f t="shared" si="64"/>
        <v>43192</v>
      </c>
      <c r="AS133" s="774">
        <f t="shared" si="65"/>
        <v>0.9642857142857143</v>
      </c>
      <c r="AT133" s="791">
        <f t="shared" si="66"/>
        <v>60.804034983526378</v>
      </c>
      <c r="AU133" s="13">
        <f t="shared" si="67"/>
        <v>5</v>
      </c>
      <c r="AV133" s="13">
        <f t="shared" si="68"/>
        <v>6</v>
      </c>
      <c r="AW133" s="175">
        <f t="shared" si="69"/>
        <v>43206</v>
      </c>
      <c r="AX133" s="774">
        <f t="shared" si="70"/>
        <v>0.4642857142857143</v>
      </c>
      <c r="AY133" s="791">
        <f t="shared" si="71"/>
        <v>60.636237899905872</v>
      </c>
      <c r="AZ133" s="765">
        <f t="shared" si="75"/>
        <v>60.720136441716122</v>
      </c>
      <c r="BA133" s="649">
        <f t="shared" si="72"/>
        <v>0.90092742460876041</v>
      </c>
      <c r="BB133" s="644">
        <v>43219</v>
      </c>
      <c r="BC133" s="11">
        <v>43219</v>
      </c>
      <c r="BD133" s="292">
        <f>[2]!FeuilCaduc*(1-Persistant)+Persistant</f>
        <v>1</v>
      </c>
      <c r="BE133" s="293">
        <f>[2]!CroissVégét</f>
        <v>0.14996445881890225</v>
      </c>
      <c r="BF133" s="844">
        <f>1+[2]!Salcycl*Ksac</f>
        <v>1.0147813302261093</v>
      </c>
      <c r="BH133" s="1107">
        <f t="shared" si="73"/>
        <v>4.2558010389473922E-3</v>
      </c>
      <c r="BI133" s="11">
        <v>44315</v>
      </c>
      <c r="BJ133" s="744">
        <v>3.4879305430950228E-4</v>
      </c>
      <c r="BK133" s="744">
        <v>1.4563258593662609E-3</v>
      </c>
      <c r="BL133" s="744">
        <v>3.4718713231519129E-3</v>
      </c>
      <c r="BM133" s="744">
        <v>7.3959150664790925E-3</v>
      </c>
      <c r="BN133" s="744">
        <v>1.3880893577135288E-2</v>
      </c>
      <c r="BO133" s="745">
        <v>2.4158831430507569E-2</v>
      </c>
      <c r="BP133" s="744">
        <v>3.9490033507796458E-2</v>
      </c>
      <c r="BQ133" s="744">
        <v>6.0659234134935867E-2</v>
      </c>
      <c r="BR133" s="744">
        <v>8.7452533715211903E-2</v>
      </c>
      <c r="BS133" s="744">
        <v>0.12034142659872121</v>
      </c>
      <c r="BT133" s="744">
        <v>0.15754028061443254</v>
      </c>
      <c r="BW133" s="1191">
        <f>'2018'!R\Max</f>
        <v>0</v>
      </c>
      <c r="BX133" s="1189">
        <f>'2019'!R\Max</f>
        <v>0.90092742460876041</v>
      </c>
      <c r="BY133" s="1189">
        <f>'2020'!R\Max</f>
        <v>0.59300598395307158</v>
      </c>
      <c r="BZ133" s="1189">
        <f>'2021'!R\Max</f>
        <v>0.42770875492072175</v>
      </c>
      <c r="CA133" s="1189">
        <f>'2022'!R\Max</f>
        <v>0.79377950353276627</v>
      </c>
      <c r="CB133" s="1189">
        <f>'2023'!R\Max</f>
        <v>0.79349374173010834</v>
      </c>
      <c r="CC133" s="1189">
        <f>'2024'!R\Max</f>
        <v>0.79316117387801643</v>
      </c>
      <c r="CD133" s="1189">
        <f>'2025'!R\Max</f>
        <v>0.79438754999849526</v>
      </c>
      <c r="CE133" s="1189">
        <f>'2026'!R\Max</f>
        <v>0.79430214661664744</v>
      </c>
      <c r="CF133" s="1190">
        <f>'2027'!R\Max</f>
        <v>0.79416331977636256</v>
      </c>
    </row>
    <row r="134" spans="1:84" s="6" customFormat="1" ht="11.25" x14ac:dyDescent="0.2">
      <c r="A134" s="11">
        <v>43220</v>
      </c>
      <c r="B134" s="382">
        <f>'2022'!Maxi_hp</f>
        <v>60.84592314154898</v>
      </c>
      <c r="C134" s="85">
        <f>'2022'!An_max</f>
        <v>2019</v>
      </c>
      <c r="D134" s="1134"/>
      <c r="E134" s="773">
        <f>V$13/10</f>
        <v>61.0304</v>
      </c>
      <c r="F134" s="13">
        <f t="shared" si="74"/>
        <v>11</v>
      </c>
      <c r="G134" s="13">
        <f t="shared" si="58"/>
        <v>10</v>
      </c>
      <c r="H134" s="175">
        <f t="shared" si="59"/>
        <v>43234</v>
      </c>
      <c r="I134" s="774">
        <f t="shared" si="60"/>
        <v>1</v>
      </c>
      <c r="J134" s="765">
        <f t="shared" si="61"/>
        <v>61.030399999022485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P134" s="13">
        <f t="shared" si="62"/>
        <v>7</v>
      </c>
      <c r="AQ134" s="13">
        <f t="shared" si="63"/>
        <v>6</v>
      </c>
      <c r="AR134" s="175">
        <f t="shared" si="64"/>
        <v>43248</v>
      </c>
      <c r="AS134" s="774">
        <f t="shared" si="65"/>
        <v>1</v>
      </c>
      <c r="AT134" s="791">
        <f t="shared" si="66"/>
        <v>61.0304000005126</v>
      </c>
      <c r="AU134" s="13">
        <f t="shared" si="67"/>
        <v>5</v>
      </c>
      <c r="AV134" s="13">
        <f t="shared" si="68"/>
        <v>6</v>
      </c>
      <c r="AW134" s="175">
        <f t="shared" si="69"/>
        <v>43206</v>
      </c>
      <c r="AX134" s="774">
        <f t="shared" si="70"/>
        <v>0.5</v>
      </c>
      <c r="AY134" s="791">
        <f t="shared" si="71"/>
        <v>60.857599999383091</v>
      </c>
      <c r="AZ134" s="765">
        <f t="shared" si="75"/>
        <v>60.943999999947849</v>
      </c>
      <c r="BA134" s="649">
        <f t="shared" si="72"/>
        <v>0.99697729561863502</v>
      </c>
      <c r="BB134" s="644">
        <v>43220</v>
      </c>
      <c r="BC134" s="11">
        <v>43220</v>
      </c>
      <c r="BD134" s="292">
        <f>[2]!FeuilCaduc*(1-Persistant)+Persistant</f>
        <v>1</v>
      </c>
      <c r="BE134" s="293">
        <f>[2]!CroissVégét</f>
        <v>0.1553208101334605</v>
      </c>
      <c r="BF134" s="844">
        <f>1+[2]!Salcycl*Ksac</f>
        <v>1.0154892904706616</v>
      </c>
      <c r="BH134" s="1107">
        <f t="shared" si="73"/>
        <v>3.9391737634716997E-3</v>
      </c>
      <c r="BI134" s="11">
        <v>44316</v>
      </c>
      <c r="BJ134" s="744">
        <v>3.227317139011721E-4</v>
      </c>
      <c r="BK134" s="744">
        <v>1.3403701675617373E-3</v>
      </c>
      <c r="BL134" s="744">
        <v>3.2075999848488728E-3</v>
      </c>
      <c r="BM134" s="744">
        <v>6.8695705045836728E-3</v>
      </c>
      <c r="BN134" s="744">
        <v>1.296829752945057E-2</v>
      </c>
      <c r="BO134" s="745">
        <v>2.2757655382920624E-2</v>
      </c>
      <c r="BP134" s="744">
        <v>3.7430620430576607E-2</v>
      </c>
      <c r="BQ134" s="744">
        <v>5.7963255256258284E-2</v>
      </c>
      <c r="BR134" s="744">
        <v>8.4067897191978089E-2</v>
      </c>
      <c r="BS134" s="744">
        <v>0.11637124574872303</v>
      </c>
      <c r="BT134" s="744">
        <v>0.15292930179644684</v>
      </c>
      <c r="BW134" s="1191">
        <f>'2018'!R\Max</f>
        <v>0</v>
      </c>
      <c r="BX134" s="1189">
        <f>'2019'!R\Max</f>
        <v>0.99697729561863502</v>
      </c>
      <c r="BY134" s="1189">
        <f>'2020'!R\Max</f>
        <v>0.88563708992266321</v>
      </c>
      <c r="BZ134" s="1189">
        <f>'2021'!R\Max</f>
        <v>0.30089207625741327</v>
      </c>
      <c r="CA134" s="1189">
        <f>'2022'!R\Max</f>
        <v>0.82615872054019523</v>
      </c>
      <c r="CB134" s="1189">
        <f>'2023'!R\Max</f>
        <v>0.82591924833603947</v>
      </c>
      <c r="CC134" s="1189">
        <f>'2024'!R\Max</f>
        <v>0.82563867974546301</v>
      </c>
      <c r="CD134" s="1189">
        <f>'2025'!R\Max</f>
        <v>0.82666178823528347</v>
      </c>
      <c r="CE134" s="1189">
        <f>'2026'!R\Max</f>
        <v>0.82659212625231371</v>
      </c>
      <c r="CF134" s="1190">
        <f>'2027'!R\Max</f>
        <v>0.82647778608471789</v>
      </c>
    </row>
    <row r="135" spans="1:84" s="6" customFormat="1" ht="11.25" x14ac:dyDescent="0.2">
      <c r="A135" s="11">
        <v>43221</v>
      </c>
      <c r="B135" s="382">
        <f>'2022'!Maxi_hp</f>
        <v>56.845620095734738</v>
      </c>
      <c r="C135" s="85">
        <f>'2022'!An_max</f>
        <v>2019</v>
      </c>
      <c r="D135" s="1134"/>
      <c r="E135" s="711"/>
      <c r="F135" s="13">
        <f t="shared" si="74"/>
        <v>11</v>
      </c>
      <c r="G135" s="13">
        <f t="shared" si="58"/>
        <v>10</v>
      </c>
      <c r="H135" s="175">
        <f t="shared" si="59"/>
        <v>43234</v>
      </c>
      <c r="I135" s="774">
        <f t="shared" si="60"/>
        <v>0.9285714285714286</v>
      </c>
      <c r="J135" s="765">
        <f t="shared" si="61"/>
        <v>61.244678717745202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P135" s="13">
        <f t="shared" si="62"/>
        <v>7</v>
      </c>
      <c r="AQ135" s="13">
        <f t="shared" si="63"/>
        <v>6</v>
      </c>
      <c r="AR135" s="175">
        <f t="shared" si="64"/>
        <v>43248</v>
      </c>
      <c r="AS135" s="774">
        <f t="shared" si="65"/>
        <v>0.9642857142857143</v>
      </c>
      <c r="AT135" s="791">
        <f t="shared" si="66"/>
        <v>61.246675216486416</v>
      </c>
      <c r="AU135" s="13">
        <f t="shared" si="67"/>
        <v>5</v>
      </c>
      <c r="AV135" s="13">
        <f t="shared" si="68"/>
        <v>6</v>
      </c>
      <c r="AW135" s="175">
        <f t="shared" si="69"/>
        <v>43206</v>
      </c>
      <c r="AX135" s="774">
        <f t="shared" si="70"/>
        <v>0.5357142857142857</v>
      </c>
      <c r="AY135" s="791">
        <f t="shared" si="71"/>
        <v>61.072366180670045</v>
      </c>
      <c r="AZ135" s="765">
        <f t="shared" si="75"/>
        <v>61.159520698578234</v>
      </c>
      <c r="BA135" s="649">
        <f t="shared" si="72"/>
        <v>0.92817239449839961</v>
      </c>
      <c r="BB135" s="644">
        <v>43221</v>
      </c>
      <c r="BC135" s="11">
        <v>43221</v>
      </c>
      <c r="BD135" s="292">
        <f>[2]!FeuilCaduc*(1-Persistant)+Persistant</f>
        <v>1</v>
      </c>
      <c r="BE135" s="293">
        <f>[2]!CroissVégét</f>
        <v>0.16083055564958049</v>
      </c>
      <c r="BF135" s="844">
        <f>1+[2]!Salcycl*Ksac</f>
        <v>1.0162163935555841</v>
      </c>
      <c r="BH135" s="1107">
        <f t="shared" si="73"/>
        <v>3.6377702733446926E-3</v>
      </c>
      <c r="BI135" s="11">
        <v>44317</v>
      </c>
      <c r="BJ135" s="744">
        <v>3.0009675373226429E-4</v>
      </c>
      <c r="BK135" s="744">
        <v>1.2333268278049724E-3</v>
      </c>
      <c r="BL135" s="744">
        <v>2.9581161433684627E-3</v>
      </c>
      <c r="BM135" s="744">
        <v>6.3601973282275135E-3</v>
      </c>
      <c r="BN135" s="744">
        <v>1.2075656298509485E-2</v>
      </c>
      <c r="BO135" s="745">
        <v>2.1377106252873836E-2</v>
      </c>
      <c r="BP135" s="744">
        <v>3.5368796652356184E-2</v>
      </c>
      <c r="BQ135" s="744">
        <v>5.5236786709671228E-2</v>
      </c>
      <c r="BR135" s="744">
        <v>8.0607416355506362E-2</v>
      </c>
      <c r="BS135" s="744">
        <v>0.11226140088632651</v>
      </c>
      <c r="BT135" s="744">
        <v>0.14807275906079748</v>
      </c>
      <c r="BW135" s="1191">
        <f>'2018'!R\Max</f>
        <v>0</v>
      </c>
      <c r="BX135" s="1189">
        <f>'2019'!R\Max</f>
        <v>0.92817239449839961</v>
      </c>
      <c r="BY135" s="1189">
        <f>'2020'!R\Max</f>
        <v>0.75973535950706839</v>
      </c>
      <c r="BZ135" s="1189">
        <f>'2021'!R\Max</f>
        <v>0.35692061680191917</v>
      </c>
      <c r="CA135" s="1189">
        <f>'2022'!R\Max</f>
        <v>0.81210737120631682</v>
      </c>
      <c r="CB135" s="1189">
        <f>'2023'!R\Max</f>
        <v>0.81186520137769413</v>
      </c>
      <c r="CC135" s="1189">
        <f>'2024'!R\Max</f>
        <v>0.81157940094873393</v>
      </c>
      <c r="CD135" s="1189">
        <f>'2025'!R\Max</f>
        <v>0.81261007697038101</v>
      </c>
      <c r="CE135" s="1189">
        <f>'2026'!R\Max</f>
        <v>0.81254154415870206</v>
      </c>
      <c r="CF135" s="1190">
        <f>'2027'!R\Max</f>
        <v>0.81242784638355514</v>
      </c>
    </row>
    <row r="136" spans="1:84" s="6" customFormat="1" ht="11.25" x14ac:dyDescent="0.2">
      <c r="A136" s="11">
        <v>43222</v>
      </c>
      <c r="B136" s="382">
        <f>'2022'!Maxi_hp</f>
        <v>39.747246661532351</v>
      </c>
      <c r="C136" s="85">
        <f>'2022'!An_max</f>
        <v>2021</v>
      </c>
      <c r="D136" s="1134"/>
      <c r="E136" s="711"/>
      <c r="F136" s="13">
        <f t="shared" si="74"/>
        <v>11</v>
      </c>
      <c r="G136" s="13">
        <f t="shared" si="58"/>
        <v>10</v>
      </c>
      <c r="H136" s="175">
        <f t="shared" si="59"/>
        <v>43234</v>
      </c>
      <c r="I136" s="774">
        <f t="shared" si="60"/>
        <v>0.8571428571428571</v>
      </c>
      <c r="J136" s="765">
        <f t="shared" si="61"/>
        <v>61.4489562690258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P136" s="13">
        <f t="shared" si="62"/>
        <v>7</v>
      </c>
      <c r="AQ136" s="13">
        <f t="shared" si="63"/>
        <v>6</v>
      </c>
      <c r="AR136" s="175">
        <f t="shared" si="64"/>
        <v>43248</v>
      </c>
      <c r="AS136" s="774">
        <f t="shared" si="65"/>
        <v>0.9285714285714286</v>
      </c>
      <c r="AT136" s="791">
        <f t="shared" si="66"/>
        <v>61.453173178008626</v>
      </c>
      <c r="AU136" s="13">
        <f t="shared" si="67"/>
        <v>5</v>
      </c>
      <c r="AV136" s="13">
        <f t="shared" si="68"/>
        <v>6</v>
      </c>
      <c r="AW136" s="175">
        <f t="shared" si="69"/>
        <v>43206</v>
      </c>
      <c r="AX136" s="774">
        <f t="shared" si="70"/>
        <v>0.5714285714285714</v>
      </c>
      <c r="AY136" s="791">
        <f t="shared" si="71"/>
        <v>61.28057842520731</v>
      </c>
      <c r="AZ136" s="765">
        <f t="shared" si="75"/>
        <v>61.366875801607968</v>
      </c>
      <c r="BA136" s="649">
        <f t="shared" si="72"/>
        <v>0.64683355218463656</v>
      </c>
      <c r="BB136" s="644">
        <v>43222</v>
      </c>
      <c r="BC136" s="11">
        <v>43222</v>
      </c>
      <c r="BD136" s="292">
        <f>[2]!FeuilCaduc*(1-Persistant)+Persistant</f>
        <v>1</v>
      </c>
      <c r="BE136" s="293">
        <f>[2]!CroissVégét</f>
        <v>0.16649552652045066</v>
      </c>
      <c r="BF136" s="844">
        <f>1+[2]!Salcycl*Ksac</f>
        <v>1.0169623796999492</v>
      </c>
      <c r="BH136" s="1107">
        <f t="shared" si="73"/>
        <v>3.361167332957723E-3</v>
      </c>
      <c r="BI136" s="11">
        <v>44318</v>
      </c>
      <c r="BJ136" s="744">
        <v>2.8192365546815079E-4</v>
      </c>
      <c r="BK136" s="744">
        <v>1.1384698208909275E-3</v>
      </c>
      <c r="BL136" s="744">
        <v>2.7312421995618549E-3</v>
      </c>
      <c r="BM136" s="744">
        <v>5.8843995919415073E-3</v>
      </c>
      <c r="BN136" s="744">
        <v>1.1231147701933009E-2</v>
      </c>
      <c r="BO136" s="745">
        <v>2.0051832246413596E-2</v>
      </c>
      <c r="BP136" s="744">
        <v>3.3349811688680946E-2</v>
      </c>
      <c r="BQ136" s="744">
        <v>5.2509386267794368E-2</v>
      </c>
      <c r="BR136" s="744">
        <v>7.7088486705377032E-2</v>
      </c>
      <c r="BS136" s="744">
        <v>0.10799829882425928</v>
      </c>
      <c r="BT136" s="744">
        <v>0.14293842516182062</v>
      </c>
      <c r="BW136" s="1191">
        <f>'2018'!R\Max</f>
        <v>0</v>
      </c>
      <c r="BX136" s="1189">
        <f>'2019'!R\Max</f>
        <v>0.60274876425804758</v>
      </c>
      <c r="BY136" s="1189">
        <f>'2020'!R\Max</f>
        <v>0.41616405909156728</v>
      </c>
      <c r="BZ136" s="1189">
        <f>'2021'!R\Max</f>
        <v>0.64683355218463656</v>
      </c>
      <c r="CA136" s="1189">
        <f>'2022'!R\Max</f>
        <v>0.49437274525733077</v>
      </c>
      <c r="CB136" s="1189">
        <f>'2023'!R\Max</f>
        <v>0.49399646154104881</v>
      </c>
      <c r="CC136" s="1189">
        <f>'2024'!R\Max</f>
        <v>0.49354949738911053</v>
      </c>
      <c r="CD136" s="1189">
        <f>'2025'!R\Max</f>
        <v>0.49514677327207002</v>
      </c>
      <c r="CE136" s="1189">
        <f>'2026'!R\Max</f>
        <v>0.49504286291835642</v>
      </c>
      <c r="CF136" s="1190">
        <f>'2027'!R\Max</f>
        <v>0.49486855335053254</v>
      </c>
    </row>
    <row r="137" spans="1:84" s="6" customFormat="1" ht="11.25" x14ac:dyDescent="0.2">
      <c r="A137" s="11">
        <v>43223</v>
      </c>
      <c r="B137" s="382">
        <f>'2022'!Maxi_hp</f>
        <v>59.744764721426584</v>
      </c>
      <c r="C137" s="85">
        <f>'2022'!An_max</f>
        <v>2021</v>
      </c>
      <c r="D137" s="1134"/>
      <c r="E137" s="711"/>
      <c r="F137" s="13">
        <f t="shared" si="74"/>
        <v>11</v>
      </c>
      <c r="G137" s="13">
        <f t="shared" si="58"/>
        <v>10</v>
      </c>
      <c r="H137" s="175">
        <f t="shared" si="59"/>
        <v>43234</v>
      </c>
      <c r="I137" s="774">
        <f t="shared" si="60"/>
        <v>0.7857142857142857</v>
      </c>
      <c r="J137" s="765">
        <f t="shared" si="61"/>
        <v>61.643680465168188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P137" s="13">
        <f t="shared" si="62"/>
        <v>7</v>
      </c>
      <c r="AQ137" s="13">
        <f t="shared" si="63"/>
        <v>6</v>
      </c>
      <c r="AR137" s="175">
        <f t="shared" si="64"/>
        <v>43248</v>
      </c>
      <c r="AS137" s="774">
        <f t="shared" si="65"/>
        <v>0.8928571428571429</v>
      </c>
      <c r="AT137" s="791">
        <f t="shared" si="66"/>
        <v>61.650173759699932</v>
      </c>
      <c r="AU137" s="13">
        <f t="shared" si="67"/>
        <v>5</v>
      </c>
      <c r="AV137" s="13">
        <f t="shared" si="68"/>
        <v>6</v>
      </c>
      <c r="AW137" s="175">
        <f t="shared" si="69"/>
        <v>43206</v>
      </c>
      <c r="AX137" s="774">
        <f t="shared" si="70"/>
        <v>0.6071428571428571</v>
      </c>
      <c r="AY137" s="791">
        <f t="shared" si="71"/>
        <v>61.482278716218254</v>
      </c>
      <c r="AZ137" s="765">
        <f t="shared" si="75"/>
        <v>61.566226237959093</v>
      </c>
      <c r="BA137" s="649">
        <f t="shared" si="72"/>
        <v>0.96919528929142074</v>
      </c>
      <c r="BB137" s="644">
        <v>43223</v>
      </c>
      <c r="BC137" s="11">
        <v>43223</v>
      </c>
      <c r="BD137" s="292">
        <f>[2]!FeuilCaduc*(1-Persistant)+Persistant</f>
        <v>1</v>
      </c>
      <c r="BE137" s="293">
        <f>[2]!CroissVégét</f>
        <v>0.1723173890515782</v>
      </c>
      <c r="BF137" s="844">
        <f>1+[2]!Salcycl*Ksac</f>
        <v>1.0177269465634224</v>
      </c>
      <c r="BH137" s="1107">
        <f t="shared" si="73"/>
        <v>3.1052270396060774E-3</v>
      </c>
      <c r="BI137" s="11">
        <v>44319</v>
      </c>
      <c r="BJ137" s="744">
        <v>2.6673091789035657E-4</v>
      </c>
      <c r="BK137" s="744">
        <v>1.0527746933349093E-3</v>
      </c>
      <c r="BL137" s="744">
        <v>2.5225210805741244E-3</v>
      </c>
      <c r="BM137" s="744">
        <v>5.4393178630746395E-3</v>
      </c>
      <c r="BN137" s="744">
        <v>1.0435144384333064E-2</v>
      </c>
      <c r="BO137" s="745">
        <v>1.8786658902805609E-2</v>
      </c>
      <c r="BP137" s="744">
        <v>3.1395995724190974E-2</v>
      </c>
      <c r="BQ137" s="744">
        <v>4.9815451062273815E-2</v>
      </c>
      <c r="BR137" s="744">
        <v>7.357352234304422E-2</v>
      </c>
      <c r="BS137" s="744">
        <v>0.10366024967746985</v>
      </c>
      <c r="BT137" s="744">
        <v>0.13762849024410947</v>
      </c>
      <c r="BW137" s="1191">
        <f>'2018'!R\Max</f>
        <v>0</v>
      </c>
      <c r="BX137" s="1189">
        <f>'2019'!R\Max</f>
        <v>0.36756693952754022</v>
      </c>
      <c r="BY137" s="1189">
        <f>'2020'!R\Max</f>
        <v>0.65188183976526881</v>
      </c>
      <c r="BZ137" s="1189">
        <f>'2021'!R\Max</f>
        <v>0.96919528929142074</v>
      </c>
      <c r="CA137" s="1189">
        <f>'2022'!R\Max</f>
        <v>0.58267204339059753</v>
      </c>
      <c r="CB137" s="1189">
        <f>'2023'!R\Max</f>
        <v>0.58232602852069726</v>
      </c>
      <c r="CC137" s="1189">
        <f>'2024'!R\Max</f>
        <v>0.58191101206858531</v>
      </c>
      <c r="CD137" s="1189">
        <f>'2025'!R\Max</f>
        <v>0.58337865947911483</v>
      </c>
      <c r="CE137" s="1189">
        <f>'2026'!R\Max</f>
        <v>0.58328549509164074</v>
      </c>
      <c r="CF137" s="1190">
        <f>'2027'!R\Max</f>
        <v>0.58312726240929003</v>
      </c>
    </row>
    <row r="138" spans="1:84" s="6" customFormat="1" ht="11.25" x14ac:dyDescent="0.2">
      <c r="A138" s="11">
        <v>43224</v>
      </c>
      <c r="B138" s="382">
        <f>'2022'!Maxi_hp</f>
        <v>56.648586728820725</v>
      </c>
      <c r="C138" s="85">
        <f>'2022'!An_max</f>
        <v>2020</v>
      </c>
      <c r="D138" s="1134"/>
      <c r="E138" s="711"/>
      <c r="F138" s="13">
        <f t="shared" si="74"/>
        <v>11</v>
      </c>
      <c r="G138" s="13">
        <f t="shared" si="58"/>
        <v>10</v>
      </c>
      <c r="H138" s="175">
        <f t="shared" si="59"/>
        <v>43234</v>
      </c>
      <c r="I138" s="774">
        <f t="shared" si="60"/>
        <v>0.7142857142857143</v>
      </c>
      <c r="J138" s="765">
        <f t="shared" si="61"/>
        <v>61.829299126139709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P138" s="13">
        <f t="shared" si="62"/>
        <v>7</v>
      </c>
      <c r="AQ138" s="13">
        <f t="shared" si="63"/>
        <v>6</v>
      </c>
      <c r="AR138" s="175">
        <f t="shared" si="64"/>
        <v>43248</v>
      </c>
      <c r="AS138" s="774">
        <f t="shared" si="65"/>
        <v>0.8571428571428571</v>
      </c>
      <c r="AT138" s="791">
        <f t="shared" si="66"/>
        <v>61.837956850869318</v>
      </c>
      <c r="AU138" s="13">
        <f t="shared" si="67"/>
        <v>5</v>
      </c>
      <c r="AV138" s="13">
        <f t="shared" si="68"/>
        <v>6</v>
      </c>
      <c r="AW138" s="175">
        <f t="shared" si="69"/>
        <v>43206</v>
      </c>
      <c r="AX138" s="774">
        <f t="shared" si="70"/>
        <v>0.6428571428571429</v>
      </c>
      <c r="AY138" s="791">
        <f t="shared" si="71"/>
        <v>61.67750903793744</v>
      </c>
      <c r="AZ138" s="765">
        <f t="shared" si="75"/>
        <v>61.757732944403379</v>
      </c>
      <c r="BA138" s="649">
        <f t="shared" si="72"/>
        <v>0.91620942707518538</v>
      </c>
      <c r="BB138" s="644">
        <v>43224</v>
      </c>
      <c r="BC138" s="11">
        <v>43224</v>
      </c>
      <c r="BD138" s="292">
        <f>[2]!FeuilCaduc*(1-Persistant)+Persistant</f>
        <v>1</v>
      </c>
      <c r="BE138" s="293">
        <f>[2]!CroissVégét</f>
        <v>0.17829763088415901</v>
      </c>
      <c r="BF138" s="844">
        <f>1+[2]!Salcycl*Ksac</f>
        <v>1.0185097482518781</v>
      </c>
      <c r="BH138" s="1107">
        <f t="shared" si="73"/>
        <v>2.8699377555448844E-3</v>
      </c>
      <c r="BI138" s="11">
        <v>44320</v>
      </c>
      <c r="BJ138" s="744">
        <v>2.5451645580023245E-4</v>
      </c>
      <c r="BK138" s="744">
        <v>9.7623578603404351E-4</v>
      </c>
      <c r="BL138" s="744">
        <v>2.331942276664117E-3</v>
      </c>
      <c r="BM138" s="744">
        <v>5.0249359855429341E-3</v>
      </c>
      <c r="BN138" s="744">
        <v>9.6876223306449089E-3</v>
      </c>
      <c r="BO138" s="745">
        <v>1.758156087436968E-2</v>
      </c>
      <c r="BP138" s="744">
        <v>2.950733074741943E-2</v>
      </c>
      <c r="BQ138" s="744">
        <v>4.7154998983965669E-2</v>
      </c>
      <c r="BR138" s="744">
        <v>7.0062575776174627E-2</v>
      </c>
      <c r="BS138" s="744">
        <v>9.9247377911063486E-2</v>
      </c>
      <c r="BT138" s="744">
        <v>0.13214316995952527</v>
      </c>
      <c r="BW138" s="1191">
        <f>'2018'!R\Max</f>
        <v>0</v>
      </c>
      <c r="BX138" s="1189">
        <f>'2019'!R\Max</f>
        <v>0.53757014448707663</v>
      </c>
      <c r="BY138" s="1189">
        <f>'2020'!R\Max</f>
        <v>0.91620942707518538</v>
      </c>
      <c r="BZ138" s="1189">
        <f>'2021'!R\Max</f>
        <v>0.8394511705820954</v>
      </c>
      <c r="CA138" s="1189">
        <f>'2022'!R\Max</f>
        <v>1.4739286571115593E-2</v>
      </c>
      <c r="CB138" s="1189">
        <f>'2023'!R\Max</f>
        <v>1.4725437848548864E-2</v>
      </c>
      <c r="CC138" s="1189">
        <f>'2024'!R\Max</f>
        <v>1.4708685065055105E-2</v>
      </c>
      <c r="CD138" s="1189">
        <f>'2025'!R\Max</f>
        <v>1.4767442832822523E-2</v>
      </c>
      <c r="CE138" s="1189">
        <f>'2026'!R\Max</f>
        <v>1.4763795771478846E-2</v>
      </c>
      <c r="CF138" s="1190">
        <f>'2027'!R\Max</f>
        <v>1.4757520827596066E-2</v>
      </c>
    </row>
    <row r="139" spans="1:84" s="6" customFormat="1" ht="11.25" x14ac:dyDescent="0.2">
      <c r="A139" s="11">
        <v>43225</v>
      </c>
      <c r="B139" s="382">
        <f>'2022'!Maxi_hp</f>
        <v>58.989313810464012</v>
      </c>
      <c r="C139" s="85">
        <f>'2022'!An_max</f>
        <v>2020</v>
      </c>
      <c r="D139" s="1134"/>
      <c r="E139" s="711"/>
      <c r="F139" s="13">
        <f t="shared" si="74"/>
        <v>11</v>
      </c>
      <c r="G139" s="13">
        <f t="shared" si="58"/>
        <v>10</v>
      </c>
      <c r="H139" s="175">
        <f t="shared" si="59"/>
        <v>43234</v>
      </c>
      <c r="I139" s="774">
        <f t="shared" si="60"/>
        <v>0.6428571428571429</v>
      </c>
      <c r="J139" s="765">
        <f t="shared" si="61"/>
        <v>62.006260058922429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P139" s="13">
        <f t="shared" si="62"/>
        <v>7</v>
      </c>
      <c r="AQ139" s="13">
        <f t="shared" si="63"/>
        <v>6</v>
      </c>
      <c r="AR139" s="175">
        <f t="shared" si="64"/>
        <v>43248</v>
      </c>
      <c r="AS139" s="774">
        <f t="shared" si="65"/>
        <v>0.8214285714285714</v>
      </c>
      <c r="AT139" s="791">
        <f t="shared" si="66"/>
        <v>62.016802330714242</v>
      </c>
      <c r="AU139" s="13">
        <f t="shared" si="67"/>
        <v>5</v>
      </c>
      <c r="AV139" s="13">
        <f t="shared" si="68"/>
        <v>6</v>
      </c>
      <c r="AW139" s="175">
        <f t="shared" si="69"/>
        <v>43206</v>
      </c>
      <c r="AX139" s="774">
        <f t="shared" si="70"/>
        <v>0.6785714285714286</v>
      </c>
      <c r="AY139" s="791">
        <f t="shared" si="71"/>
        <v>61.866311369809715</v>
      </c>
      <c r="AZ139" s="765">
        <f t="shared" si="75"/>
        <v>61.941556850261975</v>
      </c>
      <c r="BA139" s="649">
        <f t="shared" si="72"/>
        <v>0.95134448932105375</v>
      </c>
      <c r="BB139" s="644">
        <v>43225</v>
      </c>
      <c r="BC139" s="11">
        <v>43225</v>
      </c>
      <c r="BD139" s="292">
        <f>[2]!FeuilCaduc*(1-Persistant)+Persistant</f>
        <v>1</v>
      </c>
      <c r="BE139" s="293">
        <f>[2]!CroissVégét</f>
        <v>0.1844375470173118</v>
      </c>
      <c r="BF139" s="844">
        <f>1+[2]!Salcycl*Ksac</f>
        <v>1.0193103944220328</v>
      </c>
      <c r="BH139" s="1107">
        <f t="shared" si="73"/>
        <v>2.6552872080862723E-3</v>
      </c>
      <c r="BI139" s="11">
        <v>44321</v>
      </c>
      <c r="BJ139" s="744">
        <v>2.4527807301249848E-4</v>
      </c>
      <c r="BK139" s="744">
        <v>9.0884713357689223E-4</v>
      </c>
      <c r="BL139" s="744">
        <v>2.1594947059011605E-3</v>
      </c>
      <c r="BM139" s="744">
        <v>4.6412369169536389E-3</v>
      </c>
      <c r="BN139" s="744">
        <v>8.9885562088327792E-3</v>
      </c>
      <c r="BO139" s="745">
        <v>1.6436511428887735E-2</v>
      </c>
      <c r="BP139" s="744">
        <v>2.7683797762185713E-2</v>
      </c>
      <c r="BQ139" s="744">
        <v>4.4528048917925972E-2</v>
      </c>
      <c r="BR139" s="744">
        <v>6.6555702463350824E-2</v>
      </c>
      <c r="BS139" s="744">
        <v>9.4759814960205122E-2</v>
      </c>
      <c r="BT139" s="744">
        <v>0.12648269198877232</v>
      </c>
      <c r="BW139" s="1191">
        <f>'2018'!R\Max</f>
        <v>0</v>
      </c>
      <c r="BX139" s="1189">
        <f>'2019'!R\Max</f>
        <v>0.75465138201936455</v>
      </c>
      <c r="BY139" s="1189">
        <f>'2020'!R\Max</f>
        <v>0.95134448932105375</v>
      </c>
      <c r="BZ139" s="1189">
        <f>'2021'!R\Max</f>
        <v>0.5956921139030199</v>
      </c>
      <c r="CA139" s="1189">
        <f>'2022'!R\Max</f>
        <v>0.67625020228789512</v>
      </c>
      <c r="CB139" s="1189">
        <f>'2023'!R\Max</f>
        <v>0.675973961640156</v>
      </c>
      <c r="CC139" s="1189">
        <f>'2024'!R\Max</f>
        <v>0.67563632206699498</v>
      </c>
      <c r="CD139" s="1189">
        <f>'2025'!R\Max</f>
        <v>0.67680868275404571</v>
      </c>
      <c r="CE139" s="1189">
        <f>'2026'!R\Max</f>
        <v>0.67673775890130861</v>
      </c>
      <c r="CF139" s="1190">
        <f>'2027'!R\Max</f>
        <v>0.67661394328700863</v>
      </c>
    </row>
    <row r="140" spans="1:84" s="6" customFormat="1" ht="11.25" x14ac:dyDescent="0.2">
      <c r="A140" s="11">
        <v>43226</v>
      </c>
      <c r="B140" s="382">
        <f>'2022'!Maxi_hp</f>
        <v>64.322746160656237</v>
      </c>
      <c r="C140" s="85">
        <f>'2022'!An_max</f>
        <v>2019</v>
      </c>
      <c r="D140" s="1134"/>
      <c r="E140" s="711"/>
      <c r="F140" s="13">
        <f t="shared" si="74"/>
        <v>11</v>
      </c>
      <c r="G140" s="13">
        <f t="shared" si="58"/>
        <v>10</v>
      </c>
      <c r="H140" s="175">
        <f t="shared" si="59"/>
        <v>43234</v>
      </c>
      <c r="I140" s="774">
        <f t="shared" si="60"/>
        <v>0.5714285714285714</v>
      </c>
      <c r="J140" s="765">
        <f t="shared" si="61"/>
        <v>62.175011079651973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P140" s="13">
        <f t="shared" si="62"/>
        <v>7</v>
      </c>
      <c r="AQ140" s="13">
        <f t="shared" si="63"/>
        <v>6</v>
      </c>
      <c r="AR140" s="175">
        <f t="shared" si="64"/>
        <v>43248</v>
      </c>
      <c r="AS140" s="774">
        <f t="shared" si="65"/>
        <v>0.7857142857142857</v>
      </c>
      <c r="AT140" s="791">
        <f t="shared" si="66"/>
        <v>62.186990086148889</v>
      </c>
      <c r="AU140" s="13">
        <f t="shared" si="67"/>
        <v>5</v>
      </c>
      <c r="AV140" s="13">
        <f t="shared" si="68"/>
        <v>6</v>
      </c>
      <c r="AW140" s="175">
        <f t="shared" si="69"/>
        <v>43206</v>
      </c>
      <c r="AX140" s="774">
        <f t="shared" si="70"/>
        <v>0.7142857142857143</v>
      </c>
      <c r="AY140" s="791">
        <f t="shared" si="71"/>
        <v>62.048727695643905</v>
      </c>
      <c r="AZ140" s="765">
        <f t="shared" si="75"/>
        <v>62.1178588908964</v>
      </c>
      <c r="BA140" s="649">
        <f t="shared" si="72"/>
        <v>1.0345433807523221</v>
      </c>
      <c r="BB140" s="644">
        <v>43226</v>
      </c>
      <c r="BC140" s="11">
        <v>43226</v>
      </c>
      <c r="BD140" s="292">
        <f>[2]!FeuilCaduc*(1-Persistant)+Persistant</f>
        <v>1</v>
      </c>
      <c r="BE140" s="293">
        <f>[2]!CroissVégét</f>
        <v>0.19073822573999455</v>
      </c>
      <c r="BF140" s="844">
        <f>1+[2]!Salcycl*Ksac</f>
        <v>1.0201284495014515</v>
      </c>
      <c r="BH140" s="1107">
        <f t="shared" si="73"/>
        <v>2.4612624446132937E-3</v>
      </c>
      <c r="BI140" s="11">
        <v>44322</v>
      </c>
      <c r="BJ140" s="744">
        <v>2.3901345584352742E-4</v>
      </c>
      <c r="BK140" s="744">
        <v>8.5060244426772829E-4</v>
      </c>
      <c r="BL140" s="744">
        <v>2.0051666746267187E-3</v>
      </c>
      <c r="BM140" s="744">
        <v>4.2882026617977161E-3</v>
      </c>
      <c r="BN140" s="744">
        <v>8.3379192644819373E-3</v>
      </c>
      <c r="BO140" s="745">
        <v>1.5351482319268903E-2</v>
      </c>
      <c r="BP140" s="744">
        <v>2.5925376646843384E-2</v>
      </c>
      <c r="BQ140" s="744">
        <v>4.193462067278883E-2</v>
      </c>
      <c r="BR140" s="744">
        <v>6.3052960808808137E-2</v>
      </c>
      <c r="BS140" s="744">
        <v>9.0197699398385803E-2</v>
      </c>
      <c r="BT140" s="744">
        <v>0.1206472964309461</v>
      </c>
      <c r="BW140" s="1191">
        <f>'2018'!R\Max</f>
        <v>0</v>
      </c>
      <c r="BX140" s="1189">
        <f>'2019'!R\Max</f>
        <v>1.0345433807523221</v>
      </c>
      <c r="BY140" s="1189">
        <f>'2020'!R\Max</f>
        <v>0.86375994188922733</v>
      </c>
      <c r="BZ140" s="1189">
        <f>'2021'!R\Max</f>
        <v>0.62075587219221806</v>
      </c>
      <c r="CA140" s="1189">
        <f>'2022'!R\Max</f>
        <v>0.62519763478151302</v>
      </c>
      <c r="CB140" s="1189">
        <f>'2023'!R\Max</f>
        <v>0.62492047578586118</v>
      </c>
      <c r="CC140" s="1189">
        <f>'2024'!R\Max</f>
        <v>0.62457870123582393</v>
      </c>
      <c r="CD140" s="1189">
        <f>'2025'!R\Max</f>
        <v>0.62575676185695983</v>
      </c>
      <c r="CE140" s="1189">
        <f>'2026'!R\Max</f>
        <v>0.62568710069626055</v>
      </c>
      <c r="CF140" s="1190">
        <f>'2027'!R\Max</f>
        <v>0.62556363071093291</v>
      </c>
    </row>
    <row r="141" spans="1:84" s="6" customFormat="1" ht="11.25" x14ac:dyDescent="0.2">
      <c r="A141" s="11">
        <v>43227</v>
      </c>
      <c r="B141" s="382">
        <f>'2022'!Maxi_hp</f>
        <v>59.596399989587596</v>
      </c>
      <c r="C141" s="85">
        <f>'2022'!An_max</f>
        <v>2020</v>
      </c>
      <c r="D141" s="1134"/>
      <c r="E141" s="711"/>
      <c r="F141" s="13">
        <f t="shared" si="74"/>
        <v>11</v>
      </c>
      <c r="G141" s="13">
        <f t="shared" si="58"/>
        <v>10</v>
      </c>
      <c r="H141" s="175">
        <f t="shared" si="59"/>
        <v>43234</v>
      </c>
      <c r="I141" s="774">
        <f t="shared" si="60"/>
        <v>0.5</v>
      </c>
      <c r="J141" s="765">
        <f t="shared" si="61"/>
        <v>62.336000001057982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P141" s="13">
        <f t="shared" si="62"/>
        <v>7</v>
      </c>
      <c r="AQ141" s="13">
        <f t="shared" si="63"/>
        <v>6</v>
      </c>
      <c r="AR141" s="175">
        <f t="shared" si="64"/>
        <v>43248</v>
      </c>
      <c r="AS141" s="774">
        <f t="shared" si="65"/>
        <v>0.75</v>
      </c>
      <c r="AT141" s="791">
        <f t="shared" si="66"/>
        <v>62.348799998871982</v>
      </c>
      <c r="AU141" s="13">
        <f t="shared" si="67"/>
        <v>5</v>
      </c>
      <c r="AV141" s="13">
        <f t="shared" si="68"/>
        <v>6</v>
      </c>
      <c r="AW141" s="175">
        <f t="shared" si="69"/>
        <v>43206</v>
      </c>
      <c r="AX141" s="774">
        <f t="shared" si="70"/>
        <v>0.75</v>
      </c>
      <c r="AY141" s="791">
        <f t="shared" si="71"/>
        <v>62.224799999780956</v>
      </c>
      <c r="AZ141" s="765">
        <f t="shared" si="75"/>
        <v>62.286799999326469</v>
      </c>
      <c r="BA141" s="649">
        <f t="shared" si="72"/>
        <v>0.95605107784548427</v>
      </c>
      <c r="BB141" s="644">
        <v>43227</v>
      </c>
      <c r="BC141" s="11">
        <v>43227</v>
      </c>
      <c r="BD141" s="292">
        <f>[2]!FeuilCaduc*(1-Persistant)+Persistant</f>
        <v>1</v>
      </c>
      <c r="BE141" s="293">
        <f>[2]!CroissVégét</f>
        <v>0.19720053455029921</v>
      </c>
      <c r="BF141" s="844">
        <f>1+[2]!Salcycl*Ksac</f>
        <v>1.0209634320403354</v>
      </c>
      <c r="BH141" s="1107">
        <f t="shared" si="73"/>
        <v>2.2878497875519553E-3</v>
      </c>
      <c r="BI141" s="11">
        <v>44323</v>
      </c>
      <c r="BJ141" s="744">
        <v>2.3572016659597473E-4</v>
      </c>
      <c r="BK141" s="744">
        <v>8.0149508013658275E-4</v>
      </c>
      <c r="BL141" s="744">
        <v>1.8689458378820002E-3</v>
      </c>
      <c r="BM141" s="744">
        <v>3.9658142045689493E-3</v>
      </c>
      <c r="BN141" s="744">
        <v>7.7356832152496594E-3</v>
      </c>
      <c r="BO141" s="745">
        <v>1.4326443652959887E-2</v>
      </c>
      <c r="BP141" s="744">
        <v>2.4232046013101523E-2</v>
      </c>
      <c r="BQ141" s="744">
        <v>3.9374734909466032E-2</v>
      </c>
      <c r="BR141" s="744">
        <v>5.9554412156166248E-2</v>
      </c>
      <c r="BS141" s="744">
        <v>8.5561177104269026E-2</v>
      </c>
      <c r="BT141" s="744">
        <v>0.11463723619119431</v>
      </c>
      <c r="BW141" s="1191">
        <f>'2018'!R\Max</f>
        <v>0</v>
      </c>
      <c r="BX141" s="1189">
        <f>'2019'!R\Max</f>
        <v>0.76321191145971634</v>
      </c>
      <c r="BY141" s="1189">
        <f>'2020'!R\Max</f>
        <v>0.95605107784548427</v>
      </c>
      <c r="BZ141" s="1189">
        <f>'2021'!R\Max</f>
        <v>0.56665874921288151</v>
      </c>
      <c r="CA141" s="1189">
        <f>'2022'!R\Max</f>
        <v>0.8572353846338564</v>
      </c>
      <c r="CB141" s="1189">
        <f>'2023'!R\Max</f>
        <v>0.85710010715040397</v>
      </c>
      <c r="CC141" s="1189">
        <f>'2024'!R\Max</f>
        <v>0.85693174483221701</v>
      </c>
      <c r="CD141" s="1189">
        <f>'2025'!R\Max</f>
        <v>0.85750800876621891</v>
      </c>
      <c r="CE141" s="1189">
        <f>'2026'!R\Max</f>
        <v>0.85747460318478108</v>
      </c>
      <c r="CF141" s="1190">
        <f>'2027'!R\Max</f>
        <v>0.85741471254996882</v>
      </c>
    </row>
    <row r="142" spans="1:84" s="6" customFormat="1" ht="11.25" x14ac:dyDescent="0.2">
      <c r="A142" s="11">
        <v>43228</v>
      </c>
      <c r="B142" s="382">
        <f>'2022'!Maxi_hp</f>
        <v>57.502129764921655</v>
      </c>
      <c r="C142" s="85">
        <f>'2022'!An_max</f>
        <v>2021</v>
      </c>
      <c r="D142" s="1134"/>
      <c r="E142" s="711"/>
      <c r="F142" s="13">
        <f t="shared" si="74"/>
        <v>11</v>
      </c>
      <c r="G142" s="13">
        <f t="shared" si="58"/>
        <v>10</v>
      </c>
      <c r="H142" s="175">
        <f t="shared" si="59"/>
        <v>43234</v>
      </c>
      <c r="I142" s="774">
        <f t="shared" si="60"/>
        <v>0.42857142857142855</v>
      </c>
      <c r="J142" s="765">
        <f t="shared" si="61"/>
        <v>62.489674636295852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P142" s="13">
        <f t="shared" si="62"/>
        <v>7</v>
      </c>
      <c r="AQ142" s="13">
        <f t="shared" si="63"/>
        <v>6</v>
      </c>
      <c r="AR142" s="175">
        <f t="shared" si="64"/>
        <v>43248</v>
      </c>
      <c r="AS142" s="774">
        <f t="shared" si="65"/>
        <v>0.7142857142857143</v>
      </c>
      <c r="AT142" s="791">
        <f t="shared" si="66"/>
        <v>62.502511952604564</v>
      </c>
      <c r="AU142" s="13">
        <f t="shared" si="67"/>
        <v>5</v>
      </c>
      <c r="AV142" s="13">
        <f t="shared" si="68"/>
        <v>6</v>
      </c>
      <c r="AW142" s="175">
        <f t="shared" si="69"/>
        <v>43206</v>
      </c>
      <c r="AX142" s="774">
        <f t="shared" si="70"/>
        <v>0.7857142857142857</v>
      </c>
      <c r="AY142" s="791">
        <f t="shared" si="71"/>
        <v>62.394570262517256</v>
      </c>
      <c r="AZ142" s="765">
        <f t="shared" si="75"/>
        <v>62.448541107560914</v>
      </c>
      <c r="BA142" s="649">
        <f t="shared" si="72"/>
        <v>0.92018609633666926</v>
      </c>
      <c r="BB142" s="644">
        <v>43228</v>
      </c>
      <c r="BC142" s="11">
        <v>43228</v>
      </c>
      <c r="BD142" s="292">
        <f>[2]!FeuilCaduc*(1-Persistant)+Persistant</f>
        <v>1</v>
      </c>
      <c r="BE142" s="293">
        <f>[2]!CroissVégét</f>
        <v>0.2038251061465651</v>
      </c>
      <c r="BF142" s="844">
        <f>1+[2]!Salcycl*Ksac</f>
        <v>1.0218148142113594</v>
      </c>
      <c r="BH142" s="1107">
        <f t="shared" si="73"/>
        <v>2.1373492384362466E-3</v>
      </c>
      <c r="BI142" s="11">
        <v>44324</v>
      </c>
      <c r="BJ142" s="744">
        <v>2.3575762832772347E-4</v>
      </c>
      <c r="BK142" s="744">
        <v>7.6250617515772267E-4</v>
      </c>
      <c r="BL142" s="744">
        <v>1.7525084014847628E-3</v>
      </c>
      <c r="BM142" s="744">
        <v>3.678870227026591E-3</v>
      </c>
      <c r="BN142" s="744">
        <v>7.191632141905731E-3</v>
      </c>
      <c r="BO142" s="745">
        <v>1.3381329671908221E-2</v>
      </c>
      <c r="BP142" s="744">
        <v>2.2643341445154258E-2</v>
      </c>
      <c r="BQ142" s="744">
        <v>3.6919963541142596E-2</v>
      </c>
      <c r="BR142" s="744">
        <v>5.6152129304696187E-2</v>
      </c>
      <c r="BS142" s="744">
        <v>8.0973557053231129E-2</v>
      </c>
      <c r="BT142" s="744">
        <v>0.10861510382893996</v>
      </c>
      <c r="BW142" s="1191">
        <f>'2018'!R\Max</f>
        <v>0</v>
      </c>
      <c r="BX142" s="1189">
        <f>'2019'!R\Max</f>
        <v>0.5272590226134487</v>
      </c>
      <c r="BY142" s="1189">
        <f>'2020'!R\Max</f>
        <v>0.80700559272231109</v>
      </c>
      <c r="BZ142" s="1189">
        <f>'2021'!R\Max</f>
        <v>0.92018609633666926</v>
      </c>
      <c r="CA142" s="1189">
        <f>'2022'!R\Max</f>
        <v>0.87003089044273751</v>
      </c>
      <c r="CB142" s="1189">
        <f>'2023'!R\Max</f>
        <v>0.86991431779775386</v>
      </c>
      <c r="CC142" s="1189">
        <f>'2024'!R\Max</f>
        <v>0.86976803668275304</v>
      </c>
      <c r="CD142" s="1189">
        <f>'2025'!R\Max</f>
        <v>0.87026623588238183</v>
      </c>
      <c r="CE142" s="1189">
        <f>'2026'!R\Max</f>
        <v>0.87023779200533891</v>
      </c>
      <c r="CF142" s="1190">
        <f>'2027'!R\Max</f>
        <v>0.87018635510200815</v>
      </c>
    </row>
    <row r="143" spans="1:84" s="6" customFormat="1" ht="11.25" x14ac:dyDescent="0.2">
      <c r="A143" s="11">
        <v>43229</v>
      </c>
      <c r="B143" s="382">
        <f>'2022'!Maxi_hp</f>
        <v>60.389328198087391</v>
      </c>
      <c r="C143" s="85">
        <f>'2022'!An_max</f>
        <v>2022</v>
      </c>
      <c r="D143" s="1134"/>
      <c r="E143" s="711"/>
      <c r="F143" s="13">
        <f t="shared" si="74"/>
        <v>11</v>
      </c>
      <c r="G143" s="13">
        <f t="shared" ref="G143:G206" si="76">INT((MATCH($A143,x.2m)+1)/2)*2</f>
        <v>10</v>
      </c>
      <c r="H143" s="175">
        <f t="shared" ref="H143:H206" si="77">INDEX(x.2m,F143)</f>
        <v>43234</v>
      </c>
      <c r="I143" s="774">
        <f t="shared" ref="I143:I206" si="78">($A143-H143)/(INDEX(x.2m,G143)-H143)</f>
        <v>0.35714285714285715</v>
      </c>
      <c r="J143" s="765">
        <f t="shared" ref="J143:J206" si="79">((1-I143)*(INDEX(a.m,F143)*$A143*$A143+INDEX(b.m,F143)*$A143+INDEX(c.m,F143))+I143*(INDEX(a.m,G143)*$A143*$A143+INDEX(b.m,G143)*$A143+INDEX(c.m,G143)))/10</f>
        <v>62.636482798893532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P143" s="13">
        <f t="shared" ref="AP143:AP206" si="80">INT(MATCH($A143,x.2lg)/2)*2+1</f>
        <v>7</v>
      </c>
      <c r="AQ143" s="13">
        <f t="shared" ref="AQ143:AQ206" si="81">INT((MATCH($A143,x.2lg)+1)/2)*2</f>
        <v>6</v>
      </c>
      <c r="AR143" s="175">
        <f t="shared" ref="AR143:AR206" si="82">INDEX(x.2lg,AP143)</f>
        <v>43248</v>
      </c>
      <c r="AS143" s="774">
        <f t="shared" ref="AS143:AS206" si="83">($A143-AR143)/(INDEX(x.2lg,AQ143)-AR143)</f>
        <v>0.6785714285714286</v>
      </c>
      <c r="AT143" s="791">
        <f t="shared" ref="AT143:AT206" si="84">((1-AS143)*(INDEX(a.lg,AP143)*$A143*$A143+INDEX(b.lg,AP143)*$A143+INDEX(c.lg,AP143))+AS143*(INDEX(a.lg,AQ143)*$A143*$A143+INDEX(b.lg,AQ143)*$A143+INDEX(c.lg,AQ143)))/10</f>
        <v>62.648405831759533</v>
      </c>
      <c r="AU143" s="13">
        <f t="shared" ref="AU143:AU206" si="85">INT(MATCH($A143,x.2ld)/2)*2+1</f>
        <v>5</v>
      </c>
      <c r="AV143" s="13">
        <f t="shared" ref="AV143:AV206" si="86">INT((MATCH($A143,x.2ld)+1)/2)*2</f>
        <v>6</v>
      </c>
      <c r="AW143" s="175">
        <f t="shared" ref="AW143:AW206" si="87">INDEX(x.2ld,AU143)</f>
        <v>43206</v>
      </c>
      <c r="AX143" s="774">
        <f t="shared" ref="AX143:AX206" si="88">($A143-AW143)/(INDEX(x.2ld,AV143)-AW143)</f>
        <v>0.8214285714285714</v>
      </c>
      <c r="AY143" s="791">
        <f t="shared" ref="AY143:AY206" si="89">((1-AX143)*(INDEX(a.ld,AU143)*$A143*$A143+INDEX(b.ld,AU143)*$A143+INDEX(c.ld,AU143))+AX143*(INDEX(a.ld,AV143)*$A143*$A143+INDEX(b.ld,AV143)*$A143+INDEX(c.ld,AV143)))/10</f>
        <v>62.558080465293344</v>
      </c>
      <c r="AZ143" s="765">
        <f t="shared" si="75"/>
        <v>62.603243148526438</v>
      </c>
      <c r="BA143" s="649">
        <f t="shared" ref="BA143:BA206" si="90">+B143/J143</f>
        <v>0.96412386998131638</v>
      </c>
      <c r="BB143" s="644">
        <v>43229</v>
      </c>
      <c r="BC143" s="11">
        <v>43229</v>
      </c>
      <c r="BD143" s="292">
        <f>[2]!FeuilCaduc*(1-Persistant)+Persistant</f>
        <v>1</v>
      </c>
      <c r="BE143" s="293">
        <f>[2]!CroissVégét</f>
        <v>0.21061232458125589</v>
      </c>
      <c r="BF143" s="844">
        <f>1+[2]!Salcycl*Ksac</f>
        <v>1.0226820214734937</v>
      </c>
      <c r="BH143" s="1107">
        <f t="shared" ref="BH143:BH206" si="91">INDEX($BJ143:$BT143,,$BH$10)*(1-Ratini)+INDEX($BJ143:$BT143,,$BH$10+1)*Ratini</f>
        <v>1.9988001148138687E-3</v>
      </c>
      <c r="BI143" s="11">
        <v>44325</v>
      </c>
      <c r="BJ143" s="744">
        <v>2.371906275785993E-4</v>
      </c>
      <c r="BK143" s="744">
        <v>7.2779479011656672E-4</v>
      </c>
      <c r="BL143" s="744">
        <v>1.6456295502042617E-3</v>
      </c>
      <c r="BM143" s="744">
        <v>3.413462452133973E-3</v>
      </c>
      <c r="BN143" s="744">
        <v>6.6857847216596844E-3</v>
      </c>
      <c r="BO143" s="745">
        <v>1.2491210931541085E-2</v>
      </c>
      <c r="BP143" s="744">
        <v>2.1140085414786885E-2</v>
      </c>
      <c r="BQ143" s="744">
        <v>3.4567340373358298E-2</v>
      </c>
      <c r="BR143" s="744">
        <v>5.2860682104862833E-2</v>
      </c>
      <c r="BS143" s="744">
        <v>7.6497444274180065E-2</v>
      </c>
      <c r="BT143" s="744">
        <v>0.10272559724545385</v>
      </c>
      <c r="BW143" s="1191">
        <f>'2018'!R\Max</f>
        <v>0</v>
      </c>
      <c r="BX143" s="1189">
        <f>'2019'!R\Max</f>
        <v>0.81511914823005438</v>
      </c>
      <c r="BY143" s="1189">
        <f>'2020'!R\Max</f>
        <v>0.86601426825308003</v>
      </c>
      <c r="BZ143" s="1189">
        <f>'2021'!R\Max</f>
        <v>0.35656928516990788</v>
      </c>
      <c r="CA143" s="1189">
        <f>'2022'!R\Max</f>
        <v>0.96412386998131638</v>
      </c>
      <c r="CB143" s="1189">
        <f>'2023'!R\Max</f>
        <v>0.96409065050261655</v>
      </c>
      <c r="CC143" s="1189">
        <f>'2024'!R\Max</f>
        <v>0.96404862791068768</v>
      </c>
      <c r="CD143" s="1189">
        <f>'2025'!R\Max</f>
        <v>0.96419107213774957</v>
      </c>
      <c r="CE143" s="1189">
        <f>'2026'!R\Max</f>
        <v>0.96418306030561218</v>
      </c>
      <c r="CF143" s="1190">
        <f>'2027'!R\Max</f>
        <v>0.96416844087608733</v>
      </c>
    </row>
    <row r="144" spans="1:84" s="6" customFormat="1" ht="11.25" x14ac:dyDescent="0.2">
      <c r="A144" s="11">
        <v>43230</v>
      </c>
      <c r="B144" s="382">
        <f>'2022'!Maxi_hp</f>
        <v>55.43619024431473</v>
      </c>
      <c r="C144" s="85">
        <f>'2022'!An_max</f>
        <v>2022</v>
      </c>
      <c r="D144" s="1134"/>
      <c r="E144" s="711"/>
      <c r="F144" s="13">
        <f t="shared" ref="F144:F207" si="92">INT(MATCH($A144,x.2m)/2)*2+1</f>
        <v>11</v>
      </c>
      <c r="G144" s="13">
        <f t="shared" si="76"/>
        <v>10</v>
      </c>
      <c r="H144" s="175">
        <f t="shared" si="77"/>
        <v>43234</v>
      </c>
      <c r="I144" s="774">
        <f t="shared" si="78"/>
        <v>0.2857142857142857</v>
      </c>
      <c r="J144" s="765">
        <f t="shared" si="79"/>
        <v>62.776872303336859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P144" s="13">
        <f t="shared" si="80"/>
        <v>7</v>
      </c>
      <c r="AQ144" s="13">
        <f t="shared" si="81"/>
        <v>6</v>
      </c>
      <c r="AR144" s="175">
        <f t="shared" si="82"/>
        <v>43248</v>
      </c>
      <c r="AS144" s="774">
        <f t="shared" si="83"/>
        <v>0.6428571428571429</v>
      </c>
      <c r="AT144" s="791">
        <f t="shared" si="84"/>
        <v>62.786761515161821</v>
      </c>
      <c r="AU144" s="13">
        <f t="shared" si="85"/>
        <v>5</v>
      </c>
      <c r="AV144" s="13">
        <f t="shared" si="86"/>
        <v>6</v>
      </c>
      <c r="AW144" s="175">
        <f t="shared" si="87"/>
        <v>43206</v>
      </c>
      <c r="AX144" s="774">
        <f t="shared" si="88"/>
        <v>0.8571428571428571</v>
      </c>
      <c r="AY144" s="791">
        <f t="shared" si="89"/>
        <v>62.715372594339513</v>
      </c>
      <c r="AZ144" s="765">
        <f t="shared" ref="AZ144:AZ207" si="93">(AY144+AT144)/2</f>
        <v>62.751067054750663</v>
      </c>
      <c r="BA144" s="649">
        <f t="shared" si="90"/>
        <v>0.88306709478050982</v>
      </c>
      <c r="BB144" s="644">
        <v>43230</v>
      </c>
      <c r="BC144" s="11">
        <v>43230</v>
      </c>
      <c r="BD144" s="292">
        <f>[2]!FeuilCaduc*(1-Persistant)+Persistant</f>
        <v>1</v>
      </c>
      <c r="BE144" s="293">
        <f>[2]!CroissVégét</f>
        <v>0.21756231167469237</v>
      </c>
      <c r="BF144" s="844">
        <f>1+[2]!Salcycl*Ksac</f>
        <v>1.0235644324151758</v>
      </c>
      <c r="BH144" s="1107">
        <f t="shared" si="91"/>
        <v>1.8721943886304071E-3</v>
      </c>
      <c r="BI144" s="11">
        <v>44326</v>
      </c>
      <c r="BJ144" s="744">
        <v>2.4001778990972352E-4</v>
      </c>
      <c r="BK144" s="744">
        <v>6.9735768037841692E-4</v>
      </c>
      <c r="BL144" s="744">
        <v>1.5483027549445516E-3</v>
      </c>
      <c r="BM144" s="744">
        <v>3.1695768475987767E-3</v>
      </c>
      <c r="BN144" s="744">
        <v>6.2181167820142104E-3</v>
      </c>
      <c r="BO144" s="745">
        <v>1.1656055973092008E-2</v>
      </c>
      <c r="BP144" s="744">
        <v>1.9722231614780126E-2</v>
      </c>
      <c r="BQ144" s="744">
        <v>3.231682162827574E-2</v>
      </c>
      <c r="BR144" s="744">
        <v>4.9680037750840816E-2</v>
      </c>
      <c r="BS144" s="744">
        <v>7.2132829140186969E-2</v>
      </c>
      <c r="BT144" s="744">
        <v>9.6968716246519454E-2</v>
      </c>
      <c r="BW144" s="1191">
        <f>'2018'!R\Max</f>
        <v>0</v>
      </c>
      <c r="BX144" s="1189">
        <f>'2019'!R\Max</f>
        <v>0.67468332737275405</v>
      </c>
      <c r="BY144" s="1189">
        <f>'2020'!R\Max</f>
        <v>0.70865927628611669</v>
      </c>
      <c r="BZ144" s="1189">
        <f>'2021'!R\Max</f>
        <v>0.70097022052779456</v>
      </c>
      <c r="CA144" s="1189">
        <f>'2022'!R\Max</f>
        <v>0.88306709478050982</v>
      </c>
      <c r="CB144" s="1189">
        <f>'2023'!R\Max</f>
        <v>0.88297482766789892</v>
      </c>
      <c r="CC144" s="1189">
        <f>'2024'!R\Max</f>
        <v>0.88285727277166948</v>
      </c>
      <c r="CD144" s="1189">
        <f>'2025'!R\Max</f>
        <v>0.88325433176100498</v>
      </c>
      <c r="CE144" s="1189">
        <f>'2026'!R\Max</f>
        <v>0.88323229429108718</v>
      </c>
      <c r="CF144" s="1190">
        <f>'2027'!R\Max</f>
        <v>0.88319171375919991</v>
      </c>
    </row>
    <row r="145" spans="1:84" s="6" customFormat="1" ht="11.25" x14ac:dyDescent="0.2">
      <c r="A145" s="11">
        <v>43231</v>
      </c>
      <c r="B145" s="382">
        <f>'2022'!Maxi_hp</f>
        <v>60.770845469970119</v>
      </c>
      <c r="C145" s="85">
        <f>'2022'!An_max</f>
        <v>2022</v>
      </c>
      <c r="D145" s="1134"/>
      <c r="E145" s="711"/>
      <c r="F145" s="13">
        <f t="shared" si="92"/>
        <v>11</v>
      </c>
      <c r="G145" s="13">
        <f t="shared" si="76"/>
        <v>10</v>
      </c>
      <c r="H145" s="175">
        <f t="shared" si="77"/>
        <v>43234</v>
      </c>
      <c r="I145" s="774">
        <f t="shared" si="78"/>
        <v>0.21428571428571427</v>
      </c>
      <c r="J145" s="765">
        <f t="shared" si="79"/>
        <v>62.911290962621571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P145" s="13">
        <f t="shared" si="80"/>
        <v>7</v>
      </c>
      <c r="AQ145" s="13">
        <f t="shared" si="81"/>
        <v>6</v>
      </c>
      <c r="AR145" s="175">
        <f t="shared" si="82"/>
        <v>43248</v>
      </c>
      <c r="AS145" s="774">
        <f t="shared" si="83"/>
        <v>0.6071428571428571</v>
      </c>
      <c r="AT145" s="791">
        <f t="shared" si="84"/>
        <v>62.917858892599384</v>
      </c>
      <c r="AU145" s="13">
        <f t="shared" si="85"/>
        <v>5</v>
      </c>
      <c r="AV145" s="13">
        <f t="shared" si="86"/>
        <v>6</v>
      </c>
      <c r="AW145" s="175">
        <f t="shared" si="87"/>
        <v>43206</v>
      </c>
      <c r="AX145" s="774">
        <f t="shared" si="88"/>
        <v>0.8928571428571429</v>
      </c>
      <c r="AY145" s="791">
        <f t="shared" si="89"/>
        <v>62.866488630191569</v>
      </c>
      <c r="AZ145" s="765">
        <f t="shared" si="93"/>
        <v>62.892173761395476</v>
      </c>
      <c r="BA145" s="649">
        <f t="shared" si="90"/>
        <v>0.96597676728771653</v>
      </c>
      <c r="BB145" s="644">
        <v>43231</v>
      </c>
      <c r="BC145" s="11">
        <v>43231</v>
      </c>
      <c r="BD145" s="292">
        <f>[2]!FeuilCaduc*(1-Persistant)+Persistant</f>
        <v>1</v>
      </c>
      <c r="BE145" s="293">
        <f>[2]!CroissVégét</f>
        <v>0.22467491379142088</v>
      </c>
      <c r="BF145" s="844">
        <f>1+[2]!Salcycl*Ksac</f>
        <v>1.0244613787914654</v>
      </c>
      <c r="BH145" s="1107">
        <f t="shared" si="91"/>
        <v>1.7575235618314236E-3</v>
      </c>
      <c r="BI145" s="11">
        <v>44327</v>
      </c>
      <c r="BJ145" s="744">
        <v>2.4423767001915953E-4</v>
      </c>
      <c r="BK145" s="744">
        <v>6.7119141958453185E-4</v>
      </c>
      <c r="BL145" s="744">
        <v>1.4605211071120128E-3</v>
      </c>
      <c r="BM145" s="744">
        <v>2.9471985486118507E-3</v>
      </c>
      <c r="BN145" s="744">
        <v>5.7886027050150718E-3</v>
      </c>
      <c r="BO145" s="745">
        <v>1.0875831402040972E-2</v>
      </c>
      <c r="BP145" s="744">
        <v>1.8389730838193882E-2</v>
      </c>
      <c r="BQ145" s="744">
        <v>3.0168360559536814E-2</v>
      </c>
      <c r="BR145" s="744">
        <v>4.6610160875876404E-2</v>
      </c>
      <c r="BS145" s="744">
        <v>6.7879700489139841E-2</v>
      </c>
      <c r="BT145" s="744">
        <v>9.1344459317407589E-2</v>
      </c>
      <c r="BW145" s="1191">
        <f>'2018'!R\Max</f>
        <v>0</v>
      </c>
      <c r="BX145" s="1189">
        <f>'2019'!R\Max</f>
        <v>0.64145807783037645</v>
      </c>
      <c r="BY145" s="1189">
        <f>'2020'!R\Max</f>
        <v>0.22874651490634185</v>
      </c>
      <c r="BZ145" s="1189">
        <f>'2021'!R\Max</f>
        <v>0.59133553445004028</v>
      </c>
      <c r="CA145" s="1189">
        <f>'2022'!R\Max</f>
        <v>0.96597676728771653</v>
      </c>
      <c r="CB145" s="1189">
        <f>'2023'!R\Max</f>
        <v>0.9659494699724136</v>
      </c>
      <c r="CC145" s="1189">
        <f>'2024'!R\Max</f>
        <v>0.96591445652551389</v>
      </c>
      <c r="CD145" s="1189">
        <f>'2025'!R\Max</f>
        <v>0.96603234791728598</v>
      </c>
      <c r="CE145" s="1189">
        <f>'2026'!R\Max</f>
        <v>0.96602588554732793</v>
      </c>
      <c r="CF145" s="1190">
        <f>'2027'!R\Max</f>
        <v>0.96601387474145539</v>
      </c>
    </row>
    <row r="146" spans="1:84" s="6" customFormat="1" ht="11.25" x14ac:dyDescent="0.2">
      <c r="A146" s="11">
        <v>43232</v>
      </c>
      <c r="B146" s="382">
        <f>'2022'!Maxi_hp</f>
        <v>58.685038325386628</v>
      </c>
      <c r="C146" s="85">
        <f>'2022'!An_max</f>
        <v>2019</v>
      </c>
      <c r="D146" s="1134"/>
      <c r="E146" s="711"/>
      <c r="F146" s="13">
        <f t="shared" si="92"/>
        <v>11</v>
      </c>
      <c r="G146" s="13">
        <f t="shared" si="76"/>
        <v>10</v>
      </c>
      <c r="H146" s="175">
        <f t="shared" si="77"/>
        <v>43234</v>
      </c>
      <c r="I146" s="774">
        <f t="shared" si="78"/>
        <v>0.14285714285714285</v>
      </c>
      <c r="J146" s="765">
        <f t="shared" si="79"/>
        <v>63.040186589104792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P146" s="13">
        <f t="shared" si="80"/>
        <v>7</v>
      </c>
      <c r="AQ146" s="13">
        <f t="shared" si="81"/>
        <v>6</v>
      </c>
      <c r="AR146" s="175">
        <f t="shared" si="82"/>
        <v>43248</v>
      </c>
      <c r="AS146" s="774">
        <f t="shared" si="83"/>
        <v>0.5714285714285714</v>
      </c>
      <c r="AT146" s="791">
        <f t="shared" si="84"/>
        <v>63.041977842364986</v>
      </c>
      <c r="AU146" s="13">
        <f t="shared" si="85"/>
        <v>5</v>
      </c>
      <c r="AV146" s="13">
        <f t="shared" si="86"/>
        <v>6</v>
      </c>
      <c r="AW146" s="175">
        <f t="shared" si="87"/>
        <v>43206</v>
      </c>
      <c r="AX146" s="774">
        <f t="shared" si="88"/>
        <v>0.9285714285714286</v>
      </c>
      <c r="AY146" s="791">
        <f t="shared" si="89"/>
        <v>63.011470552746729</v>
      </c>
      <c r="AZ146" s="765">
        <f t="shared" si="93"/>
        <v>63.026724197555858</v>
      </c>
      <c r="BA146" s="649">
        <f t="shared" si="90"/>
        <v>0.93091473075571662</v>
      </c>
      <c r="BB146" s="644">
        <v>43232</v>
      </c>
      <c r="BC146" s="11">
        <v>43232</v>
      </c>
      <c r="BD146" s="292">
        <f>[2]!FeuilCaduc*(1-Persistant)+Persistant</f>
        <v>1</v>
      </c>
      <c r="BE146" s="293">
        <f>[2]!CroissVégét</f>
        <v>0.23194968908707836</v>
      </c>
      <c r="BF146" s="844">
        <f>1+[2]!Salcycl*Ksac</f>
        <v>1.0253721457688385</v>
      </c>
      <c r="BH146" s="1107">
        <f t="shared" si="91"/>
        <v>1.6547786402700314E-3</v>
      </c>
      <c r="BI146" s="11">
        <v>44328</v>
      </c>
      <c r="BJ146" s="744">
        <v>2.4984874867215628E-4</v>
      </c>
      <c r="BK146" s="744">
        <v>6.492923902937191E-4</v>
      </c>
      <c r="BL146" s="744">
        <v>1.3822772977405433E-3</v>
      </c>
      <c r="BM146" s="744">
        <v>2.746311810855068E-3</v>
      </c>
      <c r="BN146" s="744">
        <v>5.3972153439180793E-3</v>
      </c>
      <c r="BO146" s="745">
        <v>1.0150501768283197E-2</v>
      </c>
      <c r="BP146" s="744">
        <v>1.7142530792287402E-2</v>
      </c>
      <c r="BQ146" s="744">
        <v>2.8121907230274513E-2</v>
      </c>
      <c r="BR146" s="744">
        <v>4.3651013311943689E-2</v>
      </c>
      <c r="BS146" s="744">
        <v>6.3738045382794803E-2</v>
      </c>
      <c r="BT146" s="744">
        <v>8.5852823336695638E-2</v>
      </c>
      <c r="BW146" s="1191">
        <f>'2018'!R\Max</f>
        <v>0</v>
      </c>
      <c r="BX146" s="1189">
        <f>'2019'!R\Max</f>
        <v>0.93091473075571662</v>
      </c>
      <c r="BY146" s="1189">
        <f>'2020'!R\Max</f>
        <v>0.18167689388725858</v>
      </c>
      <c r="BZ146" s="1189">
        <f>'2021'!R\Max</f>
        <v>0.60290490142709396</v>
      </c>
      <c r="CA146" s="1189">
        <f>'2022'!R\Max</f>
        <v>0.75176848831841336</v>
      </c>
      <c r="CB146" s="1189">
        <f>'2023'!R\Max</f>
        <v>0.75162458903588969</v>
      </c>
      <c r="CC146" s="1189">
        <f>'2024'!R\Max</f>
        <v>0.75143906214354239</v>
      </c>
      <c r="CD146" s="1189">
        <f>'2025'!R\Max</f>
        <v>0.75206292208287939</v>
      </c>
      <c r="CE146" s="1189">
        <f>'2026'!R\Max</f>
        <v>0.75202904223266864</v>
      </c>
      <c r="CF146" s="1190">
        <f>'2027'!R\Max</f>
        <v>0.75196550902108739</v>
      </c>
    </row>
    <row r="147" spans="1:84" s="6" customFormat="1" ht="11.25" x14ac:dyDescent="0.2">
      <c r="A147" s="11">
        <v>43233</v>
      </c>
      <c r="B147" s="382">
        <f>'2022'!Maxi_hp</f>
        <v>65.198747930481261</v>
      </c>
      <c r="C147" s="85">
        <f>'2022'!An_max</f>
        <v>2019</v>
      </c>
      <c r="D147" s="1134"/>
      <c r="E147" s="711"/>
      <c r="F147" s="13">
        <f t="shared" si="92"/>
        <v>11</v>
      </c>
      <c r="G147" s="13">
        <f t="shared" si="76"/>
        <v>10</v>
      </c>
      <c r="H147" s="175">
        <f t="shared" si="77"/>
        <v>43234</v>
      </c>
      <c r="I147" s="774">
        <f t="shared" si="78"/>
        <v>7.1428571428571425E-2</v>
      </c>
      <c r="J147" s="765">
        <f t="shared" si="79"/>
        <v>63.164006997644904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P147" s="13">
        <f t="shared" si="80"/>
        <v>7</v>
      </c>
      <c r="AQ147" s="13">
        <f t="shared" si="81"/>
        <v>6</v>
      </c>
      <c r="AR147" s="175">
        <f t="shared" si="82"/>
        <v>43248</v>
      </c>
      <c r="AS147" s="774">
        <f t="shared" si="83"/>
        <v>0.5357142857142857</v>
      </c>
      <c r="AT147" s="791">
        <f t="shared" si="84"/>
        <v>63.159398251532437</v>
      </c>
      <c r="AU147" s="13">
        <f t="shared" si="85"/>
        <v>5</v>
      </c>
      <c r="AV147" s="13">
        <f t="shared" si="86"/>
        <v>6</v>
      </c>
      <c r="AW147" s="175">
        <f t="shared" si="87"/>
        <v>43206</v>
      </c>
      <c r="AX147" s="774">
        <f t="shared" si="88"/>
        <v>0.9642857142857143</v>
      </c>
      <c r="AY147" s="791">
        <f t="shared" si="89"/>
        <v>63.150360349432695</v>
      </c>
      <c r="AZ147" s="765">
        <f t="shared" si="93"/>
        <v>63.154879300482563</v>
      </c>
      <c r="BA147" s="649">
        <f t="shared" si="90"/>
        <v>1.0322136138847591</v>
      </c>
      <c r="BB147" s="644">
        <v>43233</v>
      </c>
      <c r="BC147" s="11">
        <v>43233</v>
      </c>
      <c r="BD147" s="292">
        <f>[2]!FeuilCaduc*(1-Persistant)+Persistant</f>
        <v>1</v>
      </c>
      <c r="BE147" s="293">
        <f>[2]!CroissVégét</f>
        <v>0.23938589533798257</v>
      </c>
      <c r="BF147" s="844">
        <f>1+[2]!Salcycl*Ksac</f>
        <v>1.0262959723901337</v>
      </c>
      <c r="BH147" s="1107">
        <f t="shared" si="91"/>
        <v>1.5639501076367191E-3</v>
      </c>
      <c r="BI147" s="11">
        <v>44329</v>
      </c>
      <c r="BJ147" s="744">
        <v>2.5684942963359651E-4</v>
      </c>
      <c r="BK147" s="744">
        <v>6.3165677463164818E-4</v>
      </c>
      <c r="BL147" s="744">
        <v>1.3135635966348978E-3</v>
      </c>
      <c r="BM147" s="744">
        <v>2.5668999635478627E-3</v>
      </c>
      <c r="BN147" s="744">
        <v>5.043925939931632E-3</v>
      </c>
      <c r="BO147" s="745">
        <v>9.4800294464383456E-3</v>
      </c>
      <c r="BP147" s="744">
        <v>1.5980575912677059E-2</v>
      </c>
      <c r="BQ147" s="744">
        <v>2.6177408291511706E-2</v>
      </c>
      <c r="BR147" s="744">
        <v>4.0802553849986899E-2</v>
      </c>
      <c r="BS147" s="744">
        <v>5.970784886667016E-2</v>
      </c>
      <c r="BT147" s="744">
        <v>8.0493803291216415E-2</v>
      </c>
      <c r="BW147" s="1191">
        <f>'2018'!R\Max</f>
        <v>0</v>
      </c>
      <c r="BX147" s="1189">
        <f>'2019'!R\Max</f>
        <v>1.0322136138847591</v>
      </c>
      <c r="BY147" s="1189">
        <f>'2020'!R\Max</f>
        <v>0.35318194826950655</v>
      </c>
      <c r="BZ147" s="1189">
        <f>'2021'!R\Max</f>
        <v>0.76921129111867104</v>
      </c>
      <c r="CA147" s="1189">
        <f>'2022'!R\Max</f>
        <v>0.800883852031398</v>
      </c>
      <c r="CB147" s="1189">
        <f>'2023'!R\Max</f>
        <v>0.80076975517413884</v>
      </c>
      <c r="CC147" s="1189">
        <f>'2024'!R\Max</f>
        <v>0.80062202708809338</v>
      </c>
      <c r="CD147" s="1189">
        <f>'2025'!R\Max</f>
        <v>0.80111852308561948</v>
      </c>
      <c r="CE147" s="1189">
        <f>'2026'!R\Max</f>
        <v>0.80109175669326704</v>
      </c>
      <c r="CF147" s="1190">
        <f>'2027'!R\Max</f>
        <v>0.80104112942407046</v>
      </c>
    </row>
    <row r="148" spans="1:84" s="6" customFormat="1" ht="11.25" x14ac:dyDescent="0.2">
      <c r="A148" s="11">
        <v>43234</v>
      </c>
      <c r="B148" s="382">
        <f>'2022'!Maxi_hp</f>
        <v>63.557422198043149</v>
      </c>
      <c r="C148" s="85">
        <f>'2022'!An_max</f>
        <v>2019</v>
      </c>
      <c r="D148" s="1134"/>
      <c r="E148" s="773">
        <f>W$13/10</f>
        <v>63.283200000000001</v>
      </c>
      <c r="F148" s="13">
        <f t="shared" si="92"/>
        <v>11</v>
      </c>
      <c r="G148" s="13">
        <f t="shared" si="76"/>
        <v>12</v>
      </c>
      <c r="H148" s="175">
        <f t="shared" si="77"/>
        <v>43234</v>
      </c>
      <c r="I148" s="774">
        <f t="shared" si="78"/>
        <v>0</v>
      </c>
      <c r="J148" s="765">
        <f t="shared" si="79"/>
        <v>63.283199998736379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P148" s="13">
        <f t="shared" si="80"/>
        <v>7</v>
      </c>
      <c r="AQ148" s="13">
        <f t="shared" si="81"/>
        <v>6</v>
      </c>
      <c r="AR148" s="175">
        <f t="shared" si="82"/>
        <v>43248</v>
      </c>
      <c r="AS148" s="774">
        <f t="shared" si="83"/>
        <v>0.5</v>
      </c>
      <c r="AT148" s="791">
        <f t="shared" si="84"/>
        <v>63.270399999246003</v>
      </c>
      <c r="AU148" s="13">
        <f t="shared" si="85"/>
        <v>7</v>
      </c>
      <c r="AV148" s="13">
        <f t="shared" si="86"/>
        <v>6</v>
      </c>
      <c r="AW148" s="175">
        <f t="shared" si="87"/>
        <v>43262</v>
      </c>
      <c r="AX148" s="774">
        <f t="shared" si="88"/>
        <v>1</v>
      </c>
      <c r="AY148" s="791">
        <f t="shared" si="89"/>
        <v>63.2832000002265</v>
      </c>
      <c r="AZ148" s="765">
        <f t="shared" si="93"/>
        <v>63.276799999736255</v>
      </c>
      <c r="BA148" s="649">
        <f t="shared" si="90"/>
        <v>1.0043332543125545</v>
      </c>
      <c r="BB148" s="644">
        <v>43234</v>
      </c>
      <c r="BC148" s="11">
        <v>43234</v>
      </c>
      <c r="BD148" s="292">
        <f>[2]!FeuilCaduc*(1-Persistant)+Persistant</f>
        <v>1</v>
      </c>
      <c r="BE148" s="293">
        <f>[2]!CroissVégét</f>
        <v>0.24698247846918731</v>
      </c>
      <c r="BF148" s="844">
        <f>1+[2]!Salcycl*Ksac</f>
        <v>1.0272320522708096</v>
      </c>
      <c r="BH148" s="1107">
        <f t="shared" si="91"/>
        <v>1.4850278993984605E-3</v>
      </c>
      <c r="BI148" s="11">
        <v>44330</v>
      </c>
      <c r="BJ148" s="744">
        <v>2.6523803660201439E-4</v>
      </c>
      <c r="BK148" s="744">
        <v>6.1828054494395457E-4</v>
      </c>
      <c r="BL148" s="744">
        <v>1.2543718315218544E-3</v>
      </c>
      <c r="BM148" s="744">
        <v>2.4089453625088849E-3</v>
      </c>
      <c r="BN148" s="744">
        <v>4.7287040389891091E-3</v>
      </c>
      <c r="BO148" s="745">
        <v>8.8643745162163435E-3</v>
      </c>
      <c r="BP148" s="744">
        <v>1.4903807177589842E-2</v>
      </c>
      <c r="BQ148" s="744">
        <v>2.4334806760718312E-2</v>
      </c>
      <c r="BR148" s="744">
        <v>3.8064738000411012E-2</v>
      </c>
      <c r="BS148" s="744">
        <v>5.5789093730306001E-2</v>
      </c>
      <c r="BT148" s="744">
        <v>7.526739199150026E-2</v>
      </c>
      <c r="BW148" s="1191">
        <f>'2018'!R\Max</f>
        <v>0</v>
      </c>
      <c r="BX148" s="1189">
        <f>'2019'!R\Max</f>
        <v>1.0043332543125545</v>
      </c>
      <c r="BY148" s="1189">
        <f>'2020'!R\Max</f>
        <v>0.60912774544578885</v>
      </c>
      <c r="BZ148" s="1189">
        <f>'2021'!R\Max</f>
        <v>0.73185513647792433</v>
      </c>
      <c r="CA148" s="1189">
        <f>'2022'!R\Max</f>
        <v>0.82414345237497233</v>
      </c>
      <c r="CB148" s="1189">
        <f>'2023'!R\Max</f>
        <v>0.82404729899296714</v>
      </c>
      <c r="CC148" s="1189">
        <f>'2024'!R\Max</f>
        <v>0.82392250859445271</v>
      </c>
      <c r="CD148" s="1189">
        <f>'2025'!R\Max</f>
        <v>0.82434248186115888</v>
      </c>
      <c r="CE148" s="1189">
        <f>'2026'!R\Max</f>
        <v>0.8243199183310469</v>
      </c>
      <c r="CF148" s="1190">
        <f>'2027'!R\Max</f>
        <v>0.82427690952350074</v>
      </c>
    </row>
    <row r="149" spans="1:84" s="6" customFormat="1" ht="11.25" x14ac:dyDescent="0.2">
      <c r="A149" s="11">
        <v>43235</v>
      </c>
      <c r="B149" s="382">
        <f>'2022'!Maxi_hp</f>
        <v>64.50696341655771</v>
      </c>
      <c r="C149" s="85">
        <f>'2022'!An_max</f>
        <v>2019</v>
      </c>
      <c r="D149" s="1134"/>
      <c r="E149" s="711"/>
      <c r="F149" s="13">
        <f t="shared" si="92"/>
        <v>11</v>
      </c>
      <c r="G149" s="13">
        <f t="shared" si="76"/>
        <v>12</v>
      </c>
      <c r="H149" s="175">
        <f t="shared" si="77"/>
        <v>43234</v>
      </c>
      <c r="I149" s="774">
        <f t="shared" si="78"/>
        <v>7.1428571428571425E-2</v>
      </c>
      <c r="J149" s="765">
        <f t="shared" si="79"/>
        <v>63.396366180479525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P149" s="13">
        <f t="shared" si="80"/>
        <v>7</v>
      </c>
      <c r="AQ149" s="13">
        <f t="shared" si="81"/>
        <v>6</v>
      </c>
      <c r="AR149" s="175">
        <f t="shared" si="82"/>
        <v>43248</v>
      </c>
      <c r="AS149" s="774">
        <f t="shared" si="83"/>
        <v>0.4642857142857143</v>
      </c>
      <c r="AT149" s="791">
        <f t="shared" si="84"/>
        <v>63.375262973697055</v>
      </c>
      <c r="AU149" s="13">
        <f t="shared" si="85"/>
        <v>7</v>
      </c>
      <c r="AV149" s="13">
        <f t="shared" si="86"/>
        <v>6</v>
      </c>
      <c r="AW149" s="175">
        <f t="shared" si="87"/>
        <v>43262</v>
      </c>
      <c r="AX149" s="774">
        <f t="shared" si="88"/>
        <v>0.9642857142857143</v>
      </c>
      <c r="AY149" s="791">
        <f t="shared" si="89"/>
        <v>63.408506122258089</v>
      </c>
      <c r="AZ149" s="765">
        <f t="shared" si="93"/>
        <v>63.391884547977568</v>
      </c>
      <c r="BA149" s="649">
        <f t="shared" si="90"/>
        <v>1.0175183106381285</v>
      </c>
      <c r="BB149" s="644">
        <v>43235</v>
      </c>
      <c r="BC149" s="11">
        <v>43235</v>
      </c>
      <c r="BD149" s="292">
        <f>[2]!FeuilCaduc*(1-Persistant)+Persistant</f>
        <v>1</v>
      </c>
      <c r="BE149" s="293">
        <f>[2]!CroissVégét</f>
        <v>0.25473806189926657</v>
      </c>
      <c r="BF149" s="844">
        <f>1+[2]!Salcycl*Ksac</f>
        <v>1.028179534536156</v>
      </c>
      <c r="BH149" s="1107">
        <f t="shared" si="91"/>
        <v>1.4180013767277442E-3</v>
      </c>
      <c r="BI149" s="11">
        <v>44331</v>
      </c>
      <c r="BJ149" s="744">
        <v>2.7501281014244146E-4</v>
      </c>
      <c r="BK149" s="744">
        <v>6.0915945444569154E-4</v>
      </c>
      <c r="BL149" s="744">
        <v>1.2046933671930797E-3</v>
      </c>
      <c r="BM149" s="744">
        <v>2.2724293432004601E-3</v>
      </c>
      <c r="BN149" s="744">
        <v>4.451517408487436E-3</v>
      </c>
      <c r="BO149" s="745">
        <v>8.3034946427194747E-3</v>
      </c>
      <c r="BP149" s="744">
        <v>1.3912161922008824E-2</v>
      </c>
      <c r="BQ149" s="744">
        <v>2.2594041800190087E-2</v>
      </c>
      <c r="BR149" s="744">
        <v>3.5437517753298696E-2</v>
      </c>
      <c r="BS149" s="744">
        <v>5.198176026712592E-2</v>
      </c>
      <c r="BT149" s="744">
        <v>7.0173579786682511E-2</v>
      </c>
      <c r="BW149" s="1191">
        <f>'2018'!R\Max</f>
        <v>0</v>
      </c>
      <c r="BX149" s="1189">
        <f>'2019'!R\Max</f>
        <v>1.0175183106381285</v>
      </c>
      <c r="BY149" s="1189">
        <f>'2020'!R\Max</f>
        <v>0.25832940181236647</v>
      </c>
      <c r="BZ149" s="1189">
        <f>'2021'!R\Max</f>
        <v>0.34396096545948546</v>
      </c>
      <c r="CA149" s="1189">
        <f>'2022'!R\Max</f>
        <v>0.89026007117033357</v>
      </c>
      <c r="CB149" s="1189">
        <f>'2023'!R\Max</f>
        <v>0.8901999865884902</v>
      </c>
      <c r="CC149" s="1189">
        <f>'2024'!R\Max</f>
        <v>0.89012200221310478</v>
      </c>
      <c r="CD149" s="1189">
        <f>'2025'!R\Max</f>
        <v>0.89038538695867553</v>
      </c>
      <c r="CE149" s="1189">
        <f>'2026'!R\Max</f>
        <v>0.89037121742532299</v>
      </c>
      <c r="CF149" s="1190">
        <f>'2027'!R\Max</f>
        <v>0.89034403472818646</v>
      </c>
    </row>
    <row r="150" spans="1:84" s="6" customFormat="1" ht="11.25" x14ac:dyDescent="0.2">
      <c r="A150" s="11">
        <v>43236</v>
      </c>
      <c r="B150" s="382">
        <f>'2022'!Maxi_hp</f>
        <v>55.026588126199115</v>
      </c>
      <c r="C150" s="85">
        <f>'2022'!An_max</f>
        <v>2022</v>
      </c>
      <c r="D150" s="1134"/>
      <c r="E150" s="711"/>
      <c r="F150" s="13">
        <f t="shared" si="92"/>
        <v>11</v>
      </c>
      <c r="G150" s="13">
        <f t="shared" si="76"/>
        <v>12</v>
      </c>
      <c r="H150" s="175">
        <f t="shared" si="77"/>
        <v>43234</v>
      </c>
      <c r="I150" s="774">
        <f t="shared" si="78"/>
        <v>0.14285714285714285</v>
      </c>
      <c r="J150" s="765">
        <f t="shared" si="79"/>
        <v>63.502031487226489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P150" s="13">
        <f t="shared" si="80"/>
        <v>7</v>
      </c>
      <c r="AQ150" s="13">
        <f t="shared" si="81"/>
        <v>6</v>
      </c>
      <c r="AR150" s="175">
        <f t="shared" si="82"/>
        <v>43248</v>
      </c>
      <c r="AS150" s="774">
        <f t="shared" si="83"/>
        <v>0.42857142857142855</v>
      </c>
      <c r="AT150" s="791">
        <f t="shared" si="84"/>
        <v>63.474267055307109</v>
      </c>
      <c r="AU150" s="13">
        <f t="shared" si="85"/>
        <v>7</v>
      </c>
      <c r="AV150" s="13">
        <f t="shared" si="86"/>
        <v>6</v>
      </c>
      <c r="AW150" s="175">
        <f t="shared" si="87"/>
        <v>43262</v>
      </c>
      <c r="AX150" s="774">
        <f t="shared" si="88"/>
        <v>0.9285714285714286</v>
      </c>
      <c r="AY150" s="791">
        <f t="shared" si="89"/>
        <v>63.524963264486622</v>
      </c>
      <c r="AZ150" s="765">
        <f t="shared" si="93"/>
        <v>63.499615159896862</v>
      </c>
      <c r="BA150" s="649">
        <f t="shared" si="90"/>
        <v>0.86653272088260325</v>
      </c>
      <c r="BB150" s="644">
        <v>43236</v>
      </c>
      <c r="BC150" s="11">
        <v>43236</v>
      </c>
      <c r="BD150" s="292">
        <f>[2]!FeuilCaduc*(1-Persistant)+Persistant</f>
        <v>1</v>
      </c>
      <c r="BE150" s="293">
        <f>[2]!CroissVégét</f>
        <v>0.2626509368215188</v>
      </c>
      <c r="BF150" s="844">
        <f>1+[2]!Salcycl*Ksac</f>
        <v>1.0291375250073977</v>
      </c>
      <c r="BH150" s="1107">
        <f t="shared" si="91"/>
        <v>1.3656907740758483E-3</v>
      </c>
      <c r="BI150" s="11">
        <v>44332</v>
      </c>
      <c r="BJ150" s="744">
        <v>2.8719956816606153E-4</v>
      </c>
      <c r="BK150" s="744">
        <v>6.0596414921634107E-4</v>
      </c>
      <c r="BL150" s="744">
        <v>1.1671218802859521E-3</v>
      </c>
      <c r="BM150" s="744">
        <v>2.1610796415438833E-3</v>
      </c>
      <c r="BN150" s="744">
        <v>4.215953446810891E-3</v>
      </c>
      <c r="BO150" s="745">
        <v>7.8058598666544713E-3</v>
      </c>
      <c r="BP150" s="744">
        <v>1.3021903428650108E-2</v>
      </c>
      <c r="BQ150" s="744">
        <v>2.0999148915420818E-2</v>
      </c>
      <c r="BR150" s="744">
        <v>3.3000823303582373E-2</v>
      </c>
      <c r="BS150" s="744">
        <v>4.8418834418194785E-2</v>
      </c>
      <c r="BT150" s="744">
        <v>6.5399770249357489E-2</v>
      </c>
      <c r="BW150" s="1191">
        <f>'2018'!R\Max</f>
        <v>0</v>
      </c>
      <c r="BX150" s="1189">
        <f>'2019'!R\Max</f>
        <v>0.8411070999661272</v>
      </c>
      <c r="BY150" s="1189">
        <f>'2020'!R\Max</f>
        <v>0.34394487913067567</v>
      </c>
      <c r="BZ150" s="1189">
        <f>'2021'!R\Max</f>
        <v>0.22339468003908522</v>
      </c>
      <c r="CA150" s="1189">
        <f>'2022'!R\Max</f>
        <v>0.86653272088260325</v>
      </c>
      <c r="CB150" s="1189">
        <f>'2023'!R\Max</f>
        <v>0.86646668682683547</v>
      </c>
      <c r="CC150" s="1189">
        <f>'2024'!R\Max</f>
        <v>0.86638114870235483</v>
      </c>
      <c r="CD150" s="1189">
        <f>'2025'!R\Max</f>
        <v>0.86667163721231977</v>
      </c>
      <c r="CE150" s="1189">
        <f>'2026'!R\Max</f>
        <v>0.86665589893096984</v>
      </c>
      <c r="CF150" s="1190">
        <f>'2027'!R\Max</f>
        <v>0.86662560219399143</v>
      </c>
    </row>
    <row r="151" spans="1:84" s="6" customFormat="1" ht="11.25" x14ac:dyDescent="0.2">
      <c r="A151" s="11">
        <v>43237</v>
      </c>
      <c r="B151" s="382">
        <f>'2022'!Maxi_hp</f>
        <v>59.347750252011501</v>
      </c>
      <c r="C151" s="85">
        <f>'2022'!An_max</f>
        <v>2022</v>
      </c>
      <c r="D151" s="1134"/>
      <c r="E151" s="711"/>
      <c r="F151" s="13">
        <f t="shared" si="92"/>
        <v>11</v>
      </c>
      <c r="G151" s="13">
        <f t="shared" si="76"/>
        <v>12</v>
      </c>
      <c r="H151" s="175">
        <f t="shared" si="77"/>
        <v>43234</v>
      </c>
      <c r="I151" s="774">
        <f t="shared" si="78"/>
        <v>0.21428571428571427</v>
      </c>
      <c r="J151" s="765">
        <f t="shared" si="79"/>
        <v>63.6005317785378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P151" s="13">
        <f t="shared" si="80"/>
        <v>7</v>
      </c>
      <c r="AQ151" s="13">
        <f t="shared" si="81"/>
        <v>6</v>
      </c>
      <c r="AR151" s="175">
        <f t="shared" si="82"/>
        <v>43248</v>
      </c>
      <c r="AS151" s="774">
        <f t="shared" si="83"/>
        <v>0.39285714285714285</v>
      </c>
      <c r="AT151" s="791">
        <f t="shared" si="84"/>
        <v>63.567692128515674</v>
      </c>
      <c r="AU151" s="13">
        <f t="shared" si="85"/>
        <v>7</v>
      </c>
      <c r="AV151" s="13">
        <f t="shared" si="86"/>
        <v>6</v>
      </c>
      <c r="AW151" s="175">
        <f t="shared" si="87"/>
        <v>43262</v>
      </c>
      <c r="AX151" s="774">
        <f t="shared" si="88"/>
        <v>0.8928571428571429</v>
      </c>
      <c r="AY151" s="791">
        <f t="shared" si="89"/>
        <v>63.63286530567067</v>
      </c>
      <c r="AZ151" s="765">
        <f t="shared" si="93"/>
        <v>63.600278717093175</v>
      </c>
      <c r="BA151" s="649">
        <f t="shared" si="90"/>
        <v>0.93313292503064549</v>
      </c>
      <c r="BB151" s="644">
        <v>43237</v>
      </c>
      <c r="BC151" s="11">
        <v>43237</v>
      </c>
      <c r="BD151" s="292">
        <f>[2]!FeuilCaduc*(1-Persistant)+Persistant</f>
        <v>1</v>
      </c>
      <c r="BE151" s="293">
        <f>[2]!CroissVégét</f>
        <v>0.27071905354146641</v>
      </c>
      <c r="BF151" s="844">
        <f>1+[2]!Salcycl*Ksac</f>
        <v>1.0301050876427942</v>
      </c>
      <c r="BH151" s="1107">
        <f t="shared" si="91"/>
        <v>1.3185433455954704E-3</v>
      </c>
      <c r="BI151" s="11">
        <v>44333</v>
      </c>
      <c r="BJ151" s="744">
        <v>3.0076246377393721E-4</v>
      </c>
      <c r="BK151" s="744">
        <v>6.0542472958143901E-4</v>
      </c>
      <c r="BL151" s="744">
        <v>1.1338526496528385E-3</v>
      </c>
      <c r="BM151" s="744">
        <v>2.0583416124535601E-3</v>
      </c>
      <c r="BN151" s="744">
        <v>3.9939274455049953E-3</v>
      </c>
      <c r="BO151" s="745">
        <v>7.3369354785095299E-3</v>
      </c>
      <c r="BP151" s="744">
        <v>1.2187941047359797E-2</v>
      </c>
      <c r="BQ151" s="744">
        <v>1.9520653470522276E-2</v>
      </c>
      <c r="BR151" s="744">
        <v>3.0737299098774967E-2</v>
      </c>
      <c r="BS151" s="744">
        <v>4.5113824830527116E-2</v>
      </c>
      <c r="BT151" s="744">
        <v>6.0978050382258744E-2</v>
      </c>
      <c r="BW151" s="1191">
        <f>'2018'!R\Max</f>
        <v>0</v>
      </c>
      <c r="BX151" s="1189">
        <f>'2019'!R\Max</f>
        <v>0.11622068531767729</v>
      </c>
      <c r="BY151" s="1189">
        <f>'2020'!R\Max</f>
        <v>0.53030700215259663</v>
      </c>
      <c r="BZ151" s="1189">
        <f>'2021'!R\Max</f>
        <v>0.93094656398593745</v>
      </c>
      <c r="CA151" s="1189">
        <f>'2022'!R\Max</f>
        <v>0.93313292503064549</v>
      </c>
      <c r="CB151" s="1189">
        <f>'2023'!R\Max</f>
        <v>0.93309984444765681</v>
      </c>
      <c r="CC151" s="1189">
        <f>'2024'!R\Max</f>
        <v>0.93305706695790436</v>
      </c>
      <c r="CD151" s="1189">
        <f>'2025'!R\Max</f>
        <v>0.93320304943024546</v>
      </c>
      <c r="CE151" s="1189">
        <f>'2026'!R\Max</f>
        <v>0.93319508672098606</v>
      </c>
      <c r="CF151" s="1190">
        <f>'2027'!R\Max</f>
        <v>0.93317971537153022</v>
      </c>
    </row>
    <row r="152" spans="1:84" s="6" customFormat="1" ht="11.25" x14ac:dyDescent="0.2">
      <c r="A152" s="11">
        <v>43238</v>
      </c>
      <c r="B152" s="382">
        <f>'2022'!Maxi_hp</f>
        <v>64.728321842872035</v>
      </c>
      <c r="C152" s="85">
        <f>'2022'!An_max</f>
        <v>2020</v>
      </c>
      <c r="D152" s="1134"/>
      <c r="E152" s="711"/>
      <c r="F152" s="13">
        <f t="shared" si="92"/>
        <v>11</v>
      </c>
      <c r="G152" s="13">
        <f t="shared" si="76"/>
        <v>12</v>
      </c>
      <c r="H152" s="175">
        <f t="shared" si="77"/>
        <v>43234</v>
      </c>
      <c r="I152" s="774">
        <f t="shared" si="78"/>
        <v>0.2857142857142857</v>
      </c>
      <c r="J152" s="765">
        <f t="shared" si="79"/>
        <v>63.692202915251258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P152" s="13">
        <f t="shared" si="80"/>
        <v>7</v>
      </c>
      <c r="AQ152" s="13">
        <f t="shared" si="81"/>
        <v>6</v>
      </c>
      <c r="AR152" s="175">
        <f t="shared" si="82"/>
        <v>43248</v>
      </c>
      <c r="AS152" s="774">
        <f t="shared" si="83"/>
        <v>0.35714285714285715</v>
      </c>
      <c r="AT152" s="791">
        <f t="shared" si="84"/>
        <v>63.655818075633476</v>
      </c>
      <c r="AU152" s="13">
        <f t="shared" si="85"/>
        <v>7</v>
      </c>
      <c r="AV152" s="13">
        <f t="shared" si="86"/>
        <v>6</v>
      </c>
      <c r="AW152" s="175">
        <f t="shared" si="87"/>
        <v>43262</v>
      </c>
      <c r="AX152" s="774">
        <f t="shared" si="88"/>
        <v>0.8571428571428571</v>
      </c>
      <c r="AY152" s="791">
        <f t="shared" si="89"/>
        <v>63.732506122227221</v>
      </c>
      <c r="AZ152" s="765">
        <f t="shared" si="93"/>
        <v>63.694162098930349</v>
      </c>
      <c r="BA152" s="649">
        <f t="shared" si="90"/>
        <v>1.0162675944652038</v>
      </c>
      <c r="BB152" s="644">
        <v>43238</v>
      </c>
      <c r="BC152" s="11">
        <v>43238</v>
      </c>
      <c r="BD152" s="292">
        <f>[2]!FeuilCaduc*(1-Persistant)+Persistant</f>
        <v>1</v>
      </c>
      <c r="BE152" s="293">
        <f>[2]!CroissVégét</f>
        <v>0.27894001398938062</v>
      </c>
      <c r="BF152" s="844">
        <f>1+[2]!Salcycl*Ksac</f>
        <v>1.0310812462378462</v>
      </c>
      <c r="BH152" s="1107">
        <f t="shared" si="91"/>
        <v>1.276554327906302E-3</v>
      </c>
      <c r="BI152" s="11">
        <v>44334</v>
      </c>
      <c r="BJ152" s="744">
        <v>3.1569944528507825E-4</v>
      </c>
      <c r="BK152" s="744">
        <v>6.0753804204652861E-4</v>
      </c>
      <c r="BL152" s="744">
        <v>1.1048815147048907E-3</v>
      </c>
      <c r="BM152" s="744">
        <v>1.9642080780037413E-3</v>
      </c>
      <c r="BN152" s="744">
        <v>3.785429776371859E-3</v>
      </c>
      <c r="BO152" s="745">
        <v>6.8967012757660782E-3</v>
      </c>
      <c r="BP152" s="744">
        <v>1.1410233098246606E-2</v>
      </c>
      <c r="BQ152" s="744">
        <v>1.815846319413655E-2</v>
      </c>
      <c r="BR152" s="744">
        <v>2.8646809393134087E-2</v>
      </c>
      <c r="BS152" s="744">
        <v>4.2066527474950183E-2</v>
      </c>
      <c r="BT152" s="744">
        <v>5.6908139068464474E-2</v>
      </c>
      <c r="BW152" s="1191">
        <f>'2018'!R\Max</f>
        <v>0</v>
      </c>
      <c r="BX152" s="1189">
        <f>'2019'!R\Max</f>
        <v>0.63133233584665482</v>
      </c>
      <c r="BY152" s="1189">
        <f>'2020'!R\Max</f>
        <v>1.0162675944652038</v>
      </c>
      <c r="BZ152" s="1189">
        <f>'2021'!R\Max</f>
        <v>0.60064641426240839</v>
      </c>
      <c r="CA152" s="1189">
        <f>'2022'!R\Max</f>
        <v>0.90692609096068766</v>
      </c>
      <c r="CB152" s="1189">
        <f>'2023'!R\Max</f>
        <v>0.90688451449344465</v>
      </c>
      <c r="CC152" s="1189">
        <f>'2024'!R\Max</f>
        <v>0.90683083205340753</v>
      </c>
      <c r="CD152" s="1189">
        <f>'2025'!R\Max</f>
        <v>0.90701481579181564</v>
      </c>
      <c r="CE152" s="1189">
        <f>'2026'!R\Max</f>
        <v>0.90700471299079954</v>
      </c>
      <c r="CF152" s="1190">
        <f>'2027'!R\Max</f>
        <v>0.9069851732766725</v>
      </c>
    </row>
    <row r="153" spans="1:84" s="6" customFormat="1" ht="11.25" x14ac:dyDescent="0.2">
      <c r="A153" s="11">
        <v>43239</v>
      </c>
      <c r="B153" s="382">
        <f>'2022'!Maxi_hp</f>
        <v>63.647951946144374</v>
      </c>
      <c r="C153" s="85">
        <f>'2022'!An_max</f>
        <v>2020</v>
      </c>
      <c r="D153" s="1134"/>
      <c r="E153" s="711"/>
      <c r="F153" s="13">
        <f t="shared" si="92"/>
        <v>11</v>
      </c>
      <c r="G153" s="13">
        <f t="shared" si="76"/>
        <v>12</v>
      </c>
      <c r="H153" s="175">
        <f t="shared" si="77"/>
        <v>43234</v>
      </c>
      <c r="I153" s="774">
        <f t="shared" si="78"/>
        <v>0.35714285714285715</v>
      </c>
      <c r="J153" s="765">
        <f t="shared" si="79"/>
        <v>63.777380757512788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P153" s="13">
        <f t="shared" si="80"/>
        <v>7</v>
      </c>
      <c r="AQ153" s="13">
        <f t="shared" si="81"/>
        <v>6</v>
      </c>
      <c r="AR153" s="175">
        <f t="shared" si="82"/>
        <v>43248</v>
      </c>
      <c r="AS153" s="774">
        <f t="shared" si="83"/>
        <v>0.32142857142857145</v>
      </c>
      <c r="AT153" s="791">
        <f t="shared" si="84"/>
        <v>63.738924782057964</v>
      </c>
      <c r="AU153" s="13">
        <f t="shared" si="85"/>
        <v>7</v>
      </c>
      <c r="AV153" s="13">
        <f t="shared" si="86"/>
        <v>6</v>
      </c>
      <c r="AW153" s="175">
        <f t="shared" si="87"/>
        <v>43262</v>
      </c>
      <c r="AX153" s="774">
        <f t="shared" si="88"/>
        <v>0.8214285714285714</v>
      </c>
      <c r="AY153" s="791">
        <f t="shared" si="89"/>
        <v>63.824179590892584</v>
      </c>
      <c r="AZ153" s="765">
        <f t="shared" si="93"/>
        <v>63.781552186475274</v>
      </c>
      <c r="BA153" s="649">
        <f t="shared" si="90"/>
        <v>0.99797061576014678</v>
      </c>
      <c r="BB153" s="644">
        <v>43239</v>
      </c>
      <c r="BC153" s="11">
        <v>43239</v>
      </c>
      <c r="BD153" s="292">
        <f>[2]!FeuilCaduc*(1-Persistant)+Persistant</f>
        <v>1</v>
      </c>
      <c r="BE153" s="293">
        <f>[2]!CroissVégét</f>
        <v>0.28731106552397356</v>
      </c>
      <c r="BF153" s="844">
        <f>1+[2]!Salcycl*Ksac</f>
        <v>1.0320649863866256</v>
      </c>
      <c r="BH153" s="1107">
        <f t="shared" si="91"/>
        <v>1.239718688012104E-3</v>
      </c>
      <c r="BI153" s="11">
        <v>44335</v>
      </c>
      <c r="BJ153" s="744">
        <v>3.3200836504370431E-4</v>
      </c>
      <c r="BK153" s="744">
        <v>6.1230077257066085E-4</v>
      </c>
      <c r="BL153" s="744">
        <v>1.080204084596346E-3</v>
      </c>
      <c r="BM153" s="744">
        <v>1.8786714329960136E-3</v>
      </c>
      <c r="BN153" s="744">
        <v>3.5904501947621862E-3</v>
      </c>
      <c r="BO153" s="745">
        <v>6.4851357478659518E-3</v>
      </c>
      <c r="BP153" s="744">
        <v>1.0688735259587689E-2</v>
      </c>
      <c r="BQ153" s="744">
        <v>1.6912480130770877E-2</v>
      </c>
      <c r="BR153" s="744">
        <v>2.6729210041821314E-2</v>
      </c>
      <c r="BS153" s="744">
        <v>3.9276725752227917E-2</v>
      </c>
      <c r="BT153" s="744">
        <v>5.3189737948563118E-2</v>
      </c>
      <c r="BW153" s="1191">
        <f>'2018'!R\Max</f>
        <v>0</v>
      </c>
      <c r="BX153" s="1189">
        <f>'2019'!R\Max</f>
        <v>0.45317938704665628</v>
      </c>
      <c r="BY153" s="1189">
        <f>'2020'!R\Max</f>
        <v>0.99797061576014678</v>
      </c>
      <c r="BZ153" s="1189">
        <f>'2021'!R\Max</f>
        <v>0.85170558149841791</v>
      </c>
      <c r="CA153" s="1189">
        <f>'2022'!R\Max</f>
        <v>0.93898035362412846</v>
      </c>
      <c r="CB153" s="1189">
        <f>'2023'!R\Max</f>
        <v>0.93895410638909615</v>
      </c>
      <c r="CC153" s="1189">
        <f>'2024'!R\Max</f>
        <v>0.93892024545756037</v>
      </c>
      <c r="CD153" s="1189">
        <f>'2025'!R\Max</f>
        <v>0.93903665682645665</v>
      </c>
      <c r="CE153" s="1189">
        <f>'2026'!R\Max</f>
        <v>0.93903022573951944</v>
      </c>
      <c r="CF153" s="1190">
        <f>'2027'!R\Max</f>
        <v>0.93901777646317885</v>
      </c>
    </row>
    <row r="154" spans="1:84" s="6" customFormat="1" ht="11.25" x14ac:dyDescent="0.2">
      <c r="A154" s="11">
        <v>43240</v>
      </c>
      <c r="B154" s="382">
        <f>'2022'!Maxi_hp</f>
        <v>63.420462429144116</v>
      </c>
      <c r="C154" s="85">
        <f>'2022'!An_max</f>
        <v>2021</v>
      </c>
      <c r="D154" s="1134"/>
      <c r="E154" s="711"/>
      <c r="F154" s="13">
        <f t="shared" si="92"/>
        <v>11</v>
      </c>
      <c r="G154" s="13">
        <f t="shared" si="76"/>
        <v>12</v>
      </c>
      <c r="H154" s="175">
        <f t="shared" si="77"/>
        <v>43234</v>
      </c>
      <c r="I154" s="774">
        <f t="shared" si="78"/>
        <v>0.42857142857142855</v>
      </c>
      <c r="J154" s="765">
        <f t="shared" si="79"/>
        <v>63.856401166639159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P154" s="13">
        <f t="shared" si="80"/>
        <v>7</v>
      </c>
      <c r="AQ154" s="13">
        <f t="shared" si="81"/>
        <v>6</v>
      </c>
      <c r="AR154" s="175">
        <f t="shared" si="82"/>
        <v>43248</v>
      </c>
      <c r="AS154" s="774">
        <f t="shared" si="83"/>
        <v>0.2857142857142857</v>
      </c>
      <c r="AT154" s="791">
        <f t="shared" si="84"/>
        <v>63.817292128184008</v>
      </c>
      <c r="AU154" s="13">
        <f t="shared" si="85"/>
        <v>7</v>
      </c>
      <c r="AV154" s="13">
        <f t="shared" si="86"/>
        <v>6</v>
      </c>
      <c r="AW154" s="175">
        <f t="shared" si="87"/>
        <v>43262</v>
      </c>
      <c r="AX154" s="774">
        <f t="shared" si="88"/>
        <v>0.7857142857142857</v>
      </c>
      <c r="AY154" s="791">
        <f t="shared" si="89"/>
        <v>63.908179591596124</v>
      </c>
      <c r="AZ154" s="765">
        <f t="shared" si="93"/>
        <v>63.862735859890066</v>
      </c>
      <c r="BA154" s="649">
        <f t="shared" si="90"/>
        <v>0.99317313958302444</v>
      </c>
      <c r="BB154" s="644">
        <v>43240</v>
      </c>
      <c r="BC154" s="11">
        <v>43240</v>
      </c>
      <c r="BD154" s="292">
        <f>[2]!FeuilCaduc*(1-Persistant)+Persistant</f>
        <v>1</v>
      </c>
      <c r="BE154" s="293">
        <f>[2]!CroissVégét</f>
        <v>0.29582909613929492</v>
      </c>
      <c r="BF154" s="844">
        <f>1+[2]!Salcycl*Ksac</f>
        <v>1.0330552577040335</v>
      </c>
      <c r="BH154" s="1107">
        <f t="shared" si="91"/>
        <v>1.2080311120237839E-3</v>
      </c>
      <c r="BI154" s="11">
        <v>44336</v>
      </c>
      <c r="BJ154" s="744">
        <v>3.496869763719008E-4</v>
      </c>
      <c r="BK154" s="744">
        <v>6.1970944072773596E-4</v>
      </c>
      <c r="BL154" s="744">
        <v>1.0598157288184522E-3</v>
      </c>
      <c r="BM154" s="744">
        <v>1.8017236261884987E-3</v>
      </c>
      <c r="BN154" s="744">
        <v>3.408977810164852E-3</v>
      </c>
      <c r="BO154" s="745">
        <v>6.1022160138339667E-3</v>
      </c>
      <c r="BP154" s="744">
        <v>1.0023400445375787E-2</v>
      </c>
      <c r="BQ154" s="744">
        <v>1.5782600387209911E-2</v>
      </c>
      <c r="BR154" s="744">
        <v>2.498434812373285E-2</v>
      </c>
      <c r="BS154" s="744">
        <v>3.6744189931205491E-2</v>
      </c>
      <c r="BT154" s="744">
        <v>4.9822530653502006E-2</v>
      </c>
      <c r="BW154" s="1191">
        <f>'2018'!R\Max</f>
        <v>0</v>
      </c>
      <c r="BX154" s="1189">
        <f>'2019'!R\Max</f>
        <v>0.93467471979551886</v>
      </c>
      <c r="BY154" s="1189">
        <f>'2020'!R\Max</f>
        <v>0.97442428695380245</v>
      </c>
      <c r="BZ154" s="1189">
        <f>'2021'!R\Max</f>
        <v>0.99317313958302444</v>
      </c>
      <c r="CA154" s="1189">
        <f>'2022'!R\Max</f>
        <v>0.81689214991673409</v>
      </c>
      <c r="CB154" s="1189">
        <f>'2023'!R\Max</f>
        <v>0.81682831701223957</v>
      </c>
      <c r="CC154" s="1189">
        <f>'2024'!R\Max</f>
        <v>0.81674597324858567</v>
      </c>
      <c r="CD154" s="1189">
        <f>'2025'!R\Max</f>
        <v>0.81702957782448327</v>
      </c>
      <c r="CE154" s="1189">
        <f>'2026'!R\Max</f>
        <v>0.8170138234448393</v>
      </c>
      <c r="CF154" s="1190">
        <f>'2027'!R\Max</f>
        <v>0.81698333881841434</v>
      </c>
    </row>
    <row r="155" spans="1:84" s="6" customFormat="1" ht="11.25" x14ac:dyDescent="0.2">
      <c r="A155" s="11">
        <v>43241</v>
      </c>
      <c r="B155" s="382">
        <f>'2022'!Maxi_hp</f>
        <v>62.068839464913452</v>
      </c>
      <c r="C155" s="85">
        <f>'2022'!An_max</f>
        <v>2020</v>
      </c>
      <c r="D155" s="1134"/>
      <c r="E155" s="711"/>
      <c r="F155" s="13">
        <f t="shared" si="92"/>
        <v>11</v>
      </c>
      <c r="G155" s="13">
        <f t="shared" si="76"/>
        <v>12</v>
      </c>
      <c r="H155" s="175">
        <f t="shared" si="77"/>
        <v>43234</v>
      </c>
      <c r="I155" s="774">
        <f t="shared" si="78"/>
        <v>0.5</v>
      </c>
      <c r="J155" s="765">
        <f t="shared" si="79"/>
        <v>63.92960000038147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P155" s="13">
        <f t="shared" si="80"/>
        <v>7</v>
      </c>
      <c r="AQ155" s="13">
        <f t="shared" si="81"/>
        <v>6</v>
      </c>
      <c r="AR155" s="175">
        <f t="shared" si="82"/>
        <v>43248</v>
      </c>
      <c r="AS155" s="774">
        <f t="shared" si="83"/>
        <v>0.25</v>
      </c>
      <c r="AT155" s="791">
        <f t="shared" si="84"/>
        <v>63.891200000420213</v>
      </c>
      <c r="AU155" s="13">
        <f t="shared" si="85"/>
        <v>7</v>
      </c>
      <c r="AV155" s="13">
        <f t="shared" si="86"/>
        <v>6</v>
      </c>
      <c r="AW155" s="175">
        <f t="shared" si="87"/>
        <v>43262</v>
      </c>
      <c r="AX155" s="774">
        <f t="shared" si="88"/>
        <v>0.75</v>
      </c>
      <c r="AY155" s="791">
        <f t="shared" si="89"/>
        <v>63.984799999184908</v>
      </c>
      <c r="AZ155" s="765">
        <f t="shared" si="93"/>
        <v>63.937999999802557</v>
      </c>
      <c r="BA155" s="649">
        <f t="shared" si="90"/>
        <v>0.970893599593038</v>
      </c>
      <c r="BB155" s="644">
        <v>43241</v>
      </c>
      <c r="BC155" s="11">
        <v>43241</v>
      </c>
      <c r="BD155" s="292">
        <f>[2]!FeuilCaduc*(1-Persistant)+Persistant</f>
        <v>1</v>
      </c>
      <c r="BE155" s="293">
        <f>[2]!CroissVégét</f>
        <v>0.30449063118118064</v>
      </c>
      <c r="BF155" s="844">
        <f>1+[2]!Salcycl*Ksac</f>
        <v>1.0340509763065264</v>
      </c>
      <c r="BH155" s="1107">
        <f t="shared" si="91"/>
        <v>1.1814859938114387E-3</v>
      </c>
      <c r="BI155" s="11">
        <v>44337</v>
      </c>
      <c r="BJ155" s="744">
        <v>3.6873293050416307E-4</v>
      </c>
      <c r="BK155" s="744">
        <v>6.2976039383356075E-4</v>
      </c>
      <c r="BL155" s="744">
        <v>1.04371156773175E-3</v>
      </c>
      <c r="BM155" s="744">
        <v>1.7333561414163909E-3</v>
      </c>
      <c r="BN155" s="744">
        <v>3.2410010565876754E-3</v>
      </c>
      <c r="BO155" s="745">
        <v>5.7479177595212401E-3</v>
      </c>
      <c r="BP155" s="744">
        <v>9.4141786822398953E-3</v>
      </c>
      <c r="BQ155" s="744">
        <v>1.4768713877933362E-2</v>
      </c>
      <c r="BR155" s="744">
        <v>2.3412061562760083E-2</v>
      </c>
      <c r="BS155" s="744">
        <v>3.446867658464773E-2</v>
      </c>
      <c r="BT155" s="744">
        <v>4.6806182034314837E-2</v>
      </c>
      <c r="BW155" s="1191">
        <f>'2018'!R\Max</f>
        <v>0</v>
      </c>
      <c r="BX155" s="1189">
        <f>'2019'!R\Max</f>
        <v>0.74550038437412847</v>
      </c>
      <c r="BY155" s="1189">
        <f>'2020'!R\Max</f>
        <v>0.970893599593038</v>
      </c>
      <c r="BZ155" s="1189">
        <f>'2021'!R\Max</f>
        <v>0.65302762721610241</v>
      </c>
      <c r="CA155" s="1189">
        <f>'2022'!R\Max</f>
        <v>0.82806128777409171</v>
      </c>
      <c r="CB155" s="1189">
        <f>'2023'!R\Max</f>
        <v>0.82800454602884999</v>
      </c>
      <c r="CC155" s="1189">
        <f>'2024'!R\Max</f>
        <v>0.8279312456274438</v>
      </c>
      <c r="CD155" s="1189">
        <f>'2025'!R\Max</f>
        <v>0.82818360733033003</v>
      </c>
      <c r="CE155" s="1189">
        <f>'2026'!R\Max</f>
        <v>0.82816953081539457</v>
      </c>
      <c r="CF155" s="1190">
        <f>'2027'!R\Max</f>
        <v>0.82814234349982108</v>
      </c>
    </row>
    <row r="156" spans="1:84" s="6" customFormat="1" ht="11.25" x14ac:dyDescent="0.2">
      <c r="A156" s="11">
        <v>43242</v>
      </c>
      <c r="B156" s="382">
        <f>'2022'!Maxi_hp</f>
        <v>63.02960296513583</v>
      </c>
      <c r="C156" s="85">
        <f>'2022'!An_max</f>
        <v>2019</v>
      </c>
      <c r="D156" s="1134"/>
      <c r="E156" s="711"/>
      <c r="F156" s="13">
        <f t="shared" si="92"/>
        <v>11</v>
      </c>
      <c r="G156" s="13">
        <f t="shared" si="76"/>
        <v>12</v>
      </c>
      <c r="H156" s="175">
        <f t="shared" si="77"/>
        <v>43234</v>
      </c>
      <c r="I156" s="774">
        <f t="shared" si="78"/>
        <v>0.5714285714285714</v>
      </c>
      <c r="J156" s="765">
        <f t="shared" si="79"/>
        <v>63.997313119577505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P156" s="13">
        <f t="shared" si="80"/>
        <v>7</v>
      </c>
      <c r="AQ156" s="13">
        <f t="shared" si="81"/>
        <v>6</v>
      </c>
      <c r="AR156" s="175">
        <f t="shared" si="82"/>
        <v>43248</v>
      </c>
      <c r="AS156" s="774">
        <f t="shared" si="83"/>
        <v>0.21428571428571427</v>
      </c>
      <c r="AT156" s="791">
        <f t="shared" si="84"/>
        <v>63.960928279001791</v>
      </c>
      <c r="AU156" s="13">
        <f t="shared" si="85"/>
        <v>7</v>
      </c>
      <c r="AV156" s="13">
        <f t="shared" si="86"/>
        <v>6</v>
      </c>
      <c r="AW156" s="175">
        <f t="shared" si="87"/>
        <v>43262</v>
      </c>
      <c r="AX156" s="774">
        <f t="shared" si="88"/>
        <v>0.7142857142857143</v>
      </c>
      <c r="AY156" s="791">
        <f t="shared" si="89"/>
        <v>64.054334694359994</v>
      </c>
      <c r="AZ156" s="765">
        <f t="shared" si="93"/>
        <v>64.007631486680893</v>
      </c>
      <c r="BA156" s="649">
        <f t="shared" si="90"/>
        <v>0.98487889401491702</v>
      </c>
      <c r="BB156" s="644">
        <v>43242</v>
      </c>
      <c r="BC156" s="11">
        <v>43242</v>
      </c>
      <c r="BD156" s="292">
        <f>[2]!FeuilCaduc*(1-Persistant)+Persistant</f>
        <v>1</v>
      </c>
      <c r="BE156" s="293">
        <f>[2]!CroissVégét</f>
        <v>0.3132918316722918</v>
      </c>
      <c r="BF156" s="844">
        <f>1+[2]!Salcycl*Ksac</f>
        <v>1.0350510275464999</v>
      </c>
      <c r="BH156" s="1107">
        <f t="shared" si="91"/>
        <v>1.1625311179828809E-3</v>
      </c>
      <c r="BI156" s="11">
        <v>44338</v>
      </c>
      <c r="BJ156" s="744">
        <v>3.8991485691950085E-4</v>
      </c>
      <c r="BK156" s="744">
        <v>6.4353395725964108E-4</v>
      </c>
      <c r="BL156" s="744">
        <v>1.0339935470413994E-3</v>
      </c>
      <c r="BM156" s="744">
        <v>1.6774020578714504E-3</v>
      </c>
      <c r="BN156" s="744">
        <v>3.0931597350831509E-3</v>
      </c>
      <c r="BO156" s="745">
        <v>5.4314700369067622E-3</v>
      </c>
      <c r="BP156" s="744">
        <v>8.8721272155920013E-3</v>
      </c>
      <c r="BQ156" s="744">
        <v>1.3878983689818771E-2</v>
      </c>
      <c r="BR156" s="744">
        <v>2.2021880364308147E-2</v>
      </c>
      <c r="BS156" s="744">
        <v>3.2468698011551542E-2</v>
      </c>
      <c r="BT156" s="744">
        <v>4.4179451605947211E-2</v>
      </c>
      <c r="BW156" s="1191">
        <f>'2018'!R\Max</f>
        <v>0</v>
      </c>
      <c r="BX156" s="1189">
        <f>'2019'!R\Max</f>
        <v>0.98487889401491702</v>
      </c>
      <c r="BY156" s="1189">
        <f>'2020'!R\Max</f>
        <v>0.91809495969294141</v>
      </c>
      <c r="BZ156" s="1189">
        <f>'2021'!R\Max</f>
        <v>0.56788367337427181</v>
      </c>
      <c r="CA156" s="1189">
        <f>'2022'!R\Max</f>
        <v>0.58783208953080102</v>
      </c>
      <c r="CB156" s="1189">
        <f>'2023'!R\Max</f>
        <v>0.58774157922058967</v>
      </c>
      <c r="CC156" s="1189">
        <f>'2024'!R\Max</f>
        <v>0.58762437784598009</v>
      </c>
      <c r="CD156" s="1189">
        <f>'2025'!R\Max</f>
        <v>0.58802719774559986</v>
      </c>
      <c r="CE156" s="1189">
        <f>'2026'!R\Max</f>
        <v>0.58800462425418809</v>
      </c>
      <c r="CF156" s="1190">
        <f>'2027'!R\Max</f>
        <v>0.58796121047941108</v>
      </c>
    </row>
    <row r="157" spans="1:84" s="6" customFormat="1" ht="11.25" x14ac:dyDescent="0.2">
      <c r="A157" s="11">
        <v>43243</v>
      </c>
      <c r="B157" s="382">
        <f>'2022'!Maxi_hp</f>
        <v>57.069920377095102</v>
      </c>
      <c r="C157" s="85">
        <f>'2022'!An_max</f>
        <v>2020</v>
      </c>
      <c r="D157" s="1134"/>
      <c r="E157" s="711"/>
      <c r="F157" s="13">
        <f t="shared" si="92"/>
        <v>11</v>
      </c>
      <c r="G157" s="13">
        <f t="shared" si="76"/>
        <v>12</v>
      </c>
      <c r="H157" s="175">
        <f t="shared" si="77"/>
        <v>43234</v>
      </c>
      <c r="I157" s="774">
        <f t="shared" si="78"/>
        <v>0.6428571428571429</v>
      </c>
      <c r="J157" s="765">
        <f t="shared" si="79"/>
        <v>64.059876384852188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P157" s="13">
        <f t="shared" si="80"/>
        <v>7</v>
      </c>
      <c r="AQ157" s="13">
        <f t="shared" si="81"/>
        <v>6</v>
      </c>
      <c r="AR157" s="175">
        <f t="shared" si="82"/>
        <v>43248</v>
      </c>
      <c r="AS157" s="774">
        <f t="shared" si="83"/>
        <v>0.17857142857142858</v>
      </c>
      <c r="AT157" s="791">
        <f t="shared" si="84"/>
        <v>64.026756851987116</v>
      </c>
      <c r="AU157" s="13">
        <f t="shared" si="85"/>
        <v>7</v>
      </c>
      <c r="AV157" s="13">
        <f t="shared" si="86"/>
        <v>6</v>
      </c>
      <c r="AW157" s="175">
        <f t="shared" si="87"/>
        <v>43262</v>
      </c>
      <c r="AX157" s="774">
        <f t="shared" si="88"/>
        <v>0.6785714285714286</v>
      </c>
      <c r="AY157" s="791">
        <f t="shared" si="89"/>
        <v>64.117077550904028</v>
      </c>
      <c r="AZ157" s="765">
        <f t="shared" si="93"/>
        <v>64.071917201445572</v>
      </c>
      <c r="BA157" s="649">
        <f t="shared" si="90"/>
        <v>0.89088402285131552</v>
      </c>
      <c r="BB157" s="644">
        <v>43243</v>
      </c>
      <c r="BC157" s="11">
        <v>43243</v>
      </c>
      <c r="BD157" s="292">
        <f>[2]!FeuilCaduc*(1-Persistant)+Persistant</f>
        <v>1</v>
      </c>
      <c r="BE157" s="293">
        <f>[2]!CroissVégét</f>
        <v>0.3222284943358365</v>
      </c>
      <c r="BF157" s="844">
        <f>1+[2]!Salcycl*Ksac</f>
        <v>1.0360542689931664</v>
      </c>
      <c r="BH157" s="1107">
        <f t="shared" si="91"/>
        <v>1.1488490900302965E-3</v>
      </c>
      <c r="BI157" s="11">
        <v>44339</v>
      </c>
      <c r="BJ157" s="744">
        <v>4.1286691569525802E-4</v>
      </c>
      <c r="BK157" s="744">
        <v>6.6003839598323887E-4</v>
      </c>
      <c r="BL157" s="744">
        <v>1.0289679426835634E-3</v>
      </c>
      <c r="BM157" s="744">
        <v>1.6290458026119658E-3</v>
      </c>
      <c r="BN157" s="744">
        <v>2.955656291250787E-3</v>
      </c>
      <c r="BO157" s="745">
        <v>5.1329500184789743E-3</v>
      </c>
      <c r="BP157" s="744">
        <v>8.3577907313594334E-3</v>
      </c>
      <c r="BQ157" s="744">
        <v>1.3042051193553563E-2</v>
      </c>
      <c r="BR157" s="744">
        <v>2.0721999156847897E-2</v>
      </c>
      <c r="BS157" s="744">
        <v>3.0621317389600927E-2</v>
      </c>
      <c r="BT157" s="744">
        <v>4.178025851535648E-2</v>
      </c>
      <c r="BW157" s="1191">
        <f>'2018'!R\Max</f>
        <v>0</v>
      </c>
      <c r="BX157" s="1189">
        <f>'2019'!R\Max</f>
        <v>0.83534913784118126</v>
      </c>
      <c r="BY157" s="1189">
        <f>'2020'!R\Max</f>
        <v>0.89088402285131552</v>
      </c>
      <c r="BZ157" s="1189">
        <f>'2021'!R\Max</f>
        <v>0.5981524362858468</v>
      </c>
      <c r="CA157" s="1189">
        <f>'2022'!R\Max</f>
        <v>0.30307729354608032</v>
      </c>
      <c r="CB157" s="1189">
        <f>'2023'!R\Max</f>
        <v>0.30300341884474391</v>
      </c>
      <c r="CC157" s="1189">
        <f>'2024'!R\Max</f>
        <v>0.30290742822916134</v>
      </c>
      <c r="CD157" s="1189">
        <f>'2025'!R\Max</f>
        <v>0.3032364812332482</v>
      </c>
      <c r="CE157" s="1189">
        <f>'2026'!R\Max</f>
        <v>0.30321794428787802</v>
      </c>
      <c r="CF157" s="1190">
        <f>'2027'!R\Max</f>
        <v>0.30318250269717861</v>
      </c>
    </row>
    <row r="158" spans="1:84" s="6" customFormat="1" ht="11.25" x14ac:dyDescent="0.2">
      <c r="A158" s="11">
        <v>43244</v>
      </c>
      <c r="B158" s="382">
        <f>'2022'!Maxi_hp</f>
        <v>28.542221114543629</v>
      </c>
      <c r="C158" s="85">
        <f>'2022'!An_max</f>
        <v>2021</v>
      </c>
      <c r="D158" s="1134"/>
      <c r="E158" s="711"/>
      <c r="F158" s="13">
        <f t="shared" si="92"/>
        <v>11</v>
      </c>
      <c r="G158" s="13">
        <f t="shared" si="76"/>
        <v>12</v>
      </c>
      <c r="H158" s="175">
        <f t="shared" si="77"/>
        <v>43234</v>
      </c>
      <c r="I158" s="774">
        <f t="shared" si="78"/>
        <v>0.7142857142857143</v>
      </c>
      <c r="J158" s="765">
        <f t="shared" si="79"/>
        <v>64.117625655978912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P158" s="13">
        <f t="shared" si="80"/>
        <v>7</v>
      </c>
      <c r="AQ158" s="13">
        <f t="shared" si="81"/>
        <v>6</v>
      </c>
      <c r="AR158" s="175">
        <f t="shared" si="82"/>
        <v>43248</v>
      </c>
      <c r="AS158" s="774">
        <f t="shared" si="83"/>
        <v>0.14285714285714285</v>
      </c>
      <c r="AT158" s="791">
        <f t="shared" si="84"/>
        <v>64.088965598600254</v>
      </c>
      <c r="AU158" s="13">
        <f t="shared" si="85"/>
        <v>7</v>
      </c>
      <c r="AV158" s="13">
        <f t="shared" si="86"/>
        <v>6</v>
      </c>
      <c r="AW158" s="175">
        <f t="shared" si="87"/>
        <v>43262</v>
      </c>
      <c r="AX158" s="774">
        <f t="shared" si="88"/>
        <v>0.6428571428571429</v>
      </c>
      <c r="AY158" s="791">
        <f t="shared" si="89"/>
        <v>64.173322448826269</v>
      </c>
      <c r="AZ158" s="765">
        <f t="shared" si="93"/>
        <v>64.131144023713262</v>
      </c>
      <c r="BA158" s="649">
        <f t="shared" si="90"/>
        <v>0.4451540558860681</v>
      </c>
      <c r="BB158" s="644">
        <v>43244</v>
      </c>
      <c r="BC158" s="11">
        <v>43244</v>
      </c>
      <c r="BD158" s="292">
        <f>[2]!FeuilCaduc*(1-Persistant)+Persistant</f>
        <v>1</v>
      </c>
      <c r="BE158" s="293">
        <f>[2]!CroissVégét</f>
        <v>0.33129605339749552</v>
      </c>
      <c r="BF158" s="844">
        <f>1+[2]!Salcycl*Ksac</f>
        <v>1.0370595336503814</v>
      </c>
      <c r="BH158" s="1107">
        <f t="shared" si="91"/>
        <v>1.1404281084752832E-3</v>
      </c>
      <c r="BI158" s="11">
        <v>44340</v>
      </c>
      <c r="BJ158" s="744">
        <v>4.3758348096076055E-4</v>
      </c>
      <c r="BK158" s="744">
        <v>6.7926597525760869E-4</v>
      </c>
      <c r="BL158" s="744">
        <v>1.0286238225675033E-3</v>
      </c>
      <c r="BM158" s="744">
        <v>1.5882720917345901E-3</v>
      </c>
      <c r="BN158" s="744">
        <v>2.8284704300841454E-3</v>
      </c>
      <c r="BO158" s="745">
        <v>4.8523258225879303E-3</v>
      </c>
      <c r="BP158" s="744">
        <v>7.8711208893198336E-3</v>
      </c>
      <c r="BQ158" s="744">
        <v>1.2257829957159072E-2</v>
      </c>
      <c r="BR158" s="744">
        <v>1.9512270276320531E-2</v>
      </c>
      <c r="BS158" s="744">
        <v>2.8926286509868681E-2</v>
      </c>
      <c r="BT158" s="744">
        <v>3.96082311976396E-2</v>
      </c>
      <c r="BW158" s="1191">
        <f>'2018'!R\Max</f>
        <v>0</v>
      </c>
      <c r="BX158" s="1189">
        <f>'2019'!R\Max</f>
        <v>0.2019864197433727</v>
      </c>
      <c r="BY158" s="1189">
        <f>'2020'!R\Max</f>
        <v>0.28761029557030449</v>
      </c>
      <c r="BZ158" s="1189">
        <f>'2021'!R\Max</f>
        <v>0.4451540558860681</v>
      </c>
      <c r="CA158" s="1189">
        <f>'2022'!R\Max</f>
        <v>0.2523650624798443</v>
      </c>
      <c r="CB158" s="1189">
        <f>'2023'!R\Max</f>
        <v>0.2523072656439973</v>
      </c>
      <c r="CC158" s="1189">
        <f>'2024'!R\Max</f>
        <v>0.25223178415245534</v>
      </c>
      <c r="CD158" s="1189">
        <f>'2025'!R\Max</f>
        <v>0.25248946609102002</v>
      </c>
      <c r="CE158" s="1189">
        <f>'2026'!R\Max</f>
        <v>0.25247487097446253</v>
      </c>
      <c r="CF158" s="1190">
        <f>'2027'!R\Max</f>
        <v>0.25244717950415807</v>
      </c>
    </row>
    <row r="159" spans="1:84" s="6" customFormat="1" ht="11.25" x14ac:dyDescent="0.2">
      <c r="A159" s="11">
        <v>43245</v>
      </c>
      <c r="B159" s="382">
        <f>'2022'!Maxi_hp</f>
        <v>59.272001912813224</v>
      </c>
      <c r="C159" s="85">
        <f>'2022'!An_max</f>
        <v>2020</v>
      </c>
      <c r="D159" s="1134"/>
      <c r="E159" s="711"/>
      <c r="F159" s="13">
        <f t="shared" si="92"/>
        <v>11</v>
      </c>
      <c r="G159" s="13">
        <f t="shared" si="76"/>
        <v>12</v>
      </c>
      <c r="H159" s="175">
        <f t="shared" si="77"/>
        <v>43234</v>
      </c>
      <c r="I159" s="774">
        <f t="shared" si="78"/>
        <v>0.7857142857142857</v>
      </c>
      <c r="J159" s="765">
        <f t="shared" si="79"/>
        <v>64.170896792943978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P159" s="13">
        <f t="shared" si="80"/>
        <v>7</v>
      </c>
      <c r="AQ159" s="13">
        <f t="shared" si="81"/>
        <v>6</v>
      </c>
      <c r="AR159" s="175">
        <f t="shared" si="82"/>
        <v>43248</v>
      </c>
      <c r="AS159" s="774">
        <f t="shared" si="83"/>
        <v>0.10714285714285714</v>
      </c>
      <c r="AT159" s="791">
        <f t="shared" si="84"/>
        <v>64.147834402828352</v>
      </c>
      <c r="AU159" s="13">
        <f t="shared" si="85"/>
        <v>7</v>
      </c>
      <c r="AV159" s="13">
        <f t="shared" si="86"/>
        <v>6</v>
      </c>
      <c r="AW159" s="175">
        <f t="shared" si="87"/>
        <v>43262</v>
      </c>
      <c r="AX159" s="774">
        <f t="shared" si="88"/>
        <v>0.6071428571428571</v>
      </c>
      <c r="AY159" s="791">
        <f t="shared" si="89"/>
        <v>64.223363265421767</v>
      </c>
      <c r="AZ159" s="765">
        <f t="shared" si="93"/>
        <v>64.185598834125059</v>
      </c>
      <c r="BA159" s="649">
        <f t="shared" si="90"/>
        <v>0.92365861901637902</v>
      </c>
      <c r="BB159" s="644">
        <v>43245</v>
      </c>
      <c r="BC159" s="11">
        <v>43245</v>
      </c>
      <c r="BD159" s="292">
        <f>[2]!FeuilCaduc*(1-Persistant)+Persistant</f>
        <v>1</v>
      </c>
      <c r="BE159" s="293">
        <f>[2]!CroissVégét</f>
        <v>0.34048958423292969</v>
      </c>
      <c r="BF159" s="844">
        <f>1+[2]!Salcycl*Ksac</f>
        <v>1.0380656333995195</v>
      </c>
      <c r="BH159" s="1107">
        <f t="shared" si="91"/>
        <v>1.1372627543709153E-3</v>
      </c>
      <c r="BI159" s="11">
        <v>44341</v>
      </c>
      <c r="BJ159" s="744">
        <v>4.6406104652375023E-4</v>
      </c>
      <c r="BK159" s="744">
        <v>7.0121249763567051E-4</v>
      </c>
      <c r="BL159" s="744">
        <v>1.0329559257245043E-3</v>
      </c>
      <c r="BM159" s="744">
        <v>1.5550748734938389E-3</v>
      </c>
      <c r="BN159" s="744">
        <v>2.711599354846066E-3</v>
      </c>
      <c r="BO159" s="745">
        <v>4.5895963638846607E-3</v>
      </c>
      <c r="BP159" s="744">
        <v>7.4121198611218379E-3</v>
      </c>
      <c r="BQ159" s="744">
        <v>1.1526311466044071E-2</v>
      </c>
      <c r="BR159" s="744">
        <v>1.8392668892261949E-2</v>
      </c>
      <c r="BS159" s="744">
        <v>2.7383535897040207E-2</v>
      </c>
      <c r="BT159" s="744">
        <v>3.7663238829950062E-2</v>
      </c>
      <c r="BW159" s="1191">
        <f>'2018'!R\Max</f>
        <v>0</v>
      </c>
      <c r="BX159" s="1189">
        <f>'2019'!R\Max</f>
        <v>0.53725027110503099</v>
      </c>
      <c r="BY159" s="1189">
        <f>'2020'!R\Max</f>
        <v>0.92365861901637902</v>
      </c>
      <c r="BZ159" s="1189">
        <f>'2021'!R\Max</f>
        <v>0.80581104105720813</v>
      </c>
      <c r="CA159" s="1189">
        <f>'2022'!R\Max</f>
        <v>0.70191399976273916</v>
      </c>
      <c r="CB159" s="1189">
        <f>'2023'!R\Max</f>
        <v>0.70185005628623942</v>
      </c>
      <c r="CC159" s="1189">
        <f>'2024'!R\Max</f>
        <v>0.70176595281960819</v>
      </c>
      <c r="CD159" s="1189">
        <f>'2025'!R\Max</f>
        <v>0.70205136192773898</v>
      </c>
      <c r="CE159" s="1189">
        <f>'2026'!R\Max</f>
        <v>0.70203510773442346</v>
      </c>
      <c r="CF159" s="1190">
        <f>'2027'!R\Max</f>
        <v>0.70200456781280063</v>
      </c>
    </row>
    <row r="160" spans="1:84" s="6" customFormat="1" ht="11.25" x14ac:dyDescent="0.2">
      <c r="A160" s="11">
        <v>43246</v>
      </c>
      <c r="B160" s="382">
        <f>'2022'!Maxi_hp</f>
        <v>63.227502087912768</v>
      </c>
      <c r="C160" s="85">
        <f>'2022'!An_max</f>
        <v>2020</v>
      </c>
      <c r="D160" s="1134"/>
      <c r="E160" s="711"/>
      <c r="F160" s="13">
        <f t="shared" si="92"/>
        <v>11</v>
      </c>
      <c r="G160" s="13">
        <f t="shared" si="76"/>
        <v>12</v>
      </c>
      <c r="H160" s="175">
        <f t="shared" si="77"/>
        <v>43234</v>
      </c>
      <c r="I160" s="774">
        <f t="shared" si="78"/>
        <v>0.8571428571428571</v>
      </c>
      <c r="J160" s="765">
        <f t="shared" si="79"/>
        <v>64.2200256555208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P160" s="13">
        <f t="shared" si="80"/>
        <v>7</v>
      </c>
      <c r="AQ160" s="13">
        <f t="shared" si="81"/>
        <v>6</v>
      </c>
      <c r="AR160" s="175">
        <f t="shared" si="82"/>
        <v>43248</v>
      </c>
      <c r="AS160" s="774">
        <f t="shared" si="83"/>
        <v>7.1428571428571425E-2</v>
      </c>
      <c r="AT160" s="791">
        <f t="shared" si="84"/>
        <v>64.20364315025509</v>
      </c>
      <c r="AU160" s="13">
        <f t="shared" si="85"/>
        <v>7</v>
      </c>
      <c r="AV160" s="13">
        <f t="shared" si="86"/>
        <v>6</v>
      </c>
      <c r="AW160" s="175">
        <f t="shared" si="87"/>
        <v>43262</v>
      </c>
      <c r="AX160" s="774">
        <f t="shared" si="88"/>
        <v>0.5714285714285714</v>
      </c>
      <c r="AY160" s="791">
        <f t="shared" si="89"/>
        <v>64.267493877027704</v>
      </c>
      <c r="AZ160" s="765">
        <f t="shared" si="93"/>
        <v>64.235568513641397</v>
      </c>
      <c r="BA160" s="649">
        <f t="shared" si="90"/>
        <v>0.98454495217843774</v>
      </c>
      <c r="BB160" s="644">
        <v>43246</v>
      </c>
      <c r="BC160" s="11">
        <v>43246</v>
      </c>
      <c r="BD160" s="292">
        <f>[2]!FeuilCaduc*(1-Persistant)+Persistant</f>
        <v>1</v>
      </c>
      <c r="BE160" s="293">
        <f>[2]!CroissVégét</f>
        <v>0.34980380891459434</v>
      </c>
      <c r="BF160" s="844">
        <f>1+[2]!Salcycl*Ksac</f>
        <v>1.0390713626531864</v>
      </c>
      <c r="BH160" s="1107">
        <f t="shared" si="91"/>
        <v>1.1393469482085393E-3</v>
      </c>
      <c r="BI160" s="11">
        <v>44342</v>
      </c>
      <c r="BJ160" s="744">
        <v>4.9229602977504065E-4</v>
      </c>
      <c r="BK160" s="744">
        <v>7.2587354805073515E-4</v>
      </c>
      <c r="BL160" s="744">
        <v>1.0419584410656677E-3</v>
      </c>
      <c r="BM160" s="744">
        <v>1.5294469931971203E-3</v>
      </c>
      <c r="BN160" s="744">
        <v>2.6050383901532938E-3</v>
      </c>
      <c r="BO160" s="745">
        <v>4.3447569822278658E-3</v>
      </c>
      <c r="BP160" s="744">
        <v>6.9807840134502351E-3</v>
      </c>
      <c r="BQ160" s="744">
        <v>1.0847476899395579E-2</v>
      </c>
      <c r="BR160" s="744">
        <v>1.7363153240544483E-2</v>
      </c>
      <c r="BS160" s="744">
        <v>2.5992969300108373E-2</v>
      </c>
      <c r="BT160" s="744">
        <v>3.5945112537577761E-2</v>
      </c>
      <c r="BW160" s="1191">
        <f>'2018'!R\Max</f>
        <v>0</v>
      </c>
      <c r="BX160" s="1189">
        <f>'2019'!R\Max</f>
        <v>0.43974637457328536</v>
      </c>
      <c r="BY160" s="1189">
        <f>'2020'!R\Max</f>
        <v>0.98454495217843774</v>
      </c>
      <c r="BZ160" s="1189">
        <f>'2021'!R\Max</f>
        <v>0.8377831593075632</v>
      </c>
      <c r="CA160" s="1189">
        <f>'2022'!R\Max</f>
        <v>0.36837939256651198</v>
      </c>
      <c r="CB160" s="1189">
        <f>'2023'!R\Max</f>
        <v>0.36831304126341741</v>
      </c>
      <c r="CC160" s="1189">
        <f>'2024'!R\Max</f>
        <v>0.36822500656528018</v>
      </c>
      <c r="CD160" s="1189">
        <f>'2025'!R\Max</f>
        <v>0.36852167050221202</v>
      </c>
      <c r="CE160" s="1189">
        <f>'2026'!R\Max</f>
        <v>0.3685046574990351</v>
      </c>
      <c r="CF160" s="1190">
        <f>'2027'!R\Max</f>
        <v>0.36847308602415818</v>
      </c>
    </row>
    <row r="161" spans="1:84" s="6" customFormat="1" ht="11.25" x14ac:dyDescent="0.2">
      <c r="A161" s="11">
        <v>43247</v>
      </c>
      <c r="B161" s="382">
        <f>'2022'!Maxi_hp</f>
        <v>62.760133675554769</v>
      </c>
      <c r="C161" s="85">
        <f>'2022'!An_max</f>
        <v>2020</v>
      </c>
      <c r="D161" s="1134"/>
      <c r="E161" s="711"/>
      <c r="F161" s="13">
        <f t="shared" si="92"/>
        <v>11</v>
      </c>
      <c r="G161" s="13">
        <f t="shared" si="76"/>
        <v>12</v>
      </c>
      <c r="H161" s="175">
        <f t="shared" si="77"/>
        <v>43234</v>
      </c>
      <c r="I161" s="774">
        <f t="shared" si="78"/>
        <v>0.9285714285714286</v>
      </c>
      <c r="J161" s="765">
        <f t="shared" si="79"/>
        <v>64.265348105239013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P161" s="13">
        <f t="shared" si="80"/>
        <v>7</v>
      </c>
      <c r="AQ161" s="13">
        <f t="shared" si="81"/>
        <v>6</v>
      </c>
      <c r="AR161" s="175">
        <f t="shared" si="82"/>
        <v>43248</v>
      </c>
      <c r="AS161" s="774">
        <f t="shared" si="83"/>
        <v>3.5714285714285712E-2</v>
      </c>
      <c r="AT161" s="791">
        <f t="shared" si="84"/>
        <v>64.256671721381807</v>
      </c>
      <c r="AU161" s="13">
        <f t="shared" si="85"/>
        <v>7</v>
      </c>
      <c r="AV161" s="13">
        <f t="shared" si="86"/>
        <v>6</v>
      </c>
      <c r="AW161" s="175">
        <f t="shared" si="87"/>
        <v>43262</v>
      </c>
      <c r="AX161" s="774">
        <f t="shared" si="88"/>
        <v>0.5357142857142857</v>
      </c>
      <c r="AY161" s="791">
        <f t="shared" si="89"/>
        <v>64.30600816312112</v>
      </c>
      <c r="AZ161" s="765">
        <f t="shared" si="93"/>
        <v>64.281339942251464</v>
      </c>
      <c r="BA161" s="649">
        <f t="shared" si="90"/>
        <v>0.97657813309873698</v>
      </c>
      <c r="BB161" s="644">
        <v>43247</v>
      </c>
      <c r="BC161" s="11">
        <v>43247</v>
      </c>
      <c r="BD161" s="292">
        <f>[2]!FeuilCaduc*(1-Persistant)+Persistant</f>
        <v>1</v>
      </c>
      <c r="BE161" s="293">
        <f>[2]!CroissVégét</f>
        <v>0.35923310369654604</v>
      </c>
      <c r="BF161" s="844">
        <f>1+[2]!Salcycl*Ksac</f>
        <v>1.0400755022033041</v>
      </c>
      <c r="BH161" s="1107">
        <f t="shared" si="91"/>
        <v>1.1466740207925284E-3</v>
      </c>
      <c r="BI161" s="11">
        <v>44343</v>
      </c>
      <c r="BJ161" s="744">
        <v>5.2228479580654168E-4</v>
      </c>
      <c r="BK161" s="744">
        <v>7.5324453081051384E-4</v>
      </c>
      <c r="BL161" s="744">
        <v>1.055625070539052E-3</v>
      </c>
      <c r="BM161" s="744">
        <v>1.5113802949932216E-3</v>
      </c>
      <c r="BN161" s="744">
        <v>2.5087811197993127E-3</v>
      </c>
      <c r="BO161" s="745">
        <v>4.1177996809987445E-3</v>
      </c>
      <c r="BP161" s="744">
        <v>6.5771042759214179E-3</v>
      </c>
      <c r="BQ161" s="744">
        <v>1.0221297832073864E-2</v>
      </c>
      <c r="BR161" s="744">
        <v>1.6423665825017558E-2</v>
      </c>
      <c r="BS161" s="744">
        <v>2.4754465726141581E-2</v>
      </c>
      <c r="BT161" s="744">
        <v>3.445364842977721E-2</v>
      </c>
      <c r="BW161" s="1191">
        <f>'2018'!R\Max</f>
        <v>0</v>
      </c>
      <c r="BX161" s="1189">
        <f>'2019'!R\Max</f>
        <v>0.55942846862723039</v>
      </c>
      <c r="BY161" s="1189">
        <f>'2020'!R\Max</f>
        <v>0.97657813309873698</v>
      </c>
      <c r="BZ161" s="1189">
        <f>'2021'!R\Max</f>
        <v>0.97628022119421243</v>
      </c>
      <c r="CA161" s="1189">
        <f>'2022'!R\Max</f>
        <v>0.69812042175231304</v>
      </c>
      <c r="CB161" s="1189">
        <f>'2023'!R\Max</f>
        <v>0.69806438823294847</v>
      </c>
      <c r="CC161" s="1189">
        <f>'2024'!R\Max</f>
        <v>0.69798916172433645</v>
      </c>
      <c r="CD161" s="1189">
        <f>'2025'!R\Max</f>
        <v>0.69824021328499908</v>
      </c>
      <c r="CE161" s="1189">
        <f>'2026'!R\Max</f>
        <v>0.69822572048154563</v>
      </c>
      <c r="CF161" s="1190">
        <f>'2027'!R\Max</f>
        <v>0.69819922982913318</v>
      </c>
    </row>
    <row r="162" spans="1:84" s="6" customFormat="1" ht="11.25" x14ac:dyDescent="0.2">
      <c r="A162" s="11">
        <v>43248</v>
      </c>
      <c r="B162" s="382">
        <f>'2022'!Maxi_hp</f>
        <v>61.94834261618918</v>
      </c>
      <c r="C162" s="85">
        <f>'2022'!An_max</f>
        <v>2020</v>
      </c>
      <c r="D162" s="1134"/>
      <c r="E162" s="773">
        <f>X$13/10</f>
        <v>64.307199999999995</v>
      </c>
      <c r="F162" s="13">
        <f t="shared" si="92"/>
        <v>13</v>
      </c>
      <c r="G162" s="13">
        <f t="shared" si="76"/>
        <v>12</v>
      </c>
      <c r="H162" s="175">
        <f t="shared" si="77"/>
        <v>43262</v>
      </c>
      <c r="I162" s="774">
        <f t="shared" si="78"/>
        <v>1</v>
      </c>
      <c r="J162" s="765">
        <f t="shared" si="79"/>
        <v>64.307200000435117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P162" s="13">
        <f t="shared" si="80"/>
        <v>7</v>
      </c>
      <c r="AQ162" s="13">
        <f t="shared" si="81"/>
        <v>8</v>
      </c>
      <c r="AR162" s="175">
        <f t="shared" si="82"/>
        <v>43248</v>
      </c>
      <c r="AS162" s="774">
        <f t="shared" si="83"/>
        <v>0</v>
      </c>
      <c r="AT162" s="791">
        <f t="shared" si="84"/>
        <v>64.307200001180178</v>
      </c>
      <c r="AU162" s="13">
        <f t="shared" si="85"/>
        <v>7</v>
      </c>
      <c r="AV162" s="13">
        <f t="shared" si="86"/>
        <v>6</v>
      </c>
      <c r="AW162" s="175">
        <f t="shared" si="87"/>
        <v>43262</v>
      </c>
      <c r="AX162" s="774">
        <f t="shared" si="88"/>
        <v>0.5</v>
      </c>
      <c r="AY162" s="791">
        <f t="shared" si="89"/>
        <v>64.33920000009239</v>
      </c>
      <c r="AZ162" s="765">
        <f t="shared" si="93"/>
        <v>64.323200000636291</v>
      </c>
      <c r="BA162" s="649">
        <f t="shared" si="90"/>
        <v>0.96331892254319929</v>
      </c>
      <c r="BB162" s="644">
        <v>43248</v>
      </c>
      <c r="BC162" s="11">
        <v>43248</v>
      </c>
      <c r="BD162" s="292">
        <f>[2]!FeuilCaduc*(1-Persistant)+Persistant</f>
        <v>1</v>
      </c>
      <c r="BE162" s="293">
        <f>[2]!CroissVégét</f>
        <v>0.3687715084596308</v>
      </c>
      <c r="BF162" s="844">
        <f>1+[2]!Salcycl*Ksac</f>
        <v>1.0410768232449565</v>
      </c>
      <c r="BH162" s="1107">
        <f t="shared" si="91"/>
        <v>1.1592367841535009E-3</v>
      </c>
      <c r="BI162" s="11">
        <v>44344</v>
      </c>
      <c r="BJ162" s="744">
        <v>5.5402368154498609E-4</v>
      </c>
      <c r="BK162" s="744">
        <v>7.8332070661484541E-4</v>
      </c>
      <c r="BL162" s="744">
        <v>1.0739490923217482E-3</v>
      </c>
      <c r="BM162" s="744">
        <v>1.5008657237133803E-3</v>
      </c>
      <c r="BN162" s="744">
        <v>2.4228195246688527E-3</v>
      </c>
      <c r="BO162" s="745">
        <v>3.9087133655709462E-3</v>
      </c>
      <c r="BP162" s="744">
        <v>6.2010665092292637E-3</v>
      </c>
      <c r="BQ162" s="744">
        <v>9.6477369368969806E-3</v>
      </c>
      <c r="BR162" s="744">
        <v>1.557413461977007E-2</v>
      </c>
      <c r="BS162" s="744">
        <v>2.3667881474977333E-2</v>
      </c>
      <c r="BT162" s="744">
        <v>3.3188610636868641E-2</v>
      </c>
      <c r="BW162" s="1191">
        <f>'2018'!R\Max</f>
        <v>0</v>
      </c>
      <c r="BX162" s="1189">
        <f>'2019'!R\Max</f>
        <v>0.45401657908143966</v>
      </c>
      <c r="BY162" s="1189">
        <f>'2020'!R\Max</f>
        <v>0.96331892254319929</v>
      </c>
      <c r="BZ162" s="1189">
        <f>'2021'!R\Max</f>
        <v>0.67074353652420293</v>
      </c>
      <c r="CA162" s="1189">
        <f>'2022'!R\Max</f>
        <v>0.93188634506796075</v>
      </c>
      <c r="CB162" s="1189">
        <f>'2023'!R\Max</f>
        <v>0.93187062399362552</v>
      </c>
      <c r="CC162" s="1189">
        <f>'2024'!R\Max</f>
        <v>0.93184920185167874</v>
      </c>
      <c r="CD162" s="1189">
        <f>'2025'!R\Max</f>
        <v>0.93191983341649287</v>
      </c>
      <c r="CE162" s="1189">
        <f>'2026'!R\Max</f>
        <v>0.93191572679138768</v>
      </c>
      <c r="CF162" s="1190">
        <f>'2027'!R\Max</f>
        <v>0.93190835786781456</v>
      </c>
    </row>
    <row r="163" spans="1:84" s="6" customFormat="1" ht="11.25" x14ac:dyDescent="0.2">
      <c r="A163" s="11">
        <v>43249</v>
      </c>
      <c r="B163" s="382">
        <f>'2022'!Maxi_hp</f>
        <v>65.426364345119993</v>
      </c>
      <c r="C163" s="85">
        <f>'2022'!An_max</f>
        <v>2022</v>
      </c>
      <c r="D163" s="1134"/>
      <c r="E163" s="711"/>
      <c r="F163" s="13">
        <f t="shared" si="92"/>
        <v>13</v>
      </c>
      <c r="G163" s="13">
        <f t="shared" si="76"/>
        <v>12</v>
      </c>
      <c r="H163" s="175">
        <f t="shared" si="77"/>
        <v>43262</v>
      </c>
      <c r="I163" s="774">
        <f t="shared" si="78"/>
        <v>0.9285714285714286</v>
      </c>
      <c r="J163" s="765">
        <f t="shared" si="79"/>
        <v>64.344592420011764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P163" s="13">
        <f t="shared" si="80"/>
        <v>7</v>
      </c>
      <c r="AQ163" s="13">
        <f t="shared" si="81"/>
        <v>8</v>
      </c>
      <c r="AR163" s="175">
        <f t="shared" si="82"/>
        <v>43248</v>
      </c>
      <c r="AS163" s="774">
        <f t="shared" si="83"/>
        <v>3.5714285714285712E-2</v>
      </c>
      <c r="AT163" s="791">
        <f t="shared" si="84"/>
        <v>64.353336444217717</v>
      </c>
      <c r="AU163" s="13">
        <f t="shared" si="85"/>
        <v>7</v>
      </c>
      <c r="AV163" s="13">
        <f t="shared" si="86"/>
        <v>6</v>
      </c>
      <c r="AW163" s="175">
        <f t="shared" si="87"/>
        <v>43262</v>
      </c>
      <c r="AX163" s="774">
        <f t="shared" si="88"/>
        <v>0.4642857142857143</v>
      </c>
      <c r="AY163" s="791">
        <f t="shared" si="89"/>
        <v>64.367363265130138</v>
      </c>
      <c r="AZ163" s="765">
        <f t="shared" si="93"/>
        <v>64.360349854673927</v>
      </c>
      <c r="BA163" s="649">
        <f t="shared" si="90"/>
        <v>1.0168121653183677</v>
      </c>
      <c r="BB163" s="644">
        <v>43249</v>
      </c>
      <c r="BC163" s="11">
        <v>43249</v>
      </c>
      <c r="BD163" s="292">
        <f>[2]!FeuilCaduc*(1-Persistant)+Persistant</f>
        <v>1</v>
      </c>
      <c r="BE163" s="293">
        <f>[2]!CroissVégét</f>
        <v>0.37841273812207477</v>
      </c>
      <c r="BF163" s="844">
        <f>1+[2]!Salcycl*Ksac</f>
        <v>1.0420740915553315</v>
      </c>
      <c r="BH163" s="1107">
        <f t="shared" si="91"/>
        <v>1.1770276024342899E-3</v>
      </c>
      <c r="BI163" s="11">
        <v>44345</v>
      </c>
      <c r="BJ163" s="744">
        <v>5.8750901987469407E-4</v>
      </c>
      <c r="BK163" s="744">
        <v>8.1609722955675805E-4</v>
      </c>
      <c r="BL163" s="744">
        <v>1.0969234239872506E-3</v>
      </c>
      <c r="BM163" s="744">
        <v>1.4978934266749345E-3</v>
      </c>
      <c r="BN163" s="744">
        <v>2.3471441205867604E-3</v>
      </c>
      <c r="BO163" s="745">
        <v>3.7174840816690739E-3</v>
      </c>
      <c r="BP163" s="744">
        <v>5.8526518731108609E-3</v>
      </c>
      <c r="BQ163" s="744">
        <v>9.1267486866451527E-3</v>
      </c>
      <c r="BR163" s="744">
        <v>1.4814474270945878E-2</v>
      </c>
      <c r="BS163" s="744">
        <v>2.2733052173251649E-2</v>
      </c>
      <c r="BT163" s="744">
        <v>3.2149734346427011E-2</v>
      </c>
      <c r="BW163" s="1191">
        <f>'2018'!R\Max</f>
        <v>0</v>
      </c>
      <c r="BX163" s="1189">
        <f>'2019'!R\Max</f>
        <v>0.6453104904937712</v>
      </c>
      <c r="BY163" s="1189">
        <f>'2020'!R\Max</f>
        <v>0.9713803778817377</v>
      </c>
      <c r="BZ163" s="1189">
        <f>'2021'!R\Max</f>
        <v>0.63521801358064955</v>
      </c>
      <c r="CA163" s="1189">
        <f>'2022'!R\Max</f>
        <v>1.0168121653183677</v>
      </c>
      <c r="CB163" s="1189">
        <f>'2023'!R\Max</f>
        <v>1.0168121653183677</v>
      </c>
      <c r="CC163" s="1189">
        <f>'2024'!R\Max</f>
        <v>1.0168121653183677</v>
      </c>
      <c r="CD163" s="1189">
        <f>'2025'!R\Max</f>
        <v>1.0168121653183677</v>
      </c>
      <c r="CE163" s="1189">
        <f>'2026'!R\Max</f>
        <v>1.0168121653183677</v>
      </c>
      <c r="CF163" s="1190">
        <f>'2027'!R\Max</f>
        <v>1.0168121653183679</v>
      </c>
    </row>
    <row r="164" spans="1:84" s="6" customFormat="1" ht="11.25" x14ac:dyDescent="0.2">
      <c r="A164" s="11">
        <v>43250</v>
      </c>
      <c r="B164" s="382">
        <f>'2022'!Maxi_hp</f>
        <v>63.612298063151371</v>
      </c>
      <c r="C164" s="85">
        <f>'2022'!An_max</f>
        <v>2019</v>
      </c>
      <c r="D164" s="1134"/>
      <c r="E164" s="711"/>
      <c r="F164" s="13">
        <f t="shared" si="92"/>
        <v>13</v>
      </c>
      <c r="G164" s="13">
        <f t="shared" si="76"/>
        <v>12</v>
      </c>
      <c r="H164" s="175">
        <f t="shared" si="77"/>
        <v>43262</v>
      </c>
      <c r="I164" s="774">
        <f t="shared" si="78"/>
        <v>0.8571428571428571</v>
      </c>
      <c r="J164" s="765">
        <f t="shared" si="79"/>
        <v>64.376461807744846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P164" s="13">
        <f t="shared" si="80"/>
        <v>7</v>
      </c>
      <c r="AQ164" s="13">
        <f t="shared" si="81"/>
        <v>8</v>
      </c>
      <c r="AR164" s="175">
        <f t="shared" si="82"/>
        <v>43248</v>
      </c>
      <c r="AS164" s="774">
        <f t="shared" si="83"/>
        <v>7.1428571428571425E-2</v>
      </c>
      <c r="AT164" s="791">
        <f t="shared" si="84"/>
        <v>64.393124198594265</v>
      </c>
      <c r="AU164" s="13">
        <f t="shared" si="85"/>
        <v>7</v>
      </c>
      <c r="AV164" s="13">
        <f t="shared" si="86"/>
        <v>6</v>
      </c>
      <c r="AW164" s="175">
        <f t="shared" si="87"/>
        <v>43262</v>
      </c>
      <c r="AX164" s="774">
        <f t="shared" si="88"/>
        <v>0.42857142857142855</v>
      </c>
      <c r="AY164" s="791">
        <f t="shared" si="89"/>
        <v>64.390791836168077</v>
      </c>
      <c r="AZ164" s="765">
        <f t="shared" si="93"/>
        <v>64.391958017381171</v>
      </c>
      <c r="BA164" s="649">
        <f t="shared" si="90"/>
        <v>0.9881297647752747</v>
      </c>
      <c r="BB164" s="644">
        <v>43250</v>
      </c>
      <c r="BC164" s="11">
        <v>43250</v>
      </c>
      <c r="BD164" s="292">
        <f>[2]!FeuilCaduc*(1-Persistant)+Persistant</f>
        <v>1</v>
      </c>
      <c r="BE164" s="293">
        <f>[2]!CroissVégét</f>
        <v>0.38815019600224987</v>
      </c>
      <c r="BF164" s="844">
        <f>1+[2]!Salcycl*Ksac</f>
        <v>1.0430660718052081</v>
      </c>
      <c r="BH164" s="1107">
        <f t="shared" si="91"/>
        <v>1.1997211518966473E-3</v>
      </c>
      <c r="BI164" s="11">
        <v>44346</v>
      </c>
      <c r="BJ164" s="744">
        <v>6.2190447244698979E-4</v>
      </c>
      <c r="BK164" s="744">
        <v>8.5082628176618184E-4</v>
      </c>
      <c r="BL164" s="744">
        <v>1.1240602357595372E-3</v>
      </c>
      <c r="BM164" s="744">
        <v>1.5027890153937651E-3</v>
      </c>
      <c r="BN164" s="744">
        <v>2.2848983734685326E-3</v>
      </c>
      <c r="BO164" s="745">
        <v>3.5514303523392788E-3</v>
      </c>
      <c r="BP164" s="744">
        <v>5.544229815262868E-3</v>
      </c>
      <c r="BQ164" s="744">
        <v>8.6727950403075755E-3</v>
      </c>
      <c r="BR164" s="744">
        <v>1.4155226054384918E-2</v>
      </c>
      <c r="BS164" s="744">
        <v>2.1945997922725918E-2</v>
      </c>
      <c r="BT164" s="744">
        <v>3.1310192051213652E-2</v>
      </c>
      <c r="BW164" s="1191">
        <f>'2018'!R\Max</f>
        <v>0</v>
      </c>
      <c r="BX164" s="1189">
        <f>'2019'!R\Max</f>
        <v>0.9881297647752747</v>
      </c>
      <c r="BY164" s="1189">
        <f>'2020'!R\Max</f>
        <v>0.91383542593724598</v>
      </c>
      <c r="BZ164" s="1189">
        <f>'2021'!R\Max</f>
        <v>0.81521913409373059</v>
      </c>
      <c r="CA164" s="1189">
        <f>'2022'!R\Max</f>
        <v>0.86911681238590954</v>
      </c>
      <c r="CB164" s="1189">
        <f>'2023'!R\Max</f>
        <v>0.86909234802255819</v>
      </c>
      <c r="CC164" s="1189">
        <f>'2024'!R\Max</f>
        <v>0.86905764983517986</v>
      </c>
      <c r="CD164" s="1189">
        <f>'2025'!R\Max</f>
        <v>0.86916847847655543</v>
      </c>
      <c r="CE164" s="1189">
        <f>'2026'!R\Max</f>
        <v>0.86916193400287678</v>
      </c>
      <c r="CF164" s="1190">
        <f>'2027'!R\Max</f>
        <v>0.86915074227175604</v>
      </c>
    </row>
    <row r="165" spans="1:84" s="6" customFormat="1" ht="11.25" x14ac:dyDescent="0.2">
      <c r="A165" s="11">
        <v>43251</v>
      </c>
      <c r="B165" s="382">
        <f>'2022'!Maxi_hp</f>
        <v>64.631023417183059</v>
      </c>
      <c r="C165" s="85">
        <f>'2022'!An_max</f>
        <v>2019</v>
      </c>
      <c r="D165" s="1134"/>
      <c r="E165" s="711"/>
      <c r="F165" s="13">
        <f t="shared" si="92"/>
        <v>13</v>
      </c>
      <c r="G165" s="13">
        <f t="shared" si="76"/>
        <v>12</v>
      </c>
      <c r="H165" s="175">
        <f t="shared" si="77"/>
        <v>43262</v>
      </c>
      <c r="I165" s="774">
        <f t="shared" si="78"/>
        <v>0.7857142857142857</v>
      </c>
      <c r="J165" s="765">
        <f t="shared" si="79"/>
        <v>64.403032069706484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P165" s="13">
        <f t="shared" si="80"/>
        <v>7</v>
      </c>
      <c r="AQ165" s="13">
        <f t="shared" si="81"/>
        <v>8</v>
      </c>
      <c r="AR165" s="175">
        <f t="shared" si="82"/>
        <v>43248</v>
      </c>
      <c r="AS165" s="774">
        <f t="shared" si="83"/>
        <v>0.10714285714285714</v>
      </c>
      <c r="AT165" s="791">
        <f t="shared" si="84"/>
        <v>64.426745189979144</v>
      </c>
      <c r="AU165" s="13">
        <f t="shared" si="85"/>
        <v>7</v>
      </c>
      <c r="AV165" s="13">
        <f t="shared" si="86"/>
        <v>6</v>
      </c>
      <c r="AW165" s="175">
        <f t="shared" si="87"/>
        <v>43262</v>
      </c>
      <c r="AX165" s="774">
        <f t="shared" si="88"/>
        <v>0.39285714285714285</v>
      </c>
      <c r="AY165" s="791">
        <f t="shared" si="89"/>
        <v>64.409779591379419</v>
      </c>
      <c r="AZ165" s="765">
        <f t="shared" si="93"/>
        <v>64.418262390679274</v>
      </c>
      <c r="BA165" s="649">
        <f t="shared" si="90"/>
        <v>1.0035400716418104</v>
      </c>
      <c r="BB165" s="644">
        <v>43251</v>
      </c>
      <c r="BC165" s="11">
        <v>43251</v>
      </c>
      <c r="BD165" s="292">
        <f>[2]!FeuilCaduc*(1-Persistant)+Persistant</f>
        <v>1</v>
      </c>
      <c r="BE165" s="293">
        <f>[2]!CroissVégét</f>
        <v>0.3979769891015032</v>
      </c>
      <c r="BF165" s="844">
        <f>1+[2]!Salcycl*Ksac</f>
        <v>1.0440515319786861</v>
      </c>
      <c r="BH165" s="1107">
        <f t="shared" si="91"/>
        <v>1.2244983517316909E-3</v>
      </c>
      <c r="BI165" s="11">
        <v>44347</v>
      </c>
      <c r="BJ165" s="744">
        <v>6.561875485649281E-4</v>
      </c>
      <c r="BK165" s="744">
        <v>8.8584102077843936E-4</v>
      </c>
      <c r="BL165" s="744">
        <v>1.1527684880117755E-3</v>
      </c>
      <c r="BM165" s="744">
        <v>1.5118199658017545E-3</v>
      </c>
      <c r="BN165" s="744">
        <v>2.2324690363503237E-3</v>
      </c>
      <c r="BO165" s="745">
        <v>3.4020660557667858E-3</v>
      </c>
      <c r="BP165" s="744">
        <v>5.2595379252864212E-3</v>
      </c>
      <c r="BQ165" s="744">
        <v>8.2420042185248517E-3</v>
      </c>
      <c r="BR165" s="744">
        <v>1.3516850276748545E-2</v>
      </c>
      <c r="BS165" s="744">
        <v>2.1174464174253092E-2</v>
      </c>
      <c r="BT165" s="744">
        <v>3.0483634817354936E-2</v>
      </c>
      <c r="BW165" s="1191">
        <f>'2018'!R\Max</f>
        <v>0</v>
      </c>
      <c r="BX165" s="1189">
        <f>'2019'!R\Max</f>
        <v>1.0035400716418104</v>
      </c>
      <c r="BY165" s="1189">
        <f>'2020'!R\Max</f>
        <v>0.98039927567510821</v>
      </c>
      <c r="BZ165" s="1189">
        <f>'2021'!R\Max</f>
        <v>0.9231762681058463</v>
      </c>
      <c r="CA165" s="1189">
        <f>'2022'!R\Max</f>
        <v>0.93152892769891893</v>
      </c>
      <c r="CB165" s="1189">
        <f>'2023'!R\Max</f>
        <v>0.93151614710832997</v>
      </c>
      <c r="CC165" s="1189">
        <f>'2024'!R\Max</f>
        <v>0.93149762714825179</v>
      </c>
      <c r="CD165" s="1189">
        <f>'2025'!R\Max</f>
        <v>0.9315558339743395</v>
      </c>
      <c r="CE165" s="1189">
        <f>'2026'!R\Max</f>
        <v>0.93155236065257385</v>
      </c>
      <c r="CF165" s="1190">
        <f>'2027'!R\Max</f>
        <v>0.9315465809529454</v>
      </c>
    </row>
    <row r="166" spans="1:84" s="6" customFormat="1" ht="11.25" x14ac:dyDescent="0.2">
      <c r="A166" s="11">
        <v>43252</v>
      </c>
      <c r="B166" s="382">
        <f>'2022'!Maxi_hp</f>
        <v>65.060642777484958</v>
      </c>
      <c r="C166" s="85">
        <f>'2022'!An_max</f>
        <v>2019</v>
      </c>
      <c r="D166" s="1134"/>
      <c r="E166" s="711"/>
      <c r="F166" s="13">
        <f t="shared" si="92"/>
        <v>13</v>
      </c>
      <c r="G166" s="13">
        <f t="shared" si="76"/>
        <v>12</v>
      </c>
      <c r="H166" s="175">
        <f t="shared" si="77"/>
        <v>43262</v>
      </c>
      <c r="I166" s="774">
        <f t="shared" si="78"/>
        <v>0.7142857142857143</v>
      </c>
      <c r="J166" s="765">
        <f t="shared" si="79"/>
        <v>64.424527113458936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P166" s="13">
        <f t="shared" si="80"/>
        <v>7</v>
      </c>
      <c r="AQ166" s="13">
        <f t="shared" si="81"/>
        <v>8</v>
      </c>
      <c r="AR166" s="175">
        <f t="shared" si="82"/>
        <v>43248</v>
      </c>
      <c r="AS166" s="774">
        <f t="shared" si="83"/>
        <v>0.14285714285714285</v>
      </c>
      <c r="AT166" s="791">
        <f t="shared" si="84"/>
        <v>64.454381342445103</v>
      </c>
      <c r="AU166" s="13">
        <f t="shared" si="85"/>
        <v>7</v>
      </c>
      <c r="AV166" s="13">
        <f t="shared" si="86"/>
        <v>6</v>
      </c>
      <c r="AW166" s="175">
        <f t="shared" si="87"/>
        <v>43262</v>
      </c>
      <c r="AX166" s="774">
        <f t="shared" si="88"/>
        <v>0.35714285714285715</v>
      </c>
      <c r="AY166" s="791">
        <f t="shared" si="89"/>
        <v>64.424620408405147</v>
      </c>
      <c r="AZ166" s="765">
        <f t="shared" si="93"/>
        <v>64.439500875425125</v>
      </c>
      <c r="BA166" s="649">
        <f t="shared" si="90"/>
        <v>1.0098738119242343</v>
      </c>
      <c r="BB166" s="644">
        <v>43252</v>
      </c>
      <c r="BC166" s="11">
        <v>43252</v>
      </c>
      <c r="BD166" s="292">
        <f>[2]!FeuilCaduc*(1-Persistant)+Persistant</f>
        <v>1</v>
      </c>
      <c r="BE166" s="293">
        <f>[2]!CroissVégét</f>
        <v>0.4078859452556679</v>
      </c>
      <c r="BF166" s="844">
        <f>1+[2]!Salcycl*Ksac</f>
        <v>1.045029247875302</v>
      </c>
      <c r="BH166" s="1107">
        <f t="shared" si="91"/>
        <v>1.2513562477263075E-3</v>
      </c>
      <c r="BI166" s="11">
        <v>44348</v>
      </c>
      <c r="BJ166" s="744">
        <v>6.9035805035028944E-4</v>
      </c>
      <c r="BK166" s="744">
        <v>9.2114082494393248E-4</v>
      </c>
      <c r="BL166" s="744">
        <v>1.183045886324605E-3</v>
      </c>
      <c r="BM166" s="744">
        <v>1.5249806808115916E-3</v>
      </c>
      <c r="BN166" s="744">
        <v>2.1898437487360991E-3</v>
      </c>
      <c r="BO166" s="745">
        <v>3.2693718630417909E-3</v>
      </c>
      <c r="BP166" s="744">
        <v>4.99855191381558E-3</v>
      </c>
      <c r="BQ166" s="744">
        <v>7.8343621614768016E-3</v>
      </c>
      <c r="BR166" s="744">
        <v>1.2899351368443149E-2</v>
      </c>
      <c r="BS166" s="744">
        <v>2.0418479606561787E-2</v>
      </c>
      <c r="BT166" s="744">
        <v>2.9670109943028888E-2</v>
      </c>
      <c r="BW166" s="1191">
        <f>'2018'!R\Max</f>
        <v>0</v>
      </c>
      <c r="BX166" s="1189">
        <f>'2019'!R\Max</f>
        <v>1.0098738119242343</v>
      </c>
      <c r="BY166" s="1189">
        <f>'2020'!R\Max</f>
        <v>0.96328589579775747</v>
      </c>
      <c r="BZ166" s="1189">
        <f>'2021'!R\Max</f>
        <v>0.55726681818459523</v>
      </c>
      <c r="CA166" s="1189">
        <f>'2022'!R\Max</f>
        <v>0.9580115628682051</v>
      </c>
      <c r="CB166" s="1189">
        <f>'2023'!R\Max</f>
        <v>0.95800406195668286</v>
      </c>
      <c r="CC166" s="1189">
        <f>'2024'!R\Max</f>
        <v>0.9579929622386627</v>
      </c>
      <c r="CD166" s="1189">
        <f>'2025'!R\Max</f>
        <v>0.95802733184780553</v>
      </c>
      <c r="CE166" s="1189">
        <f>'2026'!R\Max</f>
        <v>0.95802525248108206</v>
      </c>
      <c r="CF166" s="1190">
        <f>'2027'!R\Max</f>
        <v>0.95802189072253663</v>
      </c>
    </row>
    <row r="167" spans="1:84" s="6" customFormat="1" ht="11.25" x14ac:dyDescent="0.2">
      <c r="A167" s="11">
        <v>43253</v>
      </c>
      <c r="B167" s="382">
        <f>'2022'!Maxi_hp</f>
        <v>63.821113384817394</v>
      </c>
      <c r="C167" s="85">
        <f>'2022'!An_max</f>
        <v>2019</v>
      </c>
      <c r="D167" s="1134"/>
      <c r="E167" s="711"/>
      <c r="F167" s="13">
        <f t="shared" si="92"/>
        <v>13</v>
      </c>
      <c r="G167" s="13">
        <f t="shared" si="76"/>
        <v>12</v>
      </c>
      <c r="H167" s="175">
        <f t="shared" si="77"/>
        <v>43262</v>
      </c>
      <c r="I167" s="774">
        <f t="shared" si="78"/>
        <v>0.6428571428571429</v>
      </c>
      <c r="J167" s="765">
        <f t="shared" si="79"/>
        <v>64.441170846245114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P167" s="13">
        <f t="shared" si="80"/>
        <v>7</v>
      </c>
      <c r="AQ167" s="13">
        <f t="shared" si="81"/>
        <v>8</v>
      </c>
      <c r="AR167" s="175">
        <f t="shared" si="82"/>
        <v>43248</v>
      </c>
      <c r="AS167" s="774">
        <f t="shared" si="83"/>
        <v>0.17857142857142858</v>
      </c>
      <c r="AT167" s="791">
        <f t="shared" si="84"/>
        <v>64.47621457757694</v>
      </c>
      <c r="AU167" s="13">
        <f t="shared" si="85"/>
        <v>7</v>
      </c>
      <c r="AV167" s="13">
        <f t="shared" si="86"/>
        <v>6</v>
      </c>
      <c r="AW167" s="175">
        <f t="shared" si="87"/>
        <v>43262</v>
      </c>
      <c r="AX167" s="774">
        <f t="shared" si="88"/>
        <v>0.32142857142857145</v>
      </c>
      <c r="AY167" s="791">
        <f t="shared" si="89"/>
        <v>64.435608162863986</v>
      </c>
      <c r="AZ167" s="765">
        <f t="shared" si="93"/>
        <v>64.455911370220463</v>
      </c>
      <c r="BA167" s="649">
        <f t="shared" si="90"/>
        <v>0.99037792992763651</v>
      </c>
      <c r="BB167" s="644">
        <v>43253</v>
      </c>
      <c r="BC167" s="11">
        <v>43253</v>
      </c>
      <c r="BD167" s="292">
        <f>[2]!FeuilCaduc*(1-Persistant)+Persistant</f>
        <v>1</v>
      </c>
      <c r="BE167" s="293">
        <f>[2]!CroissVégét</f>
        <v>0.41786963208449301</v>
      </c>
      <c r="BF167" s="844">
        <f>1+[2]!Salcycl*Ksac</f>
        <v>1.0459980076673159</v>
      </c>
      <c r="BH167" s="1107">
        <f t="shared" si="91"/>
        <v>1.2802918935810414E-3</v>
      </c>
      <c r="BI167" s="11">
        <v>44349</v>
      </c>
      <c r="BJ167" s="744">
        <v>7.2441597089303476E-4</v>
      </c>
      <c r="BK167" s="744">
        <v>9.5672524377356119E-4</v>
      </c>
      <c r="BL167" s="744">
        <v>1.2148901961601141E-3</v>
      </c>
      <c r="BM167" s="744">
        <v>1.5422653630870972E-3</v>
      </c>
      <c r="BN167" s="744">
        <v>2.157009278211117E-3</v>
      </c>
      <c r="BO167" s="745">
        <v>3.1533266412167109E-3</v>
      </c>
      <c r="BP167" s="744">
        <v>4.7612445423143327E-3</v>
      </c>
      <c r="BQ167" s="744">
        <v>7.4498511238947421E-3</v>
      </c>
      <c r="BR167" s="744">
        <v>1.2302729121190473E-2</v>
      </c>
      <c r="BS167" s="744">
        <v>1.9678067894993198E-2</v>
      </c>
      <c r="BT167" s="744">
        <v>2.8869659606731424E-2</v>
      </c>
      <c r="BW167" s="1191">
        <f>'2018'!R\Max</f>
        <v>0</v>
      </c>
      <c r="BX167" s="1189">
        <f>'2019'!R\Max</f>
        <v>0.99037792992763651</v>
      </c>
      <c r="BY167" s="1189">
        <f>'2020'!R\Max</f>
        <v>0.4697691533345178</v>
      </c>
      <c r="BZ167" s="1189">
        <f>'2021'!R\Max</f>
        <v>0.62833355877702368</v>
      </c>
      <c r="CA167" s="1189">
        <f>'2022'!R\Max</f>
        <v>0.75235227778228242</v>
      </c>
      <c r="CB167" s="1189">
        <f>'2023'!R\Max</f>
        <v>0.75231998119705557</v>
      </c>
      <c r="CC167" s="1189">
        <f>'2024'!R\Max</f>
        <v>0.75227122059559914</v>
      </c>
      <c r="CD167" s="1189">
        <f>'2025'!R\Max</f>
        <v>0.75242023439962846</v>
      </c>
      <c r="CE167" s="1189">
        <f>'2026'!R\Max</f>
        <v>0.75241105653069873</v>
      </c>
      <c r="CF167" s="1190">
        <f>'2027'!R\Max</f>
        <v>0.75239666097099167</v>
      </c>
    </row>
    <row r="168" spans="1:84" s="6" customFormat="1" ht="11.25" x14ac:dyDescent="0.2">
      <c r="A168" s="11">
        <v>43254</v>
      </c>
      <c r="B168" s="382">
        <f>'2022'!Maxi_hp</f>
        <v>59.795155783954719</v>
      </c>
      <c r="C168" s="85">
        <f>'2022'!An_max</f>
        <v>2020</v>
      </c>
      <c r="D168" s="1134"/>
      <c r="E168" s="711"/>
      <c r="F168" s="13">
        <f t="shared" si="92"/>
        <v>13</v>
      </c>
      <c r="G168" s="13">
        <f t="shared" si="76"/>
        <v>12</v>
      </c>
      <c r="H168" s="175">
        <f t="shared" si="77"/>
        <v>43262</v>
      </c>
      <c r="I168" s="774">
        <f t="shared" si="78"/>
        <v>0.5714285714285714</v>
      </c>
      <c r="J168" s="765">
        <f t="shared" si="79"/>
        <v>64.453187172434156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P168" s="13">
        <f t="shared" si="80"/>
        <v>7</v>
      </c>
      <c r="AQ168" s="13">
        <f t="shared" si="81"/>
        <v>8</v>
      </c>
      <c r="AR168" s="175">
        <f t="shared" si="82"/>
        <v>43248</v>
      </c>
      <c r="AS168" s="774">
        <f t="shared" si="83"/>
        <v>0.21428571428571427</v>
      </c>
      <c r="AT168" s="791">
        <f t="shared" si="84"/>
        <v>64.492426823505326</v>
      </c>
      <c r="AU168" s="13">
        <f t="shared" si="85"/>
        <v>7</v>
      </c>
      <c r="AV168" s="13">
        <f t="shared" si="86"/>
        <v>6</v>
      </c>
      <c r="AW168" s="175">
        <f t="shared" si="87"/>
        <v>43262</v>
      </c>
      <c r="AX168" s="774">
        <f t="shared" si="88"/>
        <v>0.2857142857142857</v>
      </c>
      <c r="AY168" s="791">
        <f t="shared" si="89"/>
        <v>64.443036735377149</v>
      </c>
      <c r="AZ168" s="765">
        <f t="shared" si="93"/>
        <v>64.467731779441237</v>
      </c>
      <c r="BA168" s="649">
        <f t="shared" si="90"/>
        <v>0.92773000695811025</v>
      </c>
      <c r="BB168" s="644">
        <v>43254</v>
      </c>
      <c r="BC168" s="11">
        <v>43254</v>
      </c>
      <c r="BD168" s="292">
        <f>[2]!FeuilCaduc*(1-Persistant)+Persistant</f>
        <v>1</v>
      </c>
      <c r="BE168" s="293">
        <f>[2]!CroissVégét</f>
        <v>0.42792037764903684</v>
      </c>
      <c r="BF168" s="844">
        <f>1+[2]!Salcycl*Ksac</f>
        <v>1.0469566164838118</v>
      </c>
      <c r="BH168" s="1107">
        <f t="shared" si="91"/>
        <v>1.3113023795817251E-3</v>
      </c>
      <c r="BI168" s="11">
        <v>44350</v>
      </c>
      <c r="BJ168" s="744">
        <v>7.5836149337485078E-4</v>
      </c>
      <c r="BK168" s="744">
        <v>9.9259400247725437E-4</v>
      </c>
      <c r="BL168" s="744">
        <v>1.2482992646781271E-3</v>
      </c>
      <c r="BM168" s="744">
        <v>1.5636680711746608E-3</v>
      </c>
      <c r="BN168" s="744">
        <v>2.1339516523195727E-3</v>
      </c>
      <c r="BO168" s="745">
        <v>3.0539076765237674E-3</v>
      </c>
      <c r="BP168" s="744">
        <v>4.547585939416488E-3</v>
      </c>
      <c r="BQ168" s="744">
        <v>7.0884499819949126E-3</v>
      </c>
      <c r="BR168" s="744">
        <v>1.1726978961761635E-2</v>
      </c>
      <c r="BS168" s="744">
        <v>1.8953247912314012E-2</v>
      </c>
      <c r="BT168" s="744">
        <v>2.8082321034612376E-2</v>
      </c>
      <c r="BW168" s="1191">
        <f>'2018'!R\Max</f>
        <v>0</v>
      </c>
      <c r="BX168" s="1189">
        <f>'2019'!R\Max</f>
        <v>0.759635684723864</v>
      </c>
      <c r="BY168" s="1189">
        <f>'2020'!R\Max</f>
        <v>0.92773000695811025</v>
      </c>
      <c r="BZ168" s="1189">
        <f>'2021'!R\Max</f>
        <v>0.82148794365519284</v>
      </c>
      <c r="CA168" s="1189">
        <f>'2022'!R\Max</f>
        <v>0.91192692084259153</v>
      </c>
      <c r="CB168" s="1189">
        <f>'2023'!R\Max</f>
        <v>0.91191399017783137</v>
      </c>
      <c r="CC168" s="1189">
        <f>'2024'!R\Max</f>
        <v>0.91189409349517403</v>
      </c>
      <c r="CD168" s="1189">
        <f>'2025'!R\Max</f>
        <v>0.91195422138914128</v>
      </c>
      <c r="CE168" s="1189">
        <f>'2026'!R\Max</f>
        <v>0.91195043507444029</v>
      </c>
      <c r="CF168" s="1190">
        <f>'2027'!R\Max</f>
        <v>0.91194467988380612</v>
      </c>
    </row>
    <row r="169" spans="1:84" s="6" customFormat="1" ht="11.25" x14ac:dyDescent="0.2">
      <c r="A169" s="11">
        <v>43255</v>
      </c>
      <c r="B169" s="382">
        <f>'2022'!Maxi_hp</f>
        <v>57.885419490334492</v>
      </c>
      <c r="C169" s="85">
        <f>'2022'!An_max</f>
        <v>2019</v>
      </c>
      <c r="D169" s="1134"/>
      <c r="E169" s="711"/>
      <c r="F169" s="13">
        <f t="shared" si="92"/>
        <v>13</v>
      </c>
      <c r="G169" s="13">
        <f t="shared" si="76"/>
        <v>12</v>
      </c>
      <c r="H169" s="175">
        <f t="shared" si="77"/>
        <v>43262</v>
      </c>
      <c r="I169" s="774">
        <f t="shared" si="78"/>
        <v>0.5</v>
      </c>
      <c r="J169" s="765">
        <f t="shared" si="79"/>
        <v>64.460800000280145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P169" s="13">
        <f t="shared" si="80"/>
        <v>7</v>
      </c>
      <c r="AQ169" s="13">
        <f t="shared" si="81"/>
        <v>8</v>
      </c>
      <c r="AR169" s="175">
        <f t="shared" si="82"/>
        <v>43248</v>
      </c>
      <c r="AS169" s="774">
        <f t="shared" si="83"/>
        <v>0.25</v>
      </c>
      <c r="AT169" s="791">
        <f t="shared" si="84"/>
        <v>64.503200000897053</v>
      </c>
      <c r="AU169" s="13">
        <f t="shared" si="85"/>
        <v>7</v>
      </c>
      <c r="AV169" s="13">
        <f t="shared" si="86"/>
        <v>6</v>
      </c>
      <c r="AW169" s="175">
        <f t="shared" si="87"/>
        <v>43262</v>
      </c>
      <c r="AX169" s="774">
        <f t="shared" si="88"/>
        <v>0.25</v>
      </c>
      <c r="AY169" s="791">
        <f t="shared" si="89"/>
        <v>64.447200000472364</v>
      </c>
      <c r="AZ169" s="765">
        <f t="shared" si="93"/>
        <v>64.475200000684708</v>
      </c>
      <c r="BA169" s="649">
        <f t="shared" si="90"/>
        <v>0.89799412185518834</v>
      </c>
      <c r="BB169" s="644">
        <v>43255</v>
      </c>
      <c r="BC169" s="11">
        <v>43255</v>
      </c>
      <c r="BD169" s="292">
        <f>[2]!FeuilCaduc*(1-Persistant)+Persistant</f>
        <v>1</v>
      </c>
      <c r="BE169" s="293">
        <f>[2]!CroissVégét</f>
        <v>0.43803029270835642</v>
      </c>
      <c r="BF169" s="844">
        <f>1+[2]!Salcycl*Ksac</f>
        <v>1.0479039009923501</v>
      </c>
      <c r="BH169" s="1107">
        <f t="shared" si="91"/>
        <v>1.3443848612777684E-3</v>
      </c>
      <c r="BI169" s="11">
        <v>44351</v>
      </c>
      <c r="BJ169" s="744">
        <v>7.9219499019623422E-4</v>
      </c>
      <c r="BK169" s="744">
        <v>1.0287470065072958E-3</v>
      </c>
      <c r="BL169" s="744">
        <v>1.2832710425587522E-3</v>
      </c>
      <c r="BM169" s="744">
        <v>1.5891827756429366E-3</v>
      </c>
      <c r="BN169" s="744">
        <v>2.1206562904545218E-3</v>
      </c>
      <c r="BO169" s="745">
        <v>2.9710908976114223E-3</v>
      </c>
      <c r="BP169" s="744">
        <v>4.357543917294854E-3</v>
      </c>
      <c r="BQ169" s="744">
        <v>6.750134540457948E-3</v>
      </c>
      <c r="BR169" s="744">
        <v>1.1172092225786844E-2</v>
      </c>
      <c r="BS169" s="744">
        <v>1.824403392964755E-2</v>
      </c>
      <c r="BT169" s="744">
        <v>2.7308126667981204E-2</v>
      </c>
      <c r="BW169" s="1191">
        <f>'2018'!R\Max</f>
        <v>0</v>
      </c>
      <c r="BX169" s="1189">
        <f>'2019'!R\Max</f>
        <v>0.89799412185518834</v>
      </c>
      <c r="BY169" s="1189">
        <f>'2020'!R\Max</f>
        <v>0.43666494753193152</v>
      </c>
      <c r="BZ169" s="1189">
        <f>'2021'!R\Max</f>
        <v>0.17400493671800818</v>
      </c>
      <c r="CA169" s="1189">
        <f>'2022'!R\Max</f>
        <v>0.51785731710333327</v>
      </c>
      <c r="CB169" s="1189">
        <f>'2023'!R\Max</f>
        <v>0.51782001205536909</v>
      </c>
      <c r="CC169" s="1189">
        <f>'2024'!R\Max</f>
        <v>0.51776162570273609</v>
      </c>
      <c r="CD169" s="1189">
        <f>'2025'!R\Max</f>
        <v>0.51793663140682611</v>
      </c>
      <c r="CE169" s="1189">
        <f>'2026'!R\Max</f>
        <v>0.51792530061103637</v>
      </c>
      <c r="CF169" s="1190">
        <f>'2027'!R\Max</f>
        <v>0.51790862548405325</v>
      </c>
    </row>
    <row r="170" spans="1:84" s="6" customFormat="1" ht="11.25" x14ac:dyDescent="0.2">
      <c r="A170" s="11">
        <v>43256</v>
      </c>
      <c r="B170" s="382">
        <f>'2022'!Maxi_hp</f>
        <v>47.550981784469194</v>
      </c>
      <c r="C170" s="85">
        <f>'2022'!An_max</f>
        <v>2021</v>
      </c>
      <c r="D170" s="1134"/>
      <c r="E170" s="711"/>
      <c r="F170" s="13">
        <f t="shared" si="92"/>
        <v>13</v>
      </c>
      <c r="G170" s="13">
        <f t="shared" si="76"/>
        <v>12</v>
      </c>
      <c r="H170" s="175">
        <f t="shared" si="77"/>
        <v>43262</v>
      </c>
      <c r="I170" s="774">
        <f t="shared" si="78"/>
        <v>0.42857142857142855</v>
      </c>
      <c r="J170" s="765">
        <f t="shared" si="79"/>
        <v>64.464233236440592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P170" s="13">
        <f t="shared" si="80"/>
        <v>7</v>
      </c>
      <c r="AQ170" s="13">
        <f t="shared" si="81"/>
        <v>8</v>
      </c>
      <c r="AR170" s="175">
        <f t="shared" si="82"/>
        <v>43248</v>
      </c>
      <c r="AS170" s="774">
        <f t="shared" si="83"/>
        <v>0.2857142857142857</v>
      </c>
      <c r="AT170" s="791">
        <f t="shared" si="84"/>
        <v>64.508716035314961</v>
      </c>
      <c r="AU170" s="13">
        <f t="shared" si="85"/>
        <v>7</v>
      </c>
      <c r="AV170" s="13">
        <f t="shared" si="86"/>
        <v>6</v>
      </c>
      <c r="AW170" s="175">
        <f t="shared" si="87"/>
        <v>43262</v>
      </c>
      <c r="AX170" s="774">
        <f t="shared" si="88"/>
        <v>0.21428571428571427</v>
      </c>
      <c r="AY170" s="791">
        <f t="shared" si="89"/>
        <v>64.448391836988066</v>
      </c>
      <c r="AZ170" s="765">
        <f t="shared" si="93"/>
        <v>64.478553936151513</v>
      </c>
      <c r="BA170" s="649">
        <f t="shared" si="90"/>
        <v>0.73763355890797111</v>
      </c>
      <c r="BB170" s="644">
        <v>43256</v>
      </c>
      <c r="BC170" s="11">
        <v>43256</v>
      </c>
      <c r="BD170" s="292">
        <f>[2]!FeuilCaduc*(1-Persistant)+Persistant</f>
        <v>1</v>
      </c>
      <c r="BE170" s="293">
        <f>[2]!CroissVégét</f>
        <v>0.44819129444890032</v>
      </c>
      <c r="BF170" s="844">
        <f>1+[2]!Salcycl*Ksac</f>
        <v>1.0488387139482442</v>
      </c>
      <c r="BH170" s="1107">
        <f t="shared" si="91"/>
        <v>1.3785542938625772E-3</v>
      </c>
      <c r="BI170" s="11">
        <v>44352</v>
      </c>
      <c r="BJ170" s="744">
        <v>8.2447323119692873E-4</v>
      </c>
      <c r="BK170" s="744">
        <v>1.063926628607127E-3</v>
      </c>
      <c r="BL170" s="744">
        <v>1.3187635526908052E-3</v>
      </c>
      <c r="BM170" s="744">
        <v>1.6180524800991872E-3</v>
      </c>
      <c r="BN170" s="744">
        <v>2.1168471393839022E-3</v>
      </c>
      <c r="BO170" s="745">
        <v>2.9056957551248657E-3</v>
      </c>
      <c r="BP170" s="744">
        <v>4.1944365180879286E-3</v>
      </c>
      <c r="BQ170" s="744">
        <v>6.4433507490537891E-3</v>
      </c>
      <c r="BR170" s="744">
        <v>1.065576031909376E-2</v>
      </c>
      <c r="BS170" s="744">
        <v>1.7573122504449021E-2</v>
      </c>
      <c r="BT170" s="744">
        <v>2.6569071356956676E-2</v>
      </c>
      <c r="BW170" s="1191">
        <f>'2018'!R\Max</f>
        <v>0</v>
      </c>
      <c r="BX170" s="1189">
        <f>'2019'!R\Max</f>
        <v>0.18322245991131073</v>
      </c>
      <c r="BY170" s="1189">
        <f>'2020'!R\Max</f>
        <v>0.58630224719330293</v>
      </c>
      <c r="BZ170" s="1189">
        <f>'2021'!R\Max</f>
        <v>0.73763355890797111</v>
      </c>
      <c r="CA170" s="1189">
        <f>'2022'!R\Max</f>
        <v>0.54108716714638583</v>
      </c>
      <c r="CB170" s="1189">
        <f>'2023'!R\Max</f>
        <v>0.54105268346198176</v>
      </c>
      <c r="CC170" s="1189">
        <f>'2024'!R\Max</f>
        <v>0.54099789723038172</v>
      </c>
      <c r="CD170" s="1189">
        <f>'2025'!R\Max</f>
        <v>0.54116122946650491</v>
      </c>
      <c r="CE170" s="1189">
        <f>'2026'!R\Max</f>
        <v>0.54115030401000264</v>
      </c>
      <c r="CF170" s="1190">
        <f>'2027'!R\Max</f>
        <v>0.5411347410181625</v>
      </c>
    </row>
    <row r="171" spans="1:84" s="6" customFormat="1" ht="11.25" x14ac:dyDescent="0.2">
      <c r="A171" s="11">
        <v>43257</v>
      </c>
      <c r="B171" s="382">
        <f>'2022'!Maxi_hp</f>
        <v>63.625581606461907</v>
      </c>
      <c r="C171" s="85">
        <f>'2022'!An_max</f>
        <v>2019</v>
      </c>
      <c r="D171" s="1134"/>
      <c r="E171" s="711"/>
      <c r="F171" s="13">
        <f t="shared" si="92"/>
        <v>13</v>
      </c>
      <c r="G171" s="13">
        <f t="shared" si="76"/>
        <v>12</v>
      </c>
      <c r="H171" s="175">
        <f t="shared" si="77"/>
        <v>43262</v>
      </c>
      <c r="I171" s="774">
        <f t="shared" si="78"/>
        <v>0.35714285714285715</v>
      </c>
      <c r="J171" s="765">
        <f t="shared" si="79"/>
        <v>64.463710787306937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P171" s="13">
        <f t="shared" si="80"/>
        <v>7</v>
      </c>
      <c r="AQ171" s="13">
        <f t="shared" si="81"/>
        <v>8</v>
      </c>
      <c r="AR171" s="175">
        <f t="shared" si="82"/>
        <v>43248</v>
      </c>
      <c r="AS171" s="774">
        <f t="shared" si="83"/>
        <v>0.32142857142857145</v>
      </c>
      <c r="AT171" s="791">
        <f t="shared" si="84"/>
        <v>64.50915685159022</v>
      </c>
      <c r="AU171" s="13">
        <f t="shared" si="85"/>
        <v>7</v>
      </c>
      <c r="AV171" s="13">
        <f t="shared" si="86"/>
        <v>6</v>
      </c>
      <c r="AW171" s="175">
        <f t="shared" si="87"/>
        <v>43262</v>
      </c>
      <c r="AX171" s="774">
        <f t="shared" si="88"/>
        <v>0.17857142857142858</v>
      </c>
      <c r="AY171" s="791">
        <f t="shared" si="89"/>
        <v>64.446906122911187</v>
      </c>
      <c r="AZ171" s="765">
        <f t="shared" si="93"/>
        <v>64.478031487250703</v>
      </c>
      <c r="BA171" s="649">
        <f t="shared" si="90"/>
        <v>0.98699843414831678</v>
      </c>
      <c r="BB171" s="644">
        <v>43257</v>
      </c>
      <c r="BC171" s="11">
        <v>43257</v>
      </c>
      <c r="BD171" s="292">
        <f>[2]!FeuilCaduc*(1-Persistant)+Persistant</f>
        <v>1</v>
      </c>
      <c r="BE171" s="293">
        <f>[2]!CroissVégét</f>
        <v>0.45839513154318023</v>
      </c>
      <c r="BF171" s="844">
        <f>1+[2]!Salcycl*Ksac</f>
        <v>1.0497599386811327</v>
      </c>
      <c r="BH171" s="1107">
        <f t="shared" si="91"/>
        <v>1.4113767422759865E-3</v>
      </c>
      <c r="BI171" s="11">
        <v>44353</v>
      </c>
      <c r="BJ171" s="744">
        <v>8.5443506300981217E-4</v>
      </c>
      <c r="BK171" s="744">
        <v>1.0970604415124585E-3</v>
      </c>
      <c r="BL171" s="744">
        <v>1.3526875306825671E-3</v>
      </c>
      <c r="BM171" s="744">
        <v>1.6464626343859268E-3</v>
      </c>
      <c r="BN171" s="744">
        <v>2.1159128758387112E-3</v>
      </c>
      <c r="BO171" s="745">
        <v>2.8485171065388061E-3</v>
      </c>
      <c r="BP171" s="744">
        <v>4.0472042589145664E-3</v>
      </c>
      <c r="BQ171" s="744">
        <v>6.1598428227097489E-3</v>
      </c>
      <c r="BR171" s="744">
        <v>1.0168313294430591E-2</v>
      </c>
      <c r="BS171" s="744">
        <v>1.6921863464905072E-2</v>
      </c>
      <c r="BT171" s="744">
        <v>2.5826349982776876E-2</v>
      </c>
      <c r="BW171" s="1191">
        <f>'2018'!R\Max</f>
        <v>0</v>
      </c>
      <c r="BX171" s="1189">
        <f>'2019'!R\Max</f>
        <v>0.98699843414831678</v>
      </c>
      <c r="BY171" s="1189">
        <f>'2020'!R\Max</f>
        <v>0.43125542781807608</v>
      </c>
      <c r="BZ171" s="1189">
        <f>'2021'!R\Max</f>
        <v>0.75006332376469687</v>
      </c>
      <c r="CA171" s="1189">
        <f>'2022'!R\Max</f>
        <v>0.72221059971448232</v>
      </c>
      <c r="CB171" s="1189">
        <f>'2023'!R\Max</f>
        <v>0.72218468504646383</v>
      </c>
      <c r="CC171" s="1189">
        <f>'2024'!R\Max</f>
        <v>0.72214292006495795</v>
      </c>
      <c r="CD171" s="1189">
        <f>'2025'!R\Max</f>
        <v>0.7222668902105438</v>
      </c>
      <c r="CE171" s="1189">
        <f>'2026'!R\Max</f>
        <v>0.72225831077688929</v>
      </c>
      <c r="CF171" s="1190">
        <f>'2027'!R\Max</f>
        <v>0.72224647726356384</v>
      </c>
    </row>
    <row r="172" spans="1:84" s="6" customFormat="1" ht="11.25" x14ac:dyDescent="0.2">
      <c r="A172" s="11">
        <v>43258</v>
      </c>
      <c r="B172" s="382">
        <f>'2022'!Maxi_hp</f>
        <v>57.342414657537475</v>
      </c>
      <c r="C172" s="85">
        <f>'2022'!An_max</f>
        <v>2021</v>
      </c>
      <c r="D172" s="1134"/>
      <c r="E172" s="711"/>
      <c r="F172" s="13">
        <f t="shared" si="92"/>
        <v>13</v>
      </c>
      <c r="G172" s="13">
        <f t="shared" si="76"/>
        <v>12</v>
      </c>
      <c r="H172" s="175">
        <f t="shared" si="77"/>
        <v>43262</v>
      </c>
      <c r="I172" s="774">
        <f t="shared" si="78"/>
        <v>0.2857142857142857</v>
      </c>
      <c r="J172" s="765">
        <f t="shared" si="79"/>
        <v>64.459456559909242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P172" s="13">
        <f t="shared" si="80"/>
        <v>7</v>
      </c>
      <c r="AQ172" s="13">
        <f t="shared" si="81"/>
        <v>8</v>
      </c>
      <c r="AR172" s="175">
        <f t="shared" si="82"/>
        <v>43248</v>
      </c>
      <c r="AS172" s="774">
        <f t="shared" si="83"/>
        <v>0.35714285714285715</v>
      </c>
      <c r="AT172" s="791">
        <f t="shared" si="84"/>
        <v>64.504704374660335</v>
      </c>
      <c r="AU172" s="13">
        <f t="shared" si="85"/>
        <v>7</v>
      </c>
      <c r="AV172" s="13">
        <f t="shared" si="86"/>
        <v>6</v>
      </c>
      <c r="AW172" s="175">
        <f t="shared" si="87"/>
        <v>43262</v>
      </c>
      <c r="AX172" s="774">
        <f t="shared" si="88"/>
        <v>0.14285714285714285</v>
      </c>
      <c r="AY172" s="791">
        <f t="shared" si="89"/>
        <v>64.44303673516427</v>
      </c>
      <c r="AZ172" s="765">
        <f t="shared" si="93"/>
        <v>64.47387055491231</v>
      </c>
      <c r="BA172" s="649">
        <f t="shared" si="90"/>
        <v>0.88958886279537408</v>
      </c>
      <c r="BB172" s="644">
        <v>43258</v>
      </c>
      <c r="BC172" s="11">
        <v>43258</v>
      </c>
      <c r="BD172" s="292">
        <f>[2]!FeuilCaduc*(1-Persistant)+Persistant</f>
        <v>1</v>
      </c>
      <c r="BE172" s="293">
        <f>[2]!CroissVégét</f>
        <v>0.46863341037883222</v>
      </c>
      <c r="BF172" s="844">
        <f>1+[2]!Salcycl*Ksac</f>
        <v>1.0506664934883754</v>
      </c>
      <c r="BH172" s="1107">
        <f t="shared" si="91"/>
        <v>1.442856225057882E-3</v>
      </c>
      <c r="BI172" s="11">
        <v>44354</v>
      </c>
      <c r="BJ172" s="744">
        <v>8.8208562534341584E-4</v>
      </c>
      <c r="BK172" s="744">
        <v>1.1281533586663202E-3</v>
      </c>
      <c r="BL172" s="744">
        <v>1.3850473209439957E-3</v>
      </c>
      <c r="BM172" s="744">
        <v>1.6744159517357374E-3</v>
      </c>
      <c r="BN172" s="744">
        <v>2.1178509158156201E-3</v>
      </c>
      <c r="BO172" s="745">
        <v>2.7995439727839613E-3</v>
      </c>
      <c r="BP172" s="744">
        <v>3.915824441784203E-3</v>
      </c>
      <c r="BQ172" s="744">
        <v>5.8995786403947962E-3</v>
      </c>
      <c r="BR172" s="744">
        <v>9.7097163864086605E-3</v>
      </c>
      <c r="BS172" s="744">
        <v>1.629025059831684E-2</v>
      </c>
      <c r="BT172" s="744">
        <v>2.5080013452200317E-2</v>
      </c>
      <c r="BW172" s="1191">
        <f>'2018'!R\Max</f>
        <v>0</v>
      </c>
      <c r="BX172" s="1189">
        <f>'2019'!R\Max</f>
        <v>0.34148812072204876</v>
      </c>
      <c r="BY172" s="1189">
        <f>'2020'!R\Max</f>
        <v>0.44772567425175369</v>
      </c>
      <c r="BZ172" s="1189">
        <f>'2021'!R\Max</f>
        <v>0.88958886279537408</v>
      </c>
      <c r="CA172" s="1189">
        <f>'2022'!R\Max</f>
        <v>0.54368426499064504</v>
      </c>
      <c r="CB172" s="1189">
        <f>'2023'!R\Max</f>
        <v>0.54365442073370418</v>
      </c>
      <c r="CC172" s="1189">
        <f>'2024'!R\Max</f>
        <v>0.54360569115049096</v>
      </c>
      <c r="CD172" s="1189">
        <f>'2025'!R\Max</f>
        <v>0.5437499255236895</v>
      </c>
      <c r="CE172" s="1189">
        <f>'2026'!R\Max</f>
        <v>0.54373958129621391</v>
      </c>
      <c r="CF172" s="1190">
        <f>'2027'!R\Max</f>
        <v>0.54372575684896984</v>
      </c>
    </row>
    <row r="173" spans="1:84" s="6" customFormat="1" ht="11.25" x14ac:dyDescent="0.2">
      <c r="A173" s="11">
        <v>43259</v>
      </c>
      <c r="B173" s="382">
        <f>'2022'!Maxi_hp</f>
        <v>65.985446784364868</v>
      </c>
      <c r="C173" s="85">
        <f>'2022'!An_max</f>
        <v>2019</v>
      </c>
      <c r="D173" s="1134"/>
      <c r="E173" s="711"/>
      <c r="F173" s="13">
        <f t="shared" si="92"/>
        <v>13</v>
      </c>
      <c r="G173" s="13">
        <f t="shared" si="76"/>
        <v>12</v>
      </c>
      <c r="H173" s="175">
        <f t="shared" si="77"/>
        <v>43262</v>
      </c>
      <c r="I173" s="774">
        <f t="shared" si="78"/>
        <v>0.21428571428571427</v>
      </c>
      <c r="J173" s="765">
        <f t="shared" si="79"/>
        <v>64.451694460745358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P173" s="13">
        <f t="shared" si="80"/>
        <v>7</v>
      </c>
      <c r="AQ173" s="13">
        <f t="shared" si="81"/>
        <v>8</v>
      </c>
      <c r="AR173" s="175">
        <f t="shared" si="82"/>
        <v>43248</v>
      </c>
      <c r="AS173" s="774">
        <f t="shared" si="83"/>
        <v>0.39285714285714285</v>
      </c>
      <c r="AT173" s="791">
        <f t="shared" si="84"/>
        <v>64.495540525019166</v>
      </c>
      <c r="AU173" s="13">
        <f t="shared" si="85"/>
        <v>7</v>
      </c>
      <c r="AV173" s="13">
        <f t="shared" si="86"/>
        <v>6</v>
      </c>
      <c r="AW173" s="175">
        <f t="shared" si="87"/>
        <v>43262</v>
      </c>
      <c r="AX173" s="774">
        <f t="shared" si="88"/>
        <v>0.10714285714285714</v>
      </c>
      <c r="AY173" s="791">
        <f t="shared" si="89"/>
        <v>64.437077551574575</v>
      </c>
      <c r="AZ173" s="765">
        <f t="shared" si="93"/>
        <v>64.46630903829687</v>
      </c>
      <c r="BA173" s="649">
        <f t="shared" si="90"/>
        <v>1.0237969278612784</v>
      </c>
      <c r="BB173" s="644">
        <v>43259</v>
      </c>
      <c r="BC173" s="11">
        <v>43259</v>
      </c>
      <c r="BD173" s="292">
        <f>[2]!FeuilCaduc*(1-Persistant)+Persistant</f>
        <v>1</v>
      </c>
      <c r="BE173" s="293">
        <f>[2]!CroissVégét</f>
        <v>0.4788976222853652</v>
      </c>
      <c r="BF173" s="844">
        <f>1+[2]!Salcycl*Ksac</f>
        <v>1.0515573359049299</v>
      </c>
      <c r="BH173" s="1107">
        <f t="shared" si="91"/>
        <v>1.4729969594551209E-3</v>
      </c>
      <c r="BI173" s="11">
        <v>44355</v>
      </c>
      <c r="BJ173" s="744">
        <v>9.0743025136333518E-4</v>
      </c>
      <c r="BK173" s="744">
        <v>1.1572105015410302E-3</v>
      </c>
      <c r="BL173" s="744">
        <v>1.4158474750990792E-3</v>
      </c>
      <c r="BM173" s="744">
        <v>1.7019153100122366E-3</v>
      </c>
      <c r="BN173" s="744">
        <v>2.1226586415958341E-3</v>
      </c>
      <c r="BO173" s="745">
        <v>2.7587649734050882E-3</v>
      </c>
      <c r="BP173" s="744">
        <v>3.800273389849191E-3</v>
      </c>
      <c r="BQ173" s="744">
        <v>5.6625242814851246E-3</v>
      </c>
      <c r="BR173" s="744">
        <v>9.2799318726748178E-3</v>
      </c>
      <c r="BS173" s="744">
        <v>1.5678273988216661E-2</v>
      </c>
      <c r="BT173" s="744">
        <v>2.433010879454478E-2</v>
      </c>
      <c r="BW173" s="1191">
        <f>'2018'!R\Max</f>
        <v>0</v>
      </c>
      <c r="BX173" s="1189">
        <f>'2019'!R\Max</f>
        <v>1.0237969278612784</v>
      </c>
      <c r="BY173" s="1189">
        <f>'2020'!R\Max</f>
        <v>0.63279286399261581</v>
      </c>
      <c r="BZ173" s="1189">
        <f>'2021'!R\Max</f>
        <v>0.98923688662454112</v>
      </c>
      <c r="CA173" s="1189">
        <f>'2022'!R\Max</f>
        <v>0.38262408501935496</v>
      </c>
      <c r="CB173" s="1189">
        <f>'2023'!R\Max</f>
        <v>0.3825975694367868</v>
      </c>
      <c r="CC173" s="1189">
        <f>'2024'!R\Max</f>
        <v>0.38255377506249161</v>
      </c>
      <c r="CD173" s="1189">
        <f>'2025'!R\Max</f>
        <v>0.38268325731785463</v>
      </c>
      <c r="CE173" s="1189">
        <f>'2026'!R\Max</f>
        <v>0.38267362158730911</v>
      </c>
      <c r="CF173" s="1190">
        <f>'2027'!R\Max</f>
        <v>0.38266112984897527</v>
      </c>
    </row>
    <row r="174" spans="1:84" s="6" customFormat="1" ht="11.25" x14ac:dyDescent="0.2">
      <c r="A174" s="11">
        <v>43260</v>
      </c>
      <c r="B174" s="382">
        <f>'2022'!Maxi_hp</f>
        <v>59.948298229793359</v>
      </c>
      <c r="C174" s="85">
        <f>'2022'!An_max</f>
        <v>2021</v>
      </c>
      <c r="D174" s="1134"/>
      <c r="E174" s="711"/>
      <c r="F174" s="13">
        <f t="shared" si="92"/>
        <v>13</v>
      </c>
      <c r="G174" s="13">
        <f t="shared" si="76"/>
        <v>12</v>
      </c>
      <c r="H174" s="175">
        <f t="shared" si="77"/>
        <v>43262</v>
      </c>
      <c r="I174" s="774">
        <f t="shared" si="78"/>
        <v>0.14285714285714285</v>
      </c>
      <c r="J174" s="765">
        <f t="shared" si="79"/>
        <v>64.440648396313208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P174" s="13">
        <f t="shared" si="80"/>
        <v>7</v>
      </c>
      <c r="AQ174" s="13">
        <f t="shared" si="81"/>
        <v>8</v>
      </c>
      <c r="AR174" s="175">
        <f t="shared" si="82"/>
        <v>43248</v>
      </c>
      <c r="AS174" s="774">
        <f t="shared" si="83"/>
        <v>0.42857142857142855</v>
      </c>
      <c r="AT174" s="791">
        <f t="shared" si="84"/>
        <v>64.481847231196497</v>
      </c>
      <c r="AU174" s="13">
        <f t="shared" si="85"/>
        <v>7</v>
      </c>
      <c r="AV174" s="13">
        <f t="shared" si="86"/>
        <v>6</v>
      </c>
      <c r="AW174" s="175">
        <f t="shared" si="87"/>
        <v>43262</v>
      </c>
      <c r="AX174" s="774">
        <f t="shared" si="88"/>
        <v>7.1428571428571425E-2</v>
      </c>
      <c r="AY174" s="791">
        <f t="shared" si="89"/>
        <v>64.429322448851806</v>
      </c>
      <c r="AZ174" s="765">
        <f t="shared" si="93"/>
        <v>64.455584840024159</v>
      </c>
      <c r="BA174" s="649">
        <f t="shared" si="90"/>
        <v>0.930287011718261</v>
      </c>
      <c r="BB174" s="644">
        <v>43260</v>
      </c>
      <c r="BC174" s="11">
        <v>43260</v>
      </c>
      <c r="BD174" s="292">
        <f>[2]!FeuilCaduc*(1-Persistant)+Persistant</f>
        <v>1</v>
      </c>
      <c r="BE174" s="293">
        <f>[2]!CroissVégét</f>
        <v>0.48917917157397695</v>
      </c>
      <c r="BF174" s="844">
        <f>1+[2]!Salcycl*Ksac</f>
        <v>1.0524314668197743</v>
      </c>
      <c r="BH174" s="1107">
        <f t="shared" si="91"/>
        <v>1.501803343837793E-3</v>
      </c>
      <c r="BI174" s="11">
        <v>44356</v>
      </c>
      <c r="BJ174" s="744">
        <v>9.3047443691391394E-4</v>
      </c>
      <c r="BK174" s="744">
        <v>1.1842371725881949E-3</v>
      </c>
      <c r="BL174" s="744">
        <v>1.4450927314203727E-3</v>
      </c>
      <c r="BM174" s="744">
        <v>1.7289637460699673E-3</v>
      </c>
      <c r="BN174" s="744">
        <v>2.1303334407416635E-3</v>
      </c>
      <c r="BO174" s="745">
        <v>2.726168436905724E-3</v>
      </c>
      <c r="BP174" s="744">
        <v>3.7005266598956507E-3</v>
      </c>
      <c r="BQ174" s="744">
        <v>5.4486443361817065E-3</v>
      </c>
      <c r="BR174" s="744">
        <v>8.8789194569814326E-3</v>
      </c>
      <c r="BS174" s="744">
        <v>1.5085920270159684E-2</v>
      </c>
      <c r="BT174" s="744">
        <v>2.3576679101002303E-2</v>
      </c>
      <c r="BW174" s="1191">
        <f>'2018'!R\Max</f>
        <v>0</v>
      </c>
      <c r="BX174" s="1189">
        <f>'2019'!R\Max</f>
        <v>0.82342350976894885</v>
      </c>
      <c r="BY174" s="1189">
        <f>'2020'!R\Max</f>
        <v>0.75161123151003906</v>
      </c>
      <c r="BZ174" s="1189">
        <f>'2021'!R\Max</f>
        <v>0.930287011718261</v>
      </c>
      <c r="CA174" s="1189">
        <f>'2022'!R\Max</f>
        <v>0.76148040533262273</v>
      </c>
      <c r="CB174" s="1189">
        <f>'2023'!R\Max</f>
        <v>0.76146132845916537</v>
      </c>
      <c r="CC174" s="1189">
        <f>'2024'!R\Max</f>
        <v>0.76142951828738403</v>
      </c>
      <c r="CD174" s="1189">
        <f>'2025'!R\Max</f>
        <v>0.76152364335273992</v>
      </c>
      <c r="CE174" s="1189">
        <f>'2026'!R\Max</f>
        <v>0.76151636918340448</v>
      </c>
      <c r="CF174" s="1190">
        <f>'2027'!R\Max</f>
        <v>0.76150720640381453</v>
      </c>
    </row>
    <row r="175" spans="1:84" s="6" customFormat="1" ht="11.25" x14ac:dyDescent="0.2">
      <c r="A175" s="11">
        <v>43261</v>
      </c>
      <c r="B175" s="382">
        <f>'2022'!Maxi_hp</f>
        <v>64.477351008667043</v>
      </c>
      <c r="C175" s="85">
        <f>'2022'!An_max</f>
        <v>2022</v>
      </c>
      <c r="D175" s="1134"/>
      <c r="E175" s="711"/>
      <c r="F175" s="13">
        <f t="shared" si="92"/>
        <v>13</v>
      </c>
      <c r="G175" s="13">
        <f t="shared" si="76"/>
        <v>12</v>
      </c>
      <c r="H175" s="175">
        <f t="shared" si="77"/>
        <v>43262</v>
      </c>
      <c r="I175" s="774">
        <f t="shared" si="78"/>
        <v>7.1428571428571425E-2</v>
      </c>
      <c r="J175" s="765">
        <f t="shared" si="79"/>
        <v>64.426542273962085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P175" s="13">
        <f t="shared" si="80"/>
        <v>7</v>
      </c>
      <c r="AQ175" s="13">
        <f t="shared" si="81"/>
        <v>8</v>
      </c>
      <c r="AR175" s="175">
        <f t="shared" si="82"/>
        <v>43248</v>
      </c>
      <c r="AS175" s="774">
        <f t="shared" si="83"/>
        <v>0.4642857142857143</v>
      </c>
      <c r="AT175" s="791">
        <f t="shared" si="84"/>
        <v>64.463806414258272</v>
      </c>
      <c r="AU175" s="13">
        <f t="shared" si="85"/>
        <v>7</v>
      </c>
      <c r="AV175" s="13">
        <f t="shared" si="86"/>
        <v>6</v>
      </c>
      <c r="AW175" s="175">
        <f t="shared" si="87"/>
        <v>43262</v>
      </c>
      <c r="AX175" s="774">
        <f t="shared" si="88"/>
        <v>3.5714285714285712E-2</v>
      </c>
      <c r="AY175" s="791">
        <f t="shared" si="89"/>
        <v>64.420065306073852</v>
      </c>
      <c r="AZ175" s="765">
        <f t="shared" si="93"/>
        <v>64.441935860166069</v>
      </c>
      <c r="BA175" s="649">
        <f t="shared" si="90"/>
        <v>1.0007886304760685</v>
      </c>
      <c r="BB175" s="644">
        <v>43261</v>
      </c>
      <c r="BC175" s="11">
        <v>43261</v>
      </c>
      <c r="BD175" s="292">
        <f>[2]!FeuilCaduc*(1-Persistant)+Persistant</f>
        <v>1</v>
      </c>
      <c r="BE175" s="293">
        <f>[2]!CroissVégét</f>
        <v>0.499469404196</v>
      </c>
      <c r="BF175" s="844">
        <f>1+[2]!Salcycl*Ksac</f>
        <v>1.0532879344096036</v>
      </c>
      <c r="BH175" s="1107">
        <f t="shared" si="91"/>
        <v>1.5292799401334127E-3</v>
      </c>
      <c r="BI175" s="11">
        <v>44357</v>
      </c>
      <c r="BJ175" s="744">
        <v>9.5122380975091385E-4</v>
      </c>
      <c r="BK175" s="744">
        <v>1.2092388282027395E-3</v>
      </c>
      <c r="BL175" s="744">
        <v>1.4727879942807505E-3</v>
      </c>
      <c r="BM175" s="744">
        <v>1.7555644501350536E-3</v>
      </c>
      <c r="BN175" s="744">
        <v>2.1408727451192331E-3</v>
      </c>
      <c r="BO175" s="745">
        <v>2.7017425111272842E-3</v>
      </c>
      <c r="BP175" s="744">
        <v>3.6165592548821333E-3</v>
      </c>
      <c r="BQ175" s="744">
        <v>5.2579022159996583E-3</v>
      </c>
      <c r="BR175" s="744">
        <v>8.5066366523742897E-3</v>
      </c>
      <c r="BS175" s="744">
        <v>1.4513172887713865E-2</v>
      </c>
      <c r="BT175" s="744">
        <v>2.2819763464260359E-2</v>
      </c>
      <c r="BW175" s="1191">
        <f>'2018'!R\Max</f>
        <v>0</v>
      </c>
      <c r="BX175" s="1189">
        <f>'2019'!R\Max</f>
        <v>0.40814916369172838</v>
      </c>
      <c r="BY175" s="1189">
        <f>'2020'!R\Max</f>
        <v>0.3870671882155251</v>
      </c>
      <c r="BZ175" s="1189">
        <f>'2021'!R\Max</f>
        <v>0.94596181585968142</v>
      </c>
      <c r="CA175" s="1189">
        <f>'2022'!R\Max</f>
        <v>1.0007886304760685</v>
      </c>
      <c r="CB175" s="1189">
        <f>'2023'!R\Max</f>
        <v>1.0007886304760683</v>
      </c>
      <c r="CC175" s="1189">
        <f>'2024'!R\Max</f>
        <v>1.0007886304760685</v>
      </c>
      <c r="CD175" s="1189">
        <f>'2025'!R\Max</f>
        <v>1.0007886304760685</v>
      </c>
      <c r="CE175" s="1189">
        <f>'2026'!R\Max</f>
        <v>1.0007886304760685</v>
      </c>
      <c r="CF175" s="1190">
        <f>'2027'!R\Max</f>
        <v>1.0007886304760685</v>
      </c>
    </row>
    <row r="176" spans="1:84" s="6" customFormat="1" ht="11.25" x14ac:dyDescent="0.2">
      <c r="A176" s="11">
        <v>43262</v>
      </c>
      <c r="B176" s="382">
        <f>'2022'!Maxi_hp</f>
        <v>60.507586593115512</v>
      </c>
      <c r="C176" s="85">
        <f>'2022'!An_max</f>
        <v>2022</v>
      </c>
      <c r="D176" s="1134"/>
      <c r="E176" s="773">
        <f>Y$13/10</f>
        <v>64.409599999999998</v>
      </c>
      <c r="F176" s="13">
        <f t="shared" si="92"/>
        <v>13</v>
      </c>
      <c r="G176" s="13">
        <f t="shared" si="76"/>
        <v>14</v>
      </c>
      <c r="H176" s="175">
        <f t="shared" si="77"/>
        <v>43262</v>
      </c>
      <c r="I176" s="774">
        <f t="shared" si="78"/>
        <v>0</v>
      </c>
      <c r="J176" s="765">
        <f t="shared" si="79"/>
        <v>64.409600001573565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P176" s="13">
        <f t="shared" si="80"/>
        <v>7</v>
      </c>
      <c r="AQ176" s="13">
        <f t="shared" si="81"/>
        <v>8</v>
      </c>
      <c r="AR176" s="175">
        <f t="shared" si="82"/>
        <v>43248</v>
      </c>
      <c r="AS176" s="774">
        <f t="shared" si="83"/>
        <v>0.5</v>
      </c>
      <c r="AT176" s="791">
        <f t="shared" si="84"/>
        <v>64.441600000858301</v>
      </c>
      <c r="AU176" s="13">
        <f t="shared" si="85"/>
        <v>7</v>
      </c>
      <c r="AV176" s="13">
        <f t="shared" si="86"/>
        <v>8</v>
      </c>
      <c r="AW176" s="175">
        <f t="shared" si="87"/>
        <v>43262</v>
      </c>
      <c r="AX176" s="774">
        <f t="shared" si="88"/>
        <v>0</v>
      </c>
      <c r="AY176" s="791">
        <f t="shared" si="89"/>
        <v>64.409600000083444</v>
      </c>
      <c r="AZ176" s="765">
        <f t="shared" si="93"/>
        <v>64.425600000470865</v>
      </c>
      <c r="BA176" s="649">
        <f t="shared" si="90"/>
        <v>0.93941876042759587</v>
      </c>
      <c r="BB176" s="644">
        <v>43262</v>
      </c>
      <c r="BC176" s="11">
        <v>43262</v>
      </c>
      <c r="BD176" s="292">
        <f>[2]!FeuilCaduc*(1-Persistant)+Persistant</f>
        <v>1</v>
      </c>
      <c r="BE176" s="293">
        <f>[2]!CroissVégét</f>
        <v>0.50975963681802305</v>
      </c>
      <c r="BF176" s="844">
        <f>1+[2]!Salcycl*Ksac</f>
        <v>1.0541258378614904</v>
      </c>
      <c r="BH176" s="1107">
        <f t="shared" si="91"/>
        <v>1.5554314562446364E-3</v>
      </c>
      <c r="BI176" s="11">
        <v>44358</v>
      </c>
      <c r="BJ176" s="744">
        <v>9.6968409876408335E-4</v>
      </c>
      <c r="BK176" s="744">
        <v>1.2322210516740411E-3</v>
      </c>
      <c r="BL176" s="744">
        <v>1.4989383135893403E-3</v>
      </c>
      <c r="BM176" s="744">
        <v>1.7817207601667823E-3</v>
      </c>
      <c r="BN176" s="744">
        <v>2.1542740698972046E-3</v>
      </c>
      <c r="BO176" s="745">
        <v>2.6854752735966619E-3</v>
      </c>
      <c r="BP176" s="744">
        <v>3.5483458364344886E-3</v>
      </c>
      <c r="BQ176" s="744">
        <v>5.0902604641918188E-3</v>
      </c>
      <c r="BR176" s="744">
        <v>8.163039164272393E-3</v>
      </c>
      <c r="BS176" s="744">
        <v>1.3960012348267915E-2</v>
      </c>
      <c r="BT176" s="744">
        <v>2.2059396917841968E-2</v>
      </c>
      <c r="BW176" s="1191">
        <f>'2018'!R\Max</f>
        <v>0</v>
      </c>
      <c r="BX176" s="1189">
        <f>'2019'!R\Max</f>
        <v>0.51391781912393686</v>
      </c>
      <c r="BY176" s="1189">
        <f>'2020'!R\Max</f>
        <v>0.75180162897633451</v>
      </c>
      <c r="BZ176" s="1189">
        <f>'2021'!R\Max</f>
        <v>0.73830210063341262</v>
      </c>
      <c r="CA176" s="1189">
        <f>'2022'!R\Max</f>
        <v>0.93941876042759587</v>
      </c>
      <c r="CB176" s="1189">
        <f>'2023'!R\Max</f>
        <v>0.93941346428569694</v>
      </c>
      <c r="CC176" s="1189">
        <f>'2024'!R\Max</f>
        <v>0.93940454266554485</v>
      </c>
      <c r="CD176" s="1189">
        <f>'2025'!R\Max</f>
        <v>0.93943120034372807</v>
      </c>
      <c r="CE176" s="1189">
        <f>'2026'!R\Max</f>
        <v>0.93942897340735099</v>
      </c>
      <c r="CF176" s="1190">
        <f>'2027'!R\Max</f>
        <v>0.93942630732038912</v>
      </c>
    </row>
    <row r="177" spans="1:84" s="6" customFormat="1" ht="11.25" x14ac:dyDescent="0.2">
      <c r="A177" s="11">
        <v>43263</v>
      </c>
      <c r="B177" s="382">
        <f>'2022'!Maxi_hp</f>
        <v>60.838298485220825</v>
      </c>
      <c r="C177" s="85">
        <f>'2022'!An_max</f>
        <v>2019</v>
      </c>
      <c r="D177" s="1134"/>
      <c r="E177" s="711"/>
      <c r="F177" s="13">
        <f t="shared" si="92"/>
        <v>13</v>
      </c>
      <c r="G177" s="13">
        <f t="shared" si="76"/>
        <v>14</v>
      </c>
      <c r="H177" s="175">
        <f t="shared" si="77"/>
        <v>43262</v>
      </c>
      <c r="I177" s="774">
        <f t="shared" si="78"/>
        <v>7.1428571428571425E-2</v>
      </c>
      <c r="J177" s="765">
        <f t="shared" si="79"/>
        <v>64.389000584025467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P177" s="13">
        <f t="shared" si="80"/>
        <v>7</v>
      </c>
      <c r="AQ177" s="13">
        <f t="shared" si="81"/>
        <v>8</v>
      </c>
      <c r="AR177" s="175">
        <f t="shared" si="82"/>
        <v>43248</v>
      </c>
      <c r="AS177" s="774">
        <f t="shared" si="83"/>
        <v>0.5357142857142857</v>
      </c>
      <c r="AT177" s="791">
        <f t="shared" si="84"/>
        <v>64.415409913605885</v>
      </c>
      <c r="AU177" s="13">
        <f t="shared" si="85"/>
        <v>7</v>
      </c>
      <c r="AV177" s="13">
        <f t="shared" si="86"/>
        <v>8</v>
      </c>
      <c r="AW177" s="175">
        <f t="shared" si="87"/>
        <v>43262</v>
      </c>
      <c r="AX177" s="774">
        <f t="shared" si="88"/>
        <v>3.5714285714285712E-2</v>
      </c>
      <c r="AY177" s="791">
        <f t="shared" si="89"/>
        <v>64.396548105177601</v>
      </c>
      <c r="AZ177" s="765">
        <f t="shared" si="93"/>
        <v>64.405979009391743</v>
      </c>
      <c r="BA177" s="649">
        <f t="shared" si="90"/>
        <v>0.94485545564306284</v>
      </c>
      <c r="BB177" s="644">
        <v>43263</v>
      </c>
      <c r="BC177" s="11">
        <v>43263</v>
      </c>
      <c r="BD177" s="292">
        <f>[2]!FeuilCaduc*(1-Persistant)+Persistant</f>
        <v>1</v>
      </c>
      <c r="BE177" s="293">
        <f>[2]!CroissVégét</f>
        <v>0.52004118610663486</v>
      </c>
      <c r="BF177" s="844">
        <f>1+[2]!Salcycl*Ksac</f>
        <v>1.0549443308573896</v>
      </c>
      <c r="BH177" s="1107">
        <f t="shared" si="91"/>
        <v>1.5802627284747703E-3</v>
      </c>
      <c r="BI177" s="11">
        <v>44359</v>
      </c>
      <c r="BJ177" s="744">
        <v>9.8586110320448899E-4</v>
      </c>
      <c r="BK177" s="744">
        <v>1.2531895261431517E-3</v>
      </c>
      <c r="BL177" s="744">
        <v>1.5235488642349315E-3</v>
      </c>
      <c r="BM177" s="744">
        <v>1.8074361562282198E-3</v>
      </c>
      <c r="BN177" s="744">
        <v>2.1705350525569088E-3</v>
      </c>
      <c r="BO177" s="745">
        <v>2.6773548418888853E-3</v>
      </c>
      <c r="BP177" s="744">
        <v>3.495860937361765E-3</v>
      </c>
      <c r="BQ177" s="744">
        <v>4.9456810662040262E-3</v>
      </c>
      <c r="BR177" s="744">
        <v>7.8480812735999429E-3</v>
      </c>
      <c r="BS177" s="744">
        <v>1.3426416478926853E-2</v>
      </c>
      <c r="BT177" s="744">
        <v>2.1295610375580639E-2</v>
      </c>
      <c r="BW177" s="1191">
        <f>'2018'!R\Max</f>
        <v>0</v>
      </c>
      <c r="BX177" s="1189">
        <f>'2019'!R\Max</f>
        <v>0.94485545564306284</v>
      </c>
      <c r="BY177" s="1189">
        <f>'2020'!R\Max</f>
        <v>0.50174679482844164</v>
      </c>
      <c r="BZ177" s="1189">
        <f>'2021'!R\Max</f>
        <v>0.81444179172689291</v>
      </c>
      <c r="CA177" s="1189">
        <f>'2022'!R\Max</f>
        <v>0.74178191117908654</v>
      </c>
      <c r="CB177" s="1189">
        <f>'2023'!R\Max</f>
        <v>0.74176499780447125</v>
      </c>
      <c r="CC177" s="1189">
        <f>'2024'!R\Max</f>
        <v>0.74173652438046567</v>
      </c>
      <c r="CD177" s="1189">
        <f>'2025'!R\Max</f>
        <v>0.74182243697062022</v>
      </c>
      <c r="CE177" s="1189">
        <f>'2026'!R\Max</f>
        <v>0.74181497323362033</v>
      </c>
      <c r="CF177" s="1190">
        <f>'2027'!R\Max</f>
        <v>0.74180622453824996</v>
      </c>
    </row>
    <row r="178" spans="1:84" s="6" customFormat="1" ht="11.25" x14ac:dyDescent="0.2">
      <c r="A178" s="11">
        <v>43264</v>
      </c>
      <c r="B178" s="382">
        <f>'2022'!Maxi_hp</f>
        <v>63.47863553055479</v>
      </c>
      <c r="C178" s="85">
        <f>'2022'!An_max</f>
        <v>2019</v>
      </c>
      <c r="D178" s="1134"/>
      <c r="E178" s="711"/>
      <c r="F178" s="13">
        <f t="shared" si="92"/>
        <v>13</v>
      </c>
      <c r="G178" s="13">
        <f t="shared" si="76"/>
        <v>14</v>
      </c>
      <c r="H178" s="175">
        <f t="shared" si="77"/>
        <v>43262</v>
      </c>
      <c r="I178" s="774">
        <f t="shared" si="78"/>
        <v>0.14285714285714285</v>
      </c>
      <c r="J178" s="765">
        <f t="shared" si="79"/>
        <v>64.363923032528589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P178" s="13">
        <f t="shared" si="80"/>
        <v>7</v>
      </c>
      <c r="AQ178" s="13">
        <f t="shared" si="81"/>
        <v>8</v>
      </c>
      <c r="AR178" s="175">
        <f t="shared" si="82"/>
        <v>43248</v>
      </c>
      <c r="AS178" s="774">
        <f t="shared" si="83"/>
        <v>0.5714285714285714</v>
      </c>
      <c r="AT178" s="791">
        <f t="shared" si="84"/>
        <v>64.385418076387467</v>
      </c>
      <c r="AU178" s="13">
        <f t="shared" si="85"/>
        <v>7</v>
      </c>
      <c r="AV178" s="13">
        <f t="shared" si="86"/>
        <v>8</v>
      </c>
      <c r="AW178" s="175">
        <f t="shared" si="87"/>
        <v>43262</v>
      </c>
      <c r="AX178" s="774">
        <f t="shared" si="88"/>
        <v>7.1428571428571425E-2</v>
      </c>
      <c r="AY178" s="791">
        <f t="shared" si="89"/>
        <v>64.379372594399115</v>
      </c>
      <c r="AZ178" s="765">
        <f t="shared" si="93"/>
        <v>64.382395335393284</v>
      </c>
      <c r="BA178" s="649">
        <f t="shared" si="90"/>
        <v>0.98624559442210524</v>
      </c>
      <c r="BB178" s="644">
        <v>43264</v>
      </c>
      <c r="BC178" s="11">
        <v>43264</v>
      </c>
      <c r="BD178" s="292">
        <f>[2]!FeuilCaduc*(1-Persistant)+Persistant</f>
        <v>1</v>
      </c>
      <c r="BE178" s="293">
        <f>[2]!CroissVégét</f>
        <v>0.53030539801316789</v>
      </c>
      <c r="BF178" s="844">
        <f>1+[2]!Salcycl*Ksac</f>
        <v>1.0557426247948509</v>
      </c>
      <c r="BH178" s="1107">
        <f t="shared" si="91"/>
        <v>1.6025363434133818E-3</v>
      </c>
      <c r="BI178" s="11">
        <v>44360</v>
      </c>
      <c r="BJ178" s="744">
        <v>9.9936772697524598E-4</v>
      </c>
      <c r="BK178" s="744">
        <v>1.2713345315751689E-3</v>
      </c>
      <c r="BL178" s="744">
        <v>1.5454372328755819E-3</v>
      </c>
      <c r="BM178" s="744">
        <v>1.8312529162727096E-3</v>
      </c>
      <c r="BN178" s="744">
        <v>2.1883927436180044E-3</v>
      </c>
      <c r="BO178" s="745">
        <v>2.6769212605332882E-3</v>
      </c>
      <c r="BP178" s="744">
        <v>3.4600521071271348E-3</v>
      </c>
      <c r="BQ178" s="744">
        <v>4.828652154695497E-3</v>
      </c>
      <c r="BR178" s="744">
        <v>7.5734357171190038E-3</v>
      </c>
      <c r="BS178" s="744">
        <v>1.2937045031378087E-2</v>
      </c>
      <c r="BT178" s="744">
        <v>2.0569949765196924E-2</v>
      </c>
      <c r="BW178" s="1191">
        <f>'2018'!R\Max</f>
        <v>0</v>
      </c>
      <c r="BX178" s="1189">
        <f>'2019'!R\Max</f>
        <v>0.98624559442210524</v>
      </c>
      <c r="BY178" s="1189">
        <f>'2020'!R\Max</f>
        <v>0.81581618775448983</v>
      </c>
      <c r="BZ178" s="1189">
        <f>'2021'!R\Max</f>
        <v>0.951643035990826</v>
      </c>
      <c r="CA178" s="1189">
        <f>'2022'!R\Max</f>
        <v>0.91194627522822391</v>
      </c>
      <c r="CB178" s="1189">
        <f>'2023'!R\Max</f>
        <v>0.91193948834017846</v>
      </c>
      <c r="CC178" s="1189">
        <f>'2024'!R\Max</f>
        <v>0.91192811448621669</v>
      </c>
      <c r="CD178" s="1189">
        <f>'2025'!R\Max</f>
        <v>0.91196286566145501</v>
      </c>
      <c r="CE178" s="1189">
        <f>'2026'!R\Max</f>
        <v>0.91195973476834713</v>
      </c>
      <c r="CF178" s="1190">
        <f>'2027'!R\Max</f>
        <v>0.91195612599624754</v>
      </c>
    </row>
    <row r="179" spans="1:84" s="6" customFormat="1" ht="11.25" x14ac:dyDescent="0.2">
      <c r="A179" s="11">
        <v>43265</v>
      </c>
      <c r="B179" s="382">
        <f>'2022'!Maxi_hp</f>
        <v>54.493603449574607</v>
      </c>
      <c r="C179" s="85">
        <f>'2022'!An_max</f>
        <v>2021</v>
      </c>
      <c r="D179" s="1134"/>
      <c r="E179" s="711"/>
      <c r="F179" s="13">
        <f t="shared" si="92"/>
        <v>13</v>
      </c>
      <c r="G179" s="13">
        <f t="shared" si="76"/>
        <v>14</v>
      </c>
      <c r="H179" s="175">
        <f t="shared" si="77"/>
        <v>43262</v>
      </c>
      <c r="I179" s="774">
        <f t="shared" si="78"/>
        <v>0.21428571428571427</v>
      </c>
      <c r="J179" s="765">
        <f t="shared" si="79"/>
        <v>64.334591254325844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P179" s="13">
        <f t="shared" si="80"/>
        <v>7</v>
      </c>
      <c r="AQ179" s="13">
        <f t="shared" si="81"/>
        <v>8</v>
      </c>
      <c r="AR179" s="175">
        <f t="shared" si="82"/>
        <v>43248</v>
      </c>
      <c r="AS179" s="774">
        <f t="shared" si="83"/>
        <v>0.6071428571428571</v>
      </c>
      <c r="AT179" s="791">
        <f t="shared" si="84"/>
        <v>64.35180641471274</v>
      </c>
      <c r="AU179" s="13">
        <f t="shared" si="85"/>
        <v>7</v>
      </c>
      <c r="AV179" s="13">
        <f t="shared" si="86"/>
        <v>8</v>
      </c>
      <c r="AW179" s="175">
        <f t="shared" si="87"/>
        <v>43262</v>
      </c>
      <c r="AX179" s="774">
        <f t="shared" si="88"/>
        <v>0.10714285714285714</v>
      </c>
      <c r="AY179" s="791">
        <f t="shared" si="89"/>
        <v>64.358129445902478</v>
      </c>
      <c r="AZ179" s="765">
        <f t="shared" si="93"/>
        <v>64.354967930307609</v>
      </c>
      <c r="BA179" s="649">
        <f t="shared" si="90"/>
        <v>0.84703426861222919</v>
      </c>
      <c r="BB179" s="644">
        <v>43265</v>
      </c>
      <c r="BC179" s="11">
        <v>43265</v>
      </c>
      <c r="BD179" s="292">
        <f>[2]!FeuilCaduc*(1-Persistant)+Persistant</f>
        <v>1</v>
      </c>
      <c r="BE179" s="293">
        <f>[2]!CroissVégét</f>
        <v>0.54054367684881977</v>
      </c>
      <c r="BF179" s="844">
        <f>1+[2]!Salcycl*Ksac</f>
        <v>1.0565199917199994</v>
      </c>
      <c r="BH179" s="1107">
        <f t="shared" si="91"/>
        <v>1.6225740059177892E-3</v>
      </c>
      <c r="BI179" s="11">
        <v>44361</v>
      </c>
      <c r="BJ179" s="744">
        <v>1.0110355159549196E-3</v>
      </c>
      <c r="BK179" s="744">
        <v>1.2873993918562966E-3</v>
      </c>
      <c r="BL179" s="744">
        <v>1.5650869729277679E-3</v>
      </c>
      <c r="BM179" s="744">
        <v>1.852844443504108E-3</v>
      </c>
      <c r="BN179" s="744">
        <v>2.2047224337652187E-3</v>
      </c>
      <c r="BO179" s="745">
        <v>2.6768967833404717E-3</v>
      </c>
      <c r="BP179" s="744">
        <v>3.4286147185789272E-3</v>
      </c>
      <c r="BQ179" s="744">
        <v>4.7247467374326299E-3</v>
      </c>
      <c r="BR179" s="744">
        <v>7.3284932909618156E-3</v>
      </c>
      <c r="BS179" s="744">
        <v>1.2495587329020064E-2</v>
      </c>
      <c r="BT179" s="744">
        <v>1.9908651675354803E-2</v>
      </c>
      <c r="BW179" s="1191">
        <f>'2018'!R\Max</f>
        <v>0</v>
      </c>
      <c r="BX179" s="1189">
        <f>'2019'!R\Max</f>
        <v>0.45585691413545509</v>
      </c>
      <c r="BY179" s="1189">
        <f>'2020'!R\Max</f>
        <v>0.68123737638214499</v>
      </c>
      <c r="BZ179" s="1189">
        <f>'2021'!R\Max</f>
        <v>0.84703426861222919</v>
      </c>
      <c r="CA179" s="1189">
        <f>'2022'!R\Max</f>
        <v>0.78377848236255887</v>
      </c>
      <c r="CB179" s="1189">
        <f>'2023'!R\Max</f>
        <v>0.78376472743203496</v>
      </c>
      <c r="CC179" s="1189">
        <f>'2024'!R\Max</f>
        <v>0.78374178721410059</v>
      </c>
      <c r="CD179" s="1189">
        <f>'2025'!R\Max</f>
        <v>0.78381275007472262</v>
      </c>
      <c r="CE179" s="1189">
        <f>'2026'!R\Max</f>
        <v>0.78380613551331391</v>
      </c>
      <c r="CF179" s="1190">
        <f>'2027'!R\Max</f>
        <v>0.78379862786864074</v>
      </c>
    </row>
    <row r="180" spans="1:84" s="6" customFormat="1" ht="11.25" x14ac:dyDescent="0.2">
      <c r="A180" s="11">
        <v>43266</v>
      </c>
      <c r="B180" s="382">
        <f>'2022'!Maxi_hp</f>
        <v>59.57592395549829</v>
      </c>
      <c r="C180" s="85">
        <f>'2022'!An_max</f>
        <v>2022</v>
      </c>
      <c r="D180" s="1134"/>
      <c r="E180" s="711"/>
      <c r="F180" s="13">
        <f t="shared" si="92"/>
        <v>13</v>
      </c>
      <c r="G180" s="13">
        <f t="shared" si="76"/>
        <v>14</v>
      </c>
      <c r="H180" s="175">
        <f t="shared" si="77"/>
        <v>43262</v>
      </c>
      <c r="I180" s="774">
        <f t="shared" si="78"/>
        <v>0.2857142857142857</v>
      </c>
      <c r="J180" s="765">
        <f t="shared" si="79"/>
        <v>64.301229155276502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P180" s="13">
        <f t="shared" si="80"/>
        <v>7</v>
      </c>
      <c r="AQ180" s="13">
        <f t="shared" si="81"/>
        <v>8</v>
      </c>
      <c r="AR180" s="175">
        <f t="shared" si="82"/>
        <v>43248</v>
      </c>
      <c r="AS180" s="774">
        <f t="shared" si="83"/>
        <v>0.6428571428571429</v>
      </c>
      <c r="AT180" s="791">
        <f t="shared" si="84"/>
        <v>64.314756852281945</v>
      </c>
      <c r="AU180" s="13">
        <f t="shared" si="85"/>
        <v>7</v>
      </c>
      <c r="AV180" s="13">
        <f t="shared" si="86"/>
        <v>8</v>
      </c>
      <c r="AW180" s="175">
        <f t="shared" si="87"/>
        <v>43262</v>
      </c>
      <c r="AX180" s="774">
        <f t="shared" si="88"/>
        <v>0.14285714285714285</v>
      </c>
      <c r="AY180" s="791">
        <f t="shared" si="89"/>
        <v>64.332874636937476</v>
      </c>
      <c r="AZ180" s="765">
        <f t="shared" si="93"/>
        <v>64.323815744609703</v>
      </c>
      <c r="BA180" s="649">
        <f t="shared" si="90"/>
        <v>0.92651298798087656</v>
      </c>
      <c r="BB180" s="644">
        <v>43266</v>
      </c>
      <c r="BC180" s="11">
        <v>43266</v>
      </c>
      <c r="BD180" s="292">
        <f>[2]!FeuilCaduc*(1-Persistant)+Persistant</f>
        <v>1</v>
      </c>
      <c r="BE180" s="293">
        <f>[2]!CroissVégét</f>
        <v>0.55074751394309984</v>
      </c>
      <c r="BF180" s="844">
        <f>1+[2]!Salcycl*Ksac</f>
        <v>1.0572757669507951</v>
      </c>
      <c r="BH180" s="1107">
        <f t="shared" si="91"/>
        <v>1.6403824916484554E-3</v>
      </c>
      <c r="BI180" s="11">
        <v>44362</v>
      </c>
      <c r="BJ180" s="744">
        <v>1.0208694977770359E-3</v>
      </c>
      <c r="BK180" s="744">
        <v>1.3013900509765859E-3</v>
      </c>
      <c r="BL180" s="744">
        <v>1.5825047775184804E-3</v>
      </c>
      <c r="BM180" s="744">
        <v>1.8722178441794967E-3</v>
      </c>
      <c r="BN180" s="744">
        <v>2.2195303255706724E-3</v>
      </c>
      <c r="BO180" s="745">
        <v>2.6772843666610126E-3</v>
      </c>
      <c r="BP180" s="744">
        <v>3.4015448318870703E-3</v>
      </c>
      <c r="BQ180" s="744">
        <v>4.6339450754630668E-3</v>
      </c>
      <c r="BR180" s="744">
        <v>7.1132044573563131E-3</v>
      </c>
      <c r="BS180" s="744">
        <v>1.2101963470208817E-2</v>
      </c>
      <c r="BT180" s="744">
        <v>1.9311611738047667E-2</v>
      </c>
      <c r="BW180" s="1191">
        <f>'2018'!R\Max</f>
        <v>0</v>
      </c>
      <c r="BX180" s="1189">
        <f>'2019'!R\Max</f>
        <v>0.33367369368307892</v>
      </c>
      <c r="BY180" s="1189">
        <f>'2020'!R\Max</f>
        <v>0.78027413998746453</v>
      </c>
      <c r="BZ180" s="1189">
        <f>'2021'!R\Max</f>
        <v>0.86125929672837853</v>
      </c>
      <c r="CA180" s="1189">
        <f>'2022'!R\Max</f>
        <v>0.92651298798087656</v>
      </c>
      <c r="CB180" s="1189">
        <f>'2023'!R\Max</f>
        <v>0.92650766080482505</v>
      </c>
      <c r="CC180" s="1189">
        <f>'2024'!R\Max</f>
        <v>0.92649881866991179</v>
      </c>
      <c r="CD180" s="1189">
        <f>'2025'!R\Max</f>
        <v>0.92652649405255705</v>
      </c>
      <c r="CE180" s="1189">
        <f>'2026'!R\Max</f>
        <v>0.9265238329338451</v>
      </c>
      <c r="CF180" s="1190">
        <f>'2027'!R\Max</f>
        <v>0.92652085434179121</v>
      </c>
    </row>
    <row r="181" spans="1:84" s="6" customFormat="1" ht="11.25" x14ac:dyDescent="0.2">
      <c r="A181" s="11">
        <v>43267</v>
      </c>
      <c r="B181" s="382">
        <f>'2022'!Maxi_hp</f>
        <v>65.039285563897309</v>
      </c>
      <c r="C181" s="85">
        <f>'2022'!An_max</f>
        <v>2019</v>
      </c>
      <c r="D181" s="1134"/>
      <c r="E181" s="711"/>
      <c r="F181" s="13">
        <f t="shared" si="92"/>
        <v>13</v>
      </c>
      <c r="G181" s="13">
        <f t="shared" si="76"/>
        <v>14</v>
      </c>
      <c r="H181" s="175">
        <f t="shared" si="77"/>
        <v>43262</v>
      </c>
      <c r="I181" s="774">
        <f t="shared" si="78"/>
        <v>0.35714285714285715</v>
      </c>
      <c r="J181" s="765">
        <f t="shared" si="79"/>
        <v>64.264060642011458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P181" s="13">
        <f t="shared" si="80"/>
        <v>7</v>
      </c>
      <c r="AQ181" s="13">
        <f t="shared" si="81"/>
        <v>8</v>
      </c>
      <c r="AR181" s="175">
        <f t="shared" si="82"/>
        <v>43248</v>
      </c>
      <c r="AS181" s="774">
        <f t="shared" si="83"/>
        <v>0.6785714285714286</v>
      </c>
      <c r="AT181" s="791">
        <f t="shared" si="84"/>
        <v>64.274451312422755</v>
      </c>
      <c r="AU181" s="13">
        <f t="shared" si="85"/>
        <v>7</v>
      </c>
      <c r="AV181" s="13">
        <f t="shared" si="86"/>
        <v>8</v>
      </c>
      <c r="AW181" s="175">
        <f t="shared" si="87"/>
        <v>43262</v>
      </c>
      <c r="AX181" s="774">
        <f t="shared" si="88"/>
        <v>0.17857142857142858</v>
      </c>
      <c r="AY181" s="791">
        <f t="shared" si="89"/>
        <v>64.303664140789095</v>
      </c>
      <c r="AZ181" s="765">
        <f t="shared" si="93"/>
        <v>64.289057726605932</v>
      </c>
      <c r="BA181" s="649">
        <f t="shared" si="90"/>
        <v>1.012063117614125</v>
      </c>
      <c r="BB181" s="644">
        <v>43267</v>
      </c>
      <c r="BC181" s="11">
        <v>43267</v>
      </c>
      <c r="BD181" s="292">
        <f>[2]!FeuilCaduc*(1-Persistant)+Persistant</f>
        <v>1</v>
      </c>
      <c r="BE181" s="293">
        <f>[2]!CroissVégét</f>
        <v>0.56090851568364364</v>
      </c>
      <c r="BF181" s="844">
        <f>1+[2]!Salcycl*Ksac</f>
        <v>1.0580093513707336</v>
      </c>
      <c r="BH181" s="1107">
        <f t="shared" si="91"/>
        <v>1.6559685735897237E-3</v>
      </c>
      <c r="BI181" s="11">
        <v>44363</v>
      </c>
      <c r="BJ181" s="744">
        <v>1.0288746703969081E-3</v>
      </c>
      <c r="BK181" s="744">
        <v>1.3133124355728537E-3</v>
      </c>
      <c r="BL181" s="744">
        <v>1.5976973346466538E-3</v>
      </c>
      <c r="BM181" s="744">
        <v>1.8893802317013323E-3</v>
      </c>
      <c r="BN181" s="744">
        <v>2.2328226376197736E-3</v>
      </c>
      <c r="BO181" s="745">
        <v>2.6780869964068191E-3</v>
      </c>
      <c r="BP181" s="744">
        <v>3.3788385750785337E-3</v>
      </c>
      <c r="BQ181" s="744">
        <v>4.5562275641962482E-3</v>
      </c>
      <c r="BR181" s="744">
        <v>6.9275199186422881E-3</v>
      </c>
      <c r="BS181" s="744">
        <v>1.1756093687423086E-2</v>
      </c>
      <c r="BT181" s="744">
        <v>1.8778725398804867E-2</v>
      </c>
      <c r="BW181" s="1191">
        <f>'2018'!R\Max</f>
        <v>0</v>
      </c>
      <c r="BX181" s="1189">
        <f>'2019'!R\Max</f>
        <v>1.012063117614125</v>
      </c>
      <c r="BY181" s="1189">
        <f>'2020'!R\Max</f>
        <v>0.69849006120773949</v>
      </c>
      <c r="BZ181" s="1189">
        <f>'2021'!R\Max</f>
        <v>0.80132916098647899</v>
      </c>
      <c r="CA181" s="1189">
        <f>'2022'!R\Max</f>
        <v>0.86082370228374194</v>
      </c>
      <c r="CB181" s="1189">
        <f>'2023'!R\Max</f>
        <v>0.86081462759904392</v>
      </c>
      <c r="CC181" s="1189">
        <f>'2024'!R\Max</f>
        <v>0.8607996344541271</v>
      </c>
      <c r="CD181" s="1189">
        <f>'2025'!R\Max</f>
        <v>0.8608470785354958</v>
      </c>
      <c r="CE181" s="1189">
        <f>'2026'!R\Max</f>
        <v>0.86084238701145033</v>
      </c>
      <c r="CF181" s="1190">
        <f>'2027'!R\Max</f>
        <v>0.86083720113780859</v>
      </c>
    </row>
    <row r="182" spans="1:84" s="6" customFormat="1" ht="11.25" x14ac:dyDescent="0.2">
      <c r="A182" s="11">
        <v>43268</v>
      </c>
      <c r="B182" s="382">
        <f>'2022'!Maxi_hp</f>
        <v>64.172598180317252</v>
      </c>
      <c r="C182" s="85">
        <f>'2022'!An_max</f>
        <v>2019</v>
      </c>
      <c r="D182" s="1134"/>
      <c r="E182" s="711"/>
      <c r="F182" s="13">
        <f t="shared" si="92"/>
        <v>13</v>
      </c>
      <c r="G182" s="13">
        <f t="shared" si="76"/>
        <v>14</v>
      </c>
      <c r="H182" s="175">
        <f t="shared" si="77"/>
        <v>43262</v>
      </c>
      <c r="I182" s="774">
        <f t="shared" si="78"/>
        <v>0.42857142857142855</v>
      </c>
      <c r="J182" s="765">
        <f t="shared" si="79"/>
        <v>64.223309621480965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P182" s="13">
        <f t="shared" si="80"/>
        <v>7</v>
      </c>
      <c r="AQ182" s="13">
        <f t="shared" si="81"/>
        <v>8</v>
      </c>
      <c r="AR182" s="175">
        <f t="shared" si="82"/>
        <v>43248</v>
      </c>
      <c r="AS182" s="774">
        <f t="shared" si="83"/>
        <v>0.7142857142857143</v>
      </c>
      <c r="AT182" s="791">
        <f t="shared" si="84"/>
        <v>64.231071721070577</v>
      </c>
      <c r="AU182" s="13">
        <f t="shared" si="85"/>
        <v>7</v>
      </c>
      <c r="AV182" s="13">
        <f t="shared" si="86"/>
        <v>8</v>
      </c>
      <c r="AW182" s="175">
        <f t="shared" si="87"/>
        <v>43262</v>
      </c>
      <c r="AX182" s="774">
        <f t="shared" si="88"/>
        <v>0.21428571428571427</v>
      </c>
      <c r="AY182" s="791">
        <f t="shared" si="89"/>
        <v>64.27055393643677</v>
      </c>
      <c r="AZ182" s="765">
        <f t="shared" si="93"/>
        <v>64.250812828753681</v>
      </c>
      <c r="BA182" s="649">
        <f t="shared" si="90"/>
        <v>0.99921038885316571</v>
      </c>
      <c r="BB182" s="644">
        <v>43268</v>
      </c>
      <c r="BC182" s="11">
        <v>43268</v>
      </c>
      <c r="BD182" s="292">
        <f>[2]!FeuilCaduc*(1-Persistant)+Persistant</f>
        <v>1</v>
      </c>
      <c r="BE182" s="293">
        <f>[2]!CroissVégét</f>
        <v>0.57101843074296321</v>
      </c>
      <c r="BF182" s="844">
        <f>1+[2]!Salcycl*Ksac</f>
        <v>1.0587202133755127</v>
      </c>
      <c r="BH182" s="1107">
        <f t="shared" si="91"/>
        <v>1.6693389918256271E-3</v>
      </c>
      <c r="BI182" s="11">
        <v>44364</v>
      </c>
      <c r="BJ182" s="744">
        <v>1.0350559771865192E-3</v>
      </c>
      <c r="BK182" s="744">
        <v>1.3231724267893194E-3</v>
      </c>
      <c r="BL182" s="744">
        <v>1.6106712969218018E-3</v>
      </c>
      <c r="BM182" s="744">
        <v>1.9043386965421577E-3</v>
      </c>
      <c r="BN182" s="744">
        <v>2.2446055837911675E-3</v>
      </c>
      <c r="BO182" s="745">
        <v>2.6793076933439817E-3</v>
      </c>
      <c r="BP182" s="744">
        <v>3.3604922025954401E-3</v>
      </c>
      <c r="BQ182" s="744">
        <v>4.491574909598812E-3</v>
      </c>
      <c r="BR182" s="744">
        <v>6.7713910162370524E-3</v>
      </c>
      <c r="BS182" s="744">
        <v>1.1457898989978963E-2</v>
      </c>
      <c r="BT182" s="744">
        <v>1.8309888778580946E-2</v>
      </c>
      <c r="BW182" s="1191">
        <f>'2018'!R\Max</f>
        <v>0</v>
      </c>
      <c r="BX182" s="1189">
        <f>'2019'!R\Max</f>
        <v>0.99921038885316571</v>
      </c>
      <c r="BY182" s="1189">
        <f>'2020'!R\Max</f>
        <v>0.51670069107050154</v>
      </c>
      <c r="BZ182" s="1189">
        <f>'2021'!R\Max</f>
        <v>0.26340945196574272</v>
      </c>
      <c r="CA182" s="1189">
        <f>'2022'!R\Max</f>
        <v>0.88886328504573364</v>
      </c>
      <c r="CB182" s="1189">
        <f>'2023'!R\Max</f>
        <v>0.88885600689991662</v>
      </c>
      <c r="CC182" s="1189">
        <f>'2024'!R\Max</f>
        <v>0.88884403093973197</v>
      </c>
      <c r="CD182" s="1189">
        <f>'2025'!R\Max</f>
        <v>0.88888229717985234</v>
      </c>
      <c r="CE182" s="1189">
        <f>'2026'!R\Max</f>
        <v>0.8888784194423186</v>
      </c>
      <c r="CF182" s="1190">
        <f>'2027'!R\Max</f>
        <v>0.88887418034019983</v>
      </c>
    </row>
    <row r="183" spans="1:84" s="6" customFormat="1" ht="11.25" x14ac:dyDescent="0.2">
      <c r="A183" s="11">
        <v>43269</v>
      </c>
      <c r="B183" s="382">
        <f>'2022'!Maxi_hp</f>
        <v>62.517821200510539</v>
      </c>
      <c r="C183" s="85">
        <f>'2022'!An_max</f>
        <v>2019</v>
      </c>
      <c r="D183" s="1134"/>
      <c r="E183" s="711"/>
      <c r="F183" s="13">
        <f t="shared" si="92"/>
        <v>13</v>
      </c>
      <c r="G183" s="13">
        <f t="shared" si="76"/>
        <v>14</v>
      </c>
      <c r="H183" s="175">
        <f t="shared" si="77"/>
        <v>43262</v>
      </c>
      <c r="I183" s="774">
        <f t="shared" si="78"/>
        <v>0.5</v>
      </c>
      <c r="J183" s="765">
        <f t="shared" si="79"/>
        <v>64.179200000315902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P183" s="13">
        <f t="shared" si="80"/>
        <v>7</v>
      </c>
      <c r="AQ183" s="13">
        <f t="shared" si="81"/>
        <v>8</v>
      </c>
      <c r="AR183" s="175">
        <f t="shared" si="82"/>
        <v>43248</v>
      </c>
      <c r="AS183" s="774">
        <f t="shared" si="83"/>
        <v>0.75</v>
      </c>
      <c r="AT183" s="791">
        <f t="shared" si="84"/>
        <v>64.184800000861287</v>
      </c>
      <c r="AU183" s="13">
        <f t="shared" si="85"/>
        <v>7</v>
      </c>
      <c r="AV183" s="13">
        <f t="shared" si="86"/>
        <v>8</v>
      </c>
      <c r="AW183" s="175">
        <f t="shared" si="87"/>
        <v>43262</v>
      </c>
      <c r="AX183" s="774">
        <f t="shared" si="88"/>
        <v>0.25</v>
      </c>
      <c r="AY183" s="791">
        <f t="shared" si="89"/>
        <v>64.233600000757718</v>
      </c>
      <c r="AZ183" s="765">
        <f t="shared" si="93"/>
        <v>64.209200000809503</v>
      </c>
      <c r="BA183" s="649">
        <f t="shared" si="90"/>
        <v>0.97411343862501898</v>
      </c>
      <c r="BB183" s="644">
        <v>43269</v>
      </c>
      <c r="BC183" s="11">
        <v>43269</v>
      </c>
      <c r="BD183" s="292">
        <f>[2]!FeuilCaduc*(1-Persistant)+Persistant</f>
        <v>1</v>
      </c>
      <c r="BE183" s="293">
        <f>[2]!CroissVégét</f>
        <v>0.5810691763075071</v>
      </c>
      <c r="BF183" s="844">
        <f>1+[2]!Salcycl*Ksac</f>
        <v>1.0594078904577069</v>
      </c>
      <c r="BH183" s="1107">
        <f t="shared" si="91"/>
        <v>1.6805004233680968E-3</v>
      </c>
      <c r="BI183" s="11">
        <v>44365</v>
      </c>
      <c r="BJ183" s="744">
        <v>1.0394182820620147E-3</v>
      </c>
      <c r="BK183" s="744">
        <v>1.3309758321798119E-3</v>
      </c>
      <c r="BL183" s="744">
        <v>1.6214332513532043E-3</v>
      </c>
      <c r="BM183" s="744">
        <v>1.9171002762291165E-3</v>
      </c>
      <c r="BN183" s="744">
        <v>2.2548853526075936E-3</v>
      </c>
      <c r="BO183" s="745">
        <v>2.680949518471152E-3</v>
      </c>
      <c r="BP183" s="744">
        <v>3.3465021539618414E-3</v>
      </c>
      <c r="BQ183" s="744">
        <v>4.439968304538057E-3</v>
      </c>
      <c r="BR183" s="744">
        <v>6.6447701298283507E-3</v>
      </c>
      <c r="BS183" s="744">
        <v>1.1207301807131144E-2</v>
      </c>
      <c r="BT183" s="744">
        <v>1.7904999536261783E-2</v>
      </c>
      <c r="BW183" s="1191">
        <f>'2018'!R\Max</f>
        <v>0</v>
      </c>
      <c r="BX183" s="1189">
        <f>'2019'!R\Max</f>
        <v>0.97411343862501898</v>
      </c>
      <c r="BY183" s="1189">
        <f>'2020'!R\Max</f>
        <v>0.81738179582531767</v>
      </c>
      <c r="BZ183" s="1189">
        <f>'2021'!R\Max</f>
        <v>0.67309990669238418</v>
      </c>
      <c r="CA183" s="1189">
        <f>'2022'!R\Max</f>
        <v>0.92494231762695478</v>
      </c>
      <c r="CB183" s="1189">
        <f>'2023'!R\Max</f>
        <v>0.92493731665407852</v>
      </c>
      <c r="CC183" s="1189">
        <f>'2024'!R\Max</f>
        <v>0.92492911464591132</v>
      </c>
      <c r="CD183" s="1189">
        <f>'2025'!R\Max</f>
        <v>0.92495553645118489</v>
      </c>
      <c r="CE183" s="1189">
        <f>'2026'!R\Max</f>
        <v>0.92495280303200034</v>
      </c>
      <c r="CF183" s="1190">
        <f>'2027'!R\Max</f>
        <v>0.92494984360920673</v>
      </c>
    </row>
    <row r="184" spans="1:84" s="6" customFormat="1" ht="11.25" x14ac:dyDescent="0.2">
      <c r="A184" s="11">
        <v>43270</v>
      </c>
      <c r="B184" s="382">
        <f>'2022'!Maxi_hp</f>
        <v>60.851906660258678</v>
      </c>
      <c r="C184" s="85">
        <f>'2022'!An_max</f>
        <v>2022</v>
      </c>
      <c r="D184" s="1134"/>
      <c r="E184" s="711"/>
      <c r="F184" s="13">
        <f t="shared" si="92"/>
        <v>13</v>
      </c>
      <c r="G184" s="13">
        <f t="shared" si="76"/>
        <v>14</v>
      </c>
      <c r="H184" s="175">
        <f t="shared" si="77"/>
        <v>43262</v>
      </c>
      <c r="I184" s="774">
        <f t="shared" si="78"/>
        <v>0.5714285714285714</v>
      </c>
      <c r="J184" s="765">
        <f t="shared" si="79"/>
        <v>64.131955685466522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P184" s="13">
        <f t="shared" si="80"/>
        <v>7</v>
      </c>
      <c r="AQ184" s="13">
        <f t="shared" si="81"/>
        <v>8</v>
      </c>
      <c r="AR184" s="175">
        <f t="shared" si="82"/>
        <v>43248</v>
      </c>
      <c r="AS184" s="774">
        <f t="shared" si="83"/>
        <v>0.7857142857142857</v>
      </c>
      <c r="AT184" s="791">
        <f t="shared" si="84"/>
        <v>64.135818076745736</v>
      </c>
      <c r="AU184" s="13">
        <f t="shared" si="85"/>
        <v>7</v>
      </c>
      <c r="AV184" s="13">
        <f t="shared" si="86"/>
        <v>8</v>
      </c>
      <c r="AW184" s="175">
        <f t="shared" si="87"/>
        <v>43262</v>
      </c>
      <c r="AX184" s="774">
        <f t="shared" si="88"/>
        <v>0.2857142857142857</v>
      </c>
      <c r="AY184" s="791">
        <f t="shared" si="89"/>
        <v>64.192858309511621</v>
      </c>
      <c r="AZ184" s="765">
        <f t="shared" si="93"/>
        <v>64.164338193128685</v>
      </c>
      <c r="BA184" s="649">
        <f t="shared" si="90"/>
        <v>0.94885468577794885</v>
      </c>
      <c r="BB184" s="644">
        <v>43270</v>
      </c>
      <c r="BC184" s="11">
        <v>43270</v>
      </c>
      <c r="BD184" s="292">
        <f>[2]!FeuilCaduc*(1-Persistant)+Persistant</f>
        <v>1</v>
      </c>
      <c r="BE184" s="293">
        <f>[2]!CroissVégét</f>
        <v>0.5910528631363321</v>
      </c>
      <c r="BF184" s="844">
        <f>1+[2]!Salcycl*Ksac</f>
        <v>1.0600719904171931</v>
      </c>
      <c r="BH184" s="1107">
        <f t="shared" si="91"/>
        <v>1.6882214921783469E-3</v>
      </c>
      <c r="BI184" s="11">
        <v>44366</v>
      </c>
      <c r="BJ184" s="744">
        <v>1.0415748015302939E-3</v>
      </c>
      <c r="BK184" s="744">
        <v>1.3359157702272854E-3</v>
      </c>
      <c r="BL184" s="744">
        <v>1.6288062035715036E-3</v>
      </c>
      <c r="BM184" s="744">
        <v>1.9262157631505517E-3</v>
      </c>
      <c r="BN184" s="744">
        <v>2.2624118041557296E-3</v>
      </c>
      <c r="BO184" s="745">
        <v>2.6825689426040506E-3</v>
      </c>
      <c r="BP184" s="744">
        <v>3.3378345989353597E-3</v>
      </c>
      <c r="BQ184" s="744">
        <v>4.4058999658809798E-3</v>
      </c>
      <c r="BR184" s="744">
        <v>6.5592890600087959E-3</v>
      </c>
      <c r="BS184" s="744">
        <v>1.1028823541298178E-2</v>
      </c>
      <c r="BT184" s="744">
        <v>1.7605329852734289E-2</v>
      </c>
      <c r="BW184" s="1191">
        <f>'2018'!R\Max</f>
        <v>0</v>
      </c>
      <c r="BX184" s="1189">
        <f>'2019'!R\Max</f>
        <v>0.79127739476061387</v>
      </c>
      <c r="BY184" s="1189">
        <f>'2020'!R\Max</f>
        <v>0.71676571535197819</v>
      </c>
      <c r="BZ184" s="1189">
        <f>'2021'!R\Max</f>
        <v>0.54666381254734597</v>
      </c>
      <c r="CA184" s="1189">
        <f>'2022'!R\Max</f>
        <v>0.94885468577794885</v>
      </c>
      <c r="CB184" s="1189">
        <f>'2023'!R\Max</f>
        <v>0.94885124144283672</v>
      </c>
      <c r="CC184" s="1189">
        <f>'2024'!R\Max</f>
        <v>0.94884559920863976</v>
      </c>
      <c r="CD184" s="1189">
        <f>'2025'!R\Max</f>
        <v>0.9488638675786264</v>
      </c>
      <c r="CE184" s="1189">
        <f>'2026'!R\Max</f>
        <v>0.94886195031022813</v>
      </c>
      <c r="CF184" s="1190">
        <f>'2027'!R\Max</f>
        <v>0.94885988981023783</v>
      </c>
    </row>
    <row r="185" spans="1:84" s="6" customFormat="1" ht="11.25" x14ac:dyDescent="0.2">
      <c r="A185" s="11">
        <v>43271</v>
      </c>
      <c r="B185" s="382">
        <f>'2022'!Maxi_hp</f>
        <v>61.778509370898874</v>
      </c>
      <c r="C185" s="85">
        <f>'2022'!An_max</f>
        <v>2020</v>
      </c>
      <c r="D185" s="1134"/>
      <c r="E185" s="711"/>
      <c r="F185" s="13">
        <f t="shared" si="92"/>
        <v>13</v>
      </c>
      <c r="G185" s="13">
        <f t="shared" si="76"/>
        <v>14</v>
      </c>
      <c r="H185" s="175">
        <f t="shared" si="77"/>
        <v>43262</v>
      </c>
      <c r="I185" s="774">
        <f t="shared" si="78"/>
        <v>0.6428571428571429</v>
      </c>
      <c r="J185" s="765">
        <f t="shared" si="79"/>
        <v>64.08180058319121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P185" s="13">
        <f t="shared" si="80"/>
        <v>7</v>
      </c>
      <c r="AQ185" s="13">
        <f t="shared" si="81"/>
        <v>8</v>
      </c>
      <c r="AR185" s="175">
        <f t="shared" si="82"/>
        <v>43248</v>
      </c>
      <c r="AS185" s="774">
        <f t="shared" si="83"/>
        <v>0.8214285714285714</v>
      </c>
      <c r="AT185" s="791">
        <f t="shared" si="84"/>
        <v>64.084307872450765</v>
      </c>
      <c r="AU185" s="13">
        <f t="shared" si="85"/>
        <v>7</v>
      </c>
      <c r="AV185" s="13">
        <f t="shared" si="86"/>
        <v>8</v>
      </c>
      <c r="AW185" s="175">
        <f t="shared" si="87"/>
        <v>43262</v>
      </c>
      <c r="AX185" s="774">
        <f t="shared" si="88"/>
        <v>0.32142857142857145</v>
      </c>
      <c r="AY185" s="791">
        <f t="shared" si="89"/>
        <v>64.148384839988182</v>
      </c>
      <c r="AZ185" s="765">
        <f t="shared" si="93"/>
        <v>64.116346356219481</v>
      </c>
      <c r="BA185" s="649">
        <f t="shared" si="90"/>
        <v>0.96405701476346317</v>
      </c>
      <c r="BB185" s="644">
        <v>43271</v>
      </c>
      <c r="BC185" s="11">
        <v>43271</v>
      </c>
      <c r="BD185" s="292">
        <f>[2]!FeuilCaduc*(1-Persistant)+Persistant</f>
        <v>1</v>
      </c>
      <c r="BE185" s="293">
        <f>[2]!CroissVégét</f>
        <v>0.60096181929049675</v>
      </c>
      <c r="BF185" s="844">
        <f>1+[2]!Salcycl*Ksac</f>
        <v>1.0607121921878733</v>
      </c>
      <c r="BH185" s="1107">
        <f t="shared" si="91"/>
        <v>1.6934840416120388E-3</v>
      </c>
      <c r="BI185" s="11">
        <v>44367</v>
      </c>
      <c r="BJ185" s="744">
        <v>1.0429614542202103E-3</v>
      </c>
      <c r="BK185" s="744">
        <v>1.339245417219871E-3</v>
      </c>
      <c r="BL185" s="744">
        <v>1.6338290452827711E-3</v>
      </c>
      <c r="BM185" s="744">
        <v>1.9324384874143674E-3</v>
      </c>
      <c r="BN185" s="744">
        <v>2.267451696678587E-3</v>
      </c>
      <c r="BO185" s="745">
        <v>2.683332890505831E-3</v>
      </c>
      <c r="BP185" s="744">
        <v>3.3311632226611237E-3</v>
      </c>
      <c r="BQ185" s="744">
        <v>4.3809494186974598E-3</v>
      </c>
      <c r="BR185" s="744">
        <v>6.4973415907888443E-3</v>
      </c>
      <c r="BS185" s="744">
        <v>1.0899870879386694E-2</v>
      </c>
      <c r="BT185" s="744">
        <v>1.7388948106666014E-2</v>
      </c>
      <c r="BW185" s="1191">
        <f>'2018'!R\Max</f>
        <v>0</v>
      </c>
      <c r="BX185" s="1189">
        <f>'2019'!R\Max</f>
        <v>0.43095029208300228</v>
      </c>
      <c r="BY185" s="1189">
        <f>'2020'!R\Max</f>
        <v>0.96405701476346317</v>
      </c>
      <c r="BZ185" s="1189">
        <f>'2021'!R\Max</f>
        <v>0.57622442718993894</v>
      </c>
      <c r="CA185" s="1189">
        <f>'2022'!R\Max</f>
        <v>0.56401891745261246</v>
      </c>
      <c r="CB185" s="1189">
        <f>'2023'!R\Max</f>
        <v>0.56400164981969381</v>
      </c>
      <c r="CC185" s="1189">
        <f>'2024'!R\Max</f>
        <v>0.5639733538136531</v>
      </c>
      <c r="CD185" s="1189">
        <f>'2025'!R\Max</f>
        <v>0.56406525703213395</v>
      </c>
      <c r="CE185" s="1189">
        <f>'2026'!R\Max</f>
        <v>0.56405551421126887</v>
      </c>
      <c r="CF185" s="1190">
        <f>'2027'!R\Max</f>
        <v>0.56404510109860684</v>
      </c>
    </row>
    <row r="186" spans="1:84" s="6" customFormat="1" ht="11.25" x14ac:dyDescent="0.2">
      <c r="A186" s="11">
        <v>43272</v>
      </c>
      <c r="B186" s="382">
        <f>'2022'!Maxi_hp</f>
        <v>55.37097904522787</v>
      </c>
      <c r="C186" s="85">
        <f>'2022'!An_max</f>
        <v>2020</v>
      </c>
      <c r="D186" s="1134"/>
      <c r="E186" s="711"/>
      <c r="F186" s="13">
        <f t="shared" si="92"/>
        <v>13</v>
      </c>
      <c r="G186" s="13">
        <f t="shared" si="76"/>
        <v>14</v>
      </c>
      <c r="H186" s="175">
        <f t="shared" si="77"/>
        <v>43262</v>
      </c>
      <c r="I186" s="774">
        <f t="shared" si="78"/>
        <v>0.7142857142857143</v>
      </c>
      <c r="J186" s="765">
        <f t="shared" si="79"/>
        <v>64.028958600865934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P186" s="13">
        <f t="shared" si="80"/>
        <v>7</v>
      </c>
      <c r="AQ186" s="13">
        <f t="shared" si="81"/>
        <v>8</v>
      </c>
      <c r="AR186" s="175">
        <f t="shared" si="82"/>
        <v>43248</v>
      </c>
      <c r="AS186" s="774">
        <f t="shared" si="83"/>
        <v>0.8571428571428571</v>
      </c>
      <c r="AT186" s="791">
        <f t="shared" si="84"/>
        <v>64.030451312661171</v>
      </c>
      <c r="AU186" s="13">
        <f t="shared" si="85"/>
        <v>7</v>
      </c>
      <c r="AV186" s="13">
        <f t="shared" si="86"/>
        <v>8</v>
      </c>
      <c r="AW186" s="175">
        <f t="shared" si="87"/>
        <v>43262</v>
      </c>
      <c r="AX186" s="774">
        <f t="shared" si="88"/>
        <v>0.35714285714285715</v>
      </c>
      <c r="AY186" s="791">
        <f t="shared" si="89"/>
        <v>64.100235568625578</v>
      </c>
      <c r="AZ186" s="765">
        <f t="shared" si="93"/>
        <v>64.065343440643375</v>
      </c>
      <c r="BA186" s="649">
        <f t="shared" si="90"/>
        <v>0.86478025342237919</v>
      </c>
      <c r="BB186" s="644">
        <v>43272</v>
      </c>
      <c r="BC186" s="11">
        <v>43272</v>
      </c>
      <c r="BD186" s="292">
        <f>[2]!FeuilCaduc*(1-Persistant)+Persistant</f>
        <v>1</v>
      </c>
      <c r="BE186" s="293">
        <f>[2]!CroissVégét</f>
        <v>0.61078861238975013</v>
      </c>
      <c r="BF186" s="844">
        <f>1+[2]!Salcycl*Ksac</f>
        <v>1.0613282462741604</v>
      </c>
      <c r="BH186" s="1107">
        <f t="shared" si="91"/>
        <v>1.6962947371309176E-3</v>
      </c>
      <c r="BI186" s="11">
        <v>44368</v>
      </c>
      <c r="BJ186" s="744">
        <v>1.0435810413430865E-3</v>
      </c>
      <c r="BK186" s="744">
        <v>1.3409694593020894E-3</v>
      </c>
      <c r="BL186" s="744">
        <v>1.6365081689513692E-3</v>
      </c>
      <c r="BM186" s="744">
        <v>1.9357762080024199E-3</v>
      </c>
      <c r="BN186" s="744">
        <v>2.2700125441142008E-3</v>
      </c>
      <c r="BO186" s="745">
        <v>2.6832465978802872E-3</v>
      </c>
      <c r="BP186" s="744">
        <v>3.3264891673715716E-3</v>
      </c>
      <c r="BQ186" s="744">
        <v>4.3651067911876645E-3</v>
      </c>
      <c r="BR186" s="744">
        <v>6.4588955433866899E-3</v>
      </c>
      <c r="BS186" s="744">
        <v>1.0820372239652787E-2</v>
      </c>
      <c r="BT186" s="744">
        <v>1.7255732606738142E-2</v>
      </c>
      <c r="BW186" s="1191">
        <f>'2018'!R\Max</f>
        <v>0</v>
      </c>
      <c r="BX186" s="1189">
        <f>'2019'!R\Max</f>
        <v>0.16707443283872422</v>
      </c>
      <c r="BY186" s="1189">
        <f>'2020'!R\Max</f>
        <v>0.86478025342237919</v>
      </c>
      <c r="BZ186" s="1189">
        <f>'2021'!R\Max</f>
        <v>0.60203678974777963</v>
      </c>
      <c r="CA186" s="1189">
        <f>'2022'!R\Max</f>
        <v>0.33521611771188908</v>
      </c>
      <c r="CB186" s="1189">
        <f>'2023'!R\Max</f>
        <v>0.33520056730816283</v>
      </c>
      <c r="CC186" s="1189">
        <f>'2024'!R\Max</f>
        <v>0.3351750297970521</v>
      </c>
      <c r="CD186" s="1189">
        <f>'2025'!R\Max</f>
        <v>0.33525804385739072</v>
      </c>
      <c r="CE186" s="1189">
        <f>'2026'!R\Max</f>
        <v>0.33524919478553239</v>
      </c>
      <c r="CF186" s="1190">
        <f>'2027'!R\Max</f>
        <v>0.33523977155047002</v>
      </c>
    </row>
    <row r="187" spans="1:84" s="6" customFormat="1" ht="11.25" x14ac:dyDescent="0.2">
      <c r="A187" s="11">
        <v>43273</v>
      </c>
      <c r="B187" s="382">
        <f>'2022'!Maxi_hp</f>
        <v>63.646514520182144</v>
      </c>
      <c r="C187" s="85">
        <f>'2022'!An_max</f>
        <v>2020</v>
      </c>
      <c r="D187" s="1134"/>
      <c r="E187" s="711"/>
      <c r="F187" s="13">
        <f t="shared" si="92"/>
        <v>13</v>
      </c>
      <c r="G187" s="13">
        <f t="shared" si="76"/>
        <v>14</v>
      </c>
      <c r="H187" s="175">
        <f t="shared" si="77"/>
        <v>43262</v>
      </c>
      <c r="I187" s="774">
        <f t="shared" si="78"/>
        <v>0.7857142857142857</v>
      </c>
      <c r="J187" s="765">
        <f t="shared" si="79"/>
        <v>63.973653643844386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P187" s="13">
        <f t="shared" si="80"/>
        <v>7</v>
      </c>
      <c r="AQ187" s="13">
        <f t="shared" si="81"/>
        <v>8</v>
      </c>
      <c r="AR187" s="175">
        <f t="shared" si="82"/>
        <v>43248</v>
      </c>
      <c r="AS187" s="774">
        <f t="shared" si="83"/>
        <v>0.8928571428571429</v>
      </c>
      <c r="AT187" s="791">
        <f t="shared" si="84"/>
        <v>63.974430322021774</v>
      </c>
      <c r="AU187" s="13">
        <f t="shared" si="85"/>
        <v>7</v>
      </c>
      <c r="AV187" s="13">
        <f t="shared" si="86"/>
        <v>8</v>
      </c>
      <c r="AW187" s="175">
        <f t="shared" si="87"/>
        <v>43262</v>
      </c>
      <c r="AX187" s="774">
        <f t="shared" si="88"/>
        <v>0.39285714285714285</v>
      </c>
      <c r="AY187" s="791">
        <f t="shared" si="89"/>
        <v>64.048466472341019</v>
      </c>
      <c r="AZ187" s="765">
        <f t="shared" si="93"/>
        <v>64.011448397181397</v>
      </c>
      <c r="BA187" s="649">
        <f t="shared" si="90"/>
        <v>0.99488634609673077</v>
      </c>
      <c r="BB187" s="644">
        <v>43273</v>
      </c>
      <c r="BC187" s="11">
        <v>43273</v>
      </c>
      <c r="BD187" s="292">
        <f>[2]!FeuilCaduc*(1-Persistant)+Persistant</f>
        <v>1</v>
      </c>
      <c r="BE187" s="293">
        <f>[2]!CroissVégét</f>
        <v>0.62052607026992535</v>
      </c>
      <c r="BF187" s="844">
        <f>1+[2]!Salcycl*Ksac</f>
        <v>1.0619199747936985</v>
      </c>
      <c r="BH187" s="1107">
        <f t="shared" si="91"/>
        <v>1.696660025153663E-3</v>
      </c>
      <c r="BI187" s="11">
        <v>44369</v>
      </c>
      <c r="BJ187" s="744">
        <v>1.0434362948322903E-3</v>
      </c>
      <c r="BK187" s="744">
        <v>1.3410924388407941E-3</v>
      </c>
      <c r="BL187" s="744">
        <v>1.6368497576372352E-3</v>
      </c>
      <c r="BM187" s="744">
        <v>1.936236426244902E-3</v>
      </c>
      <c r="BN187" s="744">
        <v>2.2701016381168424E-3</v>
      </c>
      <c r="BO187" s="745">
        <v>2.682315221408891E-3</v>
      </c>
      <c r="BP187" s="744">
        <v>3.3238137468498074E-3</v>
      </c>
      <c r="BQ187" s="744">
        <v>4.358363009634143E-3</v>
      </c>
      <c r="BR187" s="744">
        <v>6.4439208053611446E-3</v>
      </c>
      <c r="BS187" s="744">
        <v>1.0790260392603798E-2</v>
      </c>
      <c r="BT187" s="744">
        <v>1.7205568982137223E-2</v>
      </c>
      <c r="BW187" s="1191">
        <f>'2018'!R\Max</f>
        <v>0</v>
      </c>
      <c r="BX187" s="1189">
        <f>'2019'!R\Max</f>
        <v>0.92530073227463838</v>
      </c>
      <c r="BY187" s="1189">
        <f>'2020'!R\Max</f>
        <v>0.99488634609673077</v>
      </c>
      <c r="BZ187" s="1189">
        <f>'2021'!R\Max</f>
        <v>0.66111213756461407</v>
      </c>
      <c r="CA187" s="1189">
        <f>'2022'!R\Max</f>
        <v>0.81058319537708479</v>
      </c>
      <c r="CB187" s="1189">
        <f>'2023'!R\Max</f>
        <v>0.81057250081423682</v>
      </c>
      <c r="CC187" s="1189">
        <f>'2024'!R\Max</f>
        <v>0.81055486285880141</v>
      </c>
      <c r="CD187" s="1189">
        <f>'2025'!R\Max</f>
        <v>0.8106121015524318</v>
      </c>
      <c r="CE187" s="1189">
        <f>'2026'!R\Max</f>
        <v>0.81060599550978685</v>
      </c>
      <c r="CF187" s="1190">
        <f>'2027'!R\Max</f>
        <v>0.81059950541491632</v>
      </c>
    </row>
    <row r="188" spans="1:84" s="6" customFormat="1" ht="11.25" x14ac:dyDescent="0.2">
      <c r="A188" s="11">
        <v>43274</v>
      </c>
      <c r="B188" s="382">
        <f>'2022'!Maxi_hp</f>
        <v>56.737228376806002</v>
      </c>
      <c r="C188" s="85">
        <f>'2022'!An_max</f>
        <v>2020</v>
      </c>
      <c r="D188" s="1134"/>
      <c r="E188" s="711"/>
      <c r="F188" s="13">
        <f t="shared" si="92"/>
        <v>13</v>
      </c>
      <c r="G188" s="13">
        <f t="shared" si="76"/>
        <v>14</v>
      </c>
      <c r="H188" s="175">
        <f t="shared" si="77"/>
        <v>43262</v>
      </c>
      <c r="I188" s="774">
        <f t="shared" si="78"/>
        <v>0.8571428571428571</v>
      </c>
      <c r="J188" s="765">
        <f t="shared" si="79"/>
        <v>63.916109620886189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P188" s="13">
        <f t="shared" si="80"/>
        <v>7</v>
      </c>
      <c r="AQ188" s="13">
        <f t="shared" si="81"/>
        <v>8</v>
      </c>
      <c r="AR188" s="175">
        <f t="shared" si="82"/>
        <v>43248</v>
      </c>
      <c r="AS188" s="774">
        <f t="shared" si="83"/>
        <v>0.9285714285714286</v>
      </c>
      <c r="AT188" s="791">
        <f t="shared" si="84"/>
        <v>63.916426823261588</v>
      </c>
      <c r="AU188" s="13">
        <f t="shared" si="85"/>
        <v>7</v>
      </c>
      <c r="AV188" s="13">
        <f t="shared" si="86"/>
        <v>8</v>
      </c>
      <c r="AW188" s="175">
        <f t="shared" si="87"/>
        <v>43262</v>
      </c>
      <c r="AX188" s="774">
        <f t="shared" si="88"/>
        <v>0.42857142857142855</v>
      </c>
      <c r="AY188" s="791">
        <f t="shared" si="89"/>
        <v>63.993133528104842</v>
      </c>
      <c r="AZ188" s="765">
        <f t="shared" si="93"/>
        <v>63.954780175683211</v>
      </c>
      <c r="BA188" s="649">
        <f t="shared" si="90"/>
        <v>0.88768275655916473</v>
      </c>
      <c r="BB188" s="644">
        <v>43274</v>
      </c>
      <c r="BC188" s="11">
        <v>43274</v>
      </c>
      <c r="BD188" s="292">
        <f>[2]!FeuilCaduc*(1-Persistant)+Persistant</f>
        <v>1</v>
      </c>
      <c r="BE188" s="293">
        <f>[2]!CroissVégét</f>
        <v>0.6301672999323692</v>
      </c>
      <c r="BF188" s="844">
        <f>1+[2]!Salcycl*Ksac</f>
        <v>1.0624872711258206</v>
      </c>
      <c r="BH188" s="1107">
        <f t="shared" si="91"/>
        <v>1.6945687703797453E-3</v>
      </c>
      <c r="BI188" s="11">
        <v>44370</v>
      </c>
      <c r="BJ188" s="744">
        <v>1.0425192057197804E-3</v>
      </c>
      <c r="BK188" s="744">
        <v>1.3396050332678449E-3</v>
      </c>
      <c r="BL188" s="744">
        <v>1.634843034570059E-3</v>
      </c>
      <c r="BM188" s="744">
        <v>1.9338065707102748E-3</v>
      </c>
      <c r="BN188" s="744">
        <v>2.2677028239399158E-3</v>
      </c>
      <c r="BO188" s="745">
        <v>2.6805164152582674E-3</v>
      </c>
      <c r="BP188" s="744">
        <v>3.3231044904193045E-3</v>
      </c>
      <c r="BQ188" s="744">
        <v>4.3606653288509644E-3</v>
      </c>
      <c r="BR188" s="744">
        <v>6.452323667218496E-3</v>
      </c>
      <c r="BS188" s="744">
        <v>1.0809362594741355E-2</v>
      </c>
      <c r="BT188" s="744">
        <v>1.7238175032518035E-2</v>
      </c>
      <c r="BW188" s="1191">
        <f>'2018'!R\Max</f>
        <v>0</v>
      </c>
      <c r="BX188" s="1189">
        <f>'2019'!R\Max</f>
        <v>0.88215352165747196</v>
      </c>
      <c r="BY188" s="1189">
        <f>'2020'!R\Max</f>
        <v>0.88768275655916473</v>
      </c>
      <c r="BZ188" s="1189">
        <f>'2021'!R\Max</f>
        <v>0.42007928738564304</v>
      </c>
      <c r="CA188" s="1189">
        <f>'2022'!R\Max</f>
        <v>0.71917798954479117</v>
      </c>
      <c r="CB188" s="1189">
        <f>'2023'!R\Max</f>
        <v>0.71916388562841915</v>
      </c>
      <c r="CC188" s="1189">
        <f>'2024'!R\Max</f>
        <v>0.719140480571277</v>
      </c>
      <c r="CD188" s="1189">
        <f>'2025'!R\Max</f>
        <v>0.7192161369762381</v>
      </c>
      <c r="CE188" s="1189">
        <f>'2026'!R\Max</f>
        <v>0.71920809497063798</v>
      </c>
      <c r="CF188" s="1190">
        <f>'2027'!R\Max</f>
        <v>0.71919953229544309</v>
      </c>
    </row>
    <row r="189" spans="1:84" s="6" customFormat="1" ht="11.25" x14ac:dyDescent="0.2">
      <c r="A189" s="11">
        <v>43275</v>
      </c>
      <c r="B189" s="382">
        <f>'2022'!Maxi_hp</f>
        <v>62.884228215867878</v>
      </c>
      <c r="C189" s="85">
        <f>'2022'!An_max</f>
        <v>2020</v>
      </c>
      <c r="D189" s="1134"/>
      <c r="E189" s="711"/>
      <c r="F189" s="13">
        <f t="shared" si="92"/>
        <v>13</v>
      </c>
      <c r="G189" s="13">
        <f t="shared" si="76"/>
        <v>14</v>
      </c>
      <c r="H189" s="175">
        <f t="shared" si="77"/>
        <v>43262</v>
      </c>
      <c r="I189" s="774">
        <f t="shared" si="78"/>
        <v>0.9285714285714286</v>
      </c>
      <c r="J189" s="765">
        <f t="shared" si="79"/>
        <v>63.856550437611119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P189" s="13">
        <f t="shared" si="80"/>
        <v>7</v>
      </c>
      <c r="AQ189" s="13">
        <f t="shared" si="81"/>
        <v>8</v>
      </c>
      <c r="AR189" s="175">
        <f t="shared" si="82"/>
        <v>43248</v>
      </c>
      <c r="AS189" s="774">
        <f t="shared" si="83"/>
        <v>0.9642857142857143</v>
      </c>
      <c r="AT189" s="791">
        <f t="shared" si="84"/>
        <v>63.856622740892433</v>
      </c>
      <c r="AU189" s="13">
        <f t="shared" si="85"/>
        <v>7</v>
      </c>
      <c r="AV189" s="13">
        <f t="shared" si="86"/>
        <v>8</v>
      </c>
      <c r="AW189" s="175">
        <f t="shared" si="87"/>
        <v>43262</v>
      </c>
      <c r="AX189" s="774">
        <f t="shared" si="88"/>
        <v>0.4642857142857143</v>
      </c>
      <c r="AY189" s="791">
        <f t="shared" si="89"/>
        <v>63.934292711703371</v>
      </c>
      <c r="AZ189" s="765">
        <f t="shared" si="93"/>
        <v>63.895457726297906</v>
      </c>
      <c r="BA189" s="649">
        <f t="shared" si="90"/>
        <v>0.98477333625008112</v>
      </c>
      <c r="BB189" s="644">
        <v>43275</v>
      </c>
      <c r="BC189" s="11">
        <v>43275</v>
      </c>
      <c r="BD189" s="292">
        <f>[2]!FeuilCaduc*(1-Persistant)+Persistant</f>
        <v>1</v>
      </c>
      <c r="BE189" s="293">
        <f>[2]!CroissVégét</f>
        <v>0.63970570469545396</v>
      </c>
      <c r="BF189" s="844">
        <f>1+[2]!Salcycl*Ksac</f>
        <v>1.0630300991683224</v>
      </c>
      <c r="BH189" s="1107">
        <f t="shared" si="91"/>
        <v>1.6900088206147851E-3</v>
      </c>
      <c r="BI189" s="11">
        <v>44371</v>
      </c>
      <c r="BJ189" s="744">
        <v>1.0408211792273727E-3</v>
      </c>
      <c r="BK189" s="744">
        <v>1.3364971339883576E-3</v>
      </c>
      <c r="BL189" s="744">
        <v>1.6304762430923913E-3</v>
      </c>
      <c r="BM189" s="744">
        <v>1.9284729048388326E-3</v>
      </c>
      <c r="BN189" s="744">
        <v>2.2627986290659429E-3</v>
      </c>
      <c r="BO189" s="745">
        <v>2.6778263875955177E-3</v>
      </c>
      <c r="BP189" s="744">
        <v>3.324327298558969E-3</v>
      </c>
      <c r="BQ189" s="744">
        <v>4.3719592144595325E-3</v>
      </c>
      <c r="BR189" s="744">
        <v>6.4840083101863621E-3</v>
      </c>
      <c r="BS189" s="744">
        <v>1.087750311020988E-2</v>
      </c>
      <c r="BT189" s="744">
        <v>1.7353264016296367E-2</v>
      </c>
      <c r="BW189" s="1191">
        <f>'2018'!R\Max</f>
        <v>0</v>
      </c>
      <c r="BX189" s="1189">
        <f>'2019'!R\Max</f>
        <v>0.63662198105291812</v>
      </c>
      <c r="BY189" s="1189">
        <f>'2020'!R\Max</f>
        <v>0.98477333625008112</v>
      </c>
      <c r="BZ189" s="1189">
        <f>'2021'!R\Max</f>
        <v>0.65291721431848848</v>
      </c>
      <c r="CA189" s="1189">
        <f>'2022'!R\Max</f>
        <v>0.7614461281714181</v>
      </c>
      <c r="CB189" s="1189">
        <f>'2023'!R\Max</f>
        <v>0.76143335376210719</v>
      </c>
      <c r="CC189" s="1189">
        <f>'2024'!R\Max</f>
        <v>0.76141197944417816</v>
      </c>
      <c r="CD189" s="1189">
        <f>'2025'!R\Max</f>
        <v>0.76148063676613242</v>
      </c>
      <c r="CE189" s="1189">
        <f>'2026'!R\Max</f>
        <v>0.76147339729271113</v>
      </c>
      <c r="CF189" s="1190">
        <f>'2027'!R\Max</f>
        <v>0.76146566085438072</v>
      </c>
    </row>
    <row r="190" spans="1:84" s="6" customFormat="1" ht="11.25" x14ac:dyDescent="0.2">
      <c r="A190" s="11">
        <v>43276</v>
      </c>
      <c r="B190" s="382">
        <f>'2022'!Maxi_hp</f>
        <v>58.027223678853936</v>
      </c>
      <c r="C190" s="85">
        <f>'2022'!An_max</f>
        <v>2021</v>
      </c>
      <c r="D190" s="1134"/>
      <c r="E190" s="773">
        <f>Z$13/10</f>
        <v>63.795200000000001</v>
      </c>
      <c r="F190" s="13">
        <f t="shared" si="92"/>
        <v>15</v>
      </c>
      <c r="G190" s="13">
        <f t="shared" si="76"/>
        <v>14</v>
      </c>
      <c r="H190" s="175">
        <f t="shared" si="77"/>
        <v>43290</v>
      </c>
      <c r="I190" s="774">
        <f t="shared" si="78"/>
        <v>1</v>
      </c>
      <c r="J190" s="765">
        <f t="shared" si="79"/>
        <v>63.795199999958278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P190" s="13">
        <f t="shared" si="80"/>
        <v>9</v>
      </c>
      <c r="AQ190" s="13">
        <f t="shared" si="81"/>
        <v>8</v>
      </c>
      <c r="AR190" s="175">
        <f t="shared" si="82"/>
        <v>43304</v>
      </c>
      <c r="AS190" s="774">
        <f t="shared" si="83"/>
        <v>1</v>
      </c>
      <c r="AT190" s="791">
        <f t="shared" si="84"/>
        <v>63.795200000330809</v>
      </c>
      <c r="AU190" s="13">
        <f t="shared" si="85"/>
        <v>7</v>
      </c>
      <c r="AV190" s="13">
        <f t="shared" si="86"/>
        <v>8</v>
      </c>
      <c r="AW190" s="175">
        <f t="shared" si="87"/>
        <v>43262</v>
      </c>
      <c r="AX190" s="774">
        <f t="shared" si="88"/>
        <v>0.5</v>
      </c>
      <c r="AY190" s="791">
        <f t="shared" si="89"/>
        <v>63.871999999880792</v>
      </c>
      <c r="AZ190" s="765">
        <f t="shared" si="93"/>
        <v>63.833600000105804</v>
      </c>
      <c r="BA190" s="649">
        <f t="shared" si="90"/>
        <v>0.90958604532773446</v>
      </c>
      <c r="BB190" s="644">
        <v>43276</v>
      </c>
      <c r="BC190" s="11">
        <v>43276</v>
      </c>
      <c r="BD190" s="292">
        <f>[2]!FeuilCaduc*(1-Persistant)+Persistant</f>
        <v>1</v>
      </c>
      <c r="BE190" s="293">
        <f>[2]!CroissVégét</f>
        <v>0.64913499947740572</v>
      </c>
      <c r="BF190" s="844">
        <f>1+[2]!Salcycl*Ksac</f>
        <v>1.0635484922081861</v>
      </c>
      <c r="BH190" s="1107">
        <f t="shared" si="91"/>
        <v>1.6829849088217436E-3</v>
      </c>
      <c r="BI190" s="11">
        <v>44372</v>
      </c>
      <c r="BJ190" s="744">
        <v>1.0383440090687469E-3</v>
      </c>
      <c r="BK190" s="744">
        <v>1.3317719808485764E-3</v>
      </c>
      <c r="BL190" s="744">
        <v>1.6237539165959664E-3</v>
      </c>
      <c r="BM190" s="744">
        <v>1.9202409609973537E-3</v>
      </c>
      <c r="BN190" s="744">
        <v>2.2553941775858067E-3</v>
      </c>
      <c r="BO190" s="745">
        <v>2.6742480582041864E-3</v>
      </c>
      <c r="BP190" s="744">
        <v>3.3274811890369187E-3</v>
      </c>
      <c r="BQ190" s="744">
        <v>4.392233594176149E-3</v>
      </c>
      <c r="BR190" s="744">
        <v>6.5389432321171772E-3</v>
      </c>
      <c r="BS190" s="744">
        <v>1.0994613957978185E-2</v>
      </c>
      <c r="BT190" s="744">
        <v>1.7550721036461377E-2</v>
      </c>
      <c r="BW190" s="1191">
        <f>'2018'!R\Max</f>
        <v>0</v>
      </c>
      <c r="BX190" s="1189">
        <f>'2019'!R\Max</f>
        <v>0.88559290603747687</v>
      </c>
      <c r="BY190" s="1189">
        <f>'2020'!R\Max</f>
        <v>0.8838413469108316</v>
      </c>
      <c r="BZ190" s="1189">
        <f>'2021'!R\Max</f>
        <v>0.90958604532773446</v>
      </c>
      <c r="CA190" s="1189">
        <f>'2022'!R\Max</f>
        <v>0.5339702105558285</v>
      </c>
      <c r="CB190" s="1189">
        <f>'2023'!R\Max</f>
        <v>0.53395251126562848</v>
      </c>
      <c r="CC190" s="1189">
        <f>'2024'!R\Max</f>
        <v>0.53392259372533002</v>
      </c>
      <c r="CD190" s="1189">
        <f>'2025'!R\Max</f>
        <v>0.53401788166574959</v>
      </c>
      <c r="CE190" s="1189">
        <f>'2026'!R\Max</f>
        <v>0.53400795683887226</v>
      </c>
      <c r="CF190" s="1190">
        <f>'2027'!R\Max</f>
        <v>0.53399729469545165</v>
      </c>
    </row>
    <row r="191" spans="1:84" s="6" customFormat="1" ht="11.25" x14ac:dyDescent="0.2">
      <c r="A191" s="11">
        <v>43277</v>
      </c>
      <c r="B191" s="382">
        <f>'2022'!Maxi_hp</f>
        <v>61.058572386734099</v>
      </c>
      <c r="C191" s="85">
        <f>'2022'!An_max</f>
        <v>2019</v>
      </c>
      <c r="D191" s="1134"/>
      <c r="E191" s="711"/>
      <c r="F191" s="13">
        <f t="shared" si="92"/>
        <v>15</v>
      </c>
      <c r="G191" s="13">
        <f t="shared" si="76"/>
        <v>14</v>
      </c>
      <c r="H191" s="175">
        <f t="shared" si="77"/>
        <v>43290</v>
      </c>
      <c r="I191" s="774">
        <f t="shared" si="78"/>
        <v>0.9285714285714286</v>
      </c>
      <c r="J191" s="765">
        <f t="shared" si="79"/>
        <v>63.732207580363117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P191" s="13">
        <f t="shared" si="80"/>
        <v>9</v>
      </c>
      <c r="AQ191" s="13">
        <f t="shared" si="81"/>
        <v>8</v>
      </c>
      <c r="AR191" s="175">
        <f t="shared" si="82"/>
        <v>43304</v>
      </c>
      <c r="AS191" s="774">
        <f t="shared" si="83"/>
        <v>0.9642857142857143</v>
      </c>
      <c r="AT191" s="791">
        <f t="shared" si="84"/>
        <v>63.731461225037592</v>
      </c>
      <c r="AU191" s="13">
        <f t="shared" si="85"/>
        <v>7</v>
      </c>
      <c r="AV191" s="13">
        <f t="shared" si="86"/>
        <v>8</v>
      </c>
      <c r="AW191" s="175">
        <f t="shared" si="87"/>
        <v>43262</v>
      </c>
      <c r="AX191" s="774">
        <f t="shared" si="88"/>
        <v>0.5357142857142857</v>
      </c>
      <c r="AY191" s="791">
        <f t="shared" si="89"/>
        <v>63.806311370219511</v>
      </c>
      <c r="AZ191" s="765">
        <f t="shared" si="93"/>
        <v>63.768886297628555</v>
      </c>
      <c r="BA191" s="649">
        <f t="shared" si="90"/>
        <v>0.95804891600125885</v>
      </c>
      <c r="BB191" s="644">
        <v>43277</v>
      </c>
      <c r="BC191" s="11">
        <v>43277</v>
      </c>
      <c r="BD191" s="292">
        <f>[2]!FeuilCaduc*(1-Persistant)+Persistant</f>
        <v>1</v>
      </c>
      <c r="BE191" s="293">
        <f>[2]!CroissVégét</f>
        <v>0.65844922415907026</v>
      </c>
      <c r="BF191" s="844">
        <f>1+[2]!Salcycl*Ksac</f>
        <v>1.0640425514149074</v>
      </c>
      <c r="BH191" s="1107">
        <f t="shared" si="91"/>
        <v>1.673501751701515E-3</v>
      </c>
      <c r="BI191" s="11">
        <v>44373</v>
      </c>
      <c r="BJ191" s="744">
        <v>1.0350894838188015E-3</v>
      </c>
      <c r="BK191" s="744">
        <v>1.3254328030225136E-3</v>
      </c>
      <c r="BL191" s="744">
        <v>1.6146805729261703E-3</v>
      </c>
      <c r="BM191" s="744">
        <v>1.9091162524236659E-3</v>
      </c>
      <c r="BN191" s="744">
        <v>2.24549457709261E-3</v>
      </c>
      <c r="BO191" s="745">
        <v>2.669784341019514E-3</v>
      </c>
      <c r="BP191" s="744">
        <v>3.3325651923988421E-3</v>
      </c>
      <c r="BQ191" s="744">
        <v>4.4214774550616785E-3</v>
      </c>
      <c r="BR191" s="744">
        <v>6.6170970844711997E-3</v>
      </c>
      <c r="BS191" s="744">
        <v>1.1160627480528366E-2</v>
      </c>
      <c r="BT191" s="744">
        <v>1.7830431740144578E-2</v>
      </c>
      <c r="BW191" s="1191">
        <f>'2018'!R\Max</f>
        <v>0</v>
      </c>
      <c r="BX191" s="1189">
        <f>'2019'!R\Max</f>
        <v>0.95804891600125885</v>
      </c>
      <c r="BY191" s="1189">
        <f>'2020'!R\Max</f>
        <v>0.79387334714936764</v>
      </c>
      <c r="BZ191" s="1189">
        <f>'2021'!R\Max</f>
        <v>0.94947540826009647</v>
      </c>
      <c r="CA191" s="1189">
        <f>'2022'!R\Max</f>
        <v>0.2042926036144235</v>
      </c>
      <c r="CB191" s="1189">
        <f>'2023'!R\Max</f>
        <v>0.20428227295646417</v>
      </c>
      <c r="CC191" s="1189">
        <f>'2024'!R\Max</f>
        <v>0.20426459955830326</v>
      </c>
      <c r="CD191" s="1189">
        <f>'2025'!R\Max</f>
        <v>0.20432029984385525</v>
      </c>
      <c r="CE191" s="1189">
        <f>'2026'!R\Max</f>
        <v>0.20431459288274331</v>
      </c>
      <c r="CF191" s="1190">
        <f>'2027'!R\Max</f>
        <v>0.2043084195620373</v>
      </c>
    </row>
    <row r="192" spans="1:84" s="6" customFormat="1" ht="11.25" x14ac:dyDescent="0.2">
      <c r="A192" s="11">
        <v>43278</v>
      </c>
      <c r="B192" s="382">
        <f>'2022'!Maxi_hp</f>
        <v>60.869890690098934</v>
      </c>
      <c r="C192" s="85">
        <f>'2022'!An_max</f>
        <v>2019</v>
      </c>
      <c r="D192" s="1134"/>
      <c r="E192" s="711"/>
      <c r="F192" s="13">
        <f t="shared" si="92"/>
        <v>15</v>
      </c>
      <c r="G192" s="13">
        <f t="shared" si="76"/>
        <v>14</v>
      </c>
      <c r="H192" s="175">
        <f t="shared" si="77"/>
        <v>43290</v>
      </c>
      <c r="I192" s="774">
        <f t="shared" si="78"/>
        <v>0.8571428571428571</v>
      </c>
      <c r="J192" s="765">
        <f t="shared" si="79"/>
        <v>63.667423906177284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P192" s="13">
        <f t="shared" si="80"/>
        <v>9</v>
      </c>
      <c r="AQ192" s="13">
        <f t="shared" si="81"/>
        <v>8</v>
      </c>
      <c r="AR192" s="175">
        <f t="shared" si="82"/>
        <v>43304</v>
      </c>
      <c r="AS192" s="774">
        <f t="shared" si="83"/>
        <v>0.9285714285714286</v>
      </c>
      <c r="AT192" s="791">
        <f t="shared" si="84"/>
        <v>63.664587755448053</v>
      </c>
      <c r="AU192" s="13">
        <f t="shared" si="85"/>
        <v>7</v>
      </c>
      <c r="AV192" s="13">
        <f t="shared" si="86"/>
        <v>8</v>
      </c>
      <c r="AW192" s="175">
        <f t="shared" si="87"/>
        <v>43262</v>
      </c>
      <c r="AX192" s="774">
        <f t="shared" si="88"/>
        <v>0.5714285714285714</v>
      </c>
      <c r="AY192" s="791">
        <f t="shared" si="89"/>
        <v>63.737282798332828</v>
      </c>
      <c r="AZ192" s="765">
        <f t="shared" si="93"/>
        <v>63.700935276890441</v>
      </c>
      <c r="BA192" s="649">
        <f t="shared" si="90"/>
        <v>0.95606021031727462</v>
      </c>
      <c r="BB192" s="644">
        <v>43278</v>
      </c>
      <c r="BC192" s="11">
        <v>43278</v>
      </c>
      <c r="BD192" s="292">
        <f>[2]!FeuilCaduc*(1-Persistant)+Persistant</f>
        <v>1</v>
      </c>
      <c r="BE192" s="293">
        <f>[2]!CroissVégét</f>
        <v>0.66764275499450454</v>
      </c>
      <c r="BF192" s="844">
        <f>1+[2]!Salcycl*Ksac</f>
        <v>1.0645124439680331</v>
      </c>
      <c r="BH192" s="1107">
        <f t="shared" si="91"/>
        <v>1.6605941500499523E-3</v>
      </c>
      <c r="BI192" s="11">
        <v>44374</v>
      </c>
      <c r="BJ192" s="744">
        <v>1.0296338305801167E-3</v>
      </c>
      <c r="BK192" s="744">
        <v>1.3162409805277343E-3</v>
      </c>
      <c r="BL192" s="744">
        <v>1.6022337861985915E-3</v>
      </c>
      <c r="BM192" s="744">
        <v>1.8943628074806179E-3</v>
      </c>
      <c r="BN192" s="744">
        <v>2.2328472047110849E-3</v>
      </c>
      <c r="BO192" s="745">
        <v>2.6652721247977652E-3</v>
      </c>
      <c r="BP192" s="744">
        <v>3.3428882451344414E-3</v>
      </c>
      <c r="BQ192" s="744">
        <v>4.468045768962689E-3</v>
      </c>
      <c r="BR192" s="744">
        <v>6.7359190459972303E-3</v>
      </c>
      <c r="BS192" s="744">
        <v>1.1397876721141016E-2</v>
      </c>
      <c r="BT192" s="744">
        <v>1.8213972322377054E-2</v>
      </c>
      <c r="BW192" s="1191">
        <f>'2018'!R\Max</f>
        <v>0</v>
      </c>
      <c r="BX192" s="1189">
        <f>'2019'!R\Max</f>
        <v>0.95606021031727462</v>
      </c>
      <c r="BY192" s="1189">
        <f>'2020'!R\Max</f>
        <v>0.81303046088929998</v>
      </c>
      <c r="BZ192" s="1189">
        <f>'2021'!R\Max</f>
        <v>0.14002603220532844</v>
      </c>
      <c r="CA192" s="1189">
        <f>'2022'!R\Max</f>
        <v>0.30371306827314598</v>
      </c>
      <c r="CB192" s="1189">
        <f>'2023'!R\Max</f>
        <v>0.30369743474612204</v>
      </c>
      <c r="CC192" s="1189">
        <f>'2024'!R\Max</f>
        <v>0.30367029856642858</v>
      </c>
      <c r="CD192" s="1189">
        <f>'2025'!R\Max</f>
        <v>0.3037546639732584</v>
      </c>
      <c r="CE192" s="1189">
        <f>'2026'!R\Max</f>
        <v>0.30374621199622082</v>
      </c>
      <c r="CF192" s="1190">
        <f>'2027'!R\Max</f>
        <v>0.30373698850579256</v>
      </c>
    </row>
    <row r="193" spans="1:84" s="6" customFormat="1" ht="11.25" x14ac:dyDescent="0.2">
      <c r="A193" s="11">
        <v>43279</v>
      </c>
      <c r="B193" s="382">
        <f>'2022'!Maxi_hp</f>
        <v>66.004608536540786</v>
      </c>
      <c r="C193" s="85">
        <f>'2022'!An_max</f>
        <v>2022</v>
      </c>
      <c r="D193" s="1134"/>
      <c r="E193" s="711"/>
      <c r="F193" s="13">
        <f t="shared" si="92"/>
        <v>15</v>
      </c>
      <c r="G193" s="13">
        <f t="shared" si="76"/>
        <v>14</v>
      </c>
      <c r="H193" s="175">
        <f t="shared" si="77"/>
        <v>43290</v>
      </c>
      <c r="I193" s="774">
        <f t="shared" si="78"/>
        <v>0.7857142857142857</v>
      </c>
      <c r="J193" s="765">
        <f t="shared" si="79"/>
        <v>63.600625072685737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P193" s="13">
        <f t="shared" si="80"/>
        <v>9</v>
      </c>
      <c r="AQ193" s="13">
        <f t="shared" si="81"/>
        <v>8</v>
      </c>
      <c r="AR193" s="175">
        <f t="shared" si="82"/>
        <v>43304</v>
      </c>
      <c r="AS193" s="774">
        <f t="shared" si="83"/>
        <v>0.8928571428571429</v>
      </c>
      <c r="AT193" s="791">
        <f t="shared" si="84"/>
        <v>63.594579592267316</v>
      </c>
      <c r="AU193" s="13">
        <f t="shared" si="85"/>
        <v>7</v>
      </c>
      <c r="AV193" s="13">
        <f t="shared" si="86"/>
        <v>8</v>
      </c>
      <c r="AW193" s="175">
        <f t="shared" si="87"/>
        <v>43262</v>
      </c>
      <c r="AX193" s="774">
        <f t="shared" si="88"/>
        <v>0.6071428571428571</v>
      </c>
      <c r="AY193" s="791">
        <f t="shared" si="89"/>
        <v>63.664970262548216</v>
      </c>
      <c r="AZ193" s="765">
        <f t="shared" si="93"/>
        <v>63.629774927407766</v>
      </c>
      <c r="BA193" s="649">
        <f t="shared" si="90"/>
        <v>1.0377981106491905</v>
      </c>
      <c r="BB193" s="644">
        <v>43279</v>
      </c>
      <c r="BC193" s="11">
        <v>43279</v>
      </c>
      <c r="BD193" s="292">
        <f>[2]!FeuilCaduc*(1-Persistant)+Persistant</f>
        <v>1</v>
      </c>
      <c r="BE193" s="293">
        <f>[2]!CroissVégét</f>
        <v>0.67671031405616355</v>
      </c>
      <c r="BF193" s="844">
        <f>1+[2]!Salcycl*Ksac</f>
        <v>1.0649584008333788</v>
      </c>
      <c r="BH193" s="1107">
        <f t="shared" si="91"/>
        <v>1.6455004620017858E-3</v>
      </c>
      <c r="BI193" s="11">
        <v>44375</v>
      </c>
      <c r="BJ193" s="744">
        <v>1.0223706974160859E-3</v>
      </c>
      <c r="BK193" s="744">
        <v>1.3050104053624609E-3</v>
      </c>
      <c r="BL193" s="744">
        <v>1.5875975813967617E-3</v>
      </c>
      <c r="BM193" s="744">
        <v>1.8774366215308688E-3</v>
      </c>
      <c r="BN193" s="744">
        <v>2.2187079757237387E-3</v>
      </c>
      <c r="BO193" s="745">
        <v>2.6611576210746404E-3</v>
      </c>
      <c r="BP193" s="744">
        <v>3.3574794383137104E-3</v>
      </c>
      <c r="BQ193" s="744">
        <v>4.5274256295927103E-3</v>
      </c>
      <c r="BR193" s="744">
        <v>6.8837279936670394E-3</v>
      </c>
      <c r="BS193" s="744">
        <v>1.1681778206730461E-2</v>
      </c>
      <c r="BT193" s="744">
        <v>1.8660016749323785E-2</v>
      </c>
      <c r="BW193" s="1191">
        <f>'2018'!R\Max</f>
        <v>0</v>
      </c>
      <c r="BX193" s="1189">
        <f>'2019'!R\Max</f>
        <v>0.95594804044092108</v>
      </c>
      <c r="BY193" s="1189">
        <f>'2020'!R\Max</f>
        <v>0.71732045503949926</v>
      </c>
      <c r="BZ193" s="1189">
        <f>'2021'!R\Max</f>
        <v>0.42085607764510691</v>
      </c>
      <c r="CA193" s="1189">
        <f>'2022'!R\Max</f>
        <v>1.0377981106491905</v>
      </c>
      <c r="CB193" s="1189">
        <f>'2023'!R\Max</f>
        <v>1.0377981106491905</v>
      </c>
      <c r="CC193" s="1189">
        <f>'2024'!R\Max</f>
        <v>1.0377981106491903</v>
      </c>
      <c r="CD193" s="1189">
        <f>'2025'!R\Max</f>
        <v>1.0377981106491905</v>
      </c>
      <c r="CE193" s="1189">
        <f>'2026'!R\Max</f>
        <v>1.0377981106491905</v>
      </c>
      <c r="CF193" s="1190">
        <f>'2027'!R\Max</f>
        <v>1.0377981106491903</v>
      </c>
    </row>
    <row r="194" spans="1:84" s="6" customFormat="1" ht="11.25" x14ac:dyDescent="0.2">
      <c r="A194" s="11">
        <v>43280</v>
      </c>
      <c r="B194" s="382">
        <f>'2022'!Maxi_hp</f>
        <v>61.307330955408737</v>
      </c>
      <c r="C194" s="85">
        <f>'2022'!An_max</f>
        <v>2022</v>
      </c>
      <c r="D194" s="1134"/>
      <c r="E194" s="711"/>
      <c r="F194" s="13">
        <f t="shared" si="92"/>
        <v>15</v>
      </c>
      <c r="G194" s="13">
        <f t="shared" si="76"/>
        <v>14</v>
      </c>
      <c r="H194" s="175">
        <f t="shared" si="77"/>
        <v>43290</v>
      </c>
      <c r="I194" s="774">
        <f t="shared" si="78"/>
        <v>0.7142857142857143</v>
      </c>
      <c r="J194" s="765">
        <f t="shared" si="79"/>
        <v>63.531587171927093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P194" s="13">
        <f t="shared" si="80"/>
        <v>9</v>
      </c>
      <c r="AQ194" s="13">
        <f t="shared" si="81"/>
        <v>8</v>
      </c>
      <c r="AR194" s="175">
        <f t="shared" si="82"/>
        <v>43304</v>
      </c>
      <c r="AS194" s="774">
        <f t="shared" si="83"/>
        <v>0.8571428571428571</v>
      </c>
      <c r="AT194" s="791">
        <f t="shared" si="84"/>
        <v>63.521436735455481</v>
      </c>
      <c r="AU194" s="13">
        <f t="shared" si="85"/>
        <v>7</v>
      </c>
      <c r="AV194" s="13">
        <f t="shared" si="86"/>
        <v>8</v>
      </c>
      <c r="AW194" s="175">
        <f t="shared" si="87"/>
        <v>43262</v>
      </c>
      <c r="AX194" s="774">
        <f t="shared" si="88"/>
        <v>0.6428571428571429</v>
      </c>
      <c r="AY194" s="791">
        <f t="shared" si="89"/>
        <v>63.589429737760554</v>
      </c>
      <c r="AZ194" s="765">
        <f t="shared" si="93"/>
        <v>63.555433236608017</v>
      </c>
      <c r="BA194" s="649">
        <f t="shared" si="90"/>
        <v>0.96498975839373968</v>
      </c>
      <c r="BB194" s="644">
        <v>43280</v>
      </c>
      <c r="BC194" s="11">
        <v>43280</v>
      </c>
      <c r="BD194" s="292">
        <f>[2]!FeuilCaduc*(1-Persistant)+Persistant</f>
        <v>1</v>
      </c>
      <c r="BE194" s="293">
        <f>[2]!CroissVégét</f>
        <v>0.6856469767197082</v>
      </c>
      <c r="BF194" s="844">
        <f>1+[2]!Salcycl*Ksac</f>
        <v>1.0653807142051341</v>
      </c>
      <c r="BH194" s="1107">
        <f t="shared" si="91"/>
        <v>1.6282248674749525E-3</v>
      </c>
      <c r="BI194" s="11">
        <v>44376</v>
      </c>
      <c r="BJ194" s="744">
        <v>1.0133033674706261E-3</v>
      </c>
      <c r="BK194" s="744">
        <v>1.2917448546742232E-3</v>
      </c>
      <c r="BL194" s="744">
        <v>1.5707761115300327E-3</v>
      </c>
      <c r="BM194" s="744">
        <v>1.858341982277565E-3</v>
      </c>
      <c r="BN194" s="744">
        <v>2.2030803721742155E-3</v>
      </c>
      <c r="BO194" s="745">
        <v>2.6574417889078509E-3</v>
      </c>
      <c r="BP194" s="744">
        <v>3.3763344288951168E-3</v>
      </c>
      <c r="BQ194" s="744">
        <v>4.5996007911544004E-3</v>
      </c>
      <c r="BR194" s="744">
        <v>7.0604852489386987E-3</v>
      </c>
      <c r="BS194" s="744">
        <v>1.2012270289270023E-2</v>
      </c>
      <c r="BT194" s="744">
        <v>1.916848455954441E-2</v>
      </c>
      <c r="BW194" s="1191">
        <f>'2018'!R\Max</f>
        <v>0</v>
      </c>
      <c r="BX194" s="1189">
        <f>'2019'!R\Max</f>
        <v>0.92188391329433361</v>
      </c>
      <c r="BY194" s="1189">
        <f>'2020'!R\Max</f>
        <v>0.81264758212663801</v>
      </c>
      <c r="BZ194" s="1189">
        <f>'2021'!R\Max</f>
        <v>0.6384184536992038</v>
      </c>
      <c r="CA194" s="1189">
        <f>'2022'!R\Max</f>
        <v>0.96498975839373968</v>
      </c>
      <c r="CB194" s="1189">
        <f>'2023'!R\Max</f>
        <v>0.96498710284048017</v>
      </c>
      <c r="CC194" s="1189">
        <f>'2024'!R\Max</f>
        <v>0.96498234232473323</v>
      </c>
      <c r="CD194" s="1189">
        <f>'2025'!R\Max</f>
        <v>0.96499668203500943</v>
      </c>
      <c r="CE194" s="1189">
        <f>'2026'!R\Max</f>
        <v>0.96499532230673679</v>
      </c>
      <c r="CF194" s="1190">
        <f>'2027'!R\Max</f>
        <v>0.96499380735315088</v>
      </c>
    </row>
    <row r="195" spans="1:84" s="6" customFormat="1" ht="11.25" x14ac:dyDescent="0.2">
      <c r="A195" s="11">
        <v>43281</v>
      </c>
      <c r="B195" s="382">
        <f>'2022'!Maxi_hp</f>
        <v>57.379355434694759</v>
      </c>
      <c r="C195" s="85">
        <f>'2022'!An_max</f>
        <v>2019</v>
      </c>
      <c r="D195" s="1134"/>
      <c r="E195" s="711"/>
      <c r="F195" s="13">
        <f t="shared" si="92"/>
        <v>15</v>
      </c>
      <c r="G195" s="13">
        <f t="shared" si="76"/>
        <v>14</v>
      </c>
      <c r="H195" s="175">
        <f t="shared" si="77"/>
        <v>43290</v>
      </c>
      <c r="I195" s="774">
        <f t="shared" si="78"/>
        <v>0.6428571428571429</v>
      </c>
      <c r="J195" s="765">
        <f t="shared" si="79"/>
        <v>63.460086297164004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P195" s="13">
        <f t="shared" si="80"/>
        <v>9</v>
      </c>
      <c r="AQ195" s="13">
        <f t="shared" si="81"/>
        <v>8</v>
      </c>
      <c r="AR195" s="175">
        <f t="shared" si="82"/>
        <v>43304</v>
      </c>
      <c r="AS195" s="774">
        <f t="shared" si="83"/>
        <v>0.8214285714285714</v>
      </c>
      <c r="AT195" s="791">
        <f t="shared" si="84"/>
        <v>63.445159184360605</v>
      </c>
      <c r="AU195" s="13">
        <f t="shared" si="85"/>
        <v>7</v>
      </c>
      <c r="AV195" s="13">
        <f t="shared" si="86"/>
        <v>8</v>
      </c>
      <c r="AW195" s="175">
        <f t="shared" si="87"/>
        <v>43262</v>
      </c>
      <c r="AX195" s="774">
        <f t="shared" si="88"/>
        <v>0.6785714285714286</v>
      </c>
      <c r="AY195" s="791">
        <f t="shared" si="89"/>
        <v>63.510717201272811</v>
      </c>
      <c r="AZ195" s="765">
        <f t="shared" si="93"/>
        <v>63.477938192816708</v>
      </c>
      <c r="BA195" s="649">
        <f t="shared" si="90"/>
        <v>0.9041802301686912</v>
      </c>
      <c r="BB195" s="644">
        <v>43281</v>
      </c>
      <c r="BC195" s="11">
        <v>43281</v>
      </c>
      <c r="BD195" s="292">
        <f>[2]!FeuilCaduc*(1-Persistant)+Persistant</f>
        <v>1</v>
      </c>
      <c r="BE195" s="293">
        <f>[2]!CroissVégét</f>
        <v>0.69444817721081942</v>
      </c>
      <c r="BF195" s="844">
        <f>1+[2]!Salcycl*Ksac</f>
        <v>1.0657797346336484</v>
      </c>
      <c r="BH195" s="1107">
        <f t="shared" si="91"/>
        <v>1.6087714750707366E-3</v>
      </c>
      <c r="BI195" s="11">
        <v>44377</v>
      </c>
      <c r="BJ195" s="744">
        <v>1.0024350768713787E-3</v>
      </c>
      <c r="BK195" s="744">
        <v>1.2764480455671509E-3</v>
      </c>
      <c r="BL195" s="744">
        <v>1.5517734592492736E-3</v>
      </c>
      <c r="BM195" s="744">
        <v>1.8370831022691428E-3</v>
      </c>
      <c r="BN195" s="744">
        <v>2.1859678196211201E-3</v>
      </c>
      <c r="BO195" s="745">
        <v>2.6541255875172452E-3</v>
      </c>
      <c r="BP195" s="744">
        <v>3.3994489854639854E-3</v>
      </c>
      <c r="BQ195" s="744">
        <v>4.684555373371529E-3</v>
      </c>
      <c r="BR195" s="744">
        <v>7.2661529882440366E-3</v>
      </c>
      <c r="BS195" s="744">
        <v>1.2389292806285321E-2</v>
      </c>
      <c r="BT195" s="744">
        <v>1.9739297440743566E-2</v>
      </c>
      <c r="BW195" s="1191">
        <f>'2018'!R\Max</f>
        <v>0</v>
      </c>
      <c r="BX195" s="1189">
        <f>'2019'!R\Max</f>
        <v>0.9041802301686912</v>
      </c>
      <c r="BY195" s="1189">
        <f>'2020'!R\Max</f>
        <v>0.40031919348750505</v>
      </c>
      <c r="BZ195" s="1189">
        <f>'2021'!R\Max</f>
        <v>0.82052838644065007</v>
      </c>
      <c r="CA195" s="1189">
        <f>'2022'!R\Max</f>
        <v>0.23402425167102517</v>
      </c>
      <c r="CB195" s="1189">
        <f>'2023'!R\Max</f>
        <v>0.23401088649886403</v>
      </c>
      <c r="CC195" s="1189">
        <f>'2024'!R\Max</f>
        <v>0.23398651937779641</v>
      </c>
      <c r="CD195" s="1189">
        <f>'2025'!R\Max</f>
        <v>0.2340586916078897</v>
      </c>
      <c r="CE195" s="1189">
        <f>'2026'!R\Max</f>
        <v>0.2340520584651872</v>
      </c>
      <c r="CF195" s="1190">
        <f>'2027'!R\Max</f>
        <v>0.23404458087786259</v>
      </c>
    </row>
    <row r="196" spans="1:84" s="6" customFormat="1" ht="11.25" x14ac:dyDescent="0.2">
      <c r="A196" s="11">
        <v>43282</v>
      </c>
      <c r="B196" s="382">
        <f>'2022'!Maxi_hp</f>
        <v>60.605617418397848</v>
      </c>
      <c r="C196" s="85">
        <f>'2022'!An_max</f>
        <v>2022</v>
      </c>
      <c r="D196" s="1134"/>
      <c r="E196" s="711"/>
      <c r="F196" s="13">
        <f t="shared" si="92"/>
        <v>15</v>
      </c>
      <c r="G196" s="13">
        <f t="shared" si="76"/>
        <v>14</v>
      </c>
      <c r="H196" s="175">
        <f t="shared" si="77"/>
        <v>43290</v>
      </c>
      <c r="I196" s="774">
        <f t="shared" si="78"/>
        <v>0.5714285714285714</v>
      </c>
      <c r="J196" s="765">
        <f t="shared" si="79"/>
        <v>63.385898542297738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P196" s="13">
        <f t="shared" si="80"/>
        <v>9</v>
      </c>
      <c r="AQ196" s="13">
        <f t="shared" si="81"/>
        <v>8</v>
      </c>
      <c r="AR196" s="175">
        <f t="shared" si="82"/>
        <v>43304</v>
      </c>
      <c r="AS196" s="774">
        <f t="shared" si="83"/>
        <v>0.7857142857142857</v>
      </c>
      <c r="AT196" s="791">
        <f t="shared" si="84"/>
        <v>63.36574693968786</v>
      </c>
      <c r="AU196" s="13">
        <f t="shared" si="85"/>
        <v>7</v>
      </c>
      <c r="AV196" s="13">
        <f t="shared" si="86"/>
        <v>8</v>
      </c>
      <c r="AW196" s="175">
        <f t="shared" si="87"/>
        <v>43262</v>
      </c>
      <c r="AX196" s="774">
        <f t="shared" si="88"/>
        <v>0.7142857142857143</v>
      </c>
      <c r="AY196" s="791">
        <f t="shared" si="89"/>
        <v>63.428888629802636</v>
      </c>
      <c r="AZ196" s="765">
        <f t="shared" si="93"/>
        <v>63.397317784745248</v>
      </c>
      <c r="BA196" s="649">
        <f t="shared" si="90"/>
        <v>0.95613722944947144</v>
      </c>
      <c r="BB196" s="644">
        <v>43282</v>
      </c>
      <c r="BC196" s="11">
        <v>43282</v>
      </c>
      <c r="BD196" s="292">
        <f>[2]!FeuilCaduc*(1-Persistant)+Persistant</f>
        <v>1</v>
      </c>
      <c r="BE196" s="293">
        <f>[2]!CroissVégét</f>
        <v>0.70310971225270513</v>
      </c>
      <c r="BF196" s="844">
        <f>1+[2]!Salcycl*Ksac</f>
        <v>1.0661558678611107</v>
      </c>
      <c r="BH196" s="1107">
        <f t="shared" si="91"/>
        <v>1.5871443091335484E-3</v>
      </c>
      <c r="BI196" s="11">
        <v>44378</v>
      </c>
      <c r="BJ196" s="744">
        <v>9.8976900406641142E-4</v>
      </c>
      <c r="BK196" s="744">
        <v>1.2591236230540799E-3</v>
      </c>
      <c r="BL196" s="744">
        <v>1.5305936238906618E-3</v>
      </c>
      <c r="BM196" s="744">
        <v>1.8136641060231542E-3</v>
      </c>
      <c r="BN196" s="744">
        <v>2.1673736782682851E-3</v>
      </c>
      <c r="BO196" s="745">
        <v>2.6512099785546347E-3</v>
      </c>
      <c r="BP196" s="744">
        <v>3.4268190133119442E-3</v>
      </c>
      <c r="BQ196" s="744">
        <v>4.7822739369434092E-3</v>
      </c>
      <c r="BR196" s="744">
        <v>7.50069441383866E-3</v>
      </c>
      <c r="BS196" s="744">
        <v>1.2812787356086571E-2</v>
      </c>
      <c r="BT196" s="744">
        <v>2.0372379598865481E-2</v>
      </c>
      <c r="BW196" s="1191">
        <f>'2018'!R\Max</f>
        <v>0</v>
      </c>
      <c r="BX196" s="1189">
        <f>'2019'!R\Max</f>
        <v>0.3074832122771719</v>
      </c>
      <c r="BY196" s="1189">
        <f>'2020'!R\Max</f>
        <v>0.93796110862701054</v>
      </c>
      <c r="BZ196" s="1189">
        <f>'2021'!R\Max</f>
        <v>0.92559093501443745</v>
      </c>
      <c r="CA196" s="1189">
        <f>'2022'!R\Max</f>
        <v>0.95613722944947144</v>
      </c>
      <c r="CB196" s="1189">
        <f>'2023'!R\Max</f>
        <v>0.95613366466805771</v>
      </c>
      <c r="CC196" s="1189">
        <f>'2024'!R\Max</f>
        <v>0.95612705089467964</v>
      </c>
      <c r="CD196" s="1189">
        <f>'2025'!R\Max</f>
        <v>0.95614629707283272</v>
      </c>
      <c r="CE196" s="1189">
        <f>'2026'!R\Max</f>
        <v>0.95614458722931495</v>
      </c>
      <c r="CF196" s="1190">
        <f>'2027'!R\Max</f>
        <v>0.95614263503715924</v>
      </c>
    </row>
    <row r="197" spans="1:84" s="6" customFormat="1" ht="11.25" x14ac:dyDescent="0.2">
      <c r="A197" s="11">
        <v>43283</v>
      </c>
      <c r="B197" s="382">
        <f>'2022'!Maxi_hp</f>
        <v>56.741115224464892</v>
      </c>
      <c r="C197" s="85">
        <f>'2022'!An_max</f>
        <v>2021</v>
      </c>
      <c r="D197" s="1134"/>
      <c r="E197" s="711"/>
      <c r="F197" s="13">
        <f t="shared" si="92"/>
        <v>15</v>
      </c>
      <c r="G197" s="13">
        <f t="shared" si="76"/>
        <v>14</v>
      </c>
      <c r="H197" s="175">
        <f t="shared" si="77"/>
        <v>43290</v>
      </c>
      <c r="I197" s="774">
        <f t="shared" si="78"/>
        <v>0.5</v>
      </c>
      <c r="J197" s="765">
        <f t="shared" si="79"/>
        <v>63.30879999920726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P197" s="13">
        <f t="shared" si="80"/>
        <v>9</v>
      </c>
      <c r="AQ197" s="13">
        <f t="shared" si="81"/>
        <v>8</v>
      </c>
      <c r="AR197" s="175">
        <f t="shared" si="82"/>
        <v>43304</v>
      </c>
      <c r="AS197" s="774">
        <f t="shared" si="83"/>
        <v>0.75</v>
      </c>
      <c r="AT197" s="791">
        <f t="shared" si="84"/>
        <v>63.283200000785293</v>
      </c>
      <c r="AU197" s="13">
        <f t="shared" si="85"/>
        <v>7</v>
      </c>
      <c r="AV197" s="13">
        <f t="shared" si="86"/>
        <v>8</v>
      </c>
      <c r="AW197" s="175">
        <f t="shared" si="87"/>
        <v>43262</v>
      </c>
      <c r="AX197" s="774">
        <f t="shared" si="88"/>
        <v>0.75</v>
      </c>
      <c r="AY197" s="791">
        <f t="shared" si="89"/>
        <v>63.343999999947847</v>
      </c>
      <c r="AZ197" s="765">
        <f t="shared" si="93"/>
        <v>63.31360000036657</v>
      </c>
      <c r="BA197" s="649">
        <f t="shared" si="90"/>
        <v>0.89625952829899469</v>
      </c>
      <c r="BB197" s="644">
        <v>43283</v>
      </c>
      <c r="BC197" s="11">
        <v>43283</v>
      </c>
      <c r="BD197" s="292">
        <f>[2]!FeuilCaduc*(1-Persistant)+Persistant</f>
        <v>1</v>
      </c>
      <c r="BE197" s="293">
        <f>[2]!CroissVégét</f>
        <v>0.71162774286802644</v>
      </c>
      <c r="BF197" s="844">
        <f>1+[2]!Salcycl*Ksac</f>
        <v>1.0665095713895567</v>
      </c>
      <c r="BH197" s="1107">
        <f t="shared" si="91"/>
        <v>1.5633472968250468E-3</v>
      </c>
      <c r="BI197" s="11">
        <v>44379</v>
      </c>
      <c r="BJ197" s="744">
        <v>9.7530825916983146E-4</v>
      </c>
      <c r="BK197" s="744">
        <v>1.2397751480200379E-3</v>
      </c>
      <c r="BL197" s="744">
        <v>1.5072405085333111E-3</v>
      </c>
      <c r="BM197" s="744">
        <v>1.7880890171664597E-3</v>
      </c>
      <c r="BN197" s="744">
        <v>2.1473012341143944E-3</v>
      </c>
      <c r="BO197" s="745">
        <v>2.6486959283968619E-3</v>
      </c>
      <c r="BP197" s="744">
        <v>3.4584405795457227E-3</v>
      </c>
      <c r="BQ197" s="744">
        <v>4.8927415590390043E-3</v>
      </c>
      <c r="BR197" s="744">
        <v>7.7640739247123404E-3</v>
      </c>
      <c r="BS197" s="744">
        <v>1.328269757310338E-2</v>
      </c>
      <c r="BT197" s="744">
        <v>2.1067658127352291E-2</v>
      </c>
      <c r="BW197" s="1191">
        <f>'2018'!R\Max</f>
        <v>0</v>
      </c>
      <c r="BX197" s="1189">
        <f>'2019'!R\Max</f>
        <v>0.5053228290944235</v>
      </c>
      <c r="BY197" s="1189">
        <f>'2020'!R\Max</f>
        <v>0.76653862155734209</v>
      </c>
      <c r="BZ197" s="1189">
        <f>'2021'!R\Max</f>
        <v>0.89625952829899469</v>
      </c>
      <c r="CA197" s="1189">
        <f>'2022'!R\Max</f>
        <v>0.89164545182487032</v>
      </c>
      <c r="CB197" s="1189">
        <f>'2023'!R\Max</f>
        <v>0.89163686782753548</v>
      </c>
      <c r="CC197" s="1189">
        <f>'2024'!R\Max</f>
        <v>0.89162066314289223</v>
      </c>
      <c r="CD197" s="1189">
        <f>'2025'!R\Max</f>
        <v>0.89166699787669124</v>
      </c>
      <c r="CE197" s="1189">
        <f>'2026'!R\Max</f>
        <v>0.89166302458542879</v>
      </c>
      <c r="CF197" s="1190">
        <f>'2027'!R\Max</f>
        <v>0.8916584266940607</v>
      </c>
    </row>
    <row r="198" spans="1:84" s="6" customFormat="1" ht="11.25" x14ac:dyDescent="0.2">
      <c r="A198" s="11">
        <v>43284</v>
      </c>
      <c r="B198" s="382">
        <f>'2022'!Maxi_hp</f>
        <v>51.509935845707219</v>
      </c>
      <c r="C198" s="85">
        <f>'2022'!An_max</f>
        <v>2019</v>
      </c>
      <c r="D198" s="1134"/>
      <c r="E198" s="711"/>
      <c r="F198" s="13">
        <f t="shared" si="92"/>
        <v>15</v>
      </c>
      <c r="G198" s="13">
        <f t="shared" si="76"/>
        <v>14</v>
      </c>
      <c r="H198" s="175">
        <f t="shared" si="77"/>
        <v>43290</v>
      </c>
      <c r="I198" s="774">
        <f t="shared" si="78"/>
        <v>0.42857142857142855</v>
      </c>
      <c r="J198" s="765">
        <f t="shared" si="79"/>
        <v>63.228566763283951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P198" s="13">
        <f t="shared" si="80"/>
        <v>9</v>
      </c>
      <c r="AQ198" s="13">
        <f t="shared" si="81"/>
        <v>8</v>
      </c>
      <c r="AR198" s="175">
        <f t="shared" si="82"/>
        <v>43304</v>
      </c>
      <c r="AS198" s="774">
        <f t="shared" si="83"/>
        <v>0.7142857142857143</v>
      </c>
      <c r="AT198" s="791">
        <f t="shared" si="84"/>
        <v>63.197518367586397</v>
      </c>
      <c r="AU198" s="13">
        <f t="shared" si="85"/>
        <v>7</v>
      </c>
      <c r="AV198" s="13">
        <f t="shared" si="86"/>
        <v>8</v>
      </c>
      <c r="AW198" s="175">
        <f t="shared" si="87"/>
        <v>43262</v>
      </c>
      <c r="AX198" s="774">
        <f t="shared" si="88"/>
        <v>0.7857142857142857</v>
      </c>
      <c r="AY198" s="791">
        <f t="shared" si="89"/>
        <v>63.256107288811883</v>
      </c>
      <c r="AZ198" s="765">
        <f t="shared" si="93"/>
        <v>63.226812828199144</v>
      </c>
      <c r="BA198" s="649">
        <f t="shared" si="90"/>
        <v>0.8146623983831689</v>
      </c>
      <c r="BB198" s="644">
        <v>43284</v>
      </c>
      <c r="BC198" s="11">
        <v>43284</v>
      </c>
      <c r="BD198" s="292">
        <f>[2]!FeuilCaduc*(1-Persistant)+Persistant</f>
        <v>1</v>
      </c>
      <c r="BE198" s="293">
        <f>[2]!CroissVégét</f>
        <v>0.71999879440261938</v>
      </c>
      <c r="BF198" s="844">
        <f>1+[2]!Salcycl*Ksac</f>
        <v>1.0668413508076313</v>
      </c>
      <c r="BH198" s="1107">
        <f t="shared" si="91"/>
        <v>1.5370730158574594E-3</v>
      </c>
      <c r="BI198" s="11">
        <v>44380</v>
      </c>
      <c r="BJ198" s="744">
        <v>9.5823911502655886E-4</v>
      </c>
      <c r="BK198" s="744">
        <v>1.2176773978022088E-3</v>
      </c>
      <c r="BL198" s="744">
        <v>1.4812466502482091E-3</v>
      </c>
      <c r="BM198" s="744">
        <v>1.7606914732568402E-3</v>
      </c>
      <c r="BN198" s="744">
        <v>2.1288476122213813E-3</v>
      </c>
      <c r="BO198" s="745">
        <v>2.6537791564044625E-3</v>
      </c>
      <c r="BP198" s="744">
        <v>3.5064654338942528E-3</v>
      </c>
      <c r="BQ198" s="744">
        <v>5.0301811576354957E-3</v>
      </c>
      <c r="BR198" s="744">
        <v>8.0666924771369119E-3</v>
      </c>
      <c r="BS198" s="744">
        <v>1.379524516841501E-2</v>
      </c>
      <c r="BT198" s="744">
        <v>2.1799034353058157E-2</v>
      </c>
      <c r="BW198" s="1191">
        <f>'2018'!R\Max</f>
        <v>0</v>
      </c>
      <c r="BX198" s="1189">
        <f>'2019'!R\Max</f>
        <v>0.8146623983831689</v>
      </c>
      <c r="BY198" s="1189">
        <f>'2020'!R\Max</f>
        <v>0.34254994993306737</v>
      </c>
      <c r="BZ198" s="1189">
        <f>'2021'!R\Max</f>
        <v>0.5714907395552371</v>
      </c>
      <c r="CA198" s="1189">
        <f>'2022'!R\Max</f>
        <v>0.75559323750743113</v>
      </c>
      <c r="CB198" s="1189">
        <f>'2023'!R\Max</f>
        <v>0.75557593771941078</v>
      </c>
      <c r="CC198" s="1189">
        <f>'2024'!R\Max</f>
        <v>0.75554285325620818</v>
      </c>
      <c r="CD198" s="1189">
        <f>'2025'!R\Max</f>
        <v>0.75563612107886335</v>
      </c>
      <c r="CE198" s="1189">
        <f>'2026'!R\Max</f>
        <v>0.75562840505224904</v>
      </c>
      <c r="CF198" s="1190">
        <f>'2027'!R\Max</f>
        <v>0.75561933126669223</v>
      </c>
    </row>
    <row r="199" spans="1:84" s="6" customFormat="1" ht="11.25" x14ac:dyDescent="0.2">
      <c r="A199" s="11">
        <v>43285</v>
      </c>
      <c r="B199" s="382">
        <f>'2022'!Maxi_hp</f>
        <v>59.188715550013768</v>
      </c>
      <c r="C199" s="85">
        <f>'2022'!An_max</f>
        <v>2019</v>
      </c>
      <c r="D199" s="1134"/>
      <c r="E199" s="711"/>
      <c r="F199" s="13">
        <f t="shared" si="92"/>
        <v>15</v>
      </c>
      <c r="G199" s="13">
        <f t="shared" si="76"/>
        <v>14</v>
      </c>
      <c r="H199" s="175">
        <f t="shared" si="77"/>
        <v>43290</v>
      </c>
      <c r="I199" s="774">
        <f t="shared" si="78"/>
        <v>0.35714285714285715</v>
      </c>
      <c r="J199" s="765">
        <f t="shared" si="79"/>
        <v>63.144974927311502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P199" s="13">
        <f t="shared" si="80"/>
        <v>9</v>
      </c>
      <c r="AQ199" s="13">
        <f t="shared" si="81"/>
        <v>8</v>
      </c>
      <c r="AR199" s="175">
        <f t="shared" si="82"/>
        <v>43304</v>
      </c>
      <c r="AS199" s="774">
        <f t="shared" si="83"/>
        <v>0.6785714285714286</v>
      </c>
      <c r="AT199" s="791">
        <f t="shared" si="84"/>
        <v>63.108702040955947</v>
      </c>
      <c r="AU199" s="13">
        <f t="shared" si="85"/>
        <v>7</v>
      </c>
      <c r="AV199" s="13">
        <f t="shared" si="86"/>
        <v>8</v>
      </c>
      <c r="AW199" s="175">
        <f t="shared" si="87"/>
        <v>43262</v>
      </c>
      <c r="AX199" s="774">
        <f t="shared" si="88"/>
        <v>0.8214285714285714</v>
      </c>
      <c r="AY199" s="791">
        <f t="shared" si="89"/>
        <v>63.165266472260875</v>
      </c>
      <c r="AZ199" s="765">
        <f t="shared" si="93"/>
        <v>63.136984256608415</v>
      </c>
      <c r="BA199" s="649">
        <f t="shared" si="90"/>
        <v>0.93734640987898199</v>
      </c>
      <c r="BB199" s="644">
        <v>43285</v>
      </c>
      <c r="BC199" s="11">
        <v>43285</v>
      </c>
      <c r="BD199" s="292">
        <f>[2]!FeuilCaduc*(1-Persistant)+Persistant</f>
        <v>1</v>
      </c>
      <c r="BE199" s="293">
        <f>[2]!CroissVégét</f>
        <v>0.72821975485053358</v>
      </c>
      <c r="BF199" s="844">
        <f>1+[2]!Salcycl*Ksac</f>
        <v>1.0671517559043058</v>
      </c>
      <c r="BH199" s="1107">
        <f t="shared" si="91"/>
        <v>1.5095542522528659E-3</v>
      </c>
      <c r="BI199" s="11">
        <v>44381</v>
      </c>
      <c r="BJ199" s="744">
        <v>9.389542811425322E-4</v>
      </c>
      <c r="BK199" s="744">
        <v>1.193641247228726E-3</v>
      </c>
      <c r="BL199" s="744">
        <v>1.4537909777588025E-3</v>
      </c>
      <c r="BM199" s="744">
        <v>1.7329199914661406E-3</v>
      </c>
      <c r="BN199" s="744">
        <v>2.113258319235567E-3</v>
      </c>
      <c r="BO199" s="745">
        <v>2.6668936073330888E-3</v>
      </c>
      <c r="BP199" s="744">
        <v>3.5699104254617426E-3</v>
      </c>
      <c r="BQ199" s="744">
        <v>5.190082233995451E-3</v>
      </c>
      <c r="BR199" s="744">
        <v>8.3969122944497904E-3</v>
      </c>
      <c r="BS199" s="744">
        <v>1.4325972159432236E-2</v>
      </c>
      <c r="BT199" s="744">
        <v>2.2525418707757091E-2</v>
      </c>
      <c r="BW199" s="1191">
        <f>'2018'!R\Max</f>
        <v>0</v>
      </c>
      <c r="BX199" s="1189">
        <f>'2019'!R\Max</f>
        <v>0.93734640987898199</v>
      </c>
      <c r="BY199" s="1189">
        <f>'2020'!R\Max</f>
        <v>0.80763178156372517</v>
      </c>
      <c r="BZ199" s="1189">
        <f>'2021'!R\Max</f>
        <v>0.59594580571391464</v>
      </c>
      <c r="CA199" s="1189">
        <f>'2022'!R\Max</f>
        <v>0.79412319978199986</v>
      </c>
      <c r="CB199" s="1189">
        <f>'2023'!R\Max</f>
        <v>0.79410695848486201</v>
      </c>
      <c r="CC199" s="1189">
        <f>'2024'!R\Max</f>
        <v>0.79407563375407886</v>
      </c>
      <c r="CD199" s="1189">
        <f>'2025'!R\Max</f>
        <v>0.79416302283135165</v>
      </c>
      <c r="CE199" s="1189">
        <f>'2026'!R\Max</f>
        <v>0.79415603398667711</v>
      </c>
      <c r="CF199" s="1190">
        <f>'2027'!R\Max</f>
        <v>0.79414767101041994</v>
      </c>
    </row>
    <row r="200" spans="1:84" s="6" customFormat="1" ht="11.25" x14ac:dyDescent="0.2">
      <c r="A200" s="11">
        <v>43286</v>
      </c>
      <c r="B200" s="382">
        <f>'2022'!Maxi_hp</f>
        <v>62.028584740771763</v>
      </c>
      <c r="C200" s="85">
        <f>'2022'!An_max</f>
        <v>2021</v>
      </c>
      <c r="D200" s="1134"/>
      <c r="E200" s="711"/>
      <c r="F200" s="13">
        <f t="shared" si="92"/>
        <v>15</v>
      </c>
      <c r="G200" s="13">
        <f t="shared" si="76"/>
        <v>14</v>
      </c>
      <c r="H200" s="175">
        <f t="shared" si="77"/>
        <v>43290</v>
      </c>
      <c r="I200" s="774">
        <f t="shared" si="78"/>
        <v>0.2857142857142857</v>
      </c>
      <c r="J200" s="765">
        <f t="shared" si="79"/>
        <v>63.057800583328515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P200" s="13">
        <f t="shared" si="80"/>
        <v>9</v>
      </c>
      <c r="AQ200" s="13">
        <f t="shared" si="81"/>
        <v>8</v>
      </c>
      <c r="AR200" s="175">
        <f t="shared" si="82"/>
        <v>43304</v>
      </c>
      <c r="AS200" s="774">
        <f t="shared" si="83"/>
        <v>0.6428571428571429</v>
      </c>
      <c r="AT200" s="791">
        <f t="shared" si="84"/>
        <v>63.016751020641195</v>
      </c>
      <c r="AU200" s="13">
        <f t="shared" si="85"/>
        <v>7</v>
      </c>
      <c r="AV200" s="13">
        <f t="shared" si="86"/>
        <v>8</v>
      </c>
      <c r="AW200" s="175">
        <f t="shared" si="87"/>
        <v>43262</v>
      </c>
      <c r="AX200" s="774">
        <f t="shared" si="88"/>
        <v>0.8571428571428571</v>
      </c>
      <c r="AY200" s="791">
        <f t="shared" si="89"/>
        <v>63.071533527863878</v>
      </c>
      <c r="AZ200" s="765">
        <f t="shared" si="93"/>
        <v>63.044142274252536</v>
      </c>
      <c r="BA200" s="649">
        <f t="shared" si="90"/>
        <v>0.98367821533520372</v>
      </c>
      <c r="BB200" s="644">
        <v>43286</v>
      </c>
      <c r="BC200" s="11">
        <v>43286</v>
      </c>
      <c r="BD200" s="292">
        <f>[2]!FeuilCaduc*(1-Persistant)+Persistant</f>
        <v>1</v>
      </c>
      <c r="BE200" s="293">
        <f>[2]!CroissVégét</f>
        <v>0.73628787157048126</v>
      </c>
      <c r="BF200" s="844">
        <f>1+[2]!Salcycl*Ksac</f>
        <v>1.0674413765992503</v>
      </c>
      <c r="BH200" s="1107">
        <f t="shared" si="91"/>
        <v>1.4807932594346801E-3</v>
      </c>
      <c r="BI200" s="11">
        <v>44382</v>
      </c>
      <c r="BJ200" s="744">
        <v>9.1745718899346161E-4</v>
      </c>
      <c r="BK200" s="744">
        <v>1.167669808391362E-3</v>
      </c>
      <c r="BL200" s="744">
        <v>1.4248760230330551E-3</v>
      </c>
      <c r="BM200" s="744">
        <v>1.7047757094778902E-3</v>
      </c>
      <c r="BN200" s="744">
        <v>2.1005302807071556E-3</v>
      </c>
      <c r="BO200" s="745">
        <v>2.6880296025559984E-3</v>
      </c>
      <c r="BP200" s="744">
        <v>3.6487566476770743E-3</v>
      </c>
      <c r="BQ200" s="744">
        <v>5.3724183257287108E-3</v>
      </c>
      <c r="BR200" s="744">
        <v>8.7547042273609481E-3</v>
      </c>
      <c r="BS200" s="744">
        <v>1.4874869695878278E-2</v>
      </c>
      <c r="BT200" s="744">
        <v>2.3246843626943937E-2</v>
      </c>
      <c r="BW200" s="1191">
        <f>'2018'!R\Max</f>
        <v>0</v>
      </c>
      <c r="BX200" s="1189">
        <f>'2019'!R\Max</f>
        <v>0.91427451860063003</v>
      </c>
      <c r="BY200" s="1189">
        <f>'2020'!R\Max</f>
        <v>0.95758920912107837</v>
      </c>
      <c r="BZ200" s="1189">
        <f>'2021'!R\Max</f>
        <v>0.98367821533520372</v>
      </c>
      <c r="CA200" s="1189">
        <f>'2022'!R\Max</f>
        <v>0.95896020616839672</v>
      </c>
      <c r="CB200" s="1189">
        <f>'2023'!R\Max</f>
        <v>0.95895604086420172</v>
      </c>
      <c r="CC200" s="1189">
        <f>'2024'!R\Max</f>
        <v>0.95894797022870915</v>
      </c>
      <c r="CD200" s="1189">
        <f>'2025'!R\Max</f>
        <v>0.95897032552911321</v>
      </c>
      <c r="CE200" s="1189">
        <f>'2026'!R\Max</f>
        <v>0.95896859277050062</v>
      </c>
      <c r="CF200" s="1190">
        <f>'2027'!R\Max</f>
        <v>0.95896648131988371</v>
      </c>
    </row>
    <row r="201" spans="1:84" s="6" customFormat="1" ht="11.25" x14ac:dyDescent="0.2">
      <c r="A201" s="11">
        <v>43287</v>
      </c>
      <c r="B201" s="382">
        <f>'2022'!Maxi_hp</f>
        <v>61.321046316933298</v>
      </c>
      <c r="C201" s="85">
        <f>'2022'!An_max</f>
        <v>2020</v>
      </c>
      <c r="D201" s="1134"/>
      <c r="E201" s="711"/>
      <c r="F201" s="13">
        <f t="shared" si="92"/>
        <v>15</v>
      </c>
      <c r="G201" s="13">
        <f t="shared" si="76"/>
        <v>14</v>
      </c>
      <c r="H201" s="175">
        <f t="shared" si="77"/>
        <v>43290</v>
      </c>
      <c r="I201" s="774">
        <f t="shared" si="78"/>
        <v>0.21428571428571427</v>
      </c>
      <c r="J201" s="765">
        <f t="shared" si="79"/>
        <v>62.966819824996797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P201" s="13">
        <f t="shared" si="80"/>
        <v>9</v>
      </c>
      <c r="AQ201" s="13">
        <f t="shared" si="81"/>
        <v>8</v>
      </c>
      <c r="AR201" s="175">
        <f t="shared" si="82"/>
        <v>43304</v>
      </c>
      <c r="AS201" s="774">
        <f t="shared" si="83"/>
        <v>0.6071428571428571</v>
      </c>
      <c r="AT201" s="791">
        <f t="shared" si="84"/>
        <v>62.921665306322801</v>
      </c>
      <c r="AU201" s="13">
        <f t="shared" si="85"/>
        <v>7</v>
      </c>
      <c r="AV201" s="13">
        <f t="shared" si="86"/>
        <v>8</v>
      </c>
      <c r="AW201" s="175">
        <f t="shared" si="87"/>
        <v>43262</v>
      </c>
      <c r="AX201" s="774">
        <f t="shared" si="88"/>
        <v>0.8928571428571429</v>
      </c>
      <c r="AY201" s="791">
        <f t="shared" si="89"/>
        <v>62.974964431606772</v>
      </c>
      <c r="AZ201" s="765">
        <f t="shared" si="93"/>
        <v>62.948314868964786</v>
      </c>
      <c r="BA201" s="649">
        <f t="shared" si="90"/>
        <v>0.97386284534239487</v>
      </c>
      <c r="BB201" s="644">
        <v>43287</v>
      </c>
      <c r="BC201" s="11">
        <v>43287</v>
      </c>
      <c r="BD201" s="292">
        <f>[2]!FeuilCaduc*(1-Persistant)+Persistant</f>
        <v>1</v>
      </c>
      <c r="BE201" s="293">
        <f>[2]!CroissVégét</f>
        <v>0.74420074649273349</v>
      </c>
      <c r="BF201" s="844">
        <f>1+[2]!Salcycl*Ksac</f>
        <v>1.0677108387208034</v>
      </c>
      <c r="BH201" s="1107">
        <f t="shared" si="91"/>
        <v>1.4507921786030139E-3</v>
      </c>
      <c r="BI201" s="11">
        <v>44383</v>
      </c>
      <c r="BJ201" s="744">
        <v>8.9375113971225015E-4</v>
      </c>
      <c r="BK201" s="744">
        <v>1.1397660625545572E-3</v>
      </c>
      <c r="BL201" s="744">
        <v>1.3945041975703778E-3</v>
      </c>
      <c r="BM201" s="744">
        <v>1.6762596857795523E-3</v>
      </c>
      <c r="BN201" s="744">
        <v>2.0906604968217251E-3</v>
      </c>
      <c r="BO201" s="745">
        <v>2.7171778056490938E-3</v>
      </c>
      <c r="BP201" s="744">
        <v>3.7429859411154801E-3</v>
      </c>
      <c r="BQ201" s="744">
        <v>5.5771642201944173E-3</v>
      </c>
      <c r="BR201" s="744">
        <v>9.1400409840802829E-3</v>
      </c>
      <c r="BS201" s="744">
        <v>1.5441930908339273E-2</v>
      </c>
      <c r="BT201" s="744">
        <v>2.3963343112903025E-2</v>
      </c>
      <c r="BW201" s="1191">
        <f>'2018'!R\Max</f>
        <v>0</v>
      </c>
      <c r="BX201" s="1189">
        <f>'2019'!R\Max</f>
        <v>0.9126363940544685</v>
      </c>
      <c r="BY201" s="1189">
        <f>'2020'!R\Max</f>
        <v>0.97386284534239487</v>
      </c>
      <c r="BZ201" s="1189">
        <f>'2021'!R\Max</f>
        <v>0.36496720821775364</v>
      </c>
      <c r="CA201" s="1189">
        <f>'2022'!R\Max</f>
        <v>0.74416694103503245</v>
      </c>
      <c r="CB201" s="1189">
        <f>'2023'!R\Max</f>
        <v>0.74414539558577331</v>
      </c>
      <c r="CC201" s="1189">
        <f>'2024'!R\Max</f>
        <v>0.74410360139696818</v>
      </c>
      <c r="CD201" s="1189">
        <f>'2025'!R\Max</f>
        <v>0.7442188995647494</v>
      </c>
      <c r="CE201" s="1189">
        <f>'2026'!R\Max</f>
        <v>0.74421020997022436</v>
      </c>
      <c r="CF201" s="1190">
        <f>'2027'!R\Max</f>
        <v>0.74419942540211947</v>
      </c>
    </row>
    <row r="202" spans="1:84" s="6" customFormat="1" ht="11.25" x14ac:dyDescent="0.2">
      <c r="A202" s="11">
        <v>43288</v>
      </c>
      <c r="B202" s="382">
        <f>'2022'!Maxi_hp</f>
        <v>58.207162099063567</v>
      </c>
      <c r="C202" s="85">
        <f>'2022'!An_max</f>
        <v>2022</v>
      </c>
      <c r="D202" s="1134"/>
      <c r="E202" s="711"/>
      <c r="F202" s="13">
        <f t="shared" si="92"/>
        <v>15</v>
      </c>
      <c r="G202" s="13">
        <f t="shared" si="76"/>
        <v>14</v>
      </c>
      <c r="H202" s="175">
        <f t="shared" si="77"/>
        <v>43290</v>
      </c>
      <c r="I202" s="774">
        <f t="shared" si="78"/>
        <v>0.14285714285714285</v>
      </c>
      <c r="J202" s="765">
        <f t="shared" si="79"/>
        <v>62.871808746457098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P202" s="13">
        <f t="shared" si="80"/>
        <v>9</v>
      </c>
      <c r="AQ202" s="13">
        <f t="shared" si="81"/>
        <v>8</v>
      </c>
      <c r="AR202" s="175">
        <f t="shared" si="82"/>
        <v>43304</v>
      </c>
      <c r="AS202" s="774">
        <f t="shared" si="83"/>
        <v>0.5714285714285714</v>
      </c>
      <c r="AT202" s="791">
        <f t="shared" si="84"/>
        <v>62.823444897947567</v>
      </c>
      <c r="AU202" s="13">
        <f t="shared" si="85"/>
        <v>7</v>
      </c>
      <c r="AV202" s="13">
        <f t="shared" si="86"/>
        <v>8</v>
      </c>
      <c r="AW202" s="175">
        <f t="shared" si="87"/>
        <v>43262</v>
      </c>
      <c r="AX202" s="774">
        <f t="shared" si="88"/>
        <v>0.9285714285714286</v>
      </c>
      <c r="AY202" s="791">
        <f t="shared" si="89"/>
        <v>62.875615160619574</v>
      </c>
      <c r="AZ202" s="765">
        <f t="shared" si="93"/>
        <v>62.849530029283571</v>
      </c>
      <c r="BA202" s="649">
        <f t="shared" si="90"/>
        <v>0.9258070232048734</v>
      </c>
      <c r="BB202" s="644">
        <v>43288</v>
      </c>
      <c r="BC202" s="11">
        <v>43288</v>
      </c>
      <c r="BD202" s="292">
        <f>[2]!FeuilCaduc*(1-Persistant)+Persistant</f>
        <v>1</v>
      </c>
      <c r="BE202" s="293">
        <f>[2]!CroissVégét</f>
        <v>0.75195632992281269</v>
      </c>
      <c r="BF202" s="844">
        <f>1+[2]!Salcycl*Ksac</f>
        <v>1.0679607996634388</v>
      </c>
      <c r="BH202" s="1107">
        <f t="shared" si="91"/>
        <v>1.4195530312156117E-3</v>
      </c>
      <c r="BI202" s="11">
        <v>44384</v>
      </c>
      <c r="BJ202" s="744">
        <v>8.6783929091599672E-4</v>
      </c>
      <c r="BK202" s="744">
        <v>1.1099328485806702E-3</v>
      </c>
      <c r="BL202" s="744">
        <v>1.3626777836053877E-3</v>
      </c>
      <c r="BM202" s="744">
        <v>1.6473728972593138E-3</v>
      </c>
      <c r="BN202" s="744">
        <v>2.0836460591132124E-3</v>
      </c>
      <c r="BO202" s="745">
        <v>2.7543292696591728E-3</v>
      </c>
      <c r="BP202" s="744">
        <v>3.8525809845121259E-3</v>
      </c>
      <c r="BQ202" s="744">
        <v>5.8042960874576032E-3</v>
      </c>
      <c r="BR202" s="744">
        <v>9.5528972944046216E-3</v>
      </c>
      <c r="BS202" s="744">
        <v>1.6027151017888094E-2</v>
      </c>
      <c r="BT202" s="744">
        <v>2.4674952708868162E-2</v>
      </c>
      <c r="BW202" s="1191">
        <f>'2018'!R\Max</f>
        <v>0</v>
      </c>
      <c r="BX202" s="1189">
        <f>'2019'!R\Max</f>
        <v>0.84298483532579449</v>
      </c>
      <c r="BY202" s="1189">
        <f>'2020'!R\Max</f>
        <v>0.68085153357351513</v>
      </c>
      <c r="BZ202" s="1189">
        <f>'2021'!R\Max</f>
        <v>0.61767421140191436</v>
      </c>
      <c r="CA202" s="1189">
        <f>'2022'!R\Max</f>
        <v>0.9258070232048734</v>
      </c>
      <c r="CB202" s="1189">
        <f>'2023'!R\Max</f>
        <v>0.92579868797226905</v>
      </c>
      <c r="CC202" s="1189">
        <f>'2024'!R\Max</f>
        <v>0.92578254286182027</v>
      </c>
      <c r="CD202" s="1189">
        <f>'2025'!R\Max</f>
        <v>0.92582700578742283</v>
      </c>
      <c r="CE202" s="1189">
        <f>'2026'!R\Max</f>
        <v>0.92582373753303637</v>
      </c>
      <c r="CF202" s="1190">
        <f>'2027'!R\Max</f>
        <v>0.92581960722145795</v>
      </c>
    </row>
    <row r="203" spans="1:84" s="6" customFormat="1" ht="11.25" x14ac:dyDescent="0.2">
      <c r="A203" s="11">
        <v>43289</v>
      </c>
      <c r="B203" s="382">
        <f>'2022'!Maxi_hp</f>
        <v>63.900435008789167</v>
      </c>
      <c r="C203" s="85">
        <f>'2022'!An_max</f>
        <v>2022</v>
      </c>
      <c r="D203" s="1134"/>
      <c r="E203" s="711"/>
      <c r="F203" s="13">
        <f t="shared" si="92"/>
        <v>15</v>
      </c>
      <c r="G203" s="13">
        <f t="shared" si="76"/>
        <v>14</v>
      </c>
      <c r="H203" s="175">
        <f t="shared" si="77"/>
        <v>43290</v>
      </c>
      <c r="I203" s="774">
        <f t="shared" si="78"/>
        <v>7.1428571428571425E-2</v>
      </c>
      <c r="J203" s="765">
        <f t="shared" si="79"/>
        <v>62.772543439960906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P203" s="13">
        <f t="shared" si="80"/>
        <v>9</v>
      </c>
      <c r="AQ203" s="13">
        <f t="shared" si="81"/>
        <v>8</v>
      </c>
      <c r="AR203" s="175">
        <f t="shared" si="82"/>
        <v>43304</v>
      </c>
      <c r="AS203" s="774">
        <f t="shared" si="83"/>
        <v>0.5357142857142857</v>
      </c>
      <c r="AT203" s="791">
        <f t="shared" si="84"/>
        <v>62.722089796366973</v>
      </c>
      <c r="AU203" s="13">
        <f t="shared" si="85"/>
        <v>7</v>
      </c>
      <c r="AV203" s="13">
        <f t="shared" si="86"/>
        <v>8</v>
      </c>
      <c r="AW203" s="175">
        <f t="shared" si="87"/>
        <v>43262</v>
      </c>
      <c r="AX203" s="774">
        <f t="shared" si="88"/>
        <v>0.9642857142857143</v>
      </c>
      <c r="AY203" s="791">
        <f t="shared" si="89"/>
        <v>62.773541690276133</v>
      </c>
      <c r="AZ203" s="765">
        <f t="shared" si="93"/>
        <v>62.747815743321553</v>
      </c>
      <c r="BA203" s="649">
        <f t="shared" si="90"/>
        <v>1.0179679125142833</v>
      </c>
      <c r="BB203" s="644">
        <v>43289</v>
      </c>
      <c r="BC203" s="11">
        <v>43289</v>
      </c>
      <c r="BD203" s="292">
        <f>[2]!FeuilCaduc*(1-Persistant)+Persistant</f>
        <v>1</v>
      </c>
      <c r="BE203" s="293">
        <f>[2]!CroissVégét</f>
        <v>0.75955291305401751</v>
      </c>
      <c r="BF203" s="844">
        <f>1+[2]!Salcycl*Ksac</f>
        <v>1.0681919439572902</v>
      </c>
      <c r="BH203" s="1107">
        <f t="shared" si="91"/>
        <v>1.3870777114760344E-3</v>
      </c>
      <c r="BI203" s="11">
        <v>44385</v>
      </c>
      <c r="BJ203" s="744">
        <v>8.3972464353729488E-4</v>
      </c>
      <c r="BK203" s="744">
        <v>1.0781728513607799E-3</v>
      </c>
      <c r="BL203" s="744">
        <v>1.3293989253185857E-3</v>
      </c>
      <c r="BM203" s="744">
        <v>1.6181162368114584E-3</v>
      </c>
      <c r="BN203" s="744">
        <v>2.079484167188526E-3</v>
      </c>
      <c r="BO203" s="745">
        <v>2.7994754843888212E-3</v>
      </c>
      <c r="BP203" s="744">
        <v>3.9775253858005928E-3</v>
      </c>
      <c r="BQ203" s="744">
        <v>6.0537916132853134E-3</v>
      </c>
      <c r="BR203" s="744">
        <v>9.9932500738715742E-3</v>
      </c>
      <c r="BS203" s="744">
        <v>1.6630527445818326E-2</v>
      </c>
      <c r="BT203" s="744">
        <v>2.538170947334787E-2</v>
      </c>
      <c r="BW203" s="1191">
        <f>'2018'!R\Max</f>
        <v>0</v>
      </c>
      <c r="BX203" s="1189">
        <f>'2019'!R\Max</f>
        <v>0.55301187057022516</v>
      </c>
      <c r="BY203" s="1189">
        <f>'2020'!R\Max</f>
        <v>0.99937305234291962</v>
      </c>
      <c r="BZ203" s="1189">
        <f>'2021'!R\Max</f>
        <v>0.87140525979855388</v>
      </c>
      <c r="CA203" s="1189">
        <f>'2022'!R\Max</f>
        <v>1.0179679125142833</v>
      </c>
      <c r="CB203" s="1189">
        <f>'2023'!R\Max</f>
        <v>1.0179679125142835</v>
      </c>
      <c r="CC203" s="1189">
        <f>'2024'!R\Max</f>
        <v>1.0179679125142833</v>
      </c>
      <c r="CD203" s="1189">
        <f>'2025'!R\Max</f>
        <v>1.0179679125142835</v>
      </c>
      <c r="CE203" s="1189">
        <f>'2026'!R\Max</f>
        <v>1.0179679125142833</v>
      </c>
      <c r="CF203" s="1190">
        <f>'2027'!R\Max</f>
        <v>1.0179679125142835</v>
      </c>
    </row>
    <row r="204" spans="1:84" s="6" customFormat="1" ht="11.25" x14ac:dyDescent="0.2">
      <c r="A204" s="11">
        <v>43290</v>
      </c>
      <c r="B204" s="382">
        <f>'2022'!Maxi_hp</f>
        <v>62.784385427188184</v>
      </c>
      <c r="C204" s="85">
        <f>'2022'!An_max</f>
        <v>2022</v>
      </c>
      <c r="D204" s="1134"/>
      <c r="E204" s="773">
        <f>AA$13/10</f>
        <v>62.668799999999997</v>
      </c>
      <c r="F204" s="13">
        <f t="shared" si="92"/>
        <v>15</v>
      </c>
      <c r="G204" s="13">
        <f t="shared" si="76"/>
        <v>16</v>
      </c>
      <c r="H204" s="175">
        <f t="shared" si="77"/>
        <v>43290</v>
      </c>
      <c r="I204" s="774">
        <f t="shared" si="78"/>
        <v>0</v>
      </c>
      <c r="J204" s="765">
        <f t="shared" si="79"/>
        <v>62.668799999356267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P204" s="13">
        <f t="shared" si="80"/>
        <v>9</v>
      </c>
      <c r="AQ204" s="13">
        <f t="shared" si="81"/>
        <v>8</v>
      </c>
      <c r="AR204" s="175">
        <f t="shared" si="82"/>
        <v>43304</v>
      </c>
      <c r="AS204" s="774">
        <f t="shared" si="83"/>
        <v>0.5</v>
      </c>
      <c r="AT204" s="791">
        <f t="shared" si="84"/>
        <v>62.617600000090896</v>
      </c>
      <c r="AU204" s="13">
        <f t="shared" si="85"/>
        <v>9</v>
      </c>
      <c r="AV204" s="13">
        <f t="shared" si="86"/>
        <v>8</v>
      </c>
      <c r="AW204" s="175">
        <f t="shared" si="87"/>
        <v>43318</v>
      </c>
      <c r="AX204" s="774">
        <f t="shared" si="88"/>
        <v>1</v>
      </c>
      <c r="AY204" s="791">
        <f t="shared" si="89"/>
        <v>62.668799999356267</v>
      </c>
      <c r="AZ204" s="765">
        <f t="shared" si="93"/>
        <v>62.643199999723578</v>
      </c>
      <c r="BA204" s="649">
        <f t="shared" si="90"/>
        <v>1.0018443855288932</v>
      </c>
      <c r="BB204" s="644">
        <v>43290</v>
      </c>
      <c r="BC204" s="11">
        <v>43290</v>
      </c>
      <c r="BD204" s="292">
        <f>[2]!FeuilCaduc*(1-Persistant)+Persistant</f>
        <v>1</v>
      </c>
      <c r="BE204" s="293">
        <f>[2]!CroissVégét</f>
        <v>0.76698911930492164</v>
      </c>
      <c r="BF204" s="844">
        <f>1+[2]!Salcycl*Ksac</f>
        <v>1.0684049787826728</v>
      </c>
      <c r="BH204" s="1107">
        <f t="shared" si="91"/>
        <v>1.3533679787784973E-3</v>
      </c>
      <c r="BI204" s="11">
        <v>44386</v>
      </c>
      <c r="BJ204" s="744">
        <v>8.0941002862901777E-4</v>
      </c>
      <c r="BK204" s="744">
        <v>1.0444885902115835E-3</v>
      </c>
      <c r="BL204" s="744">
        <v>1.2946696200054218E-3</v>
      </c>
      <c r="BM204" s="744">
        <v>1.5884905108914532E-3</v>
      </c>
      <c r="BN204" s="744">
        <v>2.0781721453885832E-3</v>
      </c>
      <c r="BO204" s="745">
        <v>2.852608423597287E-3</v>
      </c>
      <c r="BP204" s="744">
        <v>4.1178037730338788E-3</v>
      </c>
      <c r="BQ204" s="744">
        <v>6.3256301319657184E-3</v>
      </c>
      <c r="BR204" s="744">
        <v>1.0461078587621901E-2</v>
      </c>
      <c r="BS204" s="744">
        <v>1.7252059922888981E-2</v>
      </c>
      <c r="BT204" s="744">
        <v>2.6083651953697089E-2</v>
      </c>
      <c r="BW204" s="1191">
        <f>'2018'!R\Max</f>
        <v>0</v>
      </c>
      <c r="BX204" s="1189">
        <f>'2019'!R\Max</f>
        <v>0.40855277450856448</v>
      </c>
      <c r="BY204" s="1189">
        <f>'2020'!R\Max</f>
        <v>0.97355627817781087</v>
      </c>
      <c r="BZ204" s="1189">
        <f>'2021'!R\Max</f>
        <v>0.98564013531475558</v>
      </c>
      <c r="CA204" s="1189">
        <f>'2022'!R\Max</f>
        <v>1.0018443855288932</v>
      </c>
      <c r="CB204" s="1189">
        <f>'2023'!R\Max</f>
        <v>1.0018443855288932</v>
      </c>
      <c r="CC204" s="1189">
        <f>'2024'!R\Max</f>
        <v>1.0018443855288932</v>
      </c>
      <c r="CD204" s="1189">
        <f>'2025'!R\Max</f>
        <v>1.0018443855288932</v>
      </c>
      <c r="CE204" s="1189">
        <f>'2026'!R\Max</f>
        <v>1.0018443855288932</v>
      </c>
      <c r="CF204" s="1190">
        <f>'2027'!R\Max</f>
        <v>1.0018443855288932</v>
      </c>
    </row>
    <row r="205" spans="1:84" s="6" customFormat="1" ht="11.25" x14ac:dyDescent="0.2">
      <c r="A205" s="11">
        <v>43291</v>
      </c>
      <c r="B205" s="382">
        <f>'2022'!Maxi_hp</f>
        <v>62.966191858436069</v>
      </c>
      <c r="C205" s="85">
        <f>'2022'!An_max</f>
        <v>2019</v>
      </c>
      <c r="D205" s="1134"/>
      <c r="E205" s="711"/>
      <c r="F205" s="13">
        <f t="shared" si="92"/>
        <v>15</v>
      </c>
      <c r="G205" s="13">
        <f t="shared" si="76"/>
        <v>16</v>
      </c>
      <c r="H205" s="175">
        <f t="shared" si="77"/>
        <v>43290</v>
      </c>
      <c r="I205" s="774">
        <f t="shared" si="78"/>
        <v>7.1428571428571425E-2</v>
      </c>
      <c r="J205" s="765">
        <f t="shared" si="79"/>
        <v>62.56042915356479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P205" s="13">
        <f t="shared" si="80"/>
        <v>9</v>
      </c>
      <c r="AQ205" s="13">
        <f t="shared" si="81"/>
        <v>8</v>
      </c>
      <c r="AR205" s="175">
        <f t="shared" si="82"/>
        <v>43304</v>
      </c>
      <c r="AS205" s="774">
        <f t="shared" si="83"/>
        <v>0.4642857142857143</v>
      </c>
      <c r="AT205" s="791">
        <f t="shared" si="84"/>
        <v>62.509975510609479</v>
      </c>
      <c r="AU205" s="13">
        <f t="shared" si="85"/>
        <v>9</v>
      </c>
      <c r="AV205" s="13">
        <f t="shared" si="86"/>
        <v>8</v>
      </c>
      <c r="AW205" s="175">
        <f t="shared" si="87"/>
        <v>43318</v>
      </c>
      <c r="AX205" s="774">
        <f t="shared" si="88"/>
        <v>0.9642857142857143</v>
      </c>
      <c r="AY205" s="791">
        <f t="shared" si="89"/>
        <v>62.561553352499118</v>
      </c>
      <c r="AZ205" s="765">
        <f t="shared" si="93"/>
        <v>62.535764431554298</v>
      </c>
      <c r="BA205" s="649">
        <f t="shared" si="90"/>
        <v>1.0064859322476076</v>
      </c>
      <c r="BB205" s="644">
        <v>43291</v>
      </c>
      <c r="BC205" s="11">
        <v>43291</v>
      </c>
      <c r="BD205" s="292">
        <f>[2]!FeuilCaduc*(1-Persistant)+Persistant</f>
        <v>1</v>
      </c>
      <c r="BE205" s="293">
        <f>[2]!CroissVégét</f>
        <v>0.77426389460057909</v>
      </c>
      <c r="BF205" s="844">
        <f>1+[2]!Salcycl*Ksac</f>
        <v>1.0686006294626016</v>
      </c>
      <c r="BH205" s="1107">
        <f t="shared" si="91"/>
        <v>1.3184254502130641E-3</v>
      </c>
      <c r="BI205" s="11">
        <v>44387</v>
      </c>
      <c r="BJ205" s="744">
        <v>7.7689809420593173E-4</v>
      </c>
      <c r="BK205" s="744">
        <v>1.0088824073194377E-3</v>
      </c>
      <c r="BL205" s="744">
        <v>1.2584917093032796E-3</v>
      </c>
      <c r="BM205" s="744">
        <v>1.5584964371411381E-3</v>
      </c>
      <c r="BN205" s="744">
        <v>2.0797074595382496E-3</v>
      </c>
      <c r="BO205" s="745">
        <v>2.9137205923192373E-3</v>
      </c>
      <c r="BP205" s="744">
        <v>4.2734018854706903E-3</v>
      </c>
      <c r="BQ205" s="744">
        <v>6.619792759376554E-3</v>
      </c>
      <c r="BR205" s="744">
        <v>1.0956364614672316E-2</v>
      </c>
      <c r="BS205" s="744">
        <v>1.789175059925658E-2</v>
      </c>
      <c r="BT205" s="744">
        <v>2.6780820160745341E-2</v>
      </c>
      <c r="BW205" s="1191">
        <f>'2018'!R\Max</f>
        <v>0</v>
      </c>
      <c r="BX205" s="1189">
        <f>'2019'!R\Max</f>
        <v>1.0064859322476076</v>
      </c>
      <c r="BY205" s="1189">
        <f>'2020'!R\Max</f>
        <v>0.88074507080979303</v>
      </c>
      <c r="BZ205" s="1189">
        <f>'2021'!R\Max</f>
        <v>0.85974338764074543</v>
      </c>
      <c r="CA205" s="1189">
        <f>'2022'!R\Max</f>
        <v>0.99374693749249421</v>
      </c>
      <c r="CB205" s="1189">
        <f>'2023'!R\Max</f>
        <v>0.99374599924114648</v>
      </c>
      <c r="CC205" s="1189">
        <f>'2024'!R\Max</f>
        <v>0.99374421092443976</v>
      </c>
      <c r="CD205" s="1189">
        <f>'2025'!R\Max</f>
        <v>0.99374916601875252</v>
      </c>
      <c r="CE205" s="1189">
        <f>'2026'!R\Max</f>
        <v>0.99374882133318687</v>
      </c>
      <c r="CF205" s="1190">
        <f>'2027'!R\Max</f>
        <v>0.99374836370172026</v>
      </c>
    </row>
    <row r="206" spans="1:84" s="6" customFormat="1" ht="11.25" x14ac:dyDescent="0.2">
      <c r="A206" s="11">
        <v>43292</v>
      </c>
      <c r="B206" s="382">
        <f>'2022'!Maxi_hp</f>
        <v>62.533277298191116</v>
      </c>
      <c r="C206" s="85">
        <f>'2022'!An_max</f>
        <v>2019</v>
      </c>
      <c r="D206" s="1134"/>
      <c r="E206" s="711"/>
      <c r="F206" s="13">
        <f t="shared" si="92"/>
        <v>15</v>
      </c>
      <c r="G206" s="13">
        <f t="shared" si="76"/>
        <v>16</v>
      </c>
      <c r="H206" s="175">
        <f t="shared" si="77"/>
        <v>43290</v>
      </c>
      <c r="I206" s="774">
        <f t="shared" si="78"/>
        <v>0.14285714285714285</v>
      </c>
      <c r="J206" s="765">
        <f t="shared" si="79"/>
        <v>62.447580174409914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P206" s="13">
        <f t="shared" si="80"/>
        <v>9</v>
      </c>
      <c r="AQ206" s="13">
        <f t="shared" si="81"/>
        <v>8</v>
      </c>
      <c r="AR206" s="175">
        <f t="shared" si="82"/>
        <v>43304</v>
      </c>
      <c r="AS206" s="774">
        <f t="shared" si="83"/>
        <v>0.42857142857142855</v>
      </c>
      <c r="AT206" s="791">
        <f t="shared" si="84"/>
        <v>62.399216326858323</v>
      </c>
      <c r="AU206" s="13">
        <f t="shared" si="85"/>
        <v>9</v>
      </c>
      <c r="AV206" s="13">
        <f t="shared" si="86"/>
        <v>8</v>
      </c>
      <c r="AW206" s="175">
        <f t="shared" si="87"/>
        <v>43318</v>
      </c>
      <c r="AX206" s="774">
        <f t="shared" si="88"/>
        <v>0.9285714285714286</v>
      </c>
      <c r="AY206" s="791">
        <f t="shared" si="89"/>
        <v>62.451871719823352</v>
      </c>
      <c r="AZ206" s="765">
        <f t="shared" si="93"/>
        <v>62.425544023340834</v>
      </c>
      <c r="BA206" s="649">
        <f t="shared" si="90"/>
        <v>1.0013723049562826</v>
      </c>
      <c r="BB206" s="644">
        <v>43292</v>
      </c>
      <c r="BC206" s="11">
        <v>43292</v>
      </c>
      <c r="BD206" s="292">
        <f>[2]!FeuilCaduc*(1-Persistant)+Persistant</f>
        <v>1</v>
      </c>
      <c r="BE206" s="293">
        <f>[2]!CroissVégét</f>
        <v>0.78137649671730769</v>
      </c>
      <c r="BF206" s="844">
        <f>1+[2]!Salcycl*Ksac</f>
        <v>1.068779634966077</v>
      </c>
      <c r="BH206" s="1107">
        <f t="shared" si="91"/>
        <v>1.2846397640027276E-3</v>
      </c>
      <c r="BI206" s="11">
        <v>44388</v>
      </c>
      <c r="BJ206" s="744">
        <v>7.4294178447886165E-4</v>
      </c>
      <c r="BK206" s="744">
        <v>9.7241166106908008E-4</v>
      </c>
      <c r="BL206" s="744">
        <v>1.2229176868361997E-3</v>
      </c>
      <c r="BM206" s="744">
        <v>1.5318741224073439E-3</v>
      </c>
      <c r="BN206" s="744">
        <v>2.0905621691188242E-3</v>
      </c>
      <c r="BO206" s="745">
        <v>2.9918127946256079E-3</v>
      </c>
      <c r="BP206" s="744">
        <v>4.4551202064146206E-3</v>
      </c>
      <c r="BQ206" s="744">
        <v>6.9443210458595521E-3</v>
      </c>
      <c r="BR206" s="744">
        <v>1.1488535154422415E-2</v>
      </c>
      <c r="BS206" s="744">
        <v>1.8567872905810433E-2</v>
      </c>
      <c r="BT206" s="744">
        <v>2.7511325250595946E-2</v>
      </c>
      <c r="BW206" s="1191">
        <f>'2018'!R\Max</f>
        <v>0</v>
      </c>
      <c r="BX206" s="1189">
        <f>'2019'!R\Max</f>
        <v>1.0013723049562826</v>
      </c>
      <c r="BY206" s="1189">
        <f>'2020'!R\Max</f>
        <v>0.78254117199733053</v>
      </c>
      <c r="BZ206" s="1189">
        <f>'2021'!R\Max</f>
        <v>0.84487350006820605</v>
      </c>
      <c r="CA206" s="1189">
        <f>'2022'!R\Max</f>
        <v>0.96149783707548109</v>
      </c>
      <c r="CB206" s="1189">
        <f>'2023'!R\Max</f>
        <v>0.96149181046617371</v>
      </c>
      <c r="CC206" s="1189">
        <f>'2024'!R\Max</f>
        <v>0.96148044024207058</v>
      </c>
      <c r="CD206" s="1189">
        <f>'2025'!R\Max</f>
        <v>0.96151216539066287</v>
      </c>
      <c r="CE206" s="1189">
        <f>'2026'!R\Max</f>
        <v>0.96150997714659814</v>
      </c>
      <c r="CF206" s="1190">
        <f>'2027'!R\Max</f>
        <v>0.96150703246613189</v>
      </c>
    </row>
    <row r="207" spans="1:84" s="6" customFormat="1" ht="11.25" x14ac:dyDescent="0.2">
      <c r="A207" s="11">
        <v>43293</v>
      </c>
      <c r="B207" s="382">
        <f>'2022'!Maxi_hp</f>
        <v>63.366086116985848</v>
      </c>
      <c r="C207" s="85">
        <f>'2022'!An_max</f>
        <v>2019</v>
      </c>
      <c r="D207" s="1134"/>
      <c r="E207" s="711"/>
      <c r="F207" s="13">
        <f t="shared" si="92"/>
        <v>15</v>
      </c>
      <c r="G207" s="13">
        <f t="shared" ref="G207:G270" si="94">INT((MATCH($A207,x.2m)+1)/2)*2</f>
        <v>16</v>
      </c>
      <c r="H207" s="175">
        <f t="shared" ref="H207:H270" si="95">INDEX(x.2m,F207)</f>
        <v>43290</v>
      </c>
      <c r="I207" s="774">
        <f t="shared" ref="I207:I270" si="96">($A207-H207)/(INDEX(x.2m,G207)-H207)</f>
        <v>0.21428571428571427</v>
      </c>
      <c r="J207" s="765">
        <f t="shared" ref="J207:J270" si="97">((1-I207)*(INDEX(a.m,F207)*$A207*$A207+INDEX(b.m,F207)*$A207+INDEX(c.m,F207))+I207*(INDEX(a.m,G207)*$A207*$A207+INDEX(b.m,G207)*$A207+INDEX(c.m,G207)))/10</f>
        <v>62.330476968389533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P207" s="13">
        <f t="shared" ref="AP207:AP270" si="98">INT(MATCH($A207,x.2lg)/2)*2+1</f>
        <v>9</v>
      </c>
      <c r="AQ207" s="13">
        <f t="shared" ref="AQ207:AQ270" si="99">INT((MATCH($A207,x.2lg)+1)/2)*2</f>
        <v>8</v>
      </c>
      <c r="AR207" s="175">
        <f t="shared" ref="AR207:AR270" si="100">INDEX(x.2lg,AP207)</f>
        <v>43304</v>
      </c>
      <c r="AS207" s="774">
        <f t="shared" ref="AS207:AS270" si="101">($A207-AR207)/(INDEX(x.2lg,AQ207)-AR207)</f>
        <v>0.39285714285714285</v>
      </c>
      <c r="AT207" s="791">
        <f t="shared" ref="AT207:AT270" si="102">((1-AS207)*(INDEX(a.lg,AP207)*$A207*$A207+INDEX(b.lg,AP207)*$A207+INDEX(c.lg,AP207))+AS207*(INDEX(a.lg,AQ207)*$A207*$A207+INDEX(b.lg,AQ207)*$A207+INDEX(c.lg,AQ207)))/10</f>
        <v>62.28532244942285</v>
      </c>
      <c r="AU207" s="13">
        <f t="shared" ref="AU207:AU270" si="103">INT(MATCH($A207,x.2ld)/2)*2+1</f>
        <v>9</v>
      </c>
      <c r="AV207" s="13">
        <f t="shared" ref="AV207:AV270" si="104">INT((MATCH($A207,x.2ld)+1)/2)*2</f>
        <v>8</v>
      </c>
      <c r="AW207" s="175">
        <f t="shared" ref="AW207:AW270" si="105">INDEX(x.2ld,AU207)</f>
        <v>43318</v>
      </c>
      <c r="AX207" s="774">
        <f t="shared" ref="AX207:AX270" si="106">($A207-AW207)/(INDEX(x.2ld,AV207)-AW207)</f>
        <v>0.8928571428571429</v>
      </c>
      <c r="AY207" s="791">
        <f t="shared" ref="AY207:AY270" si="107">((1-AX207)*(INDEX(a.ld,AU207)*$A207*$A207+INDEX(b.ld,AU207)*$A207+INDEX(c.ld,AU207))+AX207*(INDEX(a.ld,AV207)*$A207*$A207+INDEX(b.ld,AV207)*$A207+INDEX(c.ld,AV207)))/10</f>
        <v>62.339671136917822</v>
      </c>
      <c r="AZ207" s="765">
        <f t="shared" si="93"/>
        <v>62.31249679317034</v>
      </c>
      <c r="BA207" s="649">
        <f t="shared" ref="BA207:BA270" si="108">+B207/J207</f>
        <v>1.0166148118699865</v>
      </c>
      <c r="BB207" s="644">
        <v>43293</v>
      </c>
      <c r="BC207" s="11">
        <v>43293</v>
      </c>
      <c r="BD207" s="292">
        <f>[2]!FeuilCaduc*(1-Persistant)+Persistant</f>
        <v>1</v>
      </c>
      <c r="BE207" s="293">
        <f>[2]!CroissVégét</f>
        <v>0.78832648381074411</v>
      </c>
      <c r="BF207" s="844">
        <f>1+[2]!Salcycl*Ksac</f>
        <v>1.0689427434543848</v>
      </c>
      <c r="BH207" s="1107">
        <f t="shared" ref="BH207:BH270" si="109">INDEX($BJ207:$BT207,,$BH$10)*(1-Ratini)+INDEX($BJ207:$BT207,,$BH$10+1)*Ratini</f>
        <v>1.2529723937897577E-3</v>
      </c>
      <c r="BI207" s="11">
        <v>44389</v>
      </c>
      <c r="BJ207" s="744">
        <v>7.0895802566598245E-4</v>
      </c>
      <c r="BK207" s="744">
        <v>9.3631016872026171E-4</v>
      </c>
      <c r="BL207" s="744">
        <v>1.1889662700407396E-3</v>
      </c>
      <c r="BM207" s="744">
        <v>1.5093557442133014E-3</v>
      </c>
      <c r="BN207" s="744">
        <v>2.1109819505201947E-3</v>
      </c>
      <c r="BO207" s="745">
        <v>3.0860394023077679E-3</v>
      </c>
      <c r="BP207" s="744">
        <v>4.6596467582994839E-3</v>
      </c>
      <c r="BQ207" s="744">
        <v>7.2908825267765766E-3</v>
      </c>
      <c r="BR207" s="744">
        <v>1.2040207420206735E-2</v>
      </c>
      <c r="BS207" s="744">
        <v>1.9258167578162743E-2</v>
      </c>
      <c r="BT207" s="744">
        <v>2.8253624573193494E-2</v>
      </c>
      <c r="BW207" s="1191">
        <f>'2018'!R\Max</f>
        <v>0</v>
      </c>
      <c r="BX207" s="1189">
        <f>'2019'!R\Max</f>
        <v>1.0166148118699865</v>
      </c>
      <c r="BY207" s="1189">
        <f>'2020'!R\Max</f>
        <v>0.77079814985946438</v>
      </c>
      <c r="BZ207" s="1189">
        <f>'2021'!R\Max</f>
        <v>0.23321273654421537</v>
      </c>
      <c r="CA207" s="1189">
        <f>'2022'!R\Max</f>
        <v>0.96549064822839592</v>
      </c>
      <c r="CB207" s="1189">
        <f>'2023'!R\Max</f>
        <v>0.96548480422997085</v>
      </c>
      <c r="CC207" s="1189">
        <f>'2024'!R\Max</f>
        <v>0.96547392237388074</v>
      </c>
      <c r="CD207" s="1189">
        <f>'2025'!R\Max</f>
        <v>0.96550459320290472</v>
      </c>
      <c r="CE207" s="1189">
        <f>'2026'!R\Max</f>
        <v>0.96550248193949184</v>
      </c>
      <c r="CF207" s="1190">
        <f>'2027'!R\Max</f>
        <v>0.96549960831050341</v>
      </c>
    </row>
    <row r="208" spans="1:84" s="6" customFormat="1" ht="11.25" x14ac:dyDescent="0.2">
      <c r="A208" s="11">
        <v>43294</v>
      </c>
      <c r="B208" s="382">
        <f>'2022'!Maxi_hp</f>
        <v>59.825654709604933</v>
      </c>
      <c r="C208" s="85">
        <f>'2022'!An_max</f>
        <v>2022</v>
      </c>
      <c r="D208" s="1134"/>
      <c r="E208" s="711"/>
      <c r="F208" s="13">
        <f t="shared" ref="F208:F271" si="110">INT(MATCH($A208,x.2m)/2)*2+1</f>
        <v>15</v>
      </c>
      <c r="G208" s="13">
        <f t="shared" si="94"/>
        <v>16</v>
      </c>
      <c r="H208" s="175">
        <f t="shared" si="95"/>
        <v>43290</v>
      </c>
      <c r="I208" s="774">
        <f t="shared" si="96"/>
        <v>0.2857142857142857</v>
      </c>
      <c r="J208" s="765">
        <f t="shared" si="97"/>
        <v>62.209343439979214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P208" s="13">
        <f t="shared" si="98"/>
        <v>9</v>
      </c>
      <c r="AQ208" s="13">
        <f t="shared" si="99"/>
        <v>8</v>
      </c>
      <c r="AR208" s="175">
        <f t="shared" si="100"/>
        <v>43304</v>
      </c>
      <c r="AS208" s="774">
        <f t="shared" si="101"/>
        <v>0.35714285714285715</v>
      </c>
      <c r="AT208" s="791">
        <f t="shared" si="102"/>
        <v>62.16829387782407</v>
      </c>
      <c r="AU208" s="13">
        <f t="shared" si="103"/>
        <v>9</v>
      </c>
      <c r="AV208" s="13">
        <f t="shared" si="104"/>
        <v>8</v>
      </c>
      <c r="AW208" s="175">
        <f t="shared" si="105"/>
        <v>43318</v>
      </c>
      <c r="AX208" s="774">
        <f t="shared" si="106"/>
        <v>0.8571428571428571</v>
      </c>
      <c r="AY208" s="791">
        <f t="shared" si="107"/>
        <v>62.224867638200521</v>
      </c>
      <c r="AZ208" s="765">
        <f t="shared" ref="AZ208:AZ271" si="111">(AY208+AT208)/2</f>
        <v>62.196580758012296</v>
      </c>
      <c r="BA208" s="649">
        <f t="shared" si="108"/>
        <v>0.96168278591986567</v>
      </c>
      <c r="BB208" s="644">
        <v>43294</v>
      </c>
      <c r="BC208" s="11">
        <v>43294</v>
      </c>
      <c r="BD208" s="292">
        <f>[2]!FeuilCaduc*(1-Persistant)+Persistant</f>
        <v>1</v>
      </c>
      <c r="BE208" s="293">
        <f>[2]!CroissVégét</f>
        <v>0.79511370224543498</v>
      </c>
      <c r="BF208" s="844">
        <f>1+[2]!Salcycl*Ksac</f>
        <v>1.069090707901829</v>
      </c>
      <c r="BH208" s="1107">
        <f t="shared" si="109"/>
        <v>1.2234205186888499E-3</v>
      </c>
      <c r="BI208" s="11">
        <v>44390</v>
      </c>
      <c r="BJ208" s="744">
        <v>6.7494624778131288E-4</v>
      </c>
      <c r="BK208" s="744">
        <v>9.0057694432422086E-4</v>
      </c>
      <c r="BL208" s="744">
        <v>1.1566351424782439E-3</v>
      </c>
      <c r="BM208" s="744">
        <v>1.4909364610588905E-3</v>
      </c>
      <c r="BN208" s="744">
        <v>2.1409568856144132E-3</v>
      </c>
      <c r="BO208" s="745">
        <v>3.1963852242212535E-3</v>
      </c>
      <c r="BP208" s="744">
        <v>4.8869624347222069E-3</v>
      </c>
      <c r="BQ208" s="744">
        <v>7.659465029727159E-3</v>
      </c>
      <c r="BR208" s="744">
        <v>1.2611381587461478E-2</v>
      </c>
      <c r="BS208" s="744">
        <v>1.9962650089841678E-2</v>
      </c>
      <c r="BT208" s="744">
        <v>2.9007743687707074E-2</v>
      </c>
      <c r="BW208" s="1191">
        <f>'2018'!R\Max</f>
        <v>0</v>
      </c>
      <c r="BX208" s="1189">
        <f>'2019'!R\Max</f>
        <v>0.87873343777565183</v>
      </c>
      <c r="BY208" s="1189">
        <f>'2020'!R\Max</f>
        <v>0.60271800787819296</v>
      </c>
      <c r="BZ208" s="1189">
        <f>'2021'!R\Max</f>
        <v>0.51785516052944003</v>
      </c>
      <c r="CA208" s="1189">
        <f>'2022'!R\Max</f>
        <v>0.96168278591986567</v>
      </c>
      <c r="CB208" s="1189">
        <f>'2023'!R\Max</f>
        <v>0.96167582856229772</v>
      </c>
      <c r="CC208" s="1189">
        <f>'2024'!R\Max</f>
        <v>0.96166307321700983</v>
      </c>
      <c r="CD208" s="1189">
        <f>'2025'!R\Max</f>
        <v>0.9616994834601208</v>
      </c>
      <c r="CE208" s="1189">
        <f>'2026'!R\Max</f>
        <v>0.96169696855698661</v>
      </c>
      <c r="CF208" s="1190">
        <f>'2027'!R\Max</f>
        <v>0.96169351340817222</v>
      </c>
    </row>
    <row r="209" spans="1:84" s="6" customFormat="1" ht="11.25" x14ac:dyDescent="0.2">
      <c r="A209" s="11">
        <v>43295</v>
      </c>
      <c r="B209" s="382">
        <f>'2022'!Maxi_hp</f>
        <v>62.288044884961785</v>
      </c>
      <c r="C209" s="85">
        <f>'2022'!An_max</f>
        <v>2019</v>
      </c>
      <c r="D209" s="1134"/>
      <c r="E209" s="711"/>
      <c r="F209" s="13">
        <f t="shared" si="110"/>
        <v>15</v>
      </c>
      <c r="G209" s="13">
        <f t="shared" si="94"/>
        <v>16</v>
      </c>
      <c r="H209" s="175">
        <f t="shared" si="95"/>
        <v>43290</v>
      </c>
      <c r="I209" s="774">
        <f t="shared" si="96"/>
        <v>0.35714285714285715</v>
      </c>
      <c r="J209" s="765">
        <f t="shared" si="97"/>
        <v>62.084403498657046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P209" s="13">
        <f t="shared" si="98"/>
        <v>9</v>
      </c>
      <c r="AQ209" s="13">
        <f t="shared" si="99"/>
        <v>8</v>
      </c>
      <c r="AR209" s="175">
        <f t="shared" si="100"/>
        <v>43304</v>
      </c>
      <c r="AS209" s="774">
        <f t="shared" si="101"/>
        <v>0.32142857142857145</v>
      </c>
      <c r="AT209" s="791">
        <f t="shared" si="102"/>
        <v>62.048130612195074</v>
      </c>
      <c r="AU209" s="13">
        <f t="shared" si="103"/>
        <v>9</v>
      </c>
      <c r="AV209" s="13">
        <f t="shared" si="104"/>
        <v>8</v>
      </c>
      <c r="AW209" s="175">
        <f t="shared" si="105"/>
        <v>43318</v>
      </c>
      <c r="AX209" s="774">
        <f t="shared" si="106"/>
        <v>0.8214285714285714</v>
      </c>
      <c r="AY209" s="791">
        <f t="shared" si="107"/>
        <v>62.107377259539703</v>
      </c>
      <c r="AZ209" s="765">
        <f t="shared" si="111"/>
        <v>62.077753935867392</v>
      </c>
      <c r="BA209" s="649">
        <f t="shared" si="108"/>
        <v>1.0032800731718257</v>
      </c>
      <c r="BB209" s="644">
        <v>43295</v>
      </c>
      <c r="BC209" s="11">
        <v>43295</v>
      </c>
      <c r="BD209" s="292">
        <f>[2]!FeuilCaduc*(1-Persistant)+Persistant</f>
        <v>1</v>
      </c>
      <c r="BE209" s="293">
        <f>[2]!CroissVégét</f>
        <v>0.80173827384170082</v>
      </c>
      <c r="BF209" s="844">
        <f>1+[2]!Salcycl*Ksac</f>
        <v>1.0692242818212188</v>
      </c>
      <c r="BH209" s="1107">
        <f t="shared" si="109"/>
        <v>1.1959813832331451E-3</v>
      </c>
      <c r="BI209" s="11">
        <v>44391</v>
      </c>
      <c r="BJ209" s="744">
        <v>6.4090579696019878E-4</v>
      </c>
      <c r="BK209" s="744">
        <v>8.6521093953044611E-4</v>
      </c>
      <c r="BL209" s="744">
        <v>1.1259220144234213E-3</v>
      </c>
      <c r="BM209" s="744">
        <v>1.4766116518997623E-3</v>
      </c>
      <c r="BN209" s="744">
        <v>2.1804777461264142E-3</v>
      </c>
      <c r="BO209" s="745">
        <v>3.3228363774213047E-3</v>
      </c>
      <c r="BP209" s="744">
        <v>5.1370501513174427E-3</v>
      </c>
      <c r="BQ209" s="744">
        <v>8.0500586970530079E-3</v>
      </c>
      <c r="BR209" s="744">
        <v>1.3202060474870507E-2</v>
      </c>
      <c r="BS209" s="744">
        <v>2.068133853878219E-2</v>
      </c>
      <c r="BT209" s="744">
        <v>2.9773710747160544E-2</v>
      </c>
      <c r="BW209" s="1191">
        <f>'2018'!R\Max</f>
        <v>0</v>
      </c>
      <c r="BX209" s="1189">
        <f>'2019'!R\Max</f>
        <v>1.0032800731718257</v>
      </c>
      <c r="BY209" s="1189">
        <f>'2020'!R\Max</f>
        <v>0.98189301449286581</v>
      </c>
      <c r="BZ209" s="1189">
        <f>'2021'!R\Max</f>
        <v>0.54246870061533348</v>
      </c>
      <c r="CA209" s="1189">
        <f>'2022'!R\Max</f>
        <v>0.95169856152365229</v>
      </c>
      <c r="CB209" s="1189">
        <f>'2023'!R\Max</f>
        <v>0.95168922866481587</v>
      </c>
      <c r="CC209" s="1189">
        <f>'2024'!R\Max</f>
        <v>0.95167241461107999</v>
      </c>
      <c r="CD209" s="1189">
        <f>'2025'!R\Max</f>
        <v>0.95172112575139078</v>
      </c>
      <c r="CE209" s="1189">
        <f>'2026'!R\Max</f>
        <v>0.95171773476035237</v>
      </c>
      <c r="CF209" s="1190">
        <f>'2027'!R\Max</f>
        <v>0.95171304125781531</v>
      </c>
    </row>
    <row r="210" spans="1:84" s="6" customFormat="1" ht="11.25" x14ac:dyDescent="0.2">
      <c r="A210" s="11">
        <v>43296</v>
      </c>
      <c r="B210" s="382">
        <f>'2022'!Maxi_hp</f>
        <v>63.922354684310292</v>
      </c>
      <c r="C210" s="85">
        <f>'2022'!An_max</f>
        <v>2019</v>
      </c>
      <c r="D210" s="1134"/>
      <c r="E210" s="711"/>
      <c r="F210" s="13">
        <f t="shared" si="110"/>
        <v>15</v>
      </c>
      <c r="G210" s="13">
        <f t="shared" si="94"/>
        <v>16</v>
      </c>
      <c r="H210" s="175">
        <f t="shared" si="95"/>
        <v>43290</v>
      </c>
      <c r="I210" s="774">
        <f t="shared" si="96"/>
        <v>0.42857142857142855</v>
      </c>
      <c r="J210" s="765">
        <f t="shared" si="97"/>
        <v>61.955881049484013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P210" s="13">
        <f t="shared" si="98"/>
        <v>9</v>
      </c>
      <c r="AQ210" s="13">
        <f t="shared" si="99"/>
        <v>8</v>
      </c>
      <c r="AR210" s="175">
        <f t="shared" si="100"/>
        <v>43304</v>
      </c>
      <c r="AS210" s="774">
        <f t="shared" si="101"/>
        <v>0.2857142857142857</v>
      </c>
      <c r="AT210" s="791">
        <f t="shared" si="102"/>
        <v>61.924832653360703</v>
      </c>
      <c r="AU210" s="13">
        <f t="shared" si="103"/>
        <v>9</v>
      </c>
      <c r="AV210" s="13">
        <f t="shared" si="104"/>
        <v>8</v>
      </c>
      <c r="AW210" s="175">
        <f t="shared" si="105"/>
        <v>43318</v>
      </c>
      <c r="AX210" s="774">
        <f t="shared" si="106"/>
        <v>0.7857142857142857</v>
      </c>
      <c r="AY210" s="791">
        <f t="shared" si="107"/>
        <v>61.987116034648253</v>
      </c>
      <c r="AZ210" s="765">
        <f t="shared" si="111"/>
        <v>61.955974344004474</v>
      </c>
      <c r="BA210" s="649">
        <f t="shared" si="108"/>
        <v>1.0317399026777727</v>
      </c>
      <c r="BB210" s="644">
        <v>43296</v>
      </c>
      <c r="BC210" s="11">
        <v>43296</v>
      </c>
      <c r="BD210" s="292">
        <f>[2]!FeuilCaduc*(1-Persistant)+Persistant</f>
        <v>1</v>
      </c>
      <c r="BE210" s="293">
        <f>[2]!CroissVégét</f>
        <v>0.80820058265200556</v>
      </c>
      <c r="BF210" s="844">
        <f>1+[2]!Salcycl*Ksac</f>
        <v>1.0693442151230523</v>
      </c>
      <c r="BH210" s="1107">
        <f t="shared" si="109"/>
        <v>1.1706523096817244E-3</v>
      </c>
      <c r="BI210" s="11">
        <v>44392</v>
      </c>
      <c r="BJ210" s="744">
        <v>6.0683593510084323E-4</v>
      </c>
      <c r="BK210" s="744">
        <v>8.302110455524408E-4</v>
      </c>
      <c r="BL210" s="744">
        <v>1.0968246322347458E-3</v>
      </c>
      <c r="BM210" s="744">
        <v>1.46637694021968E-3</v>
      </c>
      <c r="BN210" s="744">
        <v>2.2295360501565793E-3</v>
      </c>
      <c r="BO210" s="745">
        <v>3.4653803828224184E-3</v>
      </c>
      <c r="BP210" s="744">
        <v>5.4098949813322006E-3</v>
      </c>
      <c r="BQ210" s="744">
        <v>8.4626561174499567E-3</v>
      </c>
      <c r="BR210" s="744">
        <v>1.381224966187823E-2</v>
      </c>
      <c r="BS210" s="744">
        <v>2.1414253733789829E-2</v>
      </c>
      <c r="BT210" s="744">
        <v>3.0551556570779886E-2</v>
      </c>
      <c r="BW210" s="1191">
        <f>'2018'!R\Max</f>
        <v>0</v>
      </c>
      <c r="BX210" s="1189">
        <f>'2019'!R\Max</f>
        <v>1.0317399026777727</v>
      </c>
      <c r="BY210" s="1189">
        <f>'2020'!R\Max</f>
        <v>0.83027520415400158</v>
      </c>
      <c r="BZ210" s="1189">
        <f>'2021'!R\Max</f>
        <v>0.64951385406931306</v>
      </c>
      <c r="CA210" s="1189">
        <f>'2022'!R\Max</f>
        <v>0.9216730163738005</v>
      </c>
      <c r="CB210" s="1189">
        <f>'2023'!R\Max</f>
        <v>0.921657273822025</v>
      </c>
      <c r="CC210" s="1189">
        <f>'2024'!R\Max</f>
        <v>0.92162944758173249</v>
      </c>
      <c r="CD210" s="1189">
        <f>'2025'!R\Max</f>
        <v>0.92171140473746105</v>
      </c>
      <c r="CE210" s="1189">
        <f>'2026'!R\Max</f>
        <v>0.92170563416318363</v>
      </c>
      <c r="CF210" s="1190">
        <f>'2027'!R\Max</f>
        <v>0.92169760149539581</v>
      </c>
    </row>
    <row r="211" spans="1:84" s="6" customFormat="1" ht="11.25" x14ac:dyDescent="0.2">
      <c r="A211" s="11">
        <v>43297</v>
      </c>
      <c r="B211" s="382">
        <f>'2022'!Maxi_hp</f>
        <v>61.80609820864801</v>
      </c>
      <c r="C211" s="85">
        <f>'2022'!An_max</f>
        <v>2019</v>
      </c>
      <c r="D211" s="1134"/>
      <c r="E211" s="711"/>
      <c r="F211" s="13">
        <f t="shared" si="110"/>
        <v>15</v>
      </c>
      <c r="G211" s="13">
        <f t="shared" si="94"/>
        <v>16</v>
      </c>
      <c r="H211" s="175">
        <f t="shared" si="95"/>
        <v>43290</v>
      </c>
      <c r="I211" s="774">
        <f t="shared" si="96"/>
        <v>0.5</v>
      </c>
      <c r="J211" s="765">
        <f t="shared" si="97"/>
        <v>61.82399999946356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P211" s="13">
        <f t="shared" si="98"/>
        <v>9</v>
      </c>
      <c r="AQ211" s="13">
        <f t="shared" si="99"/>
        <v>8</v>
      </c>
      <c r="AR211" s="175">
        <f t="shared" si="100"/>
        <v>43304</v>
      </c>
      <c r="AS211" s="774">
        <f t="shared" si="101"/>
        <v>0.25</v>
      </c>
      <c r="AT211" s="791">
        <f t="shared" si="102"/>
        <v>61.798400000203401</v>
      </c>
      <c r="AU211" s="13">
        <f t="shared" si="103"/>
        <v>9</v>
      </c>
      <c r="AV211" s="13">
        <f t="shared" si="104"/>
        <v>8</v>
      </c>
      <c r="AW211" s="175">
        <f t="shared" si="105"/>
        <v>43318</v>
      </c>
      <c r="AX211" s="774">
        <f t="shared" si="106"/>
        <v>0.75</v>
      </c>
      <c r="AY211" s="791">
        <f t="shared" si="107"/>
        <v>61.863999999873343</v>
      </c>
      <c r="AZ211" s="765">
        <f t="shared" si="111"/>
        <v>61.831200000038372</v>
      </c>
      <c r="BA211" s="649">
        <f t="shared" si="108"/>
        <v>0.9997104394601497</v>
      </c>
      <c r="BB211" s="644">
        <v>43297</v>
      </c>
      <c r="BC211" s="11">
        <v>43297</v>
      </c>
      <c r="BD211" s="292">
        <f>[2]!FeuilCaduc*(1-Persistant)+Persistant</f>
        <v>1</v>
      </c>
      <c r="BE211" s="293">
        <f>[2]!CroissVégét</f>
        <v>0.81450126137468837</v>
      </c>
      <c r="BF211" s="844">
        <f>1+[2]!Salcycl*Ksac</f>
        <v>1.0694512501357087</v>
      </c>
      <c r="BH211" s="1107">
        <f t="shared" si="109"/>
        <v>1.147430710279366E-3</v>
      </c>
      <c r="BI211" s="11">
        <v>44393</v>
      </c>
      <c r="BJ211" s="744">
        <v>5.7273583947916695E-4</v>
      </c>
      <c r="BK211" s="744">
        <v>7.9557609509808499E-4</v>
      </c>
      <c r="BL211" s="744">
        <v>1.0693407876796429E-3</v>
      </c>
      <c r="BM211" s="744">
        <v>1.4602282180450094E-3</v>
      </c>
      <c r="BN211" s="744">
        <v>2.2881241186213023E-3</v>
      </c>
      <c r="BO211" s="745">
        <v>3.6240062607367056E-3</v>
      </c>
      <c r="BP211" s="744">
        <v>5.7054842910163319E-3</v>
      </c>
      <c r="BQ211" s="744">
        <v>8.8972524572915913E-3</v>
      </c>
      <c r="BR211" s="744">
        <v>1.4441957605727258E-2</v>
      </c>
      <c r="BS211" s="744">
        <v>2.2161419280248566E-2</v>
      </c>
      <c r="BT211" s="744">
        <v>3.1341314715236782E-2</v>
      </c>
      <c r="BW211" s="1191">
        <f>'2018'!R\Max</f>
        <v>0</v>
      </c>
      <c r="BX211" s="1189">
        <f>'2019'!R\Max</f>
        <v>0.9997104394601497</v>
      </c>
      <c r="BY211" s="1189">
        <f>'2020'!R\Max</f>
        <v>0.41871782808218566</v>
      </c>
      <c r="BZ211" s="1189">
        <f>'2021'!R\Max</f>
        <v>0.70127272260452378</v>
      </c>
      <c r="CA211" s="1189">
        <f>'2022'!R\Max</f>
        <v>0.95147918905735906</v>
      </c>
      <c r="CB211" s="1189">
        <f>'2023'!R\Max</f>
        <v>0.95146838925833632</v>
      </c>
      <c r="CC211" s="1189">
        <f>'2024'!R\Max</f>
        <v>0.95144968322776524</v>
      </c>
      <c r="CD211" s="1189">
        <f>'2025'!R\Max</f>
        <v>0.95150577216177268</v>
      </c>
      <c r="CE211" s="1189">
        <f>'2026'!R\Max</f>
        <v>0.95150176722897961</v>
      </c>
      <c r="CF211" s="1190">
        <f>'2027'!R\Max</f>
        <v>0.95149616903696055</v>
      </c>
    </row>
    <row r="212" spans="1:84" s="6" customFormat="1" ht="11.25" x14ac:dyDescent="0.2">
      <c r="A212" s="11">
        <v>43298</v>
      </c>
      <c r="B212" s="382">
        <f>'2022'!Maxi_hp</f>
        <v>61.03216766608417</v>
      </c>
      <c r="C212" s="85">
        <f>'2022'!An_max</f>
        <v>2021</v>
      </c>
      <c r="D212" s="1134"/>
      <c r="E212" s="711"/>
      <c r="F212" s="13">
        <f t="shared" si="110"/>
        <v>15</v>
      </c>
      <c r="G212" s="13">
        <f t="shared" si="94"/>
        <v>16</v>
      </c>
      <c r="H212" s="175">
        <f t="shared" si="95"/>
        <v>43290</v>
      </c>
      <c r="I212" s="774">
        <f t="shared" si="96"/>
        <v>0.5714285714285714</v>
      </c>
      <c r="J212" s="765">
        <f t="shared" si="97"/>
        <v>61.688984255918442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P212" s="13">
        <f t="shared" si="98"/>
        <v>9</v>
      </c>
      <c r="AQ212" s="13">
        <f t="shared" si="99"/>
        <v>8</v>
      </c>
      <c r="AR212" s="175">
        <f t="shared" si="100"/>
        <v>43304</v>
      </c>
      <c r="AS212" s="774">
        <f t="shared" si="101"/>
        <v>0.21428571428571427</v>
      </c>
      <c r="AT212" s="791">
        <f t="shared" si="102"/>
        <v>61.668832653468215</v>
      </c>
      <c r="AU212" s="13">
        <f t="shared" si="103"/>
        <v>9</v>
      </c>
      <c r="AV212" s="13">
        <f t="shared" si="104"/>
        <v>8</v>
      </c>
      <c r="AW212" s="175">
        <f t="shared" si="105"/>
        <v>43318</v>
      </c>
      <c r="AX212" s="774">
        <f t="shared" si="106"/>
        <v>0.7142857142857143</v>
      </c>
      <c r="AY212" s="791">
        <f t="shared" si="107"/>
        <v>61.737945189167341</v>
      </c>
      <c r="AZ212" s="765">
        <f t="shared" si="111"/>
        <v>61.703388921317782</v>
      </c>
      <c r="BA212" s="649">
        <f t="shared" si="108"/>
        <v>0.98935277346909378</v>
      </c>
      <c r="BB212" s="644">
        <v>43298</v>
      </c>
      <c r="BC212" s="11">
        <v>43298</v>
      </c>
      <c r="BD212" s="292">
        <f>[2]!FeuilCaduc*(1-Persistant)+Persistant</f>
        <v>1</v>
      </c>
      <c r="BE212" s="293">
        <f>[2]!CroissVégét</f>
        <v>0.82064117750784105</v>
      </c>
      <c r="BF212" s="844">
        <f>1+[2]!Salcycl*Ksac</f>
        <v>1.0695461178120911</v>
      </c>
      <c r="BH212" s="1107">
        <f t="shared" si="109"/>
        <v>1.1290569306302016E-3</v>
      </c>
      <c r="BI212" s="11">
        <v>44394</v>
      </c>
      <c r="BJ212" s="744">
        <v>5.3960009372752715E-4</v>
      </c>
      <c r="BK212" s="744">
        <v>7.6292754405257734E-4</v>
      </c>
      <c r="BL212" s="744">
        <v>1.0459896393947793E-3</v>
      </c>
      <c r="BM212" s="744">
        <v>1.4617918189520796E-3</v>
      </c>
      <c r="BN212" s="744">
        <v>2.3597432495131351E-3</v>
      </c>
      <c r="BO212" s="745">
        <v>3.8069529673071573E-3</v>
      </c>
      <c r="BP212" s="744">
        <v>6.0396264294327656E-3</v>
      </c>
      <c r="BQ212" s="744">
        <v>9.3965653975125671E-3</v>
      </c>
      <c r="BR212" s="744">
        <v>1.5168673795888406E-2</v>
      </c>
      <c r="BS212" s="744">
        <v>2.3051706068981038E-2</v>
      </c>
      <c r="BT212" s="744">
        <v>3.232457024291762E-2</v>
      </c>
      <c r="BW212" s="1191">
        <f>'2018'!R\Max</f>
        <v>0</v>
      </c>
      <c r="BX212" s="1189">
        <f>'2019'!R\Max</f>
        <v>0.87882025240229522</v>
      </c>
      <c r="BY212" s="1189">
        <f>'2020'!R\Max</f>
        <v>0.4237513832268055</v>
      </c>
      <c r="BZ212" s="1189">
        <f>'2021'!R\Max</f>
        <v>0.98935277346909378</v>
      </c>
      <c r="CA212" s="1189">
        <f>'2022'!R\Max</f>
        <v>0.9375479066677862</v>
      </c>
      <c r="CB212" s="1189">
        <f>'2023'!R\Max</f>
        <v>0.93753318204800418</v>
      </c>
      <c r="CC212" s="1189">
        <f>'2024'!R\Max</f>
        <v>0.93750810085040492</v>
      </c>
      <c r="CD212" s="1189">
        <f>'2025'!R\Max</f>
        <v>0.93758447584040117</v>
      </c>
      <c r="CE212" s="1189">
        <f>'2026'!R\Max</f>
        <v>0.93757895574201955</v>
      </c>
      <c r="CF212" s="1190">
        <f>'2027'!R\Max</f>
        <v>0.93757121476835237</v>
      </c>
    </row>
    <row r="213" spans="1:84" s="6" customFormat="1" ht="11.25" x14ac:dyDescent="0.2">
      <c r="A213" s="11">
        <v>43299</v>
      </c>
      <c r="B213" s="382">
        <f>'2022'!Maxi_hp</f>
        <v>58.166784898613678</v>
      </c>
      <c r="C213" s="85">
        <f>'2022'!An_max</f>
        <v>2022</v>
      </c>
      <c r="D213" s="1134"/>
      <c r="E213" s="711"/>
      <c r="F213" s="13">
        <f t="shared" si="110"/>
        <v>15</v>
      </c>
      <c r="G213" s="13">
        <f t="shared" si="94"/>
        <v>16</v>
      </c>
      <c r="H213" s="175">
        <f t="shared" si="95"/>
        <v>43290</v>
      </c>
      <c r="I213" s="774">
        <f t="shared" si="96"/>
        <v>0.6428571428571429</v>
      </c>
      <c r="J213" s="765">
        <f t="shared" si="97"/>
        <v>61.551057725080419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P213" s="13">
        <f t="shared" si="98"/>
        <v>9</v>
      </c>
      <c r="AQ213" s="13">
        <f t="shared" si="99"/>
        <v>8</v>
      </c>
      <c r="AR213" s="175">
        <f t="shared" si="100"/>
        <v>43304</v>
      </c>
      <c r="AS213" s="774">
        <f t="shared" si="101"/>
        <v>0.17857142857142858</v>
      </c>
      <c r="AT213" s="791">
        <f t="shared" si="102"/>
        <v>61.536130611798058</v>
      </c>
      <c r="AU213" s="13">
        <f t="shared" si="103"/>
        <v>9</v>
      </c>
      <c r="AV213" s="13">
        <f t="shared" si="104"/>
        <v>8</v>
      </c>
      <c r="AW213" s="175">
        <f t="shared" si="105"/>
        <v>43318</v>
      </c>
      <c r="AX213" s="774">
        <f t="shared" si="106"/>
        <v>0.6785714285714286</v>
      </c>
      <c r="AY213" s="791">
        <f t="shared" si="107"/>
        <v>61.608867638278753</v>
      </c>
      <c r="AZ213" s="765">
        <f t="shared" si="111"/>
        <v>61.572499125038405</v>
      </c>
      <c r="BA213" s="649">
        <f t="shared" si="108"/>
        <v>0.94501682096865514</v>
      </c>
      <c r="BB213" s="644">
        <v>43299</v>
      </c>
      <c r="BC213" s="11">
        <v>43299</v>
      </c>
      <c r="BD213" s="292">
        <f>[2]!FeuilCaduc*(1-Persistant)+Persistant</f>
        <v>1</v>
      </c>
      <c r="BE213" s="293">
        <f>[2]!CroissVégét</f>
        <v>0.82662141934042188</v>
      </c>
      <c r="BF213" s="844">
        <f>1+[2]!Salcycl*Ksac</f>
        <v>1.0696295341460638</v>
      </c>
      <c r="BH213" s="1107">
        <f t="shared" si="109"/>
        <v>1.1158351022065992E-3</v>
      </c>
      <c r="BI213" s="11">
        <v>44395</v>
      </c>
      <c r="BJ213" s="744">
        <v>5.0823834668108374E-4</v>
      </c>
      <c r="BK213" s="744">
        <v>7.329865966986842E-4</v>
      </c>
      <c r="BL213" s="744">
        <v>1.0272348436591236E-3</v>
      </c>
      <c r="BM213" s="744">
        <v>1.4707328807983316E-3</v>
      </c>
      <c r="BN213" s="744">
        <v>2.4413093751704997E-3</v>
      </c>
      <c r="BO213" s="745">
        <v>4.007054615868799E-3</v>
      </c>
      <c r="BP213" s="744">
        <v>6.4002180993634819E-3</v>
      </c>
      <c r="BQ213" s="744">
        <v>9.9464038639799496E-3</v>
      </c>
      <c r="BR213" s="744">
        <v>1.59819639253703E-2</v>
      </c>
      <c r="BS213" s="744">
        <v>2.4088713350728885E-2</v>
      </c>
      <c r="BT213" s="744">
        <v>3.3527043972322278E-2</v>
      </c>
      <c r="BW213" s="1191">
        <f>'2018'!R\Max</f>
        <v>0</v>
      </c>
      <c r="BX213" s="1189">
        <f>'2019'!R\Max</f>
        <v>0.71693238492686073</v>
      </c>
      <c r="BY213" s="1189">
        <f>'2020'!R\Max</f>
        <v>0.44574915871183607</v>
      </c>
      <c r="BZ213" s="1189">
        <f>'2021'!R\Max</f>
        <v>0.89584106781495199</v>
      </c>
      <c r="CA213" s="1189">
        <f>'2022'!R\Max</f>
        <v>0.94501682096865514</v>
      </c>
      <c r="CB213" s="1189">
        <f>'2023'!R\Max</f>
        <v>0.94500278288296125</v>
      </c>
      <c r="CC213" s="1189">
        <f>'2024'!R\Max</f>
        <v>0.94497915264152121</v>
      </c>
      <c r="CD213" s="1189">
        <f>'2025'!R\Max</f>
        <v>0.94505196405683289</v>
      </c>
      <c r="CE213" s="1189">
        <f>'2026'!R\Max</f>
        <v>0.94504665117459474</v>
      </c>
      <c r="CF213" s="1190">
        <f>'2027'!R\Max</f>
        <v>0.94503918335334325</v>
      </c>
    </row>
    <row r="214" spans="1:84" s="6" customFormat="1" ht="11.25" x14ac:dyDescent="0.2">
      <c r="A214" s="11">
        <v>43300</v>
      </c>
      <c r="B214" s="382">
        <f>'2022'!Maxi_hp</f>
        <v>60.668630393036239</v>
      </c>
      <c r="C214" s="85">
        <f>'2022'!An_max</f>
        <v>2020</v>
      </c>
      <c r="D214" s="1134"/>
      <c r="E214" s="711"/>
      <c r="F214" s="13">
        <f t="shared" si="110"/>
        <v>15</v>
      </c>
      <c r="G214" s="13">
        <f t="shared" si="94"/>
        <v>16</v>
      </c>
      <c r="H214" s="175">
        <f t="shared" si="95"/>
        <v>43290</v>
      </c>
      <c r="I214" s="774">
        <f t="shared" si="96"/>
        <v>0.7142857142857143</v>
      </c>
      <c r="J214" s="765">
        <f t="shared" si="97"/>
        <v>61.410444314405325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P214" s="13">
        <f t="shared" si="98"/>
        <v>9</v>
      </c>
      <c r="AQ214" s="13">
        <f t="shared" si="99"/>
        <v>8</v>
      </c>
      <c r="AR214" s="175">
        <f t="shared" si="100"/>
        <v>43304</v>
      </c>
      <c r="AS214" s="774">
        <f t="shared" si="101"/>
        <v>0.14285714285714285</v>
      </c>
      <c r="AT214" s="791">
        <f t="shared" si="102"/>
        <v>61.400293877507963</v>
      </c>
      <c r="AU214" s="13">
        <f t="shared" si="103"/>
        <v>9</v>
      </c>
      <c r="AV214" s="13">
        <f t="shared" si="104"/>
        <v>8</v>
      </c>
      <c r="AW214" s="175">
        <f t="shared" si="105"/>
        <v>43318</v>
      </c>
      <c r="AX214" s="774">
        <f t="shared" si="106"/>
        <v>0.6428571428571429</v>
      </c>
      <c r="AY214" s="791">
        <f t="shared" si="107"/>
        <v>61.476683381944895</v>
      </c>
      <c r="AZ214" s="765">
        <f t="shared" si="111"/>
        <v>61.438488629726429</v>
      </c>
      <c r="BA214" s="649">
        <f t="shared" si="108"/>
        <v>0.98792039481800209</v>
      </c>
      <c r="BB214" s="644">
        <v>43300</v>
      </c>
      <c r="BC214" s="11">
        <v>43300</v>
      </c>
      <c r="BD214" s="292">
        <f>[2]!FeuilCaduc*(1-Persistant)+Persistant</f>
        <v>1</v>
      </c>
      <c r="BE214" s="293">
        <f>[2]!CroissVégét</f>
        <v>0.83244328187154937</v>
      </c>
      <c r="BF214" s="844">
        <f>1+[2]!Salcycl*Ksac</f>
        <v>1.0697021968197467</v>
      </c>
      <c r="BH214" s="1107">
        <f t="shared" si="109"/>
        <v>1.1077601262037768E-3</v>
      </c>
      <c r="BI214" s="11">
        <v>44396</v>
      </c>
      <c r="BJ214" s="744">
        <v>4.7864780164698383E-4</v>
      </c>
      <c r="BK214" s="744">
        <v>7.0574970553174217E-4</v>
      </c>
      <c r="BL214" s="744">
        <v>1.01307158103936E-3</v>
      </c>
      <c r="BM214" s="744">
        <v>1.4870451857267989E-3</v>
      </c>
      <c r="BN214" s="744">
        <v>2.5328172953632245E-3</v>
      </c>
      <c r="BO214" s="745">
        <v>4.2243045900330518E-3</v>
      </c>
      <c r="BP214" s="744">
        <v>6.7872514091515644E-3</v>
      </c>
      <c r="BQ214" s="744">
        <v>1.0546745570312084E-2</v>
      </c>
      <c r="BR214" s="744">
        <v>1.6881783775595415E-2</v>
      </c>
      <c r="BS214" s="744">
        <v>2.5272350092808312E-2</v>
      </c>
      <c r="BT214" s="744">
        <v>3.4948583891539896E-2</v>
      </c>
      <c r="BW214" s="1191">
        <f>'2018'!R\Max</f>
        <v>0</v>
      </c>
      <c r="BX214" s="1189">
        <f>'2019'!R\Max</f>
        <v>0.97928675789639608</v>
      </c>
      <c r="BY214" s="1189">
        <f>'2020'!R\Max</f>
        <v>0.98792039481800209</v>
      </c>
      <c r="BZ214" s="1189">
        <f>'2021'!R\Max</f>
        <v>0.97971001368539068</v>
      </c>
      <c r="CA214" s="1189">
        <f>'2022'!R\Max</f>
        <v>0.76614322100227694</v>
      </c>
      <c r="CB214" s="1189">
        <f>'2023'!R\Max</f>
        <v>0.76609126303660724</v>
      </c>
      <c r="CC214" s="1189">
        <f>'2024'!R\Max</f>
        <v>0.76600447493651691</v>
      </c>
      <c r="CD214" s="1189">
        <f>'2025'!R\Max</f>
        <v>0.76627424804959032</v>
      </c>
      <c r="CE214" s="1189">
        <f>'2026'!R\Max</f>
        <v>0.76625441476035594</v>
      </c>
      <c r="CF214" s="1190">
        <f>'2027'!R\Max</f>
        <v>0.76622649088700734</v>
      </c>
    </row>
    <row r="215" spans="1:84" s="6" customFormat="1" ht="11.25" x14ac:dyDescent="0.2">
      <c r="A215" s="11">
        <v>43301</v>
      </c>
      <c r="B215" s="382">
        <f>'2022'!Maxi_hp</f>
        <v>59.226165984778646</v>
      </c>
      <c r="C215" s="85">
        <f>'2022'!An_max</f>
        <v>2020</v>
      </c>
      <c r="D215" s="1134"/>
      <c r="E215" s="711"/>
      <c r="F215" s="13">
        <f t="shared" si="110"/>
        <v>15</v>
      </c>
      <c r="G215" s="13">
        <f t="shared" si="94"/>
        <v>16</v>
      </c>
      <c r="H215" s="175">
        <f t="shared" si="95"/>
        <v>43290</v>
      </c>
      <c r="I215" s="774">
        <f t="shared" si="96"/>
        <v>0.7857142857142857</v>
      </c>
      <c r="J215" s="765">
        <f t="shared" si="97"/>
        <v>61.267367929619333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P215" s="13">
        <f t="shared" si="98"/>
        <v>9</v>
      </c>
      <c r="AQ215" s="13">
        <f t="shared" si="99"/>
        <v>8</v>
      </c>
      <c r="AR215" s="175">
        <f t="shared" si="100"/>
        <v>43304</v>
      </c>
      <c r="AS215" s="774">
        <f t="shared" si="101"/>
        <v>0.10714285714285714</v>
      </c>
      <c r="AT215" s="791">
        <f t="shared" si="102"/>
        <v>61.261322448894916</v>
      </c>
      <c r="AU215" s="13">
        <f t="shared" si="103"/>
        <v>9</v>
      </c>
      <c r="AV215" s="13">
        <f t="shared" si="104"/>
        <v>8</v>
      </c>
      <c r="AW215" s="175">
        <f t="shared" si="105"/>
        <v>43318</v>
      </c>
      <c r="AX215" s="774">
        <f t="shared" si="106"/>
        <v>0.6071428571428571</v>
      </c>
      <c r="AY215" s="791">
        <f t="shared" si="107"/>
        <v>61.341308454410843</v>
      </c>
      <c r="AZ215" s="765">
        <f t="shared" si="111"/>
        <v>61.301315451652883</v>
      </c>
      <c r="BA215" s="649">
        <f t="shared" si="108"/>
        <v>0.96668370106603063</v>
      </c>
      <c r="BB215" s="644">
        <v>43301</v>
      </c>
      <c r="BC215" s="11">
        <v>43301</v>
      </c>
      <c r="BD215" s="292">
        <f>[2]!FeuilCaduc*(1-Persistant)+Persistant</f>
        <v>1</v>
      </c>
      <c r="BE215" s="293">
        <f>[2]!CroissVégét</f>
        <v>0.83810825274241962</v>
      </c>
      <c r="BF215" s="844">
        <f>1+[2]!Salcycl*Ksac</f>
        <v>1.0697647821002518</v>
      </c>
      <c r="BH215" s="1107">
        <f t="shared" si="109"/>
        <v>1.1048273264664522E-3</v>
      </c>
      <c r="BI215" s="11">
        <v>44397</v>
      </c>
      <c r="BJ215" s="744">
        <v>4.5082574222846724E-4</v>
      </c>
      <c r="BK215" s="744">
        <v>6.8121348920480759E-4</v>
      </c>
      <c r="BL215" s="744">
        <v>1.0034953922386802E-3</v>
      </c>
      <c r="BM215" s="744">
        <v>1.5107231889324706E-3</v>
      </c>
      <c r="BN215" s="744">
        <v>2.6342628861699691E-3</v>
      </c>
      <c r="BO215" s="745">
        <v>4.4586982742398345E-3</v>
      </c>
      <c r="BP215" s="744">
        <v>7.2007216785552703E-3</v>
      </c>
      <c r="BQ215" s="744">
        <v>1.1197574027730561E-2</v>
      </c>
      <c r="BR215" s="744">
        <v>1.7868098749141758E-2</v>
      </c>
      <c r="BS215" s="744">
        <v>2.6602540739198221E-2</v>
      </c>
      <c r="BT215" s="744">
        <v>3.6589060270050607E-2</v>
      </c>
      <c r="BW215" s="1191">
        <f>'2018'!R\Max</f>
        <v>0</v>
      </c>
      <c r="BX215" s="1189">
        <f>'2019'!R\Max</f>
        <v>0.457159367631917</v>
      </c>
      <c r="BY215" s="1189">
        <f>'2020'!R\Max</f>
        <v>0.96668370106603063</v>
      </c>
      <c r="BZ215" s="1189">
        <f>'2021'!R\Max</f>
        <v>0.77964346458915412</v>
      </c>
      <c r="CA215" s="1189">
        <f>'2022'!R\Max</f>
        <v>0.73676459337708711</v>
      </c>
      <c r="CB215" s="1189">
        <f>'2023'!R\Max</f>
        <v>0.73670412827248499</v>
      </c>
      <c r="CC215" s="1189">
        <f>'2024'!R\Max</f>
        <v>0.7366039276060935</v>
      </c>
      <c r="CD215" s="1189">
        <f>'2025'!R\Max</f>
        <v>0.73691767476007997</v>
      </c>
      <c r="CE215" s="1189">
        <f>'2026'!R\Max</f>
        <v>0.73689448410670211</v>
      </c>
      <c r="CF215" s="1190">
        <f>'2027'!R\Max</f>
        <v>0.73686179283329722</v>
      </c>
    </row>
    <row r="216" spans="1:84" s="6" customFormat="1" ht="11.25" x14ac:dyDescent="0.2">
      <c r="A216" s="11">
        <v>43302</v>
      </c>
      <c r="B216" s="382">
        <f>'2022'!Maxi_hp</f>
        <v>57.123658871758579</v>
      </c>
      <c r="C216" s="85">
        <f>'2022'!An_max</f>
        <v>2022</v>
      </c>
      <c r="D216" s="1134"/>
      <c r="E216" s="711"/>
      <c r="F216" s="13">
        <f t="shared" si="110"/>
        <v>15</v>
      </c>
      <c r="G216" s="13">
        <f t="shared" si="94"/>
        <v>16</v>
      </c>
      <c r="H216" s="175">
        <f t="shared" si="95"/>
        <v>43290</v>
      </c>
      <c r="I216" s="774">
        <f t="shared" si="96"/>
        <v>0.8571428571428571</v>
      </c>
      <c r="J216" s="765">
        <f t="shared" si="97"/>
        <v>61.122052478364523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P216" s="13">
        <f t="shared" si="98"/>
        <v>9</v>
      </c>
      <c r="AQ216" s="13">
        <f t="shared" si="99"/>
        <v>8</v>
      </c>
      <c r="AR216" s="175">
        <f t="shared" si="100"/>
        <v>43304</v>
      </c>
      <c r="AS216" s="774">
        <f t="shared" si="101"/>
        <v>7.1428571428571425E-2</v>
      </c>
      <c r="AT216" s="791">
        <f t="shared" si="102"/>
        <v>61.119216326331447</v>
      </c>
      <c r="AU216" s="13">
        <f t="shared" si="103"/>
        <v>9</v>
      </c>
      <c r="AV216" s="13">
        <f t="shared" si="104"/>
        <v>8</v>
      </c>
      <c r="AW216" s="175">
        <f t="shared" si="105"/>
        <v>43318</v>
      </c>
      <c r="AX216" s="774">
        <f t="shared" si="106"/>
        <v>0.5714285714285714</v>
      </c>
      <c r="AY216" s="791">
        <f t="shared" si="107"/>
        <v>61.202658892103599</v>
      </c>
      <c r="AZ216" s="765">
        <f t="shared" si="111"/>
        <v>61.160937609217527</v>
      </c>
      <c r="BA216" s="649">
        <f t="shared" si="108"/>
        <v>0.93458345319766112</v>
      </c>
      <c r="BB216" s="644">
        <v>43302</v>
      </c>
      <c r="BC216" s="11">
        <v>43302</v>
      </c>
      <c r="BD216" s="292">
        <f>[2]!FeuilCaduc*(1-Persistant)+Persistant</f>
        <v>1</v>
      </c>
      <c r="BE216" s="293">
        <f>[2]!CroissVégét</f>
        <v>0.84361799825853956</v>
      </c>
      <c r="BF216" s="844">
        <f>1+[2]!Salcycl*Ksac</f>
        <v>1.0698179420018405</v>
      </c>
      <c r="BH216" s="1107">
        <f t="shared" si="109"/>
        <v>1.1070324798355439E-3</v>
      </c>
      <c r="BI216" s="11">
        <v>44398</v>
      </c>
      <c r="BJ216" s="744">
        <v>4.2476954265070993E-4</v>
      </c>
      <c r="BK216" s="744">
        <v>6.5937474836769811E-4</v>
      </c>
      <c r="BL216" s="744">
        <v>9.9850220513878168E-4</v>
      </c>
      <c r="BM216" s="744">
        <v>1.5417620622463258E-3</v>
      </c>
      <c r="BN216" s="744">
        <v>2.7456431589921852E-3</v>
      </c>
      <c r="BO216" s="745">
        <v>4.7102331558026341E-3</v>
      </c>
      <c r="BP216" s="744">
        <v>7.6406275962795081E-3</v>
      </c>
      <c r="BQ216" s="744">
        <v>1.1898878845610569E-2</v>
      </c>
      <c r="BR216" s="744">
        <v>1.8940884384282649E-2</v>
      </c>
      <c r="BS216" s="744">
        <v>2.8079226081393436E-2</v>
      </c>
      <c r="BT216" s="744">
        <v>3.8448366958655021E-2</v>
      </c>
      <c r="BW216" s="1191">
        <f>'2018'!R\Max</f>
        <v>0</v>
      </c>
      <c r="BX216" s="1189">
        <f>'2019'!R\Max</f>
        <v>0.76377731529486226</v>
      </c>
      <c r="BY216" s="1189">
        <f>'2020'!R\Max</f>
        <v>0.77800357516525431</v>
      </c>
      <c r="BZ216" s="1189">
        <f>'2021'!R\Max</f>
        <v>0.82082708263036419</v>
      </c>
      <c r="CA216" s="1189">
        <f>'2022'!R\Max</f>
        <v>0.93458345319766112</v>
      </c>
      <c r="CB216" s="1189">
        <f>'2023'!R\Max</f>
        <v>0.93456298225605294</v>
      </c>
      <c r="CC216" s="1189">
        <f>'2024'!R\Max</f>
        <v>0.9345292124493324</v>
      </c>
      <c r="CD216" s="1189">
        <f>'2025'!R\Max</f>
        <v>0.93463543794945125</v>
      </c>
      <c r="CE216" s="1189">
        <f>'2026'!R\Max</f>
        <v>0.93462755993467961</v>
      </c>
      <c r="CF216" s="1190">
        <f>'2027'!R\Max</f>
        <v>0.93461644335621574</v>
      </c>
    </row>
    <row r="217" spans="1:84" s="6" customFormat="1" ht="11.25" x14ac:dyDescent="0.2">
      <c r="A217" s="11">
        <v>43303</v>
      </c>
      <c r="B217" s="382">
        <f>'2022'!Maxi_hp</f>
        <v>55.801996612148457</v>
      </c>
      <c r="C217" s="85">
        <f>'2022'!An_max</f>
        <v>2021</v>
      </c>
      <c r="D217" s="1134"/>
      <c r="E217" s="711"/>
      <c r="F217" s="13">
        <f t="shared" si="110"/>
        <v>15</v>
      </c>
      <c r="G217" s="13">
        <f t="shared" si="94"/>
        <v>16</v>
      </c>
      <c r="H217" s="175">
        <f t="shared" si="95"/>
        <v>43290</v>
      </c>
      <c r="I217" s="774">
        <f t="shared" si="96"/>
        <v>0.9285714285714286</v>
      </c>
      <c r="J217" s="765">
        <f t="shared" si="97"/>
        <v>60.974721865462413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P217" s="13">
        <f t="shared" si="98"/>
        <v>9</v>
      </c>
      <c r="AQ217" s="13">
        <f t="shared" si="99"/>
        <v>8</v>
      </c>
      <c r="AR217" s="175">
        <f t="shared" si="100"/>
        <v>43304</v>
      </c>
      <c r="AS217" s="774">
        <f t="shared" si="101"/>
        <v>3.5714285714285712E-2</v>
      </c>
      <c r="AT217" s="791">
        <f t="shared" si="102"/>
        <v>60.973975510190108</v>
      </c>
      <c r="AU217" s="13">
        <f t="shared" si="103"/>
        <v>9</v>
      </c>
      <c r="AV217" s="13">
        <f t="shared" si="104"/>
        <v>8</v>
      </c>
      <c r="AW217" s="175">
        <f t="shared" si="105"/>
        <v>43318</v>
      </c>
      <c r="AX217" s="774">
        <f t="shared" si="106"/>
        <v>0.5357142857142857</v>
      </c>
      <c r="AY217" s="791">
        <f t="shared" si="107"/>
        <v>61.06065072869616</v>
      </c>
      <c r="AZ217" s="765">
        <f t="shared" si="111"/>
        <v>61.017313119443131</v>
      </c>
      <c r="BA217" s="649">
        <f t="shared" si="108"/>
        <v>0.91516607054432642</v>
      </c>
      <c r="BB217" s="644">
        <v>43303</v>
      </c>
      <c r="BC217" s="11">
        <v>43303</v>
      </c>
      <c r="BD217" s="292">
        <f>[2]!FeuilCaduc*(1-Persistant)+Persistant</f>
        <v>1</v>
      </c>
      <c r="BE217" s="293">
        <f>[2]!CroissVégét</f>
        <v>0.84897434957309781</v>
      </c>
      <c r="BF217" s="844">
        <f>1+[2]!Salcycl*Ksac</f>
        <v>1.0698623017267397</v>
      </c>
      <c r="BH217" s="1107">
        <f t="shared" si="109"/>
        <v>1.1143718465014285E-3</v>
      </c>
      <c r="BI217" s="11">
        <v>44399</v>
      </c>
      <c r="BJ217" s="744">
        <v>4.0047667809054132E-4</v>
      </c>
      <c r="BK217" s="744">
        <v>6.4023048151109758E-4</v>
      </c>
      <c r="BL217" s="744">
        <v>9.9808836184813441E-4</v>
      </c>
      <c r="BM217" s="744">
        <v>1.5801577377270888E-3</v>
      </c>
      <c r="BN217" s="744">
        <v>2.866956319578793E-3</v>
      </c>
      <c r="BO217" s="745">
        <v>4.9789089269689146E-3</v>
      </c>
      <c r="BP217" s="744">
        <v>8.1069713775304714E-3</v>
      </c>
      <c r="BQ217" s="744">
        <v>1.2650656032066991E-2</v>
      </c>
      <c r="BR217" s="744">
        <v>2.0100126869586215E-2</v>
      </c>
      <c r="BS217" s="744">
        <v>2.9702364129353152E-2</v>
      </c>
      <c r="BT217" s="744">
        <v>4.0526422689543179E-2</v>
      </c>
      <c r="BW217" s="1191">
        <f>'2018'!R\Max</f>
        <v>0</v>
      </c>
      <c r="BX217" s="1189">
        <f>'2019'!R\Max</f>
        <v>0.86851743391409897</v>
      </c>
      <c r="BY217" s="1189">
        <f>'2020'!R\Max</f>
        <v>0.8940557298195978</v>
      </c>
      <c r="BZ217" s="1189">
        <f>'2021'!R\Max</f>
        <v>0.91516607054432642</v>
      </c>
      <c r="CA217" s="1189">
        <f>'2022'!R\Max</f>
        <v>0.70566520080340267</v>
      </c>
      <c r="CB217" s="1189">
        <f>'2023'!R\Max</f>
        <v>0.7055906080887635</v>
      </c>
      <c r="CC217" s="1189">
        <f>'2024'!R\Max</f>
        <v>0.70546782653098905</v>
      </c>
      <c r="CD217" s="1189">
        <f>'2025'!R\Max</f>
        <v>0.70585519819298859</v>
      </c>
      <c r="CE217" s="1189">
        <f>'2026'!R\Max</f>
        <v>0.70582639439676542</v>
      </c>
      <c r="CF217" s="1190">
        <f>'2027'!R\Max</f>
        <v>0.70578572233944947</v>
      </c>
    </row>
    <row r="218" spans="1:84" s="6" customFormat="1" ht="11.25" x14ac:dyDescent="0.2">
      <c r="A218" s="11">
        <v>43304</v>
      </c>
      <c r="B218" s="382">
        <f>'2022'!Maxi_hp</f>
        <v>56.868046767934125</v>
      </c>
      <c r="C218" s="85">
        <f>'2022'!An_max</f>
        <v>2019</v>
      </c>
      <c r="D218" s="1134"/>
      <c r="E218" s="773">
        <f>AB$13/10</f>
        <v>60.825599999999994</v>
      </c>
      <c r="F218" s="13">
        <f t="shared" si="110"/>
        <v>17</v>
      </c>
      <c r="G218" s="13">
        <f t="shared" si="94"/>
        <v>16</v>
      </c>
      <c r="H218" s="175">
        <f t="shared" si="95"/>
        <v>43318</v>
      </c>
      <c r="I218" s="774">
        <f t="shared" si="96"/>
        <v>1</v>
      </c>
      <c r="J218" s="765">
        <f t="shared" si="97"/>
        <v>60.825599999353287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P218" s="13">
        <f t="shared" si="98"/>
        <v>9</v>
      </c>
      <c r="AQ218" s="13">
        <f t="shared" si="99"/>
        <v>10</v>
      </c>
      <c r="AR218" s="175">
        <f t="shared" si="100"/>
        <v>43304</v>
      </c>
      <c r="AS218" s="774">
        <f t="shared" si="101"/>
        <v>0</v>
      </c>
      <c r="AT218" s="791">
        <f t="shared" si="102"/>
        <v>60.825599999725817</v>
      </c>
      <c r="AU218" s="13">
        <f t="shared" si="103"/>
        <v>9</v>
      </c>
      <c r="AV218" s="13">
        <f t="shared" si="104"/>
        <v>8</v>
      </c>
      <c r="AW218" s="175">
        <f t="shared" si="105"/>
        <v>43318</v>
      </c>
      <c r="AX218" s="774">
        <f t="shared" si="106"/>
        <v>0.5</v>
      </c>
      <c r="AY218" s="791">
        <f t="shared" si="107"/>
        <v>60.915200000256299</v>
      </c>
      <c r="AZ218" s="765">
        <f t="shared" si="111"/>
        <v>60.870399999991058</v>
      </c>
      <c r="BA218" s="649">
        <f t="shared" si="108"/>
        <v>0.93493605929968238</v>
      </c>
      <c r="BB218" s="644">
        <v>43304</v>
      </c>
      <c r="BC218" s="11">
        <v>43304</v>
      </c>
      <c r="BD218" s="292">
        <f>[2]!FeuilCaduc*(1-Persistant)+Persistant</f>
        <v>1</v>
      </c>
      <c r="BE218" s="293">
        <f>[2]!CroissVégét</f>
        <v>0.854179289095362</v>
      </c>
      <c r="BF218" s="844">
        <f>1+[2]!Salcycl*Ksac</f>
        <v>1.0698984573950188</v>
      </c>
      <c r="BH218" s="1107">
        <f t="shared" si="109"/>
        <v>1.1268422003818468E-3</v>
      </c>
      <c r="BI218" s="11">
        <v>44400</v>
      </c>
      <c r="BJ218" s="744">
        <v>3.7794473501501019E-4</v>
      </c>
      <c r="BK218" s="744">
        <v>6.2377790082481898E-4</v>
      </c>
      <c r="BL218" s="744">
        <v>1.0022506457723214E-3</v>
      </c>
      <c r="BM218" s="744">
        <v>1.6259069512879374E-3</v>
      </c>
      <c r="BN218" s="744">
        <v>2.9982018271144085E-3</v>
      </c>
      <c r="BO218" s="745">
        <v>5.264727587090891E-3</v>
      </c>
      <c r="BP218" s="744">
        <v>8.5997589217500711E-3</v>
      </c>
      <c r="BQ218" s="744">
        <v>1.3452908294820758E-2</v>
      </c>
      <c r="BR218" s="744">
        <v>2.1345823558959736E-2</v>
      </c>
      <c r="BS218" s="744">
        <v>3.1471930983106133E-2</v>
      </c>
      <c r="BT218" s="744">
        <v>4.2823172377259293E-2</v>
      </c>
      <c r="BW218" s="1191">
        <f>'2018'!R\Max</f>
        <v>0</v>
      </c>
      <c r="BX218" s="1189">
        <f>'2019'!R\Max</f>
        <v>0.93493605929968238</v>
      </c>
      <c r="BY218" s="1189">
        <f>'2020'!R\Max</f>
        <v>0.81477148995980364</v>
      </c>
      <c r="BZ218" s="1189">
        <f>'2021'!R\Max</f>
        <v>0.75111548898659519</v>
      </c>
      <c r="CA218" s="1189">
        <f>'2022'!R\Max</f>
        <v>0.88376086198927761</v>
      </c>
      <c r="CB218" s="1189">
        <f>'2023'!R\Max</f>
        <v>0.88372133289218602</v>
      </c>
      <c r="CC218" s="1189">
        <f>'2024'!R\Max</f>
        <v>0.88365624118218777</v>
      </c>
      <c r="CD218" s="1189">
        <f>'2025'!R\Max</f>
        <v>0.88386174944154172</v>
      </c>
      <c r="CE218" s="1189">
        <f>'2026'!R\Max</f>
        <v>0.8838464578202001</v>
      </c>
      <c r="CF218" s="1190">
        <f>'2027'!R\Max</f>
        <v>0.88382485052194515</v>
      </c>
    </row>
    <row r="219" spans="1:84" s="6" customFormat="1" ht="11.25" x14ac:dyDescent="0.2">
      <c r="A219" s="11">
        <v>43305</v>
      </c>
      <c r="B219" s="382">
        <f>'2022'!Maxi_hp</f>
        <v>57.12402573643886</v>
      </c>
      <c r="C219" s="85">
        <f>'2022'!An_max</f>
        <v>2019</v>
      </c>
      <c r="D219" s="1134"/>
      <c r="E219" s="711"/>
      <c r="F219" s="13">
        <f t="shared" si="110"/>
        <v>17</v>
      </c>
      <c r="G219" s="13">
        <f t="shared" si="94"/>
        <v>16</v>
      </c>
      <c r="H219" s="175">
        <f t="shared" si="95"/>
        <v>43318</v>
      </c>
      <c r="I219" s="774">
        <f t="shared" si="96"/>
        <v>0.9285714285714286</v>
      </c>
      <c r="J219" s="765">
        <f t="shared" si="97"/>
        <v>60.674836151408293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P219" s="13">
        <f t="shared" si="98"/>
        <v>9</v>
      </c>
      <c r="AQ219" s="13">
        <f t="shared" si="99"/>
        <v>10</v>
      </c>
      <c r="AR219" s="175">
        <f t="shared" si="100"/>
        <v>43304</v>
      </c>
      <c r="AS219" s="774">
        <f t="shared" si="101"/>
        <v>3.5714285714285712E-2</v>
      </c>
      <c r="AT219" s="791">
        <f t="shared" si="102"/>
        <v>60.675223323862475</v>
      </c>
      <c r="AU219" s="13">
        <f t="shared" si="103"/>
        <v>9</v>
      </c>
      <c r="AV219" s="13">
        <f t="shared" si="104"/>
        <v>8</v>
      </c>
      <c r="AW219" s="175">
        <f t="shared" si="105"/>
        <v>43318</v>
      </c>
      <c r="AX219" s="774">
        <f t="shared" si="106"/>
        <v>0.4642857142857143</v>
      </c>
      <c r="AY219" s="791">
        <f t="shared" si="107"/>
        <v>60.766222740656566</v>
      </c>
      <c r="AZ219" s="765">
        <f t="shared" si="111"/>
        <v>60.720723032259521</v>
      </c>
      <c r="BA219" s="649">
        <f t="shared" si="108"/>
        <v>0.94147803866979185</v>
      </c>
      <c r="BB219" s="644">
        <v>43305</v>
      </c>
      <c r="BC219" s="11">
        <v>43305</v>
      </c>
      <c r="BD219" s="292">
        <f>[2]!FeuilCaduc*(1-Persistant)+Persistant</f>
        <v>1</v>
      </c>
      <c r="BE219" s="293">
        <f>[2]!CroissVégét</f>
        <v>0.85923493718111654</v>
      </c>
      <c r="BF219" s="844">
        <f>1+[2]!Salcycl*Ksac</f>
        <v>1.0699269740710424</v>
      </c>
      <c r="BH219" s="1107">
        <f t="shared" si="109"/>
        <v>1.1444390113831819E-3</v>
      </c>
      <c r="BI219" s="11">
        <v>44401</v>
      </c>
      <c r="BJ219" s="744">
        <v>3.5717084473365051E-4</v>
      </c>
      <c r="BK219" s="744">
        <v>6.1001346296297174E-4</v>
      </c>
      <c r="BL219" s="744">
        <v>1.0109846760779691E-3</v>
      </c>
      <c r="BM219" s="744">
        <v>1.6790045749574389E-3</v>
      </c>
      <c r="BN219" s="744">
        <v>3.1393753836450587E-3</v>
      </c>
      <c r="BO219" s="745">
        <v>5.5676845537520397E-3</v>
      </c>
      <c r="BP219" s="744">
        <v>9.1189852444469553E-3</v>
      </c>
      <c r="BQ219" s="744">
        <v>1.4305622240461896E-2</v>
      </c>
      <c r="BR219" s="744">
        <v>2.2677946864940606E-2</v>
      </c>
      <c r="BS219" s="744">
        <v>3.3387867787552088E-2</v>
      </c>
      <c r="BT219" s="744">
        <v>4.5338515204202789E-2</v>
      </c>
      <c r="BW219" s="1191">
        <f>'2018'!R\Max</f>
        <v>0</v>
      </c>
      <c r="BX219" s="1189">
        <f>'2019'!R\Max</f>
        <v>0.94147803866979185</v>
      </c>
      <c r="BY219" s="1189">
        <f>'2020'!R\Max</f>
        <v>0.82001456185657129</v>
      </c>
      <c r="BZ219" s="1189">
        <f>'2021'!R\Max</f>
        <v>0.58443543704033141</v>
      </c>
      <c r="CA219" s="1189">
        <f>'2022'!R\Max</f>
        <v>0.93394573591277241</v>
      </c>
      <c r="CB219" s="1189">
        <f>'2023'!R\Max</f>
        <v>0.93392033229532012</v>
      </c>
      <c r="CC219" s="1189">
        <f>'2024'!R\Max</f>
        <v>0.93387841513993786</v>
      </c>
      <c r="CD219" s="1189">
        <f>'2025'!R\Max</f>
        <v>0.93401068028071432</v>
      </c>
      <c r="CE219" s="1189">
        <f>'2026'!R\Max</f>
        <v>0.93400083986794646</v>
      </c>
      <c r="CF219" s="1190">
        <f>'2027'!R\Max</f>
        <v>0.93398692691176255</v>
      </c>
    </row>
    <row r="220" spans="1:84" s="6" customFormat="1" ht="11.25" x14ac:dyDescent="0.2">
      <c r="A220" s="11">
        <v>43306</v>
      </c>
      <c r="B220" s="382">
        <f>'2022'!Maxi_hp</f>
        <v>58.709047096297212</v>
      </c>
      <c r="C220" s="85">
        <f>'2022'!An_max</f>
        <v>2020</v>
      </c>
      <c r="D220" s="1134"/>
      <c r="E220" s="711"/>
      <c r="F220" s="13">
        <f t="shared" si="110"/>
        <v>17</v>
      </c>
      <c r="G220" s="13">
        <f t="shared" si="94"/>
        <v>16</v>
      </c>
      <c r="H220" s="175">
        <f t="shared" si="95"/>
        <v>43318</v>
      </c>
      <c r="I220" s="774">
        <f t="shared" si="96"/>
        <v>0.8571428571428571</v>
      </c>
      <c r="J220" s="765">
        <f t="shared" si="97"/>
        <v>60.522281049191953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P220" s="13">
        <f t="shared" si="98"/>
        <v>9</v>
      </c>
      <c r="AQ220" s="13">
        <f t="shared" si="99"/>
        <v>10</v>
      </c>
      <c r="AR220" s="175">
        <f t="shared" si="100"/>
        <v>43304</v>
      </c>
      <c r="AS220" s="774">
        <f t="shared" si="101"/>
        <v>7.1428571428571425E-2</v>
      </c>
      <c r="AT220" s="791">
        <f t="shared" si="102"/>
        <v>60.523811078603785</v>
      </c>
      <c r="AU220" s="13">
        <f t="shared" si="103"/>
        <v>9</v>
      </c>
      <c r="AV220" s="13">
        <f t="shared" si="104"/>
        <v>8</v>
      </c>
      <c r="AW220" s="175">
        <f t="shared" si="105"/>
        <v>43318</v>
      </c>
      <c r="AX220" s="774">
        <f t="shared" si="106"/>
        <v>0.42857142857142855</v>
      </c>
      <c r="AY220" s="791">
        <f t="shared" si="107"/>
        <v>60.613634984993496</v>
      </c>
      <c r="AZ220" s="765">
        <f t="shared" si="111"/>
        <v>60.56872303179864</v>
      </c>
      <c r="BA220" s="649">
        <f t="shared" si="108"/>
        <v>0.97004022450143668</v>
      </c>
      <c r="BB220" s="644">
        <v>43306</v>
      </c>
      <c r="BC220" s="11">
        <v>43306</v>
      </c>
      <c r="BD220" s="292">
        <f>[2]!FeuilCaduc*(1-Persistant)+Persistant</f>
        <v>1</v>
      </c>
      <c r="BE220" s="293">
        <f>[2]!CroissVégét</f>
        <v>0.86414353915538655</v>
      </c>
      <c r="BF220" s="844">
        <f>1+[2]!Salcycl*Ksac</f>
        <v>1.0699483840910686</v>
      </c>
      <c r="BH220" s="1107">
        <f t="shared" si="109"/>
        <v>1.169388321002334E-3</v>
      </c>
      <c r="BI220" s="11">
        <v>44402</v>
      </c>
      <c r="BJ220" s="744">
        <v>3.3850110490189853E-4</v>
      </c>
      <c r="BK220" s="744">
        <v>5.998860254417314E-4</v>
      </c>
      <c r="BL220" s="744">
        <v>1.0259140872776417E-3</v>
      </c>
      <c r="BM220" s="744">
        <v>1.7440896556125494E-3</v>
      </c>
      <c r="BN220" s="744">
        <v>3.2999306045061569E-3</v>
      </c>
      <c r="BO220" s="745">
        <v>5.9070168539420579E-3</v>
      </c>
      <c r="BP220" s="744">
        <v>9.7027694906927781E-3</v>
      </c>
      <c r="BQ220" s="744">
        <v>1.5277742753604532E-2</v>
      </c>
      <c r="BR220" s="744">
        <v>2.4185142760772341E-2</v>
      </c>
      <c r="BS220" s="744">
        <v>3.5568807907819258E-2</v>
      </c>
      <c r="BT220" s="744">
        <v>4.822879550790822E-2</v>
      </c>
      <c r="BW220" s="1191">
        <f>'2018'!R\Max</f>
        <v>0</v>
      </c>
      <c r="BX220" s="1189">
        <f>'2019'!R\Max</f>
        <v>0.94231190688336985</v>
      </c>
      <c r="BY220" s="1189">
        <f>'2020'!R\Max</f>
        <v>0.97004022450143668</v>
      </c>
      <c r="BZ220" s="1189">
        <f>'2021'!R\Max</f>
        <v>0.63364949391647918</v>
      </c>
      <c r="CA220" s="1189">
        <f>'2022'!R\Max</f>
        <v>0.56558030208439802</v>
      </c>
      <c r="CB220" s="1189">
        <f>'2023'!R\Max</f>
        <v>0.56547163126926081</v>
      </c>
      <c r="CC220" s="1189">
        <f>'2024'!R\Max</f>
        <v>0.5652916941274615</v>
      </c>
      <c r="CD220" s="1189">
        <f>'2025'!R\Max</f>
        <v>0.56585833476233749</v>
      </c>
      <c r="CE220" s="1189">
        <f>'2026'!R\Max</f>
        <v>0.5658162394363464</v>
      </c>
      <c r="CF220" s="1190">
        <f>'2027'!R\Max</f>
        <v>0.56575669622754465</v>
      </c>
    </row>
    <row r="221" spans="1:84" s="6" customFormat="1" ht="11.25" x14ac:dyDescent="0.2">
      <c r="A221" s="11">
        <v>43307</v>
      </c>
      <c r="B221" s="382">
        <f>'2022'!Maxi_hp</f>
        <v>58.036306990108471</v>
      </c>
      <c r="C221" s="85">
        <f>'2022'!An_max</f>
        <v>2020</v>
      </c>
      <c r="D221" s="1134"/>
      <c r="E221" s="711"/>
      <c r="F221" s="13">
        <f t="shared" si="110"/>
        <v>17</v>
      </c>
      <c r="G221" s="13">
        <f t="shared" si="94"/>
        <v>16</v>
      </c>
      <c r="H221" s="175">
        <f t="shared" si="95"/>
        <v>43318</v>
      </c>
      <c r="I221" s="774">
        <f t="shared" si="96"/>
        <v>0.7857142857142857</v>
      </c>
      <c r="J221" s="765">
        <f t="shared" si="97"/>
        <v>60.367710787164313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P221" s="13">
        <f t="shared" si="98"/>
        <v>9</v>
      </c>
      <c r="AQ221" s="13">
        <f t="shared" si="99"/>
        <v>10</v>
      </c>
      <c r="AR221" s="175">
        <f t="shared" si="100"/>
        <v>43304</v>
      </c>
      <c r="AS221" s="774">
        <f t="shared" si="101"/>
        <v>0.10714285714285714</v>
      </c>
      <c r="AT221" s="791">
        <f t="shared" si="102"/>
        <v>60.371111370569892</v>
      </c>
      <c r="AU221" s="13">
        <f t="shared" si="103"/>
        <v>9</v>
      </c>
      <c r="AV221" s="13">
        <f t="shared" si="104"/>
        <v>8</v>
      </c>
      <c r="AW221" s="175">
        <f t="shared" si="105"/>
        <v>43318</v>
      </c>
      <c r="AX221" s="774">
        <f t="shared" si="106"/>
        <v>0.39285714285714285</v>
      </c>
      <c r="AY221" s="791">
        <f t="shared" si="107"/>
        <v>60.457352769321631</v>
      </c>
      <c r="AZ221" s="765">
        <f t="shared" si="111"/>
        <v>60.414232069945761</v>
      </c>
      <c r="BA221" s="649">
        <f t="shared" si="108"/>
        <v>0.96137995351065131</v>
      </c>
      <c r="BB221" s="644">
        <v>43307</v>
      </c>
      <c r="BC221" s="11">
        <v>43307</v>
      </c>
      <c r="BD221" s="292">
        <f>[2]!FeuilCaduc*(1-Persistant)+Persistant</f>
        <v>1</v>
      </c>
      <c r="BE221" s="293">
        <f>[2]!CroissVégét</f>
        <v>0.86890745271110437</v>
      </c>
      <c r="BF221" s="844">
        <f>1+[2]!Salcycl*Ksac</f>
        <v>1.0699631856936382</v>
      </c>
      <c r="BH221" s="1107">
        <f t="shared" si="109"/>
        <v>1.1993090266366126E-3</v>
      </c>
      <c r="BI221" s="11">
        <v>44403</v>
      </c>
      <c r="BJ221" s="744">
        <v>3.2118627634327519E-4</v>
      </c>
      <c r="BK221" s="744">
        <v>5.9234231980327733E-4</v>
      </c>
      <c r="BL221" s="744">
        <v>1.044993934344473E-3</v>
      </c>
      <c r="BM221" s="744">
        <v>1.8174345756530703E-3</v>
      </c>
      <c r="BN221" s="744">
        <v>3.4734164854546678E-3</v>
      </c>
      <c r="BO221" s="745">
        <v>6.2737473562256068E-3</v>
      </c>
      <c r="BP221" s="744">
        <v>1.0340327046862583E-2</v>
      </c>
      <c r="BQ221" s="744">
        <v>1.6361203779359203E-2</v>
      </c>
      <c r="BR221" s="744">
        <v>2.5857949217031814E-2</v>
      </c>
      <c r="BS221" s="744">
        <v>3.7996468220472382E-2</v>
      </c>
      <c r="BT221" s="744">
        <v>5.1455974216567515E-2</v>
      </c>
      <c r="BW221" s="1191">
        <f>'2018'!R\Max</f>
        <v>0</v>
      </c>
      <c r="BX221" s="1189">
        <f>'2019'!R\Max</f>
        <v>0.4459337990597933</v>
      </c>
      <c r="BY221" s="1189">
        <f>'2020'!R\Max</f>
        <v>0.96137995351065131</v>
      </c>
      <c r="BZ221" s="1189">
        <f>'2021'!R\Max</f>
        <v>0.59901064410090654</v>
      </c>
      <c r="CA221" s="1189">
        <f>'2022'!R\Max</f>
        <v>0.96031786679421227</v>
      </c>
      <c r="CB221" s="1189">
        <f>'2023'!R\Max</f>
        <v>0.96029971161566763</v>
      </c>
      <c r="CC221" s="1189">
        <f>'2024'!R\Max</f>
        <v>0.96026945046058243</v>
      </c>
      <c r="CD221" s="1189">
        <f>'2025'!R\Max</f>
        <v>0.96036420721013671</v>
      </c>
      <c r="CE221" s="1189">
        <f>'2026'!R\Max</f>
        <v>0.96035721149104192</v>
      </c>
      <c r="CF221" s="1190">
        <f>'2027'!R\Max</f>
        <v>0.96034730450404204</v>
      </c>
    </row>
    <row r="222" spans="1:84" s="6" customFormat="1" ht="11.25" x14ac:dyDescent="0.2">
      <c r="A222" s="11">
        <v>43308</v>
      </c>
      <c r="B222" s="382">
        <f>'2022'!Maxi_hp</f>
        <v>61.033566863458468</v>
      </c>
      <c r="C222" s="85">
        <f>'2022'!An_max</f>
        <v>2022</v>
      </c>
      <c r="D222" s="1134"/>
      <c r="E222" s="711"/>
      <c r="F222" s="13">
        <f t="shared" si="110"/>
        <v>17</v>
      </c>
      <c r="G222" s="13">
        <f t="shared" si="94"/>
        <v>16</v>
      </c>
      <c r="H222" s="175">
        <f t="shared" si="95"/>
        <v>43318</v>
      </c>
      <c r="I222" s="774">
        <f t="shared" si="96"/>
        <v>0.7142857142857143</v>
      </c>
      <c r="J222" s="765">
        <f t="shared" si="97"/>
        <v>60.210901457603498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P222" s="13">
        <f t="shared" si="98"/>
        <v>9</v>
      </c>
      <c r="AQ222" s="13">
        <f t="shared" si="99"/>
        <v>10</v>
      </c>
      <c r="AR222" s="175">
        <f t="shared" si="100"/>
        <v>43304</v>
      </c>
      <c r="AS222" s="774">
        <f t="shared" si="101"/>
        <v>0.14285714285714285</v>
      </c>
      <c r="AT222" s="791">
        <f t="shared" si="102"/>
        <v>60.216872303613592</v>
      </c>
      <c r="AU222" s="13">
        <f t="shared" si="103"/>
        <v>9</v>
      </c>
      <c r="AV222" s="13">
        <f t="shared" si="104"/>
        <v>8</v>
      </c>
      <c r="AW222" s="175">
        <f t="shared" si="105"/>
        <v>43318</v>
      </c>
      <c r="AX222" s="774">
        <f t="shared" si="106"/>
        <v>0.35714285714285715</v>
      </c>
      <c r="AY222" s="791">
        <f t="shared" si="107"/>
        <v>60.297292127939201</v>
      </c>
      <c r="AZ222" s="765">
        <f t="shared" si="111"/>
        <v>60.257082215776393</v>
      </c>
      <c r="BA222" s="649">
        <f t="shared" si="108"/>
        <v>1.0136630640953654</v>
      </c>
      <c r="BB222" s="644">
        <v>43308</v>
      </c>
      <c r="BC222" s="11">
        <v>43308</v>
      </c>
      <c r="BD222" s="292">
        <f>[2]!FeuilCaduc*(1-Persistant)+Persistant</f>
        <v>1</v>
      </c>
      <c r="BE222" s="293">
        <f>[2]!CroissVégét</f>
        <v>0.87352913572103608</v>
      </c>
      <c r="BF222" s="844">
        <f>1+[2]!Salcycl*Ksac</f>
        <v>1.0699718419514839</v>
      </c>
      <c r="BH222" s="1107">
        <f t="shared" si="109"/>
        <v>1.2341987757079483E-3</v>
      </c>
      <c r="BI222" s="11">
        <v>44404</v>
      </c>
      <c r="BJ222" s="744">
        <v>3.0522466638891127E-4</v>
      </c>
      <c r="BK222" s="744">
        <v>5.8738017748106812E-4</v>
      </c>
      <c r="BL222" s="744">
        <v>1.0682219964642269E-3</v>
      </c>
      <c r="BM222" s="744">
        <v>1.8990364547068588E-3</v>
      </c>
      <c r="BN222" s="744">
        <v>3.6598307595644129E-3</v>
      </c>
      <c r="BO222" s="745">
        <v>6.6678715389531769E-3</v>
      </c>
      <c r="BP222" s="744">
        <v>1.1031646215555279E-2</v>
      </c>
      <c r="BQ222" s="744">
        <v>1.7555972787854687E-2</v>
      </c>
      <c r="BR222" s="744">
        <v>2.7696319935660522E-2</v>
      </c>
      <c r="BS222" s="744">
        <v>4.0670777242219368E-2</v>
      </c>
      <c r="BT222" s="744">
        <v>5.5019950213408983E-2</v>
      </c>
      <c r="BW222" s="1191">
        <f>'2018'!R\Max</f>
        <v>0</v>
      </c>
      <c r="BX222" s="1189">
        <f>'2019'!R\Max</f>
        <v>0.22179474509091937</v>
      </c>
      <c r="BY222" s="1189">
        <f>'2020'!R\Max</f>
        <v>0.789929971460264</v>
      </c>
      <c r="BZ222" s="1189">
        <f>'2021'!R\Max</f>
        <v>0.83292868696879163</v>
      </c>
      <c r="CA222" s="1189">
        <f>'2022'!R\Max</f>
        <v>1.0136630640953654</v>
      </c>
      <c r="CB222" s="1189">
        <f>'2023'!R\Max</f>
        <v>1.0136630640953654</v>
      </c>
      <c r="CC222" s="1189">
        <f>'2024'!R\Max</f>
        <v>1.0136630640953654</v>
      </c>
      <c r="CD222" s="1189">
        <f>'2025'!R\Max</f>
        <v>1.0136630640953654</v>
      </c>
      <c r="CE222" s="1189">
        <f>'2026'!R\Max</f>
        <v>1.0136630640953654</v>
      </c>
      <c r="CF222" s="1190">
        <f>'2027'!R\Max</f>
        <v>1.0136630640953654</v>
      </c>
    </row>
    <row r="223" spans="1:84" s="6" customFormat="1" ht="11.25" x14ac:dyDescent="0.2">
      <c r="A223" s="11">
        <v>43309</v>
      </c>
      <c r="B223" s="382">
        <f>'2022'!Maxi_hp</f>
        <v>61.3460462503919</v>
      </c>
      <c r="C223" s="85">
        <f>'2022'!An_max</f>
        <v>2019</v>
      </c>
      <c r="D223" s="1134"/>
      <c r="E223" s="711"/>
      <c r="F223" s="13">
        <f t="shared" si="110"/>
        <v>17</v>
      </c>
      <c r="G223" s="13">
        <f t="shared" si="94"/>
        <v>16</v>
      </c>
      <c r="H223" s="175">
        <f t="shared" si="95"/>
        <v>43318</v>
      </c>
      <c r="I223" s="774">
        <f t="shared" si="96"/>
        <v>0.6428571428571429</v>
      </c>
      <c r="J223" s="765">
        <f t="shared" si="97"/>
        <v>60.051629154091437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P223" s="13">
        <f t="shared" si="98"/>
        <v>9</v>
      </c>
      <c r="AQ223" s="13">
        <f t="shared" si="99"/>
        <v>10</v>
      </c>
      <c r="AR223" s="175">
        <f t="shared" si="100"/>
        <v>43304</v>
      </c>
      <c r="AS223" s="774">
        <f t="shared" si="101"/>
        <v>0.17857142857142858</v>
      </c>
      <c r="AT223" s="791">
        <f t="shared" si="102"/>
        <v>60.060841982824989</v>
      </c>
      <c r="AU223" s="13">
        <f t="shared" si="103"/>
        <v>9</v>
      </c>
      <c r="AV223" s="13">
        <f t="shared" si="104"/>
        <v>8</v>
      </c>
      <c r="AW223" s="175">
        <f t="shared" si="105"/>
        <v>43318</v>
      </c>
      <c r="AX223" s="774">
        <f t="shared" si="106"/>
        <v>0.32142857142857145</v>
      </c>
      <c r="AY223" s="791">
        <f t="shared" si="107"/>
        <v>60.133369095769851</v>
      </c>
      <c r="AZ223" s="765">
        <f t="shared" si="111"/>
        <v>60.097105539297416</v>
      </c>
      <c r="BA223" s="649">
        <f t="shared" si="108"/>
        <v>1.0215550704374565</v>
      </c>
      <c r="BB223" s="644">
        <v>43309</v>
      </c>
      <c r="BC223" s="11">
        <v>43309</v>
      </c>
      <c r="BD223" s="292">
        <f>[2]!FeuilCaduc*(1-Persistant)+Persistant</f>
        <v>1</v>
      </c>
      <c r="BE223" s="293">
        <f>[2]!CroissVégét</f>
        <v>0.8780111344941991</v>
      </c>
      <c r="BF223" s="844">
        <f>1+[2]!Salcycl*Ksac</f>
        <v>1.069974780000829</v>
      </c>
      <c r="BH223" s="1107">
        <f t="shared" si="109"/>
        <v>1.2740555827488397E-3</v>
      </c>
      <c r="BI223" s="11">
        <v>44405</v>
      </c>
      <c r="BJ223" s="744">
        <v>2.906147130714371E-4</v>
      </c>
      <c r="BK223" s="744">
        <v>5.8499764852940051E-4</v>
      </c>
      <c r="BL223" s="744">
        <v>1.0955963663465066E-3</v>
      </c>
      <c r="BM223" s="744">
        <v>1.9888929941596872E-3</v>
      </c>
      <c r="BN223" s="744">
        <v>3.8591719991893244E-3</v>
      </c>
      <c r="BO223" s="745">
        <v>7.089386661339965E-3</v>
      </c>
      <c r="BP223" s="744">
        <v>1.1776718896252744E-2</v>
      </c>
      <c r="BQ223" s="744">
        <v>1.8862024988486551E-2</v>
      </c>
      <c r="BR223" s="744">
        <v>2.9700220054373342E-2</v>
      </c>
      <c r="BS223" s="744">
        <v>4.3591680604575599E-2</v>
      </c>
      <c r="BT223" s="744">
        <v>5.8920645858306066E-2</v>
      </c>
      <c r="BW223" s="1191">
        <f>'2018'!R\Max</f>
        <v>0</v>
      </c>
      <c r="BX223" s="1189">
        <f>'2019'!R\Max</f>
        <v>1.0215550704374565</v>
      </c>
      <c r="BY223" s="1189">
        <f>'2020'!R\Max</f>
        <v>0.91084735669515293</v>
      </c>
      <c r="BZ223" s="1189">
        <f>'2021'!R\Max</f>
        <v>0.48987035672970308</v>
      </c>
      <c r="CA223" s="1189">
        <f>'2022'!R\Max</f>
        <v>0.86663017303180989</v>
      </c>
      <c r="CB223" s="1189">
        <f>'2023'!R\Max</f>
        <v>0.86656599964575631</v>
      </c>
      <c r="CC223" s="1189">
        <f>'2024'!R\Max</f>
        <v>0.86645726721370786</v>
      </c>
      <c r="CD223" s="1189">
        <f>'2025'!R\Max</f>
        <v>0.86679270403183151</v>
      </c>
      <c r="CE223" s="1189">
        <f>'2026'!R\Max</f>
        <v>0.86676836730132889</v>
      </c>
      <c r="CF223" s="1190">
        <f>'2027'!R\Max</f>
        <v>0.86673379576946585</v>
      </c>
    </row>
    <row r="224" spans="1:84" s="6" customFormat="1" ht="11.25" x14ac:dyDescent="0.2">
      <c r="A224" s="11">
        <v>43310</v>
      </c>
      <c r="B224" s="382">
        <f>'2022'!Maxi_hp</f>
        <v>60.078998480863916</v>
      </c>
      <c r="C224" s="85">
        <f>'2022'!An_max</f>
        <v>2019</v>
      </c>
      <c r="D224" s="1134"/>
      <c r="E224" s="711"/>
      <c r="F224" s="13">
        <f t="shared" si="110"/>
        <v>17</v>
      </c>
      <c r="G224" s="13">
        <f t="shared" si="94"/>
        <v>16</v>
      </c>
      <c r="H224" s="175">
        <f t="shared" si="95"/>
        <v>43318</v>
      </c>
      <c r="I224" s="774">
        <f t="shared" si="96"/>
        <v>0.5714285714285714</v>
      </c>
      <c r="J224" s="765">
        <f t="shared" si="97"/>
        <v>59.88966997063585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P224" s="13">
        <f t="shared" si="98"/>
        <v>9</v>
      </c>
      <c r="AQ224" s="13">
        <f t="shared" si="99"/>
        <v>10</v>
      </c>
      <c r="AR224" s="175">
        <f t="shared" si="100"/>
        <v>43304</v>
      </c>
      <c r="AS224" s="774">
        <f t="shared" si="101"/>
        <v>0.21428571428571427</v>
      </c>
      <c r="AT224" s="791">
        <f t="shared" si="102"/>
        <v>59.902768513932827</v>
      </c>
      <c r="AU224" s="13">
        <f t="shared" si="103"/>
        <v>9</v>
      </c>
      <c r="AV224" s="13">
        <f t="shared" si="104"/>
        <v>8</v>
      </c>
      <c r="AW224" s="175">
        <f t="shared" si="105"/>
        <v>43318</v>
      </c>
      <c r="AX224" s="774">
        <f t="shared" si="106"/>
        <v>0.2857142857142857</v>
      </c>
      <c r="AY224" s="791">
        <f t="shared" si="107"/>
        <v>59.965499707950016</v>
      </c>
      <c r="AZ224" s="765">
        <f t="shared" si="111"/>
        <v>59.934134110941422</v>
      </c>
      <c r="BA224" s="649">
        <f t="shared" si="108"/>
        <v>1.0031612882542331</v>
      </c>
      <c r="BB224" s="644">
        <v>43310</v>
      </c>
      <c r="BC224" s="11">
        <v>43310</v>
      </c>
      <c r="BD224" s="292">
        <f>[2]!FeuilCaduc*(1-Persistant)+Persistant</f>
        <v>1</v>
      </c>
      <c r="BE224" s="293">
        <f>[2]!CroissVégét</f>
        <v>0.88235607250226589</v>
      </c>
      <c r="BF224" s="844">
        <f>1+[2]!Salcycl*Ksac</f>
        <v>1.0699723905611838</v>
      </c>
      <c r="BH224" s="1107">
        <f t="shared" si="109"/>
        <v>1.318877813979174E-3</v>
      </c>
      <c r="BI224" s="11">
        <v>44406</v>
      </c>
      <c r="BJ224" s="744">
        <v>2.7735498095821586E-4</v>
      </c>
      <c r="BK224" s="744">
        <v>5.8519299364016375E-4</v>
      </c>
      <c r="BL224" s="744">
        <v>1.1271154373583767E-3</v>
      </c>
      <c r="BM224" s="744">
        <v>2.0870024514905291E-3</v>
      </c>
      <c r="BN224" s="744">
        <v>4.0714395757198698E-3</v>
      </c>
      <c r="BO224" s="745">
        <v>7.5382916781637811E-3</v>
      </c>
      <c r="BP224" s="744">
        <v>1.2575540417960038E-2</v>
      </c>
      <c r="BQ224" s="744">
        <v>2.0279342983578794E-2</v>
      </c>
      <c r="BR224" s="744">
        <v>3.1869625631464109E-2</v>
      </c>
      <c r="BS224" s="744">
        <v>4.6759140286424562E-2</v>
      </c>
      <c r="BT224" s="744">
        <v>6.3158005939946707E-2</v>
      </c>
      <c r="BW224" s="1191">
        <f>'2018'!R\Max</f>
        <v>0</v>
      </c>
      <c r="BX224" s="1189">
        <f>'2019'!R\Max</f>
        <v>1.0031612882542331</v>
      </c>
      <c r="BY224" s="1189">
        <f>'2020'!R\Max</f>
        <v>0.59162097253693491</v>
      </c>
      <c r="BZ224" s="1189">
        <f>'2021'!R\Max</f>
        <v>0.94650619755873666</v>
      </c>
      <c r="CA224" s="1189">
        <f>'2022'!R\Max</f>
        <v>0.50337627656503092</v>
      </c>
      <c r="CB224" s="1189">
        <f>'2023'!R\Max</f>
        <v>0.50322628146322734</v>
      </c>
      <c r="CC224" s="1189">
        <f>'2024'!R\Max</f>
        <v>0.5029698963896766</v>
      </c>
      <c r="CD224" s="1189">
        <f>'2025'!R\Max</f>
        <v>0.50375432028163847</v>
      </c>
      <c r="CE224" s="1189">
        <f>'2026'!R\Max</f>
        <v>0.5036979870344106</v>
      </c>
      <c r="CF224" s="1190">
        <f>'2027'!R\Max</f>
        <v>0.5036178135814624</v>
      </c>
    </row>
    <row r="225" spans="1:84" s="6" customFormat="1" ht="11.25" x14ac:dyDescent="0.2">
      <c r="A225" s="11">
        <v>43311</v>
      </c>
      <c r="B225" s="382">
        <f>'2022'!Maxi_hp</f>
        <v>51.973078310921963</v>
      </c>
      <c r="C225" s="85">
        <f>'2022'!An_max</f>
        <v>2020</v>
      </c>
      <c r="D225" s="1134"/>
      <c r="E225" s="711"/>
      <c r="F225" s="13">
        <f t="shared" si="110"/>
        <v>17</v>
      </c>
      <c r="G225" s="13">
        <f t="shared" si="94"/>
        <v>16</v>
      </c>
      <c r="H225" s="175">
        <f t="shared" si="95"/>
        <v>43318</v>
      </c>
      <c r="I225" s="774">
        <f t="shared" si="96"/>
        <v>0.5</v>
      </c>
      <c r="J225" s="765">
        <f t="shared" si="97"/>
        <v>59.724799999594687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P225" s="13">
        <f t="shared" si="98"/>
        <v>9</v>
      </c>
      <c r="AQ225" s="13">
        <f t="shared" si="99"/>
        <v>10</v>
      </c>
      <c r="AR225" s="175">
        <f t="shared" si="100"/>
        <v>43304</v>
      </c>
      <c r="AS225" s="774">
        <f t="shared" si="101"/>
        <v>0.25</v>
      </c>
      <c r="AT225" s="791">
        <f t="shared" si="102"/>
        <v>59.742399999964981</v>
      </c>
      <c r="AU225" s="13">
        <f t="shared" si="103"/>
        <v>9</v>
      </c>
      <c r="AV225" s="13">
        <f t="shared" si="104"/>
        <v>8</v>
      </c>
      <c r="AW225" s="175">
        <f t="shared" si="105"/>
        <v>43318</v>
      </c>
      <c r="AX225" s="774">
        <f t="shared" si="106"/>
        <v>0.25</v>
      </c>
      <c r="AY225" s="791">
        <f t="shared" si="107"/>
        <v>59.79359999932349</v>
      </c>
      <c r="AZ225" s="765">
        <f t="shared" si="111"/>
        <v>59.767999999644232</v>
      </c>
      <c r="BA225" s="649">
        <f t="shared" si="108"/>
        <v>0.87020933199064154</v>
      </c>
      <c r="BB225" s="644">
        <v>43311</v>
      </c>
      <c r="BC225" s="11">
        <v>43311</v>
      </c>
      <c r="BD225" s="292">
        <f>[2]!FeuilCaduc*(1-Persistant)+Persistant</f>
        <v>1</v>
      </c>
      <c r="BE225" s="293">
        <f>[2]!CroissVégét</f>
        <v>0.88656663959603077</v>
      </c>
      <c r="BF225" s="844">
        <f>1+[2]!Salcycl*Ksac</f>
        <v>1.0699650277360782</v>
      </c>
      <c r="BH225" s="1107">
        <f t="shared" si="109"/>
        <v>1.3686641719255085E-3</v>
      </c>
      <c r="BI225" s="11">
        <v>44407</v>
      </c>
      <c r="BJ225" s="744">
        <v>2.6544415699448245E-4</v>
      </c>
      <c r="BK225" s="744">
        <v>5.8796467617928375E-4</v>
      </c>
      <c r="BL225" s="744">
        <v>1.1627778906945602E-3</v>
      </c>
      <c r="BM225" s="744">
        <v>2.1933636146728793E-3</v>
      </c>
      <c r="BN225" s="744">
        <v>4.2966336194673691E-3</v>
      </c>
      <c r="BO225" s="745">
        <v>8.0145871546974962E-3</v>
      </c>
      <c r="BP225" s="744">
        <v>1.3428109372234889E-2</v>
      </c>
      <c r="BQ225" s="744">
        <v>2.180791642266848E-2</v>
      </c>
      <c r="BR225" s="744">
        <v>3.4204523131592453E-2</v>
      </c>
      <c r="BS225" s="744">
        <v>5.0173133848018893E-2</v>
      </c>
      <c r="BT225" s="744">
        <v>6.7731996629950275E-2</v>
      </c>
      <c r="BW225" s="1191">
        <f>'2018'!R\Max</f>
        <v>0</v>
      </c>
      <c r="BX225" s="1189">
        <f>'2019'!R\Max</f>
        <v>0.49641794884766427</v>
      </c>
      <c r="BY225" s="1189">
        <f>'2020'!R\Max</f>
        <v>0.87020933199064154</v>
      </c>
      <c r="BZ225" s="1189">
        <f>'2021'!R\Max</f>
        <v>0.32213033852585088</v>
      </c>
      <c r="CA225" s="1189">
        <f>'2022'!R\Max</f>
        <v>0.85728178323022886</v>
      </c>
      <c r="CB225" s="1189">
        <f>'2023'!R\Max</f>
        <v>0.85720239912829144</v>
      </c>
      <c r="CC225" s="1189">
        <f>'2024'!R\Max</f>
        <v>0.85706531845834766</v>
      </c>
      <c r="CD225" s="1189">
        <f>'2025'!R\Max</f>
        <v>0.85748043001150775</v>
      </c>
      <c r="CE225" s="1189">
        <f>'2026'!R\Max</f>
        <v>0.85745101568677307</v>
      </c>
      <c r="CF225" s="1190">
        <f>'2027'!R\Max</f>
        <v>0.85740904705066012</v>
      </c>
    </row>
    <row r="226" spans="1:84" s="6" customFormat="1" ht="11.25" x14ac:dyDescent="0.2">
      <c r="A226" s="11">
        <v>43312</v>
      </c>
      <c r="B226" s="382">
        <f>'2022'!Maxi_hp</f>
        <v>56.547241978763836</v>
      </c>
      <c r="C226" s="85">
        <f>'2022'!An_max</f>
        <v>2022</v>
      </c>
      <c r="D226" s="1134"/>
      <c r="E226" s="711"/>
      <c r="F226" s="13">
        <f t="shared" si="110"/>
        <v>17</v>
      </c>
      <c r="G226" s="13">
        <f t="shared" si="94"/>
        <v>16</v>
      </c>
      <c r="H226" s="175">
        <f t="shared" si="95"/>
        <v>43318</v>
      </c>
      <c r="I226" s="774">
        <f t="shared" si="96"/>
        <v>0.42857142857142855</v>
      </c>
      <c r="J226" s="765">
        <f t="shared" si="97"/>
        <v>59.556795334975632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P226" s="13">
        <f t="shared" si="98"/>
        <v>9</v>
      </c>
      <c r="AQ226" s="13">
        <f t="shared" si="99"/>
        <v>10</v>
      </c>
      <c r="AR226" s="175">
        <f t="shared" si="100"/>
        <v>43304</v>
      </c>
      <c r="AS226" s="774">
        <f t="shared" si="101"/>
        <v>0.2857142857142857</v>
      </c>
      <c r="AT226" s="791">
        <f t="shared" si="102"/>
        <v>59.579484548526146</v>
      </c>
      <c r="AU226" s="13">
        <f t="shared" si="103"/>
        <v>9</v>
      </c>
      <c r="AV226" s="13">
        <f t="shared" si="104"/>
        <v>8</v>
      </c>
      <c r="AW226" s="175">
        <f t="shared" si="105"/>
        <v>43318</v>
      </c>
      <c r="AX226" s="774">
        <f t="shared" si="106"/>
        <v>0.21428571428571427</v>
      </c>
      <c r="AY226" s="791">
        <f t="shared" si="107"/>
        <v>59.617586005319438</v>
      </c>
      <c r="AZ226" s="765">
        <f t="shared" si="111"/>
        <v>59.598535276922789</v>
      </c>
      <c r="BA226" s="649">
        <f t="shared" si="108"/>
        <v>0.94946750678432845</v>
      </c>
      <c r="BB226" s="644">
        <v>43312</v>
      </c>
      <c r="BC226" s="11">
        <v>43312</v>
      </c>
      <c r="BD226" s="292">
        <f>[2]!FeuilCaduc*(1-Persistant)+Persistant</f>
        <v>1</v>
      </c>
      <c r="BE226" s="293">
        <f>[2]!CroissVégét</f>
        <v>0.89064558172697694</v>
      </c>
      <c r="BF226" s="844">
        <f>1+[2]!Salcycl*Ksac</f>
        <v>1.0699530090826617</v>
      </c>
      <c r="BH226" s="1107">
        <f t="shared" si="109"/>
        <v>1.4326249872578106E-3</v>
      </c>
      <c r="BI226" s="11">
        <v>44408</v>
      </c>
      <c r="BJ226" s="744">
        <v>2.5587845114638486E-4</v>
      </c>
      <c r="BK226" s="744">
        <v>5.9646297431912275E-4</v>
      </c>
      <c r="BL226" s="744">
        <v>1.2101081938450321E-3</v>
      </c>
      <c r="BM226" s="744">
        <v>2.3239397190227833E-3</v>
      </c>
      <c r="BN226" s="744">
        <v>4.561839926608015E-3</v>
      </c>
      <c r="BO226" s="745">
        <v>8.5515729593275674E-3</v>
      </c>
      <c r="BP226" s="744">
        <v>1.4377889180759752E-2</v>
      </c>
      <c r="BQ226" s="744">
        <v>2.3476092428712719E-2</v>
      </c>
      <c r="BR226" s="744">
        <v>3.6721528810940297E-2</v>
      </c>
      <c r="BS226" s="744">
        <v>5.3820436455691865E-2</v>
      </c>
      <c r="BT226" s="744">
        <v>7.2611394396314227E-2</v>
      </c>
      <c r="BW226" s="1191">
        <f>'2018'!R\Max</f>
        <v>0</v>
      </c>
      <c r="BX226" s="1189">
        <f>'2019'!R\Max</f>
        <v>0.91712750312778168</v>
      </c>
      <c r="BY226" s="1189">
        <f>'2020'!R\Max</f>
        <v>0.91258048745881259</v>
      </c>
      <c r="BZ226" s="1189">
        <f>'2021'!R\Max</f>
        <v>0.23329334158350204</v>
      </c>
      <c r="CA226" s="1189">
        <f>'2022'!R\Max</f>
        <v>0.94946750678432845</v>
      </c>
      <c r="CB226" s="1189">
        <f>'2023'!R\Max</f>
        <v>0.94943380462283178</v>
      </c>
      <c r="CC226" s="1189">
        <f>'2024'!R\Max</f>
        <v>0.94937521720282347</v>
      </c>
      <c r="CD226" s="1189">
        <f>'2025'!R\Max</f>
        <v>0.94955133038236228</v>
      </c>
      <c r="CE226" s="1189">
        <f>'2026'!R\Max</f>
        <v>0.94953896290681916</v>
      </c>
      <c r="CF226" s="1190">
        <f>'2027'!R\Max</f>
        <v>0.94952130239884946</v>
      </c>
    </row>
    <row r="227" spans="1:84" s="6" customFormat="1" ht="11.25" x14ac:dyDescent="0.2">
      <c r="A227" s="11">
        <v>43313</v>
      </c>
      <c r="B227" s="382">
        <f>'2022'!Maxi_hp</f>
        <v>58.727968528475465</v>
      </c>
      <c r="C227" s="85">
        <f>'2022'!An_max</f>
        <v>2022</v>
      </c>
      <c r="D227" s="1134"/>
      <c r="E227" s="711"/>
      <c r="F227" s="13">
        <f t="shared" si="110"/>
        <v>17</v>
      </c>
      <c r="G227" s="13">
        <f t="shared" si="94"/>
        <v>16</v>
      </c>
      <c r="H227" s="175">
        <f t="shared" si="95"/>
        <v>43318</v>
      </c>
      <c r="I227" s="774">
        <f t="shared" si="96"/>
        <v>0.35714285714285715</v>
      </c>
      <c r="J227" s="765">
        <f t="shared" si="97"/>
        <v>59.385432070546912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P227" s="13">
        <f t="shared" si="98"/>
        <v>9</v>
      </c>
      <c r="AQ227" s="13">
        <f t="shared" si="99"/>
        <v>10</v>
      </c>
      <c r="AR227" s="175">
        <f t="shared" si="100"/>
        <v>43304</v>
      </c>
      <c r="AS227" s="774">
        <f t="shared" si="101"/>
        <v>0.32142857142857145</v>
      </c>
      <c r="AT227" s="791">
        <f t="shared" si="102"/>
        <v>59.413770262524487</v>
      </c>
      <c r="AU227" s="13">
        <f t="shared" si="103"/>
        <v>9</v>
      </c>
      <c r="AV227" s="13">
        <f t="shared" si="104"/>
        <v>8</v>
      </c>
      <c r="AW227" s="175">
        <f t="shared" si="105"/>
        <v>43318</v>
      </c>
      <c r="AX227" s="774">
        <f t="shared" si="106"/>
        <v>0.17857142857142858</v>
      </c>
      <c r="AY227" s="791">
        <f t="shared" si="107"/>
        <v>59.43737376165975</v>
      </c>
      <c r="AZ227" s="765">
        <f t="shared" si="111"/>
        <v>59.425572012092118</v>
      </c>
      <c r="BA227" s="649">
        <f t="shared" si="108"/>
        <v>0.98892887499260063</v>
      </c>
      <c r="BB227" s="644">
        <v>43313</v>
      </c>
      <c r="BC227" s="11">
        <v>43313</v>
      </c>
      <c r="BD227" s="292">
        <f>[2]!FeuilCaduc*(1-Persistant)+Persistant</f>
        <v>1</v>
      </c>
      <c r="BE227" s="293">
        <f>[2]!CroissVégét</f>
        <v>0.89459569118431537</v>
      </c>
      <c r="BF227" s="844">
        <f>1+[2]!Salcycl*Ksac</f>
        <v>1.0699366159357411</v>
      </c>
      <c r="BH227" s="1107">
        <f t="shared" si="109"/>
        <v>1.5080225538098057E-3</v>
      </c>
      <c r="BI227" s="11">
        <v>44409</v>
      </c>
      <c r="BJ227" s="744">
        <v>2.4766437940015157E-4</v>
      </c>
      <c r="BK227" s="744">
        <v>6.0906844646769641E-4</v>
      </c>
      <c r="BL227" s="744">
        <v>1.2665899761868107E-3</v>
      </c>
      <c r="BM227" s="744">
        <v>2.4751064752654532E-3</v>
      </c>
      <c r="BN227" s="744">
        <v>4.863552897257809E-3</v>
      </c>
      <c r="BO227" s="745">
        <v>9.1410193625760319E-3</v>
      </c>
      <c r="BP227" s="744">
        <v>1.5409103386042648E-2</v>
      </c>
      <c r="BQ227" s="744">
        <v>2.5241292488249353E-2</v>
      </c>
      <c r="BR227" s="744">
        <v>3.9343436314473609E-2</v>
      </c>
      <c r="BS227" s="744">
        <v>5.7572669544085582E-2</v>
      </c>
      <c r="BT227" s="744">
        <v>7.7615308961812818E-2</v>
      </c>
      <c r="BW227" s="1191">
        <f>'2018'!R\Max</f>
        <v>0</v>
      </c>
      <c r="BX227" s="1189">
        <f>'2019'!R\Max</f>
        <v>0.87904997799511486</v>
      </c>
      <c r="BY227" s="1189">
        <f>'2020'!R\Max</f>
        <v>0.88612654766871679</v>
      </c>
      <c r="BZ227" s="1189">
        <f>'2021'!R\Max</f>
        <v>0.81701916396416152</v>
      </c>
      <c r="CA227" s="1189">
        <f>'2022'!R\Max</f>
        <v>0.98892887499260063</v>
      </c>
      <c r="CB227" s="1189">
        <f>'2023'!R\Max</f>
        <v>0.98892055494972209</v>
      </c>
      <c r="CC227" s="1189">
        <f>'2024'!R\Max</f>
        <v>0.98890605253242636</v>
      </c>
      <c r="CD227" s="1189">
        <f>'2025'!R\Max</f>
        <v>0.98894946757980284</v>
      </c>
      <c r="CE227" s="1189">
        <f>'2026'!R\Max</f>
        <v>0.98894643170746321</v>
      </c>
      <c r="CF227" s="1190">
        <f>'2027'!R\Max</f>
        <v>0.988942100054644</v>
      </c>
    </row>
    <row r="228" spans="1:84" s="6" customFormat="1" ht="11.25" x14ac:dyDescent="0.2">
      <c r="A228" s="11">
        <v>43314</v>
      </c>
      <c r="B228" s="382">
        <f>'2022'!Maxi_hp</f>
        <v>57.016794472934762</v>
      </c>
      <c r="C228" s="85">
        <f>'2022'!An_max</f>
        <v>2019</v>
      </c>
      <c r="D228" s="1134"/>
      <c r="E228" s="711"/>
      <c r="F228" s="13">
        <f t="shared" si="110"/>
        <v>17</v>
      </c>
      <c r="G228" s="13">
        <f t="shared" si="94"/>
        <v>16</v>
      </c>
      <c r="H228" s="175">
        <f t="shared" si="95"/>
        <v>43318</v>
      </c>
      <c r="I228" s="774">
        <f t="shared" si="96"/>
        <v>0.2857142857142857</v>
      </c>
      <c r="J228" s="765">
        <f t="shared" si="97"/>
        <v>59.210486297096523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P228" s="13">
        <f t="shared" si="98"/>
        <v>9</v>
      </c>
      <c r="AQ228" s="13">
        <f t="shared" si="99"/>
        <v>10</v>
      </c>
      <c r="AR228" s="175">
        <f t="shared" si="100"/>
        <v>43304</v>
      </c>
      <c r="AS228" s="774">
        <f t="shared" si="101"/>
        <v>0.35714285714285715</v>
      </c>
      <c r="AT228" s="791">
        <f t="shared" si="102"/>
        <v>59.24500524808785</v>
      </c>
      <c r="AU228" s="13">
        <f t="shared" si="103"/>
        <v>9</v>
      </c>
      <c r="AV228" s="13">
        <f t="shared" si="104"/>
        <v>8</v>
      </c>
      <c r="AW228" s="175">
        <f t="shared" si="105"/>
        <v>43318</v>
      </c>
      <c r="AX228" s="774">
        <f t="shared" si="106"/>
        <v>0.14285714285714285</v>
      </c>
      <c r="AY228" s="791">
        <f t="shared" si="107"/>
        <v>59.252879300660325</v>
      </c>
      <c r="AZ228" s="765">
        <f t="shared" si="111"/>
        <v>59.248942274374087</v>
      </c>
      <c r="BA228" s="649">
        <f t="shared" si="108"/>
        <v>0.96295095748488502</v>
      </c>
      <c r="BB228" s="644">
        <v>43314</v>
      </c>
      <c r="BC228" s="11">
        <v>43314</v>
      </c>
      <c r="BD228" s="292">
        <f>[2]!FeuilCaduc*(1-Persistant)+Persistant</f>
        <v>1</v>
      </c>
      <c r="BE228" s="293">
        <f>[2]!CroissVégét</f>
        <v>0.89841979735358901</v>
      </c>
      <c r="BF228" s="844">
        <f>1+[2]!Salcycl*Ksac</f>
        <v>1.069916093969671</v>
      </c>
      <c r="BH228" s="1107">
        <f t="shared" si="109"/>
        <v>1.594854328628709E-3</v>
      </c>
      <c r="BI228" s="11">
        <v>44410</v>
      </c>
      <c r="BJ228" s="744">
        <v>2.4080100420998367E-4</v>
      </c>
      <c r="BK228" s="744">
        <v>6.2577963843951894E-4</v>
      </c>
      <c r="BL228" s="744">
        <v>1.3322210463793263E-3</v>
      </c>
      <c r="BM228" s="744">
        <v>2.6468599320278994E-3</v>
      </c>
      <c r="BN228" s="744">
        <v>5.2017665954307932E-3</v>
      </c>
      <c r="BO228" s="745">
        <v>9.782922796403833E-3</v>
      </c>
      <c r="BP228" s="744">
        <v>1.6521750264596787E-2</v>
      </c>
      <c r="BQ228" s="744">
        <v>2.7103531786088014E-2</v>
      </c>
      <c r="BR228" s="744">
        <v>4.2070284106533136E-2</v>
      </c>
      <c r="BS228" s="744">
        <v>6.1429906758099943E-2</v>
      </c>
      <c r="BT228" s="744">
        <v>8.2743844760518243E-2</v>
      </c>
      <c r="BW228" s="1191">
        <f>'2018'!R\Max</f>
        <v>0</v>
      </c>
      <c r="BX228" s="1189">
        <f>'2019'!R\Max</f>
        <v>0.96295095748488502</v>
      </c>
      <c r="BY228" s="1189">
        <f>'2020'!R\Max</f>
        <v>0.710923768661892</v>
      </c>
      <c r="BZ228" s="1189">
        <f>'2021'!R\Max</f>
        <v>0.95055910976750391</v>
      </c>
      <c r="CA228" s="1189">
        <f>'2022'!R\Max</f>
        <v>0.95686680610446562</v>
      </c>
      <c r="CB228" s="1189">
        <f>'2023'!R\Max</f>
        <v>0.95683290966954115</v>
      </c>
      <c r="CC228" s="1189">
        <f>'2024'!R\Max</f>
        <v>0.95677385829175288</v>
      </c>
      <c r="CD228" s="1189">
        <f>'2025'!R\Max</f>
        <v>0.9569503893998651</v>
      </c>
      <c r="CE228" s="1189">
        <f>'2026'!R\Max</f>
        <v>0.95693804773512114</v>
      </c>
      <c r="CF228" s="1190">
        <f>'2027'!R\Max</f>
        <v>0.95692047658903501</v>
      </c>
    </row>
    <row r="229" spans="1:84" s="6" customFormat="1" ht="11.25" x14ac:dyDescent="0.2">
      <c r="A229" s="11">
        <v>43315</v>
      </c>
      <c r="B229" s="382">
        <f>'2022'!Maxi_hp</f>
        <v>57.318775039173993</v>
      </c>
      <c r="C229" s="85">
        <f>'2022'!An_max</f>
        <v>2019</v>
      </c>
      <c r="D229" s="1134"/>
      <c r="E229" s="711"/>
      <c r="F229" s="13">
        <f t="shared" si="110"/>
        <v>17</v>
      </c>
      <c r="G229" s="13">
        <f t="shared" si="94"/>
        <v>16</v>
      </c>
      <c r="H229" s="175">
        <f t="shared" si="95"/>
        <v>43318</v>
      </c>
      <c r="I229" s="774">
        <f t="shared" si="96"/>
        <v>0.21428571428571427</v>
      </c>
      <c r="J229" s="765">
        <f t="shared" si="97"/>
        <v>59.031734110973773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P229" s="13">
        <f t="shared" si="98"/>
        <v>9</v>
      </c>
      <c r="AQ229" s="13">
        <f t="shared" si="99"/>
        <v>10</v>
      </c>
      <c r="AR229" s="175">
        <f t="shared" si="100"/>
        <v>43304</v>
      </c>
      <c r="AS229" s="774">
        <f t="shared" si="101"/>
        <v>0.39285714285714285</v>
      </c>
      <c r="AT229" s="791">
        <f t="shared" si="102"/>
        <v>59.072937609774193</v>
      </c>
      <c r="AU229" s="13">
        <f t="shared" si="103"/>
        <v>9</v>
      </c>
      <c r="AV229" s="13">
        <f t="shared" si="104"/>
        <v>8</v>
      </c>
      <c r="AW229" s="175">
        <f t="shared" si="105"/>
        <v>43318</v>
      </c>
      <c r="AX229" s="774">
        <f t="shared" si="106"/>
        <v>0.10714285714285714</v>
      </c>
      <c r="AY229" s="791">
        <f t="shared" si="107"/>
        <v>59.064018659519832</v>
      </c>
      <c r="AZ229" s="765">
        <f t="shared" si="111"/>
        <v>59.068478134647009</v>
      </c>
      <c r="BA229" s="649">
        <f t="shared" si="108"/>
        <v>0.97098240298041072</v>
      </c>
      <c r="BB229" s="644">
        <v>43315</v>
      </c>
      <c r="BC229" s="11">
        <v>43315</v>
      </c>
      <c r="BD229" s="292">
        <f>[2]!FeuilCaduc*(1-Persistant)+Persistant</f>
        <v>1</v>
      </c>
      <c r="BE229" s="293">
        <f>[2]!CroissVégét</f>
        <v>0.90212075799903491</v>
      </c>
      <c r="BF229" s="844">
        <f>1+[2]!Salcycl*Ksac</f>
        <v>1.0698916539795564</v>
      </c>
      <c r="BH229" s="1107">
        <f t="shared" si="109"/>
        <v>1.6931184796540252E-3</v>
      </c>
      <c r="BI229" s="11">
        <v>44411</v>
      </c>
      <c r="BJ229" s="744">
        <v>2.3528749287785928E-4</v>
      </c>
      <c r="BK229" s="744">
        <v>6.4659536894037405E-4</v>
      </c>
      <c r="BL229" s="744">
        <v>1.4069997865629137E-3</v>
      </c>
      <c r="BM229" s="744">
        <v>2.8391973992453749E-3</v>
      </c>
      <c r="BN229" s="744">
        <v>5.5764772797830403E-3</v>
      </c>
      <c r="BO229" s="745">
        <v>1.0477282654013908E-2</v>
      </c>
      <c r="BP229" s="744">
        <v>1.7715832546543148E-2</v>
      </c>
      <c r="BQ229" s="744">
        <v>2.9062830151187893E-2</v>
      </c>
      <c r="BR229" s="744">
        <v>4.490211478949311E-2</v>
      </c>
      <c r="BS229" s="744">
        <v>6.5392224484195363E-2</v>
      </c>
      <c r="BT229" s="744">
        <v>8.7997108797305754E-2</v>
      </c>
      <c r="BW229" s="1191">
        <f>'2018'!R\Max</f>
        <v>0</v>
      </c>
      <c r="BX229" s="1189">
        <f>'2019'!R\Max</f>
        <v>0.97098240298041072</v>
      </c>
      <c r="BY229" s="1189">
        <f>'2020'!R\Max</f>
        <v>0.58392771288407719</v>
      </c>
      <c r="BZ229" s="1189">
        <f>'2021'!R\Max</f>
        <v>0.63620946130815337</v>
      </c>
      <c r="CA229" s="1189">
        <f>'2022'!R\Max</f>
        <v>0.92457520082783418</v>
      </c>
      <c r="CB229" s="1189">
        <f>'2023'!R\Max</f>
        <v>0.92451337529562172</v>
      </c>
      <c r="CC229" s="1189">
        <f>'2024'!R\Max</f>
        <v>0.92440599056163042</v>
      </c>
      <c r="CD229" s="1189">
        <f>'2025'!R\Max</f>
        <v>0.92472721833030447</v>
      </c>
      <c r="CE229" s="1189">
        <f>'2026'!R\Max</f>
        <v>0.92470469607296202</v>
      </c>
      <c r="CF229" s="1190">
        <f>'2027'!R\Max</f>
        <v>0.92467273388457283</v>
      </c>
    </row>
    <row r="230" spans="1:84" s="6" customFormat="1" ht="11.25" x14ac:dyDescent="0.2">
      <c r="A230" s="11">
        <v>43316</v>
      </c>
      <c r="B230" s="382">
        <f>'2022'!Maxi_hp</f>
        <v>52.926175209989978</v>
      </c>
      <c r="C230" s="85">
        <f>'2022'!An_max</f>
        <v>2019</v>
      </c>
      <c r="D230" s="1134"/>
      <c r="E230" s="711"/>
      <c r="F230" s="13">
        <f t="shared" si="110"/>
        <v>17</v>
      </c>
      <c r="G230" s="13">
        <f t="shared" si="94"/>
        <v>16</v>
      </c>
      <c r="H230" s="175">
        <f t="shared" si="95"/>
        <v>43318</v>
      </c>
      <c r="I230" s="774">
        <f t="shared" si="96"/>
        <v>0.14285714285714285</v>
      </c>
      <c r="J230" s="765">
        <f t="shared" si="97"/>
        <v>58.848951602833608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P230" s="13">
        <f t="shared" si="98"/>
        <v>9</v>
      </c>
      <c r="AQ230" s="13">
        <f t="shared" si="99"/>
        <v>10</v>
      </c>
      <c r="AR230" s="175">
        <f t="shared" si="100"/>
        <v>43304</v>
      </c>
      <c r="AS230" s="774">
        <f t="shared" si="101"/>
        <v>0.42857142857142855</v>
      </c>
      <c r="AT230" s="791">
        <f t="shared" si="102"/>
        <v>58.897315452354292</v>
      </c>
      <c r="AU230" s="13">
        <f t="shared" si="103"/>
        <v>9</v>
      </c>
      <c r="AV230" s="13">
        <f t="shared" si="104"/>
        <v>8</v>
      </c>
      <c r="AW230" s="175">
        <f t="shared" si="105"/>
        <v>43318</v>
      </c>
      <c r="AX230" s="774">
        <f t="shared" si="106"/>
        <v>7.1428571428571425E-2</v>
      </c>
      <c r="AY230" s="791">
        <f t="shared" si="107"/>
        <v>58.870707871578631</v>
      </c>
      <c r="AZ230" s="765">
        <f t="shared" si="111"/>
        <v>58.884011661966461</v>
      </c>
      <c r="BA230" s="649">
        <f t="shared" si="108"/>
        <v>0.89935629724016286</v>
      </c>
      <c r="BB230" s="644">
        <v>43316</v>
      </c>
      <c r="BC230" s="11">
        <v>43316</v>
      </c>
      <c r="BD230" s="292">
        <f>[2]!FeuilCaduc*(1-Persistant)+Persistant</f>
        <v>1</v>
      </c>
      <c r="BE230" s="293">
        <f>[2]!CroissVégét</f>
        <v>0.90570145106838851</v>
      </c>
      <c r="BF230" s="844">
        <f>1+[2]!Salcycl*Ksac</f>
        <v>1.0698634728615071</v>
      </c>
      <c r="BH230" s="1107">
        <f t="shared" si="109"/>
        <v>1.8028138502001062E-3</v>
      </c>
      <c r="BI230" s="11">
        <v>44412</v>
      </c>
      <c r="BJ230" s="744">
        <v>2.3112311337510926E-4</v>
      </c>
      <c r="BK230" s="744">
        <v>6.7151471682880672E-4</v>
      </c>
      <c r="BL230" s="744">
        <v>1.4909251239445167E-3</v>
      </c>
      <c r="BM230" s="744">
        <v>3.0521173841915124E-3</v>
      </c>
      <c r="BN230" s="744">
        <v>5.9876832901831446E-3</v>
      </c>
      <c r="BO230" s="745">
        <v>1.1224101126790795E-2</v>
      </c>
      <c r="BP230" s="744">
        <v>1.8991357162431433E-2</v>
      </c>
      <c r="BQ230" s="744">
        <v>3.1119211754780714E-2</v>
      </c>
      <c r="BR230" s="744">
        <v>4.7838974777186384E-2</v>
      </c>
      <c r="BS230" s="744">
        <v>6.9459701523397047E-2</v>
      </c>
      <c r="BT230" s="744">
        <v>9.3375210259675726E-2</v>
      </c>
      <c r="BW230" s="1191">
        <f>'2018'!R\Max</f>
        <v>0</v>
      </c>
      <c r="BX230" s="1189">
        <f>'2019'!R\Max</f>
        <v>0.89935629724016286</v>
      </c>
      <c r="BY230" s="1189">
        <f>'2020'!R\Max</f>
        <v>0.8587567567128267</v>
      </c>
      <c r="BZ230" s="1189">
        <f>'2021'!R\Max</f>
        <v>0.60485670774861378</v>
      </c>
      <c r="CA230" s="1189">
        <f>'2022'!R\Max</f>
        <v>0.86156523992689193</v>
      </c>
      <c r="CB230" s="1189">
        <f>'2023'!R\Max</f>
        <v>0.86145124323003341</v>
      </c>
      <c r="CC230" s="1189">
        <f>'2024'!R\Max</f>
        <v>0.86125422960457398</v>
      </c>
      <c r="CD230" s="1189">
        <f>'2025'!R\Max</f>
        <v>0.86184498160558221</v>
      </c>
      <c r="CE230" s="1189">
        <f>'2026'!R\Max</f>
        <v>0.86180333511152074</v>
      </c>
      <c r="CF230" s="1190">
        <f>'2027'!R\Max</f>
        <v>0.8617444733705597</v>
      </c>
    </row>
    <row r="231" spans="1:84" s="6" customFormat="1" ht="11.25" x14ac:dyDescent="0.2">
      <c r="A231" s="11">
        <v>43317</v>
      </c>
      <c r="B231" s="382">
        <f>'2022'!Maxi_hp</f>
        <v>57.776003242992068</v>
      </c>
      <c r="C231" s="85">
        <f>'2022'!An_max</f>
        <v>2020</v>
      </c>
      <c r="D231" s="1134"/>
      <c r="E231" s="711"/>
      <c r="F231" s="13">
        <f t="shared" si="110"/>
        <v>17</v>
      </c>
      <c r="G231" s="13">
        <f t="shared" si="94"/>
        <v>16</v>
      </c>
      <c r="H231" s="175">
        <f t="shared" si="95"/>
        <v>43318</v>
      </c>
      <c r="I231" s="774">
        <f t="shared" si="96"/>
        <v>7.1428571428571425E-2</v>
      </c>
      <c r="J231" s="765">
        <f t="shared" si="97"/>
        <v>58.661914869264841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P231" s="13">
        <f t="shared" si="98"/>
        <v>9</v>
      </c>
      <c r="AQ231" s="13">
        <f t="shared" si="99"/>
        <v>10</v>
      </c>
      <c r="AR231" s="175">
        <f t="shared" si="100"/>
        <v>43304</v>
      </c>
      <c r="AS231" s="774">
        <f t="shared" si="101"/>
        <v>0.4642857142857143</v>
      </c>
      <c r="AT231" s="791">
        <f t="shared" si="102"/>
        <v>58.717886881543585</v>
      </c>
      <c r="AU231" s="13">
        <f t="shared" si="103"/>
        <v>9</v>
      </c>
      <c r="AV231" s="13">
        <f t="shared" si="104"/>
        <v>8</v>
      </c>
      <c r="AW231" s="175">
        <f t="shared" si="105"/>
        <v>43318</v>
      </c>
      <c r="AX231" s="774">
        <f t="shared" si="106"/>
        <v>3.5714285714285712E-2</v>
      </c>
      <c r="AY231" s="791">
        <f t="shared" si="107"/>
        <v>58.672862974008808</v>
      </c>
      <c r="AZ231" s="765">
        <f t="shared" si="111"/>
        <v>58.6953749277762</v>
      </c>
      <c r="BA231" s="649">
        <f t="shared" si="108"/>
        <v>0.98489801043407577</v>
      </c>
      <c r="BB231" s="644">
        <v>43317</v>
      </c>
      <c r="BC231" s="11">
        <v>43317</v>
      </c>
      <c r="BD231" s="292">
        <f>[2]!FeuilCaduc*(1-Persistant)+Persistant</f>
        <v>1</v>
      </c>
      <c r="BE231" s="293">
        <f>[2]!CroissVégét</f>
        <v>0.90916476701567317</v>
      </c>
      <c r="BF231" s="844">
        <f>1+[2]!Salcycl*Ksac</f>
        <v>1.0698316947702151</v>
      </c>
      <c r="BH231" s="1107">
        <f t="shared" si="109"/>
        <v>1.9239399234334729E-3</v>
      </c>
      <c r="BI231" s="11">
        <v>44413</v>
      </c>
      <c r="BJ231" s="744">
        <v>2.2830723016303348E-4</v>
      </c>
      <c r="BK231" s="744">
        <v>7.00537008375417E-4</v>
      </c>
      <c r="BL231" s="744">
        <v>1.5839965023789679E-3</v>
      </c>
      <c r="BM231" s="744">
        <v>3.2856195274999903E-3</v>
      </c>
      <c r="BN231" s="744">
        <v>6.4353849342661433E-3</v>
      </c>
      <c r="BO231" s="745">
        <v>1.2023383041209416E-2</v>
      </c>
      <c r="BP231" s="744">
        <v>2.0348334990009546E-2</v>
      </c>
      <c r="BQ231" s="744">
        <v>3.3272704808409943E-2</v>
      </c>
      <c r="BR231" s="744">
        <v>5.0880913968199097E-2</v>
      </c>
      <c r="BS231" s="744">
        <v>7.3632418764108185E-2</v>
      </c>
      <c r="BT231" s="744">
        <v>9.8878260129317899E-2</v>
      </c>
      <c r="BW231" s="1191">
        <f>'2018'!R\Max</f>
        <v>0</v>
      </c>
      <c r="BX231" s="1189">
        <f>'2019'!R\Max</f>
        <v>0.91753333768306777</v>
      </c>
      <c r="BY231" s="1189">
        <f>'2020'!R\Max</f>
        <v>0.98489801043407577</v>
      </c>
      <c r="BZ231" s="1189">
        <f>'2021'!R\Max</f>
        <v>0.85619075806228973</v>
      </c>
      <c r="CA231" s="1189">
        <f>'2022'!R\Max</f>
        <v>0.84611466996839402</v>
      </c>
      <c r="CB231" s="1189">
        <f>'2023'!R\Max</f>
        <v>0.8459806859959641</v>
      </c>
      <c r="CC231" s="1189">
        <f>'2024'!R\Max</f>
        <v>0.84575060188622964</v>
      </c>
      <c r="CD231" s="1189">
        <f>'2025'!R\Max</f>
        <v>0.84644297950273717</v>
      </c>
      <c r="CE231" s="1189">
        <f>'2026'!R\Max</f>
        <v>0.84639381686558612</v>
      </c>
      <c r="CF231" s="1190">
        <f>'2027'!R\Max</f>
        <v>0.84632465503113496</v>
      </c>
    </row>
    <row r="232" spans="1:84" s="6" customFormat="1" ht="11.25" x14ac:dyDescent="0.2">
      <c r="A232" s="11">
        <v>43318</v>
      </c>
      <c r="B232" s="382">
        <f>'2022'!Maxi_hp</f>
        <v>56.847097363544755</v>
      </c>
      <c r="C232" s="85">
        <f>'2022'!An_max</f>
        <v>2020</v>
      </c>
      <c r="D232" s="1134"/>
      <c r="E232" s="773">
        <f>AC$13/10</f>
        <v>58.470400000000005</v>
      </c>
      <c r="F232" s="13">
        <f t="shared" si="110"/>
        <v>17</v>
      </c>
      <c r="G232" s="13">
        <f t="shared" si="94"/>
        <v>18</v>
      </c>
      <c r="H232" s="175">
        <f t="shared" si="95"/>
        <v>43318</v>
      </c>
      <c r="I232" s="774">
        <f t="shared" si="96"/>
        <v>0</v>
      </c>
      <c r="J232" s="765">
        <f t="shared" si="97"/>
        <v>58.47040000036359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P232" s="13">
        <f t="shared" si="98"/>
        <v>9</v>
      </c>
      <c r="AQ232" s="13">
        <f t="shared" si="99"/>
        <v>10</v>
      </c>
      <c r="AR232" s="175">
        <f t="shared" si="100"/>
        <v>43304</v>
      </c>
      <c r="AS232" s="774">
        <f t="shared" si="101"/>
        <v>0.5</v>
      </c>
      <c r="AT232" s="791">
        <f t="shared" si="102"/>
        <v>58.53440000042319</v>
      </c>
      <c r="AU232" s="13">
        <f t="shared" si="103"/>
        <v>9</v>
      </c>
      <c r="AV232" s="13">
        <f t="shared" si="104"/>
        <v>10</v>
      </c>
      <c r="AW232" s="175">
        <f t="shared" si="105"/>
        <v>43318</v>
      </c>
      <c r="AX232" s="774">
        <f t="shared" si="106"/>
        <v>0</v>
      </c>
      <c r="AY232" s="791">
        <f t="shared" si="107"/>
        <v>58.47040000036359</v>
      </c>
      <c r="AZ232" s="765">
        <f t="shared" si="111"/>
        <v>58.502400000393393</v>
      </c>
      <c r="BA232" s="649">
        <f t="shared" si="108"/>
        <v>0.9722371894700782</v>
      </c>
      <c r="BB232" s="644">
        <v>43318</v>
      </c>
      <c r="BC232" s="11">
        <v>43318</v>
      </c>
      <c r="BD232" s="292">
        <f>[2]!FeuilCaduc*(1-Persistant)+Persistant</f>
        <v>1</v>
      </c>
      <c r="BE232" s="293">
        <f>[2]!CroissVégét</f>
        <v>0.91251360163473627</v>
      </c>
      <c r="BF232" s="844">
        <f>1+[2]!Salcycl*Ksac</f>
        <v>1.0697964324309124</v>
      </c>
      <c r="BH232" s="1107">
        <f t="shared" si="109"/>
        <v>2.0564967868576668E-3</v>
      </c>
      <c r="BI232" s="11">
        <v>44414</v>
      </c>
      <c r="BJ232" s="744">
        <v>2.2683930001438039E-4</v>
      </c>
      <c r="BK232" s="744">
        <v>7.3366180452486647E-4</v>
      </c>
      <c r="BL232" s="744">
        <v>1.6862138539564565E-3</v>
      </c>
      <c r="BM232" s="744">
        <v>3.539704539199098E-3</v>
      </c>
      <c r="BN232" s="744">
        <v>6.91958437401273E-3</v>
      </c>
      <c r="BO232" s="745">
        <v>1.2875135695791086E-2</v>
      </c>
      <c r="BP232" s="744">
        <v>2.1786780601072891E-2</v>
      </c>
      <c r="BQ232" s="744">
        <v>3.5523341262100751E-2</v>
      </c>
      <c r="BR232" s="744">
        <v>5.4027985419364773E-2</v>
      </c>
      <c r="BS232" s="744">
        <v>7.7910458855211959E-2</v>
      </c>
      <c r="BT232" s="744">
        <v>0.10450637079406315</v>
      </c>
      <c r="BW232" s="1191">
        <f>'2018'!R\Max</f>
        <v>0</v>
      </c>
      <c r="BX232" s="1189">
        <f>'2019'!R\Max</f>
        <v>0.73458375427196398</v>
      </c>
      <c r="BY232" s="1189">
        <f>'2020'!R\Max</f>
        <v>0.9722371894700782</v>
      </c>
      <c r="BZ232" s="1189">
        <f>'2021'!R\Max</f>
        <v>0.36758656350986124</v>
      </c>
      <c r="CA232" s="1189">
        <f>'2022'!R\Max</f>
        <v>0.90025069720365491</v>
      </c>
      <c r="CB232" s="1189">
        <f>'2023'!R\Max</f>
        <v>0.90015134469338121</v>
      </c>
      <c r="CC232" s="1189">
        <f>'2024'!R\Max</f>
        <v>0.89998197741101105</v>
      </c>
      <c r="CD232" s="1189">
        <f>'2025'!R\Max</f>
        <v>0.90049386816751908</v>
      </c>
      <c r="CE232" s="1189">
        <f>'2026'!R\Max</f>
        <v>0.90045721854395222</v>
      </c>
      <c r="CF232" s="1190">
        <f>'2027'!R\Max</f>
        <v>0.90040591938569159</v>
      </c>
    </row>
    <row r="233" spans="1:84" s="6" customFormat="1" ht="11.25" x14ac:dyDescent="0.2">
      <c r="A233" s="11">
        <v>43319</v>
      </c>
      <c r="B233" s="382">
        <f>'2022'!Maxi_hp</f>
        <v>56.073477746368091</v>
      </c>
      <c r="C233" s="85">
        <f>'2022'!An_max</f>
        <v>2022</v>
      </c>
      <c r="D233" s="1134"/>
      <c r="E233" s="711"/>
      <c r="F233" s="13">
        <f t="shared" si="110"/>
        <v>17</v>
      </c>
      <c r="G233" s="13">
        <f t="shared" si="94"/>
        <v>18</v>
      </c>
      <c r="H233" s="175">
        <f t="shared" si="95"/>
        <v>43318</v>
      </c>
      <c r="I233" s="774">
        <f t="shared" si="96"/>
        <v>7.1428571428571425E-2</v>
      </c>
      <c r="J233" s="765">
        <f t="shared" si="97"/>
        <v>58.275713119762294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P233" s="13">
        <f t="shared" si="98"/>
        <v>9</v>
      </c>
      <c r="AQ233" s="13">
        <f t="shared" si="99"/>
        <v>10</v>
      </c>
      <c r="AR233" s="175">
        <f t="shared" si="100"/>
        <v>43304</v>
      </c>
      <c r="AS233" s="774">
        <f t="shared" si="101"/>
        <v>0.5357142857142857</v>
      </c>
      <c r="AT233" s="791">
        <f t="shared" si="102"/>
        <v>58.346602916504665</v>
      </c>
      <c r="AU233" s="13">
        <f t="shared" si="103"/>
        <v>9</v>
      </c>
      <c r="AV233" s="13">
        <f t="shared" si="104"/>
        <v>10</v>
      </c>
      <c r="AW233" s="175">
        <f t="shared" si="105"/>
        <v>43318</v>
      </c>
      <c r="AX233" s="774">
        <f t="shared" si="106"/>
        <v>3.5714285714285712E-2</v>
      </c>
      <c r="AY233" s="791">
        <f t="shared" si="107"/>
        <v>58.264585422139078</v>
      </c>
      <c r="AZ233" s="765">
        <f t="shared" si="111"/>
        <v>58.305594169321871</v>
      </c>
      <c r="BA233" s="649">
        <f t="shared" si="108"/>
        <v>0.96221006564315403</v>
      </c>
      <c r="BB233" s="644">
        <v>43319</v>
      </c>
      <c r="BC233" s="11">
        <v>43319</v>
      </c>
      <c r="BD233" s="292">
        <f>[2]!FeuilCaduc*(1-Persistant)+Persistant</f>
        <v>1</v>
      </c>
      <c r="BE233" s="293">
        <f>[2]!CroissVégét</f>
        <v>0.91575084939386342</v>
      </c>
      <c r="BF233" s="844">
        <f>1+[2]!Salcycl*Ksac</f>
        <v>1.0697577685818316</v>
      </c>
      <c r="BH233" s="1107">
        <f t="shared" si="109"/>
        <v>2.200485096788639E-3</v>
      </c>
      <c r="BI233" s="11">
        <v>44415</v>
      </c>
      <c r="BJ233" s="744">
        <v>2.267188678335371E-4</v>
      </c>
      <c r="BK233" s="744">
        <v>7.7088888815429496E-4</v>
      </c>
      <c r="BL233" s="744">
        <v>1.7975775705821352E-3</v>
      </c>
      <c r="BM233" s="744">
        <v>3.8143741347304201E-3</v>
      </c>
      <c r="BN233" s="744">
        <v>7.4402855122971427E-3</v>
      </c>
      <c r="BO233" s="745">
        <v>1.377936869800047E-2</v>
      </c>
      <c r="BP233" s="744">
        <v>2.3306712008213767E-2</v>
      </c>
      <c r="BQ233" s="744">
        <v>3.7871156502365326E-2</v>
      </c>
      <c r="BR233" s="744">
        <v>5.728024501900391E-2</v>
      </c>
      <c r="BS233" s="744">
        <v>8.2293905878801824E-2</v>
      </c>
      <c r="BT233" s="744">
        <v>0.11025965565933545</v>
      </c>
      <c r="BW233" s="1191">
        <f>'2018'!R\Max</f>
        <v>0</v>
      </c>
      <c r="BX233" s="1189">
        <f>'2019'!R\Max</f>
        <v>0.78642341071346444</v>
      </c>
      <c r="BY233" s="1189">
        <f>'2020'!R\Max</f>
        <v>0.94216917385274812</v>
      </c>
      <c r="BZ233" s="1189">
        <f>'2021'!R\Max</f>
        <v>0.43093412919124274</v>
      </c>
      <c r="CA233" s="1189">
        <f>'2022'!R\Max</f>
        <v>0.96221006564315403</v>
      </c>
      <c r="CB233" s="1189">
        <f>'2023'!R\Max</f>
        <v>0.96216687447310667</v>
      </c>
      <c r="CC233" s="1189">
        <f>'2024'!R\Max</f>
        <v>0.96209384470970583</v>
      </c>
      <c r="CD233" s="1189">
        <f>'2025'!R\Max</f>
        <v>0.96231570285101797</v>
      </c>
      <c r="CE233" s="1189">
        <f>'2026'!R\Max</f>
        <v>0.96229967007214334</v>
      </c>
      <c r="CF233" s="1190">
        <f>'2027'!R\Max</f>
        <v>0.96227734823439581</v>
      </c>
    </row>
    <row r="234" spans="1:84" s="6" customFormat="1" ht="11.25" x14ac:dyDescent="0.2">
      <c r="A234" s="11">
        <v>43320</v>
      </c>
      <c r="B234" s="382">
        <f>'2022'!Maxi_hp</f>
        <v>56.876275086433836</v>
      </c>
      <c r="C234" s="85">
        <f>'2022'!An_max</f>
        <v>2022</v>
      </c>
      <c r="D234" s="1134"/>
      <c r="E234" s="711"/>
      <c r="F234" s="13">
        <f t="shared" si="110"/>
        <v>17</v>
      </c>
      <c r="G234" s="13">
        <f t="shared" si="94"/>
        <v>18</v>
      </c>
      <c r="H234" s="175">
        <f t="shared" si="95"/>
        <v>43318</v>
      </c>
      <c r="I234" s="774">
        <f t="shared" si="96"/>
        <v>0.14285714285714285</v>
      </c>
      <c r="J234" s="765">
        <f t="shared" si="97"/>
        <v>58.079011078817508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P234" s="13">
        <f t="shared" si="98"/>
        <v>9</v>
      </c>
      <c r="AQ234" s="13">
        <f t="shared" si="99"/>
        <v>10</v>
      </c>
      <c r="AR234" s="175">
        <f t="shared" si="100"/>
        <v>43304</v>
      </c>
      <c r="AS234" s="774">
        <f t="shared" si="101"/>
        <v>0.5714285714285714</v>
      </c>
      <c r="AT234" s="791">
        <f t="shared" si="102"/>
        <v>58.154243732935619</v>
      </c>
      <c r="AU234" s="13">
        <f t="shared" si="103"/>
        <v>9</v>
      </c>
      <c r="AV234" s="13">
        <f t="shared" si="104"/>
        <v>10</v>
      </c>
      <c r="AW234" s="175">
        <f t="shared" si="105"/>
        <v>43318</v>
      </c>
      <c r="AX234" s="774">
        <f t="shared" si="106"/>
        <v>7.1428571428571425E-2</v>
      </c>
      <c r="AY234" s="791">
        <f t="shared" si="107"/>
        <v>58.05660174888159</v>
      </c>
      <c r="AZ234" s="765">
        <f t="shared" si="111"/>
        <v>58.105422740908608</v>
      </c>
      <c r="BA234" s="649">
        <f t="shared" si="108"/>
        <v>0.97929138306519248</v>
      </c>
      <c r="BB234" s="644">
        <v>43320</v>
      </c>
      <c r="BC234" s="11">
        <v>43320</v>
      </c>
      <c r="BD234" s="292">
        <f>[2]!FeuilCaduc*(1-Persistant)+Persistant</f>
        <v>1</v>
      </c>
      <c r="BE234" s="293">
        <f>[2]!CroissVégét</f>
        <v>0.91887939725970647</v>
      </c>
      <c r="BF234" s="844">
        <f>1+[2]!Salcycl*Ksac</f>
        <v>1.0697157575226408</v>
      </c>
      <c r="BH234" s="1107">
        <f t="shared" si="109"/>
        <v>2.366437150112598E-3</v>
      </c>
      <c r="BI234" s="11">
        <v>44416</v>
      </c>
      <c r="BJ234" s="744">
        <v>2.2980496148340953E-4</v>
      </c>
      <c r="BK234" s="744">
        <v>8.1783120223410119E-4</v>
      </c>
      <c r="BL234" s="744">
        <v>1.9279134256444336E-3</v>
      </c>
      <c r="BM234" s="744">
        <v>4.1229906661515046E-3</v>
      </c>
      <c r="BN234" s="744">
        <v>8.0166834484851797E-3</v>
      </c>
      <c r="BO234" s="745">
        <v>1.4760034286113053E-2</v>
      </c>
      <c r="BP234" s="744">
        <v>2.4926547171766969E-2</v>
      </c>
      <c r="BQ234" s="744">
        <v>4.0319001516134059E-2</v>
      </c>
      <c r="BR234" s="744">
        <v>6.062371333423603E-2</v>
      </c>
      <c r="BS234" s="744">
        <v>8.6722643974102939E-2</v>
      </c>
      <c r="BT234" s="744">
        <v>0.11599910645843195</v>
      </c>
      <c r="BW234" s="1191">
        <f>'2018'!R\Max</f>
        <v>0</v>
      </c>
      <c r="BX234" s="1189">
        <f>'2019'!R\Max</f>
        <v>0.93766227368348254</v>
      </c>
      <c r="BY234" s="1189">
        <f>'2020'!R\Max</f>
        <v>0.90247478441616802</v>
      </c>
      <c r="BZ234" s="1189">
        <f>'2021'!R\Max</f>
        <v>0.64319839754891195</v>
      </c>
      <c r="CA234" s="1189">
        <f>'2022'!R\Max</f>
        <v>0.97929138306519248</v>
      </c>
      <c r="CB234" s="1189">
        <f>'2023'!R\Max</f>
        <v>0.97926557727099417</v>
      </c>
      <c r="CC234" s="1189">
        <f>'2024'!R\Max</f>
        <v>0.97922235029853644</v>
      </c>
      <c r="CD234" s="1189">
        <f>'2025'!R\Max</f>
        <v>0.9793545639523964</v>
      </c>
      <c r="CE234" s="1189">
        <f>'2026'!R\Max</f>
        <v>0.97934489379855338</v>
      </c>
      <c r="CF234" s="1190">
        <f>'2027'!R\Max</f>
        <v>0.97933151011141883</v>
      </c>
    </row>
    <row r="235" spans="1:84" s="6" customFormat="1" ht="11.25" x14ac:dyDescent="0.2">
      <c r="A235" s="11">
        <v>43321</v>
      </c>
      <c r="B235" s="382">
        <f>'2022'!Maxi_hp</f>
        <v>56.037140301395539</v>
      </c>
      <c r="C235" s="85">
        <f>'2022'!An_max</f>
        <v>2021</v>
      </c>
      <c r="D235" s="1134"/>
      <c r="E235" s="711"/>
      <c r="F235" s="13">
        <f t="shared" si="110"/>
        <v>17</v>
      </c>
      <c r="G235" s="13">
        <f t="shared" si="94"/>
        <v>18</v>
      </c>
      <c r="H235" s="175">
        <f t="shared" si="95"/>
        <v>43318</v>
      </c>
      <c r="I235" s="774">
        <f t="shared" si="96"/>
        <v>0.21428571428571427</v>
      </c>
      <c r="J235" s="765">
        <f t="shared" si="97"/>
        <v>57.879846063788456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P235" s="13">
        <f t="shared" si="98"/>
        <v>9</v>
      </c>
      <c r="AQ235" s="13">
        <f t="shared" si="99"/>
        <v>10</v>
      </c>
      <c r="AR235" s="175">
        <f t="shared" si="100"/>
        <v>43304</v>
      </c>
      <c r="AS235" s="774">
        <f t="shared" si="101"/>
        <v>0.6071428571428571</v>
      </c>
      <c r="AT235" s="791">
        <f t="shared" si="102"/>
        <v>57.957070554633233</v>
      </c>
      <c r="AU235" s="13">
        <f t="shared" si="103"/>
        <v>9</v>
      </c>
      <c r="AV235" s="13">
        <f t="shared" si="104"/>
        <v>10</v>
      </c>
      <c r="AW235" s="175">
        <f t="shared" si="105"/>
        <v>43318</v>
      </c>
      <c r="AX235" s="774">
        <f t="shared" si="106"/>
        <v>0.10714285714285714</v>
      </c>
      <c r="AY235" s="791">
        <f t="shared" si="107"/>
        <v>57.846239066629536</v>
      </c>
      <c r="AZ235" s="765">
        <f t="shared" si="111"/>
        <v>57.901654810631385</v>
      </c>
      <c r="BA235" s="649">
        <f t="shared" si="108"/>
        <v>0.96816325737352338</v>
      </c>
      <c r="BB235" s="644">
        <v>43321</v>
      </c>
      <c r="BC235" s="11">
        <v>43321</v>
      </c>
      <c r="BD235" s="292">
        <f>[2]!FeuilCaduc*(1-Persistant)+Persistant</f>
        <v>1</v>
      </c>
      <c r="BE235" s="293">
        <f>[2]!CroissVégét</f>
        <v>0.92190211899696306</v>
      </c>
      <c r="BF235" s="844">
        <f>1+[2]!Salcycl*Ksac</f>
        <v>1.069670426743957</v>
      </c>
      <c r="BH235" s="1107">
        <f t="shared" si="109"/>
        <v>2.5521264567866602E-3</v>
      </c>
      <c r="BI235" s="11">
        <v>44417</v>
      </c>
      <c r="BJ235" s="744">
        <v>2.357487572336879E-4</v>
      </c>
      <c r="BK235" s="744">
        <v>8.7353744924942398E-4</v>
      </c>
      <c r="BL235" s="744">
        <v>2.0755960242030487E-3</v>
      </c>
      <c r="BM235" s="744">
        <v>4.4609198929216097E-3</v>
      </c>
      <c r="BN235" s="744">
        <v>8.6393411752280769E-3</v>
      </c>
      <c r="BO235" s="745">
        <v>1.5797935359758555E-2</v>
      </c>
      <c r="BP235" s="744">
        <v>2.6608252575481828E-2</v>
      </c>
      <c r="BQ235" s="744">
        <v>4.2798086537099454E-2</v>
      </c>
      <c r="BR235" s="744">
        <v>6.3969942155206558E-2</v>
      </c>
      <c r="BS235" s="744">
        <v>9.1078294680765212E-2</v>
      </c>
      <c r="BT235" s="744">
        <v>0.12156870396810801</v>
      </c>
      <c r="BW235" s="1191">
        <f>'2018'!R\Max</f>
        <v>0</v>
      </c>
      <c r="BX235" s="1189">
        <f>'2019'!R\Max</f>
        <v>0.88098857464184988</v>
      </c>
      <c r="BY235" s="1189">
        <f>'2020'!R\Max</f>
        <v>0.88732459220897542</v>
      </c>
      <c r="BZ235" s="1189">
        <f>'2021'!R\Max</f>
        <v>0.96816325737352338</v>
      </c>
      <c r="CA235" s="1189">
        <f>'2022'!R\Max</f>
        <v>0.94520939822278904</v>
      </c>
      <c r="CB235" s="1189">
        <f>'2023'!R\Max</f>
        <v>0.9451390696920533</v>
      </c>
      <c r="CC235" s="1189">
        <f>'2024'!R\Max</f>
        <v>0.94502249709564545</v>
      </c>
      <c r="CD235" s="1189">
        <f>'2025'!R\Max</f>
        <v>0.94538208751580699</v>
      </c>
      <c r="CE235" s="1189">
        <f>'2026'!R\Max</f>
        <v>0.94535539668789692</v>
      </c>
      <c r="CF235" s="1190">
        <f>'2027'!R\Max</f>
        <v>0.94531869344467456</v>
      </c>
    </row>
    <row r="236" spans="1:84" s="6" customFormat="1" ht="11.25" x14ac:dyDescent="0.2">
      <c r="A236" s="11">
        <v>43322</v>
      </c>
      <c r="B236" s="382">
        <f>'2022'!Maxi_hp</f>
        <v>52.689465220903699</v>
      </c>
      <c r="C236" s="85">
        <f>'2022'!An_max</f>
        <v>2022</v>
      </c>
      <c r="D236" s="1134"/>
      <c r="E236" s="711"/>
      <c r="F236" s="13">
        <f t="shared" si="110"/>
        <v>17</v>
      </c>
      <c r="G236" s="13">
        <f t="shared" si="94"/>
        <v>18</v>
      </c>
      <c r="H236" s="175">
        <f t="shared" si="95"/>
        <v>43318</v>
      </c>
      <c r="I236" s="774">
        <f t="shared" si="96"/>
        <v>0.2857142857142857</v>
      </c>
      <c r="J236" s="765">
        <f t="shared" si="97"/>
        <v>57.67777026221156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P236" s="13">
        <f t="shared" si="98"/>
        <v>9</v>
      </c>
      <c r="AQ236" s="13">
        <f t="shared" si="99"/>
        <v>10</v>
      </c>
      <c r="AR236" s="175">
        <f t="shared" si="100"/>
        <v>43304</v>
      </c>
      <c r="AS236" s="774">
        <f t="shared" si="101"/>
        <v>0.6428571428571429</v>
      </c>
      <c r="AT236" s="791">
        <f t="shared" si="102"/>
        <v>57.754831487924925</v>
      </c>
      <c r="AU236" s="13">
        <f t="shared" si="103"/>
        <v>9</v>
      </c>
      <c r="AV236" s="13">
        <f t="shared" si="104"/>
        <v>10</v>
      </c>
      <c r="AW236" s="175">
        <f t="shared" si="105"/>
        <v>43318</v>
      </c>
      <c r="AX236" s="774">
        <f t="shared" si="106"/>
        <v>0.14285714285714285</v>
      </c>
      <c r="AY236" s="791">
        <f t="shared" si="107"/>
        <v>57.63328746291144</v>
      </c>
      <c r="AZ236" s="765">
        <f t="shared" si="111"/>
        <v>57.694059475418186</v>
      </c>
      <c r="BA236" s="649">
        <f t="shared" si="108"/>
        <v>0.91351425308866319</v>
      </c>
      <c r="BB236" s="644">
        <v>43322</v>
      </c>
      <c r="BC236" s="11">
        <v>43322</v>
      </c>
      <c r="BD236" s="292">
        <f>[2]!FeuilCaduc*(1-Persistant)+Persistant</f>
        <v>1</v>
      </c>
      <c r="BE236" s="293">
        <f>[2]!CroissVégét</f>
        <v>0.92482186992875737</v>
      </c>
      <c r="BF236" s="844">
        <f>1+[2]!Salcycl*Ksac</f>
        <v>1.0696217786129636</v>
      </c>
      <c r="BH236" s="1107">
        <f t="shared" si="109"/>
        <v>2.7575543494878013E-3</v>
      </c>
      <c r="BI236" s="11">
        <v>44418</v>
      </c>
      <c r="BJ236" s="744">
        <v>2.4454988905322074E-4</v>
      </c>
      <c r="BK236" s="744">
        <v>9.3800753438038058E-4</v>
      </c>
      <c r="BL236" s="744">
        <v>2.2406261443634477E-3</v>
      </c>
      <c r="BM236" s="744">
        <v>4.8281653691129968E-3</v>
      </c>
      <c r="BN236" s="744">
        <v>9.3082663700464457E-3</v>
      </c>
      <c r="BO236" s="745">
        <v>1.6893087512519202E-2</v>
      </c>
      <c r="BP236" s="744">
        <v>2.8351858184768573E-2</v>
      </c>
      <c r="BQ236" s="744">
        <v>4.5308464372475425E-2</v>
      </c>
      <c r="BR236" s="744">
        <v>6.7319007248374266E-2</v>
      </c>
      <c r="BS236" s="744">
        <v>9.5360966663875266E-2</v>
      </c>
      <c r="BT236" s="744">
        <v>0.12696859796801119</v>
      </c>
      <c r="BW236" s="1191">
        <f>'2018'!R\Max</f>
        <v>0</v>
      </c>
      <c r="BX236" s="1189">
        <f>'2019'!R\Max</f>
        <v>0.7499384272916636</v>
      </c>
      <c r="BY236" s="1189">
        <f>'2020'!R\Max</f>
        <v>0.71818274572817464</v>
      </c>
      <c r="BZ236" s="1189">
        <f>'2021'!R\Max</f>
        <v>0.89082680651160417</v>
      </c>
      <c r="CA236" s="1189">
        <f>'2022'!R\Max</f>
        <v>0.91351425308866319</v>
      </c>
      <c r="CB236" s="1189">
        <f>'2023'!R\Max</f>
        <v>0.91340013744850879</v>
      </c>
      <c r="CC236" s="1189">
        <f>'2024'!R\Max</f>
        <v>0.91321312365339846</v>
      </c>
      <c r="CD236" s="1189">
        <f>'2025'!R\Max</f>
        <v>0.9137956692179483</v>
      </c>
      <c r="CE236" s="1189">
        <f>'2026'!R\Max</f>
        <v>0.91375170522795224</v>
      </c>
      <c r="CF236" s="1190">
        <f>'2027'!R\Max</f>
        <v>0.91369165695711063</v>
      </c>
    </row>
    <row r="237" spans="1:84" s="6" customFormat="1" ht="11.25" x14ac:dyDescent="0.2">
      <c r="A237" s="11">
        <v>43323</v>
      </c>
      <c r="B237" s="382">
        <f>'2022'!Maxi_hp</f>
        <v>51.041583493059605</v>
      </c>
      <c r="C237" s="85">
        <f>'2022'!An_max</f>
        <v>2021</v>
      </c>
      <c r="D237" s="1134"/>
      <c r="E237" s="711"/>
      <c r="F237" s="13">
        <f t="shared" si="110"/>
        <v>17</v>
      </c>
      <c r="G237" s="13">
        <f t="shared" si="94"/>
        <v>18</v>
      </c>
      <c r="H237" s="175">
        <f t="shared" si="95"/>
        <v>43318</v>
      </c>
      <c r="I237" s="774">
        <f t="shared" si="96"/>
        <v>0.35714285714285715</v>
      </c>
      <c r="J237" s="765">
        <f t="shared" si="97"/>
        <v>57.472335859973512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P237" s="13">
        <f t="shared" si="98"/>
        <v>9</v>
      </c>
      <c r="AQ237" s="13">
        <f t="shared" si="99"/>
        <v>10</v>
      </c>
      <c r="AR237" s="175">
        <f t="shared" si="100"/>
        <v>43304</v>
      </c>
      <c r="AS237" s="774">
        <f t="shared" si="101"/>
        <v>0.6785714285714286</v>
      </c>
      <c r="AT237" s="791">
        <f t="shared" si="102"/>
        <v>57.547274636104703</v>
      </c>
      <c r="AU237" s="13">
        <f t="shared" si="103"/>
        <v>9</v>
      </c>
      <c r="AV237" s="13">
        <f t="shared" si="104"/>
        <v>10</v>
      </c>
      <c r="AW237" s="175">
        <f t="shared" si="105"/>
        <v>43318</v>
      </c>
      <c r="AX237" s="774">
        <f t="shared" si="106"/>
        <v>0.17857142857142858</v>
      </c>
      <c r="AY237" s="791">
        <f t="shared" si="107"/>
        <v>57.417537025122762</v>
      </c>
      <c r="AZ237" s="765">
        <f t="shared" si="111"/>
        <v>57.482405830613729</v>
      </c>
      <c r="BA237" s="649">
        <f t="shared" si="108"/>
        <v>0.8881069949448045</v>
      </c>
      <c r="BB237" s="644">
        <v>43323</v>
      </c>
      <c r="BC237" s="11">
        <v>43323</v>
      </c>
      <c r="BD237" s="292">
        <f>[2]!FeuilCaduc*(1-Persistant)+Persistant</f>
        <v>1</v>
      </c>
      <c r="BE237" s="293">
        <f>[2]!CroissVégét</f>
        <v>0.92764148214144238</v>
      </c>
      <c r="BF237" s="844">
        <f>1+[2]!Salcycl*Ksac</f>
        <v>1.0695697920903828</v>
      </c>
      <c r="BH237" s="1107">
        <f t="shared" si="109"/>
        <v>2.9827230250101216E-3</v>
      </c>
      <c r="BI237" s="11">
        <v>44419</v>
      </c>
      <c r="BJ237" s="744">
        <v>2.5620814198970039E-4</v>
      </c>
      <c r="BK237" s="744">
        <v>1.011241779717452E-3</v>
      </c>
      <c r="BL237" s="744">
        <v>2.4230053429704552E-3</v>
      </c>
      <c r="BM237" s="744">
        <v>5.2247318549047935E-3</v>
      </c>
      <c r="BN237" s="744">
        <v>1.0023468502452487E-2</v>
      </c>
      <c r="BO237" s="745">
        <v>1.8045508221362843E-2</v>
      </c>
      <c r="BP237" s="744">
        <v>3.0157395303225046E-2</v>
      </c>
      <c r="BQ237" s="744">
        <v>4.7850186472535132E-2</v>
      </c>
      <c r="BR237" s="744">
        <v>7.0670980358181326E-2</v>
      </c>
      <c r="BS237" s="744">
        <v>9.9570759093515607E-2</v>
      </c>
      <c r="BT237" s="744">
        <v>0.13219892185421725</v>
      </c>
      <c r="BW237" s="1191">
        <f>'2018'!R\Max</f>
        <v>0</v>
      </c>
      <c r="BX237" s="1189">
        <f>'2019'!R\Max</f>
        <v>0.48236298186147691</v>
      </c>
      <c r="BY237" s="1189">
        <f>'2020'!R\Max</f>
        <v>0.6586858112018058</v>
      </c>
      <c r="BZ237" s="1189">
        <f>'2021'!R\Max</f>
        <v>0.8881069949448045</v>
      </c>
      <c r="CA237" s="1189">
        <f>'2022'!R\Max</f>
        <v>0.83045050501541973</v>
      </c>
      <c r="CB237" s="1189">
        <f>'2023'!R\Max</f>
        <v>0.83023485739788772</v>
      </c>
      <c r="CC237" s="1189">
        <f>'2024'!R\Max</f>
        <v>0.82988577291135701</v>
      </c>
      <c r="CD237" s="1189">
        <f>'2025'!R\Max</f>
        <v>0.83098537752129431</v>
      </c>
      <c r="CE237" s="1189">
        <f>'2026'!R\Max</f>
        <v>0.8309008459907451</v>
      </c>
      <c r="CF237" s="1190">
        <f>'2027'!R\Max</f>
        <v>0.83078620025082806</v>
      </c>
    </row>
    <row r="238" spans="1:84" s="6" customFormat="1" ht="11.25" x14ac:dyDescent="0.2">
      <c r="A238" s="11">
        <v>43324</v>
      </c>
      <c r="B238" s="382">
        <f>'2022'!Maxi_hp</f>
        <v>50.771415231973002</v>
      </c>
      <c r="C238" s="85">
        <f>'2022'!An_max</f>
        <v>2022</v>
      </c>
      <c r="D238" s="1134"/>
      <c r="E238" s="711"/>
      <c r="F238" s="13">
        <f t="shared" si="110"/>
        <v>17</v>
      </c>
      <c r="G238" s="13">
        <f t="shared" si="94"/>
        <v>18</v>
      </c>
      <c r="H238" s="175">
        <f t="shared" si="95"/>
        <v>43318</v>
      </c>
      <c r="I238" s="774">
        <f t="shared" si="96"/>
        <v>0.42857142857142855</v>
      </c>
      <c r="J238" s="765">
        <f t="shared" si="97"/>
        <v>57.263095043599606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P238" s="13">
        <f t="shared" si="98"/>
        <v>9</v>
      </c>
      <c r="AQ238" s="13">
        <f t="shared" si="99"/>
        <v>10</v>
      </c>
      <c r="AR238" s="175">
        <f t="shared" si="100"/>
        <v>43304</v>
      </c>
      <c r="AS238" s="774">
        <f t="shared" si="101"/>
        <v>0.7142857142857143</v>
      </c>
      <c r="AT238" s="791">
        <f t="shared" si="102"/>
        <v>57.334148105872529</v>
      </c>
      <c r="AU238" s="13">
        <f t="shared" si="103"/>
        <v>9</v>
      </c>
      <c r="AV238" s="13">
        <f t="shared" si="104"/>
        <v>10</v>
      </c>
      <c r="AW238" s="175">
        <f t="shared" si="105"/>
        <v>43318</v>
      </c>
      <c r="AX238" s="774">
        <f t="shared" si="106"/>
        <v>0.21428571428571427</v>
      </c>
      <c r="AY238" s="791">
        <f t="shared" si="107"/>
        <v>57.198777842628104</v>
      </c>
      <c r="AZ238" s="765">
        <f t="shared" si="111"/>
        <v>57.266462974250317</v>
      </c>
      <c r="BA238" s="649">
        <f t="shared" si="108"/>
        <v>0.88663414356691872</v>
      </c>
      <c r="BB238" s="644">
        <v>43324</v>
      </c>
      <c r="BC238" s="11">
        <v>43324</v>
      </c>
      <c r="BD238" s="292">
        <f>[2]!FeuilCaduc*(1-Persistant)+Persistant</f>
        <v>1</v>
      </c>
      <c r="BE238" s="293">
        <f>[2]!CroissVégét</f>
        <v>0.93036376011657451</v>
      </c>
      <c r="BF238" s="844">
        <f>1+[2]!Salcycl*Ksac</f>
        <v>1.0695144244545405</v>
      </c>
      <c r="BH238" s="1107">
        <f t="shared" si="109"/>
        <v>3.2276354829802044E-3</v>
      </c>
      <c r="BI238" s="11">
        <v>44420</v>
      </c>
      <c r="BJ238" s="744">
        <v>2.7072344329842239E-4</v>
      </c>
      <c r="BK238" s="744">
        <v>1.0932408970475659E-3</v>
      </c>
      <c r="BL238" s="744">
        <v>2.622735901744415E-3</v>
      </c>
      <c r="BM238" s="744">
        <v>5.6506252255735384E-3</v>
      </c>
      <c r="BN238" s="744">
        <v>1.0784958690364171E-2</v>
      </c>
      <c r="BO238" s="745">
        <v>1.9255216669126555E-2</v>
      </c>
      <c r="BP238" s="744">
        <v>3.2024896380976609E-2</v>
      </c>
      <c r="BQ238" s="744">
        <v>5.0423302834586479E-2</v>
      </c>
      <c r="BR238" s="744">
        <v>7.4025929200190826E-2</v>
      </c>
      <c r="BS238" s="744">
        <v>0.10370776187448538</v>
      </c>
      <c r="BT238" s="744">
        <v>0.13725979317061446</v>
      </c>
      <c r="BW238" s="1191">
        <f>'2018'!R\Max</f>
        <v>0</v>
      </c>
      <c r="BX238" s="1189">
        <f>'2019'!R\Max</f>
        <v>0.54436009072976199</v>
      </c>
      <c r="BY238" s="1189">
        <f>'2020'!R\Max</f>
        <v>0.76358879338603702</v>
      </c>
      <c r="BZ238" s="1189">
        <f>'2021'!R\Max</f>
        <v>0.86384659245369133</v>
      </c>
      <c r="CA238" s="1189">
        <f>'2022'!R\Max</f>
        <v>0.88663414356691872</v>
      </c>
      <c r="CB238" s="1189">
        <f>'2023'!R\Max</f>
        <v>0.88647131507586185</v>
      </c>
      <c r="CC238" s="1189">
        <f>'2024'!R\Max</f>
        <v>0.88621097465510301</v>
      </c>
      <c r="CD238" s="1189">
        <f>'2025'!R\Max</f>
        <v>0.88704044110691427</v>
      </c>
      <c r="CE238" s="1189">
        <f>'2026'!R\Max</f>
        <v>0.88697548096908041</v>
      </c>
      <c r="CF238" s="1190">
        <f>'2027'!R\Max</f>
        <v>0.88688799211532632</v>
      </c>
    </row>
    <row r="239" spans="1:84" s="6" customFormat="1" ht="11.25" x14ac:dyDescent="0.2">
      <c r="A239" s="11">
        <v>43325</v>
      </c>
      <c r="B239" s="382">
        <f>'2022'!Maxi_hp</f>
        <v>52.03553309327885</v>
      </c>
      <c r="C239" s="85">
        <f>'2022'!An_max</f>
        <v>2019</v>
      </c>
      <c r="D239" s="1134"/>
      <c r="E239" s="711"/>
      <c r="F239" s="13">
        <f t="shared" si="110"/>
        <v>17</v>
      </c>
      <c r="G239" s="13">
        <f t="shared" si="94"/>
        <v>18</v>
      </c>
      <c r="H239" s="175">
        <f t="shared" si="95"/>
        <v>43318</v>
      </c>
      <c r="I239" s="774">
        <f t="shared" si="96"/>
        <v>0.5</v>
      </c>
      <c r="J239" s="765">
        <f t="shared" si="97"/>
        <v>57.049599999189375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P239" s="13">
        <f t="shared" si="98"/>
        <v>9</v>
      </c>
      <c r="AQ239" s="13">
        <f t="shared" si="99"/>
        <v>10</v>
      </c>
      <c r="AR239" s="175">
        <f t="shared" si="100"/>
        <v>43304</v>
      </c>
      <c r="AS239" s="774">
        <f t="shared" si="101"/>
        <v>0.75</v>
      </c>
      <c r="AT239" s="791">
        <f t="shared" si="102"/>
        <v>57.115200000442563</v>
      </c>
      <c r="AU239" s="13">
        <f t="shared" si="103"/>
        <v>9</v>
      </c>
      <c r="AV239" s="13">
        <f t="shared" si="104"/>
        <v>10</v>
      </c>
      <c r="AW239" s="175">
        <f t="shared" si="105"/>
        <v>43318</v>
      </c>
      <c r="AX239" s="774">
        <f t="shared" si="106"/>
        <v>0.25</v>
      </c>
      <c r="AY239" s="791">
        <f t="shared" si="107"/>
        <v>56.976800000108781</v>
      </c>
      <c r="AZ239" s="765">
        <f t="shared" si="111"/>
        <v>57.046000000275669</v>
      </c>
      <c r="BA239" s="649">
        <f t="shared" si="108"/>
        <v>0.91211039330719634</v>
      </c>
      <c r="BB239" s="644">
        <v>43325</v>
      </c>
      <c r="BC239" s="11">
        <v>43325</v>
      </c>
      <c r="BD239" s="292">
        <f>[2]!FeuilCaduc*(1-Persistant)+Persistant</f>
        <v>1</v>
      </c>
      <c r="BE239" s="293">
        <f>[2]!CroissVégét</f>
        <v>0.93299147677206173</v>
      </c>
      <c r="BF239" s="844">
        <f>1+[2]!Salcycl*Ksac</f>
        <v>1.0694556130090505</v>
      </c>
      <c r="BH239" s="1107">
        <f t="shared" si="109"/>
        <v>3.4922954645120689E-3</v>
      </c>
      <c r="BI239" s="11">
        <v>44421</v>
      </c>
      <c r="BJ239" s="744">
        <v>2.8809585356537364E-4</v>
      </c>
      <c r="BK239" s="744">
        <v>1.1840059606194498E-3</v>
      </c>
      <c r="BL239" s="744">
        <v>2.8398207733682109E-3</v>
      </c>
      <c r="BM239" s="744">
        <v>6.1058523803781935E-3</v>
      </c>
      <c r="BN239" s="744">
        <v>1.1592749556314638E-2</v>
      </c>
      <c r="BO239" s="745">
        <v>2.0522233566624675E-2</v>
      </c>
      <c r="BP239" s="744">
        <v>3.39543948223828E-2</v>
      </c>
      <c r="BQ239" s="744">
        <v>5.3027861905926066E-2</v>
      </c>
      <c r="BR239" s="744">
        <v>7.7383917452694254E-2</v>
      </c>
      <c r="BS239" s="744">
        <v>0.10777205587383741</v>
      </c>
      <c r="BT239" s="744">
        <v>0.14215131413737098</v>
      </c>
      <c r="BW239" s="1191">
        <f>'2018'!R\Max</f>
        <v>0</v>
      </c>
      <c r="BX239" s="1189">
        <f>'2019'!R\Max</f>
        <v>0.91211039330719634</v>
      </c>
      <c r="BY239" s="1189">
        <f>'2020'!R\Max</f>
        <v>0.46812373590032613</v>
      </c>
      <c r="BZ239" s="1189">
        <f>'2021'!R\Max</f>
        <v>0.59156361884551467</v>
      </c>
      <c r="CA239" s="1189">
        <f>'2022'!R\Max</f>
        <v>0.59963131537568837</v>
      </c>
      <c r="CB239" s="1189">
        <f>'2023'!R\Max</f>
        <v>0.59922119731640799</v>
      </c>
      <c r="CC239" s="1189">
        <f>'2024'!R\Max</f>
        <v>0.59857486460978371</v>
      </c>
      <c r="CD239" s="1189">
        <f>'2025'!R\Max</f>
        <v>0.60066376494231211</v>
      </c>
      <c r="CE239" s="1189">
        <f>'2026'!R\Max</f>
        <v>0.600496514336472</v>
      </c>
      <c r="CF239" s="1190">
        <f>'2027'!R\Max</f>
        <v>0.60027296197432445</v>
      </c>
    </row>
    <row r="240" spans="1:84" s="6" customFormat="1" ht="11.25" x14ac:dyDescent="0.2">
      <c r="A240" s="11">
        <v>43326</v>
      </c>
      <c r="B240" s="382">
        <f>'2022'!Maxi_hp</f>
        <v>56.382758921997223</v>
      </c>
      <c r="C240" s="85">
        <f>'2022'!An_max</f>
        <v>2019</v>
      </c>
      <c r="D240" s="1134"/>
      <c r="E240" s="711"/>
      <c r="F240" s="13">
        <f t="shared" si="110"/>
        <v>17</v>
      </c>
      <c r="G240" s="13">
        <f t="shared" si="94"/>
        <v>18</v>
      </c>
      <c r="H240" s="175">
        <f t="shared" si="95"/>
        <v>43318</v>
      </c>
      <c r="I240" s="774">
        <f t="shared" si="96"/>
        <v>0.5714285714285714</v>
      </c>
      <c r="J240" s="765">
        <f t="shared" si="97"/>
        <v>56.831402915183979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P240" s="13">
        <f t="shared" si="98"/>
        <v>9</v>
      </c>
      <c r="AQ240" s="13">
        <f t="shared" si="99"/>
        <v>10</v>
      </c>
      <c r="AR240" s="175">
        <f t="shared" si="100"/>
        <v>43304</v>
      </c>
      <c r="AS240" s="774">
        <f t="shared" si="101"/>
        <v>0.7857142857142857</v>
      </c>
      <c r="AT240" s="791">
        <f t="shared" si="102"/>
        <v>56.890178426647822</v>
      </c>
      <c r="AU240" s="13">
        <f t="shared" si="103"/>
        <v>9</v>
      </c>
      <c r="AV240" s="13">
        <f t="shared" si="104"/>
        <v>10</v>
      </c>
      <c r="AW240" s="175">
        <f t="shared" si="105"/>
        <v>43318</v>
      </c>
      <c r="AX240" s="774">
        <f t="shared" si="106"/>
        <v>0.2857142857142857</v>
      </c>
      <c r="AY240" s="791">
        <f t="shared" si="107"/>
        <v>56.75139358565211</v>
      </c>
      <c r="AZ240" s="765">
        <f t="shared" si="111"/>
        <v>56.820786006149966</v>
      </c>
      <c r="BA240" s="649">
        <f t="shared" si="108"/>
        <v>0.99210570265428222</v>
      </c>
      <c r="BB240" s="644">
        <v>43326</v>
      </c>
      <c r="BC240" s="11">
        <v>43326</v>
      </c>
      <c r="BD240" s="292">
        <f>[2]!FeuilCaduc*(1-Persistant)+Persistant</f>
        <v>1</v>
      </c>
      <c r="BE240" s="293">
        <f>[2]!CroissVégét</f>
        <v>0.93552736989395957</v>
      </c>
      <c r="BF240" s="844">
        <f>1+[2]!Salcycl*Ksac</f>
        <v>1.0693932767516918</v>
      </c>
      <c r="BH240" s="1107">
        <f t="shared" si="109"/>
        <v>3.7806681882033028E-3</v>
      </c>
      <c r="BI240" s="11">
        <v>44422</v>
      </c>
      <c r="BJ240" s="744">
        <v>3.0974554496299947E-4</v>
      </c>
      <c r="BK240" s="744">
        <v>1.2864359779984093E-3</v>
      </c>
      <c r="BL240" s="744">
        <v>3.0785316798291711E-3</v>
      </c>
      <c r="BM240" s="744">
        <v>6.5931508059217389E-3</v>
      </c>
      <c r="BN240" s="744">
        <v>1.2446475547587639E-2</v>
      </c>
      <c r="BO240" s="745">
        <v>2.1841926482692925E-2</v>
      </c>
      <c r="BP240" s="744">
        <v>3.5924476660271681E-2</v>
      </c>
      <c r="BQ240" s="744">
        <v>5.5630913585012737E-2</v>
      </c>
      <c r="BR240" s="744">
        <v>8.0685149639792134E-2</v>
      </c>
      <c r="BS240" s="744">
        <v>0.11168866702545166</v>
      </c>
      <c r="BT240" s="744">
        <v>0.14677568979247255</v>
      </c>
      <c r="BW240" s="1191">
        <f>'2018'!R\Max</f>
        <v>0</v>
      </c>
      <c r="BX240" s="1189">
        <f>'2019'!R\Max</f>
        <v>0.99210570265428222</v>
      </c>
      <c r="BY240" s="1189">
        <f>'2020'!R\Max</f>
        <v>0.31283115572911985</v>
      </c>
      <c r="BZ240" s="1189">
        <f>'2021'!R\Max</f>
        <v>0.87434709341628192</v>
      </c>
      <c r="CA240" s="1189">
        <f>'2022'!R\Max</f>
        <v>0.64796743424435921</v>
      </c>
      <c r="CB240" s="1189">
        <f>'2023'!R\Max</f>
        <v>0.64755764580858632</v>
      </c>
      <c r="CC240" s="1189">
        <f>'2024'!R\Max</f>
        <v>0.64692015976715345</v>
      </c>
      <c r="CD240" s="1189">
        <f>'2025'!R\Max</f>
        <v>0.64900739031052135</v>
      </c>
      <c r="CE240" s="1189">
        <f>'2026'!R\Max</f>
        <v>0.64883683653160884</v>
      </c>
      <c r="CF240" s="1190">
        <f>'2027'!R\Max</f>
        <v>0.64861047075660905</v>
      </c>
    </row>
    <row r="241" spans="1:84" s="6" customFormat="1" ht="11.25" x14ac:dyDescent="0.2">
      <c r="A241" s="11">
        <v>43327</v>
      </c>
      <c r="B241" s="382">
        <f>'2022'!Maxi_hp</f>
        <v>51.37885714144074</v>
      </c>
      <c r="C241" s="85">
        <f>'2022'!An_max</f>
        <v>2020</v>
      </c>
      <c r="D241" s="1134"/>
      <c r="E241" s="711"/>
      <c r="F241" s="13">
        <f t="shared" si="110"/>
        <v>17</v>
      </c>
      <c r="G241" s="13">
        <f t="shared" si="94"/>
        <v>18</v>
      </c>
      <c r="H241" s="175">
        <f t="shared" si="95"/>
        <v>43318</v>
      </c>
      <c r="I241" s="774">
        <f t="shared" si="96"/>
        <v>0.6428571428571429</v>
      </c>
      <c r="J241" s="765">
        <f t="shared" si="97"/>
        <v>56.608055977150798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P241" s="13">
        <f t="shared" si="98"/>
        <v>9</v>
      </c>
      <c r="AQ241" s="13">
        <f t="shared" si="99"/>
        <v>10</v>
      </c>
      <c r="AR241" s="175">
        <f t="shared" si="100"/>
        <v>43304</v>
      </c>
      <c r="AS241" s="774">
        <f t="shared" si="101"/>
        <v>0.8214285714285714</v>
      </c>
      <c r="AT241" s="791">
        <f t="shared" si="102"/>
        <v>56.658831488500745</v>
      </c>
      <c r="AU241" s="13">
        <f t="shared" si="103"/>
        <v>9</v>
      </c>
      <c r="AV241" s="13">
        <f t="shared" si="104"/>
        <v>10</v>
      </c>
      <c r="AW241" s="175">
        <f t="shared" si="105"/>
        <v>43318</v>
      </c>
      <c r="AX241" s="774">
        <f t="shared" si="106"/>
        <v>0.32142857142857145</v>
      </c>
      <c r="AY241" s="791">
        <f t="shared" si="107"/>
        <v>56.522348687478484</v>
      </c>
      <c r="AZ241" s="765">
        <f t="shared" si="111"/>
        <v>56.590590087989611</v>
      </c>
      <c r="BA241" s="649">
        <f t="shared" si="108"/>
        <v>0.90762447596114648</v>
      </c>
      <c r="BB241" s="644">
        <v>43327</v>
      </c>
      <c r="BC241" s="11">
        <v>43327</v>
      </c>
      <c r="BD241" s="292">
        <f>[2]!FeuilCaduc*(1-Persistant)+Persistant</f>
        <v>1</v>
      </c>
      <c r="BE241" s="293">
        <f>[2]!CroissVégét</f>
        <v>0.93797413894004</v>
      </c>
      <c r="BF241" s="844">
        <f>1+[2]!Salcycl*Ksac</f>
        <v>1.0693273179833509</v>
      </c>
      <c r="BH241" s="1107">
        <f t="shared" si="109"/>
        <v>4.083556546694473E-3</v>
      </c>
      <c r="BI241" s="11">
        <v>44423</v>
      </c>
      <c r="BJ241" s="744">
        <v>3.3467639754122808E-4</v>
      </c>
      <c r="BK241" s="744">
        <v>1.3973841687407562E-3</v>
      </c>
      <c r="BL241" s="744">
        <v>3.331354718228183E-3</v>
      </c>
      <c r="BM241" s="744">
        <v>7.0965811399836725E-3</v>
      </c>
      <c r="BN241" s="744">
        <v>1.3319093943099332E-2</v>
      </c>
      <c r="BO241" s="745">
        <v>2.3181054129574139E-2</v>
      </c>
      <c r="BP241" s="744">
        <v>3.789175842201295E-2</v>
      </c>
      <c r="BQ241" s="744">
        <v>5.8204180694137041E-2</v>
      </c>
      <c r="BR241" s="744">
        <v>8.3913078480308878E-2</v>
      </c>
      <c r="BS241" s="744">
        <v>0.11547086339997366</v>
      </c>
      <c r="BT241" s="744">
        <v>0.15116417294504603</v>
      </c>
      <c r="BW241" s="1191">
        <f>'2018'!R\Max</f>
        <v>0</v>
      </c>
      <c r="BX241" s="1189">
        <f>'2019'!R\Max</f>
        <v>0.51727922199568033</v>
      </c>
      <c r="BY241" s="1189">
        <f>'2020'!R\Max</f>
        <v>0.90762447596114648</v>
      </c>
      <c r="BZ241" s="1189">
        <f>'2021'!R\Max</f>
        <v>0.38981329257501163</v>
      </c>
      <c r="CA241" s="1189">
        <f>'2022'!R\Max</f>
        <v>0.76359262201824674</v>
      </c>
      <c r="CB241" s="1189">
        <f>'2023'!R\Max</f>
        <v>0.76325271511245574</v>
      </c>
      <c r="CC241" s="1189">
        <f>'2024'!R\Max</f>
        <v>0.76272995635344554</v>
      </c>
      <c r="CD241" s="1189">
        <f>'2025'!R\Max</f>
        <v>0.7644621926077505</v>
      </c>
      <c r="CE241" s="1189">
        <f>'2026'!R\Max</f>
        <v>0.76431794646403706</v>
      </c>
      <c r="CF241" s="1190">
        <f>'2027'!R\Max</f>
        <v>0.76412770047686074</v>
      </c>
    </row>
    <row r="242" spans="1:84" s="6" customFormat="1" ht="11.25" x14ac:dyDescent="0.2">
      <c r="A242" s="11">
        <v>43328</v>
      </c>
      <c r="B242" s="382">
        <f>'2022'!Maxi_hp</f>
        <v>55.398390259601427</v>
      </c>
      <c r="C242" s="85">
        <f>'2022'!An_max</f>
        <v>2019</v>
      </c>
      <c r="D242" s="1134"/>
      <c r="E242" s="711"/>
      <c r="F242" s="13">
        <f t="shared" si="110"/>
        <v>17</v>
      </c>
      <c r="G242" s="13">
        <f t="shared" si="94"/>
        <v>18</v>
      </c>
      <c r="H242" s="175">
        <f t="shared" si="95"/>
        <v>43318</v>
      </c>
      <c r="I242" s="774">
        <f t="shared" si="96"/>
        <v>0.7142857142857143</v>
      </c>
      <c r="J242" s="765">
        <f t="shared" si="97"/>
        <v>56.379111370231421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P242" s="13">
        <f t="shared" si="98"/>
        <v>9</v>
      </c>
      <c r="AQ242" s="13">
        <f t="shared" si="99"/>
        <v>10</v>
      </c>
      <c r="AR242" s="175">
        <f t="shared" si="100"/>
        <v>43304</v>
      </c>
      <c r="AS242" s="774">
        <f t="shared" si="101"/>
        <v>0.8571428571428571</v>
      </c>
      <c r="AT242" s="791">
        <f t="shared" si="102"/>
        <v>56.420907289747689</v>
      </c>
      <c r="AU242" s="13">
        <f t="shared" si="103"/>
        <v>9</v>
      </c>
      <c r="AV242" s="13">
        <f t="shared" si="104"/>
        <v>10</v>
      </c>
      <c r="AW242" s="175">
        <f t="shared" si="105"/>
        <v>43318</v>
      </c>
      <c r="AX242" s="774">
        <f t="shared" si="106"/>
        <v>0.35714285714285715</v>
      </c>
      <c r="AY242" s="791">
        <f t="shared" si="107"/>
        <v>56.289455393222831</v>
      </c>
      <c r="AZ242" s="765">
        <f t="shared" si="111"/>
        <v>56.355181341485263</v>
      </c>
      <c r="BA242" s="649">
        <f t="shared" si="108"/>
        <v>0.98260488527054324</v>
      </c>
      <c r="BB242" s="644">
        <v>43328</v>
      </c>
      <c r="BC242" s="11">
        <v>43328</v>
      </c>
      <c r="BD242" s="292">
        <f>[2]!FeuilCaduc*(1-Persistant)+Persistant</f>
        <v>1</v>
      </c>
      <c r="BE242" s="293">
        <f>[2]!CroissVégét</f>
        <v>0.94033444219607754</v>
      </c>
      <c r="BF242" s="844">
        <f>1+[2]!Salcycl*Ksac</f>
        <v>1.069257623837452</v>
      </c>
      <c r="BH242" s="1107">
        <f t="shared" si="109"/>
        <v>4.4009661489303369E-3</v>
      </c>
      <c r="BI242" s="11">
        <v>44424</v>
      </c>
      <c r="BJ242" s="744">
        <v>3.6288885680240627E-4</v>
      </c>
      <c r="BK242" s="744">
        <v>1.5168525924873239E-3</v>
      </c>
      <c r="BL242" s="744">
        <v>3.5982945784839692E-3</v>
      </c>
      <c r="BM242" s="744">
        <v>7.6161526727654772E-3</v>
      </c>
      <c r="BN242" s="744">
        <v>1.4210620601842682E-2</v>
      </c>
      <c r="BO242" s="745">
        <v>2.4539640068970674E-2</v>
      </c>
      <c r="BP242" s="744">
        <v>3.9856273779139147E-2</v>
      </c>
      <c r="BQ242" s="744">
        <v>6.074770480017188E-2</v>
      </c>
      <c r="BR242" s="744">
        <v>8.7067753015349636E-2</v>
      </c>
      <c r="BS242" s="744">
        <v>0.11911869751762492</v>
      </c>
      <c r="BT242" s="744">
        <v>0.15531681983213375</v>
      </c>
      <c r="BW242" s="1191">
        <f>'2018'!R\Max</f>
        <v>0</v>
      </c>
      <c r="BX242" s="1189">
        <f>'2019'!R\Max</f>
        <v>0.98260488527054324</v>
      </c>
      <c r="BY242" s="1189">
        <f>'2020'!R\Max</f>
        <v>0.79207738773353997</v>
      </c>
      <c r="BZ242" s="1189">
        <f>'2021'!R\Max</f>
        <v>0.59439338079306681</v>
      </c>
      <c r="CA242" s="1189">
        <f>'2022'!R\Max</f>
        <v>0.61133731519623891</v>
      </c>
      <c r="CB242" s="1189">
        <f>'2023'!R\Max</f>
        <v>0.6108700767052524</v>
      </c>
      <c r="CC242" s="1189">
        <f>'2024'!R\Max</f>
        <v>0.61015985510468018</v>
      </c>
      <c r="CD242" s="1189">
        <f>'2025'!R\Max</f>
        <v>0.61254497234683536</v>
      </c>
      <c r="CE242" s="1189">
        <f>'2026'!R\Max</f>
        <v>0.61234223169704083</v>
      </c>
      <c r="CF242" s="1190">
        <f>'2027'!R\Max</f>
        <v>0.61207651397026908</v>
      </c>
    </row>
    <row r="243" spans="1:84" s="6" customFormat="1" ht="11.25" x14ac:dyDescent="0.2">
      <c r="A243" s="11">
        <v>43329</v>
      </c>
      <c r="B243" s="382">
        <f>'2022'!Maxi_hp</f>
        <v>54.145647175100791</v>
      </c>
      <c r="C243" s="85">
        <f>'2022'!An_max</f>
        <v>2019</v>
      </c>
      <c r="D243" s="1134"/>
      <c r="E243" s="711"/>
      <c r="F243" s="13">
        <f t="shared" si="110"/>
        <v>17</v>
      </c>
      <c r="G243" s="13">
        <f t="shared" si="94"/>
        <v>18</v>
      </c>
      <c r="H243" s="175">
        <f t="shared" si="95"/>
        <v>43318</v>
      </c>
      <c r="I243" s="774">
        <f t="shared" si="96"/>
        <v>0.7857142857142857</v>
      </c>
      <c r="J243" s="765">
        <f t="shared" si="97"/>
        <v>56.144121282920239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P243" s="13">
        <f t="shared" si="98"/>
        <v>9</v>
      </c>
      <c r="AQ243" s="13">
        <f t="shared" si="99"/>
        <v>10</v>
      </c>
      <c r="AR243" s="175">
        <f t="shared" si="100"/>
        <v>43304</v>
      </c>
      <c r="AS243" s="774">
        <f t="shared" si="101"/>
        <v>0.8928571428571429</v>
      </c>
      <c r="AT243" s="791">
        <f t="shared" si="102"/>
        <v>56.176153937075284</v>
      </c>
      <c r="AU243" s="13">
        <f t="shared" si="103"/>
        <v>9</v>
      </c>
      <c r="AV243" s="13">
        <f t="shared" si="104"/>
        <v>10</v>
      </c>
      <c r="AW243" s="175">
        <f t="shared" si="105"/>
        <v>43318</v>
      </c>
      <c r="AX243" s="774">
        <f t="shared" si="106"/>
        <v>0.39285714285714285</v>
      </c>
      <c r="AY243" s="791">
        <f t="shared" si="107"/>
        <v>56.052503789296111</v>
      </c>
      <c r="AZ243" s="765">
        <f t="shared" si="111"/>
        <v>56.114328863185698</v>
      </c>
      <c r="BA243" s="649">
        <f t="shared" si="108"/>
        <v>0.96440457055603779</v>
      </c>
      <c r="BB243" s="644">
        <v>43329</v>
      </c>
      <c r="BC243" s="11">
        <v>43329</v>
      </c>
      <c r="BD243" s="292">
        <f>[2]!FeuilCaduc*(1-Persistant)+Persistant</f>
        <v>1</v>
      </c>
      <c r="BE243" s="293">
        <f>[2]!CroissVégét</f>
        <v>0.94261089426578282</v>
      </c>
      <c r="BF243" s="844">
        <f>1+[2]!Salcycl*Ksac</f>
        <v>1.0691840677120616</v>
      </c>
      <c r="BH243" s="1107">
        <f t="shared" si="109"/>
        <v>4.7329028693832188E-3</v>
      </c>
      <c r="BI243" s="11">
        <v>44425</v>
      </c>
      <c r="BJ243" s="744">
        <v>3.9438348255792265E-4</v>
      </c>
      <c r="BK243" s="744">
        <v>1.6448435480244767E-3</v>
      </c>
      <c r="BL243" s="744">
        <v>3.8793562606200941E-3</v>
      </c>
      <c r="BM243" s="744">
        <v>8.1518747814371961E-3</v>
      </c>
      <c r="BN243" s="744">
        <v>1.5121071131302318E-2</v>
      </c>
      <c r="BO243" s="745">
        <v>2.5917707052149252E-2</v>
      </c>
      <c r="BP243" s="744">
        <v>4.1818053822017677E-2</v>
      </c>
      <c r="BQ243" s="744">
        <v>6.3261522933243733E-2</v>
      </c>
      <c r="BR243" s="744">
        <v>9.014921499868761E-2</v>
      </c>
      <c r="BS243" s="744">
        <v>0.12263221120385126</v>
      </c>
      <c r="BT243" s="744">
        <v>0.15923367073377254</v>
      </c>
      <c r="BW243" s="1191">
        <f>'2018'!R\Max</f>
        <v>0</v>
      </c>
      <c r="BX243" s="1189">
        <f>'2019'!R\Max</f>
        <v>0.96440457055603779</v>
      </c>
      <c r="BY243" s="1189">
        <f>'2020'!R\Max</f>
        <v>0.32339230352127812</v>
      </c>
      <c r="BZ243" s="1189">
        <f>'2021'!R\Max</f>
        <v>0.77210271926951368</v>
      </c>
      <c r="CA243" s="1189">
        <f>'2022'!R\Max</f>
        <v>0.44452468251670868</v>
      </c>
      <c r="CB243" s="1189">
        <f>'2023'!R\Max</f>
        <v>0.44401902263126253</v>
      </c>
      <c r="CC243" s="1189">
        <f>'2024'!R\Max</f>
        <v>0.44325878164900206</v>
      </c>
      <c r="CD243" s="1189">
        <f>'2025'!R\Max</f>
        <v>0.44584593922752591</v>
      </c>
      <c r="CE243" s="1189">
        <f>'2026'!R\Max</f>
        <v>0.44562152735055632</v>
      </c>
      <c r="CF243" s="1190">
        <f>'2027'!R\Max</f>
        <v>0.44532914162129367</v>
      </c>
    </row>
    <row r="244" spans="1:84" s="6" customFormat="1" ht="11.25" x14ac:dyDescent="0.2">
      <c r="A244" s="11">
        <v>43330</v>
      </c>
      <c r="B244" s="382">
        <f>'2022'!Maxi_hp</f>
        <v>53.373753498683605</v>
      </c>
      <c r="C244" s="85">
        <f>'2022'!An_max</f>
        <v>2021</v>
      </c>
      <c r="D244" s="1134"/>
      <c r="E244" s="711"/>
      <c r="F244" s="13">
        <f t="shared" si="110"/>
        <v>17</v>
      </c>
      <c r="G244" s="13">
        <f t="shared" si="94"/>
        <v>18</v>
      </c>
      <c r="H244" s="175">
        <f t="shared" si="95"/>
        <v>43318</v>
      </c>
      <c r="I244" s="774">
        <f t="shared" si="96"/>
        <v>0.8571428571428571</v>
      </c>
      <c r="J244" s="765">
        <f t="shared" si="97"/>
        <v>55.902637899986338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P244" s="13">
        <f t="shared" si="98"/>
        <v>9</v>
      </c>
      <c r="AQ244" s="13">
        <f t="shared" si="99"/>
        <v>10</v>
      </c>
      <c r="AR244" s="175">
        <f t="shared" si="100"/>
        <v>43304</v>
      </c>
      <c r="AS244" s="774">
        <f t="shared" si="101"/>
        <v>0.9285714285714286</v>
      </c>
      <c r="AT244" s="791">
        <f t="shared" si="102"/>
        <v>55.924319534243217</v>
      </c>
      <c r="AU244" s="13">
        <f t="shared" si="103"/>
        <v>9</v>
      </c>
      <c r="AV244" s="13">
        <f t="shared" si="104"/>
        <v>10</v>
      </c>
      <c r="AW244" s="175">
        <f t="shared" si="105"/>
        <v>43318</v>
      </c>
      <c r="AX244" s="774">
        <f t="shared" si="106"/>
        <v>0.42857142857142855</v>
      </c>
      <c r="AY244" s="791">
        <f t="shared" si="107"/>
        <v>55.811283964663744</v>
      </c>
      <c r="AZ244" s="765">
        <f t="shared" si="111"/>
        <v>55.867801749453477</v>
      </c>
      <c r="BA244" s="649">
        <f t="shared" si="108"/>
        <v>0.95476270000304675</v>
      </c>
      <c r="BB244" s="644">
        <v>43330</v>
      </c>
      <c r="BC244" s="11">
        <v>43330</v>
      </c>
      <c r="BD244" s="292">
        <f>[2]!FeuilCaduc*(1-Persistant)+Persistant</f>
        <v>1</v>
      </c>
      <c r="BE244" s="293">
        <f>[2]!CroissVégét</f>
        <v>0.94480606387541</v>
      </c>
      <c r="BF244" s="844">
        <f>1+[2]!Salcycl*Ksac</f>
        <v>1.069106510588818</v>
      </c>
      <c r="BH244" s="1107">
        <f t="shared" si="109"/>
        <v>5.079372802966514E-3</v>
      </c>
      <c r="BI244" s="11">
        <v>44426</v>
      </c>
      <c r="BJ244" s="744">
        <v>4.2916093873225766E-4</v>
      </c>
      <c r="BK244" s="744">
        <v>1.7813595468180524E-3</v>
      </c>
      <c r="BL244" s="744">
        <v>4.1745450309265278E-3</v>
      </c>
      <c r="BM244" s="744">
        <v>8.7037568800516548E-3</v>
      </c>
      <c r="BN244" s="744">
        <v>1.605046082884214E-2</v>
      </c>
      <c r="BO244" s="745">
        <v>2.7315276959736082E-2</v>
      </c>
      <c r="BP244" s="744">
        <v>4.37771270688996E-2</v>
      </c>
      <c r="BQ244" s="744">
        <v>6.5745667679871278E-2</v>
      </c>
      <c r="BR244" s="744">
        <v>9.3157499125449628E-2</v>
      </c>
      <c r="BS244" s="744">
        <v>0.12601143600831777</v>
      </c>
      <c r="BT244" s="744">
        <v>0.16291475070781425</v>
      </c>
      <c r="BW244" s="1191">
        <f>'2018'!R\Max</f>
        <v>0</v>
      </c>
      <c r="BX244" s="1189">
        <f>'2019'!R\Max</f>
        <v>0.67534510533668235</v>
      </c>
      <c r="BY244" s="1189">
        <f>'2020'!R\Max</f>
        <v>0.78898145606706294</v>
      </c>
      <c r="BZ244" s="1189">
        <f>'2021'!R\Max</f>
        <v>0.95476270000304675</v>
      </c>
      <c r="CA244" s="1189">
        <f>'2022'!R\Max</f>
        <v>0.7542651513437032</v>
      </c>
      <c r="CB244" s="1189">
        <f>'2023'!R\Max</f>
        <v>0.75387048025061465</v>
      </c>
      <c r="CC244" s="1189">
        <f>'2024'!R\Max</f>
        <v>0.75328168404999285</v>
      </c>
      <c r="CD244" s="1189">
        <f>'2025'!R\Max</f>
        <v>0.75530434143551861</v>
      </c>
      <c r="CE244" s="1189">
        <f>'2026'!R\Max</f>
        <v>0.75512621910102384</v>
      </c>
      <c r="CF244" s="1190">
        <f>'2027'!R\Max</f>
        <v>0.75489519142064754</v>
      </c>
    </row>
    <row r="245" spans="1:84" s="6" customFormat="1" ht="11.25" x14ac:dyDescent="0.2">
      <c r="A245" s="11">
        <v>43331</v>
      </c>
      <c r="B245" s="382">
        <f>'2022'!Maxi_hp</f>
        <v>48.36638609373653</v>
      </c>
      <c r="C245" s="85">
        <f>'2022'!An_max</f>
        <v>2021</v>
      </c>
      <c r="D245" s="1134"/>
      <c r="E245" s="711"/>
      <c r="F245" s="13">
        <f t="shared" si="110"/>
        <v>17</v>
      </c>
      <c r="G245" s="13">
        <f t="shared" si="94"/>
        <v>18</v>
      </c>
      <c r="H245" s="175">
        <f t="shared" si="95"/>
        <v>43318</v>
      </c>
      <c r="I245" s="774">
        <f t="shared" si="96"/>
        <v>0.9285714285714286</v>
      </c>
      <c r="J245" s="765">
        <f t="shared" si="97"/>
        <v>55.654213410615924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P245" s="13">
        <f t="shared" si="98"/>
        <v>9</v>
      </c>
      <c r="AQ245" s="13">
        <f t="shared" si="99"/>
        <v>10</v>
      </c>
      <c r="AR245" s="175">
        <f t="shared" si="100"/>
        <v>43304</v>
      </c>
      <c r="AS245" s="774">
        <f t="shared" si="101"/>
        <v>0.9642857142857143</v>
      </c>
      <c r="AT245" s="791">
        <f t="shared" si="102"/>
        <v>55.665152188244143</v>
      </c>
      <c r="AU245" s="13">
        <f t="shared" si="103"/>
        <v>9</v>
      </c>
      <c r="AV245" s="13">
        <f t="shared" si="104"/>
        <v>10</v>
      </c>
      <c r="AW245" s="175">
        <f t="shared" si="105"/>
        <v>43318</v>
      </c>
      <c r="AX245" s="774">
        <f t="shared" si="106"/>
        <v>0.4642857142857143</v>
      </c>
      <c r="AY245" s="791">
        <f t="shared" si="107"/>
        <v>55.565586004672312</v>
      </c>
      <c r="AZ245" s="765">
        <f t="shared" si="111"/>
        <v>55.615369096458224</v>
      </c>
      <c r="BA245" s="649">
        <f t="shared" si="108"/>
        <v>0.86905165179301136</v>
      </c>
      <c r="BB245" s="644">
        <v>43331</v>
      </c>
      <c r="BC245" s="11">
        <v>43331</v>
      </c>
      <c r="BD245" s="292">
        <f>[2]!FeuilCaduc*(1-Persistant)+Persistant</f>
        <v>1</v>
      </c>
      <c r="BE245" s="293">
        <f>[2]!CroissVégét</f>
        <v>0.94692247197428869</v>
      </c>
      <c r="BF245" s="844">
        <f>1+[2]!Salcycl*Ksac</f>
        <v>1.0690248022249875</v>
      </c>
      <c r="BH245" s="1107">
        <f t="shared" si="109"/>
        <v>5.4403822200112398E-3</v>
      </c>
      <c r="BI245" s="11">
        <v>44427</v>
      </c>
      <c r="BJ245" s="744">
        <v>4.6722198317213412E-4</v>
      </c>
      <c r="BK245" s="744">
        <v>1.9264032865687331E-3</v>
      </c>
      <c r="BL245" s="744">
        <v>4.483866378172577E-3</v>
      </c>
      <c r="BM245" s="744">
        <v>9.271808369568613E-3</v>
      </c>
      <c r="BN245" s="744">
        <v>1.6998804623299942E-2</v>
      </c>
      <c r="BO245" s="745">
        <v>2.8732370741873643E-2</v>
      </c>
      <c r="BP245" s="744">
        <v>4.5733519475561833E-2</v>
      </c>
      <c r="BQ245" s="744">
        <v>6.8200167277018484E-2</v>
      </c>
      <c r="BR245" s="744">
        <v>9.6092633262123514E-2</v>
      </c>
      <c r="BS245" s="744">
        <v>0.1292563936257283</v>
      </c>
      <c r="BT245" s="744">
        <v>0.16636007032713868</v>
      </c>
      <c r="BW245" s="1191">
        <f>'2018'!R\Max</f>
        <v>0</v>
      </c>
      <c r="BX245" s="1189">
        <f>'2019'!R\Max</f>
        <v>0.64454053321382443</v>
      </c>
      <c r="BY245" s="1189">
        <f>'2020'!R\Max</f>
        <v>0.68169328250302486</v>
      </c>
      <c r="BZ245" s="1189">
        <f>'2021'!R\Max</f>
        <v>0.86905165179301136</v>
      </c>
      <c r="CA245" s="1189">
        <f>'2022'!R\Max</f>
        <v>0.78476753004509581</v>
      </c>
      <c r="CB245" s="1189">
        <f>'2023'!R\Max</f>
        <v>0.78439462517040837</v>
      </c>
      <c r="CC245" s="1189">
        <f>'2024'!R\Max</f>
        <v>0.78384301789406507</v>
      </c>
      <c r="CD245" s="1189">
        <f>'2025'!R\Max</f>
        <v>0.78575933679464727</v>
      </c>
      <c r="CE245" s="1189">
        <f>'2026'!R\Max</f>
        <v>0.78558762286045025</v>
      </c>
      <c r="CF245" s="1190">
        <f>'2027'!R\Max</f>
        <v>0.78536596710475082</v>
      </c>
    </row>
    <row r="246" spans="1:84" s="6" customFormat="1" ht="11.25" x14ac:dyDescent="0.2">
      <c r="A246" s="11">
        <v>43332</v>
      </c>
      <c r="B246" s="382">
        <f>'2022'!Maxi_hp</f>
        <v>52.08934331759658</v>
      </c>
      <c r="C246" s="85">
        <f>'2022'!An_max</f>
        <v>2021</v>
      </c>
      <c r="D246" s="1134"/>
      <c r="E246" s="773">
        <f>AD$13/10</f>
        <v>55.398400000000002</v>
      </c>
      <c r="F246" s="13">
        <f t="shared" si="110"/>
        <v>19</v>
      </c>
      <c r="G246" s="13">
        <f t="shared" si="94"/>
        <v>18</v>
      </c>
      <c r="H246" s="175">
        <f t="shared" si="95"/>
        <v>43346</v>
      </c>
      <c r="I246" s="774">
        <f t="shared" si="96"/>
        <v>1</v>
      </c>
      <c r="J246" s="765">
        <f t="shared" si="97"/>
        <v>55.398399999737741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P246" s="13">
        <f t="shared" si="98"/>
        <v>11</v>
      </c>
      <c r="AQ246" s="13">
        <f t="shared" si="99"/>
        <v>10</v>
      </c>
      <c r="AR246" s="175">
        <f t="shared" si="100"/>
        <v>43360</v>
      </c>
      <c r="AS246" s="774">
        <f t="shared" si="101"/>
        <v>1</v>
      </c>
      <c r="AT246" s="791">
        <f t="shared" si="102"/>
        <v>55.398400001972917</v>
      </c>
      <c r="AU246" s="13">
        <f t="shared" si="103"/>
        <v>9</v>
      </c>
      <c r="AV246" s="13">
        <f t="shared" si="104"/>
        <v>10</v>
      </c>
      <c r="AW246" s="175">
        <f t="shared" si="105"/>
        <v>43318</v>
      </c>
      <c r="AX246" s="774">
        <f t="shared" si="106"/>
        <v>0.5</v>
      </c>
      <c r="AY246" s="791">
        <f t="shared" si="107"/>
        <v>55.315199998766182</v>
      </c>
      <c r="AZ246" s="765">
        <f t="shared" si="111"/>
        <v>55.356800000369546</v>
      </c>
      <c r="BA246" s="649">
        <f t="shared" si="108"/>
        <v>0.94026800986749026</v>
      </c>
      <c r="BB246" s="644">
        <v>43332</v>
      </c>
      <c r="BC246" s="11">
        <v>43332</v>
      </c>
      <c r="BD246" s="292">
        <f>[2]!FeuilCaduc*(1-Persistant)+Persistant</f>
        <v>1</v>
      </c>
      <c r="BE246" s="293">
        <f>[2]!CroissVégét</f>
        <v>0.94896259011285922</v>
      </c>
      <c r="BF246" s="844">
        <f>1+[2]!Salcycl*Ksac</f>
        <v>1.0689387822072411</v>
      </c>
      <c r="BH246" s="1107">
        <f t="shared" si="109"/>
        <v>5.8159375212710621E-3</v>
      </c>
      <c r="BI246" s="11">
        <v>44428</v>
      </c>
      <c r="BJ246" s="744">
        <v>5.0856745745821164E-4</v>
      </c>
      <c r="BK246" s="744">
        <v>2.0799776247778312E-3</v>
      </c>
      <c r="BL246" s="744">
        <v>4.8073259698434966E-3</v>
      </c>
      <c r="BM246" s="744">
        <v>9.8560385879264984E-3</v>
      </c>
      <c r="BN246" s="744">
        <v>1.796611701666713E-2</v>
      </c>
      <c r="BO246" s="745">
        <v>3.0169008358516342E-2</v>
      </c>
      <c r="BP246" s="744">
        <v>4.7687254445163446E-2</v>
      </c>
      <c r="BQ246" s="744">
        <v>7.0625045706454462E-2</v>
      </c>
      <c r="BR246" s="744">
        <v>9.8954638676983619E-2</v>
      </c>
      <c r="BS246" s="744">
        <v>0.13236709631718738</v>
      </c>
      <c r="BT246" s="744">
        <v>0.16956962641754664</v>
      </c>
      <c r="BW246" s="1191">
        <f>'2018'!R\Max</f>
        <v>0</v>
      </c>
      <c r="BX246" s="1189">
        <f>'2019'!R\Max</f>
        <v>0.62101777655828838</v>
      </c>
      <c r="BY246" s="1189">
        <f>'2020'!R\Max</f>
        <v>0.92687205246815996</v>
      </c>
      <c r="BZ246" s="1189">
        <f>'2021'!R\Max</f>
        <v>0.94026800986749026</v>
      </c>
      <c r="CA246" s="1189">
        <f>'2022'!R\Max</f>
        <v>0.93038921362042681</v>
      </c>
      <c r="CB246" s="1189">
        <f>'2023'!R\Max</f>
        <v>0.93024123378922741</v>
      </c>
      <c r="CC246" s="1189">
        <f>'2024'!R\Max</f>
        <v>0.93002392913661647</v>
      </c>
      <c r="CD246" s="1189">
        <f>'2025'!R\Max</f>
        <v>0.93078651007691793</v>
      </c>
      <c r="CE246" s="1189">
        <f>'2026'!R\Max</f>
        <v>0.93071709311694606</v>
      </c>
      <c r="CF246" s="1190">
        <f>'2027'!R\Max</f>
        <v>0.93062786175021295</v>
      </c>
    </row>
    <row r="247" spans="1:84" s="6" customFormat="1" ht="11.25" x14ac:dyDescent="0.2">
      <c r="A247" s="11">
        <v>43333</v>
      </c>
      <c r="B247" s="382">
        <f>'2022'!Maxi_hp</f>
        <v>51.212941565413232</v>
      </c>
      <c r="C247" s="85">
        <f>'2022'!An_max</f>
        <v>2020</v>
      </c>
      <c r="D247" s="1134"/>
      <c r="E247" s="711"/>
      <c r="F247" s="13">
        <f t="shared" si="110"/>
        <v>19</v>
      </c>
      <c r="G247" s="13">
        <f t="shared" si="94"/>
        <v>18</v>
      </c>
      <c r="H247" s="175">
        <f t="shared" si="95"/>
        <v>43346</v>
      </c>
      <c r="I247" s="774">
        <f t="shared" si="96"/>
        <v>0.9285714285714286</v>
      </c>
      <c r="J247" s="765">
        <f t="shared" si="97"/>
        <v>55.136354518788195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P247" s="13">
        <f t="shared" si="98"/>
        <v>11</v>
      </c>
      <c r="AQ247" s="13">
        <f t="shared" si="99"/>
        <v>10</v>
      </c>
      <c r="AR247" s="175">
        <f t="shared" si="100"/>
        <v>43360</v>
      </c>
      <c r="AS247" s="774">
        <f t="shared" si="101"/>
        <v>0.9642857142857143</v>
      </c>
      <c r="AT247" s="791">
        <f t="shared" si="102"/>
        <v>55.124146939547998</v>
      </c>
      <c r="AU247" s="13">
        <f t="shared" si="103"/>
        <v>9</v>
      </c>
      <c r="AV247" s="13">
        <f t="shared" si="104"/>
        <v>10</v>
      </c>
      <c r="AW247" s="175">
        <f t="shared" si="105"/>
        <v>43318</v>
      </c>
      <c r="AX247" s="774">
        <f t="shared" si="106"/>
        <v>0.5357142857142857</v>
      </c>
      <c r="AY247" s="791">
        <f t="shared" si="107"/>
        <v>55.059916033728847</v>
      </c>
      <c r="AZ247" s="765">
        <f t="shared" si="111"/>
        <v>55.092031486638419</v>
      </c>
      <c r="BA247" s="649">
        <f t="shared" si="108"/>
        <v>0.92884163293679445</v>
      </c>
      <c r="BB247" s="644">
        <v>43333</v>
      </c>
      <c r="BC247" s="11">
        <v>43333</v>
      </c>
      <c r="BD247" s="292">
        <f>[2]!FeuilCaduc*(1-Persistant)+Persistant</f>
        <v>1</v>
      </c>
      <c r="BE247" s="293">
        <f>[2]!CroissVégét</f>
        <v>0.95092883908018766</v>
      </c>
      <c r="BF247" s="844">
        <f>1+[2]!Salcycl*Ksac</f>
        <v>1.0688482808581725</v>
      </c>
      <c r="BH247" s="1107">
        <f t="shared" si="109"/>
        <v>6.2060451928122777E-3</v>
      </c>
      <c r="BI247" s="11">
        <v>44429</v>
      </c>
      <c r="BJ247" s="744">
        <v>5.5319827670695149E-4</v>
      </c>
      <c r="BK247" s="744">
        <v>2.2420855522724409E-3</v>
      </c>
      <c r="BL247" s="744">
        <v>5.1449296082823632E-3</v>
      </c>
      <c r="BM247" s="744">
        <v>1.0456456759917845E-2</v>
      </c>
      <c r="BN247" s="744">
        <v>1.8952412025407969E-2</v>
      </c>
      <c r="BO247" s="745">
        <v>3.1625208719116095E-2</v>
      </c>
      <c r="BP247" s="744">
        <v>4.9638352837129092E-2</v>
      </c>
      <c r="BQ247" s="744">
        <v>7.3020322787660366E-2</v>
      </c>
      <c r="BR247" s="744">
        <v>0.10174353026846698</v>
      </c>
      <c r="BS247" s="744">
        <v>0.13534354732880258</v>
      </c>
      <c r="BT247" s="744">
        <v>0.17254340279209757</v>
      </c>
      <c r="BW247" s="1191">
        <f>'2018'!R\Max</f>
        <v>0</v>
      </c>
      <c r="BX247" s="1189">
        <f>'2019'!R\Max</f>
        <v>0.92345740637453022</v>
      </c>
      <c r="BY247" s="1189">
        <f>'2020'!R\Max</f>
        <v>0.92884163293679445</v>
      </c>
      <c r="BZ247" s="1189">
        <f>'2021'!R\Max</f>
        <v>0.88152454853346174</v>
      </c>
      <c r="CA247" s="1189">
        <f>'2022'!R\Max</f>
        <v>0.6126128822751854</v>
      </c>
      <c r="CB247" s="1189">
        <f>'2023'!R\Max</f>
        <v>0.61205339039513407</v>
      </c>
      <c r="CC247" s="1189">
        <f>'2024'!R\Max</f>
        <v>0.61123950455332732</v>
      </c>
      <c r="CD247" s="1189">
        <f>'2025'!R\Max</f>
        <v>0.61413570454371147</v>
      </c>
      <c r="CE247" s="1189">
        <f>'2026'!R\Max</f>
        <v>0.61386661335564452</v>
      </c>
      <c r="CF247" s="1190">
        <f>'2027'!R\Max</f>
        <v>0.61352247216811762</v>
      </c>
    </row>
    <row r="248" spans="1:84" s="6" customFormat="1" ht="11.25" x14ac:dyDescent="0.2">
      <c r="A248" s="11">
        <v>43334</v>
      </c>
      <c r="B248" s="382">
        <f>'2022'!Maxi_hp</f>
        <v>55.17534928654144</v>
      </c>
      <c r="C248" s="85">
        <f>'2022'!An_max</f>
        <v>2019</v>
      </c>
      <c r="D248" s="1134"/>
      <c r="E248" s="711"/>
      <c r="F248" s="13">
        <f t="shared" si="110"/>
        <v>19</v>
      </c>
      <c r="G248" s="13">
        <f t="shared" si="94"/>
        <v>18</v>
      </c>
      <c r="H248" s="175">
        <f t="shared" si="95"/>
        <v>43346</v>
      </c>
      <c r="I248" s="774">
        <f t="shared" si="96"/>
        <v>0.8571428571428571</v>
      </c>
      <c r="J248" s="765">
        <f t="shared" si="97"/>
        <v>54.86938309073448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P248" s="13">
        <f t="shared" si="98"/>
        <v>11</v>
      </c>
      <c r="AQ248" s="13">
        <f t="shared" si="99"/>
        <v>10</v>
      </c>
      <c r="AR248" s="175">
        <f t="shared" si="100"/>
        <v>43360</v>
      </c>
      <c r="AS248" s="774">
        <f t="shared" si="101"/>
        <v>0.9285714285714286</v>
      </c>
      <c r="AT248" s="791">
        <f t="shared" si="102"/>
        <v>54.842775512060953</v>
      </c>
      <c r="AU248" s="13">
        <f t="shared" si="103"/>
        <v>9</v>
      </c>
      <c r="AV248" s="13">
        <f t="shared" si="104"/>
        <v>10</v>
      </c>
      <c r="AW248" s="175">
        <f t="shared" si="105"/>
        <v>43318</v>
      </c>
      <c r="AX248" s="774">
        <f t="shared" si="106"/>
        <v>0.5714285714285714</v>
      </c>
      <c r="AY248" s="791">
        <f t="shared" si="107"/>
        <v>54.799524197408132</v>
      </c>
      <c r="AZ248" s="765">
        <f t="shared" si="111"/>
        <v>54.821149854734543</v>
      </c>
      <c r="BA248" s="649">
        <f t="shared" si="108"/>
        <v>1.0055762645499586</v>
      </c>
      <c r="BB248" s="644">
        <v>43334</v>
      </c>
      <c r="BC248" s="11">
        <v>43334</v>
      </c>
      <c r="BD248" s="292">
        <f>[2]!FeuilCaduc*(1-Persistant)+Persistant</f>
        <v>1</v>
      </c>
      <c r="BE248" s="293">
        <f>[2]!CroissVégét</f>
        <v>0.95282358778342446</v>
      </c>
      <c r="BF248" s="844">
        <f>1+[2]!Salcycl*Ksac</f>
        <v>1.0687531199890978</v>
      </c>
      <c r="BH248" s="1107">
        <f t="shared" si="109"/>
        <v>6.6131510728404405E-3</v>
      </c>
      <c r="BI248" s="11">
        <v>44430</v>
      </c>
      <c r="BJ248" s="744">
        <v>6.011877354985775E-4</v>
      </c>
      <c r="BK248" s="744">
        <v>2.4137330254464756E-3</v>
      </c>
      <c r="BL248" s="744">
        <v>5.4990886428147043E-3</v>
      </c>
      <c r="BM248" s="744">
        <v>1.1075646872632959E-2</v>
      </c>
      <c r="BN248" s="744">
        <v>1.9952993093809553E-2</v>
      </c>
      <c r="BO248" s="745">
        <v>3.3086116974950369E-2</v>
      </c>
      <c r="BP248" s="744">
        <v>5.1561252137559778E-2</v>
      </c>
      <c r="BQ248" s="744">
        <v>7.5345419354709217E-2</v>
      </c>
      <c r="BR248" s="744">
        <v>0.10440990645549177</v>
      </c>
      <c r="BS248" s="744">
        <v>0.13815591368539393</v>
      </c>
      <c r="BT248" s="744">
        <v>0.17530720502251962</v>
      </c>
      <c r="BW248" s="1191">
        <f>'2018'!R\Max</f>
        <v>0</v>
      </c>
      <c r="BX248" s="1189">
        <f>'2019'!R\Max</f>
        <v>1.0055762645499586</v>
      </c>
      <c r="BY248" s="1189">
        <f>'2020'!R\Max</f>
        <v>0.82432977921107731</v>
      </c>
      <c r="BZ248" s="1189">
        <f>'2021'!R\Max</f>
        <v>0.381600478111706</v>
      </c>
      <c r="CA248" s="1189">
        <f>'2022'!R\Max</f>
        <v>0.4934041831631617</v>
      </c>
      <c r="CB248" s="1189">
        <f>'2023'!R\Max</f>
        <v>0.49279735066207486</v>
      </c>
      <c r="CC248" s="1189">
        <f>'2024'!R\Max</f>
        <v>0.49192159956355497</v>
      </c>
      <c r="CD248" s="1189">
        <f>'2025'!R\Max</f>
        <v>0.49507627508579849</v>
      </c>
      <c r="CE248" s="1189">
        <f>'2026'!R\Max</f>
        <v>0.49477779651265008</v>
      </c>
      <c r="CF248" s="1190">
        <f>'2027'!R\Max</f>
        <v>0.49439780155413965</v>
      </c>
    </row>
    <row r="249" spans="1:84" s="6" customFormat="1" ht="11.25" x14ac:dyDescent="0.2">
      <c r="A249" s="11">
        <v>43335</v>
      </c>
      <c r="B249" s="382">
        <f>'2022'!Maxi_hp</f>
        <v>52.366514381661467</v>
      </c>
      <c r="C249" s="85">
        <f>'2022'!An_max</f>
        <v>2019</v>
      </c>
      <c r="D249" s="1134"/>
      <c r="E249" s="711"/>
      <c r="F249" s="13">
        <f t="shared" si="110"/>
        <v>19</v>
      </c>
      <c r="G249" s="13">
        <f t="shared" si="94"/>
        <v>18</v>
      </c>
      <c r="H249" s="175">
        <f t="shared" si="95"/>
        <v>43346</v>
      </c>
      <c r="I249" s="774">
        <f t="shared" si="96"/>
        <v>0.7857142857142857</v>
      </c>
      <c r="J249" s="765">
        <f t="shared" si="97"/>
        <v>54.597261808173997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P249" s="13">
        <f t="shared" si="98"/>
        <v>11</v>
      </c>
      <c r="AQ249" s="13">
        <f t="shared" si="99"/>
        <v>10</v>
      </c>
      <c r="AR249" s="175">
        <f t="shared" si="100"/>
        <v>43360</v>
      </c>
      <c r="AS249" s="774">
        <f t="shared" si="101"/>
        <v>0.8928571428571429</v>
      </c>
      <c r="AT249" s="791">
        <f t="shared" si="102"/>
        <v>54.554481633326837</v>
      </c>
      <c r="AU249" s="13">
        <f t="shared" si="103"/>
        <v>9</v>
      </c>
      <c r="AV249" s="13">
        <f t="shared" si="104"/>
        <v>10</v>
      </c>
      <c r="AW249" s="175">
        <f t="shared" si="105"/>
        <v>43318</v>
      </c>
      <c r="AX249" s="774">
        <f t="shared" si="106"/>
        <v>0.6071428571428571</v>
      </c>
      <c r="AY249" s="791">
        <f t="shared" si="107"/>
        <v>54.533814575602968</v>
      </c>
      <c r="AZ249" s="765">
        <f t="shared" si="111"/>
        <v>54.544148104464902</v>
      </c>
      <c r="BA249" s="649">
        <f t="shared" si="108"/>
        <v>0.95914177098569153</v>
      </c>
      <c r="BB249" s="644">
        <v>43335</v>
      </c>
      <c r="BC249" s="11">
        <v>43335</v>
      </c>
      <c r="BD249" s="292">
        <f>[2]!FeuilCaduc*(1-Persistant)+Persistant</f>
        <v>1</v>
      </c>
      <c r="BE249" s="293">
        <f>[2]!CroissVégét</f>
        <v>0.95464915235219705</v>
      </c>
      <c r="BF249" s="844">
        <f>1+[2]!Salcycl*Ksac</f>
        <v>1.0686531134952724</v>
      </c>
      <c r="BH249" s="1107">
        <f t="shared" si="109"/>
        <v>7.0267306101055808E-3</v>
      </c>
      <c r="BI249" s="11">
        <v>44431</v>
      </c>
      <c r="BJ249" s="744">
        <v>6.5067742021252364E-4</v>
      </c>
      <c r="BK249" s="744">
        <v>2.58931024649697E-3</v>
      </c>
      <c r="BL249" s="744">
        <v>5.8599841150841726E-3</v>
      </c>
      <c r="BM249" s="744">
        <v>1.170025804728466E-2</v>
      </c>
      <c r="BN249" s="744">
        <v>2.0948682249564279E-2</v>
      </c>
      <c r="BO249" s="745">
        <v>3.4527806368187398E-2</v>
      </c>
      <c r="BP249" s="744">
        <v>5.3437567091791614E-2</v>
      </c>
      <c r="BQ249" s="744">
        <v>7.7597528707982297E-2</v>
      </c>
      <c r="BR249" s="744">
        <v>0.10696780112993914</v>
      </c>
      <c r="BS249" s="744">
        <v>0.14086438039930269</v>
      </c>
      <c r="BT249" s="744">
        <v>0.17800012342805821</v>
      </c>
      <c r="BW249" s="1191">
        <f>'2018'!R\Max</f>
        <v>0</v>
      </c>
      <c r="BX249" s="1189">
        <f>'2019'!R\Max</f>
        <v>0.95914177098569153</v>
      </c>
      <c r="BY249" s="1189">
        <f>'2020'!R\Max</f>
        <v>0.696124520427573</v>
      </c>
      <c r="BZ249" s="1189">
        <f>'2021'!R\Max</f>
        <v>0.89766281060994679</v>
      </c>
      <c r="CA249" s="1189">
        <f>'2022'!R\Max</f>
        <v>0.88178301023719974</v>
      </c>
      <c r="CB249" s="1189">
        <f>'2023'!R\Max</f>
        <v>0.88152257100524478</v>
      </c>
      <c r="CC249" s="1189">
        <f>'2024'!R\Max</f>
        <v>0.88114832482306127</v>
      </c>
      <c r="CD249" s="1189">
        <f>'2025'!R\Max</f>
        <v>0.88250581004489648</v>
      </c>
      <c r="CE249" s="1189">
        <f>'2026'!R\Max</f>
        <v>0.88237590816772016</v>
      </c>
      <c r="CF249" s="1190">
        <f>'2027'!R\Max</f>
        <v>0.88221101349040676</v>
      </c>
    </row>
    <row r="250" spans="1:84" s="6" customFormat="1" ht="11.25" x14ac:dyDescent="0.2">
      <c r="A250" s="11">
        <v>43336</v>
      </c>
      <c r="B250" s="382">
        <f>'2022'!Maxi_hp</f>
        <v>52.23999379446547</v>
      </c>
      <c r="C250" s="85">
        <f>'2022'!An_max</f>
        <v>2019</v>
      </c>
      <c r="D250" s="1134"/>
      <c r="E250" s="711"/>
      <c r="F250" s="13">
        <f t="shared" si="110"/>
        <v>19</v>
      </c>
      <c r="G250" s="13">
        <f t="shared" si="94"/>
        <v>18</v>
      </c>
      <c r="H250" s="175">
        <f t="shared" si="95"/>
        <v>43346</v>
      </c>
      <c r="I250" s="774">
        <f t="shared" si="96"/>
        <v>0.7142857142857143</v>
      </c>
      <c r="J250" s="765">
        <f t="shared" si="97"/>
        <v>54.319766764129916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P250" s="13">
        <f t="shared" si="98"/>
        <v>11</v>
      </c>
      <c r="AQ250" s="13">
        <f t="shared" si="99"/>
        <v>10</v>
      </c>
      <c r="AR250" s="175">
        <f t="shared" si="100"/>
        <v>43360</v>
      </c>
      <c r="AS250" s="774">
        <f t="shared" si="101"/>
        <v>0.8571428571428571</v>
      </c>
      <c r="AT250" s="791">
        <f t="shared" si="102"/>
        <v>54.259461225569247</v>
      </c>
      <c r="AU250" s="13">
        <f t="shared" si="103"/>
        <v>9</v>
      </c>
      <c r="AV250" s="13">
        <f t="shared" si="104"/>
        <v>10</v>
      </c>
      <c r="AW250" s="175">
        <f t="shared" si="105"/>
        <v>43318</v>
      </c>
      <c r="AX250" s="774">
        <f t="shared" si="106"/>
        <v>0.6428571428571429</v>
      </c>
      <c r="AY250" s="791">
        <f t="shared" si="107"/>
        <v>54.262577258050442</v>
      </c>
      <c r="AZ250" s="765">
        <f t="shared" si="111"/>
        <v>54.261019241809848</v>
      </c>
      <c r="BA250" s="649">
        <f t="shared" si="108"/>
        <v>0.9617124097992662</v>
      </c>
      <c r="BB250" s="644">
        <v>43336</v>
      </c>
      <c r="BC250" s="11">
        <v>43336</v>
      </c>
      <c r="BD250" s="292">
        <f>[2]!FeuilCaduc*(1-Persistant)+Persistant</f>
        <v>1</v>
      </c>
      <c r="BE250" s="293">
        <f>[2]!CroissVégét</f>
        <v>0.95640779545152554</v>
      </c>
      <c r="BF250" s="844">
        <f>1+[2]!Salcycl*Ksac</f>
        <v>1.0685480677922854</v>
      </c>
      <c r="BH250" s="1107">
        <f t="shared" si="109"/>
        <v>7.446795020206419E-3</v>
      </c>
      <c r="BI250" s="11">
        <v>44432</v>
      </c>
      <c r="BJ250" s="744">
        <v>7.0166868512088843E-4</v>
      </c>
      <c r="BK250" s="744">
        <v>2.7688219550311434E-3</v>
      </c>
      <c r="BL250" s="744">
        <v>6.2276258368591979E-3</v>
      </c>
      <c r="BM250" s="744">
        <v>1.2330307122663517E-2</v>
      </c>
      <c r="BN250" s="744">
        <v>2.1939505489775028E-2</v>
      </c>
      <c r="BO250" s="745">
        <v>3.5950314839084709E-2</v>
      </c>
      <c r="BP250" s="744">
        <v>5.5267348123999104E-2</v>
      </c>
      <c r="BQ250" s="744">
        <v>7.9776715527760889E-2</v>
      </c>
      <c r="BR250" s="744">
        <v>0.1094172933246617</v>
      </c>
      <c r="BS250" s="744">
        <v>0.14346904641561409</v>
      </c>
      <c r="BT250" s="744">
        <v>0.1806222799048062</v>
      </c>
      <c r="BW250" s="1191">
        <f>'2018'!R\Max</f>
        <v>0</v>
      </c>
      <c r="BX250" s="1189">
        <f>'2019'!R\Max</f>
        <v>0.9617124097992662</v>
      </c>
      <c r="BY250" s="1189">
        <f>'2020'!R\Max</f>
        <v>0.82614213326021091</v>
      </c>
      <c r="BZ250" s="1189">
        <f>'2021'!R\Max</f>
        <v>0.83919321203415231</v>
      </c>
      <c r="CA250" s="1189">
        <f>'2022'!R\Max</f>
        <v>0.89526627883758148</v>
      </c>
      <c r="CB250" s="1189">
        <f>'2023'!R\Max</f>
        <v>0.89502584253926587</v>
      </c>
      <c r="CC250" s="1189">
        <f>'2024'!R\Max</f>
        <v>0.89468238856628568</v>
      </c>
      <c r="CD250" s="1189">
        <f>'2025'!R\Max</f>
        <v>0.89594045594339211</v>
      </c>
      <c r="CE250" s="1189">
        <f>'2026'!R\Max</f>
        <v>0.89581827092101962</v>
      </c>
      <c r="CF250" s="1190">
        <f>'2027'!R\Max</f>
        <v>0.89566375619974592</v>
      </c>
    </row>
    <row r="251" spans="1:84" s="6" customFormat="1" ht="11.25" x14ac:dyDescent="0.2">
      <c r="A251" s="11">
        <v>43337</v>
      </c>
      <c r="B251" s="382">
        <f>'2022'!Maxi_hp</f>
        <v>48.806443569925385</v>
      </c>
      <c r="C251" s="85">
        <f>'2022'!An_max</f>
        <v>2021</v>
      </c>
      <c r="D251" s="1134"/>
      <c r="E251" s="711"/>
      <c r="F251" s="13">
        <f t="shared" si="110"/>
        <v>19</v>
      </c>
      <c r="G251" s="13">
        <f t="shared" si="94"/>
        <v>18</v>
      </c>
      <c r="H251" s="175">
        <f t="shared" si="95"/>
        <v>43346</v>
      </c>
      <c r="I251" s="774">
        <f t="shared" si="96"/>
        <v>0.6428571428571429</v>
      </c>
      <c r="J251" s="765">
        <f t="shared" si="97"/>
        <v>54.036674052423663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P251" s="13">
        <f t="shared" si="98"/>
        <v>11</v>
      </c>
      <c r="AQ251" s="13">
        <f t="shared" si="99"/>
        <v>10</v>
      </c>
      <c r="AR251" s="175">
        <f t="shared" si="100"/>
        <v>43360</v>
      </c>
      <c r="AS251" s="774">
        <f t="shared" si="101"/>
        <v>0.8214285714285714</v>
      </c>
      <c r="AT251" s="791">
        <f t="shared" si="102"/>
        <v>53.957910205610098</v>
      </c>
      <c r="AU251" s="13">
        <f t="shared" si="103"/>
        <v>9</v>
      </c>
      <c r="AV251" s="13">
        <f t="shared" si="104"/>
        <v>10</v>
      </c>
      <c r="AW251" s="175">
        <f t="shared" si="105"/>
        <v>43318</v>
      </c>
      <c r="AX251" s="774">
        <f t="shared" si="106"/>
        <v>0.6785714285714286</v>
      </c>
      <c r="AY251" s="791">
        <f t="shared" si="107"/>
        <v>53.985602331986385</v>
      </c>
      <c r="AZ251" s="765">
        <f t="shared" si="111"/>
        <v>53.971756268798245</v>
      </c>
      <c r="BA251" s="649">
        <f t="shared" si="108"/>
        <v>0.90320961505839215</v>
      </c>
      <c r="BB251" s="644">
        <v>43337</v>
      </c>
      <c r="BC251" s="11">
        <v>43337</v>
      </c>
      <c r="BD251" s="292">
        <f>[2]!FeuilCaduc*(1-Persistant)+Persistant</f>
        <v>1</v>
      </c>
      <c r="BE251" s="293">
        <f>[2]!CroissVégét</f>
        <v>0.95810172578745478</v>
      </c>
      <c r="BF251" s="844">
        <f>1+[2]!Salcycl*Ksac</f>
        <v>1.0684377820950295</v>
      </c>
      <c r="BH251" s="1107">
        <f t="shared" si="109"/>
        <v>7.8733591259284828E-3</v>
      </c>
      <c r="BI251" s="11">
        <v>44433</v>
      </c>
      <c r="BJ251" s="744">
        <v>7.5416328114455108E-4</v>
      </c>
      <c r="BK251" s="744">
        <v>2.9522743377373797E-3</v>
      </c>
      <c r="BL251" s="744">
        <v>6.6020267194763184E-3</v>
      </c>
      <c r="BM251" s="744">
        <v>1.2965816578067712E-2</v>
      </c>
      <c r="BN251" s="744">
        <v>2.2925498050282725E-2</v>
      </c>
      <c r="BO251" s="745">
        <v>3.7353694619683221E-2</v>
      </c>
      <c r="BP251" s="744">
        <v>5.7050666223100101E-2</v>
      </c>
      <c r="BQ251" s="744">
        <v>8.188307291648847E-2</v>
      </c>
      <c r="BR251" s="744">
        <v>0.11175849952398477</v>
      </c>
      <c r="BS251" s="744">
        <v>0.14597005969629251</v>
      </c>
      <c r="BT251" s="744">
        <v>0.18317385859213464</v>
      </c>
      <c r="BW251" s="1191">
        <f>'2018'!R\Max</f>
        <v>0</v>
      </c>
      <c r="BX251" s="1189">
        <f>'2019'!R\Max</f>
        <v>0.87433492531180645</v>
      </c>
      <c r="BY251" s="1189">
        <f>'2020'!R\Max</f>
        <v>0.89112126980621742</v>
      </c>
      <c r="BZ251" s="1189">
        <f>'2021'!R\Max</f>
        <v>0.90320961505839215</v>
      </c>
      <c r="CA251" s="1189">
        <f>'2022'!R\Max</f>
        <v>0.68470176588959042</v>
      </c>
      <c r="CB251" s="1189">
        <f>'2023'!R\Max</f>
        <v>0.68413486638624854</v>
      </c>
      <c r="CC251" s="1189">
        <f>'2024'!R\Max</f>
        <v>0.6833306083663061</v>
      </c>
      <c r="CD251" s="1189">
        <f>'2025'!R\Max</f>
        <v>0.68631095757130356</v>
      </c>
      <c r="CE251" s="1189">
        <f>'2026'!R\Max</f>
        <v>0.68601656444486148</v>
      </c>
      <c r="CF251" s="1190">
        <f>'2027'!R\Max</f>
        <v>0.68564587939671284</v>
      </c>
    </row>
    <row r="252" spans="1:84" s="6" customFormat="1" ht="11.25" x14ac:dyDescent="0.2">
      <c r="A252" s="11">
        <v>43338</v>
      </c>
      <c r="B252" s="382">
        <f>'2022'!Maxi_hp</f>
        <v>50.962123018222243</v>
      </c>
      <c r="C252" s="85">
        <f>'2022'!An_max</f>
        <v>2021</v>
      </c>
      <c r="D252" s="1134"/>
      <c r="E252" s="711"/>
      <c r="F252" s="13">
        <f t="shared" si="110"/>
        <v>19</v>
      </c>
      <c r="G252" s="13">
        <f t="shared" si="94"/>
        <v>18</v>
      </c>
      <c r="H252" s="175">
        <f t="shared" si="95"/>
        <v>43346</v>
      </c>
      <c r="I252" s="774">
        <f t="shared" si="96"/>
        <v>0.5714285714285714</v>
      </c>
      <c r="J252" s="765">
        <f t="shared" si="97"/>
        <v>53.747759767302441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P252" s="13">
        <f t="shared" si="98"/>
        <v>11</v>
      </c>
      <c r="AQ252" s="13">
        <f t="shared" si="99"/>
        <v>10</v>
      </c>
      <c r="AR252" s="175">
        <f t="shared" si="100"/>
        <v>43360</v>
      </c>
      <c r="AS252" s="774">
        <f t="shared" si="101"/>
        <v>0.7857142857142857</v>
      </c>
      <c r="AT252" s="791">
        <f t="shared" si="102"/>
        <v>53.650024490484171</v>
      </c>
      <c r="AU252" s="13">
        <f t="shared" si="103"/>
        <v>9</v>
      </c>
      <c r="AV252" s="13">
        <f t="shared" si="104"/>
        <v>10</v>
      </c>
      <c r="AW252" s="175">
        <f t="shared" si="105"/>
        <v>43318</v>
      </c>
      <c r="AX252" s="774">
        <f t="shared" si="106"/>
        <v>0.7142857142857143</v>
      </c>
      <c r="AY252" s="791">
        <f t="shared" si="107"/>
        <v>53.702679882411438</v>
      </c>
      <c r="AZ252" s="765">
        <f t="shared" si="111"/>
        <v>53.676352186447801</v>
      </c>
      <c r="BA252" s="649">
        <f t="shared" si="108"/>
        <v>0.9481720398926311</v>
      </c>
      <c r="BB252" s="644">
        <v>43338</v>
      </c>
      <c r="BC252" s="11">
        <v>43338</v>
      </c>
      <c r="BD252" s="292">
        <f>[2]!FeuilCaduc*(1-Persistant)+Persistant</f>
        <v>1</v>
      </c>
      <c r="BE252" s="293">
        <f>[2]!CroissVégét</f>
        <v>0.95973309779026206</v>
      </c>
      <c r="BF252" s="844">
        <f>1+[2]!Salcycl*Ksac</f>
        <v>1.0683220485432612</v>
      </c>
      <c r="BH252" s="1107">
        <f t="shared" si="109"/>
        <v>8.306434040334456E-3</v>
      </c>
      <c r="BI252" s="11">
        <v>44434</v>
      </c>
      <c r="BJ252" s="744">
        <v>8.0816266754966742E-4</v>
      </c>
      <c r="BK252" s="744">
        <v>3.1396723085842914E-3</v>
      </c>
      <c r="BL252" s="744">
        <v>6.9831966566996318E-3</v>
      </c>
      <c r="BM252" s="744">
        <v>1.360680241059036E-2</v>
      </c>
      <c r="BN252" s="744">
        <v>2.3906682799459303E-2</v>
      </c>
      <c r="BO252" s="745">
        <v>3.8737976833564426E-2</v>
      </c>
      <c r="BP252" s="744">
        <v>5.8787558543171747E-2</v>
      </c>
      <c r="BQ252" s="744">
        <v>8.3916643989745146E-2</v>
      </c>
      <c r="BR252" s="744">
        <v>0.11399146624775652</v>
      </c>
      <c r="BS252" s="744">
        <v>0.14836747676995668</v>
      </c>
      <c r="BT252" s="744">
        <v>0.18565492957581392</v>
      </c>
      <c r="BW252" s="1191">
        <f>'2018'!R\Max</f>
        <v>0</v>
      </c>
      <c r="BX252" s="1189">
        <f>'2019'!R\Max</f>
        <v>0.79575795212257117</v>
      </c>
      <c r="BY252" s="1189">
        <f>'2020'!R\Max</f>
        <v>0.93527032498428786</v>
      </c>
      <c r="BZ252" s="1189">
        <f>'2021'!R\Max</f>
        <v>0.9481720398926311</v>
      </c>
      <c r="CA252" s="1189">
        <f>'2022'!R\Max</f>
        <v>0.83508515939026806</v>
      </c>
      <c r="CB252" s="1189">
        <f>'2023'!R\Max</f>
        <v>0.83471505093168563</v>
      </c>
      <c r="CC252" s="1189">
        <f>'2024'!R\Max</f>
        <v>0.83419213489970545</v>
      </c>
      <c r="CD252" s="1189">
        <f>'2025'!R\Max</f>
        <v>0.83614465446612596</v>
      </c>
      <c r="CE252" s="1189">
        <f>'2026'!R\Max</f>
        <v>0.83594948617336351</v>
      </c>
      <c r="CF252" s="1190">
        <f>'2027'!R\Max</f>
        <v>0.83570449811798853</v>
      </c>
    </row>
    <row r="253" spans="1:84" s="6" customFormat="1" ht="11.25" x14ac:dyDescent="0.2">
      <c r="A253" s="11">
        <v>43339</v>
      </c>
      <c r="B253" s="382">
        <f>'2022'!Maxi_hp</f>
        <v>52.302767889448141</v>
      </c>
      <c r="C253" s="85">
        <f>'2022'!An_max</f>
        <v>2022</v>
      </c>
      <c r="D253" s="1134"/>
      <c r="E253" s="711"/>
      <c r="F253" s="13">
        <f t="shared" si="110"/>
        <v>19</v>
      </c>
      <c r="G253" s="13">
        <f t="shared" si="94"/>
        <v>18</v>
      </c>
      <c r="H253" s="175">
        <f t="shared" si="95"/>
        <v>43346</v>
      </c>
      <c r="I253" s="774">
        <f t="shared" si="96"/>
        <v>0.5</v>
      </c>
      <c r="J253" s="765">
        <f t="shared" si="97"/>
        <v>53.452800000831488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P253" s="13">
        <f t="shared" si="98"/>
        <v>11</v>
      </c>
      <c r="AQ253" s="13">
        <f t="shared" si="99"/>
        <v>10</v>
      </c>
      <c r="AR253" s="175">
        <f t="shared" si="100"/>
        <v>43360</v>
      </c>
      <c r="AS253" s="774">
        <f t="shared" si="101"/>
        <v>0.75</v>
      </c>
      <c r="AT253" s="791">
        <f t="shared" si="102"/>
        <v>53.336000001244244</v>
      </c>
      <c r="AU253" s="13">
        <f t="shared" si="103"/>
        <v>9</v>
      </c>
      <c r="AV253" s="13">
        <f t="shared" si="104"/>
        <v>10</v>
      </c>
      <c r="AW253" s="175">
        <f t="shared" si="105"/>
        <v>43318</v>
      </c>
      <c r="AX253" s="774">
        <f t="shared" si="106"/>
        <v>0.75</v>
      </c>
      <c r="AY253" s="791">
        <f t="shared" si="107"/>
        <v>53.41359999887645</v>
      </c>
      <c r="AZ253" s="765">
        <f t="shared" si="111"/>
        <v>53.374800000060347</v>
      </c>
      <c r="BA253" s="649">
        <f t="shared" si="108"/>
        <v>0.97848509130736916</v>
      </c>
      <c r="BB253" s="644">
        <v>43339</v>
      </c>
      <c r="BC253" s="11">
        <v>43339</v>
      </c>
      <c r="BD253" s="292">
        <f>[2]!FeuilCaduc*(1-Persistant)+Persistant</f>
        <v>1</v>
      </c>
      <c r="BE253" s="293">
        <f>[2]!CroissVégét</f>
        <v>0.9613040114607565</v>
      </c>
      <c r="BF253" s="844">
        <f>1+[2]!Salcycl*Ksac</f>
        <v>1.0682006521803233</v>
      </c>
      <c r="BH253" s="1107">
        <f t="shared" si="109"/>
        <v>8.746031440928401E-3</v>
      </c>
      <c r="BI253" s="11">
        <v>44435</v>
      </c>
      <c r="BJ253" s="744">
        <v>8.6366840211007175E-4</v>
      </c>
      <c r="BK253" s="744">
        <v>3.3310210716083707E-3</v>
      </c>
      <c r="BL253" s="744">
        <v>7.3711460812378622E-3</v>
      </c>
      <c r="BM253" s="744">
        <v>1.425328128389592E-2</v>
      </c>
      <c r="BN253" s="744">
        <v>2.4883083091016528E-2</v>
      </c>
      <c r="BO253" s="745">
        <v>4.0103192788854637E-2</v>
      </c>
      <c r="BP253" s="744">
        <v>6.0478061557083178E-2</v>
      </c>
      <c r="BQ253" s="744">
        <v>8.5877470314412854E-2</v>
      </c>
      <c r="BR253" s="744">
        <v>0.1161162371616931</v>
      </c>
      <c r="BS253" s="744">
        <v>0.15066135160289187</v>
      </c>
      <c r="BT253" s="744">
        <v>0.18806556176496769</v>
      </c>
      <c r="BW253" s="1191">
        <f>'2018'!R\Max</f>
        <v>0</v>
      </c>
      <c r="BX253" s="1189">
        <f>'2019'!R\Max</f>
        <v>0.6751319523236855</v>
      </c>
      <c r="BY253" s="1189">
        <f>'2020'!R\Max</f>
        <v>0.5251913039742262</v>
      </c>
      <c r="BZ253" s="1189">
        <f>'2021'!R\Max</f>
        <v>0.87275285532458835</v>
      </c>
      <c r="CA253" s="1189">
        <f>'2022'!R\Max</f>
        <v>0.97848509130736916</v>
      </c>
      <c r="CB253" s="1189">
        <f>'2023'!R\Max</f>
        <v>0.9784272752002775</v>
      </c>
      <c r="CC253" s="1189">
        <f>'2024'!R\Max</f>
        <v>0.97834589015939399</v>
      </c>
      <c r="CD253" s="1189">
        <f>'2025'!R\Max</f>
        <v>0.97865197432676865</v>
      </c>
      <c r="CE253" s="1189">
        <f>'2026'!R\Max</f>
        <v>0.97862102919301086</v>
      </c>
      <c r="CF253" s="1190">
        <f>'2027'!R\Max</f>
        <v>0.97858230011572644</v>
      </c>
    </row>
    <row r="254" spans="1:84" s="6" customFormat="1" ht="11.25" x14ac:dyDescent="0.2">
      <c r="A254" s="11">
        <v>43340</v>
      </c>
      <c r="B254" s="382">
        <f>'2022'!Maxi_hp</f>
        <v>52.43587821164941</v>
      </c>
      <c r="C254" s="85">
        <f>'2022'!An_max</f>
        <v>2021</v>
      </c>
      <c r="D254" s="1134"/>
      <c r="E254" s="711"/>
      <c r="F254" s="13">
        <f t="shared" si="110"/>
        <v>19</v>
      </c>
      <c r="G254" s="13">
        <f t="shared" si="94"/>
        <v>18</v>
      </c>
      <c r="H254" s="175">
        <f t="shared" si="95"/>
        <v>43346</v>
      </c>
      <c r="I254" s="774">
        <f t="shared" si="96"/>
        <v>0.42857142857142855</v>
      </c>
      <c r="J254" s="765">
        <f t="shared" si="97"/>
        <v>53.151570846140388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P254" s="13">
        <f t="shared" si="98"/>
        <v>11</v>
      </c>
      <c r="AQ254" s="13">
        <f t="shared" si="99"/>
        <v>10</v>
      </c>
      <c r="AR254" s="175">
        <f t="shared" si="100"/>
        <v>43360</v>
      </c>
      <c r="AS254" s="774">
        <f t="shared" si="101"/>
        <v>0.7142857142857143</v>
      </c>
      <c r="AT254" s="791">
        <f t="shared" si="102"/>
        <v>53.016032653834131</v>
      </c>
      <c r="AU254" s="13">
        <f t="shared" si="103"/>
        <v>9</v>
      </c>
      <c r="AV254" s="13">
        <f t="shared" si="104"/>
        <v>10</v>
      </c>
      <c r="AW254" s="175">
        <f t="shared" si="105"/>
        <v>43318</v>
      </c>
      <c r="AX254" s="774">
        <f t="shared" si="106"/>
        <v>0.7857142857142857</v>
      </c>
      <c r="AY254" s="791">
        <f t="shared" si="107"/>
        <v>53.118152768803498</v>
      </c>
      <c r="AZ254" s="765">
        <f t="shared" si="111"/>
        <v>53.067092711318814</v>
      </c>
      <c r="BA254" s="649">
        <f t="shared" si="108"/>
        <v>0.98653487332363676</v>
      </c>
      <c r="BB254" s="644">
        <v>43340</v>
      </c>
      <c r="BC254" s="11">
        <v>43340</v>
      </c>
      <c r="BD254" s="292">
        <f>[2]!FeuilCaduc*(1-Persistant)+Persistant</f>
        <v>1</v>
      </c>
      <c r="BE254" s="293">
        <f>[2]!CroissVégét</f>
        <v>0.96281651236587618</v>
      </c>
      <c r="BF254" s="844">
        <f>1+[2]!Salcycl*Ksac</f>
        <v>1.068073370794081</v>
      </c>
      <c r="BH254" s="1107">
        <f t="shared" si="109"/>
        <v>9.190210085839666E-3</v>
      </c>
      <c r="BI254" s="11">
        <v>44436</v>
      </c>
      <c r="BJ254" s="744">
        <v>9.2250089589546581E-4</v>
      </c>
      <c r="BK254" s="744">
        <v>3.5269853699453533E-3</v>
      </c>
      <c r="BL254" s="744">
        <v>7.7646117898127268E-3</v>
      </c>
      <c r="BM254" s="744">
        <v>1.4900596000266947E-2</v>
      </c>
      <c r="BN254" s="744">
        <v>2.5843727704534553E-2</v>
      </c>
      <c r="BO254" s="745">
        <v>4.1428772831254242E-2</v>
      </c>
      <c r="BP254" s="744">
        <v>6.2097923498475531E-2</v>
      </c>
      <c r="BQ254" s="744">
        <v>8.7737586224891487E-2</v>
      </c>
      <c r="BR254" s="744">
        <v>0.11814383252634192</v>
      </c>
      <c r="BS254" s="744">
        <v>0.15301783615842349</v>
      </c>
      <c r="BT254" s="744">
        <v>0.19085139335745446</v>
      </c>
      <c r="BW254" s="1191">
        <f>'2018'!R\Max</f>
        <v>0</v>
      </c>
      <c r="BX254" s="1189">
        <f>'2019'!R\Max</f>
        <v>0.80806186459320173</v>
      </c>
      <c r="BY254" s="1189">
        <f>'2020'!R\Max</f>
        <v>0.90665268440038005</v>
      </c>
      <c r="BZ254" s="1189">
        <f>'2021'!R\Max</f>
        <v>0.98653487332363676</v>
      </c>
      <c r="CA254" s="1189">
        <f>'2022'!R\Max</f>
        <v>0.94908616935308665</v>
      </c>
      <c r="CB254" s="1189">
        <f>'2023'!R\Max</f>
        <v>0.94895082839113021</v>
      </c>
      <c r="CC254" s="1189">
        <f>'2024'!R\Max</f>
        <v>0.94876115482086221</v>
      </c>
      <c r="CD254" s="1189">
        <f>'2025'!R\Max</f>
        <v>0.94948061632951741</v>
      </c>
      <c r="CE254" s="1189">
        <f>'2026'!R\Max</f>
        <v>0.94940693039943302</v>
      </c>
      <c r="CF254" s="1190">
        <f>'2027'!R\Max</f>
        <v>0.94931502951445623</v>
      </c>
    </row>
    <row r="255" spans="1:84" s="6" customFormat="1" ht="11.25" x14ac:dyDescent="0.2">
      <c r="A255" s="11">
        <v>43341</v>
      </c>
      <c r="B255" s="382">
        <f>'2022'!Maxi_hp</f>
        <v>51.701518118132348</v>
      </c>
      <c r="C255" s="85">
        <f>'2022'!An_max</f>
        <v>2021</v>
      </c>
      <c r="D255" s="1134"/>
      <c r="E255" s="711"/>
      <c r="F255" s="13">
        <f t="shared" si="110"/>
        <v>19</v>
      </c>
      <c r="G255" s="13">
        <f t="shared" si="94"/>
        <v>18</v>
      </c>
      <c r="H255" s="175">
        <f t="shared" si="95"/>
        <v>43346</v>
      </c>
      <c r="I255" s="774">
        <f t="shared" si="96"/>
        <v>0.35714285714285715</v>
      </c>
      <c r="J255" s="765">
        <f t="shared" si="97"/>
        <v>52.843848397369889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P255" s="13">
        <f t="shared" si="98"/>
        <v>11</v>
      </c>
      <c r="AQ255" s="13">
        <f t="shared" si="99"/>
        <v>10</v>
      </c>
      <c r="AR255" s="175">
        <f t="shared" si="100"/>
        <v>43360</v>
      </c>
      <c r="AS255" s="774">
        <f t="shared" si="101"/>
        <v>0.6785714285714286</v>
      </c>
      <c r="AT255" s="791">
        <f t="shared" si="102"/>
        <v>52.690318368561563</v>
      </c>
      <c r="AU255" s="13">
        <f t="shared" si="103"/>
        <v>9</v>
      </c>
      <c r="AV255" s="13">
        <f t="shared" si="104"/>
        <v>10</v>
      </c>
      <c r="AW255" s="175">
        <f t="shared" si="105"/>
        <v>43318</v>
      </c>
      <c r="AX255" s="774">
        <f t="shared" si="106"/>
        <v>0.8214285714285714</v>
      </c>
      <c r="AY255" s="791">
        <f t="shared" si="107"/>
        <v>52.816128278896215</v>
      </c>
      <c r="AZ255" s="765">
        <f t="shared" si="111"/>
        <v>52.753223323728889</v>
      </c>
      <c r="BA255" s="649">
        <f t="shared" si="108"/>
        <v>0.97838290900678615</v>
      </c>
      <c r="BB255" s="644">
        <v>43341</v>
      </c>
      <c r="BC255" s="11">
        <v>43341</v>
      </c>
      <c r="BD255" s="292">
        <f>[2]!FeuilCaduc*(1-Persistant)+Persistant</f>
        <v>1</v>
      </c>
      <c r="BE255" s="293">
        <f>[2]!CroissVégét</f>
        <v>0.96427259177046543</v>
      </c>
      <c r="BF255" s="844">
        <f>1+[2]!Salcycl*Ksac</f>
        <v>1.067939974631487</v>
      </c>
      <c r="BH255" s="1107">
        <f t="shared" si="109"/>
        <v>9.6350189187880703E-3</v>
      </c>
      <c r="BI255" s="11">
        <v>44437</v>
      </c>
      <c r="BJ255" s="744">
        <v>9.8324148847036565E-4</v>
      </c>
      <c r="BK255" s="744">
        <v>3.7246717026817749E-3</v>
      </c>
      <c r="BL255" s="744">
        <v>8.1593340590379784E-3</v>
      </c>
      <c r="BM255" s="744">
        <v>1.5546031902414192E-2</v>
      </c>
      <c r="BN255" s="744">
        <v>2.6789017774093773E-2</v>
      </c>
      <c r="BO255" s="745">
        <v>4.2719400533160777E-2</v>
      </c>
      <c r="BP255" s="744">
        <v>6.3668634802814553E-2</v>
      </c>
      <c r="BQ255" s="744">
        <v>8.9530040658091517E-2</v>
      </c>
      <c r="BR255" s="744">
        <v>0.12013418670085846</v>
      </c>
      <c r="BS255" s="744">
        <v>0.15551211817297478</v>
      </c>
      <c r="BT255" s="744">
        <v>0.19411055599682986</v>
      </c>
      <c r="BW255" s="1191">
        <f>'2018'!R\Max</f>
        <v>0</v>
      </c>
      <c r="BX255" s="1189">
        <f>'2019'!R\Max</f>
        <v>0.92635786662416231</v>
      </c>
      <c r="BY255" s="1189">
        <f>'2020'!R\Max</f>
        <v>0.1628187121503247</v>
      </c>
      <c r="BZ255" s="1189">
        <f>'2021'!R\Max</f>
        <v>0.97838290900678615</v>
      </c>
      <c r="CA255" s="1189">
        <f>'2022'!R\Max</f>
        <v>0.66923378309663273</v>
      </c>
      <c r="CB255" s="1189">
        <f>'2023'!R\Max</f>
        <v>0.66860241129451747</v>
      </c>
      <c r="CC255" s="1189">
        <f>'2024'!R\Max</f>
        <v>0.66772291449051724</v>
      </c>
      <c r="CD255" s="1189">
        <f>'2025'!R\Max</f>
        <v>0.67109573231996444</v>
      </c>
      <c r="CE255" s="1189">
        <f>'2026'!R\Max</f>
        <v>0.6707448549199142</v>
      </c>
      <c r="CF255" s="1190">
        <f>'2027'!R\Max</f>
        <v>0.67030913012935534</v>
      </c>
    </row>
    <row r="256" spans="1:84" s="6" customFormat="1" ht="11.25" x14ac:dyDescent="0.2">
      <c r="A256" s="11">
        <v>43342</v>
      </c>
      <c r="B256" s="382">
        <f>'2022'!Maxi_hp</f>
        <v>49.974130891350057</v>
      </c>
      <c r="C256" s="85">
        <f>'2022'!An_max</f>
        <v>2021</v>
      </c>
      <c r="D256" s="1134"/>
      <c r="E256" s="711"/>
      <c r="F256" s="13">
        <f t="shared" si="110"/>
        <v>19</v>
      </c>
      <c r="G256" s="13">
        <f t="shared" si="94"/>
        <v>18</v>
      </c>
      <c r="H256" s="175">
        <f t="shared" si="95"/>
        <v>43346</v>
      </c>
      <c r="I256" s="774">
        <f t="shared" si="96"/>
        <v>0.2857142857142857</v>
      </c>
      <c r="J256" s="765">
        <f t="shared" si="97"/>
        <v>52.529408747170656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P256" s="13">
        <f t="shared" si="98"/>
        <v>11</v>
      </c>
      <c r="AQ256" s="13">
        <f t="shared" si="99"/>
        <v>10</v>
      </c>
      <c r="AR256" s="175">
        <f t="shared" si="100"/>
        <v>43360</v>
      </c>
      <c r="AS256" s="774">
        <f t="shared" si="101"/>
        <v>0.6428571428571429</v>
      </c>
      <c r="AT256" s="791">
        <f t="shared" si="102"/>
        <v>52.359053062381484</v>
      </c>
      <c r="AU256" s="13">
        <f t="shared" si="103"/>
        <v>9</v>
      </c>
      <c r="AV256" s="13">
        <f t="shared" si="104"/>
        <v>10</v>
      </c>
      <c r="AW256" s="175">
        <f t="shared" si="105"/>
        <v>43318</v>
      </c>
      <c r="AX256" s="774">
        <f t="shared" si="106"/>
        <v>0.8571428571428571</v>
      </c>
      <c r="AY256" s="791">
        <f t="shared" si="107"/>
        <v>52.507316616071122</v>
      </c>
      <c r="AZ256" s="765">
        <f t="shared" si="111"/>
        <v>52.4331848392263</v>
      </c>
      <c r="BA256" s="649">
        <f t="shared" si="108"/>
        <v>0.95135528998395147</v>
      </c>
      <c r="BB256" s="644">
        <v>43342</v>
      </c>
      <c r="BC256" s="11">
        <v>43342</v>
      </c>
      <c r="BD256" s="292">
        <f>[2]!FeuilCaduc*(1-Persistant)+Persistant</f>
        <v>1</v>
      </c>
      <c r="BE256" s="293">
        <f>[2]!CroissVégét</f>
        <v>0.96567418689281481</v>
      </c>
      <c r="BF256" s="844">
        <f>1+[2]!Salcycl*Ksac</f>
        <v>1.0678002260004089</v>
      </c>
      <c r="BH256" s="1107">
        <f t="shared" si="109"/>
        <v>1.0080469615704952E-2</v>
      </c>
      <c r="BI256" s="11">
        <v>44438</v>
      </c>
      <c r="BJ256" s="744">
        <v>1.0458922055776526E-3</v>
      </c>
      <c r="BK256" s="744">
        <v>3.924085549539171E-3</v>
      </c>
      <c r="BL256" s="744">
        <v>8.5553233697275369E-3</v>
      </c>
      <c r="BM256" s="744">
        <v>1.6189605453439209E-2</v>
      </c>
      <c r="BN256" s="744">
        <v>2.7718974724529031E-2</v>
      </c>
      <c r="BO256" s="745">
        <v>4.3975102454444949E-2</v>
      </c>
      <c r="BP256" s="744">
        <v>6.5190228034881906E-2</v>
      </c>
      <c r="BQ256" s="744">
        <v>9.1254870583266437E-2</v>
      </c>
      <c r="BR256" s="744">
        <v>0.12208735447358582</v>
      </c>
      <c r="BS256" s="744">
        <v>0.15814431663958542</v>
      </c>
      <c r="BT256" s="744">
        <v>0.1978432822591874</v>
      </c>
      <c r="BW256" s="1191">
        <f>'2018'!R\Max</f>
        <v>0</v>
      </c>
      <c r="BX256" s="1189">
        <f>'2019'!R\Max</f>
        <v>0.9232268547091057</v>
      </c>
      <c r="BY256" s="1189">
        <f>'2020'!R\Max</f>
        <v>0.39299720594898646</v>
      </c>
      <c r="BZ256" s="1189">
        <f>'2021'!R\Max</f>
        <v>0.95135528998395147</v>
      </c>
      <c r="CA256" s="1189">
        <f>'2022'!R\Max</f>
        <v>0.94010044391206093</v>
      </c>
      <c r="CB256" s="1189">
        <f>'2023'!R\Max</f>
        <v>0.9399367400082187</v>
      </c>
      <c r="CC256" s="1189">
        <f>'2024'!R\Max</f>
        <v>0.93970920743854547</v>
      </c>
      <c r="CD256" s="1189">
        <f>'2025'!R\Max</f>
        <v>0.94058561553678288</v>
      </c>
      <c r="CE256" s="1189">
        <f>'2026'!R\Max</f>
        <v>0.94049376239903171</v>
      </c>
      <c r="CF256" s="1190">
        <f>'2027'!R\Max</f>
        <v>0.94037996426042769</v>
      </c>
    </row>
    <row r="257" spans="1:84" s="6" customFormat="1" ht="11.25" x14ac:dyDescent="0.2">
      <c r="A257" s="11">
        <v>43343</v>
      </c>
      <c r="B257" s="382">
        <f>'2022'!Maxi_hp</f>
        <v>49.874216739239351</v>
      </c>
      <c r="C257" s="85">
        <f>'2022'!An_max</f>
        <v>2021</v>
      </c>
      <c r="D257" s="1134"/>
      <c r="E257" s="711"/>
      <c r="F257" s="13">
        <f t="shared" si="110"/>
        <v>19</v>
      </c>
      <c r="G257" s="13">
        <f t="shared" si="94"/>
        <v>18</v>
      </c>
      <c r="H257" s="175">
        <f t="shared" si="95"/>
        <v>43346</v>
      </c>
      <c r="I257" s="774">
        <f t="shared" si="96"/>
        <v>0.21428571428571427</v>
      </c>
      <c r="J257" s="765">
        <f t="shared" si="97"/>
        <v>52.208027989151219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P257" s="13">
        <f t="shared" si="98"/>
        <v>11</v>
      </c>
      <c r="AQ257" s="13">
        <f t="shared" si="99"/>
        <v>10</v>
      </c>
      <c r="AR257" s="175">
        <f t="shared" si="100"/>
        <v>43360</v>
      </c>
      <c r="AS257" s="774">
        <f t="shared" si="101"/>
        <v>0.6071428571428571</v>
      </c>
      <c r="AT257" s="791">
        <f t="shared" si="102"/>
        <v>52.022432654031682</v>
      </c>
      <c r="AU257" s="13">
        <f t="shared" si="103"/>
        <v>9</v>
      </c>
      <c r="AV257" s="13">
        <f t="shared" si="104"/>
        <v>10</v>
      </c>
      <c r="AW257" s="175">
        <f t="shared" si="105"/>
        <v>43318</v>
      </c>
      <c r="AX257" s="774">
        <f t="shared" si="106"/>
        <v>0.8928571428571429</v>
      </c>
      <c r="AY257" s="791">
        <f t="shared" si="107"/>
        <v>52.191507870863596</v>
      </c>
      <c r="AZ257" s="765">
        <f t="shared" si="111"/>
        <v>52.106970262447639</v>
      </c>
      <c r="BA257" s="649">
        <f t="shared" si="108"/>
        <v>0.95529784709744581</v>
      </c>
      <c r="BB257" s="644">
        <v>43343</v>
      </c>
      <c r="BC257" s="11">
        <v>43343</v>
      </c>
      <c r="BD257" s="292">
        <f>[2]!FeuilCaduc*(1-Persistant)+Persistant</f>
        <v>1</v>
      </c>
      <c r="BE257" s="293">
        <f>[2]!CroissVégét</f>
        <v>0.9670231812722152</v>
      </c>
      <c r="BF257" s="844">
        <f>1+[2]!Salcycl*Ksac</f>
        <v>1.0676538787744148</v>
      </c>
      <c r="BH257" s="1107">
        <f t="shared" si="109"/>
        <v>1.0526574187942731E-2</v>
      </c>
      <c r="BI257" s="11">
        <v>44439</v>
      </c>
      <c r="BJ257" s="744">
        <v>1.1104552016458632E-3</v>
      </c>
      <c r="BK257" s="744">
        <v>4.1252326050217449E-3</v>
      </c>
      <c r="BL257" s="744">
        <v>8.9525905321741536E-3</v>
      </c>
      <c r="BM257" s="744">
        <v>1.6831333475666926E-2</v>
      </c>
      <c r="BN257" s="744">
        <v>2.8633619932802886E-2</v>
      </c>
      <c r="BO257" s="745">
        <v>4.5195904451854375E-2</v>
      </c>
      <c r="BP257" s="744">
        <v>6.6662734598704337E-2</v>
      </c>
      <c r="BQ257" s="744">
        <v>9.2912111112699688E-2</v>
      </c>
      <c r="BR257" s="744">
        <v>0.124003390283333</v>
      </c>
      <c r="BS257" s="744">
        <v>0.16091455848889288</v>
      </c>
      <c r="BT257" s="744">
        <v>0.2020498284152262</v>
      </c>
      <c r="BW257" s="1191">
        <f>'2018'!R\Max</f>
        <v>0</v>
      </c>
      <c r="BX257" s="1189">
        <f>'2019'!R\Max</f>
        <v>0.8988027288588355</v>
      </c>
      <c r="BY257" s="1189">
        <f>'2020'!R\Max</f>
        <v>0.55218431379181543</v>
      </c>
      <c r="BZ257" s="1189">
        <f>'2021'!R\Max</f>
        <v>0.95529784709744581</v>
      </c>
      <c r="CA257" s="1189">
        <f>'2022'!R\Max</f>
        <v>0.44212292365881739</v>
      </c>
      <c r="CB257" s="1189">
        <f>'2023'!R\Max</f>
        <v>0.44139421671591195</v>
      </c>
      <c r="CC257" s="1189">
        <f>'2024'!R\Max</f>
        <v>0.44038897233020774</v>
      </c>
      <c r="CD257" s="1189">
        <f>'2025'!R\Max</f>
        <v>0.44431151625951598</v>
      </c>
      <c r="CE257" s="1189">
        <f>'2026'!R\Max</f>
        <v>0.44389311420928812</v>
      </c>
      <c r="CF257" s="1190">
        <f>'2027'!R\Max</f>
        <v>0.44337741631322491</v>
      </c>
    </row>
    <row r="258" spans="1:84" s="6" customFormat="1" ht="11.25" x14ac:dyDescent="0.2">
      <c r="A258" s="11">
        <v>43344</v>
      </c>
      <c r="B258" s="382">
        <f>'2022'!Maxi_hp</f>
        <v>46.736743029698395</v>
      </c>
      <c r="C258" s="85">
        <f>'2022'!An_max</f>
        <v>2022</v>
      </c>
      <c r="D258" s="1134"/>
      <c r="E258" s="711"/>
      <c r="F258" s="13">
        <f t="shared" si="110"/>
        <v>19</v>
      </c>
      <c r="G258" s="13">
        <f t="shared" si="94"/>
        <v>18</v>
      </c>
      <c r="H258" s="175">
        <f t="shared" si="95"/>
        <v>43346</v>
      </c>
      <c r="I258" s="774">
        <f t="shared" si="96"/>
        <v>0.14285714285714285</v>
      </c>
      <c r="J258" s="765">
        <f t="shared" si="97"/>
        <v>51.879482216813742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P258" s="13">
        <f t="shared" si="98"/>
        <v>11</v>
      </c>
      <c r="AQ258" s="13">
        <f t="shared" si="99"/>
        <v>10</v>
      </c>
      <c r="AR258" s="175">
        <f t="shared" si="100"/>
        <v>43360</v>
      </c>
      <c r="AS258" s="774">
        <f t="shared" si="101"/>
        <v>0.5714285714285714</v>
      </c>
      <c r="AT258" s="791">
        <f t="shared" si="102"/>
        <v>51.680653061611316</v>
      </c>
      <c r="AU258" s="13">
        <f t="shared" si="103"/>
        <v>9</v>
      </c>
      <c r="AV258" s="13">
        <f t="shared" si="104"/>
        <v>10</v>
      </c>
      <c r="AW258" s="175">
        <f t="shared" si="105"/>
        <v>43318</v>
      </c>
      <c r="AX258" s="774">
        <f t="shared" si="106"/>
        <v>0.9285714285714286</v>
      </c>
      <c r="AY258" s="791">
        <f t="shared" si="107"/>
        <v>51.868492126890587</v>
      </c>
      <c r="AZ258" s="765">
        <f t="shared" si="111"/>
        <v>51.774572594250955</v>
      </c>
      <c r="BA258" s="649">
        <f t="shared" si="108"/>
        <v>0.90087142416682364</v>
      </c>
      <c r="BB258" s="644">
        <v>43344</v>
      </c>
      <c r="BC258" s="11">
        <v>43344</v>
      </c>
      <c r="BD258" s="292">
        <f>[2]!FeuilCaduc*(1-Persistant)+Persistant</f>
        <v>1</v>
      </c>
      <c r="BE258" s="293">
        <f>[2]!CroissVégét</f>
        <v>0.96832140523745813</v>
      </c>
      <c r="BF258" s="844">
        <f>1+[2]!Salcycl*Ksac</f>
        <v>1.0675006778180676</v>
      </c>
      <c r="BH258" s="1107">
        <f t="shared" si="109"/>
        <v>1.0973344983220964E-2</v>
      </c>
      <c r="BI258" s="11">
        <v>44440</v>
      </c>
      <c r="BJ258" s="744">
        <v>1.1769327631352673E-3</v>
      </c>
      <c r="BK258" s="744">
        <v>4.3281187813836615E-3</v>
      </c>
      <c r="BL258" s="744">
        <v>9.3511466882210282E-3</v>
      </c>
      <c r="BM258" s="744">
        <v>1.7471233147083171E-2</v>
      </c>
      <c r="BN258" s="744">
        <v>2.9532974700531237E-2</v>
      </c>
      <c r="BO258" s="745">
        <v>4.638183161679265E-2</v>
      </c>
      <c r="BP258" s="744">
        <v>6.8086184650118245E-2</v>
      </c>
      <c r="BQ258" s="744">
        <v>9.4501795381443723E-2</v>
      </c>
      <c r="BR258" s="744">
        <v>0.12588234815263849</v>
      </c>
      <c r="BS258" s="744">
        <v>0.16382297883105149</v>
      </c>
      <c r="BT258" s="744">
        <v>0.20673047526399585</v>
      </c>
      <c r="BW258" s="1191">
        <f>'2018'!R\Max</f>
        <v>0</v>
      </c>
      <c r="BX258" s="1189">
        <f>'2019'!R\Max</f>
        <v>0.34203301145419701</v>
      </c>
      <c r="BY258" s="1189">
        <f>'2020'!R\Max</f>
        <v>0.82185659544705258</v>
      </c>
      <c r="BZ258" s="1189">
        <f>'2021'!R\Max</f>
        <v>0.58714584392397551</v>
      </c>
      <c r="CA258" s="1189">
        <f>'2022'!R\Max</f>
        <v>0.90087142416682364</v>
      </c>
      <c r="CB258" s="1189">
        <f>'2023'!R\Max</f>
        <v>0.90060270675472531</v>
      </c>
      <c r="CC258" s="1189">
        <f>'2024'!R\Max</f>
        <v>0.90023228735029226</v>
      </c>
      <c r="CD258" s="1189">
        <f>'2025'!R\Max</f>
        <v>0.90167967105875924</v>
      </c>
      <c r="CE258" s="1189">
        <f>'2026'!R\Max</f>
        <v>0.90152474941243765</v>
      </c>
      <c r="CF258" s="1190">
        <f>'2027'!R\Max</f>
        <v>0.9013340955811755</v>
      </c>
    </row>
    <row r="259" spans="1:84" s="6" customFormat="1" ht="11.25" x14ac:dyDescent="0.2">
      <c r="A259" s="11">
        <v>43345</v>
      </c>
      <c r="B259" s="382">
        <f>'2022'!Maxi_hp</f>
        <v>49.068004680732784</v>
      </c>
      <c r="C259" s="85">
        <f>'2022'!An_max</f>
        <v>2019</v>
      </c>
      <c r="D259" s="1134"/>
      <c r="E259" s="711"/>
      <c r="F259" s="13">
        <f t="shared" si="110"/>
        <v>19</v>
      </c>
      <c r="G259" s="13">
        <f t="shared" si="94"/>
        <v>18</v>
      </c>
      <c r="H259" s="175">
        <f t="shared" si="95"/>
        <v>43346</v>
      </c>
      <c r="I259" s="774">
        <f t="shared" si="96"/>
        <v>7.1428571428571425E-2</v>
      </c>
      <c r="J259" s="765">
        <f t="shared" si="97"/>
        <v>51.543547522915262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P259" s="13">
        <f t="shared" si="98"/>
        <v>11</v>
      </c>
      <c r="AQ259" s="13">
        <f t="shared" si="99"/>
        <v>10</v>
      </c>
      <c r="AR259" s="175">
        <f t="shared" si="100"/>
        <v>43360</v>
      </c>
      <c r="AS259" s="774">
        <f t="shared" si="101"/>
        <v>0.5357142857142857</v>
      </c>
      <c r="AT259" s="791">
        <f t="shared" si="102"/>
        <v>51.333910204097627</v>
      </c>
      <c r="AU259" s="13">
        <f t="shared" si="103"/>
        <v>9</v>
      </c>
      <c r="AV259" s="13">
        <f t="shared" si="104"/>
        <v>10</v>
      </c>
      <c r="AW259" s="175">
        <f t="shared" si="105"/>
        <v>43318</v>
      </c>
      <c r="AX259" s="774">
        <f t="shared" si="106"/>
        <v>0.9642857142857143</v>
      </c>
      <c r="AY259" s="791">
        <f t="shared" si="107"/>
        <v>51.538059473623115</v>
      </c>
      <c r="AZ259" s="765">
        <f t="shared" si="111"/>
        <v>51.435984838860371</v>
      </c>
      <c r="BA259" s="649">
        <f t="shared" si="108"/>
        <v>0.95197181876001258</v>
      </c>
      <c r="BB259" s="644">
        <v>43345</v>
      </c>
      <c r="BC259" s="11">
        <v>43345</v>
      </c>
      <c r="BD259" s="292">
        <f>[2]!FeuilCaduc*(1-Persistant)+Persistant</f>
        <v>1</v>
      </c>
      <c r="BE259" s="293">
        <f>[2]!CroissVégét</f>
        <v>0.96957063646587138</v>
      </c>
      <c r="BF259" s="844">
        <f>1+[2]!Salcycl*Ksac</f>
        <v>1.0673403583519256</v>
      </c>
      <c r="BH259" s="1107">
        <f t="shared" si="109"/>
        <v>1.1420794686530206E-2</v>
      </c>
      <c r="BI259" s="11">
        <v>44441</v>
      </c>
      <c r="BJ259" s="744">
        <v>1.2453273118802535E-3</v>
      </c>
      <c r="BK259" s="744">
        <v>4.5327502115809987E-3</v>
      </c>
      <c r="BL259" s="744">
        <v>9.7510033132983138E-3</v>
      </c>
      <c r="BM259" s="744">
        <v>1.8109321997701589E-2</v>
      </c>
      <c r="BN259" s="744">
        <v>3.0417060226381201E-2</v>
      </c>
      <c r="BO259" s="745">
        <v>4.7532908212886998E-2</v>
      </c>
      <c r="BP259" s="744">
        <v>6.9460607009007094E-2</v>
      </c>
      <c r="BQ259" s="744">
        <v>9.602395442658572E-2</v>
      </c>
      <c r="BR259" s="744">
        <v>0.12772428162038776</v>
      </c>
      <c r="BS259" s="744">
        <v>0.16686972119682184</v>
      </c>
      <c r="BT259" s="744">
        <v>0.2118855289656271</v>
      </c>
      <c r="BW259" s="1191">
        <f>'2018'!R\Max</f>
        <v>0</v>
      </c>
      <c r="BX259" s="1189">
        <f>'2019'!R\Max</f>
        <v>0.95197181876001258</v>
      </c>
      <c r="BY259" s="1189">
        <f>'2020'!R\Max</f>
        <v>0.88180153912845005</v>
      </c>
      <c r="BZ259" s="1189">
        <f>'2021'!R\Max</f>
        <v>0.43293504220945883</v>
      </c>
      <c r="CA259" s="1189">
        <f>'2022'!R\Max</f>
        <v>0.78746576648626621</v>
      </c>
      <c r="CB259" s="1189">
        <f>'2023'!R\Max</f>
        <v>0.78695401789535702</v>
      </c>
      <c r="CC259" s="1189">
        <f>'2024'!R\Max</f>
        <v>0.78625193233256108</v>
      </c>
      <c r="CD259" s="1189">
        <f>'2025'!R\Max</f>
        <v>0.78901701757035292</v>
      </c>
      <c r="CE259" s="1189">
        <f>'2026'!R\Max</f>
        <v>0.78871773479628293</v>
      </c>
      <c r="CF259" s="1190">
        <f>'2027'!R\Max</f>
        <v>0.7883507907775239</v>
      </c>
    </row>
    <row r="260" spans="1:84" s="6" customFormat="1" ht="11.25" x14ac:dyDescent="0.2">
      <c r="A260" s="11">
        <v>43346</v>
      </c>
      <c r="B260" s="382">
        <f>'2022'!Maxi_hp</f>
        <v>51.035952311623831</v>
      </c>
      <c r="C260" s="85">
        <f>'2022'!An_max</f>
        <v>2019</v>
      </c>
      <c r="D260" s="1134"/>
      <c r="E260" s="773">
        <f>AE$13/10</f>
        <v>51.2</v>
      </c>
      <c r="F260" s="13">
        <f t="shared" si="110"/>
        <v>19</v>
      </c>
      <c r="G260" s="13">
        <f t="shared" si="94"/>
        <v>20</v>
      </c>
      <c r="H260" s="175">
        <f t="shared" si="95"/>
        <v>43346</v>
      </c>
      <c r="I260" s="774">
        <f t="shared" si="96"/>
        <v>0</v>
      </c>
      <c r="J260" s="765">
        <f t="shared" si="97"/>
        <v>51.200000002235171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P260" s="13">
        <f t="shared" si="98"/>
        <v>11</v>
      </c>
      <c r="AQ260" s="13">
        <f t="shared" si="99"/>
        <v>10</v>
      </c>
      <c r="AR260" s="175">
        <f t="shared" si="100"/>
        <v>43360</v>
      </c>
      <c r="AS260" s="774">
        <f t="shared" si="101"/>
        <v>0.5</v>
      </c>
      <c r="AT260" s="791">
        <f t="shared" si="102"/>
        <v>50.982400000467898</v>
      </c>
      <c r="AU260" s="13">
        <f t="shared" si="103"/>
        <v>11</v>
      </c>
      <c r="AV260" s="13">
        <f t="shared" si="104"/>
        <v>10</v>
      </c>
      <c r="AW260" s="175">
        <f t="shared" si="105"/>
        <v>43374</v>
      </c>
      <c r="AX260" s="774">
        <f t="shared" si="106"/>
        <v>1</v>
      </c>
      <c r="AY260" s="791">
        <f t="shared" si="107"/>
        <v>51.199999997764827</v>
      </c>
      <c r="AZ260" s="765">
        <f t="shared" si="111"/>
        <v>51.091199999116363</v>
      </c>
      <c r="BA260" s="649">
        <f t="shared" si="108"/>
        <v>0.99679594354288714</v>
      </c>
      <c r="BB260" s="644">
        <v>43346</v>
      </c>
      <c r="BC260" s="11">
        <v>43346</v>
      </c>
      <c r="BD260" s="292">
        <f>[2]!FeuilCaduc*(1-Persistant)+Persistant</f>
        <v>1</v>
      </c>
      <c r="BE260" s="293">
        <f>[2]!CroissVégét</f>
        <v>0.97077260062312232</v>
      </c>
      <c r="BF260" s="844">
        <f>1+[2]!Salcycl*Ksac</f>
        <v>1.0671726452778623</v>
      </c>
      <c r="BH260" s="1107">
        <f t="shared" si="109"/>
        <v>1.1868936320920025E-2</v>
      </c>
      <c r="BI260" s="11">
        <v>44442</v>
      </c>
      <c r="BJ260" s="744">
        <v>1.3156414084193641E-3</v>
      </c>
      <c r="BK260" s="744">
        <v>4.7391332521780323E-3</v>
      </c>
      <c r="BL260" s="744">
        <v>1.0152172218360952E-2</v>
      </c>
      <c r="BM260" s="744">
        <v>1.8745617905745974E-2</v>
      </c>
      <c r="BN260" s="744">
        <v>3.1285897578156273E-2</v>
      </c>
      <c r="BO260" s="745">
        <v>4.8649157613064369E-2</v>
      </c>
      <c r="BP260" s="744">
        <v>7.078602907081781E-2</v>
      </c>
      <c r="BQ260" s="744">
        <v>9.7478617065511877E-2</v>
      </c>
      <c r="BR260" s="744">
        <v>0.12952924367309912</v>
      </c>
      <c r="BS260" s="744">
        <v>0.17005493777693567</v>
      </c>
      <c r="BT260" s="744">
        <v>0.21751532187189729</v>
      </c>
      <c r="BW260" s="1191">
        <f>'2018'!R\Max</f>
        <v>0</v>
      </c>
      <c r="BX260" s="1189">
        <f>'2019'!R\Max</f>
        <v>0.99679594354288714</v>
      </c>
      <c r="BY260" s="1189">
        <f>'2020'!R\Max</f>
        <v>0.98543367553856576</v>
      </c>
      <c r="BZ260" s="1189">
        <f>'2021'!R\Max</f>
        <v>0.57426884403622336</v>
      </c>
      <c r="CA260" s="1189">
        <f>'2022'!R\Max</f>
        <v>0.6516485721346037</v>
      </c>
      <c r="CB260" s="1189">
        <f>'2023'!R\Max</f>
        <v>0.65094370737266294</v>
      </c>
      <c r="CC260" s="1189">
        <f>'2024'!R\Max</f>
        <v>0.64998141714696933</v>
      </c>
      <c r="CD260" s="1189">
        <f>'2025'!R\Max</f>
        <v>0.65380161417555016</v>
      </c>
      <c r="CE260" s="1189">
        <f>'2026'!R\Max</f>
        <v>0.65338351217573265</v>
      </c>
      <c r="CF260" s="1190">
        <f>'2027'!R\Max</f>
        <v>0.6528728524611791</v>
      </c>
    </row>
    <row r="261" spans="1:84" s="6" customFormat="1" ht="11.25" x14ac:dyDescent="0.2">
      <c r="A261" s="11">
        <v>43347</v>
      </c>
      <c r="B261" s="382">
        <f>'2022'!Maxi_hp</f>
        <v>50.502994047654042</v>
      </c>
      <c r="C261" s="85">
        <f>'2022'!An_max</f>
        <v>2019</v>
      </c>
      <c r="D261" s="1134"/>
      <c r="E261" s="711"/>
      <c r="F261" s="13">
        <f t="shared" si="110"/>
        <v>19</v>
      </c>
      <c r="G261" s="13">
        <f t="shared" si="94"/>
        <v>20</v>
      </c>
      <c r="H261" s="175">
        <f t="shared" si="95"/>
        <v>43346</v>
      </c>
      <c r="I261" s="774">
        <f t="shared" si="96"/>
        <v>7.1428571428571425E-2</v>
      </c>
      <c r="J261" s="765">
        <f t="shared" si="97"/>
        <v>50.847962682587763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P261" s="13">
        <f t="shared" si="98"/>
        <v>11</v>
      </c>
      <c r="AQ261" s="13">
        <f t="shared" si="99"/>
        <v>10</v>
      </c>
      <c r="AR261" s="175">
        <f t="shared" si="100"/>
        <v>43360</v>
      </c>
      <c r="AS261" s="774">
        <f t="shared" si="101"/>
        <v>0.4642857142857143</v>
      </c>
      <c r="AT261" s="791">
        <f t="shared" si="102"/>
        <v>50.626318368289084</v>
      </c>
      <c r="AU261" s="13">
        <f t="shared" si="103"/>
        <v>11</v>
      </c>
      <c r="AV261" s="13">
        <f t="shared" si="104"/>
        <v>10</v>
      </c>
      <c r="AW261" s="175">
        <f t="shared" si="105"/>
        <v>43374</v>
      </c>
      <c r="AX261" s="774">
        <f t="shared" si="106"/>
        <v>0.9642857142857143</v>
      </c>
      <c r="AY261" s="791">
        <f t="shared" si="107"/>
        <v>50.851969678320785</v>
      </c>
      <c r="AZ261" s="765">
        <f t="shared" si="111"/>
        <v>50.739144023304931</v>
      </c>
      <c r="BA261" s="649">
        <f t="shared" si="108"/>
        <v>0.99321568423326723</v>
      </c>
      <c r="BB261" s="644">
        <v>43347</v>
      </c>
      <c r="BC261" s="11">
        <v>43347</v>
      </c>
      <c r="BD261" s="292">
        <f>[2]!FeuilCaduc*(1-Persistant)+Persistant</f>
        <v>1</v>
      </c>
      <c r="BE261" s="293">
        <f>[2]!CroissVégét</f>
        <v>0.97192897207465079</v>
      </c>
      <c r="BF261" s="844">
        <f>1+[2]!Salcycl*Ksac</f>
        <v>1.0669972524864604</v>
      </c>
      <c r="BH261" s="1107">
        <f t="shared" si="109"/>
        <v>1.2317783248249553E-2</v>
      </c>
      <c r="BI261" s="11">
        <v>44443</v>
      </c>
      <c r="BJ261" s="744">
        <v>1.3878777553203469E-3</v>
      </c>
      <c r="BK261" s="744">
        <v>4.947274486237445E-3</v>
      </c>
      <c r="BL261" s="744">
        <v>1.0554665551793683E-2</v>
      </c>
      <c r="BM261" s="744">
        <v>1.9380139093776467E-2</v>
      </c>
      <c r="BN261" s="744">
        <v>3.2139507664795931E-2</v>
      </c>
      <c r="BO261" s="745">
        <v>4.9730602236503947E-2</v>
      </c>
      <c r="BP261" s="744">
        <v>7.2062476717910204E-2</v>
      </c>
      <c r="BQ261" s="744">
        <v>9.8865809773958521E-2</v>
      </c>
      <c r="BR261" s="744">
        <v>0.13129728667593335</v>
      </c>
      <c r="BS261" s="744">
        <v>0.17337878966106882</v>
      </c>
      <c r="BT261" s="744">
        <v>0.22362021335623947</v>
      </c>
      <c r="BW261" s="1191">
        <f>'2018'!R\Max</f>
        <v>0</v>
      </c>
      <c r="BX261" s="1189">
        <f>'2019'!R\Max</f>
        <v>0.99321568423326723</v>
      </c>
      <c r="BY261" s="1189">
        <f>'2020'!R\Max</f>
        <v>0.95889728422258047</v>
      </c>
      <c r="BZ261" s="1189">
        <f>'2021'!R\Max</f>
        <v>0.8414993709228149</v>
      </c>
      <c r="CA261" s="1189">
        <f>'2022'!R\Max</f>
        <v>0.95840597472253275</v>
      </c>
      <c r="CB261" s="1189">
        <f>'2023'!R\Max</f>
        <v>0.95828016797512217</v>
      </c>
      <c r="CC261" s="1189">
        <f>'2024'!R\Max</f>
        <v>0.95810869340842464</v>
      </c>
      <c r="CD261" s="1189">
        <f>'2025'!R\Max</f>
        <v>0.95879087238292271</v>
      </c>
      <c r="CE261" s="1189">
        <f>'2026'!R\Max</f>
        <v>0.95871590961984554</v>
      </c>
      <c r="CF261" s="1190">
        <f>'2027'!R\Max</f>
        <v>0.95862453790871982</v>
      </c>
    </row>
    <row r="262" spans="1:84" s="6" customFormat="1" ht="11.25" x14ac:dyDescent="0.2">
      <c r="A262" s="11">
        <v>43348</v>
      </c>
      <c r="B262" s="382">
        <f>'2022'!Maxi_hp</f>
        <v>48.405506175605858</v>
      </c>
      <c r="C262" s="85">
        <f>'2022'!An_max</f>
        <v>2020</v>
      </c>
      <c r="D262" s="1134"/>
      <c r="E262" s="711"/>
      <c r="F262" s="13">
        <f t="shared" si="110"/>
        <v>19</v>
      </c>
      <c r="G262" s="13">
        <f t="shared" si="94"/>
        <v>20</v>
      </c>
      <c r="H262" s="175">
        <f t="shared" si="95"/>
        <v>43346</v>
      </c>
      <c r="I262" s="774">
        <f t="shared" si="96"/>
        <v>0.14285714285714285</v>
      </c>
      <c r="J262" s="765">
        <f t="shared" si="97"/>
        <v>50.487081049701999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P262" s="13">
        <f t="shared" si="98"/>
        <v>11</v>
      </c>
      <c r="AQ262" s="13">
        <f t="shared" si="99"/>
        <v>10</v>
      </c>
      <c r="AR262" s="175">
        <f t="shared" si="100"/>
        <v>43360</v>
      </c>
      <c r="AS262" s="774">
        <f t="shared" si="101"/>
        <v>0.42857142857142855</v>
      </c>
      <c r="AT262" s="791">
        <f t="shared" si="102"/>
        <v>50.265861224915298</v>
      </c>
      <c r="AU262" s="13">
        <f t="shared" si="103"/>
        <v>11</v>
      </c>
      <c r="AV262" s="13">
        <f t="shared" si="104"/>
        <v>10</v>
      </c>
      <c r="AW262" s="175">
        <f t="shared" si="105"/>
        <v>43374</v>
      </c>
      <c r="AX262" s="774">
        <f t="shared" si="106"/>
        <v>0.9285714285714286</v>
      </c>
      <c r="AY262" s="791">
        <f t="shared" si="107"/>
        <v>50.492230901507931</v>
      </c>
      <c r="AZ262" s="765">
        <f t="shared" si="111"/>
        <v>50.379046063211618</v>
      </c>
      <c r="BA262" s="649">
        <f t="shared" si="108"/>
        <v>0.9587701481088412</v>
      </c>
      <c r="BB262" s="644">
        <v>43348</v>
      </c>
      <c r="BC262" s="11">
        <v>43348</v>
      </c>
      <c r="BD262" s="292">
        <f>[2]!FeuilCaduc*(1-Persistant)+Persistant</f>
        <v>1</v>
      </c>
      <c r="BE262" s="293">
        <f>[2]!CroissVégét</f>
        <v>0.97304137466019458</v>
      </c>
      <c r="BF262" s="844">
        <f>1+[2]!Salcycl*Ksac</f>
        <v>1.0668138821691335</v>
      </c>
      <c r="BH262" s="1107">
        <f t="shared" si="109"/>
        <v>1.275927262647903E-2</v>
      </c>
      <c r="BI262" s="11">
        <v>44444</v>
      </c>
      <c r="BJ262" s="744">
        <v>1.4663390633057696E-3</v>
      </c>
      <c r="BK262" s="744">
        <v>5.1558681256762464E-3</v>
      </c>
      <c r="BL262" s="744">
        <v>1.0951243038715067E-2</v>
      </c>
      <c r="BM262" s="744">
        <v>2.0001527839331776E-2</v>
      </c>
      <c r="BN262" s="744">
        <v>3.2965012135281899E-2</v>
      </c>
      <c r="BO262" s="745">
        <v>5.0755760541958461E-2</v>
      </c>
      <c r="BP262" s="744">
        <v>7.326259537102138E-2</v>
      </c>
      <c r="BQ262" s="744">
        <v>0.10015441448111639</v>
      </c>
      <c r="BR262" s="744">
        <v>0.13313741086942804</v>
      </c>
      <c r="BS262" s="744">
        <v>0.17707010953724542</v>
      </c>
      <c r="BT262" s="744">
        <v>0.23053251236276873</v>
      </c>
      <c r="BW262" s="1191">
        <f>'2018'!R\Max</f>
        <v>0</v>
      </c>
      <c r="BX262" s="1189">
        <f>'2019'!R\Max</f>
        <v>0.80631771223343129</v>
      </c>
      <c r="BY262" s="1189">
        <f>'2020'!R\Max</f>
        <v>0.9587701481088412</v>
      </c>
      <c r="BZ262" s="1189">
        <f>'2021'!R\Max</f>
        <v>0.8679251562607796</v>
      </c>
      <c r="CA262" s="1189">
        <f>'2022'!R\Max</f>
        <v>0.83249936403071401</v>
      </c>
      <c r="CB262" s="1189">
        <f>'2023'!R\Max</f>
        <v>0.83205303008080822</v>
      </c>
      <c r="CC262" s="1189">
        <f>'2024'!R\Max</f>
        <v>0.83144753984117437</v>
      </c>
      <c r="CD262" s="1189">
        <f>'2025'!R\Max</f>
        <v>0.83387396259945579</v>
      </c>
      <c r="CE262" s="1189">
        <f>'2026'!R\Max</f>
        <v>0.83360456792371318</v>
      </c>
      <c r="CF262" s="1190">
        <f>'2027'!R\Max</f>
        <v>0.83327749838916565</v>
      </c>
    </row>
    <row r="263" spans="1:84" s="6" customFormat="1" ht="11.25" x14ac:dyDescent="0.2">
      <c r="A263" s="11">
        <v>43349</v>
      </c>
      <c r="B263" s="382">
        <f>'2022'!Maxi_hp</f>
        <v>51.846079488865243</v>
      </c>
      <c r="C263" s="85">
        <f>'2022'!An_max</f>
        <v>2019</v>
      </c>
      <c r="D263" s="1134"/>
      <c r="E263" s="711"/>
      <c r="F263" s="13">
        <f t="shared" si="110"/>
        <v>19</v>
      </c>
      <c r="G263" s="13">
        <f t="shared" si="94"/>
        <v>20</v>
      </c>
      <c r="H263" s="175">
        <f t="shared" si="95"/>
        <v>43346</v>
      </c>
      <c r="I263" s="774">
        <f t="shared" si="96"/>
        <v>0.21428571428571427</v>
      </c>
      <c r="J263" s="765">
        <f t="shared" si="97"/>
        <v>50.117914869583082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P263" s="13">
        <f t="shared" si="98"/>
        <v>11</v>
      </c>
      <c r="AQ263" s="13">
        <f t="shared" si="99"/>
        <v>10</v>
      </c>
      <c r="AR263" s="175">
        <f t="shared" si="100"/>
        <v>43360</v>
      </c>
      <c r="AS263" s="774">
        <f t="shared" si="101"/>
        <v>0.39285714285714285</v>
      </c>
      <c r="AT263" s="791">
        <f t="shared" si="102"/>
        <v>49.901224490867129</v>
      </c>
      <c r="AU263" s="13">
        <f t="shared" si="103"/>
        <v>11</v>
      </c>
      <c r="AV263" s="13">
        <f t="shared" si="104"/>
        <v>10</v>
      </c>
      <c r="AW263" s="175">
        <f t="shared" si="105"/>
        <v>43374</v>
      </c>
      <c r="AX263" s="774">
        <f t="shared" si="106"/>
        <v>0.8928571428571429</v>
      </c>
      <c r="AY263" s="791">
        <f t="shared" si="107"/>
        <v>50.121483380071417</v>
      </c>
      <c r="AZ263" s="765">
        <f t="shared" si="111"/>
        <v>50.011353935469273</v>
      </c>
      <c r="BA263" s="649">
        <f t="shared" si="108"/>
        <v>1.0344819736371553</v>
      </c>
      <c r="BB263" s="644">
        <v>43349</v>
      </c>
      <c r="BC263" s="11">
        <v>43349</v>
      </c>
      <c r="BD263" s="292">
        <f>[2]!FeuilCaduc*(1-Persistant)+Persistant</f>
        <v>1</v>
      </c>
      <c r="BE263" s="293">
        <f>[2]!CroissVégét</f>
        <v>0.97411138252345786</v>
      </c>
      <c r="BF263" s="844">
        <f>1+[2]!Salcycl*Ksac</f>
        <v>1.0666222241582153</v>
      </c>
      <c r="BH263" s="1107">
        <f t="shared" si="109"/>
        <v>1.3190971842739003E-2</v>
      </c>
      <c r="BI263" s="11">
        <v>44445</v>
      </c>
      <c r="BJ263" s="744">
        <v>1.5509578953067562E-3</v>
      </c>
      <c r="BK263" s="744">
        <v>5.3639162666720428E-3</v>
      </c>
      <c r="BL263" s="744">
        <v>1.13395051404966E-2</v>
      </c>
      <c r="BM263" s="744">
        <v>2.060721904714528E-2</v>
      </c>
      <c r="BN263" s="744">
        <v>3.3767142523831659E-2</v>
      </c>
      <c r="BO263" s="745">
        <v>5.1739537546157226E-2</v>
      </c>
      <c r="BP263" s="744">
        <v>7.4412013622664711E-2</v>
      </c>
      <c r="BQ263" s="744">
        <v>0.10138509315513794</v>
      </c>
      <c r="BR263" s="744">
        <v>0.13509920098210124</v>
      </c>
      <c r="BS263" s="744">
        <v>0.18115905454160097</v>
      </c>
      <c r="BT263" s="744">
        <v>0.23822691613915684</v>
      </c>
      <c r="BW263" s="1191">
        <f>'2018'!R\Max</f>
        <v>0</v>
      </c>
      <c r="BX263" s="1189">
        <f>'2019'!R\Max</f>
        <v>1.0344819736371553</v>
      </c>
      <c r="BY263" s="1189">
        <f>'2020'!R\Max</f>
        <v>0.90377996357287893</v>
      </c>
      <c r="BZ263" s="1189">
        <f>'2021'!R\Max</f>
        <v>0.9539916533850723</v>
      </c>
      <c r="CA263" s="1189">
        <f>'2022'!R\Max</f>
        <v>0.94218670090065848</v>
      </c>
      <c r="CB263" s="1189">
        <f>'2023'!R\Max</f>
        <v>0.94200977848916667</v>
      </c>
      <c r="CC263" s="1189">
        <f>'2024'!R\Max</f>
        <v>0.94177043176725472</v>
      </c>
      <c r="CD263" s="1189">
        <f>'2025'!R\Max</f>
        <v>0.9427332835038329</v>
      </c>
      <c r="CE263" s="1189">
        <f>'2026'!R\Max</f>
        <v>0.94262570015905445</v>
      </c>
      <c r="CF263" s="1190">
        <f>'2027'!R\Max</f>
        <v>0.94249547240057741</v>
      </c>
    </row>
    <row r="264" spans="1:84" s="6" customFormat="1" ht="11.25" x14ac:dyDescent="0.2">
      <c r="A264" s="11">
        <v>43350</v>
      </c>
      <c r="B264" s="382">
        <f>'2022'!Maxi_hp</f>
        <v>50.605106354797776</v>
      </c>
      <c r="C264" s="85">
        <f>'2022'!An_max</f>
        <v>2019</v>
      </c>
      <c r="D264" s="1134"/>
      <c r="E264" s="711"/>
      <c r="F264" s="13">
        <f t="shared" si="110"/>
        <v>19</v>
      </c>
      <c r="G264" s="13">
        <f t="shared" si="94"/>
        <v>20</v>
      </c>
      <c r="H264" s="175">
        <f t="shared" si="95"/>
        <v>43346</v>
      </c>
      <c r="I264" s="774">
        <f t="shared" si="96"/>
        <v>0.2857142857142857</v>
      </c>
      <c r="J264" s="765">
        <f t="shared" si="97"/>
        <v>49.741023907171822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P264" s="13">
        <f t="shared" si="98"/>
        <v>11</v>
      </c>
      <c r="AQ264" s="13">
        <f t="shared" si="99"/>
        <v>10</v>
      </c>
      <c r="AR264" s="175">
        <f t="shared" si="100"/>
        <v>43360</v>
      </c>
      <c r="AS264" s="774">
        <f t="shared" si="101"/>
        <v>0.35714285714285715</v>
      </c>
      <c r="AT264" s="791">
        <f t="shared" si="102"/>
        <v>49.532604081928731</v>
      </c>
      <c r="AU264" s="13">
        <f t="shared" si="103"/>
        <v>11</v>
      </c>
      <c r="AV264" s="13">
        <f t="shared" si="104"/>
        <v>10</v>
      </c>
      <c r="AW264" s="175">
        <f t="shared" si="105"/>
        <v>43374</v>
      </c>
      <c r="AX264" s="774">
        <f t="shared" si="106"/>
        <v>0.8571428571428571</v>
      </c>
      <c r="AY264" s="791">
        <f t="shared" si="107"/>
        <v>49.740426820343629</v>
      </c>
      <c r="AZ264" s="765">
        <f t="shared" si="111"/>
        <v>49.636515451136177</v>
      </c>
      <c r="BA264" s="649">
        <f t="shared" si="108"/>
        <v>1.0173716256673471</v>
      </c>
      <c r="BB264" s="644">
        <v>43350</v>
      </c>
      <c r="BC264" s="11">
        <v>43350</v>
      </c>
      <c r="BD264" s="292">
        <f>[2]!FeuilCaduc*(1-Persistant)+Persistant</f>
        <v>1</v>
      </c>
      <c r="BE264" s="293">
        <f>[2]!CroissVégét</f>
        <v>0.97514052098953308</v>
      </c>
      <c r="BF264" s="844">
        <f>1+[2]!Salcycl*Ksac</f>
        <v>1.0664219553185781</v>
      </c>
      <c r="BH264" s="1107">
        <f t="shared" si="109"/>
        <v>1.3612889917172959E-2</v>
      </c>
      <c r="BI264" s="11">
        <v>44446</v>
      </c>
      <c r="BJ264" s="744">
        <v>1.6417395838798337E-3</v>
      </c>
      <c r="BK264" s="744">
        <v>5.5714250207021462E-3</v>
      </c>
      <c r="BL264" s="744">
        <v>1.1719460108189252E-2</v>
      </c>
      <c r="BM264" s="744">
        <v>2.1197224818042513E-2</v>
      </c>
      <c r="BN264" s="744">
        <v>3.4545914748409075E-2</v>
      </c>
      <c r="BO264" s="745">
        <v>5.2681948623389541E-2</v>
      </c>
      <c r="BP264" s="744">
        <v>7.5510750695442899E-2</v>
      </c>
      <c r="BQ264" s="744">
        <v>0.10255786834413794</v>
      </c>
      <c r="BR264" s="744">
        <v>0.13718278755693825</v>
      </c>
      <c r="BS264" s="744">
        <v>0.18564594654519037</v>
      </c>
      <c r="BT264" s="744">
        <v>0.24670402877779743</v>
      </c>
      <c r="BW264" s="1191">
        <f>'2018'!R\Max</f>
        <v>0</v>
      </c>
      <c r="BX264" s="1189">
        <f>'2019'!R\Max</f>
        <v>1.0173716256673471</v>
      </c>
      <c r="BY264" s="1189">
        <f>'2020'!R\Max</f>
        <v>0.59064677894598905</v>
      </c>
      <c r="BZ264" s="1189">
        <f>'2021'!R\Max</f>
        <v>0.74535265754587077</v>
      </c>
      <c r="CA264" s="1189">
        <f>'2022'!R\Max</f>
        <v>0.76414166759522872</v>
      </c>
      <c r="CB264" s="1189">
        <f>'2023'!R\Max</f>
        <v>0.7635483443770551</v>
      </c>
      <c r="CC264" s="1189">
        <f>'2024'!R\Max</f>
        <v>0.76274952690819353</v>
      </c>
      <c r="CD264" s="1189">
        <f>'2025'!R\Max</f>
        <v>0.76598673875396173</v>
      </c>
      <c r="CE264" s="1189">
        <f>'2026'!R\Max</f>
        <v>0.76562117001240992</v>
      </c>
      <c r="CF264" s="1190">
        <f>'2027'!R\Max</f>
        <v>0.76518054578578565</v>
      </c>
    </row>
    <row r="265" spans="1:84" s="6" customFormat="1" ht="11.25" x14ac:dyDescent="0.2">
      <c r="A265" s="11">
        <v>43351</v>
      </c>
      <c r="B265" s="382">
        <f>'2022'!Maxi_hp</f>
        <v>44.460234506845794</v>
      </c>
      <c r="C265" s="85">
        <f>'2022'!An_max</f>
        <v>2019</v>
      </c>
      <c r="D265" s="1134"/>
      <c r="E265" s="711"/>
      <c r="F265" s="13">
        <f t="shared" si="110"/>
        <v>19</v>
      </c>
      <c r="G265" s="13">
        <f t="shared" si="94"/>
        <v>20</v>
      </c>
      <c r="H265" s="175">
        <f t="shared" si="95"/>
        <v>43346</v>
      </c>
      <c r="I265" s="774">
        <f t="shared" si="96"/>
        <v>0.35714285714285715</v>
      </c>
      <c r="J265" s="765">
        <f t="shared" si="97"/>
        <v>49.356967931294015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P265" s="13">
        <f t="shared" si="98"/>
        <v>11</v>
      </c>
      <c r="AQ265" s="13">
        <f t="shared" si="99"/>
        <v>10</v>
      </c>
      <c r="AR265" s="175">
        <f t="shared" si="100"/>
        <v>43360</v>
      </c>
      <c r="AS265" s="774">
        <f t="shared" si="101"/>
        <v>0.32142857142857145</v>
      </c>
      <c r="AT265" s="791">
        <f t="shared" si="102"/>
        <v>49.160195918940005</v>
      </c>
      <c r="AU265" s="13">
        <f t="shared" si="103"/>
        <v>11</v>
      </c>
      <c r="AV265" s="13">
        <f t="shared" si="104"/>
        <v>10</v>
      </c>
      <c r="AW265" s="175">
        <f t="shared" si="105"/>
        <v>43374</v>
      </c>
      <c r="AX265" s="774">
        <f t="shared" si="106"/>
        <v>0.8214285714285714</v>
      </c>
      <c r="AY265" s="791">
        <f t="shared" si="107"/>
        <v>49.349760931447548</v>
      </c>
      <c r="AZ265" s="765">
        <f t="shared" si="111"/>
        <v>49.254978425193777</v>
      </c>
      <c r="BA265" s="649">
        <f t="shared" si="108"/>
        <v>0.90078941981880689</v>
      </c>
      <c r="BB265" s="644">
        <v>43351</v>
      </c>
      <c r="BC265" s="11">
        <v>43351</v>
      </c>
      <c r="BD265" s="292">
        <f>[2]!FeuilCaduc*(1-Persistant)+Persistant</f>
        <v>1</v>
      </c>
      <c r="BE265" s="293">
        <f>[2]!CroissVégét</f>
        <v>0.97613026748322473</v>
      </c>
      <c r="BF265" s="844">
        <f>1+[2]!Salcycl*Ksac</f>
        <v>1.0662127390143439</v>
      </c>
      <c r="BH265" s="1107">
        <f t="shared" si="109"/>
        <v>1.4025035632726501E-2</v>
      </c>
      <c r="BI265" s="11">
        <v>44447</v>
      </c>
      <c r="BJ265" s="744">
        <v>1.7386898505380838E-3</v>
      </c>
      <c r="BK265" s="744">
        <v>5.7784006101735405E-3</v>
      </c>
      <c r="BL265" s="744">
        <v>1.20911160061877E-2</v>
      </c>
      <c r="BM265" s="744">
        <v>2.177155681320141E-2</v>
      </c>
      <c r="BN265" s="744">
        <v>3.5301344001716618E-2</v>
      </c>
      <c r="BO265" s="745">
        <v>5.3583007567824525E-2</v>
      </c>
      <c r="BP265" s="744">
        <v>7.6558823830935263E-2</v>
      </c>
      <c r="BQ265" s="744">
        <v>0.10367276026628995</v>
      </c>
      <c r="BR265" s="744">
        <v>0.13938830896045576</v>
      </c>
      <c r="BS265" s="744">
        <v>0.19053113153987622</v>
      </c>
      <c r="BT265" s="744">
        <v>0.25596450164481338</v>
      </c>
      <c r="BW265" s="1191">
        <f>'2018'!R\Max</f>
        <v>0</v>
      </c>
      <c r="BX265" s="1189">
        <f>'2019'!R\Max</f>
        <v>0.90078941981880689</v>
      </c>
      <c r="BY265" s="1189">
        <f>'2020'!R\Max</f>
        <v>0.81737554162227322</v>
      </c>
      <c r="BZ265" s="1189">
        <f>'2021'!R\Max</f>
        <v>0.65376249876542347</v>
      </c>
      <c r="CA265" s="1189">
        <f>'2022'!R\Max</f>
        <v>0.82971098693211964</v>
      </c>
      <c r="CB265" s="1189">
        <f>'2023'!R\Max</f>
        <v>0.82923928069242092</v>
      </c>
      <c r="CC265" s="1189">
        <f>'2024'!R\Max</f>
        <v>0.82860596397308439</v>
      </c>
      <c r="CD265" s="1189">
        <f>'2025'!R\Max</f>
        <v>0.83118212852711026</v>
      </c>
      <c r="CE265" s="1189">
        <f>'2026'!R\Max</f>
        <v>0.83088930887294732</v>
      </c>
      <c r="CF265" s="1190">
        <f>'2027'!R\Max</f>
        <v>0.83053751571999368</v>
      </c>
    </row>
    <row r="266" spans="1:84" s="6" customFormat="1" ht="11.25" x14ac:dyDescent="0.2">
      <c r="A266" s="11">
        <v>43352</v>
      </c>
      <c r="B266" s="382">
        <f>'2022'!Maxi_hp</f>
        <v>45.722632872468637</v>
      </c>
      <c r="C266" s="85">
        <f>'2022'!An_max</f>
        <v>2020</v>
      </c>
      <c r="D266" s="1134"/>
      <c r="E266" s="711"/>
      <c r="F266" s="13">
        <f t="shared" si="110"/>
        <v>19</v>
      </c>
      <c r="G266" s="13">
        <f t="shared" si="94"/>
        <v>20</v>
      </c>
      <c r="H266" s="175">
        <f t="shared" si="95"/>
        <v>43346</v>
      </c>
      <c r="I266" s="774">
        <f t="shared" si="96"/>
        <v>0.42857142857142855</v>
      </c>
      <c r="J266" s="765">
        <f t="shared" si="97"/>
        <v>48.966306706092183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P266" s="13">
        <f t="shared" si="98"/>
        <v>11</v>
      </c>
      <c r="AQ266" s="13">
        <f t="shared" si="99"/>
        <v>10</v>
      </c>
      <c r="AR266" s="175">
        <f t="shared" si="100"/>
        <v>43360</v>
      </c>
      <c r="AS266" s="774">
        <f t="shared" si="101"/>
        <v>0.2857142857142857</v>
      </c>
      <c r="AT266" s="791">
        <f t="shared" si="102"/>
        <v>48.784195919760634</v>
      </c>
      <c r="AU266" s="13">
        <f t="shared" si="103"/>
        <v>11</v>
      </c>
      <c r="AV266" s="13">
        <f t="shared" si="104"/>
        <v>10</v>
      </c>
      <c r="AW266" s="175">
        <f t="shared" si="105"/>
        <v>43374</v>
      </c>
      <c r="AX266" s="774">
        <f t="shared" si="106"/>
        <v>0.7857142857142857</v>
      </c>
      <c r="AY266" s="791">
        <f t="shared" si="107"/>
        <v>48.950185421787737</v>
      </c>
      <c r="AZ266" s="765">
        <f t="shared" si="111"/>
        <v>48.867190670774185</v>
      </c>
      <c r="BA266" s="649">
        <f t="shared" si="108"/>
        <v>0.9337570249458903</v>
      </c>
      <c r="BB266" s="644">
        <v>43352</v>
      </c>
      <c r="BC266" s="11">
        <v>43352</v>
      </c>
      <c r="BD266" s="292">
        <f>[2]!FeuilCaduc*(1-Persistant)+Persistant</f>
        <v>1</v>
      </c>
      <c r="BE266" s="293">
        <f>[2]!CroissVégét</f>
        <v>0.97708205248193514</v>
      </c>
      <c r="BF266" s="844">
        <f>1+[2]!Salcycl*Ksac</f>
        <v>1.0659942246739607</v>
      </c>
      <c r="BH266" s="1107">
        <f t="shared" si="109"/>
        <v>1.4427417517816982E-2</v>
      </c>
      <c r="BI266" s="11">
        <v>44448</v>
      </c>
      <c r="BJ266" s="744">
        <v>1.8418148165845036E-3</v>
      </c>
      <c r="BK266" s="744">
        <v>5.9848493674176445E-3</v>
      </c>
      <c r="BL266" s="744">
        <v>1.2454480697501283E-2</v>
      </c>
      <c r="BM266" s="744">
        <v>2.233022622640202E-2</v>
      </c>
      <c r="BN266" s="744">
        <v>3.6033444709959686E-2</v>
      </c>
      <c r="BO266" s="745">
        <v>5.4442726520635108E-2</v>
      </c>
      <c r="BP266" s="744">
        <v>7.7556248200563449E-2</v>
      </c>
      <c r="BQ266" s="744">
        <v>0.10472978670821682</v>
      </c>
      <c r="BR266" s="744">
        <v>0.14171591159780186</v>
      </c>
      <c r="BS266" s="744">
        <v>0.19581498033951195</v>
      </c>
      <c r="BT266" s="744">
        <v>0.26600903475807103</v>
      </c>
      <c r="BW266" s="1191">
        <f>'2018'!R\Max</f>
        <v>0</v>
      </c>
      <c r="BX266" s="1189">
        <f>'2019'!R\Max</f>
        <v>0.79444463132757259</v>
      </c>
      <c r="BY266" s="1189">
        <f>'2020'!R\Max</f>
        <v>0.9337570249458903</v>
      </c>
      <c r="BZ266" s="1189">
        <f>'2021'!R\Max</f>
        <v>0.39812638550916352</v>
      </c>
      <c r="CA266" s="1189">
        <f>'2022'!R\Max</f>
        <v>0.47368839421936726</v>
      </c>
      <c r="CB266" s="1189">
        <f>'2023'!R\Max</f>
        <v>0.47284570525806841</v>
      </c>
      <c r="CC266" s="1189">
        <f>'2024'!R\Max</f>
        <v>0.4717210134478837</v>
      </c>
      <c r="CD266" s="1189">
        <f>'2025'!R\Max</f>
        <v>0.47633871342823864</v>
      </c>
      <c r="CE266" s="1189">
        <f>'2026'!R\Max</f>
        <v>0.47580688814275846</v>
      </c>
      <c r="CF266" s="1190">
        <f>'2027'!R\Max</f>
        <v>0.47517130774819533</v>
      </c>
    </row>
    <row r="267" spans="1:84" s="6" customFormat="1" ht="11.25" x14ac:dyDescent="0.2">
      <c r="A267" s="11">
        <v>43353</v>
      </c>
      <c r="B267" s="382">
        <f>'2022'!Maxi_hp</f>
        <v>45.892389083672228</v>
      </c>
      <c r="C267" s="85">
        <f>'2022'!An_max</f>
        <v>2022</v>
      </c>
      <c r="D267" s="1134"/>
      <c r="E267" s="711"/>
      <c r="F267" s="13">
        <f t="shared" si="110"/>
        <v>19</v>
      </c>
      <c r="G267" s="13">
        <f t="shared" si="94"/>
        <v>20</v>
      </c>
      <c r="H267" s="175">
        <f t="shared" si="95"/>
        <v>43346</v>
      </c>
      <c r="I267" s="774">
        <f t="shared" si="96"/>
        <v>0.5</v>
      </c>
      <c r="J267" s="765">
        <f t="shared" si="97"/>
        <v>48.569600000232455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P267" s="13">
        <f t="shared" si="98"/>
        <v>11</v>
      </c>
      <c r="AQ267" s="13">
        <f t="shared" si="99"/>
        <v>10</v>
      </c>
      <c r="AR267" s="175">
        <f t="shared" si="100"/>
        <v>43360</v>
      </c>
      <c r="AS267" s="774">
        <f t="shared" si="101"/>
        <v>0.25</v>
      </c>
      <c r="AT267" s="791">
        <f t="shared" si="102"/>
        <v>48.404799999669194</v>
      </c>
      <c r="AU267" s="13">
        <f t="shared" si="103"/>
        <v>11</v>
      </c>
      <c r="AV267" s="13">
        <f t="shared" si="104"/>
        <v>10</v>
      </c>
      <c r="AW267" s="175">
        <f t="shared" si="105"/>
        <v>43374</v>
      </c>
      <c r="AX267" s="774">
        <f t="shared" si="106"/>
        <v>0.75</v>
      </c>
      <c r="AY267" s="791">
        <f t="shared" si="107"/>
        <v>48.542399999266493</v>
      </c>
      <c r="AZ267" s="765">
        <f t="shared" si="111"/>
        <v>48.473599999467844</v>
      </c>
      <c r="BA267" s="649">
        <f t="shared" si="108"/>
        <v>0.94487887656996528</v>
      </c>
      <c r="BB267" s="644">
        <v>43353</v>
      </c>
      <c r="BC267" s="11">
        <v>43353</v>
      </c>
      <c r="BD267" s="292">
        <f>[2]!FeuilCaduc*(1-Persistant)+Persistant</f>
        <v>1</v>
      </c>
      <c r="BE267" s="293">
        <f>[2]!CroissVégét</f>
        <v>0.97799726049726488</v>
      </c>
      <c r="BF267" s="844">
        <f>1+[2]!Salcycl*Ksac</f>
        <v>1.0657660474763262</v>
      </c>
      <c r="BH267" s="1107">
        <f t="shared" si="109"/>
        <v>1.4820043828434487E-2</v>
      </c>
      <c r="BI267" s="11">
        <v>44449</v>
      </c>
      <c r="BJ267" s="744">
        <v>1.9511210138781915E-3</v>
      </c>
      <c r="BK267" s="744">
        <v>6.1907777334534895E-3</v>
      </c>
      <c r="BL267" s="744">
        <v>1.2809561828535961E-2</v>
      </c>
      <c r="BM267" s="744">
        <v>2.2873243755388645E-2</v>
      </c>
      <c r="BN267" s="744">
        <v>3.674223049015831E-2</v>
      </c>
      <c r="BO267" s="745">
        <v>5.5261115894899043E-2</v>
      </c>
      <c r="BP267" s="744">
        <v>7.8503036813263274E-2</v>
      </c>
      <c r="BQ267" s="744">
        <v>0.10572896291903316</v>
      </c>
      <c r="BR267" s="744">
        <v>0.14416575012205926</v>
      </c>
      <c r="BS267" s="744">
        <v>0.20149788927333781</v>
      </c>
      <c r="BT267" s="744">
        <v>0.27683837815493123</v>
      </c>
      <c r="BW267" s="1191">
        <f>'2018'!R\Max</f>
        <v>0</v>
      </c>
      <c r="BX267" s="1189">
        <f>'2019'!R\Max</f>
        <v>0.29619747334524454</v>
      </c>
      <c r="BY267" s="1189">
        <f>'2020'!R\Max</f>
        <v>0.49049009019139495</v>
      </c>
      <c r="BZ267" s="1189">
        <f>'2021'!R\Max</f>
        <v>0.84089089931985039</v>
      </c>
      <c r="CA267" s="1189">
        <f>'2022'!R\Max</f>
        <v>0.94487887656996528</v>
      </c>
      <c r="CB267" s="1189">
        <f>'2023'!R\Max</f>
        <v>0.9447001804275692</v>
      </c>
      <c r="CC267" s="1189">
        <f>'2024'!R\Max</f>
        <v>0.94446150604199419</v>
      </c>
      <c r="CD267" s="1189">
        <f>'2025'!R\Max</f>
        <v>0.94543889369899947</v>
      </c>
      <c r="CE267" s="1189">
        <f>'2026'!R\Max</f>
        <v>0.94532639745593927</v>
      </c>
      <c r="CF267" s="1190">
        <f>'2027'!R\Max</f>
        <v>0.94519214958693842</v>
      </c>
    </row>
    <row r="268" spans="1:84" s="6" customFormat="1" ht="11.25" x14ac:dyDescent="0.2">
      <c r="A268" s="11">
        <v>43354</v>
      </c>
      <c r="B268" s="382">
        <f>'2022'!Maxi_hp</f>
        <v>45.738259725642457</v>
      </c>
      <c r="C268" s="85">
        <f>'2022'!An_max</f>
        <v>2022</v>
      </c>
      <c r="D268" s="1134"/>
      <c r="E268" s="711"/>
      <c r="F268" s="13">
        <f t="shared" si="110"/>
        <v>19</v>
      </c>
      <c r="G268" s="13">
        <f t="shared" si="94"/>
        <v>20</v>
      </c>
      <c r="H268" s="175">
        <f t="shared" si="95"/>
        <v>43346</v>
      </c>
      <c r="I268" s="774">
        <f t="shared" si="96"/>
        <v>0.5714285714285714</v>
      </c>
      <c r="J268" s="765">
        <f t="shared" si="97"/>
        <v>48.167407581316574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P268" s="13">
        <f t="shared" si="98"/>
        <v>11</v>
      </c>
      <c r="AQ268" s="13">
        <f t="shared" si="99"/>
        <v>10</v>
      </c>
      <c r="AR268" s="175">
        <f t="shared" si="100"/>
        <v>43360</v>
      </c>
      <c r="AS268" s="774">
        <f t="shared" si="101"/>
        <v>0.21428571428571427</v>
      </c>
      <c r="AT268" s="791">
        <f t="shared" si="102"/>
        <v>48.022204081448059</v>
      </c>
      <c r="AU268" s="13">
        <f t="shared" si="103"/>
        <v>11</v>
      </c>
      <c r="AV268" s="13">
        <f t="shared" si="104"/>
        <v>10</v>
      </c>
      <c r="AW268" s="175">
        <f t="shared" si="105"/>
        <v>43374</v>
      </c>
      <c r="AX268" s="774">
        <f t="shared" si="106"/>
        <v>0.7142857142857143</v>
      </c>
      <c r="AY268" s="791">
        <f t="shared" si="107"/>
        <v>48.127104372850489</v>
      </c>
      <c r="AZ268" s="765">
        <f t="shared" si="111"/>
        <v>48.074654227149274</v>
      </c>
      <c r="BA268" s="649">
        <f t="shared" si="108"/>
        <v>0.94956864033894262</v>
      </c>
      <c r="BB268" s="644">
        <v>43354</v>
      </c>
      <c r="BC268" s="11">
        <v>43354</v>
      </c>
      <c r="BD268" s="292">
        <f>[2]!FeuilCaduc*(1-Persistant)+Persistant</f>
        <v>1</v>
      </c>
      <c r="BE268" s="293">
        <f>[2]!CroissVégét</f>
        <v>0.97887723107993829</v>
      </c>
      <c r="BF268" s="844">
        <f>1+[2]!Salcycl*Ksac</f>
        <v>1.0655278281797484</v>
      </c>
      <c r="BH268" s="1107">
        <f t="shared" si="109"/>
        <v>1.519201810251081E-2</v>
      </c>
      <c r="BI268" s="11">
        <v>44450</v>
      </c>
      <c r="BJ268" s="744">
        <v>2.0646337950460747E-3</v>
      </c>
      <c r="BK268" s="744">
        <v>6.3917684886534059E-3</v>
      </c>
      <c r="BL268" s="744">
        <v>1.3146622048857248E-2</v>
      </c>
      <c r="BM268" s="744">
        <v>2.3385069992906533E-2</v>
      </c>
      <c r="BN268" s="744">
        <v>3.7406354052362221E-2</v>
      </c>
      <c r="BO268" s="745">
        <v>5.6013801385084515E-2</v>
      </c>
      <c r="BP268" s="744">
        <v>7.936522325929847E-2</v>
      </c>
      <c r="BQ268" s="744">
        <v>0.10677248675004336</v>
      </c>
      <c r="BR268" s="744">
        <v>0.14691992428657411</v>
      </c>
      <c r="BS268" s="744">
        <v>0.20761289718590967</v>
      </c>
      <c r="BT268" s="744">
        <v>0.28795518068793235</v>
      </c>
      <c r="BW268" s="1191">
        <f>'2018'!R\Max</f>
        <v>0</v>
      </c>
      <c r="BX268" s="1189">
        <f>'2019'!R\Max</f>
        <v>0.86159027334387761</v>
      </c>
      <c r="BY268" s="1189">
        <f>'2020'!R\Max</f>
        <v>0.79320475704431725</v>
      </c>
      <c r="BZ268" s="1189">
        <f>'2021'!R\Max</f>
        <v>0.85229287011685007</v>
      </c>
      <c r="CA268" s="1189">
        <f>'2022'!R\Max</f>
        <v>0.94956864033894262</v>
      </c>
      <c r="CB268" s="1189">
        <f>'2023'!R\Max</f>
        <v>0.94940208338329546</v>
      </c>
      <c r="CC268" s="1189">
        <f>'2024'!R\Max</f>
        <v>0.94917924260717856</v>
      </c>
      <c r="CD268" s="1189">
        <f>'2025'!R\Max</f>
        <v>0.95009156271062689</v>
      </c>
      <c r="CE268" s="1189">
        <f>'2026'!R\Max</f>
        <v>0.94998600161288416</v>
      </c>
      <c r="CF268" s="1190">
        <f>'2027'!R\Max</f>
        <v>0.94986047874784696</v>
      </c>
    </row>
    <row r="269" spans="1:84" s="6" customFormat="1" ht="11.25" x14ac:dyDescent="0.2">
      <c r="A269" s="11">
        <v>43355</v>
      </c>
      <c r="B269" s="382">
        <f>'2022'!Maxi_hp</f>
        <v>47.211932330727613</v>
      </c>
      <c r="C269" s="85">
        <f>'2022'!An_max</f>
        <v>2019</v>
      </c>
      <c r="D269" s="1134"/>
      <c r="E269" s="711"/>
      <c r="F269" s="13">
        <f t="shared" si="110"/>
        <v>19</v>
      </c>
      <c r="G269" s="13">
        <f t="shared" si="94"/>
        <v>20</v>
      </c>
      <c r="H269" s="175">
        <f t="shared" si="95"/>
        <v>43346</v>
      </c>
      <c r="I269" s="774">
        <f t="shared" si="96"/>
        <v>0.6428571428571429</v>
      </c>
      <c r="J269" s="765">
        <f t="shared" si="97"/>
        <v>47.760289213274213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P269" s="13">
        <f t="shared" si="98"/>
        <v>11</v>
      </c>
      <c r="AQ269" s="13">
        <f t="shared" si="99"/>
        <v>10</v>
      </c>
      <c r="AR269" s="175">
        <f t="shared" si="100"/>
        <v>43360</v>
      </c>
      <c r="AS269" s="774">
        <f t="shared" si="101"/>
        <v>0.17857142857142858</v>
      </c>
      <c r="AT269" s="791">
        <f t="shared" si="102"/>
        <v>47.636604081520012</v>
      </c>
      <c r="AU269" s="13">
        <f t="shared" si="103"/>
        <v>11</v>
      </c>
      <c r="AV269" s="13">
        <f t="shared" si="104"/>
        <v>10</v>
      </c>
      <c r="AW269" s="175">
        <f t="shared" si="105"/>
        <v>43374</v>
      </c>
      <c r="AX269" s="774">
        <f t="shared" si="106"/>
        <v>0.6785714285714286</v>
      </c>
      <c r="AY269" s="791">
        <f t="shared" si="107"/>
        <v>47.704998249487417</v>
      </c>
      <c r="AZ269" s="765">
        <f t="shared" si="111"/>
        <v>47.670801165503718</v>
      </c>
      <c r="BA269" s="649">
        <f t="shared" si="108"/>
        <v>0.98851856026043095</v>
      </c>
      <c r="BB269" s="644">
        <v>43355</v>
      </c>
      <c r="BC269" s="11">
        <v>43355</v>
      </c>
      <c r="BD269" s="292">
        <f>[2]!FeuilCaduc*(1-Persistant)+Persistant</f>
        <v>1</v>
      </c>
      <c r="BE269" s="293">
        <f>[2]!CroissVégét</f>
        <v>0.97972325984311226</v>
      </c>
      <c r="BF269" s="844">
        <f>1+[2]!Salcycl*Ksac</f>
        <v>1.0652791731143474</v>
      </c>
      <c r="BH269" s="1107">
        <f t="shared" si="109"/>
        <v>1.5545298934955137E-2</v>
      </c>
      <c r="BI269" s="11">
        <v>44451</v>
      </c>
      <c r="BJ269" s="744">
        <v>2.1805365267484481E-3</v>
      </c>
      <c r="BK269" s="744">
        <v>6.5871648011779525E-3</v>
      </c>
      <c r="BL269" s="744">
        <v>1.3466939385419345E-2</v>
      </c>
      <c r="BM269" s="744">
        <v>2.3870389621343229E-2</v>
      </c>
      <c r="BN269" s="744">
        <v>3.8036833142637443E-2</v>
      </c>
      <c r="BO269" s="745">
        <v>5.6721420974925989E-2</v>
      </c>
      <c r="BP269" s="744">
        <v>8.0167135656962416E-2</v>
      </c>
      <c r="BQ269" s="744">
        <v>0.10788849989178712</v>
      </c>
      <c r="BR269" s="744">
        <v>0.14996771666531397</v>
      </c>
      <c r="BS269" s="744">
        <v>0.21399400644322833</v>
      </c>
      <c r="BT269" s="744">
        <v>0.29891342772703949</v>
      </c>
      <c r="BW269" s="1191">
        <f>'2018'!R\Max</f>
        <v>0</v>
      </c>
      <c r="BX269" s="1189">
        <f>'2019'!R\Max</f>
        <v>0.98851856026043095</v>
      </c>
      <c r="BY269" s="1189">
        <f>'2020'!R\Max</f>
        <v>0.92605491553867769</v>
      </c>
      <c r="BZ269" s="1189">
        <f>'2021'!R\Max</f>
        <v>0.93942735581943726</v>
      </c>
      <c r="CA269" s="1189">
        <f>'2022'!R\Max</f>
        <v>0.66348830230118716</v>
      </c>
      <c r="CB269" s="1189">
        <f>'2023'!R\Max</f>
        <v>0.66270158179967054</v>
      </c>
      <c r="CC269" s="1189">
        <f>'2024'!R\Max</f>
        <v>0.66164497072936557</v>
      </c>
      <c r="CD269" s="1189">
        <f>'2025'!R\Max</f>
        <v>0.66597108055502363</v>
      </c>
      <c r="CE269" s="1189">
        <f>'2026'!R\Max</f>
        <v>0.66546616627605315</v>
      </c>
      <c r="CF269" s="1190">
        <f>'2027'!R\Max</f>
        <v>0.66486870945463128</v>
      </c>
    </row>
    <row r="270" spans="1:84" s="6" customFormat="1" ht="11.25" x14ac:dyDescent="0.2">
      <c r="A270" s="11">
        <v>43356</v>
      </c>
      <c r="B270" s="382">
        <f>'2022'!Maxi_hp</f>
        <v>44.152198897789638</v>
      </c>
      <c r="C270" s="85">
        <f>'2022'!An_max</f>
        <v>2020</v>
      </c>
      <c r="D270" s="1134"/>
      <c r="E270" s="711"/>
      <c r="F270" s="13">
        <f t="shared" si="110"/>
        <v>19</v>
      </c>
      <c r="G270" s="13">
        <f t="shared" si="94"/>
        <v>20</v>
      </c>
      <c r="H270" s="175">
        <f t="shared" si="95"/>
        <v>43346</v>
      </c>
      <c r="I270" s="774">
        <f t="shared" si="96"/>
        <v>0.7142857142857143</v>
      </c>
      <c r="J270" s="765">
        <f t="shared" si="97"/>
        <v>47.348804665676184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P270" s="13">
        <f t="shared" si="98"/>
        <v>11</v>
      </c>
      <c r="AQ270" s="13">
        <f t="shared" si="99"/>
        <v>10</v>
      </c>
      <c r="AR270" s="175">
        <f t="shared" si="100"/>
        <v>43360</v>
      </c>
      <c r="AS270" s="774">
        <f t="shared" si="101"/>
        <v>0.14285714285714285</v>
      </c>
      <c r="AT270" s="791">
        <f t="shared" si="102"/>
        <v>47.248195918649436</v>
      </c>
      <c r="AU270" s="13">
        <f t="shared" si="103"/>
        <v>11</v>
      </c>
      <c r="AV270" s="13">
        <f t="shared" si="104"/>
        <v>10</v>
      </c>
      <c r="AW270" s="175">
        <f t="shared" si="105"/>
        <v>43374</v>
      </c>
      <c r="AX270" s="774">
        <f t="shared" si="106"/>
        <v>0.6428571428571429</v>
      </c>
      <c r="AY270" s="791">
        <f t="shared" si="107"/>
        <v>47.276781340202852</v>
      </c>
      <c r="AZ270" s="765">
        <f t="shared" si="111"/>
        <v>47.262488629426144</v>
      </c>
      <c r="BA270" s="649">
        <f t="shared" si="108"/>
        <v>0.93248814219371812</v>
      </c>
      <c r="BB270" s="644">
        <v>43356</v>
      </c>
      <c r="BC270" s="11">
        <v>43356</v>
      </c>
      <c r="BD270" s="292">
        <f>[2]!FeuilCaduc*(1-Persistant)+Persistant</f>
        <v>1</v>
      </c>
      <c r="BE270" s="293">
        <f>[2]!CroissVégét</f>
        <v>0.98053659949953242</v>
      </c>
      <c r="BF270" s="844">
        <f>1+[2]!Salcycl*Ksac</f>
        <v>1.065019674357039</v>
      </c>
      <c r="BH270" s="1107">
        <f t="shared" si="109"/>
        <v>1.5879887425531879E-2</v>
      </c>
      <c r="BI270" s="11">
        <v>44452</v>
      </c>
      <c r="BJ270" s="744">
        <v>2.2988344665587279E-3</v>
      </c>
      <c r="BK270" s="744">
        <v>6.7769699422405441E-3</v>
      </c>
      <c r="BL270" s="744">
        <v>1.3770514862667274E-2</v>
      </c>
      <c r="BM270" s="744">
        <v>2.4329204042162978E-2</v>
      </c>
      <c r="BN270" s="744">
        <v>3.863367123079519E-2</v>
      </c>
      <c r="BO270" s="745">
        <v>5.7383976249724446E-2</v>
      </c>
      <c r="BP270" s="744">
        <v>8.0908772600850457E-2</v>
      </c>
      <c r="BQ270" s="744">
        <v>0.10907709840158226</v>
      </c>
      <c r="BR270" s="744">
        <v>0.15330942621755442</v>
      </c>
      <c r="BS270" s="744">
        <v>0.22064160672519925</v>
      </c>
      <c r="BT270" s="744">
        <v>0.30971338905384271</v>
      </c>
      <c r="BW270" s="1191">
        <f>'2018'!R\Max</f>
        <v>0</v>
      </c>
      <c r="BX270" s="1189">
        <f>'2019'!R\Max</f>
        <v>0.75441370980886635</v>
      </c>
      <c r="BY270" s="1189">
        <f>'2020'!R\Max</f>
        <v>0.93248814219371812</v>
      </c>
      <c r="BZ270" s="1189">
        <f>'2021'!R\Max</f>
        <v>0.67559780308862327</v>
      </c>
      <c r="CA270" s="1189">
        <f>'2022'!R\Max</f>
        <v>0.27662137878140292</v>
      </c>
      <c r="CB270" s="1189">
        <f>'2023'!R\Max</f>
        <v>0.27592738961109592</v>
      </c>
      <c r="CC270" s="1189">
        <f>'2024'!R\Max</f>
        <v>0.27498838091427658</v>
      </c>
      <c r="CD270" s="1189">
        <f>'2025'!R\Max</f>
        <v>0.27882378699981269</v>
      </c>
      <c r="CE270" s="1189">
        <f>'2026'!R\Max</f>
        <v>0.27837223496605223</v>
      </c>
      <c r="CF270" s="1190">
        <f>'2027'!R\Max</f>
        <v>0.27784073455110753</v>
      </c>
    </row>
    <row r="271" spans="1:84" s="6" customFormat="1" ht="11.25" x14ac:dyDescent="0.2">
      <c r="A271" s="11">
        <v>43357</v>
      </c>
      <c r="B271" s="382">
        <f>'2022'!Maxi_hp</f>
        <v>43.575578607161226</v>
      </c>
      <c r="C271" s="85">
        <f>'2022'!An_max</f>
        <v>2020</v>
      </c>
      <c r="D271" s="1134"/>
      <c r="E271" s="711"/>
      <c r="F271" s="13">
        <f t="shared" si="110"/>
        <v>19</v>
      </c>
      <c r="G271" s="13">
        <f t="shared" ref="G271:G334" si="112">INT((MATCH($A271,x.2m)+1)/2)*2</f>
        <v>20</v>
      </c>
      <c r="H271" s="175">
        <f t="shared" ref="H271:H334" si="113">INDEX(x.2m,F271)</f>
        <v>43346</v>
      </c>
      <c r="I271" s="774">
        <f t="shared" ref="I271:I334" si="114">($A271-H271)/(INDEX(x.2m,G271)-H271)</f>
        <v>0.7857142857142857</v>
      </c>
      <c r="J271" s="765">
        <f t="shared" ref="J271:J334" si="115">((1-I271)*(INDEX(a.m,F271)*$A271*$A271+INDEX(b.m,F271)*$A271+INDEX(c.m,F271))+I271*(INDEX(a.m,G271)*$A271*$A271+INDEX(b.m,G271)*$A271+INDEX(c.m,G271)))/10</f>
        <v>46.933513703250455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P271" s="13">
        <f t="shared" ref="AP271:AP334" si="116">INT(MATCH($A271,x.2lg)/2)*2+1</f>
        <v>11</v>
      </c>
      <c r="AQ271" s="13">
        <f t="shared" ref="AQ271:AQ334" si="117">INT((MATCH($A271,x.2lg)+1)/2)*2</f>
        <v>10</v>
      </c>
      <c r="AR271" s="175">
        <f t="shared" ref="AR271:AR334" si="118">INDEX(x.2lg,AP271)</f>
        <v>43360</v>
      </c>
      <c r="AS271" s="774">
        <f t="shared" ref="AS271:AS334" si="119">($A271-AR271)/(INDEX(x.2lg,AQ271)-AR271)</f>
        <v>0.10714285714285714</v>
      </c>
      <c r="AT271" s="791">
        <f t="shared" ref="AT271:AT334" si="120">((1-AS271)*(INDEX(a.lg,AP271)*$A271*$A271+INDEX(b.lg,AP271)*$A271+INDEX(c.lg,AP271))+AS271*(INDEX(a.lg,AQ271)*$A271*$A271+INDEX(b.lg,AQ271)*$A271+INDEX(c.lg,AQ271)))/10</f>
        <v>46.857175510057381</v>
      </c>
      <c r="AU271" s="13">
        <f t="shared" ref="AU271:AU334" si="121">INT(MATCH($A271,x.2ld)/2)*2+1</f>
        <v>11</v>
      </c>
      <c r="AV271" s="13">
        <f t="shared" ref="AV271:AV334" si="122">INT((MATCH($A271,x.2ld)+1)/2)*2</f>
        <v>10</v>
      </c>
      <c r="AW271" s="175">
        <f t="shared" ref="AW271:AW334" si="123">INDEX(x.2ld,AU271)</f>
        <v>43374</v>
      </c>
      <c r="AX271" s="774">
        <f t="shared" ref="AX271:AX334" si="124">($A271-AW271)/(INDEX(x.2ld,AV271)-AW271)</f>
        <v>0.6071428571428571</v>
      </c>
      <c r="AY271" s="791">
        <f t="shared" ref="AY271:AY334" si="125">((1-AX271)*(INDEX(a.ld,AU271)*$A271*$A271+INDEX(b.ld,AU271)*$A271+INDEX(c.ld,AU271))+AX271*(INDEX(a.ld,AV271)*$A271*$A271+INDEX(b.ld,AV271)*$A271+INDEX(c.ld,AV271)))/10</f>
        <v>46.843153351931164</v>
      </c>
      <c r="AZ271" s="765">
        <f t="shared" si="111"/>
        <v>46.850164430994269</v>
      </c>
      <c r="BA271" s="649">
        <f t="shared" ref="BA271:BA334" si="126">+B271/J271</f>
        <v>0.92845336240280962</v>
      </c>
      <c r="BB271" s="644">
        <v>43357</v>
      </c>
      <c r="BC271" s="11">
        <v>43357</v>
      </c>
      <c r="BD271" s="292">
        <f>[2]!FeuilCaduc*(1-Persistant)+Persistant</f>
        <v>1</v>
      </c>
      <c r="BE271" s="293">
        <f>[2]!CroissVégét</f>
        <v>0.98131846090840358</v>
      </c>
      <c r="BF271" s="844">
        <f>1+[2]!Salcycl*Ksac</f>
        <v>1.0647489101065157</v>
      </c>
      <c r="BH271" s="1107">
        <f t="shared" ref="BH271:BH334" si="127">INDEX($BJ271:$BT271,,$BH$10)*(1-Ratini)+INDEX($BJ271:$BT271,,$BH$10+1)*Ratini</f>
        <v>1.6195783779085003E-2</v>
      </c>
      <c r="BI271" s="11">
        <v>44453</v>
      </c>
      <c r="BJ271" s="744">
        <v>2.4195330930286188E-3</v>
      </c>
      <c r="BK271" s="744">
        <v>6.9611869748340922E-3</v>
      </c>
      <c r="BL271" s="744">
        <v>1.4057348706490847E-2</v>
      </c>
      <c r="BM271" s="744">
        <v>2.4761513375908383E-2</v>
      </c>
      <c r="BN271" s="744">
        <v>3.919687016500626E-2</v>
      </c>
      <c r="BO271" s="745">
        <v>5.8001466525292762E-2</v>
      </c>
      <c r="BP271" s="744">
        <v>8.1590129548742965E-2</v>
      </c>
      <c r="BQ271" s="744">
        <v>0.11033838337622265</v>
      </c>
      <c r="BR271" s="744">
        <v>0.1569453715218008</v>
      </c>
      <c r="BS271" s="744">
        <v>0.22755610789791667</v>
      </c>
      <c r="BT271" s="744">
        <v>0.32035533215514506</v>
      </c>
      <c r="BW271" s="1191">
        <f>'2018'!R\Max</f>
        <v>0</v>
      </c>
      <c r="BX271" s="1189">
        <f>'2019'!R\Max</f>
        <v>0.88969621561301382</v>
      </c>
      <c r="BY271" s="1189">
        <f>'2020'!R\Max</f>
        <v>0.92845336240280962</v>
      </c>
      <c r="BZ271" s="1189">
        <f>'2021'!R\Max</f>
        <v>0.43246865713836885</v>
      </c>
      <c r="CA271" s="1189">
        <f>'2022'!R\Max</f>
        <v>0.82176067267870589</v>
      </c>
      <c r="CB271" s="1189">
        <f>'2023'!R\Max</f>
        <v>0.82122893145278808</v>
      </c>
      <c r="CC271" s="1189">
        <f>'2024'!R\Max</f>
        <v>0.82049560052593307</v>
      </c>
      <c r="CD271" s="1189">
        <f>'2025'!R\Max</f>
        <v>0.82343374489309717</v>
      </c>
      <c r="CE271" s="1189">
        <f>'2026'!R\Max</f>
        <v>0.82309070378098959</v>
      </c>
      <c r="CF271" s="1190">
        <f>'2027'!R\Max</f>
        <v>0.82268720991172273</v>
      </c>
    </row>
    <row r="272" spans="1:84" s="6" customFormat="1" ht="11.25" x14ac:dyDescent="0.2">
      <c r="A272" s="11">
        <v>43358</v>
      </c>
      <c r="B272" s="382">
        <f>'2022'!Maxi_hp</f>
        <v>44.117844760090314</v>
      </c>
      <c r="C272" s="85">
        <f>'2022'!An_max</f>
        <v>2020</v>
      </c>
      <c r="D272" s="1134"/>
      <c r="E272" s="711"/>
      <c r="F272" s="13">
        <f t="shared" ref="F272:F335" si="128">INT(MATCH($A272,x.2m)/2)*2+1</f>
        <v>19</v>
      </c>
      <c r="G272" s="13">
        <f t="shared" si="112"/>
        <v>20</v>
      </c>
      <c r="H272" s="175">
        <f t="shared" si="113"/>
        <v>43346</v>
      </c>
      <c r="I272" s="774">
        <f t="shared" si="114"/>
        <v>0.8571428571428571</v>
      </c>
      <c r="J272" s="765">
        <f t="shared" si="115"/>
        <v>46.514976093173026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P272" s="13">
        <f t="shared" si="116"/>
        <v>11</v>
      </c>
      <c r="AQ272" s="13">
        <f t="shared" si="117"/>
        <v>10</v>
      </c>
      <c r="AR272" s="175">
        <f t="shared" si="118"/>
        <v>43360</v>
      </c>
      <c r="AS272" s="774">
        <f t="shared" si="119"/>
        <v>7.1428571428571425E-2</v>
      </c>
      <c r="AT272" s="791">
        <f t="shared" si="120"/>
        <v>46.463738775625828</v>
      </c>
      <c r="AU272" s="13">
        <f t="shared" si="121"/>
        <v>11</v>
      </c>
      <c r="AV272" s="13">
        <f t="shared" si="122"/>
        <v>10</v>
      </c>
      <c r="AW272" s="175">
        <f t="shared" si="123"/>
        <v>43374</v>
      </c>
      <c r="AX272" s="774">
        <f t="shared" si="124"/>
        <v>0.5714285714285714</v>
      </c>
      <c r="AY272" s="791">
        <f t="shared" si="125"/>
        <v>46.404813993642371</v>
      </c>
      <c r="AZ272" s="765">
        <f t="shared" ref="AZ272:AZ335" si="129">(AY272+AT272)/2</f>
        <v>46.434276384634103</v>
      </c>
      <c r="BA272" s="649">
        <f t="shared" si="126"/>
        <v>0.94846538610960318</v>
      </c>
      <c r="BB272" s="644">
        <v>43358</v>
      </c>
      <c r="BC272" s="11">
        <v>43358</v>
      </c>
      <c r="BD272" s="292">
        <f>[2]!FeuilCaduc*(1-Persistant)+Persistant</f>
        <v>1</v>
      </c>
      <c r="BE272" s="293">
        <f>[2]!CroissVégét</f>
        <v>0.98207001412819972</v>
      </c>
      <c r="BF272" s="844">
        <f>1+[2]!Salcycl*Ksac</f>
        <v>1.0644664452736445</v>
      </c>
      <c r="BH272" s="1107">
        <f t="shared" si="127"/>
        <v>1.6492987271957842E-2</v>
      </c>
      <c r="BI272" s="11">
        <v>44454</v>
      </c>
      <c r="BJ272" s="744">
        <v>2.542638109759879E-3</v>
      </c>
      <c r="BK272" s="744">
        <v>7.1398187435679182E-3</v>
      </c>
      <c r="BL272" s="744">
        <v>1.4327440314157268E-2</v>
      </c>
      <c r="BM272" s="744">
        <v>2.5167316414549324E-2</v>
      </c>
      <c r="BN272" s="744">
        <v>3.972643011110992E-2</v>
      </c>
      <c r="BO272" s="745">
        <v>5.857388876661155E-2</v>
      </c>
      <c r="BP272" s="744">
        <v>8.2211198712803371E-2</v>
      </c>
      <c r="BQ272" s="744">
        <v>0.11167246107612165</v>
      </c>
      <c r="BR272" s="744">
        <v>0.16087589128702329</v>
      </c>
      <c r="BS272" s="744">
        <v>0.23473794047241089</v>
      </c>
      <c r="BT272" s="744">
        <v>0.33083952192818866</v>
      </c>
      <c r="BW272" s="1191">
        <f>'2018'!R\Max</f>
        <v>0</v>
      </c>
      <c r="BX272" s="1189">
        <f>'2019'!R\Max</f>
        <v>0.89465122840432043</v>
      </c>
      <c r="BY272" s="1189">
        <f>'2020'!R\Max</f>
        <v>0.94846538610960318</v>
      </c>
      <c r="BZ272" s="1189">
        <f>'2021'!R\Max</f>
        <v>0.64758149635762718</v>
      </c>
      <c r="CA272" s="1189">
        <f>'2022'!R\Max</f>
        <v>0.90611944192257632</v>
      </c>
      <c r="CB272" s="1189">
        <f>'2023'!R\Max</f>
        <v>0.90580576428224524</v>
      </c>
      <c r="CC272" s="1189">
        <f>'2024'!R\Max</f>
        <v>0.90536475450259157</v>
      </c>
      <c r="CD272" s="1189">
        <f>'2025'!R\Max</f>
        <v>0.90710346585421797</v>
      </c>
      <c r="CE272" s="1189">
        <f>'2026'!R\Max</f>
        <v>0.90690090771041476</v>
      </c>
      <c r="CF272" s="1190">
        <f>'2027'!R\Max</f>
        <v>0.90666332846313691</v>
      </c>
    </row>
    <row r="273" spans="1:84" s="6" customFormat="1" ht="11.25" x14ac:dyDescent="0.2">
      <c r="A273" s="11">
        <v>43359</v>
      </c>
      <c r="B273" s="382">
        <f>'2022'!Maxi_hp</f>
        <v>41.206187812934779</v>
      </c>
      <c r="C273" s="85">
        <f>'2022'!An_max</f>
        <v>2019</v>
      </c>
      <c r="D273" s="1134"/>
      <c r="E273" s="711"/>
      <c r="F273" s="13">
        <f t="shared" si="128"/>
        <v>19</v>
      </c>
      <c r="G273" s="13">
        <f t="shared" si="112"/>
        <v>20</v>
      </c>
      <c r="H273" s="175">
        <f t="shared" si="113"/>
        <v>43346</v>
      </c>
      <c r="I273" s="774">
        <f t="shared" si="114"/>
        <v>0.9285714285714286</v>
      </c>
      <c r="J273" s="765">
        <f t="shared" si="115"/>
        <v>46.093751604216443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P273" s="13">
        <f t="shared" si="116"/>
        <v>11</v>
      </c>
      <c r="AQ273" s="13">
        <f t="shared" si="117"/>
        <v>10</v>
      </c>
      <c r="AR273" s="175">
        <f t="shared" si="118"/>
        <v>43360</v>
      </c>
      <c r="AS273" s="774">
        <f t="shared" si="119"/>
        <v>3.5714285714285712E-2</v>
      </c>
      <c r="AT273" s="791">
        <f t="shared" si="120"/>
        <v>46.068081632549209</v>
      </c>
      <c r="AU273" s="13">
        <f t="shared" si="121"/>
        <v>11</v>
      </c>
      <c r="AV273" s="13">
        <f t="shared" si="122"/>
        <v>10</v>
      </c>
      <c r="AW273" s="175">
        <f t="shared" si="123"/>
        <v>43374</v>
      </c>
      <c r="AX273" s="774">
        <f t="shared" si="124"/>
        <v>0.5357142857142857</v>
      </c>
      <c r="AY273" s="791">
        <f t="shared" si="125"/>
        <v>45.962462972443817</v>
      </c>
      <c r="AZ273" s="765">
        <f t="shared" si="129"/>
        <v>46.015272302496513</v>
      </c>
      <c r="BA273" s="649">
        <f t="shared" si="126"/>
        <v>0.89396472143884742</v>
      </c>
      <c r="BB273" s="644">
        <v>43359</v>
      </c>
      <c r="BC273" s="11">
        <v>43359</v>
      </c>
      <c r="BD273" s="292">
        <f>[2]!FeuilCaduc*(1-Persistant)+Persistant</f>
        <v>1</v>
      </c>
      <c r="BE273" s="293">
        <f>[2]!CroissVégét</f>
        <v>0.98279238947199099</v>
      </c>
      <c r="BF273" s="844">
        <f>1+[2]!Salcycl*Ksac</f>
        <v>1.0641718323004947</v>
      </c>
      <c r="BH273" s="1107">
        <f t="shared" si="127"/>
        <v>1.6771496218559296E-2</v>
      </c>
      <c r="BI273" s="11">
        <v>44455</v>
      </c>
      <c r="BJ273" s="744">
        <v>2.6681554494955304E-3</v>
      </c>
      <c r="BK273" s="744">
        <v>7.3128678645660306E-3</v>
      </c>
      <c r="BL273" s="744">
        <v>1.4580788224370414E-2</v>
      </c>
      <c r="BM273" s="744">
        <v>2.5546610574057261E-2</v>
      </c>
      <c r="BN273" s="744">
        <v>4.0222349492283323E-2</v>
      </c>
      <c r="BO273" s="745">
        <v>5.9101237507025117E-2</v>
      </c>
      <c r="BP273" s="744">
        <v>8.2771968951541958E-2</v>
      </c>
      <c r="BQ273" s="744">
        <v>0.11307944305047785</v>
      </c>
      <c r="BR273" s="744">
        <v>0.16510134486528349</v>
      </c>
      <c r="BS273" s="744">
        <v>0.24218755606536227</v>
      </c>
      <c r="BT273" s="744">
        <v>0.3411662203886347</v>
      </c>
      <c r="BW273" s="1191">
        <f>'2018'!R\Max</f>
        <v>0</v>
      </c>
      <c r="BX273" s="1189">
        <f>'2019'!R\Max</f>
        <v>0.89396472143884742</v>
      </c>
      <c r="BY273" s="1189">
        <f>'2020'!R\Max</f>
        <v>0.87455734283982833</v>
      </c>
      <c r="BZ273" s="1189">
        <f>'2021'!R\Max</f>
        <v>0.50035607789834113</v>
      </c>
      <c r="CA273" s="1189">
        <f>'2022'!R\Max</f>
        <v>0.62897134402030164</v>
      </c>
      <c r="CB273" s="1189">
        <f>'2023'!R\Max</f>
        <v>0.62809811047393038</v>
      </c>
      <c r="CC273" s="1189">
        <f>'2024'!R\Max</f>
        <v>0.62684615580961378</v>
      </c>
      <c r="CD273" s="1189">
        <f>'2025'!R\Max</f>
        <v>0.63171535973296444</v>
      </c>
      <c r="CE273" s="1189">
        <f>'2026'!R\Max</f>
        <v>0.63114639985595644</v>
      </c>
      <c r="CF273" s="1190">
        <f>'2027'!R\Max</f>
        <v>0.63048217683304442</v>
      </c>
    </row>
    <row r="274" spans="1:84" s="6" customFormat="1" ht="11.25" x14ac:dyDescent="0.2">
      <c r="A274" s="11">
        <v>43360</v>
      </c>
      <c r="B274" s="382">
        <f>'2022'!Maxi_hp</f>
        <v>45.756271072960018</v>
      </c>
      <c r="C274" s="85">
        <f>'2022'!An_max</f>
        <v>2022</v>
      </c>
      <c r="D274" s="1134"/>
      <c r="E274" s="773">
        <f>AF$13/10</f>
        <v>45.670400000000001</v>
      </c>
      <c r="F274" s="13">
        <f t="shared" si="128"/>
        <v>21</v>
      </c>
      <c r="G274" s="13">
        <f t="shared" si="112"/>
        <v>20</v>
      </c>
      <c r="H274" s="175">
        <f t="shared" si="113"/>
        <v>43374</v>
      </c>
      <c r="I274" s="774">
        <f t="shared" si="114"/>
        <v>1</v>
      </c>
      <c r="J274" s="765">
        <f t="shared" si="115"/>
        <v>45.670400001108646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P274" s="13">
        <f t="shared" si="116"/>
        <v>11</v>
      </c>
      <c r="AQ274" s="13">
        <f t="shared" si="117"/>
        <v>12</v>
      </c>
      <c r="AR274" s="175">
        <f t="shared" si="118"/>
        <v>43360</v>
      </c>
      <c r="AS274" s="774">
        <f t="shared" si="119"/>
        <v>0</v>
      </c>
      <c r="AT274" s="791">
        <f t="shared" si="120"/>
        <v>45.670400000363585</v>
      </c>
      <c r="AU274" s="13">
        <f t="shared" si="121"/>
        <v>11</v>
      </c>
      <c r="AV274" s="13">
        <f t="shared" si="122"/>
        <v>10</v>
      </c>
      <c r="AW274" s="175">
        <f t="shared" si="123"/>
        <v>43374</v>
      </c>
      <c r="AX274" s="774">
        <f t="shared" si="124"/>
        <v>0.5</v>
      </c>
      <c r="AY274" s="791">
        <f t="shared" si="125"/>
        <v>45.516799999633804</v>
      </c>
      <c r="AZ274" s="765">
        <f t="shared" si="129"/>
        <v>45.593599999998695</v>
      </c>
      <c r="BA274" s="649">
        <f t="shared" si="126"/>
        <v>1.0018802347220364</v>
      </c>
      <c r="BB274" s="644">
        <v>43360</v>
      </c>
      <c r="BC274" s="11">
        <v>43360</v>
      </c>
      <c r="BD274" s="292">
        <f>[2]!FeuilCaduc*(1-Persistant)+Persistant</f>
        <v>1</v>
      </c>
      <c r="BE274" s="293">
        <f>[2]!CroissVégét</f>
        <v>0.98348667856218763</v>
      </c>
      <c r="BF274" s="844">
        <f>1+[2]!Salcycl*Ksac</f>
        <v>1.0638646122187785</v>
      </c>
      <c r="BH274" s="1107">
        <f t="shared" si="127"/>
        <v>1.7031307938167949E-2</v>
      </c>
      <c r="BI274" s="11">
        <v>44456</v>
      </c>
      <c r="BJ274" s="744">
        <v>2.7960912782503222E-3</v>
      </c>
      <c r="BK274" s="744">
        <v>7.4803367154700718E-3</v>
      </c>
      <c r="BL274" s="744">
        <v>1.4817390087537193E-2</v>
      </c>
      <c r="BM274" s="744">
        <v>2.5899391847340969E-2</v>
      </c>
      <c r="BN274" s="744">
        <v>4.0684624929277415E-2</v>
      </c>
      <c r="BO274" s="745">
        <v>5.9583504768265787E-2</v>
      </c>
      <c r="BP274" s="744">
        <v>8.3272425662935676E-2</v>
      </c>
      <c r="BQ274" s="744">
        <v>0.11455944626402483</v>
      </c>
      <c r="BR274" s="744">
        <v>0.16962211276670927</v>
      </c>
      <c r="BS274" s="744">
        <v>0.24990542786329542</v>
      </c>
      <c r="BT274" s="744">
        <v>0.3513356863834674</v>
      </c>
      <c r="BW274" s="1191">
        <f>'2018'!R\Max</f>
        <v>0</v>
      </c>
      <c r="BX274" s="1189">
        <f>'2019'!R\Max</f>
        <v>0.87506524310238731</v>
      </c>
      <c r="BY274" s="1189">
        <f>'2020'!R\Max</f>
        <v>0.85713327286616825</v>
      </c>
      <c r="BZ274" s="1189">
        <f>'2021'!R\Max</f>
        <v>0.939966267883794</v>
      </c>
      <c r="CA274" s="1189">
        <f>'2022'!R\Max</f>
        <v>1.0018802347220364</v>
      </c>
      <c r="CB274" s="1189">
        <f>'2023'!R\Max</f>
        <v>1.0018802347220366</v>
      </c>
      <c r="CC274" s="1189">
        <f>'2024'!R\Max</f>
        <v>1.0018802347220361</v>
      </c>
      <c r="CD274" s="1189">
        <f>'2025'!R\Max</f>
        <v>1.0018802347220364</v>
      </c>
      <c r="CE274" s="1189">
        <f>'2026'!R\Max</f>
        <v>1.0018802347220361</v>
      </c>
      <c r="CF274" s="1190">
        <f>'2027'!R\Max</f>
        <v>1.0018802347220364</v>
      </c>
    </row>
    <row r="275" spans="1:84" s="6" customFormat="1" ht="11.25" x14ac:dyDescent="0.2">
      <c r="A275" s="11">
        <v>43361</v>
      </c>
      <c r="B275" s="382">
        <f>'2022'!Maxi_hp</f>
        <v>46.131484277355973</v>
      </c>
      <c r="C275" s="85">
        <f>'2022'!An_max</f>
        <v>2022</v>
      </c>
      <c r="D275" s="1134"/>
      <c r="E275" s="711"/>
      <c r="F275" s="13">
        <f t="shared" si="128"/>
        <v>21</v>
      </c>
      <c r="G275" s="13">
        <f t="shared" si="112"/>
        <v>20</v>
      </c>
      <c r="H275" s="175">
        <f t="shared" si="113"/>
        <v>43374</v>
      </c>
      <c r="I275" s="774">
        <f t="shared" si="114"/>
        <v>0.9285714285714286</v>
      </c>
      <c r="J275" s="765">
        <f t="shared" si="115"/>
        <v>45.241898542409764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P275" s="13">
        <f t="shared" si="116"/>
        <v>11</v>
      </c>
      <c r="AQ275" s="13">
        <f t="shared" si="117"/>
        <v>12</v>
      </c>
      <c r="AR275" s="175">
        <f t="shared" si="118"/>
        <v>43360</v>
      </c>
      <c r="AS275" s="774">
        <f t="shared" si="119"/>
        <v>3.5714285714285712E-2</v>
      </c>
      <c r="AT275" s="791">
        <f t="shared" si="120"/>
        <v>45.266227406183525</v>
      </c>
      <c r="AU275" s="13">
        <f t="shared" si="121"/>
        <v>11</v>
      </c>
      <c r="AV275" s="13">
        <f t="shared" si="122"/>
        <v>10</v>
      </c>
      <c r="AW275" s="175">
        <f t="shared" si="123"/>
        <v>43374</v>
      </c>
      <c r="AX275" s="774">
        <f t="shared" si="124"/>
        <v>0.4642857142857143</v>
      </c>
      <c r="AY275" s="791">
        <f t="shared" si="125"/>
        <v>45.068524780244168</v>
      </c>
      <c r="AZ275" s="765">
        <f t="shared" si="129"/>
        <v>45.167376093213846</v>
      </c>
      <c r="BA275" s="649">
        <f t="shared" si="126"/>
        <v>1.0196628736548778</v>
      </c>
      <c r="BB275" s="644">
        <v>43361</v>
      </c>
      <c r="BC275" s="11">
        <v>43361</v>
      </c>
      <c r="BD275" s="292">
        <f>[2]!FeuilCaduc*(1-Persistant)+Persistant</f>
        <v>1</v>
      </c>
      <c r="BE275" s="293">
        <f>[2]!CroissVégét</f>
        <v>0.98415393538190332</v>
      </c>
      <c r="BF275" s="844">
        <f>1+[2]!Salcycl*Ksac</f>
        <v>1.063544315955872</v>
      </c>
      <c r="BH275" s="1107">
        <f t="shared" si="127"/>
        <v>1.7272418721231194E-2</v>
      </c>
      <c r="BI275" s="11">
        <v>44457</v>
      </c>
      <c r="BJ275" s="744">
        <v>2.9264519993633343E-3</v>
      </c>
      <c r="BK275" s="744">
        <v>7.6422274252236156E-3</v>
      </c>
      <c r="BL275" s="744">
        <v>1.5037242635595223E-2</v>
      </c>
      <c r="BM275" s="744">
        <v>2.6225654756411716E-2</v>
      </c>
      <c r="BN275" s="744">
        <v>4.1113251179437114E-2</v>
      </c>
      <c r="BO275" s="745">
        <v>6.0020679978685716E-2</v>
      </c>
      <c r="BP275" s="744">
        <v>8.3712550675032985E-2</v>
      </c>
      <c r="BQ275" s="744">
        <v>0.11611259322036886</v>
      </c>
      <c r="BR275" s="744">
        <v>0.17443859716955487</v>
      </c>
      <c r="BS275" s="744">
        <v>0.25789205107959506</v>
      </c>
      <c r="BT275" s="744">
        <v>0.36134817529376545</v>
      </c>
      <c r="BW275" s="1191">
        <f>'2018'!R\Max</f>
        <v>0</v>
      </c>
      <c r="BX275" s="1189">
        <f>'2019'!R\Max</f>
        <v>0.61224769819911529</v>
      </c>
      <c r="BY275" s="1189">
        <f>'2020'!R\Max</f>
        <v>0.87932749333763227</v>
      </c>
      <c r="BZ275" s="1189">
        <f>'2021'!R\Max</f>
        <v>0.20433548729304302</v>
      </c>
      <c r="CA275" s="1189">
        <f>'2022'!R\Max</f>
        <v>1.0196628736548778</v>
      </c>
      <c r="CB275" s="1189">
        <f>'2023'!R\Max</f>
        <v>1.0196628736548778</v>
      </c>
      <c r="CC275" s="1189">
        <f>'2024'!R\Max</f>
        <v>1.0196628736548776</v>
      </c>
      <c r="CD275" s="1189">
        <f>'2025'!R\Max</f>
        <v>1.0196628736548778</v>
      </c>
      <c r="CE275" s="1189">
        <f>'2026'!R\Max</f>
        <v>1.0196628736548778</v>
      </c>
      <c r="CF275" s="1190">
        <f>'2027'!R\Max</f>
        <v>1.0196628736548778</v>
      </c>
    </row>
    <row r="276" spans="1:84" s="6" customFormat="1" ht="11.25" x14ac:dyDescent="0.2">
      <c r="A276" s="11">
        <v>43362</v>
      </c>
      <c r="B276" s="382">
        <f>'2022'!Maxi_hp</f>
        <v>44.239894934132181</v>
      </c>
      <c r="C276" s="85">
        <f>'2022'!An_max</f>
        <v>2022</v>
      </c>
      <c r="D276" s="1134"/>
      <c r="E276" s="711"/>
      <c r="F276" s="13">
        <f t="shared" si="128"/>
        <v>21</v>
      </c>
      <c r="G276" s="13">
        <f t="shared" si="112"/>
        <v>20</v>
      </c>
      <c r="H276" s="175">
        <f t="shared" si="113"/>
        <v>43374</v>
      </c>
      <c r="I276" s="774">
        <f t="shared" si="114"/>
        <v>0.8571428571428571</v>
      </c>
      <c r="J276" s="765">
        <f t="shared" si="115"/>
        <v>44.805523032136264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P276" s="13">
        <f t="shared" si="116"/>
        <v>11</v>
      </c>
      <c r="AQ276" s="13">
        <f t="shared" si="117"/>
        <v>12</v>
      </c>
      <c r="AR276" s="175">
        <f t="shared" si="118"/>
        <v>43360</v>
      </c>
      <c r="AS276" s="774">
        <f t="shared" si="119"/>
        <v>7.1428571428571425E-2</v>
      </c>
      <c r="AT276" s="791">
        <f t="shared" si="120"/>
        <v>44.85151720057641</v>
      </c>
      <c r="AU276" s="13">
        <f t="shared" si="121"/>
        <v>11</v>
      </c>
      <c r="AV276" s="13">
        <f t="shared" si="122"/>
        <v>10</v>
      </c>
      <c r="AW276" s="175">
        <f t="shared" si="123"/>
        <v>43374</v>
      </c>
      <c r="AX276" s="774">
        <f t="shared" si="124"/>
        <v>0.42857142857142855</v>
      </c>
      <c r="AY276" s="791">
        <f t="shared" si="125"/>
        <v>44.618337025599814</v>
      </c>
      <c r="AZ276" s="765">
        <f t="shared" si="129"/>
        <v>44.734927113088112</v>
      </c>
      <c r="BA276" s="649">
        <f t="shared" si="126"/>
        <v>0.987375929132701</v>
      </c>
      <c r="BB276" s="644">
        <v>43362</v>
      </c>
      <c r="BC276" s="11">
        <v>43362</v>
      </c>
      <c r="BD276" s="292">
        <f>[2]!FeuilCaduc*(1-Persistant)+Persistant</f>
        <v>1</v>
      </c>
      <c r="BE276" s="293">
        <f>[2]!CroissVégét</f>
        <v>0.98479517732042654</v>
      </c>
      <c r="BF276" s="844">
        <f>1+[2]!Salcycl*Ksac</f>
        <v>1.0632104658938144</v>
      </c>
      <c r="BH276" s="1107">
        <f t="shared" si="127"/>
        <v>1.748497224958126E-2</v>
      </c>
      <c r="BI276" s="11">
        <v>44458</v>
      </c>
      <c r="BJ276" s="744">
        <v>3.0510020503179535E-3</v>
      </c>
      <c r="BK276" s="744">
        <v>7.7923656809469818E-3</v>
      </c>
      <c r="BL276" s="744">
        <v>1.5232223955261791E-2</v>
      </c>
      <c r="BM276" s="744">
        <v>2.6508595639482432E-2</v>
      </c>
      <c r="BN276" s="744">
        <v>4.1480928480918604E-2</v>
      </c>
      <c r="BO276" s="745">
        <v>6.0379836579071776E-2</v>
      </c>
      <c r="BP276" s="744">
        <v>8.4149035179460652E-2</v>
      </c>
      <c r="BQ276" s="744">
        <v>0.11793947935966514</v>
      </c>
      <c r="BR276" s="744">
        <v>0.17961424812883631</v>
      </c>
      <c r="BS276" s="744">
        <v>0.26605565393594066</v>
      </c>
      <c r="BT276" s="744">
        <v>0.37097477202958506</v>
      </c>
      <c r="BW276" s="1191">
        <f>'2018'!R\Max</f>
        <v>0</v>
      </c>
      <c r="BX276" s="1189">
        <f>'2019'!R\Max</f>
        <v>0.90762153489870501</v>
      </c>
      <c r="BY276" s="1189">
        <f>'2020'!R\Max</f>
        <v>0.41386313534292485</v>
      </c>
      <c r="BZ276" s="1189">
        <f>'2021'!R\Max</f>
        <v>0.65614009047500366</v>
      </c>
      <c r="CA276" s="1189">
        <f>'2022'!R\Max</f>
        <v>0.987375929132701</v>
      </c>
      <c r="CB276" s="1189">
        <f>'2023'!R\Max</f>
        <v>0.98732664310398</v>
      </c>
      <c r="CC276" s="1189">
        <f>'2024'!R\Max</f>
        <v>0.9872494861916894</v>
      </c>
      <c r="CD276" s="1189">
        <f>'2025'!R\Max</f>
        <v>0.98752742175177832</v>
      </c>
      <c r="CE276" s="1189">
        <f>'2026'!R\Max</f>
        <v>0.98749571762695909</v>
      </c>
      <c r="CF276" s="1190">
        <f>'2027'!R\Max</f>
        <v>0.98745897201370991</v>
      </c>
    </row>
    <row r="277" spans="1:84" s="6" customFormat="1" ht="11.25" x14ac:dyDescent="0.2">
      <c r="A277" s="11">
        <v>43363</v>
      </c>
      <c r="B277" s="382">
        <f>'2022'!Maxi_hp</f>
        <v>45.37644417312903</v>
      </c>
      <c r="C277" s="85">
        <f>'2022'!An_max</f>
        <v>2022</v>
      </c>
      <c r="D277" s="1134"/>
      <c r="E277" s="711"/>
      <c r="F277" s="13">
        <f t="shared" si="128"/>
        <v>21</v>
      </c>
      <c r="G277" s="13">
        <f t="shared" si="112"/>
        <v>20</v>
      </c>
      <c r="H277" s="175">
        <f t="shared" si="113"/>
        <v>43374</v>
      </c>
      <c r="I277" s="774">
        <f t="shared" si="114"/>
        <v>0.7857142857142857</v>
      </c>
      <c r="J277" s="765">
        <f t="shared" si="115"/>
        <v>44.362281050266965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P277" s="13">
        <f t="shared" si="116"/>
        <v>11</v>
      </c>
      <c r="AQ277" s="13">
        <f t="shared" si="117"/>
        <v>12</v>
      </c>
      <c r="AR277" s="175">
        <f t="shared" si="118"/>
        <v>43360</v>
      </c>
      <c r="AS277" s="774">
        <f t="shared" si="119"/>
        <v>0.10714285714285714</v>
      </c>
      <c r="AT277" s="791">
        <f t="shared" si="120"/>
        <v>44.427095043047203</v>
      </c>
      <c r="AU277" s="13">
        <f t="shared" si="121"/>
        <v>11</v>
      </c>
      <c r="AV277" s="13">
        <f t="shared" si="122"/>
        <v>10</v>
      </c>
      <c r="AW277" s="175">
        <f t="shared" si="123"/>
        <v>43374</v>
      </c>
      <c r="AX277" s="774">
        <f t="shared" si="124"/>
        <v>0.39285714285714285</v>
      </c>
      <c r="AY277" s="791">
        <f t="shared" si="125"/>
        <v>44.166936442468852</v>
      </c>
      <c r="AZ277" s="765">
        <f t="shared" si="129"/>
        <v>44.297015742758028</v>
      </c>
      <c r="BA277" s="649">
        <f t="shared" si="126"/>
        <v>1.0228609327305085</v>
      </c>
      <c r="BB277" s="644">
        <v>43363</v>
      </c>
      <c r="BC277" s="11">
        <v>43363</v>
      </c>
      <c r="BD277" s="292">
        <f>[2]!FeuilCaduc*(1-Persistant)+Persistant</f>
        <v>1</v>
      </c>
      <c r="BE277" s="293">
        <f>[2]!CroissVégét</f>
        <v>0.98541138621054403</v>
      </c>
      <c r="BF277" s="844">
        <f>1+[2]!Salcycl*Ksac</f>
        <v>1.0628625776837757</v>
      </c>
      <c r="BH277" s="1107">
        <f t="shared" si="127"/>
        <v>1.7677057395529341E-2</v>
      </c>
      <c r="BI277" s="11">
        <v>44459</v>
      </c>
      <c r="BJ277" s="744">
        <v>3.1654268695983086E-3</v>
      </c>
      <c r="BK277" s="744">
        <v>7.9320646044749709E-3</v>
      </c>
      <c r="BL277" s="744">
        <v>1.5409598598026895E-2</v>
      </c>
      <c r="BM277" s="744">
        <v>2.6759605273769443E-2</v>
      </c>
      <c r="BN277" s="744">
        <v>4.1800565618282021E-2</v>
      </c>
      <c r="BO277" s="745">
        <v>6.0682504059866277E-2</v>
      </c>
      <c r="BP277" s="744">
        <v>8.4609373602710494E-2</v>
      </c>
      <c r="BQ277" s="744">
        <v>0.12007166131086409</v>
      </c>
      <c r="BR277" s="744">
        <v>0.18504025702788049</v>
      </c>
      <c r="BS277" s="744">
        <v>0.27416727189398798</v>
      </c>
      <c r="BT277" s="744">
        <v>0.37988249514802674</v>
      </c>
      <c r="BW277" s="1191">
        <f>'2018'!R\Max</f>
        <v>0</v>
      </c>
      <c r="BX277" s="1189">
        <f>'2019'!R\Max</f>
        <v>0.93734048736584352</v>
      </c>
      <c r="BY277" s="1189">
        <f>'2020'!R\Max</f>
        <v>0.68249855163321316</v>
      </c>
      <c r="BZ277" s="1189">
        <f>'2021'!R\Max</f>
        <v>0.63742910790036456</v>
      </c>
      <c r="CA277" s="1189">
        <f>'2022'!R\Max</f>
        <v>1.0228609327305085</v>
      </c>
      <c r="CB277" s="1189">
        <f>'2023'!R\Max</f>
        <v>1.0228609327305085</v>
      </c>
      <c r="CC277" s="1189">
        <f>'2024'!R\Max</f>
        <v>1.0228609327305085</v>
      </c>
      <c r="CD277" s="1189">
        <f>'2025'!R\Max</f>
        <v>1.0228609327305083</v>
      </c>
      <c r="CE277" s="1189">
        <f>'2026'!R\Max</f>
        <v>1.0228609327305087</v>
      </c>
      <c r="CF277" s="1190">
        <f>'2027'!R\Max</f>
        <v>1.0228609327305085</v>
      </c>
    </row>
    <row r="278" spans="1:84" s="6" customFormat="1" ht="11.25" x14ac:dyDescent="0.2">
      <c r="A278" s="11">
        <v>43364</v>
      </c>
      <c r="B278" s="382">
        <f>'2022'!Maxi_hp</f>
        <v>44.08437994879354</v>
      </c>
      <c r="C278" s="85">
        <f>'2022'!An_max</f>
        <v>2022</v>
      </c>
      <c r="D278" s="1134"/>
      <c r="E278" s="711"/>
      <c r="F278" s="13">
        <f t="shared" si="128"/>
        <v>21</v>
      </c>
      <c r="G278" s="13">
        <f t="shared" si="112"/>
        <v>20</v>
      </c>
      <c r="H278" s="175">
        <f t="shared" si="113"/>
        <v>43374</v>
      </c>
      <c r="I278" s="774">
        <f t="shared" si="114"/>
        <v>0.7142857142857143</v>
      </c>
      <c r="J278" s="765">
        <f t="shared" si="115"/>
        <v>43.913180174651956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P278" s="13">
        <f t="shared" si="116"/>
        <v>11</v>
      </c>
      <c r="AQ278" s="13">
        <f t="shared" si="117"/>
        <v>12</v>
      </c>
      <c r="AR278" s="175">
        <f t="shared" si="118"/>
        <v>43360</v>
      </c>
      <c r="AS278" s="774">
        <f t="shared" si="119"/>
        <v>0.14285714285714285</v>
      </c>
      <c r="AT278" s="791">
        <f t="shared" si="120"/>
        <v>43.993786588949817</v>
      </c>
      <c r="AU278" s="13">
        <f t="shared" si="121"/>
        <v>11</v>
      </c>
      <c r="AV278" s="13">
        <f t="shared" si="122"/>
        <v>10</v>
      </c>
      <c r="AW278" s="175">
        <f t="shared" si="123"/>
        <v>43374</v>
      </c>
      <c r="AX278" s="774">
        <f t="shared" si="124"/>
        <v>0.35714285714285715</v>
      </c>
      <c r="AY278" s="791">
        <f t="shared" si="125"/>
        <v>43.715022739967594</v>
      </c>
      <c r="AZ278" s="765">
        <f t="shared" si="129"/>
        <v>43.854404664458706</v>
      </c>
      <c r="BA278" s="649">
        <f t="shared" si="126"/>
        <v>1.0038985965821807</v>
      </c>
      <c r="BB278" s="644">
        <v>43364</v>
      </c>
      <c r="BC278" s="11">
        <v>43364</v>
      </c>
      <c r="BD278" s="292">
        <f>[2]!FeuilCaduc*(1-Persistant)+Persistant</f>
        <v>1</v>
      </c>
      <c r="BE278" s="293">
        <f>[2]!CroissVégét</f>
        <v>0.98600350935571934</v>
      </c>
      <c r="BF278" s="844">
        <f>1+[2]!Salcycl*Ksac</f>
        <v>1.0625001623154759</v>
      </c>
      <c r="BH278" s="1107">
        <f t="shared" si="127"/>
        <v>1.7848665222970718E-2</v>
      </c>
      <c r="BI278" s="11">
        <v>44460</v>
      </c>
      <c r="BJ278" s="744">
        <v>3.2697218098060726E-3</v>
      </c>
      <c r="BK278" s="744">
        <v>8.061320854097968E-3</v>
      </c>
      <c r="BL278" s="744">
        <v>1.5569359312098539E-2</v>
      </c>
      <c r="BM278" s="744">
        <v>2.6978667976473841E-2</v>
      </c>
      <c r="BN278" s="744">
        <v>4.2072137312372838E-2</v>
      </c>
      <c r="BO278" s="745">
        <v>6.0928652067023976E-2</v>
      </c>
      <c r="BP278" s="744">
        <v>8.5093615492571481E-2</v>
      </c>
      <c r="BQ278" s="744">
        <v>0.12250949812672018</v>
      </c>
      <c r="BR278" s="744">
        <v>0.19071705388179613</v>
      </c>
      <c r="BS278" s="744">
        <v>0.28222717108662337</v>
      </c>
      <c r="BT278" s="744">
        <v>0.38807106492552113</v>
      </c>
      <c r="BW278" s="1191">
        <f>'2018'!R\Max</f>
        <v>0</v>
      </c>
      <c r="BX278" s="1189">
        <f>'2019'!R\Max</f>
        <v>0.76511388180940398</v>
      </c>
      <c r="BY278" s="1189">
        <f>'2020'!R\Max</f>
        <v>0.80101362625089945</v>
      </c>
      <c r="BZ278" s="1189">
        <f>'2021'!R\Max</f>
        <v>0.32237082643424442</v>
      </c>
      <c r="CA278" s="1189">
        <f>'2022'!R\Max</f>
        <v>1.0038985965821807</v>
      </c>
      <c r="CB278" s="1189">
        <f>'2023'!R\Max</f>
        <v>1.0038985965821807</v>
      </c>
      <c r="CC278" s="1189">
        <f>'2024'!R\Max</f>
        <v>1.0038985965821807</v>
      </c>
      <c r="CD278" s="1189">
        <f>'2025'!R\Max</f>
        <v>1.0038985965821807</v>
      </c>
      <c r="CE278" s="1189">
        <f>'2026'!R\Max</f>
        <v>1.0038985965821807</v>
      </c>
      <c r="CF278" s="1190">
        <f>'2027'!R\Max</f>
        <v>1.0038985965821809</v>
      </c>
    </row>
    <row r="279" spans="1:84" s="6" customFormat="1" ht="11.25" x14ac:dyDescent="0.2">
      <c r="A279" s="11">
        <v>43365</v>
      </c>
      <c r="B279" s="382">
        <f>'2022'!Maxi_hp</f>
        <v>42.604819732623852</v>
      </c>
      <c r="C279" s="85">
        <f>'2022'!An_max</f>
        <v>2022</v>
      </c>
      <c r="D279" s="1134"/>
      <c r="E279" s="711"/>
      <c r="F279" s="13">
        <f t="shared" si="128"/>
        <v>21</v>
      </c>
      <c r="G279" s="13">
        <f t="shared" si="112"/>
        <v>20</v>
      </c>
      <c r="H279" s="175">
        <f t="shared" si="113"/>
        <v>43374</v>
      </c>
      <c r="I279" s="774">
        <f t="shared" si="114"/>
        <v>0.6428571428571429</v>
      </c>
      <c r="J279" s="765">
        <f t="shared" si="115"/>
        <v>43.459227988336764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P279" s="13">
        <f t="shared" si="116"/>
        <v>11</v>
      </c>
      <c r="AQ279" s="13">
        <f t="shared" si="117"/>
        <v>12</v>
      </c>
      <c r="AR279" s="175">
        <f t="shared" si="118"/>
        <v>43360</v>
      </c>
      <c r="AS279" s="774">
        <f t="shared" si="119"/>
        <v>0.17857142857142858</v>
      </c>
      <c r="AT279" s="791">
        <f t="shared" si="120"/>
        <v>43.552417492680249</v>
      </c>
      <c r="AU279" s="13">
        <f t="shared" si="121"/>
        <v>11</v>
      </c>
      <c r="AV279" s="13">
        <f t="shared" si="122"/>
        <v>10</v>
      </c>
      <c r="AW279" s="175">
        <f t="shared" si="123"/>
        <v>43374</v>
      </c>
      <c r="AX279" s="774">
        <f t="shared" si="124"/>
        <v>0.32142857142857145</v>
      </c>
      <c r="AY279" s="791">
        <f t="shared" si="125"/>
        <v>43.263295625978422</v>
      </c>
      <c r="AZ279" s="765">
        <f t="shared" si="129"/>
        <v>43.407856559329332</v>
      </c>
      <c r="BA279" s="649">
        <f t="shared" si="126"/>
        <v>0.98034000383204667</v>
      </c>
      <c r="BB279" s="644">
        <v>43365</v>
      </c>
      <c r="BC279" s="11">
        <v>43365</v>
      </c>
      <c r="BD279" s="292">
        <f>[2]!FeuilCaduc*(1-Persistant)+Persistant</f>
        <v>1</v>
      </c>
      <c r="BE279" s="293">
        <f>[2]!CroissVégét</f>
        <v>0.98657246054533965</v>
      </c>
      <c r="BF279" s="844">
        <f>1+[2]!Salcycl*Ksac</f>
        <v>1.0621227284379717</v>
      </c>
      <c r="BH279" s="1107">
        <f t="shared" si="127"/>
        <v>1.7999786369483788E-2</v>
      </c>
      <c r="BI279" s="11">
        <v>44461</v>
      </c>
      <c r="BJ279" s="744">
        <v>3.3638817649154305E-3</v>
      </c>
      <c r="BK279" s="744">
        <v>8.1801308514238141E-3</v>
      </c>
      <c r="BL279" s="744">
        <v>1.5711498497804972E-2</v>
      </c>
      <c r="BM279" s="744">
        <v>2.7165767324291667E-2</v>
      </c>
      <c r="BN279" s="744">
        <v>4.2295617198356179E-2</v>
      </c>
      <c r="BO279" s="745">
        <v>6.1118249456733907E-2</v>
      </c>
      <c r="BP279" s="744">
        <v>8.5601816364139119E-2</v>
      </c>
      <c r="BQ279" s="744">
        <v>0.12525337707360115</v>
      </c>
      <c r="BR279" s="744">
        <v>0.19664509871219335</v>
      </c>
      <c r="BS279" s="744">
        <v>0.29023563314869172</v>
      </c>
      <c r="BT279" s="744">
        <v>0.39554017697229116</v>
      </c>
      <c r="BW279" s="1191">
        <f>'2018'!R\Max</f>
        <v>0</v>
      </c>
      <c r="BX279" s="1189">
        <f>'2019'!R\Max</f>
        <v>0.28875288790466697</v>
      </c>
      <c r="BY279" s="1189">
        <f>'2020'!R\Max</f>
        <v>0.63977525886440156</v>
      </c>
      <c r="BZ279" s="1189">
        <f>'2021'!R\Max</f>
        <v>0.92138114522982706</v>
      </c>
      <c r="CA279" s="1189">
        <f>'2022'!R\Max</f>
        <v>0.98034000383204667</v>
      </c>
      <c r="CB279" s="1189">
        <f>'2023'!R\Max</f>
        <v>0.98025666060057837</v>
      </c>
      <c r="CC279" s="1189">
        <f>'2024'!R\Max</f>
        <v>0.98011206731854716</v>
      </c>
      <c r="CD279" s="1189">
        <f>'2025'!R\Max</f>
        <v>0.98058390555823693</v>
      </c>
      <c r="CE279" s="1189">
        <f>'2026'!R\Max</f>
        <v>0.98053277692503571</v>
      </c>
      <c r="CF279" s="1190">
        <f>'2027'!R\Max</f>
        <v>0.9804739226203425</v>
      </c>
    </row>
    <row r="280" spans="1:84" s="6" customFormat="1" ht="11.25" x14ac:dyDescent="0.2">
      <c r="A280" s="11">
        <v>43366</v>
      </c>
      <c r="B280" s="382">
        <f>'2022'!Maxi_hp</f>
        <v>39.039212402737128</v>
      </c>
      <c r="C280" s="85">
        <f>'2022'!An_max</f>
        <v>2019</v>
      </c>
      <c r="D280" s="1134"/>
      <c r="E280" s="711"/>
      <c r="F280" s="13">
        <f t="shared" si="128"/>
        <v>21</v>
      </c>
      <c r="G280" s="13">
        <f t="shared" si="112"/>
        <v>20</v>
      </c>
      <c r="H280" s="175">
        <f t="shared" si="113"/>
        <v>43374</v>
      </c>
      <c r="I280" s="774">
        <f t="shared" si="114"/>
        <v>0.5714285714285714</v>
      </c>
      <c r="J280" s="765">
        <f t="shared" si="115"/>
        <v>43.001432070269118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P280" s="13">
        <f t="shared" si="116"/>
        <v>11</v>
      </c>
      <c r="AQ280" s="13">
        <f t="shared" si="117"/>
        <v>12</v>
      </c>
      <c r="AR280" s="175">
        <f t="shared" si="118"/>
        <v>43360</v>
      </c>
      <c r="AS280" s="774">
        <f t="shared" si="119"/>
        <v>0.21428571428571427</v>
      </c>
      <c r="AT280" s="791">
        <f t="shared" si="120"/>
        <v>43.103813411082541</v>
      </c>
      <c r="AU280" s="13">
        <f t="shared" si="121"/>
        <v>11</v>
      </c>
      <c r="AV280" s="13">
        <f t="shared" si="122"/>
        <v>10</v>
      </c>
      <c r="AW280" s="175">
        <f t="shared" si="123"/>
        <v>43374</v>
      </c>
      <c r="AX280" s="774">
        <f t="shared" si="124"/>
        <v>0.2857142857142857</v>
      </c>
      <c r="AY280" s="791">
        <f t="shared" si="125"/>
        <v>42.812454809926983</v>
      </c>
      <c r="AZ280" s="765">
        <f t="shared" si="129"/>
        <v>42.958134110504758</v>
      </c>
      <c r="BA280" s="649">
        <f t="shared" si="126"/>
        <v>0.90785842524832006</v>
      </c>
      <c r="BB280" s="644">
        <v>43366</v>
      </c>
      <c r="BC280" s="11">
        <v>43366</v>
      </c>
      <c r="BD280" s="292">
        <f>[2]!FeuilCaduc*(1-Persistant)+Persistant</f>
        <v>1</v>
      </c>
      <c r="BE280" s="293">
        <f>[2]!CroissVégét</f>
        <v>0.98711912105647015</v>
      </c>
      <c r="BF280" s="844">
        <f>1+[2]!Salcycl*Ksac</f>
        <v>1.0617297849251013</v>
      </c>
      <c r="BH280" s="1107">
        <f t="shared" si="127"/>
        <v>1.813050732298711E-2</v>
      </c>
      <c r="BI280" s="11">
        <v>44462</v>
      </c>
      <c r="BJ280" s="744">
        <v>3.447919482594838E-3</v>
      </c>
      <c r="BK280" s="744">
        <v>8.2885348048978638E-3</v>
      </c>
      <c r="BL280" s="744">
        <v>1.5836092303412982E-2</v>
      </c>
      <c r="BM280" s="744">
        <v>2.7321031221718597E-2</v>
      </c>
      <c r="BN280" s="744">
        <v>4.2471203324988792E-2</v>
      </c>
      <c r="BO280" s="745">
        <v>6.1251589502318904E-2</v>
      </c>
      <c r="BP280" s="744">
        <v>8.6134495283547399E-2</v>
      </c>
      <c r="BQ280" s="744">
        <v>0.12830439625494036</v>
      </c>
      <c r="BR280" s="744">
        <v>0.20282596056653104</v>
      </c>
      <c r="BS280" s="744">
        <v>0.29819454058062794</v>
      </c>
      <c r="BT280" s="744">
        <v>0.40229163893681941</v>
      </c>
      <c r="BW280" s="1191">
        <f>'2018'!R\Max</f>
        <v>0</v>
      </c>
      <c r="BX280" s="1189">
        <f>'2019'!R\Max</f>
        <v>0.90785842524832006</v>
      </c>
      <c r="BY280" s="1189">
        <f>'2020'!R\Max</f>
        <v>0.49168283083648839</v>
      </c>
      <c r="BZ280" s="1189">
        <f>'2021'!R\Max</f>
        <v>0.77058199816404227</v>
      </c>
      <c r="CA280" s="1189">
        <f>'2022'!R\Max</f>
        <v>0.63498595505301059</v>
      </c>
      <c r="CB280" s="1189">
        <f>'2023'!R\Max</f>
        <v>0.63394666051732784</v>
      </c>
      <c r="CC280" s="1189">
        <f>'2024'!R\Max</f>
        <v>0.63208719765953458</v>
      </c>
      <c r="CD280" s="1189">
        <f>'2025'!R\Max</f>
        <v>0.63797479475064989</v>
      </c>
      <c r="CE280" s="1189">
        <f>'2026'!R\Max</f>
        <v>0.63734744749397054</v>
      </c>
      <c r="CF280" s="1190">
        <f>'2027'!R\Max</f>
        <v>0.63662796429656832</v>
      </c>
    </row>
    <row r="281" spans="1:84" s="6" customFormat="1" ht="11.25" x14ac:dyDescent="0.2">
      <c r="A281" s="11">
        <v>43367</v>
      </c>
      <c r="B281" s="382">
        <f>'2022'!Maxi_hp</f>
        <v>35.529783803479539</v>
      </c>
      <c r="C281" s="85">
        <f>'2022'!An_max</f>
        <v>2021</v>
      </c>
      <c r="D281" s="1134"/>
      <c r="E281" s="711"/>
      <c r="F281" s="13">
        <f t="shared" si="128"/>
        <v>21</v>
      </c>
      <c r="G281" s="13">
        <f t="shared" si="112"/>
        <v>20</v>
      </c>
      <c r="H281" s="175">
        <f t="shared" si="113"/>
        <v>43374</v>
      </c>
      <c r="I281" s="774">
        <f t="shared" si="114"/>
        <v>0.5</v>
      </c>
      <c r="J281" s="765">
        <f t="shared" si="115"/>
        <v>42.540799999888989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P281" s="13">
        <f t="shared" si="116"/>
        <v>11</v>
      </c>
      <c r="AQ281" s="13">
        <f t="shared" si="117"/>
        <v>12</v>
      </c>
      <c r="AR281" s="175">
        <f t="shared" si="118"/>
        <v>43360</v>
      </c>
      <c r="AS281" s="774">
        <f t="shared" si="119"/>
        <v>0.25</v>
      </c>
      <c r="AT281" s="791">
        <f t="shared" si="120"/>
        <v>42.648799999989571</v>
      </c>
      <c r="AU281" s="13">
        <f t="shared" si="121"/>
        <v>11</v>
      </c>
      <c r="AV281" s="13">
        <f t="shared" si="122"/>
        <v>10</v>
      </c>
      <c r="AW281" s="175">
        <f t="shared" si="123"/>
        <v>43374</v>
      </c>
      <c r="AX281" s="774">
        <f t="shared" si="124"/>
        <v>0.25</v>
      </c>
      <c r="AY281" s="791">
        <f t="shared" si="125"/>
        <v>42.363199999765492</v>
      </c>
      <c r="AZ281" s="765">
        <f t="shared" si="129"/>
        <v>42.505999999877531</v>
      </c>
      <c r="BA281" s="649">
        <f t="shared" si="126"/>
        <v>0.8351931276227117</v>
      </c>
      <c r="BB281" s="644">
        <v>43367</v>
      </c>
      <c r="BC281" s="11">
        <v>43367</v>
      </c>
      <c r="BD281" s="292">
        <f>[2]!FeuilCaduc*(1-Persistant)+Persistant</f>
        <v>1</v>
      </c>
      <c r="BE281" s="293">
        <f>[2]!CroissVégét</f>
        <v>0.98764434064074225</v>
      </c>
      <c r="BF281" s="844">
        <f>1+[2]!Salcycl*Ksac</f>
        <v>1.0613208436757753</v>
      </c>
      <c r="BH281" s="1107">
        <f t="shared" si="127"/>
        <v>1.8240867603877851E-2</v>
      </c>
      <c r="BI281" s="11">
        <v>44463</v>
      </c>
      <c r="BJ281" s="744">
        <v>3.5218393854883254E-3</v>
      </c>
      <c r="BK281" s="744">
        <v>8.3865523111695314E-3</v>
      </c>
      <c r="BL281" s="744">
        <v>1.594317608246144E-2</v>
      </c>
      <c r="BM281" s="744">
        <v>2.7444515879946858E-2</v>
      </c>
      <c r="BN281" s="744">
        <v>4.2598981141395181E-2</v>
      </c>
      <c r="BO281" s="745">
        <v>6.1328801872348654E-2</v>
      </c>
      <c r="BP281" s="744">
        <v>8.6691957263494865E-2</v>
      </c>
      <c r="BQ281" s="744">
        <v>0.13166340341355134</v>
      </c>
      <c r="BR281" s="744">
        <v>0.20926081866838134</v>
      </c>
      <c r="BS281" s="744">
        <v>0.30610514305597175</v>
      </c>
      <c r="BT281" s="744">
        <v>0.40832626839863712</v>
      </c>
      <c r="BW281" s="1191">
        <f>'2018'!R\Max</f>
        <v>0</v>
      </c>
      <c r="BX281" s="1189">
        <f>'2019'!R\Max</f>
        <v>0.67600505727376958</v>
      </c>
      <c r="BY281" s="1189">
        <f>'2020'!R\Max</f>
        <v>0.77060705712632338</v>
      </c>
      <c r="BZ281" s="1189">
        <f>'2021'!R\Max</f>
        <v>0.8351931276227117</v>
      </c>
      <c r="CA281" s="1189">
        <f>'2022'!R\Max</f>
        <v>0.42947162512462084</v>
      </c>
      <c r="CB281" s="1189">
        <f>'2023'!R\Max</f>
        <v>0.42832773194835366</v>
      </c>
      <c r="CC281" s="1189">
        <f>'2024'!R\Max</f>
        <v>0.42621545097462676</v>
      </c>
      <c r="CD281" s="1189">
        <f>'2025'!R\Max</f>
        <v>0.43268733458161712</v>
      </c>
      <c r="CE281" s="1189">
        <f>'2026'!R\Max</f>
        <v>0.43201332443308926</v>
      </c>
      <c r="CF281" s="1190">
        <f>'2027'!R\Max</f>
        <v>0.43124235942281713</v>
      </c>
    </row>
    <row r="282" spans="1:84" s="6" customFormat="1" ht="11.25" x14ac:dyDescent="0.2">
      <c r="A282" s="11">
        <v>43368</v>
      </c>
      <c r="B282" s="382">
        <f>'2022'!Maxi_hp</f>
        <v>30.660672457342763</v>
      </c>
      <c r="C282" s="85">
        <f>'2022'!An_max</f>
        <v>2022</v>
      </c>
      <c r="D282" s="1134"/>
      <c r="E282" s="711"/>
      <c r="F282" s="13">
        <f t="shared" si="128"/>
        <v>21</v>
      </c>
      <c r="G282" s="13">
        <f t="shared" si="112"/>
        <v>20</v>
      </c>
      <c r="H282" s="175">
        <f t="shared" si="113"/>
        <v>43374</v>
      </c>
      <c r="I282" s="774">
        <f t="shared" si="114"/>
        <v>0.42857142857142855</v>
      </c>
      <c r="J282" s="765">
        <f t="shared" si="115"/>
        <v>42.078339358525611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P282" s="13">
        <f t="shared" si="116"/>
        <v>11</v>
      </c>
      <c r="AQ282" s="13">
        <f t="shared" si="117"/>
        <v>12</v>
      </c>
      <c r="AR282" s="175">
        <f t="shared" si="118"/>
        <v>43360</v>
      </c>
      <c r="AS282" s="774">
        <f t="shared" si="119"/>
        <v>0.2857142857142857</v>
      </c>
      <c r="AT282" s="791">
        <f t="shared" si="120"/>
        <v>42.188202915340661</v>
      </c>
      <c r="AU282" s="13">
        <f t="shared" si="121"/>
        <v>11</v>
      </c>
      <c r="AV282" s="13">
        <f t="shared" si="122"/>
        <v>10</v>
      </c>
      <c r="AW282" s="175">
        <f t="shared" si="123"/>
        <v>43374</v>
      </c>
      <c r="AX282" s="774">
        <f t="shared" si="124"/>
        <v>0.21428571428571427</v>
      </c>
      <c r="AY282" s="791">
        <f t="shared" si="125"/>
        <v>41.916230903439491</v>
      </c>
      <c r="AZ282" s="765">
        <f t="shared" si="129"/>
        <v>42.052216909390076</v>
      </c>
      <c r="BA282" s="649">
        <f t="shared" si="126"/>
        <v>0.72865690340344946</v>
      </c>
      <c r="BB282" s="644">
        <v>43368</v>
      </c>
      <c r="BC282" s="11">
        <v>43368</v>
      </c>
      <c r="BD282" s="292">
        <f>[2]!FeuilCaduc*(1-Persistant)+Persistant</f>
        <v>1</v>
      </c>
      <c r="BE282" s="293">
        <f>[2]!CroissVégét</f>
        <v>0.98814893849517882</v>
      </c>
      <c r="BF282" s="844">
        <f>1+[2]!Salcycl*Ksac</f>
        <v>1.0608954226362075</v>
      </c>
      <c r="BH282" s="1107">
        <f t="shared" si="127"/>
        <v>1.8321821514175191E-2</v>
      </c>
      <c r="BI282" s="11">
        <v>44464</v>
      </c>
      <c r="BJ282" s="744">
        <v>3.5835894184048532E-3</v>
      </c>
      <c r="BK282" s="744">
        <v>8.4699708662988767E-3</v>
      </c>
      <c r="BL282" s="744">
        <v>1.6024830521797446E-2</v>
      </c>
      <c r="BM282" s="744">
        <v>2.7522663746517715E-2</v>
      </c>
      <c r="BN282" s="744">
        <v>4.2659508198772088E-2</v>
      </c>
      <c r="BO282" s="745">
        <v>6.1381941779230509E-2</v>
      </c>
      <c r="BP282" s="744">
        <v>8.7447010382877888E-2</v>
      </c>
      <c r="BQ282" s="744">
        <v>0.13537338749558392</v>
      </c>
      <c r="BR282" s="744">
        <v>0.21588016216024827</v>
      </c>
      <c r="BS282" s="744">
        <v>0.31387563979492256</v>
      </c>
      <c r="BT282" s="744">
        <v>0.41397965965688621</v>
      </c>
      <c r="BW282" s="1191">
        <f>'2018'!R\Max</f>
        <v>0</v>
      </c>
      <c r="BX282" s="1189">
        <f>'2019'!R\Max</f>
        <v>0.69651455034968501</v>
      </c>
      <c r="BY282" s="1189">
        <f>'2020'!R\Max</f>
        <v>0.48452719981600312</v>
      </c>
      <c r="BZ282" s="1189">
        <f>'2021'!R\Max</f>
        <v>0.7141950094829943</v>
      </c>
      <c r="CA282" s="1189">
        <f>'2022'!R\Max</f>
        <v>0.72865690340344946</v>
      </c>
      <c r="CB282" s="1189">
        <f>'2023'!R\Max</f>
        <v>0.7276872803053156</v>
      </c>
      <c r="CC282" s="1189">
        <f>'2024'!R\Max</f>
        <v>0.72583974465181667</v>
      </c>
      <c r="CD282" s="1189">
        <f>'2025'!R\Max</f>
        <v>0.73128762363837074</v>
      </c>
      <c r="CE282" s="1189">
        <f>'2026'!R\Max</f>
        <v>0.73074215532249343</v>
      </c>
      <c r="CF282" s="1190">
        <f>'2027'!R\Max</f>
        <v>0.73011700669701562</v>
      </c>
    </row>
    <row r="283" spans="1:84" s="6" customFormat="1" ht="11.25" x14ac:dyDescent="0.2">
      <c r="A283" s="11">
        <v>43369</v>
      </c>
      <c r="B283" s="382">
        <f>'2022'!Maxi_hp</f>
        <v>32.960149765426706</v>
      </c>
      <c r="C283" s="85">
        <f>'2022'!An_max</f>
        <v>2022</v>
      </c>
      <c r="D283" s="1134"/>
      <c r="E283" s="711"/>
      <c r="F283" s="13">
        <f t="shared" si="128"/>
        <v>21</v>
      </c>
      <c r="G283" s="13">
        <f t="shared" si="112"/>
        <v>20</v>
      </c>
      <c r="H283" s="175">
        <f t="shared" si="113"/>
        <v>43374</v>
      </c>
      <c r="I283" s="774">
        <f t="shared" si="114"/>
        <v>0.35714285714285715</v>
      </c>
      <c r="J283" s="765">
        <f t="shared" si="115"/>
        <v>41.615057726377351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P283" s="13">
        <f t="shared" si="116"/>
        <v>11</v>
      </c>
      <c r="AQ283" s="13">
        <f t="shared" si="117"/>
        <v>12</v>
      </c>
      <c r="AR283" s="175">
        <f t="shared" si="118"/>
        <v>43360</v>
      </c>
      <c r="AS283" s="774">
        <f t="shared" si="119"/>
        <v>0.32142857142857145</v>
      </c>
      <c r="AT283" s="791">
        <f t="shared" si="120"/>
        <v>41.722847813793592</v>
      </c>
      <c r="AU283" s="13">
        <f t="shared" si="121"/>
        <v>11</v>
      </c>
      <c r="AV283" s="13">
        <f t="shared" si="122"/>
        <v>10</v>
      </c>
      <c r="AW283" s="175">
        <f t="shared" si="123"/>
        <v>43374</v>
      </c>
      <c r="AX283" s="774">
        <f t="shared" si="124"/>
        <v>0.17857142857142858</v>
      </c>
      <c r="AY283" s="791">
        <f t="shared" si="125"/>
        <v>41.47224723014515</v>
      </c>
      <c r="AZ283" s="765">
        <f t="shared" si="129"/>
        <v>41.597547521969375</v>
      </c>
      <c r="BA283" s="649">
        <f t="shared" si="126"/>
        <v>0.79202460758657545</v>
      </c>
      <c r="BB283" s="644">
        <v>43369</v>
      </c>
      <c r="BC283" s="11">
        <v>43369</v>
      </c>
      <c r="BD283" s="292">
        <f>[2]!FeuilCaduc*(1-Persistant)+Persistant</f>
        <v>1</v>
      </c>
      <c r="BE283" s="293">
        <f>[2]!CroissVégét</f>
        <v>0.98863370421593466</v>
      </c>
      <c r="BF283" s="844">
        <f>1+[2]!Salcycl*Ksac</f>
        <v>1.0604530490281603</v>
      </c>
      <c r="BH283" s="1107">
        <f t="shared" si="127"/>
        <v>1.8384271496956928E-2</v>
      </c>
      <c r="BI283" s="11">
        <v>44465</v>
      </c>
      <c r="BJ283" s="744">
        <v>3.6351454923188526E-3</v>
      </c>
      <c r="BK283" s="744">
        <v>8.5432120495100173E-3</v>
      </c>
      <c r="BL283" s="744">
        <v>1.6090800473697844E-2</v>
      </c>
      <c r="BM283" s="744">
        <v>2.7571014117837769E-2</v>
      </c>
      <c r="BN283" s="744">
        <v>4.2674116740919428E-2</v>
      </c>
      <c r="BO283" s="745">
        <v>6.1435403900822132E-2</v>
      </c>
      <c r="BP283" s="744">
        <v>8.8433941831975726E-2</v>
      </c>
      <c r="BQ283" s="744">
        <v>0.13933216110272589</v>
      </c>
      <c r="BR283" s="744">
        <v>0.22250158787218224</v>
      </c>
      <c r="BS283" s="744">
        <v>0.32147318523178503</v>
      </c>
      <c r="BT283" s="744">
        <v>0.41975154130136016</v>
      </c>
      <c r="BW283" s="1191">
        <f>'2018'!R\Max</f>
        <v>0</v>
      </c>
      <c r="BX283" s="1189">
        <f>'2019'!R\Max</f>
        <v>0.74279675889200414</v>
      </c>
      <c r="BY283" s="1189">
        <f>'2020'!R\Max</f>
        <v>0.46156111848735165</v>
      </c>
      <c r="BZ283" s="1189">
        <f>'2021'!R\Max</f>
        <v>0.75604356389381344</v>
      </c>
      <c r="CA283" s="1189">
        <f>'2022'!R\Max</f>
        <v>0.79202460758657545</v>
      </c>
      <c r="CB283" s="1189">
        <f>'2023'!R\Max</f>
        <v>0.79117233219695238</v>
      </c>
      <c r="CC283" s="1189">
        <f>'2024'!R\Max</f>
        <v>0.78951613225831196</v>
      </c>
      <c r="CD283" s="1189">
        <f>'2025'!R\Max</f>
        <v>0.79426018819624356</v>
      </c>
      <c r="CE283" s="1189">
        <f>'2026'!R\Max</f>
        <v>0.79380236110497371</v>
      </c>
      <c r="CF283" s="1190">
        <f>'2027'!R\Max</f>
        <v>0.79327656701096605</v>
      </c>
    </row>
    <row r="284" spans="1:84" s="6" customFormat="1" ht="11.25" x14ac:dyDescent="0.2">
      <c r="A284" s="11">
        <v>43370</v>
      </c>
      <c r="B284" s="382">
        <f>'2022'!Maxi_hp</f>
        <v>32.432173480535852</v>
      </c>
      <c r="C284" s="85">
        <f>'2022'!An_max</f>
        <v>2019</v>
      </c>
      <c r="D284" s="1134"/>
      <c r="E284" s="711"/>
      <c r="F284" s="13">
        <f t="shared" si="128"/>
        <v>21</v>
      </c>
      <c r="G284" s="13">
        <f t="shared" si="112"/>
        <v>20</v>
      </c>
      <c r="H284" s="175">
        <f t="shared" si="113"/>
        <v>43374</v>
      </c>
      <c r="I284" s="774">
        <f t="shared" si="114"/>
        <v>0.2857142857142857</v>
      </c>
      <c r="J284" s="765">
        <f t="shared" si="115"/>
        <v>41.151962682658009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P284" s="13">
        <f t="shared" si="116"/>
        <v>11</v>
      </c>
      <c r="AQ284" s="13">
        <f t="shared" si="117"/>
        <v>12</v>
      </c>
      <c r="AR284" s="175">
        <f t="shared" si="118"/>
        <v>43360</v>
      </c>
      <c r="AS284" s="774">
        <f t="shared" si="119"/>
        <v>0.35714285714285715</v>
      </c>
      <c r="AT284" s="791">
        <f t="shared" si="120"/>
        <v>41.253560349717738</v>
      </c>
      <c r="AU284" s="13">
        <f t="shared" si="121"/>
        <v>11</v>
      </c>
      <c r="AV284" s="13">
        <f t="shared" si="122"/>
        <v>10</v>
      </c>
      <c r="AW284" s="175">
        <f t="shared" si="123"/>
        <v>43374</v>
      </c>
      <c r="AX284" s="774">
        <f t="shared" si="124"/>
        <v>0.14285714285714285</v>
      </c>
      <c r="AY284" s="791">
        <f t="shared" si="125"/>
        <v>41.031948687854623</v>
      </c>
      <c r="AZ284" s="765">
        <f t="shared" si="129"/>
        <v>41.142754518786177</v>
      </c>
      <c r="BA284" s="649">
        <f t="shared" si="126"/>
        <v>0.78810757413043642</v>
      </c>
      <c r="BB284" s="644">
        <v>43370</v>
      </c>
      <c r="BC284" s="11">
        <v>43370</v>
      </c>
      <c r="BD284" s="292">
        <f>[2]!FeuilCaduc*(1-Persistant)+Persistant</f>
        <v>1</v>
      </c>
      <c r="BE284" s="293">
        <f>[2]!CroissVégét</f>
        <v>0.98909939873407315</v>
      </c>
      <c r="BF284" s="844">
        <f>1+[2]!Salcycl*Ksac</f>
        <v>1.0599932627643571</v>
      </c>
      <c r="BH284" s="1107">
        <f t="shared" si="127"/>
        <v>1.8428178110443217E-2</v>
      </c>
      <c r="BI284" s="11">
        <v>44466</v>
      </c>
      <c r="BJ284" s="744">
        <v>3.6764941821007232E-3</v>
      </c>
      <c r="BK284" s="744">
        <v>8.6062579683695035E-3</v>
      </c>
      <c r="BL284" s="744">
        <v>1.6141052599517029E-2</v>
      </c>
      <c r="BM284" s="744">
        <v>2.7589503105372486E-2</v>
      </c>
      <c r="BN284" s="744">
        <v>4.2642705006552789E-2</v>
      </c>
      <c r="BO284" s="745">
        <v>6.1489121191912827E-2</v>
      </c>
      <c r="BP284" s="744">
        <v>8.9652973069519068E-2</v>
      </c>
      <c r="BQ284" s="744">
        <v>0.14354006087999716</v>
      </c>
      <c r="BR284" s="744">
        <v>0.22912518613195595</v>
      </c>
      <c r="BS284" s="744">
        <v>0.32889760211512381</v>
      </c>
      <c r="BT284" s="744">
        <v>0.42564187072888748</v>
      </c>
      <c r="BW284" s="1191">
        <f>'2018'!R\Max</f>
        <v>0</v>
      </c>
      <c r="BX284" s="1189">
        <f>'2019'!R\Max</f>
        <v>0.78810757413043642</v>
      </c>
      <c r="BY284" s="1189">
        <f>'2020'!R\Max</f>
        <v>0.44664839674423712</v>
      </c>
      <c r="BZ284" s="1189">
        <f>'2021'!R\Max</f>
        <v>0.606943072570584</v>
      </c>
      <c r="CA284" s="1189">
        <f>'2022'!R\Max</f>
        <v>0.38885424125912876</v>
      </c>
      <c r="CB284" s="1189">
        <f>'2023'!R\Max</f>
        <v>0.38755415108841335</v>
      </c>
      <c r="CC284" s="1189">
        <f>'2024'!R\Max</f>
        <v>0.38501600885803111</v>
      </c>
      <c r="CD284" s="1189">
        <f>'2025'!R\Max</f>
        <v>0.3921751090849504</v>
      </c>
      <c r="CE284" s="1189">
        <f>'2026'!R\Max</f>
        <v>0.3915025879431015</v>
      </c>
      <c r="CF284" s="1190">
        <f>'2027'!R\Max</f>
        <v>0.39072962616951273</v>
      </c>
    </row>
    <row r="285" spans="1:84" s="6" customFormat="1" ht="11.25" x14ac:dyDescent="0.2">
      <c r="A285" s="11">
        <v>43371</v>
      </c>
      <c r="B285" s="382">
        <f>'2022'!Maxi_hp</f>
        <v>28.532869501688754</v>
      </c>
      <c r="C285" s="85">
        <f>'2022'!An_max</f>
        <v>2019</v>
      </c>
      <c r="D285" s="1134"/>
      <c r="E285" s="711"/>
      <c r="F285" s="13">
        <f t="shared" si="128"/>
        <v>21</v>
      </c>
      <c r="G285" s="13">
        <f t="shared" si="112"/>
        <v>20</v>
      </c>
      <c r="H285" s="175">
        <f t="shared" si="113"/>
        <v>43374</v>
      </c>
      <c r="I285" s="774">
        <f t="shared" si="114"/>
        <v>0.21428571428571427</v>
      </c>
      <c r="J285" s="765">
        <f t="shared" si="115"/>
        <v>40.690061807738878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P285" s="13">
        <f t="shared" si="116"/>
        <v>11</v>
      </c>
      <c r="AQ285" s="13">
        <f t="shared" si="117"/>
        <v>12</v>
      </c>
      <c r="AR285" s="175">
        <f t="shared" si="118"/>
        <v>43360</v>
      </c>
      <c r="AS285" s="774">
        <f t="shared" si="119"/>
        <v>0.39285714285714285</v>
      </c>
      <c r="AT285" s="791">
        <f t="shared" si="120"/>
        <v>40.78116618030306</v>
      </c>
      <c r="AU285" s="13">
        <f t="shared" si="121"/>
        <v>11</v>
      </c>
      <c r="AV285" s="13">
        <f t="shared" si="122"/>
        <v>10</v>
      </c>
      <c r="AW285" s="175">
        <f t="shared" si="123"/>
        <v>43374</v>
      </c>
      <c r="AX285" s="774">
        <f t="shared" si="124"/>
        <v>0.10714285714285714</v>
      </c>
      <c r="AY285" s="791">
        <f t="shared" si="125"/>
        <v>40.596034985298424</v>
      </c>
      <c r="AZ285" s="765">
        <f t="shared" si="129"/>
        <v>40.688600582800746</v>
      </c>
      <c r="BA285" s="649">
        <f t="shared" si="126"/>
        <v>0.70122453085736192</v>
      </c>
      <c r="BB285" s="644">
        <v>43371</v>
      </c>
      <c r="BC285" s="11">
        <v>43371</v>
      </c>
      <c r="BD285" s="292">
        <f>[2]!FeuilCaduc*(1-Persistant)+Persistant</f>
        <v>1</v>
      </c>
      <c r="BE285" s="293">
        <f>[2]!CroissVégét</f>
        <v>0.98954675523264646</v>
      </c>
      <c r="BF285" s="844">
        <f>1+[2]!Salcycl*Ksac</f>
        <v>1.0595156200294158</v>
      </c>
      <c r="BH285" s="1107">
        <f t="shared" si="127"/>
        <v>1.8453499810568576E-2</v>
      </c>
      <c r="BI285" s="11">
        <v>44467</v>
      </c>
      <c r="BJ285" s="744">
        <v>3.7076208275813277E-3</v>
      </c>
      <c r="BK285" s="744">
        <v>8.6590893999013551E-3</v>
      </c>
      <c r="BL285" s="744">
        <v>1.6175551720247122E-2</v>
      </c>
      <c r="BM285" s="744">
        <v>2.7578063669139799E-2</v>
      </c>
      <c r="BN285" s="744">
        <v>4.2565166646322428E-2</v>
      </c>
      <c r="BO285" s="745">
        <v>6.1543026399755264E-2</v>
      </c>
      <c r="BP285" s="744">
        <v>9.1104343971889004E-2</v>
      </c>
      <c r="BQ285" s="744">
        <v>0.14799743024102191</v>
      </c>
      <c r="BR285" s="744">
        <v>0.23575101780694185</v>
      </c>
      <c r="BS285" s="744">
        <v>0.3361486621200338</v>
      </c>
      <c r="BT285" s="744">
        <v>0.43165059114873328</v>
      </c>
      <c r="BW285" s="1191">
        <f>'2018'!R\Max</f>
        <v>0</v>
      </c>
      <c r="BX285" s="1189">
        <f>'2019'!R\Max</f>
        <v>0.70122453085736192</v>
      </c>
      <c r="BY285" s="1189">
        <f>'2020'!R\Max</f>
        <v>0.32026249820290836</v>
      </c>
      <c r="BZ285" s="1189">
        <f>'2021'!R\Max</f>
        <v>0.63433795938512771</v>
      </c>
      <c r="CA285" s="1189">
        <f>'2022'!R\Max</f>
        <v>0.46329429108571435</v>
      </c>
      <c r="CB285" s="1189">
        <f>'2023'!R\Max</f>
        <v>0.4618466371123261</v>
      </c>
      <c r="CC285" s="1189">
        <f>'2024'!R\Max</f>
        <v>0.45900509181523574</v>
      </c>
      <c r="CD285" s="1189">
        <f>'2025'!R\Max</f>
        <v>0.46685855991820918</v>
      </c>
      <c r="CE285" s="1189">
        <f>'2026'!R\Max</f>
        <v>0.46615120426031403</v>
      </c>
      <c r="CF285" s="1190">
        <f>'2027'!R\Max</f>
        <v>0.46533397421184775</v>
      </c>
    </row>
    <row r="286" spans="1:84" s="6" customFormat="1" ht="11.25" x14ac:dyDescent="0.2">
      <c r="A286" s="11">
        <v>43372</v>
      </c>
      <c r="B286" s="382">
        <f>'2022'!Maxi_hp</f>
        <v>39.545102096867112</v>
      </c>
      <c r="C286" s="85">
        <f>'2022'!An_max</f>
        <v>2019</v>
      </c>
      <c r="D286" s="1134"/>
      <c r="E286" s="711"/>
      <c r="F286" s="13">
        <f t="shared" si="128"/>
        <v>21</v>
      </c>
      <c r="G286" s="13">
        <f t="shared" si="112"/>
        <v>20</v>
      </c>
      <c r="H286" s="175">
        <f t="shared" si="113"/>
        <v>43374</v>
      </c>
      <c r="I286" s="774">
        <f t="shared" si="114"/>
        <v>0.14285714285714285</v>
      </c>
      <c r="J286" s="765">
        <f t="shared" si="115"/>
        <v>40.230362682443648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P286" s="13">
        <f t="shared" si="116"/>
        <v>11</v>
      </c>
      <c r="AQ286" s="13">
        <f t="shared" si="117"/>
        <v>12</v>
      </c>
      <c r="AR286" s="175">
        <f t="shared" si="118"/>
        <v>43360</v>
      </c>
      <c r="AS286" s="774">
        <f t="shared" si="119"/>
        <v>0.42857142857142855</v>
      </c>
      <c r="AT286" s="791">
        <f t="shared" si="120"/>
        <v>40.306490961675124</v>
      </c>
      <c r="AU286" s="13">
        <f t="shared" si="121"/>
        <v>11</v>
      </c>
      <c r="AV286" s="13">
        <f t="shared" si="122"/>
        <v>10</v>
      </c>
      <c r="AW286" s="175">
        <f t="shared" si="123"/>
        <v>43374</v>
      </c>
      <c r="AX286" s="774">
        <f t="shared" si="124"/>
        <v>7.1428571428571425E-2</v>
      </c>
      <c r="AY286" s="791">
        <f t="shared" si="125"/>
        <v>40.165205830708153</v>
      </c>
      <c r="AZ286" s="765">
        <f t="shared" si="129"/>
        <v>40.235848396191642</v>
      </c>
      <c r="BA286" s="649">
        <f t="shared" si="126"/>
        <v>0.98296658195737363</v>
      </c>
      <c r="BB286" s="644">
        <v>43372</v>
      </c>
      <c r="BC286" s="11">
        <v>43372</v>
      </c>
      <c r="BD286" s="292">
        <f>[2]!FeuilCaduc*(1-Persistant)+Persistant</f>
        <v>1</v>
      </c>
      <c r="BE286" s="293">
        <f>[2]!CroissVégét</f>
        <v>0.98997648004446692</v>
      </c>
      <c r="BF286" s="844">
        <f>1+[2]!Salcycl*Ksac</f>
        <v>1.0590196970020287</v>
      </c>
      <c r="BH286" s="1107">
        <f t="shared" si="127"/>
        <v>1.8460193158615797E-2</v>
      </c>
      <c r="BI286" s="11">
        <v>44468</v>
      </c>
      <c r="BJ286" s="744">
        <v>3.7285096469574213E-3</v>
      </c>
      <c r="BK286" s="744">
        <v>8.7016859048369075E-3</v>
      </c>
      <c r="BL286" s="744">
        <v>1.6194260992709788E-2</v>
      </c>
      <c r="BM286" s="744">
        <v>2.7536625951288585E-2</v>
      </c>
      <c r="BN286" s="744">
        <v>4.2441391236403565E-2</v>
      </c>
      <c r="BO286" s="745">
        <v>6.1597052071578708E-2</v>
      </c>
      <c r="BP286" s="744">
        <v>9.2788310300889798E-2</v>
      </c>
      <c r="BQ286" s="744">
        <v>0.15270461668267268</v>
      </c>
      <c r="BR286" s="744">
        <v>0.24237911437413115</v>
      </c>
      <c r="BS286" s="744">
        <v>0.34322608787243536</v>
      </c>
      <c r="BT286" s="744">
        <v>0.43777763039674716</v>
      </c>
      <c r="BW286" s="1191">
        <f>'2018'!R\Max</f>
        <v>0</v>
      </c>
      <c r="BX286" s="1189">
        <f>'2019'!R\Max</f>
        <v>0.98296658195737363</v>
      </c>
      <c r="BY286" s="1189">
        <f>'2020'!R\Max</f>
        <v>0.78397691389741309</v>
      </c>
      <c r="BZ286" s="1189">
        <f>'2021'!R\Max</f>
        <v>0.64069866230510797</v>
      </c>
      <c r="CA286" s="1189">
        <f>'2022'!R\Max</f>
        <v>0.62826550639286038</v>
      </c>
      <c r="CB286" s="1189">
        <f>'2023'!R\Max</f>
        <v>0.62681280714102372</v>
      </c>
      <c r="CC286" s="1189">
        <f>'2024'!R\Max</f>
        <v>0.62395693703029098</v>
      </c>
      <c r="CD286" s="1189">
        <f>'2025'!R\Max</f>
        <v>0.63170399396866428</v>
      </c>
      <c r="CE286" s="1189">
        <f>'2026'!R\Max</f>
        <v>0.63103851640317621</v>
      </c>
      <c r="CF286" s="1190">
        <f>'2027'!R\Max</f>
        <v>0.63026402361998934</v>
      </c>
    </row>
    <row r="287" spans="1:84" s="6" customFormat="1" ht="11.25" x14ac:dyDescent="0.2">
      <c r="A287" s="11">
        <v>43373</v>
      </c>
      <c r="B287" s="382">
        <f>'2022'!Maxi_hp</f>
        <v>31.942652402822652</v>
      </c>
      <c r="C287" s="85">
        <f>'2022'!An_max</f>
        <v>2020</v>
      </c>
      <c r="D287" s="1134"/>
      <c r="E287" s="711"/>
      <c r="F287" s="13">
        <f t="shared" si="128"/>
        <v>21</v>
      </c>
      <c r="G287" s="13">
        <f t="shared" si="112"/>
        <v>20</v>
      </c>
      <c r="H287" s="175">
        <f t="shared" si="113"/>
        <v>43374</v>
      </c>
      <c r="I287" s="774">
        <f t="shared" si="114"/>
        <v>7.1428571428571425E-2</v>
      </c>
      <c r="J287" s="765">
        <f t="shared" si="115"/>
        <v>39.773872886518284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P287" s="13">
        <f t="shared" si="116"/>
        <v>11</v>
      </c>
      <c r="AQ287" s="13">
        <f t="shared" si="117"/>
        <v>12</v>
      </c>
      <c r="AR287" s="175">
        <f t="shared" si="118"/>
        <v>43360</v>
      </c>
      <c r="AS287" s="774">
        <f t="shared" si="119"/>
        <v>0.4642857142857143</v>
      </c>
      <c r="AT287" s="791">
        <f t="shared" si="120"/>
        <v>39.830360349986172</v>
      </c>
      <c r="AU287" s="13">
        <f t="shared" si="121"/>
        <v>11</v>
      </c>
      <c r="AV287" s="13">
        <f t="shared" si="122"/>
        <v>10</v>
      </c>
      <c r="AW287" s="175">
        <f t="shared" si="123"/>
        <v>43374</v>
      </c>
      <c r="AX287" s="774">
        <f t="shared" si="124"/>
        <v>3.5714285714285712E-2</v>
      </c>
      <c r="AY287" s="791">
        <f t="shared" si="125"/>
        <v>39.740160932880826</v>
      </c>
      <c r="AZ287" s="765">
        <f t="shared" si="129"/>
        <v>39.785260641433496</v>
      </c>
      <c r="BA287" s="649">
        <f t="shared" si="126"/>
        <v>0.80310641344785672</v>
      </c>
      <c r="BB287" s="644">
        <v>43373</v>
      </c>
      <c r="BC287" s="11">
        <v>43373</v>
      </c>
      <c r="BD287" s="292">
        <f>[2]!FeuilCaduc*(1-Persistant)+Persistant</f>
        <v>1</v>
      </c>
      <c r="BE287" s="293">
        <f>[2]!CroissVégét</f>
        <v>0.99038925353008489</v>
      </c>
      <c r="BF287" s="844">
        <f>1+[2]!Salcycl*Ksac</f>
        <v>1.0585050936916718</v>
      </c>
      <c r="BH287" s="1107">
        <f t="shared" si="127"/>
        <v>1.8448213029357011E-2</v>
      </c>
      <c r="BI287" s="11">
        <v>44469</v>
      </c>
      <c r="BJ287" s="744">
        <v>3.7391438502967474E-3</v>
      </c>
      <c r="BK287" s="744">
        <v>8.7340259420996946E-3</v>
      </c>
      <c r="BL287" s="744">
        <v>1.6197142086191826E-2</v>
      </c>
      <c r="BM287" s="744">
        <v>2.7465117610438308E-2</v>
      </c>
      <c r="BN287" s="744">
        <v>4.2271264793265588E-2</v>
      </c>
      <c r="BO287" s="745">
        <v>6.1651130563799748E-2</v>
      </c>
      <c r="BP287" s="744">
        <v>9.4705141173954163E-2</v>
      </c>
      <c r="BQ287" s="744">
        <v>0.15766196910351185</v>
      </c>
      <c r="BR287" s="744">
        <v>0.24900947799620732</v>
      </c>
      <c r="BS287" s="744">
        <v>0.35012955498214554</v>
      </c>
      <c r="BT287" s="744">
        <v>0.44402289976103515</v>
      </c>
      <c r="BW287" s="1191">
        <f>'2018'!R\Max</f>
        <v>0</v>
      </c>
      <c r="BX287" s="1189">
        <f>'2019'!R\Max</f>
        <v>0.66680352458758052</v>
      </c>
      <c r="BY287" s="1189">
        <f>'2020'!R\Max</f>
        <v>0.80310641344785672</v>
      </c>
      <c r="BZ287" s="1189">
        <f>'2021'!R\Max</f>
        <v>0.55093734733783839</v>
      </c>
      <c r="CA287" s="1189">
        <f>'2022'!R\Max</f>
        <v>0.73554414336280183</v>
      </c>
      <c r="CB287" s="1189">
        <f>'2023'!R\Max</f>
        <v>0.73424834263381267</v>
      </c>
      <c r="CC287" s="1189">
        <f>'2024'!R\Max</f>
        <v>0.73171114081048194</v>
      </c>
      <c r="CD287" s="1189">
        <f>'2025'!R\Max</f>
        <v>0.73849518436072781</v>
      </c>
      <c r="CE287" s="1189">
        <f>'2026'!R\Max</f>
        <v>0.73793990745534443</v>
      </c>
      <c r="CF287" s="1190">
        <f>'2027'!R\Max</f>
        <v>0.73728811526737703</v>
      </c>
    </row>
    <row r="288" spans="1:84" s="6" customFormat="1" ht="11.25" x14ac:dyDescent="0.2">
      <c r="A288" s="11">
        <v>43374</v>
      </c>
      <c r="B288" s="382">
        <f>'2022'!Maxi_hp</f>
        <v>37.95557881687494</v>
      </c>
      <c r="C288" s="85">
        <f>'2022'!An_max</f>
        <v>2020</v>
      </c>
      <c r="D288" s="1134"/>
      <c r="E288" s="773">
        <f>AG$13/10</f>
        <v>39.321600000000004</v>
      </c>
      <c r="F288" s="13">
        <f t="shared" si="128"/>
        <v>21</v>
      </c>
      <c r="G288" s="13">
        <f t="shared" si="112"/>
        <v>22</v>
      </c>
      <c r="H288" s="175">
        <f t="shared" si="113"/>
        <v>43374</v>
      </c>
      <c r="I288" s="774">
        <f t="shared" si="114"/>
        <v>0</v>
      </c>
      <c r="J288" s="765">
        <f t="shared" si="115"/>
        <v>39.321600000187757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P288" s="13">
        <f t="shared" si="116"/>
        <v>11</v>
      </c>
      <c r="AQ288" s="13">
        <f t="shared" si="117"/>
        <v>12</v>
      </c>
      <c r="AR288" s="175">
        <f t="shared" si="118"/>
        <v>43360</v>
      </c>
      <c r="AS288" s="774">
        <f t="shared" si="119"/>
        <v>0.5</v>
      </c>
      <c r="AT288" s="791">
        <f t="shared" si="120"/>
        <v>39.353600000217554</v>
      </c>
      <c r="AU288" s="13">
        <f t="shared" si="121"/>
        <v>11</v>
      </c>
      <c r="AV288" s="13">
        <f t="shared" si="122"/>
        <v>12</v>
      </c>
      <c r="AW288" s="175">
        <f t="shared" si="123"/>
        <v>43374</v>
      </c>
      <c r="AX288" s="774">
        <f t="shared" si="124"/>
        <v>0</v>
      </c>
      <c r="AY288" s="791">
        <f t="shared" si="125"/>
        <v>39.321599999908358</v>
      </c>
      <c r="AZ288" s="765">
        <f t="shared" si="129"/>
        <v>39.337600000062956</v>
      </c>
      <c r="BA288" s="649">
        <f t="shared" si="126"/>
        <v>0.96526028484837101</v>
      </c>
      <c r="BB288" s="644">
        <v>43374</v>
      </c>
      <c r="BC288" s="11">
        <v>43374</v>
      </c>
      <c r="BD288" s="292">
        <f>[2]!FeuilCaduc*(1-Persistant)+Persistant</f>
        <v>1</v>
      </c>
      <c r="BE288" s="293">
        <f>[2]!CroissVégét</f>
        <v>0.99078573093558142</v>
      </c>
      <c r="BF288" s="844">
        <f>1+[2]!Salcycl*Ksac</f>
        <v>1.0579714378609069</v>
      </c>
      <c r="BH288" s="1107">
        <f t="shared" si="127"/>
        <v>1.8417512818962232E-2</v>
      </c>
      <c r="BI288" s="11">
        <v>44470</v>
      </c>
      <c r="BJ288" s="744">
        <v>3.7395057529966916E-3</v>
      </c>
      <c r="BK288" s="744">
        <v>8.7560869831814041E-3</v>
      </c>
      <c r="BL288" s="744">
        <v>1.6184155358876934E-2</v>
      </c>
      <c r="BM288" s="744">
        <v>2.7363464155671157E-2</v>
      </c>
      <c r="BN288" s="744">
        <v>4.2054670287904689E-2</v>
      </c>
      <c r="BO288" s="745">
        <v>6.1705194050455547E-2</v>
      </c>
      <c r="BP288" s="744">
        <v>9.6855116533194299E-2</v>
      </c>
      <c r="BQ288" s="744">
        <v>0.16286983512036779</v>
      </c>
      <c r="BR288" s="744">
        <v>0.25564208159466101</v>
      </c>
      <c r="BS288" s="744">
        <v>0.35685869407172954</v>
      </c>
      <c r="BT288" s="744">
        <v>0.4503862928021895</v>
      </c>
      <c r="BW288" s="1191">
        <f>'2018'!R\Max</f>
        <v>5.5010500430478997E-2</v>
      </c>
      <c r="BX288" s="1189">
        <f>'2019'!R\Max</f>
        <v>0.76410624618276857</v>
      </c>
      <c r="BY288" s="1189">
        <f>'2020'!R\Max</f>
        <v>0.96526028484837101</v>
      </c>
      <c r="BZ288" s="1189">
        <f>'2021'!R\Max</f>
        <v>0.7691522280536266</v>
      </c>
      <c r="CA288" s="1189">
        <f>'2022'!R\Max</f>
        <v>0.89806266337337148</v>
      </c>
      <c r="CB288" s="1189">
        <f>'2023'!R\Max</f>
        <v>0.89740785954439406</v>
      </c>
      <c r="CC288" s="1189">
        <f>'2024'!R\Max</f>
        <v>0.8961342319223079</v>
      </c>
      <c r="CD288" s="1189">
        <f>'2025'!R\Max</f>
        <v>0.89949573150099249</v>
      </c>
      <c r="CE288" s="1189">
        <f>'2026'!R\Max</f>
        <v>0.89923470230573643</v>
      </c>
      <c r="CF288" s="1190">
        <f>'2027'!R\Max</f>
        <v>0.89892506233684899</v>
      </c>
    </row>
    <row r="289" spans="1:84" s="6" customFormat="1" ht="11.25" x14ac:dyDescent="0.2">
      <c r="A289" s="11">
        <v>43375</v>
      </c>
      <c r="B289" s="382">
        <f>'2022'!Maxi_hp</f>
        <v>37.358132748041285</v>
      </c>
      <c r="C289" s="85">
        <f>'2022'!An_max</f>
        <v>2022</v>
      </c>
      <c r="D289" s="1134"/>
      <c r="E289" s="711"/>
      <c r="F289" s="13">
        <f t="shared" si="128"/>
        <v>21</v>
      </c>
      <c r="G289" s="13">
        <f t="shared" si="112"/>
        <v>22</v>
      </c>
      <c r="H289" s="175">
        <f t="shared" si="113"/>
        <v>43374</v>
      </c>
      <c r="I289" s="774">
        <f t="shared" si="114"/>
        <v>7.1428571428571425E-2</v>
      </c>
      <c r="J289" s="765">
        <f t="shared" si="115"/>
        <v>38.869606997345443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P289" s="13">
        <f t="shared" si="116"/>
        <v>11</v>
      </c>
      <c r="AQ289" s="13">
        <f t="shared" si="117"/>
        <v>12</v>
      </c>
      <c r="AR289" s="175">
        <f t="shared" si="118"/>
        <v>43360</v>
      </c>
      <c r="AS289" s="774">
        <f t="shared" si="119"/>
        <v>0.5357142857142857</v>
      </c>
      <c r="AT289" s="791">
        <f t="shared" si="120"/>
        <v>38.877035568282011</v>
      </c>
      <c r="AU289" s="13">
        <f t="shared" si="121"/>
        <v>11</v>
      </c>
      <c r="AV289" s="13">
        <f t="shared" si="122"/>
        <v>12</v>
      </c>
      <c r="AW289" s="175">
        <f t="shared" si="123"/>
        <v>43374</v>
      </c>
      <c r="AX289" s="774">
        <f t="shared" si="124"/>
        <v>3.5714285714285712E-2</v>
      </c>
      <c r="AY289" s="791">
        <f t="shared" si="125"/>
        <v>38.90469970848811</v>
      </c>
      <c r="AZ289" s="765">
        <f t="shared" si="129"/>
        <v>38.89086763838506</v>
      </c>
      <c r="BA289" s="649">
        <f t="shared" si="126"/>
        <v>0.96111423896291559</v>
      </c>
      <c r="BB289" s="644">
        <v>43375</v>
      </c>
      <c r="BC289" s="11">
        <v>43375</v>
      </c>
      <c r="BD289" s="292">
        <f>[2]!FeuilCaduc*(1-Persistant)+Persistant</f>
        <v>1</v>
      </c>
      <c r="BE289" s="293">
        <f>[2]!CroissVégét</f>
        <v>0.99116654322989417</v>
      </c>
      <c r="BF289" s="844">
        <f>1+[2]!Salcycl*Ksac</f>
        <v>1.0574183890023667</v>
      </c>
      <c r="BH289" s="1107">
        <f t="shared" si="127"/>
        <v>1.8368044653149854E-2</v>
      </c>
      <c r="BI289" s="11">
        <v>44471</v>
      </c>
      <c r="BJ289" s="744">
        <v>3.7295768892919097E-3</v>
      </c>
      <c r="BK289" s="744">
        <v>8.7678456266320308E-3</v>
      </c>
      <c r="BL289" s="744">
        <v>1.6155260034489805E-2</v>
      </c>
      <c r="BM289" s="744">
        <v>2.7231589280884799E-2</v>
      </c>
      <c r="BN289" s="744">
        <v>4.1791488160632155E-2</v>
      </c>
      <c r="BO289" s="745">
        <v>6.1759174532444054E-2</v>
      </c>
      <c r="BP289" s="744">
        <v>9.9238524615674853E-2</v>
      </c>
      <c r="BQ289" s="744">
        <v>0.16832855838693117</v>
      </c>
      <c r="BR289" s="744">
        <v>0.26227686892610791</v>
      </c>
      <c r="BS289" s="744">
        <v>0.36341309280987771</v>
      </c>
      <c r="BT289" s="744">
        <v>0.45686768417927948</v>
      </c>
      <c r="BW289" s="1191">
        <f>'2018'!R\Max</f>
        <v>0.93055605877897141</v>
      </c>
      <c r="BX289" s="1189">
        <f>'2019'!R\Max</f>
        <v>0.66394333975572994</v>
      </c>
      <c r="BY289" s="1189">
        <f>'2020'!R\Max</f>
        <v>0.24326748084927166</v>
      </c>
      <c r="BZ289" s="1189">
        <f>'2021'!R\Max</f>
        <v>0.95801954824201141</v>
      </c>
      <c r="CA289" s="1189">
        <f>'2022'!R\Max</f>
        <v>0.96111423896291559</v>
      </c>
      <c r="CB289" s="1189">
        <f>'2023'!R\Max</f>
        <v>0.96082689233650198</v>
      </c>
      <c r="CC289" s="1189">
        <f>'2024'!R\Max</f>
        <v>0.96027454729732598</v>
      </c>
      <c r="CD289" s="1189">
        <f>'2025'!R\Max</f>
        <v>0.96172016007418026</v>
      </c>
      <c r="CE289" s="1189">
        <f>'2026'!R\Max</f>
        <v>0.96161356192591263</v>
      </c>
      <c r="CF289" s="1190">
        <f>'2027'!R\Max</f>
        <v>0.96148564347267262</v>
      </c>
    </row>
    <row r="290" spans="1:84" s="6" customFormat="1" ht="11.25" x14ac:dyDescent="0.2">
      <c r="A290" s="11">
        <v>43376</v>
      </c>
      <c r="B290" s="382">
        <f>'2022'!Maxi_hp</f>
        <v>36.035375229537863</v>
      </c>
      <c r="C290" s="85">
        <f>'2022'!An_max</f>
        <v>2018</v>
      </c>
      <c r="D290" s="1134"/>
      <c r="E290" s="711"/>
      <c r="F290" s="13">
        <f t="shared" si="128"/>
        <v>21</v>
      </c>
      <c r="G290" s="13">
        <f t="shared" si="112"/>
        <v>22</v>
      </c>
      <c r="H290" s="175">
        <f t="shared" si="113"/>
        <v>43374</v>
      </c>
      <c r="I290" s="774">
        <f t="shared" si="114"/>
        <v>0.14285714285714285</v>
      </c>
      <c r="J290" s="765">
        <f t="shared" si="115"/>
        <v>38.414031487091314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P290" s="13">
        <f t="shared" si="116"/>
        <v>11</v>
      </c>
      <c r="AQ290" s="13">
        <f t="shared" si="117"/>
        <v>12</v>
      </c>
      <c r="AR290" s="175">
        <f t="shared" si="118"/>
        <v>43360</v>
      </c>
      <c r="AS290" s="774">
        <f t="shared" si="119"/>
        <v>0.5714285714285714</v>
      </c>
      <c r="AT290" s="791">
        <f t="shared" si="120"/>
        <v>38.401492711263039</v>
      </c>
      <c r="AU290" s="13">
        <f t="shared" si="121"/>
        <v>11</v>
      </c>
      <c r="AV290" s="13">
        <f t="shared" si="122"/>
        <v>12</v>
      </c>
      <c r="AW290" s="175">
        <f t="shared" si="123"/>
        <v>43374</v>
      </c>
      <c r="AX290" s="774">
        <f t="shared" si="124"/>
        <v>7.1428571428571425E-2</v>
      </c>
      <c r="AY290" s="791">
        <f t="shared" si="125"/>
        <v>38.484487463706841</v>
      </c>
      <c r="AZ290" s="765">
        <f t="shared" si="129"/>
        <v>38.442990087484944</v>
      </c>
      <c r="BA290" s="649">
        <f t="shared" si="126"/>
        <v>0.93807845296443881</v>
      </c>
      <c r="BB290" s="644">
        <v>43376</v>
      </c>
      <c r="BC290" s="11">
        <v>43376</v>
      </c>
      <c r="BD290" s="292">
        <f>[2]!FeuilCaduc*(1-Persistant)+Persistant</f>
        <v>1</v>
      </c>
      <c r="BE290" s="293">
        <f>[2]!CroissVégét</f>
        <v>0.99153229792147035</v>
      </c>
      <c r="BF290" s="844">
        <f>1+[2]!Salcycl*Ksac</f>
        <v>1.0568456423378139</v>
      </c>
      <c r="BH290" s="1107">
        <f t="shared" si="127"/>
        <v>1.8290028956036774E-2</v>
      </c>
      <c r="BI290" s="11">
        <v>44472</v>
      </c>
      <c r="BJ290" s="744">
        <v>3.7106588112699153E-3</v>
      </c>
      <c r="BK290" s="744">
        <v>8.7638552914300494E-3</v>
      </c>
      <c r="BL290" s="744">
        <v>1.6101044590637464E-2</v>
      </c>
      <c r="BM290" s="744">
        <v>2.7058239132714431E-2</v>
      </c>
      <c r="BN290" s="744">
        <v>4.1468667421455802E-2</v>
      </c>
      <c r="BO290" s="745">
        <v>6.1924722128802297E-2</v>
      </c>
      <c r="BP290" s="744">
        <v>0.10191474372727494</v>
      </c>
      <c r="BQ290" s="744">
        <v>0.17397446659419291</v>
      </c>
      <c r="BR290" s="744">
        <v>0.26880941999511104</v>
      </c>
      <c r="BS290" s="744">
        <v>0.36972730592608793</v>
      </c>
      <c r="BT290" s="744">
        <v>0.46341422962957396</v>
      </c>
      <c r="BW290" s="1191">
        <f>'2018'!R\Max</f>
        <v>0.93807845296443881</v>
      </c>
      <c r="BX290" s="1189">
        <f>'2019'!R\Max</f>
        <v>0.92002045880722716</v>
      </c>
      <c r="BY290" s="1189">
        <f>'2020'!R\Max</f>
        <v>0.13881196367406681</v>
      </c>
      <c r="BZ290" s="1189">
        <f>'2021'!R\Max</f>
        <v>0.17373956611474439</v>
      </c>
      <c r="CA290" s="1189">
        <f>'2022'!R\Max</f>
        <v>0.91708812591804723</v>
      </c>
      <c r="CB290" s="1189">
        <f>'2023'!R\Max</f>
        <v>0.91646026767666033</v>
      </c>
      <c r="CC290" s="1189">
        <f>'2024'!R\Max</f>
        <v>0.91527404400063761</v>
      </c>
      <c r="CD290" s="1189">
        <f>'2025'!R\Max</f>
        <v>0.91837209221725669</v>
      </c>
      <c r="CE290" s="1189">
        <f>'2026'!R\Max</f>
        <v>0.91815473232154976</v>
      </c>
      <c r="CF290" s="1190">
        <f>'2027'!R\Max</f>
        <v>0.91788985269364909</v>
      </c>
    </row>
    <row r="291" spans="1:84" s="6" customFormat="1" ht="11.25" x14ac:dyDescent="0.2">
      <c r="A291" s="11">
        <v>43377</v>
      </c>
      <c r="B291" s="382">
        <f>'2022'!Maxi_hp</f>
        <v>37.738212573739389</v>
      </c>
      <c r="C291" s="85">
        <f>'2022'!An_max</f>
        <v>2022</v>
      </c>
      <c r="D291" s="1134"/>
      <c r="E291" s="711"/>
      <c r="F291" s="13">
        <f t="shared" si="128"/>
        <v>21</v>
      </c>
      <c r="G291" s="13">
        <f t="shared" si="112"/>
        <v>22</v>
      </c>
      <c r="H291" s="175">
        <f t="shared" si="113"/>
        <v>43374</v>
      </c>
      <c r="I291" s="774">
        <f t="shared" si="114"/>
        <v>0.21428571428571427</v>
      </c>
      <c r="J291" s="765">
        <f t="shared" si="115"/>
        <v>37.955993003418136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P291" s="13">
        <f t="shared" si="116"/>
        <v>11</v>
      </c>
      <c r="AQ291" s="13">
        <f t="shared" si="117"/>
        <v>12</v>
      </c>
      <c r="AR291" s="175">
        <f t="shared" si="118"/>
        <v>43360</v>
      </c>
      <c r="AS291" s="774">
        <f t="shared" si="119"/>
        <v>0.6071428571428571</v>
      </c>
      <c r="AT291" s="791">
        <f t="shared" si="120"/>
        <v>37.927797085259648</v>
      </c>
      <c r="AU291" s="13">
        <f t="shared" si="121"/>
        <v>11</v>
      </c>
      <c r="AV291" s="13">
        <f t="shared" si="122"/>
        <v>12</v>
      </c>
      <c r="AW291" s="175">
        <f t="shared" si="123"/>
        <v>43374</v>
      </c>
      <c r="AX291" s="774">
        <f t="shared" si="124"/>
        <v>0.10714285714285714</v>
      </c>
      <c r="AY291" s="791">
        <f t="shared" si="125"/>
        <v>38.061439067261695</v>
      </c>
      <c r="AZ291" s="765">
        <f t="shared" si="129"/>
        <v>37.994618076260672</v>
      </c>
      <c r="BA291" s="649">
        <f t="shared" si="126"/>
        <v>0.99426229134199873</v>
      </c>
      <c r="BB291" s="644">
        <v>43377</v>
      </c>
      <c r="BC291" s="11">
        <v>43377</v>
      </c>
      <c r="BD291" s="292">
        <f>[2]!FeuilCaduc*(1-Persistant)+Persistant</f>
        <v>1</v>
      </c>
      <c r="BE291" s="293">
        <f>[2]!CroissVégét</f>
        <v>0.99188357985413123</v>
      </c>
      <c r="BF291" s="844">
        <f>1+[2]!Salcycl*Ksac</f>
        <v>1.0562529328052561</v>
      </c>
      <c r="BH291" s="1107">
        <f t="shared" si="127"/>
        <v>1.8193312350217424E-2</v>
      </c>
      <c r="BI291" s="11">
        <v>44473</v>
      </c>
      <c r="BJ291" s="744">
        <v>3.691025546143179E-3</v>
      </c>
      <c r="BK291" s="744">
        <v>8.7502964860381328E-3</v>
      </c>
      <c r="BL291" s="744">
        <v>1.6029619183615337E-2</v>
      </c>
      <c r="BM291" s="744">
        <v>2.6860215934587039E-2</v>
      </c>
      <c r="BN291" s="744">
        <v>4.1113522599944684E-2</v>
      </c>
      <c r="BO291" s="745">
        <v>6.2235044674095651E-2</v>
      </c>
      <c r="BP291" s="744">
        <v>0.10482710429746273</v>
      </c>
      <c r="BQ291" s="744">
        <v>0.17960612029760067</v>
      </c>
      <c r="BR291" s="744">
        <v>0.27517606175786435</v>
      </c>
      <c r="BS291" s="744">
        <v>0.37589358970037584</v>
      </c>
      <c r="BT291" s="744">
        <v>0.4702562292852599</v>
      </c>
      <c r="BW291" s="1191">
        <f>'2018'!R\Max</f>
        <v>0.94627001001459299</v>
      </c>
      <c r="BX291" s="1189">
        <f>'2019'!R\Max</f>
        <v>0.3169596705793411</v>
      </c>
      <c r="BY291" s="1189">
        <f>'2020'!R\Max</f>
        <v>0.44212402586883054</v>
      </c>
      <c r="BZ291" s="1189">
        <f>'2021'!R\Max</f>
        <v>0.89900891639550073</v>
      </c>
      <c r="CA291" s="1189">
        <f>'2022'!R\Max</f>
        <v>0.99426229134199873</v>
      </c>
      <c r="CB291" s="1189">
        <f>'2023'!R\Max</f>
        <v>0.99421176544339984</v>
      </c>
      <c r="CC291" s="1189">
        <f>'2024'!R\Max</f>
        <v>0.9941178991947639</v>
      </c>
      <c r="CD291" s="1189">
        <f>'2025'!R\Max</f>
        <v>0.99436272789312885</v>
      </c>
      <c r="CE291" s="1189">
        <f>'2026'!R\Max</f>
        <v>0.99434645467160954</v>
      </c>
      <c r="CF291" s="1190">
        <f>'2027'!R\Max</f>
        <v>0.99432621376350805</v>
      </c>
    </row>
    <row r="292" spans="1:84" s="6" customFormat="1" ht="11.25" x14ac:dyDescent="0.2">
      <c r="A292" s="11">
        <v>43378</v>
      </c>
      <c r="B292" s="382">
        <f>'2022'!Maxi_hp</f>
        <v>38.133553863021795</v>
      </c>
      <c r="C292" s="85">
        <f>'2022'!An_max</f>
        <v>2022</v>
      </c>
      <c r="D292" s="1134"/>
      <c r="E292" s="711"/>
      <c r="F292" s="13">
        <f t="shared" si="128"/>
        <v>21</v>
      </c>
      <c r="G292" s="13">
        <f t="shared" si="112"/>
        <v>22</v>
      </c>
      <c r="H292" s="175">
        <f t="shared" si="113"/>
        <v>43374</v>
      </c>
      <c r="I292" s="774">
        <f t="shared" si="114"/>
        <v>0.2857142857142857</v>
      </c>
      <c r="J292" s="765">
        <f t="shared" si="115"/>
        <v>37.496611078908401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P292" s="13">
        <f t="shared" si="116"/>
        <v>11</v>
      </c>
      <c r="AQ292" s="13">
        <f t="shared" si="117"/>
        <v>12</v>
      </c>
      <c r="AR292" s="175">
        <f t="shared" si="118"/>
        <v>43360</v>
      </c>
      <c r="AS292" s="774">
        <f t="shared" si="119"/>
        <v>0.6428571428571429</v>
      </c>
      <c r="AT292" s="791">
        <f t="shared" si="120"/>
        <v>37.456774344667792</v>
      </c>
      <c r="AU292" s="13">
        <f t="shared" si="121"/>
        <v>11</v>
      </c>
      <c r="AV292" s="13">
        <f t="shared" si="122"/>
        <v>12</v>
      </c>
      <c r="AW292" s="175">
        <f t="shared" si="123"/>
        <v>43374</v>
      </c>
      <c r="AX292" s="774">
        <f t="shared" si="124"/>
        <v>0.14285714285714285</v>
      </c>
      <c r="AY292" s="791">
        <f t="shared" si="125"/>
        <v>37.636030320849798</v>
      </c>
      <c r="AZ292" s="765">
        <f t="shared" si="129"/>
        <v>37.546402332758795</v>
      </c>
      <c r="BA292" s="649">
        <f t="shared" si="126"/>
        <v>1.0169866760164805</v>
      </c>
      <c r="BB292" s="644">
        <v>43378</v>
      </c>
      <c r="BC292" s="11">
        <v>43378</v>
      </c>
      <c r="BD292" s="292">
        <f>[2]!FeuilCaduc*(1-Persistant)+Persistant</f>
        <v>1</v>
      </c>
      <c r="BE292" s="293">
        <f>[2]!CroissVégét</f>
        <v>0.99222095198209459</v>
      </c>
      <c r="BF292" s="844">
        <f>1+[2]!Salcycl*Ksac</f>
        <v>1.0556400389990044</v>
      </c>
      <c r="BH292" s="1107">
        <f t="shared" si="127"/>
        <v>1.8077844429263051E-2</v>
      </c>
      <c r="BI292" s="11">
        <v>44474</v>
      </c>
      <c r="BJ292" s="744">
        <v>3.6706714117278969E-3</v>
      </c>
      <c r="BK292" s="744">
        <v>8.7271449295150804E-3</v>
      </c>
      <c r="BL292" s="744">
        <v>1.5940938658483471E-2</v>
      </c>
      <c r="BM292" s="744">
        <v>2.6637448244675788E-2</v>
      </c>
      <c r="BN292" s="744">
        <v>4.0725951097041753E-2</v>
      </c>
      <c r="BO292" s="745">
        <v>6.269029361483601E-2</v>
      </c>
      <c r="BP292" s="744">
        <v>0.10797590875934669</v>
      </c>
      <c r="BQ292" s="744">
        <v>0.18522343520541215</v>
      </c>
      <c r="BR292" s="744">
        <v>0.28137639683648652</v>
      </c>
      <c r="BS292" s="744">
        <v>0.3819114552910019</v>
      </c>
      <c r="BT292" s="744">
        <v>0.47739375941854756</v>
      </c>
      <c r="BW292" s="1191">
        <f>'2018'!R\Max</f>
        <v>0.94309622713293229</v>
      </c>
      <c r="BX292" s="1189">
        <f>'2019'!R\Max</f>
        <v>0.90874803865876719</v>
      </c>
      <c r="BY292" s="1189">
        <f>'2020'!R\Max</f>
        <v>0.50934779847697298</v>
      </c>
      <c r="BZ292" s="1189">
        <f>'2021'!R\Max</f>
        <v>0.34052660171719579</v>
      </c>
      <c r="CA292" s="1189">
        <f>'2022'!R\Max</f>
        <v>1.0169866760164805</v>
      </c>
      <c r="CB292" s="1189">
        <f>'2023'!R\Max</f>
        <v>1.0169866760164805</v>
      </c>
      <c r="CC292" s="1189">
        <f>'2024'!R\Max</f>
        <v>1.016986676016481</v>
      </c>
      <c r="CD292" s="1189">
        <f>'2025'!R\Max</f>
        <v>1.0169866760164805</v>
      </c>
      <c r="CE292" s="1189">
        <f>'2026'!R\Max</f>
        <v>1.0169866760164805</v>
      </c>
      <c r="CF292" s="1190">
        <f>'2027'!R\Max</f>
        <v>1.0169866760164807</v>
      </c>
    </row>
    <row r="293" spans="1:84" s="6" customFormat="1" ht="11.25" x14ac:dyDescent="0.2">
      <c r="A293" s="11">
        <v>43379</v>
      </c>
      <c r="B293" s="382">
        <f>'2022'!Maxi_hp</f>
        <v>33.977858149363783</v>
      </c>
      <c r="C293" s="85">
        <f>'2022'!An_max</f>
        <v>2018</v>
      </c>
      <c r="D293" s="1134"/>
      <c r="E293" s="711"/>
      <c r="F293" s="13">
        <f t="shared" si="128"/>
        <v>21</v>
      </c>
      <c r="G293" s="13">
        <f t="shared" si="112"/>
        <v>22</v>
      </c>
      <c r="H293" s="175">
        <f t="shared" si="113"/>
        <v>43374</v>
      </c>
      <c r="I293" s="774">
        <f t="shared" si="114"/>
        <v>0.35714285714285715</v>
      </c>
      <c r="J293" s="765">
        <f t="shared" si="115"/>
        <v>37.037005248053802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P293" s="13">
        <f t="shared" si="116"/>
        <v>11</v>
      </c>
      <c r="AQ293" s="13">
        <f t="shared" si="117"/>
        <v>12</v>
      </c>
      <c r="AR293" s="175">
        <f t="shared" si="118"/>
        <v>43360</v>
      </c>
      <c r="AS293" s="774">
        <f t="shared" si="119"/>
        <v>0.6785714285714286</v>
      </c>
      <c r="AT293" s="791">
        <f t="shared" si="120"/>
        <v>36.989250145932395</v>
      </c>
      <c r="AU293" s="13">
        <f t="shared" si="121"/>
        <v>11</v>
      </c>
      <c r="AV293" s="13">
        <f t="shared" si="122"/>
        <v>12</v>
      </c>
      <c r="AW293" s="175">
        <f t="shared" si="123"/>
        <v>43374</v>
      </c>
      <c r="AX293" s="774">
        <f t="shared" si="124"/>
        <v>0.17857142857142858</v>
      </c>
      <c r="AY293" s="791">
        <f t="shared" si="125"/>
        <v>37.208737026510889</v>
      </c>
      <c r="AZ293" s="765">
        <f t="shared" si="129"/>
        <v>37.098993586221638</v>
      </c>
      <c r="BA293" s="649">
        <f t="shared" si="126"/>
        <v>0.91740295744211742</v>
      </c>
      <c r="BB293" s="644">
        <v>43379</v>
      </c>
      <c r="BC293" s="11">
        <v>43379</v>
      </c>
      <c r="BD293" s="292">
        <f>[2]!FeuilCaduc*(1-Persistant)+Persistant</f>
        <v>1</v>
      </c>
      <c r="BE293" s="293">
        <f>[2]!CroissVégét</f>
        <v>0.99254495612417293</v>
      </c>
      <c r="BF293" s="844">
        <f>1+[2]!Salcycl*Ksac</f>
        <v>1.0550067870267947</v>
      </c>
      <c r="BH293" s="1107">
        <f t="shared" si="127"/>
        <v>1.7943574398257906E-2</v>
      </c>
      <c r="BI293" s="11">
        <v>44475</v>
      </c>
      <c r="BJ293" s="744">
        <v>3.6495907869697848E-3</v>
      </c>
      <c r="BK293" s="744">
        <v>8.6943759818081823E-3</v>
      </c>
      <c r="BL293" s="744">
        <v>1.5834957423547541E-2</v>
      </c>
      <c r="BM293" s="744">
        <v>2.638986442600692E-2</v>
      </c>
      <c r="BN293" s="744">
        <v>4.0305850493064226E-2</v>
      </c>
      <c r="BO293" s="745">
        <v>6.3290625709719522E-2</v>
      </c>
      <c r="BP293" s="744">
        <v>0.11136145754428266</v>
      </c>
      <c r="BQ293" s="744">
        <v>0.19082630171839063</v>
      </c>
      <c r="BR293" s="744">
        <v>0.28740999256434963</v>
      </c>
      <c r="BS293" s="744">
        <v>0.38778038045170965</v>
      </c>
      <c r="BT293" s="744">
        <v>0.48482688021365927</v>
      </c>
      <c r="BW293" s="1191">
        <f>'2018'!R\Max</f>
        <v>0.91740295744211742</v>
      </c>
      <c r="BX293" s="1189">
        <f>'2019'!R\Max</f>
        <v>0.52189444317586708</v>
      </c>
      <c r="BY293" s="1189">
        <f>'2020'!R\Max</f>
        <v>0.69206913014196325</v>
      </c>
      <c r="BZ293" s="1189">
        <f>'2021'!R\Max</f>
        <v>0.8515675211850956</v>
      </c>
      <c r="CA293" s="1189">
        <f>'2022'!R\Max</f>
        <v>0.43727307242057373</v>
      </c>
      <c r="CB293" s="1189">
        <f>'2023'!R\Max</f>
        <v>0.43479812570213844</v>
      </c>
      <c r="CC293" s="1189">
        <f>'2024'!R\Max</f>
        <v>0.43046554871881443</v>
      </c>
      <c r="CD293" s="1189">
        <f>'2025'!R\Max</f>
        <v>0.44208476458406393</v>
      </c>
      <c r="CE293" s="1189">
        <f>'2026'!R\Max</f>
        <v>0.44136956794178933</v>
      </c>
      <c r="CF293" s="1190">
        <f>'2027'!R\Max</f>
        <v>0.44043543199027252</v>
      </c>
    </row>
    <row r="294" spans="1:84" s="6" customFormat="1" ht="11.25" x14ac:dyDescent="0.2">
      <c r="A294" s="11">
        <v>43380</v>
      </c>
      <c r="B294" s="382">
        <f>'2022'!Maxi_hp</f>
        <v>36.648914494338172</v>
      </c>
      <c r="C294" s="85">
        <f>'2022'!An_max</f>
        <v>2021</v>
      </c>
      <c r="D294" s="1134"/>
      <c r="E294" s="711"/>
      <c r="F294" s="13">
        <f t="shared" si="128"/>
        <v>21</v>
      </c>
      <c r="G294" s="13">
        <f t="shared" si="112"/>
        <v>22</v>
      </c>
      <c r="H294" s="175">
        <f t="shared" si="113"/>
        <v>43374</v>
      </c>
      <c r="I294" s="774">
        <f t="shared" si="114"/>
        <v>0.42857142857142855</v>
      </c>
      <c r="J294" s="765">
        <f t="shared" si="115"/>
        <v>36.57829504380269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P294" s="13">
        <f t="shared" si="116"/>
        <v>11</v>
      </c>
      <c r="AQ294" s="13">
        <f t="shared" si="117"/>
        <v>12</v>
      </c>
      <c r="AR294" s="175">
        <f t="shared" si="118"/>
        <v>43360</v>
      </c>
      <c r="AS294" s="774">
        <f t="shared" si="119"/>
        <v>0.7142857142857143</v>
      </c>
      <c r="AT294" s="791">
        <f t="shared" si="120"/>
        <v>36.526050145498346</v>
      </c>
      <c r="AU294" s="13">
        <f t="shared" si="121"/>
        <v>11</v>
      </c>
      <c r="AV294" s="13">
        <f t="shared" si="122"/>
        <v>12</v>
      </c>
      <c r="AW294" s="175">
        <f t="shared" si="123"/>
        <v>43374</v>
      </c>
      <c r="AX294" s="774">
        <f t="shared" si="124"/>
        <v>0.21428571428571427</v>
      </c>
      <c r="AY294" s="791">
        <f t="shared" si="125"/>
        <v>36.780034985685987</v>
      </c>
      <c r="AZ294" s="765">
        <f t="shared" si="129"/>
        <v>36.653042565592166</v>
      </c>
      <c r="BA294" s="649">
        <f t="shared" si="126"/>
        <v>1.0019306381134199</v>
      </c>
      <c r="BB294" s="644">
        <v>43380</v>
      </c>
      <c r="BC294" s="11">
        <v>43380</v>
      </c>
      <c r="BD294" s="292">
        <f>[2]!FeuilCaduc*(1-Persistant)+Persistant</f>
        <v>1</v>
      </c>
      <c r="BE294" s="293">
        <f>[2]!CroissVégét</f>
        <v>0.9928561136972186</v>
      </c>
      <c r="BF294" s="844">
        <f>1+[2]!Salcycl*Ksac</f>
        <v>1.0543530542476685</v>
      </c>
      <c r="BH294" s="1107">
        <f t="shared" si="127"/>
        <v>1.7790451279828035E-2</v>
      </c>
      <c r="BI294" s="11">
        <v>44476</v>
      </c>
      <c r="BJ294" s="744">
        <v>3.6277781199252407E-3</v>
      </c>
      <c r="BK294" s="744">
        <v>8.6519647495002378E-3</v>
      </c>
      <c r="BL294" s="744">
        <v>1.5711629640083848E-2</v>
      </c>
      <c r="BM294" s="744">
        <v>2.6117392917795232E-2</v>
      </c>
      <c r="BN294" s="744">
        <v>3.9853118902699526E-2</v>
      </c>
      <c r="BO294" s="745">
        <v>6.403620144835577E-2</v>
      </c>
      <c r="BP294" s="744">
        <v>0.11498404652850726</v>
      </c>
      <c r="BQ294" s="744">
        <v>0.19641458516238708</v>
      </c>
      <c r="BR294" s="744">
        <v>0.29327638290087121</v>
      </c>
      <c r="BS294" s="744">
        <v>0.39349981125601291</v>
      </c>
      <c r="BT294" s="744">
        <v>0.49255563263674074</v>
      </c>
      <c r="BW294" s="1191">
        <f>'2018'!R\Max</f>
        <v>0.42614557818658527</v>
      </c>
      <c r="BX294" s="1189">
        <f>'2019'!R\Max</f>
        <v>0.8315413074482888</v>
      </c>
      <c r="BY294" s="1189">
        <f>'2020'!R\Max</f>
        <v>0.24387976730847105</v>
      </c>
      <c r="BZ294" s="1189">
        <f>'2021'!R\Max</f>
        <v>1.0019306381134199</v>
      </c>
      <c r="CA294" s="1189">
        <f>'2022'!R\Max</f>
        <v>0.76590265182199047</v>
      </c>
      <c r="CB294" s="1189">
        <f>'2023'!R\Max</f>
        <v>0.76397462470430832</v>
      </c>
      <c r="CC294" s="1189">
        <f>'2024'!R\Max</f>
        <v>0.76065333025247839</v>
      </c>
      <c r="CD294" s="1189">
        <f>'2025'!R\Max</f>
        <v>0.76956755869515525</v>
      </c>
      <c r="CE294" s="1189">
        <f>'2026'!R\Max</f>
        <v>0.76905321267398707</v>
      </c>
      <c r="CF294" s="1190">
        <f>'2027'!R\Max</f>
        <v>0.76835779325897846</v>
      </c>
    </row>
    <row r="295" spans="1:84" s="6" customFormat="1" ht="11.25" x14ac:dyDescent="0.2">
      <c r="A295" s="11">
        <v>43381</v>
      </c>
      <c r="B295" s="382">
        <f>'2022'!Maxi_hp</f>
        <v>35.752420228658309</v>
      </c>
      <c r="C295" s="85">
        <f>'2022'!An_max</f>
        <v>2021</v>
      </c>
      <c r="D295" s="1134"/>
      <c r="E295" s="711"/>
      <c r="F295" s="13">
        <f t="shared" si="128"/>
        <v>21</v>
      </c>
      <c r="G295" s="13">
        <f t="shared" si="112"/>
        <v>22</v>
      </c>
      <c r="H295" s="175">
        <f t="shared" si="113"/>
        <v>43374</v>
      </c>
      <c r="I295" s="774">
        <f t="shared" si="114"/>
        <v>0.5</v>
      </c>
      <c r="J295" s="765">
        <f t="shared" si="115"/>
        <v>36.121600000699985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P295" s="13">
        <f t="shared" si="116"/>
        <v>11</v>
      </c>
      <c r="AQ295" s="13">
        <f t="shared" si="117"/>
        <v>12</v>
      </c>
      <c r="AR295" s="175">
        <f t="shared" si="118"/>
        <v>43360</v>
      </c>
      <c r="AS295" s="774">
        <f t="shared" si="119"/>
        <v>0.75</v>
      </c>
      <c r="AT295" s="791">
        <f t="shared" si="120"/>
        <v>36.068000000342728</v>
      </c>
      <c r="AU295" s="13">
        <f t="shared" si="121"/>
        <v>11</v>
      </c>
      <c r="AV295" s="13">
        <f t="shared" si="122"/>
        <v>12</v>
      </c>
      <c r="AW295" s="175">
        <f t="shared" si="123"/>
        <v>43374</v>
      </c>
      <c r="AX295" s="774">
        <f t="shared" si="124"/>
        <v>0.25</v>
      </c>
      <c r="AY295" s="791">
        <f t="shared" si="125"/>
        <v>36.350400000624361</v>
      </c>
      <c r="AZ295" s="765">
        <f t="shared" si="129"/>
        <v>36.209200000483548</v>
      </c>
      <c r="BA295" s="649">
        <f t="shared" si="126"/>
        <v>0.98977952881282882</v>
      </c>
      <c r="BB295" s="644">
        <v>43381</v>
      </c>
      <c r="BC295" s="11">
        <v>43381</v>
      </c>
      <c r="BD295" s="292">
        <f>[2]!FeuilCaduc*(1-Persistant)+Persistant</f>
        <v>1</v>
      </c>
      <c r="BE295" s="293">
        <f>[2]!CroissVégét</f>
        <v>0.99315492642894099</v>
      </c>
      <c r="BF295" s="844">
        <f>1+[2]!Salcycl*Ksac</f>
        <v>1.0536787728542305</v>
      </c>
      <c r="BH295" s="1107">
        <f t="shared" si="127"/>
        <v>1.761842412033908E-2</v>
      </c>
      <c r="BI295" s="11">
        <v>44477</v>
      </c>
      <c r="BJ295" s="744">
        <v>3.6052279357768986E-3</v>
      </c>
      <c r="BK295" s="744">
        <v>8.5998861916383833E-3</v>
      </c>
      <c r="BL295" s="744">
        <v>1.5570909412213429E-2</v>
      </c>
      <c r="BM295" s="744">
        <v>2.5819962507028078E-2</v>
      </c>
      <c r="BN295" s="744">
        <v>3.9367655330380995E-2</v>
      </c>
      <c r="BO295" s="745">
        <v>6.4927183470593591E-2</v>
      </c>
      <c r="BP295" s="744">
        <v>0.11884396448081656</v>
      </c>
      <c r="BQ295" s="744">
        <v>0.20198812602270733</v>
      </c>
      <c r="BR295" s="744">
        <v>0.29897507034899584</v>
      </c>
      <c r="BS295" s="744">
        <v>0.39906916382512075</v>
      </c>
      <c r="BT295" s="744">
        <v>0.5005800353103258</v>
      </c>
      <c r="BW295" s="1191">
        <f>'2018'!R\Max</f>
        <v>0.41914535837854994</v>
      </c>
      <c r="BX295" s="1189">
        <f>'2019'!R\Max</f>
        <v>0.9518468532412222</v>
      </c>
      <c r="BY295" s="1189">
        <f>'2020'!R\Max</f>
        <v>0.81906539877640172</v>
      </c>
      <c r="BZ295" s="1189">
        <f>'2021'!R\Max</f>
        <v>0.98977952881282882</v>
      </c>
      <c r="CA295" s="1189">
        <f>'2022'!R\Max</f>
        <v>0.47181012958212432</v>
      </c>
      <c r="CB295" s="1189">
        <f>'2023'!R\Max</f>
        <v>0.46896884431174102</v>
      </c>
      <c r="CC295" s="1189">
        <f>'2024'!R\Max</f>
        <v>0.46424740626170818</v>
      </c>
      <c r="CD295" s="1189">
        <f>'2025'!R\Max</f>
        <v>0.47721343365779578</v>
      </c>
      <c r="CE295" s="1189">
        <f>'2026'!R\Max</f>
        <v>0.47649142904924779</v>
      </c>
      <c r="CF295" s="1190">
        <f>'2027'!R\Max</f>
        <v>0.47548127777592897</v>
      </c>
    </row>
    <row r="296" spans="1:84" s="6" customFormat="1" ht="11.25" x14ac:dyDescent="0.2">
      <c r="A296" s="11">
        <v>43382</v>
      </c>
      <c r="B296" s="382">
        <f>'2022'!Maxi_hp</f>
        <v>34.859155610094177</v>
      </c>
      <c r="C296" s="85">
        <f>'2022'!An_max</f>
        <v>2022</v>
      </c>
      <c r="D296" s="1134"/>
      <c r="E296" s="711"/>
      <c r="F296" s="13">
        <f t="shared" si="128"/>
        <v>21</v>
      </c>
      <c r="G296" s="13">
        <f t="shared" si="112"/>
        <v>22</v>
      </c>
      <c r="H296" s="175">
        <f t="shared" si="113"/>
        <v>43374</v>
      </c>
      <c r="I296" s="774">
        <f t="shared" si="114"/>
        <v>0.5714285714285714</v>
      </c>
      <c r="J296" s="765">
        <f t="shared" si="115"/>
        <v>35.668039650948984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P296" s="13">
        <f t="shared" si="116"/>
        <v>11</v>
      </c>
      <c r="AQ296" s="13">
        <f t="shared" si="117"/>
        <v>12</v>
      </c>
      <c r="AR296" s="175">
        <f t="shared" si="118"/>
        <v>43360</v>
      </c>
      <c r="AS296" s="774">
        <f t="shared" si="119"/>
        <v>0.7857142857142857</v>
      </c>
      <c r="AT296" s="791">
        <f t="shared" si="120"/>
        <v>35.615925364409179</v>
      </c>
      <c r="AU296" s="13">
        <f t="shared" si="121"/>
        <v>11</v>
      </c>
      <c r="AV296" s="13">
        <f t="shared" si="122"/>
        <v>12</v>
      </c>
      <c r="AW296" s="175">
        <f t="shared" si="123"/>
        <v>43374</v>
      </c>
      <c r="AX296" s="774">
        <f t="shared" si="124"/>
        <v>0.2857142857142857</v>
      </c>
      <c r="AY296" s="791">
        <f t="shared" si="125"/>
        <v>35.920307872005338</v>
      </c>
      <c r="AZ296" s="765">
        <f t="shared" si="129"/>
        <v>35.768116618207259</v>
      </c>
      <c r="BA296" s="649">
        <f t="shared" si="126"/>
        <v>0.9773218811919403</v>
      </c>
      <c r="BB296" s="644">
        <v>43382</v>
      </c>
      <c r="BC296" s="11">
        <v>43382</v>
      </c>
      <c r="BD296" s="292">
        <f>[2]!FeuilCaduc*(1-Persistant)+Persistant</f>
        <v>1</v>
      </c>
      <c r="BE296" s="293">
        <f>[2]!CroissVégét</f>
        <v>0.9934418770502661</v>
      </c>
      <c r="BF296" s="844">
        <f>1+[2]!Salcycl*Ksac</f>
        <v>1.0529839332631838</v>
      </c>
      <c r="BH296" s="1107">
        <f t="shared" si="127"/>
        <v>1.7422283888741518E-2</v>
      </c>
      <c r="BI296" s="11">
        <v>44478</v>
      </c>
      <c r="BJ296" s="744">
        <v>3.5767868244440779E-3</v>
      </c>
      <c r="BK296" s="744">
        <v>8.5319947093499358E-3</v>
      </c>
      <c r="BL296" s="744">
        <v>1.5407361714308546E-2</v>
      </c>
      <c r="BM296" s="744">
        <v>2.5493269408025404E-2</v>
      </c>
      <c r="BN296" s="744">
        <v>3.8919960248542516E-2</v>
      </c>
      <c r="BO296" s="745">
        <v>6.6030937232584672E-2</v>
      </c>
      <c r="BP296" s="744">
        <v>0.12288415069300274</v>
      </c>
      <c r="BQ296" s="744">
        <v>0.20751329857795944</v>
      </c>
      <c r="BR296" s="744">
        <v>0.30450293981191573</v>
      </c>
      <c r="BS296" s="744">
        <v>0.40461262561984462</v>
      </c>
      <c r="BT296" s="744">
        <v>0.50890477187153715</v>
      </c>
      <c r="BW296" s="1191">
        <f>'2018'!R\Max</f>
        <v>0.89359857968023093</v>
      </c>
      <c r="BX296" s="1189">
        <f>'2019'!R\Max</f>
        <v>0.27714988524866424</v>
      </c>
      <c r="BY296" s="1189">
        <f>'2020'!R\Max</f>
        <v>0.90742705102345977</v>
      </c>
      <c r="BZ296" s="1189">
        <f>'2021'!R\Max</f>
        <v>0.44235069008035999</v>
      </c>
      <c r="CA296" s="1189">
        <f>'2022'!R\Max</f>
        <v>0.9773218811919403</v>
      </c>
      <c r="CB296" s="1189">
        <f>'2023'!R\Max</f>
        <v>0.97705231661429159</v>
      </c>
      <c r="CC296" s="1189">
        <f>'2024'!R\Max</f>
        <v>0.97660933048691223</v>
      </c>
      <c r="CD296" s="1189">
        <f>'2025'!R\Max</f>
        <v>0.97782365399603544</v>
      </c>
      <c r="CE296" s="1189">
        <f>'2026'!R\Max</f>
        <v>0.97776064233261273</v>
      </c>
      <c r="CF296" s="1190">
        <f>'2027'!R\Max</f>
        <v>0.97766877275167074</v>
      </c>
    </row>
    <row r="297" spans="1:84" s="6" customFormat="1" ht="11.25" x14ac:dyDescent="0.2">
      <c r="A297" s="11">
        <v>43383</v>
      </c>
      <c r="B297" s="382">
        <f>'2022'!Maxi_hp</f>
        <v>29.687816972042782</v>
      </c>
      <c r="C297" s="85">
        <f>'2022'!An_max</f>
        <v>2022</v>
      </c>
      <c r="D297" s="1134"/>
      <c r="E297" s="711"/>
      <c r="F297" s="13">
        <f t="shared" si="128"/>
        <v>21</v>
      </c>
      <c r="G297" s="13">
        <f t="shared" si="112"/>
        <v>22</v>
      </c>
      <c r="H297" s="175">
        <f t="shared" si="113"/>
        <v>43374</v>
      </c>
      <c r="I297" s="774">
        <f t="shared" si="114"/>
        <v>0.6428571428571429</v>
      </c>
      <c r="J297" s="765">
        <f t="shared" si="115"/>
        <v>35.218733528329594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P297" s="13">
        <f t="shared" si="116"/>
        <v>11</v>
      </c>
      <c r="AQ297" s="13">
        <f t="shared" si="117"/>
        <v>12</v>
      </c>
      <c r="AR297" s="175">
        <f t="shared" si="118"/>
        <v>43360</v>
      </c>
      <c r="AS297" s="774">
        <f t="shared" si="119"/>
        <v>0.8214285714285714</v>
      </c>
      <c r="AT297" s="791">
        <f t="shared" si="120"/>
        <v>35.17065189499408</v>
      </c>
      <c r="AU297" s="13">
        <f t="shared" si="121"/>
        <v>11</v>
      </c>
      <c r="AV297" s="13">
        <f t="shared" si="122"/>
        <v>12</v>
      </c>
      <c r="AW297" s="175">
        <f t="shared" si="123"/>
        <v>43374</v>
      </c>
      <c r="AX297" s="774">
        <f t="shared" si="124"/>
        <v>0.32142857142857145</v>
      </c>
      <c r="AY297" s="791">
        <f t="shared" si="125"/>
        <v>35.490234402370909</v>
      </c>
      <c r="AZ297" s="765">
        <f t="shared" si="129"/>
        <v>35.330443148682491</v>
      </c>
      <c r="BA297" s="649">
        <f t="shared" si="126"/>
        <v>0.84295526834212253</v>
      </c>
      <c r="BB297" s="644">
        <v>43383</v>
      </c>
      <c r="BC297" s="11">
        <v>43383</v>
      </c>
      <c r="BD297" s="292">
        <f>[2]!FeuilCaduc*(1-Persistant)+Persistant</f>
        <v>1</v>
      </c>
      <c r="BE297" s="293">
        <f>[2]!CroissVégét</f>
        <v>0.99371742996744827</v>
      </c>
      <c r="BF297" s="844">
        <f>1+[2]!Salcycl*Ksac</f>
        <v>1.0522685872786834</v>
      </c>
      <c r="BH297" s="1107">
        <f t="shared" si="127"/>
        <v>1.7211046033763697E-2</v>
      </c>
      <c r="BI297" s="11">
        <v>44479</v>
      </c>
      <c r="BJ297" s="744">
        <v>3.5444975781006418E-3</v>
      </c>
      <c r="BK297" s="744">
        <v>8.4524832040157767E-3</v>
      </c>
      <c r="BL297" s="744">
        <v>1.5228877578928742E-2</v>
      </c>
      <c r="BM297" s="744">
        <v>2.5150833038319508E-2</v>
      </c>
      <c r="BN297" s="744">
        <v>3.8529534195332955E-2</v>
      </c>
      <c r="BO297" s="745">
        <v>6.7315320631010381E-2</v>
      </c>
      <c r="BP297" s="744">
        <v>0.12693070361132444</v>
      </c>
      <c r="BQ297" s="744">
        <v>0.2129469222623549</v>
      </c>
      <c r="BR297" s="744">
        <v>0.30992984746909097</v>
      </c>
      <c r="BS297" s="744">
        <v>0.41022226913212506</v>
      </c>
      <c r="BT297" s="744">
        <v>0.51719095009499738</v>
      </c>
      <c r="BW297" s="1191">
        <f>'2018'!R\Max</f>
        <v>0.63043781939337307</v>
      </c>
      <c r="BX297" s="1189">
        <f>'2019'!R\Max</f>
        <v>0.72695447145497705</v>
      </c>
      <c r="BY297" s="1189">
        <f>'2020'!R\Max</f>
        <v>0.72607546622488872</v>
      </c>
      <c r="BZ297" s="1189">
        <f>'2021'!R\Max</f>
        <v>0.67367513544607305</v>
      </c>
      <c r="CA297" s="1189">
        <f>'2022'!R\Max</f>
        <v>0.84295526834212253</v>
      </c>
      <c r="CB297" s="1189">
        <f>'2023'!R\Max</f>
        <v>0.84125813732384491</v>
      </c>
      <c r="CC297" s="1189">
        <f>'2024'!R\Max</f>
        <v>0.83854625420182749</v>
      </c>
      <c r="CD297" s="1189">
        <f>'2025'!R\Max</f>
        <v>0.84612863118896875</v>
      </c>
      <c r="CE297" s="1189">
        <f>'2026'!R\Max</f>
        <v>0.84574773049135499</v>
      </c>
      <c r="CF297" s="1190">
        <f>'2027'!R\Max</f>
        <v>0.84517179183679259</v>
      </c>
    </row>
    <row r="298" spans="1:84" s="6" customFormat="1" ht="11.25" x14ac:dyDescent="0.2">
      <c r="A298" s="11">
        <v>43384</v>
      </c>
      <c r="B298" s="382">
        <f>'2022'!Maxi_hp</f>
        <v>35.147507739823403</v>
      </c>
      <c r="C298" s="85">
        <f>'2022'!An_max</f>
        <v>2019</v>
      </c>
      <c r="D298" s="1134"/>
      <c r="E298" s="711"/>
      <c r="F298" s="13">
        <f t="shared" si="128"/>
        <v>21</v>
      </c>
      <c r="G298" s="13">
        <f t="shared" si="112"/>
        <v>22</v>
      </c>
      <c r="H298" s="175">
        <f t="shared" si="113"/>
        <v>43374</v>
      </c>
      <c r="I298" s="774">
        <f t="shared" si="114"/>
        <v>0.7142857142857143</v>
      </c>
      <c r="J298" s="765">
        <f t="shared" si="115"/>
        <v>34.774801165663767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P298" s="13">
        <f t="shared" si="116"/>
        <v>11</v>
      </c>
      <c r="AQ298" s="13">
        <f t="shared" si="117"/>
        <v>12</v>
      </c>
      <c r="AR298" s="175">
        <f t="shared" si="118"/>
        <v>43360</v>
      </c>
      <c r="AS298" s="774">
        <f t="shared" si="119"/>
        <v>0.8571428571428571</v>
      </c>
      <c r="AT298" s="791">
        <f t="shared" si="120"/>
        <v>34.733005247584416</v>
      </c>
      <c r="AU298" s="13">
        <f t="shared" si="121"/>
        <v>11</v>
      </c>
      <c r="AV298" s="13">
        <f t="shared" si="122"/>
        <v>12</v>
      </c>
      <c r="AW298" s="175">
        <f t="shared" si="123"/>
        <v>43374</v>
      </c>
      <c r="AX298" s="774">
        <f t="shared" si="124"/>
        <v>0.35714285714285715</v>
      </c>
      <c r="AY298" s="791">
        <f t="shared" si="125"/>
        <v>35.060655394156598</v>
      </c>
      <c r="AZ298" s="765">
        <f t="shared" si="129"/>
        <v>34.896830320870507</v>
      </c>
      <c r="BA298" s="649">
        <f t="shared" si="126"/>
        <v>1.010717719775998</v>
      </c>
      <c r="BB298" s="644">
        <v>43384</v>
      </c>
      <c r="BC298" s="11">
        <v>43384</v>
      </c>
      <c r="BD298" s="292">
        <f>[2]!FeuilCaduc*(1-Persistant)+Persistant</f>
        <v>1</v>
      </c>
      <c r="BE298" s="293">
        <f>[2]!CroissVégét</f>
        <v>0.99398203191418089</v>
      </c>
      <c r="BF298" s="844">
        <f>1+[2]!Salcycl*Ksac</f>
        <v>1.0515328509940454</v>
      </c>
      <c r="BH298" s="1107">
        <f t="shared" si="127"/>
        <v>1.6984667024904438E-2</v>
      </c>
      <c r="BI298" s="11">
        <v>44480</v>
      </c>
      <c r="BJ298" s="744">
        <v>3.5083501272692537E-3</v>
      </c>
      <c r="BK298" s="744">
        <v>8.3613238281040215E-3</v>
      </c>
      <c r="BL298" s="744">
        <v>1.503541605903079E-2</v>
      </c>
      <c r="BM298" s="744">
        <v>2.4792599519093034E-2</v>
      </c>
      <c r="BN298" s="744">
        <v>3.8196422602362591E-2</v>
      </c>
      <c r="BO298" s="745">
        <v>6.8780548160379332E-2</v>
      </c>
      <c r="BP298" s="744">
        <v>0.13098351215144366</v>
      </c>
      <c r="BQ298" s="744">
        <v>0.21828864451623883</v>
      </c>
      <c r="BR298" s="744">
        <v>0.31525531930382161</v>
      </c>
      <c r="BS298" s="744">
        <v>0.41589777239360698</v>
      </c>
      <c r="BT298" s="744">
        <v>0.52543797873314846</v>
      </c>
      <c r="BW298" s="1191">
        <f>'2018'!R\Max</f>
        <v>0.73691502794599839</v>
      </c>
      <c r="BX298" s="1189">
        <f>'2019'!R\Max</f>
        <v>1.010717719775998</v>
      </c>
      <c r="BY298" s="1189">
        <f>'2020'!R\Max</f>
        <v>0.55669719569082576</v>
      </c>
      <c r="BZ298" s="1189">
        <f>'2021'!R\Max</f>
        <v>1.0002703898303638</v>
      </c>
      <c r="CA298" s="1189">
        <f>'2022'!R\Max</f>
        <v>0.73617480371836697</v>
      </c>
      <c r="CB298" s="1189">
        <f>'2023'!R\Max</f>
        <v>0.73356029937351197</v>
      </c>
      <c r="CC298" s="1189">
        <f>'2024'!R\Max</f>
        <v>0.72948463489962212</v>
      </c>
      <c r="CD298" s="1189">
        <f>'2025'!R\Max</f>
        <v>0.74110173486223174</v>
      </c>
      <c r="CE298" s="1189">
        <f>'2026'!R\Max</f>
        <v>0.74053392638754445</v>
      </c>
      <c r="CF298" s="1190">
        <f>'2027'!R\Max</f>
        <v>0.73964416805940714</v>
      </c>
    </row>
    <row r="299" spans="1:84" s="6" customFormat="1" ht="11.25" x14ac:dyDescent="0.2">
      <c r="A299" s="11">
        <v>43385</v>
      </c>
      <c r="B299" s="382">
        <f>'2022'!Maxi_hp</f>
        <v>33.883133366229487</v>
      </c>
      <c r="C299" s="85">
        <f>'2022'!An_max</f>
        <v>2021</v>
      </c>
      <c r="D299" s="1134"/>
      <c r="E299" s="711"/>
      <c r="F299" s="13">
        <f t="shared" si="128"/>
        <v>21</v>
      </c>
      <c r="G299" s="13">
        <f t="shared" si="112"/>
        <v>22</v>
      </c>
      <c r="H299" s="175">
        <f t="shared" si="113"/>
        <v>43374</v>
      </c>
      <c r="I299" s="774">
        <f t="shared" si="114"/>
        <v>0.7857142857142857</v>
      </c>
      <c r="J299" s="765">
        <f t="shared" si="115"/>
        <v>34.337362099791477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P299" s="13">
        <f t="shared" si="116"/>
        <v>11</v>
      </c>
      <c r="AQ299" s="13">
        <f t="shared" si="117"/>
        <v>12</v>
      </c>
      <c r="AR299" s="175">
        <f t="shared" si="118"/>
        <v>43360</v>
      </c>
      <c r="AS299" s="774">
        <f t="shared" si="119"/>
        <v>0.8928571428571429</v>
      </c>
      <c r="AT299" s="791">
        <f t="shared" si="120"/>
        <v>34.303811078545237</v>
      </c>
      <c r="AU299" s="13">
        <f t="shared" si="121"/>
        <v>11</v>
      </c>
      <c r="AV299" s="13">
        <f t="shared" si="122"/>
        <v>12</v>
      </c>
      <c r="AW299" s="175">
        <f t="shared" si="123"/>
        <v>43374</v>
      </c>
      <c r="AX299" s="774">
        <f t="shared" si="124"/>
        <v>0.39285714285714285</v>
      </c>
      <c r="AY299" s="791">
        <f t="shared" si="125"/>
        <v>34.632046647679189</v>
      </c>
      <c r="AZ299" s="765">
        <f t="shared" si="129"/>
        <v>34.467928863112213</v>
      </c>
      <c r="BA299" s="649">
        <f t="shared" si="126"/>
        <v>0.98677158914415419</v>
      </c>
      <c r="BB299" s="644">
        <v>43385</v>
      </c>
      <c r="BC299" s="11">
        <v>43385</v>
      </c>
      <c r="BD299" s="292">
        <f>[2]!FeuilCaduc*(1-Persistant)+Persistant</f>
        <v>1</v>
      </c>
      <c r="BE299" s="293">
        <f>[2]!CroissVégét</f>
        <v>0.99423611258398381</v>
      </c>
      <c r="BF299" s="844">
        <f>1+[2]!Salcycl*Ksac</f>
        <v>1.0507769073986981</v>
      </c>
      <c r="BH299" s="1107">
        <f t="shared" si="127"/>
        <v>1.674310420813175E-2</v>
      </c>
      <c r="BI299" s="11">
        <v>44481</v>
      </c>
      <c r="BJ299" s="744">
        <v>3.4683345294693139E-3</v>
      </c>
      <c r="BK299" s="744">
        <v>8.2584890335804986E-3</v>
      </c>
      <c r="BL299" s="744">
        <v>1.4826936936886281E-2</v>
      </c>
      <c r="BM299" s="744">
        <v>2.4418516437440353E-2</v>
      </c>
      <c r="BN299" s="744">
        <v>3.7920673037087571E-2</v>
      </c>
      <c r="BO299" s="745">
        <v>7.0426829898837459E-2</v>
      </c>
      <c r="BP299" s="744">
        <v>0.13504244781396205</v>
      </c>
      <c r="BQ299" s="744">
        <v>0.22353808890361748</v>
      </c>
      <c r="BR299" s="744">
        <v>0.3204788576175216</v>
      </c>
      <c r="BS299" s="744">
        <v>0.42163879016316946</v>
      </c>
      <c r="BT299" s="744">
        <v>0.53364523115862461</v>
      </c>
      <c r="BW299" s="1191">
        <f>'2018'!R\Max</f>
        <v>0.90332202614486767</v>
      </c>
      <c r="BX299" s="1189">
        <f>'2019'!R\Max</f>
        <v>0.49515545109860754</v>
      </c>
      <c r="BY299" s="1189">
        <f>'2020'!R\Max</f>
        <v>0.48864652088208532</v>
      </c>
      <c r="BZ299" s="1189">
        <f>'2021'!R\Max</f>
        <v>0.98677158914415419</v>
      </c>
      <c r="CA299" s="1189">
        <f>'2022'!R\Max</f>
        <v>0.80615415139407209</v>
      </c>
      <c r="CB299" s="1189">
        <f>'2023'!R\Max</f>
        <v>0.80394821403559857</v>
      </c>
      <c r="CC299" s="1189">
        <f>'2024'!R\Max</f>
        <v>0.80056523910181387</v>
      </c>
      <c r="CD299" s="1189">
        <f>'2025'!R\Max</f>
        <v>0.8103294889670376</v>
      </c>
      <c r="CE299" s="1189">
        <f>'2026'!R\Max</f>
        <v>0.80986705345973053</v>
      </c>
      <c r="CF299" s="1190">
        <f>'2027'!R\Max</f>
        <v>0.80911605344546766</v>
      </c>
    </row>
    <row r="300" spans="1:84" s="6" customFormat="1" ht="11.25" x14ac:dyDescent="0.2">
      <c r="A300" s="11">
        <v>43386</v>
      </c>
      <c r="B300" s="382">
        <f>'2022'!Maxi_hp</f>
        <v>32.567800155049106</v>
      </c>
      <c r="C300" s="85">
        <f>'2022'!An_max</f>
        <v>2021</v>
      </c>
      <c r="D300" s="1134"/>
      <c r="E300" s="711"/>
      <c r="F300" s="13">
        <f t="shared" si="128"/>
        <v>21</v>
      </c>
      <c r="G300" s="13">
        <f t="shared" si="112"/>
        <v>22</v>
      </c>
      <c r="H300" s="175">
        <f t="shared" si="113"/>
        <v>43374</v>
      </c>
      <c r="I300" s="774">
        <f t="shared" si="114"/>
        <v>0.8571428571428571</v>
      </c>
      <c r="J300" s="765">
        <f t="shared" si="115"/>
        <v>33.907535860434706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P300" s="13">
        <f t="shared" si="116"/>
        <v>11</v>
      </c>
      <c r="AQ300" s="13">
        <f t="shared" si="117"/>
        <v>12</v>
      </c>
      <c r="AR300" s="175">
        <f t="shared" si="118"/>
        <v>43360</v>
      </c>
      <c r="AS300" s="774">
        <f t="shared" si="119"/>
        <v>0.9285714285714286</v>
      </c>
      <c r="AT300" s="791">
        <f t="shared" si="120"/>
        <v>33.883895044720603</v>
      </c>
      <c r="AU300" s="13">
        <f t="shared" si="121"/>
        <v>11</v>
      </c>
      <c r="AV300" s="13">
        <f t="shared" si="122"/>
        <v>12</v>
      </c>
      <c r="AW300" s="175">
        <f t="shared" si="123"/>
        <v>43374</v>
      </c>
      <c r="AX300" s="774">
        <f t="shared" si="124"/>
        <v>0.42857142857142855</v>
      </c>
      <c r="AY300" s="791">
        <f t="shared" si="125"/>
        <v>34.204883965796661</v>
      </c>
      <c r="AZ300" s="765">
        <f t="shared" si="129"/>
        <v>34.044389505258636</v>
      </c>
      <c r="BA300" s="649">
        <f t="shared" si="126"/>
        <v>0.96048855596879623</v>
      </c>
      <c r="BB300" s="644">
        <v>43386</v>
      </c>
      <c r="BC300" s="11">
        <v>43386</v>
      </c>
      <c r="BD300" s="292">
        <f>[2]!FeuilCaduc*(1-Persistant)+Persistant</f>
        <v>1</v>
      </c>
      <c r="BE300" s="293">
        <f>[2]!CroissVégét</f>
        <v>0.99448008524317211</v>
      </c>
      <c r="BF300" s="844">
        <f>1+[2]!Salcycl*Ksac</f>
        <v>1.0500010086589593</v>
      </c>
      <c r="BH300" s="1107">
        <f t="shared" si="127"/>
        <v>1.6486315969117149E-2</v>
      </c>
      <c r="BI300" s="11">
        <v>44482</v>
      </c>
      <c r="BJ300" s="744">
        <v>3.4244410110528195E-3</v>
      </c>
      <c r="BK300" s="744">
        <v>8.1439516984034167E-3</v>
      </c>
      <c r="BL300" s="744">
        <v>1.4603400885888239E-2</v>
      </c>
      <c r="BM300" s="744">
        <v>2.4028533015320628E-2</v>
      </c>
      <c r="BN300" s="744">
        <v>3.7702334571900788E-2</v>
      </c>
      <c r="BO300" s="745">
        <v>7.2254369545884503E-2</v>
      </c>
      <c r="BP300" s="744">
        <v>0.13910736466291199</v>
      </c>
      <c r="BQ300" s="744">
        <v>0.22869485618018637</v>
      </c>
      <c r="BR300" s="744">
        <v>0.32559994220245198</v>
      </c>
      <c r="BS300" s="744">
        <v>0.42744495327312265</v>
      </c>
      <c r="BT300" s="744">
        <v>0.54181204588973964</v>
      </c>
      <c r="BW300" s="1191">
        <f>'2018'!R\Max</f>
        <v>0.70327161340308586</v>
      </c>
      <c r="BX300" s="1189">
        <f>'2019'!R\Max</f>
        <v>0.93213547196233226</v>
      </c>
      <c r="BY300" s="1189">
        <f>'2020'!R\Max</f>
        <v>0.70847787800606843</v>
      </c>
      <c r="BZ300" s="1189">
        <f>'2021'!R\Max</f>
        <v>0.96048855596879623</v>
      </c>
      <c r="CA300" s="1189">
        <f>'2022'!R\Max</f>
        <v>0.6708932868665447</v>
      </c>
      <c r="CB300" s="1189">
        <f>'2023'!R\Max</f>
        <v>0.66764557110693445</v>
      </c>
      <c r="CC300" s="1189">
        <f>'2024'!R\Max</f>
        <v>0.66277178846701845</v>
      </c>
      <c r="CD300" s="1189">
        <f>'2025'!R\Max</f>
        <v>0.67713949541674268</v>
      </c>
      <c r="CE300" s="1189">
        <f>'2026'!R\Max</f>
        <v>0.67646811027095488</v>
      </c>
      <c r="CF300" s="1190">
        <f>'2027'!R\Max</f>
        <v>0.67534180637135877</v>
      </c>
    </row>
    <row r="301" spans="1:84" s="6" customFormat="1" ht="11.25" x14ac:dyDescent="0.2">
      <c r="A301" s="11">
        <v>43387</v>
      </c>
      <c r="B301" s="382">
        <f>'2022'!Maxi_hp</f>
        <v>34.446907354425804</v>
      </c>
      <c r="C301" s="85">
        <f>'2022'!An_max</f>
        <v>2021</v>
      </c>
      <c r="D301" s="1134"/>
      <c r="E301" s="711"/>
      <c r="F301" s="13">
        <f t="shared" si="128"/>
        <v>21</v>
      </c>
      <c r="G301" s="13">
        <f t="shared" si="112"/>
        <v>22</v>
      </c>
      <c r="H301" s="175">
        <f t="shared" si="113"/>
        <v>43374</v>
      </c>
      <c r="I301" s="774">
        <f t="shared" si="114"/>
        <v>0.9285714285714286</v>
      </c>
      <c r="J301" s="765">
        <f t="shared" si="115"/>
        <v>33.486441982776988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P301" s="13">
        <f t="shared" si="116"/>
        <v>11</v>
      </c>
      <c r="AQ301" s="13">
        <f t="shared" si="117"/>
        <v>12</v>
      </c>
      <c r="AR301" s="175">
        <f t="shared" si="118"/>
        <v>43360</v>
      </c>
      <c r="AS301" s="774">
        <f t="shared" si="119"/>
        <v>0.9642857142857143</v>
      </c>
      <c r="AT301" s="791">
        <f t="shared" si="120"/>
        <v>33.474082799335676</v>
      </c>
      <c r="AU301" s="13">
        <f t="shared" si="121"/>
        <v>11</v>
      </c>
      <c r="AV301" s="13">
        <f t="shared" si="122"/>
        <v>12</v>
      </c>
      <c r="AW301" s="175">
        <f t="shared" si="123"/>
        <v>43374</v>
      </c>
      <c r="AX301" s="774">
        <f t="shared" si="124"/>
        <v>0.4642857142857143</v>
      </c>
      <c r="AY301" s="791">
        <f t="shared" si="125"/>
        <v>33.779643149108495</v>
      </c>
      <c r="AZ301" s="765">
        <f t="shared" si="129"/>
        <v>33.626862974222085</v>
      </c>
      <c r="BA301" s="649">
        <f t="shared" si="126"/>
        <v>1.0286822162874996</v>
      </c>
      <c r="BB301" s="644">
        <v>43387</v>
      </c>
      <c r="BC301" s="11">
        <v>43387</v>
      </c>
      <c r="BD301" s="292">
        <f>[2]!FeuilCaduc*(1-Persistant)+Persistant</f>
        <v>1</v>
      </c>
      <c r="BE301" s="293">
        <f>[2]!CroissVégét</f>
        <v>0.99471434732473374</v>
      </c>
      <c r="BF301" s="844">
        <f>1+[2]!Salcycl*Ksac</f>
        <v>1.0492054780432458</v>
      </c>
      <c r="BH301" s="1107">
        <f t="shared" si="127"/>
        <v>1.6214261896629993E-2</v>
      </c>
      <c r="BI301" s="11">
        <v>44483</v>
      </c>
      <c r="BJ301" s="744">
        <v>3.3766600090733914E-3</v>
      </c>
      <c r="BK301" s="744">
        <v>8.0176852530969758E-3</v>
      </c>
      <c r="BL301" s="744">
        <v>1.4364769632499464E-2</v>
      </c>
      <c r="BM301" s="744">
        <v>2.3622600278744337E-2</v>
      </c>
      <c r="BN301" s="744">
        <v>3.7541457153584541E-2</v>
      </c>
      <c r="BO301" s="745">
        <v>7.4263362460762136E-2</v>
      </c>
      <c r="BP301" s="744">
        <v>0.14317809930553624</v>
      </c>
      <c r="BQ301" s="744">
        <v>0.23375852536349262</v>
      </c>
      <c r="BR301" s="744">
        <v>0.33061803151751484</v>
      </c>
      <c r="BS301" s="744">
        <v>0.43331586797942773</v>
      </c>
      <c r="BT301" s="744">
        <v>0.54993772712107036</v>
      </c>
      <c r="BW301" s="1191">
        <f>'2018'!R\Max</f>
        <v>0.92119328964720693</v>
      </c>
      <c r="BX301" s="1189">
        <f>'2019'!R\Max</f>
        <v>0.3090064005023529</v>
      </c>
      <c r="BY301" s="1189">
        <f>'2020'!R\Max</f>
        <v>0.65125073954410029</v>
      </c>
      <c r="BZ301" s="1189">
        <f>'2021'!R\Max</f>
        <v>1.0286822162874996</v>
      </c>
      <c r="CA301" s="1189">
        <f>'2022'!R\Max</f>
        <v>0.5683878618988375</v>
      </c>
      <c r="CB301" s="1189">
        <f>'2023'!R\Max</f>
        <v>0.56463850245350411</v>
      </c>
      <c r="CC301" s="1189">
        <f>'2024'!R\Max</f>
        <v>0.55911715089961578</v>
      </c>
      <c r="CD301" s="1189">
        <f>'2025'!R\Max</f>
        <v>0.57572874703471433</v>
      </c>
      <c r="CE301" s="1189">
        <f>'2026'!R\Max</f>
        <v>0.57495968132433373</v>
      </c>
      <c r="CF301" s="1190">
        <f>'2027'!R\Max</f>
        <v>0.57362932293767455</v>
      </c>
    </row>
    <row r="302" spans="1:84" s="6" customFormat="1" ht="11.25" x14ac:dyDescent="0.2">
      <c r="A302" s="11">
        <v>43388</v>
      </c>
      <c r="B302" s="382">
        <f>'2022'!Maxi_hp</f>
        <v>32.705662850477829</v>
      </c>
      <c r="C302" s="85">
        <f>'2022'!An_max</f>
        <v>2022</v>
      </c>
      <c r="D302" s="1134"/>
      <c r="E302" s="773">
        <f>AH$13/10</f>
        <v>33.075200000000002</v>
      </c>
      <c r="F302" s="13">
        <f t="shared" si="128"/>
        <v>23</v>
      </c>
      <c r="G302" s="13">
        <f t="shared" si="112"/>
        <v>22</v>
      </c>
      <c r="H302" s="175">
        <f t="shared" si="113"/>
        <v>43402</v>
      </c>
      <c r="I302" s="774">
        <f t="shared" si="114"/>
        <v>1</v>
      </c>
      <c r="J302" s="765">
        <f t="shared" si="115"/>
        <v>33.075200001895425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P302" s="13">
        <f t="shared" si="116"/>
        <v>13</v>
      </c>
      <c r="AQ302" s="13">
        <f t="shared" si="117"/>
        <v>12</v>
      </c>
      <c r="AR302" s="175">
        <f t="shared" si="118"/>
        <v>43416</v>
      </c>
      <c r="AS302" s="774">
        <f t="shared" si="119"/>
        <v>1</v>
      </c>
      <c r="AT302" s="791">
        <f t="shared" si="120"/>
        <v>33.07520000040531</v>
      </c>
      <c r="AU302" s="13">
        <f t="shared" si="121"/>
        <v>11</v>
      </c>
      <c r="AV302" s="13">
        <f t="shared" si="122"/>
        <v>12</v>
      </c>
      <c r="AW302" s="175">
        <f t="shared" si="123"/>
        <v>43374</v>
      </c>
      <c r="AX302" s="774">
        <f t="shared" si="124"/>
        <v>0.5</v>
      </c>
      <c r="AY302" s="791">
        <f t="shared" si="125"/>
        <v>33.356800001300869</v>
      </c>
      <c r="AZ302" s="765">
        <f t="shared" si="129"/>
        <v>33.216000000853086</v>
      </c>
      <c r="BA302" s="649">
        <f t="shared" si="126"/>
        <v>0.98882736456933229</v>
      </c>
      <c r="BB302" s="644">
        <v>43388</v>
      </c>
      <c r="BC302" s="11">
        <v>43388</v>
      </c>
      <c r="BD302" s="292">
        <f>[2]!FeuilCaduc*(1-Persistant)+Persistant</f>
        <v>1</v>
      </c>
      <c r="BE302" s="293">
        <f>[2]!CroissVégét</f>
        <v>0.99493928100346574</v>
      </c>
      <c r="BF302" s="844">
        <f>1+[2]!Salcycl*Ksac</f>
        <v>1.0483907114646689</v>
      </c>
      <c r="BH302" s="1107">
        <f t="shared" si="127"/>
        <v>1.5926902945763852E-2</v>
      </c>
      <c r="BI302" s="11">
        <v>44484</v>
      </c>
      <c r="BJ302" s="744">
        <v>3.3249822131205665E-3</v>
      </c>
      <c r="BK302" s="744">
        <v>7.8796638072422039E-3</v>
      </c>
      <c r="BL302" s="744">
        <v>1.4111006118052133E-2</v>
      </c>
      <c r="BM302" s="744">
        <v>2.3200671226714598E-2</v>
      </c>
      <c r="BN302" s="744">
        <v>3.743809097238588E-2</v>
      </c>
      <c r="BO302" s="745">
        <v>7.645399370015904E-2</v>
      </c>
      <c r="BP302" s="744">
        <v>0.14725447087076393</v>
      </c>
      <c r="BQ302" s="744">
        <v>0.23872865480092653</v>
      </c>
      <c r="BR302" s="744">
        <v>0.33553256386091568</v>
      </c>
      <c r="BS302" s="744">
        <v>0.43925111530778826</v>
      </c>
      <c r="BT302" s="744">
        <v>0.55802154524882108</v>
      </c>
      <c r="BW302" s="1191">
        <f>'2018'!R\Max</f>
        <v>0.34166728177477429</v>
      </c>
      <c r="BX302" s="1189">
        <f>'2019'!R\Max</f>
        <v>0.84155406661998933</v>
      </c>
      <c r="BY302" s="1189">
        <f>'2020'!R\Max</f>
        <v>0.39620812405429334</v>
      </c>
      <c r="BZ302" s="1189">
        <f>'2021'!R\Max</f>
        <v>0.9081755222955783</v>
      </c>
      <c r="CA302" s="1189">
        <f>'2022'!R\Max</f>
        <v>0.98882736456933229</v>
      </c>
      <c r="CB302" s="1189">
        <f>'2023'!R\Max</f>
        <v>0.98865101409933154</v>
      </c>
      <c r="CC302" s="1189">
        <f>'2024'!R\Max</f>
        <v>0.98839052459355792</v>
      </c>
      <c r="CD302" s="1189">
        <f>'2025'!R\Max</f>
        <v>0.98917130063401582</v>
      </c>
      <c r="CE302" s="1189">
        <f>'2026'!R\Max</f>
        <v>0.9891365228030079</v>
      </c>
      <c r="CF302" s="1190">
        <f>'2027'!R\Max</f>
        <v>0.98907434110079773</v>
      </c>
    </row>
    <row r="303" spans="1:84" s="6" customFormat="1" ht="11.25" x14ac:dyDescent="0.2">
      <c r="A303" s="11">
        <v>43389</v>
      </c>
      <c r="B303" s="382">
        <f>'2022'!Maxi_hp</f>
        <v>31.515402769838211</v>
      </c>
      <c r="C303" s="85">
        <f>'2022'!An_max</f>
        <v>2021</v>
      </c>
      <c r="D303" s="1134"/>
      <c r="E303" s="711"/>
      <c r="F303" s="13">
        <f t="shared" si="128"/>
        <v>23</v>
      </c>
      <c r="G303" s="13">
        <f t="shared" si="112"/>
        <v>22</v>
      </c>
      <c r="H303" s="175">
        <f t="shared" si="113"/>
        <v>43402</v>
      </c>
      <c r="I303" s="774">
        <f t="shared" si="114"/>
        <v>0.9285714285714286</v>
      </c>
      <c r="J303" s="765">
        <f t="shared" si="115"/>
        <v>32.672858310384406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P303" s="13">
        <f t="shared" si="116"/>
        <v>13</v>
      </c>
      <c r="AQ303" s="13">
        <f t="shared" si="117"/>
        <v>12</v>
      </c>
      <c r="AR303" s="175">
        <f t="shared" si="118"/>
        <v>43416</v>
      </c>
      <c r="AS303" s="774">
        <f t="shared" si="119"/>
        <v>0.9642857142857143</v>
      </c>
      <c r="AT303" s="791">
        <f t="shared" si="120"/>
        <v>32.683451895069865</v>
      </c>
      <c r="AU303" s="13">
        <f t="shared" si="121"/>
        <v>11</v>
      </c>
      <c r="AV303" s="13">
        <f t="shared" si="122"/>
        <v>12</v>
      </c>
      <c r="AW303" s="175">
        <f t="shared" si="123"/>
        <v>43374</v>
      </c>
      <c r="AX303" s="774">
        <f t="shared" si="124"/>
        <v>0.5357142857142857</v>
      </c>
      <c r="AY303" s="791">
        <f t="shared" si="125"/>
        <v>32.936830321489836</v>
      </c>
      <c r="AZ303" s="765">
        <f t="shared" si="129"/>
        <v>32.810141108279851</v>
      </c>
      <c r="BA303" s="649">
        <f t="shared" si="126"/>
        <v>0.96457440210615664</v>
      </c>
      <c r="BB303" s="644">
        <v>43389</v>
      </c>
      <c r="BC303" s="11">
        <v>43389</v>
      </c>
      <c r="BD303" s="292">
        <f>[2]!FeuilCaduc*(1-Persistant)+Persistant</f>
        <v>1</v>
      </c>
      <c r="BE303" s="293">
        <f>[2]!CroissVégét</f>
        <v>0.99515525375273173</v>
      </c>
      <c r="BF303" s="844">
        <f>1+[2]!Salcycl*Ksac</f>
        <v>1.047557178616608</v>
      </c>
      <c r="BH303" s="1107">
        <f t="shared" si="127"/>
        <v>1.5624201601228052E-2</v>
      </c>
      <c r="BI303" s="11">
        <v>44485</v>
      </c>
      <c r="BJ303" s="744">
        <v>3.269398607167543E-3</v>
      </c>
      <c r="BK303" s="744">
        <v>7.7298622759998789E-3</v>
      </c>
      <c r="BL303" s="744">
        <v>1.3842074660605103E-2</v>
      </c>
      <c r="BM303" s="744">
        <v>2.2762701000263785E-2</v>
      </c>
      <c r="BN303" s="744">
        <v>3.739228583123811E-2</v>
      </c>
      <c r="BO303" s="745">
        <v>7.8826436056175272E-2</v>
      </c>
      <c r="BP303" s="744">
        <v>0.15133628098817545</v>
      </c>
      <c r="BQ303" s="744">
        <v>0.24360478323853099</v>
      </c>
      <c r="BR303" s="744">
        <v>0.34034295854401336</v>
      </c>
      <c r="BS303" s="744">
        <v>0.4452502504013145</v>
      </c>
      <c r="BT303" s="744">
        <v>0.56606273739817081</v>
      </c>
      <c r="BW303" s="1191">
        <f>'2018'!R\Max</f>
        <v>0.62466388382073978</v>
      </c>
      <c r="BX303" s="1189">
        <f>'2019'!R\Max</f>
        <v>0.91295702892848563</v>
      </c>
      <c r="BY303" s="1189">
        <f>'2020'!R\Max</f>
        <v>0.55211732099211686</v>
      </c>
      <c r="BZ303" s="1189">
        <f>'2021'!R\Max</f>
        <v>0.96457440210615664</v>
      </c>
      <c r="CA303" s="1189">
        <f>'2022'!R\Max</f>
        <v>0.92994798197938056</v>
      </c>
      <c r="CB303" s="1189">
        <f>'2023'!R\Max</f>
        <v>0.92887296308786105</v>
      </c>
      <c r="CC303" s="1189">
        <f>'2024'!R\Max</f>
        <v>0.92730686788868044</v>
      </c>
      <c r="CD303" s="1189">
        <f>'2025'!R\Max</f>
        <v>0.93208751885428676</v>
      </c>
      <c r="CE303" s="1189">
        <f>'2026'!R\Max</f>
        <v>0.93187504887163397</v>
      </c>
      <c r="CF303" s="1190">
        <f>'2027'!R\Max</f>
        <v>0.93148490652756211</v>
      </c>
    </row>
    <row r="304" spans="1:84" s="6" customFormat="1" ht="11.25" x14ac:dyDescent="0.2">
      <c r="A304" s="11">
        <v>43390</v>
      </c>
      <c r="B304" s="382">
        <f>'2022'!Maxi_hp</f>
        <v>29.529771052990444</v>
      </c>
      <c r="C304" s="85">
        <f>'2022'!An_max</f>
        <v>2021</v>
      </c>
      <c r="D304" s="1134"/>
      <c r="E304" s="711"/>
      <c r="F304" s="13">
        <f t="shared" si="128"/>
        <v>23</v>
      </c>
      <c r="G304" s="13">
        <f t="shared" si="112"/>
        <v>22</v>
      </c>
      <c r="H304" s="175">
        <f t="shared" si="113"/>
        <v>43402</v>
      </c>
      <c r="I304" s="774">
        <f t="shared" si="114"/>
        <v>0.8571428571428571</v>
      </c>
      <c r="J304" s="765">
        <f t="shared" si="115"/>
        <v>32.277495043618337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P304" s="13">
        <f t="shared" si="116"/>
        <v>13</v>
      </c>
      <c r="AQ304" s="13">
        <f t="shared" si="117"/>
        <v>12</v>
      </c>
      <c r="AR304" s="175">
        <f t="shared" si="118"/>
        <v>43416</v>
      </c>
      <c r="AS304" s="774">
        <f t="shared" si="119"/>
        <v>0.9285714285714286</v>
      </c>
      <c r="AT304" s="791">
        <f t="shared" si="120"/>
        <v>32.294586589666352</v>
      </c>
      <c r="AU304" s="13">
        <f t="shared" si="121"/>
        <v>11</v>
      </c>
      <c r="AV304" s="13">
        <f t="shared" si="122"/>
        <v>12</v>
      </c>
      <c r="AW304" s="175">
        <f t="shared" si="123"/>
        <v>43374</v>
      </c>
      <c r="AX304" s="774">
        <f t="shared" si="124"/>
        <v>0.5714285714285714</v>
      </c>
      <c r="AY304" s="791">
        <f t="shared" si="125"/>
        <v>32.520209912836023</v>
      </c>
      <c r="AZ304" s="765">
        <f t="shared" si="129"/>
        <v>32.407398251251188</v>
      </c>
      <c r="BA304" s="649">
        <f t="shared" si="126"/>
        <v>0.91487183293143581</v>
      </c>
      <c r="BB304" s="644">
        <v>43390</v>
      </c>
      <c r="BC304" s="11">
        <v>43390</v>
      </c>
      <c r="BD304" s="292">
        <f>[2]!FeuilCaduc*(1-Persistant)+Persistant</f>
        <v>1</v>
      </c>
      <c r="BE304" s="293">
        <f>[2]!CroissVégét</f>
        <v>0.99536261888322142</v>
      </c>
      <c r="BF304" s="844">
        <f>1+[2]!Salcycl*Ksac</f>
        <v>1.0467054236797781</v>
      </c>
      <c r="BH304" s="1107">
        <f t="shared" si="127"/>
        <v>1.5311192151661653E-2</v>
      </c>
      <c r="BI304" s="11">
        <v>44486</v>
      </c>
      <c r="BJ304" s="744">
        <v>3.2076076696254756E-3</v>
      </c>
      <c r="BK304" s="744">
        <v>7.5681782561750248E-3</v>
      </c>
      <c r="BL304" s="744">
        <v>1.3558387423733853E-2</v>
      </c>
      <c r="BM304" s="744">
        <v>2.2332238302597358E-2</v>
      </c>
      <c r="BN304" s="744">
        <v>3.7554774751676748E-2</v>
      </c>
      <c r="BO304" s="745">
        <v>8.1414832765682912E-2</v>
      </c>
      <c r="BP304" s="744">
        <v>0.1554781803404319</v>
      </c>
      <c r="BQ304" s="744">
        <v>0.24840034981437739</v>
      </c>
      <c r="BR304" s="744">
        <v>0.34519617475227871</v>
      </c>
      <c r="BS304" s="744">
        <v>0.45147342809144164</v>
      </c>
      <c r="BT304" s="744">
        <v>0.57423319822468932</v>
      </c>
      <c r="BW304" s="1191">
        <f>'2018'!R\Max</f>
        <v>0.66724420621365854</v>
      </c>
      <c r="BX304" s="1189">
        <f>'2019'!R\Max</f>
        <v>0.58858542945546077</v>
      </c>
      <c r="BY304" s="1189">
        <f>'2020'!R\Max</f>
        <v>0.34914640190844259</v>
      </c>
      <c r="BZ304" s="1189">
        <f>'2021'!R\Max</f>
        <v>0.91487183293143581</v>
      </c>
      <c r="CA304" s="1189">
        <f>'2022'!R\Max</f>
        <v>0.59296191194084324</v>
      </c>
      <c r="CB304" s="1189">
        <f>'2023'!R\Max</f>
        <v>0.58887412552525975</v>
      </c>
      <c r="CC304" s="1189">
        <f>'2024'!R\Max</f>
        <v>0.5830638925464563</v>
      </c>
      <c r="CD304" s="1189">
        <f>'2025'!R\Max</f>
        <v>0.60140569089752494</v>
      </c>
      <c r="CE304" s="1189">
        <f>'2026'!R\Max</f>
        <v>0.60056509442012884</v>
      </c>
      <c r="CF304" s="1190">
        <f>'2027'!R\Max</f>
        <v>0.59899798837529827</v>
      </c>
    </row>
    <row r="305" spans="1:84" s="6" customFormat="1" ht="11.25" x14ac:dyDescent="0.2">
      <c r="A305" s="11">
        <v>43391</v>
      </c>
      <c r="B305" s="382">
        <f>'2022'!Maxi_hp</f>
        <v>32.248415453098012</v>
      </c>
      <c r="C305" s="85">
        <f>'2022'!An_max</f>
        <v>2020</v>
      </c>
      <c r="D305" s="1134"/>
      <c r="E305" s="711"/>
      <c r="F305" s="13">
        <f t="shared" si="128"/>
        <v>23</v>
      </c>
      <c r="G305" s="13">
        <f t="shared" si="112"/>
        <v>22</v>
      </c>
      <c r="H305" s="175">
        <f t="shared" si="113"/>
        <v>43402</v>
      </c>
      <c r="I305" s="774">
        <f t="shared" si="114"/>
        <v>0.7857142857142857</v>
      </c>
      <c r="J305" s="765">
        <f t="shared" si="115"/>
        <v>31.888774344112193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P305" s="13">
        <f t="shared" si="116"/>
        <v>13</v>
      </c>
      <c r="AQ305" s="13">
        <f t="shared" si="117"/>
        <v>12</v>
      </c>
      <c r="AR305" s="175">
        <f t="shared" si="118"/>
        <v>43416</v>
      </c>
      <c r="AS305" s="774">
        <f t="shared" si="119"/>
        <v>0.8928571428571429</v>
      </c>
      <c r="AT305" s="791">
        <f t="shared" si="120"/>
        <v>31.908744023820116</v>
      </c>
      <c r="AU305" s="13">
        <f t="shared" si="121"/>
        <v>11</v>
      </c>
      <c r="AV305" s="13">
        <f t="shared" si="122"/>
        <v>12</v>
      </c>
      <c r="AW305" s="175">
        <f t="shared" si="123"/>
        <v>43374</v>
      </c>
      <c r="AX305" s="774">
        <f t="shared" si="124"/>
        <v>0.6071428571428571</v>
      </c>
      <c r="AY305" s="791">
        <f t="shared" si="125"/>
        <v>32.107414578094279</v>
      </c>
      <c r="AZ305" s="765">
        <f t="shared" si="129"/>
        <v>32.008079300957199</v>
      </c>
      <c r="BA305" s="649">
        <f t="shared" si="126"/>
        <v>1.0112779846947058</v>
      </c>
      <c r="BB305" s="644">
        <v>43391</v>
      </c>
      <c r="BC305" s="11">
        <v>43391</v>
      </c>
      <c r="BD305" s="292">
        <f>[2]!FeuilCaduc*(1-Persistant)+Persistant</f>
        <v>1</v>
      </c>
      <c r="BE305" s="293">
        <f>[2]!CroissVégét</f>
        <v>0.99556171606410238</v>
      </c>
      <c r="BF305" s="844">
        <f>1+[2]!Salcycl*Ksac</f>
        <v>1.0458360655824668</v>
      </c>
      <c r="BH305" s="1107">
        <f t="shared" si="127"/>
        <v>1.4997653950686743E-2</v>
      </c>
      <c r="BI305" s="11">
        <v>44487</v>
      </c>
      <c r="BJ305" s="744">
        <v>3.1382667857174935E-3</v>
      </c>
      <c r="BK305" s="744">
        <v>7.4000527957124298E-3</v>
      </c>
      <c r="BL305" s="744">
        <v>1.3269354717199644E-2</v>
      </c>
      <c r="BM305" s="744">
        <v>2.1920540731854499E-2</v>
      </c>
      <c r="BN305" s="744">
        <v>3.7938859946713942E-2</v>
      </c>
      <c r="BO305" s="745">
        <v>8.4106796875869305E-2</v>
      </c>
      <c r="BP305" s="744">
        <v>0.15962047756279535</v>
      </c>
      <c r="BQ305" s="744">
        <v>0.25317938134509488</v>
      </c>
      <c r="BR305" s="744">
        <v>0.35019695824672464</v>
      </c>
      <c r="BS305" s="744">
        <v>0.45798588408719582</v>
      </c>
      <c r="BT305" s="744">
        <v>0.58258546424282998</v>
      </c>
      <c r="BW305" s="1191">
        <f>'2018'!R\Max</f>
        <v>0.31019791397125118</v>
      </c>
      <c r="BX305" s="1189">
        <f>'2019'!R\Max</f>
        <v>0.46308403375236634</v>
      </c>
      <c r="BY305" s="1189">
        <f>'2020'!R\Max</f>
        <v>1.0112779846947058</v>
      </c>
      <c r="BZ305" s="1189">
        <f>'2021'!R\Max</f>
        <v>0.96630997042112632</v>
      </c>
      <c r="CA305" s="1189">
        <f>'2022'!R\Max</f>
        <v>0.95147312289229369</v>
      </c>
      <c r="CB305" s="1189">
        <f>'2023'!R\Max</f>
        <v>0.9506622135989784</v>
      </c>
      <c r="CC305" s="1189">
        <f>'2024'!R\Max</f>
        <v>0.94950341894786716</v>
      </c>
      <c r="CD305" s="1189">
        <f>'2025'!R\Max</f>
        <v>0.95315053706702035</v>
      </c>
      <c r="CE305" s="1189">
        <f>'2026'!R\Max</f>
        <v>0.95298482015838304</v>
      </c>
      <c r="CF305" s="1190">
        <f>'2027'!R\Max</f>
        <v>0.95267210375361222</v>
      </c>
    </row>
    <row r="306" spans="1:84" s="6" customFormat="1" ht="11.25" x14ac:dyDescent="0.2">
      <c r="A306" s="11">
        <v>43392</v>
      </c>
      <c r="B306" s="382">
        <f>'2022'!Maxi_hp</f>
        <v>30.51278811937587</v>
      </c>
      <c r="C306" s="85">
        <f>'2022'!An_max</f>
        <v>2020</v>
      </c>
      <c r="D306" s="1134"/>
      <c r="E306" s="711"/>
      <c r="F306" s="13">
        <f t="shared" si="128"/>
        <v>23</v>
      </c>
      <c r="G306" s="13">
        <f t="shared" si="112"/>
        <v>22</v>
      </c>
      <c r="H306" s="175">
        <f t="shared" si="113"/>
        <v>43402</v>
      </c>
      <c r="I306" s="774">
        <f t="shared" si="114"/>
        <v>0.7142857142857143</v>
      </c>
      <c r="J306" s="765">
        <f t="shared" si="115"/>
        <v>31.506360350442783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P306" s="13">
        <f t="shared" si="116"/>
        <v>13</v>
      </c>
      <c r="AQ306" s="13">
        <f t="shared" si="117"/>
        <v>12</v>
      </c>
      <c r="AR306" s="175">
        <f t="shared" si="118"/>
        <v>43416</v>
      </c>
      <c r="AS306" s="774">
        <f t="shared" si="119"/>
        <v>0.8571428571428571</v>
      </c>
      <c r="AT306" s="791">
        <f t="shared" si="120"/>
        <v>31.526064139817443</v>
      </c>
      <c r="AU306" s="13">
        <f t="shared" si="121"/>
        <v>11</v>
      </c>
      <c r="AV306" s="13">
        <f t="shared" si="122"/>
        <v>12</v>
      </c>
      <c r="AW306" s="175">
        <f t="shared" si="123"/>
        <v>43374</v>
      </c>
      <c r="AX306" s="774">
        <f t="shared" si="124"/>
        <v>0.6428571428571429</v>
      </c>
      <c r="AY306" s="791">
        <f t="shared" si="125"/>
        <v>31.698920117198888</v>
      </c>
      <c r="AZ306" s="765">
        <f t="shared" si="129"/>
        <v>31.612492128508165</v>
      </c>
      <c r="BA306" s="649">
        <f t="shared" si="126"/>
        <v>0.96846439195084777</v>
      </c>
      <c r="BB306" s="644">
        <v>43392</v>
      </c>
      <c r="BC306" s="11">
        <v>43392</v>
      </c>
      <c r="BD306" s="292">
        <f>[2]!FeuilCaduc*(1-Persistant)+Persistant</f>
        <v>1</v>
      </c>
      <c r="BE306" s="293">
        <f>[2]!CroissVégét</f>
        <v>0.99575287182696259</v>
      </c>
      <c r="BF306" s="844">
        <f>1+[2]!Salcycl*Ksac</f>
        <v>1.044949797799023</v>
      </c>
      <c r="BH306" s="1107">
        <f t="shared" si="127"/>
        <v>1.4683576904153312E-2</v>
      </c>
      <c r="BI306" s="11">
        <v>44488</v>
      </c>
      <c r="BJ306" s="744">
        <v>3.0613627730632447E-3</v>
      </c>
      <c r="BK306" s="744">
        <v>7.2254719386490194E-3</v>
      </c>
      <c r="BL306" s="744">
        <v>1.2974960548987722E-2</v>
      </c>
      <c r="BM306" s="744">
        <v>2.1527621818411041E-2</v>
      </c>
      <c r="BN306" s="744">
        <v>3.8544824736005866E-2</v>
      </c>
      <c r="BO306" s="745">
        <v>8.6902335855071525E-2</v>
      </c>
      <c r="BP306" s="744">
        <v>0.16376291358630909</v>
      </c>
      <c r="BQ306" s="744">
        <v>0.25794147966146735</v>
      </c>
      <c r="BR306" s="744">
        <v>0.35534504831774805</v>
      </c>
      <c r="BS306" s="744">
        <v>0.46478742235005882</v>
      </c>
      <c r="BT306" s="744">
        <v>0.59111900557231634</v>
      </c>
      <c r="BW306" s="1191">
        <f>'2018'!R\Max</f>
        <v>0.67986040745736942</v>
      </c>
      <c r="BX306" s="1189">
        <f>'2019'!R\Max</f>
        <v>0.84148974206759564</v>
      </c>
      <c r="BY306" s="1189">
        <f>'2020'!R\Max</f>
        <v>0.96846439195084777</v>
      </c>
      <c r="BZ306" s="1189">
        <f>'2021'!R\Max</f>
        <v>0.93430715845893886</v>
      </c>
      <c r="CA306" s="1189">
        <f>'2022'!R\Max</f>
        <v>0.51194368627237097</v>
      </c>
      <c r="CB306" s="1189">
        <f>'2023'!R\Max</f>
        <v>0.50746300070275208</v>
      </c>
      <c r="CC306" s="1189">
        <f>'2024'!R\Max</f>
        <v>0.50123246287844503</v>
      </c>
      <c r="CD306" s="1189">
        <f>'2025'!R\Max</f>
        <v>0.52163991424421874</v>
      </c>
      <c r="CE306" s="1189">
        <f>'2026'!R\Max</f>
        <v>0.52065372809479571</v>
      </c>
      <c r="CF306" s="1190">
        <f>'2027'!R\Max</f>
        <v>0.51880221139092586</v>
      </c>
    </row>
    <row r="307" spans="1:84" s="6" customFormat="1" ht="11.25" x14ac:dyDescent="0.2">
      <c r="A307" s="11">
        <v>43393</v>
      </c>
      <c r="B307" s="382">
        <f>'2022'!Maxi_hp</f>
        <v>26.828949468096958</v>
      </c>
      <c r="C307" s="85">
        <f>'2022'!An_max</f>
        <v>2020</v>
      </c>
      <c r="D307" s="1134"/>
      <c r="E307" s="711"/>
      <c r="F307" s="13">
        <f t="shared" si="128"/>
        <v>23</v>
      </c>
      <c r="G307" s="13">
        <f t="shared" si="112"/>
        <v>22</v>
      </c>
      <c r="H307" s="175">
        <f t="shared" si="113"/>
        <v>43402</v>
      </c>
      <c r="I307" s="774">
        <f t="shared" si="114"/>
        <v>0.6428571428571429</v>
      </c>
      <c r="J307" s="765">
        <f t="shared" si="115"/>
        <v>31.129917201399802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P307" s="13">
        <f t="shared" si="116"/>
        <v>13</v>
      </c>
      <c r="AQ307" s="13">
        <f t="shared" si="117"/>
        <v>12</v>
      </c>
      <c r="AR307" s="175">
        <f t="shared" si="118"/>
        <v>43416</v>
      </c>
      <c r="AS307" s="774">
        <f t="shared" si="119"/>
        <v>0.8214285714285714</v>
      </c>
      <c r="AT307" s="791">
        <f t="shared" si="120"/>
        <v>31.146686880157461</v>
      </c>
      <c r="AU307" s="13">
        <f t="shared" si="121"/>
        <v>11</v>
      </c>
      <c r="AV307" s="13">
        <f t="shared" si="122"/>
        <v>12</v>
      </c>
      <c r="AW307" s="175">
        <f t="shared" si="123"/>
        <v>43374</v>
      </c>
      <c r="AX307" s="774">
        <f t="shared" si="124"/>
        <v>0.6785714285714286</v>
      </c>
      <c r="AY307" s="791">
        <f t="shared" si="125"/>
        <v>31.295202333789451</v>
      </c>
      <c r="AZ307" s="765">
        <f t="shared" si="129"/>
        <v>31.220944606973454</v>
      </c>
      <c r="BA307" s="649">
        <f t="shared" si="126"/>
        <v>0.86183812486627998</v>
      </c>
      <c r="BB307" s="644">
        <v>43393</v>
      </c>
      <c r="BC307" s="11">
        <v>43393</v>
      </c>
      <c r="BD307" s="292">
        <f>[2]!FeuilCaduc*(1-Persistant)+Persistant</f>
        <v>1</v>
      </c>
      <c r="BE307" s="293">
        <f>[2]!CroissVégét</f>
        <v>0.99593640005294937</v>
      </c>
      <c r="BF307" s="844">
        <f>1+[2]!Salcycl*Ksac</f>
        <v>1.0440473876752587</v>
      </c>
      <c r="BH307" s="1107">
        <f t="shared" si="127"/>
        <v>1.436895232265244E-2</v>
      </c>
      <c r="BI307" s="11">
        <v>44489</v>
      </c>
      <c r="BJ307" s="744">
        <v>2.9768831052010922E-3</v>
      </c>
      <c r="BK307" s="744">
        <v>7.0444227673788279E-3</v>
      </c>
      <c r="BL307" s="744">
        <v>1.2675190446864297E-2</v>
      </c>
      <c r="BM307" s="744">
        <v>2.1153496036579386E-2</v>
      </c>
      <c r="BN307" s="744">
        <v>3.9372940550515947E-2</v>
      </c>
      <c r="BO307" s="745">
        <v>8.9801440902558108E-2</v>
      </c>
      <c r="BP307" s="744">
        <v>0.1679052117548239</v>
      </c>
      <c r="BQ307" s="744">
        <v>0.26268622722211071</v>
      </c>
      <c r="BR307" s="744">
        <v>0.36064015647793862</v>
      </c>
      <c r="BS307" s="744">
        <v>0.47187780615578329</v>
      </c>
      <c r="BT307" s="744">
        <v>0.59983324894058321</v>
      </c>
      <c r="BW307" s="1191">
        <f>'2018'!R\Max</f>
        <v>0.40602702752219316</v>
      </c>
      <c r="BX307" s="1189">
        <f>'2019'!R\Max</f>
        <v>0.36242918630480553</v>
      </c>
      <c r="BY307" s="1189">
        <f>'2020'!R\Max</f>
        <v>0.86183812486627998</v>
      </c>
      <c r="BZ307" s="1189">
        <f>'2021'!R\Max</f>
        <v>0.76102152479662022</v>
      </c>
      <c r="CA307" s="1189">
        <f>'2022'!R\Max</f>
        <v>0.28442426554905698</v>
      </c>
      <c r="CB307" s="1189">
        <f>'2023'!R\Max</f>
        <v>0.28072379391649466</v>
      </c>
      <c r="CC307" s="1189">
        <f>'2024'!R\Max</f>
        <v>0.27566607146571015</v>
      </c>
      <c r="CD307" s="1189">
        <f>'2025'!R\Max</f>
        <v>0.29271524791912118</v>
      </c>
      <c r="CE307" s="1189">
        <f>'2026'!R\Max</f>
        <v>0.29184502953430252</v>
      </c>
      <c r="CF307" s="1190">
        <f>'2027'!R\Max</f>
        <v>0.29022868978539346</v>
      </c>
    </row>
    <row r="308" spans="1:84" s="6" customFormat="1" ht="11.25" x14ac:dyDescent="0.2">
      <c r="A308" s="11">
        <v>43394</v>
      </c>
      <c r="B308" s="382">
        <f>'2022'!Maxi_hp</f>
        <v>22.431533601951021</v>
      </c>
      <c r="C308" s="85">
        <f>'2022'!An_max</f>
        <v>2019</v>
      </c>
      <c r="D308" s="1134"/>
      <c r="E308" s="711"/>
      <c r="F308" s="13">
        <f t="shared" si="128"/>
        <v>23</v>
      </c>
      <c r="G308" s="13">
        <f t="shared" si="112"/>
        <v>22</v>
      </c>
      <c r="H308" s="175">
        <f t="shared" si="113"/>
        <v>43402</v>
      </c>
      <c r="I308" s="774">
        <f t="shared" si="114"/>
        <v>0.5714285714285714</v>
      </c>
      <c r="J308" s="765">
        <f t="shared" si="115"/>
        <v>30.759109038540295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P308" s="13">
        <f t="shared" si="116"/>
        <v>13</v>
      </c>
      <c r="AQ308" s="13">
        <f t="shared" si="117"/>
        <v>12</v>
      </c>
      <c r="AR308" s="175">
        <f t="shared" si="118"/>
        <v>43416</v>
      </c>
      <c r="AS308" s="774">
        <f t="shared" si="119"/>
        <v>0.7857142857142857</v>
      </c>
      <c r="AT308" s="791">
        <f t="shared" si="120"/>
        <v>30.770752187126448</v>
      </c>
      <c r="AU308" s="13">
        <f t="shared" si="121"/>
        <v>11</v>
      </c>
      <c r="AV308" s="13">
        <f t="shared" si="122"/>
        <v>12</v>
      </c>
      <c r="AW308" s="175">
        <f t="shared" si="123"/>
        <v>43374</v>
      </c>
      <c r="AX308" s="774">
        <f t="shared" si="124"/>
        <v>0.7142857142857143</v>
      </c>
      <c r="AY308" s="791">
        <f t="shared" si="125"/>
        <v>30.896737027141665</v>
      </c>
      <c r="AZ308" s="765">
        <f t="shared" si="129"/>
        <v>30.833744607134058</v>
      </c>
      <c r="BA308" s="649">
        <f t="shared" si="126"/>
        <v>0.72926473825509519</v>
      </c>
      <c r="BB308" s="644">
        <v>43394</v>
      </c>
      <c r="BC308" s="11">
        <v>43394</v>
      </c>
      <c r="BD308" s="292">
        <f>[2]!FeuilCaduc*(1-Persistant)+Persistant</f>
        <v>1</v>
      </c>
      <c r="BE308" s="293">
        <f>[2]!CroissVégét</f>
        <v>0.99611260244351996</v>
      </c>
      <c r="BF308" s="844">
        <f>1+[2]!Salcycl*Ksac</f>
        <v>1.0431296752731816</v>
      </c>
      <c r="BH308" s="1107">
        <f t="shared" si="127"/>
        <v>1.4053772922765736E-2</v>
      </c>
      <c r="BI308" s="11">
        <v>44490</v>
      </c>
      <c r="BJ308" s="744">
        <v>2.8848159929377509E-3</v>
      </c>
      <c r="BK308" s="744">
        <v>6.8568934705233583E-3</v>
      </c>
      <c r="BL308" s="744">
        <v>1.2370031512546967E-2</v>
      </c>
      <c r="BM308" s="744">
        <v>2.0798178593877375E-2</v>
      </c>
      <c r="BN308" s="744">
        <v>4.0423464517460116E-2</v>
      </c>
      <c r="BO308" s="745">
        <v>9.2804085842852935E-2</v>
      </c>
      <c r="BP308" s="744">
        <v>0.17204707785512108</v>
      </c>
      <c r="BQ308" s="744">
        <v>0.2674131873286919</v>
      </c>
      <c r="BR308" s="744">
        <v>0.36608196488328865</v>
      </c>
      <c r="BS308" s="744">
        <v>0.47925675497925685</v>
      </c>
      <c r="BT308" s="744">
        <v>0.60872757575121095</v>
      </c>
      <c r="BW308" s="1191">
        <f>'2018'!R\Max</f>
        <v>0.54543571552090708</v>
      </c>
      <c r="BX308" s="1189">
        <f>'2019'!R\Max</f>
        <v>0.72926473825509519</v>
      </c>
      <c r="BY308" s="1189">
        <f>'2020'!R\Max</f>
        <v>0.1835811301065276</v>
      </c>
      <c r="BZ308" s="1189">
        <f>'2021'!R\Max</f>
        <v>0.36326318625671411</v>
      </c>
      <c r="CA308" s="1189">
        <f>'2022'!R\Max</f>
        <v>0.50825165439116693</v>
      </c>
      <c r="CB308" s="1189">
        <f>'2023'!R\Max</f>
        <v>0.50352580579926709</v>
      </c>
      <c r="CC308" s="1189">
        <f>'2024'!R\Max</f>
        <v>0.49704747355120388</v>
      </c>
      <c r="CD308" s="1189">
        <f>'2025'!R\Max</f>
        <v>0.51893679499936596</v>
      </c>
      <c r="CE308" s="1189">
        <f>'2026'!R\Max</f>
        <v>0.51778955625829626</v>
      </c>
      <c r="CF308" s="1190">
        <f>'2027'!R\Max</f>
        <v>0.51568333290747792</v>
      </c>
    </row>
    <row r="309" spans="1:84" s="6" customFormat="1" ht="11.25" x14ac:dyDescent="0.2">
      <c r="A309" s="11">
        <v>43395</v>
      </c>
      <c r="B309" s="382">
        <f>'2022'!Maxi_hp</f>
        <v>28.264273143615551</v>
      </c>
      <c r="C309" s="85">
        <f>'2022'!An_max</f>
        <v>2022</v>
      </c>
      <c r="D309" s="1134"/>
      <c r="E309" s="711"/>
      <c r="F309" s="13">
        <f t="shared" si="128"/>
        <v>23</v>
      </c>
      <c r="G309" s="13">
        <f t="shared" si="112"/>
        <v>22</v>
      </c>
      <c r="H309" s="175">
        <f t="shared" si="113"/>
        <v>43402</v>
      </c>
      <c r="I309" s="774">
        <f t="shared" si="114"/>
        <v>0.5</v>
      </c>
      <c r="J309" s="765">
        <f t="shared" si="115"/>
        <v>30.393600000813603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P309" s="13">
        <f t="shared" si="116"/>
        <v>13</v>
      </c>
      <c r="AQ309" s="13">
        <f t="shared" si="117"/>
        <v>12</v>
      </c>
      <c r="AR309" s="175">
        <f t="shared" si="118"/>
        <v>43416</v>
      </c>
      <c r="AS309" s="774">
        <f t="shared" si="119"/>
        <v>0.75</v>
      </c>
      <c r="AT309" s="791">
        <f t="shared" si="120"/>
        <v>30.398400000482798</v>
      </c>
      <c r="AU309" s="13">
        <f t="shared" si="121"/>
        <v>11</v>
      </c>
      <c r="AV309" s="13">
        <f t="shared" si="122"/>
        <v>12</v>
      </c>
      <c r="AW309" s="175">
        <f t="shared" si="123"/>
        <v>43374</v>
      </c>
      <c r="AX309" s="774">
        <f t="shared" si="124"/>
        <v>0.75</v>
      </c>
      <c r="AY309" s="791">
        <f t="shared" si="125"/>
        <v>30.504000001051462</v>
      </c>
      <c r="AZ309" s="765">
        <f t="shared" si="129"/>
        <v>30.45120000076713</v>
      </c>
      <c r="BA309" s="649">
        <f t="shared" si="126"/>
        <v>0.92994160424757011</v>
      </c>
      <c r="BB309" s="644">
        <v>43395</v>
      </c>
      <c r="BC309" s="11">
        <v>43395</v>
      </c>
      <c r="BD309" s="292">
        <f>[2]!FeuilCaduc*(1-Persistant)+Persistant</f>
        <v>1</v>
      </c>
      <c r="BE309" s="293">
        <f>[2]!CroissVégét</f>
        <v>0.99628176897521181</v>
      </c>
      <c r="BF309" s="844">
        <f>1+[2]!Salcycl*Ksac</f>
        <v>1.0421975717313483</v>
      </c>
      <c r="BH309" s="1107">
        <f t="shared" si="127"/>
        <v>1.3738032828254639E-2</v>
      </c>
      <c r="BI309" s="11">
        <v>44491</v>
      </c>
      <c r="BJ309" s="744">
        <v>2.7851504656852448E-3</v>
      </c>
      <c r="BK309" s="744">
        <v>6.6628734107721556E-3</v>
      </c>
      <c r="BL309" s="744">
        <v>1.2059472475821786E-2</v>
      </c>
      <c r="BM309" s="744">
        <v>2.0461685220209743E-2</v>
      </c>
      <c r="BN309" s="744">
        <v>4.169663704510948E-2</v>
      </c>
      <c r="BO309" s="745">
        <v>9.5910226019751063E-2</v>
      </c>
      <c r="BP309" s="744">
        <v>0.1761882001464419</v>
      </c>
      <c r="BQ309" s="744">
        <v>0.27212190434019351</v>
      </c>
      <c r="BR309" s="744">
        <v>0.37167012475307543</v>
      </c>
      <c r="BS309" s="744">
        <v>0.48692394137763467</v>
      </c>
      <c r="BT309" s="744">
        <v>0.6178013201501551</v>
      </c>
      <c r="BW309" s="1191">
        <f>'2018'!R\Max</f>
        <v>0.6745427408386927</v>
      </c>
      <c r="BX309" s="1189">
        <f>'2019'!R\Max</f>
        <v>0.14279235865518192</v>
      </c>
      <c r="BY309" s="1189">
        <f>'2020'!R\Max</f>
        <v>0.7362110982915403</v>
      </c>
      <c r="BZ309" s="1189">
        <f>'2021'!R\Max</f>
        <v>0.43560902015888864</v>
      </c>
      <c r="CA309" s="1189">
        <f>'2022'!R\Max</f>
        <v>0.92994160424757011</v>
      </c>
      <c r="CB309" s="1189">
        <f>'2023'!R\Max</f>
        <v>0.928668617879156</v>
      </c>
      <c r="CC309" s="1189">
        <f>'2024'!R\Max</f>
        <v>0.92689893620748876</v>
      </c>
      <c r="CD309" s="1189">
        <f>'2025'!R\Max</f>
        <v>0.93280660089664247</v>
      </c>
      <c r="CE309" s="1189">
        <f>'2026'!R\Max</f>
        <v>0.93249283599337418</v>
      </c>
      <c r="CF309" s="1190">
        <f>'2027'!R\Max</f>
        <v>0.93192451611299476</v>
      </c>
    </row>
    <row r="310" spans="1:84" s="6" customFormat="1" ht="11.25" x14ac:dyDescent="0.2">
      <c r="A310" s="11">
        <v>43396</v>
      </c>
      <c r="B310" s="382">
        <f>'2022'!Maxi_hp</f>
        <v>30.486938678311564</v>
      </c>
      <c r="C310" s="85">
        <f>'2022'!An_max</f>
        <v>2021</v>
      </c>
      <c r="D310" s="1134"/>
      <c r="E310" s="711"/>
      <c r="F310" s="13">
        <f t="shared" si="128"/>
        <v>23</v>
      </c>
      <c r="G310" s="13">
        <f t="shared" si="112"/>
        <v>22</v>
      </c>
      <c r="H310" s="175">
        <f t="shared" si="113"/>
        <v>43402</v>
      </c>
      <c r="I310" s="774">
        <f t="shared" si="114"/>
        <v>0.42857142857142855</v>
      </c>
      <c r="J310" s="765">
        <f t="shared" si="115"/>
        <v>30.03305422727551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P310" s="13">
        <f t="shared" si="116"/>
        <v>13</v>
      </c>
      <c r="AQ310" s="13">
        <f t="shared" si="117"/>
        <v>12</v>
      </c>
      <c r="AR310" s="175">
        <f t="shared" si="118"/>
        <v>43416</v>
      </c>
      <c r="AS310" s="774">
        <f t="shared" si="119"/>
        <v>0.7142857142857143</v>
      </c>
      <c r="AT310" s="791">
        <f t="shared" si="120"/>
        <v>30.029770262752258</v>
      </c>
      <c r="AU310" s="13">
        <f t="shared" si="121"/>
        <v>11</v>
      </c>
      <c r="AV310" s="13">
        <f t="shared" si="122"/>
        <v>12</v>
      </c>
      <c r="AW310" s="175">
        <f t="shared" si="123"/>
        <v>43374</v>
      </c>
      <c r="AX310" s="774">
        <f t="shared" si="124"/>
        <v>0.7857142857142857</v>
      </c>
      <c r="AY310" s="791">
        <f t="shared" si="125"/>
        <v>30.117467056760297</v>
      </c>
      <c r="AZ310" s="765">
        <f t="shared" si="129"/>
        <v>30.073618659756278</v>
      </c>
      <c r="BA310" s="649">
        <f t="shared" si="126"/>
        <v>1.0151128302703174</v>
      </c>
      <c r="BB310" s="644">
        <v>43396</v>
      </c>
      <c r="BC310" s="11">
        <v>43396</v>
      </c>
      <c r="BD310" s="292">
        <f>[2]!FeuilCaduc*(1-Persistant)+Persistant</f>
        <v>1</v>
      </c>
      <c r="BE310" s="293">
        <f>[2]!CroissVégét</f>
        <v>0.99644417833885535</v>
      </c>
      <c r="BF310" s="844">
        <f>1+[2]!Salcycl*Ksac</f>
        <v>1.0412520571411146</v>
      </c>
      <c r="BH310" s="1107">
        <f t="shared" si="127"/>
        <v>1.3438667153153285E-2</v>
      </c>
      <c r="BI310" s="11">
        <v>44492</v>
      </c>
      <c r="BJ310" s="744">
        <v>2.6817812119715773E-3</v>
      </c>
      <c r="BK310" s="744">
        <v>6.4656191599162744E-3</v>
      </c>
      <c r="BL310" s="744">
        <v>1.1747388755151024E-2</v>
      </c>
      <c r="BM310" s="744">
        <v>2.0213263032120812E-2</v>
      </c>
      <c r="BN310" s="744">
        <v>4.3224650306583838E-2</v>
      </c>
      <c r="BO310" s="745">
        <v>9.9136925767468798E-2</v>
      </c>
      <c r="BP310" s="744">
        <v>0.18035866109665091</v>
      </c>
      <c r="BQ310" s="744">
        <v>0.27678960073839193</v>
      </c>
      <c r="BR310" s="744">
        <v>0.37740850785168928</v>
      </c>
      <c r="BS310" s="744">
        <v>0.49473848131039017</v>
      </c>
      <c r="BT310" s="744">
        <v>0.62685865042722699</v>
      </c>
      <c r="BW310" s="1191">
        <f>'2018'!R\Max</f>
        <v>0.98213234456676235</v>
      </c>
      <c r="BX310" s="1189">
        <f>'2019'!R\Max</f>
        <v>0.60617766162829234</v>
      </c>
      <c r="BY310" s="1189">
        <f>'2020'!R\Max</f>
        <v>0.20251700305544532</v>
      </c>
      <c r="BZ310" s="1189">
        <f>'2021'!R\Max</f>
        <v>1.0151128302703174</v>
      </c>
      <c r="CA310" s="1189">
        <f>'2022'!R\Max</f>
        <v>0.62741059419686407</v>
      </c>
      <c r="CB310" s="1189">
        <f>'2023'!R\Max</f>
        <v>0.62276192491142168</v>
      </c>
      <c r="CC310" s="1189">
        <f>'2024'!R\Max</f>
        <v>0.61642095567004596</v>
      </c>
      <c r="CD310" s="1189">
        <f>'2025'!R\Max</f>
        <v>0.63831426069993802</v>
      </c>
      <c r="CE310" s="1189">
        <f>'2026'!R\Max</f>
        <v>0.63705618529981578</v>
      </c>
      <c r="CF310" s="1190">
        <f>'2027'!R\Max</f>
        <v>0.63483847899434154</v>
      </c>
    </row>
    <row r="311" spans="1:84" s="6" customFormat="1" ht="11.25" x14ac:dyDescent="0.2">
      <c r="A311" s="11">
        <v>43397</v>
      </c>
      <c r="B311" s="382">
        <f>'2022'!Maxi_hp</f>
        <v>30.713396956245166</v>
      </c>
      <c r="C311" s="85">
        <f>'2022'!An_max</f>
        <v>2021</v>
      </c>
      <c r="D311" s="1134"/>
      <c r="E311" s="711"/>
      <c r="F311" s="13">
        <f t="shared" si="128"/>
        <v>23</v>
      </c>
      <c r="G311" s="13">
        <f t="shared" si="112"/>
        <v>22</v>
      </c>
      <c r="H311" s="175">
        <f t="shared" si="113"/>
        <v>43402</v>
      </c>
      <c r="I311" s="774">
        <f t="shared" si="114"/>
        <v>0.35714285714285715</v>
      </c>
      <c r="J311" s="765">
        <f t="shared" si="115"/>
        <v>29.677135859695927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P311" s="13">
        <f t="shared" si="116"/>
        <v>13</v>
      </c>
      <c r="AQ311" s="13">
        <f t="shared" si="117"/>
        <v>12</v>
      </c>
      <c r="AR311" s="175">
        <f t="shared" si="118"/>
        <v>43416</v>
      </c>
      <c r="AS311" s="774">
        <f t="shared" si="119"/>
        <v>0.6785714285714286</v>
      </c>
      <c r="AT311" s="791">
        <f t="shared" si="120"/>
        <v>29.665002916221106</v>
      </c>
      <c r="AU311" s="13">
        <f t="shared" si="121"/>
        <v>11</v>
      </c>
      <c r="AV311" s="13">
        <f t="shared" si="122"/>
        <v>12</v>
      </c>
      <c r="AW311" s="175">
        <f t="shared" si="123"/>
        <v>43374</v>
      </c>
      <c r="AX311" s="774">
        <f t="shared" si="124"/>
        <v>0.8214285714285714</v>
      </c>
      <c r="AY311" s="791">
        <f t="shared" si="125"/>
        <v>29.737613994870998</v>
      </c>
      <c r="AZ311" s="765">
        <f t="shared" si="129"/>
        <v>29.701308455546052</v>
      </c>
      <c r="BA311" s="649">
        <f t="shared" si="126"/>
        <v>1.0349178270250994</v>
      </c>
      <c r="BB311" s="644">
        <v>43397</v>
      </c>
      <c r="BC311" s="11">
        <v>43397</v>
      </c>
      <c r="BD311" s="292">
        <f>[2]!FeuilCaduc*(1-Persistant)+Persistant</f>
        <v>1</v>
      </c>
      <c r="BE311" s="293">
        <f>[2]!CroissVégét</f>
        <v>0.99660009836364072</v>
      </c>
      <c r="BF311" s="844">
        <f>1+[2]!Salcycl*Ksac</f>
        <v>1.0402941779430692</v>
      </c>
      <c r="BH311" s="1107">
        <f t="shared" si="127"/>
        <v>1.3161051203785433E-2</v>
      </c>
      <c r="BI311" s="11">
        <v>44493</v>
      </c>
      <c r="BJ311" s="744">
        <v>2.5799219488702322E-3</v>
      </c>
      <c r="BK311" s="744">
        <v>6.2713690300797249E-3</v>
      </c>
      <c r="BL311" s="744">
        <v>1.1439345538803491E-2</v>
      </c>
      <c r="BM311" s="744">
        <v>2.0057526743565906E-2</v>
      </c>
      <c r="BN311" s="744">
        <v>4.4937163190513524E-2</v>
      </c>
      <c r="BO311" s="745">
        <v>0.10241765968925294</v>
      </c>
      <c r="BP311" s="744">
        <v>0.18461815886432117</v>
      </c>
      <c r="BQ311" s="744">
        <v>0.28145285526368991</v>
      </c>
      <c r="BR311" s="744">
        <v>0.38330395501802045</v>
      </c>
      <c r="BS311" s="744">
        <v>0.50258011613788234</v>
      </c>
      <c r="BT311" s="744">
        <v>0.63590152155283608</v>
      </c>
      <c r="BW311" s="1191">
        <f>'2018'!R\Max</f>
        <v>0.98246290948299309</v>
      </c>
      <c r="BX311" s="1189">
        <f>'2019'!R\Max</f>
        <v>0.62588468557841426</v>
      </c>
      <c r="BY311" s="1189">
        <f>'2020'!R\Max</f>
        <v>0.34828300723519162</v>
      </c>
      <c r="BZ311" s="1189">
        <f>'2021'!R\Max</f>
        <v>1.0349178270250994</v>
      </c>
      <c r="CA311" s="1189">
        <f>'2022'!R\Max</f>
        <v>0.75586448200918499</v>
      </c>
      <c r="CB311" s="1189">
        <f>'2023'!R\Max</f>
        <v>0.75209753530554246</v>
      </c>
      <c r="CC311" s="1189">
        <f>'2024'!R\Max</f>
        <v>0.7469583395143311</v>
      </c>
      <c r="CD311" s="1189">
        <f>'2025'!R\Max</f>
        <v>0.76480614425039251</v>
      </c>
      <c r="CE311" s="1189">
        <f>'2026'!R\Max</f>
        <v>0.76373769577281136</v>
      </c>
      <c r="CF311" s="1190">
        <f>'2027'!R\Max</f>
        <v>0.7618957887261768</v>
      </c>
    </row>
    <row r="312" spans="1:84" s="6" customFormat="1" ht="11.25" x14ac:dyDescent="0.2">
      <c r="A312" s="11">
        <v>43398</v>
      </c>
      <c r="B312" s="382">
        <f>'2022'!Maxi_hp</f>
        <v>29.429997890434077</v>
      </c>
      <c r="C312" s="85">
        <f>'2022'!An_max</f>
        <v>2021</v>
      </c>
      <c r="D312" s="1134"/>
      <c r="E312" s="711"/>
      <c r="F312" s="13">
        <f t="shared" si="128"/>
        <v>23</v>
      </c>
      <c r="G312" s="13">
        <f t="shared" si="112"/>
        <v>22</v>
      </c>
      <c r="H312" s="175">
        <f t="shared" si="113"/>
        <v>43402</v>
      </c>
      <c r="I312" s="774">
        <f t="shared" si="114"/>
        <v>0.2857142857142857</v>
      </c>
      <c r="J312" s="765">
        <f t="shared" si="115"/>
        <v>29.325509037503174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P312" s="13">
        <f t="shared" si="116"/>
        <v>13</v>
      </c>
      <c r="AQ312" s="13">
        <f t="shared" si="117"/>
        <v>12</v>
      </c>
      <c r="AR312" s="175">
        <f t="shared" si="118"/>
        <v>43416</v>
      </c>
      <c r="AS312" s="774">
        <f t="shared" si="119"/>
        <v>0.6428571428571429</v>
      </c>
      <c r="AT312" s="791">
        <f t="shared" si="120"/>
        <v>29.304237902058027</v>
      </c>
      <c r="AU312" s="13">
        <f t="shared" si="121"/>
        <v>11</v>
      </c>
      <c r="AV312" s="13">
        <f t="shared" si="122"/>
        <v>12</v>
      </c>
      <c r="AW312" s="175">
        <f t="shared" si="123"/>
        <v>43374</v>
      </c>
      <c r="AX312" s="774">
        <f t="shared" si="124"/>
        <v>0.8571428571428571</v>
      </c>
      <c r="AY312" s="791">
        <f t="shared" si="125"/>
        <v>29.364916619458903</v>
      </c>
      <c r="AZ312" s="765">
        <f t="shared" si="129"/>
        <v>29.334577260758465</v>
      </c>
      <c r="BA312" s="649">
        <f t="shared" si="126"/>
        <v>1.0035630703902625</v>
      </c>
      <c r="BB312" s="644">
        <v>43398</v>
      </c>
      <c r="BC312" s="11">
        <v>43398</v>
      </c>
      <c r="BD312" s="292">
        <f>[2]!FeuilCaduc*(1-Persistant)+Persistant</f>
        <v>1</v>
      </c>
      <c r="BE312" s="293">
        <f>[2]!CroissVégét</f>
        <v>0.99674978642645717</v>
      </c>
      <c r="BF312" s="844">
        <f>1+[2]!Salcycl*Ksac</f>
        <v>1.0393250438520036</v>
      </c>
      <c r="BH312" s="1107">
        <f t="shared" si="127"/>
        <v>1.2905309947536903E-2</v>
      </c>
      <c r="BI312" s="11">
        <v>44494</v>
      </c>
      <c r="BJ312" s="744">
        <v>2.4795932246806842E-3</v>
      </c>
      <c r="BK312" s="744">
        <v>6.0801722997541408E-3</v>
      </c>
      <c r="BL312" s="744">
        <v>1.1135430961788017E-2</v>
      </c>
      <c r="BM312" s="744">
        <v>1.9994748857942477E-2</v>
      </c>
      <c r="BN312" s="744">
        <v>4.6834763812066547E-2</v>
      </c>
      <c r="BO312" s="745">
        <v>0.10575326763492267</v>
      </c>
      <c r="BP312" s="744">
        <v>0.18896818873793128</v>
      </c>
      <c r="BQ312" s="744">
        <v>0.28611374904678893</v>
      </c>
      <c r="BR312" s="744">
        <v>0.38935952007083419</v>
      </c>
      <c r="BS312" s="744">
        <v>0.51045260750934052</v>
      </c>
      <c r="BT312" s="744">
        <v>0.64493462297425086</v>
      </c>
      <c r="BW312" s="1191">
        <f>'2018'!R\Max</f>
        <v>0.97140232204117238</v>
      </c>
      <c r="BX312" s="1189">
        <f>'2019'!R\Max</f>
        <v>0.88305941414241762</v>
      </c>
      <c r="BY312" s="1189">
        <f>'2020'!R\Max</f>
        <v>0.90652361501908851</v>
      </c>
      <c r="BZ312" s="1189">
        <f>'2021'!R\Max</f>
        <v>1.0035630703902625</v>
      </c>
      <c r="CA312" s="1189">
        <f>'2022'!R\Max</f>
        <v>0.70564416415562992</v>
      </c>
      <c r="CB312" s="1189">
        <f>'2023'!R\Max</f>
        <v>0.70130690940031359</v>
      </c>
      <c r="CC312" s="1189">
        <f>'2024'!R\Max</f>
        <v>0.69544487688236001</v>
      </c>
      <c r="CD312" s="1189">
        <f>'2025'!R\Max</f>
        <v>0.71617810000328141</v>
      </c>
      <c r="CE312" s="1189">
        <f>'2026'!R\Max</f>
        <v>0.71486471451844835</v>
      </c>
      <c r="CF312" s="1190">
        <f>'2027'!R\Max</f>
        <v>0.71265866000837697</v>
      </c>
    </row>
    <row r="313" spans="1:84" s="6" customFormat="1" ht="11.25" x14ac:dyDescent="0.2">
      <c r="A313" s="11">
        <v>43399</v>
      </c>
      <c r="B313" s="382">
        <f>'2022'!Maxi_hp</f>
        <v>29.199862154592079</v>
      </c>
      <c r="C313" s="85">
        <f>'2022'!An_max</f>
        <v>2019</v>
      </c>
      <c r="D313" s="1134"/>
      <c r="E313" s="711"/>
      <c r="F313" s="13">
        <f t="shared" si="128"/>
        <v>23</v>
      </c>
      <c r="G313" s="13">
        <f t="shared" si="112"/>
        <v>22</v>
      </c>
      <c r="H313" s="175">
        <f t="shared" si="113"/>
        <v>43402</v>
      </c>
      <c r="I313" s="774">
        <f t="shared" si="114"/>
        <v>0.21428571428571427</v>
      </c>
      <c r="J313" s="765">
        <f t="shared" si="115"/>
        <v>28.977837901189922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P313" s="13">
        <f t="shared" si="116"/>
        <v>13</v>
      </c>
      <c r="AQ313" s="13">
        <f t="shared" si="117"/>
        <v>12</v>
      </c>
      <c r="AR313" s="175">
        <f t="shared" si="118"/>
        <v>43416</v>
      </c>
      <c r="AS313" s="774">
        <f t="shared" si="119"/>
        <v>0.6071428571428571</v>
      </c>
      <c r="AT313" s="791">
        <f t="shared" si="120"/>
        <v>28.947615160606802</v>
      </c>
      <c r="AU313" s="13">
        <f t="shared" si="121"/>
        <v>11</v>
      </c>
      <c r="AV313" s="13">
        <f t="shared" si="122"/>
        <v>12</v>
      </c>
      <c r="AW313" s="175">
        <f t="shared" si="123"/>
        <v>43374</v>
      </c>
      <c r="AX313" s="774">
        <f t="shared" si="124"/>
        <v>0.8928571428571429</v>
      </c>
      <c r="AY313" s="791">
        <f t="shared" si="125"/>
        <v>28.999850729849591</v>
      </c>
      <c r="AZ313" s="765">
        <f t="shared" si="129"/>
        <v>28.973732945228196</v>
      </c>
      <c r="BA313" s="649">
        <f t="shared" si="126"/>
        <v>1.0076618640134307</v>
      </c>
      <c r="BB313" s="644">
        <v>43399</v>
      </c>
      <c r="BC313" s="11">
        <v>43399</v>
      </c>
      <c r="BD313" s="292">
        <f>[2]!FeuilCaduc*(1-Persistant)+Persistant</f>
        <v>1</v>
      </c>
      <c r="BE313" s="293">
        <f>[2]!CroissVégét</f>
        <v>0.99689348984691617</v>
      </c>
      <c r="BF313" s="844">
        <f>1+[2]!Salcycl*Ksac</f>
        <v>1.0383458243227863</v>
      </c>
      <c r="BH313" s="1107">
        <f t="shared" si="127"/>
        <v>1.2671456567213642E-2</v>
      </c>
      <c r="BI313" s="11">
        <v>44495</v>
      </c>
      <c r="BJ313" s="744">
        <v>2.3807929827587208E-3</v>
      </c>
      <c r="BK313" s="744">
        <v>5.8920239621097449E-3</v>
      </c>
      <c r="BL313" s="744">
        <v>1.0835634688859667E-2</v>
      </c>
      <c r="BM313" s="744">
        <v>2.0025036762115787E-2</v>
      </c>
      <c r="BN313" s="744">
        <v>4.8917696076184548E-2</v>
      </c>
      <c r="BO313" s="745">
        <v>0.10914378579523293</v>
      </c>
      <c r="BP313" s="744">
        <v>0.19340877586683355</v>
      </c>
      <c r="BQ313" s="744">
        <v>0.29077209423022182</v>
      </c>
      <c r="BR313" s="744">
        <v>0.39557516588785835</v>
      </c>
      <c r="BS313" s="744">
        <v>0.51835566027116664</v>
      </c>
      <c r="BT313" s="744">
        <v>0.6539574984173494</v>
      </c>
      <c r="BW313" s="1191">
        <f>'2018'!R\Max</f>
        <v>0.14083303386245105</v>
      </c>
      <c r="BX313" s="1189">
        <f>'2019'!R\Max</f>
        <v>1.0076618640134307</v>
      </c>
      <c r="BY313" s="1189">
        <f>'2020'!R\Max</f>
        <v>0.72047034066579507</v>
      </c>
      <c r="BZ313" s="1189">
        <f>'2021'!R\Max</f>
        <v>0.71829216992324507</v>
      </c>
      <c r="CA313" s="1189">
        <f>'2022'!R\Max</f>
        <v>0.56154119392065627</v>
      </c>
      <c r="CB313" s="1189">
        <f>'2023'!R\Max</f>
        <v>0.55629238586295848</v>
      </c>
      <c r="CC313" s="1189">
        <f>'2024'!R\Max</f>
        <v>0.54930510463734994</v>
      </c>
      <c r="CD313" s="1189">
        <f>'2025'!R\Max</f>
        <v>0.57466523117748369</v>
      </c>
      <c r="CE313" s="1189">
        <f>'2026'!R\Max</f>
        <v>0.57295043739843454</v>
      </c>
      <c r="CF313" s="1190">
        <f>'2027'!R\Max</f>
        <v>0.57015102992059485</v>
      </c>
    </row>
    <row r="314" spans="1:84" s="6" customFormat="1" ht="11.25" x14ac:dyDescent="0.2">
      <c r="A314" s="11">
        <v>43400</v>
      </c>
      <c r="B314" s="382">
        <f>'2022'!Maxi_hp</f>
        <v>29.266376232509479</v>
      </c>
      <c r="C314" s="85">
        <f>'2022'!An_max</f>
        <v>2021</v>
      </c>
      <c r="D314" s="1134"/>
      <c r="E314" s="711"/>
      <c r="F314" s="13">
        <f t="shared" si="128"/>
        <v>23</v>
      </c>
      <c r="G314" s="13">
        <f t="shared" si="112"/>
        <v>22</v>
      </c>
      <c r="H314" s="175">
        <f t="shared" si="113"/>
        <v>43402</v>
      </c>
      <c r="I314" s="774">
        <f t="shared" si="114"/>
        <v>0.14285714285714285</v>
      </c>
      <c r="J314" s="765">
        <f t="shared" si="115"/>
        <v>28.633786588481495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P314" s="13">
        <f t="shared" si="116"/>
        <v>13</v>
      </c>
      <c r="AQ314" s="13">
        <f t="shared" si="117"/>
        <v>12</v>
      </c>
      <c r="AR314" s="175">
        <f t="shared" si="118"/>
        <v>43416</v>
      </c>
      <c r="AS314" s="774">
        <f t="shared" si="119"/>
        <v>0.5714285714285714</v>
      </c>
      <c r="AT314" s="791">
        <f t="shared" si="120"/>
        <v>28.595274635936534</v>
      </c>
      <c r="AU314" s="13">
        <f t="shared" si="121"/>
        <v>11</v>
      </c>
      <c r="AV314" s="13">
        <f t="shared" si="122"/>
        <v>12</v>
      </c>
      <c r="AW314" s="175">
        <f t="shared" si="123"/>
        <v>43374</v>
      </c>
      <c r="AX314" s="774">
        <f t="shared" si="124"/>
        <v>0.9285714285714286</v>
      </c>
      <c r="AY314" s="791">
        <f t="shared" si="125"/>
        <v>28.642892130411099</v>
      </c>
      <c r="AZ314" s="765">
        <f t="shared" si="129"/>
        <v>28.619083383173816</v>
      </c>
      <c r="BA314" s="649">
        <f t="shared" si="126"/>
        <v>1.0220924201580259</v>
      </c>
      <c r="BB314" s="644">
        <v>43400</v>
      </c>
      <c r="BC314" s="11">
        <v>43400</v>
      </c>
      <c r="BD314" s="292">
        <f>[2]!FeuilCaduc*(1-Persistant)+Persistant</f>
        <v>1</v>
      </c>
      <c r="BE314" s="293">
        <f>[2]!CroissVégét</f>
        <v>0.99703144626847073</v>
      </c>
      <c r="BF314" s="844">
        <f>1+[2]!Salcycl*Ksac</f>
        <v>1.0373577445734927</v>
      </c>
      <c r="BH314" s="1107">
        <f t="shared" si="127"/>
        <v>1.2459505944022502E-2</v>
      </c>
      <c r="BI314" s="11">
        <v>44496</v>
      </c>
      <c r="BJ314" s="744">
        <v>2.2835195946714513E-3</v>
      </c>
      <c r="BK314" s="744">
        <v>5.7069198328983184E-3</v>
      </c>
      <c r="BL314" s="744">
        <v>1.0539947670384077E-2</v>
      </c>
      <c r="BM314" s="744">
        <v>2.0148501194827754E-2</v>
      </c>
      <c r="BN314" s="744">
        <v>5.118620303830148E-2</v>
      </c>
      <c r="BO314" s="745">
        <v>0.11258923991568877</v>
      </c>
      <c r="BP314" s="744">
        <v>0.1979399324840945</v>
      </c>
      <c r="BQ314" s="744">
        <v>0.29542768593921825</v>
      </c>
      <c r="BR314" s="744">
        <v>0.40195083868530818</v>
      </c>
      <c r="BS314" s="744">
        <v>0.52628895172445023</v>
      </c>
      <c r="BT314" s="744">
        <v>0.66296965858818735</v>
      </c>
      <c r="BW314" s="1191">
        <f>'2018'!R\Max</f>
        <v>0.27815294547398906</v>
      </c>
      <c r="BX314" s="1189">
        <f>'2019'!R\Max</f>
        <v>0.75746158687332088</v>
      </c>
      <c r="BY314" s="1189">
        <f>'2020'!R\Max</f>
        <v>0.86015390684267057</v>
      </c>
      <c r="BZ314" s="1189">
        <f>'2021'!R\Max</f>
        <v>1.0220924201580259</v>
      </c>
      <c r="CA314" s="1189">
        <f>'2022'!R\Max</f>
        <v>0.45141930534871139</v>
      </c>
      <c r="CB314" s="1189">
        <f>'2023'!R\Max</f>
        <v>0.44602578635008577</v>
      </c>
      <c r="CC314" s="1189">
        <f>'2024'!R\Max</f>
        <v>0.43895053308371662</v>
      </c>
      <c r="CD314" s="1189">
        <f>'2025'!R\Max</f>
        <v>0.46526411132056711</v>
      </c>
      <c r="CE314" s="1189">
        <f>'2026'!R\Max</f>
        <v>0.46337114972596405</v>
      </c>
      <c r="CF314" s="1190">
        <f>'2027'!R\Max</f>
        <v>0.46036805249678903</v>
      </c>
    </row>
    <row r="315" spans="1:84" s="6" customFormat="1" ht="11.25" x14ac:dyDescent="0.2">
      <c r="A315" s="11">
        <v>43401</v>
      </c>
      <c r="B315" s="382">
        <f>'2022'!Maxi_hp</f>
        <v>28.371022569697843</v>
      </c>
      <c r="C315" s="85">
        <f>'2022'!An_max</f>
        <v>2021</v>
      </c>
      <c r="D315" s="1134"/>
      <c r="E315" s="711"/>
      <c r="F315" s="13">
        <f t="shared" si="128"/>
        <v>23</v>
      </c>
      <c r="G315" s="13">
        <f t="shared" si="112"/>
        <v>22</v>
      </c>
      <c r="H315" s="175">
        <f t="shared" si="113"/>
        <v>43402</v>
      </c>
      <c r="I315" s="774">
        <f t="shared" si="114"/>
        <v>7.1428571428571425E-2</v>
      </c>
      <c r="J315" s="765">
        <f t="shared" si="115"/>
        <v>28.293019241839648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P315" s="13">
        <f t="shared" si="116"/>
        <v>13</v>
      </c>
      <c r="AQ315" s="13">
        <f t="shared" si="117"/>
        <v>12</v>
      </c>
      <c r="AR315" s="175">
        <f t="shared" si="118"/>
        <v>43416</v>
      </c>
      <c r="AS315" s="774">
        <f t="shared" si="119"/>
        <v>0.5357142857142857</v>
      </c>
      <c r="AT315" s="791">
        <f t="shared" si="120"/>
        <v>28.247356268470845</v>
      </c>
      <c r="AU315" s="13">
        <f t="shared" si="121"/>
        <v>11</v>
      </c>
      <c r="AV315" s="13">
        <f t="shared" si="122"/>
        <v>12</v>
      </c>
      <c r="AW315" s="175">
        <f t="shared" si="123"/>
        <v>43374</v>
      </c>
      <c r="AX315" s="774">
        <f t="shared" si="124"/>
        <v>0.9642857142857143</v>
      </c>
      <c r="AY315" s="791">
        <f t="shared" si="125"/>
        <v>28.294516619491123</v>
      </c>
      <c r="AZ315" s="765">
        <f t="shared" si="129"/>
        <v>28.270936443980986</v>
      </c>
      <c r="BA315" s="649">
        <f t="shared" si="126"/>
        <v>1.0027569814020711</v>
      </c>
      <c r="BB315" s="644">
        <v>43401</v>
      </c>
      <c r="BC315" s="11">
        <v>43401</v>
      </c>
      <c r="BD315" s="292">
        <f>[2]!FeuilCaduc*(1-Persistant)+Persistant</f>
        <v>1</v>
      </c>
      <c r="BE315" s="293">
        <f>[2]!CroissVégét</f>
        <v>0.99716388402603495</v>
      </c>
      <c r="BF315" s="844">
        <f>1+[2]!Salcycl*Ksac</f>
        <v>1.0363620811860133</v>
      </c>
      <c r="BH315" s="1107">
        <f t="shared" si="127"/>
        <v>1.2269474454073222E-2</v>
      </c>
      <c r="BI315" s="11">
        <v>44497</v>
      </c>
      <c r="BJ315" s="744">
        <v>2.1877718453686456E-3</v>
      </c>
      <c r="BK315" s="744">
        <v>5.5248565210133443E-3</v>
      </c>
      <c r="BL315" s="744">
        <v>1.0248362102329279E-2</v>
      </c>
      <c r="BM315" s="744">
        <v>2.0365255388322803E-2</v>
      </c>
      <c r="BN315" s="744">
        <v>5.3640525212497146E-2</v>
      </c>
      <c r="BO315" s="745">
        <v>0.11608964482357394</v>
      </c>
      <c r="BP315" s="744">
        <v>0.20256165711746613</v>
      </c>
      <c r="BQ315" s="744">
        <v>0.30008030235959321</v>
      </c>
      <c r="BR315" s="744">
        <v>0.40848646661209775</v>
      </c>
      <c r="BS315" s="744">
        <v>0.53425213143616535</v>
      </c>
      <c r="BT315" s="744">
        <v>0.6719705813774266</v>
      </c>
      <c r="BW315" s="1191">
        <f>'2018'!R\Max</f>
        <v>0.12077974174696653</v>
      </c>
      <c r="BX315" s="1189">
        <f>'2019'!R\Max</f>
        <v>0.37119338386296913</v>
      </c>
      <c r="BY315" s="1189">
        <f>'2020'!R\Max</f>
        <v>0.8222831660049732</v>
      </c>
      <c r="BZ315" s="1189">
        <f>'2021'!R\Max</f>
        <v>1.0027569814020711</v>
      </c>
      <c r="CA315" s="1189">
        <f>'2022'!R\Max</f>
        <v>0.62840693291211136</v>
      </c>
      <c r="CB315" s="1189">
        <f>'2023'!R\Max</f>
        <v>0.62317759985763144</v>
      </c>
      <c r="CC315" s="1189">
        <f>'2024'!R\Max</f>
        <v>0.61632539369037698</v>
      </c>
      <c r="CD315" s="1189">
        <f>'2025'!R\Max</f>
        <v>0.64186890235010607</v>
      </c>
      <c r="CE315" s="1189">
        <f>'2026'!R\Max</f>
        <v>0.63997031062079401</v>
      </c>
      <c r="CF315" s="1190">
        <f>'2027'!R\Max</f>
        <v>0.6370271135993707</v>
      </c>
    </row>
    <row r="316" spans="1:84" s="6" customFormat="1" ht="11.25" x14ac:dyDescent="0.2">
      <c r="A316" s="11">
        <v>43402</v>
      </c>
      <c r="B316" s="382">
        <f>'2022'!Maxi_hp</f>
        <v>25.15927908632538</v>
      </c>
      <c r="C316" s="85">
        <f>'2022'!An_max</f>
        <v>2019</v>
      </c>
      <c r="D316" s="1134"/>
      <c r="E316" s="773">
        <f>AI$13/10</f>
        <v>27.955200000000001</v>
      </c>
      <c r="F316" s="13">
        <f t="shared" si="128"/>
        <v>23</v>
      </c>
      <c r="G316" s="13">
        <f t="shared" si="112"/>
        <v>24</v>
      </c>
      <c r="H316" s="175">
        <f t="shared" si="113"/>
        <v>43402</v>
      </c>
      <c r="I316" s="774">
        <f t="shared" si="114"/>
        <v>0</v>
      </c>
      <c r="J316" s="765">
        <f t="shared" si="115"/>
        <v>27.95520000010729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P316" s="13">
        <f t="shared" si="116"/>
        <v>13</v>
      </c>
      <c r="AQ316" s="13">
        <f t="shared" si="117"/>
        <v>12</v>
      </c>
      <c r="AR316" s="175">
        <f t="shared" si="118"/>
        <v>43416</v>
      </c>
      <c r="AS316" s="774">
        <f t="shared" si="119"/>
        <v>0.5</v>
      </c>
      <c r="AT316" s="791">
        <f t="shared" si="120"/>
        <v>27.904000000283123</v>
      </c>
      <c r="AU316" s="13">
        <f t="shared" si="121"/>
        <v>13</v>
      </c>
      <c r="AV316" s="13">
        <f t="shared" si="122"/>
        <v>12</v>
      </c>
      <c r="AW316" s="175">
        <f t="shared" si="123"/>
        <v>43430</v>
      </c>
      <c r="AX316" s="774">
        <f t="shared" si="124"/>
        <v>1</v>
      </c>
      <c r="AY316" s="791">
        <f t="shared" si="125"/>
        <v>27.95520000010729</v>
      </c>
      <c r="AZ316" s="765">
        <f t="shared" si="129"/>
        <v>27.929600000195208</v>
      </c>
      <c r="BA316" s="649">
        <f t="shared" si="126"/>
        <v>0.89998565870495728</v>
      </c>
      <c r="BB316" s="644">
        <v>43402</v>
      </c>
      <c r="BC316" s="11">
        <v>43402</v>
      </c>
      <c r="BD316" s="292">
        <f>[2]!FeuilCaduc*(1-Persistant)+Persistant</f>
        <v>1</v>
      </c>
      <c r="BE316" s="293">
        <f>[2]!CroissVégét</f>
        <v>0.99729102250050727</v>
      </c>
      <c r="BF316" s="844">
        <f>1+[2]!Salcycl*Ksac</f>
        <v>1.0353601573081139</v>
      </c>
      <c r="BH316" s="1107">
        <f t="shared" si="127"/>
        <v>1.2101379764841443E-2</v>
      </c>
      <c r="BI316" s="11">
        <v>44498</v>
      </c>
      <c r="BJ316" s="744">
        <v>2.0935489183466754E-3</v>
      </c>
      <c r="BK316" s="744">
        <v>5.3458313990319096E-3</v>
      </c>
      <c r="BL316" s="744">
        <v>9.9608713862241079E-3</v>
      </c>
      <c r="BM316" s="744">
        <v>2.0675414209912781E-2</v>
      </c>
      <c r="BN316" s="744">
        <v>5.6280898879505471E-2</v>
      </c>
      <c r="BO316" s="745">
        <v>0.11964500395465349</v>
      </c>
      <c r="BP316" s="744">
        <v>0.2072739337997753</v>
      </c>
      <c r="BQ316" s="744">
        <v>0.30472970481475986</v>
      </c>
      <c r="BR316" s="744">
        <v>0.41518195834285815</v>
      </c>
      <c r="BS316" s="744">
        <v>0.54224482104880589</v>
      </c>
      <c r="BT316" s="744">
        <v>0.6809597120627896</v>
      </c>
      <c r="BW316" s="1191">
        <f>'2018'!R\Max</f>
        <v>0.18303419034755314</v>
      </c>
      <c r="BX316" s="1189">
        <f>'2019'!R\Max</f>
        <v>0.89998565870495728</v>
      </c>
      <c r="BY316" s="1189">
        <f>'2020'!R\Max</f>
        <v>0.42017649127393586</v>
      </c>
      <c r="BZ316" s="1189">
        <f>'2021'!R\Max</f>
        <v>0.60803158291190251</v>
      </c>
      <c r="CA316" s="1189">
        <f>'2022'!R\Max</f>
        <v>0.81736079708713716</v>
      </c>
      <c r="CB316" s="1189">
        <f>'2023'!R\Max</f>
        <v>0.81392130100530125</v>
      </c>
      <c r="CC316" s="1189">
        <f>'2024'!R\Max</f>
        <v>0.80941922137171884</v>
      </c>
      <c r="CD316" s="1189">
        <f>'2025'!R\Max</f>
        <v>0.82621565064357216</v>
      </c>
      <c r="CE316" s="1189">
        <f>'2026'!R\Max</f>
        <v>0.82492962544585391</v>
      </c>
      <c r="CF316" s="1190">
        <f>'2027'!R\Max</f>
        <v>0.82298043069294768</v>
      </c>
    </row>
    <row r="317" spans="1:84" s="6" customFormat="1" ht="11.25" x14ac:dyDescent="0.2">
      <c r="A317" s="11">
        <v>43403</v>
      </c>
      <c r="B317" s="382">
        <f>'2022'!Maxi_hp</f>
        <v>25.463678721185552</v>
      </c>
      <c r="C317" s="85">
        <f>'2022'!An_max</f>
        <v>2020</v>
      </c>
      <c r="D317" s="1134"/>
      <c r="E317" s="711"/>
      <c r="F317" s="13">
        <f t="shared" si="128"/>
        <v>23</v>
      </c>
      <c r="G317" s="13">
        <f t="shared" si="112"/>
        <v>24</v>
      </c>
      <c r="H317" s="175">
        <f t="shared" si="113"/>
        <v>43402</v>
      </c>
      <c r="I317" s="774">
        <f t="shared" si="114"/>
        <v>7.1428571428571425E-2</v>
      </c>
      <c r="J317" s="765">
        <f t="shared" si="115"/>
        <v>27.619862390256355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P317" s="13">
        <f t="shared" si="116"/>
        <v>13</v>
      </c>
      <c r="AQ317" s="13">
        <f t="shared" si="117"/>
        <v>12</v>
      </c>
      <c r="AR317" s="175">
        <f t="shared" si="118"/>
        <v>43416</v>
      </c>
      <c r="AS317" s="774">
        <f t="shared" si="119"/>
        <v>0.4642857142857143</v>
      </c>
      <c r="AT317" s="791">
        <f t="shared" si="120"/>
        <v>27.565345773739477</v>
      </c>
      <c r="AU317" s="13">
        <f t="shared" si="121"/>
        <v>13</v>
      </c>
      <c r="AV317" s="13">
        <f t="shared" si="122"/>
        <v>12</v>
      </c>
      <c r="AW317" s="175">
        <f t="shared" si="123"/>
        <v>43430</v>
      </c>
      <c r="AX317" s="774">
        <f t="shared" si="124"/>
        <v>0.9642857142857143</v>
      </c>
      <c r="AY317" s="791">
        <f t="shared" si="125"/>
        <v>27.622551605398105</v>
      </c>
      <c r="AZ317" s="765">
        <f t="shared" si="129"/>
        <v>27.593948689568791</v>
      </c>
      <c r="BA317" s="649">
        <f t="shared" si="126"/>
        <v>0.9219335839330085</v>
      </c>
      <c r="BB317" s="644">
        <v>43403</v>
      </c>
      <c r="BC317" s="11">
        <v>43403</v>
      </c>
      <c r="BD317" s="292">
        <f>[2]!FeuilCaduc*(1-Persistant)+Persistant</f>
        <v>1</v>
      </c>
      <c r="BE317" s="293">
        <f>[2]!CroissVégét</f>
        <v>0.99741307246059263</v>
      </c>
      <c r="BF317" s="844">
        <f>1+[2]!Salcycl*Ksac</f>
        <v>1.0343533374845011</v>
      </c>
      <c r="BH317" s="1107">
        <f t="shared" si="127"/>
        <v>1.1955240631659977E-2</v>
      </c>
      <c r="BI317" s="11">
        <v>44499</v>
      </c>
      <c r="BJ317" s="744">
        <v>2.0008503808176636E-3</v>
      </c>
      <c r="BK317" s="744">
        <v>5.169842573769603E-3</v>
      </c>
      <c r="BL317" s="744">
        <v>9.6774700891405236E-3</v>
      </c>
      <c r="BM317" s="744">
        <v>2.1079093303587326E-2</v>
      </c>
      <c r="BN317" s="744">
        <v>5.9107554394836191E-2</v>
      </c>
      <c r="BO317" s="745">
        <v>0.12325530888012641</v>
      </c>
      <c r="BP317" s="744">
        <v>0.21207673127975504</v>
      </c>
      <c r="BQ317" s="744">
        <v>0.309375637843401</v>
      </c>
      <c r="BR317" s="744">
        <v>0.42203720167185388</v>
      </c>
      <c r="BS317" s="744">
        <v>0.55026661409119504</v>
      </c>
      <c r="BT317" s="744">
        <v>0.68993646351299309</v>
      </c>
      <c r="BW317" s="1191">
        <f>'2018'!R\Max</f>
        <v>0.89604890432248419</v>
      </c>
      <c r="BX317" s="1189">
        <f>'2019'!R\Max</f>
        <v>0.76250829829607281</v>
      </c>
      <c r="BY317" s="1189">
        <f>'2020'!R\Max</f>
        <v>0.9219335839330085</v>
      </c>
      <c r="BZ317" s="1189">
        <f>'2021'!R\Max</f>
        <v>0.43972454177440029</v>
      </c>
      <c r="CA317" s="1189">
        <f>'2022'!R\Max</f>
        <v>0.70857855774897194</v>
      </c>
      <c r="CB317" s="1189">
        <f>'2023'!R\Max</f>
        <v>0.70371614246500624</v>
      </c>
      <c r="CC317" s="1189">
        <f>'2024'!R\Max</f>
        <v>0.69746368572284567</v>
      </c>
      <c r="CD317" s="1189">
        <f>'2025'!R\Max</f>
        <v>0.72139496669467573</v>
      </c>
      <c r="CE317" s="1189">
        <f>'2026'!R\Max</f>
        <v>0.71945032554883936</v>
      </c>
      <c r="CF317" s="1190">
        <f>'2027'!R\Max</f>
        <v>0.71658672843910176</v>
      </c>
    </row>
    <row r="318" spans="1:84" s="6" customFormat="1" ht="11.25" x14ac:dyDescent="0.2">
      <c r="A318" s="11">
        <v>43404</v>
      </c>
      <c r="B318" s="382">
        <f>'2022'!Maxi_hp</f>
        <v>27.758372597474693</v>
      </c>
      <c r="C318" s="85">
        <f>'2022'!An_max</f>
        <v>2020</v>
      </c>
      <c r="D318" s="1134"/>
      <c r="E318" s="711"/>
      <c r="F318" s="13">
        <f t="shared" si="128"/>
        <v>23</v>
      </c>
      <c r="G318" s="13">
        <f t="shared" si="112"/>
        <v>24</v>
      </c>
      <c r="H318" s="175">
        <f t="shared" si="113"/>
        <v>43402</v>
      </c>
      <c r="I318" s="774">
        <f t="shared" si="114"/>
        <v>0.14285714285714285</v>
      </c>
      <c r="J318" s="765">
        <f t="shared" si="115"/>
        <v>27.28706239025508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P318" s="13">
        <f t="shared" si="116"/>
        <v>13</v>
      </c>
      <c r="AQ318" s="13">
        <f t="shared" si="117"/>
        <v>12</v>
      </c>
      <c r="AR318" s="175">
        <f t="shared" si="118"/>
        <v>43416</v>
      </c>
      <c r="AS318" s="774">
        <f t="shared" si="119"/>
        <v>0.42857142857142855</v>
      </c>
      <c r="AT318" s="791">
        <f t="shared" si="120"/>
        <v>27.2315335283322</v>
      </c>
      <c r="AU318" s="13">
        <f t="shared" si="121"/>
        <v>13</v>
      </c>
      <c r="AV318" s="13">
        <f t="shared" si="122"/>
        <v>12</v>
      </c>
      <c r="AW318" s="175">
        <f t="shared" si="123"/>
        <v>43430</v>
      </c>
      <c r="AX318" s="774">
        <f t="shared" si="124"/>
        <v>0.9285714285714286</v>
      </c>
      <c r="AY318" s="791">
        <f t="shared" si="125"/>
        <v>27.293947522927606</v>
      </c>
      <c r="AZ318" s="765">
        <f t="shared" si="129"/>
        <v>27.262740525629901</v>
      </c>
      <c r="BA318" s="649">
        <f t="shared" si="126"/>
        <v>1.0172722955838562</v>
      </c>
      <c r="BB318" s="644">
        <v>43404</v>
      </c>
      <c r="BC318" s="11">
        <v>43404</v>
      </c>
      <c r="BD318" s="292">
        <f>[2]!FeuilCaduc*(1-Persistant)+Persistant</f>
        <v>1</v>
      </c>
      <c r="BE318" s="293">
        <f>[2]!CroissVégét</f>
        <v>0.99753023639231442</v>
      </c>
      <c r="BF318" s="844">
        <f>1+[2]!Salcycl*Ksac</f>
        <v>1.0333430221478233</v>
      </c>
      <c r="BH318" s="1107">
        <f t="shared" si="127"/>
        <v>1.1865030252785697E-2</v>
      </c>
      <c r="BI318" s="11">
        <v>44500</v>
      </c>
      <c r="BJ318" s="744">
        <v>1.9108434241251753E-3</v>
      </c>
      <c r="BK318" s="744">
        <v>4.9989513955481044E-3</v>
      </c>
      <c r="BL318" s="744">
        <v>9.4236568798293594E-3</v>
      </c>
      <c r="BM318" s="744">
        <v>2.1644211498751658E-2</v>
      </c>
      <c r="BN318" s="744">
        <v>6.2035557256691264E-2</v>
      </c>
      <c r="BO318" s="745">
        <v>0.12688039115224778</v>
      </c>
      <c r="BP318" s="744">
        <v>0.21682152135616131</v>
      </c>
      <c r="BQ318" s="744">
        <v>0.31399887196597176</v>
      </c>
      <c r="BR318" s="744">
        <v>0.42892910989166255</v>
      </c>
      <c r="BS318" s="744">
        <v>0.55824750885348473</v>
      </c>
      <c r="BT318" s="744">
        <v>0.69886312784227667</v>
      </c>
      <c r="BW318" s="1191">
        <f>'2018'!R\Max</f>
        <v>0.43266681951090069</v>
      </c>
      <c r="BX318" s="1189">
        <f>'2019'!R\Max</f>
        <v>0.67198933791626814</v>
      </c>
      <c r="BY318" s="1189">
        <f>'2020'!R\Max</f>
        <v>1.0172722955838562</v>
      </c>
      <c r="BZ318" s="1189">
        <f>'2021'!R\Max</f>
        <v>0.67010745096003377</v>
      </c>
      <c r="CA318" s="1189">
        <f>'2022'!R\Max</f>
        <v>0.69844200266224654</v>
      </c>
      <c r="CB318" s="1189">
        <f>'2023'!R\Max</f>
        <v>0.69336512831434705</v>
      </c>
      <c r="CC318" s="1189">
        <f>'2024'!R\Max</f>
        <v>0.68691135067251152</v>
      </c>
      <c r="CD318" s="1189">
        <f>'2025'!R\Max</f>
        <v>0.71201798407542094</v>
      </c>
      <c r="CE318" s="1189">
        <f>'2026'!R\Max</f>
        <v>0.70988283517790307</v>
      </c>
      <c r="CF318" s="1190">
        <f>'2027'!R\Max</f>
        <v>0.70681603437611007</v>
      </c>
    </row>
    <row r="319" spans="1:84" s="6" customFormat="1" ht="11.25" x14ac:dyDescent="0.2">
      <c r="A319" s="11">
        <v>43405</v>
      </c>
      <c r="B319" s="382">
        <f>'2022'!Maxi_hp</f>
        <v>26.743008767740822</v>
      </c>
      <c r="C319" s="85">
        <f>'2022'!An_max</f>
        <v>2020</v>
      </c>
      <c r="D319" s="1134"/>
      <c r="E319" s="711"/>
      <c r="F319" s="13">
        <f t="shared" si="128"/>
        <v>23</v>
      </c>
      <c r="G319" s="13">
        <f t="shared" si="112"/>
        <v>24</v>
      </c>
      <c r="H319" s="175">
        <f t="shared" si="113"/>
        <v>43402</v>
      </c>
      <c r="I319" s="774">
        <f t="shared" si="114"/>
        <v>0.21428571428571427</v>
      </c>
      <c r="J319" s="765">
        <f t="shared" si="115"/>
        <v>26.957247812247704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P319" s="13">
        <f t="shared" si="116"/>
        <v>13</v>
      </c>
      <c r="AQ319" s="13">
        <f t="shared" si="117"/>
        <v>12</v>
      </c>
      <c r="AR319" s="175">
        <f t="shared" si="118"/>
        <v>43416</v>
      </c>
      <c r="AS319" s="774">
        <f t="shared" si="119"/>
        <v>0.39285714285714285</v>
      </c>
      <c r="AT319" s="791">
        <f t="shared" si="120"/>
        <v>26.902703207172454</v>
      </c>
      <c r="AU319" s="13">
        <f t="shared" si="121"/>
        <v>13</v>
      </c>
      <c r="AV319" s="13">
        <f t="shared" si="122"/>
        <v>12</v>
      </c>
      <c r="AW319" s="175">
        <f t="shared" si="123"/>
        <v>43430</v>
      </c>
      <c r="AX319" s="774">
        <f t="shared" si="124"/>
        <v>0.8928571428571429</v>
      </c>
      <c r="AY319" s="791">
        <f t="shared" si="125"/>
        <v>26.969513704361663</v>
      </c>
      <c r="AZ319" s="765">
        <f t="shared" si="129"/>
        <v>26.936108455767059</v>
      </c>
      <c r="BA319" s="649">
        <f t="shared" si="126"/>
        <v>0.99205263660448506</v>
      </c>
      <c r="BB319" s="644">
        <v>43405</v>
      </c>
      <c r="BC319" s="11">
        <v>43405</v>
      </c>
      <c r="BD319" s="292">
        <f>[2]!FeuilCaduc*(1-Persistant)+Persistant</f>
        <v>1</v>
      </c>
      <c r="BE319" s="293">
        <f>[2]!CroissVégét</f>
        <v>0.99764270881659778</v>
      </c>
      <c r="BF319" s="844">
        <f>1+[2]!Salcycl*Ksac</f>
        <v>1.0323306418036851</v>
      </c>
      <c r="BH319" s="1107">
        <f t="shared" si="127"/>
        <v>1.1825711414809401E-2</v>
      </c>
      <c r="BI319" s="11">
        <v>44501</v>
      </c>
      <c r="BJ319" s="744">
        <v>1.8258391180732635E-3</v>
      </c>
      <c r="BK319" s="744">
        <v>4.8332391062973403E-3</v>
      </c>
      <c r="BL319" s="744">
        <v>9.19901553064577E-3</v>
      </c>
      <c r="BM319" s="744">
        <v>2.2347221731014666E-2</v>
      </c>
      <c r="BN319" s="744">
        <v>6.4913245713557263E-2</v>
      </c>
      <c r="BO319" s="745">
        <v>0.13048593397603664</v>
      </c>
      <c r="BP319" s="744">
        <v>0.22145277164384733</v>
      </c>
      <c r="BQ319" s="744">
        <v>0.31858507358943217</v>
      </c>
      <c r="BR319" s="744">
        <v>0.43570874432364376</v>
      </c>
      <c r="BS319" s="744">
        <v>0.566025176649954</v>
      </c>
      <c r="BT319" s="744">
        <v>0.70756508508451554</v>
      </c>
      <c r="BW319" s="1191">
        <f>'2018'!R\Max</f>
        <v>0.72813952925505887</v>
      </c>
      <c r="BX319" s="1189">
        <f>'2019'!R\Max</f>
        <v>0.29988261776581127</v>
      </c>
      <c r="BY319" s="1189">
        <f>'2020'!R\Max</f>
        <v>0.99205263660448506</v>
      </c>
      <c r="BZ319" s="1189">
        <f>'2021'!R\Max</f>
        <v>0.63184662544400638</v>
      </c>
      <c r="CA319" s="1189">
        <f>'2022'!R\Max</f>
        <v>0.6660361000966375</v>
      </c>
      <c r="CB319" s="1189">
        <f>'2023'!R\Max</f>
        <v>0.66055504165452372</v>
      </c>
      <c r="CC319" s="1189">
        <f>'2024'!R\Max</f>
        <v>0.65366444707086357</v>
      </c>
      <c r="CD319" s="1189">
        <f>'2025'!R\Max</f>
        <v>0.68092210712480672</v>
      </c>
      <c r="CE319" s="1189">
        <f>'2026'!R\Max</f>
        <v>0.67850489178896234</v>
      </c>
      <c r="CF319" s="1190">
        <f>'2027'!R\Max</f>
        <v>0.67510782585082585</v>
      </c>
    </row>
    <row r="320" spans="1:84" s="6" customFormat="1" ht="11.25" x14ac:dyDescent="0.2">
      <c r="A320" s="11">
        <v>43406</v>
      </c>
      <c r="B320" s="382">
        <f>'2022'!Maxi_hp</f>
        <v>25.963625869506139</v>
      </c>
      <c r="C320" s="85">
        <f>'2022'!An_max</f>
        <v>2021</v>
      </c>
      <c r="D320" s="1134"/>
      <c r="E320" s="711"/>
      <c r="F320" s="13">
        <f t="shared" si="128"/>
        <v>23</v>
      </c>
      <c r="G320" s="13">
        <f t="shared" si="112"/>
        <v>24</v>
      </c>
      <c r="H320" s="175">
        <f t="shared" si="113"/>
        <v>43402</v>
      </c>
      <c r="I320" s="774">
        <f t="shared" si="114"/>
        <v>0.2857142857142857</v>
      </c>
      <c r="J320" s="765">
        <f t="shared" si="115"/>
        <v>26.630866471678019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P320" s="13">
        <f t="shared" si="116"/>
        <v>13</v>
      </c>
      <c r="AQ320" s="13">
        <f t="shared" si="117"/>
        <v>12</v>
      </c>
      <c r="AR320" s="175">
        <f t="shared" si="118"/>
        <v>43416</v>
      </c>
      <c r="AS320" s="774">
        <f t="shared" si="119"/>
        <v>0.35714285714285715</v>
      </c>
      <c r="AT320" s="791">
        <f t="shared" si="120"/>
        <v>26.57899475209415</v>
      </c>
      <c r="AU320" s="13">
        <f t="shared" si="121"/>
        <v>13</v>
      </c>
      <c r="AV320" s="13">
        <f t="shared" si="122"/>
        <v>12</v>
      </c>
      <c r="AW320" s="175">
        <f t="shared" si="123"/>
        <v>43430</v>
      </c>
      <c r="AX320" s="774">
        <f t="shared" si="124"/>
        <v>0.8571428571428571</v>
      </c>
      <c r="AY320" s="791">
        <f t="shared" si="125"/>
        <v>26.649376095086335</v>
      </c>
      <c r="AZ320" s="765">
        <f t="shared" si="129"/>
        <v>26.614185423590243</v>
      </c>
      <c r="BA320" s="649">
        <f t="shared" si="126"/>
        <v>0.97494484068396758</v>
      </c>
      <c r="BB320" s="644">
        <v>43406</v>
      </c>
      <c r="BC320" s="11">
        <v>43406</v>
      </c>
      <c r="BD320" s="292">
        <f>[2]!FeuilCaduc*(1-Persistant)+Persistant</f>
        <v>1</v>
      </c>
      <c r="BE320" s="293">
        <f>[2]!CroissVégét</f>
        <v>0.99775067659530603</v>
      </c>
      <c r="BF320" s="844">
        <f>1+[2]!Salcycl*Ksac</f>
        <v>1.0313176509466264</v>
      </c>
      <c r="BH320" s="1107">
        <f t="shared" si="127"/>
        <v>1.183734605240715E-2</v>
      </c>
      <c r="BI320" s="11">
        <v>44502</v>
      </c>
      <c r="BJ320" s="744">
        <v>1.7458430528262774E-3</v>
      </c>
      <c r="BK320" s="744">
        <v>4.6727088929603292E-3</v>
      </c>
      <c r="BL320" s="744">
        <v>9.0035795964818841E-3</v>
      </c>
      <c r="BM320" s="744">
        <v>2.3188299613301658E-2</v>
      </c>
      <c r="BN320" s="744">
        <v>6.7740484126263115E-2</v>
      </c>
      <c r="BO320" s="745">
        <v>0.13407178437590636</v>
      </c>
      <c r="BP320" s="744">
        <v>0.22597010966275402</v>
      </c>
      <c r="BQ320" s="744">
        <v>0.3231338903153253</v>
      </c>
      <c r="BR320" s="744">
        <v>0.44237553420399472</v>
      </c>
      <c r="BS320" s="744">
        <v>0.57359879540460867</v>
      </c>
      <c r="BT320" s="744">
        <v>0.71604135095411203</v>
      </c>
      <c r="BW320" s="1191">
        <f>'2018'!R\Max</f>
        <v>0.31321529072429732</v>
      </c>
      <c r="BX320" s="1189">
        <f>'2019'!R\Max</f>
        <v>0.22023877386750476</v>
      </c>
      <c r="BY320" s="1189">
        <f>'2020'!R\Max</f>
        <v>0.91584117091531214</v>
      </c>
      <c r="BZ320" s="1189">
        <f>'2021'!R\Max</f>
        <v>0.97494484068396758</v>
      </c>
      <c r="CA320" s="1189">
        <f>'2022'!R\Max</f>
        <v>0.93093522812552398</v>
      </c>
      <c r="CB320" s="1189">
        <f>'2023'!R\Max</f>
        <v>0.92930471039989071</v>
      </c>
      <c r="CC320" s="1189">
        <f>'2024'!R\Max</f>
        <v>0.92723971801904703</v>
      </c>
      <c r="CD320" s="1189">
        <f>'2025'!R\Max</f>
        <v>0.93530579087141141</v>
      </c>
      <c r="CE320" s="1189">
        <f>'2026'!R\Max</f>
        <v>0.93458851359409278</v>
      </c>
      <c r="CF320" s="1190">
        <f>'2027'!R\Max</f>
        <v>0.93359125728824677</v>
      </c>
    </row>
    <row r="321" spans="1:84" s="6" customFormat="1" ht="11.25" x14ac:dyDescent="0.2">
      <c r="A321" s="11">
        <v>43407</v>
      </c>
      <c r="B321" s="382">
        <f>'2022'!Maxi_hp</f>
        <v>25.318145187066094</v>
      </c>
      <c r="C321" s="85">
        <f>'2022'!An_max</f>
        <v>2020</v>
      </c>
      <c r="D321" s="1134"/>
      <c r="E321" s="711"/>
      <c r="F321" s="13">
        <f t="shared" si="128"/>
        <v>23</v>
      </c>
      <c r="G321" s="13">
        <f t="shared" si="112"/>
        <v>24</v>
      </c>
      <c r="H321" s="175">
        <f t="shared" si="113"/>
        <v>43402</v>
      </c>
      <c r="I321" s="774">
        <f t="shared" si="114"/>
        <v>0.35714285714285715</v>
      </c>
      <c r="J321" s="765">
        <f t="shared" si="115"/>
        <v>26.308366180849923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P321" s="13">
        <f t="shared" si="116"/>
        <v>13</v>
      </c>
      <c r="AQ321" s="13">
        <f t="shared" si="117"/>
        <v>12</v>
      </c>
      <c r="AR321" s="175">
        <f t="shared" si="118"/>
        <v>43416</v>
      </c>
      <c r="AS321" s="774">
        <f t="shared" si="119"/>
        <v>0.32142857142857145</v>
      </c>
      <c r="AT321" s="791">
        <f t="shared" si="120"/>
        <v>26.260548105356953</v>
      </c>
      <c r="AU321" s="13">
        <f t="shared" si="121"/>
        <v>13</v>
      </c>
      <c r="AV321" s="13">
        <f t="shared" si="122"/>
        <v>12</v>
      </c>
      <c r="AW321" s="175">
        <f t="shared" si="123"/>
        <v>43430</v>
      </c>
      <c r="AX321" s="774">
        <f t="shared" si="124"/>
        <v>0.8214285714285714</v>
      </c>
      <c r="AY321" s="791">
        <f t="shared" si="125"/>
        <v>26.333660642403579</v>
      </c>
      <c r="AZ321" s="765">
        <f t="shared" si="129"/>
        <v>26.297104373880266</v>
      </c>
      <c r="BA321" s="649">
        <f t="shared" si="126"/>
        <v>0.96236098482981358</v>
      </c>
      <c r="BB321" s="644">
        <v>43407</v>
      </c>
      <c r="BC321" s="11">
        <v>43407</v>
      </c>
      <c r="BD321" s="292">
        <f>[2]!FeuilCaduc*(1-Persistant)+Persistant</f>
        <v>1</v>
      </c>
      <c r="BE321" s="293">
        <f>[2]!CroissVégét</f>
        <v>0.99785431922609247</v>
      </c>
      <c r="BF321" s="844">
        <f>1+[2]!Salcycl*Ksac</f>
        <v>1.0303055217466071</v>
      </c>
      <c r="BH321" s="1107">
        <f t="shared" si="127"/>
        <v>1.1899995982106983E-2</v>
      </c>
      <c r="BI321" s="11">
        <v>44503</v>
      </c>
      <c r="BJ321" s="744">
        <v>1.6708611064852176E-3</v>
      </c>
      <c r="BK321" s="744">
        <v>4.5173645315113552E-3</v>
      </c>
      <c r="BL321" s="744">
        <v>8.8373833119788411E-3</v>
      </c>
      <c r="BM321" s="744">
        <v>2.4167617444328316E-2</v>
      </c>
      <c r="BN321" s="744">
        <v>7.0517126667165766E-2</v>
      </c>
      <c r="BO321" s="745">
        <v>0.13763777645473055</v>
      </c>
      <c r="BP321" s="744">
        <v>0.23037314692246014</v>
      </c>
      <c r="BQ321" s="744">
        <v>0.3276449536447027</v>
      </c>
      <c r="BR321" s="744">
        <v>0.44892888522671148</v>
      </c>
      <c r="BS321" s="744">
        <v>0.58096751656425172</v>
      </c>
      <c r="BT321" s="744">
        <v>0.72429091165715009</v>
      </c>
      <c r="BW321" s="1191">
        <f>'2018'!R\Max</f>
        <v>0.88130481680925932</v>
      </c>
      <c r="BX321" s="1189">
        <f>'2019'!R\Max</f>
        <v>0.52925950761371432</v>
      </c>
      <c r="BY321" s="1189">
        <f>'2020'!R\Max</f>
        <v>0.96236098482981358</v>
      </c>
      <c r="BZ321" s="1189">
        <f>'2021'!R\Max</f>
        <v>0.61311334445947996</v>
      </c>
      <c r="CA321" s="1189">
        <f>'2022'!R\Max</f>
        <v>0.23633249035029805</v>
      </c>
      <c r="CB321" s="1189">
        <f>'2023'!R\Max</f>
        <v>0.23202126980570043</v>
      </c>
      <c r="CC321" s="1189">
        <f>'2024'!R\Max</f>
        <v>0.22679131727871227</v>
      </c>
      <c r="CD321" s="1189">
        <f>'2025'!R\Max</f>
        <v>0.24876669638263024</v>
      </c>
      <c r="CE321" s="1189">
        <f>'2026'!R\Max</f>
        <v>0.2465997071961171</v>
      </c>
      <c r="CF321" s="1190">
        <f>'2027'!R\Max</f>
        <v>0.24368671421647206</v>
      </c>
    </row>
    <row r="322" spans="1:84" s="6" customFormat="1" ht="11.25" x14ac:dyDescent="0.2">
      <c r="A322" s="11">
        <v>43408</v>
      </c>
      <c r="B322" s="382">
        <f>'2022'!Maxi_hp</f>
        <v>18.873766608269342</v>
      </c>
      <c r="C322" s="85">
        <f>'2022'!An_max</f>
        <v>2018</v>
      </c>
      <c r="D322" s="1134"/>
      <c r="E322" s="711"/>
      <c r="F322" s="13">
        <f t="shared" si="128"/>
        <v>23</v>
      </c>
      <c r="G322" s="13">
        <f t="shared" si="112"/>
        <v>24</v>
      </c>
      <c r="H322" s="175">
        <f t="shared" si="113"/>
        <v>43402</v>
      </c>
      <c r="I322" s="774">
        <f t="shared" si="114"/>
        <v>0.42857142857142855</v>
      </c>
      <c r="J322" s="765">
        <f t="shared" si="115"/>
        <v>25.990194751535142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P322" s="13">
        <f t="shared" si="116"/>
        <v>13</v>
      </c>
      <c r="AQ322" s="13">
        <f t="shared" si="117"/>
        <v>12</v>
      </c>
      <c r="AR322" s="175">
        <f t="shared" si="118"/>
        <v>43416</v>
      </c>
      <c r="AS322" s="774">
        <f t="shared" si="119"/>
        <v>0.2857142857142857</v>
      </c>
      <c r="AT322" s="791">
        <f t="shared" si="120"/>
        <v>25.947503207411085</v>
      </c>
      <c r="AU322" s="13">
        <f t="shared" si="121"/>
        <v>13</v>
      </c>
      <c r="AV322" s="13">
        <f t="shared" si="122"/>
        <v>12</v>
      </c>
      <c r="AW322" s="175">
        <f t="shared" si="123"/>
        <v>43430</v>
      </c>
      <c r="AX322" s="774">
        <f t="shared" si="124"/>
        <v>0.7857142857142857</v>
      </c>
      <c r="AY322" s="791">
        <f t="shared" si="125"/>
        <v>26.022493295850502</v>
      </c>
      <c r="AZ322" s="765">
        <f t="shared" si="129"/>
        <v>25.984998251630792</v>
      </c>
      <c r="BA322" s="649">
        <f t="shared" si="126"/>
        <v>0.72618796391106455</v>
      </c>
      <c r="BB322" s="644">
        <v>43408</v>
      </c>
      <c r="BC322" s="11">
        <v>43408</v>
      </c>
      <c r="BD322" s="292">
        <f>[2]!FeuilCaduc*(1-Persistant)+Persistant</f>
        <v>1</v>
      </c>
      <c r="BE322" s="293">
        <f>[2]!CroissVégét</f>
        <v>0.99795380912643716</v>
      </c>
      <c r="BF322" s="844">
        <f>1+[2]!Salcycl*Ksac</f>
        <v>1.0292957375478</v>
      </c>
      <c r="BH322" s="1107">
        <f t="shared" si="127"/>
        <v>1.2013722433171586E-2</v>
      </c>
      <c r="BI322" s="11">
        <v>44504</v>
      </c>
      <c r="BJ322" s="744">
        <v>1.6008993982610372E-3</v>
      </c>
      <c r="BK322" s="744">
        <v>4.3672103377984479E-3</v>
      </c>
      <c r="BL322" s="744">
        <v>8.7004613208471141E-3</v>
      </c>
      <c r="BM322" s="744">
        <v>2.5285342944620193E-2</v>
      </c>
      <c r="BN322" s="744">
        <v>7.3243017808919328E-2</v>
      </c>
      <c r="BO322" s="745">
        <v>0.1411837316055593</v>
      </c>
      <c r="BP322" s="744">
        <v>0.23466148000881729</v>
      </c>
      <c r="BQ322" s="744">
        <v>0.33211787935967868</v>
      </c>
      <c r="BR322" s="744">
        <v>0.45536818063753848</v>
      </c>
      <c r="BS322" s="744">
        <v>0.58813046703905814</v>
      </c>
      <c r="BT322" s="744">
        <v>0.73231272603801623</v>
      </c>
      <c r="BW322" s="1191">
        <f>'2018'!R\Max</f>
        <v>0.72618796391106455</v>
      </c>
      <c r="BX322" s="1189">
        <f>'2019'!R\Max</f>
        <v>0.40804219600024461</v>
      </c>
      <c r="BY322" s="1189">
        <f>'2020'!R\Max</f>
        <v>0.24797882895177489</v>
      </c>
      <c r="BZ322" s="1189">
        <f>'2021'!R\Max</f>
        <v>0.53878249831222602</v>
      </c>
      <c r="CA322" s="1189">
        <f>'2022'!R\Max</f>
        <v>0.50302165895984163</v>
      </c>
      <c r="CB322" s="1189">
        <f>'2023'!R\Max</f>
        <v>0.49648363365415443</v>
      </c>
      <c r="CC322" s="1189">
        <f>'2024'!R\Max</f>
        <v>0.48849143547774138</v>
      </c>
      <c r="CD322" s="1189">
        <f>'2025'!R\Max</f>
        <v>0.52167287211788527</v>
      </c>
      <c r="CE322" s="1189">
        <f>'2026'!R\Max</f>
        <v>0.51840364806448824</v>
      </c>
      <c r="CF322" s="1190">
        <f>'2027'!R\Max</f>
        <v>0.51403877842472556</v>
      </c>
    </row>
    <row r="323" spans="1:84" s="6" customFormat="1" ht="11.25" x14ac:dyDescent="0.2">
      <c r="A323" s="11">
        <v>43409</v>
      </c>
      <c r="B323" s="382">
        <f>'2022'!Maxi_hp</f>
        <v>23.673738340609276</v>
      </c>
      <c r="C323" s="85">
        <f>'2022'!An_max</f>
        <v>2022</v>
      </c>
      <c r="D323" s="1134"/>
      <c r="E323" s="711"/>
      <c r="F323" s="13">
        <f t="shared" si="128"/>
        <v>23</v>
      </c>
      <c r="G323" s="13">
        <f t="shared" si="112"/>
        <v>24</v>
      </c>
      <c r="H323" s="175">
        <f t="shared" si="113"/>
        <v>43402</v>
      </c>
      <c r="I323" s="774">
        <f t="shared" si="114"/>
        <v>0.5</v>
      </c>
      <c r="J323" s="765">
        <f t="shared" si="115"/>
        <v>25.676799999549985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P323" s="13">
        <f t="shared" si="116"/>
        <v>13</v>
      </c>
      <c r="AQ323" s="13">
        <f t="shared" si="117"/>
        <v>12</v>
      </c>
      <c r="AR323" s="175">
        <f t="shared" si="118"/>
        <v>43416</v>
      </c>
      <c r="AS323" s="774">
        <f t="shared" si="119"/>
        <v>0.25</v>
      </c>
      <c r="AT323" s="791">
        <f t="shared" si="120"/>
        <v>25.640000000782312</v>
      </c>
      <c r="AU323" s="13">
        <f t="shared" si="121"/>
        <v>13</v>
      </c>
      <c r="AV323" s="13">
        <f t="shared" si="122"/>
        <v>12</v>
      </c>
      <c r="AW323" s="175">
        <f t="shared" si="123"/>
        <v>43430</v>
      </c>
      <c r="AX323" s="774">
        <f t="shared" si="124"/>
        <v>0.75</v>
      </c>
      <c r="AY323" s="791">
        <f t="shared" si="125"/>
        <v>25.716000000573693</v>
      </c>
      <c r="AZ323" s="765">
        <f t="shared" si="129"/>
        <v>25.678000000678004</v>
      </c>
      <c r="BA323" s="649">
        <f t="shared" si="126"/>
        <v>0.92198943563933922</v>
      </c>
      <c r="BB323" s="644">
        <v>43409</v>
      </c>
      <c r="BC323" s="11">
        <v>43409</v>
      </c>
      <c r="BD323" s="292">
        <f>[2]!FeuilCaduc*(1-Persistant)+Persistant</f>
        <v>1</v>
      </c>
      <c r="BE323" s="293">
        <f>[2]!CroissVégét</f>
        <v>0.99804931190721602</v>
      </c>
      <c r="BF323" s="844">
        <f>1+[2]!Salcycl*Ksac</f>
        <v>1.028289786223423</v>
      </c>
      <c r="BH323" s="1107">
        <f t="shared" si="127"/>
        <v>1.2178585578380845E-2</v>
      </c>
      <c r="BI323" s="11">
        <v>44505</v>
      </c>
      <c r="BJ323" s="744">
        <v>1.535964241634319E-3</v>
      </c>
      <c r="BK323" s="744">
        <v>4.2222511183487707E-3</v>
      </c>
      <c r="BL323" s="744">
        <v>8.5928484051135869E-3</v>
      </c>
      <c r="BM323" s="744">
        <v>2.6541637992324448E-2</v>
      </c>
      <c r="BN323" s="744">
        <v>7.59179928126366E-2</v>
      </c>
      <c r="BO323" s="745">
        <v>0.14470945872216004</v>
      </c>
      <c r="BP323" s="744">
        <v>0.23883469166862706</v>
      </c>
      <c r="BQ323" s="744">
        <v>0.33655226790220921</v>
      </c>
      <c r="BR323" s="744">
        <v>0.46169278232410926</v>
      </c>
      <c r="BS323" s="744">
        <v>0.59508675113823062</v>
      </c>
      <c r="BT323" s="744">
        <v>0.74010572771989425</v>
      </c>
      <c r="BW323" s="1191">
        <f>'2018'!R\Max</f>
        <v>0.42188330174962485</v>
      </c>
      <c r="BX323" s="1189">
        <f>'2019'!R\Max</f>
        <v>0.49644301118337897</v>
      </c>
      <c r="BY323" s="1189">
        <f>'2020'!R\Max</f>
        <v>0.54857033092742447</v>
      </c>
      <c r="BZ323" s="1189">
        <f>'2021'!R\Max</f>
        <v>0.48725760328720513</v>
      </c>
      <c r="CA323" s="1189">
        <f>'2022'!R\Max</f>
        <v>0.92198943563933922</v>
      </c>
      <c r="CB323" s="1189">
        <f>'2023'!R\Max</f>
        <v>0.92004943582077159</v>
      </c>
      <c r="CC323" s="1189">
        <f>'2024'!R\Max</f>
        <v>0.91762551750357357</v>
      </c>
      <c r="CD323" s="1189">
        <f>'2025'!R\Max</f>
        <v>0.92734390589593485</v>
      </c>
      <c r="CE323" s="1189">
        <f>'2026'!R\Max</f>
        <v>0.92641478188639115</v>
      </c>
      <c r="CF323" s="1190">
        <f>'2027'!R\Max</f>
        <v>0.92517226939650232</v>
      </c>
    </row>
    <row r="324" spans="1:84" s="6" customFormat="1" ht="11.25" x14ac:dyDescent="0.2">
      <c r="A324" s="11">
        <v>43410</v>
      </c>
      <c r="B324" s="382">
        <f>'2022'!Maxi_hp</f>
        <v>23.777364402083492</v>
      </c>
      <c r="C324" s="85">
        <f>'2022'!An_max</f>
        <v>2022</v>
      </c>
      <c r="D324" s="1134"/>
      <c r="E324" s="711"/>
      <c r="F324" s="13">
        <f t="shared" si="128"/>
        <v>23</v>
      </c>
      <c r="G324" s="13">
        <f t="shared" si="112"/>
        <v>24</v>
      </c>
      <c r="H324" s="175">
        <f t="shared" si="113"/>
        <v>43402</v>
      </c>
      <c r="I324" s="774">
        <f t="shared" si="114"/>
        <v>0.5714285714285714</v>
      </c>
      <c r="J324" s="765">
        <f t="shared" si="115"/>
        <v>25.368629738049847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P324" s="13">
        <f t="shared" si="116"/>
        <v>13</v>
      </c>
      <c r="AQ324" s="13">
        <f t="shared" si="117"/>
        <v>12</v>
      </c>
      <c r="AR324" s="175">
        <f t="shared" si="118"/>
        <v>43416</v>
      </c>
      <c r="AS324" s="774">
        <f t="shared" si="119"/>
        <v>0.21428571428571427</v>
      </c>
      <c r="AT324" s="791">
        <f t="shared" si="120"/>
        <v>25.338178426825571</v>
      </c>
      <c r="AU324" s="13">
        <f t="shared" si="121"/>
        <v>13</v>
      </c>
      <c r="AV324" s="13">
        <f t="shared" si="122"/>
        <v>12</v>
      </c>
      <c r="AW324" s="175">
        <f t="shared" si="123"/>
        <v>43430</v>
      </c>
      <c r="AX324" s="774">
        <f t="shared" si="124"/>
        <v>0.7142857142857143</v>
      </c>
      <c r="AY324" s="791">
        <f t="shared" si="125"/>
        <v>25.414306707360915</v>
      </c>
      <c r="AZ324" s="765">
        <f t="shared" si="129"/>
        <v>25.376242567093243</v>
      </c>
      <c r="BA324" s="649">
        <f t="shared" si="126"/>
        <v>0.93727428905710064</v>
      </c>
      <c r="BB324" s="644">
        <v>43410</v>
      </c>
      <c r="BC324" s="11">
        <v>43410</v>
      </c>
      <c r="BD324" s="292">
        <f>[2]!FeuilCaduc*(1-Persistant)+Persistant</f>
        <v>1</v>
      </c>
      <c r="BE324" s="293">
        <f>[2]!CroissVégét</f>
        <v>0.99814098663615436</v>
      </c>
      <c r="BF324" s="844">
        <f>1+[2]!Salcycl*Ksac</f>
        <v>1.0272891534318964</v>
      </c>
      <c r="BH324" s="1107">
        <f t="shared" si="127"/>
        <v>1.2412759672171526E-2</v>
      </c>
      <c r="BI324" s="11">
        <v>44506</v>
      </c>
      <c r="BJ324" s="744">
        <v>1.4761601841183994E-3</v>
      </c>
      <c r="BK324" s="744">
        <v>4.0849143948639378E-3</v>
      </c>
      <c r="BL324" s="744">
        <v>8.5430133544203285E-3</v>
      </c>
      <c r="BM324" s="744">
        <v>2.7913440983925616E-2</v>
      </c>
      <c r="BN324" s="744">
        <v>7.8479483485294696E-2</v>
      </c>
      <c r="BO324" s="745">
        <v>0.14814925330595477</v>
      </c>
      <c r="BP324" s="744">
        <v>0.24277198782861117</v>
      </c>
      <c r="BQ324" s="744">
        <v>0.34095799163489349</v>
      </c>
      <c r="BR324" s="744">
        <v>0.46785530372401007</v>
      </c>
      <c r="BS324" s="744">
        <v>0.60190147075888989</v>
      </c>
      <c r="BT324" s="744">
        <v>0.74768943142795319</v>
      </c>
      <c r="BW324" s="1191">
        <f>'2018'!R\Max</f>
        <v>0.75891720186641887</v>
      </c>
      <c r="BX324" s="1189">
        <f>'2019'!R\Max</f>
        <v>0.54692971245780031</v>
      </c>
      <c r="BY324" s="1189">
        <f>'2020'!R\Max</f>
        <v>0.79997948967736887</v>
      </c>
      <c r="BZ324" s="1189">
        <f>'2021'!R\Max</f>
        <v>0.75645805240973507</v>
      </c>
      <c r="CA324" s="1189">
        <f>'2022'!R\Max</f>
        <v>0.93727428905710064</v>
      </c>
      <c r="CB324" s="1189">
        <f>'2023'!R\Max</f>
        <v>0.93565784171101885</v>
      </c>
      <c r="CC324" s="1189">
        <f>'2024'!R\Max</f>
        <v>0.93363556657796265</v>
      </c>
      <c r="CD324" s="1189">
        <f>'2025'!R\Max</f>
        <v>0.94176429731838929</v>
      </c>
      <c r="CE324" s="1189">
        <f>'2026'!R\Max</f>
        <v>0.94097629835177232</v>
      </c>
      <c r="CF324" s="1190">
        <f>'2027'!R\Max</f>
        <v>0.93993115516095105</v>
      </c>
    </row>
    <row r="325" spans="1:84" s="6" customFormat="1" ht="11.25" x14ac:dyDescent="0.2">
      <c r="A325" s="11">
        <v>43411</v>
      </c>
      <c r="B325" s="382">
        <f>'2022'!Maxi_hp</f>
        <v>23.644688895751436</v>
      </c>
      <c r="C325" s="85">
        <f>'2022'!An_max</f>
        <v>2022</v>
      </c>
      <c r="D325" s="1134"/>
      <c r="E325" s="711"/>
      <c r="F325" s="13">
        <f t="shared" si="128"/>
        <v>23</v>
      </c>
      <c r="G325" s="13">
        <f t="shared" si="112"/>
        <v>24</v>
      </c>
      <c r="H325" s="175">
        <f t="shared" si="113"/>
        <v>43402</v>
      </c>
      <c r="I325" s="774">
        <f t="shared" si="114"/>
        <v>0.6428571428571429</v>
      </c>
      <c r="J325" s="765">
        <f t="shared" si="115"/>
        <v>25.066131777901735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P325" s="13">
        <f t="shared" si="116"/>
        <v>13</v>
      </c>
      <c r="AQ325" s="13">
        <f t="shared" si="117"/>
        <v>12</v>
      </c>
      <c r="AR325" s="175">
        <f t="shared" si="118"/>
        <v>43416</v>
      </c>
      <c r="AS325" s="774">
        <f t="shared" si="119"/>
        <v>0.17857142857142858</v>
      </c>
      <c r="AT325" s="791">
        <f t="shared" si="120"/>
        <v>25.042178427428006</v>
      </c>
      <c r="AU325" s="13">
        <f t="shared" si="121"/>
        <v>13</v>
      </c>
      <c r="AV325" s="13">
        <f t="shared" si="122"/>
        <v>12</v>
      </c>
      <c r="AW325" s="175">
        <f t="shared" si="123"/>
        <v>43430</v>
      </c>
      <c r="AX325" s="774">
        <f t="shared" si="124"/>
        <v>0.6785714285714286</v>
      </c>
      <c r="AY325" s="791">
        <f t="shared" si="125"/>
        <v>25.11753935944289</v>
      </c>
      <c r="AZ325" s="765">
        <f t="shared" si="129"/>
        <v>25.07985889343545</v>
      </c>
      <c r="BA325" s="649">
        <f t="shared" si="126"/>
        <v>0.94329229197608222</v>
      </c>
      <c r="BB325" s="644">
        <v>43411</v>
      </c>
      <c r="BC325" s="11">
        <v>43411</v>
      </c>
      <c r="BD325" s="292">
        <f>[2]!FeuilCaduc*(1-Persistant)+Persistant</f>
        <v>1</v>
      </c>
      <c r="BE325" s="293">
        <f>[2]!CroissVégét</f>
        <v>0.99822898609149657</v>
      </c>
      <c r="BF325" s="844">
        <f>1+[2]!Salcycl*Ksac</f>
        <v>1.026295315820799</v>
      </c>
      <c r="BH325" s="1107">
        <f t="shared" si="127"/>
        <v>1.2699268751298363E-2</v>
      </c>
      <c r="BI325" s="11">
        <v>44507</v>
      </c>
      <c r="BJ325" s="744">
        <v>1.4175619392730668E-3</v>
      </c>
      <c r="BK325" s="744">
        <v>3.9519208328941541E-3</v>
      </c>
      <c r="BL325" s="744">
        <v>8.5471183121517309E-3</v>
      </c>
      <c r="BM325" s="744">
        <v>2.9331149869819221E-2</v>
      </c>
      <c r="BN325" s="744">
        <v>8.0895030831770853E-2</v>
      </c>
      <c r="BO325" s="745">
        <v>0.15148557093854509</v>
      </c>
      <c r="BP325" s="744">
        <v>0.24644215421347485</v>
      </c>
      <c r="BQ325" s="744">
        <v>0.34535712435635219</v>
      </c>
      <c r="BR325" s="744">
        <v>0.47385075901241008</v>
      </c>
      <c r="BS325" s="744">
        <v>0.60871532862546041</v>
      </c>
      <c r="BT325" s="744">
        <v>0.75525931053179729</v>
      </c>
      <c r="BW325" s="1191">
        <f>'2018'!R\Max</f>
        <v>0.44232924712804039</v>
      </c>
      <c r="BX325" s="1189">
        <f>'2019'!R\Max</f>
        <v>0.194391465298689</v>
      </c>
      <c r="BY325" s="1189">
        <f>'2020'!R\Max</f>
        <v>0.55570498010931213</v>
      </c>
      <c r="BZ325" s="1189">
        <f>'2021'!R\Max</f>
        <v>0.40223322613658119</v>
      </c>
      <c r="CA325" s="1189">
        <f>'2022'!R\Max</f>
        <v>0.94329229197608222</v>
      </c>
      <c r="CB325" s="1189">
        <f>'2023'!R\Max</f>
        <v>0.94179512111329533</v>
      </c>
      <c r="CC325" s="1189">
        <f>'2024'!R\Max</f>
        <v>0.93991378016017213</v>
      </c>
      <c r="CD325" s="1189">
        <f>'2025'!R\Max</f>
        <v>0.94747931320711065</v>
      </c>
      <c r="CE325" s="1189">
        <f>'2026'!R\Max</f>
        <v>0.94673764115692738</v>
      </c>
      <c r="CF325" s="1190">
        <f>'2027'!R\Max</f>
        <v>0.94576027623481929</v>
      </c>
    </row>
    <row r="326" spans="1:84" s="6" customFormat="1" ht="11.25" x14ac:dyDescent="0.2">
      <c r="A326" s="11">
        <v>43412</v>
      </c>
      <c r="B326" s="382">
        <f>'2022'!Maxi_hp</f>
        <v>20.22602199592037</v>
      </c>
      <c r="C326" s="85">
        <f>'2022'!An_max</f>
        <v>2021</v>
      </c>
      <c r="D326" s="1134"/>
      <c r="E326" s="711"/>
      <c r="F326" s="13">
        <f t="shared" si="128"/>
        <v>23</v>
      </c>
      <c r="G326" s="13">
        <f t="shared" si="112"/>
        <v>24</v>
      </c>
      <c r="H326" s="175">
        <f t="shared" si="113"/>
        <v>43402</v>
      </c>
      <c r="I326" s="774">
        <f t="shared" si="114"/>
        <v>0.7142857142857143</v>
      </c>
      <c r="J326" s="765">
        <f t="shared" si="115"/>
        <v>24.769753935400928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P326" s="13">
        <f t="shared" si="116"/>
        <v>13</v>
      </c>
      <c r="AQ326" s="13">
        <f t="shared" si="117"/>
        <v>12</v>
      </c>
      <c r="AR326" s="175">
        <f t="shared" si="118"/>
        <v>43416</v>
      </c>
      <c r="AS326" s="774">
        <f t="shared" si="119"/>
        <v>0.14285714285714285</v>
      </c>
      <c r="AT326" s="791">
        <f t="shared" si="120"/>
        <v>24.752139942241566</v>
      </c>
      <c r="AU326" s="13">
        <f t="shared" si="121"/>
        <v>13</v>
      </c>
      <c r="AV326" s="13">
        <f t="shared" si="122"/>
        <v>12</v>
      </c>
      <c r="AW326" s="175">
        <f t="shared" si="123"/>
        <v>43430</v>
      </c>
      <c r="AX326" s="774">
        <f t="shared" si="124"/>
        <v>0.6428571428571429</v>
      </c>
      <c r="AY326" s="791">
        <f t="shared" si="125"/>
        <v>24.82582390824599</v>
      </c>
      <c r="AZ326" s="765">
        <f t="shared" si="129"/>
        <v>24.788981925243778</v>
      </c>
      <c r="BA326" s="649">
        <f t="shared" si="126"/>
        <v>0.81656128069214862</v>
      </c>
      <c r="BB326" s="644">
        <v>43412</v>
      </c>
      <c r="BC326" s="11">
        <v>43412</v>
      </c>
      <c r="BD326" s="292">
        <f>[2]!FeuilCaduc*(1-Persistant)+Persistant</f>
        <v>1</v>
      </c>
      <c r="BE326" s="293">
        <f>[2]!CroissVégét</f>
        <v>0.99831345700622864</v>
      </c>
      <c r="BF326" s="844">
        <f>1+[2]!Salcycl*Ksac</f>
        <v>1.0253097342258881</v>
      </c>
      <c r="BH326" s="1107">
        <f t="shared" si="127"/>
        <v>1.3038168115806659E-2</v>
      </c>
      <c r="BI326" s="11">
        <v>44508</v>
      </c>
      <c r="BJ326" s="744">
        <v>1.3601709278853904E-3</v>
      </c>
      <c r="BK326" s="744">
        <v>3.823275200066395E-3</v>
      </c>
      <c r="BL326" s="744">
        <v>8.6052295612473063E-3</v>
      </c>
      <c r="BM326" s="744">
        <v>3.0794775956897235E-2</v>
      </c>
      <c r="BN326" s="744">
        <v>8.3164318407630985E-2</v>
      </c>
      <c r="BO326" s="745">
        <v>0.15471807338321913</v>
      </c>
      <c r="BP326" s="744">
        <v>0.24984453622911121</v>
      </c>
      <c r="BQ326" s="744">
        <v>0.34974926698907249</v>
      </c>
      <c r="BR326" s="744">
        <v>0.47967838435918925</v>
      </c>
      <c r="BS326" s="744">
        <v>0.61552765285400313</v>
      </c>
      <c r="BT326" s="744">
        <v>0.76281452963937191</v>
      </c>
      <c r="BW326" s="1191">
        <f>'2018'!R\Max</f>
        <v>0.55191982156965103</v>
      </c>
      <c r="BX326" s="1189">
        <f>'2019'!R\Max</f>
        <v>0.58244626947990641</v>
      </c>
      <c r="BY326" s="1189">
        <f>'2020'!R\Max</f>
        <v>0.15813464025526705</v>
      </c>
      <c r="BZ326" s="1189">
        <f>'2021'!R\Max</f>
        <v>0.81656128069214862</v>
      </c>
      <c r="CA326" s="1189">
        <f>'2022'!R\Max</f>
        <v>0.61369510436936925</v>
      </c>
      <c r="CB326" s="1189">
        <f>'2023'!R\Max</f>
        <v>0.60701198143757695</v>
      </c>
      <c r="CC326" s="1189">
        <f>'2024'!R\Max</f>
        <v>0.5987256531528734</v>
      </c>
      <c r="CD326" s="1189">
        <f>'2025'!R\Max</f>
        <v>0.6332077380439306</v>
      </c>
      <c r="CE326" s="1189">
        <f>'2026'!R\Max</f>
        <v>0.62964892571002573</v>
      </c>
      <c r="CF326" s="1190">
        <f>'2027'!R\Max</f>
        <v>0.62503318907572547</v>
      </c>
    </row>
    <row r="327" spans="1:84" s="6" customFormat="1" ht="11.25" x14ac:dyDescent="0.2">
      <c r="A327" s="11">
        <v>43413</v>
      </c>
      <c r="B327" s="382">
        <f>'2022'!Maxi_hp</f>
        <v>19.543383638603277</v>
      </c>
      <c r="C327" s="85">
        <f>'2022'!An_max</f>
        <v>2020</v>
      </c>
      <c r="D327" s="1134"/>
      <c r="E327" s="711"/>
      <c r="F327" s="13">
        <f t="shared" si="128"/>
        <v>23</v>
      </c>
      <c r="G327" s="13">
        <f t="shared" si="112"/>
        <v>24</v>
      </c>
      <c r="H327" s="175">
        <f t="shared" si="113"/>
        <v>43402</v>
      </c>
      <c r="I327" s="774">
        <f t="shared" si="114"/>
        <v>0.7857142857142857</v>
      </c>
      <c r="J327" s="765">
        <f t="shared" si="115"/>
        <v>24.479944023383517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P327" s="13">
        <f t="shared" si="116"/>
        <v>13</v>
      </c>
      <c r="AQ327" s="13">
        <f t="shared" si="117"/>
        <v>12</v>
      </c>
      <c r="AR327" s="175">
        <f t="shared" si="118"/>
        <v>43416</v>
      </c>
      <c r="AS327" s="774">
        <f t="shared" si="119"/>
        <v>0.10714285714285714</v>
      </c>
      <c r="AT327" s="791">
        <f t="shared" si="120"/>
        <v>24.468202915787696</v>
      </c>
      <c r="AU327" s="13">
        <f t="shared" si="121"/>
        <v>13</v>
      </c>
      <c r="AV327" s="13">
        <f t="shared" si="122"/>
        <v>12</v>
      </c>
      <c r="AW327" s="175">
        <f t="shared" si="123"/>
        <v>43430</v>
      </c>
      <c r="AX327" s="774">
        <f t="shared" si="124"/>
        <v>0.6071428571428571</v>
      </c>
      <c r="AY327" s="791">
        <f t="shared" si="125"/>
        <v>24.539286297852442</v>
      </c>
      <c r="AZ327" s="765">
        <f t="shared" si="129"/>
        <v>24.503744606820071</v>
      </c>
      <c r="BA327" s="649">
        <f t="shared" si="126"/>
        <v>0.79834266042174029</v>
      </c>
      <c r="BB327" s="644">
        <v>43413</v>
      </c>
      <c r="BC327" s="11">
        <v>43413</v>
      </c>
      <c r="BD327" s="292">
        <f>[2]!FeuilCaduc*(1-Persistant)+Persistant</f>
        <v>1</v>
      </c>
      <c r="BE327" s="293">
        <f>[2]!CroissVégét</f>
        <v>0.99839454030316765</v>
      </c>
      <c r="BF327" s="844">
        <f>1+[2]!Salcycl*Ksac</f>
        <v>1.0243338469128389</v>
      </c>
      <c r="BH327" s="1107">
        <f t="shared" si="127"/>
        <v>1.3429510021129177E-2</v>
      </c>
      <c r="BI327" s="11">
        <v>44509</v>
      </c>
      <c r="BJ327" s="744">
        <v>1.3039887393417019E-3</v>
      </c>
      <c r="BK327" s="744">
        <v>3.6989825856868289E-3</v>
      </c>
      <c r="BL327" s="744">
        <v>8.7174112989733717E-3</v>
      </c>
      <c r="BM327" s="744">
        <v>3.230432366630541E-2</v>
      </c>
      <c r="BN327" s="744">
        <v>8.5287026738720892E-2</v>
      </c>
      <c r="BO327" s="745">
        <v>0.15784641448807232</v>
      </c>
      <c r="BP327" s="744">
        <v>0.25297847661131706</v>
      </c>
      <c r="BQ327" s="744">
        <v>0.35413400521663602</v>
      </c>
      <c r="BR327" s="744">
        <v>0.4853374012755593</v>
      </c>
      <c r="BS327" s="744">
        <v>0.62233774770367845</v>
      </c>
      <c r="BT327" s="744">
        <v>0.77035422746706417</v>
      </c>
      <c r="BW327" s="1191">
        <f>'2018'!R\Max</f>
        <v>0.15906037646835916</v>
      </c>
      <c r="BX327" s="1189">
        <f>'2019'!R\Max</f>
        <v>0.72462269242547872</v>
      </c>
      <c r="BY327" s="1189">
        <f>'2020'!R\Max</f>
        <v>0.79834266042174029</v>
      </c>
      <c r="BZ327" s="1189">
        <f>'2021'!R\Max</f>
        <v>0.71983011444624367</v>
      </c>
      <c r="CA327" s="1189">
        <f>'2022'!R\Max</f>
        <v>0.35871513251080783</v>
      </c>
      <c r="CB327" s="1189">
        <f>'2023'!R\Max</f>
        <v>0.35217868775350014</v>
      </c>
      <c r="CC327" s="1189">
        <f>'2024'!R\Max</f>
        <v>0.34411946824544398</v>
      </c>
      <c r="CD327" s="1189">
        <f>'2025'!R\Max</f>
        <v>0.37850445870029703</v>
      </c>
      <c r="CE327" s="1189">
        <f>'2026'!R\Max</f>
        <v>0.37481048559658303</v>
      </c>
      <c r="CF327" s="1190">
        <f>'2027'!R\Max</f>
        <v>0.37007907596983081</v>
      </c>
    </row>
    <row r="328" spans="1:84" s="6" customFormat="1" ht="11.25" x14ac:dyDescent="0.2">
      <c r="A328" s="11">
        <v>43414</v>
      </c>
      <c r="B328" s="382">
        <f>'2022'!Maxi_hp</f>
        <v>20.686248828344251</v>
      </c>
      <c r="C328" s="85">
        <f>'2022'!An_max</f>
        <v>2022</v>
      </c>
      <c r="D328" s="1134"/>
      <c r="E328" s="711"/>
      <c r="F328" s="13">
        <f t="shared" si="128"/>
        <v>23</v>
      </c>
      <c r="G328" s="13">
        <f t="shared" si="112"/>
        <v>24</v>
      </c>
      <c r="H328" s="175">
        <f t="shared" si="113"/>
        <v>43402</v>
      </c>
      <c r="I328" s="774">
        <f t="shared" si="114"/>
        <v>0.8571428571428571</v>
      </c>
      <c r="J328" s="765">
        <f t="shared" si="115"/>
        <v>24.197149854046955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P328" s="13">
        <f t="shared" si="116"/>
        <v>13</v>
      </c>
      <c r="AQ328" s="13">
        <f t="shared" si="117"/>
        <v>12</v>
      </c>
      <c r="AR328" s="175">
        <f t="shared" si="118"/>
        <v>43416</v>
      </c>
      <c r="AS328" s="774">
        <f t="shared" si="119"/>
        <v>7.1428571428571425E-2</v>
      </c>
      <c r="AT328" s="791">
        <f t="shared" si="120"/>
        <v>24.190507289235079</v>
      </c>
      <c r="AU328" s="13">
        <f t="shared" si="121"/>
        <v>13</v>
      </c>
      <c r="AV328" s="13">
        <f t="shared" si="122"/>
        <v>12</v>
      </c>
      <c r="AW328" s="175">
        <f t="shared" si="123"/>
        <v>43430</v>
      </c>
      <c r="AX328" s="774">
        <f t="shared" si="124"/>
        <v>0.5714285714285714</v>
      </c>
      <c r="AY328" s="791">
        <f t="shared" si="125"/>
        <v>24.258052479262865</v>
      </c>
      <c r="AZ328" s="765">
        <f t="shared" si="129"/>
        <v>24.224279884248972</v>
      </c>
      <c r="BA328" s="649">
        <f t="shared" si="126"/>
        <v>0.85490435663374176</v>
      </c>
      <c r="BB328" s="644">
        <v>43414</v>
      </c>
      <c r="BC328" s="11">
        <v>43414</v>
      </c>
      <c r="BD328" s="292">
        <f>[2]!FeuilCaduc*(1-Persistant)+Persistant</f>
        <v>1</v>
      </c>
      <c r="BE328" s="293">
        <f>[2]!CroissVégét</f>
        <v>0.99847237132123801</v>
      </c>
      <c r="BF328" s="844">
        <f>1+[2]!Salcycl*Ksac</f>
        <v>1.0233690629093455</v>
      </c>
      <c r="BH328" s="1107">
        <f t="shared" si="127"/>
        <v>1.3873343199213486E-2</v>
      </c>
      <c r="BI328" s="11">
        <v>44510</v>
      </c>
      <c r="BJ328" s="744">
        <v>1.2490171199861138E-3</v>
      </c>
      <c r="BK328" s="744">
        <v>3.5790483595288642E-3</v>
      </c>
      <c r="BL328" s="744">
        <v>8.8837251411030688E-3</v>
      </c>
      <c r="BM328" s="744">
        <v>3.3859790122454804E-2</v>
      </c>
      <c r="BN328" s="744">
        <v>8.7262834678383305E-2</v>
      </c>
      <c r="BO328" s="745">
        <v>0.16087024115763957</v>
      </c>
      <c r="BP328" s="744">
        <v>0.25584331789893039</v>
      </c>
      <c r="BQ328" s="744">
        <v>0.35851090956525994</v>
      </c>
      <c r="BR328" s="744">
        <v>0.49082701817706553</v>
      </c>
      <c r="BS328" s="744">
        <v>0.62914489361368087</v>
      </c>
      <c r="BT328" s="744">
        <v>0.77787751699516627</v>
      </c>
      <c r="BW328" s="1191">
        <f>'2018'!R\Max</f>
        <v>0.64218704802965676</v>
      </c>
      <c r="BX328" s="1189">
        <f>'2019'!R\Max</f>
        <v>0.77116829099613382</v>
      </c>
      <c r="BY328" s="1189">
        <f>'2020'!R\Max</f>
        <v>0.81376415280013514</v>
      </c>
      <c r="BZ328" s="1189">
        <f>'2021'!R\Max</f>
        <v>0.26573081189360598</v>
      </c>
      <c r="CA328" s="1189">
        <f>'2022'!R\Max</f>
        <v>0.85490435663374176</v>
      </c>
      <c r="CB328" s="1189">
        <f>'2023'!R\Max</f>
        <v>0.8512784643151724</v>
      </c>
      <c r="CC328" s="1189">
        <f>'2024'!R\Max</f>
        <v>0.84659530103753933</v>
      </c>
      <c r="CD328" s="1189">
        <f>'2025'!R\Max</f>
        <v>0.86535050336988339</v>
      </c>
      <c r="CE328" s="1189">
        <f>'2026'!R\Max</f>
        <v>0.86346019439422228</v>
      </c>
      <c r="CF328" s="1190">
        <f>'2027'!R\Max</f>
        <v>0.86099974048907124</v>
      </c>
    </row>
    <row r="329" spans="1:84" s="6" customFormat="1" ht="11.25" x14ac:dyDescent="0.2">
      <c r="A329" s="11">
        <v>43415</v>
      </c>
      <c r="B329" s="382">
        <f>'2022'!Maxi_hp</f>
        <v>21.412751227633198</v>
      </c>
      <c r="C329" s="85">
        <f>'2022'!An_max</f>
        <v>2022</v>
      </c>
      <c r="D329" s="1134"/>
      <c r="E329" s="711"/>
      <c r="F329" s="13">
        <f t="shared" si="128"/>
        <v>23</v>
      </c>
      <c r="G329" s="13">
        <f t="shared" si="112"/>
        <v>24</v>
      </c>
      <c r="H329" s="175">
        <f t="shared" si="113"/>
        <v>43402</v>
      </c>
      <c r="I329" s="774">
        <f t="shared" si="114"/>
        <v>0.9285714285714286</v>
      </c>
      <c r="J329" s="765">
        <f t="shared" si="115"/>
        <v>23.921819242196428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P329" s="13">
        <f t="shared" si="116"/>
        <v>13</v>
      </c>
      <c r="AQ329" s="13">
        <f t="shared" si="117"/>
        <v>12</v>
      </c>
      <c r="AR329" s="175">
        <f t="shared" si="118"/>
        <v>43416</v>
      </c>
      <c r="AS329" s="774">
        <f t="shared" si="119"/>
        <v>3.5714285714285712E-2</v>
      </c>
      <c r="AT329" s="791">
        <f t="shared" si="120"/>
        <v>23.919193003699185</v>
      </c>
      <c r="AU329" s="13">
        <f t="shared" si="121"/>
        <v>13</v>
      </c>
      <c r="AV329" s="13">
        <f t="shared" si="122"/>
        <v>12</v>
      </c>
      <c r="AW329" s="175">
        <f t="shared" si="123"/>
        <v>43430</v>
      </c>
      <c r="AX329" s="774">
        <f t="shared" si="124"/>
        <v>0.5357142857142857</v>
      </c>
      <c r="AY329" s="791">
        <f t="shared" si="125"/>
        <v>23.982248397810118</v>
      </c>
      <c r="AZ329" s="765">
        <f t="shared" si="129"/>
        <v>23.950720700754651</v>
      </c>
      <c r="BA329" s="649">
        <f t="shared" si="126"/>
        <v>0.89511382938060968</v>
      </c>
      <c r="BB329" s="644">
        <v>43415</v>
      </c>
      <c r="BC329" s="11">
        <v>43415</v>
      </c>
      <c r="BD329" s="292">
        <f>[2]!FeuilCaduc*(1-Persistant)+Persistant</f>
        <v>1</v>
      </c>
      <c r="BE329" s="293">
        <f>[2]!CroissVégét</f>
        <v>0.99854708003323223</v>
      </c>
      <c r="BF329" s="844">
        <f>1+[2]!Salcycl*Ksac</f>
        <v>1.022416755474804</v>
      </c>
      <c r="BH329" s="1107">
        <f t="shared" si="127"/>
        <v>1.4369712379528492E-2</v>
      </c>
      <c r="BI329" s="11">
        <v>44511</v>
      </c>
      <c r="BJ329" s="744">
        <v>1.195257961466723E-3</v>
      </c>
      <c r="BK329" s="744">
        <v>3.4634781305864959E-3</v>
      </c>
      <c r="BL329" s="744">
        <v>9.1042296260167438E-3</v>
      </c>
      <c r="BM329" s="744">
        <v>3.5461164741747812E-2</v>
      </c>
      <c r="BN329" s="744">
        <v>8.9091420763911688E-2</v>
      </c>
      <c r="BO329" s="745">
        <v>0.16378919432310701</v>
      </c>
      <c r="BP329" s="744">
        <v>0.25843840490467967</v>
      </c>
      <c r="BQ329" s="744">
        <v>0.3628795354821297</v>
      </c>
      <c r="BR329" s="744">
        <v>0.49614643194219438</v>
      </c>
      <c r="BS329" s="744">
        <v>0.63594834723453253</v>
      </c>
      <c r="BT329" s="744">
        <v>0.78538348561634885</v>
      </c>
      <c r="BW329" s="1191">
        <f>'2018'!R\Max</f>
        <v>0.83639767158361955</v>
      </c>
      <c r="BX329" s="1189">
        <f>'2019'!R\Max</f>
        <v>0.87436862713785424</v>
      </c>
      <c r="BY329" s="1189">
        <f>'2020'!R\Max</f>
        <v>0.563375547025315</v>
      </c>
      <c r="BZ329" s="1189">
        <f>'2021'!R\Max</f>
        <v>0.37707874083611598</v>
      </c>
      <c r="CA329" s="1189">
        <f>'2022'!R\Max</f>
        <v>0.89511382938060968</v>
      </c>
      <c r="CB329" s="1189">
        <f>'2023'!R\Max</f>
        <v>0.892330481049881</v>
      </c>
      <c r="CC329" s="1189">
        <f>'2024'!R\Max</f>
        <v>0.88866096386893589</v>
      </c>
      <c r="CD329" s="1189">
        <f>'2025'!R\Max</f>
        <v>0.90314393260324344</v>
      </c>
      <c r="CE329" s="1189">
        <f>'2026'!R\Max</f>
        <v>0.90169335761899616</v>
      </c>
      <c r="CF329" s="1190">
        <f>'2027'!R\Max</f>
        <v>0.89980244184391234</v>
      </c>
    </row>
    <row r="330" spans="1:84" s="6" customFormat="1" ht="11.25" x14ac:dyDescent="0.2">
      <c r="A330" s="11">
        <v>43416</v>
      </c>
      <c r="B330" s="382">
        <f>'2022'!Maxi_hp</f>
        <v>21.417505226128377</v>
      </c>
      <c r="C330" s="85">
        <f>'2022'!An_max</f>
        <v>2018</v>
      </c>
      <c r="D330" s="1134"/>
      <c r="E330" s="773">
        <f>AJ$13/10</f>
        <v>23.654400000000003</v>
      </c>
      <c r="F330" s="13">
        <f t="shared" si="128"/>
        <v>25</v>
      </c>
      <c r="G330" s="13">
        <f t="shared" si="112"/>
        <v>24</v>
      </c>
      <c r="H330" s="175">
        <f t="shared" si="113"/>
        <v>43430</v>
      </c>
      <c r="I330" s="774">
        <f t="shared" si="114"/>
        <v>1</v>
      </c>
      <c r="J330" s="765">
        <f t="shared" si="115"/>
        <v>23.654399999976157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P330" s="13">
        <f t="shared" si="116"/>
        <v>13</v>
      </c>
      <c r="AQ330" s="13">
        <f t="shared" si="117"/>
        <v>14</v>
      </c>
      <c r="AR330" s="175">
        <f t="shared" si="118"/>
        <v>43416</v>
      </c>
      <c r="AS330" s="774">
        <f t="shared" si="119"/>
        <v>0</v>
      </c>
      <c r="AT330" s="791">
        <f t="shared" si="120"/>
        <v>23.654400000721218</v>
      </c>
      <c r="AU330" s="13">
        <f t="shared" si="121"/>
        <v>13</v>
      </c>
      <c r="AV330" s="13">
        <f t="shared" si="122"/>
        <v>12</v>
      </c>
      <c r="AW330" s="175">
        <f t="shared" si="123"/>
        <v>43430</v>
      </c>
      <c r="AX330" s="774">
        <f t="shared" si="124"/>
        <v>0.5</v>
      </c>
      <c r="AY330" s="791">
        <f t="shared" si="125"/>
        <v>23.712000000476838</v>
      </c>
      <c r="AZ330" s="765">
        <f t="shared" si="129"/>
        <v>23.68320000059903</v>
      </c>
      <c r="BA330" s="649">
        <f t="shared" si="126"/>
        <v>0.90543430508277378</v>
      </c>
      <c r="BB330" s="644">
        <v>43416</v>
      </c>
      <c r="BC330" s="11">
        <v>43416</v>
      </c>
      <c r="BD330" s="292">
        <f>[2]!FeuilCaduc*(1-Persistant)+Persistant</f>
        <v>1</v>
      </c>
      <c r="BE330" s="293">
        <f>[2]!CroissVégét</f>
        <v>0.99861879125535868</v>
      </c>
      <c r="BF330" s="844">
        <f>1+[2]!Salcycl*Ksac</f>
        <v>1.0214782557539763</v>
      </c>
      <c r="BH330" s="1107">
        <f t="shared" si="127"/>
        <v>1.4918657810243588E-2</v>
      </c>
      <c r="BI330" s="11">
        <v>44512</v>
      </c>
      <c r="BJ330" s="744">
        <v>1.1427132890977783E-3</v>
      </c>
      <c r="BK330" s="744">
        <v>3.3522777058732282E-3</v>
      </c>
      <c r="BL330" s="744">
        <v>9.3789797189135302E-3</v>
      </c>
      <c r="BM330" s="744">
        <v>3.7108428821722647E-2</v>
      </c>
      <c r="BN330" s="744">
        <v>9.0772464574091008E-2</v>
      </c>
      <c r="BO330" s="745">
        <v>0.16660290991453153</v>
      </c>
      <c r="BP330" s="744">
        <v>0.26076308718923508</v>
      </c>
      <c r="BQ330" s="744">
        <v>0.36723942341821886</v>
      </c>
      <c r="BR330" s="744">
        <v>0.50129482947712278</v>
      </c>
      <c r="BS330" s="744">
        <v>0.64274734146725276</v>
      </c>
      <c r="BT330" s="744">
        <v>0.7928711952938825</v>
      </c>
      <c r="BW330" s="1191">
        <f>'2018'!R\Max</f>
        <v>0.90543430508277378</v>
      </c>
      <c r="BX330" s="1189">
        <f>'2019'!R\Max</f>
        <v>0.67152010778930649</v>
      </c>
      <c r="BY330" s="1189">
        <f>'2020'!R\Max</f>
        <v>0.83976542374734042</v>
      </c>
      <c r="BZ330" s="1189">
        <f>'2021'!R\Max</f>
        <v>0.37292075878136</v>
      </c>
      <c r="CA330" s="1189">
        <f>'2022'!R\Max</f>
        <v>0.89945486296848853</v>
      </c>
      <c r="CB330" s="1189">
        <f>'2023'!R\Max</f>
        <v>0.89674188650363251</v>
      </c>
      <c r="CC330" s="1189">
        <f>'2024'!R\Max</f>
        <v>0.89308800651210074</v>
      </c>
      <c r="CD330" s="1189">
        <f>'2025'!R\Max</f>
        <v>0.90732245375599507</v>
      </c>
      <c r="CE330" s="1189">
        <f>'2026'!R\Max</f>
        <v>0.90590296303083284</v>
      </c>
      <c r="CF330" s="1190">
        <f>'2027'!R\Max</f>
        <v>0.90404931643366393</v>
      </c>
    </row>
    <row r="331" spans="1:84" s="6" customFormat="1" ht="11.25" x14ac:dyDescent="0.2">
      <c r="A331" s="11">
        <v>43417</v>
      </c>
      <c r="B331" s="382">
        <f>'2022'!Maxi_hp</f>
        <v>23.366158746660897</v>
      </c>
      <c r="C331" s="85">
        <f>'2022'!An_max</f>
        <v>2020</v>
      </c>
      <c r="D331" s="1134"/>
      <c r="E331" s="711"/>
      <c r="F331" s="13">
        <f t="shared" si="128"/>
        <v>25</v>
      </c>
      <c r="G331" s="13">
        <f t="shared" si="112"/>
        <v>24</v>
      </c>
      <c r="H331" s="175">
        <f t="shared" si="113"/>
        <v>43430</v>
      </c>
      <c r="I331" s="774">
        <f t="shared" si="114"/>
        <v>0.9285714285714286</v>
      </c>
      <c r="J331" s="765">
        <f t="shared" si="115"/>
        <v>23.394948104928645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P331" s="13">
        <f t="shared" si="116"/>
        <v>13</v>
      </c>
      <c r="AQ331" s="13">
        <f t="shared" si="117"/>
        <v>14</v>
      </c>
      <c r="AR331" s="175">
        <f t="shared" si="118"/>
        <v>43416</v>
      </c>
      <c r="AS331" s="774">
        <f t="shared" si="119"/>
        <v>3.5714285714285712E-2</v>
      </c>
      <c r="AT331" s="791">
        <f t="shared" si="120"/>
        <v>23.394122412029123</v>
      </c>
      <c r="AU331" s="13">
        <f t="shared" si="121"/>
        <v>13</v>
      </c>
      <c r="AV331" s="13">
        <f t="shared" si="122"/>
        <v>12</v>
      </c>
      <c r="AW331" s="175">
        <f t="shared" si="123"/>
        <v>43430</v>
      </c>
      <c r="AX331" s="774">
        <f t="shared" si="124"/>
        <v>0.4642857142857143</v>
      </c>
      <c r="AY331" s="791">
        <f t="shared" si="125"/>
        <v>23.447433237438755</v>
      </c>
      <c r="AZ331" s="765">
        <f t="shared" si="129"/>
        <v>23.420777824733939</v>
      </c>
      <c r="BA331" s="649">
        <f t="shared" si="126"/>
        <v>0.9987694198705368</v>
      </c>
      <c r="BB331" s="644">
        <v>43417</v>
      </c>
      <c r="BC331" s="11">
        <v>43417</v>
      </c>
      <c r="BD331" s="292">
        <f>[2]!FeuilCaduc*(1-Persistant)+Persistant</f>
        <v>1</v>
      </c>
      <c r="BE331" s="293">
        <f>[2]!CroissVégét</f>
        <v>0.99868762484886009</v>
      </c>
      <c r="BF331" s="844">
        <f>1+[2]!Salcycl*Ksac</f>
        <v>1.0205548466597978</v>
      </c>
      <c r="BH331" s="1107">
        <f t="shared" si="127"/>
        <v>1.5520214779192701E-2</v>
      </c>
      <c r="BI331" s="11">
        <v>44513</v>
      </c>
      <c r="BJ331" s="744">
        <v>1.0913852502025647E-3</v>
      </c>
      <c r="BK331" s="744">
        <v>3.2454530491657051E-3</v>
      </c>
      <c r="BL331" s="744">
        <v>9.7080263158852067E-3</v>
      </c>
      <c r="BM331" s="744">
        <v>3.8801555129672913E-2</v>
      </c>
      <c r="BN331" s="744">
        <v>9.2305648085387673E-2</v>
      </c>
      <c r="BO331" s="745">
        <v>0.16931101983057026</v>
      </c>
      <c r="BP331" s="744">
        <v>0.26281672153130026</v>
      </c>
      <c r="BQ331" s="744">
        <v>0.37159009890555961</v>
      </c>
      <c r="BR331" s="744">
        <v>0.50627138927287263</v>
      </c>
      <c r="BS331" s="744">
        <v>0.64954108549279166</v>
      </c>
      <c r="BT331" s="744">
        <v>0.80033968270781308</v>
      </c>
      <c r="BW331" s="1191">
        <f>'2018'!R\Max</f>
        <v>0.33015704739265694</v>
      </c>
      <c r="BX331" s="1189">
        <f>'2019'!R\Max</f>
        <v>0.81810710776582052</v>
      </c>
      <c r="BY331" s="1189">
        <f>'2020'!R\Max</f>
        <v>0.9987694198705368</v>
      </c>
      <c r="BZ331" s="1189">
        <f>'2021'!R\Max</f>
        <v>0.26268577981568419</v>
      </c>
      <c r="CA331" s="1189">
        <f>'2022'!R\Max</f>
        <v>0.79956284351130025</v>
      </c>
      <c r="CB331" s="1189">
        <f>'2023'!R\Max</f>
        <v>0.79471939752819976</v>
      </c>
      <c r="CC331" s="1189">
        <f>'2024'!R\Max</f>
        <v>0.78808476569266372</v>
      </c>
      <c r="CD331" s="1189">
        <f>'2025'!R\Max</f>
        <v>0.81385372879860474</v>
      </c>
      <c r="CE331" s="1189">
        <f>'2026'!R\Max</f>
        <v>0.81126381035344697</v>
      </c>
      <c r="CF331" s="1190">
        <f>'2027'!R\Max</f>
        <v>0.8078838101230339</v>
      </c>
    </row>
    <row r="332" spans="1:84" s="6" customFormat="1" ht="11.25" x14ac:dyDescent="0.2">
      <c r="A332" s="11">
        <v>43418</v>
      </c>
      <c r="B332" s="382">
        <f>'2022'!Maxi_hp</f>
        <v>17.041501964262778</v>
      </c>
      <c r="C332" s="85">
        <f>'2022'!An_max</f>
        <v>2020</v>
      </c>
      <c r="D332" s="1134"/>
      <c r="E332" s="711"/>
      <c r="F332" s="13">
        <f t="shared" si="128"/>
        <v>25</v>
      </c>
      <c r="G332" s="13">
        <f t="shared" si="112"/>
        <v>24</v>
      </c>
      <c r="H332" s="175">
        <f t="shared" si="113"/>
        <v>43430</v>
      </c>
      <c r="I332" s="774">
        <f t="shared" si="114"/>
        <v>0.8571428571428571</v>
      </c>
      <c r="J332" s="765">
        <f t="shared" si="115"/>
        <v>23.142997084558012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P332" s="13">
        <f t="shared" si="116"/>
        <v>13</v>
      </c>
      <c r="AQ332" s="13">
        <f t="shared" si="117"/>
        <v>14</v>
      </c>
      <c r="AR332" s="175">
        <f t="shared" si="118"/>
        <v>43416</v>
      </c>
      <c r="AS332" s="774">
        <f t="shared" si="119"/>
        <v>7.1428571428571425E-2</v>
      </c>
      <c r="AT332" s="791">
        <f t="shared" si="120"/>
        <v>23.136478766107132</v>
      </c>
      <c r="AU332" s="13">
        <f t="shared" si="121"/>
        <v>13</v>
      </c>
      <c r="AV332" s="13">
        <f t="shared" si="122"/>
        <v>12</v>
      </c>
      <c r="AW332" s="175">
        <f t="shared" si="123"/>
        <v>43430</v>
      </c>
      <c r="AX332" s="774">
        <f t="shared" si="124"/>
        <v>0.42857142857142855</v>
      </c>
      <c r="AY332" s="791">
        <f t="shared" si="125"/>
        <v>23.188674053336893</v>
      </c>
      <c r="AZ332" s="765">
        <f t="shared" si="129"/>
        <v>23.162576409722014</v>
      </c>
      <c r="BA332" s="649">
        <f t="shared" si="126"/>
        <v>0.73635674333786227</v>
      </c>
      <c r="BB332" s="644">
        <v>43418</v>
      </c>
      <c r="BC332" s="11">
        <v>43418</v>
      </c>
      <c r="BD332" s="292">
        <f>[2]!FeuilCaduc*(1-Persistant)+Persistant</f>
        <v>1</v>
      </c>
      <c r="BE332" s="293">
        <f>[2]!CroissVégét</f>
        <v>0.99875369591398344</v>
      </c>
      <c r="BF332" s="844">
        <f>1+[2]!Salcycl*Ksac</f>
        <v>1.0196477570288907</v>
      </c>
      <c r="BH332" s="1107">
        <f t="shared" si="127"/>
        <v>1.6147104409920569E-2</v>
      </c>
      <c r="BI332" s="11">
        <v>44514</v>
      </c>
      <c r="BJ332" s="744">
        <v>1.0431647734265798E-3</v>
      </c>
      <c r="BK332" s="744">
        <v>3.1458752204686015E-3</v>
      </c>
      <c r="BL332" s="744">
        <v>1.0079614257057948E-2</v>
      </c>
      <c r="BM332" s="744">
        <v>4.0451082887864934E-2</v>
      </c>
      <c r="BN332" s="744">
        <v>9.3668944407580612E-2</v>
      </c>
      <c r="BO332" s="745">
        <v>0.17183365083699628</v>
      </c>
      <c r="BP332" s="744">
        <v>0.2646617454074609</v>
      </c>
      <c r="BQ332" s="744">
        <v>0.37587703147578472</v>
      </c>
      <c r="BR332" s="744">
        <v>0.51106298988883114</v>
      </c>
      <c r="BS332" s="744">
        <v>0.65615276136445877</v>
      </c>
      <c r="BT332" s="744">
        <v>0.80749547786308917</v>
      </c>
      <c r="BW332" s="1191">
        <f>'2018'!R\Max</f>
        <v>0.70906357603344594</v>
      </c>
      <c r="BX332" s="1189">
        <f>'2019'!R\Max</f>
        <v>0.25810123487933961</v>
      </c>
      <c r="BY332" s="1189">
        <f>'2020'!R\Max</f>
        <v>0.73635674333786227</v>
      </c>
      <c r="BZ332" s="1189">
        <f>'2021'!R\Max</f>
        <v>0.22869227461789307</v>
      </c>
      <c r="CA332" s="1189">
        <f>'2022'!R\Max</f>
        <v>0.45047370103837908</v>
      </c>
      <c r="CB332" s="1189">
        <f>'2023'!R\Max</f>
        <v>0.44299528705462143</v>
      </c>
      <c r="CC332" s="1189">
        <f>'2024'!R\Max</f>
        <v>0.43275653859323898</v>
      </c>
      <c r="CD332" s="1189">
        <f>'2025'!R\Max</f>
        <v>0.47360888071180246</v>
      </c>
      <c r="CE332" s="1189">
        <f>'2026'!R\Max</f>
        <v>0.4693226093735034</v>
      </c>
      <c r="CF332" s="1190">
        <f>'2027'!R\Max</f>
        <v>0.46378140221918879</v>
      </c>
    </row>
    <row r="333" spans="1:84" s="6" customFormat="1" ht="11.25" x14ac:dyDescent="0.2">
      <c r="A333" s="11">
        <v>43419</v>
      </c>
      <c r="B333" s="382">
        <f>'2022'!Maxi_hp</f>
        <v>21.801305387637619</v>
      </c>
      <c r="C333" s="85">
        <f>'2022'!An_max</f>
        <v>2020</v>
      </c>
      <c r="D333" s="1134"/>
      <c r="E333" s="711"/>
      <c r="F333" s="13">
        <f t="shared" si="128"/>
        <v>25</v>
      </c>
      <c r="G333" s="13">
        <f t="shared" si="112"/>
        <v>24</v>
      </c>
      <c r="H333" s="175">
        <f t="shared" si="113"/>
        <v>43430</v>
      </c>
      <c r="I333" s="774">
        <f t="shared" si="114"/>
        <v>0.7857142857142857</v>
      </c>
      <c r="J333" s="765">
        <f t="shared" si="115"/>
        <v>22.898211078452213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P333" s="13">
        <f t="shared" si="116"/>
        <v>13</v>
      </c>
      <c r="AQ333" s="13">
        <f t="shared" si="117"/>
        <v>14</v>
      </c>
      <c r="AR333" s="175">
        <f t="shared" si="118"/>
        <v>43416</v>
      </c>
      <c r="AS333" s="774">
        <f t="shared" si="119"/>
        <v>0.10714285714285714</v>
      </c>
      <c r="AT333" s="791">
        <f t="shared" si="120"/>
        <v>22.881795600775099</v>
      </c>
      <c r="AU333" s="13">
        <f t="shared" si="121"/>
        <v>13</v>
      </c>
      <c r="AV333" s="13">
        <f t="shared" si="122"/>
        <v>12</v>
      </c>
      <c r="AW333" s="175">
        <f t="shared" si="123"/>
        <v>43430</v>
      </c>
      <c r="AX333" s="774">
        <f t="shared" si="124"/>
        <v>0.39285714285714285</v>
      </c>
      <c r="AY333" s="791">
        <f t="shared" si="125"/>
        <v>22.935848398080896</v>
      </c>
      <c r="AZ333" s="765">
        <f t="shared" si="129"/>
        <v>22.908821999428</v>
      </c>
      <c r="BA333" s="649">
        <f t="shared" si="126"/>
        <v>0.95209644600373122</v>
      </c>
      <c r="BB333" s="644">
        <v>43419</v>
      </c>
      <c r="BC333" s="11">
        <v>43419</v>
      </c>
      <c r="BD333" s="292">
        <f>[2]!FeuilCaduc*(1-Persistant)+Persistant</f>
        <v>1</v>
      </c>
      <c r="BE333" s="293">
        <f>[2]!CroissVégét</f>
        <v>0.99881711497657366</v>
      </c>
      <c r="BF333" s="844">
        <f>1+[2]!Salcycl*Ksac</f>
        <v>1.018758156091345</v>
      </c>
      <c r="BH333" s="1107">
        <f t="shared" si="127"/>
        <v>1.6765139475225573E-2</v>
      </c>
      <c r="BI333" s="11">
        <v>44515</v>
      </c>
      <c r="BJ333" s="744">
        <v>9.9688134257620029E-4</v>
      </c>
      <c r="BK333" s="744">
        <v>3.0514773679143951E-3</v>
      </c>
      <c r="BL333" s="744">
        <v>1.0468098326769447E-2</v>
      </c>
      <c r="BM333" s="744">
        <v>4.198860893147225E-2</v>
      </c>
      <c r="BN333" s="744">
        <v>9.4947744382394991E-2</v>
      </c>
      <c r="BO333" s="745">
        <v>0.17421075391892574</v>
      </c>
      <c r="BP333" s="744">
        <v>0.26644708028195951</v>
      </c>
      <c r="BQ333" s="744">
        <v>0.38011873884438452</v>
      </c>
      <c r="BR333" s="744">
        <v>0.51579255536102431</v>
      </c>
      <c r="BS333" s="744">
        <v>0.66265135999220726</v>
      </c>
      <c r="BT333" s="744">
        <v>0.81437456811676245</v>
      </c>
      <c r="BW333" s="1191">
        <f>'2018'!R\Max</f>
        <v>0.64900785940496208</v>
      </c>
      <c r="BX333" s="1189">
        <f>'2019'!R\Max</f>
        <v>0.63728271602251818</v>
      </c>
      <c r="BY333" s="1189">
        <f>'2020'!R\Max</f>
        <v>0.95209644600373122</v>
      </c>
      <c r="BZ333" s="1189">
        <f>'2021'!R\Max</f>
        <v>0.28983219629622814</v>
      </c>
      <c r="CA333" s="1189">
        <f>'2022'!R\Max</f>
        <v>0.56114537899353922</v>
      </c>
      <c r="CB333" s="1189">
        <f>'2023'!R\Max</f>
        <v>0.55360054404320858</v>
      </c>
      <c r="CC333" s="1189">
        <f>'2024'!R\Max</f>
        <v>0.54294346222516909</v>
      </c>
      <c r="CD333" s="1189">
        <f>'2025'!R\Max</f>
        <v>0.58426653245231053</v>
      </c>
      <c r="CE333" s="1189">
        <f>'2026'!R\Max</f>
        <v>0.58003517726213905</v>
      </c>
      <c r="CF333" s="1190">
        <f>'2027'!R\Max</f>
        <v>0.57451964854403526</v>
      </c>
    </row>
    <row r="334" spans="1:84" s="6" customFormat="1" ht="11.25" x14ac:dyDescent="0.2">
      <c r="A334" s="11">
        <v>43420</v>
      </c>
      <c r="B334" s="382">
        <f>'2022'!Maxi_hp</f>
        <v>20.909527532207395</v>
      </c>
      <c r="C334" s="85">
        <f>'2022'!An_max</f>
        <v>2022</v>
      </c>
      <c r="D334" s="1134"/>
      <c r="E334" s="711"/>
      <c r="F334" s="13">
        <f t="shared" si="128"/>
        <v>25</v>
      </c>
      <c r="G334" s="13">
        <f t="shared" si="112"/>
        <v>24</v>
      </c>
      <c r="H334" s="175">
        <f t="shared" si="113"/>
        <v>43430</v>
      </c>
      <c r="I334" s="774">
        <f t="shared" si="114"/>
        <v>0.7142857142857143</v>
      </c>
      <c r="J334" s="765">
        <f t="shared" si="115"/>
        <v>22.660254227582897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P334" s="13">
        <f t="shared" si="116"/>
        <v>13</v>
      </c>
      <c r="AQ334" s="13">
        <f t="shared" si="117"/>
        <v>14</v>
      </c>
      <c r="AR334" s="175">
        <f t="shared" si="118"/>
        <v>43416</v>
      </c>
      <c r="AS334" s="774">
        <f t="shared" si="119"/>
        <v>0.14285714285714285</v>
      </c>
      <c r="AT334" s="791">
        <f t="shared" si="120"/>
        <v>22.630399457684586</v>
      </c>
      <c r="AU334" s="13">
        <f t="shared" si="121"/>
        <v>13</v>
      </c>
      <c r="AV334" s="13">
        <f t="shared" si="122"/>
        <v>12</v>
      </c>
      <c r="AW334" s="175">
        <f t="shared" si="123"/>
        <v>43430</v>
      </c>
      <c r="AX334" s="774">
        <f t="shared" si="124"/>
        <v>0.35714285714285715</v>
      </c>
      <c r="AY334" s="791">
        <f t="shared" si="125"/>
        <v>22.689082217482582</v>
      </c>
      <c r="AZ334" s="765">
        <f t="shared" si="129"/>
        <v>22.659740837583584</v>
      </c>
      <c r="BA334" s="649">
        <f t="shared" si="126"/>
        <v>0.92274020062650253</v>
      </c>
      <c r="BB334" s="644">
        <v>43420</v>
      </c>
      <c r="BC334" s="11">
        <v>43420</v>
      </c>
      <c r="BD334" s="292">
        <f>[2]!FeuilCaduc*(1-Persistant)+Persistant</f>
        <v>1</v>
      </c>
      <c r="BE334" s="293">
        <f>[2]!CroissVégét</f>
        <v>0.9988779881675528</v>
      </c>
      <c r="BF334" s="844">
        <f>1+[2]!Salcycl*Ksac</f>
        <v>1.0178871482939817</v>
      </c>
      <c r="BH334" s="1107">
        <f t="shared" si="127"/>
        <v>1.7374270675360425E-2</v>
      </c>
      <c r="BI334" s="11">
        <v>44516</v>
      </c>
      <c r="BJ334" s="744">
        <v>9.5253811415244288E-4</v>
      </c>
      <c r="BK334" s="744">
        <v>2.9622664352611737E-3</v>
      </c>
      <c r="BL334" s="744">
        <v>1.0873473314039137E-2</v>
      </c>
      <c r="BM334" s="744">
        <v>4.3413907358493493E-2</v>
      </c>
      <c r="BN334" s="744">
        <v>9.6141816896497437E-2</v>
      </c>
      <c r="BO334" s="745">
        <v>0.17644191470155005</v>
      </c>
      <c r="BP334" s="744">
        <v>0.26817235168782594</v>
      </c>
      <c r="BQ334" s="744">
        <v>0.38431466581095225</v>
      </c>
      <c r="BR334" s="744">
        <v>0.52045937193929759</v>
      </c>
      <c r="BS334" s="744">
        <v>0.66903590956648784</v>
      </c>
      <c r="BT334" s="744">
        <v>0.82097564504113751</v>
      </c>
      <c r="BW334" s="1191">
        <f>'2018'!R\Max</f>
        <v>0.91648100616913519</v>
      </c>
      <c r="BX334" s="1189">
        <f>'2019'!R\Max</f>
        <v>0.66011907783386126</v>
      </c>
      <c r="BY334" s="1189">
        <f>'2020'!R\Max</f>
        <v>0.76279165954353656</v>
      </c>
      <c r="BZ334" s="1189">
        <f>'2021'!R\Max</f>
        <v>0.39844563109378028</v>
      </c>
      <c r="CA334" s="1189">
        <f>'2022'!R\Max</f>
        <v>0.92274020062650253</v>
      </c>
      <c r="CB334" s="1189">
        <f>'2023'!R\Max</f>
        <v>0.92050622487745759</v>
      </c>
      <c r="CC334" s="1189">
        <f>'2024'!R\Max</f>
        <v>0.91718924531257495</v>
      </c>
      <c r="CD334" s="1189">
        <f>'2025'!R\Max</f>
        <v>0.92930602742833501</v>
      </c>
      <c r="CE334" s="1189">
        <f>'2026'!R\Max</f>
        <v>0.92814189904872813</v>
      </c>
      <c r="CF334" s="1190">
        <f>'2027'!R\Max</f>
        <v>0.92659696979014428</v>
      </c>
    </row>
    <row r="335" spans="1:84" s="6" customFormat="1" ht="11.25" x14ac:dyDescent="0.2">
      <c r="A335" s="11">
        <v>43421</v>
      </c>
      <c r="B335" s="382">
        <f>'2022'!Maxi_hp</f>
        <v>21.918634591687038</v>
      </c>
      <c r="C335" s="85">
        <f>'2022'!An_max</f>
        <v>2018</v>
      </c>
      <c r="D335" s="1134"/>
      <c r="E335" s="711"/>
      <c r="F335" s="13">
        <f t="shared" si="128"/>
        <v>25</v>
      </c>
      <c r="G335" s="13">
        <f t="shared" ref="G335:G380" si="130">INT((MATCH($A335,x.2m)+1)/2)*2</f>
        <v>24</v>
      </c>
      <c r="H335" s="175">
        <f t="shared" ref="H335:H380" si="131">INDEX(x.2m,F335)</f>
        <v>43430</v>
      </c>
      <c r="I335" s="774">
        <f t="shared" ref="I335:I380" si="132">($A335-H335)/(INDEX(x.2m,G335)-H335)</f>
        <v>0.6428571428571429</v>
      </c>
      <c r="J335" s="765">
        <f t="shared" ref="J335:J380" si="133">((1-I335)*(INDEX(a.m,F335)*$A335*$A335+INDEX(b.m,F335)*$A335+INDEX(c.m,F335))+I335*(INDEX(a.m,G335)*$A335*$A335+INDEX(b.m,G335)*$A335+INDEX(c.m,G335)))/10</f>
        <v>22.428790670420444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P335" s="13">
        <f t="shared" ref="AP335:AP380" si="134">INT(MATCH($A335,x.2lg)/2)*2+1</f>
        <v>13</v>
      </c>
      <c r="AQ335" s="13">
        <f t="shared" ref="AQ335:AQ380" si="135">INT((MATCH($A335,x.2lg)+1)/2)*2</f>
        <v>14</v>
      </c>
      <c r="AR335" s="175">
        <f t="shared" ref="AR335:AR380" si="136">INDEX(x.2lg,AP335)</f>
        <v>43416</v>
      </c>
      <c r="AS335" s="774">
        <f t="shared" ref="AS335:AS380" si="137">($A335-AR335)/(INDEX(x.2lg,AQ335)-AR335)</f>
        <v>0.17857142857142858</v>
      </c>
      <c r="AT335" s="791">
        <f t="shared" ref="AT335:AT380" si="138">((1-AS335)*(INDEX(a.lg,AP335)*$A335*$A335+INDEX(b.lg,AP335)*$A335+INDEX(c.lg,AP335))+AS335*(INDEX(a.lg,AQ335)*$A335*$A335+INDEX(b.lg,AQ335)*$A335+INDEX(c.lg,AQ335)))/10</f>
        <v>22.382616875320672</v>
      </c>
      <c r="AU335" s="13">
        <f t="shared" ref="AU335:AU380" si="139">INT(MATCH($A335,x.2ld)/2)*2+1</f>
        <v>13</v>
      </c>
      <c r="AV335" s="13">
        <f t="shared" ref="AV335:AV380" si="140">INT((MATCH($A335,x.2ld)+1)/2)*2</f>
        <v>12</v>
      </c>
      <c r="AW335" s="175">
        <f t="shared" ref="AW335:AW380" si="141">INDEX(x.2ld,AU335)</f>
        <v>43430</v>
      </c>
      <c r="AX335" s="774">
        <f t="shared" ref="AX335:AX380" si="142">($A335-AW335)/(INDEX(x.2ld,AV335)-AW335)</f>
        <v>0.32142857142857145</v>
      </c>
      <c r="AY335" s="791">
        <f t="shared" ref="AY335:AY380" si="143">((1-AX335)*(INDEX(a.ld,AU335)*$A335*$A335+INDEX(b.ld,AU335)*$A335+INDEX(c.ld,AU335))+AX335*(INDEX(a.ld,AV335)*$A335*$A335+INDEX(b.ld,AV335)*$A335+INDEX(c.ld,AV335)))/10</f>
        <v>22.44850145972201</v>
      </c>
      <c r="AZ335" s="765">
        <f t="shared" si="129"/>
        <v>22.415559167521341</v>
      </c>
      <c r="BA335" s="649">
        <f t="shared" ref="BA335:BA380" si="144">+B335/J335</f>
        <v>0.9772544099131385</v>
      </c>
      <c r="BB335" s="644">
        <v>43421</v>
      </c>
      <c r="BC335" s="11">
        <v>43421</v>
      </c>
      <c r="BD335" s="292">
        <f>[2]!FeuilCaduc*(1-Persistant)+Persistant</f>
        <v>1</v>
      </c>
      <c r="BE335" s="293">
        <f>[2]!CroissVégét</f>
        <v>0.99893641739554129</v>
      </c>
      <c r="BF335" s="844">
        <f>1+[2]!Salcycl*Ksac</f>
        <v>1.0170357685136291</v>
      </c>
      <c r="BH335" s="1107">
        <f t="shared" ref="BH335:BH380" si="145">INDEX($BJ335:$BT335,,$BH$10)*(1-Ratini)+INDEX($BJ335:$BT335,,$BH$10+1)*Ratini</f>
        <v>1.7974447224341966E-2</v>
      </c>
      <c r="BI335" s="11">
        <v>44517</v>
      </c>
      <c r="BJ335" s="744">
        <v>9.101382517193897E-4</v>
      </c>
      <c r="BK335" s="744">
        <v>2.8782492797005867E-3</v>
      </c>
      <c r="BL335" s="744">
        <v>1.1295731222312935E-2</v>
      </c>
      <c r="BM335" s="744">
        <v>4.4726755985326848E-2</v>
      </c>
      <c r="BN335" s="744">
        <v>9.7250933235906903E-2</v>
      </c>
      <c r="BO335" s="745">
        <v>0.17852672231832187</v>
      </c>
      <c r="BP335" s="744">
        <v>0.26983718374989368</v>
      </c>
      <c r="BQ335" s="744">
        <v>0.38846424578305533</v>
      </c>
      <c r="BR335" s="744">
        <v>0.52506271415908423</v>
      </c>
      <c r="BS335" s="744">
        <v>0.67530542446062614</v>
      </c>
      <c r="BT335" s="744">
        <v>0.8272973985612454</v>
      </c>
      <c r="BW335" s="1191">
        <f>'2018'!R\Max</f>
        <v>0.9772544099131385</v>
      </c>
      <c r="BX335" s="1189">
        <f>'2019'!R\Max</f>
        <v>0.426699575338363</v>
      </c>
      <c r="BY335" s="1189">
        <f>'2020'!R\Max</f>
        <v>0.76194528491112901</v>
      </c>
      <c r="BZ335" s="1189">
        <f>'2021'!R\Max</f>
        <v>0.14393297733240698</v>
      </c>
      <c r="CA335" s="1189">
        <f>'2022'!R\Max</f>
        <v>0.59138166667958159</v>
      </c>
      <c r="CB335" s="1189">
        <f>'2023'!R\Max</f>
        <v>0.58379760058343755</v>
      </c>
      <c r="CC335" s="1189">
        <f>'2024'!R\Max</f>
        <v>0.57258595310167193</v>
      </c>
      <c r="CD335" s="1189">
        <f>'2025'!R\Max</f>
        <v>0.61466926879123795</v>
      </c>
      <c r="CE335" s="1189">
        <f>'2026'!R\Max</f>
        <v>0.61045066450601171</v>
      </c>
      <c r="CF335" s="1190">
        <f>'2027'!R\Max</f>
        <v>0.60490275479594491</v>
      </c>
    </row>
    <row r="336" spans="1:84" s="6" customFormat="1" ht="11.25" x14ac:dyDescent="0.2">
      <c r="A336" s="11">
        <v>43422</v>
      </c>
      <c r="B336" s="382">
        <f>'2022'!Maxi_hp</f>
        <v>20.767759562159952</v>
      </c>
      <c r="C336" s="85">
        <f>'2022'!An_max</f>
        <v>2020</v>
      </c>
      <c r="D336" s="1134"/>
      <c r="E336" s="711"/>
      <c r="F336" s="13">
        <f t="shared" ref="F336:F380" si="146">INT(MATCH($A336,x.2m)/2)*2+1</f>
        <v>25</v>
      </c>
      <c r="G336" s="13">
        <f t="shared" si="130"/>
        <v>24</v>
      </c>
      <c r="H336" s="175">
        <f t="shared" si="131"/>
        <v>43430</v>
      </c>
      <c r="I336" s="774">
        <f t="shared" si="132"/>
        <v>0.5714285714285714</v>
      </c>
      <c r="J336" s="765">
        <f t="shared" si="133"/>
        <v>22.203484548628332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P336" s="13">
        <f t="shared" si="134"/>
        <v>13</v>
      </c>
      <c r="AQ336" s="13">
        <f t="shared" si="135"/>
        <v>14</v>
      </c>
      <c r="AR336" s="175">
        <f t="shared" si="136"/>
        <v>43416</v>
      </c>
      <c r="AS336" s="774">
        <f t="shared" si="137"/>
        <v>0.21428571428571427</v>
      </c>
      <c r="AT336" s="791">
        <f t="shared" si="138"/>
        <v>22.13877439339246</v>
      </c>
      <c r="AU336" s="13">
        <f t="shared" si="139"/>
        <v>13</v>
      </c>
      <c r="AV336" s="13">
        <f t="shared" si="140"/>
        <v>12</v>
      </c>
      <c r="AW336" s="175">
        <f t="shared" si="141"/>
        <v>43430</v>
      </c>
      <c r="AX336" s="774">
        <f t="shared" si="142"/>
        <v>0.2857142857142857</v>
      </c>
      <c r="AY336" s="791">
        <f t="shared" si="143"/>
        <v>22.214232072127718</v>
      </c>
      <c r="AZ336" s="765">
        <f t="shared" ref="AZ336:AZ380" si="147">(AY336+AT336)/2</f>
        <v>22.176503232760091</v>
      </c>
      <c r="BA336" s="649">
        <f t="shared" si="144"/>
        <v>0.93533785278954895</v>
      </c>
      <c r="BB336" s="644">
        <v>43422</v>
      </c>
      <c r="BC336" s="11">
        <v>43422</v>
      </c>
      <c r="BD336" s="292">
        <f>[2]!FeuilCaduc*(1-Persistant)+Persistant</f>
        <v>1</v>
      </c>
      <c r="BE336" s="293">
        <f>[2]!CroissVégét</f>
        <v>0.99899250051286803</v>
      </c>
      <c r="BF336" s="844">
        <f>1+[2]!Salcycl*Ksac</f>
        <v>1.0162049776939348</v>
      </c>
      <c r="BH336" s="1107">
        <f t="shared" si="145"/>
        <v>1.8565616933534167E-2</v>
      </c>
      <c r="BI336" s="11">
        <v>44518</v>
      </c>
      <c r="BJ336" s="744">
        <v>8.6968490772632002E-4</v>
      </c>
      <c r="BK336" s="744">
        <v>2.7994326234149023E-3</v>
      </c>
      <c r="BL336" s="744">
        <v>1.1734861116414011E-2</v>
      </c>
      <c r="BM336" s="744">
        <v>4.5926937378208722E-2</v>
      </c>
      <c r="BN336" s="744">
        <v>9.8274867857742795E-2</v>
      </c>
      <c r="BO336" s="745">
        <v>0.1804647707401722</v>
      </c>
      <c r="BP336" s="744">
        <v>0.27144119971349451</v>
      </c>
      <c r="BQ336" s="744">
        <v>0.39256690117723542</v>
      </c>
      <c r="BR336" s="744">
        <v>0.52960184538424748</v>
      </c>
      <c r="BS336" s="744">
        <v>0.68145890623679517</v>
      </c>
      <c r="BT336" s="744">
        <v>0.83333851944387882</v>
      </c>
      <c r="BW336" s="1191">
        <f>'2018'!R\Max</f>
        <v>0.87290996829870104</v>
      </c>
      <c r="BX336" s="1189">
        <f>'2019'!R\Max</f>
        <v>0.45045687178839922</v>
      </c>
      <c r="BY336" s="1189">
        <f>'2020'!R\Max</f>
        <v>0.93533785278954895</v>
      </c>
      <c r="BZ336" s="1189">
        <f>'2021'!R\Max</f>
        <v>0.80194896314565556</v>
      </c>
      <c r="CA336" s="1189">
        <f>'2022'!R\Max</f>
        <v>0.563427239776494</v>
      </c>
      <c r="CB336" s="1189">
        <f>'2023'!R\Max</f>
        <v>0.55561745190921441</v>
      </c>
      <c r="CC336" s="1189">
        <f>'2024'!R\Max</f>
        <v>0.54386479404415322</v>
      </c>
      <c r="CD336" s="1189">
        <f>'2025'!R\Max</f>
        <v>0.58753381719277842</v>
      </c>
      <c r="CE336" s="1189">
        <f>'2026'!R\Max</f>
        <v>0.58317426817421969</v>
      </c>
      <c r="CF336" s="1190">
        <f>'2027'!R\Max</f>
        <v>0.577425940810948</v>
      </c>
    </row>
    <row r="337" spans="1:84" s="6" customFormat="1" ht="11.25" x14ac:dyDescent="0.2">
      <c r="A337" s="11">
        <v>43423</v>
      </c>
      <c r="B337" s="382">
        <f>'2022'!Maxi_hp</f>
        <v>21.77433778544162</v>
      </c>
      <c r="C337" s="85">
        <f>'2022'!An_max</f>
        <v>2021</v>
      </c>
      <c r="D337" s="1134"/>
      <c r="E337" s="711"/>
      <c r="F337" s="13">
        <f t="shared" si="146"/>
        <v>25</v>
      </c>
      <c r="G337" s="13">
        <f t="shared" si="130"/>
        <v>24</v>
      </c>
      <c r="H337" s="175">
        <f t="shared" si="131"/>
        <v>43430</v>
      </c>
      <c r="I337" s="774">
        <f t="shared" si="132"/>
        <v>0.5</v>
      </c>
      <c r="J337" s="765">
        <f t="shared" si="133"/>
        <v>21.983999999612571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P337" s="13">
        <f t="shared" si="134"/>
        <v>13</v>
      </c>
      <c r="AQ337" s="13">
        <f t="shared" si="135"/>
        <v>14</v>
      </c>
      <c r="AR337" s="175">
        <f t="shared" si="136"/>
        <v>43416</v>
      </c>
      <c r="AS337" s="774">
        <f t="shared" si="137"/>
        <v>0.25</v>
      </c>
      <c r="AT337" s="791">
        <f t="shared" si="138"/>
        <v>21.899198549240829</v>
      </c>
      <c r="AU337" s="13">
        <f t="shared" si="139"/>
        <v>13</v>
      </c>
      <c r="AV337" s="13">
        <f t="shared" si="140"/>
        <v>12</v>
      </c>
      <c r="AW337" s="175">
        <f t="shared" si="141"/>
        <v>43430</v>
      </c>
      <c r="AX337" s="774">
        <f t="shared" si="142"/>
        <v>0.25</v>
      </c>
      <c r="AY337" s="791">
        <f t="shared" si="143"/>
        <v>21.986400001496076</v>
      </c>
      <c r="AZ337" s="765">
        <f t="shared" si="147"/>
        <v>21.942799275368451</v>
      </c>
      <c r="BA337" s="649">
        <f t="shared" si="144"/>
        <v>0.99046296332902817</v>
      </c>
      <c r="BB337" s="644">
        <v>43423</v>
      </c>
      <c r="BC337" s="11">
        <v>43423</v>
      </c>
      <c r="BD337" s="292">
        <f>[2]!FeuilCaduc*(1-Persistant)+Persistant</f>
        <v>1</v>
      </c>
      <c r="BE337" s="293">
        <f>[2]!CroissVégét</f>
        <v>0.99904633147520905</v>
      </c>
      <c r="BF337" s="844">
        <f>1+[2]!Salcycl*Ksac</f>
        <v>1.015395658935955</v>
      </c>
      <c r="BH337" s="1107">
        <f t="shared" si="145"/>
        <v>1.9147726295321844E-2</v>
      </c>
      <c r="BI337" s="11">
        <v>44519</v>
      </c>
      <c r="BJ337" s="744">
        <v>8.3118120533263724E-4</v>
      </c>
      <c r="BK337" s="744">
        <v>2.7258230051441213E-3</v>
      </c>
      <c r="BL337" s="744">
        <v>1.2190848969551644E-2</v>
      </c>
      <c r="BM337" s="744">
        <v>4.7014239884873667E-2</v>
      </c>
      <c r="BN337" s="744">
        <v>9.9213399162411106E-2</v>
      </c>
      <c r="BO337" s="745">
        <v>0.18225566010553154</v>
      </c>
      <c r="BP337" s="744">
        <v>0.27298402247433212</v>
      </c>
      <c r="BQ337" s="744">
        <v>0.39662204382175076</v>
      </c>
      <c r="BR337" s="744">
        <v>0.53407601835224983</v>
      </c>
      <c r="BS337" s="744">
        <v>0.68749534465498607</v>
      </c>
      <c r="BT337" s="744">
        <v>0.83909770179026932</v>
      </c>
      <c r="BW337" s="1191">
        <f>'2018'!R\Max</f>
        <v>0.66723675395918869</v>
      </c>
      <c r="BX337" s="1189">
        <f>'2019'!R\Max</f>
        <v>0.75542138948748805</v>
      </c>
      <c r="BY337" s="1189">
        <f>'2020'!R\Max</f>
        <v>0.95572913138325311</v>
      </c>
      <c r="BZ337" s="1189">
        <f>'2021'!R\Max</f>
        <v>0.99046296332902817</v>
      </c>
      <c r="CA337" s="1189">
        <f>'2022'!R\Max</f>
        <v>0.4115001124831591</v>
      </c>
      <c r="CB337" s="1189">
        <f>'2023'!R\Max</f>
        <v>0.40374815103113926</v>
      </c>
      <c r="CC337" s="1189">
        <f>'2024'!R\Max</f>
        <v>0.39200533549618477</v>
      </c>
      <c r="CD337" s="1189">
        <f>'2025'!R\Max</f>
        <v>0.43593382163614064</v>
      </c>
      <c r="CE337" s="1189">
        <f>'2026'!R\Max</f>
        <v>0.43147719304825705</v>
      </c>
      <c r="CF337" s="1190">
        <f>'2027'!R\Max</f>
        <v>0.4256166221244711</v>
      </c>
    </row>
    <row r="338" spans="1:84" s="6" customFormat="1" ht="11.25" x14ac:dyDescent="0.2">
      <c r="A338" s="11">
        <v>43424</v>
      </c>
      <c r="B338" s="382">
        <f>'2022'!Maxi_hp</f>
        <v>22.468091458324675</v>
      </c>
      <c r="C338" s="85">
        <f>'2022'!An_max</f>
        <v>2019</v>
      </c>
      <c r="D338" s="1134"/>
      <c r="E338" s="711"/>
      <c r="F338" s="13">
        <f t="shared" si="146"/>
        <v>25</v>
      </c>
      <c r="G338" s="13">
        <f t="shared" si="130"/>
        <v>24</v>
      </c>
      <c r="H338" s="175">
        <f t="shared" si="131"/>
        <v>43430</v>
      </c>
      <c r="I338" s="774">
        <f t="shared" si="132"/>
        <v>0.42857142857142855</v>
      </c>
      <c r="J338" s="765">
        <f t="shared" si="133"/>
        <v>21.770001166633197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P338" s="13">
        <f t="shared" si="134"/>
        <v>13</v>
      </c>
      <c r="AQ338" s="13">
        <f t="shared" si="135"/>
        <v>14</v>
      </c>
      <c r="AR338" s="175">
        <f t="shared" si="136"/>
        <v>43416</v>
      </c>
      <c r="AS338" s="774">
        <f t="shared" si="137"/>
        <v>0.2857142857142857</v>
      </c>
      <c r="AT338" s="791">
        <f t="shared" si="138"/>
        <v>21.66421588159033</v>
      </c>
      <c r="AU338" s="13">
        <f t="shared" si="139"/>
        <v>13</v>
      </c>
      <c r="AV338" s="13">
        <f t="shared" si="140"/>
        <v>12</v>
      </c>
      <c r="AW338" s="175">
        <f t="shared" si="141"/>
        <v>43430</v>
      </c>
      <c r="AX338" s="774">
        <f t="shared" si="142"/>
        <v>0.21428571428571427</v>
      </c>
      <c r="AY338" s="791">
        <f t="shared" si="143"/>
        <v>21.765131197071504</v>
      </c>
      <c r="AZ338" s="765">
        <f t="shared" si="147"/>
        <v>21.714673539330917</v>
      </c>
      <c r="BA338" s="649">
        <f t="shared" si="144"/>
        <v>1.0320666171006661</v>
      </c>
      <c r="BB338" s="644">
        <v>43424</v>
      </c>
      <c r="BC338" s="11">
        <v>43424</v>
      </c>
      <c r="BD338" s="292">
        <f>[2]!FeuilCaduc*(1-Persistant)+Persistant</f>
        <v>1</v>
      </c>
      <c r="BE338" s="293">
        <f>[2]!CroissVégét</f>
        <v>0.99909800049508712</v>
      </c>
      <c r="BF338" s="844">
        <f>1+[2]!Salcycl*Ksac</f>
        <v>1.0146086140691977</v>
      </c>
      <c r="BH338" s="1107">
        <f t="shared" si="145"/>
        <v>1.9702335282796933E-2</v>
      </c>
      <c r="BI338" s="11">
        <v>44520</v>
      </c>
      <c r="BJ338" s="744">
        <v>7.9519782325471189E-4</v>
      </c>
      <c r="BK338" s="744">
        <v>2.661876631533023E-3</v>
      </c>
      <c r="BL338" s="744">
        <v>1.2649613405574479E-2</v>
      </c>
      <c r="BM338" s="744">
        <v>4.7952764438264399E-2</v>
      </c>
      <c r="BN338" s="744">
        <v>0.10008623008335642</v>
      </c>
      <c r="BO338" s="745">
        <v>0.18389103750251823</v>
      </c>
      <c r="BP338" s="744">
        <v>0.27459836862427178</v>
      </c>
      <c r="BQ338" s="744">
        <v>0.40062247657551292</v>
      </c>
      <c r="BR338" s="744">
        <v>0.53847405335574128</v>
      </c>
      <c r="BS338" s="744">
        <v>0.69320087265844721</v>
      </c>
      <c r="BT338" s="744">
        <v>0.84432645730510503</v>
      </c>
      <c r="BW338" s="1191">
        <f>'2018'!R\Max</f>
        <v>0.52160333422916094</v>
      </c>
      <c r="BX338" s="1189">
        <f>'2019'!R\Max</f>
        <v>1.0320666171006661</v>
      </c>
      <c r="BY338" s="1189">
        <f>'2020'!R\Max</f>
        <v>0.28473816528183654</v>
      </c>
      <c r="BZ338" s="1189">
        <f>'2021'!R\Max</f>
        <v>0.79955207809249118</v>
      </c>
      <c r="CA338" s="1189">
        <f>'2022'!R\Max</f>
        <v>0.70204062588775396</v>
      </c>
      <c r="CB338" s="1189">
        <f>'2023'!R\Max</f>
        <v>0.69518153786287817</v>
      </c>
      <c r="CC338" s="1189">
        <f>'2024'!R\Max</f>
        <v>0.68437046350488207</v>
      </c>
      <c r="CD338" s="1189">
        <f>'2025'!R\Max</f>
        <v>0.72283319498632592</v>
      </c>
      <c r="CE338" s="1189">
        <f>'2026'!R\Max</f>
        <v>0.71914341399188653</v>
      </c>
      <c r="CF338" s="1190">
        <f>'2027'!R\Max</f>
        <v>0.7142160431180451</v>
      </c>
    </row>
    <row r="339" spans="1:84" s="6" customFormat="1" ht="11.25" x14ac:dyDescent="0.2">
      <c r="A339" s="11">
        <v>43425</v>
      </c>
      <c r="B339" s="382">
        <f>'2022'!Maxi_hp</f>
        <v>21.653761632843604</v>
      </c>
      <c r="C339" s="85">
        <f>'2022'!An_max</f>
        <v>2019</v>
      </c>
      <c r="D339" s="1134"/>
      <c r="E339" s="711"/>
      <c r="F339" s="13">
        <f>INT(MATCH($A339,x.2m)/2)*2+1</f>
        <v>25</v>
      </c>
      <c r="G339" s="13">
        <f>INT((MATCH($A339,x.2m)+1)/2)*2</f>
        <v>24</v>
      </c>
      <c r="H339" s="175">
        <f t="shared" si="131"/>
        <v>43430</v>
      </c>
      <c r="I339" s="774">
        <f t="shared" si="132"/>
        <v>0.35714285714285715</v>
      </c>
      <c r="J339" s="765">
        <f t="shared" si="133"/>
        <v>21.561152187202659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P339" s="13">
        <f t="shared" si="134"/>
        <v>13</v>
      </c>
      <c r="AQ339" s="13">
        <f t="shared" si="135"/>
        <v>14</v>
      </c>
      <c r="AR339" s="175">
        <f t="shared" si="136"/>
        <v>43416</v>
      </c>
      <c r="AS339" s="774">
        <f t="shared" si="137"/>
        <v>0.32142857142857145</v>
      </c>
      <c r="AT339" s="791">
        <f t="shared" si="138"/>
        <v>21.434152929990422</v>
      </c>
      <c r="AU339" s="13">
        <f t="shared" si="139"/>
        <v>13</v>
      </c>
      <c r="AV339" s="13">
        <f t="shared" si="140"/>
        <v>12</v>
      </c>
      <c r="AW339" s="175">
        <f t="shared" si="141"/>
        <v>43430</v>
      </c>
      <c r="AX339" s="774">
        <f t="shared" si="142"/>
        <v>0.17857142857142858</v>
      </c>
      <c r="AY339" s="791">
        <f t="shared" si="143"/>
        <v>21.550551605011737</v>
      </c>
      <c r="AZ339" s="765">
        <f t="shared" si="147"/>
        <v>21.492352267501079</v>
      </c>
      <c r="BA339" s="649">
        <f t="shared" si="144"/>
        <v>1.0042951992934734</v>
      </c>
      <c r="BB339" s="644">
        <v>43425</v>
      </c>
      <c r="BC339" s="11">
        <v>43425</v>
      </c>
      <c r="BD339" s="292">
        <f>[2]!FeuilCaduc*(1-Persistant)+Persistant</f>
        <v>1</v>
      </c>
      <c r="BE339" s="293">
        <f>[2]!CroissVégét</f>
        <v>0.99914759418945731</v>
      </c>
      <c r="BF339" s="844">
        <f>1+[2]!Salcycl*Ksac</f>
        <v>1.0138445607260371</v>
      </c>
      <c r="BH339" s="1107">
        <f t="shared" si="145"/>
        <v>2.0211151388527405E-2</v>
      </c>
      <c r="BI339" s="11">
        <v>44521</v>
      </c>
      <c r="BJ339" s="744">
        <v>7.6163960396854319E-4</v>
      </c>
      <c r="BK339" s="744">
        <v>2.6051670214559089E-3</v>
      </c>
      <c r="BL339" s="744">
        <v>1.3082522418928509E-2</v>
      </c>
      <c r="BM339" s="744">
        <v>4.8765634492655995E-2</v>
      </c>
      <c r="BN339" s="744">
        <v>0.10095592336705018</v>
      </c>
      <c r="BO339" s="745">
        <v>0.18543639394794528</v>
      </c>
      <c r="BP339" s="744">
        <v>0.27640503940671807</v>
      </c>
      <c r="BQ339" s="744">
        <v>0.40455723900108037</v>
      </c>
      <c r="BR339" s="744">
        <v>0.54284217402256896</v>
      </c>
      <c r="BS339" s="744">
        <v>0.69850787465748088</v>
      </c>
      <c r="BT339" s="744">
        <v>0.84900255765192023</v>
      </c>
      <c r="BW339" s="1191">
        <f>'2018'!R\Max</f>
        <v>0.96852858960234545</v>
      </c>
      <c r="BX339" s="1189">
        <f>'2019'!R\Max</f>
        <v>1.0042951992934734</v>
      </c>
      <c r="BY339" s="1189">
        <f>'2020'!R\Max</f>
        <v>0.88160680197008001</v>
      </c>
      <c r="BZ339" s="1189">
        <f>'2021'!R\Max</f>
        <v>0.41551835686515465</v>
      </c>
      <c r="CA339" s="1189">
        <f>'2022'!R\Max</f>
        <v>0.16111024964096679</v>
      </c>
      <c r="CB339" s="1189">
        <f>'2023'!R\Max</f>
        <v>0.15727718375091532</v>
      </c>
      <c r="CC339" s="1189">
        <f>'2024'!R\Max</f>
        <v>0.15138172011849838</v>
      </c>
      <c r="CD339" s="1189">
        <f>'2025'!R\Max</f>
        <v>0.17339962700776099</v>
      </c>
      <c r="CE339" s="1189">
        <f>'2026'!R\Max</f>
        <v>0.17114573760669788</v>
      </c>
      <c r="CF339" s="1190">
        <f>'2027'!R\Max</f>
        <v>0.16818378825331654</v>
      </c>
    </row>
    <row r="340" spans="1:84" s="6" customFormat="1" ht="11.25" x14ac:dyDescent="0.2">
      <c r="A340" s="11">
        <v>43426</v>
      </c>
      <c r="B340" s="382">
        <f>'2022'!Maxi_hp</f>
        <v>21.944926765970493</v>
      </c>
      <c r="C340" s="85">
        <f>'2022'!An_max</f>
        <v>2020</v>
      </c>
      <c r="D340" s="1134"/>
      <c r="E340" s="711"/>
      <c r="F340" s="13">
        <f t="shared" si="146"/>
        <v>25</v>
      </c>
      <c r="G340" s="13">
        <f t="shared" si="130"/>
        <v>24</v>
      </c>
      <c r="H340" s="175">
        <f t="shared" si="131"/>
        <v>43430</v>
      </c>
      <c r="I340" s="774">
        <f t="shared" si="132"/>
        <v>0.2857142857142857</v>
      </c>
      <c r="J340" s="765">
        <f t="shared" si="133"/>
        <v>21.357117200855697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P340" s="13">
        <f t="shared" si="134"/>
        <v>13</v>
      </c>
      <c r="AQ340" s="13">
        <f t="shared" si="135"/>
        <v>14</v>
      </c>
      <c r="AR340" s="175">
        <f t="shared" si="136"/>
        <v>43416</v>
      </c>
      <c r="AS340" s="774">
        <f t="shared" si="137"/>
        <v>0.35714285714285715</v>
      </c>
      <c r="AT340" s="791">
        <f t="shared" si="138"/>
        <v>21.209336235108118</v>
      </c>
      <c r="AU340" s="13">
        <f t="shared" si="139"/>
        <v>13</v>
      </c>
      <c r="AV340" s="13">
        <f t="shared" si="140"/>
        <v>12</v>
      </c>
      <c r="AW340" s="175">
        <f t="shared" si="141"/>
        <v>43430</v>
      </c>
      <c r="AX340" s="774">
        <f t="shared" si="142"/>
        <v>0.14285714285714285</v>
      </c>
      <c r="AY340" s="791">
        <f t="shared" si="143"/>
        <v>21.342787173816138</v>
      </c>
      <c r="AZ340" s="765">
        <f t="shared" si="147"/>
        <v>21.27606170446213</v>
      </c>
      <c r="BA340" s="649">
        <f t="shared" si="144"/>
        <v>1.0275228889548467</v>
      </c>
      <c r="BB340" s="644">
        <v>43426</v>
      </c>
      <c r="BC340" s="11">
        <v>43426</v>
      </c>
      <c r="BD340" s="292">
        <f>[2]!FeuilCaduc*(1-Persistant)+Persistant</f>
        <v>1</v>
      </c>
      <c r="BE340" s="293">
        <f>[2]!CroissVégét</f>
        <v>0.99919519572159454</v>
      </c>
      <c r="BF340" s="844">
        <f>1+[2]!Salcycl*Ksac</f>
        <v>1.0131041299384338</v>
      </c>
      <c r="BH340" s="1107">
        <f t="shared" si="145"/>
        <v>2.0674088054524302E-2</v>
      </c>
      <c r="BI340" s="11">
        <v>44522</v>
      </c>
      <c r="BJ340" s="744">
        <v>7.3050977598150828E-4</v>
      </c>
      <c r="BK340" s="744">
        <v>2.5557010910382165E-3</v>
      </c>
      <c r="BL340" s="744">
        <v>1.3489517501417794E-2</v>
      </c>
      <c r="BM340" s="744">
        <v>4.945265113362405E-2</v>
      </c>
      <c r="BN340" s="744">
        <v>0.10182233326489397</v>
      </c>
      <c r="BO340" s="745">
        <v>0.18689139215552297</v>
      </c>
      <c r="BP340" s="744">
        <v>0.27840384038038313</v>
      </c>
      <c r="BQ340" s="744">
        <v>0.40842567647638939</v>
      </c>
      <c r="BR340" s="744">
        <v>0.54717960251507203</v>
      </c>
      <c r="BS340" s="744">
        <v>0.70341505751504796</v>
      </c>
      <c r="BT340" s="744">
        <v>0.85312447065196728</v>
      </c>
      <c r="BW340" s="1191">
        <f>'2018'!R\Max</f>
        <v>0.91058214261418258</v>
      </c>
      <c r="BX340" s="1189">
        <f>'2019'!R\Max</f>
        <v>0.46809363021911826</v>
      </c>
      <c r="BY340" s="1189">
        <f>'2020'!R\Max</f>
        <v>1.0275228889548467</v>
      </c>
      <c r="BZ340" s="1189">
        <f>'2021'!R\Max</f>
        <v>0.76004751558426475</v>
      </c>
      <c r="CA340" s="1189">
        <f>'2022'!R\Max</f>
        <v>0.43914525324210663</v>
      </c>
      <c r="CB340" s="1189">
        <f>'2023'!R\Max</f>
        <v>0.43085478517855236</v>
      </c>
      <c r="CC340" s="1189">
        <f>'2024'!R\Max</f>
        <v>0.41783742862818574</v>
      </c>
      <c r="CD340" s="1189">
        <f>'2025'!R\Max</f>
        <v>0.46507159571097811</v>
      </c>
      <c r="CE340" s="1189">
        <f>'2026'!R\Max</f>
        <v>0.46039153457715187</v>
      </c>
      <c r="CF340" s="1190">
        <f>'2027'!R\Max</f>
        <v>0.45418909670999802</v>
      </c>
    </row>
    <row r="341" spans="1:84" s="6" customFormat="1" ht="11.25" x14ac:dyDescent="0.2">
      <c r="A341" s="11">
        <v>43427</v>
      </c>
      <c r="B341" s="382">
        <f>'2022'!Maxi_hp</f>
        <v>21.331642050489656</v>
      </c>
      <c r="C341" s="85">
        <f>'2022'!An_max</f>
        <v>2020</v>
      </c>
      <c r="D341" s="1134"/>
      <c r="E341" s="711"/>
      <c r="F341" s="13">
        <f t="shared" si="146"/>
        <v>25</v>
      </c>
      <c r="G341" s="13">
        <f t="shared" si="130"/>
        <v>24</v>
      </c>
      <c r="H341" s="175">
        <f t="shared" si="131"/>
        <v>43430</v>
      </c>
      <c r="I341" s="774">
        <f t="shared" si="132"/>
        <v>0.21428571428571427</v>
      </c>
      <c r="J341" s="765">
        <f t="shared" si="133"/>
        <v>21.157560350054077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P341" s="13">
        <f t="shared" si="134"/>
        <v>13</v>
      </c>
      <c r="AQ341" s="13">
        <f t="shared" si="135"/>
        <v>14</v>
      </c>
      <c r="AR341" s="175">
        <f t="shared" si="136"/>
        <v>43416</v>
      </c>
      <c r="AS341" s="774">
        <f t="shared" si="137"/>
        <v>0.39285714285714285</v>
      </c>
      <c r="AT341" s="791">
        <f t="shared" si="138"/>
        <v>20.990092336067132</v>
      </c>
      <c r="AU341" s="13">
        <f t="shared" si="139"/>
        <v>13</v>
      </c>
      <c r="AV341" s="13">
        <f t="shared" si="140"/>
        <v>12</v>
      </c>
      <c r="AW341" s="175">
        <f t="shared" si="141"/>
        <v>43430</v>
      </c>
      <c r="AX341" s="774">
        <f t="shared" si="142"/>
        <v>0.10714285714285714</v>
      </c>
      <c r="AY341" s="791">
        <f t="shared" si="143"/>
        <v>21.141963850148024</v>
      </c>
      <c r="AZ341" s="765">
        <f t="shared" si="147"/>
        <v>21.066028093107576</v>
      </c>
      <c r="BA341" s="649">
        <f t="shared" si="144"/>
        <v>1.0082278720965641</v>
      </c>
      <c r="BB341" s="644">
        <v>43427</v>
      </c>
      <c r="BC341" s="11">
        <v>43427</v>
      </c>
      <c r="BD341" s="292">
        <f>[2]!FeuilCaduc*(1-Persistant)+Persistant</f>
        <v>1</v>
      </c>
      <c r="BE341" s="293">
        <f>[2]!CroissVégét</f>
        <v>0.99924088493749397</v>
      </c>
      <c r="BF341" s="844">
        <f>1+[2]!Salcycl*Ksac</f>
        <v>1.012387864271771</v>
      </c>
      <c r="BH341" s="1107">
        <f t="shared" si="145"/>
        <v>2.1090930876590294E-2</v>
      </c>
      <c r="BI341" s="11">
        <v>44523</v>
      </c>
      <c r="BJ341" s="744">
        <v>7.0180704976160785E-4</v>
      </c>
      <c r="BK341" s="744">
        <v>2.513469500792224E-3</v>
      </c>
      <c r="BL341" s="744">
        <v>1.3870455199535893E-2</v>
      </c>
      <c r="BM341" s="744">
        <v>5.0013315756416939E-2</v>
      </c>
      <c r="BN341" s="744">
        <v>0.10268467231045121</v>
      </c>
      <c r="BO341" s="745">
        <v>0.18825452828818801</v>
      </c>
      <c r="BP341" s="744">
        <v>0.28059280251820934</v>
      </c>
      <c r="BQ341" s="744">
        <v>0.41222456266611424</v>
      </c>
      <c r="BR341" s="744">
        <v>0.55148211722608531</v>
      </c>
      <c r="BS341" s="744">
        <v>0.70791675022809086</v>
      </c>
      <c r="BT341" s="744">
        <v>0.85668538104590775</v>
      </c>
      <c r="BW341" s="1191">
        <f>'2018'!R\Max</f>
        <v>0.6507781966071321</v>
      </c>
      <c r="BX341" s="1189">
        <f>'2019'!R\Max</f>
        <v>0.27713323434641651</v>
      </c>
      <c r="BY341" s="1189">
        <f>'2020'!R\Max</f>
        <v>1.0082278720965641</v>
      </c>
      <c r="BZ341" s="1189">
        <f>'2021'!R\Max</f>
        <v>0.55365291501034997</v>
      </c>
      <c r="CA341" s="1189">
        <f>'2022'!R\Max</f>
        <v>0.67774449946203064</v>
      </c>
      <c r="CB341" s="1189">
        <f>'2023'!R\Max</f>
        <v>0.67018148934149679</v>
      </c>
      <c r="CC341" s="1189">
        <f>'2024'!R\Max</f>
        <v>0.65801497215638505</v>
      </c>
      <c r="CD341" s="1189">
        <f>'2025'!R\Max</f>
        <v>0.70053545546014584</v>
      </c>
      <c r="CE341" s="1189">
        <f>'2026'!R\Max</f>
        <v>0.69651055512043192</v>
      </c>
      <c r="CF341" s="1190">
        <f>'2027'!R\Max</f>
        <v>0.69111844003873046</v>
      </c>
    </row>
    <row r="342" spans="1:84" s="6" customFormat="1" ht="11.25" x14ac:dyDescent="0.2">
      <c r="A342" s="11">
        <v>43428</v>
      </c>
      <c r="B342" s="382">
        <f>'2022'!Maxi_hp</f>
        <v>20.115501391985529</v>
      </c>
      <c r="C342" s="85">
        <f>'2022'!An_max</f>
        <v>2020</v>
      </c>
      <c r="D342" s="1134"/>
      <c r="E342" s="711"/>
      <c r="F342" s="13">
        <f t="shared" si="146"/>
        <v>25</v>
      </c>
      <c r="G342" s="13">
        <f t="shared" si="130"/>
        <v>24</v>
      </c>
      <c r="H342" s="175">
        <f t="shared" si="131"/>
        <v>43430</v>
      </c>
      <c r="I342" s="774">
        <f t="shared" si="132"/>
        <v>0.14285714285714285</v>
      </c>
      <c r="J342" s="765">
        <f t="shared" si="133"/>
        <v>20.962145773853575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P342" s="13">
        <f t="shared" si="134"/>
        <v>13</v>
      </c>
      <c r="AQ342" s="13">
        <f t="shared" si="135"/>
        <v>14</v>
      </c>
      <c r="AR342" s="175">
        <f t="shared" si="136"/>
        <v>43416</v>
      </c>
      <c r="AS342" s="774">
        <f t="shared" si="137"/>
        <v>0.42857142857142855</v>
      </c>
      <c r="AT342" s="791">
        <f t="shared" si="138"/>
        <v>20.776747769755975</v>
      </c>
      <c r="AU342" s="13">
        <f t="shared" si="139"/>
        <v>13</v>
      </c>
      <c r="AV342" s="13">
        <f t="shared" si="140"/>
        <v>12</v>
      </c>
      <c r="AW342" s="175">
        <f t="shared" si="141"/>
        <v>43430</v>
      </c>
      <c r="AX342" s="774">
        <f t="shared" si="142"/>
        <v>7.1428571428571425E-2</v>
      </c>
      <c r="AY342" s="791">
        <f t="shared" si="143"/>
        <v>20.948207581309337</v>
      </c>
      <c r="AZ342" s="765">
        <f t="shared" si="147"/>
        <v>20.862477675532656</v>
      </c>
      <c r="BA342" s="649">
        <f t="shared" si="144"/>
        <v>0.95961079600333288</v>
      </c>
      <c r="BB342" s="644">
        <v>43428</v>
      </c>
      <c r="BC342" s="11">
        <v>43428</v>
      </c>
      <c r="BD342" s="292">
        <f>[2]!FeuilCaduc*(1-Persistant)+Persistant</f>
        <v>1</v>
      </c>
      <c r="BE342" s="293">
        <f>[2]!CroissVégét</f>
        <v>0.99928473849698995</v>
      </c>
      <c r="BF342" s="844">
        <f>1+[2]!Salcycl*Ksac</f>
        <v>1.0116962165063705</v>
      </c>
      <c r="BH342" s="1107">
        <f t="shared" si="145"/>
        <v>2.1461549036390064E-2</v>
      </c>
      <c r="BI342" s="11">
        <v>44524</v>
      </c>
      <c r="BJ342" s="744">
        <v>6.7553341483028771E-4</v>
      </c>
      <c r="BK342" s="744">
        <v>2.4784733696189116E-3</v>
      </c>
      <c r="BL342" s="744">
        <v>1.4225243819903872E-2</v>
      </c>
      <c r="BM342" s="744">
        <v>5.0447340823516679E-2</v>
      </c>
      <c r="BN342" s="744">
        <v>0.10354255818721181</v>
      </c>
      <c r="BO342" s="745">
        <v>0.18952505829282573</v>
      </c>
      <c r="BP342" s="744">
        <v>0.28297104018363345</v>
      </c>
      <c r="BQ342" s="744">
        <v>0.41595229677688583</v>
      </c>
      <c r="BR342" s="744">
        <v>0.55574768233709981</v>
      </c>
      <c r="BS342" s="744">
        <v>0.71201016252791893</v>
      </c>
      <c r="BT342" s="744">
        <v>0.85968201573052716</v>
      </c>
      <c r="BW342" s="1191">
        <f>'2018'!R\Max</f>
        <v>0.80901509395979199</v>
      </c>
      <c r="BX342" s="1189">
        <f>'2019'!R\Max</f>
        <v>0.53165634814389573</v>
      </c>
      <c r="BY342" s="1189">
        <f>'2020'!R\Max</f>
        <v>0.95961079600333288</v>
      </c>
      <c r="BZ342" s="1189">
        <f>'2021'!R\Max</f>
        <v>5.3618260881283762E-2</v>
      </c>
      <c r="CA342" s="1189">
        <f>'2022'!R\Max</f>
        <v>0.61371562781258404</v>
      </c>
      <c r="CB342" s="1189">
        <f>'2023'!R\Max</f>
        <v>0.60534231738238164</v>
      </c>
      <c r="CC342" s="1189">
        <f>'2024'!R\Max</f>
        <v>0.59195878271539315</v>
      </c>
      <c r="CD342" s="1189">
        <f>'2025'!R\Max</f>
        <v>0.63904438904604699</v>
      </c>
      <c r="CE342" s="1189">
        <f>'2026'!R\Max</f>
        <v>0.63454983405991805</v>
      </c>
      <c r="CF342" s="1190">
        <f>'2027'!R\Max</f>
        <v>0.62854815492435723</v>
      </c>
    </row>
    <row r="343" spans="1:84" s="6" customFormat="1" ht="11.25" x14ac:dyDescent="0.2">
      <c r="A343" s="11">
        <v>43429</v>
      </c>
      <c r="B343" s="382">
        <f>'2022'!Maxi_hp</f>
        <v>18.431846699348394</v>
      </c>
      <c r="C343" s="85">
        <f>'2022'!An_max</f>
        <v>2020</v>
      </c>
      <c r="D343" s="1134"/>
      <c r="E343" s="711"/>
      <c r="F343" s="13">
        <f t="shared" si="146"/>
        <v>25</v>
      </c>
      <c r="G343" s="13">
        <f t="shared" si="130"/>
        <v>24</v>
      </c>
      <c r="H343" s="175">
        <f t="shared" si="131"/>
        <v>43430</v>
      </c>
      <c r="I343" s="774">
        <f t="shared" si="132"/>
        <v>7.1428571428571425E-2</v>
      </c>
      <c r="J343" s="765">
        <f t="shared" si="133"/>
        <v>20.770537609500543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P343" s="13">
        <f t="shared" si="134"/>
        <v>13</v>
      </c>
      <c r="AQ343" s="13">
        <f t="shared" si="135"/>
        <v>14</v>
      </c>
      <c r="AR343" s="175">
        <f t="shared" si="136"/>
        <v>43416</v>
      </c>
      <c r="AS343" s="774">
        <f t="shared" si="137"/>
        <v>0.4642857142857143</v>
      </c>
      <c r="AT343" s="791">
        <f t="shared" si="138"/>
        <v>20.569629076389329</v>
      </c>
      <c r="AU343" s="13">
        <f t="shared" si="139"/>
        <v>13</v>
      </c>
      <c r="AV343" s="13">
        <f t="shared" si="140"/>
        <v>12</v>
      </c>
      <c r="AW343" s="175">
        <f t="shared" si="141"/>
        <v>43430</v>
      </c>
      <c r="AX343" s="774">
        <f t="shared" si="142"/>
        <v>3.5714285714285712E-2</v>
      </c>
      <c r="AY343" s="791">
        <f t="shared" si="143"/>
        <v>20.761644316890408</v>
      </c>
      <c r="AZ343" s="765">
        <f t="shared" si="147"/>
        <v>20.665636696639869</v>
      </c>
      <c r="BA343" s="649">
        <f t="shared" si="144"/>
        <v>0.88740344837861007</v>
      </c>
      <c r="BB343" s="644">
        <v>43429</v>
      </c>
      <c r="BC343" s="11">
        <v>43429</v>
      </c>
      <c r="BD343" s="292">
        <f>[2]!FeuilCaduc*(1-Persistant)+Persistant</f>
        <v>1</v>
      </c>
      <c r="BE343" s="293">
        <f>[2]!CroissVégét</f>
        <v>0.99932682999978462</v>
      </c>
      <c r="BF343" s="844">
        <f>1+[2]!Salcycl*Ksac</f>
        <v>1.0110295488729175</v>
      </c>
      <c r="BH343" s="1107">
        <f t="shared" si="145"/>
        <v>2.1785926663125409E-2</v>
      </c>
      <c r="BI343" s="11">
        <v>44525</v>
      </c>
      <c r="BJ343" s="744">
        <v>6.5169410753934871E-4</v>
      </c>
      <c r="BK343" s="744">
        <v>2.4507255748705261E-3</v>
      </c>
      <c r="BL343" s="744">
        <v>1.4553866362399387E-2</v>
      </c>
      <c r="BM343" s="744">
        <v>5.0754714987753254E-2</v>
      </c>
      <c r="BN343" s="744">
        <v>0.10439613384951861</v>
      </c>
      <c r="BO343" s="745">
        <v>0.19070321549806799</v>
      </c>
      <c r="BP343" s="744">
        <v>0.28553907002650941</v>
      </c>
      <c r="BQ343" s="744">
        <v>0.41960939489764182</v>
      </c>
      <c r="BR343" s="744">
        <v>0.5599770858370009</v>
      </c>
      <c r="BS343" s="744">
        <v>0.71569619061668144</v>
      </c>
      <c r="BT343" s="744">
        <v>0.86211557790926996</v>
      </c>
      <c r="BW343" s="1191">
        <f>'2018'!R\Max</f>
        <v>0.47620624442118548</v>
      </c>
      <c r="BX343" s="1189">
        <f>'2019'!R\Max</f>
        <v>0.5491107164490675</v>
      </c>
      <c r="BY343" s="1189">
        <f>'2020'!R\Max</f>
        <v>0.88740344837861007</v>
      </c>
      <c r="BZ343" s="1189">
        <f>'2021'!R\Max</f>
        <v>0.65574342031547794</v>
      </c>
      <c r="CA343" s="1189">
        <f>'2022'!R\Max</f>
        <v>0.24359358959313757</v>
      </c>
      <c r="CB343" s="1189">
        <f>'2023'!R\Max</f>
        <v>0.23728076255801472</v>
      </c>
      <c r="CC343" s="1189">
        <f>'2024'!R\Max</f>
        <v>0.22754507181444972</v>
      </c>
      <c r="CD343" s="1189">
        <f>'2025'!R\Max</f>
        <v>0.26354020072832457</v>
      </c>
      <c r="CE343" s="1189">
        <f>'2026'!R\Max</f>
        <v>0.25989008476605224</v>
      </c>
      <c r="CF343" s="1190">
        <f>'2027'!R\Max</f>
        <v>0.25509868996368062</v>
      </c>
    </row>
    <row r="344" spans="1:84" s="6" customFormat="1" ht="11.25" x14ac:dyDescent="0.2">
      <c r="A344" s="11">
        <v>43430</v>
      </c>
      <c r="B344" s="382">
        <f>'2022'!Maxi_hp</f>
        <v>20.271977727485368</v>
      </c>
      <c r="C344" s="85">
        <f>'2022'!An_max</f>
        <v>2020</v>
      </c>
      <c r="D344" s="1134"/>
      <c r="E344" s="773">
        <f>AK$13/10</f>
        <v>20.5824</v>
      </c>
      <c r="F344" s="13">
        <f t="shared" si="146"/>
        <v>25</v>
      </c>
      <c r="G344" s="13">
        <f t="shared" si="130"/>
        <v>26</v>
      </c>
      <c r="H344" s="175">
        <f t="shared" si="131"/>
        <v>43430</v>
      </c>
      <c r="I344" s="774">
        <f t="shared" si="132"/>
        <v>0</v>
      </c>
      <c r="J344" s="765">
        <f t="shared" si="133"/>
        <v>20.582400000840426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P344" s="13">
        <f t="shared" si="134"/>
        <v>13</v>
      </c>
      <c r="AQ344" s="13">
        <f t="shared" si="135"/>
        <v>14</v>
      </c>
      <c r="AR344" s="175">
        <f t="shared" si="136"/>
        <v>43416</v>
      </c>
      <c r="AS344" s="774">
        <f t="shared" si="137"/>
        <v>0.5</v>
      </c>
      <c r="AT344" s="791">
        <f t="shared" si="138"/>
        <v>20.369062794372439</v>
      </c>
      <c r="AU344" s="13">
        <f t="shared" si="139"/>
        <v>13</v>
      </c>
      <c r="AV344" s="13">
        <f t="shared" si="140"/>
        <v>14</v>
      </c>
      <c r="AW344" s="175">
        <f t="shared" si="141"/>
        <v>43430</v>
      </c>
      <c r="AX344" s="774">
        <f t="shared" si="142"/>
        <v>0</v>
      </c>
      <c r="AY344" s="791">
        <f t="shared" si="143"/>
        <v>20.582400001585484</v>
      </c>
      <c r="AZ344" s="765">
        <f t="shared" si="147"/>
        <v>20.475731397978961</v>
      </c>
      <c r="BA344" s="649">
        <f t="shared" si="144"/>
        <v>0.98491807207408355</v>
      </c>
      <c r="BB344" s="644">
        <v>43430</v>
      </c>
      <c r="BC344" s="11">
        <v>43430</v>
      </c>
      <c r="BD344" s="292">
        <f>[2]!FeuilCaduc*(1-Persistant)+Persistant</f>
        <v>1</v>
      </c>
      <c r="BE344" s="293">
        <f>[2]!CroissVégét</f>
        <v>0.99936723010658135</v>
      </c>
      <c r="BF344" s="844">
        <f>1+[2]!Salcycl*Ksac</f>
        <v>1.0103881328436466</v>
      </c>
      <c r="BH344" s="1107">
        <f t="shared" si="145"/>
        <v>2.2064058181775953E-2</v>
      </c>
      <c r="BI344" s="11">
        <v>44526</v>
      </c>
      <c r="BJ344" s="744">
        <v>6.3029375453645814E-4</v>
      </c>
      <c r="BK344" s="744">
        <v>2.4302375383859873E-3</v>
      </c>
      <c r="BL344" s="744">
        <v>1.4856312857467314E-2</v>
      </c>
      <c r="BM344" s="744">
        <v>5.09354502768836E-2</v>
      </c>
      <c r="BN344" s="744">
        <v>0.10524554950360653</v>
      </c>
      <c r="BO344" s="745">
        <v>0.19178925735889371</v>
      </c>
      <c r="BP344" s="744">
        <v>0.28829739690470674</v>
      </c>
      <c r="BQ344" s="744">
        <v>0.42319641304757089</v>
      </c>
      <c r="BR344" s="744">
        <v>0.56417115385504568</v>
      </c>
      <c r="BS344" s="744">
        <v>0.71897582518166769</v>
      </c>
      <c r="BT344" s="744">
        <v>0.86398737980705764</v>
      </c>
      <c r="BW344" s="1191">
        <f>'2018'!R\Max</f>
        <v>0.21607497153813288</v>
      </c>
      <c r="BX344" s="1189">
        <f>'2019'!R\Max</f>
        <v>0.84077385553657291</v>
      </c>
      <c r="BY344" s="1189">
        <f>'2020'!R\Max</f>
        <v>0.98491807207408355</v>
      </c>
      <c r="BZ344" s="1189">
        <f>'2021'!R\Max</f>
        <v>0.37266537740133776</v>
      </c>
      <c r="CA344" s="1189">
        <f>'2022'!R\Max</f>
        <v>0.54563524732292235</v>
      </c>
      <c r="CB344" s="1189">
        <f>'2023'!R\Max</f>
        <v>0.53646096814450328</v>
      </c>
      <c r="CC344" s="1189">
        <f>'2024'!R\Max</f>
        <v>0.52207523086610608</v>
      </c>
      <c r="CD344" s="1189">
        <f>'2025'!R\Max</f>
        <v>0.57329744658373161</v>
      </c>
      <c r="CE344" s="1189">
        <f>'2026'!R\Max</f>
        <v>0.56835498013806385</v>
      </c>
      <c r="CF344" s="1190">
        <f>'2027'!R\Max</f>
        <v>0.56179979570264271</v>
      </c>
    </row>
    <row r="345" spans="1:84" s="6" customFormat="1" ht="11.25" x14ac:dyDescent="0.2">
      <c r="A345" s="11">
        <v>43431</v>
      </c>
      <c r="B345" s="382">
        <f>'2022'!Maxi_hp</f>
        <v>18.707105113619761</v>
      </c>
      <c r="C345" s="85">
        <f>'2022'!An_max</f>
        <v>2018</v>
      </c>
      <c r="D345" s="1134"/>
      <c r="E345" s="711"/>
      <c r="F345" s="13">
        <f t="shared" si="146"/>
        <v>25</v>
      </c>
      <c r="G345" s="13">
        <f t="shared" si="130"/>
        <v>26</v>
      </c>
      <c r="H345" s="175">
        <f t="shared" si="131"/>
        <v>43430</v>
      </c>
      <c r="I345" s="774">
        <f t="shared" si="132"/>
        <v>7.1428571428571425E-2</v>
      </c>
      <c r="J345" s="765">
        <f t="shared" si="133"/>
        <v>20.39605364538729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P345" s="13">
        <f t="shared" si="134"/>
        <v>13</v>
      </c>
      <c r="AQ345" s="13">
        <f t="shared" si="135"/>
        <v>14</v>
      </c>
      <c r="AR345" s="175">
        <f t="shared" si="136"/>
        <v>43416</v>
      </c>
      <c r="AS345" s="774">
        <f t="shared" si="137"/>
        <v>0.5357142857142857</v>
      </c>
      <c r="AT345" s="791">
        <f t="shared" si="138"/>
        <v>20.175375463840151</v>
      </c>
      <c r="AU345" s="13">
        <f t="shared" si="139"/>
        <v>13</v>
      </c>
      <c r="AV345" s="13">
        <f t="shared" si="140"/>
        <v>14</v>
      </c>
      <c r="AW345" s="175">
        <f t="shared" si="141"/>
        <v>43430</v>
      </c>
      <c r="AX345" s="774">
        <f t="shared" si="142"/>
        <v>3.5714285714285712E-2</v>
      </c>
      <c r="AY345" s="791">
        <f t="shared" si="143"/>
        <v>20.408423475788105</v>
      </c>
      <c r="AZ345" s="765">
        <f t="shared" si="147"/>
        <v>20.291899469814126</v>
      </c>
      <c r="BA345" s="649">
        <f t="shared" si="144"/>
        <v>0.91719238627569033</v>
      </c>
      <c r="BB345" s="644">
        <v>43431</v>
      </c>
      <c r="BC345" s="11">
        <v>43431</v>
      </c>
      <c r="BD345" s="292">
        <f>[2]!FeuilCaduc*(1-Persistant)+Persistant</f>
        <v>1</v>
      </c>
      <c r="BE345" s="293">
        <f>[2]!CroissVégét</f>
        <v>0.9994060066555025</v>
      </c>
      <c r="BF345" s="844">
        <f>1+[2]!Salcycl*Ksac</f>
        <v>1.0097721494767704</v>
      </c>
      <c r="BH345" s="1107">
        <f t="shared" si="145"/>
        <v>2.2295947359736577E-2</v>
      </c>
      <c r="BI345" s="11">
        <v>44527</v>
      </c>
      <c r="BJ345" s="744">
        <v>6.1133642401626457E-4</v>
      </c>
      <c r="BK345" s="744">
        <v>2.4170193789952326E-3</v>
      </c>
      <c r="BL345" s="744">
        <v>1.5132579826597152E-2</v>
      </c>
      <c r="BM345" s="744">
        <v>5.0989579482548848E-2</v>
      </c>
      <c r="BN345" s="744">
        <v>0.10609096256845413</v>
      </c>
      <c r="BO345" s="745">
        <v>0.19278346362940479</v>
      </c>
      <c r="BP345" s="744">
        <v>0.29124651797143597</v>
      </c>
      <c r="BQ345" s="744">
        <v>0.42671394590693162</v>
      </c>
      <c r="BR345" s="744">
        <v>0.56833075018246249</v>
      </c>
      <c r="BS345" s="744">
        <v>0.72185014328041086</v>
      </c>
      <c r="BT345" s="744">
        <v>0.86529883140693831</v>
      </c>
      <c r="BW345" s="1191">
        <f>'2018'!R\Max</f>
        <v>0.91719238627569033</v>
      </c>
      <c r="BX345" s="1189">
        <f>'2019'!R\Max</f>
        <v>0.76167857400943895</v>
      </c>
      <c r="BY345" s="1189">
        <f>'2020'!R\Max</f>
        <v>0.77186042053314452</v>
      </c>
      <c r="BZ345" s="1189">
        <f>'2021'!R\Max</f>
        <v>0.53485806404222946</v>
      </c>
      <c r="CA345" s="1189">
        <f>'2022'!R\Max</f>
        <v>0.66282627251748938</v>
      </c>
      <c r="CB345" s="1189">
        <f>'2023'!R\Max</f>
        <v>0.65429153991305566</v>
      </c>
      <c r="CC345" s="1189">
        <f>'2024'!R\Max</f>
        <v>0.64091462115829922</v>
      </c>
      <c r="CD345" s="1189">
        <f>'2025'!R\Max</f>
        <v>0.68790999884920756</v>
      </c>
      <c r="CE345" s="1189">
        <f>'2026'!R\Max</f>
        <v>0.68347032765158411</v>
      </c>
      <c r="CF345" s="1190">
        <f>'2027'!R\Max</f>
        <v>0.67756827791259999</v>
      </c>
    </row>
    <row r="346" spans="1:84" s="6" customFormat="1" ht="11.25" x14ac:dyDescent="0.2">
      <c r="A346" s="11">
        <v>43432</v>
      </c>
      <c r="B346" s="382">
        <f>'2022'!Maxi_hp</f>
        <v>15.033904025861062</v>
      </c>
      <c r="C346" s="85">
        <f>'2022'!An_max</f>
        <v>2018</v>
      </c>
      <c r="D346" s="1134"/>
      <c r="E346" s="711"/>
      <c r="F346" s="13">
        <f t="shared" si="146"/>
        <v>25</v>
      </c>
      <c r="G346" s="13">
        <f t="shared" si="130"/>
        <v>26</v>
      </c>
      <c r="H346" s="175">
        <f t="shared" si="131"/>
        <v>43430</v>
      </c>
      <c r="I346" s="774">
        <f t="shared" si="132"/>
        <v>0.14285714285714285</v>
      </c>
      <c r="J346" s="765">
        <f t="shared" si="133"/>
        <v>20.210714868562565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P346" s="13">
        <f t="shared" si="134"/>
        <v>13</v>
      </c>
      <c r="AQ346" s="13">
        <f t="shared" si="135"/>
        <v>14</v>
      </c>
      <c r="AR346" s="175">
        <f t="shared" si="136"/>
        <v>43416</v>
      </c>
      <c r="AS346" s="774">
        <f t="shared" si="137"/>
        <v>0.5714285714285714</v>
      </c>
      <c r="AT346" s="791">
        <f t="shared" si="138"/>
        <v>19.988893622905017</v>
      </c>
      <c r="AU346" s="13">
        <f t="shared" si="139"/>
        <v>13</v>
      </c>
      <c r="AV346" s="13">
        <f t="shared" si="140"/>
        <v>14</v>
      </c>
      <c r="AW346" s="175">
        <f t="shared" si="141"/>
        <v>43430</v>
      </c>
      <c r="AX346" s="774">
        <f t="shared" si="142"/>
        <v>7.1428571428571425E-2</v>
      </c>
      <c r="AY346" s="791">
        <f t="shared" si="143"/>
        <v>20.237811960812127</v>
      </c>
      <c r="AZ346" s="765">
        <f t="shared" si="147"/>
        <v>20.113352791858574</v>
      </c>
      <c r="BA346" s="649">
        <f t="shared" si="144"/>
        <v>0.74385810317110812</v>
      </c>
      <c r="BB346" s="644">
        <v>43432</v>
      </c>
      <c r="BC346" s="11">
        <v>43432</v>
      </c>
      <c r="BD346" s="292">
        <f>[2]!FeuilCaduc*(1-Persistant)+Persistant</f>
        <v>1</v>
      </c>
      <c r="BE346" s="293">
        <f>[2]!CroissVégét</f>
        <v>0.99944322477397196</v>
      </c>
      <c r="BF346" s="844">
        <f>1+[2]!Salcycl*Ksac</f>
        <v>1.0091816903072746</v>
      </c>
      <c r="BH346" s="1107">
        <f t="shared" si="145"/>
        <v>2.2487393486535695E-2</v>
      </c>
      <c r="BI346" s="11">
        <v>44528</v>
      </c>
      <c r="BJ346" s="744">
        <v>5.9455646337535305E-4</v>
      </c>
      <c r="BK346" s="744">
        <v>2.415123606255011E-3</v>
      </c>
      <c r="BL346" s="744">
        <v>1.5386252581000117E-2</v>
      </c>
      <c r="BM346" s="744">
        <v>5.093177022039188E-2</v>
      </c>
      <c r="BN346" s="744">
        <v>0.10693853015340841</v>
      </c>
      <c r="BO346" s="745">
        <v>0.19369934220628826</v>
      </c>
      <c r="BP346" s="744">
        <v>0.29431503059403935</v>
      </c>
      <c r="BQ346" s="744">
        <v>0.43008706626688192</v>
      </c>
      <c r="BR346" s="744">
        <v>0.57234646492991981</v>
      </c>
      <c r="BS346" s="744">
        <v>0.72424933218716214</v>
      </c>
      <c r="BT346" s="744">
        <v>0.86594635317826762</v>
      </c>
      <c r="BW346" s="1191">
        <f>'2018'!R\Max</f>
        <v>0.74385810317110812</v>
      </c>
      <c r="BX346" s="1189">
        <f>'2019'!R\Max</f>
        <v>0.46030694247051546</v>
      </c>
      <c r="BY346" s="1189">
        <f>'2020'!R\Max</f>
        <v>0.60665811574676787</v>
      </c>
      <c r="BZ346" s="1189">
        <f>'2021'!R\Max</f>
        <v>0.31962260922274882</v>
      </c>
      <c r="CA346" s="1189">
        <f>'2022'!R\Max</f>
        <v>0.51746610444738417</v>
      </c>
      <c r="CB346" s="1189">
        <f>'2023'!R\Max</f>
        <v>0.50771456355938238</v>
      </c>
      <c r="CC346" s="1189">
        <f>'2024'!R\Max</f>
        <v>0.4928658819215922</v>
      </c>
      <c r="CD346" s="1189">
        <f>'2025'!R\Max</f>
        <v>0.5465242853114286</v>
      </c>
      <c r="CE346" s="1189">
        <f>'2026'!R\Max</f>
        <v>0.54129935046295663</v>
      </c>
      <c r="CF346" s="1190">
        <f>'2027'!R\Max</f>
        <v>0.53442762081878603</v>
      </c>
    </row>
    <row r="347" spans="1:84" s="6" customFormat="1" ht="11.25" x14ac:dyDescent="0.2">
      <c r="A347" s="11">
        <v>43433</v>
      </c>
      <c r="B347" s="382">
        <f>'2022'!Maxi_hp</f>
        <v>19.928845702990856</v>
      </c>
      <c r="C347" s="85">
        <f>'2022'!An_max</f>
        <v>2018</v>
      </c>
      <c r="D347" s="1134"/>
      <c r="E347" s="711"/>
      <c r="F347" s="13">
        <f t="shared" si="146"/>
        <v>25</v>
      </c>
      <c r="G347" s="13">
        <f t="shared" si="130"/>
        <v>26</v>
      </c>
      <c r="H347" s="175">
        <f t="shared" si="131"/>
        <v>43430</v>
      </c>
      <c r="I347" s="774">
        <f t="shared" si="132"/>
        <v>0.21428571428571427</v>
      </c>
      <c r="J347" s="765">
        <f t="shared" si="133"/>
        <v>20.0273912543697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P347" s="13">
        <f t="shared" si="134"/>
        <v>13</v>
      </c>
      <c r="AQ347" s="13">
        <f t="shared" si="135"/>
        <v>14</v>
      </c>
      <c r="AR347" s="175">
        <f t="shared" si="136"/>
        <v>43416</v>
      </c>
      <c r="AS347" s="774">
        <f t="shared" si="137"/>
        <v>0.6071428571428571</v>
      </c>
      <c r="AT347" s="791">
        <f t="shared" si="138"/>
        <v>19.809943813857224</v>
      </c>
      <c r="AU347" s="13">
        <f t="shared" si="139"/>
        <v>13</v>
      </c>
      <c r="AV347" s="13">
        <f t="shared" si="140"/>
        <v>14</v>
      </c>
      <c r="AW347" s="175">
        <f t="shared" si="141"/>
        <v>43430</v>
      </c>
      <c r="AX347" s="774">
        <f t="shared" si="142"/>
        <v>0.10714285714285714</v>
      </c>
      <c r="AY347" s="791">
        <f t="shared" si="143"/>
        <v>20.070913984094346</v>
      </c>
      <c r="AZ347" s="765">
        <f t="shared" si="147"/>
        <v>19.940428898975785</v>
      </c>
      <c r="BA347" s="649">
        <f t="shared" si="144"/>
        <v>0.99507946141725556</v>
      </c>
      <c r="BB347" s="644">
        <v>43433</v>
      </c>
      <c r="BC347" s="11">
        <v>43433</v>
      </c>
      <c r="BD347" s="292">
        <f>[2]!FeuilCaduc*(1-Persistant)+Persistant</f>
        <v>1</v>
      </c>
      <c r="BE347" s="293">
        <f>[2]!CroissVégét</f>
        <v>0.9994789469862303</v>
      </c>
      <c r="BF347" s="844">
        <f>1+[2]!Salcycl*Ksac</f>
        <v>1.0086167587729433</v>
      </c>
      <c r="BH347" s="1107">
        <f t="shared" si="145"/>
        <v>2.2665829868564184E-2</v>
      </c>
      <c r="BI347" s="11">
        <v>44529</v>
      </c>
      <c r="BJ347" s="744">
        <v>5.7806108418571758E-4</v>
      </c>
      <c r="BK347" s="744">
        <v>2.4216835605897478E-3</v>
      </c>
      <c r="BL347" s="744">
        <v>1.5629186185650856E-2</v>
      </c>
      <c r="BM347" s="744">
        <v>5.0851856103118979E-2</v>
      </c>
      <c r="BN347" s="744">
        <v>0.10781022049330108</v>
      </c>
      <c r="BO347" s="745">
        <v>0.19461701861730832</v>
      </c>
      <c r="BP347" s="744">
        <v>0.29744009812466793</v>
      </c>
      <c r="BQ347" s="744">
        <v>0.43337066572072747</v>
      </c>
      <c r="BR347" s="744">
        <v>0.57623154299291746</v>
      </c>
      <c r="BS347" s="744">
        <v>0.72635126569076025</v>
      </c>
      <c r="BT347" s="744">
        <v>0.86622507381676395</v>
      </c>
      <c r="BW347" s="1191">
        <f>'2018'!R\Max</f>
        <v>0.99507946141725556</v>
      </c>
      <c r="BX347" s="1189">
        <f>'2019'!R\Max</f>
        <v>0.75271395931392471</v>
      </c>
      <c r="BY347" s="1189">
        <f>'2020'!R\Max</f>
        <v>0.47525358341581225</v>
      </c>
      <c r="BZ347" s="1189">
        <f>'2021'!R\Max</f>
        <v>0.36680739039377486</v>
      </c>
      <c r="CA347" s="1189">
        <f>'2022'!R\Max</f>
        <v>0.59690723447713223</v>
      </c>
      <c r="CB347" s="1189">
        <f>'2023'!R\Max</f>
        <v>0.58721427188177544</v>
      </c>
      <c r="CC347" s="1189">
        <f>'2024'!R\Max</f>
        <v>0.57256833835510146</v>
      </c>
      <c r="CD347" s="1189">
        <f>'2025'!R\Max</f>
        <v>0.62520357058402187</v>
      </c>
      <c r="CE347" s="1189">
        <f>'2026'!R\Max</f>
        <v>0.62014148909414779</v>
      </c>
      <c r="CF347" s="1190">
        <f>'2027'!R\Max</f>
        <v>0.6134859571069089</v>
      </c>
    </row>
    <row r="348" spans="1:84" s="6" customFormat="1" ht="11.25" x14ac:dyDescent="0.2">
      <c r="A348" s="11">
        <v>43434</v>
      </c>
      <c r="B348" s="382">
        <f>'2022'!Maxi_hp</f>
        <v>19.468754862857971</v>
      </c>
      <c r="C348" s="85">
        <f>'2022'!An_max</f>
        <v>2021</v>
      </c>
      <c r="D348" s="1134"/>
      <c r="E348" s="711"/>
      <c r="F348" s="13">
        <f t="shared" si="146"/>
        <v>25</v>
      </c>
      <c r="G348" s="13">
        <f t="shared" si="130"/>
        <v>26</v>
      </c>
      <c r="H348" s="175">
        <f t="shared" si="131"/>
        <v>43430</v>
      </c>
      <c r="I348" s="774">
        <f t="shared" si="132"/>
        <v>0.2857142857142857</v>
      </c>
      <c r="J348" s="765">
        <f t="shared" si="133"/>
        <v>19.847090380745279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P348" s="13">
        <f t="shared" si="134"/>
        <v>13</v>
      </c>
      <c r="AQ348" s="13">
        <f t="shared" si="135"/>
        <v>14</v>
      </c>
      <c r="AR348" s="175">
        <f t="shared" si="136"/>
        <v>43416</v>
      </c>
      <c r="AS348" s="774">
        <f t="shared" si="137"/>
        <v>0.6428571428571429</v>
      </c>
      <c r="AT348" s="791">
        <f t="shared" si="138"/>
        <v>19.638852570684897</v>
      </c>
      <c r="AU348" s="13">
        <f t="shared" si="139"/>
        <v>13</v>
      </c>
      <c r="AV348" s="13">
        <f t="shared" si="140"/>
        <v>14</v>
      </c>
      <c r="AW348" s="175">
        <f t="shared" si="141"/>
        <v>43430</v>
      </c>
      <c r="AX348" s="774">
        <f t="shared" si="142"/>
        <v>0.14285714285714285</v>
      </c>
      <c r="AY348" s="791">
        <f t="shared" si="143"/>
        <v>19.908078069559167</v>
      </c>
      <c r="AZ348" s="765">
        <f t="shared" si="147"/>
        <v>19.773465320122032</v>
      </c>
      <c r="BA348" s="649">
        <f t="shared" si="144"/>
        <v>0.98093748198706487</v>
      </c>
      <c r="BB348" s="644">
        <v>43434</v>
      </c>
      <c r="BC348" s="11">
        <v>43434</v>
      </c>
      <c r="BD348" s="292">
        <f>[2]!FeuilCaduc*(1-Persistant)+Persistant</f>
        <v>1</v>
      </c>
      <c r="BE348" s="293">
        <f>[2]!CroissVégét</f>
        <v>0.99951323331664843</v>
      </c>
      <c r="BF348" s="844">
        <f>1+[2]!Salcycl*Ksac</f>
        <v>1.0080772721603155</v>
      </c>
      <c r="BH348" s="1107">
        <f t="shared" si="145"/>
        <v>2.2831290378548599E-2</v>
      </c>
      <c r="BI348" s="11">
        <v>44530</v>
      </c>
      <c r="BJ348" s="744">
        <v>5.6185247299249961E-4</v>
      </c>
      <c r="BK348" s="744">
        <v>2.4367064494962309E-3</v>
      </c>
      <c r="BL348" s="744">
        <v>1.5861396977936152E-2</v>
      </c>
      <c r="BM348" s="744">
        <v>5.0749941243129044E-2</v>
      </c>
      <c r="BN348" s="744">
        <v>0.10870621888666311</v>
      </c>
      <c r="BO348" s="745">
        <v>0.19553685055800288</v>
      </c>
      <c r="BP348" s="744">
        <v>0.3006221898092245</v>
      </c>
      <c r="BQ348" s="744">
        <v>0.436565445930787</v>
      </c>
      <c r="BR348" s="744">
        <v>0.57998693996825745</v>
      </c>
      <c r="BS348" s="744">
        <v>0.72815726061125741</v>
      </c>
      <c r="BT348" s="744">
        <v>0.86613668022336487</v>
      </c>
      <c r="BW348" s="1191">
        <f>'2018'!R\Max</f>
        <v>0.41108015503171275</v>
      </c>
      <c r="BX348" s="1189">
        <f>'2019'!R\Max</f>
        <v>0.67667998222050307</v>
      </c>
      <c r="BY348" s="1189">
        <f>'2020'!R\Max</f>
        <v>0.91901318124168152</v>
      </c>
      <c r="BZ348" s="1189">
        <f>'2021'!R\Max</f>
        <v>0.98093748198706487</v>
      </c>
      <c r="CA348" s="1189">
        <f>'2022'!R\Max</f>
        <v>0.2339560080938943</v>
      </c>
      <c r="CB348" s="1189">
        <f>'2023'!R\Max</f>
        <v>0.22699885262055627</v>
      </c>
      <c r="CC348" s="1189">
        <f>'2024'!R\Max</f>
        <v>0.21699363844159764</v>
      </c>
      <c r="CD348" s="1189">
        <f>'2025'!R\Max</f>
        <v>0.25520131398379031</v>
      </c>
      <c r="CE348" s="1189">
        <f>'2026'!R\Max</f>
        <v>0.2512643007172089</v>
      </c>
      <c r="CF348" s="1190">
        <f>'2027'!R\Max</f>
        <v>0.24619561576257204</v>
      </c>
    </row>
    <row r="349" spans="1:84" s="6" customFormat="1" ht="11.25" x14ac:dyDescent="0.2">
      <c r="A349" s="11">
        <v>43435</v>
      </c>
      <c r="B349" s="382">
        <f>'2022'!Maxi_hp</f>
        <v>18.687325201357915</v>
      </c>
      <c r="C349" s="85">
        <f>'2022'!An_max</f>
        <v>2020</v>
      </c>
      <c r="D349" s="1134"/>
      <c r="E349" s="711"/>
      <c r="F349" s="13">
        <f t="shared" si="146"/>
        <v>25</v>
      </c>
      <c r="G349" s="13">
        <f t="shared" si="130"/>
        <v>26</v>
      </c>
      <c r="H349" s="175">
        <f t="shared" si="131"/>
        <v>43430</v>
      </c>
      <c r="I349" s="774">
        <f t="shared" si="132"/>
        <v>0.35714285714285715</v>
      </c>
      <c r="J349" s="765">
        <f t="shared" si="133"/>
        <v>19.67081982541297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P349" s="13">
        <f t="shared" si="134"/>
        <v>13</v>
      </c>
      <c r="AQ349" s="13">
        <f t="shared" si="135"/>
        <v>14</v>
      </c>
      <c r="AR349" s="175">
        <f t="shared" si="136"/>
        <v>43416</v>
      </c>
      <c r="AS349" s="774">
        <f t="shared" si="137"/>
        <v>0.6785714285714286</v>
      </c>
      <c r="AT349" s="791">
        <f t="shared" si="138"/>
        <v>19.475946435811263</v>
      </c>
      <c r="AU349" s="13">
        <f t="shared" si="139"/>
        <v>13</v>
      </c>
      <c r="AV349" s="13">
        <f t="shared" si="140"/>
        <v>14</v>
      </c>
      <c r="AW349" s="175">
        <f t="shared" si="141"/>
        <v>43430</v>
      </c>
      <c r="AX349" s="774">
        <f t="shared" si="142"/>
        <v>0.17857142857142858</v>
      </c>
      <c r="AY349" s="791">
        <f t="shared" si="143"/>
        <v>19.74965274192925</v>
      </c>
      <c r="AZ349" s="765">
        <f t="shared" si="147"/>
        <v>19.612799588870256</v>
      </c>
      <c r="BA349" s="649">
        <f t="shared" si="144"/>
        <v>0.95000235715725145</v>
      </c>
      <c r="BB349" s="644">
        <v>43435</v>
      </c>
      <c r="BC349" s="11">
        <v>43435</v>
      </c>
      <c r="BD349" s="292">
        <f>[2]!FeuilCaduc*(1-Persistant)+Persistant</f>
        <v>1</v>
      </c>
      <c r="BE349" s="293">
        <f>[2]!CroissVégét</f>
        <v>0.99954614138899944</v>
      </c>
      <c r="BF349" s="844">
        <f>1+[2]!Salcycl*Ksac</f>
        <v>1.0075630640512585</v>
      </c>
      <c r="BH349" s="1107">
        <f t="shared" si="145"/>
        <v>2.2983811564483758E-2</v>
      </c>
      <c r="BI349" s="11">
        <v>44531</v>
      </c>
      <c r="BJ349" s="744">
        <v>5.4593264995959358E-4</v>
      </c>
      <c r="BK349" s="744">
        <v>2.4601987190784069E-3</v>
      </c>
      <c r="BL349" s="744">
        <v>1.6082904309544992E-2</v>
      </c>
      <c r="BM349" s="744">
        <v>5.0626131070052705E-2</v>
      </c>
      <c r="BN349" s="744">
        <v>0.1096267153120903</v>
      </c>
      <c r="BO349" s="745">
        <v>0.19645920269858555</v>
      </c>
      <c r="BP349" s="744">
        <v>0.30386179477093084</v>
      </c>
      <c r="BQ349" s="744">
        <v>0.43967214339310973</v>
      </c>
      <c r="BR349" s="744">
        <v>0.58361365486832473</v>
      </c>
      <c r="BS349" s="744">
        <v>0.72966867787216039</v>
      </c>
      <c r="BT349" s="744">
        <v>0.86568289467792781</v>
      </c>
      <c r="BW349" s="1191">
        <f>'2018'!R\Max</f>
        <v>0.80926118604428243</v>
      </c>
      <c r="BX349" s="1189">
        <f>'2019'!R\Max</f>
        <v>0.43818042930113588</v>
      </c>
      <c r="BY349" s="1189">
        <f>'2020'!R\Max</f>
        <v>0.95000235715725145</v>
      </c>
      <c r="BZ349" s="1189">
        <f>'2021'!R\Max</f>
        <v>0.24461170582597871</v>
      </c>
      <c r="CA349" s="1189">
        <f>'2022'!R\Max</f>
        <v>0.20404004699065145</v>
      </c>
      <c r="CB349" s="1189">
        <f>'2023'!R\Max</f>
        <v>0.1978009745186928</v>
      </c>
      <c r="CC349" s="1189">
        <f>'2024'!R\Max</f>
        <v>0.18898979506614658</v>
      </c>
      <c r="CD349" s="1189">
        <f>'2025'!R\Max</f>
        <v>0.22296826458095229</v>
      </c>
      <c r="CE349" s="1189">
        <f>'2026'!R\Max</f>
        <v>0.21944737200738598</v>
      </c>
      <c r="CF349" s="1190">
        <f>'2027'!R\Max</f>
        <v>0.21493697839615902</v>
      </c>
    </row>
    <row r="350" spans="1:84" s="6" customFormat="1" ht="11.25" x14ac:dyDescent="0.2">
      <c r="A350" s="11">
        <v>43436</v>
      </c>
      <c r="B350" s="382">
        <f>'2022'!Maxi_hp</f>
        <v>8.2113391342416708</v>
      </c>
      <c r="C350" s="85">
        <f>'2022'!An_max</f>
        <v>2021</v>
      </c>
      <c r="D350" s="1134"/>
      <c r="E350" s="711"/>
      <c r="F350" s="13">
        <f t="shared" si="146"/>
        <v>25</v>
      </c>
      <c r="G350" s="13">
        <f t="shared" si="130"/>
        <v>26</v>
      </c>
      <c r="H350" s="175">
        <f t="shared" si="131"/>
        <v>43430</v>
      </c>
      <c r="I350" s="774">
        <f t="shared" si="132"/>
        <v>0.42857142857142855</v>
      </c>
      <c r="J350" s="765">
        <f t="shared" si="133"/>
        <v>19.499587172482695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P350" s="13">
        <f t="shared" si="134"/>
        <v>13</v>
      </c>
      <c r="AQ350" s="13">
        <f t="shared" si="135"/>
        <v>14</v>
      </c>
      <c r="AR350" s="175">
        <f t="shared" si="136"/>
        <v>43416</v>
      </c>
      <c r="AS350" s="774">
        <f t="shared" si="137"/>
        <v>0.7142857142857143</v>
      </c>
      <c r="AT350" s="791">
        <f t="shared" si="138"/>
        <v>19.321551947082789</v>
      </c>
      <c r="AU350" s="13">
        <f t="shared" si="139"/>
        <v>13</v>
      </c>
      <c r="AV350" s="13">
        <f t="shared" si="140"/>
        <v>14</v>
      </c>
      <c r="AW350" s="175">
        <f t="shared" si="141"/>
        <v>43430</v>
      </c>
      <c r="AX350" s="774">
        <f t="shared" si="142"/>
        <v>0.21428571428571427</v>
      </c>
      <c r="AY350" s="791">
        <f t="shared" si="143"/>
        <v>19.595986527257729</v>
      </c>
      <c r="AZ350" s="765">
        <f t="shared" si="147"/>
        <v>19.458769237170259</v>
      </c>
      <c r="BA350" s="649">
        <f t="shared" si="144"/>
        <v>0.42110322960217828</v>
      </c>
      <c r="BB350" s="644">
        <v>43436</v>
      </c>
      <c r="BC350" s="11">
        <v>43436</v>
      </c>
      <c r="BD350" s="292">
        <f>[2]!FeuilCaduc*(1-Persistant)+Persistant</f>
        <v>1</v>
      </c>
      <c r="BE350" s="293">
        <f>[2]!CroissVégét</f>
        <v>0.99957772652184329</v>
      </c>
      <c r="BF350" s="844">
        <f>1+[2]!Salcycl*Ksac</f>
        <v>1.007073887247028</v>
      </c>
      <c r="BH350" s="1107">
        <f t="shared" si="145"/>
        <v>2.3123432387152771E-2</v>
      </c>
      <c r="BI350" s="11">
        <v>44532</v>
      </c>
      <c r="BJ350" s="744">
        <v>5.3030347510025827E-4</v>
      </c>
      <c r="BK350" s="744">
        <v>2.4921662308873636E-3</v>
      </c>
      <c r="BL350" s="744">
        <v>1.6293730328107599E-2</v>
      </c>
      <c r="BM350" s="744">
        <v>5.0480531891548865E-2</v>
      </c>
      <c r="BN350" s="744">
        <v>0.11057190496880338</v>
      </c>
      <c r="BO350" s="745">
        <v>0.19738444679443812</v>
      </c>
      <c r="BP350" s="744">
        <v>0.30715942329020607</v>
      </c>
      <c r="BQ350" s="744">
        <v>0.44269152773188991</v>
      </c>
      <c r="BR350" s="744">
        <v>0.58711272761416133</v>
      </c>
      <c r="BS350" s="744">
        <v>0.73088691659576133</v>
      </c>
      <c r="BT350" s="744">
        <v>0.86486546751075244</v>
      </c>
      <c r="BW350" s="1191">
        <f>'2018'!R\Max</f>
        <v>0.38595231021340604</v>
      </c>
      <c r="BX350" s="1189">
        <f>'2019'!R\Max</f>
        <v>0.20249536645226046</v>
      </c>
      <c r="BY350" s="1189">
        <f>'2020'!R\Max</f>
        <v>0.23931207653901923</v>
      </c>
      <c r="BZ350" s="1189">
        <f>'2021'!R\Max</f>
        <v>0.42110322960217828</v>
      </c>
      <c r="CA350" s="1189">
        <f>'2022'!R\Max</f>
        <v>0.28429499907223538</v>
      </c>
      <c r="CB350" s="1189">
        <f>'2023'!R\Max</f>
        <v>0.27551116925254948</v>
      </c>
      <c r="CC350" s="1189">
        <f>'2024'!R\Max</f>
        <v>0.26332491420913734</v>
      </c>
      <c r="CD350" s="1189">
        <f>'2025'!R\Max</f>
        <v>0.31071715788798326</v>
      </c>
      <c r="CE350" s="1189">
        <f>'2026'!R\Max</f>
        <v>0.30578890959546678</v>
      </c>
      <c r="CF350" s="1190">
        <f>'2027'!R\Max</f>
        <v>0.29950406803482715</v>
      </c>
    </row>
    <row r="351" spans="1:84" s="6" customFormat="1" ht="11.25" x14ac:dyDescent="0.2">
      <c r="A351" s="11">
        <v>43437</v>
      </c>
      <c r="B351" s="382">
        <f>'2022'!Maxi_hp</f>
        <v>13.277660836257485</v>
      </c>
      <c r="C351" s="85">
        <f>'2022'!An_max</f>
        <v>2021</v>
      </c>
      <c r="D351" s="1134"/>
      <c r="E351" s="711"/>
      <c r="F351" s="13">
        <f t="shared" si="146"/>
        <v>25</v>
      </c>
      <c r="G351" s="13">
        <f t="shared" si="130"/>
        <v>26</v>
      </c>
      <c r="H351" s="175">
        <f t="shared" si="131"/>
        <v>43430</v>
      </c>
      <c r="I351" s="774">
        <f t="shared" si="132"/>
        <v>0.5</v>
      </c>
      <c r="J351" s="765">
        <f t="shared" si="133"/>
        <v>19.334399999305607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P351" s="13">
        <f t="shared" si="134"/>
        <v>13</v>
      </c>
      <c r="AQ351" s="13">
        <f t="shared" si="135"/>
        <v>14</v>
      </c>
      <c r="AR351" s="175">
        <f t="shared" si="136"/>
        <v>43416</v>
      </c>
      <c r="AS351" s="774">
        <f t="shared" si="137"/>
        <v>0.75</v>
      </c>
      <c r="AT351" s="791">
        <f t="shared" si="138"/>
        <v>19.175995643064379</v>
      </c>
      <c r="AU351" s="13">
        <f t="shared" si="139"/>
        <v>13</v>
      </c>
      <c r="AV351" s="13">
        <f t="shared" si="140"/>
        <v>14</v>
      </c>
      <c r="AW351" s="175">
        <f t="shared" si="141"/>
        <v>43430</v>
      </c>
      <c r="AX351" s="774">
        <f t="shared" si="142"/>
        <v>0.25</v>
      </c>
      <c r="AY351" s="791">
        <f t="shared" si="143"/>
        <v>19.447427949681877</v>
      </c>
      <c r="AZ351" s="765">
        <f t="shared" si="147"/>
        <v>19.311711796373128</v>
      </c>
      <c r="BA351" s="649">
        <f t="shared" si="144"/>
        <v>0.68673767154576049</v>
      </c>
      <c r="BB351" s="644">
        <v>43437</v>
      </c>
      <c r="BC351" s="11">
        <v>43437</v>
      </c>
      <c r="BD351" s="292">
        <f>[2]!FeuilCaduc*(1-Persistant)+Persistant</f>
        <v>1</v>
      </c>
      <c r="BE351" s="293">
        <f>[2]!CroissVégét</f>
        <v>0.99960804182016849</v>
      </c>
      <c r="BF351" s="844">
        <f>1+[2]!Salcycl*Ksac</f>
        <v>1.0066094171430648</v>
      </c>
      <c r="BH351" s="1107">
        <f t="shared" si="145"/>
        <v>2.3250193957348248E-2</v>
      </c>
      <c r="BI351" s="11">
        <v>44533</v>
      </c>
      <c r="BJ351" s="744">
        <v>5.1496665450015704E-4</v>
      </c>
      <c r="BK351" s="744">
        <v>2.5326144387293049E-3</v>
      </c>
      <c r="BL351" s="744">
        <v>1.6493899758628146E-2</v>
      </c>
      <c r="BM351" s="744">
        <v>5.0313250453432136E-2</v>
      </c>
      <c r="BN351" s="744">
        <v>0.11154198881578546</v>
      </c>
      <c r="BO351" s="745">
        <v>0.19831296179404026</v>
      </c>
      <c r="BP351" s="744">
        <v>0.31051560808062045</v>
      </c>
      <c r="BQ351" s="744">
        <v>0.44562439998816722</v>
      </c>
      <c r="BR351" s="744">
        <v>0.59048523652094931</v>
      </c>
      <c r="BS351" s="744">
        <v>0.7318134081889015</v>
      </c>
      <c r="BT351" s="744">
        <v>0.8636861697627074</v>
      </c>
      <c r="BW351" s="1191">
        <f>'2018'!R\Max</f>
        <v>0.46317222267254687</v>
      </c>
      <c r="BX351" s="1189">
        <f>'2019'!R\Max</f>
        <v>0.22787631705935435</v>
      </c>
      <c r="BY351" s="1189">
        <f>'2020'!R\Max</f>
        <v>8.5737459428860394E-2</v>
      </c>
      <c r="BZ351" s="1189">
        <f>'2021'!R\Max</f>
        <v>0.68673767154576049</v>
      </c>
      <c r="CA351" s="1189">
        <f>'2022'!R\Max</f>
        <v>0.46152982456158098</v>
      </c>
      <c r="CB351" s="1189">
        <f>'2023'!R\Max</f>
        <v>0.45042403068875719</v>
      </c>
      <c r="CC351" s="1189">
        <f>'2024'!R\Max</f>
        <v>0.43503648770200537</v>
      </c>
      <c r="CD351" s="1189">
        <f>'2025'!R\Max</f>
        <v>0.49371272343191386</v>
      </c>
      <c r="CE351" s="1189">
        <f>'2026'!R\Max</f>
        <v>0.48779713876677605</v>
      </c>
      <c r="CF351" s="1190">
        <f>'2027'!R\Max</f>
        <v>0.48021987393883298</v>
      </c>
    </row>
    <row r="352" spans="1:84" s="6" customFormat="1" ht="11.25" x14ac:dyDescent="0.2">
      <c r="A352" s="11">
        <v>43438</v>
      </c>
      <c r="B352" s="382">
        <f>'2022'!Maxi_hp</f>
        <v>15.957241279151608</v>
      </c>
      <c r="C352" s="85">
        <f>'2022'!An_max</f>
        <v>2022</v>
      </c>
      <c r="D352" s="1134"/>
      <c r="E352" s="711"/>
      <c r="F352" s="13">
        <f t="shared" si="146"/>
        <v>25</v>
      </c>
      <c r="G352" s="13">
        <f t="shared" si="130"/>
        <v>26</v>
      </c>
      <c r="H352" s="175">
        <f t="shared" si="131"/>
        <v>43430</v>
      </c>
      <c r="I352" s="774">
        <f t="shared" si="132"/>
        <v>0.5714285714285714</v>
      </c>
      <c r="J352" s="765">
        <f t="shared" si="133"/>
        <v>19.176265890789885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P352" s="13">
        <f t="shared" si="134"/>
        <v>13</v>
      </c>
      <c r="AQ352" s="13">
        <f t="shared" si="135"/>
        <v>14</v>
      </c>
      <c r="AR352" s="175">
        <f t="shared" si="136"/>
        <v>43416</v>
      </c>
      <c r="AS352" s="774">
        <f t="shared" si="137"/>
        <v>0.7857142857142857</v>
      </c>
      <c r="AT352" s="791">
        <f t="shared" si="138"/>
        <v>19.039604066099439</v>
      </c>
      <c r="AU352" s="13">
        <f t="shared" si="139"/>
        <v>13</v>
      </c>
      <c r="AV352" s="13">
        <f t="shared" si="140"/>
        <v>14</v>
      </c>
      <c r="AW352" s="175">
        <f t="shared" si="141"/>
        <v>43430</v>
      </c>
      <c r="AX352" s="774">
        <f t="shared" si="142"/>
        <v>0.2857142857142857</v>
      </c>
      <c r="AY352" s="791">
        <f t="shared" si="143"/>
        <v>19.30432553589344</v>
      </c>
      <c r="AZ352" s="765">
        <f t="shared" si="147"/>
        <v>19.171964800996442</v>
      </c>
      <c r="BA352" s="649">
        <f t="shared" si="144"/>
        <v>0.83213496152114097</v>
      </c>
      <c r="BB352" s="644">
        <v>43438</v>
      </c>
      <c r="BC352" s="11">
        <v>43438</v>
      </c>
      <c r="BD352" s="292">
        <f>[2]!FeuilCaduc*(1-Persistant)+Persistant</f>
        <v>1</v>
      </c>
      <c r="BE352" s="293">
        <f>[2]!CroissVégét</f>
        <v>0.99963713826343847</v>
      </c>
      <c r="BF352" s="844">
        <f>1+[2]!Salcycl*Ksac</f>
        <v>1.0061692555244277</v>
      </c>
      <c r="BH352" s="1107">
        <f t="shared" si="145"/>
        <v>2.3361985496294035E-2</v>
      </c>
      <c r="BI352" s="11">
        <v>44534</v>
      </c>
      <c r="BJ352" s="744">
        <v>5.0053714526379579E-4</v>
      </c>
      <c r="BK352" s="744">
        <v>2.5800229707926572E-3</v>
      </c>
      <c r="BL352" s="744">
        <v>1.6679183348025244E-2</v>
      </c>
      <c r="BM352" s="744">
        <v>5.0130661751542092E-2</v>
      </c>
      <c r="BN352" s="744">
        <v>0.11250610835222012</v>
      </c>
      <c r="BO352" s="745">
        <v>0.19920418756931343</v>
      </c>
      <c r="BP352" s="744">
        <v>0.31378268758066641</v>
      </c>
      <c r="BQ352" s="744">
        <v>0.44834818221112133</v>
      </c>
      <c r="BR352" s="744">
        <v>0.59361018525479292</v>
      </c>
      <c r="BS352" s="744">
        <v>0.73243110336776229</v>
      </c>
      <c r="BT352" s="744">
        <v>0.86216772196445568</v>
      </c>
      <c r="BW352" s="1191">
        <f>'2018'!R\Max</f>
        <v>0.2565127979669552</v>
      </c>
      <c r="BX352" s="1189">
        <f>'2019'!R\Max</f>
        <v>0.36774473906424521</v>
      </c>
      <c r="BY352" s="1189">
        <f>'2020'!R\Max</f>
        <v>0.63126012041079738</v>
      </c>
      <c r="BZ352" s="1189">
        <f>'2021'!R\Max</f>
        <v>0.34645213679821069</v>
      </c>
      <c r="CA352" s="1189">
        <f>'2022'!R\Max</f>
        <v>0.83213496152114097</v>
      </c>
      <c r="CB352" s="1189">
        <f>'2023'!R\Max</f>
        <v>0.82561920253991772</v>
      </c>
      <c r="CC352" s="1189">
        <f>'2024'!R\Max</f>
        <v>0.81639916776844146</v>
      </c>
      <c r="CD352" s="1189">
        <f>'2025'!R\Max</f>
        <v>0.8497170203603438</v>
      </c>
      <c r="CE352" s="1189">
        <f>'2026'!R\Max</f>
        <v>0.84659622305250348</v>
      </c>
      <c r="CF352" s="1190">
        <f>'2027'!R\Max</f>
        <v>0.84254039816031512</v>
      </c>
    </row>
    <row r="353" spans="1:84" s="6" customFormat="1" ht="11.25" x14ac:dyDescent="0.2">
      <c r="A353" s="11">
        <v>43439</v>
      </c>
      <c r="B353" s="382">
        <f>'2022'!Maxi_hp</f>
        <v>19.163900067358469</v>
      </c>
      <c r="C353" s="85">
        <f>'2022'!An_max</f>
        <v>2022</v>
      </c>
      <c r="D353" s="1134"/>
      <c r="E353" s="711"/>
      <c r="F353" s="13">
        <f t="shared" si="146"/>
        <v>25</v>
      </c>
      <c r="G353" s="13">
        <f t="shared" si="130"/>
        <v>26</v>
      </c>
      <c r="H353" s="175">
        <f t="shared" si="131"/>
        <v>43430</v>
      </c>
      <c r="I353" s="774">
        <f t="shared" si="132"/>
        <v>0.6428571428571429</v>
      </c>
      <c r="J353" s="765">
        <f t="shared" si="133"/>
        <v>19.026192420987147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P353" s="13">
        <f t="shared" si="134"/>
        <v>13</v>
      </c>
      <c r="AQ353" s="13">
        <f t="shared" si="135"/>
        <v>14</v>
      </c>
      <c r="AR353" s="175">
        <f t="shared" si="136"/>
        <v>43416</v>
      </c>
      <c r="AS353" s="774">
        <f t="shared" si="137"/>
        <v>0.8214285714285714</v>
      </c>
      <c r="AT353" s="791">
        <f t="shared" si="138"/>
        <v>18.912703750016437</v>
      </c>
      <c r="AU353" s="13">
        <f t="shared" si="139"/>
        <v>13</v>
      </c>
      <c r="AV353" s="13">
        <f t="shared" si="140"/>
        <v>14</v>
      </c>
      <c r="AW353" s="175">
        <f t="shared" si="141"/>
        <v>43430</v>
      </c>
      <c r="AX353" s="774">
        <f t="shared" si="142"/>
        <v>0.32142857142857145</v>
      </c>
      <c r="AY353" s="791">
        <f t="shared" si="143"/>
        <v>19.167027808140432</v>
      </c>
      <c r="AZ353" s="765">
        <f t="shared" si="147"/>
        <v>19.039865779078433</v>
      </c>
      <c r="BA353" s="649">
        <f t="shared" si="144"/>
        <v>1.0072377932128669</v>
      </c>
      <c r="BB353" s="644">
        <v>43439</v>
      </c>
      <c r="BC353" s="11">
        <v>43439</v>
      </c>
      <c r="BD353" s="292">
        <f>[2]!FeuilCaduc*(1-Persistant)+Persistant</f>
        <v>1</v>
      </c>
      <c r="BE353" s="293">
        <f>[2]!CroissVégét</f>
        <v>0.99966506479017636</v>
      </c>
      <c r="BF353" s="844">
        <f>1+[2]!Salcycl*Ksac</f>
        <v>1.0057529347486771</v>
      </c>
      <c r="BH353" s="1107">
        <f t="shared" si="145"/>
        <v>2.3477273832393092E-2</v>
      </c>
      <c r="BI353" s="11">
        <v>44535</v>
      </c>
      <c r="BJ353" s="744">
        <v>4.8644766915530342E-4</v>
      </c>
      <c r="BK353" s="744">
        <v>2.6299379808036867E-3</v>
      </c>
      <c r="BL353" s="744">
        <v>1.6863702441256012E-2</v>
      </c>
      <c r="BM353" s="744">
        <v>4.9968638911363904E-2</v>
      </c>
      <c r="BN353" s="744">
        <v>0.11344451493545275</v>
      </c>
      <c r="BO353" s="745">
        <v>0.20006649081788738</v>
      </c>
      <c r="BP353" s="744">
        <v>0.31682786809094216</v>
      </c>
      <c r="BQ353" s="744">
        <v>0.45087033446512242</v>
      </c>
      <c r="BR353" s="744">
        <v>0.59649915410991317</v>
      </c>
      <c r="BS353" s="744">
        <v>0.73295475439398972</v>
      </c>
      <c r="BT353" s="744">
        <v>0.86055960355013994</v>
      </c>
      <c r="BW353" s="1191">
        <f>'2018'!R\Max</f>
        <v>0.83730434352273275</v>
      </c>
      <c r="BX353" s="1189">
        <f>'2019'!R\Max</f>
        <v>0.46780150089746553</v>
      </c>
      <c r="BY353" s="1189">
        <f>'2020'!R\Max</f>
        <v>0.419319510973794</v>
      </c>
      <c r="BZ353" s="1189">
        <f>'2021'!R\Max</f>
        <v>0.37562441823776033</v>
      </c>
      <c r="CA353" s="1189">
        <f>'2022'!R\Max</f>
        <v>1.0072377932128669</v>
      </c>
      <c r="CB353" s="1189">
        <f>'2023'!R\Max</f>
        <v>1.0072377932128673</v>
      </c>
      <c r="CC353" s="1189">
        <f>'2024'!R\Max</f>
        <v>1.0072377932128669</v>
      </c>
      <c r="CD353" s="1189">
        <f>'2025'!R\Max</f>
        <v>1.0072377932128673</v>
      </c>
      <c r="CE353" s="1189">
        <f>'2026'!R\Max</f>
        <v>1.0072377932128669</v>
      </c>
      <c r="CF353" s="1190">
        <f>'2027'!R\Max</f>
        <v>1.0072377932128669</v>
      </c>
    </row>
    <row r="354" spans="1:84" s="6" customFormat="1" ht="11.25" x14ac:dyDescent="0.2">
      <c r="A354" s="11">
        <v>43440</v>
      </c>
      <c r="B354" s="382">
        <f>'2022'!Maxi_hp</f>
        <v>16.199835950430391</v>
      </c>
      <c r="C354" s="85">
        <f>'2022'!An_max</f>
        <v>2020</v>
      </c>
      <c r="D354" s="1134"/>
      <c r="E354" s="711"/>
      <c r="F354" s="13">
        <f t="shared" si="146"/>
        <v>25</v>
      </c>
      <c r="G354" s="13">
        <f t="shared" si="130"/>
        <v>26</v>
      </c>
      <c r="H354" s="175">
        <f t="shared" si="131"/>
        <v>43430</v>
      </c>
      <c r="I354" s="774">
        <f t="shared" si="132"/>
        <v>0.7142857142857143</v>
      </c>
      <c r="J354" s="765">
        <f t="shared" si="133"/>
        <v>18.885187172251086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P354" s="13">
        <f t="shared" si="134"/>
        <v>13</v>
      </c>
      <c r="AQ354" s="13">
        <f t="shared" si="135"/>
        <v>14</v>
      </c>
      <c r="AR354" s="175">
        <f t="shared" si="136"/>
        <v>43416</v>
      </c>
      <c r="AS354" s="774">
        <f t="shared" si="137"/>
        <v>0.8571428571428571</v>
      </c>
      <c r="AT354" s="791">
        <f t="shared" si="138"/>
        <v>18.795621238223141</v>
      </c>
      <c r="AU354" s="13">
        <f t="shared" si="139"/>
        <v>13</v>
      </c>
      <c r="AV354" s="13">
        <f t="shared" si="140"/>
        <v>14</v>
      </c>
      <c r="AW354" s="175">
        <f t="shared" si="141"/>
        <v>43430</v>
      </c>
      <c r="AX354" s="774">
        <f t="shared" si="142"/>
        <v>0.35714285714285715</v>
      </c>
      <c r="AY354" s="791">
        <f t="shared" si="143"/>
        <v>19.035883293407302</v>
      </c>
      <c r="AZ354" s="765">
        <f t="shared" si="147"/>
        <v>18.915752265815222</v>
      </c>
      <c r="BA354" s="649">
        <f t="shared" si="144"/>
        <v>0.85780648095633327</v>
      </c>
      <c r="BB354" s="644">
        <v>43440</v>
      </c>
      <c r="BC354" s="11">
        <v>43440</v>
      </c>
      <c r="BD354" s="292">
        <f>[2]!FeuilCaduc*(1-Persistant)+Persistant</f>
        <v>1</v>
      </c>
      <c r="BE354" s="293">
        <f>[2]!CroissVégét</f>
        <v>0.9996918683792223</v>
      </c>
      <c r="BF354" s="844">
        <f>1+[2]!Salcycl*Ksac</f>
        <v>1.0053599222802492</v>
      </c>
      <c r="BH354" s="1107">
        <f t="shared" si="145"/>
        <v>2.3596106195066108E-2</v>
      </c>
      <c r="BI354" s="11">
        <v>44536</v>
      </c>
      <c r="BJ354" s="744">
        <v>4.7269950350430307E-4</v>
      </c>
      <c r="BK354" s="744">
        <v>2.6823643315026739E-3</v>
      </c>
      <c r="BL354" s="744">
        <v>1.7047488973979796E-2</v>
      </c>
      <c r="BM354" s="744">
        <v>4.9827290423109349E-2</v>
      </c>
      <c r="BN354" s="744">
        <v>0.11435742661268257</v>
      </c>
      <c r="BO354" s="745">
        <v>0.20090027076727865</v>
      </c>
      <c r="BP354" s="744">
        <v>0.31965173807321529</v>
      </c>
      <c r="BQ354" s="744">
        <v>0.45319173459341933</v>
      </c>
      <c r="BR354" s="744">
        <v>0.59915331468921162</v>
      </c>
      <c r="BS354" s="744">
        <v>0.73338586887692803</v>
      </c>
      <c r="BT354" s="744">
        <v>0.85886362352600243</v>
      </c>
      <c r="BW354" s="1191">
        <f>'2018'!R\Max</f>
        <v>0.70247038613416002</v>
      </c>
      <c r="BX354" s="1189">
        <f>'2019'!R\Max</f>
        <v>0.65638046661832838</v>
      </c>
      <c r="BY354" s="1189">
        <f>'2020'!R\Max</f>
        <v>0.85780648095633327</v>
      </c>
      <c r="BZ354" s="1189">
        <f>'2021'!R\Max</f>
        <v>0.55015392699488208</v>
      </c>
      <c r="CA354" s="1189">
        <f>'2022'!R\Max</f>
        <v>0.69810383676362986</v>
      </c>
      <c r="CB354" s="1189">
        <f>'2023'!R\Max</f>
        <v>0.68787389028597801</v>
      </c>
      <c r="CC354" s="1189">
        <f>'2024'!R\Max</f>
        <v>0.67408990134730662</v>
      </c>
      <c r="CD354" s="1189">
        <f>'2025'!R\Max</f>
        <v>0.72602137078638818</v>
      </c>
      <c r="CE354" s="1189">
        <f>'2026'!R\Max</f>
        <v>0.7209583741724328</v>
      </c>
      <c r="CF354" s="1190">
        <f>'2027'!R\Max</f>
        <v>0.71448416015635019</v>
      </c>
    </row>
    <row r="355" spans="1:84" s="6" customFormat="1" ht="11.25" x14ac:dyDescent="0.2">
      <c r="A355" s="11">
        <v>43441</v>
      </c>
      <c r="B355" s="382">
        <f>'2022'!Maxi_hp</f>
        <v>16.678463487438538</v>
      </c>
      <c r="C355" s="85">
        <f>'2022'!An_max</f>
        <v>2022</v>
      </c>
      <c r="D355" s="1134"/>
      <c r="E355" s="711"/>
      <c r="F355" s="13">
        <f t="shared" si="146"/>
        <v>25</v>
      </c>
      <c r="G355" s="13">
        <f t="shared" si="130"/>
        <v>26</v>
      </c>
      <c r="H355" s="175">
        <f t="shared" si="131"/>
        <v>43430</v>
      </c>
      <c r="I355" s="774">
        <f t="shared" si="132"/>
        <v>0.7857142857142857</v>
      </c>
      <c r="J355" s="765">
        <f t="shared" si="133"/>
        <v>18.754257726030691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P355" s="13">
        <f t="shared" si="134"/>
        <v>13</v>
      </c>
      <c r="AQ355" s="13">
        <f t="shared" si="135"/>
        <v>14</v>
      </c>
      <c r="AR355" s="175">
        <f t="shared" si="136"/>
        <v>43416</v>
      </c>
      <c r="AS355" s="774">
        <f t="shared" si="137"/>
        <v>0.8928571428571429</v>
      </c>
      <c r="AT355" s="791">
        <f t="shared" si="138"/>
        <v>18.688683067448437</v>
      </c>
      <c r="AU355" s="13">
        <f t="shared" si="139"/>
        <v>13</v>
      </c>
      <c r="AV355" s="13">
        <f t="shared" si="140"/>
        <v>14</v>
      </c>
      <c r="AW355" s="175">
        <f t="shared" si="141"/>
        <v>43430</v>
      </c>
      <c r="AX355" s="774">
        <f t="shared" si="142"/>
        <v>0.39285714285714285</v>
      </c>
      <c r="AY355" s="791">
        <f t="shared" si="143"/>
        <v>18.91124051668282</v>
      </c>
      <c r="AZ355" s="765">
        <f t="shared" si="147"/>
        <v>18.799961792065631</v>
      </c>
      <c r="BA355" s="649">
        <f t="shared" si="144"/>
        <v>0.88931610789847604</v>
      </c>
      <c r="BB355" s="644">
        <v>43441</v>
      </c>
      <c r="BC355" s="11">
        <v>43441</v>
      </c>
      <c r="BD355" s="292">
        <f>[2]!FeuilCaduc*(1-Persistant)+Persistant</f>
        <v>1</v>
      </c>
      <c r="BE355" s="293">
        <f>[2]!CroissVégét</f>
        <v>0.99971759412779237</v>
      </c>
      <c r="BF355" s="844">
        <f>1+[2]!Salcycl*Ksac</f>
        <v>1.0049896255379123</v>
      </c>
      <c r="BH355" s="1107">
        <f t="shared" si="145"/>
        <v>2.3718530690993139E-2</v>
      </c>
      <c r="BI355" s="11">
        <v>44537</v>
      </c>
      <c r="BJ355" s="744">
        <v>4.5929380115678235E-4</v>
      </c>
      <c r="BK355" s="744">
        <v>2.7373072475668798E-3</v>
      </c>
      <c r="BL355" s="744">
        <v>1.7230576426425167E-2</v>
      </c>
      <c r="BM355" s="744">
        <v>4.9706722981268714E-2</v>
      </c>
      <c r="BN355" s="744">
        <v>0.11524506973131578</v>
      </c>
      <c r="BO355" s="745">
        <v>0.20170593434656214</v>
      </c>
      <c r="BP355" s="744">
        <v>0.32225491583229454</v>
      </c>
      <c r="BQ355" s="744">
        <v>0.45531328545810651</v>
      </c>
      <c r="BR355" s="744">
        <v>0.6015738673279073</v>
      </c>
      <c r="BS355" s="744">
        <v>0.7337259604690024</v>
      </c>
      <c r="BT355" s="744">
        <v>0.85708157906869575</v>
      </c>
      <c r="BW355" s="1191">
        <f>'2018'!R\Max</f>
        <v>0.88394773609942667</v>
      </c>
      <c r="BX355" s="1189">
        <f>'2019'!R\Max</f>
        <v>0.70927287489708424</v>
      </c>
      <c r="BY355" s="1189">
        <f>'2020'!R\Max</f>
        <v>0.80394579005562128</v>
      </c>
      <c r="BZ355" s="1189">
        <f>'2021'!R\Max</f>
        <v>0.32551068799995669</v>
      </c>
      <c r="CA355" s="1189">
        <f>'2022'!R\Max</f>
        <v>0.88931610789847604</v>
      </c>
      <c r="CB355" s="1189">
        <f>'2023'!R\Max</f>
        <v>0.88439514585861112</v>
      </c>
      <c r="CC355" s="1189">
        <f>'2024'!R\Max</f>
        <v>0.87771367476497897</v>
      </c>
      <c r="CD355" s="1189">
        <f>'2025'!R\Max</f>
        <v>0.90222309727407812</v>
      </c>
      <c r="CE355" s="1189">
        <f>'2026'!R\Max</f>
        <v>0.89992178350286423</v>
      </c>
      <c r="CF355" s="1190">
        <f>'2027'!R\Max</f>
        <v>0.89696074262696335</v>
      </c>
    </row>
    <row r="356" spans="1:84" s="6" customFormat="1" ht="11.25" x14ac:dyDescent="0.2">
      <c r="A356" s="11">
        <v>43442</v>
      </c>
      <c r="B356" s="382">
        <f>'2022'!Maxi_hp</f>
        <v>15.165312115790208</v>
      </c>
      <c r="C356" s="85">
        <f>'2022'!An_max</f>
        <v>2019</v>
      </c>
      <c r="D356" s="1134"/>
      <c r="E356" s="711"/>
      <c r="F356" s="13">
        <f t="shared" si="146"/>
        <v>25</v>
      </c>
      <c r="G356" s="13">
        <f t="shared" si="130"/>
        <v>26</v>
      </c>
      <c r="H356" s="175">
        <f t="shared" si="131"/>
        <v>43430</v>
      </c>
      <c r="I356" s="774">
        <f t="shared" si="132"/>
        <v>0.8571428571428571</v>
      </c>
      <c r="J356" s="765">
        <f t="shared" si="133"/>
        <v>18.634411661433322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P356" s="13">
        <f t="shared" si="134"/>
        <v>13</v>
      </c>
      <c r="AQ356" s="13">
        <f t="shared" si="135"/>
        <v>14</v>
      </c>
      <c r="AR356" s="175">
        <f t="shared" si="136"/>
        <v>43416</v>
      </c>
      <c r="AS356" s="774">
        <f t="shared" si="137"/>
        <v>0.9285714285714286</v>
      </c>
      <c r="AT356" s="791">
        <f t="shared" si="138"/>
        <v>18.592215776549917</v>
      </c>
      <c r="AU356" s="13">
        <f t="shared" si="139"/>
        <v>13</v>
      </c>
      <c r="AV356" s="13">
        <f t="shared" si="140"/>
        <v>14</v>
      </c>
      <c r="AW356" s="175">
        <f t="shared" si="141"/>
        <v>43430</v>
      </c>
      <c r="AX356" s="774">
        <f t="shared" si="142"/>
        <v>0.42857142857142855</v>
      </c>
      <c r="AY356" s="791">
        <f t="shared" si="143"/>
        <v>18.79344800199781</v>
      </c>
      <c r="AZ356" s="765">
        <f t="shared" si="147"/>
        <v>18.692831889273862</v>
      </c>
      <c r="BA356" s="649">
        <f t="shared" si="144"/>
        <v>0.81383369603114808</v>
      </c>
      <c r="BB356" s="644">
        <v>43442</v>
      </c>
      <c r="BC356" s="11">
        <v>43442</v>
      </c>
      <c r="BD356" s="292">
        <f>[2]!FeuilCaduc*(1-Persistant)+Persistant</f>
        <v>1</v>
      </c>
      <c r="BE356" s="293">
        <f>[2]!CroissVégét</f>
        <v>0.99974228532646048</v>
      </c>
      <c r="BF356" s="844">
        <f>1+[2]!Salcycl*Ksac</f>
        <v>1.0046413970147994</v>
      </c>
      <c r="BH356" s="1107">
        <f t="shared" si="145"/>
        <v>2.3844596379799431E-2</v>
      </c>
      <c r="BI356" s="11">
        <v>44538</v>
      </c>
      <c r="BJ356" s="744">
        <v>4.4623159763156647E-4</v>
      </c>
      <c r="BK356" s="744">
        <v>2.7947723680081557E-3</v>
      </c>
      <c r="BL356" s="744">
        <v>1.741299980947987E-2</v>
      </c>
      <c r="BM356" s="744">
        <v>4.9607041919182672E-2</v>
      </c>
      <c r="BN356" s="744">
        <v>0.11610767841810904</v>
      </c>
      <c r="BO356" s="745">
        <v>0.2024838956104906</v>
      </c>
      <c r="BP356" s="744">
        <v>0.32463804493987519</v>
      </c>
      <c r="BQ356" s="744">
        <v>0.45723591080416209</v>
      </c>
      <c r="BR356" s="744">
        <v>0.60376203626228031</v>
      </c>
      <c r="BS356" s="744">
        <v>0.73397654700759496</v>
      </c>
      <c r="BT356" s="744">
        <v>0.85521525377833163</v>
      </c>
      <c r="BW356" s="1191">
        <f>'2018'!R\Max</f>
        <v>0.66077282343166965</v>
      </c>
      <c r="BX356" s="1189">
        <f>'2019'!R\Max</f>
        <v>0.81383369603114808</v>
      </c>
      <c r="BY356" s="1189">
        <f>'2020'!R\Max</f>
        <v>0.14722665339036953</v>
      </c>
      <c r="BZ356" s="1189">
        <f>'2021'!R\Max</f>
        <v>0.52415745184726548</v>
      </c>
      <c r="CA356" s="1189">
        <f>'2022'!R\Max</f>
        <v>0.24329674578769733</v>
      </c>
      <c r="CB356" s="1189">
        <f>'2023'!R\Max</f>
        <v>0.23451707100370303</v>
      </c>
      <c r="CC356" s="1189">
        <f>'2024'!R\Max</f>
        <v>0.22355948598132086</v>
      </c>
      <c r="CD356" s="1189">
        <f>'2025'!R\Max</f>
        <v>0.26907135005946581</v>
      </c>
      <c r="CE356" s="1189">
        <f>'2026'!R\Max</f>
        <v>0.26412403174524218</v>
      </c>
      <c r="CF356" s="1190">
        <f>'2027'!R\Max</f>
        <v>0.258007463413574</v>
      </c>
    </row>
    <row r="357" spans="1:84" s="6" customFormat="1" ht="11.25" x14ac:dyDescent="0.2">
      <c r="A357" s="11">
        <v>43443</v>
      </c>
      <c r="B357" s="382">
        <f>'2022'!Maxi_hp</f>
        <v>9.1704580125425537</v>
      </c>
      <c r="C357" s="85">
        <f>'2022'!An_max</f>
        <v>2020</v>
      </c>
      <c r="D357" s="1134"/>
      <c r="E357" s="711"/>
      <c r="F357" s="13">
        <f t="shared" si="146"/>
        <v>25</v>
      </c>
      <c r="G357" s="13">
        <f t="shared" si="130"/>
        <v>26</v>
      </c>
      <c r="H357" s="175">
        <f t="shared" si="131"/>
        <v>43430</v>
      </c>
      <c r="I357" s="774">
        <f t="shared" si="132"/>
        <v>0.9285714285714286</v>
      </c>
      <c r="J357" s="765">
        <f t="shared" si="133"/>
        <v>18.526656560759459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P357" s="13">
        <f t="shared" si="134"/>
        <v>13</v>
      </c>
      <c r="AQ357" s="13">
        <f t="shared" si="135"/>
        <v>14</v>
      </c>
      <c r="AR357" s="175">
        <f t="shared" si="136"/>
        <v>43416</v>
      </c>
      <c r="AS357" s="774">
        <f t="shared" si="137"/>
        <v>0.9642857142857143</v>
      </c>
      <c r="AT357" s="791">
        <f t="shared" si="138"/>
        <v>18.506545910265828</v>
      </c>
      <c r="AU357" s="13">
        <f t="shared" si="139"/>
        <v>13</v>
      </c>
      <c r="AV357" s="13">
        <f t="shared" si="140"/>
        <v>14</v>
      </c>
      <c r="AW357" s="175">
        <f t="shared" si="141"/>
        <v>43430</v>
      </c>
      <c r="AX357" s="774">
        <f t="shared" si="142"/>
        <v>0.4642857142857143</v>
      </c>
      <c r="AY357" s="791">
        <f t="shared" si="143"/>
        <v>18.682854277560754</v>
      </c>
      <c r="AZ357" s="765">
        <f t="shared" si="147"/>
        <v>18.594700093913289</v>
      </c>
      <c r="BA357" s="649">
        <f t="shared" si="144"/>
        <v>0.49498720842950794</v>
      </c>
      <c r="BB357" s="644">
        <v>43443</v>
      </c>
      <c r="BC357" s="11">
        <v>43443</v>
      </c>
      <c r="BD357" s="292">
        <f>[2]!FeuilCaduc*(1-Persistant)+Persistant</f>
        <v>1</v>
      </c>
      <c r="BE357" s="293">
        <f>[2]!CroissVégét</f>
        <v>0.99976598353118062</v>
      </c>
      <c r="BF357" s="844">
        <f>1+[2]!Salcycl*Ksac</f>
        <v>1.0043145396287732</v>
      </c>
      <c r="BH357" s="1107">
        <f t="shared" si="145"/>
        <v>2.3974353349725246E-2</v>
      </c>
      <c r="BI357" s="11">
        <v>44539</v>
      </c>
      <c r="BJ357" s="744">
        <v>4.3351381827613024E-4</v>
      </c>
      <c r="BK357" s="744">
        <v>2.8547657985695828E-3</v>
      </c>
      <c r="BL357" s="744">
        <v>1.7594795650771159E-2</v>
      </c>
      <c r="BM357" s="744">
        <v>4.9528351643572173E-2</v>
      </c>
      <c r="BN357" s="744">
        <v>0.11694549405824139</v>
      </c>
      <c r="BO357" s="745">
        <v>0.20323457516347163</v>
      </c>
      <c r="BP357" s="744">
        <v>0.32680178965818646</v>
      </c>
      <c r="BQ357" s="744">
        <v>0.45896055112317136</v>
      </c>
      <c r="BR357" s="744">
        <v>0.60571906479798598</v>
      </c>
      <c r="BS357" s="744">
        <v>0.73413914865634144</v>
      </c>
      <c r="BT357" s="744">
        <v>0.85326641593081209</v>
      </c>
      <c r="BW357" s="1191">
        <f>'2018'!R\Max</f>
        <v>0.28401264182005664</v>
      </c>
      <c r="BX357" s="1189">
        <f>'2019'!R\Max</f>
        <v>0.48863891699691986</v>
      </c>
      <c r="BY357" s="1189">
        <f>'2020'!R\Max</f>
        <v>0.49498720842950794</v>
      </c>
      <c r="BZ357" s="1189">
        <f>'2021'!R\Max</f>
        <v>0.43794271468099283</v>
      </c>
      <c r="CA357" s="1189">
        <f>'2022'!R\Max</f>
        <v>0.48218823093884966</v>
      </c>
      <c r="CB357" s="1189">
        <f>'2023'!R\Max</f>
        <v>0.46953876686786922</v>
      </c>
      <c r="CC357" s="1189">
        <f>'2024'!R\Max</f>
        <v>0.45356028126577547</v>
      </c>
      <c r="CD357" s="1189">
        <f>'2025'!R\Max</f>
        <v>0.51773559216360876</v>
      </c>
      <c r="CE357" s="1189">
        <f>'2026'!R\Max</f>
        <v>0.51105039655488105</v>
      </c>
      <c r="CF357" s="1190">
        <f>'2027'!R\Max</f>
        <v>0.50271079729844703</v>
      </c>
    </row>
    <row r="358" spans="1:84" s="6" customFormat="1" ht="11.25" x14ac:dyDescent="0.2">
      <c r="A358" s="11">
        <v>43444</v>
      </c>
      <c r="B358" s="382">
        <f>'2022'!Maxi_hp</f>
        <v>16.668106879337483</v>
      </c>
      <c r="C358" s="85">
        <f>'2022'!An_max</f>
        <v>2019</v>
      </c>
      <c r="D358" s="1134"/>
      <c r="E358" s="773">
        <f>AL$13/10</f>
        <v>18.431999999999999</v>
      </c>
      <c r="F358" s="13">
        <f t="shared" si="146"/>
        <v>27</v>
      </c>
      <c r="G358" s="13">
        <f t="shared" si="130"/>
        <v>26</v>
      </c>
      <c r="H358" s="175">
        <f t="shared" si="131"/>
        <v>43458</v>
      </c>
      <c r="I358" s="774">
        <f t="shared" si="132"/>
        <v>1</v>
      </c>
      <c r="J358" s="765">
        <f t="shared" si="133"/>
        <v>18.43200000077486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P358" s="13">
        <f t="shared" si="134"/>
        <v>15</v>
      </c>
      <c r="AQ358" s="13">
        <f t="shared" si="135"/>
        <v>14</v>
      </c>
      <c r="AR358" s="175">
        <f t="shared" si="136"/>
        <v>43473</v>
      </c>
      <c r="AS358" s="774">
        <f t="shared" si="137"/>
        <v>1</v>
      </c>
      <c r="AT358" s="791">
        <f t="shared" si="138"/>
        <v>18.431999999284745</v>
      </c>
      <c r="AU358" s="13">
        <f t="shared" si="139"/>
        <v>13</v>
      </c>
      <c r="AV358" s="13">
        <f t="shared" si="140"/>
        <v>14</v>
      </c>
      <c r="AW358" s="175">
        <f t="shared" si="141"/>
        <v>43430</v>
      </c>
      <c r="AX358" s="774">
        <f t="shared" si="142"/>
        <v>0.5</v>
      </c>
      <c r="AY358" s="791">
        <f t="shared" si="143"/>
        <v>18.579807864502072</v>
      </c>
      <c r="AZ358" s="765">
        <f t="shared" si="147"/>
        <v>18.505903931893407</v>
      </c>
      <c r="BA358" s="649">
        <f t="shared" si="144"/>
        <v>0.90430267353715144</v>
      </c>
      <c r="BB358" s="644">
        <v>43444</v>
      </c>
      <c r="BC358" s="11">
        <v>43444</v>
      </c>
      <c r="BD358" s="292">
        <f>[2]!FeuilCaduc*(1-Persistant)+Persistant</f>
        <v>1</v>
      </c>
      <c r="BE358" s="293">
        <f>[2]!CroissVégét</f>
        <v>0.9997887286324697</v>
      </c>
      <c r="BF358" s="844">
        <f>1+[2]!Salcycl*Ksac</f>
        <v>1.0040083122595294</v>
      </c>
      <c r="BH358" s="1107">
        <f t="shared" si="145"/>
        <v>2.4107852793007277E-2</v>
      </c>
      <c r="BI358" s="11">
        <v>44540</v>
      </c>
      <c r="BJ358" s="744">
        <v>4.2114128541710107E-4</v>
      </c>
      <c r="BK358" s="744">
        <v>2.9172941640881341E-3</v>
      </c>
      <c r="BL358" s="744">
        <v>1.7776001980535028E-2</v>
      </c>
      <c r="BM358" s="744">
        <v>4.9470756068470491E-2</v>
      </c>
      <c r="BN358" s="744">
        <v>0.11775876477298049</v>
      </c>
      <c r="BO358" s="745">
        <v>0.20395839958109632</v>
      </c>
      <c r="BP358" s="744">
        <v>0.32874683035970559</v>
      </c>
      <c r="BQ358" s="744">
        <v>0.46048815951152139</v>
      </c>
      <c r="BR358" s="744">
        <v>0.60744621047107539</v>
      </c>
      <c r="BS358" s="744">
        <v>0.73421528603757302</v>
      </c>
      <c r="BT358" s="744">
        <v>0.85123681671984897</v>
      </c>
      <c r="BW358" s="1191">
        <f>'2018'!R\Max</f>
        <v>0.64770253633980202</v>
      </c>
      <c r="BX358" s="1189">
        <f>'2019'!R\Max</f>
        <v>0.90430267353715144</v>
      </c>
      <c r="BY358" s="1189">
        <f>'2020'!R\Max</f>
        <v>0.4298777062222891</v>
      </c>
      <c r="BZ358" s="1189">
        <f>'2021'!R\Max</f>
        <v>0.14726483167021884</v>
      </c>
      <c r="CA358" s="1189">
        <f>'2022'!R\Max</f>
        <v>0.73841854935736051</v>
      </c>
      <c r="CB358" s="1189">
        <f>'2023'!R\Max</f>
        <v>0.7283666070004523</v>
      </c>
      <c r="CC358" s="1189">
        <f>'2024'!R\Max</f>
        <v>0.7154183737425952</v>
      </c>
      <c r="CD358" s="1189">
        <f>'2025'!R\Max</f>
        <v>0.76524991481550375</v>
      </c>
      <c r="CE358" s="1189">
        <f>'2026'!R\Max</f>
        <v>0.76032938688881335</v>
      </c>
      <c r="CF358" s="1190">
        <f>'2027'!R\Max</f>
        <v>0.75412077756623419</v>
      </c>
    </row>
    <row r="359" spans="1:84" s="6" customFormat="1" ht="11.25" x14ac:dyDescent="0.2">
      <c r="A359" s="11">
        <v>43445</v>
      </c>
      <c r="B359" s="382">
        <f>'2022'!Maxi_hp</f>
        <v>15.154011286324524</v>
      </c>
      <c r="C359" s="85">
        <f>'2022'!An_max</f>
        <v>2018</v>
      </c>
      <c r="D359" s="1134"/>
      <c r="E359" s="711"/>
      <c r="F359" s="13">
        <f t="shared" si="146"/>
        <v>27</v>
      </c>
      <c r="G359" s="13">
        <f t="shared" si="130"/>
        <v>26</v>
      </c>
      <c r="H359" s="175">
        <f t="shared" si="131"/>
        <v>43458</v>
      </c>
      <c r="I359" s="774">
        <f t="shared" si="132"/>
        <v>0.9285714285714286</v>
      </c>
      <c r="J359" s="765">
        <f t="shared" si="133"/>
        <v>18.348659607980931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P359" s="13">
        <f t="shared" si="134"/>
        <v>15</v>
      </c>
      <c r="AQ359" s="13">
        <f t="shared" si="135"/>
        <v>14</v>
      </c>
      <c r="AR359" s="175">
        <f t="shared" si="136"/>
        <v>43473</v>
      </c>
      <c r="AS359" s="774">
        <f t="shared" si="137"/>
        <v>0.96551724137931039</v>
      </c>
      <c r="AT359" s="791">
        <f t="shared" si="138"/>
        <v>18.36744807449908</v>
      </c>
      <c r="AU359" s="13">
        <f t="shared" si="139"/>
        <v>13</v>
      </c>
      <c r="AV359" s="13">
        <f t="shared" si="140"/>
        <v>14</v>
      </c>
      <c r="AW359" s="175">
        <f t="shared" si="141"/>
        <v>43430</v>
      </c>
      <c r="AX359" s="774">
        <f t="shared" si="142"/>
        <v>0.5357142857142857</v>
      </c>
      <c r="AY359" s="791">
        <f t="shared" si="143"/>
        <v>18.484657289513517</v>
      </c>
      <c r="AZ359" s="765">
        <f t="shared" si="147"/>
        <v>18.426052682006301</v>
      </c>
      <c r="BA359" s="649">
        <f t="shared" si="144"/>
        <v>0.82589200574265031</v>
      </c>
      <c r="BB359" s="644">
        <v>43445</v>
      </c>
      <c r="BC359" s="11">
        <v>43445</v>
      </c>
      <c r="BD359" s="292">
        <f>[2]!FeuilCaduc*(1-Persistant)+Persistant</f>
        <v>1</v>
      </c>
      <c r="BE359" s="293">
        <f>[2]!CroissVégét</f>
        <v>0.99981055892185233</v>
      </c>
      <c r="BF359" s="844">
        <f>1+[2]!Salcycl*Ksac</f>
        <v>1.0037219354278721</v>
      </c>
      <c r="BH359" s="1107">
        <f t="shared" si="145"/>
        <v>2.4245147081633847E-2</v>
      </c>
      <c r="BI359" s="11">
        <v>44541</v>
      </c>
      <c r="BJ359" s="744">
        <v>4.0911472551785063E-4</v>
      </c>
      <c r="BK359" s="744">
        <v>2.9823646609008375E-3</v>
      </c>
      <c r="BL359" s="744">
        <v>1.7956658317757862E-2</v>
      </c>
      <c r="BM359" s="744">
        <v>4.9434359049935067E-2</v>
      </c>
      <c r="BN359" s="744">
        <v>0.11854774489916677</v>
      </c>
      <c r="BO359" s="745">
        <v>0.20465580083484436</v>
      </c>
      <c r="BP359" s="744">
        <v>0.33047385895195797</v>
      </c>
      <c r="BQ359" s="744">
        <v>0.46181969753576396</v>
      </c>
      <c r="BR359" s="744">
        <v>0.60894474021848044</v>
      </c>
      <c r="BS359" s="744">
        <v>0.73420647837628283</v>
      </c>
      <c r="BT359" s="744">
        <v>0.84912818851242866</v>
      </c>
      <c r="BW359" s="1191">
        <f>'2018'!R\Max</f>
        <v>0.82589200574265031</v>
      </c>
      <c r="BX359" s="1189">
        <f>'2019'!R\Max</f>
        <v>0.1069433368606789</v>
      </c>
      <c r="BY359" s="1189">
        <f>'2020'!R\Max</f>
        <v>0.28556622354440575</v>
      </c>
      <c r="BZ359" s="1189">
        <f>'2021'!R\Max</f>
        <v>0.58273786494446633</v>
      </c>
      <c r="CA359" s="1189">
        <f>'2022'!R\Max</f>
        <v>0.78235363306723427</v>
      </c>
      <c r="CB359" s="1189">
        <f>'2023'!R\Max</f>
        <v>0.77336663231438119</v>
      </c>
      <c r="CC359" s="1189">
        <f>'2024'!R\Max</f>
        <v>0.76183170893095675</v>
      </c>
      <c r="CD359" s="1189">
        <f>'2025'!R\Max</f>
        <v>0.80609738892413751</v>
      </c>
      <c r="CE359" s="1189">
        <f>'2026'!R\Max</f>
        <v>0.80174706668052287</v>
      </c>
      <c r="CF359" s="1190">
        <f>'2027'!R\Max</f>
        <v>0.79626262925791891</v>
      </c>
    </row>
    <row r="360" spans="1:84" s="6" customFormat="1" ht="11.25" x14ac:dyDescent="0.2">
      <c r="A360" s="11">
        <v>43446</v>
      </c>
      <c r="B360" s="382">
        <f>'2022'!Maxi_hp</f>
        <v>17.813849297428309</v>
      </c>
      <c r="C360" s="85">
        <f>'2022'!An_max</f>
        <v>2021</v>
      </c>
      <c r="D360" s="1134"/>
      <c r="E360" s="711"/>
      <c r="F360" s="13">
        <f t="shared" si="146"/>
        <v>27</v>
      </c>
      <c r="G360" s="13">
        <f t="shared" si="130"/>
        <v>26</v>
      </c>
      <c r="H360" s="175">
        <f t="shared" si="131"/>
        <v>43458</v>
      </c>
      <c r="I360" s="774">
        <f t="shared" si="132"/>
        <v>0.8571428571428571</v>
      </c>
      <c r="J360" s="765">
        <f t="shared" si="133"/>
        <v>18.274264673888684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P360" s="13">
        <f t="shared" si="134"/>
        <v>15</v>
      </c>
      <c r="AQ360" s="13">
        <f t="shared" si="135"/>
        <v>14</v>
      </c>
      <c r="AR360" s="175">
        <f t="shared" si="136"/>
        <v>43473</v>
      </c>
      <c r="AS360" s="774">
        <f t="shared" si="137"/>
        <v>0.93103448275862066</v>
      </c>
      <c r="AT360" s="791">
        <f t="shared" si="138"/>
        <v>18.311525075600066</v>
      </c>
      <c r="AU360" s="13">
        <f t="shared" si="139"/>
        <v>13</v>
      </c>
      <c r="AV360" s="13">
        <f t="shared" si="140"/>
        <v>14</v>
      </c>
      <c r="AW360" s="175">
        <f t="shared" si="141"/>
        <v>43430</v>
      </c>
      <c r="AX360" s="774">
        <f t="shared" si="142"/>
        <v>0.5714285714285714</v>
      </c>
      <c r="AY360" s="791">
        <f t="shared" si="143"/>
        <v>18.397751077583859</v>
      </c>
      <c r="AZ360" s="765">
        <f t="shared" si="147"/>
        <v>18.354638076591961</v>
      </c>
      <c r="BA360" s="649">
        <f t="shared" si="144"/>
        <v>0.97480525839607413</v>
      </c>
      <c r="BB360" s="644">
        <v>43446</v>
      </c>
      <c r="BC360" s="11">
        <v>43446</v>
      </c>
      <c r="BD360" s="292">
        <f>[2]!FeuilCaduc*(1-Persistant)+Persistant</f>
        <v>1</v>
      </c>
      <c r="BE360" s="293">
        <f>[2]!CroissVégét</f>
        <v>0.99983151115568181</v>
      </c>
      <c r="BF360" s="844">
        <f>1+[2]!Salcycl*Ksac</f>
        <v>1.0034545970720261</v>
      </c>
      <c r="BH360" s="1107">
        <f t="shared" si="145"/>
        <v>2.438628984284797E-2</v>
      </c>
      <c r="BI360" s="11">
        <v>44542</v>
      </c>
      <c r="BJ360" s="744">
        <v>3.9743477633139089E-4</v>
      </c>
      <c r="BK360" s="744">
        <v>3.0499851092213159E-3</v>
      </c>
      <c r="BL360" s="744">
        <v>1.8136805656133861E-2</v>
      </c>
      <c r="BM360" s="744">
        <v>4.9419264820235197E-2</v>
      </c>
      <c r="BN360" s="744">
        <v>0.11931269446747102</v>
      </c>
      <c r="BO360" s="745">
        <v>0.20532721571465049</v>
      </c>
      <c r="BP360" s="744">
        <v>0.33198357429888919</v>
      </c>
      <c r="BQ360" s="744">
        <v>0.46295613109315309</v>
      </c>
      <c r="BR360" s="744">
        <v>0.61021592554212889</v>
      </c>
      <c r="BS360" s="744">
        <v>0.73411424163634498</v>
      </c>
      <c r="BT360" s="744">
        <v>0.84694224309525323</v>
      </c>
      <c r="BW360" s="1191">
        <f>'2018'!R\Max</f>
        <v>0.20686985702075439</v>
      </c>
      <c r="BX360" s="1189">
        <f>'2019'!R\Max</f>
        <v>0.34441533283335291</v>
      </c>
      <c r="BY360" s="1189">
        <f>'2020'!R\Max</f>
        <v>0.3626590295024385</v>
      </c>
      <c r="BZ360" s="1189">
        <f>'2021'!R\Max</f>
        <v>0.97480525839607413</v>
      </c>
      <c r="CA360" s="1189">
        <f>'2022'!R\Max</f>
        <v>0.25142973243511291</v>
      </c>
      <c r="CB360" s="1189">
        <f>'2023'!R\Max</f>
        <v>0.24187452319100833</v>
      </c>
      <c r="CC360" s="1189">
        <f>'2024'!R\Max</f>
        <v>0.23041674904709719</v>
      </c>
      <c r="CD360" s="1189">
        <f>'2025'!R\Max</f>
        <v>0.27936036940139852</v>
      </c>
      <c r="CE360" s="1189">
        <f>'2026'!R\Max</f>
        <v>0.27389880157127416</v>
      </c>
      <c r="CF360" s="1190">
        <f>'2027'!R\Max</f>
        <v>0.26725096039872026</v>
      </c>
    </row>
    <row r="361" spans="1:84" s="6" customFormat="1" ht="11.25" x14ac:dyDescent="0.2">
      <c r="A361" s="11">
        <v>43447</v>
      </c>
      <c r="B361" s="382">
        <f>'2022'!Maxi_hp</f>
        <v>18.138305430753984</v>
      </c>
      <c r="C361" s="85">
        <f>'2022'!An_max</f>
        <v>2021</v>
      </c>
      <c r="D361" s="1134"/>
      <c r="E361" s="711"/>
      <c r="F361" s="13">
        <f t="shared" si="146"/>
        <v>27</v>
      </c>
      <c r="G361" s="13">
        <f t="shared" si="130"/>
        <v>26</v>
      </c>
      <c r="H361" s="175">
        <f t="shared" si="131"/>
        <v>43458</v>
      </c>
      <c r="I361" s="774">
        <f t="shared" si="132"/>
        <v>0.7857142857142857</v>
      </c>
      <c r="J361" s="765">
        <f t="shared" si="133"/>
        <v>18.20894027959023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P361" s="13">
        <f t="shared" si="134"/>
        <v>15</v>
      </c>
      <c r="AQ361" s="13">
        <f t="shared" si="135"/>
        <v>14</v>
      </c>
      <c r="AR361" s="175">
        <f t="shared" si="136"/>
        <v>43473</v>
      </c>
      <c r="AS361" s="774">
        <f t="shared" si="137"/>
        <v>0.89655172413793105</v>
      </c>
      <c r="AT361" s="791">
        <f t="shared" si="138"/>
        <v>18.264204909986464</v>
      </c>
      <c r="AU361" s="13">
        <f t="shared" si="139"/>
        <v>13</v>
      </c>
      <c r="AV361" s="13">
        <f t="shared" si="140"/>
        <v>14</v>
      </c>
      <c r="AW361" s="175">
        <f t="shared" si="141"/>
        <v>43430</v>
      </c>
      <c r="AX361" s="774">
        <f t="shared" si="142"/>
        <v>0.6071428571428571</v>
      </c>
      <c r="AY361" s="791">
        <f t="shared" si="143"/>
        <v>18.319437753914723</v>
      </c>
      <c r="AZ361" s="765">
        <f t="shared" si="147"/>
        <v>18.291821331950594</v>
      </c>
      <c r="BA361" s="649">
        <f t="shared" si="144"/>
        <v>0.99612086987206949</v>
      </c>
      <c r="BB361" s="644">
        <v>43447</v>
      </c>
      <c r="BC361" s="11">
        <v>43447</v>
      </c>
      <c r="BD361" s="292">
        <f>[2]!FeuilCaduc*(1-Persistant)+Persistant</f>
        <v>1</v>
      </c>
      <c r="BE361" s="293">
        <f>[2]!CroissVégét</f>
        <v>0.99985162061643362</v>
      </c>
      <c r="BF361" s="844">
        <f>1+[2]!Salcycl*Ksac</f>
        <v>1.0032054583756749</v>
      </c>
      <c r="BH361" s="1107">
        <f t="shared" si="145"/>
        <v>2.451706722548045E-2</v>
      </c>
      <c r="BI361" s="11">
        <v>44543</v>
      </c>
      <c r="BJ361" s="744">
        <v>3.8690585098576829E-4</v>
      </c>
      <c r="BK361" s="744">
        <v>3.1122285778380564E-3</v>
      </c>
      <c r="BL361" s="744">
        <v>1.8302645951459365E-2</v>
      </c>
      <c r="BM361" s="744">
        <v>4.9409593969084668E-2</v>
      </c>
      <c r="BN361" s="744">
        <v>0.12000965708483978</v>
      </c>
      <c r="BO361" s="745">
        <v>0.20593208324505785</v>
      </c>
      <c r="BP361" s="744">
        <v>0.33330823289846612</v>
      </c>
      <c r="BQ361" s="744">
        <v>0.46394898893484365</v>
      </c>
      <c r="BR361" s="744">
        <v>0.61133729916006074</v>
      </c>
      <c r="BS361" s="744">
        <v>0.7340267895225403</v>
      </c>
      <c r="BT361" s="744">
        <v>0.84492564367430267</v>
      </c>
      <c r="BW361" s="1191">
        <f>'2018'!R\Max</f>
        <v>9.8298615175983886E-2</v>
      </c>
      <c r="BX361" s="1189">
        <f>'2019'!R\Max</f>
        <v>0.12047698258370285</v>
      </c>
      <c r="BY361" s="1189">
        <f>'2020'!R\Max</f>
        <v>0.51680123037480341</v>
      </c>
      <c r="BZ361" s="1189">
        <f>'2021'!R\Max</f>
        <v>0.99612086987206949</v>
      </c>
      <c r="CA361" s="1189">
        <f>'2022'!R\Max</f>
        <v>0.3055751697891394</v>
      </c>
      <c r="CB361" s="1189">
        <f>'2023'!R\Max</f>
        <v>0.29445065000092524</v>
      </c>
      <c r="CC361" s="1189">
        <f>'2024'!R\Max</f>
        <v>0.2811430345317007</v>
      </c>
      <c r="CD361" s="1189">
        <f>'2025'!R\Max</f>
        <v>0.33783859019919971</v>
      </c>
      <c r="CE361" s="1189">
        <f>'2026'!R\Max</f>
        <v>0.33153219344618151</v>
      </c>
      <c r="CF361" s="1190">
        <f>'2027'!R\Max</f>
        <v>0.32386151025500326</v>
      </c>
    </row>
    <row r="362" spans="1:84" s="6" customFormat="1" ht="11.25" x14ac:dyDescent="0.2">
      <c r="A362" s="11">
        <v>43448</v>
      </c>
      <c r="B362" s="382">
        <f>'2022'!Maxi_hp</f>
        <v>18.109392366943464</v>
      </c>
      <c r="C362" s="85">
        <f>'2022'!An_max</f>
        <v>2021</v>
      </c>
      <c r="D362" s="1134"/>
      <c r="E362" s="711"/>
      <c r="F362" s="13">
        <f t="shared" si="146"/>
        <v>27</v>
      </c>
      <c r="G362" s="13">
        <f t="shared" si="130"/>
        <v>26</v>
      </c>
      <c r="H362" s="175">
        <f t="shared" si="131"/>
        <v>43458</v>
      </c>
      <c r="I362" s="774">
        <f t="shared" si="132"/>
        <v>0.7142857142857143</v>
      </c>
      <c r="J362" s="765">
        <f t="shared" si="133"/>
        <v>18.152811502558841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P362" s="13">
        <f t="shared" si="134"/>
        <v>15</v>
      </c>
      <c r="AQ362" s="13">
        <f t="shared" si="135"/>
        <v>14</v>
      </c>
      <c r="AR362" s="175">
        <f t="shared" si="136"/>
        <v>43473</v>
      </c>
      <c r="AS362" s="774">
        <f t="shared" si="137"/>
        <v>0.86206896551724133</v>
      </c>
      <c r="AT362" s="791">
        <f t="shared" si="138"/>
        <v>18.22546148998984</v>
      </c>
      <c r="AU362" s="13">
        <f t="shared" si="139"/>
        <v>13</v>
      </c>
      <c r="AV362" s="13">
        <f t="shared" si="140"/>
        <v>14</v>
      </c>
      <c r="AW362" s="175">
        <f t="shared" si="141"/>
        <v>43430</v>
      </c>
      <c r="AX362" s="774">
        <f t="shared" si="142"/>
        <v>0.6428571428571429</v>
      </c>
      <c r="AY362" s="791">
        <f t="shared" si="143"/>
        <v>18.250065845889701</v>
      </c>
      <c r="AZ362" s="765">
        <f t="shared" si="147"/>
        <v>18.23776366793977</v>
      </c>
      <c r="BA362" s="649">
        <f t="shared" si="144"/>
        <v>0.997608131632433</v>
      </c>
      <c r="BB362" s="644">
        <v>43448</v>
      </c>
      <c r="BC362" s="11">
        <v>43448</v>
      </c>
      <c r="BD362" s="292">
        <f>[2]!FeuilCaduc*(1-Persistant)+Persistant</f>
        <v>1</v>
      </c>
      <c r="BE362" s="293">
        <f>[2]!CroissVégét</f>
        <v>0.99987092117157228</v>
      </c>
      <c r="BF362" s="844">
        <f>1+[2]!Salcycl*Ksac</f>
        <v>1.0029736596026311</v>
      </c>
      <c r="BH362" s="1107">
        <f t="shared" si="145"/>
        <v>2.4637532751081402E-2</v>
      </c>
      <c r="BI362" s="11">
        <v>44544</v>
      </c>
      <c r="BJ362" s="744">
        <v>3.775285914446744E-4</v>
      </c>
      <c r="BK362" s="744">
        <v>3.1691027107667844E-3</v>
      </c>
      <c r="BL362" s="744">
        <v>1.8454220347260089E-2</v>
      </c>
      <c r="BM362" s="744">
        <v>4.940544959952959E-2</v>
      </c>
      <c r="BN362" s="744">
        <v>0.12063889379487959</v>
      </c>
      <c r="BO362" s="745">
        <v>0.20647083995376272</v>
      </c>
      <c r="BP362" s="744">
        <v>0.33444854008331443</v>
      </c>
      <c r="BQ362" s="744">
        <v>0.46479924328178684</v>
      </c>
      <c r="BR362" s="744">
        <v>0.61231014239962933</v>
      </c>
      <c r="BS362" s="744">
        <v>0.73394564317038513</v>
      </c>
      <c r="BT362" s="744">
        <v>0.84308010443700909</v>
      </c>
      <c r="BW362" s="1191">
        <f>'2018'!R\Max</f>
        <v>0.10864049859931858</v>
      </c>
      <c r="BX362" s="1189">
        <f>'2019'!R\Max</f>
        <v>0.77525065169351337</v>
      </c>
      <c r="BY362" s="1189">
        <f>'2020'!R\Max</f>
        <v>0.46814736028786885</v>
      </c>
      <c r="BZ362" s="1189">
        <f>'2021'!R\Max</f>
        <v>0.997608131632433</v>
      </c>
      <c r="CA362" s="1189">
        <f>'2022'!R\Max</f>
        <v>0.77854663230644516</v>
      </c>
      <c r="CB362" s="1189">
        <f>'2023'!R\Max</f>
        <v>0.76921028063134456</v>
      </c>
      <c r="CC362" s="1189">
        <f>'2024'!R\Max</f>
        <v>0.75746306034568589</v>
      </c>
      <c r="CD362" s="1189">
        <f>'2025'!R\Max</f>
        <v>0.80316562900656741</v>
      </c>
      <c r="CE362" s="1189">
        <f>'2026'!R\Max</f>
        <v>0.7986004059248768</v>
      </c>
      <c r="CF362" s="1190">
        <f>'2027'!R\Max</f>
        <v>0.79289627000506435</v>
      </c>
    </row>
    <row r="363" spans="1:84" s="6" customFormat="1" ht="11.25" x14ac:dyDescent="0.2">
      <c r="A363" s="11">
        <v>43449</v>
      </c>
      <c r="B363" s="382">
        <f>'2022'!Maxi_hp</f>
        <v>17.774835996132822</v>
      </c>
      <c r="C363" s="85">
        <f>'2022'!An_max</f>
        <v>2019</v>
      </c>
      <c r="D363" s="1134"/>
      <c r="E363" s="711"/>
      <c r="F363" s="13">
        <f t="shared" si="146"/>
        <v>27</v>
      </c>
      <c r="G363" s="13">
        <f t="shared" si="130"/>
        <v>26</v>
      </c>
      <c r="H363" s="175">
        <f t="shared" si="131"/>
        <v>43458</v>
      </c>
      <c r="I363" s="774">
        <f t="shared" si="132"/>
        <v>0.6428571428571429</v>
      </c>
      <c r="J363" s="765">
        <f t="shared" si="133"/>
        <v>18.106003419629168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P363" s="13">
        <f t="shared" si="134"/>
        <v>15</v>
      </c>
      <c r="AQ363" s="13">
        <f t="shared" si="135"/>
        <v>14</v>
      </c>
      <c r="AR363" s="175">
        <f t="shared" si="136"/>
        <v>43473</v>
      </c>
      <c r="AS363" s="774">
        <f t="shared" si="137"/>
        <v>0.82758620689655171</v>
      </c>
      <c r="AT363" s="791">
        <f t="shared" si="138"/>
        <v>18.195268717819246</v>
      </c>
      <c r="AU363" s="13">
        <f t="shared" si="139"/>
        <v>13</v>
      </c>
      <c r="AV363" s="13">
        <f t="shared" si="140"/>
        <v>14</v>
      </c>
      <c r="AW363" s="175">
        <f t="shared" si="141"/>
        <v>43430</v>
      </c>
      <c r="AX363" s="774">
        <f t="shared" si="142"/>
        <v>0.6785714285714286</v>
      </c>
      <c r="AY363" s="791">
        <f t="shared" si="143"/>
        <v>18.189983873894171</v>
      </c>
      <c r="AZ363" s="765">
        <f t="shared" si="147"/>
        <v>18.192626295856709</v>
      </c>
      <c r="BA363" s="649">
        <f t="shared" si="144"/>
        <v>0.98170952386227217</v>
      </c>
      <c r="BB363" s="644">
        <v>43449</v>
      </c>
      <c r="BC363" s="11">
        <v>43449</v>
      </c>
      <c r="BD363" s="292">
        <f>[2]!FeuilCaduc*(1-Persistant)+Persistant</f>
        <v>1</v>
      </c>
      <c r="BE363" s="293">
        <f>[2]!CroissVégét</f>
        <v>0.99988944533008528</v>
      </c>
      <c r="BF363" s="844">
        <f>1+[2]!Salcycl*Ksac</f>
        <v>1.0027583258936559</v>
      </c>
      <c r="BH363" s="1107">
        <f t="shared" si="145"/>
        <v>2.4747740178672654E-2</v>
      </c>
      <c r="BI363" s="11">
        <v>44545</v>
      </c>
      <c r="BJ363" s="744">
        <v>3.6930364255003035E-4</v>
      </c>
      <c r="BK363" s="744">
        <v>3.2206152408504832E-3</v>
      </c>
      <c r="BL363" s="744">
        <v>1.8591570212603301E-2</v>
      </c>
      <c r="BM363" s="744">
        <v>4.9406935099875308E-2</v>
      </c>
      <c r="BN363" s="744">
        <v>0.1212006659142556</v>
      </c>
      <c r="BO363" s="745">
        <v>0.20694392188140701</v>
      </c>
      <c r="BP363" s="744">
        <v>0.33540519716490408</v>
      </c>
      <c r="BQ363" s="744">
        <v>0.46550786268589056</v>
      </c>
      <c r="BR363" s="744">
        <v>0.61313573330847815</v>
      </c>
      <c r="BS363" s="744">
        <v>0.73387232243890033</v>
      </c>
      <c r="BT363" s="744">
        <v>0.84140733511422261</v>
      </c>
      <c r="BW363" s="1191">
        <f>'2018'!R\Max</f>
        <v>0.33161773030667369</v>
      </c>
      <c r="BX363" s="1189">
        <f>'2019'!R\Max</f>
        <v>0.98170952386227217</v>
      </c>
      <c r="BY363" s="1189">
        <f>'2020'!R\Max</f>
        <v>0.12713326930986027</v>
      </c>
      <c r="BZ363" s="1189">
        <f>'2021'!R\Max</f>
        <v>0.9672193561654322</v>
      </c>
      <c r="CA363" s="1189">
        <f>'2022'!R\Max</f>
        <v>0.35771832256498437</v>
      </c>
      <c r="CB363" s="1189">
        <f>'2023'!R\Max</f>
        <v>0.34548284391250628</v>
      </c>
      <c r="CC363" s="1189">
        <f>'2024'!R\Max</f>
        <v>0.33090939652095197</v>
      </c>
      <c r="CD363" s="1189">
        <f>'2025'!R\Max</f>
        <v>0.39283150918752824</v>
      </c>
      <c r="CE363" s="1189">
        <f>'2026'!R\Max</f>
        <v>0.38596093094376344</v>
      </c>
      <c r="CF363" s="1190">
        <f>'2027'!R\Max</f>
        <v>0.37762052433642879</v>
      </c>
    </row>
    <row r="364" spans="1:84" s="6" customFormat="1" ht="11.25" x14ac:dyDescent="0.2">
      <c r="A364" s="11">
        <v>43450</v>
      </c>
      <c r="B364" s="382">
        <f>'2022'!Maxi_hp</f>
        <v>17.653857308333976</v>
      </c>
      <c r="C364" s="85">
        <f>'2022'!An_max</f>
        <v>2021</v>
      </c>
      <c r="D364" s="1134"/>
      <c r="E364" s="711"/>
      <c r="F364" s="13">
        <f t="shared" si="146"/>
        <v>27</v>
      </c>
      <c r="G364" s="13">
        <f t="shared" si="130"/>
        <v>26</v>
      </c>
      <c r="H364" s="175">
        <f t="shared" si="131"/>
        <v>43458</v>
      </c>
      <c r="I364" s="774">
        <f t="shared" si="132"/>
        <v>0.5714285714285714</v>
      </c>
      <c r="J364" s="765">
        <f t="shared" si="133"/>
        <v>18.068641110828946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P364" s="13">
        <f t="shared" si="134"/>
        <v>15</v>
      </c>
      <c r="AQ364" s="13">
        <f t="shared" si="135"/>
        <v>14</v>
      </c>
      <c r="AR364" s="175">
        <f t="shared" si="136"/>
        <v>43473</v>
      </c>
      <c r="AS364" s="774">
        <f t="shared" si="137"/>
        <v>0.7931034482758621</v>
      </c>
      <c r="AT364" s="791">
        <f t="shared" si="138"/>
        <v>18.173600507244981</v>
      </c>
      <c r="AU364" s="13">
        <f t="shared" si="139"/>
        <v>13</v>
      </c>
      <c r="AV364" s="13">
        <f t="shared" si="140"/>
        <v>14</v>
      </c>
      <c r="AW364" s="175">
        <f t="shared" si="141"/>
        <v>43430</v>
      </c>
      <c r="AX364" s="774">
        <f t="shared" si="142"/>
        <v>0.7142857142857143</v>
      </c>
      <c r="AY364" s="791">
        <f t="shared" si="143"/>
        <v>18.139540365764073</v>
      </c>
      <c r="AZ364" s="765">
        <f t="shared" si="147"/>
        <v>18.156570436504527</v>
      </c>
      <c r="BA364" s="649">
        <f t="shared" si="144"/>
        <v>0.97704399572990686</v>
      </c>
      <c r="BB364" s="644">
        <v>43450</v>
      </c>
      <c r="BC364" s="11">
        <v>43450</v>
      </c>
      <c r="BD364" s="292">
        <f>[2]!FeuilCaduc*(1-Persistant)+Persistant</f>
        <v>1</v>
      </c>
      <c r="BE364" s="293">
        <f>[2]!CroissVégét</f>
        <v>0.9999072242967757</v>
      </c>
      <c r="BF364" s="844">
        <f>1+[2]!Salcycl*Ksac</f>
        <v>1.0025585729819424</v>
      </c>
      <c r="BH364" s="1107">
        <f t="shared" si="145"/>
        <v>2.484774328352949E-2</v>
      </c>
      <c r="BI364" s="11">
        <v>44546</v>
      </c>
      <c r="BJ364" s="744">
        <v>3.6223167588306205E-4</v>
      </c>
      <c r="BK364" s="744">
        <v>3.2667738771666693E-3</v>
      </c>
      <c r="BL364" s="744">
        <v>1.8714736840265239E-2</v>
      </c>
      <c r="BM364" s="744">
        <v>4.9414154245377401E-2</v>
      </c>
      <c r="BN364" s="744">
        <v>0.12169523359114726</v>
      </c>
      <c r="BO364" s="745">
        <v>0.20735176315087264</v>
      </c>
      <c r="BP364" s="744">
        <v>0.33617889750929458</v>
      </c>
      <c r="BQ364" s="744">
        <v>0.46607580893944117</v>
      </c>
      <c r="BR364" s="744">
        <v>0.61381534340105437</v>
      </c>
      <c r="BS364" s="744">
        <v>0.73380834584573318</v>
      </c>
      <c r="BT364" s="744">
        <v>0.83990904431505353</v>
      </c>
      <c r="BW364" s="1191">
        <f>'2018'!R\Max</f>
        <v>0.16605194115238878</v>
      </c>
      <c r="BX364" s="1189">
        <f>'2019'!R\Max</f>
        <v>0.68504351356137316</v>
      </c>
      <c r="BY364" s="1189">
        <f>'2020'!R\Max</f>
        <v>0.13518102028930601</v>
      </c>
      <c r="BZ364" s="1189">
        <f>'2021'!R\Max</f>
        <v>0.97704399572990686</v>
      </c>
      <c r="CA364" s="1189">
        <f>'2022'!R\Max</f>
        <v>0.31417876519811733</v>
      </c>
      <c r="CB364" s="1189">
        <f>'2023'!R\Max</f>
        <v>0.30267893407284369</v>
      </c>
      <c r="CC364" s="1189">
        <f>'2024'!R\Max</f>
        <v>0.28910056399701978</v>
      </c>
      <c r="CD364" s="1189">
        <f>'2025'!R\Max</f>
        <v>0.3474903066146009</v>
      </c>
      <c r="CE364" s="1189">
        <f>'2026'!R\Max</f>
        <v>0.34091589039326792</v>
      </c>
      <c r="CF364" s="1190">
        <f>'2027'!R\Max</f>
        <v>0.33297609608603124</v>
      </c>
    </row>
    <row r="365" spans="1:84" s="6" customFormat="1" ht="11.25" x14ac:dyDescent="0.2">
      <c r="A365" s="11">
        <v>43451</v>
      </c>
      <c r="B365" s="382">
        <f>'2022'!Maxi_hp</f>
        <v>17.652836359239622</v>
      </c>
      <c r="C365" s="85">
        <f>'2022'!An_max</f>
        <v>2021</v>
      </c>
      <c r="D365" s="1134"/>
      <c r="E365" s="711"/>
      <c r="F365" s="13">
        <f t="shared" si="146"/>
        <v>27</v>
      </c>
      <c r="G365" s="13">
        <f t="shared" si="130"/>
        <v>26</v>
      </c>
      <c r="H365" s="175">
        <f t="shared" si="131"/>
        <v>43458</v>
      </c>
      <c r="I365" s="774">
        <f t="shared" si="132"/>
        <v>0.5</v>
      </c>
      <c r="J365" s="765">
        <f t="shared" si="133"/>
        <v>18.04084965661168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P365" s="13">
        <f t="shared" si="134"/>
        <v>15</v>
      </c>
      <c r="AQ365" s="13">
        <f t="shared" si="135"/>
        <v>14</v>
      </c>
      <c r="AR365" s="175">
        <f t="shared" si="136"/>
        <v>43473</v>
      </c>
      <c r="AS365" s="774">
        <f t="shared" si="137"/>
        <v>0.75862068965517238</v>
      </c>
      <c r="AT365" s="791">
        <f t="shared" si="138"/>
        <v>18.160430764792295</v>
      </c>
      <c r="AU365" s="13">
        <f t="shared" si="139"/>
        <v>13</v>
      </c>
      <c r="AV365" s="13">
        <f t="shared" si="140"/>
        <v>14</v>
      </c>
      <c r="AW365" s="175">
        <f t="shared" si="141"/>
        <v>43430</v>
      </c>
      <c r="AX365" s="774">
        <f t="shared" si="142"/>
        <v>0.75</v>
      </c>
      <c r="AY365" s="791">
        <f t="shared" si="143"/>
        <v>18.099083846434951</v>
      </c>
      <c r="AZ365" s="765">
        <f t="shared" si="147"/>
        <v>18.129757305613623</v>
      </c>
      <c r="BA365" s="649">
        <f t="shared" si="144"/>
        <v>0.97849251533284309</v>
      </c>
      <c r="BB365" s="644">
        <v>43451</v>
      </c>
      <c r="BC365" s="11">
        <v>43451</v>
      </c>
      <c r="BD365" s="292">
        <f>[2]!FeuilCaduc*(1-Persistant)+Persistant</f>
        <v>1</v>
      </c>
      <c r="BE365" s="293">
        <f>[2]!CroissVégét</f>
        <v>0.99992428802440059</v>
      </c>
      <c r="BF365" s="844">
        <f>1+[2]!Salcycl*Ksac</f>
        <v>1.002373512785127</v>
      </c>
      <c r="BH365" s="1107">
        <f t="shared" si="145"/>
        <v>2.4937595636541167E-2</v>
      </c>
      <c r="BI365" s="11">
        <v>44547</v>
      </c>
      <c r="BJ365" s="744">
        <v>3.56313413634086E-4</v>
      </c>
      <c r="BK365" s="744">
        <v>3.3075861925097589E-3</v>
      </c>
      <c r="BL365" s="744">
        <v>1.882376114533298E-2</v>
      </c>
      <c r="BM365" s="744">
        <v>4.9427211301089589E-2</v>
      </c>
      <c r="BN365" s="744">
        <v>0.12212285436653834</v>
      </c>
      <c r="BO365" s="745">
        <v>0.20769479454141862</v>
      </c>
      <c r="BP365" s="744">
        <v>0.33677032262072676</v>
      </c>
      <c r="BQ365" s="744">
        <v>0.46650403399541635</v>
      </c>
      <c r="BR365" s="744">
        <v>0.61435023441947534</v>
      </c>
      <c r="BS365" s="744">
        <v>0.73375523051946201</v>
      </c>
      <c r="BT365" s="744">
        <v>0.83858694288142666</v>
      </c>
      <c r="BW365" s="1191">
        <f>'2018'!R\Max</f>
        <v>0.84518032749936167</v>
      </c>
      <c r="BX365" s="1189">
        <f>'2019'!R\Max</f>
        <v>0.59095928692877486</v>
      </c>
      <c r="BY365" s="1189">
        <f>'2020'!R\Max</f>
        <v>0.77015727858014238</v>
      </c>
      <c r="BZ365" s="1189">
        <f>'2021'!R\Max</f>
        <v>0.97849251533284309</v>
      </c>
      <c r="CA365" s="1189">
        <f>'2022'!R\Max</f>
        <v>0.19343384188135612</v>
      </c>
      <c r="CB365" s="1189">
        <f>'2023'!R\Max</f>
        <v>0.18585842486940438</v>
      </c>
      <c r="CC365" s="1189">
        <f>'2024'!R\Max</f>
        <v>0.1769863549839866</v>
      </c>
      <c r="CD365" s="1189">
        <f>'2025'!R\Max</f>
        <v>0.21560779774570923</v>
      </c>
      <c r="CE365" s="1189">
        <f>'2026'!R\Max</f>
        <v>0.21119254928459658</v>
      </c>
      <c r="CF365" s="1190">
        <f>'2027'!R\Max</f>
        <v>0.20588804141412664</v>
      </c>
    </row>
    <row r="366" spans="1:84" s="6" customFormat="1" ht="11.25" x14ac:dyDescent="0.2">
      <c r="A366" s="11">
        <v>43452</v>
      </c>
      <c r="B366" s="382">
        <f>'2022'!Maxi_hp</f>
        <v>18.053067103991125</v>
      </c>
      <c r="C366" s="85">
        <f>'2022'!An_max</f>
        <v>2021</v>
      </c>
      <c r="D366" s="1134"/>
      <c r="E366" s="711"/>
      <c r="F366" s="13">
        <f t="shared" si="146"/>
        <v>27</v>
      </c>
      <c r="G366" s="13">
        <f t="shared" si="130"/>
        <v>26</v>
      </c>
      <c r="H366" s="175">
        <f t="shared" si="131"/>
        <v>43458</v>
      </c>
      <c r="I366" s="774">
        <f t="shared" si="132"/>
        <v>0.42857142857142855</v>
      </c>
      <c r="J366" s="765">
        <f t="shared" si="133"/>
        <v>18.022754135302133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P366" s="13">
        <f t="shared" si="134"/>
        <v>15</v>
      </c>
      <c r="AQ366" s="13">
        <f t="shared" si="135"/>
        <v>14</v>
      </c>
      <c r="AR366" s="175">
        <f t="shared" si="136"/>
        <v>43473</v>
      </c>
      <c r="AS366" s="774">
        <f t="shared" si="137"/>
        <v>0.72413793103448276</v>
      </c>
      <c r="AT366" s="791">
        <f t="shared" si="138"/>
        <v>18.155733398116869</v>
      </c>
      <c r="AU366" s="13">
        <f t="shared" si="139"/>
        <v>13</v>
      </c>
      <c r="AV366" s="13">
        <f t="shared" si="140"/>
        <v>14</v>
      </c>
      <c r="AW366" s="175">
        <f t="shared" si="141"/>
        <v>43430</v>
      </c>
      <c r="AX366" s="774">
        <f t="shared" si="142"/>
        <v>0.7857142857142857</v>
      </c>
      <c r="AY366" s="791">
        <f t="shared" si="143"/>
        <v>18.068962840256948</v>
      </c>
      <c r="AZ366" s="765">
        <f t="shared" si="147"/>
        <v>18.112348119186908</v>
      </c>
      <c r="BA366" s="649">
        <f t="shared" si="144"/>
        <v>1.0016819276599693</v>
      </c>
      <c r="BB366" s="644">
        <v>43452</v>
      </c>
      <c r="BC366" s="11">
        <v>43452</v>
      </c>
      <c r="BD366" s="292">
        <f>[2]!FeuilCaduc*(1-Persistant)+Persistant</f>
        <v>1</v>
      </c>
      <c r="BE366" s="293">
        <f>[2]!CroissVégét</f>
        <v>0.99994066526373915</v>
      </c>
      <c r="BF366" s="844">
        <f>1+[2]!Salcycl*Ksac</f>
        <v>1.0022022588334196</v>
      </c>
      <c r="BH366" s="1107">
        <f t="shared" si="145"/>
        <v>2.5008868333259666E-2</v>
      </c>
      <c r="BI366" s="11">
        <v>44548</v>
      </c>
      <c r="BJ366" s="744">
        <v>3.5208438290138238E-4</v>
      </c>
      <c r="BK366" s="744">
        <v>3.3391683775641783E-3</v>
      </c>
      <c r="BL366" s="744">
        <v>1.8908422977004409E-2</v>
      </c>
      <c r="BM366" s="744">
        <v>4.9444852390745524E-2</v>
      </c>
      <c r="BN366" s="744">
        <v>0.1224455375906482</v>
      </c>
      <c r="BO366" s="745">
        <v>0.20794564265869217</v>
      </c>
      <c r="BP366" s="744">
        <v>0.33713972931606162</v>
      </c>
      <c r="BQ366" s="744">
        <v>0.46676841746939729</v>
      </c>
      <c r="BR366" s="744">
        <v>0.61470751525594747</v>
      </c>
      <c r="BS366" s="744">
        <v>0.73373018751098129</v>
      </c>
      <c r="BT366" s="744">
        <v>0.83758264466368137</v>
      </c>
      <c r="BW366" s="1191">
        <f>'2018'!R\Max</f>
        <v>0.62204185519084965</v>
      </c>
      <c r="BX366" s="1189">
        <f>'2019'!R\Max</f>
        <v>0.82058768559207473</v>
      </c>
      <c r="BY366" s="1189">
        <f>'2020'!R\Max</f>
        <v>0.48246831866705758</v>
      </c>
      <c r="BZ366" s="1189">
        <f>'2021'!R\Max</f>
        <v>1.0016819276599693</v>
      </c>
      <c r="CA366" s="1189">
        <f>'2022'!R\Max</f>
        <v>0.82576152058403141</v>
      </c>
      <c r="CB366" s="1189">
        <f>'2023'!R\Max</f>
        <v>0.81782645274124377</v>
      </c>
      <c r="CC366" s="1189">
        <f>'2024'!R\Max</f>
        <v>0.80790244430406877</v>
      </c>
      <c r="CD366" s="1189">
        <f>'2025'!R\Max</f>
        <v>0.84649118002626822</v>
      </c>
      <c r="CE366" s="1189">
        <f>'2026'!R\Max</f>
        <v>0.84262489308923505</v>
      </c>
      <c r="CF366" s="1190">
        <f>'2027'!R\Max</f>
        <v>0.83781692464000224</v>
      </c>
    </row>
    <row r="367" spans="1:84" s="6" customFormat="1" ht="11.25" x14ac:dyDescent="0.2">
      <c r="A367" s="11">
        <v>43453</v>
      </c>
      <c r="B367" s="382">
        <f>'2022'!Maxi_hp</f>
        <v>17.589332525794376</v>
      </c>
      <c r="C367" s="85">
        <f>'2022'!An_max</f>
        <v>2021</v>
      </c>
      <c r="D367" s="1134"/>
      <c r="E367" s="711"/>
      <c r="F367" s="13">
        <f t="shared" si="146"/>
        <v>27</v>
      </c>
      <c r="G367" s="13">
        <f t="shared" si="130"/>
        <v>26</v>
      </c>
      <c r="H367" s="175">
        <f t="shared" si="131"/>
        <v>43458</v>
      </c>
      <c r="I367" s="774">
        <f t="shared" si="132"/>
        <v>0.35714285714285715</v>
      </c>
      <c r="J367" s="765">
        <f t="shared" si="133"/>
        <v>18.014479624586443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P367" s="13">
        <f t="shared" si="134"/>
        <v>15</v>
      </c>
      <c r="AQ367" s="13">
        <f t="shared" si="135"/>
        <v>14</v>
      </c>
      <c r="AR367" s="175">
        <f t="shared" si="136"/>
        <v>43473</v>
      </c>
      <c r="AS367" s="774">
        <f t="shared" si="137"/>
        <v>0.68965517241379315</v>
      </c>
      <c r="AT367" s="791">
        <f t="shared" si="138"/>
        <v>18.159482318162919</v>
      </c>
      <c r="AU367" s="13">
        <f t="shared" si="139"/>
        <v>13</v>
      </c>
      <c r="AV367" s="13">
        <f t="shared" si="140"/>
        <v>14</v>
      </c>
      <c r="AW367" s="175">
        <f t="shared" si="141"/>
        <v>43430</v>
      </c>
      <c r="AX367" s="774">
        <f t="shared" si="142"/>
        <v>0.8214285714285714</v>
      </c>
      <c r="AY367" s="791">
        <f t="shared" si="143"/>
        <v>18.049525875651412</v>
      </c>
      <c r="AZ367" s="765">
        <f t="shared" si="147"/>
        <v>18.104504096907164</v>
      </c>
      <c r="BA367" s="649">
        <f t="shared" si="144"/>
        <v>0.97639970137067855</v>
      </c>
      <c r="BB367" s="644">
        <v>43453</v>
      </c>
      <c r="BC367" s="11">
        <v>43453</v>
      </c>
      <c r="BD367" s="292">
        <f>[2]!FeuilCaduc*(1-Persistant)+Persistant</f>
        <v>1</v>
      </c>
      <c r="BE367" s="293">
        <f>[2]!CroissVégét</f>
        <v>0.99995638361167161</v>
      </c>
      <c r="BF367" s="844">
        <f>1+[2]!Salcycl*Ksac</f>
        <v>1.0020439314954859</v>
      </c>
      <c r="BH367" s="1107">
        <f t="shared" si="145"/>
        <v>2.5063765617400952E-2</v>
      </c>
      <c r="BI367" s="11">
        <v>44549</v>
      </c>
      <c r="BJ367" s="744">
        <v>3.4893175672881071E-4</v>
      </c>
      <c r="BK367" s="744">
        <v>3.3630525653984117E-3</v>
      </c>
      <c r="BL367" s="744">
        <v>1.8973017028905619E-2</v>
      </c>
      <c r="BM367" s="744">
        <v>4.946090823814684E-2</v>
      </c>
      <c r="BN367" s="744">
        <v>0.12269460804250126</v>
      </c>
      <c r="BO367" s="745">
        <v>0.20814569904289096</v>
      </c>
      <c r="BP367" s="744">
        <v>0.33743610226644316</v>
      </c>
      <c r="BQ367" s="744">
        <v>0.46699339565792092</v>
      </c>
      <c r="BR367" s="744">
        <v>0.61501062789290162</v>
      </c>
      <c r="BS367" s="744">
        <v>0.7337532630523449</v>
      </c>
      <c r="BT367" s="744">
        <v>0.83687698614953143</v>
      </c>
      <c r="BW367" s="1191">
        <f>'2018'!R\Max</f>
        <v>0.90870959722188638</v>
      </c>
      <c r="BX367" s="1189">
        <f>'2019'!R\Max</f>
        <v>0.5283844770443652</v>
      </c>
      <c r="BY367" s="1189">
        <f>'2020'!R\Max</f>
        <v>0.51768878139601204</v>
      </c>
      <c r="BZ367" s="1189">
        <f>'2021'!R\Max</f>
        <v>0.97639970137067855</v>
      </c>
      <c r="CA367" s="1189">
        <f>'2022'!R\Max</f>
        <v>0.8081141877667084</v>
      </c>
      <c r="CB367" s="1189">
        <f>'2023'!R\Max</f>
        <v>0.79956092218273844</v>
      </c>
      <c r="CC367" s="1189">
        <f>'2024'!R\Max</f>
        <v>0.78889821262641402</v>
      </c>
      <c r="CD367" s="1189">
        <f>'2025'!R\Max</f>
        <v>0.83054445247069997</v>
      </c>
      <c r="CE367" s="1189">
        <f>'2026'!R\Max</f>
        <v>0.82634521924200344</v>
      </c>
      <c r="CF367" s="1190">
        <f>'2027'!R\Max</f>
        <v>0.82113420854582564</v>
      </c>
    </row>
    <row r="368" spans="1:84" s="6" customFormat="1" ht="11.25" x14ac:dyDescent="0.2">
      <c r="A368" s="11">
        <v>43454</v>
      </c>
      <c r="B368" s="382">
        <f>'2022'!Maxi_hp</f>
        <v>18.435000096108368</v>
      </c>
      <c r="C368" s="85">
        <f>'2022'!An_max</f>
        <v>2021</v>
      </c>
      <c r="D368" s="1134"/>
      <c r="E368" s="711"/>
      <c r="F368" s="13">
        <f t="shared" si="146"/>
        <v>27</v>
      </c>
      <c r="G368" s="13">
        <f t="shared" si="130"/>
        <v>26</v>
      </c>
      <c r="H368" s="175">
        <f t="shared" si="131"/>
        <v>43458</v>
      </c>
      <c r="I368" s="774">
        <f t="shared" si="132"/>
        <v>0.2857142857142857</v>
      </c>
      <c r="J368" s="765">
        <f t="shared" si="133"/>
        <v>18.016151202150752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P368" s="13">
        <f t="shared" si="134"/>
        <v>15</v>
      </c>
      <c r="AQ368" s="13">
        <f t="shared" si="135"/>
        <v>14</v>
      </c>
      <c r="AR368" s="175">
        <f t="shared" si="136"/>
        <v>43473</v>
      </c>
      <c r="AS368" s="774">
        <f t="shared" si="137"/>
        <v>0.65517241379310343</v>
      </c>
      <c r="AT368" s="791">
        <f t="shared" si="138"/>
        <v>18.171651434230391</v>
      </c>
      <c r="AU368" s="13">
        <f t="shared" si="139"/>
        <v>13</v>
      </c>
      <c r="AV368" s="13">
        <f t="shared" si="140"/>
        <v>14</v>
      </c>
      <c r="AW368" s="175">
        <f t="shared" si="141"/>
        <v>43430</v>
      </c>
      <c r="AX368" s="774">
        <f t="shared" si="142"/>
        <v>0.8571428571428571</v>
      </c>
      <c r="AY368" s="791">
        <f t="shared" si="143"/>
        <v>18.041121471566814</v>
      </c>
      <c r="AZ368" s="765">
        <f t="shared" si="147"/>
        <v>18.106386452898604</v>
      </c>
      <c r="BA368" s="649">
        <f t="shared" si="144"/>
        <v>1.0232485223540762</v>
      </c>
      <c r="BB368" s="644">
        <v>43454</v>
      </c>
      <c r="BC368" s="11">
        <v>43454</v>
      </c>
      <c r="BD368" s="292">
        <f>[2]!FeuilCaduc*(1-Persistant)+Persistant</f>
        <v>1</v>
      </c>
      <c r="BE368" s="293">
        <f>[2]!CroissVégét</f>
        <v>0.99997146955734828</v>
      </c>
      <c r="BF368" s="844">
        <f>1+[2]!Salcycl*Ksac</f>
        <v>1.0018976629660781</v>
      </c>
      <c r="BH368" s="1107">
        <f t="shared" si="145"/>
        <v>2.5102334979048339E-2</v>
      </c>
      <c r="BI368" s="11">
        <v>44550</v>
      </c>
      <c r="BJ368" s="744">
        <v>3.4685654841289993E-4</v>
      </c>
      <c r="BK368" s="744">
        <v>3.3792436431561591E-3</v>
      </c>
      <c r="BL368" s="744">
        <v>1.9017577179359455E-2</v>
      </c>
      <c r="BM368" s="744">
        <v>4.9475480856734144E-2</v>
      </c>
      <c r="BN368" s="744">
        <v>0.12287029996849587</v>
      </c>
      <c r="BO368" s="745">
        <v>0.20829538108436216</v>
      </c>
      <c r="BP368" s="744">
        <v>0.33766012063842582</v>
      </c>
      <c r="BQ368" s="744">
        <v>0.46717992514020262</v>
      </c>
      <c r="BR368" s="744">
        <v>0.61526083149118271</v>
      </c>
      <c r="BS368" s="744">
        <v>0.73382598985426262</v>
      </c>
      <c r="BT368" s="744">
        <v>0.8364717812700152</v>
      </c>
      <c r="BW368" s="1191">
        <f>'2018'!R\Max</f>
        <v>0.61085435802091403</v>
      </c>
      <c r="BX368" s="1189">
        <f>'2019'!R\Max</f>
        <v>0.41144561485541464</v>
      </c>
      <c r="BY368" s="1189">
        <f>'2020'!R\Max</f>
        <v>0.45274006038955211</v>
      </c>
      <c r="BZ368" s="1189">
        <f>'2021'!R\Max</f>
        <v>1.0232485223540762</v>
      </c>
      <c r="CA368" s="1189">
        <f>'2022'!R\Max</f>
        <v>0.2350816435592131</v>
      </c>
      <c r="CB368" s="1189">
        <f>'2023'!R\Max</f>
        <v>0.22584361455780341</v>
      </c>
      <c r="CC368" s="1189">
        <f>'2024'!R\Max</f>
        <v>0.21505923485721945</v>
      </c>
      <c r="CD368" s="1189">
        <f>'2025'!R\Max</f>
        <v>0.2621602457072324</v>
      </c>
      <c r="CE368" s="1189">
        <f>'2026'!R\Max</f>
        <v>0.25673970072258445</v>
      </c>
      <c r="CF368" s="1190">
        <f>'2027'!R\Max</f>
        <v>0.25024961776755206</v>
      </c>
    </row>
    <row r="369" spans="1:84" s="6" customFormat="1" ht="11.25" x14ac:dyDescent="0.2">
      <c r="A369" s="11">
        <v>43455</v>
      </c>
      <c r="B369" s="382">
        <f>'2022'!Maxi_hp</f>
        <v>17.268665801811821</v>
      </c>
      <c r="C369" s="85">
        <f>'2022'!An_max</f>
        <v>2022</v>
      </c>
      <c r="D369" s="1134"/>
      <c r="E369" s="711"/>
      <c r="F369" s="13">
        <f t="shared" si="146"/>
        <v>27</v>
      </c>
      <c r="G369" s="13">
        <f t="shared" si="130"/>
        <v>26</v>
      </c>
      <c r="H369" s="175">
        <f t="shared" si="131"/>
        <v>43458</v>
      </c>
      <c r="I369" s="774">
        <f t="shared" si="132"/>
        <v>0.21428571428571427</v>
      </c>
      <c r="J369" s="765">
        <f t="shared" si="133"/>
        <v>18.027893952599594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P369" s="13">
        <f t="shared" si="134"/>
        <v>15</v>
      </c>
      <c r="AQ369" s="13">
        <f t="shared" si="135"/>
        <v>14</v>
      </c>
      <c r="AR369" s="175">
        <f t="shared" si="136"/>
        <v>43473</v>
      </c>
      <c r="AS369" s="774">
        <f t="shared" si="137"/>
        <v>0.62068965517241381</v>
      </c>
      <c r="AT369" s="791">
        <f t="shared" si="138"/>
        <v>18.192214652125177</v>
      </c>
      <c r="AU369" s="13">
        <f t="shared" si="139"/>
        <v>13</v>
      </c>
      <c r="AV369" s="13">
        <f t="shared" si="140"/>
        <v>14</v>
      </c>
      <c r="AW369" s="175">
        <f t="shared" si="141"/>
        <v>43430</v>
      </c>
      <c r="AX369" s="774">
        <f t="shared" si="142"/>
        <v>0.8928571428571429</v>
      </c>
      <c r="AY369" s="791">
        <f t="shared" si="143"/>
        <v>18.044098156797034</v>
      </c>
      <c r="AZ369" s="765">
        <f t="shared" si="147"/>
        <v>18.118156404461104</v>
      </c>
      <c r="BA369" s="649">
        <f t="shared" si="144"/>
        <v>0.95788592096314751</v>
      </c>
      <c r="BB369" s="644">
        <v>43455</v>
      </c>
      <c r="BC369" s="11">
        <v>43455</v>
      </c>
      <c r="BD369" s="292">
        <f>[2]!FeuilCaduc*(1-Persistant)+Persistant</f>
        <v>1</v>
      </c>
      <c r="BE369" s="293">
        <f>[2]!CroissVégét</f>
        <v>0.99998594852652212</v>
      </c>
      <c r="BF369" s="844">
        <f>1+[2]!Salcycl*Ksac</f>
        <v>1.0017626019820651</v>
      </c>
      <c r="BH369" s="1107">
        <f t="shared" si="145"/>
        <v>2.5124621724868582E-2</v>
      </c>
      <c r="BI369" s="11">
        <v>44551</v>
      </c>
      <c r="BJ369" s="744">
        <v>3.4585990894358133E-4</v>
      </c>
      <c r="BK369" s="744">
        <v>3.3877454961501758E-3</v>
      </c>
      <c r="BL369" s="744">
        <v>1.9042134665234075E-2</v>
      </c>
      <c r="BM369" s="744">
        <v>4.9488671911252009E-2</v>
      </c>
      <c r="BN369" s="744">
        <v>0.12297283777059725</v>
      </c>
      <c r="BO369" s="745">
        <v>0.20839509902038719</v>
      </c>
      <c r="BP369" s="744">
        <v>0.33781245320176417</v>
      </c>
      <c r="BQ369" s="744">
        <v>0.46732895605395952</v>
      </c>
      <c r="BR369" s="744">
        <v>0.61545937643552751</v>
      </c>
      <c r="BS369" s="744">
        <v>0.73394990468594834</v>
      </c>
      <c r="BT369" s="744">
        <v>0.83636887999729481</v>
      </c>
      <c r="BW369" s="1191">
        <f>'2018'!R\Max</f>
        <v>0.46469080739679702</v>
      </c>
      <c r="BX369" s="1189">
        <f>'2019'!R\Max</f>
        <v>0.87171466485893612</v>
      </c>
      <c r="BY369" s="1189">
        <f>'2020'!R\Max</f>
        <v>0.32274598612079691</v>
      </c>
      <c r="BZ369" s="1189">
        <f>'2021'!R\Max</f>
        <v>0.84465244539307605</v>
      </c>
      <c r="CA369" s="1189">
        <f>'2022'!R\Max</f>
        <v>0.95788592096314751</v>
      </c>
      <c r="CB369" s="1189">
        <f>'2023'!R\Max</f>
        <v>0.95564214474404408</v>
      </c>
      <c r="CC369" s="1189">
        <f>'2024'!R\Max</f>
        <v>0.95279529397324891</v>
      </c>
      <c r="CD369" s="1189">
        <f>'2025'!R\Max</f>
        <v>0.9636000786402017</v>
      </c>
      <c r="CE369" s="1189">
        <f>'2026'!R\Max</f>
        <v>0.96254697440393544</v>
      </c>
      <c r="CF369" s="1190">
        <f>'2027'!R\Max</f>
        <v>0.96122980640830435</v>
      </c>
    </row>
    <row r="370" spans="1:84" s="6" customFormat="1" ht="11.25" x14ac:dyDescent="0.2">
      <c r="A370" s="11">
        <v>43456</v>
      </c>
      <c r="B370" s="382">
        <f>'2022'!Maxi_hp</f>
        <v>17.399805301490186</v>
      </c>
      <c r="C370" s="85">
        <f>'2022'!An_max</f>
        <v>2021</v>
      </c>
      <c r="D370" s="1134"/>
      <c r="E370" s="711"/>
      <c r="F370" s="13">
        <f t="shared" si="146"/>
        <v>27</v>
      </c>
      <c r="G370" s="13">
        <f t="shared" si="130"/>
        <v>26</v>
      </c>
      <c r="H370" s="175">
        <f t="shared" si="131"/>
        <v>43458</v>
      </c>
      <c r="I370" s="774">
        <f t="shared" si="132"/>
        <v>0.14285714285714285</v>
      </c>
      <c r="J370" s="765">
        <f t="shared" si="133"/>
        <v>18.049832946487836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P370" s="13">
        <f t="shared" si="134"/>
        <v>15</v>
      </c>
      <c r="AQ370" s="13">
        <f t="shared" si="135"/>
        <v>14</v>
      </c>
      <c r="AR370" s="175">
        <f t="shared" si="136"/>
        <v>43473</v>
      </c>
      <c r="AS370" s="774">
        <f t="shared" si="137"/>
        <v>0.58620689655172409</v>
      </c>
      <c r="AT370" s="791">
        <f t="shared" si="138"/>
        <v>18.221145881147219</v>
      </c>
      <c r="AU370" s="13">
        <f t="shared" si="139"/>
        <v>13</v>
      </c>
      <c r="AV370" s="13">
        <f t="shared" si="140"/>
        <v>14</v>
      </c>
      <c r="AW370" s="175">
        <f t="shared" si="141"/>
        <v>43430</v>
      </c>
      <c r="AX370" s="774">
        <f t="shared" si="142"/>
        <v>0.9285714285714286</v>
      </c>
      <c r="AY370" s="791">
        <f t="shared" si="143"/>
        <v>18.058804456410662</v>
      </c>
      <c r="AZ370" s="765">
        <f t="shared" si="147"/>
        <v>18.139975168778939</v>
      </c>
      <c r="BA370" s="649">
        <f t="shared" si="144"/>
        <v>0.96398705478744429</v>
      </c>
      <c r="BB370" s="644">
        <v>43456</v>
      </c>
      <c r="BC370" s="11">
        <v>43456</v>
      </c>
      <c r="BD370" s="292">
        <f>[2]!FeuilCaduc*(1-Persistant)+Persistant</f>
        <v>1</v>
      </c>
      <c r="BE370" s="293">
        <f>[2]!CroissVégét</f>
        <v>0.99999984492411664</v>
      </c>
      <c r="BF370" s="844">
        <f>1+[2]!Salcycl*Ksac</f>
        <v>1.0016379182364183</v>
      </c>
      <c r="BH370" s="1107">
        <f t="shared" si="145"/>
        <v>2.5130668624398708E-2</v>
      </c>
      <c r="BI370" s="11">
        <v>44552</v>
      </c>
      <c r="BJ370" s="746">
        <v>3.4594314920661026E-4</v>
      </c>
      <c r="BK370" s="746">
        <v>3.3885608460039237E-3</v>
      </c>
      <c r="BL370" s="746">
        <v>1.9046717654638678E-2</v>
      </c>
      <c r="BM370" s="746">
        <v>4.9500582658812874E-2</v>
      </c>
      <c r="BN370" s="746">
        <v>0.12300243441101939</v>
      </c>
      <c r="BO370" s="747">
        <v>0.20844525476960188</v>
      </c>
      <c r="BP370" s="746">
        <v>0.33789375663339016</v>
      </c>
      <c r="BQ370" s="746">
        <v>0.46744143103072616</v>
      </c>
      <c r="BR370" s="746">
        <v>0.61560750288514876</v>
      </c>
      <c r="BS370" s="746">
        <v>0.73412654899058249</v>
      </c>
      <c r="BT370" s="746">
        <v>0.83657017411598245</v>
      </c>
      <c r="BW370" s="1191">
        <f>'2018'!R\Max</f>
        <v>0.39321416638907308</v>
      </c>
      <c r="BX370" s="1189">
        <f>'2019'!R\Max</f>
        <v>0.33610859580019109</v>
      </c>
      <c r="BY370" s="1189">
        <f>'2020'!R\Max</f>
        <v>0.49091523230235806</v>
      </c>
      <c r="BZ370" s="1189">
        <f>'2021'!R\Max</f>
        <v>0.96398705478744429</v>
      </c>
      <c r="CA370" s="1189">
        <f>'2022'!R\Max</f>
        <v>0.83246135111029818</v>
      </c>
      <c r="CB370" s="1189">
        <f>'2023'!R\Max</f>
        <v>0.82476604463957259</v>
      </c>
      <c r="CC370" s="1189">
        <f>'2024'!R\Max</f>
        <v>0.81515527611408112</v>
      </c>
      <c r="CD370" s="1189">
        <f>'2025'!R\Max</f>
        <v>0.8525549948158635</v>
      </c>
      <c r="CE370" s="1189">
        <f>'2026'!R\Max</f>
        <v>0.84879703566657139</v>
      </c>
      <c r="CF370" s="1190">
        <f>'2027'!R\Max</f>
        <v>0.84413198758800745</v>
      </c>
    </row>
    <row r="371" spans="1:84" s="6" customFormat="1" ht="11.25" x14ac:dyDescent="0.2">
      <c r="A371" s="11">
        <v>43457</v>
      </c>
      <c r="B371" s="382">
        <f>'2022'!Maxi_hp</f>
        <v>16.064164889067985</v>
      </c>
      <c r="C371" s="85">
        <f>'2022'!An_max</f>
        <v>2020</v>
      </c>
      <c r="D371" s="1134"/>
      <c r="E371" s="711"/>
      <c r="F371" s="13">
        <f t="shared" si="146"/>
        <v>27</v>
      </c>
      <c r="G371" s="13">
        <f t="shared" si="130"/>
        <v>26</v>
      </c>
      <c r="H371" s="175">
        <f t="shared" si="131"/>
        <v>43458</v>
      </c>
      <c r="I371" s="774">
        <f t="shared" si="132"/>
        <v>7.1428571428571425E-2</v>
      </c>
      <c r="J371" s="765">
        <f t="shared" si="133"/>
        <v>18.082093271506686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P371" s="13">
        <f t="shared" si="134"/>
        <v>15</v>
      </c>
      <c r="AQ371" s="13">
        <f t="shared" si="135"/>
        <v>14</v>
      </c>
      <c r="AR371" s="175">
        <f t="shared" si="136"/>
        <v>43473</v>
      </c>
      <c r="AS371" s="774">
        <f t="shared" si="137"/>
        <v>0.55172413793103448</v>
      </c>
      <c r="AT371" s="791">
        <f t="shared" si="138"/>
        <v>18.258419030185401</v>
      </c>
      <c r="AU371" s="13">
        <f t="shared" si="139"/>
        <v>13</v>
      </c>
      <c r="AV371" s="13">
        <f t="shared" si="140"/>
        <v>14</v>
      </c>
      <c r="AW371" s="175">
        <f t="shared" si="141"/>
        <v>43430</v>
      </c>
      <c r="AX371" s="774">
        <f t="shared" si="142"/>
        <v>0.9642857142857143</v>
      </c>
      <c r="AY371" s="791">
        <f t="shared" si="143"/>
        <v>18.085588894172439</v>
      </c>
      <c r="AZ371" s="765">
        <f t="shared" si="147"/>
        <v>18.17200396217892</v>
      </c>
      <c r="BA371" s="649">
        <f t="shared" si="144"/>
        <v>0.88840183754507551</v>
      </c>
      <c r="BB371" s="644">
        <v>43457</v>
      </c>
      <c r="BC371" s="11">
        <v>43457</v>
      </c>
      <c r="BD371" s="292">
        <f>[2]!FeuilCaduc*(1-Persistant)+Persistant</f>
        <v>1</v>
      </c>
      <c r="BE371" s="293">
        <f>[2]!CroissVégét</f>
        <v>0.99999984492411664</v>
      </c>
      <c r="BF371" s="844">
        <f>1+[2]!Salcycl*Ksac</f>
        <v>1.001522806462857</v>
      </c>
      <c r="BH371" s="1107">
        <f t="shared" si="145"/>
        <v>2.5120532917332412E-2</v>
      </c>
      <c r="BI371" s="11">
        <v>44553</v>
      </c>
      <c r="BJ371" s="744">
        <v>3.4710800207514751E-4</v>
      </c>
      <c r="BK371" s="744">
        <v>3.3816934259080955E-3</v>
      </c>
      <c r="BL371" s="744">
        <v>1.9031363972345502E-2</v>
      </c>
      <c r="BM371" s="744">
        <v>4.9511348107647533E-2</v>
      </c>
      <c r="BN371" s="744">
        <v>0.12295937479510617</v>
      </c>
      <c r="BO371" s="745">
        <v>0.20844638482536848</v>
      </c>
      <c r="BP371" s="744">
        <v>0.33790490735015993</v>
      </c>
      <c r="BQ371" s="744">
        <v>0.46751860723700184</v>
      </c>
      <c r="BR371" s="744">
        <v>0.61570686484423243</v>
      </c>
      <c r="BS371" s="744">
        <v>0.73435797702142314</v>
      </c>
      <c r="BT371" s="744">
        <v>0.83707818150587454</v>
      </c>
      <c r="BW371" s="1191">
        <f>'2018'!R\Max</f>
        <v>0.25623606559744472</v>
      </c>
      <c r="BX371" s="1189">
        <f>'2019'!R\Max</f>
        <v>0.41627810676655885</v>
      </c>
      <c r="BY371" s="1189">
        <f>'2020'!R\Max</f>
        <v>0.88840183754507551</v>
      </c>
      <c r="BZ371" s="1189">
        <f>'2021'!R\Max</f>
        <v>0.34614815023684997</v>
      </c>
      <c r="CA371" s="1189">
        <f>'2022'!R\Max</f>
        <v>0.87676528194566938</v>
      </c>
      <c r="CB371" s="1189">
        <f>'2023'!R\Max</f>
        <v>0.87080002879038487</v>
      </c>
      <c r="CC371" s="1189">
        <f>'2024'!R\Max</f>
        <v>0.86330702172725393</v>
      </c>
      <c r="CD371" s="1189">
        <f>'2025'!R\Max</f>
        <v>0.89220617011497105</v>
      </c>
      <c r="CE371" s="1189">
        <f>'2026'!R\Max</f>
        <v>0.8893345832568037</v>
      </c>
      <c r="CF371" s="1190">
        <f>'2027'!R\Max</f>
        <v>0.88575933515180982</v>
      </c>
    </row>
    <row r="372" spans="1:84" s="6" customFormat="1" ht="11.25" x14ac:dyDescent="0.2">
      <c r="A372" s="11">
        <v>43458</v>
      </c>
      <c r="B372" s="382">
        <f>'2022'!Maxi_hp</f>
        <v>18.395161157636586</v>
      </c>
      <c r="C372" s="85">
        <f>'2022'!An_max</f>
        <v>2022</v>
      </c>
      <c r="D372" s="1134"/>
      <c r="E372" s="773">
        <f>AM$13/10</f>
        <v>18.1248</v>
      </c>
      <c r="F372" s="13">
        <f t="shared" si="146"/>
        <v>27</v>
      </c>
      <c r="G372" s="13">
        <f t="shared" si="130"/>
        <v>28</v>
      </c>
      <c r="H372" s="175">
        <f t="shared" si="131"/>
        <v>43458</v>
      </c>
      <c r="I372" s="774">
        <f t="shared" si="132"/>
        <v>0</v>
      </c>
      <c r="J372" s="765">
        <f t="shared" si="133"/>
        <v>18.124800004065037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P372" s="13">
        <f t="shared" si="134"/>
        <v>15</v>
      </c>
      <c r="AQ372" s="13">
        <f t="shared" si="135"/>
        <v>14</v>
      </c>
      <c r="AR372" s="175">
        <f t="shared" si="136"/>
        <v>43473</v>
      </c>
      <c r="AS372" s="774">
        <f t="shared" si="137"/>
        <v>0.51724137931034486</v>
      </c>
      <c r="AT372" s="791">
        <f t="shared" si="138"/>
        <v>18.304008008385527</v>
      </c>
      <c r="AU372" s="13">
        <f t="shared" si="139"/>
        <v>15</v>
      </c>
      <c r="AV372" s="13">
        <f t="shared" si="140"/>
        <v>14</v>
      </c>
      <c r="AW372" s="175">
        <f t="shared" si="141"/>
        <v>43487</v>
      </c>
      <c r="AX372" s="774">
        <f t="shared" si="142"/>
        <v>1</v>
      </c>
      <c r="AY372" s="791">
        <f t="shared" si="143"/>
        <v>18.124799999594689</v>
      </c>
      <c r="AZ372" s="765">
        <f t="shared" si="147"/>
        <v>18.214404003990108</v>
      </c>
      <c r="BA372" s="649">
        <f t="shared" si="144"/>
        <v>1.0149166420325142</v>
      </c>
      <c r="BB372" s="644">
        <v>43458</v>
      </c>
      <c r="BC372" s="11">
        <v>43458</v>
      </c>
      <c r="BD372" s="292">
        <f>[2]!FeuilCaduc*(1-Persistant)+Persistant</f>
        <v>1</v>
      </c>
      <c r="BE372" s="293">
        <f>[2]!CroissVégét</f>
        <v>0.99999984492411664</v>
      </c>
      <c r="BF372" s="844">
        <f>1+[2]!Salcycl*Ksac</f>
        <v>1.0014164901671996</v>
      </c>
      <c r="BH372" s="1107">
        <f t="shared" si="145"/>
        <v>2.5094195268108202E-2</v>
      </c>
      <c r="BI372" s="11">
        <v>44554</v>
      </c>
      <c r="BJ372" s="744">
        <v>3.4935539105575134E-4</v>
      </c>
      <c r="BK372" s="744">
        <v>3.3671356116747523E-3</v>
      </c>
      <c r="BL372" s="744">
        <v>1.8996051966666587E-2</v>
      </c>
      <c r="BM372" s="744">
        <v>4.9520958199685945E-2</v>
      </c>
      <c r="BN372" s="744">
        <v>0.12284357025845037</v>
      </c>
      <c r="BO372" s="745">
        <v>0.20839840651768859</v>
      </c>
      <c r="BP372" s="744">
        <v>0.33784577984182135</v>
      </c>
      <c r="BQ372" s="744">
        <v>0.4675603673623881</v>
      </c>
      <c r="BR372" s="744">
        <v>0.61575730574146237</v>
      </c>
      <c r="BS372" s="744">
        <v>0.73464410506869748</v>
      </c>
      <c r="BT372" s="744">
        <v>0.8378930295790068</v>
      </c>
      <c r="BW372" s="1191">
        <f>'2018'!R\Max</f>
        <v>0.28556540259936869</v>
      </c>
      <c r="BX372" s="1189">
        <f>'2019'!R\Max</f>
        <v>0.7627524364883983</v>
      </c>
      <c r="BY372" s="1189">
        <f>'2020'!R\Max</f>
        <v>0.56953038223098174</v>
      </c>
      <c r="BZ372" s="1189">
        <f>'2021'!R\Max</f>
        <v>0.55848351041730127</v>
      </c>
      <c r="CA372" s="1189">
        <f>'2022'!R\Max</f>
        <v>1.0149166420325142</v>
      </c>
      <c r="CB372" s="1189">
        <f>'2023'!R\Max</f>
        <v>1.0149166420325137</v>
      </c>
      <c r="CC372" s="1189">
        <f>'2024'!R\Max</f>
        <v>1.014916642032514</v>
      </c>
      <c r="CD372" s="1189">
        <f>'2025'!R\Max</f>
        <v>1.014916642032514</v>
      </c>
      <c r="CE372" s="1189">
        <f>'2026'!R\Max</f>
        <v>1.014916642032514</v>
      </c>
      <c r="CF372" s="1190">
        <f>'2027'!R\Max</f>
        <v>1.014916642032514</v>
      </c>
    </row>
    <row r="373" spans="1:84" s="6" customFormat="1" ht="11.25" x14ac:dyDescent="0.2">
      <c r="A373" s="11">
        <v>43459</v>
      </c>
      <c r="B373" s="382">
        <f>'2022'!Maxi_hp</f>
        <v>13.899256266993024</v>
      </c>
      <c r="C373" s="85">
        <f>'2022'!An_max</f>
        <v>2018</v>
      </c>
      <c r="D373" s="1134"/>
      <c r="E373" s="711"/>
      <c r="F373" s="13">
        <f t="shared" si="146"/>
        <v>27</v>
      </c>
      <c r="G373" s="13">
        <f t="shared" si="130"/>
        <v>28</v>
      </c>
      <c r="H373" s="175">
        <f t="shared" si="131"/>
        <v>43458</v>
      </c>
      <c r="I373" s="774">
        <f t="shared" si="132"/>
        <v>6.6666666666666666E-2</v>
      </c>
      <c r="J373" s="765">
        <f t="shared" si="133"/>
        <v>18.178377564450106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P373" s="13">
        <f t="shared" si="134"/>
        <v>15</v>
      </c>
      <c r="AQ373" s="13">
        <f t="shared" si="135"/>
        <v>14</v>
      </c>
      <c r="AR373" s="175">
        <f t="shared" si="136"/>
        <v>43473</v>
      </c>
      <c r="AS373" s="774">
        <f t="shared" si="137"/>
        <v>0.48275862068965519</v>
      </c>
      <c r="AT373" s="791">
        <f t="shared" si="138"/>
        <v>18.357886726537654</v>
      </c>
      <c r="AU373" s="13">
        <f t="shared" si="139"/>
        <v>15</v>
      </c>
      <c r="AV373" s="13">
        <f t="shared" si="140"/>
        <v>14</v>
      </c>
      <c r="AW373" s="175">
        <f t="shared" si="141"/>
        <v>43487</v>
      </c>
      <c r="AX373" s="774">
        <f t="shared" si="142"/>
        <v>0.96551724137931039</v>
      </c>
      <c r="AY373" s="791">
        <f t="shared" si="143"/>
        <v>18.176923878979064</v>
      </c>
      <c r="AZ373" s="765">
        <f t="shared" si="147"/>
        <v>18.267405302758359</v>
      </c>
      <c r="BA373" s="649">
        <f t="shared" si="144"/>
        <v>0.76460378368279736</v>
      </c>
      <c r="BB373" s="644">
        <v>43459</v>
      </c>
      <c r="BC373" s="11">
        <v>43459</v>
      </c>
      <c r="BD373" s="292">
        <f>[2]!FeuilCaduc*(1-Persistant)+Persistant</f>
        <v>1</v>
      </c>
      <c r="BE373" s="293">
        <f>[2]!CroissVégét</f>
        <v>0.99999984492411664</v>
      </c>
      <c r="BF373" s="844">
        <f>1+[2]!Salcycl*Ksac</f>
        <v>1.0013182249849721</v>
      </c>
      <c r="BH373" s="1107">
        <f t="shared" si="145"/>
        <v>2.5051572804636185E-2</v>
      </c>
      <c r="BI373" s="11">
        <v>44555</v>
      </c>
      <c r="BJ373" s="744">
        <v>3.5268559273028677E-4</v>
      </c>
      <c r="BK373" s="744">
        <v>3.344870251735407E-3</v>
      </c>
      <c r="BL373" s="744">
        <v>1.8940710491858595E-2</v>
      </c>
      <c r="BM373" s="744">
        <v>4.952928309170726E-2</v>
      </c>
      <c r="BN373" s="744">
        <v>0.12265462229954198</v>
      </c>
      <c r="BO373" s="745">
        <v>0.20830072504892494</v>
      </c>
      <c r="BP373" s="744">
        <v>0.33771542005618688</v>
      </c>
      <c r="BQ373" s="744">
        <v>0.467565458673248</v>
      </c>
      <c r="BR373" s="744">
        <v>0.61575717328686552</v>
      </c>
      <c r="BS373" s="744">
        <v>0.73498308545794588</v>
      </c>
      <c r="BT373" s="744">
        <v>0.83901287827512949</v>
      </c>
      <c r="BW373" s="1191">
        <f>'2018'!R\Max</f>
        <v>0.76460378368279736</v>
      </c>
      <c r="BX373" s="1189">
        <f>'2019'!R\Max</f>
        <v>0.56344531211747595</v>
      </c>
      <c r="BY373" s="1189">
        <f>'2020'!R\Max</f>
        <v>0.55133972037843626</v>
      </c>
      <c r="BZ373" s="1189">
        <f>'2021'!R\Max</f>
        <v>0.51964336488196261</v>
      </c>
      <c r="CA373" s="1189">
        <f>'2022'!R\Max</f>
        <v>0.53161817663495359</v>
      </c>
      <c r="CB373" s="1189">
        <f>'2023'!R\Max</f>
        <v>0.51820654198482474</v>
      </c>
      <c r="CC373" s="1189">
        <f>'2024'!R\Max</f>
        <v>0.50202819400428333</v>
      </c>
      <c r="CD373" s="1189">
        <f>'2025'!R\Max</f>
        <v>0.56881613757844818</v>
      </c>
      <c r="CE373" s="1189">
        <f>'2026'!R\Max</f>
        <v>0.56162854578395438</v>
      </c>
      <c r="CF373" s="1190">
        <f>'2027'!R\Max</f>
        <v>0.55285433270608841</v>
      </c>
    </row>
    <row r="374" spans="1:84" s="6" customFormat="1" ht="11.25" x14ac:dyDescent="0.2">
      <c r="A374" s="11">
        <v>43460</v>
      </c>
      <c r="B374" s="382">
        <f>'2022'!Maxi_hp</f>
        <v>17.569018811526597</v>
      </c>
      <c r="C374" s="85">
        <f>'2022'!An_max</f>
        <v>2018</v>
      </c>
      <c r="D374" s="1134"/>
      <c r="E374" s="711"/>
      <c r="F374" s="13">
        <f t="shared" si="146"/>
        <v>27</v>
      </c>
      <c r="G374" s="13">
        <f t="shared" si="130"/>
        <v>28</v>
      </c>
      <c r="H374" s="175">
        <f t="shared" si="131"/>
        <v>43458</v>
      </c>
      <c r="I374" s="774">
        <f t="shared" si="132"/>
        <v>0.13333333333333333</v>
      </c>
      <c r="J374" s="765">
        <f t="shared" si="133"/>
        <v>18.242992134094237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P374" s="13">
        <f t="shared" si="134"/>
        <v>15</v>
      </c>
      <c r="AQ374" s="13">
        <f t="shared" si="135"/>
        <v>14</v>
      </c>
      <c r="AR374" s="175">
        <f t="shared" si="136"/>
        <v>43473</v>
      </c>
      <c r="AS374" s="774">
        <f t="shared" si="137"/>
        <v>0.44827586206896552</v>
      </c>
      <c r="AT374" s="791">
        <f t="shared" si="138"/>
        <v>18.420029088084039</v>
      </c>
      <c r="AU374" s="13">
        <f t="shared" si="139"/>
        <v>15</v>
      </c>
      <c r="AV374" s="13">
        <f t="shared" si="140"/>
        <v>14</v>
      </c>
      <c r="AW374" s="175">
        <f t="shared" si="141"/>
        <v>43487</v>
      </c>
      <c r="AX374" s="774">
        <f t="shared" si="142"/>
        <v>0.93103448275862066</v>
      </c>
      <c r="AY374" s="791">
        <f t="shared" si="143"/>
        <v>18.241953992124262</v>
      </c>
      <c r="AZ374" s="765">
        <f t="shared" si="147"/>
        <v>18.330991540104151</v>
      </c>
      <c r="BA374" s="649">
        <f t="shared" si="144"/>
        <v>0.96305576861440101</v>
      </c>
      <c r="BB374" s="644">
        <v>43460</v>
      </c>
      <c r="BC374" s="11">
        <v>43460</v>
      </c>
      <c r="BD374" s="292">
        <f>[2]!FeuilCaduc*(1-Persistant)+Persistant</f>
        <v>1</v>
      </c>
      <c r="BE374" s="293">
        <f>[2]!CroissVégét</f>
        <v>0.99999984492411664</v>
      </c>
      <c r="BF374" s="844">
        <f>1+[2]!Salcycl*Ksac</f>
        <v>1.0012273016484756</v>
      </c>
      <c r="BH374" s="1107">
        <f t="shared" si="145"/>
        <v>2.4992580125042796E-2</v>
      </c>
      <c r="BI374" s="11">
        <v>44556</v>
      </c>
      <c r="BJ374" s="744">
        <v>3.5709904313423852E-4</v>
      </c>
      <c r="BK374" s="744">
        <v>3.3148790341140919E-3</v>
      </c>
      <c r="BL374" s="744">
        <v>1.8865265342182507E-2</v>
      </c>
      <c r="BM374" s="744">
        <v>4.9536192534527755E-2</v>
      </c>
      <c r="BN374" s="744">
        <v>0.12239212101034679</v>
      </c>
      <c r="BO374" s="745">
        <v>0.20815273732823558</v>
      </c>
      <c r="BP374" s="744">
        <v>0.33751286188560675</v>
      </c>
      <c r="BQ374" s="744">
        <v>0.46753262095572468</v>
      </c>
      <c r="BR374" s="744">
        <v>0.61570480500008551</v>
      </c>
      <c r="BS374" s="744">
        <v>0.73537307518354</v>
      </c>
      <c r="BT374" s="744">
        <v>0.84043592923883303</v>
      </c>
      <c r="BW374" s="1191">
        <f>'2018'!R\Max</f>
        <v>0.96305576861440101</v>
      </c>
      <c r="BX374" s="1189">
        <f>'2019'!R\Max</f>
        <v>0.3475260328660551</v>
      </c>
      <c r="BY374" s="1189">
        <f>'2020'!R\Max</f>
        <v>0.18086092472252338</v>
      </c>
      <c r="BZ374" s="1189">
        <f>'2021'!R\Max</f>
        <v>0.62296401599972528</v>
      </c>
      <c r="CA374" s="1189">
        <f>'2022'!R\Max</f>
        <v>0.86885114318988133</v>
      </c>
      <c r="CB374" s="1189">
        <f>'2023'!R\Max</f>
        <v>0.86262589242231691</v>
      </c>
      <c r="CC374" s="1189">
        <f>'2024'!R\Max</f>
        <v>0.85479366514257249</v>
      </c>
      <c r="CD374" s="1189">
        <f>'2025'!R\Max</f>
        <v>0.88498943978003575</v>
      </c>
      <c r="CE374" s="1189">
        <f>'2026'!R\Max</f>
        <v>0.88199907320086812</v>
      </c>
      <c r="CF374" s="1190">
        <f>'2027'!R\Max</f>
        <v>0.87826711462869278</v>
      </c>
    </row>
    <row r="375" spans="1:84" s="6" customFormat="1" ht="11.25" x14ac:dyDescent="0.2">
      <c r="A375" s="11">
        <v>43461</v>
      </c>
      <c r="B375" s="382">
        <f>'2022'!Maxi_hp</f>
        <v>17.805021501401317</v>
      </c>
      <c r="C375" s="85">
        <f>'2022'!An_max</f>
        <v>2018</v>
      </c>
      <c r="D375" s="1134"/>
      <c r="E375" s="711"/>
      <c r="F375" s="13">
        <f t="shared" si="146"/>
        <v>27</v>
      </c>
      <c r="G375" s="13">
        <f t="shared" si="130"/>
        <v>28</v>
      </c>
      <c r="H375" s="175">
        <f t="shared" si="131"/>
        <v>43458</v>
      </c>
      <c r="I375" s="774">
        <f t="shared" si="132"/>
        <v>0.2</v>
      </c>
      <c r="J375" s="765">
        <f t="shared" si="133"/>
        <v>18.318381400704386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P375" s="13">
        <f t="shared" si="134"/>
        <v>15</v>
      </c>
      <c r="AQ375" s="13">
        <f t="shared" si="135"/>
        <v>14</v>
      </c>
      <c r="AR375" s="175">
        <f t="shared" si="136"/>
        <v>43473</v>
      </c>
      <c r="AS375" s="774">
        <f t="shared" si="137"/>
        <v>0.41379310344827586</v>
      </c>
      <c r="AT375" s="791">
        <f t="shared" si="138"/>
        <v>18.490409003763364</v>
      </c>
      <c r="AU375" s="13">
        <f t="shared" si="139"/>
        <v>15</v>
      </c>
      <c r="AV375" s="13">
        <f t="shared" si="140"/>
        <v>14</v>
      </c>
      <c r="AW375" s="175">
        <f t="shared" si="141"/>
        <v>43487</v>
      </c>
      <c r="AX375" s="774">
        <f t="shared" si="142"/>
        <v>0.89655172413793105</v>
      </c>
      <c r="AY375" s="791">
        <f t="shared" si="143"/>
        <v>18.319499885111021</v>
      </c>
      <c r="AZ375" s="765">
        <f t="shared" si="147"/>
        <v>18.404954444437195</v>
      </c>
      <c r="BA375" s="649">
        <f t="shared" si="144"/>
        <v>0.97197569544636031</v>
      </c>
      <c r="BB375" s="644">
        <v>43461</v>
      </c>
      <c r="BC375" s="11">
        <v>43461</v>
      </c>
      <c r="BD375" s="292">
        <f>[2]!FeuilCaduc*(1-Persistant)+Persistant</f>
        <v>1</v>
      </c>
      <c r="BE375" s="293">
        <f>[2]!CroissVégét</f>
        <v>0.99999984492411664</v>
      </c>
      <c r="BF375" s="844">
        <f>1+[2]!Salcycl*Ksac</f>
        <v>1.0011430485502433</v>
      </c>
      <c r="BH375" s="1107">
        <f t="shared" si="145"/>
        <v>2.4914968981639904E-2</v>
      </c>
      <c r="BI375" s="11">
        <v>44557</v>
      </c>
      <c r="BJ375" s="744">
        <v>3.6321169555772947E-4</v>
      </c>
      <c r="BK375" s="744">
        <v>3.2756121508060697E-3</v>
      </c>
      <c r="BL375" s="744">
        <v>1.8765369657687873E-2</v>
      </c>
      <c r="BM375" s="744">
        <v>4.9547844495545244E-2</v>
      </c>
      <c r="BN375" s="744">
        <v>0.12202448067574256</v>
      </c>
      <c r="BO375" s="745">
        <v>0.20791275441970472</v>
      </c>
      <c r="BP375" s="744">
        <v>0.33708843125717558</v>
      </c>
      <c r="BQ375" s="744">
        <v>0.46733677945377766</v>
      </c>
      <c r="BR375" s="744">
        <v>0.61547602399084356</v>
      </c>
      <c r="BS375" s="744">
        <v>0.73579366812493718</v>
      </c>
      <c r="BT375" s="744">
        <v>0.84218142258333517</v>
      </c>
      <c r="BW375" s="1191">
        <f>'2018'!R\Max</f>
        <v>0.97197569544636031</v>
      </c>
      <c r="BX375" s="1189">
        <f>'2019'!R\Max</f>
        <v>0.85992399550593712</v>
      </c>
      <c r="BY375" s="1189">
        <f>'2020'!R\Max</f>
        <v>0.56652990410146808</v>
      </c>
      <c r="BZ375" s="1189">
        <f>'2021'!R\Max</f>
        <v>0.63623497045225796</v>
      </c>
      <c r="CA375" s="1189">
        <f>'2022'!R\Max</f>
        <v>0.3816011714346968</v>
      </c>
      <c r="CB375" s="1189">
        <f>'2023'!R\Max</f>
        <v>0.36911169535742466</v>
      </c>
      <c r="CC375" s="1189">
        <f>'2024'!R\Max</f>
        <v>0.35425097531696642</v>
      </c>
      <c r="CD375" s="1189">
        <f>'2025'!R\Max</f>
        <v>0.41729078569482231</v>
      </c>
      <c r="CE375" s="1189">
        <f>'2026'!R\Max</f>
        <v>0.41030373703840589</v>
      </c>
      <c r="CF375" s="1190">
        <f>'2027'!R\Max</f>
        <v>0.40182885009345992</v>
      </c>
    </row>
    <row r="376" spans="1:84" s="6" customFormat="1" ht="11.25" x14ac:dyDescent="0.2">
      <c r="A376" s="11">
        <v>43462</v>
      </c>
      <c r="B376" s="382">
        <f>'2022'!Maxi_hp</f>
        <v>16.929099541079747</v>
      </c>
      <c r="C376" s="85">
        <f>'2022'!An_max</f>
        <v>2022</v>
      </c>
      <c r="D376" s="1134"/>
      <c r="E376" s="711"/>
      <c r="F376" s="13">
        <f t="shared" si="146"/>
        <v>27</v>
      </c>
      <c r="G376" s="13">
        <f t="shared" si="130"/>
        <v>28</v>
      </c>
      <c r="H376" s="175">
        <f t="shared" si="131"/>
        <v>43458</v>
      </c>
      <c r="I376" s="774">
        <f t="shared" si="132"/>
        <v>0.26666666666666666</v>
      </c>
      <c r="J376" s="765">
        <f t="shared" si="133"/>
        <v>18.404283062020937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P376" s="13">
        <f t="shared" si="134"/>
        <v>15</v>
      </c>
      <c r="AQ376" s="13">
        <f t="shared" si="135"/>
        <v>14</v>
      </c>
      <c r="AR376" s="175">
        <f t="shared" si="136"/>
        <v>43473</v>
      </c>
      <c r="AS376" s="774">
        <f t="shared" si="137"/>
        <v>0.37931034482758619</v>
      </c>
      <c r="AT376" s="791">
        <f t="shared" si="138"/>
        <v>18.569000383286642</v>
      </c>
      <c r="AU376" s="13">
        <f t="shared" si="139"/>
        <v>15</v>
      </c>
      <c r="AV376" s="13">
        <f t="shared" si="140"/>
        <v>14</v>
      </c>
      <c r="AW376" s="175">
        <f t="shared" si="141"/>
        <v>43487</v>
      </c>
      <c r="AX376" s="774">
        <f t="shared" si="142"/>
        <v>0.86206896551724133</v>
      </c>
      <c r="AY376" s="791">
        <f t="shared" si="143"/>
        <v>18.409171101450919</v>
      </c>
      <c r="AZ376" s="765">
        <f t="shared" si="147"/>
        <v>18.489085742368779</v>
      </c>
      <c r="BA376" s="649">
        <f t="shared" si="144"/>
        <v>0.91984564049738082</v>
      </c>
      <c r="BB376" s="644">
        <v>43462</v>
      </c>
      <c r="BC376" s="11">
        <v>43462</v>
      </c>
      <c r="BD376" s="292">
        <f>[2]!FeuilCaduc*(1-Persistant)+Persistant</f>
        <v>1</v>
      </c>
      <c r="BE376" s="293">
        <f>[2]!CroissVégét</f>
        <v>0.99999984492411664</v>
      </c>
      <c r="BF376" s="844">
        <f>1+[2]!Salcycl*Ksac</f>
        <v>1.0010648338936317</v>
      </c>
      <c r="BH376" s="1107">
        <f t="shared" si="145"/>
        <v>2.4827153880993866E-2</v>
      </c>
      <c r="BI376" s="11">
        <v>44558</v>
      </c>
      <c r="BJ376" s="744">
        <v>3.704887111390761E-4</v>
      </c>
      <c r="BK376" s="744">
        <v>3.2309499614424056E-3</v>
      </c>
      <c r="BL376" s="744">
        <v>1.8651229212248849E-2</v>
      </c>
      <c r="BM376" s="744">
        <v>4.9565478369212122E-2</v>
      </c>
      <c r="BN376" s="744">
        <v>0.12158959005579571</v>
      </c>
      <c r="BO376" s="745">
        <v>0.20760798990906626</v>
      </c>
      <c r="BP376" s="744">
        <v>0.33648148810267614</v>
      </c>
      <c r="BQ376" s="744">
        <v>0.46700164363593394</v>
      </c>
      <c r="BR376" s="744">
        <v>0.61510324138218175</v>
      </c>
      <c r="BS376" s="744">
        <v>0.7362272654654225</v>
      </c>
      <c r="BT376" s="744">
        <v>0.84410735019274008</v>
      </c>
      <c r="BW376" s="1191">
        <f>'2018'!R\Max</f>
        <v>0.16616257474653107</v>
      </c>
      <c r="BX376" s="1189">
        <f>'2019'!R\Max</f>
        <v>0.20527228039851872</v>
      </c>
      <c r="BY376" s="1189">
        <f>'2020'!R\Max</f>
        <v>0.3544571951781797</v>
      </c>
      <c r="BZ376" s="1189">
        <f>'2021'!R\Max</f>
        <v>0.31402242060750479</v>
      </c>
      <c r="CA376" s="1189">
        <f>'2022'!R\Max</f>
        <v>0.91984564049738082</v>
      </c>
      <c r="CB376" s="1189">
        <f>'2023'!R\Max</f>
        <v>0.91585706498219699</v>
      </c>
      <c r="CC376" s="1189">
        <f>'2024'!R\Max</f>
        <v>0.91077888228240778</v>
      </c>
      <c r="CD376" s="1189">
        <f>'2025'!R\Max</f>
        <v>0.93009037514656756</v>
      </c>
      <c r="CE376" s="1189">
        <f>'2026'!R\Max</f>
        <v>0.92821320301148857</v>
      </c>
      <c r="CF376" s="1190">
        <f>'2027'!R\Max</f>
        <v>0.92585501285702843</v>
      </c>
    </row>
    <row r="377" spans="1:84" s="6" customFormat="1" ht="11.25" x14ac:dyDescent="0.2">
      <c r="A377" s="11">
        <v>43463</v>
      </c>
      <c r="B377" s="382">
        <f>'2022'!Maxi_hp</f>
        <v>18.983624487934243</v>
      </c>
      <c r="C377" s="85">
        <f>'2022'!An_max</f>
        <v>2019</v>
      </c>
      <c r="D377" s="1134"/>
      <c r="E377" s="711"/>
      <c r="F377" s="13">
        <f t="shared" si="146"/>
        <v>27</v>
      </c>
      <c r="G377" s="13">
        <f t="shared" si="130"/>
        <v>28</v>
      </c>
      <c r="H377" s="175">
        <f t="shared" si="131"/>
        <v>43458</v>
      </c>
      <c r="I377" s="774">
        <f t="shared" si="132"/>
        <v>0.33333333333333331</v>
      </c>
      <c r="J377" s="765">
        <f t="shared" si="133"/>
        <v>18.500434812406702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P377" s="13">
        <f t="shared" si="134"/>
        <v>15</v>
      </c>
      <c r="AQ377" s="13">
        <f t="shared" si="135"/>
        <v>14</v>
      </c>
      <c r="AR377" s="175">
        <f t="shared" si="136"/>
        <v>43473</v>
      </c>
      <c r="AS377" s="774">
        <f t="shared" si="137"/>
        <v>0.34482758620689657</v>
      </c>
      <c r="AT377" s="791">
        <f t="shared" si="138"/>
        <v>18.655777133641571</v>
      </c>
      <c r="AU377" s="13">
        <f t="shared" si="139"/>
        <v>15</v>
      </c>
      <c r="AV377" s="13">
        <f t="shared" si="140"/>
        <v>14</v>
      </c>
      <c r="AW377" s="175">
        <f t="shared" si="141"/>
        <v>43487</v>
      </c>
      <c r="AX377" s="774">
        <f t="shared" si="142"/>
        <v>0.82758620689655171</v>
      </c>
      <c r="AY377" s="791">
        <f t="shared" si="143"/>
        <v>18.510577186890718</v>
      </c>
      <c r="AZ377" s="765">
        <f t="shared" si="147"/>
        <v>18.583177160266146</v>
      </c>
      <c r="BA377" s="649">
        <f t="shared" si="144"/>
        <v>1.0261177469841685</v>
      </c>
      <c r="BB377" s="644">
        <v>43463</v>
      </c>
      <c r="BC377" s="11">
        <v>43463</v>
      </c>
      <c r="BD377" s="292">
        <f>[2]!FeuilCaduc*(1-Persistant)+Persistant</f>
        <v>1</v>
      </c>
      <c r="BE377" s="293">
        <f>[2]!CroissVégét</f>
        <v>0.99999984492411664</v>
      </c>
      <c r="BF377" s="844">
        <f>1+[2]!Salcycl*Ksac</f>
        <v>1.0009920674251018</v>
      </c>
      <c r="BH377" s="1107">
        <f t="shared" si="145"/>
        <v>2.4729052376265239E-2</v>
      </c>
      <c r="BI377" s="11">
        <v>44559</v>
      </c>
      <c r="BJ377" s="744">
        <v>3.7893097517904752E-4</v>
      </c>
      <c r="BK377" s="744">
        <v>3.1808747942456282E-3</v>
      </c>
      <c r="BL377" s="744">
        <v>1.852277117766607E-2</v>
      </c>
      <c r="BM377" s="744">
        <v>4.9588973180201022E-2</v>
      </c>
      <c r="BN377" s="744">
        <v>0.12108702415169126</v>
      </c>
      <c r="BO377" s="745">
        <v>0.20723780530191158</v>
      </c>
      <c r="BP377" s="744">
        <v>0.3356908968298668</v>
      </c>
      <c r="BQ377" s="744">
        <v>0.46652580628469204</v>
      </c>
      <c r="BR377" s="744">
        <v>0.6145846556512139</v>
      </c>
      <c r="BS377" s="744">
        <v>0.7366719888173664</v>
      </c>
      <c r="BT377" s="744">
        <v>0.8462118455872929</v>
      </c>
      <c r="BW377" s="1191">
        <f>'2018'!R\Max</f>
        <v>0.18152764375772465</v>
      </c>
      <c r="BX377" s="1189">
        <f>'2019'!R\Max</f>
        <v>1.0261177469841685</v>
      </c>
      <c r="BY377" s="1189">
        <f>'2020'!R\Max</f>
        <v>0.40272658427724256</v>
      </c>
      <c r="BZ377" s="1189">
        <f>'2021'!R\Max</f>
        <v>0.31772180465537825</v>
      </c>
      <c r="CA377" s="1189">
        <f>'2022'!R\Max</f>
        <v>0.58388562739414374</v>
      </c>
      <c r="CB377" s="1189">
        <f>'2023'!R\Max</f>
        <v>0.57108221998327602</v>
      </c>
      <c r="CC377" s="1189">
        <f>'2024'!R\Max</f>
        <v>0.55535759202435986</v>
      </c>
      <c r="CD377" s="1189">
        <f>'2025'!R\Max</f>
        <v>0.61901899818584039</v>
      </c>
      <c r="CE377" s="1189">
        <f>'2026'!R\Max</f>
        <v>0.6123482958943639</v>
      </c>
      <c r="CF377" s="1190">
        <f>'2027'!R\Max</f>
        <v>0.60411501151767277</v>
      </c>
    </row>
    <row r="378" spans="1:84" s="6" customFormat="1" ht="11.25" x14ac:dyDescent="0.2">
      <c r="A378" s="11">
        <v>43464</v>
      </c>
      <c r="B378" s="382">
        <f>'2022'!Maxi_hp</f>
        <v>18.10568803478461</v>
      </c>
      <c r="C378" s="85">
        <f>'2022'!An_max</f>
        <v>2019</v>
      </c>
      <c r="D378" s="1134"/>
      <c r="E378" s="711"/>
      <c r="F378" s="13">
        <f t="shared" si="146"/>
        <v>27</v>
      </c>
      <c r="G378" s="13">
        <f t="shared" si="130"/>
        <v>28</v>
      </c>
      <c r="H378" s="175">
        <f t="shared" si="131"/>
        <v>43458</v>
      </c>
      <c r="I378" s="774">
        <f t="shared" si="132"/>
        <v>0.4</v>
      </c>
      <c r="J378" s="765">
        <f t="shared" si="133"/>
        <v>18.606574346125125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P378" s="13">
        <f t="shared" si="134"/>
        <v>15</v>
      </c>
      <c r="AQ378" s="13">
        <f t="shared" si="135"/>
        <v>14</v>
      </c>
      <c r="AR378" s="175">
        <f t="shared" si="136"/>
        <v>43473</v>
      </c>
      <c r="AS378" s="774">
        <f t="shared" si="137"/>
        <v>0.31034482758620691</v>
      </c>
      <c r="AT378" s="791">
        <f t="shared" si="138"/>
        <v>18.750713167056958</v>
      </c>
      <c r="AU378" s="13">
        <f t="shared" si="139"/>
        <v>15</v>
      </c>
      <c r="AV378" s="13">
        <f t="shared" si="140"/>
        <v>14</v>
      </c>
      <c r="AW378" s="175">
        <f t="shared" si="141"/>
        <v>43487</v>
      </c>
      <c r="AX378" s="774">
        <f t="shared" si="142"/>
        <v>0.7931034482758621</v>
      </c>
      <c r="AY378" s="791">
        <f t="shared" si="143"/>
        <v>18.623327688615898</v>
      </c>
      <c r="AZ378" s="765">
        <f t="shared" si="147"/>
        <v>18.68702042783643</v>
      </c>
      <c r="BA378" s="649">
        <f t="shared" si="144"/>
        <v>0.97308014350073924</v>
      </c>
      <c r="BB378" s="644">
        <v>43464</v>
      </c>
      <c r="BC378" s="11">
        <v>43464</v>
      </c>
      <c r="BD378" s="292">
        <f>[2]!FeuilCaduc*(1-Persistant)+Persistant</f>
        <v>1</v>
      </c>
      <c r="BE378" s="293">
        <f>[2]!CroissVégét</f>
        <v>0.99999984492411664</v>
      </c>
      <c r="BF378" s="844">
        <f>1+[2]!Salcycl*Ksac</f>
        <v>1.0009242017465756</v>
      </c>
      <c r="BH378" s="1107">
        <f t="shared" si="145"/>
        <v>2.4620581872463666E-2</v>
      </c>
      <c r="BI378" s="11">
        <v>44560</v>
      </c>
      <c r="BJ378" s="744">
        <v>3.8853942412941526E-4</v>
      </c>
      <c r="BK378" s="744">
        <v>3.1253688625060018E-3</v>
      </c>
      <c r="BL378" s="744">
        <v>1.8379922402068229E-2</v>
      </c>
      <c r="BM378" s="744">
        <v>4.9618208508101745E-2</v>
      </c>
      <c r="BN378" s="744">
        <v>0.12051635542577362</v>
      </c>
      <c r="BO378" s="745">
        <v>0.20680155864778779</v>
      </c>
      <c r="BP378" s="744">
        <v>0.33471550905216635</v>
      </c>
      <c r="BQ378" s="744">
        <v>0.46590784948558278</v>
      </c>
      <c r="BR378" s="744">
        <v>0.61391845473336926</v>
      </c>
      <c r="BS378" s="744">
        <v>0.7371259580851931</v>
      </c>
      <c r="BT378" s="744">
        <v>0.84849304343413667</v>
      </c>
      <c r="BW378" s="1191">
        <f>'2018'!R\Max</f>
        <v>0.17830356179853232</v>
      </c>
      <c r="BX378" s="1189">
        <f>'2019'!R\Max</f>
        <v>0.97308014350073924</v>
      </c>
      <c r="BY378" s="1189">
        <f>'2020'!R\Max</f>
        <v>0.3813081427609129</v>
      </c>
      <c r="BZ378" s="1189">
        <f>'2021'!R\Max</f>
        <v>0.83475190373111507</v>
      </c>
      <c r="CA378" s="1189">
        <f>'2022'!R\Max</f>
        <v>0.75795123780135421</v>
      </c>
      <c r="CB378" s="1189">
        <f>'2023'!R\Max</f>
        <v>0.74828736685615016</v>
      </c>
      <c r="CC378" s="1189">
        <f>'2024'!R\Max</f>
        <v>0.73610589069501564</v>
      </c>
      <c r="CD378" s="1189">
        <f>'2025'!R\Max</f>
        <v>0.78360214356016011</v>
      </c>
      <c r="CE378" s="1189">
        <f>'2026'!R\Max</f>
        <v>0.77884558319010577</v>
      </c>
      <c r="CF378" s="1190">
        <f>'2027'!R\Max</f>
        <v>0.7728978705247096</v>
      </c>
    </row>
    <row r="379" spans="1:84" s="6" customFormat="1" ht="11.25" x14ac:dyDescent="0.2">
      <c r="A379" s="11">
        <v>43465</v>
      </c>
      <c r="B379" s="382">
        <f>'2022'!Maxi_hp</f>
        <v>17.949916308915405</v>
      </c>
      <c r="C379" s="85">
        <f>'2022'!An_max</f>
        <v>2021</v>
      </c>
      <c r="D379" s="1134"/>
      <c r="E379" s="711"/>
      <c r="F379" s="13">
        <f t="shared" si="146"/>
        <v>27</v>
      </c>
      <c r="G379" s="13">
        <f t="shared" si="130"/>
        <v>28</v>
      </c>
      <c r="H379" s="175">
        <f t="shared" si="131"/>
        <v>43458</v>
      </c>
      <c r="I379" s="774">
        <f t="shared" si="132"/>
        <v>0.46666666666666667</v>
      </c>
      <c r="J379" s="765">
        <f t="shared" si="133"/>
        <v>18.722439356545607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P379" s="13">
        <f t="shared" si="134"/>
        <v>15</v>
      </c>
      <c r="AQ379" s="13">
        <f t="shared" si="135"/>
        <v>14</v>
      </c>
      <c r="AR379" s="175">
        <f t="shared" si="136"/>
        <v>43473</v>
      </c>
      <c r="AS379" s="774">
        <f t="shared" si="137"/>
        <v>0.27586206896551724</v>
      </c>
      <c r="AT379" s="791">
        <f t="shared" si="138"/>
        <v>18.853782387386108</v>
      </c>
      <c r="AU379" s="13">
        <f t="shared" si="139"/>
        <v>15</v>
      </c>
      <c r="AV379" s="13">
        <f t="shared" si="140"/>
        <v>14</v>
      </c>
      <c r="AW379" s="175">
        <f t="shared" si="141"/>
        <v>43487</v>
      </c>
      <c r="AX379" s="774">
        <f t="shared" si="142"/>
        <v>0.75862068965517238</v>
      </c>
      <c r="AY379" s="791">
        <f t="shared" si="143"/>
        <v>18.74703214515386</v>
      </c>
      <c r="AZ379" s="765">
        <f t="shared" si="147"/>
        <v>18.800407266269985</v>
      </c>
      <c r="BA379" s="649">
        <f t="shared" si="144"/>
        <v>0.95873811991490743</v>
      </c>
      <c r="BB379" s="644">
        <v>43465</v>
      </c>
      <c r="BC379" s="11">
        <v>43465</v>
      </c>
      <c r="BD379" s="292">
        <f>[2]!FeuilCaduc*(1-Persistant)+Persistant</f>
        <v>1</v>
      </c>
      <c r="BE379" s="293">
        <f>[2]!CroissVégét</f>
        <v>0.99999984492411664</v>
      </c>
      <c r="BF379" s="844">
        <f>1+[2]!Salcycl*Ksac</f>
        <v>1.0008607332100068</v>
      </c>
      <c r="BH379" s="1107">
        <f t="shared" si="145"/>
        <v>2.450165989976337E-2</v>
      </c>
      <c r="BI379" s="11">
        <v>44561</v>
      </c>
      <c r="BJ379" s="744">
        <v>3.9931501613256585E-4</v>
      </c>
      <c r="BK379" s="744">
        <v>3.0644144036285248E-3</v>
      </c>
      <c r="BL379" s="744">
        <v>1.8222609782726957E-2</v>
      </c>
      <c r="BM379" s="744">
        <v>4.9653064362181504E-2</v>
      </c>
      <c r="BN379" s="744">
        <v>0.11987715558230842</v>
      </c>
      <c r="BO379" s="745">
        <v>0.20629860630813293</v>
      </c>
      <c r="BP379" s="744">
        <v>0.33355416843636004</v>
      </c>
      <c r="BQ379" s="744">
        <v>0.46514634844633584</v>
      </c>
      <c r="BR379" s="744">
        <v>0.61310282004367722</v>
      </c>
      <c r="BS379" s="744">
        <v>0.7375872915502838</v>
      </c>
      <c r="BT379" s="744">
        <v>0.85094907543504894</v>
      </c>
      <c r="BW379" s="1191">
        <f>'2018'!R\Max</f>
        <v>0.29255610639169966</v>
      </c>
      <c r="BX379" s="1189">
        <f>'2019'!R\Max</f>
        <v>0.72702544073746367</v>
      </c>
      <c r="BY379" s="1189">
        <f>'2020'!R\Max</f>
        <v>0.44010303792455224</v>
      </c>
      <c r="BZ379" s="1189">
        <f>'2021'!R\Max</f>
        <v>0.95873811991490743</v>
      </c>
      <c r="CA379" s="1189">
        <f>'2022'!R\Max</f>
        <v>0.57143179328979032</v>
      </c>
      <c r="CB379" s="1189">
        <f>'2023'!R\Max</f>
        <v>0.55879490379351504</v>
      </c>
      <c r="CC379" s="1189">
        <f>'2024'!R\Max</f>
        <v>0.54311007334048056</v>
      </c>
      <c r="CD379" s="1189">
        <f>'2025'!R\Max</f>
        <v>0.60623489473940717</v>
      </c>
      <c r="CE379" s="1189">
        <f>'2026'!R\Max</f>
        <v>0.59966703461000936</v>
      </c>
      <c r="CF379" s="1190">
        <f>'2027'!R\Max</f>
        <v>0.59152092913539855</v>
      </c>
    </row>
    <row r="380" spans="1:84" s="6" customFormat="1" ht="12" customHeight="1" thickBot="1" x14ac:dyDescent="0.25">
      <c r="A380" s="11">
        <v>43466</v>
      </c>
      <c r="B380" s="383">
        <f>'2022'!Maxi_hp</f>
        <v>13.024115631411625</v>
      </c>
      <c r="C380" s="128">
        <f>'2022'!An_max</f>
        <v>2020</v>
      </c>
      <c r="D380" s="1135"/>
      <c r="E380" s="775"/>
      <c r="F380" s="14">
        <f t="shared" si="146"/>
        <v>27</v>
      </c>
      <c r="G380" s="14">
        <f t="shared" si="130"/>
        <v>28</v>
      </c>
      <c r="H380" s="767">
        <f t="shared" si="131"/>
        <v>43458</v>
      </c>
      <c r="I380" s="768">
        <f t="shared" si="132"/>
        <v>0.53333333333333333</v>
      </c>
      <c r="J380" s="766">
        <f t="shared" si="133"/>
        <v>18.847767541805904</v>
      </c>
      <c r="M380" s="833" t="s">
        <v>246</v>
      </c>
      <c r="N380" s="834">
        <f>$AZ22*10</f>
        <v>200.26077827156101</v>
      </c>
      <c r="O380" s="834">
        <f>$AZ36*10</f>
        <v>234.03510707430542</v>
      </c>
      <c r="P380" s="834">
        <f>$AZ50*10</f>
        <v>279.07176768500358</v>
      </c>
      <c r="Q380" s="834">
        <f>$AZ64*10</f>
        <v>332.35199999716133</v>
      </c>
      <c r="R380" s="834">
        <f>$AZ78*10</f>
        <v>392.671999999322</v>
      </c>
      <c r="S380" s="834">
        <f>$AZ92*10</f>
        <v>456.86399999912823</v>
      </c>
      <c r="T380" s="834">
        <f>$AZ106*10</f>
        <v>518.5920000015758</v>
      </c>
      <c r="U380" s="834">
        <f>$AZ120*10</f>
        <v>571.00799998641014</v>
      </c>
      <c r="V380" s="834">
        <f>$AZ134*10</f>
        <v>609.43999999947846</v>
      </c>
      <c r="W380" s="834">
        <f>$AZ148*10</f>
        <v>632.76799999736249</v>
      </c>
      <c r="X380" s="834">
        <f>$AZ162*10</f>
        <v>643.23200000636291</v>
      </c>
      <c r="Y380" s="834">
        <f>$AZ176*10</f>
        <v>644.25600000470865</v>
      </c>
      <c r="Z380" s="834">
        <f>$AZ190*10</f>
        <v>638.33600000105798</v>
      </c>
      <c r="AA380" s="834">
        <f>$AZ204*10</f>
        <v>626.43199999723583</v>
      </c>
      <c r="AB380" s="834">
        <f>$AZ218*10</f>
        <v>608.70399999991059</v>
      </c>
      <c r="AC380" s="834">
        <f>$AZ232*10</f>
        <v>585.02400000393391</v>
      </c>
      <c r="AD380" s="834">
        <f>$AZ246*10</f>
        <v>553.56800000369549</v>
      </c>
      <c r="AE380" s="834">
        <f>$AZ260*10</f>
        <v>510.91199999116361</v>
      </c>
      <c r="AF380" s="834">
        <f>$AZ274*10</f>
        <v>455.93599999998696</v>
      </c>
      <c r="AG380" s="834">
        <f>$AZ288*10</f>
        <v>393.37600000062957</v>
      </c>
      <c r="AH380" s="834">
        <f>$AZ302*10</f>
        <v>332.16000000853086</v>
      </c>
      <c r="AI380" s="834">
        <f>$AZ316*10</f>
        <v>279.29600000195205</v>
      </c>
      <c r="AJ380" s="834">
        <f>$AZ330*10</f>
        <v>236.8320000059903</v>
      </c>
      <c r="AK380" s="834">
        <f>$AZ344*10</f>
        <v>204.75731397978961</v>
      </c>
      <c r="AL380" s="834">
        <f>$AZ358*10</f>
        <v>185.05903931893408</v>
      </c>
      <c r="AM380" s="834">
        <f>$AZ372*10</f>
        <v>182.14404003990109</v>
      </c>
      <c r="AP380" s="14">
        <f t="shared" si="134"/>
        <v>15</v>
      </c>
      <c r="AQ380" s="14">
        <f t="shared" si="135"/>
        <v>14</v>
      </c>
      <c r="AR380" s="767">
        <f t="shared" si="136"/>
        <v>43473</v>
      </c>
      <c r="AS380" s="768">
        <f t="shared" si="137"/>
        <v>0.2413793103448276</v>
      </c>
      <c r="AT380" s="792">
        <f t="shared" si="138"/>
        <v>18.964958706087078</v>
      </c>
      <c r="AU380" s="14">
        <f t="shared" si="139"/>
        <v>15</v>
      </c>
      <c r="AV380" s="14">
        <f t="shared" si="140"/>
        <v>14</v>
      </c>
      <c r="AW380" s="767">
        <f t="shared" si="141"/>
        <v>43487</v>
      </c>
      <c r="AX380" s="768">
        <f t="shared" si="142"/>
        <v>0.72413793103448276</v>
      </c>
      <c r="AY380" s="792">
        <f t="shared" si="143"/>
        <v>18.881300105000363</v>
      </c>
      <c r="AZ380" s="766">
        <f t="shared" si="147"/>
        <v>18.923129405543719</v>
      </c>
      <c r="BA380" s="649">
        <f t="shared" si="144"/>
        <v>0.69101635525390803</v>
      </c>
      <c r="BB380" s="644">
        <v>43466</v>
      </c>
      <c r="BC380" s="11">
        <v>43466</v>
      </c>
      <c r="BD380" s="294">
        <f>[2]!FeuilCaduc*(1-Persistant)+Persistant</f>
        <v>1</v>
      </c>
      <c r="BE380" s="295">
        <f>[2]!CroissVégét</f>
        <v>0.99999984492411664</v>
      </c>
      <c r="BF380" s="845">
        <f>1+[2]!Salcycl*Ksac</f>
        <v>1.0008012024000075</v>
      </c>
      <c r="BH380" s="1108">
        <f t="shared" si="145"/>
        <v>2.4372204386507557E-2</v>
      </c>
      <c r="BI380" s="11">
        <v>44562</v>
      </c>
      <c r="BJ380" s="849">
        <v>4.1125870155699063E-4</v>
      </c>
      <c r="BK380" s="748">
        <v>2.9979938181374922E-3</v>
      </c>
      <c r="BL380" s="748">
        <v>1.8050760638635126E-2</v>
      </c>
      <c r="BM380" s="748">
        <v>4.9693421055535425E-2</v>
      </c>
      <c r="BN380" s="748">
        <v>0.11916899734671965</v>
      </c>
      <c r="BO380" s="749">
        <v>0.20572830472163448</v>
      </c>
      <c r="BP380" s="748">
        <v>0.33220571554611583</v>
      </c>
      <c r="BQ380" s="748">
        <v>0.46423987531026545</v>
      </c>
      <c r="BR380" s="748">
        <v>0.61213593049044202</v>
      </c>
      <c r="BS380" s="748">
        <v>0.73805410594683185</v>
      </c>
      <c r="BT380" s="748">
        <v>0.85357806620388721</v>
      </c>
      <c r="BW380" s="1192">
        <f>'2018'!R\Max</f>
        <v>0</v>
      </c>
      <c r="BX380" s="1193">
        <f>'2019'!R\Max</f>
        <v>0</v>
      </c>
      <c r="BY380" s="1193">
        <f>'2020'!R\Max</f>
        <v>0.69101635525390803</v>
      </c>
      <c r="BZ380" s="1193">
        <f>'2021'!R\Max</f>
        <v>0</v>
      </c>
      <c r="CA380" s="1193">
        <f>'2022'!R\Max</f>
        <v>0</v>
      </c>
      <c r="CB380" s="1193">
        <f>'2023'!R\Max</f>
        <v>0</v>
      </c>
      <c r="CC380" s="1193">
        <f>'2024'!R\Max</f>
        <v>0.66250924711866432</v>
      </c>
      <c r="CD380" s="1193">
        <f>'2025'!R\Max</f>
        <v>0</v>
      </c>
      <c r="CE380" s="1193">
        <f>'2026'!R\Max</f>
        <v>0</v>
      </c>
      <c r="CF380" s="1194">
        <f>'2027'!R\Max</f>
        <v>0</v>
      </c>
    </row>
    <row r="381" spans="1:84" ht="12" customHeight="1" x14ac:dyDescent="0.25">
      <c r="B381" s="640" t="s">
        <v>167</v>
      </c>
      <c r="M381" s="136" t="s">
        <v>247</v>
      </c>
      <c r="N381" s="835">
        <f t="shared" ref="N381:AM381" si="148">1-N3/N380*Ajust_M</f>
        <v>2.9001099295312693E-3</v>
      </c>
      <c r="O381" s="835">
        <f t="shared" si="148"/>
        <v>-1.9693324281824243E-3</v>
      </c>
      <c r="P381" s="835">
        <f t="shared" si="148"/>
        <v>-1.7208201280269897E-3</v>
      </c>
      <c r="Q381" s="835">
        <f t="shared" si="148"/>
        <v>1.7331022445065125E-3</v>
      </c>
      <c r="R381" s="835">
        <f t="shared" si="148"/>
        <v>1.2223942611717664E-3</v>
      </c>
      <c r="S381" s="835">
        <f t="shared" si="148"/>
        <v>3.5021362840703674E-4</v>
      </c>
      <c r="T381" s="835">
        <f t="shared" si="148"/>
        <v>-1.1106997377947625E-3</v>
      </c>
      <c r="U381" s="835">
        <f t="shared" si="148"/>
        <v>-6.7249498010357733E-4</v>
      </c>
      <c r="V381" s="835">
        <f t="shared" si="148"/>
        <v>-1.4176949339104183E-3</v>
      </c>
      <c r="W381" s="835">
        <f t="shared" si="148"/>
        <v>-1.0114291910756634E-4</v>
      </c>
      <c r="X381" s="835">
        <f t="shared" si="148"/>
        <v>2.4874385347950501E-4</v>
      </c>
      <c r="Y381" s="835">
        <f t="shared" si="148"/>
        <v>2.4834848989752079E-4</v>
      </c>
      <c r="Z381" s="835">
        <f t="shared" si="148"/>
        <v>6.0156406822953201E-4</v>
      </c>
      <c r="AA381" s="835">
        <f t="shared" si="148"/>
        <v>-4.0866367421421579E-4</v>
      </c>
      <c r="AB381" s="835">
        <f t="shared" si="148"/>
        <v>7.3598990627732341E-4</v>
      </c>
      <c r="AC381" s="835">
        <f t="shared" si="148"/>
        <v>5.4698611327352875E-4</v>
      </c>
      <c r="AD381" s="835">
        <f t="shared" si="148"/>
        <v>-7.5148851866746469E-4</v>
      </c>
      <c r="AE381" s="835">
        <f t="shared" si="148"/>
        <v>-2.1295252584696556E-3</v>
      </c>
      <c r="AF381" s="835">
        <f t="shared" si="148"/>
        <v>-1.6844469399499573E-3</v>
      </c>
      <c r="AG381" s="835">
        <f t="shared" si="148"/>
        <v>4.0673554215131524E-4</v>
      </c>
      <c r="AH381" s="835">
        <f t="shared" si="148"/>
        <v>4.238921027500786E-3</v>
      </c>
      <c r="AI381" s="835">
        <f t="shared" si="148"/>
        <v>-9.1659027714752206E-4</v>
      </c>
      <c r="AJ381" s="835">
        <f t="shared" si="148"/>
        <v>1.2160519101430678E-3</v>
      </c>
      <c r="AK381" s="835">
        <f t="shared" si="148"/>
        <v>-5.2095136406979936E-3</v>
      </c>
      <c r="AL381" s="835">
        <f t="shared" si="148"/>
        <v>3.9935326674879201E-3</v>
      </c>
      <c r="AM381" s="835">
        <f t="shared" si="148"/>
        <v>4.9194035649191559E-3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5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59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40" priority="20" stopIfTrue="1" operator="lessThan">
      <formula>0.01</formula>
    </cfRule>
    <cfRule type="cellIs" dxfId="39" priority="21" stopIfTrue="1" operator="greaterThan">
      <formula>0.05</formula>
    </cfRule>
  </conditionalFormatting>
  <conditionalFormatting sqref="A9:J9 A7:J7">
    <cfRule type="cellIs" dxfId="38" priority="50" stopIfTrue="1" operator="lessThan">
      <formula>0.01</formula>
    </cfRule>
    <cfRule type="cellIs" dxfId="37" priority="51" stopIfTrue="1" operator="greaterThan">
      <formula>0.05</formula>
    </cfRule>
  </conditionalFormatting>
  <conditionalFormatting sqref="N381:AM381">
    <cfRule type="cellIs" dxfId="36" priority="1" stopIfTrue="1" operator="notBetween">
      <formula>-0.01</formula>
      <formula>0.01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4"/>
  <dimension ref="A1:BZ79"/>
  <sheetViews>
    <sheetView zoomScaleNormal="100" workbookViewId="0">
      <pane ySplit="7" topLeftCell="A17" activePane="bottomLeft" state="frozen"/>
      <selection activeCell="B15" sqref="B15:B380"/>
      <selection pane="bottomLeft" activeCell="F10" sqref="F10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9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59" t="s">
        <v>24</v>
      </c>
      <c r="I1" s="1259"/>
      <c r="J1" s="1259"/>
      <c r="K1" s="1259"/>
      <c r="L1" s="15"/>
      <c r="M1" s="34"/>
      <c r="N1" s="541"/>
      <c r="O1" s="542"/>
      <c r="P1" s="543" t="s">
        <v>4</v>
      </c>
      <c r="Q1" s="1144">
        <v>8.5000000000000006E-3</v>
      </c>
      <c r="R1" s="544"/>
      <c r="S1" s="545" t="s">
        <v>105</v>
      </c>
      <c r="T1" s="847">
        <f>PertePVan/365.25</f>
        <v>2.3271731690622863E-5</v>
      </c>
      <c r="U1" s="542"/>
      <c r="V1" s="546"/>
      <c r="W1" s="210"/>
      <c r="X1" s="547"/>
      <c r="Y1" s="539" t="s">
        <v>165</v>
      </c>
      <c r="Z1" s="1260">
        <v>0.21</v>
      </c>
      <c r="AA1" s="1261"/>
      <c r="AB1" s="634"/>
      <c r="AC1" s="635"/>
      <c r="AE1" s="539" t="s">
        <v>250</v>
      </c>
      <c r="AF1" s="1186">
        <v>7.0000000000000007E-2</v>
      </c>
      <c r="AG1" s="542"/>
      <c r="AH1" s="210"/>
      <c r="AI1" s="210"/>
      <c r="AJ1" s="210"/>
      <c r="AK1" s="210"/>
      <c r="AL1" s="539" t="s">
        <v>123</v>
      </c>
      <c r="AM1" s="653">
        <v>0.9</v>
      </c>
      <c r="AN1" s="633"/>
      <c r="AO1" s="210"/>
      <c r="AP1" s="210"/>
      <c r="AQ1" s="210"/>
      <c r="AR1" s="539" t="s">
        <v>104</v>
      </c>
      <c r="AS1" s="370">
        <v>1</v>
      </c>
      <c r="AT1" s="654" t="s">
        <v>54</v>
      </c>
      <c r="AU1" s="540"/>
    </row>
    <row r="2" spans="1:78" s="536" customFormat="1" ht="18" customHeight="1" thickBot="1" x14ac:dyDescent="0.35">
      <c r="A2" s="83" t="s">
        <v>132</v>
      </c>
      <c r="B2" s="1216" t="str">
        <f>Station</f>
        <v>Crèche Ayguesvives</v>
      </c>
      <c r="C2" s="1217"/>
      <c r="D2" s="1217"/>
      <c r="E2" s="1217"/>
      <c r="F2" s="1218"/>
      <c r="G2" s="846" t="s">
        <v>251</v>
      </c>
      <c r="K2" s="81"/>
      <c r="L2" s="537"/>
      <c r="M2" s="38"/>
      <c r="U2" s="35"/>
      <c r="V2" s="35"/>
      <c r="W2" s="35">
        <f>U5/Recap!L38</f>
        <v>0.24390892176094753</v>
      </c>
      <c r="X2" s="538"/>
      <c r="AA2" s="540"/>
      <c r="AB2" s="540"/>
      <c r="AC2" s="540"/>
      <c r="AD2" s="540"/>
      <c r="AE2" s="539" t="s">
        <v>166</v>
      </c>
      <c r="AF2" s="659">
        <v>2.5</v>
      </c>
      <c r="AG2" s="660">
        <f>+Tau_i*365</f>
        <v>912.5</v>
      </c>
      <c r="AH2" s="546"/>
      <c r="AI2" s="242"/>
      <c r="AJ2" s="547"/>
      <c r="AL2" s="651" t="s">
        <v>199</v>
      </c>
      <c r="AM2" s="1257">
        <v>0.7</v>
      </c>
      <c r="AN2" s="1258"/>
      <c r="AS2" s="211" t="s">
        <v>124</v>
      </c>
      <c r="AT2" s="655">
        <f>H_i</f>
        <v>-2.800224011995649</v>
      </c>
      <c r="AU2" s="652"/>
      <c r="AY2" s="662"/>
      <c r="AZ2" s="662"/>
      <c r="BB2" s="538"/>
      <c r="BE2" s="31"/>
      <c r="BF2" s="29"/>
      <c r="BH2" s="538"/>
      <c r="BI2" s="538"/>
      <c r="BJ2" s="538"/>
      <c r="BK2" s="70"/>
      <c r="BL2" s="70"/>
      <c r="BM2" s="538"/>
      <c r="BN2" s="538"/>
      <c r="BO2" s="538"/>
      <c r="BP2" s="538"/>
      <c r="BQ2" s="70"/>
      <c r="BR2" s="70"/>
      <c r="BS2" s="538"/>
      <c r="BT2" s="538"/>
      <c r="BU2" s="538"/>
      <c r="BW2" s="31"/>
      <c r="BX2" s="29"/>
      <c r="BZ2" s="538"/>
    </row>
    <row r="3" spans="1:78" s="80" customFormat="1" ht="12.75" customHeight="1" x14ac:dyDescent="0.25">
      <c r="A3" s="1251">
        <f>'2018'!An</f>
        <v>2018</v>
      </c>
      <c r="B3" s="1252"/>
      <c r="C3" s="1252"/>
      <c r="D3" s="1252"/>
      <c r="E3" s="1252"/>
      <c r="F3" s="1253"/>
      <c r="G3" s="1251">
        <f>'2019'!An</f>
        <v>2019</v>
      </c>
      <c r="H3" s="1252"/>
      <c r="I3" s="1252"/>
      <c r="J3" s="1252"/>
      <c r="K3" s="1252"/>
      <c r="L3" s="1253"/>
      <c r="M3" s="1251">
        <f>'2020'!An</f>
        <v>2020</v>
      </c>
      <c r="N3" s="1252"/>
      <c r="O3" s="1252"/>
      <c r="P3" s="1252"/>
      <c r="Q3" s="1252"/>
      <c r="R3" s="1253"/>
      <c r="S3" s="1251">
        <f>'2021'!An</f>
        <v>2021</v>
      </c>
      <c r="T3" s="1252"/>
      <c r="U3" s="1252"/>
      <c r="V3" s="1252"/>
      <c r="W3" s="1252"/>
      <c r="X3" s="1253"/>
      <c r="Y3" s="1251">
        <f>'2022'!An</f>
        <v>2022</v>
      </c>
      <c r="Z3" s="1252"/>
      <c r="AA3" s="1252"/>
      <c r="AB3" s="1252"/>
      <c r="AC3" s="1252"/>
      <c r="AD3" s="1253"/>
      <c r="AE3" s="1251">
        <f>'2023'!An</f>
        <v>2023</v>
      </c>
      <c r="AF3" s="1252"/>
      <c r="AG3" s="1252"/>
      <c r="AH3" s="1252"/>
      <c r="AI3" s="1252"/>
      <c r="AJ3" s="1253"/>
      <c r="AK3" s="1251">
        <f>'2024'!An</f>
        <v>2024</v>
      </c>
      <c r="AL3" s="1252"/>
      <c r="AM3" s="1256"/>
      <c r="AN3" s="1256"/>
      <c r="AO3" s="1252"/>
      <c r="AP3" s="1253"/>
      <c r="AQ3" s="1251">
        <f>'2025'!An</f>
        <v>2025</v>
      </c>
      <c r="AR3" s="1252"/>
      <c r="AS3" s="1252"/>
      <c r="AT3" s="1252"/>
      <c r="AU3" s="1252"/>
      <c r="AV3" s="1253"/>
      <c r="AW3" s="1251">
        <f>'2026'!An</f>
        <v>2026</v>
      </c>
      <c r="AX3" s="1252"/>
      <c r="AY3" s="1252"/>
      <c r="AZ3" s="1252"/>
      <c r="BA3" s="1252"/>
      <c r="BB3" s="1253"/>
      <c r="BC3" s="1251">
        <f>'2027'!An</f>
        <v>2027</v>
      </c>
      <c r="BD3" s="1252"/>
      <c r="BE3" s="1252"/>
      <c r="BF3" s="1252"/>
      <c r="BG3" s="1252"/>
      <c r="BH3" s="1253"/>
      <c r="BI3" s="1247" t="e">
        <v>#NAME?</v>
      </c>
      <c r="BJ3" s="1248"/>
      <c r="BK3" s="1248"/>
      <c r="BL3" s="1248"/>
      <c r="BM3" s="1248"/>
      <c r="BN3" s="1249"/>
      <c r="BO3" s="1247" t="e">
        <v>#NAME?</v>
      </c>
      <c r="BP3" s="1248"/>
      <c r="BQ3" s="1248"/>
      <c r="BR3" s="1248"/>
      <c r="BS3" s="1248"/>
      <c r="BT3" s="1249"/>
      <c r="BU3" s="1247" t="e">
        <v>#NAME?</v>
      </c>
      <c r="BV3" s="1248"/>
      <c r="BW3" s="1248"/>
      <c r="BX3" s="1248"/>
      <c r="BY3" s="1248"/>
      <c r="BZ3" s="1249"/>
    </row>
    <row r="4" spans="1:78" s="430" customFormat="1" ht="15" customHeight="1" x14ac:dyDescent="0.25">
      <c r="A4" s="215" t="s">
        <v>77</v>
      </c>
      <c r="B4" s="444" t="s">
        <v>135</v>
      </c>
      <c r="C4" s="445" t="s">
        <v>135</v>
      </c>
      <c r="D4" s="446" t="s">
        <v>80</v>
      </c>
      <c r="E4" s="580" t="s">
        <v>80</v>
      </c>
      <c r="F4" s="434"/>
      <c r="G4" s="360" t="s">
        <v>92</v>
      </c>
      <c r="H4" s="444" t="s">
        <v>135</v>
      </c>
      <c r="I4" s="445" t="s">
        <v>135</v>
      </c>
      <c r="J4" s="446" t="s">
        <v>80</v>
      </c>
      <c r="K4" s="580" t="s">
        <v>80</v>
      </c>
      <c r="L4" s="434"/>
      <c r="M4" s="360" t="s">
        <v>92</v>
      </c>
      <c r="N4" s="444" t="s">
        <v>135</v>
      </c>
      <c r="O4" s="445" t="s">
        <v>135</v>
      </c>
      <c r="P4" s="446" t="s">
        <v>80</v>
      </c>
      <c r="Q4" s="580" t="s">
        <v>80</v>
      </c>
      <c r="R4" s="434"/>
      <c r="S4" s="360" t="s">
        <v>92</v>
      </c>
      <c r="T4" s="444" t="s">
        <v>135</v>
      </c>
      <c r="U4" s="445" t="s">
        <v>135</v>
      </c>
      <c r="V4" s="446" t="s">
        <v>80</v>
      </c>
      <c r="W4" s="580" t="s">
        <v>80</v>
      </c>
      <c r="X4" s="434"/>
      <c r="Y4" s="360" t="s">
        <v>92</v>
      </c>
      <c r="Z4" s="444" t="s">
        <v>135</v>
      </c>
      <c r="AA4" s="445" t="s">
        <v>135</v>
      </c>
      <c r="AB4" s="446" t="s">
        <v>80</v>
      </c>
      <c r="AC4" s="580" t="s">
        <v>80</v>
      </c>
      <c r="AD4" s="434"/>
      <c r="AE4" s="360" t="s">
        <v>92</v>
      </c>
      <c r="AF4" s="444" t="s">
        <v>135</v>
      </c>
      <c r="AG4" s="445" t="s">
        <v>135</v>
      </c>
      <c r="AH4" s="446" t="s">
        <v>80</v>
      </c>
      <c r="AI4" s="580" t="s">
        <v>80</v>
      </c>
      <c r="AJ4" s="434"/>
      <c r="AK4" s="360" t="s">
        <v>92</v>
      </c>
      <c r="AL4" s="444" t="s">
        <v>135</v>
      </c>
      <c r="AM4" s="445" t="s">
        <v>135</v>
      </c>
      <c r="AN4" s="446" t="s">
        <v>80</v>
      </c>
      <c r="AO4" s="580" t="s">
        <v>80</v>
      </c>
      <c r="AP4" s="434"/>
      <c r="AQ4" s="360" t="s">
        <v>92</v>
      </c>
      <c r="AR4" s="444" t="s">
        <v>135</v>
      </c>
      <c r="AS4" s="445" t="s">
        <v>135</v>
      </c>
      <c r="AT4" s="446" t="s">
        <v>80</v>
      </c>
      <c r="AU4" s="580" t="s">
        <v>80</v>
      </c>
      <c r="AV4" s="434"/>
      <c r="AW4" s="360" t="s">
        <v>92</v>
      </c>
      <c r="AX4" s="444" t="s">
        <v>135</v>
      </c>
      <c r="AY4" s="445" t="s">
        <v>135</v>
      </c>
      <c r="AZ4" s="446" t="s">
        <v>80</v>
      </c>
      <c r="BA4" s="580" t="s">
        <v>80</v>
      </c>
      <c r="BB4" s="434"/>
      <c r="BC4" s="360" t="s">
        <v>92</v>
      </c>
      <c r="BD4" s="444" t="s">
        <v>135</v>
      </c>
      <c r="BE4" s="445" t="s">
        <v>135</v>
      </c>
      <c r="BF4" s="446" t="s">
        <v>80</v>
      </c>
      <c r="BG4" s="580" t="s">
        <v>80</v>
      </c>
      <c r="BH4" s="434"/>
      <c r="BI4" s="360" t="s">
        <v>92</v>
      </c>
      <c r="BJ4" s="444" t="s">
        <v>135</v>
      </c>
      <c r="BK4" s="445" t="s">
        <v>135</v>
      </c>
      <c r="BL4" s="446" t="s">
        <v>80</v>
      </c>
      <c r="BM4" s="580" t="s">
        <v>80</v>
      </c>
      <c r="BN4" s="434"/>
      <c r="BO4" s="360" t="s">
        <v>92</v>
      </c>
      <c r="BP4" s="444" t="s">
        <v>135</v>
      </c>
      <c r="BQ4" s="445" t="s">
        <v>135</v>
      </c>
      <c r="BR4" s="446" t="s">
        <v>80</v>
      </c>
      <c r="BS4" s="580" t="s">
        <v>80</v>
      </c>
      <c r="BT4" s="434"/>
      <c r="BU4" s="360" t="s">
        <v>92</v>
      </c>
      <c r="BV4" s="444" t="s">
        <v>135</v>
      </c>
      <c r="BW4" s="445" t="s">
        <v>135</v>
      </c>
      <c r="BX4" s="446" t="s">
        <v>80</v>
      </c>
      <c r="BY4" s="580" t="s">
        <v>80</v>
      </c>
      <c r="BZ4" s="434"/>
    </row>
    <row r="5" spans="1:78" s="430" customFormat="1" ht="15" customHeight="1" x14ac:dyDescent="0.25">
      <c r="A5" s="215" t="s">
        <v>16</v>
      </c>
      <c r="B5" s="435" t="s">
        <v>135</v>
      </c>
      <c r="C5" s="441" t="s">
        <v>135</v>
      </c>
      <c r="D5" s="442" t="s">
        <v>135</v>
      </c>
      <c r="E5" s="443" t="s">
        <v>135</v>
      </c>
      <c r="F5" s="189"/>
      <c r="G5" s="360" t="s">
        <v>93</v>
      </c>
      <c r="H5" s="435" t="s">
        <v>135</v>
      </c>
      <c r="I5" s="441" t="s">
        <v>135</v>
      </c>
      <c r="J5" s="442" t="s">
        <v>135</v>
      </c>
      <c r="K5" s="443" t="s">
        <v>135</v>
      </c>
      <c r="L5" s="189"/>
      <c r="M5" s="360" t="s">
        <v>93</v>
      </c>
      <c r="N5" s="435">
        <v>43831</v>
      </c>
      <c r="O5" s="441" t="s">
        <v>354</v>
      </c>
      <c r="P5" s="442">
        <v>0.14000000000000001</v>
      </c>
      <c r="Q5" s="1202">
        <v>1</v>
      </c>
      <c r="R5" s="189"/>
      <c r="S5" s="360" t="s">
        <v>93</v>
      </c>
      <c r="T5" s="435">
        <v>44306</v>
      </c>
      <c r="U5" s="1185">
        <v>2.5000000000000001E-2</v>
      </c>
      <c r="V5" s="442">
        <v>0.17</v>
      </c>
      <c r="W5" s="1202">
        <v>1</v>
      </c>
      <c r="X5" s="189"/>
      <c r="Y5" s="360" t="s">
        <v>93</v>
      </c>
      <c r="Z5" s="435">
        <v>44854</v>
      </c>
      <c r="AA5" s="441">
        <v>2.1999999999999999E-2</v>
      </c>
      <c r="AB5" s="442">
        <v>0.22</v>
      </c>
      <c r="AC5" s="443">
        <v>2.5</v>
      </c>
      <c r="AD5" s="189"/>
      <c r="AE5" s="360" t="s">
        <v>93</v>
      </c>
      <c r="AF5" s="435" t="s">
        <v>135</v>
      </c>
      <c r="AG5" s="441" t="s">
        <v>135</v>
      </c>
      <c r="AH5" s="442" t="s">
        <v>135</v>
      </c>
      <c r="AI5" s="443" t="s">
        <v>135</v>
      </c>
      <c r="AJ5" s="189"/>
      <c r="AK5" s="360" t="s">
        <v>93</v>
      </c>
      <c r="AL5" s="435" t="s">
        <v>135</v>
      </c>
      <c r="AM5" s="441" t="s">
        <v>135</v>
      </c>
      <c r="AN5" s="442" t="s">
        <v>135</v>
      </c>
      <c r="AO5" s="443" t="s">
        <v>135</v>
      </c>
      <c r="AP5" s="189"/>
      <c r="AQ5" s="360" t="s">
        <v>93</v>
      </c>
      <c r="AR5" s="435" t="s">
        <v>135</v>
      </c>
      <c r="AS5" s="441" t="s">
        <v>135</v>
      </c>
      <c r="AT5" s="442" t="s">
        <v>135</v>
      </c>
      <c r="AU5" s="443" t="s">
        <v>135</v>
      </c>
      <c r="AV5" s="189"/>
      <c r="AW5" s="360" t="s">
        <v>93</v>
      </c>
      <c r="AX5" s="435" t="s">
        <v>135</v>
      </c>
      <c r="AY5" s="441" t="s">
        <v>135</v>
      </c>
      <c r="AZ5" s="442" t="s">
        <v>135</v>
      </c>
      <c r="BA5" s="443" t="s">
        <v>135</v>
      </c>
      <c r="BB5" s="189"/>
      <c r="BC5" s="360" t="s">
        <v>93</v>
      </c>
      <c r="BD5" s="435" t="s">
        <v>135</v>
      </c>
      <c r="BE5" s="441" t="s">
        <v>135</v>
      </c>
      <c r="BF5" s="442" t="s">
        <v>135</v>
      </c>
      <c r="BG5" s="443" t="s">
        <v>135</v>
      </c>
      <c r="BH5" s="189"/>
      <c r="BI5" s="360" t="s">
        <v>93</v>
      </c>
      <c r="BJ5" s="435" t="s">
        <v>135</v>
      </c>
      <c r="BK5" s="441" t="s">
        <v>135</v>
      </c>
      <c r="BL5" s="442" t="s">
        <v>135</v>
      </c>
      <c r="BM5" s="443" t="s">
        <v>135</v>
      </c>
      <c r="BN5" s="189"/>
      <c r="BO5" s="360" t="s">
        <v>93</v>
      </c>
      <c r="BP5" s="435" t="s">
        <v>135</v>
      </c>
      <c r="BQ5" s="441" t="s">
        <v>135</v>
      </c>
      <c r="BR5" s="442" t="s">
        <v>135</v>
      </c>
      <c r="BS5" s="443" t="s">
        <v>135</v>
      </c>
      <c r="BT5" s="189"/>
      <c r="BU5" s="360" t="s">
        <v>93</v>
      </c>
      <c r="BV5" s="435" t="s">
        <v>135</v>
      </c>
      <c r="BW5" s="441" t="s">
        <v>135</v>
      </c>
      <c r="BX5" s="442" t="s">
        <v>135</v>
      </c>
      <c r="BY5" s="443" t="s">
        <v>135</v>
      </c>
      <c r="BZ5" s="189"/>
    </row>
    <row r="6" spans="1:78" s="430" customFormat="1" ht="15" customHeight="1" x14ac:dyDescent="0.25">
      <c r="A6" s="215" t="s">
        <v>18</v>
      </c>
      <c r="B6" s="422" t="s">
        <v>135</v>
      </c>
      <c r="C6" s="436" t="s">
        <v>135</v>
      </c>
      <c r="D6" s="1250" t="s">
        <v>135</v>
      </c>
      <c r="E6" s="1250"/>
      <c r="F6" s="190"/>
      <c r="G6" s="360" t="s">
        <v>94</v>
      </c>
      <c r="H6" s="422" t="s">
        <v>135</v>
      </c>
      <c r="I6" s="436" t="s">
        <v>135</v>
      </c>
      <c r="J6" s="1250" t="s">
        <v>135</v>
      </c>
      <c r="K6" s="1250"/>
      <c r="L6" s="190"/>
      <c r="M6" s="360" t="s">
        <v>94</v>
      </c>
      <c r="N6" s="422" t="s">
        <v>135</v>
      </c>
      <c r="O6" s="436" t="s">
        <v>135</v>
      </c>
      <c r="P6" s="1250" t="s">
        <v>135</v>
      </c>
      <c r="Q6" s="1250"/>
      <c r="R6" s="190"/>
      <c r="S6" s="360" t="s">
        <v>94</v>
      </c>
      <c r="T6" s="422" t="s">
        <v>135</v>
      </c>
      <c r="U6" s="436" t="s">
        <v>135</v>
      </c>
      <c r="V6" s="1250">
        <v>-0.1</v>
      </c>
      <c r="W6" s="1250"/>
      <c r="X6" s="190"/>
      <c r="Y6" s="360" t="s">
        <v>94</v>
      </c>
      <c r="Z6" s="422" t="s">
        <v>135</v>
      </c>
      <c r="AA6" s="436" t="s">
        <v>135</v>
      </c>
      <c r="AB6" s="1250" t="s">
        <v>135</v>
      </c>
      <c r="AC6" s="1250"/>
      <c r="AD6" s="190"/>
      <c r="AE6" s="360" t="s">
        <v>94</v>
      </c>
      <c r="AF6" s="422" t="s">
        <v>135</v>
      </c>
      <c r="AG6" s="436" t="s">
        <v>135</v>
      </c>
      <c r="AH6" s="1250" t="s">
        <v>135</v>
      </c>
      <c r="AI6" s="1250"/>
      <c r="AJ6" s="190"/>
      <c r="AK6" s="360" t="s">
        <v>94</v>
      </c>
      <c r="AL6" s="422" t="s">
        <v>135</v>
      </c>
      <c r="AM6" s="436" t="s">
        <v>135</v>
      </c>
      <c r="AN6" s="1250" t="s">
        <v>135</v>
      </c>
      <c r="AO6" s="1250"/>
      <c r="AP6" s="190"/>
      <c r="AQ6" s="360" t="s">
        <v>94</v>
      </c>
      <c r="AR6" s="422" t="s">
        <v>135</v>
      </c>
      <c r="AS6" s="436" t="s">
        <v>135</v>
      </c>
      <c r="AT6" s="1250" t="s">
        <v>135</v>
      </c>
      <c r="AU6" s="1250"/>
      <c r="AV6" s="190"/>
      <c r="AW6" s="360" t="s">
        <v>94</v>
      </c>
      <c r="AX6" s="422" t="s">
        <v>135</v>
      </c>
      <c r="AY6" s="436" t="s">
        <v>135</v>
      </c>
      <c r="AZ6" s="1250" t="s">
        <v>135</v>
      </c>
      <c r="BA6" s="1250"/>
      <c r="BB6" s="190"/>
      <c r="BC6" s="360" t="s">
        <v>94</v>
      </c>
      <c r="BD6" s="422" t="s">
        <v>135</v>
      </c>
      <c r="BE6" s="436" t="s">
        <v>135</v>
      </c>
      <c r="BF6" s="1250" t="s">
        <v>135</v>
      </c>
      <c r="BG6" s="1250"/>
      <c r="BH6" s="190"/>
      <c r="BI6" s="360" t="s">
        <v>94</v>
      </c>
      <c r="BJ6" s="422" t="s">
        <v>135</v>
      </c>
      <c r="BK6" s="436" t="s">
        <v>135</v>
      </c>
      <c r="BL6" s="1250" t="s">
        <v>135</v>
      </c>
      <c r="BM6" s="1250"/>
      <c r="BN6" s="190"/>
      <c r="BO6" s="360" t="s">
        <v>94</v>
      </c>
      <c r="BP6" s="422" t="s">
        <v>135</v>
      </c>
      <c r="BQ6" s="436" t="s">
        <v>135</v>
      </c>
      <c r="BR6" s="1250" t="s">
        <v>135</v>
      </c>
      <c r="BS6" s="1250"/>
      <c r="BT6" s="190"/>
      <c r="BU6" s="360" t="s">
        <v>94</v>
      </c>
      <c r="BV6" s="422" t="s">
        <v>135</v>
      </c>
      <c r="BW6" s="436" t="s">
        <v>135</v>
      </c>
      <c r="BX6" s="1250" t="s">
        <v>135</v>
      </c>
      <c r="BY6" s="1250"/>
      <c r="BZ6" s="190"/>
    </row>
    <row r="7" spans="1:78" ht="15.75" x14ac:dyDescent="0.25">
      <c r="A7" s="855" t="s">
        <v>256</v>
      </c>
      <c r="B7" s="433"/>
      <c r="C7" s="433"/>
      <c r="D7" s="223"/>
      <c r="E7" s="1254">
        <f>'2018'!Dépas_env</f>
        <v>-4.9205385827444381E-3</v>
      </c>
      <c r="F7" s="1255"/>
      <c r="G7" s="855" t="s">
        <v>255</v>
      </c>
      <c r="H7" s="433"/>
      <c r="I7" s="433"/>
      <c r="J7" s="223"/>
      <c r="K7" s="1254">
        <f>'2019'!Dépas_env</f>
        <v>3.4543380752322106E-2</v>
      </c>
      <c r="L7" s="1255"/>
      <c r="M7" s="855" t="s">
        <v>255</v>
      </c>
      <c r="N7" s="433"/>
      <c r="O7" s="433"/>
      <c r="P7" s="223"/>
      <c r="Q7" s="1254">
        <f>'2020'!Dépas_env</f>
        <v>3.7457577834161038E-2</v>
      </c>
      <c r="R7" s="1255"/>
      <c r="S7" s="855" t="s">
        <v>255</v>
      </c>
      <c r="T7" s="433"/>
      <c r="U7" s="433"/>
      <c r="V7" s="223"/>
      <c r="W7" s="1254">
        <f>'2021'!Dépas_env</f>
        <v>3.4917827025099379E-2</v>
      </c>
      <c r="X7" s="1255"/>
      <c r="Y7" s="855" t="s">
        <v>255</v>
      </c>
      <c r="Z7" s="433"/>
      <c r="AA7" s="433"/>
      <c r="AB7" s="223"/>
      <c r="AC7" s="1254">
        <f>'2022'!Dépas_env</f>
        <v>3.7798110649190475E-2</v>
      </c>
      <c r="AD7" s="1255"/>
      <c r="AE7" s="855" t="s">
        <v>255</v>
      </c>
      <c r="AF7" s="433"/>
      <c r="AG7" s="433"/>
      <c r="AH7" s="223"/>
      <c r="AI7" s="1254">
        <f>'2023'!Dépas_env</f>
        <v>3.7798110649190475E-2</v>
      </c>
      <c r="AJ7" s="1255"/>
      <c r="AK7" s="855" t="s">
        <v>255</v>
      </c>
      <c r="AL7" s="433"/>
      <c r="AM7" s="433"/>
      <c r="AN7" s="223"/>
      <c r="AO7" s="1254">
        <f>'2024'!Dépas_env</f>
        <v>3.7798110649190253E-2</v>
      </c>
      <c r="AP7" s="1255"/>
      <c r="AQ7" s="855" t="s">
        <v>255</v>
      </c>
      <c r="AR7" s="433"/>
      <c r="AS7" s="433"/>
      <c r="AT7" s="223"/>
      <c r="AU7" s="1254">
        <f>'2025'!Dépas_env</f>
        <v>3.7798110649190475E-2</v>
      </c>
      <c r="AV7" s="1255"/>
      <c r="AW7" s="855" t="s">
        <v>255</v>
      </c>
      <c r="AX7" s="433"/>
      <c r="AY7" s="433"/>
      <c r="AZ7" s="223"/>
      <c r="BA7" s="1254">
        <f>'2026'!Dépas_env</f>
        <v>3.7798110649190475E-2</v>
      </c>
      <c r="BB7" s="1255"/>
      <c r="BC7" s="855" t="s">
        <v>255</v>
      </c>
      <c r="BD7" s="433"/>
      <c r="BE7" s="433"/>
      <c r="BF7" s="223"/>
      <c r="BG7" s="1254">
        <f>'2027'!Dépas_env</f>
        <v>3.7798110649190253E-2</v>
      </c>
      <c r="BH7" s="1255"/>
      <c r="BI7" s="855" t="s">
        <v>255</v>
      </c>
      <c r="BJ7" s="433"/>
      <c r="BK7" s="433"/>
      <c r="BL7" s="223"/>
      <c r="BM7" s="1254"/>
      <c r="BN7" s="1255"/>
      <c r="BO7" s="855" t="s">
        <v>255</v>
      </c>
      <c r="BP7" s="433"/>
      <c r="BQ7" s="433"/>
      <c r="BR7" s="223"/>
      <c r="BS7" s="1254"/>
      <c r="BT7" s="1255"/>
      <c r="BU7" s="855" t="s">
        <v>255</v>
      </c>
      <c r="BV7" s="433"/>
      <c r="BW7" s="433"/>
      <c r="BX7" s="223"/>
      <c r="BY7" s="1254"/>
      <c r="BZ7" s="1255"/>
    </row>
    <row r="8" spans="1:78" ht="15.75" x14ac:dyDescent="0.25">
      <c r="A8" s="429" t="s">
        <v>134</v>
      </c>
      <c r="T8" s="661" t="s">
        <v>196</v>
      </c>
    </row>
    <row r="9" spans="1:78" s="28" customFormat="1" ht="15" customHeight="1" x14ac:dyDescent="0.25">
      <c r="A9" s="448" t="s">
        <v>77</v>
      </c>
      <c r="B9" s="583">
        <f>IF(B4="D",T0,IF(YEAR(B4)=A3,B4, "err."))</f>
        <v>43313</v>
      </c>
      <c r="C9" s="584">
        <f>IF(B9&gt;T0,IF(C4="D",0,C4),0)</f>
        <v>0</v>
      </c>
      <c r="D9" s="585" t="s">
        <v>80</v>
      </c>
      <c r="E9" s="465" t="s">
        <v>80</v>
      </c>
      <c r="F9" s="1197">
        <f>IF(C5="I",T0,B10)</f>
        <v>43313</v>
      </c>
      <c r="G9" s="449" t="s">
        <v>92</v>
      </c>
      <c r="H9" s="583">
        <f>IF(H4="D",B9,IF(YEAR(H4)=G3,H4, "err."))</f>
        <v>43313</v>
      </c>
      <c r="I9" s="584">
        <f>IF(YEAR(H9)=G3,IF(I4="D",C9,I4),C9)</f>
        <v>0</v>
      </c>
      <c r="J9" s="586" t="s">
        <v>80</v>
      </c>
      <c r="K9" s="453" t="s">
        <v>80</v>
      </c>
      <c r="L9" s="1197">
        <f>IF(I5="I",F9,IF(YEAR(H10)=G3,H10,F9))</f>
        <v>43313</v>
      </c>
      <c r="M9" s="451" t="s">
        <v>92</v>
      </c>
      <c r="N9" s="583">
        <f>IF(N4="D",H9,IF(YEAR(N4)=M3,N4, "err."))</f>
        <v>43313</v>
      </c>
      <c r="O9" s="584">
        <f>IF(YEAR(N9)=M3,IF(O4="D",I9,O4),I9)</f>
        <v>0</v>
      </c>
      <c r="P9" s="586" t="s">
        <v>80</v>
      </c>
      <c r="Q9" s="453" t="s">
        <v>80</v>
      </c>
      <c r="R9" s="1197">
        <f>IF(O5="I",L9,IF(YEAR(N10)=M3,N10,L9))</f>
        <v>43313</v>
      </c>
      <c r="S9" s="449" t="s">
        <v>92</v>
      </c>
      <c r="T9" s="583">
        <f>IF(T4="D",N9,IF(YEAR(T4)=S3,T4, "err."))</f>
        <v>43313</v>
      </c>
      <c r="U9" s="584">
        <f>IF(YEAR(T9)=S3,IF(U4="D",O9,U4),O9)</f>
        <v>0</v>
      </c>
      <c r="V9" s="586" t="s">
        <v>80</v>
      </c>
      <c r="W9" s="453" t="s">
        <v>80</v>
      </c>
      <c r="X9" s="1197">
        <f>IF(U5="I",R9,IF(YEAR(T10)=S3,T10,R9))</f>
        <v>44306</v>
      </c>
      <c r="Y9" s="449" t="s">
        <v>92</v>
      </c>
      <c r="Z9" s="583">
        <f>IF(Z4="D",T9,IF(YEAR(Z4)=Y3,Z4, "err."))</f>
        <v>43313</v>
      </c>
      <c r="AA9" s="584">
        <f>IF(YEAR(Z9)=Y3,IF(AA4="D",U9,AA4),U9)</f>
        <v>0</v>
      </c>
      <c r="AB9" s="586" t="s">
        <v>80</v>
      </c>
      <c r="AC9" s="453" t="s">
        <v>80</v>
      </c>
      <c r="AD9" s="1197">
        <f>IF(AA5="I",X9,IF(YEAR(Z10)=Y3,Z10,X9))</f>
        <v>44854</v>
      </c>
      <c r="AE9" s="449" t="s">
        <v>92</v>
      </c>
      <c r="AF9" s="583">
        <f>IF(AF4="D",Z9,IF(YEAR(AF4)=AE3,AF4, "err."))</f>
        <v>43313</v>
      </c>
      <c r="AG9" s="584">
        <f>IF(YEAR(AF9)=AE3,IF(AG4="D",AA9,AG4),AA9)</f>
        <v>0</v>
      </c>
      <c r="AH9" s="586" t="s">
        <v>80</v>
      </c>
      <c r="AI9" s="453" t="s">
        <v>80</v>
      </c>
      <c r="AJ9" s="1197">
        <f>IF(AG5="I",AD9,IF(YEAR(AF10)=AE3,AF10,AD9))</f>
        <v>44854</v>
      </c>
      <c r="AK9" s="449" t="s">
        <v>92</v>
      </c>
      <c r="AL9" s="599">
        <f>IF(AL4="D",AF9,AL4)</f>
        <v>43313</v>
      </c>
      <c r="AM9" s="600">
        <f>IF(AM4="D",AG9,AM4)</f>
        <v>0</v>
      </c>
      <c r="AN9" s="586" t="s">
        <v>80</v>
      </c>
      <c r="AO9" s="601" t="s">
        <v>80</v>
      </c>
      <c r="AP9" s="1197">
        <f>IF(AM5="I",AJ9,IF(YEAR(AL10)=AK3,AL10,AJ9))</f>
        <v>45412</v>
      </c>
      <c r="AQ9" s="449" t="s">
        <v>92</v>
      </c>
      <c r="AR9" s="583">
        <f>IF(AR4="D",AL9,AR4)</f>
        <v>43313</v>
      </c>
      <c r="AS9" s="584">
        <f>IF(AS4="D",AM9,AS4)</f>
        <v>0</v>
      </c>
      <c r="AT9" s="586" t="s">
        <v>80</v>
      </c>
      <c r="AU9" s="453" t="s">
        <v>80</v>
      </c>
      <c r="AV9" s="1197">
        <f>IF(AS5="I",AP9,IF(YEAR(AR10)=AQ3,AR10,AP9))</f>
        <v>45412</v>
      </c>
      <c r="AW9" s="449" t="s">
        <v>92</v>
      </c>
      <c r="AX9" s="583">
        <f>IF(AX4="D",AR9,AX4)</f>
        <v>43313</v>
      </c>
      <c r="AY9" s="584">
        <f>IF(AY4="D",AS9,AY4)</f>
        <v>0</v>
      </c>
      <c r="AZ9" s="586" t="s">
        <v>80</v>
      </c>
      <c r="BA9" s="453" t="s">
        <v>80</v>
      </c>
      <c r="BB9" s="1197">
        <f>IF(AY5="I",AV9,IF(YEAR(AX10)=AW3,AX10,AV9))</f>
        <v>46142</v>
      </c>
      <c r="BC9" s="449" t="s">
        <v>92</v>
      </c>
      <c r="BD9" s="583">
        <f>IF(BD4="D",AX9,BD4)</f>
        <v>43313</v>
      </c>
      <c r="BE9" s="584">
        <f>IF(BE4="D",AY9,BE4)</f>
        <v>0</v>
      </c>
      <c r="BF9" s="586" t="s">
        <v>80</v>
      </c>
      <c r="BG9" s="453" t="s">
        <v>80</v>
      </c>
      <c r="BH9" s="1197">
        <f>IF(BE5="I",BB9,IF(YEAR(BD10)=BC3,BD10,BB9))</f>
        <v>46142</v>
      </c>
      <c r="BI9" s="449" t="s">
        <v>92</v>
      </c>
      <c r="BJ9" s="583">
        <f>IF(BJ4="D",BD9,BJ4)</f>
        <v>43313</v>
      </c>
      <c r="BK9" s="584">
        <f>IF(BK4="D",BE9,BK4)</f>
        <v>0</v>
      </c>
      <c r="BL9" s="586" t="s">
        <v>80</v>
      </c>
      <c r="BM9" s="453" t="s">
        <v>80</v>
      </c>
      <c r="BN9" s="1197" t="e">
        <f>IF(BK5="I",BH9,IF(YEAR(BJ10)=BI3,BJ10,BH9))</f>
        <v>#NAME?</v>
      </c>
      <c r="BO9" s="449" t="s">
        <v>92</v>
      </c>
      <c r="BP9" s="583">
        <f>IF(BP4="D",BJ9,BP4)</f>
        <v>43313</v>
      </c>
      <c r="BQ9" s="584">
        <f>IF(BQ4="D",BK9,BQ4)</f>
        <v>0</v>
      </c>
      <c r="BR9" s="586" t="s">
        <v>80</v>
      </c>
      <c r="BS9" s="453" t="s">
        <v>80</v>
      </c>
      <c r="BT9" s="1197" t="e">
        <f>IF(BQ5="I",BN9,IF(YEAR(BP10)=BO3,BP10,BN9))</f>
        <v>#NAME?</v>
      </c>
      <c r="BU9" s="449" t="s">
        <v>92</v>
      </c>
      <c r="BV9" s="583">
        <f>IF(BV4="D",BP9,BV4)</f>
        <v>43313</v>
      </c>
      <c r="BW9" s="584">
        <f>IF(BW4="D",BQ9,BW4)</f>
        <v>0</v>
      </c>
      <c r="BX9" s="586" t="s">
        <v>80</v>
      </c>
      <c r="BY9" s="453" t="s">
        <v>80</v>
      </c>
      <c r="BZ9" s="1197" t="e">
        <f>IF(BW5="I",BT9,IF(YEAR(BV10)=BU3,BV10,BT9))</f>
        <v>#NAME?</v>
      </c>
    </row>
    <row r="10" spans="1:78" s="452" customFormat="1" ht="15" customHeight="1" x14ac:dyDescent="0.25">
      <c r="A10" s="466" t="s">
        <v>16</v>
      </c>
      <c r="B10" s="581">
        <f>IF(B5="D",T0,IF(YEAR(B5)=A3,B5, "err."))</f>
        <v>43313</v>
      </c>
      <c r="C10" s="587">
        <f>IF(B10&gt;T0,IF(C5="D",0,C5),0)</f>
        <v>0</v>
      </c>
      <c r="D10" s="588">
        <f>IF(YEAR(B10)=A3,IF(D5="D",Salim_i,D5),Salim_i)</f>
        <v>0.21</v>
      </c>
      <c r="E10" s="589">
        <f>IF(E5="D",Tau_i,IF(YEAR(B10)=A3,E5,Tau_i))</f>
        <v>2.5</v>
      </c>
      <c r="F10" s="1198">
        <f>C10</f>
        <v>0</v>
      </c>
      <c r="G10" s="451" t="s">
        <v>93</v>
      </c>
      <c r="H10" s="581">
        <f>IF(H5="D",IF(AND(G3&gt;=YEAR(F9)+Inter_net,G3&gt;Amaj),DATE(G3,4,30),B10),IF(YEAR(H5)=G3,H5,"err."))</f>
        <v>43313</v>
      </c>
      <c r="I10" s="587">
        <f>IF(G3=YEAR(H10),IF(I5="D",F10,I5),C13)</f>
        <v>0</v>
      </c>
      <c r="J10" s="588">
        <f>IF(G3=YEAR(H10),IF(J5="D",D10,J5),D10)</f>
        <v>0.21</v>
      </c>
      <c r="K10" s="589">
        <f>IF(G3=YEAR(H10),IF(K5="D",E10,K5),E10)</f>
        <v>2.5</v>
      </c>
      <c r="L10" s="1198">
        <f>IF(I5="I",F10,IF(I5="D",F10,I5))</f>
        <v>0</v>
      </c>
      <c r="M10" s="451" t="s">
        <v>93</v>
      </c>
      <c r="N10" s="581">
        <f>IF(N5="D",IF(AND(M3&gt;=YEAR(L9)+Inter_net,M3&gt;Amaj),DATE(M3,4,30),H10),IF(YEAR(N5)=M3,N5,"err."))</f>
        <v>43831</v>
      </c>
      <c r="O10" s="587" t="str">
        <f>IF(M3=YEAR(N10),IF(O5="D",L10,O5),I13)</f>
        <v>I</v>
      </c>
      <c r="P10" s="588">
        <f>IF(M3=YEAR(N10),IF(P5="D",J10,P5),J10)</f>
        <v>0.14000000000000001</v>
      </c>
      <c r="Q10" s="589">
        <f>IF(M3=YEAR(N10),IF(Q5="D",K10,Q5),K10)</f>
        <v>1</v>
      </c>
      <c r="R10" s="1198">
        <f>IF(O5="I",L10,IF(O5="D",L10,O5))</f>
        <v>0</v>
      </c>
      <c r="S10" s="451" t="s">
        <v>93</v>
      </c>
      <c r="T10" s="581">
        <f>IF(T5="D",IF(AND(S3&gt;=YEAR(R9)+Inter_net,S3&gt;Amaj),DATE(S3,4,30),N10),IF(YEAR(T5)=S3,T5,"err."))</f>
        <v>44306</v>
      </c>
      <c r="U10" s="587">
        <f>IF(S3=YEAR(T10),IF(U5="D",R10,U5),O13)</f>
        <v>2.5000000000000001E-2</v>
      </c>
      <c r="V10" s="588">
        <f>IF(S3=YEAR(T10),IF(V5="D",P10,V5),P10)</f>
        <v>0.17</v>
      </c>
      <c r="W10" s="589">
        <f>IF(S3=YEAR(T10),IF(W5="D",Q10,W5),Q10)</f>
        <v>1</v>
      </c>
      <c r="X10" s="1198">
        <f>IF(U5="I",R10,IF(U5="D",R10,U5))</f>
        <v>2.5000000000000001E-2</v>
      </c>
      <c r="Y10" s="451" t="s">
        <v>93</v>
      </c>
      <c r="Z10" s="581">
        <f>IF(Z5="D",IF(AND(Y3&gt;=YEAR(X9)+Inter_net,Y3&gt;Amaj),DATE(Y3,4,30),T10),IF(YEAR(Z5)=Y3,Z5,"err."))</f>
        <v>44854</v>
      </c>
      <c r="AA10" s="587">
        <f>IF(Y3=YEAR(Z10),IF(AA5="D",X10,AA5),U13)</f>
        <v>2.1999999999999999E-2</v>
      </c>
      <c r="AB10" s="588">
        <f>IF(Y3=YEAR(Z10),IF(AB5="D",V10,AB5),V10)</f>
        <v>0.22</v>
      </c>
      <c r="AC10" s="589">
        <f>IF(Y3=YEAR(Z10),IF(AC5="D",W10,AC5),W10)</f>
        <v>2.5</v>
      </c>
      <c r="AD10" s="1198">
        <f>IF(AA5="I",X10,IF(AA5="D",X10,AA5))</f>
        <v>2.1999999999999999E-2</v>
      </c>
      <c r="AE10" s="451" t="s">
        <v>93</v>
      </c>
      <c r="AF10" s="581">
        <f>IF(AF5="D",IF(AND(AE3&gt;=YEAR(AD9)+Inter_net,AE3&gt;Amaj),DATE(AE3,4,30),Z10),IF(YEAR(AF5)=AE3,AF5,"err."))</f>
        <v>44854</v>
      </c>
      <c r="AG10" s="587">
        <f>IF(AE3=YEAR(AF10),IF(AG5="D",AD10,AG5),AA13)</f>
        <v>2.1999999999999999E-2</v>
      </c>
      <c r="AH10" s="588">
        <f>IF(AE3=YEAR(AF10),IF(AH5="D",AB10,AH5),AB10)</f>
        <v>0.22</v>
      </c>
      <c r="AI10" s="589">
        <f>IF(AE3=YEAR(AF10),IF(AI5="D",AC10,AI5),AC10)</f>
        <v>2.5</v>
      </c>
      <c r="AJ10" s="1198">
        <f>IF(AG5="I",AD10,IF(AG5="D",AD10,AG5))</f>
        <v>2.1999999999999999E-2</v>
      </c>
      <c r="AK10" s="451" t="s">
        <v>93</v>
      </c>
      <c r="AL10" s="581">
        <f>IF(AL5="D",IF(AND(AK3&gt;=YEAR(AJ9)+Inter_net,AK3&gt;Amaj),DATE(AK3,4,30),AF10),IF(YEAR(AL5)=AK3,AL5,"err."))</f>
        <v>45412</v>
      </c>
      <c r="AM10" s="587">
        <f>IF(AK3=YEAR(AL10),IF(AM5="D",AJ10,AM5),AG13)</f>
        <v>2.1999999999999999E-2</v>
      </c>
      <c r="AN10" s="588">
        <f>IF(AN5="D",AH10,AN5)</f>
        <v>0.22</v>
      </c>
      <c r="AO10" s="589">
        <f>IF(AO5="D",AI10,AO5)</f>
        <v>2.5</v>
      </c>
      <c r="AP10" s="1198">
        <f>IF(AM5="I",AJ10,IF(AM5="D",AJ10,AM5))</f>
        <v>2.1999999999999999E-2</v>
      </c>
      <c r="AQ10" s="451" t="s">
        <v>93</v>
      </c>
      <c r="AR10" s="581">
        <f>IF(AR5="D",IF(AND(AQ3&gt;=YEAR(AP9)+Inter_net,AQ3&gt;Amaj),DATE(AQ3,4,30),AL10),IF(YEAR(AR5)=AQ3,AR5,"err."))</f>
        <v>45412</v>
      </c>
      <c r="AS10" s="587">
        <f>IF(AQ3=YEAR(AR10),IF(AS5="D",AP10,AS5),AM13)</f>
        <v>2.1999999999999999E-2</v>
      </c>
      <c r="AT10" s="588">
        <f>IF(AT5="D",AN10,AT5)</f>
        <v>0.22</v>
      </c>
      <c r="AU10" s="589">
        <f>IF(AU5="D",AO10,AU5)</f>
        <v>2.5</v>
      </c>
      <c r="AV10" s="1198">
        <f>IF(AS5="I",AP10,IF(AS5="D",AP10,AS5))</f>
        <v>2.1999999999999999E-2</v>
      </c>
      <c r="AW10" s="451" t="s">
        <v>93</v>
      </c>
      <c r="AX10" s="581">
        <f>IF(AX5="D",IF(AND(AW3&gt;=YEAR(AV9)+Inter_net,AW3&gt;Amaj),DATE(AW3,4,30),AR10),IF(YEAR(AX5)=AW3,AX5,"err."))</f>
        <v>46142</v>
      </c>
      <c r="AY10" s="587">
        <f>IF(AW3=YEAR(AX10),IF(AY5="D",AV10,AY5),AS13)</f>
        <v>2.1999999999999999E-2</v>
      </c>
      <c r="AZ10" s="588">
        <f>IF(AZ5="D",AT10,AZ5)</f>
        <v>0.22</v>
      </c>
      <c r="BA10" s="589">
        <f>IF(BA5="D",AU10,BA5)</f>
        <v>2.5</v>
      </c>
      <c r="BB10" s="1198">
        <f>IF(AY5="I",AV10,IF(AY5="D",AV10,AY5))</f>
        <v>2.1999999999999999E-2</v>
      </c>
      <c r="BC10" s="451" t="s">
        <v>93</v>
      </c>
      <c r="BD10" s="581">
        <f>IF(BD5="D",IF(AND(BC3&gt;=YEAR(BB9)+Inter_net,BC3&gt;Amaj),DATE(BC3,4,30),AX10),IF(YEAR(BD5)=BC3,BD5,"err."))</f>
        <v>46142</v>
      </c>
      <c r="BE10" s="587">
        <f>IF(BC3=YEAR(BD10),IF(BE5="D",BB10,BE5),AY13)</f>
        <v>2.1999999999999999E-2</v>
      </c>
      <c r="BF10" s="588">
        <f>IF(BF5="D",AZ10,BF5)</f>
        <v>0.22</v>
      </c>
      <c r="BG10" s="589">
        <f>IF(BG5="D",BA10,BG5)</f>
        <v>2.5</v>
      </c>
      <c r="BH10" s="1198">
        <f>IF(BE5="I",BB10,IF(BE5="D",BB10,BE5))</f>
        <v>2.1999999999999999E-2</v>
      </c>
      <c r="BI10" s="451" t="s">
        <v>93</v>
      </c>
      <c r="BJ10" s="581" t="e">
        <f>IF(BJ5="D",IF(AND(BI3&gt;=YEAR(BH9)+Inter_net,BI3&gt;Amaj),DATE(BI3,4,30),BD10),IF(YEAR(BJ5)=BI3,BJ5,"err."))</f>
        <v>#NAME?</v>
      </c>
      <c r="BK10" s="587" t="e">
        <f>IF(BI3=YEAR(BJ10),IF(BK5="D",BH10,BK5),BE13)</f>
        <v>#NAME?</v>
      </c>
      <c r="BL10" s="588">
        <f>IF(BL5="D",BF10,BL5)</f>
        <v>0.22</v>
      </c>
      <c r="BM10" s="589">
        <f>IF(BM5="D",BG10,BM5)</f>
        <v>2.5</v>
      </c>
      <c r="BN10" s="1198">
        <f>IF(BK5="I",BH10,IF(BK5="D",BH10,BK5))</f>
        <v>2.1999999999999999E-2</v>
      </c>
      <c r="BO10" s="451" t="s">
        <v>93</v>
      </c>
      <c r="BP10" s="581" t="e">
        <f>IF(BP5="D",IF(AND(BO3&gt;=YEAR(BN9)+Inter_net,BO3&gt;Amaj),DATE(BO3,4,30),BJ10),IF(YEAR(BP5)=BO3,BP5,"err."))</f>
        <v>#NAME?</v>
      </c>
      <c r="BQ10" s="587" t="e">
        <f>IF(BO3=YEAR(BP10),IF(BQ5="D",BN10,BQ5),BK13)</f>
        <v>#NAME?</v>
      </c>
      <c r="BR10" s="588">
        <f>IF(BR5="D",BL10,BR5)</f>
        <v>0.22</v>
      </c>
      <c r="BS10" s="589">
        <f>IF(BS5="D",BM10,BS5)</f>
        <v>2.5</v>
      </c>
      <c r="BT10" s="1198">
        <f>IF(BQ5="I",BN10,IF(BQ5="D",BN10,BQ5))</f>
        <v>2.1999999999999999E-2</v>
      </c>
      <c r="BU10" s="451" t="s">
        <v>93</v>
      </c>
      <c r="BV10" s="581" t="e">
        <f>IF(BV5="D",IF(AND(BU3&gt;=YEAR(BT9)+Inter_net,BU3&gt;Amaj),DATE(BU3,4,30),BP10),IF(YEAR(BV5)=BU3,BV5,"err."))</f>
        <v>#NAME?</v>
      </c>
      <c r="BW10" s="587" t="e">
        <f>IF(BU3=YEAR(BV10),IF(BW5="D",BT10,BW5),BQ13)</f>
        <v>#NAME?</v>
      </c>
      <c r="BX10" s="588">
        <f>IF(BX5="D",BR10,BX5)</f>
        <v>0.22</v>
      </c>
      <c r="BY10" s="589">
        <f>IF(BY5="D",BS10,BY5)</f>
        <v>2.5</v>
      </c>
      <c r="BZ10" s="1198">
        <f>IF(BW5="I",BT10,IF(BW5="D",BT10,BW5))</f>
        <v>2.1999999999999999E-2</v>
      </c>
    </row>
    <row r="11" spans="1:78" s="452" customFormat="1" ht="15" customHeight="1" x14ac:dyDescent="0.25">
      <c r="A11" s="450" t="s">
        <v>18</v>
      </c>
      <c r="B11" s="582">
        <f>IF(B6="D",DATE(A3,1,1),IF(YEAR(B6)=A3,B6, "err."))</f>
        <v>43101</v>
      </c>
      <c r="C11" s="590">
        <f>IF(C6="D",D_i,C6)</f>
        <v>0.9</v>
      </c>
      <c r="D11" s="1246">
        <f>IF(D6="D",IF(B11&gt;DATE(A3,1,1),H_i,H_i+PousHi),D6)</f>
        <v>-2.1002240119956488</v>
      </c>
      <c r="E11" s="1246"/>
      <c r="F11" s="190"/>
      <c r="G11" s="451" t="s">
        <v>94</v>
      </c>
      <c r="H11" s="582">
        <f>IF(H6="D",IF(AND(G3&gt;=YEAR(B11)+Inter_tai,G3&gt;Amaj),DATE(G3,3,31),B11),IF(YEAR(H6)=G3,H6,"err."))</f>
        <v>43101</v>
      </c>
      <c r="I11" s="590">
        <f>IF(I6="D",IF(G3=YEAR(H11),D_i,C11),I6)</f>
        <v>0.9</v>
      </c>
      <c r="J11" s="1246">
        <f>IF(J6="D",IF(G3=YEAR(H11),H_i,D16+E16),J6)</f>
        <v>-1.4002241205487671</v>
      </c>
      <c r="K11" s="1246"/>
      <c r="L11" s="190"/>
      <c r="M11" s="451" t="s">
        <v>94</v>
      </c>
      <c r="N11" s="582">
        <f>IF(N6="D",IF(AND(M3&gt;=YEAR(H11)+Inter_tai,M3&gt;Amaj),DATE(M3,3,31),H11),IF(YEAR(N6)=M3,N6,"err."))</f>
        <v>43101</v>
      </c>
      <c r="O11" s="590">
        <f>IF(O6="D",IF(M3=YEAR(N11),D_i,I11),O6)</f>
        <v>0.9</v>
      </c>
      <c r="P11" s="1246">
        <f>IF(P6="D",IF(M3=YEAR(N11),H_i,J16+K16),P6)</f>
        <v>-0.70022422910188542</v>
      </c>
      <c r="Q11" s="1246"/>
      <c r="R11" s="190"/>
      <c r="S11" s="451" t="s">
        <v>94</v>
      </c>
      <c r="T11" s="582">
        <f>IF(T6="D",IF(AND(S3&gt;=YEAR(N11)+Inter_tai,S3&gt;Amaj),DATE(S3,3,31),N11),IF(YEAR(T6)=S3,T6,"err."))</f>
        <v>43101</v>
      </c>
      <c r="U11" s="590">
        <f>IF(U6="D",IF(S3=YEAR(T11),D_i,O11),U6)</f>
        <v>0.9</v>
      </c>
      <c r="V11" s="1246">
        <f>IF(V6="D",IF(S3=YEAR(T11),H_i,P16+Q16),V6)</f>
        <v>-0.1</v>
      </c>
      <c r="W11" s="1246"/>
      <c r="X11" s="190"/>
      <c r="Y11" s="451" t="s">
        <v>94</v>
      </c>
      <c r="Z11" s="582">
        <f>IF(Z6="D",IF(AND(Y3&gt;=YEAR(T11)+Inter_tai,Y3&gt;Amaj),DATE(Y3,3,31),T11),IF(YEAR(Z6)=Y3,Z6,"err."))</f>
        <v>43101</v>
      </c>
      <c r="AA11" s="590">
        <f>IF(AA6="D",IF(Y3=YEAR(Z11),D_i,U11),AA6)</f>
        <v>0.9</v>
      </c>
      <c r="AB11" s="1246">
        <f>IF(AB6="D",IF(Y3=YEAR(Z11),H_i,V16+W16),AB6)</f>
        <v>0.50022424457468451</v>
      </c>
      <c r="AC11" s="1246"/>
      <c r="AD11" s="190"/>
      <c r="AE11" s="451" t="s">
        <v>94</v>
      </c>
      <c r="AF11" s="582">
        <f>IF(AF6="D",IF(AND(AE3&gt;=YEAR(Z11)+Inter_tai,AE3&gt;Amaj),DATE(AE3,3,31),Z11),IF(YEAR(AF6)=AE3,AF6,"err."))</f>
        <v>43101</v>
      </c>
      <c r="AG11" s="590">
        <f>IF(AG6="D",IF(AE3=YEAR(AF11),D_i,AA11),AG6)</f>
        <v>0.9</v>
      </c>
      <c r="AH11" s="1246">
        <f>IF(AH6="D",IF(AE3=YEAR(AF11),H_i,AB16+AC16),AH6)</f>
        <v>1.1004484891493691</v>
      </c>
      <c r="AI11" s="1246"/>
      <c r="AJ11" s="190"/>
      <c r="AK11" s="451" t="s">
        <v>94</v>
      </c>
      <c r="AL11" s="582">
        <f>IF(AL6="D",IF(AND(AK3&gt;=YEAR(AF11)+Inter_tai,AK3&gt;Amaj),DATE(AK3,3,31),AF11),IF(YEAR(AL6)=AK3,AL6,"err."))</f>
        <v>43101</v>
      </c>
      <c r="AM11" s="590">
        <f>IF(AM6="D",IF(AK3=YEAR(AL11),D_i,AG11),AM6)</f>
        <v>0.9</v>
      </c>
      <c r="AN11" s="1246">
        <f>IF(AN6="D",IF(AK3=YEAR(AL11),H_i,AH16+PousHi),AN6)</f>
        <v>1.8004483960690496</v>
      </c>
      <c r="AO11" s="1246"/>
      <c r="AP11" s="190"/>
      <c r="AQ11" s="451" t="s">
        <v>94</v>
      </c>
      <c r="AR11" s="582">
        <f>IF(AR6="D",IF(AND(AQ3&gt;=YEAR(AL11)+Inter_tai,AQ3&gt;Amaj),DATE(AQ3,3,31),AL11),IF(YEAR(AR6)=AQ3,AR6,"err."))</f>
        <v>45747</v>
      </c>
      <c r="AS11" s="590">
        <f>IF(AS6="D",IF(AQ3=YEAR(AR11),D_i,AM11),AS6)</f>
        <v>0.9</v>
      </c>
      <c r="AT11" s="1246">
        <f>IF(AT6="D",IF(AQ3=YEAR(AR11),H_i,AN16+PousHi),AT6)</f>
        <v>-2.800224011995649</v>
      </c>
      <c r="AU11" s="1246"/>
      <c r="AV11" s="190"/>
      <c r="AW11" s="451" t="s">
        <v>94</v>
      </c>
      <c r="AX11" s="582">
        <f>IF(AX6="D",IF(AND(AW3&gt;=YEAR(AR11)+Inter_tai,AW3&gt;Amaj),DATE(AW3,3,31),AR11),IF(YEAR(AX6)=AW3,AX6,"err."))</f>
        <v>45747</v>
      </c>
      <c r="AY11" s="590">
        <f>IF(AY6="D",IF(AW3=YEAR(AX11),D_i,AS11),AY6)</f>
        <v>0.9</v>
      </c>
      <c r="AZ11" s="1246">
        <f>IF(AZ6="D",IF(AW3=YEAR(AX11),H_i,AT16+PousHi),AZ6)</f>
        <v>-1.435207473344166</v>
      </c>
      <c r="BA11" s="1246"/>
      <c r="BB11" s="190"/>
      <c r="BC11" s="451" t="s">
        <v>94</v>
      </c>
      <c r="BD11" s="582">
        <f>IF(BD6="D",IF(AND(BC3&gt;=YEAR(AX11)+Inter_tai,BC3&gt;Amaj),DATE(BC3,3,31),AX11),IF(YEAR(BD6)=BC3,BD6,"err."))</f>
        <v>45747</v>
      </c>
      <c r="BE11" s="590">
        <f>IF(BE6="D",IF(BC3=YEAR(BD11),D_i,AY11),BE6)</f>
        <v>0.9</v>
      </c>
      <c r="BF11" s="1246">
        <f>IF(BF6="D",IF(BC3=YEAR(BD11),H_i,AZ16+PousHi),BF6)</f>
        <v>-0.7352075818972843</v>
      </c>
      <c r="BG11" s="1246"/>
      <c r="BH11" s="190"/>
      <c r="BI11" s="451" t="s">
        <v>94</v>
      </c>
      <c r="BJ11" s="582" t="e">
        <f>IF(BJ6="D",IF(AND(BI3&gt;=YEAR(BD11)+Inter_tai,BI3&gt;Amaj),DATE(BI3,3,31),BD11),IF(YEAR(BJ6)=BI3,BJ6,"err."))</f>
        <v>#NAME?</v>
      </c>
      <c r="BK11" s="590" t="e">
        <f>IF(BK6="D",IF(BI3=YEAR(BJ11),D_i,BE11),BK6)</f>
        <v>#NAME?</v>
      </c>
      <c r="BL11" s="1246" t="e">
        <f>IF(BL6="D",IF(BI3=YEAR(BJ11),H_i,BF16+PousHi),BL6)</f>
        <v>#NAME?</v>
      </c>
      <c r="BM11" s="1246"/>
      <c r="BN11" s="190"/>
      <c r="BO11" s="451" t="s">
        <v>94</v>
      </c>
      <c r="BP11" s="582" t="e">
        <f>IF(BP6="D",IF(AND(BO3&gt;=YEAR(BJ11)+Inter_tai,BO3&gt;Amaj),DATE(BO3,3,31),BJ11),IF(YEAR(BP6)=BO3,BP6,"err."))</f>
        <v>#NAME?</v>
      </c>
      <c r="BQ11" s="590" t="e">
        <f>IF(BQ6="D",IF(BO3=YEAR(BP11),D_i,BK11),BQ6)</f>
        <v>#NAME?</v>
      </c>
      <c r="BR11" s="1246" t="e">
        <f>IF(BR6="D",IF(BO3=YEAR(BP11),H_i,BL16+PousHi),BR6)</f>
        <v>#NAME?</v>
      </c>
      <c r="BS11" s="1246"/>
      <c r="BT11" s="190"/>
      <c r="BU11" s="451" t="s">
        <v>94</v>
      </c>
      <c r="BV11" s="582" t="e">
        <f>IF(BV6="D",IF(AND(BU3&gt;=YEAR(BP11)+Inter_tai,BU3&gt;Amaj),DATE(BU3,3,31),BP11),IF(YEAR(BV6)=BU3,BV6,"err."))</f>
        <v>#NAME?</v>
      </c>
      <c r="BW11" s="590" t="e">
        <f>IF(BW6="D",IF(BU3=YEAR(BV11),D_i,BQ11),BW6)</f>
        <v>#NAME?</v>
      </c>
      <c r="BX11" s="1246" t="e">
        <f>IF(BX6="D",IF(BU3=YEAR(BV11),H_i,BR16+PousHi),BX6)</f>
        <v>#NAME?</v>
      </c>
      <c r="BY11" s="1246"/>
      <c r="BZ11" s="190"/>
    </row>
    <row r="12" spans="1:78" x14ac:dyDescent="0.25">
      <c r="A12" s="8" t="s">
        <v>164</v>
      </c>
      <c r="B12" s="447"/>
      <c r="C12" s="457"/>
      <c r="D12" s="405"/>
      <c r="E12" s="458"/>
      <c r="H12" s="447"/>
      <c r="L12" s="468"/>
      <c r="M12" s="458"/>
      <c r="AL12" s="458"/>
      <c r="AM12" s="457"/>
      <c r="AN12" s="405"/>
      <c r="AO12" s="458"/>
    </row>
    <row r="13" spans="1:78" s="411" customFormat="1" ht="15" customHeight="1" x14ac:dyDescent="0.25">
      <c r="A13" s="462" t="s">
        <v>16</v>
      </c>
      <c r="B13" s="591">
        <f>+'2018'!Tnet</f>
        <v>43313</v>
      </c>
      <c r="C13" s="592">
        <f>+'2018'!Resal</f>
        <v>0</v>
      </c>
      <c r="D13" s="593">
        <f>+'2018'!Salim</f>
        <v>0.21</v>
      </c>
      <c r="E13" s="594">
        <f>+'2018'!Tau_j/365</f>
        <v>2.5</v>
      </c>
      <c r="F13" s="467"/>
      <c r="G13" s="469" t="s">
        <v>93</v>
      </c>
      <c r="H13" s="591">
        <f>+'2019'!Tnet</f>
        <v>43313</v>
      </c>
      <c r="I13" s="592">
        <f>+'2019'!Resal</f>
        <v>0</v>
      </c>
      <c r="J13" s="593">
        <f>+'2019'!Salim</f>
        <v>0.21</v>
      </c>
      <c r="K13" s="594">
        <f>+'2019'!Tau_j/365</f>
        <v>2.5</v>
      </c>
      <c r="L13" s="470"/>
      <c r="M13" s="451" t="s">
        <v>93</v>
      </c>
      <c r="N13" s="591">
        <f>+'2020'!Tnet</f>
        <v>43831</v>
      </c>
      <c r="O13" s="592">
        <f>+'2020'!Resal</f>
        <v>9.0962770414730373E-2</v>
      </c>
      <c r="P13" s="593">
        <f>+'2020'!Salim</f>
        <v>0.14000000000000001</v>
      </c>
      <c r="Q13" s="594">
        <f>+'2020'!Tau_j/365</f>
        <v>1</v>
      </c>
      <c r="R13" s="470"/>
      <c r="S13" s="451" t="s">
        <v>93</v>
      </c>
      <c r="T13" s="591">
        <f>+'2021'!Tnet</f>
        <v>44306</v>
      </c>
      <c r="U13" s="592">
        <f>+'2021'!Resal</f>
        <v>2.5000000000000001E-2</v>
      </c>
      <c r="V13" s="593">
        <f>+'2021'!Salim</f>
        <v>0.17</v>
      </c>
      <c r="W13" s="594">
        <f>+'2021'!Tau_j/365</f>
        <v>1</v>
      </c>
      <c r="X13" s="470"/>
      <c r="Y13" s="451" t="s">
        <v>93</v>
      </c>
      <c r="Z13" s="591">
        <f>+'2022'!Tnet</f>
        <v>44854</v>
      </c>
      <c r="AA13" s="592">
        <f>+'2022'!Resal</f>
        <v>2.1999999999999999E-2</v>
      </c>
      <c r="AB13" s="593">
        <f>+'2022'!Salim</f>
        <v>0.22</v>
      </c>
      <c r="AC13" s="594">
        <f>+'2022'!Tau_j/365</f>
        <v>2.5</v>
      </c>
      <c r="AD13" s="470"/>
      <c r="AE13" s="451" t="s">
        <v>93</v>
      </c>
      <c r="AF13" s="591">
        <f>+'2023'!Tnet</f>
        <v>44854</v>
      </c>
      <c r="AG13" s="592">
        <f>+'2023'!Resal</f>
        <v>2.1999999999999999E-2</v>
      </c>
      <c r="AH13" s="593">
        <f>+'2023'!Salim</f>
        <v>0.22</v>
      </c>
      <c r="AI13" s="594">
        <f>+'2023'!Tau_j/365</f>
        <v>2.5</v>
      </c>
      <c r="AJ13" s="470"/>
      <c r="AK13" s="451" t="s">
        <v>93</v>
      </c>
      <c r="AL13" s="591">
        <f>+'2024'!Tnet</f>
        <v>45412</v>
      </c>
      <c r="AM13" s="592">
        <f>+'2024'!Resal</f>
        <v>2.1999999999999999E-2</v>
      </c>
      <c r="AN13" s="593">
        <f>+'2024'!Salim</f>
        <v>0.22</v>
      </c>
      <c r="AO13" s="594">
        <f>+'2024'!Tau_j/365</f>
        <v>2.5</v>
      </c>
      <c r="AP13" s="467"/>
      <c r="AQ13" s="451" t="s">
        <v>93</v>
      </c>
      <c r="AR13" s="591">
        <f>+'2025'!Tnet</f>
        <v>45412</v>
      </c>
      <c r="AS13" s="592">
        <f>+'2025'!Resal</f>
        <v>2.1999999999999999E-2</v>
      </c>
      <c r="AT13" s="593">
        <f>+'2025'!Salim</f>
        <v>0.22</v>
      </c>
      <c r="AU13" s="594">
        <f>+'2025'!Tau_j/365</f>
        <v>2.5</v>
      </c>
      <c r="AV13" s="467"/>
      <c r="AW13" s="451" t="s">
        <v>93</v>
      </c>
      <c r="AX13" s="591">
        <f>+'2026'!Tnet</f>
        <v>46142</v>
      </c>
      <c r="AY13" s="592">
        <f>+'2026'!Resal</f>
        <v>2.1999999999999999E-2</v>
      </c>
      <c r="AZ13" s="593">
        <f>+'2026'!Salim</f>
        <v>0.22</v>
      </c>
      <c r="BA13" s="594">
        <f>+'2026'!Tau_j/365</f>
        <v>2.5</v>
      </c>
      <c r="BB13" s="467"/>
      <c r="BC13" s="451" t="s">
        <v>93</v>
      </c>
      <c r="BD13" s="591">
        <f>+'2027'!Tnet</f>
        <v>46142</v>
      </c>
      <c r="BE13" s="592">
        <f>+'2027'!Resal</f>
        <v>2.1999999999999999E-2</v>
      </c>
      <c r="BF13" s="593">
        <f>+'2027'!Salim</f>
        <v>0.22</v>
      </c>
      <c r="BG13" s="594">
        <f>+'2027'!Tau_j/365</f>
        <v>2.5</v>
      </c>
      <c r="BH13" s="467"/>
      <c r="BI13" s="451" t="s">
        <v>93</v>
      </c>
      <c r="BJ13" s="591">
        <f>+'2018'!Tnet</f>
        <v>43313</v>
      </c>
      <c r="BK13" s="592">
        <f>+'2018'!Resal</f>
        <v>0</v>
      </c>
      <c r="BL13" s="593">
        <f>+'2018'!Salim</f>
        <v>0.21</v>
      </c>
      <c r="BM13" s="594">
        <f>+'2018'!Tau_j/365</f>
        <v>2.5</v>
      </c>
      <c r="BN13" s="467"/>
      <c r="BO13" s="451" t="s">
        <v>93</v>
      </c>
      <c r="BP13" s="591">
        <f>+'2018'!Tnet</f>
        <v>43313</v>
      </c>
      <c r="BQ13" s="592">
        <f>+'2018'!Resal</f>
        <v>0</v>
      </c>
      <c r="BR13" s="593">
        <f>+'2018'!Salim</f>
        <v>0.21</v>
      </c>
      <c r="BS13" s="594">
        <f>+'2018'!Tau_j/365</f>
        <v>2.5</v>
      </c>
      <c r="BT13" s="467"/>
      <c r="BU13" s="451" t="s">
        <v>93</v>
      </c>
      <c r="BV13" s="591">
        <f>+'2018'!Tnet</f>
        <v>43313</v>
      </c>
      <c r="BW13" s="592">
        <f>+'2018'!Resal</f>
        <v>0</v>
      </c>
      <c r="BX13" s="593">
        <f>+'2018'!Salim</f>
        <v>0.21</v>
      </c>
      <c r="BY13" s="594">
        <f>+'2018'!Tau_j/365</f>
        <v>2.5</v>
      </c>
      <c r="BZ13" s="467"/>
    </row>
    <row r="14" spans="1:78" s="461" customFormat="1" ht="12.75" customHeight="1" x14ac:dyDescent="0.25">
      <c r="A14" s="479"/>
      <c r="B14" s="480" t="s">
        <v>2</v>
      </c>
      <c r="C14" s="480" t="s">
        <v>129</v>
      </c>
      <c r="D14" s="480" t="s">
        <v>130</v>
      </c>
      <c r="E14" s="480" t="s">
        <v>131</v>
      </c>
      <c r="F14" s="481"/>
      <c r="G14" s="482"/>
      <c r="H14" s="483" t="s">
        <v>2</v>
      </c>
      <c r="I14" s="483" t="s">
        <v>129</v>
      </c>
      <c r="J14" s="483" t="s">
        <v>130</v>
      </c>
      <c r="K14" s="483" t="s">
        <v>131</v>
      </c>
      <c r="L14" s="484"/>
      <c r="M14" s="485"/>
      <c r="N14" s="483" t="s">
        <v>2</v>
      </c>
      <c r="O14" s="483" t="s">
        <v>129</v>
      </c>
      <c r="P14" s="483" t="s">
        <v>130</v>
      </c>
      <c r="Q14" s="483" t="s">
        <v>131</v>
      </c>
      <c r="R14" s="481"/>
      <c r="S14" s="482"/>
      <c r="T14" s="483" t="s">
        <v>2</v>
      </c>
      <c r="U14" s="483" t="s">
        <v>129</v>
      </c>
      <c r="V14" s="483" t="s">
        <v>130</v>
      </c>
      <c r="W14" s="483" t="s">
        <v>131</v>
      </c>
      <c r="X14" s="481"/>
      <c r="Y14" s="482"/>
      <c r="Z14" s="483" t="s">
        <v>2</v>
      </c>
      <c r="AA14" s="483" t="s">
        <v>129</v>
      </c>
      <c r="AB14" s="483" t="s">
        <v>130</v>
      </c>
      <c r="AC14" s="483" t="s">
        <v>131</v>
      </c>
      <c r="AD14" s="481"/>
      <c r="AE14" s="482"/>
      <c r="AF14" s="483" t="s">
        <v>2</v>
      </c>
      <c r="AG14" s="483" t="s">
        <v>129</v>
      </c>
      <c r="AH14" s="483" t="s">
        <v>130</v>
      </c>
      <c r="AI14" s="483" t="s">
        <v>131</v>
      </c>
      <c r="AJ14" s="481"/>
      <c r="AK14" s="482"/>
      <c r="AL14" s="483" t="s">
        <v>2</v>
      </c>
      <c r="AM14" s="483" t="s">
        <v>129</v>
      </c>
      <c r="AN14" s="483" t="s">
        <v>130</v>
      </c>
      <c r="AO14" s="483" t="s">
        <v>131</v>
      </c>
      <c r="AP14" s="481"/>
      <c r="AQ14" s="482"/>
      <c r="AR14" s="483" t="s">
        <v>2</v>
      </c>
      <c r="AS14" s="483" t="s">
        <v>129</v>
      </c>
      <c r="AT14" s="483" t="s">
        <v>130</v>
      </c>
      <c r="AU14" s="483" t="s">
        <v>131</v>
      </c>
      <c r="AV14" s="481"/>
      <c r="AW14" s="482"/>
      <c r="AX14" s="483" t="s">
        <v>2</v>
      </c>
      <c r="AY14" s="483" t="s">
        <v>129</v>
      </c>
      <c r="AZ14" s="483" t="s">
        <v>130</v>
      </c>
      <c r="BA14" s="483" t="s">
        <v>131</v>
      </c>
      <c r="BB14" s="481"/>
      <c r="BC14" s="482"/>
      <c r="BD14" s="483" t="s">
        <v>2</v>
      </c>
      <c r="BE14" s="483" t="s">
        <v>129</v>
      </c>
      <c r="BF14" s="483" t="s">
        <v>130</v>
      </c>
      <c r="BG14" s="483" t="s">
        <v>131</v>
      </c>
      <c r="BH14" s="481"/>
      <c r="BI14" s="482"/>
      <c r="BJ14" s="483" t="s">
        <v>2</v>
      </c>
      <c r="BK14" s="483" t="s">
        <v>129</v>
      </c>
      <c r="BL14" s="483" t="s">
        <v>130</v>
      </c>
      <c r="BM14" s="483" t="s">
        <v>131</v>
      </c>
      <c r="BN14" s="481"/>
      <c r="BO14" s="482"/>
      <c r="BP14" s="483" t="s">
        <v>2</v>
      </c>
      <c r="BQ14" s="483" t="s">
        <v>129</v>
      </c>
      <c r="BR14" s="483" t="s">
        <v>130</v>
      </c>
      <c r="BS14" s="483" t="s">
        <v>131</v>
      </c>
      <c r="BT14" s="481"/>
      <c r="BU14" s="482"/>
      <c r="BV14" s="483" t="s">
        <v>2</v>
      </c>
      <c r="BW14" s="483" t="s">
        <v>129</v>
      </c>
      <c r="BX14" s="483" t="s">
        <v>130</v>
      </c>
      <c r="BY14" s="483" t="s">
        <v>131</v>
      </c>
      <c r="BZ14" s="481"/>
    </row>
    <row r="15" spans="1:78" s="464" customFormat="1" ht="15" customHeight="1" x14ac:dyDescent="0.25">
      <c r="A15" s="486" t="s">
        <v>125</v>
      </c>
      <c r="B15" s="595">
        <f>B11</f>
        <v>43101</v>
      </c>
      <c r="C15" s="596">
        <f>'2018'!Dd</f>
        <v>0.9</v>
      </c>
      <c r="D15" s="596">
        <f>'2018'!Df</f>
        <v>0.9</v>
      </c>
      <c r="E15" s="596">
        <f>'2018'!PousD</f>
        <v>0</v>
      </c>
      <c r="F15" s="471"/>
      <c r="G15" s="487" t="s">
        <v>128</v>
      </c>
      <c r="H15" s="595">
        <f>H11</f>
        <v>43101</v>
      </c>
      <c r="I15" s="596">
        <f>'2019'!Dd</f>
        <v>0.9</v>
      </c>
      <c r="J15" s="596">
        <f>'2019'!Df</f>
        <v>0.9</v>
      </c>
      <c r="K15" s="596">
        <f>'2019'!PousD</f>
        <v>0</v>
      </c>
      <c r="L15" s="471"/>
      <c r="M15" s="487" t="s">
        <v>128</v>
      </c>
      <c r="N15" s="595">
        <f>N11</f>
        <v>43101</v>
      </c>
      <c r="O15" s="596">
        <f>'2020'!Dd</f>
        <v>0.9</v>
      </c>
      <c r="P15" s="596">
        <f>'2020'!Df</f>
        <v>0.9</v>
      </c>
      <c r="Q15" s="596">
        <f>'2020'!PousD</f>
        <v>0</v>
      </c>
      <c r="R15" s="471"/>
      <c r="S15" s="488" t="s">
        <v>128</v>
      </c>
      <c r="T15" s="595">
        <f>T11</f>
        <v>43101</v>
      </c>
      <c r="U15" s="596">
        <f>'2021'!Dd</f>
        <v>0.9</v>
      </c>
      <c r="V15" s="596">
        <f>'2021'!Df</f>
        <v>0.9</v>
      </c>
      <c r="W15" s="596">
        <f>'2021'!PousD</f>
        <v>0</v>
      </c>
      <c r="X15" s="471"/>
      <c r="Y15" s="488" t="s">
        <v>128</v>
      </c>
      <c r="Z15" s="595">
        <f>Z11</f>
        <v>43101</v>
      </c>
      <c r="AA15" s="596">
        <f>'2022'!Dd</f>
        <v>0.9</v>
      </c>
      <c r="AB15" s="596">
        <f>'2022'!Df</f>
        <v>0.9</v>
      </c>
      <c r="AC15" s="596">
        <f>'2022'!PousD</f>
        <v>0</v>
      </c>
      <c r="AD15" s="471"/>
      <c r="AE15" s="488" t="s">
        <v>128</v>
      </c>
      <c r="AF15" s="595">
        <f>AF11</f>
        <v>43101</v>
      </c>
      <c r="AG15" s="596">
        <f>'2023'!Dd</f>
        <v>0.9</v>
      </c>
      <c r="AH15" s="596">
        <f>'2023'!Df</f>
        <v>0.9</v>
      </c>
      <c r="AI15" s="596">
        <f>'2023'!PousD</f>
        <v>0</v>
      </c>
      <c r="AJ15" s="471"/>
      <c r="AK15" s="488" t="s">
        <v>128</v>
      </c>
      <c r="AL15" s="595">
        <f>AL11</f>
        <v>43101</v>
      </c>
      <c r="AM15" s="596">
        <f>'2024'!Dd</f>
        <v>0.9</v>
      </c>
      <c r="AN15" s="596">
        <f>'2024'!Df</f>
        <v>0.9</v>
      </c>
      <c r="AO15" s="596">
        <f>'2024'!PousD</f>
        <v>0</v>
      </c>
      <c r="AP15" s="471"/>
      <c r="AQ15" s="488" t="s">
        <v>128</v>
      </c>
      <c r="AR15" s="595">
        <f>AR11</f>
        <v>45747</v>
      </c>
      <c r="AS15" s="596">
        <f>'2025'!Dd</f>
        <v>0.9</v>
      </c>
      <c r="AT15" s="596">
        <f>'2025'!Df</f>
        <v>0.9</v>
      </c>
      <c r="AU15" s="596">
        <f>'2025'!PousD</f>
        <v>0</v>
      </c>
      <c r="AV15" s="471"/>
      <c r="AW15" s="488" t="s">
        <v>128</v>
      </c>
      <c r="AX15" s="595">
        <f>AX11</f>
        <v>45747</v>
      </c>
      <c r="AY15" s="596">
        <f>'2026'!Dd</f>
        <v>0.9</v>
      </c>
      <c r="AZ15" s="596">
        <f>'2026'!Df</f>
        <v>0.9</v>
      </c>
      <c r="BA15" s="596">
        <f>'2026'!PousD</f>
        <v>0</v>
      </c>
      <c r="BB15" s="471"/>
      <c r="BC15" s="488" t="s">
        <v>128</v>
      </c>
      <c r="BD15" s="595">
        <f>BD11</f>
        <v>45747</v>
      </c>
      <c r="BE15" s="596">
        <f>'2027'!Dd</f>
        <v>0.9</v>
      </c>
      <c r="BF15" s="596">
        <f>'2027'!Df</f>
        <v>0.9</v>
      </c>
      <c r="BG15" s="596">
        <f>'2027'!PousD</f>
        <v>0</v>
      </c>
      <c r="BH15" s="471"/>
      <c r="BI15" s="488" t="s">
        <v>128</v>
      </c>
      <c r="BJ15" s="595" t="e">
        <f>BJ11</f>
        <v>#NAME?</v>
      </c>
      <c r="BK15" s="596">
        <f>'2018'!Dd</f>
        <v>0.9</v>
      </c>
      <c r="BL15" s="596">
        <f>'2018'!Df</f>
        <v>0.9</v>
      </c>
      <c r="BM15" s="596">
        <f>'2018'!PousD</f>
        <v>0</v>
      </c>
      <c r="BN15" s="471"/>
      <c r="BO15" s="488" t="s">
        <v>128</v>
      </c>
      <c r="BP15" s="595" t="e">
        <f>BP11</f>
        <v>#NAME?</v>
      </c>
      <c r="BQ15" s="596">
        <f>'2018'!Dd</f>
        <v>0.9</v>
      </c>
      <c r="BR15" s="596">
        <f>'2018'!Df</f>
        <v>0.9</v>
      </c>
      <c r="BS15" s="596">
        <f>'2018'!PousD</f>
        <v>0</v>
      </c>
      <c r="BT15" s="471"/>
      <c r="BU15" s="488" t="s">
        <v>128</v>
      </c>
      <c r="BV15" s="595" t="e">
        <f>BV11</f>
        <v>#NAME?</v>
      </c>
      <c r="BW15" s="596">
        <f>'2018'!Dd</f>
        <v>0.9</v>
      </c>
      <c r="BX15" s="596">
        <f>'2018'!Df</f>
        <v>0.9</v>
      </c>
      <c r="BY15" s="596">
        <f>'2018'!PousD</f>
        <v>0</v>
      </c>
      <c r="BZ15" s="471"/>
    </row>
    <row r="16" spans="1:78" s="464" customFormat="1" ht="15" customHeight="1" x14ac:dyDescent="0.25">
      <c r="A16" s="476" t="s">
        <v>126</v>
      </c>
      <c r="B16" s="597"/>
      <c r="C16" s="598">
        <f>'2018'!Hdd</f>
        <v>-2.800224011995649</v>
      </c>
      <c r="D16" s="598">
        <f>'2018'!Hdf</f>
        <v>-2.1002241205487673</v>
      </c>
      <c r="E16" s="598">
        <f>'2018'!PousH</f>
        <v>0.70000000000000018</v>
      </c>
      <c r="F16" s="463"/>
      <c r="G16" s="477" t="s">
        <v>127</v>
      </c>
      <c r="H16" s="597"/>
      <c r="I16" s="598">
        <f>'2019'!Hdd</f>
        <v>-2.1002241205487673</v>
      </c>
      <c r="J16" s="598">
        <f>'2019'!Hdf</f>
        <v>-1.4002242291018856</v>
      </c>
      <c r="K16" s="598">
        <f>'2019'!PousH</f>
        <v>0.70000000000000018</v>
      </c>
      <c r="L16" s="463"/>
      <c r="M16" s="477" t="s">
        <v>127</v>
      </c>
      <c r="N16" s="597"/>
      <c r="O16" s="598">
        <f>'2020'!Hdd</f>
        <v>-1.4002242291018856</v>
      </c>
      <c r="P16" s="598">
        <f>'2020'!Hdf</f>
        <v>-0.7002243376550038</v>
      </c>
      <c r="Q16" s="598">
        <f>'2020'!PousH</f>
        <v>0.70000000000000018</v>
      </c>
      <c r="R16" s="463"/>
      <c r="S16" s="478" t="s">
        <v>127</v>
      </c>
      <c r="T16" s="597"/>
      <c r="U16" s="598">
        <f>'2021'!Hdd</f>
        <v>-0.7002243376550038</v>
      </c>
      <c r="V16" s="598">
        <f>'2021'!Hdf</f>
        <v>-0.10000009308031932</v>
      </c>
      <c r="W16" s="598">
        <f>'2021'!PousH</f>
        <v>0.60022433765500383</v>
      </c>
      <c r="X16" s="463"/>
      <c r="Y16" s="478" t="s">
        <v>127</v>
      </c>
      <c r="Z16" s="597"/>
      <c r="AA16" s="598">
        <f>'2022'!Hdd</f>
        <v>-0.10000009308031932</v>
      </c>
      <c r="AB16" s="598">
        <f>'2022'!Hdf</f>
        <v>0.50022415149436517</v>
      </c>
      <c r="AC16" s="598">
        <f>'2022'!PousH</f>
        <v>0.60022433765500383</v>
      </c>
      <c r="AD16" s="463"/>
      <c r="AE16" s="478" t="s">
        <v>127</v>
      </c>
      <c r="AF16" s="597"/>
      <c r="AG16" s="598">
        <f>'2023'!Hdd</f>
        <v>0.50022415149436517</v>
      </c>
      <c r="AH16" s="598">
        <f>'2023'!Hdf</f>
        <v>1.1004483960690497</v>
      </c>
      <c r="AI16" s="598">
        <f>'2023'!PousH</f>
        <v>0.60022433765500394</v>
      </c>
      <c r="AJ16" s="463"/>
      <c r="AK16" s="478" t="s">
        <v>127</v>
      </c>
      <c r="AL16" s="597"/>
      <c r="AM16" s="598">
        <f>'2024'!Hdd</f>
        <v>1.1004483960690497</v>
      </c>
      <c r="AN16" s="598">
        <f>'2024'!Hdf</f>
        <v>1.8004482875159313</v>
      </c>
      <c r="AO16" s="598">
        <f>'2024'!PousH</f>
        <v>0.7</v>
      </c>
      <c r="AP16" s="463"/>
      <c r="AQ16" s="478" t="s">
        <v>127</v>
      </c>
      <c r="AR16" s="597"/>
      <c r="AS16" s="598">
        <f>'2025'!Hdd</f>
        <v>1.8004482875159313</v>
      </c>
      <c r="AT16" s="598">
        <f>'2025'!Hdf</f>
        <v>-2.1352074733441659</v>
      </c>
      <c r="AU16" s="598">
        <f>'2025'!PousH</f>
        <v>0.7</v>
      </c>
      <c r="AV16" s="463"/>
      <c r="AW16" s="478" t="s">
        <v>127</v>
      </c>
      <c r="AX16" s="597"/>
      <c r="AY16" s="598">
        <f>'2026'!Hdd</f>
        <v>-2.1352074733441659</v>
      </c>
      <c r="AZ16" s="598">
        <f>'2026'!Hdf</f>
        <v>-1.4352075818972843</v>
      </c>
      <c r="BA16" s="598">
        <f>'2026'!PousH</f>
        <v>0.7</v>
      </c>
      <c r="BB16" s="463"/>
      <c r="BC16" s="478" t="s">
        <v>127</v>
      </c>
      <c r="BD16" s="597"/>
      <c r="BE16" s="598">
        <f>'2027'!Hdd</f>
        <v>-1.4352075818972843</v>
      </c>
      <c r="BF16" s="598">
        <f>'2027'!Hdf</f>
        <v>-0.73520769045040268</v>
      </c>
      <c r="BG16" s="598">
        <f>'2027'!PousH</f>
        <v>0.7</v>
      </c>
      <c r="BH16" s="463"/>
      <c r="BI16" s="478" t="s">
        <v>127</v>
      </c>
      <c r="BJ16" s="597"/>
      <c r="BK16" s="598">
        <f>'2018'!Hdd</f>
        <v>-2.800224011995649</v>
      </c>
      <c r="BL16" s="598">
        <f>'2018'!Hdf</f>
        <v>-2.1002241205487673</v>
      </c>
      <c r="BM16" s="598">
        <f>'2018'!PousH</f>
        <v>0.70000000000000018</v>
      </c>
      <c r="BN16" s="463"/>
      <c r="BO16" s="478" t="s">
        <v>127</v>
      </c>
      <c r="BP16" s="597"/>
      <c r="BQ16" s="598">
        <f>'2018'!Hdd</f>
        <v>-2.800224011995649</v>
      </c>
      <c r="BR16" s="598">
        <f>'2018'!Hdf</f>
        <v>-2.1002241205487673</v>
      </c>
      <c r="BS16" s="598">
        <f>'2018'!PousH</f>
        <v>0.70000000000000018</v>
      </c>
      <c r="BT16" s="463"/>
      <c r="BU16" s="478" t="s">
        <v>127</v>
      </c>
      <c r="BV16" s="597"/>
      <c r="BW16" s="598">
        <f>'2018'!Hdd</f>
        <v>-2.800224011995649</v>
      </c>
      <c r="BX16" s="598">
        <f>'2018'!Hdf</f>
        <v>-2.1002241205487673</v>
      </c>
      <c r="BY16" s="598">
        <f>'2018'!PousH</f>
        <v>0.70000000000000018</v>
      </c>
      <c r="BZ16" s="463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31" t="s">
        <v>64</v>
      </c>
      <c r="C19" s="432" t="s">
        <v>65</v>
      </c>
      <c r="D19" s="432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61" t="s">
        <v>2</v>
      </c>
      <c r="AF19" s="431" t="s">
        <v>64</v>
      </c>
      <c r="AG19" s="432" t="s">
        <v>65</v>
      </c>
      <c r="AH19" s="432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'2018'!A29</f>
        <v>43115</v>
      </c>
      <c r="B20" s="91">
        <f>'2018'!L29</f>
        <v>0</v>
      </c>
      <c r="C20" s="48">
        <f>'2018'!O29</f>
        <v>0</v>
      </c>
      <c r="D20" s="66">
        <f>'2018'!P29</f>
        <v>1.0361640881883173E-5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62">
        <f>'2023'!A29</f>
        <v>44941</v>
      </c>
      <c r="AF20" s="91">
        <f>'2023'!L29</f>
        <v>3.7177668672508712E-2</v>
      </c>
      <c r="AG20" s="48">
        <f>'2023'!O29</f>
        <v>4.0014745380521424E-2</v>
      </c>
      <c r="AH20" s="66">
        <f>'2023'!P29</f>
        <v>8.3669911251288087E-2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'2018'!A60</f>
        <v>43146</v>
      </c>
      <c r="B21" s="91">
        <f>'2018'!L60</f>
        <v>0</v>
      </c>
      <c r="C21" s="48">
        <f>'2018'!O60</f>
        <v>0</v>
      </c>
      <c r="D21" s="66">
        <f>'2018'!P60</f>
        <v>1.3086649634967459E-5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62">
        <f>'2023'!A60</f>
        <v>44972</v>
      </c>
      <c r="AF21" s="91">
        <f>'2023'!L60</f>
        <v>3.7872021013054979E-2</v>
      </c>
      <c r="AG21" s="48">
        <f>'2023'!O60</f>
        <v>4.602858420469487E-2</v>
      </c>
      <c r="AH21" s="66">
        <f>'2023'!P60</f>
        <v>3.76194853441736E-2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'2018'!A88</f>
        <v>43174</v>
      </c>
      <c r="B22" s="91">
        <f>'2018'!L88</f>
        <v>0</v>
      </c>
      <c r="C22" s="48">
        <f>'2018'!O88</f>
        <v>0</v>
      </c>
      <c r="D22" s="66">
        <f>'2018'!P88</f>
        <v>3.9477465564825903E-5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62">
        <f>'2023'!A88</f>
        <v>45000</v>
      </c>
      <c r="AF22" s="91">
        <f>'2023'!L88</f>
        <v>3.8498747557724422E-2</v>
      </c>
      <c r="AG22" s="48">
        <f>'2023'!O88</f>
        <v>5.1320088221657338E-2</v>
      </c>
      <c r="AH22" s="66">
        <f>'2023'!P88</f>
        <v>1.1370799318003258E-2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'2018'!A119</f>
        <v>43205</v>
      </c>
      <c r="B23" s="91">
        <f>'2018'!L119</f>
        <v>0</v>
      </c>
      <c r="C23" s="48">
        <f>'2018'!O119</f>
        <v>0</v>
      </c>
      <c r="D23" s="66">
        <f>'2018'!P119</f>
        <v>6.9124199758607561E-5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62">
        <f>'2023'!A119</f>
        <v>45031</v>
      </c>
      <c r="AF23" s="91">
        <f>'2023'!L119</f>
        <v>3.9192147184373027E-2</v>
      </c>
      <c r="AG23" s="48">
        <f>'2023'!O119</f>
        <v>5.7305895880228115E-2</v>
      </c>
      <c r="AH23" s="66">
        <f>'2023'!P119</f>
        <v>6.6552742106656395E-3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'2018'!A149</f>
        <v>43235</v>
      </c>
      <c r="B24" s="91">
        <f>'2018'!L149</f>
        <v>0</v>
      </c>
      <c r="C24" s="48">
        <f>'2018'!O149</f>
        <v>0</v>
      </c>
      <c r="D24" s="66">
        <f>'2018'!P149</f>
        <v>2.4326319694099343E-5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62">
        <f>'2023'!A149</f>
        <v>45061</v>
      </c>
      <c r="AF24" s="91">
        <f>'2023'!L149</f>
        <v>3.9862702958934459E-2</v>
      </c>
      <c r="AG24" s="48">
        <f>'2023'!O149</f>
        <v>6.3938276597578128E-2</v>
      </c>
      <c r="AH24" s="66">
        <f>'2023'!P149</f>
        <v>1.3477753373804706E-3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'2018'!A180</f>
        <v>43266</v>
      </c>
      <c r="B25" s="91">
        <f>'2018'!L180</f>
        <v>0</v>
      </c>
      <c r="C25" s="48">
        <f>'2018'!O180</f>
        <v>0</v>
      </c>
      <c r="D25" s="66">
        <f>'2018'!P180</f>
        <v>1.4069686245575482E-5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62">
        <f>'2023'!A180</f>
        <v>45092</v>
      </c>
      <c r="AF25" s="91">
        <f>'2023'!L180</f>
        <v>4.0555118950706293E-2</v>
      </c>
      <c r="AG25" s="48">
        <f>'2023'!O180</f>
        <v>7.1320878917305874E-2</v>
      </c>
      <c r="AH25" s="66">
        <f>'2023'!P180</f>
        <v>2.0641563874568676E-4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'2018'!A210</f>
        <v>43296</v>
      </c>
      <c r="B26" s="91">
        <f>'2018'!L210</f>
        <v>0</v>
      </c>
      <c r="C26" s="48">
        <f>'2018'!O210</f>
        <v>0</v>
      </c>
      <c r="D26" s="66">
        <f>'2018'!P210</f>
        <v>2.7333522277589277E-5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62">
        <f>'2023'!A210</f>
        <v>45122</v>
      </c>
      <c r="AF26" s="91">
        <f>'2023'!L210</f>
        <v>4.122472349596018E-2</v>
      </c>
      <c r="AG26" s="48">
        <f>'2023'!O210</f>
        <v>7.7410657998641691E-2</v>
      </c>
      <c r="AH26" s="66">
        <f>'2023'!P210</f>
        <v>5.5050042459032925E-4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'2018'!A241</f>
        <v>43327</v>
      </c>
      <c r="B27" s="91">
        <f>'2018'!L241</f>
        <v>3.2575117522959385E-4</v>
      </c>
      <c r="C27" s="48">
        <f>'2018'!O241</f>
        <v>3.4189897952745974E-3</v>
      </c>
      <c r="D27" s="66">
        <f>'2018'!P241</f>
        <v>3.537421249664739E-4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62">
        <f>'2023'!A241</f>
        <v>45153</v>
      </c>
      <c r="AF27" s="91">
        <f>'2023'!L241</f>
        <v>4.1916157248208741E-2</v>
      </c>
      <c r="AG27" s="48">
        <f>'2023'!O241</f>
        <v>8.268169464176528E-2</v>
      </c>
      <c r="AH27" s="66">
        <f>'2023'!P241</f>
        <v>5.0213331138285466E-3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'2018'!A272</f>
        <v>43358</v>
      </c>
      <c r="B28" s="91">
        <f>'2018'!L272</f>
        <v>1.0466797742767486E-3</v>
      </c>
      <c r="C28" s="48">
        <f>'2018'!O272</f>
        <v>1.0756383737119145E-2</v>
      </c>
      <c r="D28" s="66">
        <f>'2018'!P272</f>
        <v>1.2976483708963796E-3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62">
        <f>'2023'!A272</f>
        <v>45184</v>
      </c>
      <c r="AF28" s="91">
        <f>'2023'!L272</f>
        <v>4.2607092363659338E-2</v>
      </c>
      <c r="AG28" s="48">
        <f>'2023'!O272</f>
        <v>8.7378836025211404E-2</v>
      </c>
      <c r="AH28" s="66">
        <f>'2023'!P272</f>
        <v>1.1904122093129781E-2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'2018'!A302</f>
        <v>43388</v>
      </c>
      <c r="B29" s="91">
        <f>'2018'!L302</f>
        <v>1.7438575871262518E-3</v>
      </c>
      <c r="C29" s="48">
        <f>'2018'!O302</f>
        <v>1.7371821925298868E-2</v>
      </c>
      <c r="D29" s="66">
        <f>'2018'!P302</f>
        <v>1.55033317401997E-3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62">
        <f>'2023'!A302</f>
        <v>45214</v>
      </c>
      <c r="AF29" s="91">
        <f>'2023'!L302</f>
        <v>4.3275264819638282E-2</v>
      </c>
      <c r="AG29" s="48">
        <f>'2023'!O302</f>
        <v>9.0735472893466743E-2</v>
      </c>
      <c r="AH29" s="66">
        <f>'2023'!P302</f>
        <v>3.4343829687526528E-2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'2018'!A333</f>
        <v>43419</v>
      </c>
      <c r="B30" s="91">
        <f>'2018'!L333</f>
        <v>2.4637634995632318E-3</v>
      </c>
      <c r="C30" s="48">
        <f>'2018'!O333</f>
        <v>2.3462958246344576E-2</v>
      </c>
      <c r="D30" s="66">
        <f>'2018'!P333</f>
        <v>7.7958006314856679E-3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62">
        <f>'2023'!A333</f>
        <v>45245</v>
      </c>
      <c r="AF30" s="91">
        <f>'2023'!L333</f>
        <v>4.39652197962902E-2</v>
      </c>
      <c r="AG30" s="48">
        <f>'2023'!O333</f>
        <v>9.2712054969518148E-2</v>
      </c>
      <c r="AH30" s="66">
        <f>'2023'!P333</f>
        <v>9.2332845410741632E-2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'2018'!A363</f>
        <v>43449</v>
      </c>
      <c r="B31" s="92">
        <f>'2018'!L363</f>
        <v>3.1599523179199895E-3</v>
      </c>
      <c r="C31" s="49">
        <f>'2018'!O363</f>
        <v>2.9158127560840942E-2</v>
      </c>
      <c r="D31" s="67">
        <f>'2018'!P363</f>
        <v>9.6489434142431416E-3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3">
        <f>'2023'!A363</f>
        <v>45275</v>
      </c>
      <c r="AF31" s="92">
        <f>'2023'!L363</f>
        <v>4.463244440386227E-2</v>
      </c>
      <c r="AG31" s="49">
        <f>'2023'!O363</f>
        <v>9.5439474879242842E-2</v>
      </c>
      <c r="AH31" s="67">
        <f>'2023'!P363</f>
        <v>0.14481999158978395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'2019'!A29</f>
        <v>43480</v>
      </c>
      <c r="B32" s="91">
        <f>'2019'!L29</f>
        <v>3.8788369944978696E-3</v>
      </c>
      <c r="C32" s="48">
        <f>'2019'!O29</f>
        <v>3.5128926070673513E-2</v>
      </c>
      <c r="D32" s="66">
        <f>'2019'!P29</f>
        <v>9.5647579417170985E-3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62">
        <f>'2024'!A29</f>
        <v>45306</v>
      </c>
      <c r="AF32" s="91">
        <f>'2024'!L29</f>
        <v>4.5321420632109422E-2</v>
      </c>
      <c r="AG32" s="48">
        <f>'2024'!O29</f>
        <v>9.9368472974781727E-2</v>
      </c>
      <c r="AH32" s="66">
        <f>'2024'!P29</f>
        <v>0.10759623183510549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'2019'!A60</f>
        <v>43511</v>
      </c>
      <c r="B33" s="91">
        <f>'2019'!L60</f>
        <v>4.5972032376726535E-3</v>
      </c>
      <c r="C33" s="48">
        <f>'2019'!O60</f>
        <v>4.0971830349538295E-2</v>
      </c>
      <c r="D33" s="66">
        <f>'2019'!P60</f>
        <v>1.7799980254596273E-3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62">
        <f>'2024'!A60</f>
        <v>45337</v>
      </c>
      <c r="AF33" s="91">
        <f>'2024'!L60</f>
        <v>4.6009899995835268E-2</v>
      </c>
      <c r="AG33" s="48">
        <f>'2024'!O60</f>
        <v>0.10340018644752672</v>
      </c>
      <c r="AH33" s="66">
        <f>'2024'!P60</f>
        <v>5.1430818414690806E-2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'2019'!A88</f>
        <v>43539</v>
      </c>
      <c r="B34" s="91">
        <f>'2019'!L88</f>
        <v>5.2456048734155214E-3</v>
      </c>
      <c r="C34" s="48">
        <f>'2019'!O88</f>
        <v>4.6110561437138112E-2</v>
      </c>
      <c r="D34" s="66">
        <f>'2019'!P88</f>
        <v>1.5638547398404523E-3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62">
        <f>'2024'!A88</f>
        <v>45365</v>
      </c>
      <c r="AF34" s="91">
        <f>'2024'!L88</f>
        <v>4.6631325556761194E-2</v>
      </c>
      <c r="AG34" s="48">
        <f>'2024'!O88</f>
        <v>0.10699350198729367</v>
      </c>
      <c r="AH34" s="66">
        <f>'2024'!P88</f>
        <v>1.5634722774084047E-2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'2019'!A119</f>
        <v>43570</v>
      </c>
      <c r="B35" s="91">
        <f>'2019'!L119</f>
        <v>5.9629854534571924E-3</v>
      </c>
      <c r="C35" s="48">
        <f>'2019'!O119</f>
        <v>5.1903527051883828E-2</v>
      </c>
      <c r="D35" s="66">
        <f>'2019'!P119</f>
        <v>8.3910389521809139E-4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62">
        <f>'2024'!A119</f>
        <v>45396</v>
      </c>
      <c r="AF35" s="91">
        <f>'2024'!L119</f>
        <v>4.7318860264842222E-2</v>
      </c>
      <c r="AG35" s="48">
        <f>'2024'!O119</f>
        <v>0.11144580887297977</v>
      </c>
      <c r="AH35" s="66">
        <f>'2024'!P119</f>
        <v>8.6751218489200047E-3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'2019'!A149</f>
        <v>43600</v>
      </c>
      <c r="B36" s="91">
        <f>'2019'!L149</f>
        <v>6.6567321357711151E-3</v>
      </c>
      <c r="C36" s="48">
        <f>'2019'!O149</f>
        <v>5.8267797937282595E-2</v>
      </c>
      <c r="D36" s="66">
        <f>'2019'!P149</f>
        <v>1.3091045988783078E-4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62">
        <f>'2024'!A149</f>
        <v>45426</v>
      </c>
      <c r="AF36" s="91">
        <f>'2024'!L149</f>
        <v>4.7983744338898293E-2</v>
      </c>
      <c r="AG36" s="48">
        <f>'2024'!O149</f>
        <v>2.5719523646684655E-2</v>
      </c>
      <c r="AH36" s="66">
        <f>'2024'!P149</f>
        <v>1.9055722724208811E-3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'2019'!A180</f>
        <v>43631</v>
      </c>
      <c r="B37" s="91">
        <f>'2019'!L180</f>
        <v>7.3730950623106528E-3</v>
      </c>
      <c r="C37" s="48">
        <f>'2019'!O180</f>
        <v>6.5331546548915889E-2</v>
      </c>
      <c r="D37" s="66">
        <f>'2019'!P180</f>
        <v>4.1686275701706962E-5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62">
        <f>'2024'!A180</f>
        <v>45457</v>
      </c>
      <c r="AF37" s="91">
        <f>'2024'!L180</f>
        <v>4.8670303731891407E-2</v>
      </c>
      <c r="AG37" s="48">
        <f>'2024'!O180</f>
        <v>3.3333290725931705E-2</v>
      </c>
      <c r="AH37" s="66">
        <f>'2024'!P180</f>
        <v>2.9729756432168088E-4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'2019'!A210</f>
        <v>43661</v>
      </c>
      <c r="B38" s="91">
        <f>'2019'!L210</f>
        <v>8.0658576174255092E-3</v>
      </c>
      <c r="C38" s="48">
        <f>'2019'!O210</f>
        <v>7.1203029508630375E-2</v>
      </c>
      <c r="D38" s="66">
        <f>'2019'!P210</f>
        <v>8.5108946583405042E-5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62">
        <f>'2024'!A210</f>
        <v>45487</v>
      </c>
      <c r="AF38" s="91">
        <f>'2024'!L210</f>
        <v>4.933424462233571E-2</v>
      </c>
      <c r="AG38" s="48">
        <f>'2024'!O210</f>
        <v>4.0232078471214572E-2</v>
      </c>
      <c r="AH38" s="66">
        <f>'2024'!P210</f>
        <v>8.2011519533236048E-4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'2019'!A241</f>
        <v>43692</v>
      </c>
      <c r="B39" s="91">
        <f>'2019'!L241</f>
        <v>8.7812043340740331E-3</v>
      </c>
      <c r="C39" s="48">
        <f>'2019'!O241</f>
        <v>7.6324331399736572E-2</v>
      </c>
      <c r="D39" s="66">
        <f>'2019'!P241</f>
        <v>9.2649782347536546E-4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62">
        <f>'2024'!A241</f>
        <v>45518</v>
      </c>
      <c r="AF39" s="91">
        <f>'2024'!L241</f>
        <v>5.0019830083792072E-2</v>
      </c>
      <c r="AG39" s="48">
        <f>'2024'!O241</f>
        <v>4.674552238386008E-2</v>
      </c>
      <c r="AH39" s="66">
        <f>'2024'!P241</f>
        <v>7.0378869604137495E-3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'2019'!A272</f>
        <v>43723</v>
      </c>
      <c r="B40" s="91">
        <f>'2019'!L272</f>
        <v>9.4960351687671807E-3</v>
      </c>
      <c r="C40" s="48">
        <f>'2019'!O272</f>
        <v>8.0906201863471278E-2</v>
      </c>
      <c r="D40" s="66">
        <f>'2019'!P272</f>
        <v>2.9993093966854101E-3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62">
        <f>'2024'!A272</f>
        <v>45549</v>
      </c>
      <c r="AF40" s="91">
        <f>'2024'!L272</f>
        <v>5.0704921126024427E-2</v>
      </c>
      <c r="AG40" s="48">
        <f>'2024'!O272</f>
        <v>5.2800903975647781E-2</v>
      </c>
      <c r="AH40" s="66">
        <f>'2024'!P272</f>
        <v>1.5486160284933343E-2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'2019'!A302</f>
        <v>43753</v>
      </c>
      <c r="B41" s="91">
        <f>'2019'!L302</f>
        <v>1.0187316106362698E-2</v>
      </c>
      <c r="C41" s="48">
        <f>'2019'!O302</f>
        <v>8.4227694786079693E-2</v>
      </c>
      <c r="D41" s="66">
        <f>'2019'!P302</f>
        <v>3.860203545075434E-3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62">
        <f>'2024'!A302</f>
        <v>45579</v>
      </c>
      <c r="AF41" s="91">
        <f>'2024'!L302</f>
        <v>5.1367442040103461E-2</v>
      </c>
      <c r="AG41" s="48">
        <f>'2024'!O302</f>
        <v>5.7781177492008978E-2</v>
      </c>
      <c r="AH41" s="66">
        <f>'2024'!P302</f>
        <v>5.0013710012396344E-2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'2019'!A333</f>
        <v>43784</v>
      </c>
      <c r="B42" s="91">
        <f>'2019'!L333</f>
        <v>1.0901132904542199E-2</v>
      </c>
      <c r="C42" s="48">
        <f>'2019'!O333</f>
        <v>8.6259161072034421E-2</v>
      </c>
      <c r="D42" s="66">
        <f>'2019'!P333</f>
        <v>2.0143065492679604E-2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62">
        <f>'2024'!A333</f>
        <v>45610</v>
      </c>
      <c r="AF42" s="91">
        <f>'2024'!L333</f>
        <v>5.2051561233755317E-2</v>
      </c>
      <c r="AG42" s="48">
        <f>'2024'!O333</f>
        <v>6.1758833816951318E-2</v>
      </c>
      <c r="AH42" s="66">
        <f>'2024'!P333</f>
        <v>0.12047519886639657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'2019'!A363</f>
        <v>43814</v>
      </c>
      <c r="B43" s="92">
        <f>'2019'!L363</f>
        <v>1.1591433212766566E-2</v>
      </c>
      <c r="C43" s="49">
        <f>'2019'!O363</f>
        <v>8.8969034339675901E-2</v>
      </c>
      <c r="D43" s="67">
        <f>'2019'!P363</f>
        <v>3.0292807403181216E-2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3">
        <f>'2024'!A363</f>
        <v>45640</v>
      </c>
      <c r="AF43" s="92">
        <f>'2024'!L363</f>
        <v>5.2713142316526906E-2</v>
      </c>
      <c r="AG43" s="49">
        <f>'2024'!O363</f>
        <v>6.5957752393572794E-2</v>
      </c>
      <c r="AH43" s="67">
        <f>'2024'!P363</f>
        <v>0.18556174855585209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'2020'!A29</f>
        <v>43845</v>
      </c>
      <c r="B44" s="91">
        <f>'2020'!L29</f>
        <v>1.2304237412912644E-2</v>
      </c>
      <c r="C44" s="48">
        <f>'2020'!O29</f>
        <v>9.2828761255045467E-2</v>
      </c>
      <c r="D44" s="66">
        <f>'2020'!P29</f>
        <v>2.3518353099373571E-2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62">
        <f>'2025'!A29</f>
        <v>45672</v>
      </c>
      <c r="AF44" s="91">
        <f>'2025'!L29</f>
        <v>5.3418319891438526E-2</v>
      </c>
      <c r="AG44" s="48">
        <f>'2025'!O29</f>
        <v>7.1106854615813675E-2</v>
      </c>
      <c r="AH44" s="66">
        <f>'2025'!P29</f>
        <v>0.14369265665507014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'2020'!A60</f>
        <v>43876</v>
      </c>
      <c r="B45" s="91">
        <f>'2020'!L60</f>
        <v>1.3016527564673419E-2</v>
      </c>
      <c r="C45" s="48">
        <f>'2020'!O60</f>
        <v>9.6672904328102785E-2</v>
      </c>
      <c r="D45" s="66">
        <f>'2020'!P60</f>
        <v>6.9524854819564058E-3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62">
        <f>'2025'!A60</f>
        <v>45703</v>
      </c>
      <c r="AF45" s="91">
        <f>'2025'!L60</f>
        <v>5.4100960066802317E-2</v>
      </c>
      <c r="AG45" s="48">
        <f>'2025'!O60</f>
        <v>7.608236846120997E-2</v>
      </c>
      <c r="AH45" s="66">
        <f>'2025'!P60</f>
        <v>6.935778527242302E-2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'2020'!A88</f>
        <v>43904</v>
      </c>
      <c r="B46" s="91">
        <f>'2020'!L88</f>
        <v>1.3659444884234762E-2</v>
      </c>
      <c r="C46" s="48">
        <f>'2020'!O88</f>
        <v>9.9938483233688119E-2</v>
      </c>
      <c r="D46" s="66">
        <f>'2020'!P88</f>
        <v>3.5108564326854037E-3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62">
        <f>'2025'!A88</f>
        <v>45731</v>
      </c>
      <c r="AF46" s="91">
        <f>'2025'!L88</f>
        <v>5.4717115141647676E-2</v>
      </c>
      <c r="AG46" s="48">
        <f>'2025'!O88</f>
        <v>8.0484286199851082E-2</v>
      </c>
      <c r="AH46" s="66">
        <f>'2025'!P88</f>
        <v>2.3687281137394711E-2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'2020'!A119</f>
        <v>43935</v>
      </c>
      <c r="B47" s="91">
        <f>'2020'!L119</f>
        <v>1.437075770980667E-2</v>
      </c>
      <c r="C47" s="48">
        <f>'2020'!O119</f>
        <v>0.10383582940954575</v>
      </c>
      <c r="D47" s="66">
        <f>'2020'!P119</f>
        <v>1.9895912446071104E-3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62">
        <f>'2025'!A119</f>
        <v>45762</v>
      </c>
      <c r="AF47" s="91">
        <f>'2025'!L119</f>
        <v>5.5398818673258465E-2</v>
      </c>
      <c r="AG47" s="48">
        <f>'2025'!O119</f>
        <v>8.5666778287934481E-2</v>
      </c>
      <c r="AH47" s="66">
        <f>'2025'!P119</f>
        <v>3.0643520460392602E-5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'2020'!A149</f>
        <v>43965</v>
      </c>
      <c r="B48" s="91">
        <f>'2020'!L149</f>
        <v>1.5058636538083814E-2</v>
      </c>
      <c r="C48" s="48">
        <f>'2020'!O149</f>
        <v>0.10901861903854319</v>
      </c>
      <c r="D48" s="66">
        <f>'2020'!P149</f>
        <v>3.2580218883920429E-4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62">
        <f>'2025'!A149</f>
        <v>45792</v>
      </c>
      <c r="AF48" s="91">
        <f>'2025'!L149</f>
        <v>5.6058063677282943E-2</v>
      </c>
      <c r="AG48" s="48">
        <f>'2025'!O149</f>
        <v>9.1960943611890847E-2</v>
      </c>
      <c r="AH48" s="66">
        <f>'2025'!P149</f>
        <v>1.9553819448567833E-5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'2020'!A180</f>
        <v>43996</v>
      </c>
      <c r="B49" s="91">
        <f>'2020'!L180</f>
        <v>1.5768940317678948E-2</v>
      </c>
      <c r="C49" s="48">
        <f>'2020'!O180</f>
        <v>0.11502807668979881</v>
      </c>
      <c r="D49" s="66">
        <f>'2020'!P180</f>
        <v>7.2311840562178366E-5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62">
        <f>'2025'!A180</f>
        <v>45823</v>
      </c>
      <c r="AF49" s="91">
        <f>'2025'!L180</f>
        <v>5.6738800165729075E-2</v>
      </c>
      <c r="AG49" s="48">
        <f>'2025'!O180</f>
        <v>9.9174051833007468E-2</v>
      </c>
      <c r="AH49" s="66">
        <f>'2025'!P180</f>
        <v>1.279296743500168E-5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'2020'!A210</f>
        <v>44026</v>
      </c>
      <c r="B50" s="91">
        <f>'2020'!L210</f>
        <v>1.6455843342709997E-2</v>
      </c>
      <c r="C50" s="48">
        <f>'2020'!O210</f>
        <v>0.11897390534638037</v>
      </c>
      <c r="D50" s="66">
        <f>'2020'!P210</f>
        <v>1.6517933728755528E-4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62">
        <f>'2025'!A210</f>
        <v>45853</v>
      </c>
      <c r="AF50" s="91">
        <f>'2025'!L210</f>
        <v>5.7397109985548922E-2</v>
      </c>
      <c r="AG50" s="48">
        <f>'2025'!O210</f>
        <v>0.10467065142388184</v>
      </c>
      <c r="AH50" s="66">
        <f>'2025'!P210</f>
        <v>2.564331553311981E-5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'2020'!A241</f>
        <v>44057</v>
      </c>
      <c r="B51" s="91">
        <f>'2020'!L241</f>
        <v>1.7165139507729354E-2</v>
      </c>
      <c r="C51" s="48">
        <f>'2020'!O241</f>
        <v>0.12147451888925664</v>
      </c>
      <c r="D51" s="66">
        <f>'2020'!P241</f>
        <v>1.6832619158632313E-3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62">
        <f>'2025'!A241</f>
        <v>45884</v>
      </c>
      <c r="AF51" s="91">
        <f>'2025'!L241</f>
        <v>5.807688080264739E-2</v>
      </c>
      <c r="AG51" s="48">
        <f>'2025'!O241</f>
        <v>0.10903073303781574</v>
      </c>
      <c r="AH51" s="66">
        <f>'2025'!P241</f>
        <v>3.348943839489768E-4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'2020'!A272</f>
        <v>44088</v>
      </c>
      <c r="B52" s="91">
        <f>'2020'!L272</f>
        <v>1.7873924154230392E-2</v>
      </c>
      <c r="C52" s="48">
        <f>'2020'!O272</f>
        <v>0.12321060765127292</v>
      </c>
      <c r="D52" s="66">
        <f>'2020'!P272</f>
        <v>4.9884985363915614E-3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62">
        <f>'2025'!A272</f>
        <v>45915</v>
      </c>
      <c r="AF52" s="91">
        <f>'2025'!L272</f>
        <v>5.8756161393831441E-2</v>
      </c>
      <c r="AG52" s="48">
        <f>'2025'!O272</f>
        <v>0.11273198862842321</v>
      </c>
      <c r="AH52" s="66">
        <f>'2025'!P272</f>
        <v>1.2316127957331768E-3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'2020'!A302</f>
        <v>44118</v>
      </c>
      <c r="B53" s="91">
        <f>'2020'!L302</f>
        <v>1.8559358093571898E-2</v>
      </c>
      <c r="C53" s="48">
        <f>'2020'!O302</f>
        <v>0.12335600168002718</v>
      </c>
      <c r="D53" s="66">
        <f>'2020'!P302</f>
        <v>8.0984807548585159E-3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62">
        <f>'2025'!A302</f>
        <v>45945</v>
      </c>
      <c r="AF53" s="91">
        <f>'2025'!L302</f>
        <v>5.9413063280507439E-2</v>
      </c>
      <c r="AG53" s="48">
        <f>'2025'!O302</f>
        <v>0.11489814633058522</v>
      </c>
      <c r="AH53" s="66">
        <f>'2025'!P302</f>
        <v>1.4724592870506334E-3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'2020'!A333</f>
        <v>44149</v>
      </c>
      <c r="B54" s="91">
        <f>'2020'!L333</f>
        <v>1.9267137280491453E-2</v>
      </c>
      <c r="C54" s="48">
        <f>'2020'!O333</f>
        <v>0.12172233451022542</v>
      </c>
      <c r="D54" s="66">
        <f>'2020'!P333</f>
        <v>3.6038301617414753E-2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62">
        <f>'2025'!A333</f>
        <v>45976</v>
      </c>
      <c r="AF54" s="91">
        <f>'2025'!L333</f>
        <v>6.0091380265633765E-2</v>
      </c>
      <c r="AG54" s="48">
        <f>'2025'!O333</f>
        <v>0.11540750530232349</v>
      </c>
      <c r="AH54" s="66">
        <f>'2025'!P333</f>
        <v>7.4057345941922143E-3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'2020'!A363</f>
        <v>44179</v>
      </c>
      <c r="B55" s="92">
        <f>'2020'!L363</f>
        <v>1.9951598884829336E-2</v>
      </c>
      <c r="C55" s="49">
        <f>'2020'!O363</f>
        <v>0.12143416180863721</v>
      </c>
      <c r="D55" s="67">
        <f>'2020'!P363</f>
        <v>5.4645705522001625E-2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3">
        <f>'2025'!A363</f>
        <v>46006</v>
      </c>
      <c r="AF55" s="92">
        <f>'2025'!L363</f>
        <v>6.0747350291977642E-2</v>
      </c>
      <c r="AG55" s="49">
        <f>'2025'!O363</f>
        <v>0.11705599631011789</v>
      </c>
      <c r="AH55" s="67">
        <f>'2025'!P363</f>
        <v>9.1666723946964637E-3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'2021'!A29</f>
        <v>44211</v>
      </c>
      <c r="B56" s="91">
        <f>'2021'!L29</f>
        <v>2.0681164748842851E-2</v>
      </c>
      <c r="C56" s="48">
        <f>'2021'!O29</f>
        <v>0.12271394373189352</v>
      </c>
      <c r="D56" s="66">
        <f>'2021'!P29</f>
        <v>4.1811029498530293E-2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62">
        <f>'2026'!A29</f>
        <v>46037</v>
      </c>
      <c r="AF56" s="91">
        <f>'2026'!L29</f>
        <v>6.1424705037987581E-2</v>
      </c>
      <c r="AG56" s="48">
        <f>'2026'!O29</f>
        <v>0.12021013706872795</v>
      </c>
      <c r="AH56" s="66">
        <f>'2026'!P29</f>
        <v>9.0872652726135452E-3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'2021'!A60</f>
        <v>44242</v>
      </c>
      <c r="B57" s="91">
        <f>'2021'!L60</f>
        <v>2.1387413766208341E-2</v>
      </c>
      <c r="C57" s="48">
        <f>'2021'!O60</f>
        <v>0.12412488729317227</v>
      </c>
      <c r="D57" s="66">
        <f>'2021'!P60</f>
        <v>1.5080722669313653E-2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62">
        <f>'2026'!A60</f>
        <v>46068</v>
      </c>
      <c r="AF57" s="91">
        <f>'2026'!L60</f>
        <v>6.2101571300465341E-2</v>
      </c>
      <c r="AG57" s="48">
        <f>'2026'!O60</f>
        <v>0.12354584049389909</v>
      </c>
      <c r="AH57" s="66">
        <f>'2026'!P60</f>
        <v>1.6916944631677638E-3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'2021'!A88</f>
        <v>44270</v>
      </c>
      <c r="B58" s="91">
        <f>'2021'!L88</f>
        <v>2.202487832200084E-2</v>
      </c>
      <c r="C58" s="48">
        <f>'2021'!O88</f>
        <v>0.12537954013741442</v>
      </c>
      <c r="D58" s="66">
        <f>'2021'!P88</f>
        <v>5.7639636656399923E-3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62">
        <f>'2026'!A88</f>
        <v>46096</v>
      </c>
      <c r="AF58" s="91">
        <f>'2026'!L88</f>
        <v>6.2712514807262365E-2</v>
      </c>
      <c r="AG58" s="48">
        <f>'2026'!O88</f>
        <v>0.12654284851862899</v>
      </c>
      <c r="AH58" s="66">
        <f>'2026'!P88</f>
        <v>1.4876721166274037E-3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'2021'!A119</f>
        <v>44301</v>
      </c>
      <c r="B59" s="91">
        <f>'2021'!L119</f>
        <v>2.2730158302157522E-2</v>
      </c>
      <c r="C59" s="48">
        <f>'2021'!O119</f>
        <v>0.12734696899593717</v>
      </c>
      <c r="D59" s="66">
        <f>'2021'!P119</f>
        <v>3.3934078826687443E-3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62">
        <f>'2026'!A119</f>
        <v>46127</v>
      </c>
      <c r="AF59" s="91">
        <f>'2026'!L119</f>
        <v>6.3388452348315139E-2</v>
      </c>
      <c r="AG59" s="48">
        <f>'2026'!O119</f>
        <v>0.13045667687412488</v>
      </c>
      <c r="AH59" s="66">
        <f>'2026'!P119</f>
        <v>8.0062321591987647E-4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'2021'!A149</f>
        <v>44331</v>
      </c>
      <c r="B60" s="91">
        <f>'2021'!L149</f>
        <v>2.3412203035383605E-2</v>
      </c>
      <c r="C60" s="48">
        <f>'2021'!O149</f>
        <v>3.5574005188122149E-2</v>
      </c>
      <c r="D60" s="66">
        <f>'2021'!P149</f>
        <v>6.1037283531611291E-4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62">
        <f>'2026'!A149</f>
        <v>46157</v>
      </c>
      <c r="AF60" s="91">
        <f>'2026'!L149</f>
        <v>6.4042121320688983E-2</v>
      </c>
      <c r="AG60" s="48">
        <f>'2026'!O149</f>
        <v>2.5939107385893806E-2</v>
      </c>
      <c r="AH60" s="66">
        <f>'2026'!P149</f>
        <v>1.2117050679052587E-4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'2021'!A180</f>
        <v>44362</v>
      </c>
      <c r="B61" s="91">
        <f>'2021'!L180</f>
        <v>2.411648252756815E-2</v>
      </c>
      <c r="C61" s="48">
        <f>'2021'!O180</f>
        <v>4.8237169416407197E-2</v>
      </c>
      <c r="D61" s="66">
        <f>'2021'!P180</f>
        <v>1.0930281913663499E-4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62">
        <f>'2026'!A180</f>
        <v>46188</v>
      </c>
      <c r="AF61" s="91">
        <f>'2026'!L180</f>
        <v>6.4717099998029881E-2</v>
      </c>
      <c r="AG61" s="48">
        <f>'2026'!O180</f>
        <v>3.3551546320752315E-2</v>
      </c>
      <c r="AH61" s="66">
        <f>'2026'!P180</f>
        <v>4.0155725549966649E-5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'2021'!A210</f>
        <v>44392</v>
      </c>
      <c r="B62" s="91">
        <f>'2021'!L210</f>
        <v>2.4797559733611751E-2</v>
      </c>
      <c r="C62" s="48">
        <f>'2021'!O210</f>
        <v>5.9282164585083515E-2</v>
      </c>
      <c r="D62" s="66">
        <f>'2021'!P210</f>
        <v>2.6525079069073849E-4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62">
        <f>'2026'!A210</f>
        <v>46218</v>
      </c>
      <c r="AF62" s="91">
        <f>'2026'!L210</f>
        <v>6.5369841696182096E-2</v>
      </c>
      <c r="AG62" s="48">
        <f>'2026'!O210</f>
        <v>4.0445685951333223E-2</v>
      </c>
      <c r="AH62" s="66">
        <f>'2026'!P210</f>
        <v>8.1618516008767023E-5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'2021'!A241</f>
        <v>44423</v>
      </c>
      <c r="B63" s="91">
        <f>'2021'!L241</f>
        <v>2.550084015708487E-2</v>
      </c>
      <c r="C63" s="48">
        <f>'2021'!O241</f>
        <v>6.9256125634324359E-2</v>
      </c>
      <c r="D63" s="66">
        <f>'2021'!P241</f>
        <v>2.538995259820217E-3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62">
        <f>'2026'!A241</f>
        <v>46249</v>
      </c>
      <c r="AF63" s="91">
        <f>'2026'!L241</f>
        <v>6.6043862870024839E-2</v>
      </c>
      <c r="AG63" s="48">
        <f>'2026'!O241</f>
        <v>4.6951991681468887E-2</v>
      </c>
      <c r="AH63" s="66">
        <f>'2026'!P241</f>
        <v>8.9534954800551904E-4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'2021'!A272</f>
        <v>44454</v>
      </c>
      <c r="B64" s="91">
        <f>'2021'!L272</f>
        <v>2.6203613400373027E-2</v>
      </c>
      <c r="C64" s="48">
        <f>'2021'!O272</f>
        <v>7.8062348612303489E-2</v>
      </c>
      <c r="D64" s="66">
        <f>'2021'!P272</f>
        <v>6.964335172188676E-3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62">
        <f>'2026'!A272</f>
        <v>46280</v>
      </c>
      <c r="AF64" s="91">
        <f>'2026'!L272</f>
        <v>6.6717397964386027E-2</v>
      </c>
      <c r="AG64" s="48">
        <f>'2026'!O272</f>
        <v>5.2999569578979187E-2</v>
      </c>
      <c r="AH64" s="66">
        <f>'2026'!P272</f>
        <v>2.9106165520518751E-3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'2021'!A302</f>
        <v>44484</v>
      </c>
      <c r="B65" s="91">
        <f>'2021'!L302</f>
        <v>2.6883233980458665E-2</v>
      </c>
      <c r="C65" s="48">
        <f>'2021'!O302</f>
        <v>8.4879877424591244E-2</v>
      </c>
      <c r="D65" s="66">
        <f>'2021'!P302</f>
        <v>1.3838362134667812E-2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62">
        <f>'2026'!A302</f>
        <v>46310</v>
      </c>
      <c r="AF65" s="91">
        <f>'2026'!L302</f>
        <v>6.7368743637986284E-2</v>
      </c>
      <c r="AG65" s="48">
        <f>'2026'!O302</f>
        <v>5.7970514580441806E-2</v>
      </c>
      <c r="AH65" s="66">
        <f>'2026'!P302</f>
        <v>3.7382273003232743E-3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'2021'!A333</f>
        <v>44515</v>
      </c>
      <c r="B66" s="91">
        <f>'2021'!L333</f>
        <v>2.7585010291752643E-2</v>
      </c>
      <c r="C66" s="48">
        <f>'2021'!O333</f>
        <v>8.9866655377535479E-2</v>
      </c>
      <c r="D66" s="66">
        <f>'2021'!P333</f>
        <v>5.2870968648076035E-2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62">
        <f>'2026'!A333</f>
        <v>46341</v>
      </c>
      <c r="AF66" s="91">
        <f>'2026'!L333</f>
        <v>6.8041323276670673E-2</v>
      </c>
      <c r="AG66" s="48">
        <f>'2026'!O333</f>
        <v>6.1936673843547202E-2</v>
      </c>
      <c r="AH66" s="66">
        <f>'2026'!P333</f>
        <v>1.9487696664334968E-2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'2021'!A363</f>
        <v>44545</v>
      </c>
      <c r="B67" s="92">
        <f>'2021'!L363</f>
        <v>2.8263666783483021E-2</v>
      </c>
      <c r="C67" s="49">
        <f>'2021'!O363</f>
        <v>9.4926540894471556E-2</v>
      </c>
      <c r="D67" s="67">
        <f>'2021'!P363</f>
        <v>7.7669870879765082E-2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3">
        <f>'2026'!A363</f>
        <v>46371</v>
      </c>
      <c r="AF67" s="92">
        <f>'2026'!L363</f>
        <v>6.8691744971807855E-2</v>
      </c>
      <c r="AG67" s="49">
        <f>'2026'!O363</f>
        <v>6.6127138005658254E-2</v>
      </c>
      <c r="AH67" s="67">
        <f>'2026'!P363</f>
        <v>2.9169210915404049E-2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'2022'!A29</f>
        <v>44576</v>
      </c>
      <c r="B68" s="91">
        <f>'2022'!L29</f>
        <v>2.8964447576999119E-2</v>
      </c>
      <c r="C68" s="48">
        <f>'2022'!O29</f>
        <v>0.1008220361248212</v>
      </c>
      <c r="D68" s="66">
        <f>'2022'!P29</f>
        <v>6.1618380495417541E-2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62">
        <f>'2027'!A29</f>
        <v>46402</v>
      </c>
      <c r="AF68" s="91">
        <f>'2027'!L29</f>
        <v>6.9363370510194811E-2</v>
      </c>
      <c r="AG68" s="48">
        <f>'2027'!O29</f>
        <v>7.1106854615813675E-2</v>
      </c>
      <c r="AH68" s="66">
        <f>'2027'!P29</f>
        <v>2.2784591024090195E-2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'2022'!A60</f>
        <v>44607</v>
      </c>
      <c r="B69" s="91">
        <f>'2022'!L60</f>
        <v>2.9664722992972181E-2</v>
      </c>
      <c r="C69" s="48">
        <f>'2022'!O60</f>
        <v>0.10645868763948439</v>
      </c>
      <c r="D69" s="66">
        <f>'2022'!P60</f>
        <v>2.4762657726053315E-2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62">
        <f>'2027'!A60</f>
        <v>46433</v>
      </c>
      <c r="AF69" s="91">
        <f>'2027'!L60</f>
        <v>7.0034511696745128E-2</v>
      </c>
      <c r="AG69" s="48">
        <f>'2027'!O60</f>
        <v>7.608236846120997E-2</v>
      </c>
      <c r="AH69" s="66">
        <f>'2027'!P60</f>
        <v>6.6672459158594721E-3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'2022'!A88</f>
        <v>44635</v>
      </c>
      <c r="B70" s="91">
        <f>'2022'!L88</f>
        <v>3.029679574068489E-2</v>
      </c>
      <c r="C70" s="48">
        <f>'2022'!O88</f>
        <v>0.11122467136030018</v>
      </c>
      <c r="D70" s="66">
        <f>'2022'!P88</f>
        <v>7.9714679151526632E-3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62">
        <f>'2027'!A88</f>
        <v>46461</v>
      </c>
      <c r="AF70" s="91">
        <f>'2027'!L88</f>
        <v>7.0640287716022598E-2</v>
      </c>
      <c r="AG70" s="48">
        <f>'2027'!O88</f>
        <v>8.0484286199851082E-2</v>
      </c>
      <c r="AH70" s="66">
        <f>'2027'!P88</f>
        <v>3.410746436054058E-3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'2022'!A119</f>
        <v>44666</v>
      </c>
      <c r="B71" s="91">
        <f>'2022'!L119</f>
        <v>3.0996110315767766E-2</v>
      </c>
      <c r="C71" s="48">
        <f>'2022'!O119</f>
        <v>0.11672554791640943</v>
      </c>
      <c r="D71" s="66">
        <f>'2022'!P119</f>
        <v>4.8172790972299756E-3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62">
        <f>'2027'!A119</f>
        <v>46492</v>
      </c>
      <c r="AF71" s="91">
        <f>'2027'!L119</f>
        <v>7.1310508036467435E-2</v>
      </c>
      <c r="AG71" s="48">
        <f>'2027'!O119</f>
        <v>8.5666778287934481E-2</v>
      </c>
      <c r="AH71" s="66">
        <f>'2027'!P119</f>
        <v>1.9310214015113331E-3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'2022'!A149</f>
        <v>44696</v>
      </c>
      <c r="B72" s="91">
        <f>'2022'!L149</f>
        <v>3.1672386172481581E-2</v>
      </c>
      <c r="C72" s="48">
        <f>'2022'!O149</f>
        <v>0.12357562687984017</v>
      </c>
      <c r="D72" s="66">
        <f>'2022'!P149</f>
        <v>9.1765115050346203E-4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62">
        <f>'2027'!A149</f>
        <v>46522</v>
      </c>
      <c r="AF72" s="91">
        <f>'2027'!L149</f>
        <v>7.1958648140428627E-2</v>
      </c>
      <c r="AG72" s="48">
        <f>'2027'!O149</f>
        <v>9.1960943611890847E-2</v>
      </c>
      <c r="AH72" s="66">
        <f>'2027'!P149</f>
        <v>3.1606223574189935E-4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'2022'!A180</f>
        <v>44727</v>
      </c>
      <c r="B73" s="91">
        <f>'2022'!L180</f>
        <v>3.2370708721928154E-2</v>
      </c>
      <c r="C73" s="48">
        <f>'2022'!O180</f>
        <v>0.13136084019754093</v>
      </c>
      <c r="D73" s="66">
        <f>'2022'!P180</f>
        <v>1.5165429996189195E-4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62">
        <f>'2027'!A180</f>
        <v>46553</v>
      </c>
      <c r="AF73" s="91">
        <f>'2027'!L180</f>
        <v>7.26279177074306E-2</v>
      </c>
      <c r="AG73" s="48">
        <f>'2027'!O180</f>
        <v>9.9174051833007468E-2</v>
      </c>
      <c r="AH73" s="66">
        <f>'2027'!P180</f>
        <v>7.0781290410438046E-5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'2022'!A210</f>
        <v>44757</v>
      </c>
      <c r="B74" s="91">
        <f>'2022'!L210</f>
        <v>3.3046025235005994E-2</v>
      </c>
      <c r="C74" s="48">
        <f>'2022'!O210</f>
        <v>0.13672094826241776</v>
      </c>
      <c r="D74" s="66">
        <f>'2022'!P210</f>
        <v>3.9791002044960611E-4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62">
        <f>'2027'!A210</f>
        <v>46583</v>
      </c>
      <c r="AF74" s="91">
        <f>'2027'!L210</f>
        <v>7.3275138380248794E-2</v>
      </c>
      <c r="AG74" s="48">
        <f>'2027'!O210</f>
        <v>0.10467065142388184</v>
      </c>
      <c r="AH74" s="66">
        <f>'2027'!P210</f>
        <v>1.5952700504377634E-4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'2022'!A241</f>
        <v>44788</v>
      </c>
      <c r="B75" s="91">
        <f>'2022'!L241</f>
        <v>3.3743357166072463E-2</v>
      </c>
      <c r="C75" s="48">
        <f>'2022'!O241</f>
        <v>0.1403883477044818</v>
      </c>
      <c r="D75" s="66">
        <f>'2022'!P241</f>
        <v>3.7072226393406954E-3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62">
        <f>'2027'!A241</f>
        <v>46614</v>
      </c>
      <c r="AF75" s="91">
        <f>'2027'!L241</f>
        <v>7.3943458542516716E-2</v>
      </c>
      <c r="AG75" s="48">
        <f>'2027'!O241</f>
        <v>0.10903073303781574</v>
      </c>
      <c r="AH75" s="66">
        <f>'2027'!P241</f>
        <v>1.6338955164229333E-3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'2022'!A272</f>
        <v>44819</v>
      </c>
      <c r="B76" s="91">
        <f>'2022'!L272</f>
        <v>3.444018620678968E-2</v>
      </c>
      <c r="C76" s="48">
        <f>'2022'!O272</f>
        <v>0.14310562430493071</v>
      </c>
      <c r="D76" s="66">
        <f>'2022'!P272</f>
        <v>9.3425571564305209E-3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62">
        <f>'2027'!A272</f>
        <v>46645</v>
      </c>
      <c r="AF76" s="91">
        <f>'2027'!L272</f>
        <v>7.4611296736664778E-2</v>
      </c>
      <c r="AG76" s="48">
        <f>'2027'!O272</f>
        <v>0.11273198862842321</v>
      </c>
      <c r="AH76" s="66">
        <f>'2027'!P272</f>
        <v>4.8736814701120226E-3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'2022'!A302</f>
        <v>44849</v>
      </c>
      <c r="B77" s="91">
        <f>'2022'!L302</f>
        <v>3.5114058414355553E-2</v>
      </c>
      <c r="C77" s="48">
        <f>'2022'!O302</f>
        <v>0.14388614668195082</v>
      </c>
      <c r="D77" s="66">
        <f>'2022'!P302</f>
        <v>2.3443485534676223E-2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62">
        <f>'2027'!A302</f>
        <v>46675</v>
      </c>
      <c r="AF77" s="91">
        <f>'2027'!L302</f>
        <v>7.5257133192797698E-2</v>
      </c>
      <c r="AG77" s="48">
        <f>'2027'!O302</f>
        <v>0.11489814633058522</v>
      </c>
      <c r="AH77" s="66">
        <f>'2027'!P302</f>
        <v>7.7642198153511097E-3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'2022'!A333</f>
        <v>44880</v>
      </c>
      <c r="B78" s="91">
        <f>'2022'!L333</f>
        <v>3.5809898955337149E-2</v>
      </c>
      <c r="C78" s="48">
        <f>'2022'!O333</f>
        <v>2.8079040512977382E-2</v>
      </c>
      <c r="D78" s="66">
        <f>'2022'!P333</f>
        <v>7.1992684538714158E-2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62">
        <f>'2027'!A333</f>
        <v>46706</v>
      </c>
      <c r="AF78" s="91">
        <f>'2027'!L333</f>
        <v>7.5924024012712255E-2</v>
      </c>
      <c r="AG78" s="48">
        <f>'2027'!O333</f>
        <v>0.11540750530232349</v>
      </c>
      <c r="AH78" s="66">
        <f>'2027'!P333</f>
        <v>3.5057422582122251E-2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'2022'!A363</f>
        <v>44910</v>
      </c>
      <c r="B79" s="92">
        <f>'2022'!L363</f>
        <v>3.6482815229008092E-2</v>
      </c>
      <c r="C79" s="49">
        <f>'2022'!O363</f>
        <v>3.3879077457987038E-2</v>
      </c>
      <c r="D79" s="67">
        <f>'2022'!P363</f>
        <v>0.11025191355347101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3">
        <f>'2027'!A363</f>
        <v>46736</v>
      </c>
      <c r="AF79" s="92">
        <f>'2027'!L363</f>
        <v>7.6568944305584363E-2</v>
      </c>
      <c r="AG79" s="49">
        <f>'2027'!O363</f>
        <v>0.11705599631011789</v>
      </c>
      <c r="AH79" s="67">
        <f>'2027'!P363</f>
        <v>5.3303794185699083E-2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J6:K6"/>
    <mergeCell ref="P6:Q6"/>
    <mergeCell ref="V6:W6"/>
    <mergeCell ref="AB6:AC6"/>
    <mergeCell ref="AE3:AJ3"/>
    <mergeCell ref="AM2:AN2"/>
    <mergeCell ref="H1:K1"/>
    <mergeCell ref="B2:F2"/>
    <mergeCell ref="A3:F3"/>
    <mergeCell ref="G3:L3"/>
    <mergeCell ref="Z1:AA1"/>
    <mergeCell ref="M3:R3"/>
    <mergeCell ref="S3:X3"/>
    <mergeCell ref="Y3:AD3"/>
    <mergeCell ref="Q7:R7"/>
    <mergeCell ref="D6:E6"/>
    <mergeCell ref="AB11:AC11"/>
    <mergeCell ref="AT11:AU11"/>
    <mergeCell ref="AN11:AO11"/>
    <mergeCell ref="AH11:AI11"/>
    <mergeCell ref="E7:F7"/>
    <mergeCell ref="AI7:AJ7"/>
    <mergeCell ref="V11:W11"/>
    <mergeCell ref="P11:Q11"/>
    <mergeCell ref="J11:K11"/>
    <mergeCell ref="D11:E11"/>
    <mergeCell ref="AC7:AD7"/>
    <mergeCell ref="W7:X7"/>
    <mergeCell ref="K7:L7"/>
    <mergeCell ref="AH6:AI6"/>
    <mergeCell ref="AW3:BB3"/>
    <mergeCell ref="AQ3:AV3"/>
    <mergeCell ref="AN6:AO6"/>
    <mergeCell ref="AT6:AU6"/>
    <mergeCell ref="AZ11:BA11"/>
    <mergeCell ref="AO7:AP7"/>
    <mergeCell ref="BA7:BB7"/>
    <mergeCell ref="AZ6:BA6"/>
    <mergeCell ref="AU7:AV7"/>
    <mergeCell ref="AK3:AP3"/>
    <mergeCell ref="BX11:BY11"/>
    <mergeCell ref="BR11:BS11"/>
    <mergeCell ref="BL11:BM11"/>
    <mergeCell ref="BO3:BT3"/>
    <mergeCell ref="BF11:BG11"/>
    <mergeCell ref="BX6:BY6"/>
    <mergeCell ref="BL6:BM6"/>
    <mergeCell ref="BR6:BS6"/>
    <mergeCell ref="BC3:BH3"/>
    <mergeCell ref="BM7:BN7"/>
    <mergeCell ref="BG7:BH7"/>
    <mergeCell ref="BS7:BT7"/>
    <mergeCell ref="BI3:BN3"/>
    <mergeCell ref="BY7:BZ7"/>
    <mergeCell ref="BF6:BG6"/>
    <mergeCell ref="BU3:BZ3"/>
  </mergeCells>
  <conditionalFormatting sqref="B5 H5 N5 T5 Z5 AF5 AL5 AR5 AX5 BD5 BJ5 BP5 BV5">
    <cfRule type="expression" dxfId="35" priority="136" stopIfTrue="1">
      <formula>AND(B5="D",C5&lt;&gt;"D")</formula>
    </cfRule>
    <cfRule type="expression" dxfId="34" priority="996" stopIfTrue="1">
      <formula>YEAR(B5)&lt;&gt;A3</formula>
    </cfRule>
  </conditionalFormatting>
  <conditionalFormatting sqref="B4 H4 N4 T4 Z4 AF4 AL4 AR4 AX4 BD4 BJ4 BP4 BV4">
    <cfRule type="expression" dxfId="33" priority="137" stopIfTrue="1">
      <formula>YEAR(B4)&lt;&gt;A3</formula>
    </cfRule>
    <cfRule type="expression" dxfId="32" priority="153" stopIfTrue="1">
      <formula>AND(B4="D",C4&lt;&gt;"D")</formula>
    </cfRule>
  </conditionalFormatting>
  <conditionalFormatting sqref="B6 H6 N6 T6 Z6 AF6 AL6 AR6 AX6 BD6 BJ6 BP6 BV6">
    <cfRule type="expression" dxfId="31" priority="158" stopIfTrue="1">
      <formula>YEAR(B6)&lt;&gt;A3</formula>
    </cfRule>
  </conditionalFormatting>
  <conditionalFormatting sqref="B4:BY6">
    <cfRule type="cellIs" dxfId="30" priority="1166" stopIfTrue="1" operator="equal">
      <formula>"D"</formula>
    </cfRule>
  </conditionalFormatting>
  <conditionalFormatting sqref="BD11:BG11 AX11:BA11 AR11:AU11 AL11:AO11 AF11:AI11 Z11:AC11 T11:W11 N11:Q11 H11:K11 B11:E11">
    <cfRule type="expression" dxfId="29" priority="152" stopIfTrue="1">
      <formula>B6&lt;&gt;"D"</formula>
    </cfRule>
  </conditionalFormatting>
  <conditionalFormatting sqref="B6">
    <cfRule type="expression" dxfId="28" priority="110" stopIfTrue="1">
      <formula>AND(B6="D",D6&lt;H_i)</formula>
    </cfRule>
  </conditionalFormatting>
  <conditionalFormatting sqref="H6 N6 T6 Z6 AL6 AR6 BD6 BJ6 BP6 BV6 AF6 AX6">
    <cfRule type="expression" dxfId="27" priority="1167" stopIfTrue="1">
      <formula>AND(H6="D",J6&lt;D16)</formula>
    </cfRule>
  </conditionalFormatting>
  <conditionalFormatting sqref="E7 K7 Q7 W7 AC7 AI7 AO7 AU7 BA7 BG7 BM7 BS7 BY7">
    <cfRule type="cellIs" dxfId="26" priority="27" stopIfTrue="1" operator="lessThan">
      <formula>0.01</formula>
    </cfRule>
    <cfRule type="cellIs" dxfId="25" priority="28" stopIfTrue="1" operator="greaterThan">
      <formula>0.05</formula>
    </cfRule>
  </conditionalFormatting>
  <conditionalFormatting sqref="BJ11">
    <cfRule type="expression" dxfId="24" priority="6" stopIfTrue="1">
      <formula>BJ6&lt;&gt;"D"</formula>
    </cfRule>
  </conditionalFormatting>
  <conditionalFormatting sqref="BP11">
    <cfRule type="expression" dxfId="23" priority="5" stopIfTrue="1">
      <formula>BP6&lt;&gt;"D"</formula>
    </cfRule>
  </conditionalFormatting>
  <conditionalFormatting sqref="BV11">
    <cfRule type="expression" dxfId="22" priority="4" stopIfTrue="1">
      <formula>BV6&lt;&gt;"D"</formula>
    </cfRule>
  </conditionalFormatting>
  <conditionalFormatting sqref="B9:C9 H9:I9 N9:O9 T9:U9 Z9 AF9:AG9 AL9 AR9:AS9 AX9:AY9 BD9:BE9 BJ9:BK9 BP9:BQ9 BV9">
    <cfRule type="expression" dxfId="21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0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5"/>
  <dimension ref="A1:AN385"/>
  <sheetViews>
    <sheetView workbookViewId="0">
      <pane xSplit="22" ySplit="28" topLeftCell="AA368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3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6">
        <f>YEAR(E6)</f>
        <v>2018</v>
      </c>
      <c r="K1" s="1267"/>
      <c r="L1" s="113" t="str">
        <f>"Calcul pertes et enveloppes en "&amp;TEXT(An,0)</f>
        <v>Calcul pertes et enveloppes en 2018</v>
      </c>
      <c r="M1" s="245"/>
      <c r="N1" s="245"/>
      <c r="O1" s="460"/>
      <c r="P1" s="460"/>
      <c r="Q1" s="460"/>
      <c r="R1" s="460"/>
      <c r="S1" s="460"/>
      <c r="T1" s="460"/>
      <c r="U1" s="460"/>
      <c r="V1" s="460"/>
      <c r="W1" s="458"/>
      <c r="X1" s="489" t="str">
        <f>"Prévision sans nettoyage ni taille végétation en "&amp;TEXT(An,0)</f>
        <v>Prévision sans nettoyage ni taille végétation en 2018</v>
      </c>
      <c r="Y1" s="490"/>
      <c r="Z1" s="491"/>
      <c r="AA1" s="492"/>
      <c r="AB1" s="493"/>
      <c r="AC1" s="494"/>
      <c r="AD1" s="494"/>
      <c r="AE1" s="494"/>
      <c r="AF1" s="460"/>
      <c r="AG1" s="460"/>
      <c r="AH1" s="460"/>
      <c r="AI1" s="494"/>
      <c r="AL1" s="856" t="s">
        <v>270</v>
      </c>
    </row>
    <row r="2" spans="1:40" s="6" customFormat="1" ht="16.5" thickBot="1" x14ac:dyDescent="0.3">
      <c r="K2" s="192"/>
      <c r="L2" s="17"/>
      <c r="M2" s="17"/>
      <c r="N2" s="17"/>
      <c r="O2" s="496" t="s">
        <v>24</v>
      </c>
      <c r="P2" s="18"/>
      <c r="Q2" s="812"/>
      <c r="R2" s="18"/>
      <c r="S2" s="497"/>
      <c r="T2" s="497"/>
      <c r="U2" s="296" t="s">
        <v>79</v>
      </c>
      <c r="V2" s="498">
        <f>PertePVan</f>
        <v>8.5000000000000006E-3</v>
      </c>
      <c r="W2" s="452" t="s">
        <v>14</v>
      </c>
      <c r="X2" s="499"/>
      <c r="Y2" s="500"/>
      <c r="Z2" s="464"/>
      <c r="AA2" s="464"/>
      <c r="AB2" s="464"/>
      <c r="AC2" s="500"/>
      <c r="AD2" s="500"/>
      <c r="AE2" s="500"/>
      <c r="AF2" s="464"/>
      <c r="AG2" s="501"/>
      <c r="AH2" s="502"/>
      <c r="AI2" s="500"/>
      <c r="AJ2" s="862" t="s">
        <v>262</v>
      </c>
      <c r="AK2" s="862" t="s">
        <v>264</v>
      </c>
      <c r="AL2" s="862" t="s">
        <v>263</v>
      </c>
      <c r="AM2" s="862" t="s">
        <v>265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71">
        <v>44926</v>
      </c>
      <c r="F3" s="1272"/>
      <c r="G3" s="618">
        <f>YEAR(Tmaj)</f>
        <v>2022</v>
      </c>
      <c r="H3" s="567"/>
      <c r="I3" s="567"/>
      <c r="K3" s="193"/>
      <c r="L3" s="54"/>
      <c r="M3" s="34"/>
      <c r="N3" s="34"/>
      <c r="O3" s="503"/>
      <c r="P3" s="34"/>
      <c r="Q3" s="503"/>
      <c r="R3" s="34"/>
      <c r="S3" s="515"/>
      <c r="T3" s="452"/>
      <c r="U3" s="211" t="s">
        <v>165</v>
      </c>
      <c r="V3" s="637">
        <f>Salim_i</f>
        <v>0.21</v>
      </c>
      <c r="W3" s="452"/>
      <c r="X3" s="504" t="s">
        <v>96</v>
      </c>
      <c r="Y3" s="505"/>
      <c r="Z3" s="506"/>
      <c r="AA3" s="500"/>
      <c r="AB3" s="500"/>
      <c r="AC3" s="507"/>
      <c r="AD3" s="497"/>
      <c r="AE3" s="507"/>
      <c r="AF3" s="497"/>
      <c r="AG3" s="501"/>
      <c r="AH3" s="502"/>
      <c r="AI3" s="507"/>
      <c r="AJ3" s="860">
        <f>AL11-AJ11</f>
        <v>0</v>
      </c>
      <c r="AK3" s="861">
        <f>AM11-AK11</f>
        <v>0</v>
      </c>
      <c r="AL3" s="860"/>
      <c r="AM3" s="861"/>
      <c r="AN3" s="859" t="s">
        <v>271</v>
      </c>
    </row>
    <row r="4" spans="1:40" s="19" customFormat="1" ht="16.5" customHeight="1" thickBot="1" x14ac:dyDescent="0.3">
      <c r="D4" s="105" t="s">
        <v>133</v>
      </c>
      <c r="E4" s="1273" t="s">
        <v>287</v>
      </c>
      <c r="F4" s="1274"/>
      <c r="G4" s="1274"/>
      <c r="H4" s="1274"/>
      <c r="I4" s="1275"/>
      <c r="K4" s="193"/>
      <c r="L4" s="508"/>
      <c r="M4" s="507"/>
      <c r="N4" s="507"/>
      <c r="O4" s="430"/>
      <c r="P4" s="34"/>
      <c r="Q4" s="507"/>
      <c r="R4" s="34"/>
      <c r="S4" s="497"/>
      <c r="T4" s="411"/>
      <c r="U4" s="297" t="s">
        <v>82</v>
      </c>
      <c r="V4" s="636">
        <f>Persistant</f>
        <v>1</v>
      </c>
      <c r="W4" s="510" t="s">
        <v>54</v>
      </c>
      <c r="X4" s="511"/>
      <c r="Y4" s="512"/>
      <c r="Z4" s="513" t="s">
        <v>27</v>
      </c>
      <c r="AA4" s="514" t="s">
        <v>28</v>
      </c>
      <c r="AB4" s="507"/>
      <c r="AC4" s="507"/>
      <c r="AD4" s="507"/>
      <c r="AE4" s="507"/>
      <c r="AF4" s="497"/>
      <c r="AG4" s="501"/>
      <c r="AH4" s="502"/>
      <c r="AI4" s="507"/>
      <c r="AJ4" s="860">
        <f>AL12-AJ12</f>
        <v>0</v>
      </c>
      <c r="AK4" s="861">
        <f>AM12-AK12</f>
        <v>0</v>
      </c>
      <c r="AL4" s="860"/>
      <c r="AM4" s="861"/>
      <c r="AN4" s="859" t="s">
        <v>272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71">
        <v>43313</v>
      </c>
      <c r="F5" s="1272"/>
      <c r="G5" s="562"/>
      <c r="H5" s="562"/>
      <c r="I5" s="562"/>
      <c r="J5" s="19"/>
      <c r="K5" s="194"/>
      <c r="L5" s="508"/>
      <c r="M5" s="507"/>
      <c r="N5" s="507"/>
      <c r="O5" s="430"/>
      <c r="P5" s="510"/>
      <c r="Q5" s="510"/>
      <c r="R5" s="497"/>
      <c r="S5" s="501"/>
      <c r="T5" s="501"/>
      <c r="U5" s="497"/>
      <c r="V5" s="509"/>
      <c r="W5" s="510"/>
      <c r="X5" s="511"/>
      <c r="Y5" s="512"/>
      <c r="Z5" s="238">
        <f>Wh_Psa_s-Wh_Psa</f>
        <v>0</v>
      </c>
      <c r="AA5" s="239">
        <f>Wh_Pvg_s-Wh_Pvg</f>
        <v>0</v>
      </c>
      <c r="AB5" s="516" t="s">
        <v>6</v>
      </c>
      <c r="AC5" s="497"/>
      <c r="AD5" s="507"/>
      <c r="AE5" s="510"/>
      <c r="AF5" s="497"/>
      <c r="AG5" s="501"/>
      <c r="AH5" s="502"/>
      <c r="AI5" s="510"/>
      <c r="AJ5" s="518">
        <f>SUMIF(AJ15:AJ380,"VRAI",Wh)</f>
        <v>0</v>
      </c>
      <c r="AK5" s="518">
        <f>SUMIF(AK15:AK380,"VRAI",Wh)</f>
        <v>0</v>
      </c>
      <c r="AL5" s="518">
        <f>SUMIF(AJ15:AJ380,"VRAI",Wh_s)</f>
        <v>0</v>
      </c>
      <c r="AM5" s="518">
        <f>SUMIF(AK15:AK380,"VRAI",Wh_s)</f>
        <v>0</v>
      </c>
      <c r="AN5" s="859" t="s">
        <v>268</v>
      </c>
    </row>
    <row r="6" spans="1:40" s="6" customFormat="1" ht="16.5" customHeight="1" thickBot="1" x14ac:dyDescent="0.3">
      <c r="A6" s="35"/>
      <c r="B6" s="180"/>
      <c r="C6" s="180"/>
      <c r="D6" s="106" t="s">
        <v>11</v>
      </c>
      <c r="E6" s="1271">
        <v>43354</v>
      </c>
      <c r="F6" s="1272"/>
      <c r="G6" s="578"/>
      <c r="H6" s="559"/>
      <c r="I6" s="559"/>
      <c r="J6" s="35"/>
      <c r="K6" s="195"/>
      <c r="L6" s="154" t="s">
        <v>83</v>
      </c>
      <c r="M6" s="41"/>
      <c r="N6" s="41"/>
      <c r="O6" s="510"/>
      <c r="P6" s="500"/>
      <c r="Q6" s="500"/>
      <c r="R6" s="517"/>
      <c r="S6" s="501"/>
      <c r="T6" s="501"/>
      <c r="U6" s="517"/>
      <c r="V6" s="502"/>
      <c r="W6" s="464"/>
      <c r="X6" s="499"/>
      <c r="Y6" s="500"/>
      <c r="Z6" s="464"/>
      <c r="AA6" s="464"/>
      <c r="AB6" s="518"/>
      <c r="AC6" s="502"/>
      <c r="AD6" s="517"/>
      <c r="AE6" s="517"/>
      <c r="AF6" s="502"/>
      <c r="AG6" s="501"/>
      <c r="AH6" s="501"/>
      <c r="AI6" s="502"/>
      <c r="AJ6" s="518">
        <f>SUMIF(AJ15:AJ380,"FAUX",Wh)</f>
        <v>1364.6160000000002</v>
      </c>
      <c r="AK6" s="518">
        <f>SUMIF(AK15:AK380,"FAUX",Wh)</f>
        <v>1364.6160000000002</v>
      </c>
      <c r="AL6" s="518">
        <f>SUMIF(AJ15:AJ380,"FAUX",Wh_s)</f>
        <v>1364.6160000000002</v>
      </c>
      <c r="AM6" s="518">
        <f>SUMIF(AK15:AK380,"FAUX",Wh_s)</f>
        <v>1364.6160000000002</v>
      </c>
      <c r="AN6" s="859" t="s">
        <v>269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AND(YEAR(Tnet)=An,Resal_2018="I")</f>
        <v>0</v>
      </c>
      <c r="F7" s="322" t="b">
        <f>YEAR(Tnet)=An</f>
        <v>1</v>
      </c>
      <c r="J7" s="180"/>
      <c r="K7" s="193"/>
      <c r="L7" s="191" t="s">
        <v>81</v>
      </c>
      <c r="M7" s="870"/>
      <c r="N7" s="870"/>
      <c r="O7" s="500"/>
      <c r="P7" s="250"/>
      <c r="Q7" s="250"/>
      <c r="R7" s="519"/>
      <c r="S7" s="519"/>
      <c r="T7" s="519"/>
      <c r="U7" s="250"/>
      <c r="V7" s="430"/>
      <c r="W7" s="520"/>
      <c r="X7" s="521"/>
      <c r="Y7" s="250"/>
      <c r="Z7" s="520"/>
      <c r="AA7" s="520"/>
      <c r="AB7" s="250"/>
      <c r="AC7" s="500"/>
      <c r="AD7" s="250"/>
      <c r="AE7" s="250"/>
      <c r="AF7" s="495"/>
      <c r="AG7" s="495"/>
      <c r="AH7" s="495"/>
      <c r="AI7" s="495"/>
      <c r="AJ7" s="518">
        <f>SUMIF(AJ15:AJ380,"VRAI",Wh_pvt)</f>
        <v>0</v>
      </c>
      <c r="AK7" s="518">
        <f>SUMIF(AK15:AK380,"VRAI",Wh_sa)</f>
        <v>0</v>
      </c>
      <c r="AL7" s="518">
        <f>SUMIF(AJ15:AJ380,"VRAI",Wh_pvt_s)</f>
        <v>0</v>
      </c>
      <c r="AM7" s="518">
        <f>SUMIF(AK15:AK380,"VRAI",Wh_sa_s)</f>
        <v>0</v>
      </c>
      <c r="AN7" s="859" t="s">
        <v>260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22" t="b">
        <f>AND(YEAR(Tnet)=An,Tnet&gt;T0,Resal_2018&lt;&gt;"I")</f>
        <v>0</v>
      </c>
      <c r="F8" s="323" t="b">
        <f>AND(YEAR(Ttai)=An,Ttai&gt;DATE(An,1,1))</f>
        <v>0</v>
      </c>
      <c r="H8" s="181" t="s">
        <v>76</v>
      </c>
      <c r="I8" s="98"/>
      <c r="J8" s="158"/>
      <c r="K8" s="193"/>
      <c r="L8" s="114"/>
      <c r="M8" s="114"/>
      <c r="N8" s="114"/>
      <c r="O8" s="522" t="s">
        <v>95</v>
      </c>
      <c r="P8" s="500"/>
      <c r="Q8" s="500"/>
      <c r="R8" s="500"/>
      <c r="S8" s="500"/>
      <c r="T8" s="500"/>
      <c r="U8" s="500"/>
      <c r="W8" s="406"/>
      <c r="X8" s="1264" t="s">
        <v>102</v>
      </c>
      <c r="Y8" s="1265"/>
      <c r="Z8" s="500"/>
      <c r="AA8" s="500"/>
      <c r="AB8" s="464"/>
      <c r="AC8" s="522" t="s">
        <v>95</v>
      </c>
      <c r="AD8" s="464"/>
      <c r="AE8" s="464"/>
      <c r="AF8" s="464"/>
      <c r="AG8" s="464"/>
      <c r="AH8" s="464"/>
      <c r="AI8" s="464"/>
      <c r="AJ8" s="518">
        <f>SUMIF(AJ15:AJ380,"FAUX",Wh_pvt)</f>
        <v>1367.7023772712794</v>
      </c>
      <c r="AK8" s="518">
        <f>SUMIF(AK15:AK380,"FAUX",Wh_sa)</f>
        <v>1398.0022954680433</v>
      </c>
      <c r="AL8" s="518">
        <f>SUMIF(AJ15:AJ380,"FAUX",Wh_pvt_s)</f>
        <v>1367.7023772712794</v>
      </c>
      <c r="AM8" s="518">
        <f>SUMIF(AK15:AK380,"FAUX",Wh_sa_s)</f>
        <v>1398.0022954680433</v>
      </c>
      <c r="AN8" s="859" t="s">
        <v>261</v>
      </c>
    </row>
    <row r="9" spans="1:40" s="19" customFormat="1" ht="15" customHeight="1" x14ac:dyDescent="0.25">
      <c r="A9" s="185"/>
      <c r="D9" s="73">
        <f>SUM(D$15:D$380)</f>
        <v>1367.7023772712794</v>
      </c>
      <c r="E9" s="73">
        <f>SUM(E$15:E$380)</f>
        <v>1398.0022954680433</v>
      </c>
      <c r="F9" s="73">
        <f>SUM(F$15:F$380)</f>
        <v>1402.4731894538429</v>
      </c>
      <c r="H9" s="1268">
        <f>+SUM(Wh)</f>
        <v>1364.6160000000002</v>
      </c>
      <c r="I9" s="1269"/>
      <c r="J9" s="1270"/>
      <c r="K9" s="193"/>
      <c r="L9" s="114"/>
      <c r="M9" s="114"/>
      <c r="N9" s="114"/>
      <c r="O9" s="327">
        <f>MAX(T0,Tnet_2018)</f>
        <v>43313</v>
      </c>
      <c r="P9" s="246" t="s">
        <v>112</v>
      </c>
      <c r="Q9" s="247"/>
      <c r="R9" s="247"/>
      <c r="S9" s="247"/>
      <c r="T9" s="247"/>
      <c r="U9" s="247"/>
      <c r="V9" s="464"/>
      <c r="W9" s="523"/>
      <c r="X9" s="1262">
        <f>+SUM(Wh_s)</f>
        <v>1364.6160000000002</v>
      </c>
      <c r="Y9" s="1263"/>
      <c r="Z9" s="518">
        <f>SUM(Z$15:Z$380)</f>
        <v>1367.7023772712794</v>
      </c>
      <c r="AA9" s="518">
        <f>SUM(AA$15:AA$380)</f>
        <v>1398.0022954680433</v>
      </c>
      <c r="AB9" s="518">
        <f>F9</f>
        <v>1402.4731894538429</v>
      </c>
      <c r="AC9" s="327">
        <f>IF(An_Tnet,Tnet,T0)</f>
        <v>43313</v>
      </c>
      <c r="AD9" s="317" t="s">
        <v>103</v>
      </c>
      <c r="AE9" s="318"/>
      <c r="AF9" s="318"/>
      <c r="AG9" s="318"/>
      <c r="AH9" s="318"/>
      <c r="AI9" s="319"/>
      <c r="AJ9" s="518">
        <f>SUMIF(AJ15:AJ380,"VRAI",Wh_sa)</f>
        <v>0</v>
      </c>
      <c r="AK9" s="518">
        <f>SUMIF(AK15:AK380,"VRAI",Wh_hp)</f>
        <v>0</v>
      </c>
      <c r="AL9" s="518">
        <f>SUMIF(AJ15:AJ380,"VRAI",Wh_sa_s)</f>
        <v>0</v>
      </c>
      <c r="AM9" s="518">
        <f>SUMIF(AK15:AK380,"VRAI",Wh_hp)</f>
        <v>0</v>
      </c>
      <c r="AN9" s="859" t="s">
        <v>266</v>
      </c>
    </row>
    <row r="10" spans="1:40" s="19" customFormat="1" ht="15" customHeight="1" x14ac:dyDescent="0.25">
      <c r="A10" s="208"/>
      <c r="B10" s="209"/>
      <c r="C10" s="866"/>
      <c r="D10" s="182" t="s">
        <v>26</v>
      </c>
      <c r="E10" s="183" t="s">
        <v>27</v>
      </c>
      <c r="F10" s="183" t="s">
        <v>28</v>
      </c>
      <c r="K10" s="195"/>
      <c r="L10" s="114"/>
      <c r="M10" s="114"/>
      <c r="N10" s="114"/>
      <c r="O10" s="320">
        <f>IF(Inflex,Salim_i*(1-EXP((T0-Tnet)/Tau_j)),IF(Acti_net,Resal_2018,0))</f>
        <v>0</v>
      </c>
      <c r="P10" s="423" t="b">
        <f>NOT(Acti_tai)</f>
        <v>1</v>
      </c>
      <c r="Q10" s="259">
        <f>IF(Acti_tai,0,Dens-Dd)</f>
        <v>0</v>
      </c>
      <c r="R10" s="262"/>
      <c r="S10" s="263"/>
      <c r="T10" s="265"/>
      <c r="U10" s="268">
        <f>IF(Acti_tai,PousHi,Htf_2018-H_i)</f>
        <v>0.70000000000000018</v>
      </c>
      <c r="V10" s="430"/>
      <c r="W10" s="507"/>
      <c r="X10" s="508"/>
      <c r="Y10" s="524" t="s">
        <v>26</v>
      </c>
      <c r="Z10" s="514" t="s">
        <v>27</v>
      </c>
      <c r="AA10" s="514" t="s">
        <v>28</v>
      </c>
      <c r="AB10" s="430"/>
      <c r="AC10" s="320">
        <f>IF(OR(Inflex,GainD),Salim_i*(1-EXP((T0-Tnet)/Tau_ij)),IF(Acti_net,Salim_i*(1-EXP((T0-Tnet)/Tau_ij)),0))</f>
        <v>0</v>
      </c>
      <c r="AD10" s="430"/>
      <c r="AE10" s="430"/>
      <c r="AF10" s="262"/>
      <c r="AG10" s="263"/>
      <c r="AH10" s="264"/>
      <c r="AI10" s="430"/>
      <c r="AJ10" s="518">
        <f>SUMIF(AJ15:AJ380,"FAUX",Wh_sa)</f>
        <v>1398.0022954680433</v>
      </c>
      <c r="AK10" s="518">
        <f>SUMIF(AK15:AK380,"FAUX",Wh_hp)</f>
        <v>1402.4731894538429</v>
      </c>
      <c r="AL10" s="518">
        <f>SUMIF(AJ15:AJ380,"FAUX",Wh_sa_s)</f>
        <v>1398.0022954680433</v>
      </c>
      <c r="AM10" s="518">
        <f>SUMIF(AK15:AK380,"FAUX",Wh_hp)</f>
        <v>1402.4731894538429</v>
      </c>
      <c r="AN10" s="859" t="s">
        <v>267</v>
      </c>
    </row>
    <row r="11" spans="1:40" s="40" customFormat="1" ht="15" customHeight="1" x14ac:dyDescent="0.25">
      <c r="A11" s="218"/>
      <c r="B11" s="219" t="s">
        <v>43</v>
      </c>
      <c r="C11" s="867"/>
      <c r="D11" s="220">
        <f>D$9-Prod_an</f>
        <v>3.0863772712791615</v>
      </c>
      <c r="E11" s="221">
        <f>(E$9-D$9)*Prod_an/D$9</f>
        <v>30.231542956362031</v>
      </c>
      <c r="F11" s="222">
        <f>(F$9-E$9)*Prod_an/E$9</f>
        <v>4.3641226392145338</v>
      </c>
      <c r="G11" s="187" t="s">
        <v>6</v>
      </c>
      <c r="K11" s="196"/>
      <c r="L11" s="184">
        <f>Tvie_2018</f>
        <v>43313</v>
      </c>
      <c r="M11" s="871"/>
      <c r="N11" s="871"/>
      <c r="O11" s="320">
        <f>Salim_2018</f>
        <v>0.21</v>
      </c>
      <c r="P11" s="258">
        <f>Ttai_2018</f>
        <v>43101</v>
      </c>
      <c r="Q11" s="274">
        <f>Dens_2018</f>
        <v>0.9</v>
      </c>
      <c r="R11" s="526"/>
      <c r="S11" s="249"/>
      <c r="T11" s="527"/>
      <c r="U11" s="268">
        <f>Htf_2018</f>
        <v>-2.1002240119956488</v>
      </c>
      <c r="V11" s="430"/>
      <c r="W11" s="521"/>
      <c r="X11" s="528" t="s">
        <v>43</v>
      </c>
      <c r="Y11" s="50">
        <f>Z$9-Prod_an_s</f>
        <v>3.0863772712791615</v>
      </c>
      <c r="Z11" s="51">
        <f>(AA$9-Z$9)*Prod_an_s/Z$9</f>
        <v>30.231542956362031</v>
      </c>
      <c r="AA11" s="188">
        <f>(AB$9-AA$9)*Prod_an_s/AA$9</f>
        <v>4.3641226392145338</v>
      </c>
      <c r="AB11" s="529" t="s">
        <v>6</v>
      </c>
      <c r="AC11" s="475"/>
      <c r="AD11" s="258"/>
      <c r="AE11" s="274" t="str">
        <f>IF(Acti_tai,IF(GainD,Di,Dd)+PousD*Croi_tai,"NA")</f>
        <v>NA</v>
      </c>
      <c r="AF11" s="249"/>
      <c r="AG11" s="249"/>
      <c r="AH11" s="249"/>
      <c r="AI11" s="268" t="str">
        <f>IF(Acti_tai,IF(GainD,H_i,Hdd)+PousH*Croi_tai,"NA")</f>
        <v>NA</v>
      </c>
      <c r="AJ11" s="860">
        <f>IF($AJ7=0,0,($AJ9-$AJ7)*$AJ5/$AJ7)</f>
        <v>0</v>
      </c>
      <c r="AK11" s="861">
        <f>IF($AK7=0,0,($AK9-$AK7)*$AK5/$AK7)</f>
        <v>0</v>
      </c>
      <c r="AL11" s="860">
        <f>IF($AL7=0,0,($AL9-$AL7)*$AL5/$AL7)</f>
        <v>0</v>
      </c>
      <c r="AM11" s="861">
        <f>IF($AM7=0,0,($AM9-$AM7)*$AM5/$AM7)</f>
        <v>0</v>
      </c>
      <c r="AN11" s="859" t="s">
        <v>273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3" t="s">
        <v>17</v>
      </c>
      <c r="G12" s="109">
        <f>G383-1</f>
        <v>-4.9205385827444381E-3</v>
      </c>
      <c r="I12" s="102"/>
      <c r="J12" s="99"/>
      <c r="K12" s="193"/>
      <c r="L12" s="206">
        <f>Pspv_2018</f>
        <v>0</v>
      </c>
      <c r="M12" s="214"/>
      <c r="N12" s="214"/>
      <c r="O12" s="530">
        <f>Tau_2018*365</f>
        <v>912.5</v>
      </c>
      <c r="P12" s="531">
        <f>INDEX(Croivg,MIN(MAX(Ttai-$A$15,0)+1,366))</f>
        <v>2.3909964587625958E-6</v>
      </c>
      <c r="Q12" s="298">
        <f>D_i</f>
        <v>0.9</v>
      </c>
      <c r="R12" s="280"/>
      <c r="S12" s="281"/>
      <c r="T12" s="532"/>
      <c r="U12" s="299">
        <f>H_i</f>
        <v>-2.800224011995649</v>
      </c>
      <c r="V12" s="520"/>
      <c r="W12" s="507"/>
      <c r="X12" s="508"/>
      <c r="Y12" s="507"/>
      <c r="Z12" s="430"/>
      <c r="AA12" s="430"/>
      <c r="AB12" s="507"/>
      <c r="AC12" s="320" t="b">
        <f>NOT(An_Tnet)</f>
        <v>0</v>
      </c>
      <c r="AD12" s="430"/>
      <c r="AE12" s="298">
        <f>D_i</f>
        <v>0.9</v>
      </c>
      <c r="AF12" s="205"/>
      <c r="AG12" s="205"/>
      <c r="AH12" s="205"/>
      <c r="AI12" s="299">
        <f>H_i</f>
        <v>-2.800224011995649</v>
      </c>
      <c r="AJ12" s="860">
        <f>IF($AJ8=0,0,($AJ10-$AJ8)*$AJ6/$AJ8)</f>
        <v>30.231542956362031</v>
      </c>
      <c r="AK12" s="861">
        <f>IF($AK8=0,0,($AK10-$AK8)*$AK6/$AK8)</f>
        <v>4.3641226392145338</v>
      </c>
      <c r="AL12" s="860">
        <f>IF($AL8=0,0,($AL10-$AL8)*$AL6/$AL8)</f>
        <v>30.231542956362031</v>
      </c>
      <c r="AM12" s="861">
        <f>IF($AM8=0,0,($AM10-$AM8)*$AM6/$AM8)</f>
        <v>4.3641226392145338</v>
      </c>
      <c r="AN12" s="859" t="s">
        <v>274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205</v>
      </c>
      <c r="V13" s="124" t="s">
        <v>41</v>
      </c>
      <c r="W13" s="864" t="s">
        <v>46</v>
      </c>
      <c r="X13" s="261"/>
      <c r="Y13" s="124" t="s">
        <v>119</v>
      </c>
      <c r="Z13" s="124" t="s">
        <v>120</v>
      </c>
      <c r="AA13" s="124" t="s">
        <v>121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209</v>
      </c>
      <c r="AJ13" s="73">
        <f>+AJ11+AJ12</f>
        <v>30.231542956362031</v>
      </c>
      <c r="AK13" s="73">
        <f>+AK11+AK12</f>
        <v>4.3641226392145338</v>
      </c>
      <c r="AL13" s="73">
        <f>+AL11+AL12</f>
        <v>30.231542956362031</v>
      </c>
      <c r="AM13" s="73">
        <f>+AM11+AM12</f>
        <v>4.3641226392145338</v>
      </c>
      <c r="AN13" s="858" t="s">
        <v>275</v>
      </c>
    </row>
    <row r="14" spans="1:40" s="46" customFormat="1" ht="40.5" customHeight="1" thickBot="1" x14ac:dyDescent="0.25">
      <c r="A14" s="45" t="s">
        <v>2</v>
      </c>
      <c r="B14" s="391" t="s">
        <v>190</v>
      </c>
      <c r="C14" s="391"/>
      <c r="D14" s="53" t="s">
        <v>30</v>
      </c>
      <c r="E14" s="162" t="s">
        <v>29</v>
      </c>
      <c r="F14" s="162" t="str">
        <f>"Hors pertes "&amp; TEXT(An,0)</f>
        <v>Hors pertes 2018</v>
      </c>
      <c r="G14" s="107" t="s">
        <v>42</v>
      </c>
      <c r="I14" s="79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206</v>
      </c>
      <c r="S14" s="174" t="s">
        <v>207</v>
      </c>
      <c r="T14" s="174" t="s">
        <v>208</v>
      </c>
      <c r="U14" s="108" t="s">
        <v>211</v>
      </c>
      <c r="V14" s="45" t="str">
        <f>"Enveloppe "&amp; TEXT(An,0)</f>
        <v>Enveloppe 2018</v>
      </c>
      <c r="W14" s="437"/>
      <c r="X14" s="155" t="s">
        <v>2</v>
      </c>
      <c r="Y14" s="107" t="str">
        <f>"Wh / Jour "&amp; TEXT(An,0)</f>
        <v>Wh / Jour 2018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88</v>
      </c>
      <c r="AF14" s="174" t="s">
        <v>206</v>
      </c>
      <c r="AG14" s="174" t="s">
        <v>207</v>
      </c>
      <c r="AH14" s="174" t="s">
        <v>208</v>
      </c>
      <c r="AI14" s="108" t="s">
        <v>211</v>
      </c>
      <c r="AJ14" s="705" t="s">
        <v>258</v>
      </c>
      <c r="AK14" s="705" t="s">
        <v>259</v>
      </c>
      <c r="AL14" s="267"/>
      <c r="AM14" s="267"/>
      <c r="AN14" s="75"/>
    </row>
    <row r="15" spans="1:40" s="6" customFormat="1" ht="11.25" x14ac:dyDescent="0.2">
      <c r="A15" s="56">
        <f>DATE(An,1,1)</f>
        <v>43101</v>
      </c>
      <c r="B15" s="623"/>
      <c r="C15" s="881"/>
      <c r="D15" s="395"/>
      <c r="E15" s="387"/>
      <c r="F15" s="387"/>
      <c r="G15" s="110"/>
      <c r="I15" s="381">
        <f t="shared" ref="I15:I78" si="0">Wh_hp</f>
        <v>0</v>
      </c>
      <c r="J15" s="84">
        <v>2018</v>
      </c>
      <c r="K15" s="199">
        <f t="shared" ref="K15:K78" si="1">t</f>
        <v>43101</v>
      </c>
      <c r="L15" s="439">
        <f t="shared" ref="L15:L78" si="2">IF(t&lt;T0,0,IF(t&lt;Tvie,1-EXP((T0-t)*PertePVj),1-EXP((T0-t)*PertePVj)+Pspv))</f>
        <v>0</v>
      </c>
      <c r="M15" s="883"/>
      <c r="N15" s="883"/>
      <c r="O15" s="326">
        <f t="shared" ref="O15:O78" si="3">IF(t&lt;T0,0,IF(t&lt;Tnet,Salim_i*(1-EXP((T0-t)/Tau_ij)),Resal+(Salim-Resal)*(1-EXP((Tnet-t)/(Tau_j)))))*Salcycl</f>
        <v>0</v>
      </c>
      <c r="P15" s="304">
        <f>(INDEX(Models!$BJ15:$BT15,,T15)*(1-R15)+INDEX(Models!$BJ15:$BT15,,T15+1)*R15-ERP_i)*Q15*Ramure*Pc/MaxiM</f>
        <v>2.2760147144448417E-8</v>
      </c>
      <c r="Q15" s="305">
        <f>IF(OR(t&lt;Ttai,Notai),Dd+PousD*Croivg,Dens+PousD*(Croivg-Croi_tai))</f>
        <v>0.9</v>
      </c>
      <c r="R15" s="306">
        <f t="shared" ref="R15:R78" si="4">(Hp_vg-S15)/(INDEX(Echel_vg,T15+1)-S15)</f>
        <v>0.19977766170187206</v>
      </c>
      <c r="S15" s="838">
        <f>INDEX(Echel_vg,T15)</f>
        <v>-3</v>
      </c>
      <c r="T15" s="251">
        <f>MIN(MATCH(Hp_vg,Echel_vg),10)</f>
        <v>3</v>
      </c>
      <c r="U15" s="252">
        <f>IF(OR(t&lt;Ttai,Notai),Hdd+PousH*Croivg,Hdtf+PousH*(Croivg-Croi_tai))</f>
        <v>-2.8002223382981279</v>
      </c>
      <c r="V15" s="384">
        <f t="shared" ref="V15:V78" si="5">MaxiM*(1-Ppv)*(1-Pvg)*(1-Psa)</f>
        <v>18.847767112827942</v>
      </c>
      <c r="W15" s="58"/>
      <c r="X15" s="156">
        <f t="shared" ref="X15:X78" si="6">t</f>
        <v>43101</v>
      </c>
      <c r="Y15" s="387">
        <f t="shared" ref="Y15:Y78" si="7">Wh_pvt_s*(1-Ppv)</f>
        <v>0</v>
      </c>
      <c r="Z15" s="387">
        <f t="shared" ref="Z15:Z78" si="8">Wh_sa_s*(1-Psa_s)</f>
        <v>0</v>
      </c>
      <c r="AA15" s="388">
        <f t="shared" ref="AA15:AA78" si="9">Wh_hp*(1-Pvg_s*MEDIAN((-Sdif+Wh/Env_an)/Csdif,0,1))</f>
        <v>0</v>
      </c>
      <c r="AB15" s="199">
        <f t="shared" ref="AB15:AB78" si="10">t</f>
        <v>43101</v>
      </c>
      <c r="AC15" s="456">
        <f t="shared" ref="AC15:AC78" si="11">IF(t&lt;T0,0,IF(OR(t&lt;Tnet,NoTnet),Salim_i*(1-EXP((T0-t)/Tau_ij)),Resal_s+(Salim-Resal_s)*(1-EXP((Tnet_s-t)/Tau_j))))*Salcycl</f>
        <v>0</v>
      </c>
      <c r="AD15" s="304">
        <f>(INDEX(Models!$BJ15:$BT15,,AH15)*(1-AF15)+INDEX(Models!$BJ15:$BT15,,AH15+1)*AF15-ERP_i)*AE15*Ramure*Pc/MaxiM</f>
        <v>2.2760147144448417E-8</v>
      </c>
      <c r="AE15" s="305">
        <f t="shared" ref="AE15:AE78" si="12">Dd+PousD*Croivg</f>
        <v>0.9</v>
      </c>
      <c r="AF15" s="306">
        <f t="shared" ref="AF15:AF78" si="13">(Hp_vg_s-AG15)/(INDEX(Echel_vg,AH15+1)-AG15)</f>
        <v>0.19977766170187206</v>
      </c>
      <c r="AG15" s="838">
        <f>INDEX(Echel_vg,AH15)</f>
        <v>-3</v>
      </c>
      <c r="AH15" s="251">
        <f t="shared" ref="AH15:AH78" si="14">MIN(MATCH(Hp_vg_s,Echel_vg),10)</f>
        <v>3</v>
      </c>
      <c r="AI15" s="226">
        <f t="shared" ref="AI15:AI78" si="15">Hdd+PousH*Croivg</f>
        <v>-2.8002223382981279</v>
      </c>
      <c r="AJ15" s="267" t="b">
        <f t="shared" ref="AJ15:AJ78" si="16">t&lt;Tnet</f>
        <v>1</v>
      </c>
      <c r="AK15" s="267" t="b">
        <f t="shared" ref="AK15:AK78" si="17">t&lt;Ttai</f>
        <v>0</v>
      </c>
      <c r="AL15" s="267"/>
      <c r="AM15" s="267"/>
      <c r="AN15" s="75"/>
    </row>
    <row r="16" spans="1:40" s="6" customFormat="1" ht="11.25" customHeight="1" x14ac:dyDescent="0.2">
      <c r="A16" s="56">
        <f>A15+1</f>
        <v>43102</v>
      </c>
      <c r="B16" s="624"/>
      <c r="C16" s="881"/>
      <c r="D16" s="395"/>
      <c r="E16" s="387"/>
      <c r="F16" s="387"/>
      <c r="G16" s="110"/>
      <c r="I16" s="382">
        <f t="shared" si="0"/>
        <v>0</v>
      </c>
      <c r="J16" s="85">
        <v>2018</v>
      </c>
      <c r="K16" s="199">
        <f t="shared" si="1"/>
        <v>43102</v>
      </c>
      <c r="L16" s="439">
        <f t="shared" si="2"/>
        <v>0</v>
      </c>
      <c r="M16" s="883"/>
      <c r="N16" s="883"/>
      <c r="O16" s="326">
        <f t="shared" si="3"/>
        <v>0</v>
      </c>
      <c r="P16" s="171">
        <f>(INDEX(Models!$BJ16:$BT16,,T16)*(1-R16)+INDEX(Models!$BJ16:$BT16,,T16+1)*R16-ERP_i)*Q16*Ramure*Pc/MaxiM</f>
        <v>5.7910848535932362E-7</v>
      </c>
      <c r="Q16" s="307">
        <f t="shared" ref="Q16:Q78" si="18">IF(OR(t&lt;Ttai,Notai),Dd+PousD*Croivg,Dens+PousD*(Croivg-Croi_tai))</f>
        <v>0.9</v>
      </c>
      <c r="R16" s="179">
        <f t="shared" si="4"/>
        <v>0.1998185621614641</v>
      </c>
      <c r="S16" s="839">
        <f t="shared" ref="S16:S79" si="19">INDEX(Echel_vg,T16)</f>
        <v>-3</v>
      </c>
      <c r="T16" s="178">
        <f t="shared" ref="T16:T78" si="20">MIN(MATCH(Hp_vg,Echel_vg),10)</f>
        <v>3</v>
      </c>
      <c r="U16" s="253">
        <f t="shared" ref="U16:U78" si="21">IF(OR(t&lt;Ttai,Notai),Hdd+PousH*Croivg,Hdtf+PousH*(Croivg-Croi_tai))</f>
        <v>-2.8001814378385359</v>
      </c>
      <c r="V16" s="385">
        <f t="shared" si="5"/>
        <v>18.982285596803933</v>
      </c>
      <c r="W16" s="58"/>
      <c r="X16" s="157">
        <f t="shared" si="6"/>
        <v>43102</v>
      </c>
      <c r="Y16" s="387">
        <f t="shared" si="7"/>
        <v>0</v>
      </c>
      <c r="Z16" s="387">
        <f t="shared" si="8"/>
        <v>0</v>
      </c>
      <c r="AA16" s="388">
        <f t="shared" si="9"/>
        <v>0</v>
      </c>
      <c r="AB16" s="199">
        <f t="shared" si="10"/>
        <v>43102</v>
      </c>
      <c r="AC16" s="428">
        <f t="shared" si="11"/>
        <v>0</v>
      </c>
      <c r="AD16" s="171">
        <f>(INDEX(Models!$BJ16:$BT16,,AH16)*(1-AF16)+INDEX(Models!$BJ16:$BT16,,AH16+1)*AF16-ERP_i)*AE16*Ramure*Pc/MaxiM</f>
        <v>5.7910848535932362E-7</v>
      </c>
      <c r="AE16" s="307">
        <f t="shared" si="12"/>
        <v>0.9</v>
      </c>
      <c r="AF16" s="179">
        <f t="shared" si="13"/>
        <v>0.1998185621614641</v>
      </c>
      <c r="AG16" s="839">
        <f t="shared" ref="AG16:AG78" si="22">INDEX(Echel_vg,AH16)</f>
        <v>-3</v>
      </c>
      <c r="AH16" s="178">
        <f t="shared" si="14"/>
        <v>3</v>
      </c>
      <c r="AI16" s="227">
        <f t="shared" si="15"/>
        <v>-2.8001814378385359</v>
      </c>
      <c r="AJ16" s="267" t="b">
        <f t="shared" si="16"/>
        <v>1</v>
      </c>
      <c r="AK16" s="267" t="b">
        <f t="shared" si="17"/>
        <v>0</v>
      </c>
      <c r="AL16" s="267"/>
      <c r="AM16" s="267"/>
      <c r="AN16" s="75"/>
    </row>
    <row r="17" spans="1:40" s="6" customFormat="1" ht="11.25" customHeight="1" x14ac:dyDescent="0.2">
      <c r="A17" s="56">
        <f t="shared" ref="A17:A80" si="23">A16+1</f>
        <v>43103</v>
      </c>
      <c r="B17" s="624"/>
      <c r="C17" s="881"/>
      <c r="D17" s="395"/>
      <c r="E17" s="387"/>
      <c r="F17" s="387"/>
      <c r="G17" s="110"/>
      <c r="I17" s="382">
        <f t="shared" si="0"/>
        <v>0</v>
      </c>
      <c r="J17" s="85">
        <v>2018</v>
      </c>
      <c r="K17" s="199">
        <f t="shared" si="1"/>
        <v>43103</v>
      </c>
      <c r="L17" s="439">
        <f t="shared" si="2"/>
        <v>0</v>
      </c>
      <c r="M17" s="883"/>
      <c r="N17" s="883"/>
      <c r="O17" s="326">
        <f t="shared" si="3"/>
        <v>0</v>
      </c>
      <c r="P17" s="171">
        <f>(INDEX(Models!$BJ17:$BT17,,T17)*(1-R17)+INDEX(Models!$BJ17:$BT17,,T17+1)*R17-ERP_i)*Q17*Ramure*Pc/MaxiM</f>
        <v>1.1592814385957304E-6</v>
      </c>
      <c r="Q17" s="307">
        <f t="shared" si="18"/>
        <v>0.9</v>
      </c>
      <c r="R17" s="179">
        <f t="shared" si="4"/>
        <v>0.19986117339514964</v>
      </c>
      <c r="S17" s="839">
        <f t="shared" si="19"/>
        <v>-3</v>
      </c>
      <c r="T17" s="178">
        <f t="shared" si="20"/>
        <v>3</v>
      </c>
      <c r="U17" s="253">
        <f t="shared" si="21"/>
        <v>-2.8001388266048504</v>
      </c>
      <c r="V17" s="385">
        <f t="shared" si="5"/>
        <v>19.125742032914971</v>
      </c>
      <c r="W17" s="58"/>
      <c r="X17" s="157">
        <f t="shared" si="6"/>
        <v>43103</v>
      </c>
      <c r="Y17" s="387">
        <f t="shared" si="7"/>
        <v>0</v>
      </c>
      <c r="Z17" s="387">
        <f t="shared" si="8"/>
        <v>0</v>
      </c>
      <c r="AA17" s="388">
        <f t="shared" si="9"/>
        <v>0</v>
      </c>
      <c r="AB17" s="199">
        <f t="shared" si="10"/>
        <v>43103</v>
      </c>
      <c r="AC17" s="428">
        <f t="shared" si="11"/>
        <v>0</v>
      </c>
      <c r="AD17" s="171">
        <f>(INDEX(Models!$BJ17:$BT17,,AH17)*(1-AF17)+INDEX(Models!$BJ17:$BT17,,AH17+1)*AF17-ERP_i)*AE17*Ramure*Pc/MaxiM</f>
        <v>1.1592814385957304E-6</v>
      </c>
      <c r="AE17" s="307">
        <f t="shared" si="12"/>
        <v>0.9</v>
      </c>
      <c r="AF17" s="179">
        <f t="shared" si="13"/>
        <v>0.19986117339514964</v>
      </c>
      <c r="AG17" s="839">
        <f t="shared" si="22"/>
        <v>-3</v>
      </c>
      <c r="AH17" s="178">
        <f t="shared" si="14"/>
        <v>3</v>
      </c>
      <c r="AI17" s="227">
        <f t="shared" si="15"/>
        <v>-2.8001388266048504</v>
      </c>
      <c r="AJ17" s="267" t="b">
        <f t="shared" si="16"/>
        <v>1</v>
      </c>
      <c r="AK17" s="267" t="b">
        <f t="shared" si="17"/>
        <v>0</v>
      </c>
      <c r="AL17" s="267"/>
      <c r="AM17" s="267"/>
      <c r="AN17" s="75"/>
    </row>
    <row r="18" spans="1:40" s="6" customFormat="1" ht="11.25" customHeight="1" x14ac:dyDescent="0.2">
      <c r="A18" s="56">
        <f t="shared" si="23"/>
        <v>43104</v>
      </c>
      <c r="B18" s="624"/>
      <c r="C18" s="881"/>
      <c r="D18" s="395"/>
      <c r="E18" s="387"/>
      <c r="F18" s="387"/>
      <c r="G18" s="110"/>
      <c r="I18" s="382">
        <f t="shared" si="0"/>
        <v>0</v>
      </c>
      <c r="J18" s="85">
        <v>2018</v>
      </c>
      <c r="K18" s="199">
        <f t="shared" si="1"/>
        <v>43104</v>
      </c>
      <c r="L18" s="439">
        <f t="shared" si="2"/>
        <v>0</v>
      </c>
      <c r="M18" s="883"/>
      <c r="N18" s="883"/>
      <c r="O18" s="326">
        <f t="shared" si="3"/>
        <v>0</v>
      </c>
      <c r="P18" s="171">
        <f>(INDEX(Models!$BJ18:$BT18,,T18)*(1-R18)+INDEX(Models!$BJ18:$BT18,,T18+1)*R18-ERP_i)*Q18*Ramure*Pc/MaxiM</f>
        <v>1.7646730472581472E-6</v>
      </c>
      <c r="Q18" s="307">
        <f t="shared" si="18"/>
        <v>0.9</v>
      </c>
      <c r="R18" s="179">
        <f t="shared" si="4"/>
        <v>0.19990556673896265</v>
      </c>
      <c r="S18" s="839">
        <f t="shared" si="19"/>
        <v>-3</v>
      </c>
      <c r="T18" s="178">
        <f t="shared" si="20"/>
        <v>3</v>
      </c>
      <c r="U18" s="253">
        <f t="shared" si="21"/>
        <v>-2.8000944332610374</v>
      </c>
      <c r="V18" s="385">
        <f t="shared" si="5"/>
        <v>19.277874054856291</v>
      </c>
      <c r="W18" s="58"/>
      <c r="X18" s="157">
        <f t="shared" si="6"/>
        <v>43104</v>
      </c>
      <c r="Y18" s="387">
        <f t="shared" si="7"/>
        <v>0</v>
      </c>
      <c r="Z18" s="387">
        <f t="shared" si="8"/>
        <v>0</v>
      </c>
      <c r="AA18" s="388">
        <f t="shared" si="9"/>
        <v>0</v>
      </c>
      <c r="AB18" s="199">
        <f t="shared" si="10"/>
        <v>43104</v>
      </c>
      <c r="AC18" s="428">
        <f t="shared" si="11"/>
        <v>0</v>
      </c>
      <c r="AD18" s="171">
        <f>(INDEX(Models!$BJ18:$BT18,,AH18)*(1-AF18)+INDEX(Models!$BJ18:$BT18,,AH18+1)*AF18-ERP_i)*AE18*Ramure*Pc/MaxiM</f>
        <v>1.7646730472581472E-6</v>
      </c>
      <c r="AE18" s="307">
        <f t="shared" si="12"/>
        <v>0.9</v>
      </c>
      <c r="AF18" s="179">
        <f t="shared" si="13"/>
        <v>0.19990556673896265</v>
      </c>
      <c r="AG18" s="839">
        <f t="shared" si="22"/>
        <v>-3</v>
      </c>
      <c r="AH18" s="178">
        <f t="shared" si="14"/>
        <v>3</v>
      </c>
      <c r="AI18" s="227">
        <f t="shared" si="15"/>
        <v>-2.8000944332610374</v>
      </c>
      <c r="AJ18" s="267" t="b">
        <f t="shared" si="16"/>
        <v>1</v>
      </c>
      <c r="AK18" s="267" t="b">
        <f t="shared" si="17"/>
        <v>0</v>
      </c>
      <c r="AL18" s="267"/>
      <c r="AM18" s="267"/>
      <c r="AN18" s="75"/>
    </row>
    <row r="19" spans="1:40" s="6" customFormat="1" ht="11.25" customHeight="1" x14ac:dyDescent="0.2">
      <c r="A19" s="56">
        <f t="shared" si="23"/>
        <v>43105</v>
      </c>
      <c r="B19" s="624"/>
      <c r="C19" s="881"/>
      <c r="D19" s="395"/>
      <c r="E19" s="387"/>
      <c r="F19" s="387"/>
      <c r="G19" s="110"/>
      <c r="I19" s="382">
        <f t="shared" si="0"/>
        <v>0</v>
      </c>
      <c r="J19" s="85">
        <v>2018</v>
      </c>
      <c r="K19" s="199">
        <f t="shared" si="1"/>
        <v>43105</v>
      </c>
      <c r="L19" s="439">
        <f t="shared" si="2"/>
        <v>0</v>
      </c>
      <c r="M19" s="883"/>
      <c r="N19" s="883"/>
      <c r="O19" s="326">
        <f t="shared" si="3"/>
        <v>0</v>
      </c>
      <c r="P19" s="171">
        <f>(INDEX(Models!$BJ19:$BT19,,T19)*(1-R19)+INDEX(Models!$BJ19:$BT19,,T19+1)*R19-ERP_i)*Q19*Ramure*Pc/MaxiM</f>
        <v>2.3967662185242445E-6</v>
      </c>
      <c r="Q19" s="307">
        <f t="shared" si="18"/>
        <v>0.9</v>
      </c>
      <c r="R19" s="179">
        <f t="shared" si="4"/>
        <v>0.19995181648454885</v>
      </c>
      <c r="S19" s="839">
        <f t="shared" si="19"/>
        <v>-3</v>
      </c>
      <c r="T19" s="178">
        <f t="shared" si="20"/>
        <v>3</v>
      </c>
      <c r="U19" s="253">
        <f t="shared" si="21"/>
        <v>-2.8000481835154512</v>
      </c>
      <c r="V19" s="385">
        <f t="shared" si="5"/>
        <v>19.438419302022055</v>
      </c>
      <c r="W19" s="58"/>
      <c r="X19" s="157">
        <f t="shared" si="6"/>
        <v>43105</v>
      </c>
      <c r="Y19" s="387">
        <f t="shared" si="7"/>
        <v>0</v>
      </c>
      <c r="Z19" s="387">
        <f t="shared" si="8"/>
        <v>0</v>
      </c>
      <c r="AA19" s="388">
        <f t="shared" si="9"/>
        <v>0</v>
      </c>
      <c r="AB19" s="199">
        <f t="shared" si="10"/>
        <v>43105</v>
      </c>
      <c r="AC19" s="428">
        <f t="shared" si="11"/>
        <v>0</v>
      </c>
      <c r="AD19" s="171">
        <f>(INDEX(Models!$BJ19:$BT19,,AH19)*(1-AF19)+INDEX(Models!$BJ19:$BT19,,AH19+1)*AF19-ERP_i)*AE19*Ramure*Pc/MaxiM</f>
        <v>2.3967662185242445E-6</v>
      </c>
      <c r="AE19" s="307">
        <f t="shared" si="12"/>
        <v>0.9</v>
      </c>
      <c r="AF19" s="179">
        <f t="shared" si="13"/>
        <v>0.19995181648454885</v>
      </c>
      <c r="AG19" s="839">
        <f t="shared" si="22"/>
        <v>-3</v>
      </c>
      <c r="AH19" s="178">
        <f t="shared" si="14"/>
        <v>3</v>
      </c>
      <c r="AI19" s="227">
        <f t="shared" si="15"/>
        <v>-2.8000481835154512</v>
      </c>
      <c r="AJ19" s="267" t="b">
        <f t="shared" si="16"/>
        <v>1</v>
      </c>
      <c r="AK19" s="267" t="b">
        <f t="shared" si="17"/>
        <v>0</v>
      </c>
      <c r="AL19" s="267"/>
      <c r="AM19" s="267"/>
      <c r="AN19" s="75"/>
    </row>
    <row r="20" spans="1:40" s="6" customFormat="1" ht="11.25" customHeight="1" x14ac:dyDescent="0.2">
      <c r="A20" s="56">
        <f t="shared" si="23"/>
        <v>43106</v>
      </c>
      <c r="B20" s="624"/>
      <c r="C20" s="881"/>
      <c r="D20" s="395"/>
      <c r="E20" s="387"/>
      <c r="F20" s="387"/>
      <c r="G20" s="110"/>
      <c r="I20" s="382">
        <f t="shared" si="0"/>
        <v>0</v>
      </c>
      <c r="J20" s="85">
        <v>2018</v>
      </c>
      <c r="K20" s="199">
        <f t="shared" si="1"/>
        <v>43106</v>
      </c>
      <c r="L20" s="439">
        <f t="shared" si="2"/>
        <v>0</v>
      </c>
      <c r="M20" s="883"/>
      <c r="N20" s="883"/>
      <c r="O20" s="326">
        <f t="shared" si="3"/>
        <v>0</v>
      </c>
      <c r="P20" s="171">
        <f>(INDEX(Models!$BJ20:$BT20,,T20)*(1-R20)+INDEX(Models!$BJ20:$BT20,,T20+1)*R20-ERP_i)*Q20*Ramure*Pc/MaxiM</f>
        <v>3.0571357864592667E-6</v>
      </c>
      <c r="Q20" s="307">
        <f t="shared" si="18"/>
        <v>0.9</v>
      </c>
      <c r="R20" s="179">
        <f t="shared" si="4"/>
        <v>0.20000000000000018</v>
      </c>
      <c r="S20" s="839">
        <f t="shared" si="19"/>
        <v>-3</v>
      </c>
      <c r="T20" s="178">
        <f t="shared" si="20"/>
        <v>3</v>
      </c>
      <c r="U20" s="253">
        <f t="shared" si="21"/>
        <v>-2.8</v>
      </c>
      <c r="V20" s="385">
        <f t="shared" si="5"/>
        <v>19.607115415941674</v>
      </c>
      <c r="W20" s="58"/>
      <c r="X20" s="157">
        <f t="shared" si="6"/>
        <v>43106</v>
      </c>
      <c r="Y20" s="387">
        <f t="shared" si="7"/>
        <v>0</v>
      </c>
      <c r="Z20" s="387">
        <f t="shared" si="8"/>
        <v>0</v>
      </c>
      <c r="AA20" s="388">
        <f t="shared" si="9"/>
        <v>0</v>
      </c>
      <c r="AB20" s="199">
        <f t="shared" si="10"/>
        <v>43106</v>
      </c>
      <c r="AC20" s="428">
        <f t="shared" si="11"/>
        <v>0</v>
      </c>
      <c r="AD20" s="171">
        <f>(INDEX(Models!$BJ20:$BT20,,AH20)*(1-AF20)+INDEX(Models!$BJ20:$BT20,,AH20+1)*AF20-ERP_i)*AE20*Ramure*Pc/MaxiM</f>
        <v>3.0571357864592667E-6</v>
      </c>
      <c r="AE20" s="307">
        <f t="shared" si="12"/>
        <v>0.9</v>
      </c>
      <c r="AF20" s="179">
        <f t="shared" si="13"/>
        <v>0.20000000000000018</v>
      </c>
      <c r="AG20" s="839">
        <f t="shared" si="22"/>
        <v>-3</v>
      </c>
      <c r="AH20" s="178">
        <f t="shared" si="14"/>
        <v>3</v>
      </c>
      <c r="AI20" s="227">
        <f t="shared" si="15"/>
        <v>-2.8</v>
      </c>
      <c r="AJ20" s="267" t="b">
        <f t="shared" si="16"/>
        <v>1</v>
      </c>
      <c r="AK20" s="267" t="b">
        <f t="shared" si="17"/>
        <v>0</v>
      </c>
      <c r="AL20" s="267"/>
      <c r="AM20" s="267"/>
      <c r="AN20" s="75"/>
    </row>
    <row r="21" spans="1:40" s="6" customFormat="1" ht="11.25" customHeight="1" x14ac:dyDescent="0.2">
      <c r="A21" s="56">
        <f t="shared" si="23"/>
        <v>43107</v>
      </c>
      <c r="B21" s="624"/>
      <c r="C21" s="881"/>
      <c r="D21" s="395"/>
      <c r="E21" s="387"/>
      <c r="F21" s="387"/>
      <c r="G21" s="110"/>
      <c r="I21" s="382">
        <f t="shared" si="0"/>
        <v>0</v>
      </c>
      <c r="J21" s="85">
        <v>2018</v>
      </c>
      <c r="K21" s="199">
        <f t="shared" si="1"/>
        <v>43107</v>
      </c>
      <c r="L21" s="439">
        <f t="shared" si="2"/>
        <v>0</v>
      </c>
      <c r="M21" s="883"/>
      <c r="N21" s="883"/>
      <c r="O21" s="326">
        <f t="shared" si="3"/>
        <v>0</v>
      </c>
      <c r="P21" s="171">
        <f>(INDEX(Models!$BJ21:$BT21,,T21)*(1-R21)+INDEX(Models!$BJ21:$BT21,,T21+1)*R21-ERP_i)*Q21*Ramure*Pc/MaxiM</f>
        <v>3.7474516929645806E-6</v>
      </c>
      <c r="Q21" s="307">
        <f t="shared" si="18"/>
        <v>0.9</v>
      </c>
      <c r="R21" s="179">
        <f t="shared" si="4"/>
        <v>0.2000501978554885</v>
      </c>
      <c r="S21" s="839">
        <f t="shared" si="19"/>
        <v>-3</v>
      </c>
      <c r="T21" s="178">
        <f t="shared" si="20"/>
        <v>3</v>
      </c>
      <c r="U21" s="253">
        <f t="shared" si="21"/>
        <v>-2.7999498021445115</v>
      </c>
      <c r="V21" s="385">
        <f t="shared" si="5"/>
        <v>19.783700022600829</v>
      </c>
      <c r="W21" s="58"/>
      <c r="X21" s="157">
        <f t="shared" si="6"/>
        <v>43107</v>
      </c>
      <c r="Y21" s="387">
        <f t="shared" si="7"/>
        <v>0</v>
      </c>
      <c r="Z21" s="387">
        <f t="shared" si="8"/>
        <v>0</v>
      </c>
      <c r="AA21" s="388">
        <f t="shared" si="9"/>
        <v>0</v>
      </c>
      <c r="AB21" s="199">
        <f t="shared" si="10"/>
        <v>43107</v>
      </c>
      <c r="AC21" s="428">
        <f t="shared" si="11"/>
        <v>0</v>
      </c>
      <c r="AD21" s="171">
        <f>(INDEX(Models!$BJ21:$BT21,,AH21)*(1-AF21)+INDEX(Models!$BJ21:$BT21,,AH21+1)*AF21-ERP_i)*AE21*Ramure*Pc/MaxiM</f>
        <v>3.7474516929645806E-6</v>
      </c>
      <c r="AE21" s="307">
        <f t="shared" si="12"/>
        <v>0.9</v>
      </c>
      <c r="AF21" s="179">
        <f t="shared" si="13"/>
        <v>0.2000501978554885</v>
      </c>
      <c r="AG21" s="839">
        <f t="shared" si="22"/>
        <v>-3</v>
      </c>
      <c r="AH21" s="178">
        <f t="shared" si="14"/>
        <v>3</v>
      </c>
      <c r="AI21" s="227">
        <f t="shared" si="15"/>
        <v>-2.7999498021445115</v>
      </c>
      <c r="AJ21" s="267" t="b">
        <f t="shared" si="16"/>
        <v>1</v>
      </c>
      <c r="AK21" s="267" t="b">
        <f t="shared" si="17"/>
        <v>0</v>
      </c>
      <c r="AL21" s="267"/>
      <c r="AM21" s="267"/>
      <c r="AN21" s="75"/>
    </row>
    <row r="22" spans="1:40" s="6" customFormat="1" ht="11.25" customHeight="1" x14ac:dyDescent="0.2">
      <c r="A22" s="56">
        <f t="shared" si="23"/>
        <v>43108</v>
      </c>
      <c r="B22" s="624"/>
      <c r="C22" s="881"/>
      <c r="D22" s="395"/>
      <c r="E22" s="387"/>
      <c r="F22" s="387"/>
      <c r="G22" s="110"/>
      <c r="I22" s="382">
        <f t="shared" si="0"/>
        <v>0</v>
      </c>
      <c r="J22" s="85">
        <v>2018</v>
      </c>
      <c r="K22" s="199">
        <f t="shared" si="1"/>
        <v>43108</v>
      </c>
      <c r="L22" s="439">
        <f t="shared" si="2"/>
        <v>0</v>
      </c>
      <c r="M22" s="883"/>
      <c r="N22" s="883"/>
      <c r="O22" s="326">
        <f t="shared" si="3"/>
        <v>0</v>
      </c>
      <c r="P22" s="171">
        <f>(INDEX(Models!$BJ22:$BT22,,T22)*(1-R22)+INDEX(Models!$BJ22:$BT22,,T22+1)*R22-ERP_i)*Q22*Ramure*Pc/MaxiM</f>
        <v>4.4694823053203502E-6</v>
      </c>
      <c r="Q22" s="307">
        <f t="shared" si="18"/>
        <v>0.9</v>
      </c>
      <c r="R22" s="179">
        <f t="shared" si="4"/>
        <v>0.20010249395388469</v>
      </c>
      <c r="S22" s="839">
        <f t="shared" si="19"/>
        <v>-3</v>
      </c>
      <c r="T22" s="178">
        <f t="shared" si="20"/>
        <v>3</v>
      </c>
      <c r="U22" s="253">
        <f t="shared" si="21"/>
        <v>-2.7998975060461153</v>
      </c>
      <c r="V22" s="385">
        <f t="shared" si="5"/>
        <v>19.967910754092582</v>
      </c>
      <c r="W22" s="58"/>
      <c r="X22" s="157">
        <f t="shared" si="6"/>
        <v>43108</v>
      </c>
      <c r="Y22" s="387">
        <f t="shared" si="7"/>
        <v>0</v>
      </c>
      <c r="Z22" s="387">
        <f t="shared" si="8"/>
        <v>0</v>
      </c>
      <c r="AA22" s="388">
        <f t="shared" si="9"/>
        <v>0</v>
      </c>
      <c r="AB22" s="199">
        <f t="shared" si="10"/>
        <v>43108</v>
      </c>
      <c r="AC22" s="428">
        <f t="shared" si="11"/>
        <v>0</v>
      </c>
      <c r="AD22" s="171">
        <f>(INDEX(Models!$BJ22:$BT22,,AH22)*(1-AF22)+INDEX(Models!$BJ22:$BT22,,AH22+1)*AF22-ERP_i)*AE22*Ramure*Pc/MaxiM</f>
        <v>4.4694823053203502E-6</v>
      </c>
      <c r="AE22" s="307">
        <f t="shared" si="12"/>
        <v>0.9</v>
      </c>
      <c r="AF22" s="179">
        <f t="shared" si="13"/>
        <v>0.20010249395388469</v>
      </c>
      <c r="AG22" s="839">
        <f t="shared" si="22"/>
        <v>-3</v>
      </c>
      <c r="AH22" s="178">
        <f t="shared" si="14"/>
        <v>3</v>
      </c>
      <c r="AI22" s="227">
        <f t="shared" si="15"/>
        <v>-2.7998975060461153</v>
      </c>
      <c r="AJ22" s="267" t="b">
        <f t="shared" si="16"/>
        <v>1</v>
      </c>
      <c r="AK22" s="267" t="b">
        <f t="shared" si="17"/>
        <v>0</v>
      </c>
      <c r="AL22" s="267"/>
      <c r="AM22" s="267"/>
      <c r="AN22" s="75"/>
    </row>
    <row r="23" spans="1:40" s="6" customFormat="1" ht="11.25" customHeight="1" x14ac:dyDescent="0.2">
      <c r="A23" s="56">
        <f t="shared" si="23"/>
        <v>43109</v>
      </c>
      <c r="B23" s="624"/>
      <c r="C23" s="881"/>
      <c r="D23" s="395"/>
      <c r="E23" s="387"/>
      <c r="F23" s="387"/>
      <c r="G23" s="110"/>
      <c r="I23" s="382">
        <f t="shared" si="0"/>
        <v>0</v>
      </c>
      <c r="J23" s="85">
        <v>2018</v>
      </c>
      <c r="K23" s="199">
        <f t="shared" si="1"/>
        <v>43109</v>
      </c>
      <c r="L23" s="439">
        <f t="shared" si="2"/>
        <v>0</v>
      </c>
      <c r="M23" s="883"/>
      <c r="N23" s="883"/>
      <c r="O23" s="326">
        <f t="shared" si="3"/>
        <v>0</v>
      </c>
      <c r="P23" s="171">
        <f>(INDEX(Models!$BJ23:$BT23,,T23)*(1-R23)+INDEX(Models!$BJ23:$BT23,,T23+1)*R23-ERP_i)*Q23*Ramure*Pc/MaxiM</f>
        <v>5.2245013022508213E-6</v>
      </c>
      <c r="Q23" s="307">
        <f t="shared" si="18"/>
        <v>0.9</v>
      </c>
      <c r="R23" s="179">
        <f t="shared" si="4"/>
        <v>0.20015697566653357</v>
      </c>
      <c r="S23" s="839">
        <f t="shared" si="19"/>
        <v>-3</v>
      </c>
      <c r="T23" s="178">
        <f t="shared" si="20"/>
        <v>3</v>
      </c>
      <c r="U23" s="253">
        <f t="shared" si="21"/>
        <v>-2.7998430243334664</v>
      </c>
      <c r="V23" s="385">
        <f t="shared" si="5"/>
        <v>20.161787318912342</v>
      </c>
      <c r="W23" s="58"/>
      <c r="X23" s="157">
        <f t="shared" si="6"/>
        <v>43109</v>
      </c>
      <c r="Y23" s="387">
        <f t="shared" si="7"/>
        <v>0</v>
      </c>
      <c r="Z23" s="387">
        <f t="shared" si="8"/>
        <v>0</v>
      </c>
      <c r="AA23" s="388">
        <f t="shared" si="9"/>
        <v>0</v>
      </c>
      <c r="AB23" s="199">
        <f t="shared" si="10"/>
        <v>43109</v>
      </c>
      <c r="AC23" s="428">
        <f t="shared" si="11"/>
        <v>0</v>
      </c>
      <c r="AD23" s="171">
        <f>(INDEX(Models!$BJ23:$BT23,,AH23)*(1-AF23)+INDEX(Models!$BJ23:$BT23,,AH23+1)*AF23-ERP_i)*AE23*Ramure*Pc/MaxiM</f>
        <v>5.2245013022508213E-6</v>
      </c>
      <c r="AE23" s="307">
        <f t="shared" si="12"/>
        <v>0.9</v>
      </c>
      <c r="AF23" s="179">
        <f t="shared" si="13"/>
        <v>0.20015697566653357</v>
      </c>
      <c r="AG23" s="839">
        <f t="shared" si="22"/>
        <v>-3</v>
      </c>
      <c r="AH23" s="178">
        <f t="shared" si="14"/>
        <v>3</v>
      </c>
      <c r="AI23" s="227">
        <f t="shared" si="15"/>
        <v>-2.7998430243334664</v>
      </c>
      <c r="AJ23" s="267" t="b">
        <f t="shared" si="16"/>
        <v>1</v>
      </c>
      <c r="AK23" s="267" t="b">
        <f t="shared" si="17"/>
        <v>0</v>
      </c>
      <c r="AL23" s="267"/>
      <c r="AM23" s="267"/>
      <c r="AN23" s="75"/>
    </row>
    <row r="24" spans="1:40" s="6" customFormat="1" ht="11.25" customHeight="1" x14ac:dyDescent="0.2">
      <c r="A24" s="56">
        <f t="shared" si="23"/>
        <v>43110</v>
      </c>
      <c r="B24" s="624"/>
      <c r="C24" s="881"/>
      <c r="D24" s="395"/>
      <c r="E24" s="387"/>
      <c r="F24" s="387"/>
      <c r="G24" s="110"/>
      <c r="I24" s="382">
        <f t="shared" si="0"/>
        <v>0</v>
      </c>
      <c r="J24" s="85">
        <v>2018</v>
      </c>
      <c r="K24" s="199">
        <f t="shared" si="1"/>
        <v>43110</v>
      </c>
      <c r="L24" s="439">
        <f t="shared" si="2"/>
        <v>0</v>
      </c>
      <c r="M24" s="883"/>
      <c r="N24" s="883"/>
      <c r="O24" s="326">
        <f t="shared" si="3"/>
        <v>0</v>
      </c>
      <c r="P24" s="171">
        <f>(INDEX(Models!$BJ24:$BT24,,T24)*(1-R24)+INDEX(Models!$BJ24:$BT24,,T24+1)*R24-ERP_i)*Q24*Ramure*Pc/MaxiM</f>
        <v>6.0098385893859723E-6</v>
      </c>
      <c r="Q24" s="307">
        <f t="shared" si="18"/>
        <v>0.9</v>
      </c>
      <c r="R24" s="179">
        <f t="shared" si="4"/>
        <v>0.20021373397439124</v>
      </c>
      <c r="S24" s="839">
        <f t="shared" si="19"/>
        <v>-3</v>
      </c>
      <c r="T24" s="178">
        <f t="shared" si="20"/>
        <v>3</v>
      </c>
      <c r="U24" s="253">
        <f t="shared" si="21"/>
        <v>-2.7997862660256088</v>
      </c>
      <c r="V24" s="385">
        <f t="shared" si="5"/>
        <v>20.367051265209472</v>
      </c>
      <c r="W24" s="58"/>
      <c r="X24" s="157">
        <f t="shared" si="6"/>
        <v>43110</v>
      </c>
      <c r="Y24" s="387">
        <f t="shared" si="7"/>
        <v>0</v>
      </c>
      <c r="Z24" s="387">
        <f t="shared" si="8"/>
        <v>0</v>
      </c>
      <c r="AA24" s="388">
        <f t="shared" si="9"/>
        <v>0</v>
      </c>
      <c r="AB24" s="199">
        <f t="shared" si="10"/>
        <v>43110</v>
      </c>
      <c r="AC24" s="428">
        <f t="shared" si="11"/>
        <v>0</v>
      </c>
      <c r="AD24" s="171">
        <f>(INDEX(Models!$BJ24:$BT24,,AH24)*(1-AF24)+INDEX(Models!$BJ24:$BT24,,AH24+1)*AF24-ERP_i)*AE24*Ramure*Pc/MaxiM</f>
        <v>6.0098385893859723E-6</v>
      </c>
      <c r="AE24" s="307">
        <f t="shared" si="12"/>
        <v>0.9</v>
      </c>
      <c r="AF24" s="179">
        <f t="shared" si="13"/>
        <v>0.20021373397439124</v>
      </c>
      <c r="AG24" s="839">
        <f t="shared" si="22"/>
        <v>-3</v>
      </c>
      <c r="AH24" s="178">
        <f t="shared" si="14"/>
        <v>3</v>
      </c>
      <c r="AI24" s="227">
        <f t="shared" si="15"/>
        <v>-2.7997862660256088</v>
      </c>
      <c r="AJ24" s="267" t="b">
        <f t="shared" si="16"/>
        <v>1</v>
      </c>
      <c r="AK24" s="267" t="b">
        <f t="shared" si="17"/>
        <v>0</v>
      </c>
      <c r="AL24" s="267"/>
      <c r="AM24" s="267"/>
      <c r="AN24" s="75"/>
    </row>
    <row r="25" spans="1:40" s="6" customFormat="1" ht="11.25" customHeight="1" x14ac:dyDescent="0.2">
      <c r="A25" s="56">
        <f t="shared" si="23"/>
        <v>43111</v>
      </c>
      <c r="B25" s="624"/>
      <c r="C25" s="881"/>
      <c r="D25" s="395"/>
      <c r="E25" s="387"/>
      <c r="F25" s="387"/>
      <c r="G25" s="110"/>
      <c r="I25" s="382">
        <f t="shared" si="0"/>
        <v>0</v>
      </c>
      <c r="J25" s="85">
        <v>2018</v>
      </c>
      <c r="K25" s="199">
        <f t="shared" si="1"/>
        <v>43111</v>
      </c>
      <c r="L25" s="439">
        <f t="shared" si="2"/>
        <v>0</v>
      </c>
      <c r="M25" s="883"/>
      <c r="N25" s="883"/>
      <c r="O25" s="326">
        <f t="shared" si="3"/>
        <v>0</v>
      </c>
      <c r="P25" s="171">
        <f>(INDEX(Models!$BJ25:$BT25,,T25)*(1-R25)+INDEX(Models!$BJ25:$BT25,,T25+1)*R25-ERP_i)*Q25*Ramure*Pc/MaxiM</f>
        <v>6.823761843351309E-6</v>
      </c>
      <c r="Q25" s="307">
        <f t="shared" si="18"/>
        <v>0.9</v>
      </c>
      <c r="R25" s="179">
        <f t="shared" si="4"/>
        <v>0.20027286361470331</v>
      </c>
      <c r="S25" s="839">
        <f t="shared" si="19"/>
        <v>-3</v>
      </c>
      <c r="T25" s="178">
        <f t="shared" si="20"/>
        <v>3</v>
      </c>
      <c r="U25" s="253">
        <f t="shared" si="21"/>
        <v>-2.7997271363852967</v>
      </c>
      <c r="V25" s="385">
        <f t="shared" si="5"/>
        <v>20.582962921047859</v>
      </c>
      <c r="W25" s="58"/>
      <c r="X25" s="157">
        <f t="shared" si="6"/>
        <v>43111</v>
      </c>
      <c r="Y25" s="387">
        <f t="shared" si="7"/>
        <v>0</v>
      </c>
      <c r="Z25" s="387">
        <f t="shared" si="8"/>
        <v>0</v>
      </c>
      <c r="AA25" s="388">
        <f t="shared" si="9"/>
        <v>0</v>
      </c>
      <c r="AB25" s="199">
        <f t="shared" si="10"/>
        <v>43111</v>
      </c>
      <c r="AC25" s="428">
        <f t="shared" si="11"/>
        <v>0</v>
      </c>
      <c r="AD25" s="171">
        <f>(INDEX(Models!$BJ25:$BT25,,AH25)*(1-AF25)+INDEX(Models!$BJ25:$BT25,,AH25+1)*AF25-ERP_i)*AE25*Ramure*Pc/MaxiM</f>
        <v>6.823761843351309E-6</v>
      </c>
      <c r="AE25" s="307">
        <f t="shared" si="12"/>
        <v>0.9</v>
      </c>
      <c r="AF25" s="179">
        <f t="shared" si="13"/>
        <v>0.20027286361470331</v>
      </c>
      <c r="AG25" s="839">
        <f t="shared" si="22"/>
        <v>-3</v>
      </c>
      <c r="AH25" s="178">
        <f t="shared" si="14"/>
        <v>3</v>
      </c>
      <c r="AI25" s="227">
        <f t="shared" si="15"/>
        <v>-2.7997271363852967</v>
      </c>
      <c r="AJ25" s="267" t="b">
        <f t="shared" si="16"/>
        <v>1</v>
      </c>
      <c r="AK25" s="267" t="b">
        <f t="shared" si="17"/>
        <v>0</v>
      </c>
      <c r="AL25" s="267"/>
      <c r="AM25" s="267"/>
      <c r="AN25" s="75"/>
    </row>
    <row r="26" spans="1:40" s="6" customFormat="1" ht="11.25" customHeight="1" x14ac:dyDescent="0.2">
      <c r="A26" s="56">
        <f t="shared" si="23"/>
        <v>43112</v>
      </c>
      <c r="B26" s="624"/>
      <c r="C26" s="881"/>
      <c r="D26" s="395"/>
      <c r="E26" s="387"/>
      <c r="F26" s="387"/>
      <c r="G26" s="110"/>
      <c r="I26" s="382">
        <f t="shared" si="0"/>
        <v>0</v>
      </c>
      <c r="J26" s="85">
        <v>2018</v>
      </c>
      <c r="K26" s="199">
        <f t="shared" si="1"/>
        <v>43112</v>
      </c>
      <c r="L26" s="439">
        <f t="shared" si="2"/>
        <v>0</v>
      </c>
      <c r="M26" s="883"/>
      <c r="N26" s="883"/>
      <c r="O26" s="326">
        <f t="shared" si="3"/>
        <v>0</v>
      </c>
      <c r="P26" s="171">
        <f>(INDEX(Models!$BJ26:$BT26,,T26)*(1-R26)+INDEX(Models!$BJ26:$BT26,,T26+1)*R26-ERP_i)*Q26*Ramure*Pc/MaxiM</f>
        <v>7.6660225504370688E-6</v>
      </c>
      <c r="Q26" s="307">
        <f t="shared" si="18"/>
        <v>0.9</v>
      </c>
      <c r="R26" s="179">
        <f t="shared" si="4"/>
        <v>0.20033446323344295</v>
      </c>
      <c r="S26" s="839">
        <f t="shared" si="19"/>
        <v>-3</v>
      </c>
      <c r="T26" s="178">
        <f t="shared" si="20"/>
        <v>3</v>
      </c>
      <c r="U26" s="253">
        <f t="shared" si="21"/>
        <v>-2.7996655367665571</v>
      </c>
      <c r="V26" s="385">
        <f t="shared" si="5"/>
        <v>20.808782592422986</v>
      </c>
      <c r="W26" s="58"/>
      <c r="X26" s="157">
        <f t="shared" si="6"/>
        <v>43112</v>
      </c>
      <c r="Y26" s="387">
        <f t="shared" si="7"/>
        <v>0</v>
      </c>
      <c r="Z26" s="387">
        <f t="shared" si="8"/>
        <v>0</v>
      </c>
      <c r="AA26" s="388">
        <f t="shared" si="9"/>
        <v>0</v>
      </c>
      <c r="AB26" s="199">
        <f t="shared" si="10"/>
        <v>43112</v>
      </c>
      <c r="AC26" s="428">
        <f t="shared" si="11"/>
        <v>0</v>
      </c>
      <c r="AD26" s="171">
        <f>(INDEX(Models!$BJ26:$BT26,,AH26)*(1-AF26)+INDEX(Models!$BJ26:$BT26,,AH26+1)*AF26-ERP_i)*AE26*Ramure*Pc/MaxiM</f>
        <v>7.6660225504370688E-6</v>
      </c>
      <c r="AE26" s="307">
        <f t="shared" si="12"/>
        <v>0.9</v>
      </c>
      <c r="AF26" s="179">
        <f t="shared" si="13"/>
        <v>0.20033446323344295</v>
      </c>
      <c r="AG26" s="839">
        <f t="shared" si="22"/>
        <v>-3</v>
      </c>
      <c r="AH26" s="178">
        <f t="shared" si="14"/>
        <v>3</v>
      </c>
      <c r="AI26" s="227">
        <f t="shared" si="15"/>
        <v>-2.7996655367665571</v>
      </c>
      <c r="AJ26" s="267" t="b">
        <f t="shared" si="16"/>
        <v>1</v>
      </c>
      <c r="AK26" s="267" t="b">
        <f t="shared" si="17"/>
        <v>0</v>
      </c>
      <c r="AL26" s="267"/>
      <c r="AM26" s="267"/>
      <c r="AN26" s="75"/>
    </row>
    <row r="27" spans="1:40" s="6" customFormat="1" ht="11.25" customHeight="1" x14ac:dyDescent="0.2">
      <c r="A27" s="56">
        <f t="shared" si="23"/>
        <v>43113</v>
      </c>
      <c r="B27" s="624"/>
      <c r="C27" s="881"/>
      <c r="D27" s="395"/>
      <c r="E27" s="387"/>
      <c r="F27" s="387"/>
      <c r="G27" s="110"/>
      <c r="I27" s="382">
        <f t="shared" si="0"/>
        <v>0</v>
      </c>
      <c r="J27" s="85">
        <v>2018</v>
      </c>
      <c r="K27" s="199">
        <f t="shared" si="1"/>
        <v>43113</v>
      </c>
      <c r="L27" s="439">
        <f t="shared" si="2"/>
        <v>0</v>
      </c>
      <c r="M27" s="883"/>
      <c r="N27" s="883"/>
      <c r="O27" s="326">
        <f t="shared" si="3"/>
        <v>0</v>
      </c>
      <c r="P27" s="171">
        <f>(INDEX(Models!$BJ27:$BT27,,T27)*(1-R27)+INDEX(Models!$BJ27:$BT27,,T27+1)*R27-ERP_i)*Q27*Ramure*Pc/MaxiM</f>
        <v>8.5364565372692783E-6</v>
      </c>
      <c r="Q27" s="307">
        <f t="shared" si="18"/>
        <v>0.9</v>
      </c>
      <c r="R27" s="179">
        <f t="shared" si="4"/>
        <v>0.20039863554369974</v>
      </c>
      <c r="S27" s="839">
        <f t="shared" si="19"/>
        <v>-3</v>
      </c>
      <c r="T27" s="178">
        <f t="shared" si="20"/>
        <v>3</v>
      </c>
      <c r="U27" s="253">
        <f t="shared" si="21"/>
        <v>-2.7996013644563003</v>
      </c>
      <c r="V27" s="385">
        <f t="shared" si="5"/>
        <v>21.043770575173575</v>
      </c>
      <c r="W27" s="58"/>
      <c r="X27" s="157">
        <f t="shared" si="6"/>
        <v>43113</v>
      </c>
      <c r="Y27" s="387">
        <f t="shared" si="7"/>
        <v>0</v>
      </c>
      <c r="Z27" s="387">
        <f t="shared" si="8"/>
        <v>0</v>
      </c>
      <c r="AA27" s="388">
        <f t="shared" si="9"/>
        <v>0</v>
      </c>
      <c r="AB27" s="199">
        <f t="shared" si="10"/>
        <v>43113</v>
      </c>
      <c r="AC27" s="428">
        <f t="shared" si="11"/>
        <v>0</v>
      </c>
      <c r="AD27" s="171">
        <f>(INDEX(Models!$BJ27:$BT27,,AH27)*(1-AF27)+INDEX(Models!$BJ27:$BT27,,AH27+1)*AF27-ERP_i)*AE27*Ramure*Pc/MaxiM</f>
        <v>8.5364565372692783E-6</v>
      </c>
      <c r="AE27" s="307">
        <f t="shared" si="12"/>
        <v>0.9</v>
      </c>
      <c r="AF27" s="179">
        <f t="shared" si="13"/>
        <v>0.20039863554369974</v>
      </c>
      <c r="AG27" s="839">
        <f t="shared" si="22"/>
        <v>-3</v>
      </c>
      <c r="AH27" s="178">
        <f t="shared" si="14"/>
        <v>3</v>
      </c>
      <c r="AI27" s="227">
        <f t="shared" si="15"/>
        <v>-2.7996013644563003</v>
      </c>
      <c r="AJ27" s="267" t="b">
        <f t="shared" si="16"/>
        <v>1</v>
      </c>
      <c r="AK27" s="267" t="b">
        <f t="shared" si="17"/>
        <v>0</v>
      </c>
      <c r="AL27" s="267"/>
      <c r="AM27" s="267"/>
      <c r="AN27" s="75"/>
    </row>
    <row r="28" spans="1:40" s="6" customFormat="1" ht="11.25" customHeight="1" x14ac:dyDescent="0.2">
      <c r="A28" s="56">
        <f t="shared" si="23"/>
        <v>43114</v>
      </c>
      <c r="B28" s="624"/>
      <c r="C28" s="881"/>
      <c r="D28" s="395"/>
      <c r="E28" s="387"/>
      <c r="F28" s="387"/>
      <c r="G28" s="110"/>
      <c r="I28" s="382">
        <f t="shared" si="0"/>
        <v>0</v>
      </c>
      <c r="J28" s="85">
        <v>2018</v>
      </c>
      <c r="K28" s="199">
        <f t="shared" si="1"/>
        <v>43114</v>
      </c>
      <c r="L28" s="439">
        <f t="shared" si="2"/>
        <v>0</v>
      </c>
      <c r="M28" s="883"/>
      <c r="N28" s="883"/>
      <c r="O28" s="326">
        <f t="shared" si="3"/>
        <v>0</v>
      </c>
      <c r="P28" s="171">
        <f>(INDEX(Models!$BJ28:$BT28,,T28)*(1-R28)+INDEX(Models!$BJ28:$BT28,,T28+1)*R28-ERP_i)*Q28*Ramure*Pc/MaxiM</f>
        <v>9.4349894125170683E-6</v>
      </c>
      <c r="Q28" s="307">
        <f t="shared" si="18"/>
        <v>0.9</v>
      </c>
      <c r="R28" s="179">
        <f t="shared" si="4"/>
        <v>0.20046548749024495</v>
      </c>
      <c r="S28" s="839">
        <f t="shared" si="19"/>
        <v>-3</v>
      </c>
      <c r="T28" s="178">
        <f t="shared" si="20"/>
        <v>3</v>
      </c>
      <c r="U28" s="253">
        <f t="shared" si="21"/>
        <v>-2.799534512509755</v>
      </c>
      <c r="V28" s="385">
        <f t="shared" si="5"/>
        <v>21.287187174153956</v>
      </c>
      <c r="W28" s="58"/>
      <c r="X28" s="157">
        <f t="shared" si="6"/>
        <v>43114</v>
      </c>
      <c r="Y28" s="387">
        <f t="shared" si="7"/>
        <v>0</v>
      </c>
      <c r="Z28" s="387">
        <f t="shared" si="8"/>
        <v>0</v>
      </c>
      <c r="AA28" s="388">
        <f t="shared" si="9"/>
        <v>0</v>
      </c>
      <c r="AB28" s="199">
        <f t="shared" si="10"/>
        <v>43114</v>
      </c>
      <c r="AC28" s="428">
        <f t="shared" si="11"/>
        <v>0</v>
      </c>
      <c r="AD28" s="171">
        <f>(INDEX(Models!$BJ28:$BT28,,AH28)*(1-AF28)+INDEX(Models!$BJ28:$BT28,,AH28+1)*AF28-ERP_i)*AE28*Ramure*Pc/MaxiM</f>
        <v>9.4349894125170683E-6</v>
      </c>
      <c r="AE28" s="307">
        <f t="shared" si="12"/>
        <v>0.9</v>
      </c>
      <c r="AF28" s="179">
        <f t="shared" si="13"/>
        <v>0.20046548749024495</v>
      </c>
      <c r="AG28" s="839">
        <f t="shared" si="22"/>
        <v>-3</v>
      </c>
      <c r="AH28" s="178">
        <f t="shared" si="14"/>
        <v>3</v>
      </c>
      <c r="AI28" s="227">
        <f t="shared" si="15"/>
        <v>-2.799534512509755</v>
      </c>
      <c r="AJ28" s="267" t="b">
        <f t="shared" si="16"/>
        <v>1</v>
      </c>
      <c r="AK28" s="267" t="b">
        <f t="shared" si="17"/>
        <v>0</v>
      </c>
      <c r="AL28" s="267"/>
      <c r="AM28" s="267"/>
      <c r="AN28" s="75"/>
    </row>
    <row r="29" spans="1:40" s="6" customFormat="1" ht="11.25" customHeight="1" x14ac:dyDescent="0.2">
      <c r="A29" s="56">
        <f t="shared" si="23"/>
        <v>43115</v>
      </c>
      <c r="B29" s="624"/>
      <c r="C29" s="881"/>
      <c r="D29" s="395"/>
      <c r="E29" s="387"/>
      <c r="F29" s="387"/>
      <c r="G29" s="110"/>
      <c r="I29" s="382">
        <f t="shared" si="0"/>
        <v>0</v>
      </c>
      <c r="J29" s="85">
        <v>2018</v>
      </c>
      <c r="K29" s="199">
        <f t="shared" si="1"/>
        <v>43115</v>
      </c>
      <c r="L29" s="439">
        <f t="shared" si="2"/>
        <v>0</v>
      </c>
      <c r="M29" s="883"/>
      <c r="N29" s="883"/>
      <c r="O29" s="326">
        <f t="shared" si="3"/>
        <v>0</v>
      </c>
      <c r="P29" s="171">
        <f>(INDEX(Models!$BJ29:$BT29,,T29)*(1-R29)+INDEX(Models!$BJ29:$BT29,,T29+1)*R29-ERP_i)*Q29*Ramure*Pc/MaxiM</f>
        <v>1.0361640881883173E-5</v>
      </c>
      <c r="Q29" s="307">
        <f t="shared" si="18"/>
        <v>0.9</v>
      </c>
      <c r="R29" s="179">
        <f t="shared" si="4"/>
        <v>0.20053513042048632</v>
      </c>
      <c r="S29" s="839">
        <f t="shared" si="19"/>
        <v>-3</v>
      </c>
      <c r="T29" s="178">
        <f t="shared" si="20"/>
        <v>3</v>
      </c>
      <c r="U29" s="253">
        <f t="shared" si="21"/>
        <v>-2.7994648695795137</v>
      </c>
      <c r="V29" s="385">
        <f t="shared" si="5"/>
        <v>21.538292686220885</v>
      </c>
      <c r="W29" s="58"/>
      <c r="X29" s="157">
        <f t="shared" si="6"/>
        <v>43115</v>
      </c>
      <c r="Y29" s="387">
        <f t="shared" si="7"/>
        <v>0</v>
      </c>
      <c r="Z29" s="387">
        <f t="shared" si="8"/>
        <v>0</v>
      </c>
      <c r="AA29" s="388">
        <f t="shared" si="9"/>
        <v>0</v>
      </c>
      <c r="AB29" s="199">
        <f t="shared" si="10"/>
        <v>43115</v>
      </c>
      <c r="AC29" s="428">
        <f t="shared" si="11"/>
        <v>0</v>
      </c>
      <c r="AD29" s="171">
        <f>(INDEX(Models!$BJ29:$BT29,,AH29)*(1-AF29)+INDEX(Models!$BJ29:$BT29,,AH29+1)*AF29-ERP_i)*AE29*Ramure*Pc/MaxiM</f>
        <v>1.0361640881883173E-5</v>
      </c>
      <c r="AE29" s="307">
        <f t="shared" si="12"/>
        <v>0.9</v>
      </c>
      <c r="AF29" s="179">
        <f t="shared" si="13"/>
        <v>0.20053513042048632</v>
      </c>
      <c r="AG29" s="839">
        <f t="shared" si="22"/>
        <v>-3</v>
      </c>
      <c r="AH29" s="178">
        <f t="shared" si="14"/>
        <v>3</v>
      </c>
      <c r="AI29" s="227">
        <f t="shared" si="15"/>
        <v>-2.7994648695795137</v>
      </c>
      <c r="AJ29" s="267" t="b">
        <f t="shared" si="16"/>
        <v>1</v>
      </c>
      <c r="AK29" s="267" t="b">
        <f t="shared" si="17"/>
        <v>0</v>
      </c>
      <c r="AL29" s="267"/>
      <c r="AM29" s="267"/>
      <c r="AN29" s="75"/>
    </row>
    <row r="30" spans="1:40" s="6" customFormat="1" ht="11.25" customHeight="1" x14ac:dyDescent="0.2">
      <c r="A30" s="56">
        <f t="shared" si="23"/>
        <v>43116</v>
      </c>
      <c r="B30" s="624"/>
      <c r="C30" s="881"/>
      <c r="D30" s="395"/>
      <c r="E30" s="387"/>
      <c r="F30" s="387"/>
      <c r="G30" s="110"/>
      <c r="I30" s="382">
        <f t="shared" si="0"/>
        <v>0</v>
      </c>
      <c r="J30" s="85">
        <v>2018</v>
      </c>
      <c r="K30" s="199">
        <f t="shared" si="1"/>
        <v>43116</v>
      </c>
      <c r="L30" s="439">
        <f t="shared" si="2"/>
        <v>0</v>
      </c>
      <c r="M30" s="883"/>
      <c r="N30" s="883"/>
      <c r="O30" s="326">
        <f t="shared" si="3"/>
        <v>0</v>
      </c>
      <c r="P30" s="171">
        <f>(INDEX(Models!$BJ30:$BT30,,T30)*(1-R30)+INDEX(Models!$BJ30:$BT30,,T30+1)*R30-ERP_i)*Q30*Ramure*Pc/MaxiM</f>
        <v>1.1292150047489642E-5</v>
      </c>
      <c r="Q30" s="307">
        <f t="shared" si="18"/>
        <v>0.9</v>
      </c>
      <c r="R30" s="179">
        <f t="shared" si="4"/>
        <v>0.20060768026203668</v>
      </c>
      <c r="S30" s="839">
        <f t="shared" si="19"/>
        <v>-3</v>
      </c>
      <c r="T30" s="178">
        <f t="shared" si="20"/>
        <v>3</v>
      </c>
      <c r="U30" s="253">
        <f t="shared" si="21"/>
        <v>-2.7993923197379633</v>
      </c>
      <c r="V30" s="385">
        <f t="shared" si="5"/>
        <v>21.796347946086374</v>
      </c>
      <c r="W30" s="58"/>
      <c r="X30" s="157">
        <f t="shared" si="6"/>
        <v>43116</v>
      </c>
      <c r="Y30" s="387">
        <f t="shared" si="7"/>
        <v>0</v>
      </c>
      <c r="Z30" s="387">
        <f t="shared" si="8"/>
        <v>0</v>
      </c>
      <c r="AA30" s="388">
        <f t="shared" si="9"/>
        <v>0</v>
      </c>
      <c r="AB30" s="199">
        <f t="shared" si="10"/>
        <v>43116</v>
      </c>
      <c r="AC30" s="428">
        <f t="shared" si="11"/>
        <v>0</v>
      </c>
      <c r="AD30" s="171">
        <f>(INDEX(Models!$BJ30:$BT30,,AH30)*(1-AF30)+INDEX(Models!$BJ30:$BT30,,AH30+1)*AF30-ERP_i)*AE30*Ramure*Pc/MaxiM</f>
        <v>1.1292150047489642E-5</v>
      </c>
      <c r="AE30" s="307">
        <f t="shared" si="12"/>
        <v>0.9</v>
      </c>
      <c r="AF30" s="179">
        <f t="shared" si="13"/>
        <v>0.20060768026203668</v>
      </c>
      <c r="AG30" s="839">
        <f t="shared" si="22"/>
        <v>-3</v>
      </c>
      <c r="AH30" s="178">
        <f t="shared" si="14"/>
        <v>3</v>
      </c>
      <c r="AI30" s="227">
        <f t="shared" si="15"/>
        <v>-2.7993923197379633</v>
      </c>
      <c r="AJ30" s="267" t="b">
        <f t="shared" si="16"/>
        <v>1</v>
      </c>
      <c r="AK30" s="267" t="b">
        <f t="shared" si="17"/>
        <v>0</v>
      </c>
      <c r="AL30" s="267"/>
      <c r="AM30" s="267"/>
      <c r="AN30" s="75"/>
    </row>
    <row r="31" spans="1:40" s="6" customFormat="1" ht="11.25" x14ac:dyDescent="0.2">
      <c r="A31" s="56">
        <f t="shared" si="23"/>
        <v>43117</v>
      </c>
      <c r="B31" s="624"/>
      <c r="C31" s="881"/>
      <c r="D31" s="395"/>
      <c r="E31" s="387"/>
      <c r="F31" s="387"/>
      <c r="G31" s="110"/>
      <c r="I31" s="382">
        <f t="shared" si="0"/>
        <v>0</v>
      </c>
      <c r="J31" s="85">
        <v>2018</v>
      </c>
      <c r="K31" s="199">
        <f t="shared" si="1"/>
        <v>43117</v>
      </c>
      <c r="L31" s="439">
        <f t="shared" si="2"/>
        <v>0</v>
      </c>
      <c r="M31" s="883"/>
      <c r="N31" s="883"/>
      <c r="O31" s="326">
        <f t="shared" si="3"/>
        <v>0</v>
      </c>
      <c r="P31" s="171">
        <f>(INDEX(Models!$BJ31:$BT31,,T31)*(1-R31)+INDEX(Models!$BJ31:$BT31,,T31+1)*R31-ERP_i)*Q31*Ramure*Pc/MaxiM</f>
        <v>1.2217298602021585E-5</v>
      </c>
      <c r="Q31" s="307">
        <f t="shared" si="18"/>
        <v>0.9</v>
      </c>
      <c r="R31" s="179">
        <f t="shared" si="4"/>
        <v>0.20068325770713269</v>
      </c>
      <c r="S31" s="839">
        <f t="shared" si="19"/>
        <v>-3</v>
      </c>
      <c r="T31" s="178">
        <f t="shared" si="20"/>
        <v>3</v>
      </c>
      <c r="U31" s="253">
        <f t="shared" si="21"/>
        <v>-2.7993167422928673</v>
      </c>
      <c r="V31" s="385">
        <f t="shared" si="5"/>
        <v>22.060613475140087</v>
      </c>
      <c r="W31" s="58"/>
      <c r="X31" s="157">
        <f t="shared" si="6"/>
        <v>43117</v>
      </c>
      <c r="Y31" s="387">
        <f t="shared" si="7"/>
        <v>0</v>
      </c>
      <c r="Z31" s="387">
        <f t="shared" si="8"/>
        <v>0</v>
      </c>
      <c r="AA31" s="388">
        <f t="shared" si="9"/>
        <v>0</v>
      </c>
      <c r="AB31" s="199">
        <f t="shared" si="10"/>
        <v>43117</v>
      </c>
      <c r="AC31" s="428">
        <f t="shared" si="11"/>
        <v>0</v>
      </c>
      <c r="AD31" s="171">
        <f>(INDEX(Models!$BJ31:$BT31,,AH31)*(1-AF31)+INDEX(Models!$BJ31:$BT31,,AH31+1)*AF31-ERP_i)*AE31*Ramure*Pc/MaxiM</f>
        <v>1.2217298602021585E-5</v>
      </c>
      <c r="AE31" s="307">
        <f t="shared" si="12"/>
        <v>0.9</v>
      </c>
      <c r="AF31" s="179">
        <f t="shared" si="13"/>
        <v>0.20068325770713269</v>
      </c>
      <c r="AG31" s="839">
        <f t="shared" si="22"/>
        <v>-3</v>
      </c>
      <c r="AH31" s="178">
        <f t="shared" si="14"/>
        <v>3</v>
      </c>
      <c r="AI31" s="227">
        <f t="shared" si="15"/>
        <v>-2.7993167422928673</v>
      </c>
      <c r="AJ31" s="267" t="b">
        <f t="shared" si="16"/>
        <v>1</v>
      </c>
      <c r="AK31" s="267" t="b">
        <f t="shared" si="17"/>
        <v>0</v>
      </c>
      <c r="AL31" s="267"/>
      <c r="AM31" s="267"/>
      <c r="AN31" s="75"/>
    </row>
    <row r="32" spans="1:40" s="6" customFormat="1" ht="11.25" customHeight="1" x14ac:dyDescent="0.2">
      <c r="A32" s="56">
        <f t="shared" si="23"/>
        <v>43118</v>
      </c>
      <c r="B32" s="624"/>
      <c r="C32" s="881"/>
      <c r="D32" s="395"/>
      <c r="E32" s="387"/>
      <c r="F32" s="387"/>
      <c r="G32" s="110"/>
      <c r="I32" s="382">
        <f t="shared" si="0"/>
        <v>0</v>
      </c>
      <c r="J32" s="85">
        <v>2018</v>
      </c>
      <c r="K32" s="199">
        <f t="shared" si="1"/>
        <v>43118</v>
      </c>
      <c r="L32" s="439">
        <f t="shared" si="2"/>
        <v>0</v>
      </c>
      <c r="M32" s="883"/>
      <c r="N32" s="883"/>
      <c r="O32" s="326">
        <f t="shared" si="3"/>
        <v>0</v>
      </c>
      <c r="P32" s="171">
        <f>(INDEX(Models!$BJ32:$BT32,,T32)*(1-R32)+INDEX(Models!$BJ32:$BT32,,T32+1)*R32-ERP_i)*Q32*Ramure*Pc/MaxiM</f>
        <v>1.3130634750746381E-5</v>
      </c>
      <c r="Q32" s="307">
        <f t="shared" si="18"/>
        <v>0.9</v>
      </c>
      <c r="R32" s="179">
        <f t="shared" si="4"/>
        <v>0.20076198840413095</v>
      </c>
      <c r="S32" s="839">
        <f t="shared" si="19"/>
        <v>-3</v>
      </c>
      <c r="T32" s="178">
        <f t="shared" si="20"/>
        <v>3</v>
      </c>
      <c r="U32" s="253">
        <f t="shared" si="21"/>
        <v>-2.799238011595869</v>
      </c>
      <c r="V32" s="385">
        <f t="shared" si="5"/>
        <v>22.330349751515985</v>
      </c>
      <c r="W32" s="58"/>
      <c r="X32" s="157">
        <f t="shared" si="6"/>
        <v>43118</v>
      </c>
      <c r="Y32" s="387">
        <f t="shared" si="7"/>
        <v>0</v>
      </c>
      <c r="Z32" s="387">
        <f t="shared" si="8"/>
        <v>0</v>
      </c>
      <c r="AA32" s="388">
        <f t="shared" si="9"/>
        <v>0</v>
      </c>
      <c r="AB32" s="199">
        <f t="shared" si="10"/>
        <v>43118</v>
      </c>
      <c r="AC32" s="428">
        <f t="shared" si="11"/>
        <v>0</v>
      </c>
      <c r="AD32" s="171">
        <f>(INDEX(Models!$BJ32:$BT32,,AH32)*(1-AF32)+INDEX(Models!$BJ32:$BT32,,AH32+1)*AF32-ERP_i)*AE32*Ramure*Pc/MaxiM</f>
        <v>1.3130634750746381E-5</v>
      </c>
      <c r="AE32" s="307">
        <f t="shared" si="12"/>
        <v>0.9</v>
      </c>
      <c r="AF32" s="179">
        <f t="shared" si="13"/>
        <v>0.20076198840413095</v>
      </c>
      <c r="AG32" s="839">
        <f t="shared" si="22"/>
        <v>-3</v>
      </c>
      <c r="AH32" s="178">
        <f t="shared" si="14"/>
        <v>3</v>
      </c>
      <c r="AI32" s="227">
        <f t="shared" si="15"/>
        <v>-2.799238011595869</v>
      </c>
      <c r="AJ32" s="267" t="b">
        <f t="shared" si="16"/>
        <v>1</v>
      </c>
      <c r="AK32" s="267" t="b">
        <f t="shared" si="17"/>
        <v>0</v>
      </c>
      <c r="AL32" s="267"/>
      <c r="AM32" s="267"/>
      <c r="AN32" s="75"/>
    </row>
    <row r="33" spans="1:40" s="6" customFormat="1" ht="11.25" customHeight="1" x14ac:dyDescent="0.2">
      <c r="A33" s="56">
        <f t="shared" si="23"/>
        <v>43119</v>
      </c>
      <c r="B33" s="624"/>
      <c r="C33" s="881"/>
      <c r="D33" s="395"/>
      <c r="E33" s="387"/>
      <c r="F33" s="387"/>
      <c r="G33" s="110"/>
      <c r="I33" s="382">
        <f t="shared" si="0"/>
        <v>0</v>
      </c>
      <c r="J33" s="85">
        <v>2018</v>
      </c>
      <c r="K33" s="199">
        <f t="shared" si="1"/>
        <v>43119</v>
      </c>
      <c r="L33" s="439">
        <f t="shared" si="2"/>
        <v>0</v>
      </c>
      <c r="M33" s="883"/>
      <c r="N33" s="883"/>
      <c r="O33" s="326">
        <f t="shared" si="3"/>
        <v>0</v>
      </c>
      <c r="P33" s="171">
        <f>(INDEX(Models!$BJ33:$BT33,,T33)*(1-R33)+INDEX(Models!$BJ33:$BT33,,T33+1)*R33-ERP_i)*Q33*Ramure*Pc/MaxiM</f>
        <v>1.4025526783410218E-5</v>
      </c>
      <c r="Q33" s="307">
        <f t="shared" si="18"/>
        <v>0.9</v>
      </c>
      <c r="R33" s="179">
        <f t="shared" si="4"/>
        <v>0.2008440031563361</v>
      </c>
      <c r="S33" s="839">
        <f t="shared" si="19"/>
        <v>-3</v>
      </c>
      <c r="T33" s="178">
        <f t="shared" si="20"/>
        <v>3</v>
      </c>
      <c r="U33" s="253">
        <f t="shared" si="21"/>
        <v>-2.7991559968436639</v>
      </c>
      <c r="V33" s="385">
        <f t="shared" si="5"/>
        <v>22.604817266446211</v>
      </c>
      <c r="W33" s="58"/>
      <c r="X33" s="157">
        <f t="shared" si="6"/>
        <v>43119</v>
      </c>
      <c r="Y33" s="387">
        <f t="shared" si="7"/>
        <v>0</v>
      </c>
      <c r="Z33" s="387">
        <f t="shared" si="8"/>
        <v>0</v>
      </c>
      <c r="AA33" s="388">
        <f t="shared" si="9"/>
        <v>0</v>
      </c>
      <c r="AB33" s="199">
        <f t="shared" si="10"/>
        <v>43119</v>
      </c>
      <c r="AC33" s="428">
        <f t="shared" si="11"/>
        <v>0</v>
      </c>
      <c r="AD33" s="171">
        <f>(INDEX(Models!$BJ33:$BT33,,AH33)*(1-AF33)+INDEX(Models!$BJ33:$BT33,,AH33+1)*AF33-ERP_i)*AE33*Ramure*Pc/MaxiM</f>
        <v>1.4025526783410218E-5</v>
      </c>
      <c r="AE33" s="307">
        <f t="shared" si="12"/>
        <v>0.9</v>
      </c>
      <c r="AF33" s="179">
        <f t="shared" si="13"/>
        <v>0.2008440031563361</v>
      </c>
      <c r="AG33" s="839">
        <f t="shared" si="22"/>
        <v>-3</v>
      </c>
      <c r="AH33" s="178">
        <f t="shared" si="14"/>
        <v>3</v>
      </c>
      <c r="AI33" s="227">
        <f t="shared" si="15"/>
        <v>-2.7991559968436639</v>
      </c>
      <c r="AJ33" s="267" t="b">
        <f t="shared" si="16"/>
        <v>1</v>
      </c>
      <c r="AK33" s="267" t="b">
        <f t="shared" si="17"/>
        <v>0</v>
      </c>
      <c r="AL33" s="267"/>
      <c r="AM33" s="267"/>
      <c r="AN33" s="75"/>
    </row>
    <row r="34" spans="1:40" s="6" customFormat="1" ht="11.25" customHeight="1" x14ac:dyDescent="0.2">
      <c r="A34" s="56">
        <f t="shared" si="23"/>
        <v>43120</v>
      </c>
      <c r="B34" s="624"/>
      <c r="C34" s="881"/>
      <c r="D34" s="395"/>
      <c r="E34" s="387"/>
      <c r="F34" s="387"/>
      <c r="G34" s="110"/>
      <c r="I34" s="382">
        <f t="shared" si="0"/>
        <v>0</v>
      </c>
      <c r="J34" s="85">
        <v>2018</v>
      </c>
      <c r="K34" s="199">
        <f t="shared" si="1"/>
        <v>43120</v>
      </c>
      <c r="L34" s="439">
        <f t="shared" si="2"/>
        <v>0</v>
      </c>
      <c r="M34" s="883"/>
      <c r="N34" s="883"/>
      <c r="O34" s="326">
        <f t="shared" si="3"/>
        <v>0</v>
      </c>
      <c r="P34" s="171">
        <f>(INDEX(Models!$BJ34:$BT34,,T34)*(1-R34)+INDEX(Models!$BJ34:$BT34,,T34+1)*R34-ERP_i)*Q34*Ramure*Pc/MaxiM</f>
        <v>1.4895224040977533E-5</v>
      </c>
      <c r="Q34" s="307">
        <f t="shared" si="18"/>
        <v>0.9</v>
      </c>
      <c r="R34" s="179">
        <f t="shared" si="4"/>
        <v>0.20092943812839614</v>
      </c>
      <c r="S34" s="839">
        <f t="shared" si="19"/>
        <v>-3</v>
      </c>
      <c r="T34" s="178">
        <f t="shared" si="20"/>
        <v>3</v>
      </c>
      <c r="U34" s="253">
        <f t="shared" si="21"/>
        <v>-2.7990705618716039</v>
      </c>
      <c r="V34" s="385">
        <f t="shared" si="5"/>
        <v>22.883276522376452</v>
      </c>
      <c r="W34" s="58"/>
      <c r="X34" s="157">
        <f t="shared" si="6"/>
        <v>43120</v>
      </c>
      <c r="Y34" s="387">
        <f t="shared" si="7"/>
        <v>0</v>
      </c>
      <c r="Z34" s="387">
        <f t="shared" si="8"/>
        <v>0</v>
      </c>
      <c r="AA34" s="388">
        <f t="shared" si="9"/>
        <v>0</v>
      </c>
      <c r="AB34" s="199">
        <f t="shared" si="10"/>
        <v>43120</v>
      </c>
      <c r="AC34" s="428">
        <f t="shared" si="11"/>
        <v>0</v>
      </c>
      <c r="AD34" s="171">
        <f>(INDEX(Models!$BJ34:$BT34,,AH34)*(1-AF34)+INDEX(Models!$BJ34:$BT34,,AH34+1)*AF34-ERP_i)*AE34*Ramure*Pc/MaxiM</f>
        <v>1.4895224040977533E-5</v>
      </c>
      <c r="AE34" s="307">
        <f t="shared" si="12"/>
        <v>0.9</v>
      </c>
      <c r="AF34" s="179">
        <f t="shared" si="13"/>
        <v>0.20092943812839614</v>
      </c>
      <c r="AG34" s="839">
        <f t="shared" si="22"/>
        <v>-3</v>
      </c>
      <c r="AH34" s="178">
        <f t="shared" si="14"/>
        <v>3</v>
      </c>
      <c r="AI34" s="227">
        <f t="shared" si="15"/>
        <v>-2.7990705618716039</v>
      </c>
      <c r="AJ34" s="267" t="b">
        <f t="shared" si="16"/>
        <v>1</v>
      </c>
      <c r="AK34" s="267" t="b">
        <f t="shared" si="17"/>
        <v>0</v>
      </c>
      <c r="AL34" s="267"/>
      <c r="AM34" s="267"/>
      <c r="AN34" s="75"/>
    </row>
    <row r="35" spans="1:40" s="6" customFormat="1" ht="11.25" customHeight="1" x14ac:dyDescent="0.2">
      <c r="A35" s="56">
        <f t="shared" si="23"/>
        <v>43121</v>
      </c>
      <c r="B35" s="624"/>
      <c r="C35" s="881"/>
      <c r="D35" s="395"/>
      <c r="E35" s="387"/>
      <c r="F35" s="387"/>
      <c r="G35" s="110"/>
      <c r="I35" s="382">
        <f t="shared" si="0"/>
        <v>0</v>
      </c>
      <c r="J35" s="85">
        <v>2018</v>
      </c>
      <c r="K35" s="199">
        <f t="shared" si="1"/>
        <v>43121</v>
      </c>
      <c r="L35" s="439">
        <f t="shared" si="2"/>
        <v>0</v>
      </c>
      <c r="M35" s="883"/>
      <c r="N35" s="883"/>
      <c r="O35" s="326">
        <f t="shared" si="3"/>
        <v>0</v>
      </c>
      <c r="P35" s="171">
        <f>(INDEX(Models!$BJ35:$BT35,,T35)*(1-R35)+INDEX(Models!$BJ35:$BT35,,T35+1)*R35-ERP_i)*Q35*Ramure*Pc/MaxiM</f>
        <v>1.5732805776881479E-5</v>
      </c>
      <c r="Q35" s="307">
        <f t="shared" si="18"/>
        <v>0.9</v>
      </c>
      <c r="R35" s="179">
        <f t="shared" si="4"/>
        <v>0.20101843506052663</v>
      </c>
      <c r="S35" s="839">
        <f t="shared" si="19"/>
        <v>-3</v>
      </c>
      <c r="T35" s="178">
        <f t="shared" si="20"/>
        <v>3</v>
      </c>
      <c r="U35" s="253">
        <f t="shared" si="21"/>
        <v>-2.7989815649394734</v>
      </c>
      <c r="V35" s="385">
        <f t="shared" si="5"/>
        <v>23.164988038278061</v>
      </c>
      <c r="W35" s="58"/>
      <c r="X35" s="157">
        <f t="shared" si="6"/>
        <v>43121</v>
      </c>
      <c r="Y35" s="387">
        <f t="shared" si="7"/>
        <v>0</v>
      </c>
      <c r="Z35" s="387">
        <f t="shared" si="8"/>
        <v>0</v>
      </c>
      <c r="AA35" s="388">
        <f t="shared" si="9"/>
        <v>0</v>
      </c>
      <c r="AB35" s="199">
        <f t="shared" si="10"/>
        <v>43121</v>
      </c>
      <c r="AC35" s="428">
        <f t="shared" si="11"/>
        <v>0</v>
      </c>
      <c r="AD35" s="171">
        <f>(INDEX(Models!$BJ35:$BT35,,AH35)*(1-AF35)+INDEX(Models!$BJ35:$BT35,,AH35+1)*AF35-ERP_i)*AE35*Ramure*Pc/MaxiM</f>
        <v>1.5732805776881479E-5</v>
      </c>
      <c r="AE35" s="307">
        <f t="shared" si="12"/>
        <v>0.9</v>
      </c>
      <c r="AF35" s="179">
        <f t="shared" si="13"/>
        <v>0.20101843506052663</v>
      </c>
      <c r="AG35" s="839">
        <f t="shared" si="22"/>
        <v>-3</v>
      </c>
      <c r="AH35" s="178">
        <f t="shared" si="14"/>
        <v>3</v>
      </c>
      <c r="AI35" s="227">
        <f t="shared" si="15"/>
        <v>-2.7989815649394734</v>
      </c>
      <c r="AJ35" s="267" t="b">
        <f t="shared" si="16"/>
        <v>1</v>
      </c>
      <c r="AK35" s="267" t="b">
        <f t="shared" si="17"/>
        <v>0</v>
      </c>
      <c r="AL35" s="267"/>
      <c r="AM35" s="267"/>
      <c r="AN35" s="75"/>
    </row>
    <row r="36" spans="1:40" s="6" customFormat="1" ht="11.25" customHeight="1" x14ac:dyDescent="0.2">
      <c r="A36" s="56">
        <f t="shared" si="23"/>
        <v>43122</v>
      </c>
      <c r="B36" s="624"/>
      <c r="C36" s="881"/>
      <c r="D36" s="395"/>
      <c r="E36" s="387"/>
      <c r="F36" s="387"/>
      <c r="G36" s="110"/>
      <c r="I36" s="382">
        <f t="shared" si="0"/>
        <v>0</v>
      </c>
      <c r="J36" s="85">
        <v>2018</v>
      </c>
      <c r="K36" s="199">
        <f t="shared" si="1"/>
        <v>43122</v>
      </c>
      <c r="L36" s="439">
        <f t="shared" si="2"/>
        <v>0</v>
      </c>
      <c r="M36" s="883"/>
      <c r="N36" s="883"/>
      <c r="O36" s="326">
        <f t="shared" si="3"/>
        <v>0</v>
      </c>
      <c r="P36" s="171">
        <f>(INDEX(Models!$BJ36:$BT36,,T36)*(1-R36)+INDEX(Models!$BJ36:$BT36,,T36+1)*R36-ERP_i)*Q36*Ramure*Pc/MaxiM</f>
        <v>1.6531045482387724E-5</v>
      </c>
      <c r="Q36" s="307">
        <f t="shared" si="18"/>
        <v>0.9</v>
      </c>
      <c r="R36" s="179">
        <f t="shared" si="4"/>
        <v>0.20111114149082177</v>
      </c>
      <c r="S36" s="839">
        <f t="shared" si="19"/>
        <v>-3</v>
      </c>
      <c r="T36" s="178">
        <f t="shared" si="20"/>
        <v>3</v>
      </c>
      <c r="U36" s="253">
        <f t="shared" si="21"/>
        <v>-2.7988888585091782</v>
      </c>
      <c r="V36" s="385">
        <f t="shared" si="5"/>
        <v>23.449212353530292</v>
      </c>
      <c r="W36" s="58"/>
      <c r="X36" s="157">
        <f t="shared" si="6"/>
        <v>43122</v>
      </c>
      <c r="Y36" s="387">
        <f t="shared" si="7"/>
        <v>0</v>
      </c>
      <c r="Z36" s="387">
        <f t="shared" si="8"/>
        <v>0</v>
      </c>
      <c r="AA36" s="388">
        <f t="shared" si="9"/>
        <v>0</v>
      </c>
      <c r="AB36" s="199">
        <f t="shared" si="10"/>
        <v>43122</v>
      </c>
      <c r="AC36" s="428">
        <f t="shared" si="11"/>
        <v>0</v>
      </c>
      <c r="AD36" s="171">
        <f>(INDEX(Models!$BJ36:$BT36,,AH36)*(1-AF36)+INDEX(Models!$BJ36:$BT36,,AH36+1)*AF36-ERP_i)*AE36*Ramure*Pc/MaxiM</f>
        <v>1.6531045482387724E-5</v>
      </c>
      <c r="AE36" s="307">
        <f t="shared" si="12"/>
        <v>0.9</v>
      </c>
      <c r="AF36" s="179">
        <f t="shared" si="13"/>
        <v>0.20111114149082177</v>
      </c>
      <c r="AG36" s="839">
        <f t="shared" si="22"/>
        <v>-3</v>
      </c>
      <c r="AH36" s="178">
        <f t="shared" si="14"/>
        <v>3</v>
      </c>
      <c r="AI36" s="227">
        <f t="shared" si="15"/>
        <v>-2.7988888585091782</v>
      </c>
      <c r="AJ36" s="267" t="b">
        <f t="shared" si="16"/>
        <v>1</v>
      </c>
      <c r="AK36" s="267" t="b">
        <f t="shared" si="17"/>
        <v>0</v>
      </c>
      <c r="AL36" s="267"/>
      <c r="AM36" s="267"/>
      <c r="AN36" s="75"/>
    </row>
    <row r="37" spans="1:40" s="6" customFormat="1" ht="11.25" customHeight="1" x14ac:dyDescent="0.2">
      <c r="A37" s="56">
        <f t="shared" si="23"/>
        <v>43123</v>
      </c>
      <c r="B37" s="624"/>
      <c r="C37" s="881"/>
      <c r="D37" s="395"/>
      <c r="E37" s="387"/>
      <c r="F37" s="387"/>
      <c r="G37" s="110"/>
      <c r="I37" s="382">
        <f t="shared" si="0"/>
        <v>0</v>
      </c>
      <c r="J37" s="85">
        <v>2018</v>
      </c>
      <c r="K37" s="199">
        <f t="shared" si="1"/>
        <v>43123</v>
      </c>
      <c r="L37" s="439">
        <f t="shared" si="2"/>
        <v>0</v>
      </c>
      <c r="M37" s="883"/>
      <c r="N37" s="883"/>
      <c r="O37" s="326">
        <f t="shared" si="3"/>
        <v>0</v>
      </c>
      <c r="P37" s="171">
        <f>(INDEX(Models!$BJ37:$BT37,,T37)*(1-R37)+INDEX(Models!$BJ37:$BT37,,T37+1)*R37-ERP_i)*Q37*Ramure*Pc/MaxiM</f>
        <v>1.7280554520018191E-5</v>
      </c>
      <c r="Q37" s="307">
        <f t="shared" si="18"/>
        <v>0.9</v>
      </c>
      <c r="R37" s="179">
        <f t="shared" si="4"/>
        <v>0.20120771098590984</v>
      </c>
      <c r="S37" s="839">
        <f t="shared" si="19"/>
        <v>-3</v>
      </c>
      <c r="T37" s="178">
        <f t="shared" si="20"/>
        <v>3</v>
      </c>
      <c r="U37" s="253">
        <f t="shared" si="21"/>
        <v>-2.7987922890140902</v>
      </c>
      <c r="V37" s="385">
        <f t="shared" si="5"/>
        <v>23.737786874615537</v>
      </c>
      <c r="W37" s="58"/>
      <c r="X37" s="157">
        <f t="shared" si="6"/>
        <v>43123</v>
      </c>
      <c r="Y37" s="387">
        <f t="shared" si="7"/>
        <v>0</v>
      </c>
      <c r="Z37" s="387">
        <f t="shared" si="8"/>
        <v>0</v>
      </c>
      <c r="AA37" s="388">
        <f t="shared" si="9"/>
        <v>0</v>
      </c>
      <c r="AB37" s="199">
        <f t="shared" si="10"/>
        <v>43123</v>
      </c>
      <c r="AC37" s="428">
        <f t="shared" si="11"/>
        <v>0</v>
      </c>
      <c r="AD37" s="171">
        <f>(INDEX(Models!$BJ37:$BT37,,AH37)*(1-AF37)+INDEX(Models!$BJ37:$BT37,,AH37+1)*AF37-ERP_i)*AE37*Ramure*Pc/MaxiM</f>
        <v>1.7280554520018191E-5</v>
      </c>
      <c r="AE37" s="307">
        <f t="shared" si="12"/>
        <v>0.9</v>
      </c>
      <c r="AF37" s="179">
        <f t="shared" si="13"/>
        <v>0.20120771098590984</v>
      </c>
      <c r="AG37" s="839">
        <f t="shared" si="22"/>
        <v>-3</v>
      </c>
      <c r="AH37" s="178">
        <f t="shared" si="14"/>
        <v>3</v>
      </c>
      <c r="AI37" s="227">
        <f t="shared" si="15"/>
        <v>-2.7987922890140902</v>
      </c>
      <c r="AJ37" s="267" t="b">
        <f t="shared" si="16"/>
        <v>1</v>
      </c>
      <c r="AK37" s="267" t="b">
        <f t="shared" si="17"/>
        <v>0</v>
      </c>
      <c r="AL37" s="267"/>
      <c r="AM37" s="267"/>
      <c r="AN37" s="75"/>
    </row>
    <row r="38" spans="1:40" s="6" customFormat="1" ht="11.25" customHeight="1" x14ac:dyDescent="0.2">
      <c r="A38" s="56">
        <f t="shared" si="23"/>
        <v>43124</v>
      </c>
      <c r="B38" s="624"/>
      <c r="C38" s="881"/>
      <c r="D38" s="395"/>
      <c r="E38" s="387"/>
      <c r="F38" s="387"/>
      <c r="G38" s="110"/>
      <c r="I38" s="382">
        <f t="shared" si="0"/>
        <v>0</v>
      </c>
      <c r="J38" s="85">
        <v>2018</v>
      </c>
      <c r="K38" s="199">
        <f t="shared" si="1"/>
        <v>43124</v>
      </c>
      <c r="L38" s="439">
        <f t="shared" si="2"/>
        <v>0</v>
      </c>
      <c r="M38" s="883"/>
      <c r="N38" s="883"/>
      <c r="O38" s="326">
        <f t="shared" si="3"/>
        <v>0</v>
      </c>
      <c r="P38" s="171">
        <f>(INDEX(Models!$BJ38:$BT38,,T38)*(1-R38)+INDEX(Models!$BJ38:$BT38,,T38+1)*R38-ERP_i)*Q38*Ramure*Pc/MaxiM</f>
        <v>1.7943969891725145E-5</v>
      </c>
      <c r="Q38" s="307">
        <f t="shared" si="18"/>
        <v>0.9</v>
      </c>
      <c r="R38" s="179">
        <f t="shared" si="4"/>
        <v>0.2013083033802312</v>
      </c>
      <c r="S38" s="839">
        <f t="shared" si="19"/>
        <v>-3</v>
      </c>
      <c r="T38" s="178">
        <f t="shared" si="20"/>
        <v>3</v>
      </c>
      <c r="U38" s="253">
        <f t="shared" si="21"/>
        <v>-2.7986916966197688</v>
      </c>
      <c r="V38" s="385">
        <f t="shared" si="5"/>
        <v>24.032818892313482</v>
      </c>
      <c r="W38" s="58"/>
      <c r="X38" s="157">
        <f t="shared" si="6"/>
        <v>43124</v>
      </c>
      <c r="Y38" s="387">
        <f t="shared" si="7"/>
        <v>0</v>
      </c>
      <c r="Z38" s="387">
        <f t="shared" si="8"/>
        <v>0</v>
      </c>
      <c r="AA38" s="388">
        <f t="shared" si="9"/>
        <v>0</v>
      </c>
      <c r="AB38" s="199">
        <f t="shared" si="10"/>
        <v>43124</v>
      </c>
      <c r="AC38" s="428">
        <f t="shared" si="11"/>
        <v>0</v>
      </c>
      <c r="AD38" s="171">
        <f>(INDEX(Models!$BJ38:$BT38,,AH38)*(1-AF38)+INDEX(Models!$BJ38:$BT38,,AH38+1)*AF38-ERP_i)*AE38*Ramure*Pc/MaxiM</f>
        <v>1.7943969891725145E-5</v>
      </c>
      <c r="AE38" s="307">
        <f t="shared" si="12"/>
        <v>0.9</v>
      </c>
      <c r="AF38" s="179">
        <f t="shared" si="13"/>
        <v>0.2013083033802312</v>
      </c>
      <c r="AG38" s="839">
        <f t="shared" si="22"/>
        <v>-3</v>
      </c>
      <c r="AH38" s="178">
        <f t="shared" si="14"/>
        <v>3</v>
      </c>
      <c r="AI38" s="227">
        <f t="shared" si="15"/>
        <v>-2.7986916966197688</v>
      </c>
      <c r="AJ38" s="267" t="b">
        <f t="shared" si="16"/>
        <v>1</v>
      </c>
      <c r="AK38" s="267" t="b">
        <f t="shared" si="17"/>
        <v>0</v>
      </c>
      <c r="AL38" s="267"/>
      <c r="AM38" s="267"/>
      <c r="AN38" s="75"/>
    </row>
    <row r="39" spans="1:40" s="6" customFormat="1" ht="11.25" customHeight="1" x14ac:dyDescent="0.2">
      <c r="A39" s="56">
        <f t="shared" si="23"/>
        <v>43125</v>
      </c>
      <c r="B39" s="624"/>
      <c r="C39" s="881"/>
      <c r="D39" s="395"/>
      <c r="E39" s="387"/>
      <c r="F39" s="387"/>
      <c r="G39" s="110"/>
      <c r="I39" s="382">
        <f t="shared" si="0"/>
        <v>0</v>
      </c>
      <c r="J39" s="85">
        <v>2018</v>
      </c>
      <c r="K39" s="199">
        <f t="shared" si="1"/>
        <v>43125</v>
      </c>
      <c r="L39" s="439">
        <f t="shared" si="2"/>
        <v>0</v>
      </c>
      <c r="M39" s="883"/>
      <c r="N39" s="883"/>
      <c r="O39" s="326">
        <f t="shared" si="3"/>
        <v>0</v>
      </c>
      <c r="P39" s="171">
        <f>(INDEX(Models!$BJ39:$BT39,,T39)*(1-R39)+INDEX(Models!$BJ39:$BT39,,T39+1)*R39-ERP_i)*Q39*Ramure*Pc/MaxiM</f>
        <v>1.8519977803656928E-5</v>
      </c>
      <c r="Q39" s="307">
        <f t="shared" si="18"/>
        <v>0.9</v>
      </c>
      <c r="R39" s="179">
        <f t="shared" si="4"/>
        <v>0.20141308502420241</v>
      </c>
      <c r="S39" s="839">
        <f t="shared" si="19"/>
        <v>-3</v>
      </c>
      <c r="T39" s="178">
        <f t="shared" si="20"/>
        <v>3</v>
      </c>
      <c r="U39" s="253">
        <f t="shared" si="21"/>
        <v>-2.7985869149757976</v>
      </c>
      <c r="V39" s="385">
        <f t="shared" si="5"/>
        <v>24.333972649942609</v>
      </c>
      <c r="W39" s="58"/>
      <c r="X39" s="157">
        <f t="shared" si="6"/>
        <v>43125</v>
      </c>
      <c r="Y39" s="387">
        <f t="shared" si="7"/>
        <v>0</v>
      </c>
      <c r="Z39" s="387">
        <f t="shared" si="8"/>
        <v>0</v>
      </c>
      <c r="AA39" s="388">
        <f t="shared" si="9"/>
        <v>0</v>
      </c>
      <c r="AB39" s="199">
        <f t="shared" si="10"/>
        <v>43125</v>
      </c>
      <c r="AC39" s="428">
        <f t="shared" si="11"/>
        <v>0</v>
      </c>
      <c r="AD39" s="171">
        <f>(INDEX(Models!$BJ39:$BT39,,AH39)*(1-AF39)+INDEX(Models!$BJ39:$BT39,,AH39+1)*AF39-ERP_i)*AE39*Ramure*Pc/MaxiM</f>
        <v>1.8519977803656928E-5</v>
      </c>
      <c r="AE39" s="307">
        <f t="shared" si="12"/>
        <v>0.9</v>
      </c>
      <c r="AF39" s="179">
        <f t="shared" si="13"/>
        <v>0.20141308502420241</v>
      </c>
      <c r="AG39" s="839">
        <f t="shared" si="22"/>
        <v>-3</v>
      </c>
      <c r="AH39" s="178">
        <f t="shared" si="14"/>
        <v>3</v>
      </c>
      <c r="AI39" s="227">
        <f t="shared" si="15"/>
        <v>-2.7985869149757976</v>
      </c>
      <c r="AJ39" s="267" t="b">
        <f t="shared" si="16"/>
        <v>1</v>
      </c>
      <c r="AK39" s="267" t="b">
        <f t="shared" si="17"/>
        <v>0</v>
      </c>
      <c r="AL39" s="267"/>
      <c r="AM39" s="267"/>
      <c r="AN39" s="75"/>
    </row>
    <row r="40" spans="1:40" s="6" customFormat="1" ht="11.25" x14ac:dyDescent="0.2">
      <c r="A40" s="56">
        <f t="shared" si="23"/>
        <v>43126</v>
      </c>
      <c r="B40" s="624"/>
      <c r="C40" s="881"/>
      <c r="D40" s="395"/>
      <c r="E40" s="387"/>
      <c r="F40" s="387"/>
      <c r="G40" s="110"/>
      <c r="I40" s="382">
        <f t="shared" si="0"/>
        <v>0</v>
      </c>
      <c r="J40" s="85">
        <v>2018</v>
      </c>
      <c r="K40" s="199">
        <f t="shared" si="1"/>
        <v>43126</v>
      </c>
      <c r="L40" s="439">
        <f t="shared" si="2"/>
        <v>0</v>
      </c>
      <c r="M40" s="883"/>
      <c r="N40" s="883"/>
      <c r="O40" s="326">
        <f t="shared" si="3"/>
        <v>0</v>
      </c>
      <c r="P40" s="171">
        <f>(INDEX(Models!$BJ40:$BT40,,T40)*(1-R40)+INDEX(Models!$BJ40:$BT40,,T40+1)*R40-ERP_i)*Q40*Ramure*Pc/MaxiM</f>
        <v>1.8996693784048707E-5</v>
      </c>
      <c r="Q40" s="307">
        <f t="shared" si="18"/>
        <v>0.9</v>
      </c>
      <c r="R40" s="179">
        <f t="shared" si="4"/>
        <v>0.20152222904155215</v>
      </c>
      <c r="S40" s="839">
        <f t="shared" si="19"/>
        <v>-3</v>
      </c>
      <c r="T40" s="178">
        <f t="shared" si="20"/>
        <v>3</v>
      </c>
      <c r="U40" s="253">
        <f t="shared" si="21"/>
        <v>-2.7984777709584479</v>
      </c>
      <c r="V40" s="385">
        <f t="shared" si="5"/>
        <v>24.640912652328772</v>
      </c>
      <c r="W40" s="58"/>
      <c r="X40" s="157">
        <f t="shared" si="6"/>
        <v>43126</v>
      </c>
      <c r="Y40" s="387">
        <f t="shared" si="7"/>
        <v>0</v>
      </c>
      <c r="Z40" s="387">
        <f t="shared" si="8"/>
        <v>0</v>
      </c>
      <c r="AA40" s="388">
        <f t="shared" si="9"/>
        <v>0</v>
      </c>
      <c r="AB40" s="199">
        <f t="shared" si="10"/>
        <v>43126</v>
      </c>
      <c r="AC40" s="428">
        <f t="shared" si="11"/>
        <v>0</v>
      </c>
      <c r="AD40" s="171">
        <f>(INDEX(Models!$BJ40:$BT40,,AH40)*(1-AF40)+INDEX(Models!$BJ40:$BT40,,AH40+1)*AF40-ERP_i)*AE40*Ramure*Pc/MaxiM</f>
        <v>1.8996693784048707E-5</v>
      </c>
      <c r="AE40" s="307">
        <f t="shared" si="12"/>
        <v>0.9</v>
      </c>
      <c r="AF40" s="179">
        <f t="shared" si="13"/>
        <v>0.20152222904155215</v>
      </c>
      <c r="AG40" s="839">
        <f t="shared" si="22"/>
        <v>-3</v>
      </c>
      <c r="AH40" s="178">
        <f t="shared" si="14"/>
        <v>3</v>
      </c>
      <c r="AI40" s="227">
        <f t="shared" si="15"/>
        <v>-2.7984777709584479</v>
      </c>
      <c r="AJ40" s="267" t="b">
        <f t="shared" si="16"/>
        <v>1</v>
      </c>
      <c r="AK40" s="267" t="b">
        <f t="shared" si="17"/>
        <v>0</v>
      </c>
      <c r="AL40" s="267"/>
      <c r="AM40" s="267"/>
      <c r="AN40" s="75"/>
    </row>
    <row r="41" spans="1:40" s="6" customFormat="1" ht="11.25" customHeight="1" x14ac:dyDescent="0.2">
      <c r="A41" s="56">
        <f t="shared" si="23"/>
        <v>43127</v>
      </c>
      <c r="B41" s="624"/>
      <c r="C41" s="881"/>
      <c r="D41" s="395"/>
      <c r="E41" s="387"/>
      <c r="F41" s="387"/>
      <c r="G41" s="110"/>
      <c r="I41" s="382">
        <f t="shared" si="0"/>
        <v>0</v>
      </c>
      <c r="J41" s="85">
        <v>2018</v>
      </c>
      <c r="K41" s="199">
        <f t="shared" si="1"/>
        <v>43127</v>
      </c>
      <c r="L41" s="439">
        <f t="shared" si="2"/>
        <v>0</v>
      </c>
      <c r="M41" s="883"/>
      <c r="N41" s="883"/>
      <c r="O41" s="326">
        <f t="shared" si="3"/>
        <v>0</v>
      </c>
      <c r="P41" s="171">
        <f>(INDEX(Models!$BJ41:$BT41,,T41)*(1-R41)+INDEX(Models!$BJ41:$BT41,,T41+1)*R41-ERP_i)*Q41*Ramure*Pc/MaxiM</f>
        <v>1.9361755626801205E-5</v>
      </c>
      <c r="Q41" s="307">
        <f t="shared" si="18"/>
        <v>0.9</v>
      </c>
      <c r="R41" s="179">
        <f t="shared" si="4"/>
        <v>0.20163591559610294</v>
      </c>
      <c r="S41" s="839">
        <f t="shared" si="19"/>
        <v>-3</v>
      </c>
      <c r="T41" s="178">
        <f t="shared" si="20"/>
        <v>3</v>
      </c>
      <c r="U41" s="253">
        <f t="shared" si="21"/>
        <v>-2.7983640844038971</v>
      </c>
      <c r="V41" s="385">
        <f t="shared" si="5"/>
        <v>24.953303439129449</v>
      </c>
      <c r="W41" s="58"/>
      <c r="X41" s="157">
        <f t="shared" si="6"/>
        <v>43127</v>
      </c>
      <c r="Y41" s="387">
        <f t="shared" si="7"/>
        <v>0</v>
      </c>
      <c r="Z41" s="387">
        <f t="shared" si="8"/>
        <v>0</v>
      </c>
      <c r="AA41" s="388">
        <f t="shared" si="9"/>
        <v>0</v>
      </c>
      <c r="AB41" s="199">
        <f t="shared" si="10"/>
        <v>43127</v>
      </c>
      <c r="AC41" s="428">
        <f t="shared" si="11"/>
        <v>0</v>
      </c>
      <c r="AD41" s="171">
        <f>(INDEX(Models!$BJ41:$BT41,,AH41)*(1-AF41)+INDEX(Models!$BJ41:$BT41,,AH41+1)*AF41-ERP_i)*AE41*Ramure*Pc/MaxiM</f>
        <v>1.9361755626801205E-5</v>
      </c>
      <c r="AE41" s="307">
        <f t="shared" si="12"/>
        <v>0.9</v>
      </c>
      <c r="AF41" s="179">
        <f t="shared" si="13"/>
        <v>0.20163591559610294</v>
      </c>
      <c r="AG41" s="839">
        <f t="shared" si="22"/>
        <v>-3</v>
      </c>
      <c r="AH41" s="178">
        <f t="shared" si="14"/>
        <v>3</v>
      </c>
      <c r="AI41" s="227">
        <f t="shared" si="15"/>
        <v>-2.7983640844038971</v>
      </c>
      <c r="AJ41" s="267" t="b">
        <f t="shared" si="16"/>
        <v>1</v>
      </c>
      <c r="AK41" s="267" t="b">
        <f t="shared" si="17"/>
        <v>0</v>
      </c>
      <c r="AL41" s="267"/>
      <c r="AM41" s="267"/>
      <c r="AN41" s="75"/>
    </row>
    <row r="42" spans="1:40" s="6" customFormat="1" ht="11.25" x14ac:dyDescent="0.2">
      <c r="A42" s="56">
        <f t="shared" si="23"/>
        <v>43128</v>
      </c>
      <c r="B42" s="624"/>
      <c r="C42" s="881"/>
      <c r="D42" s="395"/>
      <c r="E42" s="387"/>
      <c r="F42" s="387"/>
      <c r="G42" s="110"/>
      <c r="I42" s="382">
        <f t="shared" si="0"/>
        <v>0</v>
      </c>
      <c r="J42" s="85">
        <v>2018</v>
      </c>
      <c r="K42" s="199">
        <f t="shared" si="1"/>
        <v>43128</v>
      </c>
      <c r="L42" s="439">
        <f t="shared" si="2"/>
        <v>0</v>
      </c>
      <c r="M42" s="883"/>
      <c r="N42" s="883"/>
      <c r="O42" s="326">
        <f t="shared" si="3"/>
        <v>0</v>
      </c>
      <c r="P42" s="171">
        <f>(INDEX(Models!$BJ42:$BT42,,T42)*(1-R42)+INDEX(Models!$BJ42:$BT42,,T42+1)*R42-ERP_i)*Q42*Ramure*Pc/MaxiM</f>
        <v>1.9602283973556695E-5</v>
      </c>
      <c r="Q42" s="307">
        <f t="shared" si="18"/>
        <v>0.9</v>
      </c>
      <c r="R42" s="179">
        <f t="shared" si="4"/>
        <v>0.20175433216828687</v>
      </c>
      <c r="S42" s="839">
        <f t="shared" si="19"/>
        <v>-3</v>
      </c>
      <c r="T42" s="178">
        <f t="shared" si="20"/>
        <v>3</v>
      </c>
      <c r="U42" s="253">
        <f t="shared" si="21"/>
        <v>-2.7982456678317131</v>
      </c>
      <c r="V42" s="385">
        <f t="shared" si="5"/>
        <v>25.270809580143791</v>
      </c>
      <c r="W42" s="58"/>
      <c r="X42" s="157">
        <f t="shared" si="6"/>
        <v>43128</v>
      </c>
      <c r="Y42" s="387">
        <f t="shared" si="7"/>
        <v>0</v>
      </c>
      <c r="Z42" s="387">
        <f t="shared" si="8"/>
        <v>0</v>
      </c>
      <c r="AA42" s="388">
        <f t="shared" si="9"/>
        <v>0</v>
      </c>
      <c r="AB42" s="199">
        <f t="shared" si="10"/>
        <v>43128</v>
      </c>
      <c r="AC42" s="428">
        <f t="shared" si="11"/>
        <v>0</v>
      </c>
      <c r="AD42" s="171">
        <f>(INDEX(Models!$BJ42:$BT42,,AH42)*(1-AF42)+INDEX(Models!$BJ42:$BT42,,AH42+1)*AF42-ERP_i)*AE42*Ramure*Pc/MaxiM</f>
        <v>1.9602283973556695E-5</v>
      </c>
      <c r="AE42" s="307">
        <f t="shared" si="12"/>
        <v>0.9</v>
      </c>
      <c r="AF42" s="179">
        <f t="shared" si="13"/>
        <v>0.20175433216828687</v>
      </c>
      <c r="AG42" s="839">
        <f t="shared" si="22"/>
        <v>-3</v>
      </c>
      <c r="AH42" s="178">
        <f t="shared" si="14"/>
        <v>3</v>
      </c>
      <c r="AI42" s="227">
        <f t="shared" si="15"/>
        <v>-2.7982456678317131</v>
      </c>
      <c r="AJ42" s="267" t="b">
        <f t="shared" si="16"/>
        <v>1</v>
      </c>
      <c r="AK42" s="267" t="b">
        <f t="shared" si="17"/>
        <v>0</v>
      </c>
      <c r="AL42" s="267"/>
      <c r="AM42" s="267"/>
      <c r="AN42" s="75"/>
    </row>
    <row r="43" spans="1:40" s="6" customFormat="1" ht="11.25" customHeight="1" x14ac:dyDescent="0.2">
      <c r="A43" s="56">
        <f t="shared" si="23"/>
        <v>43129</v>
      </c>
      <c r="B43" s="624"/>
      <c r="C43" s="881"/>
      <c r="D43" s="395"/>
      <c r="E43" s="387"/>
      <c r="F43" s="387"/>
      <c r="G43" s="110"/>
      <c r="I43" s="382">
        <f t="shared" si="0"/>
        <v>0</v>
      </c>
      <c r="J43" s="85">
        <v>2018</v>
      </c>
      <c r="K43" s="199">
        <f t="shared" si="1"/>
        <v>43129</v>
      </c>
      <c r="L43" s="439">
        <f t="shared" si="2"/>
        <v>0</v>
      </c>
      <c r="M43" s="883"/>
      <c r="N43" s="883"/>
      <c r="O43" s="326">
        <f t="shared" si="3"/>
        <v>0</v>
      </c>
      <c r="P43" s="171">
        <f>(INDEX(Models!$BJ43:$BT43,,T43)*(1-R43)+INDEX(Models!$BJ43:$BT43,,T43+1)*R43-ERP_i)*Q43*Ramure*Pc/MaxiM</f>
        <v>1.9704839025634901E-5</v>
      </c>
      <c r="Q43" s="307">
        <f t="shared" si="18"/>
        <v>0.9</v>
      </c>
      <c r="R43" s="179">
        <f t="shared" si="4"/>
        <v>0.20187767384168653</v>
      </c>
      <c r="S43" s="839">
        <f t="shared" si="19"/>
        <v>-3</v>
      </c>
      <c r="T43" s="178">
        <f t="shared" si="20"/>
        <v>3</v>
      </c>
      <c r="U43" s="253">
        <f t="shared" si="21"/>
        <v>-2.7981223261583135</v>
      </c>
      <c r="V43" s="385">
        <f t="shared" si="5"/>
        <v>25.593095681182891</v>
      </c>
      <c r="W43" s="58"/>
      <c r="X43" s="157">
        <f t="shared" si="6"/>
        <v>43129</v>
      </c>
      <c r="Y43" s="387">
        <f t="shared" si="7"/>
        <v>0</v>
      </c>
      <c r="Z43" s="387">
        <f t="shared" si="8"/>
        <v>0</v>
      </c>
      <c r="AA43" s="388">
        <f t="shared" si="9"/>
        <v>0</v>
      </c>
      <c r="AB43" s="199">
        <f t="shared" si="10"/>
        <v>43129</v>
      </c>
      <c r="AC43" s="428">
        <f t="shared" si="11"/>
        <v>0</v>
      </c>
      <c r="AD43" s="171">
        <f>(INDEX(Models!$BJ43:$BT43,,AH43)*(1-AF43)+INDEX(Models!$BJ43:$BT43,,AH43+1)*AF43-ERP_i)*AE43*Ramure*Pc/MaxiM</f>
        <v>1.9704839025634901E-5</v>
      </c>
      <c r="AE43" s="307">
        <f t="shared" si="12"/>
        <v>0.9</v>
      </c>
      <c r="AF43" s="179">
        <f t="shared" si="13"/>
        <v>0.20187767384168653</v>
      </c>
      <c r="AG43" s="839">
        <f t="shared" si="22"/>
        <v>-3</v>
      </c>
      <c r="AH43" s="178">
        <f t="shared" si="14"/>
        <v>3</v>
      </c>
      <c r="AI43" s="227">
        <f t="shared" si="15"/>
        <v>-2.7981223261583135</v>
      </c>
      <c r="AJ43" s="267" t="b">
        <f t="shared" si="16"/>
        <v>1</v>
      </c>
      <c r="AK43" s="267" t="b">
        <f t="shared" si="17"/>
        <v>0</v>
      </c>
      <c r="AL43" s="267"/>
      <c r="AM43" s="267"/>
      <c r="AN43" s="75"/>
    </row>
    <row r="44" spans="1:40" s="6" customFormat="1" ht="11.25" x14ac:dyDescent="0.2">
      <c r="A44" s="56">
        <f t="shared" si="23"/>
        <v>43130</v>
      </c>
      <c r="B44" s="624"/>
      <c r="C44" s="881"/>
      <c r="D44" s="395"/>
      <c r="E44" s="387"/>
      <c r="F44" s="387"/>
      <c r="G44" s="110"/>
      <c r="I44" s="382">
        <f t="shared" si="0"/>
        <v>0</v>
      </c>
      <c r="J44" s="85">
        <v>2018</v>
      </c>
      <c r="K44" s="199">
        <f t="shared" si="1"/>
        <v>43130</v>
      </c>
      <c r="L44" s="439">
        <f t="shared" si="2"/>
        <v>0</v>
      </c>
      <c r="M44" s="883"/>
      <c r="N44" s="883"/>
      <c r="O44" s="326">
        <f t="shared" si="3"/>
        <v>0</v>
      </c>
      <c r="P44" s="171">
        <f>(INDEX(Models!$BJ44:$BT44,,T44)*(1-R44)+INDEX(Models!$BJ44:$BT44,,T44+1)*R44-ERP_i)*Q44*Ramure*Pc/MaxiM</f>
        <v>1.9685567453179286E-5</v>
      </c>
      <c r="Q44" s="307">
        <f t="shared" si="18"/>
        <v>0.9</v>
      </c>
      <c r="R44" s="179">
        <f t="shared" si="4"/>
        <v>0.20200614359987723</v>
      </c>
      <c r="S44" s="839">
        <f t="shared" si="19"/>
        <v>-3</v>
      </c>
      <c r="T44" s="178">
        <f t="shared" si="20"/>
        <v>3</v>
      </c>
      <c r="U44" s="253">
        <f t="shared" si="21"/>
        <v>-2.7979938564001228</v>
      </c>
      <c r="V44" s="385">
        <f t="shared" si="5"/>
        <v>25.919825602966064</v>
      </c>
      <c r="W44" s="58"/>
      <c r="X44" s="157">
        <f t="shared" si="6"/>
        <v>43130</v>
      </c>
      <c r="Y44" s="387">
        <f t="shared" si="7"/>
        <v>0</v>
      </c>
      <c r="Z44" s="387">
        <f t="shared" si="8"/>
        <v>0</v>
      </c>
      <c r="AA44" s="388">
        <f t="shared" si="9"/>
        <v>0</v>
      </c>
      <c r="AB44" s="199">
        <f t="shared" si="10"/>
        <v>43130</v>
      </c>
      <c r="AC44" s="428">
        <f t="shared" si="11"/>
        <v>0</v>
      </c>
      <c r="AD44" s="171">
        <f>(INDEX(Models!$BJ44:$BT44,,AH44)*(1-AF44)+INDEX(Models!$BJ44:$BT44,,AH44+1)*AF44-ERP_i)*AE44*Ramure*Pc/MaxiM</f>
        <v>1.9685567453179286E-5</v>
      </c>
      <c r="AE44" s="307">
        <f t="shared" si="12"/>
        <v>0.9</v>
      </c>
      <c r="AF44" s="179">
        <f t="shared" si="13"/>
        <v>0.20200614359987723</v>
      </c>
      <c r="AG44" s="839">
        <f t="shared" si="22"/>
        <v>-3</v>
      </c>
      <c r="AH44" s="178">
        <f t="shared" si="14"/>
        <v>3</v>
      </c>
      <c r="AI44" s="227">
        <f t="shared" si="15"/>
        <v>-2.7979938564001228</v>
      </c>
      <c r="AJ44" s="267" t="b">
        <f t="shared" si="16"/>
        <v>1</v>
      </c>
      <c r="AK44" s="267" t="b">
        <f t="shared" si="17"/>
        <v>0</v>
      </c>
      <c r="AL44" s="267"/>
      <c r="AM44" s="267"/>
      <c r="AN44" s="75"/>
    </row>
    <row r="45" spans="1:40" s="6" customFormat="1" ht="11.25" x14ac:dyDescent="0.2">
      <c r="A45" s="56">
        <f t="shared" si="23"/>
        <v>43131</v>
      </c>
      <c r="B45" s="624"/>
      <c r="C45" s="881"/>
      <c r="D45" s="395"/>
      <c r="E45" s="387"/>
      <c r="F45" s="387"/>
      <c r="G45" s="110"/>
      <c r="I45" s="382">
        <f t="shared" si="0"/>
        <v>0</v>
      </c>
      <c r="J45" s="85">
        <v>2018</v>
      </c>
      <c r="K45" s="199">
        <f t="shared" si="1"/>
        <v>43131</v>
      </c>
      <c r="L45" s="439">
        <f t="shared" si="2"/>
        <v>0</v>
      </c>
      <c r="M45" s="883"/>
      <c r="N45" s="883"/>
      <c r="O45" s="326">
        <f t="shared" si="3"/>
        <v>0</v>
      </c>
      <c r="P45" s="171">
        <f>(INDEX(Models!$BJ45:$BT45,,T45)*(1-R45)+INDEX(Models!$BJ45:$BT45,,T45+1)*R45-ERP_i)*Q45*Ramure*Pc/MaxiM</f>
        <v>1.9591614264438139E-5</v>
      </c>
      <c r="Q45" s="307">
        <f t="shared" si="18"/>
        <v>0.9</v>
      </c>
      <c r="R45" s="179">
        <f t="shared" si="4"/>
        <v>0.20213995263387918</v>
      </c>
      <c r="S45" s="839">
        <f t="shared" si="19"/>
        <v>-3</v>
      </c>
      <c r="T45" s="178">
        <f t="shared" si="20"/>
        <v>3</v>
      </c>
      <c r="U45" s="253">
        <f t="shared" si="21"/>
        <v>-2.7978600473661208</v>
      </c>
      <c r="V45" s="385">
        <f t="shared" si="5"/>
        <v>26.250662372960626</v>
      </c>
      <c r="W45" s="58"/>
      <c r="X45" s="157">
        <f t="shared" si="6"/>
        <v>43131</v>
      </c>
      <c r="Y45" s="387">
        <f t="shared" si="7"/>
        <v>0</v>
      </c>
      <c r="Z45" s="387">
        <f t="shared" si="8"/>
        <v>0</v>
      </c>
      <c r="AA45" s="388">
        <f t="shared" si="9"/>
        <v>0</v>
      </c>
      <c r="AB45" s="199">
        <f t="shared" si="10"/>
        <v>43131</v>
      </c>
      <c r="AC45" s="428">
        <f t="shared" si="11"/>
        <v>0</v>
      </c>
      <c r="AD45" s="171">
        <f>(INDEX(Models!$BJ45:$BT45,,AH45)*(1-AF45)+INDEX(Models!$BJ45:$BT45,,AH45+1)*AF45-ERP_i)*AE45*Ramure*Pc/MaxiM</f>
        <v>1.9591614264438139E-5</v>
      </c>
      <c r="AE45" s="307">
        <f t="shared" si="12"/>
        <v>0.9</v>
      </c>
      <c r="AF45" s="179">
        <f t="shared" si="13"/>
        <v>0.20213995263387918</v>
      </c>
      <c r="AG45" s="839">
        <f t="shared" si="22"/>
        <v>-3</v>
      </c>
      <c r="AH45" s="178">
        <f t="shared" si="14"/>
        <v>3</v>
      </c>
      <c r="AI45" s="227">
        <f t="shared" si="15"/>
        <v>-2.7978600473661208</v>
      </c>
      <c r="AJ45" s="267" t="b">
        <f t="shared" si="16"/>
        <v>1</v>
      </c>
      <c r="AK45" s="267" t="b">
        <f t="shared" si="17"/>
        <v>0</v>
      </c>
      <c r="AL45" s="267"/>
      <c r="AM45" s="267"/>
      <c r="AN45" s="75"/>
    </row>
    <row r="46" spans="1:40" s="6" customFormat="1" ht="11.25" x14ac:dyDescent="0.2">
      <c r="A46" s="56">
        <f t="shared" si="23"/>
        <v>43132</v>
      </c>
      <c r="B46" s="624"/>
      <c r="C46" s="881"/>
      <c r="D46" s="395"/>
      <c r="E46" s="387"/>
      <c r="F46" s="387"/>
      <c r="G46" s="110"/>
      <c r="I46" s="382">
        <f t="shared" si="0"/>
        <v>0</v>
      </c>
      <c r="J46" s="85">
        <v>2018</v>
      </c>
      <c r="K46" s="199">
        <f t="shared" si="1"/>
        <v>43132</v>
      </c>
      <c r="L46" s="439">
        <f t="shared" si="2"/>
        <v>0</v>
      </c>
      <c r="M46" s="883"/>
      <c r="N46" s="883"/>
      <c r="O46" s="326">
        <f t="shared" si="3"/>
        <v>0</v>
      </c>
      <c r="P46" s="171">
        <f>(INDEX(Models!$BJ46:$BT46,,T46)*(1-R46)+INDEX(Models!$BJ46:$BT46,,T46+1)*R46-ERP_i)*Q46*Ramure*Pc/MaxiM</f>
        <v>1.9419862971640624E-5</v>
      </c>
      <c r="Q46" s="307">
        <f t="shared" si="18"/>
        <v>0.9</v>
      </c>
      <c r="R46" s="179">
        <f t="shared" si="4"/>
        <v>0.20227932066049625</v>
      </c>
      <c r="S46" s="839">
        <f t="shared" si="19"/>
        <v>-3</v>
      </c>
      <c r="T46" s="178">
        <f t="shared" si="20"/>
        <v>3</v>
      </c>
      <c r="U46" s="253">
        <f t="shared" si="21"/>
        <v>-2.7977206793395037</v>
      </c>
      <c r="V46" s="385">
        <f t="shared" si="5"/>
        <v>26.585270296370336</v>
      </c>
      <c r="W46" s="58"/>
      <c r="X46" s="157">
        <f t="shared" si="6"/>
        <v>43132</v>
      </c>
      <c r="Y46" s="387">
        <f t="shared" si="7"/>
        <v>0</v>
      </c>
      <c r="Z46" s="387">
        <f t="shared" si="8"/>
        <v>0</v>
      </c>
      <c r="AA46" s="388">
        <f t="shared" si="9"/>
        <v>0</v>
      </c>
      <c r="AB46" s="199">
        <f t="shared" si="10"/>
        <v>43132</v>
      </c>
      <c r="AC46" s="428">
        <f t="shared" si="11"/>
        <v>0</v>
      </c>
      <c r="AD46" s="171">
        <f>(INDEX(Models!$BJ46:$BT46,,AH46)*(1-AF46)+INDEX(Models!$BJ46:$BT46,,AH46+1)*AF46-ERP_i)*AE46*Ramure*Pc/MaxiM</f>
        <v>1.9419862971640624E-5</v>
      </c>
      <c r="AE46" s="307">
        <f t="shared" si="12"/>
        <v>0.9</v>
      </c>
      <c r="AF46" s="179">
        <f t="shared" si="13"/>
        <v>0.20227932066049625</v>
      </c>
      <c r="AG46" s="839">
        <f t="shared" si="22"/>
        <v>-3</v>
      </c>
      <c r="AH46" s="178">
        <f t="shared" si="14"/>
        <v>3</v>
      </c>
      <c r="AI46" s="227">
        <f t="shared" si="15"/>
        <v>-2.7977206793395037</v>
      </c>
      <c r="AJ46" s="267" t="b">
        <f t="shared" si="16"/>
        <v>1</v>
      </c>
      <c r="AK46" s="267" t="b">
        <f t="shared" si="17"/>
        <v>0</v>
      </c>
      <c r="AL46" s="267"/>
      <c r="AM46" s="267"/>
      <c r="AN46" s="75"/>
    </row>
    <row r="47" spans="1:40" s="6" customFormat="1" ht="11.25" x14ac:dyDescent="0.2">
      <c r="A47" s="56">
        <f t="shared" si="23"/>
        <v>43133</v>
      </c>
      <c r="B47" s="624"/>
      <c r="C47" s="881"/>
      <c r="D47" s="395"/>
      <c r="E47" s="387"/>
      <c r="F47" s="387"/>
      <c r="G47" s="110"/>
      <c r="I47" s="382">
        <f t="shared" si="0"/>
        <v>0</v>
      </c>
      <c r="J47" s="85">
        <v>2018</v>
      </c>
      <c r="K47" s="199">
        <f t="shared" si="1"/>
        <v>43133</v>
      </c>
      <c r="L47" s="439">
        <f t="shared" si="2"/>
        <v>0</v>
      </c>
      <c r="M47" s="883"/>
      <c r="N47" s="883"/>
      <c r="O47" s="326">
        <f t="shared" si="3"/>
        <v>0</v>
      </c>
      <c r="P47" s="171">
        <f>(INDEX(Models!$BJ47:$BT47,,T47)*(1-R47)+INDEX(Models!$BJ47:$BT47,,T47+1)*R47-ERP_i)*Q47*Ramure*Pc/MaxiM</f>
        <v>1.9167018209895422E-5</v>
      </c>
      <c r="Q47" s="307">
        <f t="shared" si="18"/>
        <v>0.9</v>
      </c>
      <c r="R47" s="179">
        <f t="shared" si="4"/>
        <v>0.20242447625183901</v>
      </c>
      <c r="S47" s="839">
        <f t="shared" si="19"/>
        <v>-3</v>
      </c>
      <c r="T47" s="178">
        <f t="shared" si="20"/>
        <v>3</v>
      </c>
      <c r="U47" s="253">
        <f t="shared" si="21"/>
        <v>-2.797575523748161</v>
      </c>
      <c r="V47" s="385">
        <f t="shared" si="5"/>
        <v>26.923313687078959</v>
      </c>
      <c r="W47" s="58"/>
      <c r="X47" s="157">
        <f t="shared" si="6"/>
        <v>43133</v>
      </c>
      <c r="Y47" s="387">
        <f t="shared" si="7"/>
        <v>0</v>
      </c>
      <c r="Z47" s="387">
        <f t="shared" si="8"/>
        <v>0</v>
      </c>
      <c r="AA47" s="388">
        <f t="shared" si="9"/>
        <v>0</v>
      </c>
      <c r="AB47" s="199">
        <f t="shared" si="10"/>
        <v>43133</v>
      </c>
      <c r="AC47" s="428">
        <f t="shared" si="11"/>
        <v>0</v>
      </c>
      <c r="AD47" s="171">
        <f>(INDEX(Models!$BJ47:$BT47,,AH47)*(1-AF47)+INDEX(Models!$BJ47:$BT47,,AH47+1)*AF47-ERP_i)*AE47*Ramure*Pc/MaxiM</f>
        <v>1.9167018209895422E-5</v>
      </c>
      <c r="AE47" s="307">
        <f t="shared" si="12"/>
        <v>0.9</v>
      </c>
      <c r="AF47" s="179">
        <f t="shared" si="13"/>
        <v>0.20242447625183901</v>
      </c>
      <c r="AG47" s="839">
        <f t="shared" si="22"/>
        <v>-3</v>
      </c>
      <c r="AH47" s="178">
        <f t="shared" si="14"/>
        <v>3</v>
      </c>
      <c r="AI47" s="227">
        <f t="shared" si="15"/>
        <v>-2.797575523748161</v>
      </c>
      <c r="AJ47" s="267" t="b">
        <f t="shared" si="16"/>
        <v>1</v>
      </c>
      <c r="AK47" s="267" t="b">
        <f t="shared" si="17"/>
        <v>0</v>
      </c>
      <c r="AL47" s="267"/>
      <c r="AM47" s="267"/>
      <c r="AN47" s="75"/>
    </row>
    <row r="48" spans="1:40" s="6" customFormat="1" ht="11.25" x14ac:dyDescent="0.2">
      <c r="A48" s="56">
        <f t="shared" si="23"/>
        <v>43134</v>
      </c>
      <c r="B48" s="624"/>
      <c r="C48" s="881"/>
      <c r="D48" s="395"/>
      <c r="E48" s="387"/>
      <c r="F48" s="387"/>
      <c r="G48" s="110"/>
      <c r="I48" s="382">
        <f t="shared" si="0"/>
        <v>0</v>
      </c>
      <c r="J48" s="85">
        <v>2018</v>
      </c>
      <c r="K48" s="199">
        <f t="shared" si="1"/>
        <v>43134</v>
      </c>
      <c r="L48" s="439">
        <f t="shared" si="2"/>
        <v>0</v>
      </c>
      <c r="M48" s="883"/>
      <c r="N48" s="883"/>
      <c r="O48" s="326">
        <f t="shared" si="3"/>
        <v>0</v>
      </c>
      <c r="P48" s="171">
        <f>(INDEX(Models!$BJ48:$BT48,,T48)*(1-R48)+INDEX(Models!$BJ48:$BT48,,T48+1)*R48-ERP_i)*Q48*Ramure*Pc/MaxiM</f>
        <v>1.882958862777502E-5</v>
      </c>
      <c r="Q48" s="307">
        <f t="shared" si="18"/>
        <v>0.9</v>
      </c>
      <c r="R48" s="179">
        <f t="shared" si="4"/>
        <v>0.20257565717632486</v>
      </c>
      <c r="S48" s="839">
        <f t="shared" si="19"/>
        <v>-3</v>
      </c>
      <c r="T48" s="178">
        <f t="shared" si="20"/>
        <v>3</v>
      </c>
      <c r="U48" s="253">
        <f t="shared" si="21"/>
        <v>-2.7974243428236751</v>
      </c>
      <c r="V48" s="385">
        <f t="shared" si="5"/>
        <v>27.264456873536059</v>
      </c>
      <c r="W48" s="58"/>
      <c r="X48" s="157">
        <f t="shared" si="6"/>
        <v>43134</v>
      </c>
      <c r="Y48" s="387">
        <f t="shared" si="7"/>
        <v>0</v>
      </c>
      <c r="Z48" s="387">
        <f t="shared" si="8"/>
        <v>0</v>
      </c>
      <c r="AA48" s="388">
        <f t="shared" si="9"/>
        <v>0</v>
      </c>
      <c r="AB48" s="199">
        <f t="shared" si="10"/>
        <v>43134</v>
      </c>
      <c r="AC48" s="428">
        <f t="shared" si="11"/>
        <v>0</v>
      </c>
      <c r="AD48" s="171">
        <f>(INDEX(Models!$BJ48:$BT48,,AH48)*(1-AF48)+INDEX(Models!$BJ48:$BT48,,AH48+1)*AF48-ERP_i)*AE48*Ramure*Pc/MaxiM</f>
        <v>1.882958862777502E-5</v>
      </c>
      <c r="AE48" s="307">
        <f t="shared" si="12"/>
        <v>0.9</v>
      </c>
      <c r="AF48" s="179">
        <f t="shared" si="13"/>
        <v>0.20257565717632486</v>
      </c>
      <c r="AG48" s="839">
        <f t="shared" si="22"/>
        <v>-3</v>
      </c>
      <c r="AH48" s="178">
        <f t="shared" si="14"/>
        <v>3</v>
      </c>
      <c r="AI48" s="227">
        <f t="shared" si="15"/>
        <v>-2.7974243428236751</v>
      </c>
      <c r="AJ48" s="267" t="b">
        <f t="shared" si="16"/>
        <v>1</v>
      </c>
      <c r="AK48" s="267" t="b">
        <f t="shared" si="17"/>
        <v>0</v>
      </c>
      <c r="AL48" s="267"/>
      <c r="AM48" s="267"/>
      <c r="AN48" s="75"/>
    </row>
    <row r="49" spans="1:40" s="6" customFormat="1" ht="11.25" x14ac:dyDescent="0.2">
      <c r="A49" s="56">
        <f t="shared" si="23"/>
        <v>43135</v>
      </c>
      <c r="B49" s="624"/>
      <c r="C49" s="881"/>
      <c r="D49" s="395"/>
      <c r="E49" s="387"/>
      <c r="F49" s="387"/>
      <c r="G49" s="110"/>
      <c r="I49" s="382">
        <f t="shared" si="0"/>
        <v>0</v>
      </c>
      <c r="J49" s="85">
        <v>2018</v>
      </c>
      <c r="K49" s="199">
        <f t="shared" si="1"/>
        <v>43135</v>
      </c>
      <c r="L49" s="439">
        <f t="shared" si="2"/>
        <v>0</v>
      </c>
      <c r="M49" s="883"/>
      <c r="N49" s="883"/>
      <c r="O49" s="326">
        <f t="shared" si="3"/>
        <v>0</v>
      </c>
      <c r="P49" s="171">
        <f>(INDEX(Models!$BJ49:$BT49,,T49)*(1-R49)+INDEX(Models!$BJ49:$BT49,,T49+1)*R49-ERP_i)*Q49*Ramure*Pc/MaxiM</f>
        <v>1.8403869334078279E-5</v>
      </c>
      <c r="Q49" s="307">
        <f t="shared" si="18"/>
        <v>0.9</v>
      </c>
      <c r="R49" s="179">
        <f t="shared" si="4"/>
        <v>0.20273311075143763</v>
      </c>
      <c r="S49" s="839">
        <f t="shared" si="19"/>
        <v>-3</v>
      </c>
      <c r="T49" s="178">
        <f t="shared" si="20"/>
        <v>3</v>
      </c>
      <c r="U49" s="253">
        <f t="shared" si="21"/>
        <v>-2.7972668892485624</v>
      </c>
      <c r="V49" s="385">
        <f t="shared" si="5"/>
        <v>27.608364193128676</v>
      </c>
      <c r="W49" s="58"/>
      <c r="X49" s="157">
        <f t="shared" si="6"/>
        <v>43135</v>
      </c>
      <c r="Y49" s="387">
        <f t="shared" si="7"/>
        <v>0</v>
      </c>
      <c r="Z49" s="387">
        <f t="shared" si="8"/>
        <v>0</v>
      </c>
      <c r="AA49" s="388">
        <f t="shared" si="9"/>
        <v>0</v>
      </c>
      <c r="AB49" s="199">
        <f t="shared" si="10"/>
        <v>43135</v>
      </c>
      <c r="AC49" s="428">
        <f t="shared" si="11"/>
        <v>0</v>
      </c>
      <c r="AD49" s="171">
        <f>(INDEX(Models!$BJ49:$BT49,,AH49)*(1-AF49)+INDEX(Models!$BJ49:$BT49,,AH49+1)*AF49-ERP_i)*AE49*Ramure*Pc/MaxiM</f>
        <v>1.8403869334078279E-5</v>
      </c>
      <c r="AE49" s="307">
        <f t="shared" si="12"/>
        <v>0.9</v>
      </c>
      <c r="AF49" s="179">
        <f t="shared" si="13"/>
        <v>0.20273311075143763</v>
      </c>
      <c r="AG49" s="839">
        <f t="shared" si="22"/>
        <v>-3</v>
      </c>
      <c r="AH49" s="178">
        <f t="shared" si="14"/>
        <v>3</v>
      </c>
      <c r="AI49" s="227">
        <f t="shared" si="15"/>
        <v>-2.7972668892485624</v>
      </c>
      <c r="AJ49" s="267" t="b">
        <f t="shared" si="16"/>
        <v>1</v>
      </c>
      <c r="AK49" s="267" t="b">
        <f t="shared" si="17"/>
        <v>0</v>
      </c>
      <c r="AL49" s="267"/>
      <c r="AM49" s="267"/>
      <c r="AN49" s="75"/>
    </row>
    <row r="50" spans="1:40" s="6" customFormat="1" ht="11.25" x14ac:dyDescent="0.2">
      <c r="A50" s="56">
        <f t="shared" si="23"/>
        <v>43136</v>
      </c>
      <c r="B50" s="624"/>
      <c r="C50" s="881"/>
      <c r="D50" s="395"/>
      <c r="E50" s="387"/>
      <c r="F50" s="387"/>
      <c r="G50" s="110"/>
      <c r="I50" s="382">
        <f t="shared" si="0"/>
        <v>0</v>
      </c>
      <c r="J50" s="85">
        <v>2018</v>
      </c>
      <c r="K50" s="199">
        <f t="shared" si="1"/>
        <v>43136</v>
      </c>
      <c r="L50" s="439">
        <f t="shared" si="2"/>
        <v>0</v>
      </c>
      <c r="M50" s="883"/>
      <c r="N50" s="883"/>
      <c r="O50" s="326">
        <f t="shared" si="3"/>
        <v>0</v>
      </c>
      <c r="P50" s="171">
        <f>(INDEX(Models!$BJ50:$BT50,,T50)*(1-R50)+INDEX(Models!$BJ50:$BT50,,T50+1)*R50-ERP_i)*Q50*Ramure*Pc/MaxiM</f>
        <v>1.7885923816309809E-5</v>
      </c>
      <c r="Q50" s="307">
        <f t="shared" si="18"/>
        <v>0.9</v>
      </c>
      <c r="R50" s="179">
        <f t="shared" si="4"/>
        <v>0.20289709420853042</v>
      </c>
      <c r="S50" s="839">
        <f t="shared" si="19"/>
        <v>-3</v>
      </c>
      <c r="T50" s="178">
        <f t="shared" si="20"/>
        <v>3</v>
      </c>
      <c r="U50" s="253">
        <f t="shared" si="21"/>
        <v>-2.7971029057914696</v>
      </c>
      <c r="V50" s="385">
        <f t="shared" si="5"/>
        <v>27.954699994784768</v>
      </c>
      <c r="W50" s="58"/>
      <c r="X50" s="157">
        <f t="shared" si="6"/>
        <v>43136</v>
      </c>
      <c r="Y50" s="387">
        <f t="shared" si="7"/>
        <v>0</v>
      </c>
      <c r="Z50" s="387">
        <f t="shared" si="8"/>
        <v>0</v>
      </c>
      <c r="AA50" s="388">
        <f t="shared" si="9"/>
        <v>0</v>
      </c>
      <c r="AB50" s="199">
        <f t="shared" si="10"/>
        <v>43136</v>
      </c>
      <c r="AC50" s="428">
        <f t="shared" si="11"/>
        <v>0</v>
      </c>
      <c r="AD50" s="171">
        <f>(INDEX(Models!$BJ50:$BT50,,AH50)*(1-AF50)+INDEX(Models!$BJ50:$BT50,,AH50+1)*AF50-ERP_i)*AE50*Ramure*Pc/MaxiM</f>
        <v>1.7885923816309809E-5</v>
      </c>
      <c r="AE50" s="307">
        <f t="shared" si="12"/>
        <v>0.9</v>
      </c>
      <c r="AF50" s="179">
        <f t="shared" si="13"/>
        <v>0.20289709420853042</v>
      </c>
      <c r="AG50" s="839">
        <f t="shared" si="22"/>
        <v>-3</v>
      </c>
      <c r="AH50" s="178">
        <f t="shared" si="14"/>
        <v>3</v>
      </c>
      <c r="AI50" s="227">
        <f t="shared" si="15"/>
        <v>-2.7971029057914696</v>
      </c>
      <c r="AJ50" s="267" t="b">
        <f t="shared" si="16"/>
        <v>1</v>
      </c>
      <c r="AK50" s="267" t="b">
        <f t="shared" si="17"/>
        <v>0</v>
      </c>
      <c r="AL50" s="267"/>
      <c r="AM50" s="267"/>
      <c r="AN50" s="75"/>
    </row>
    <row r="51" spans="1:40" s="6" customFormat="1" ht="11.25" x14ac:dyDescent="0.2">
      <c r="A51" s="56">
        <f t="shared" si="23"/>
        <v>43137</v>
      </c>
      <c r="B51" s="624"/>
      <c r="C51" s="881"/>
      <c r="D51" s="395"/>
      <c r="E51" s="387"/>
      <c r="F51" s="387"/>
      <c r="G51" s="110"/>
      <c r="I51" s="382">
        <f t="shared" si="0"/>
        <v>0</v>
      </c>
      <c r="J51" s="85">
        <v>2018</v>
      </c>
      <c r="K51" s="199">
        <f t="shared" si="1"/>
        <v>43137</v>
      </c>
      <c r="L51" s="439">
        <f t="shared" si="2"/>
        <v>0</v>
      </c>
      <c r="M51" s="883"/>
      <c r="N51" s="883"/>
      <c r="O51" s="326">
        <f t="shared" si="3"/>
        <v>0</v>
      </c>
      <c r="P51" s="171">
        <f>(INDEX(Models!$BJ51:$BT51,,T51)*(1-R51)+INDEX(Models!$BJ51:$BT51,,T51+1)*R51-ERP_i)*Q51*Ramure*Pc/MaxiM</f>
        <v>1.7271200910624296E-5</v>
      </c>
      <c r="Q51" s="307">
        <f t="shared" si="18"/>
        <v>0.9</v>
      </c>
      <c r="R51" s="179">
        <f t="shared" si="4"/>
        <v>0.2030678750699626</v>
      </c>
      <c r="S51" s="839">
        <f t="shared" si="19"/>
        <v>-3</v>
      </c>
      <c r="T51" s="178">
        <f t="shared" si="20"/>
        <v>3</v>
      </c>
      <c r="U51" s="253">
        <f t="shared" si="21"/>
        <v>-2.7969321249300374</v>
      </c>
      <c r="V51" s="385">
        <f t="shared" si="5"/>
        <v>28.303725729547043</v>
      </c>
      <c r="W51" s="58"/>
      <c r="X51" s="157">
        <f t="shared" si="6"/>
        <v>43137</v>
      </c>
      <c r="Y51" s="387">
        <f t="shared" si="7"/>
        <v>0</v>
      </c>
      <c r="Z51" s="387">
        <f t="shared" si="8"/>
        <v>0</v>
      </c>
      <c r="AA51" s="388">
        <f t="shared" si="9"/>
        <v>0</v>
      </c>
      <c r="AB51" s="199">
        <f t="shared" si="10"/>
        <v>43137</v>
      </c>
      <c r="AC51" s="428">
        <f t="shared" si="11"/>
        <v>0</v>
      </c>
      <c r="AD51" s="171">
        <f>(INDEX(Models!$BJ51:$BT51,,AH51)*(1-AF51)+INDEX(Models!$BJ51:$BT51,,AH51+1)*AF51-ERP_i)*AE51*Ramure*Pc/MaxiM</f>
        <v>1.7271200910624296E-5</v>
      </c>
      <c r="AE51" s="307">
        <f t="shared" si="12"/>
        <v>0.9</v>
      </c>
      <c r="AF51" s="179">
        <f t="shared" si="13"/>
        <v>0.2030678750699626</v>
      </c>
      <c r="AG51" s="839">
        <f t="shared" si="22"/>
        <v>-3</v>
      </c>
      <c r="AH51" s="178">
        <f t="shared" si="14"/>
        <v>3</v>
      </c>
      <c r="AI51" s="227">
        <f t="shared" si="15"/>
        <v>-2.7969321249300374</v>
      </c>
      <c r="AJ51" s="267" t="b">
        <f t="shared" si="16"/>
        <v>1</v>
      </c>
      <c r="AK51" s="267" t="b">
        <f t="shared" si="17"/>
        <v>0</v>
      </c>
      <c r="AL51" s="267"/>
      <c r="AM51" s="267"/>
      <c r="AN51" s="75"/>
    </row>
    <row r="52" spans="1:40" s="6" customFormat="1" ht="11.25" x14ac:dyDescent="0.2">
      <c r="A52" s="56">
        <f t="shared" si="23"/>
        <v>43138</v>
      </c>
      <c r="B52" s="624"/>
      <c r="C52" s="881"/>
      <c r="D52" s="395"/>
      <c r="E52" s="387"/>
      <c r="F52" s="387"/>
      <c r="G52" s="110"/>
      <c r="I52" s="382">
        <f t="shared" si="0"/>
        <v>0</v>
      </c>
      <c r="J52" s="85">
        <v>2018</v>
      </c>
      <c r="K52" s="199">
        <f t="shared" si="1"/>
        <v>43138</v>
      </c>
      <c r="L52" s="439">
        <f t="shared" si="2"/>
        <v>0</v>
      </c>
      <c r="M52" s="883"/>
      <c r="N52" s="883"/>
      <c r="O52" s="326">
        <f t="shared" si="3"/>
        <v>0</v>
      </c>
      <c r="P52" s="171">
        <f>(INDEX(Models!$BJ52:$BT52,,T52)*(1-R52)+INDEX(Models!$BJ52:$BT52,,T52+1)*R52-ERP_i)*Q52*Ramure*Pc/MaxiM</f>
        <v>1.6620640625958745E-5</v>
      </c>
      <c r="Q52" s="307">
        <f t="shared" si="18"/>
        <v>0.9</v>
      </c>
      <c r="R52" s="179">
        <f t="shared" si="4"/>
        <v>0.20324573153882453</v>
      </c>
      <c r="S52" s="839">
        <f t="shared" si="19"/>
        <v>-3</v>
      </c>
      <c r="T52" s="178">
        <f t="shared" si="20"/>
        <v>3</v>
      </c>
      <c r="U52" s="253">
        <f t="shared" si="21"/>
        <v>-2.7967542684611755</v>
      </c>
      <c r="V52" s="385">
        <f t="shared" si="5"/>
        <v>28.655999512673574</v>
      </c>
      <c r="W52" s="58"/>
      <c r="X52" s="157">
        <f t="shared" si="6"/>
        <v>43138</v>
      </c>
      <c r="Y52" s="387">
        <f t="shared" si="7"/>
        <v>0</v>
      </c>
      <c r="Z52" s="387">
        <f t="shared" si="8"/>
        <v>0</v>
      </c>
      <c r="AA52" s="388">
        <f t="shared" si="9"/>
        <v>0</v>
      </c>
      <c r="AB52" s="199">
        <f t="shared" si="10"/>
        <v>43138</v>
      </c>
      <c r="AC52" s="428">
        <f t="shared" si="11"/>
        <v>0</v>
      </c>
      <c r="AD52" s="171">
        <f>(INDEX(Models!$BJ52:$BT52,,AH52)*(1-AF52)+INDEX(Models!$BJ52:$BT52,,AH52+1)*AF52-ERP_i)*AE52*Ramure*Pc/MaxiM</f>
        <v>1.6620640625958745E-5</v>
      </c>
      <c r="AE52" s="307">
        <f t="shared" si="12"/>
        <v>0.9</v>
      </c>
      <c r="AF52" s="179">
        <f t="shared" si="13"/>
        <v>0.20324573153882453</v>
      </c>
      <c r="AG52" s="839">
        <f t="shared" si="22"/>
        <v>-3</v>
      </c>
      <c r="AH52" s="178">
        <f t="shared" si="14"/>
        <v>3</v>
      </c>
      <c r="AI52" s="227">
        <f t="shared" si="15"/>
        <v>-2.7967542684611755</v>
      </c>
      <c r="AJ52" s="267" t="b">
        <f t="shared" si="16"/>
        <v>1</v>
      </c>
      <c r="AK52" s="267" t="b">
        <f t="shared" si="17"/>
        <v>0</v>
      </c>
      <c r="AL52" s="267"/>
      <c r="AM52" s="267"/>
      <c r="AN52" s="75"/>
    </row>
    <row r="53" spans="1:40" s="6" customFormat="1" ht="11.25" x14ac:dyDescent="0.2">
      <c r="A53" s="56">
        <f t="shared" si="23"/>
        <v>43139</v>
      </c>
      <c r="B53" s="624"/>
      <c r="C53" s="881"/>
      <c r="D53" s="395"/>
      <c r="E53" s="387"/>
      <c r="F53" s="387"/>
      <c r="G53" s="110"/>
      <c r="I53" s="382">
        <f t="shared" si="0"/>
        <v>0</v>
      </c>
      <c r="J53" s="85">
        <v>2018</v>
      </c>
      <c r="K53" s="199">
        <f t="shared" si="1"/>
        <v>43139</v>
      </c>
      <c r="L53" s="439">
        <f t="shared" si="2"/>
        <v>0</v>
      </c>
      <c r="M53" s="883"/>
      <c r="N53" s="883"/>
      <c r="O53" s="326">
        <f t="shared" si="3"/>
        <v>0</v>
      </c>
      <c r="P53" s="171">
        <f>(INDEX(Models!$BJ53:$BT53,,T53)*(1-R53)+INDEX(Models!$BJ53:$BT53,,T53+1)*R53-ERP_i)*Q53*Ramure*Pc/MaxiM</f>
        <v>1.5991197235467816E-5</v>
      </c>
      <c r="Q53" s="307">
        <f t="shared" si="18"/>
        <v>0.9</v>
      </c>
      <c r="R53" s="179">
        <f t="shared" si="4"/>
        <v>0.20343095290153723</v>
      </c>
      <c r="S53" s="839">
        <f t="shared" si="19"/>
        <v>-3</v>
      </c>
      <c r="T53" s="178">
        <f t="shared" si="20"/>
        <v>3</v>
      </c>
      <c r="U53" s="253">
        <f t="shared" si="21"/>
        <v>-2.7965690470984628</v>
      </c>
      <c r="V53" s="385">
        <f t="shared" si="5"/>
        <v>29.011631688034157</v>
      </c>
      <c r="W53" s="58"/>
      <c r="X53" s="157">
        <f t="shared" si="6"/>
        <v>43139</v>
      </c>
      <c r="Y53" s="387">
        <f t="shared" si="7"/>
        <v>0</v>
      </c>
      <c r="Z53" s="387">
        <f t="shared" si="8"/>
        <v>0</v>
      </c>
      <c r="AA53" s="388">
        <f t="shared" si="9"/>
        <v>0</v>
      </c>
      <c r="AB53" s="199">
        <f t="shared" si="10"/>
        <v>43139</v>
      </c>
      <c r="AC53" s="428">
        <f t="shared" si="11"/>
        <v>0</v>
      </c>
      <c r="AD53" s="171">
        <f>(INDEX(Models!$BJ53:$BT53,,AH53)*(1-AF53)+INDEX(Models!$BJ53:$BT53,,AH53+1)*AF53-ERP_i)*AE53*Ramure*Pc/MaxiM</f>
        <v>1.5991197235467816E-5</v>
      </c>
      <c r="AE53" s="307">
        <f t="shared" si="12"/>
        <v>0.9</v>
      </c>
      <c r="AF53" s="179">
        <f t="shared" si="13"/>
        <v>0.20343095290153723</v>
      </c>
      <c r="AG53" s="839">
        <f t="shared" si="22"/>
        <v>-3</v>
      </c>
      <c r="AH53" s="178">
        <f t="shared" si="14"/>
        <v>3</v>
      </c>
      <c r="AI53" s="227">
        <f t="shared" si="15"/>
        <v>-2.7965690470984628</v>
      </c>
      <c r="AJ53" s="267" t="b">
        <f t="shared" si="16"/>
        <v>1</v>
      </c>
      <c r="AK53" s="267" t="b">
        <f t="shared" si="17"/>
        <v>0</v>
      </c>
      <c r="AL53" s="267"/>
      <c r="AM53" s="267"/>
      <c r="AN53" s="75"/>
    </row>
    <row r="54" spans="1:40" s="6" customFormat="1" ht="11.25" x14ac:dyDescent="0.2">
      <c r="A54" s="56">
        <f t="shared" si="23"/>
        <v>43140</v>
      </c>
      <c r="B54" s="624"/>
      <c r="C54" s="881"/>
      <c r="D54" s="395"/>
      <c r="E54" s="387"/>
      <c r="F54" s="387"/>
      <c r="G54" s="110"/>
      <c r="I54" s="382">
        <f t="shared" si="0"/>
        <v>0</v>
      </c>
      <c r="J54" s="85">
        <v>2018</v>
      </c>
      <c r="K54" s="199">
        <f t="shared" si="1"/>
        <v>43140</v>
      </c>
      <c r="L54" s="439">
        <f t="shared" si="2"/>
        <v>0</v>
      </c>
      <c r="M54" s="883"/>
      <c r="N54" s="883"/>
      <c r="O54" s="326">
        <f t="shared" si="3"/>
        <v>0</v>
      </c>
      <c r="P54" s="171">
        <f>(INDEX(Models!$BJ54:$BT54,,T54)*(1-R54)+INDEX(Models!$BJ54:$BT54,,T54+1)*R54-ERP_i)*Q54*Ramure*Pc/MaxiM</f>
        <v>1.5392643710625864E-5</v>
      </c>
      <c r="Q54" s="307">
        <f t="shared" si="18"/>
        <v>0.9</v>
      </c>
      <c r="R54" s="179">
        <f t="shared" si="4"/>
        <v>0.20362383994356481</v>
      </c>
      <c r="S54" s="839">
        <f t="shared" si="19"/>
        <v>-3</v>
      </c>
      <c r="T54" s="178">
        <f t="shared" si="20"/>
        <v>3</v>
      </c>
      <c r="U54" s="253">
        <f t="shared" si="21"/>
        <v>-2.7963761600564352</v>
      </c>
      <c r="V54" s="385">
        <f t="shared" si="5"/>
        <v>29.370733905229024</v>
      </c>
      <c r="W54" s="58"/>
      <c r="X54" s="157">
        <f t="shared" si="6"/>
        <v>43140</v>
      </c>
      <c r="Y54" s="387">
        <f t="shared" si="7"/>
        <v>0</v>
      </c>
      <c r="Z54" s="387">
        <f t="shared" si="8"/>
        <v>0</v>
      </c>
      <c r="AA54" s="388">
        <f t="shared" si="9"/>
        <v>0</v>
      </c>
      <c r="AB54" s="199">
        <f t="shared" si="10"/>
        <v>43140</v>
      </c>
      <c r="AC54" s="428">
        <f t="shared" si="11"/>
        <v>0</v>
      </c>
      <c r="AD54" s="171">
        <f>(INDEX(Models!$BJ54:$BT54,,AH54)*(1-AF54)+INDEX(Models!$BJ54:$BT54,,AH54+1)*AF54-ERP_i)*AE54*Ramure*Pc/MaxiM</f>
        <v>1.5392643710625864E-5</v>
      </c>
      <c r="AE54" s="307">
        <f t="shared" si="12"/>
        <v>0.9</v>
      </c>
      <c r="AF54" s="179">
        <f t="shared" si="13"/>
        <v>0.20362383994356481</v>
      </c>
      <c r="AG54" s="839">
        <f t="shared" si="22"/>
        <v>-3</v>
      </c>
      <c r="AH54" s="178">
        <f t="shared" si="14"/>
        <v>3</v>
      </c>
      <c r="AI54" s="227">
        <f t="shared" si="15"/>
        <v>-2.7963761600564352</v>
      </c>
      <c r="AJ54" s="267" t="b">
        <f t="shared" si="16"/>
        <v>1</v>
      </c>
      <c r="AK54" s="267" t="b">
        <f t="shared" si="17"/>
        <v>0</v>
      </c>
      <c r="AL54" s="267"/>
      <c r="AM54" s="267"/>
      <c r="AN54" s="75"/>
    </row>
    <row r="55" spans="1:40" s="6" customFormat="1" ht="11.25" customHeight="1" x14ac:dyDescent="0.2">
      <c r="A55" s="56">
        <f t="shared" si="23"/>
        <v>43141</v>
      </c>
      <c r="B55" s="624"/>
      <c r="C55" s="881"/>
      <c r="D55" s="395"/>
      <c r="E55" s="387"/>
      <c r="F55" s="387"/>
      <c r="G55" s="110"/>
      <c r="I55" s="382">
        <f t="shared" si="0"/>
        <v>0</v>
      </c>
      <c r="J55" s="85">
        <v>2018</v>
      </c>
      <c r="K55" s="199">
        <f t="shared" si="1"/>
        <v>43141</v>
      </c>
      <c r="L55" s="439">
        <f t="shared" si="2"/>
        <v>0</v>
      </c>
      <c r="M55" s="883"/>
      <c r="N55" s="883"/>
      <c r="O55" s="326">
        <f t="shared" si="3"/>
        <v>0</v>
      </c>
      <c r="P55" s="171">
        <f>(INDEX(Models!$BJ55:$BT55,,T55)*(1-R55)+INDEX(Models!$BJ55:$BT55,,T55+1)*R55-ERP_i)*Q55*Ramure*Pc/MaxiM</f>
        <v>1.4835292655083201E-5</v>
      </c>
      <c r="Q55" s="307">
        <f t="shared" si="18"/>
        <v>0.9</v>
      </c>
      <c r="R55" s="179">
        <f t="shared" si="4"/>
        <v>0.20382470537849251</v>
      </c>
      <c r="S55" s="839">
        <f t="shared" si="19"/>
        <v>-3</v>
      </c>
      <c r="T55" s="178">
        <f t="shared" si="20"/>
        <v>3</v>
      </c>
      <c r="U55" s="253">
        <f t="shared" si="21"/>
        <v>-2.7961752946215075</v>
      </c>
      <c r="V55" s="385">
        <f t="shared" si="5"/>
        <v>29.73341778022662</v>
      </c>
      <c r="W55" s="58"/>
      <c r="X55" s="157">
        <f t="shared" si="6"/>
        <v>43141</v>
      </c>
      <c r="Y55" s="387">
        <f t="shared" si="7"/>
        <v>0</v>
      </c>
      <c r="Z55" s="387">
        <f t="shared" si="8"/>
        <v>0</v>
      </c>
      <c r="AA55" s="388">
        <f t="shared" si="9"/>
        <v>0</v>
      </c>
      <c r="AB55" s="199">
        <f t="shared" si="10"/>
        <v>43141</v>
      </c>
      <c r="AC55" s="428">
        <f t="shared" si="11"/>
        <v>0</v>
      </c>
      <c r="AD55" s="171">
        <f>(INDEX(Models!$BJ55:$BT55,,AH55)*(1-AF55)+INDEX(Models!$BJ55:$BT55,,AH55+1)*AF55-ERP_i)*AE55*Ramure*Pc/MaxiM</f>
        <v>1.4835292655083201E-5</v>
      </c>
      <c r="AE55" s="307">
        <f t="shared" si="12"/>
        <v>0.9</v>
      </c>
      <c r="AF55" s="179">
        <f t="shared" si="13"/>
        <v>0.20382470537849251</v>
      </c>
      <c r="AG55" s="839">
        <f t="shared" si="22"/>
        <v>-3</v>
      </c>
      <c r="AH55" s="178">
        <f t="shared" si="14"/>
        <v>3</v>
      </c>
      <c r="AI55" s="227">
        <f t="shared" si="15"/>
        <v>-2.7961752946215075</v>
      </c>
      <c r="AJ55" s="267" t="b">
        <f t="shared" si="16"/>
        <v>1</v>
      </c>
      <c r="AK55" s="267" t="b">
        <f t="shared" si="17"/>
        <v>0</v>
      </c>
      <c r="AL55" s="267"/>
      <c r="AM55" s="267"/>
      <c r="AN55" s="75"/>
    </row>
    <row r="56" spans="1:40" s="6" customFormat="1" ht="11.25" customHeight="1" x14ac:dyDescent="0.2">
      <c r="A56" s="56">
        <f t="shared" si="23"/>
        <v>43142</v>
      </c>
      <c r="B56" s="624"/>
      <c r="C56" s="881"/>
      <c r="D56" s="395"/>
      <c r="E56" s="387"/>
      <c r="F56" s="387"/>
      <c r="G56" s="110"/>
      <c r="I56" s="382">
        <f t="shared" si="0"/>
        <v>0</v>
      </c>
      <c r="J56" s="85">
        <v>2018</v>
      </c>
      <c r="K56" s="199">
        <f t="shared" si="1"/>
        <v>43142</v>
      </c>
      <c r="L56" s="439">
        <f t="shared" si="2"/>
        <v>0</v>
      </c>
      <c r="M56" s="883"/>
      <c r="N56" s="883"/>
      <c r="O56" s="326">
        <f t="shared" si="3"/>
        <v>0</v>
      </c>
      <c r="P56" s="171">
        <f>(INDEX(Models!$BJ56:$BT56,,T56)*(1-R56)+INDEX(Models!$BJ56:$BT56,,T56+1)*R56-ERP_i)*Q56*Ramure*Pc/MaxiM</f>
        <v>1.4330026071362151E-5</v>
      </c>
      <c r="Q56" s="307">
        <f t="shared" si="18"/>
        <v>0.9</v>
      </c>
      <c r="R56" s="179">
        <f t="shared" si="4"/>
        <v>0.20403387429069797</v>
      </c>
      <c r="S56" s="839">
        <f t="shared" si="19"/>
        <v>-3</v>
      </c>
      <c r="T56" s="178">
        <f t="shared" si="20"/>
        <v>3</v>
      </c>
      <c r="U56" s="253">
        <f t="shared" si="21"/>
        <v>-2.795966125709302</v>
      </c>
      <c r="V56" s="385">
        <f t="shared" si="5"/>
        <v>30.099794901343195</v>
      </c>
      <c r="W56" s="58"/>
      <c r="X56" s="157">
        <f t="shared" si="6"/>
        <v>43142</v>
      </c>
      <c r="Y56" s="387">
        <f t="shared" si="7"/>
        <v>0</v>
      </c>
      <c r="Z56" s="387">
        <f t="shared" si="8"/>
        <v>0</v>
      </c>
      <c r="AA56" s="388">
        <f t="shared" si="9"/>
        <v>0</v>
      </c>
      <c r="AB56" s="199">
        <f t="shared" si="10"/>
        <v>43142</v>
      </c>
      <c r="AC56" s="428">
        <f t="shared" si="11"/>
        <v>0</v>
      </c>
      <c r="AD56" s="171">
        <f>(INDEX(Models!$BJ56:$BT56,,AH56)*(1-AF56)+INDEX(Models!$BJ56:$BT56,,AH56+1)*AF56-ERP_i)*AE56*Ramure*Pc/MaxiM</f>
        <v>1.4330026071362151E-5</v>
      </c>
      <c r="AE56" s="307">
        <f t="shared" si="12"/>
        <v>0.9</v>
      </c>
      <c r="AF56" s="179">
        <f t="shared" si="13"/>
        <v>0.20403387429069797</v>
      </c>
      <c r="AG56" s="839">
        <f t="shared" si="22"/>
        <v>-3</v>
      </c>
      <c r="AH56" s="178">
        <f t="shared" si="14"/>
        <v>3</v>
      </c>
      <c r="AI56" s="227">
        <f t="shared" si="15"/>
        <v>-2.795966125709302</v>
      </c>
      <c r="AJ56" s="267" t="b">
        <f t="shared" si="16"/>
        <v>1</v>
      </c>
      <c r="AK56" s="267" t="b">
        <f t="shared" si="17"/>
        <v>0</v>
      </c>
      <c r="AL56" s="267"/>
      <c r="AM56" s="267"/>
      <c r="AN56" s="75"/>
    </row>
    <row r="57" spans="1:40" s="6" customFormat="1" ht="11.25" customHeight="1" x14ac:dyDescent="0.2">
      <c r="A57" s="56">
        <f t="shared" si="23"/>
        <v>43143</v>
      </c>
      <c r="B57" s="624"/>
      <c r="C57" s="881"/>
      <c r="D57" s="395"/>
      <c r="E57" s="387"/>
      <c r="F57" s="387"/>
      <c r="G57" s="110"/>
      <c r="I57" s="382">
        <f t="shared" si="0"/>
        <v>0</v>
      </c>
      <c r="J57" s="85">
        <v>2018</v>
      </c>
      <c r="K57" s="199">
        <f t="shared" si="1"/>
        <v>43143</v>
      </c>
      <c r="L57" s="439">
        <f t="shared" si="2"/>
        <v>0</v>
      </c>
      <c r="M57" s="883"/>
      <c r="N57" s="883"/>
      <c r="O57" s="326">
        <f t="shared" si="3"/>
        <v>0</v>
      </c>
      <c r="P57" s="171">
        <f>(INDEX(Models!$BJ57:$BT57,,T57)*(1-R57)+INDEX(Models!$BJ57:$BT57,,T57+1)*R57-ERP_i)*Q57*Ramure*Pc/MaxiM</f>
        <v>1.3888326177870986E-5</v>
      </c>
      <c r="Q57" s="307">
        <f t="shared" si="18"/>
        <v>0.9</v>
      </c>
      <c r="R57" s="179">
        <f t="shared" si="4"/>
        <v>0.20425168459183007</v>
      </c>
      <c r="S57" s="839">
        <f t="shared" si="19"/>
        <v>-3</v>
      </c>
      <c r="T57" s="178">
        <f t="shared" si="20"/>
        <v>3</v>
      </c>
      <c r="U57" s="253">
        <f t="shared" si="21"/>
        <v>-2.7957483154081699</v>
      </c>
      <c r="V57" s="385">
        <f t="shared" si="5"/>
        <v>30.469976816392041</v>
      </c>
      <c r="W57" s="58"/>
      <c r="X57" s="157">
        <f t="shared" si="6"/>
        <v>43143</v>
      </c>
      <c r="Y57" s="387">
        <f t="shared" si="7"/>
        <v>0</v>
      </c>
      <c r="Z57" s="387">
        <f t="shared" si="8"/>
        <v>0</v>
      </c>
      <c r="AA57" s="388">
        <f t="shared" si="9"/>
        <v>0</v>
      </c>
      <c r="AB57" s="199">
        <f t="shared" si="10"/>
        <v>43143</v>
      </c>
      <c r="AC57" s="428">
        <f t="shared" si="11"/>
        <v>0</v>
      </c>
      <c r="AD57" s="171">
        <f>(INDEX(Models!$BJ57:$BT57,,AH57)*(1-AF57)+INDEX(Models!$BJ57:$BT57,,AH57+1)*AF57-ERP_i)*AE57*Ramure*Pc/MaxiM</f>
        <v>1.3888326177870986E-5</v>
      </c>
      <c r="AE57" s="307">
        <f t="shared" si="12"/>
        <v>0.9</v>
      </c>
      <c r="AF57" s="179">
        <f t="shared" si="13"/>
        <v>0.20425168459183007</v>
      </c>
      <c r="AG57" s="839">
        <f t="shared" si="22"/>
        <v>-3</v>
      </c>
      <c r="AH57" s="178">
        <f t="shared" si="14"/>
        <v>3</v>
      </c>
      <c r="AI57" s="227">
        <f t="shared" si="15"/>
        <v>-2.7957483154081699</v>
      </c>
      <c r="AJ57" s="267" t="b">
        <f t="shared" si="16"/>
        <v>1</v>
      </c>
      <c r="AK57" s="267" t="b">
        <f t="shared" si="17"/>
        <v>0</v>
      </c>
      <c r="AL57" s="267"/>
      <c r="AM57" s="267"/>
      <c r="AN57" s="75"/>
    </row>
    <row r="58" spans="1:40" s="6" customFormat="1" ht="11.25" customHeight="1" x14ac:dyDescent="0.2">
      <c r="A58" s="56">
        <f t="shared" si="23"/>
        <v>43144</v>
      </c>
      <c r="B58" s="624"/>
      <c r="C58" s="881"/>
      <c r="D58" s="395"/>
      <c r="E58" s="387"/>
      <c r="F58" s="387"/>
      <c r="G58" s="110"/>
      <c r="I58" s="382">
        <f t="shared" si="0"/>
        <v>0</v>
      </c>
      <c r="J58" s="85">
        <v>2018</v>
      </c>
      <c r="K58" s="199">
        <f t="shared" si="1"/>
        <v>43144</v>
      </c>
      <c r="L58" s="439">
        <f t="shared" si="2"/>
        <v>0</v>
      </c>
      <c r="M58" s="883"/>
      <c r="N58" s="883"/>
      <c r="O58" s="326">
        <f t="shared" si="3"/>
        <v>0</v>
      </c>
      <c r="P58" s="171">
        <f>(INDEX(Models!$BJ58:$BT58,,T58)*(1-R58)+INDEX(Models!$BJ58:$BT58,,T58+1)*R58-ERP_i)*Q58*Ramure*Pc/MaxiM</f>
        <v>1.3551746654348656E-5</v>
      </c>
      <c r="Q58" s="307">
        <f t="shared" si="18"/>
        <v>0.9</v>
      </c>
      <c r="R58" s="179">
        <f t="shared" si="4"/>
        <v>0.20447848749128505</v>
      </c>
      <c r="S58" s="839">
        <f t="shared" si="19"/>
        <v>-3</v>
      </c>
      <c r="T58" s="178">
        <f t="shared" si="20"/>
        <v>3</v>
      </c>
      <c r="U58" s="253">
        <f t="shared" si="21"/>
        <v>-2.7955215125087149</v>
      </c>
      <c r="V58" s="385">
        <f t="shared" si="5"/>
        <v>30.844074131003346</v>
      </c>
      <c r="W58" s="58"/>
      <c r="X58" s="157">
        <f t="shared" si="6"/>
        <v>43144</v>
      </c>
      <c r="Y58" s="387">
        <f t="shared" si="7"/>
        <v>0</v>
      </c>
      <c r="Z58" s="387">
        <f t="shared" si="8"/>
        <v>0</v>
      </c>
      <c r="AA58" s="388">
        <f t="shared" si="9"/>
        <v>0</v>
      </c>
      <c r="AB58" s="199">
        <f t="shared" si="10"/>
        <v>43144</v>
      </c>
      <c r="AC58" s="428">
        <f t="shared" si="11"/>
        <v>0</v>
      </c>
      <c r="AD58" s="171">
        <f>(INDEX(Models!$BJ58:$BT58,,AH58)*(1-AF58)+INDEX(Models!$BJ58:$BT58,,AH58+1)*AF58-ERP_i)*AE58*Ramure*Pc/MaxiM</f>
        <v>1.3551746654348656E-5</v>
      </c>
      <c r="AE58" s="307">
        <f t="shared" si="12"/>
        <v>0.9</v>
      </c>
      <c r="AF58" s="179">
        <f t="shared" si="13"/>
        <v>0.20447848749128505</v>
      </c>
      <c r="AG58" s="839">
        <f t="shared" si="22"/>
        <v>-3</v>
      </c>
      <c r="AH58" s="178">
        <f t="shared" si="14"/>
        <v>3</v>
      </c>
      <c r="AI58" s="227">
        <f t="shared" si="15"/>
        <v>-2.7955215125087149</v>
      </c>
      <c r="AJ58" s="267" t="b">
        <f t="shared" si="16"/>
        <v>1</v>
      </c>
      <c r="AK58" s="267" t="b">
        <f t="shared" si="17"/>
        <v>0</v>
      </c>
      <c r="AL58" s="267"/>
      <c r="AM58" s="267"/>
      <c r="AN58" s="75"/>
    </row>
    <row r="59" spans="1:40" s="6" customFormat="1" ht="11.25" x14ac:dyDescent="0.2">
      <c r="A59" s="56">
        <f t="shared" si="23"/>
        <v>43145</v>
      </c>
      <c r="B59" s="624"/>
      <c r="C59" s="881"/>
      <c r="D59" s="395"/>
      <c r="E59" s="387"/>
      <c r="F59" s="387"/>
      <c r="G59" s="110"/>
      <c r="I59" s="382">
        <f t="shared" si="0"/>
        <v>0</v>
      </c>
      <c r="J59" s="85">
        <v>2018</v>
      </c>
      <c r="K59" s="199">
        <f t="shared" si="1"/>
        <v>43145</v>
      </c>
      <c r="L59" s="439">
        <f t="shared" si="2"/>
        <v>0</v>
      </c>
      <c r="M59" s="883"/>
      <c r="N59" s="883"/>
      <c r="O59" s="326">
        <f t="shared" si="3"/>
        <v>0</v>
      </c>
      <c r="P59" s="171">
        <f>(INDEX(Models!$BJ59:$BT59,,T59)*(1-R59)+INDEX(Models!$BJ59:$BT59,,T59+1)*R59-ERP_i)*Q59*Ramure*Pc/MaxiM</f>
        <v>1.3280921241450593E-5</v>
      </c>
      <c r="Q59" s="307">
        <f t="shared" si="18"/>
        <v>0.9</v>
      </c>
      <c r="R59" s="179">
        <f t="shared" si="4"/>
        <v>0.20471464798085925</v>
      </c>
      <c r="S59" s="839">
        <f t="shared" si="19"/>
        <v>-3</v>
      </c>
      <c r="T59" s="178">
        <f t="shared" si="20"/>
        <v>3</v>
      </c>
      <c r="U59" s="253">
        <f t="shared" si="21"/>
        <v>-2.7952853520191407</v>
      </c>
      <c r="V59" s="385">
        <f t="shared" si="5"/>
        <v>31.222199911209881</v>
      </c>
      <c r="W59" s="58"/>
      <c r="X59" s="157">
        <f t="shared" si="6"/>
        <v>43145</v>
      </c>
      <c r="Y59" s="387">
        <f t="shared" si="7"/>
        <v>0</v>
      </c>
      <c r="Z59" s="387">
        <f t="shared" si="8"/>
        <v>0</v>
      </c>
      <c r="AA59" s="388">
        <f t="shared" si="9"/>
        <v>0</v>
      </c>
      <c r="AB59" s="199">
        <f t="shared" si="10"/>
        <v>43145</v>
      </c>
      <c r="AC59" s="428">
        <f t="shared" si="11"/>
        <v>0</v>
      </c>
      <c r="AD59" s="171">
        <f>(INDEX(Models!$BJ59:$BT59,,AH59)*(1-AF59)+INDEX(Models!$BJ59:$BT59,,AH59+1)*AF59-ERP_i)*AE59*Ramure*Pc/MaxiM</f>
        <v>1.3280921241450593E-5</v>
      </c>
      <c r="AE59" s="307">
        <f t="shared" si="12"/>
        <v>0.9</v>
      </c>
      <c r="AF59" s="179">
        <f t="shared" si="13"/>
        <v>0.20471464798085925</v>
      </c>
      <c r="AG59" s="839">
        <f t="shared" si="22"/>
        <v>-3</v>
      </c>
      <c r="AH59" s="178">
        <f t="shared" si="14"/>
        <v>3</v>
      </c>
      <c r="AI59" s="227">
        <f t="shared" si="15"/>
        <v>-2.7952853520191407</v>
      </c>
      <c r="AJ59" s="267" t="b">
        <f t="shared" si="16"/>
        <v>1</v>
      </c>
      <c r="AK59" s="267" t="b">
        <f t="shared" si="17"/>
        <v>0</v>
      </c>
      <c r="AL59" s="267"/>
      <c r="AM59" s="267"/>
      <c r="AN59" s="75"/>
    </row>
    <row r="60" spans="1:40" s="6" customFormat="1" ht="11.25" x14ac:dyDescent="0.2">
      <c r="A60" s="56">
        <f t="shared" si="23"/>
        <v>43146</v>
      </c>
      <c r="B60" s="624"/>
      <c r="C60" s="881"/>
      <c r="D60" s="395"/>
      <c r="E60" s="387"/>
      <c r="F60" s="387"/>
      <c r="G60" s="110"/>
      <c r="I60" s="382">
        <f t="shared" si="0"/>
        <v>0</v>
      </c>
      <c r="J60" s="85">
        <v>2018</v>
      </c>
      <c r="K60" s="199">
        <f t="shared" si="1"/>
        <v>43146</v>
      </c>
      <c r="L60" s="439">
        <f t="shared" si="2"/>
        <v>0</v>
      </c>
      <c r="M60" s="883"/>
      <c r="N60" s="883"/>
      <c r="O60" s="326">
        <f t="shared" si="3"/>
        <v>0</v>
      </c>
      <c r="P60" s="171">
        <f>(INDEX(Models!$BJ60:$BT60,,T60)*(1-R60)+INDEX(Models!$BJ60:$BT60,,T60+1)*R60-ERP_i)*Q60*Ramure*Pc/MaxiM</f>
        <v>1.3086649634967459E-5</v>
      </c>
      <c r="Q60" s="307">
        <f t="shared" si="18"/>
        <v>0.9</v>
      </c>
      <c r="R60" s="179">
        <f t="shared" si="4"/>
        <v>0.20496054533372199</v>
      </c>
      <c r="S60" s="839">
        <f t="shared" si="19"/>
        <v>-3</v>
      </c>
      <c r="T60" s="178">
        <f t="shared" si="20"/>
        <v>3</v>
      </c>
      <c r="U60" s="253">
        <f t="shared" si="21"/>
        <v>-2.795039454666278</v>
      </c>
      <c r="V60" s="385">
        <f t="shared" si="5"/>
        <v>31.604465697781972</v>
      </c>
      <c r="W60" s="58"/>
      <c r="X60" s="157">
        <f t="shared" si="6"/>
        <v>43146</v>
      </c>
      <c r="Y60" s="387">
        <f t="shared" si="7"/>
        <v>0</v>
      </c>
      <c r="Z60" s="387">
        <f t="shared" si="8"/>
        <v>0</v>
      </c>
      <c r="AA60" s="388">
        <f t="shared" si="9"/>
        <v>0</v>
      </c>
      <c r="AB60" s="199">
        <f t="shared" si="10"/>
        <v>43146</v>
      </c>
      <c r="AC60" s="428">
        <f t="shared" si="11"/>
        <v>0</v>
      </c>
      <c r="AD60" s="171">
        <f>(INDEX(Models!$BJ60:$BT60,,AH60)*(1-AF60)+INDEX(Models!$BJ60:$BT60,,AH60+1)*AF60-ERP_i)*AE60*Ramure*Pc/MaxiM</f>
        <v>1.3086649634967459E-5</v>
      </c>
      <c r="AE60" s="307">
        <f t="shared" si="12"/>
        <v>0.9</v>
      </c>
      <c r="AF60" s="179">
        <f t="shared" si="13"/>
        <v>0.20496054533372199</v>
      </c>
      <c r="AG60" s="839">
        <f t="shared" si="22"/>
        <v>-3</v>
      </c>
      <c r="AH60" s="178">
        <f t="shared" si="14"/>
        <v>3</v>
      </c>
      <c r="AI60" s="227">
        <f t="shared" si="15"/>
        <v>-2.795039454666278</v>
      </c>
      <c r="AJ60" s="267" t="b">
        <f t="shared" si="16"/>
        <v>1</v>
      </c>
      <c r="AK60" s="267" t="b">
        <f t="shared" si="17"/>
        <v>0</v>
      </c>
      <c r="AL60" s="267"/>
      <c r="AM60" s="267"/>
      <c r="AN60" s="75"/>
    </row>
    <row r="61" spans="1:40" s="6" customFormat="1" ht="11.25" customHeight="1" x14ac:dyDescent="0.2">
      <c r="A61" s="56">
        <f t="shared" si="23"/>
        <v>43147</v>
      </c>
      <c r="B61" s="624"/>
      <c r="C61" s="881"/>
      <c r="D61" s="395"/>
      <c r="E61" s="387"/>
      <c r="F61" s="387"/>
      <c r="G61" s="110"/>
      <c r="I61" s="382">
        <f t="shared" si="0"/>
        <v>0</v>
      </c>
      <c r="J61" s="85">
        <v>2018</v>
      </c>
      <c r="K61" s="199">
        <f t="shared" si="1"/>
        <v>43147</v>
      </c>
      <c r="L61" s="439">
        <f t="shared" si="2"/>
        <v>0</v>
      </c>
      <c r="M61" s="883"/>
      <c r="N61" s="883"/>
      <c r="O61" s="326">
        <f t="shared" si="3"/>
        <v>0</v>
      </c>
      <c r="P61" s="171">
        <f>(INDEX(Models!$BJ61:$BT61,,T61)*(1-R61)+INDEX(Models!$BJ61:$BT61,,T61+1)*R61-ERP_i)*Q61*Ramure*Pc/MaxiM</f>
        <v>1.2980324390517619E-5</v>
      </c>
      <c r="Q61" s="307">
        <f t="shared" si="18"/>
        <v>0.9</v>
      </c>
      <c r="R61" s="179">
        <f t="shared" si="4"/>
        <v>0.2052165736178253</v>
      </c>
      <c r="S61" s="839">
        <f t="shared" si="19"/>
        <v>-3</v>
      </c>
      <c r="T61" s="178">
        <f t="shared" si="20"/>
        <v>3</v>
      </c>
      <c r="U61" s="253">
        <f t="shared" si="21"/>
        <v>-2.7947834263821747</v>
      </c>
      <c r="V61" s="385">
        <f t="shared" si="5"/>
        <v>31.990982990839566</v>
      </c>
      <c r="W61" s="58"/>
      <c r="X61" s="157">
        <f t="shared" si="6"/>
        <v>43147</v>
      </c>
      <c r="Y61" s="387">
        <f t="shared" si="7"/>
        <v>0</v>
      </c>
      <c r="Z61" s="387">
        <f t="shared" si="8"/>
        <v>0</v>
      </c>
      <c r="AA61" s="388">
        <f t="shared" si="9"/>
        <v>0</v>
      </c>
      <c r="AB61" s="199">
        <f t="shared" si="10"/>
        <v>43147</v>
      </c>
      <c r="AC61" s="428">
        <f t="shared" si="11"/>
        <v>0</v>
      </c>
      <c r="AD61" s="171">
        <f>(INDEX(Models!$BJ61:$BT61,,AH61)*(1-AF61)+INDEX(Models!$BJ61:$BT61,,AH61+1)*AF61-ERP_i)*AE61*Ramure*Pc/MaxiM</f>
        <v>1.2980324390517619E-5</v>
      </c>
      <c r="AE61" s="307">
        <f t="shared" si="12"/>
        <v>0.9</v>
      </c>
      <c r="AF61" s="179">
        <f t="shared" si="13"/>
        <v>0.2052165736178253</v>
      </c>
      <c r="AG61" s="839">
        <f t="shared" si="22"/>
        <v>-3</v>
      </c>
      <c r="AH61" s="178">
        <f t="shared" si="14"/>
        <v>3</v>
      </c>
      <c r="AI61" s="227">
        <f t="shared" si="15"/>
        <v>-2.7947834263821747</v>
      </c>
      <c r="AJ61" s="267" t="b">
        <f t="shared" si="16"/>
        <v>1</v>
      </c>
      <c r="AK61" s="267" t="b">
        <f t="shared" si="17"/>
        <v>0</v>
      </c>
      <c r="AL61" s="267"/>
      <c r="AM61" s="267"/>
      <c r="AN61" s="75"/>
    </row>
    <row r="62" spans="1:40" s="6" customFormat="1" ht="11.25" x14ac:dyDescent="0.2">
      <c r="A62" s="56">
        <f t="shared" si="23"/>
        <v>43148</v>
      </c>
      <c r="B62" s="624"/>
      <c r="C62" s="881"/>
      <c r="D62" s="395"/>
      <c r="E62" s="387"/>
      <c r="F62" s="387"/>
      <c r="G62" s="110"/>
      <c r="I62" s="382">
        <f t="shared" si="0"/>
        <v>0</v>
      </c>
      <c r="J62" s="85">
        <v>2018</v>
      </c>
      <c r="K62" s="199">
        <f t="shared" si="1"/>
        <v>43148</v>
      </c>
      <c r="L62" s="439">
        <f t="shared" si="2"/>
        <v>0</v>
      </c>
      <c r="M62" s="883"/>
      <c r="N62" s="883"/>
      <c r="O62" s="326">
        <f t="shared" si="3"/>
        <v>0</v>
      </c>
      <c r="P62" s="171">
        <f>(INDEX(Models!$BJ62:$BT62,,T62)*(1-R62)+INDEX(Models!$BJ62:$BT62,,T62+1)*R62-ERP_i)*Q62*Ramure*Pc/MaxiM</f>
        <v>1.2973960944205904E-5</v>
      </c>
      <c r="Q62" s="307">
        <f t="shared" si="18"/>
        <v>0.9</v>
      </c>
      <c r="R62" s="179">
        <f t="shared" si="4"/>
        <v>0.2054831422238439</v>
      </c>
      <c r="S62" s="839">
        <f t="shared" si="19"/>
        <v>-3</v>
      </c>
      <c r="T62" s="178">
        <f t="shared" si="20"/>
        <v>3</v>
      </c>
      <c r="U62" s="253">
        <f t="shared" si="21"/>
        <v>-2.7945168577761561</v>
      </c>
      <c r="V62" s="385">
        <f t="shared" si="5"/>
        <v>32.381863254892814</v>
      </c>
      <c r="W62" s="58"/>
      <c r="X62" s="157">
        <f t="shared" si="6"/>
        <v>43148</v>
      </c>
      <c r="Y62" s="387">
        <f t="shared" si="7"/>
        <v>0</v>
      </c>
      <c r="Z62" s="387">
        <f t="shared" si="8"/>
        <v>0</v>
      </c>
      <c r="AA62" s="388">
        <f t="shared" si="9"/>
        <v>0</v>
      </c>
      <c r="AB62" s="199">
        <f t="shared" si="10"/>
        <v>43148</v>
      </c>
      <c r="AC62" s="428">
        <f t="shared" si="11"/>
        <v>0</v>
      </c>
      <c r="AD62" s="171">
        <f>(INDEX(Models!$BJ62:$BT62,,AH62)*(1-AF62)+INDEX(Models!$BJ62:$BT62,,AH62+1)*AF62-ERP_i)*AE62*Ramure*Pc/MaxiM</f>
        <v>1.2973960944205904E-5</v>
      </c>
      <c r="AE62" s="307">
        <f t="shared" si="12"/>
        <v>0.9</v>
      </c>
      <c r="AF62" s="179">
        <f t="shared" si="13"/>
        <v>0.2054831422238439</v>
      </c>
      <c r="AG62" s="839">
        <f t="shared" si="22"/>
        <v>-3</v>
      </c>
      <c r="AH62" s="178">
        <f t="shared" si="14"/>
        <v>3</v>
      </c>
      <c r="AI62" s="227">
        <f t="shared" si="15"/>
        <v>-2.7945168577761561</v>
      </c>
      <c r="AJ62" s="267" t="b">
        <f t="shared" si="16"/>
        <v>1</v>
      </c>
      <c r="AK62" s="267" t="b">
        <f t="shared" si="17"/>
        <v>0</v>
      </c>
      <c r="AL62" s="267"/>
      <c r="AM62" s="267"/>
      <c r="AN62" s="75"/>
    </row>
    <row r="63" spans="1:40" s="6" customFormat="1" ht="11.25" customHeight="1" x14ac:dyDescent="0.2">
      <c r="A63" s="56">
        <f t="shared" si="23"/>
        <v>43149</v>
      </c>
      <c r="B63" s="624"/>
      <c r="C63" s="881"/>
      <c r="D63" s="395"/>
      <c r="E63" s="387"/>
      <c r="F63" s="387"/>
      <c r="G63" s="110"/>
      <c r="I63" s="382">
        <f t="shared" si="0"/>
        <v>0</v>
      </c>
      <c r="J63" s="85">
        <v>2018</v>
      </c>
      <c r="K63" s="199">
        <f t="shared" si="1"/>
        <v>43149</v>
      </c>
      <c r="L63" s="439">
        <f t="shared" si="2"/>
        <v>0</v>
      </c>
      <c r="M63" s="883"/>
      <c r="N63" s="883"/>
      <c r="O63" s="326">
        <f t="shared" si="3"/>
        <v>0</v>
      </c>
      <c r="P63" s="171">
        <f>(INDEX(Models!$BJ63:$BT63,,T63)*(1-R63)+INDEX(Models!$BJ63:$BT63,,T63+1)*R63-ERP_i)*Q63*Ramure*Pc/MaxiM</f>
        <v>1.308022878780669E-5</v>
      </c>
      <c r="Q63" s="307">
        <f t="shared" si="18"/>
        <v>0.9</v>
      </c>
      <c r="R63" s="179">
        <f t="shared" si="4"/>
        <v>0.2057606764076918</v>
      </c>
      <c r="S63" s="839">
        <f t="shared" si="19"/>
        <v>-3</v>
      </c>
      <c r="T63" s="178">
        <f t="shared" si="20"/>
        <v>3</v>
      </c>
      <c r="U63" s="253">
        <f t="shared" si="21"/>
        <v>-2.7942393235923082</v>
      </c>
      <c r="V63" s="385">
        <f t="shared" si="5"/>
        <v>32.777217906839553</v>
      </c>
      <c r="W63" s="58"/>
      <c r="X63" s="157">
        <f t="shared" si="6"/>
        <v>43149</v>
      </c>
      <c r="Y63" s="387">
        <f t="shared" si="7"/>
        <v>0</v>
      </c>
      <c r="Z63" s="387">
        <f t="shared" si="8"/>
        <v>0</v>
      </c>
      <c r="AA63" s="388">
        <f t="shared" si="9"/>
        <v>0</v>
      </c>
      <c r="AB63" s="199">
        <f t="shared" si="10"/>
        <v>43149</v>
      </c>
      <c r="AC63" s="428">
        <f t="shared" si="11"/>
        <v>0</v>
      </c>
      <c r="AD63" s="171">
        <f>(INDEX(Models!$BJ63:$BT63,,AH63)*(1-AF63)+INDEX(Models!$BJ63:$BT63,,AH63+1)*AF63-ERP_i)*AE63*Ramure*Pc/MaxiM</f>
        <v>1.308022878780669E-5</v>
      </c>
      <c r="AE63" s="307">
        <f t="shared" si="12"/>
        <v>0.9</v>
      </c>
      <c r="AF63" s="179">
        <f t="shared" si="13"/>
        <v>0.2057606764076918</v>
      </c>
      <c r="AG63" s="839">
        <f t="shared" si="22"/>
        <v>-3</v>
      </c>
      <c r="AH63" s="178">
        <f t="shared" si="14"/>
        <v>3</v>
      </c>
      <c r="AI63" s="227">
        <f t="shared" si="15"/>
        <v>-2.7942393235923082</v>
      </c>
      <c r="AJ63" s="267" t="b">
        <f t="shared" si="16"/>
        <v>1</v>
      </c>
      <c r="AK63" s="267" t="b">
        <f t="shared" si="17"/>
        <v>0</v>
      </c>
      <c r="AL63" s="267"/>
      <c r="AM63" s="267"/>
      <c r="AN63" s="75"/>
    </row>
    <row r="64" spans="1:40" s="6" customFormat="1" ht="11.25" x14ac:dyDescent="0.2">
      <c r="A64" s="56">
        <f t="shared" si="23"/>
        <v>43150</v>
      </c>
      <c r="B64" s="624"/>
      <c r="C64" s="881"/>
      <c r="D64" s="395"/>
      <c r="E64" s="387"/>
      <c r="F64" s="387"/>
      <c r="G64" s="110"/>
      <c r="I64" s="382">
        <f t="shared" si="0"/>
        <v>0</v>
      </c>
      <c r="J64" s="85">
        <v>2018</v>
      </c>
      <c r="K64" s="199">
        <f t="shared" si="1"/>
        <v>43150</v>
      </c>
      <c r="L64" s="439">
        <f t="shared" si="2"/>
        <v>0</v>
      </c>
      <c r="M64" s="883"/>
      <c r="N64" s="883"/>
      <c r="O64" s="326">
        <f t="shared" si="3"/>
        <v>0</v>
      </c>
      <c r="P64" s="171">
        <f>(INDEX(Models!$BJ64:$BT64,,T64)*(1-R64)+INDEX(Models!$BJ64:$BT64,,T64+1)*R64-ERP_i)*Q64*Ramure*Pc/MaxiM</f>
        <v>1.3312483836835179E-5</v>
      </c>
      <c r="Q64" s="307">
        <f t="shared" si="18"/>
        <v>0.9</v>
      </c>
      <c r="R64" s="179">
        <f t="shared" si="4"/>
        <v>0.20604961784762432</v>
      </c>
      <c r="S64" s="839">
        <f t="shared" si="19"/>
        <v>-3</v>
      </c>
      <c r="T64" s="178">
        <f t="shared" si="20"/>
        <v>3</v>
      </c>
      <c r="U64" s="253">
        <f t="shared" si="21"/>
        <v>-2.7939503821523757</v>
      </c>
      <c r="V64" s="385">
        <f t="shared" si="5"/>
        <v>33.177158323789897</v>
      </c>
      <c r="W64" s="58"/>
      <c r="X64" s="157">
        <f t="shared" si="6"/>
        <v>43150</v>
      </c>
      <c r="Y64" s="387">
        <f t="shared" si="7"/>
        <v>0</v>
      </c>
      <c r="Z64" s="387">
        <f t="shared" si="8"/>
        <v>0</v>
      </c>
      <c r="AA64" s="388">
        <f t="shared" si="9"/>
        <v>0</v>
      </c>
      <c r="AB64" s="199">
        <f t="shared" si="10"/>
        <v>43150</v>
      </c>
      <c r="AC64" s="428">
        <f t="shared" si="11"/>
        <v>0</v>
      </c>
      <c r="AD64" s="171">
        <f>(INDEX(Models!$BJ64:$BT64,,AH64)*(1-AF64)+INDEX(Models!$BJ64:$BT64,,AH64+1)*AF64-ERP_i)*AE64*Ramure*Pc/MaxiM</f>
        <v>1.3312483836835179E-5</v>
      </c>
      <c r="AE64" s="307">
        <f t="shared" si="12"/>
        <v>0.9</v>
      </c>
      <c r="AF64" s="179">
        <f t="shared" si="13"/>
        <v>0.20604961784762432</v>
      </c>
      <c r="AG64" s="839">
        <f t="shared" si="22"/>
        <v>-3</v>
      </c>
      <c r="AH64" s="178">
        <f t="shared" si="14"/>
        <v>3</v>
      </c>
      <c r="AI64" s="227">
        <f t="shared" si="15"/>
        <v>-2.7939503821523757</v>
      </c>
      <c r="AJ64" s="267" t="b">
        <f t="shared" si="16"/>
        <v>1</v>
      </c>
      <c r="AK64" s="267" t="b">
        <f t="shared" si="17"/>
        <v>0</v>
      </c>
      <c r="AL64" s="267"/>
      <c r="AM64" s="267"/>
      <c r="AN64" s="75"/>
    </row>
    <row r="65" spans="1:40" s="6" customFormat="1" ht="11.25" customHeight="1" x14ac:dyDescent="0.2">
      <c r="A65" s="56">
        <f t="shared" si="23"/>
        <v>43151</v>
      </c>
      <c r="B65" s="624"/>
      <c r="C65" s="881"/>
      <c r="D65" s="395"/>
      <c r="E65" s="387"/>
      <c r="F65" s="387"/>
      <c r="G65" s="110"/>
      <c r="I65" s="382">
        <f t="shared" si="0"/>
        <v>0</v>
      </c>
      <c r="J65" s="85">
        <v>2018</v>
      </c>
      <c r="K65" s="199">
        <f t="shared" si="1"/>
        <v>43151</v>
      </c>
      <c r="L65" s="439">
        <f t="shared" si="2"/>
        <v>0</v>
      </c>
      <c r="M65" s="883"/>
      <c r="N65" s="883"/>
      <c r="O65" s="326">
        <f t="shared" si="3"/>
        <v>0</v>
      </c>
      <c r="P65" s="171">
        <f>(INDEX(Models!$BJ65:$BT65,,T65)*(1-R65)+INDEX(Models!$BJ65:$BT65,,T65+1)*R65-ERP_i)*Q65*Ramure*Pc/MaxiM</f>
        <v>1.3684520738798912E-5</v>
      </c>
      <c r="Q65" s="307">
        <f t="shared" si="18"/>
        <v>0.9</v>
      </c>
      <c r="R65" s="179">
        <f t="shared" si="4"/>
        <v>0.20635042521589853</v>
      </c>
      <c r="S65" s="839">
        <f t="shared" si="19"/>
        <v>-3</v>
      </c>
      <c r="T65" s="178">
        <f t="shared" si="20"/>
        <v>3</v>
      </c>
      <c r="U65" s="253">
        <f t="shared" si="21"/>
        <v>-2.7936495747841015</v>
      </c>
      <c r="V65" s="385">
        <f t="shared" si="5"/>
        <v>33.582486205157146</v>
      </c>
      <c r="W65" s="58"/>
      <c r="X65" s="157">
        <f t="shared" si="6"/>
        <v>43151</v>
      </c>
      <c r="Y65" s="387">
        <f t="shared" si="7"/>
        <v>0</v>
      </c>
      <c r="Z65" s="387">
        <f t="shared" si="8"/>
        <v>0</v>
      </c>
      <c r="AA65" s="388">
        <f t="shared" si="9"/>
        <v>0</v>
      </c>
      <c r="AB65" s="199">
        <f t="shared" si="10"/>
        <v>43151</v>
      </c>
      <c r="AC65" s="428">
        <f t="shared" si="11"/>
        <v>0</v>
      </c>
      <c r="AD65" s="171">
        <f>(INDEX(Models!$BJ65:$BT65,,AH65)*(1-AF65)+INDEX(Models!$BJ65:$BT65,,AH65+1)*AF65-ERP_i)*AE65*Ramure*Pc/MaxiM</f>
        <v>1.3684520738798912E-5</v>
      </c>
      <c r="AE65" s="307">
        <f t="shared" si="12"/>
        <v>0.9</v>
      </c>
      <c r="AF65" s="179">
        <f t="shared" si="13"/>
        <v>0.20635042521589853</v>
      </c>
      <c r="AG65" s="839">
        <f t="shared" si="22"/>
        <v>-3</v>
      </c>
      <c r="AH65" s="178">
        <f t="shared" si="14"/>
        <v>3</v>
      </c>
      <c r="AI65" s="227">
        <f t="shared" si="15"/>
        <v>-2.7936495747841015</v>
      </c>
      <c r="AJ65" s="267" t="b">
        <f t="shared" si="16"/>
        <v>1</v>
      </c>
      <c r="AK65" s="267" t="b">
        <f t="shared" si="17"/>
        <v>0</v>
      </c>
      <c r="AL65" s="267"/>
      <c r="AM65" s="267"/>
      <c r="AN65" s="75"/>
    </row>
    <row r="66" spans="1:40" s="6" customFormat="1" ht="11.25" customHeight="1" x14ac:dyDescent="0.2">
      <c r="A66" s="56">
        <f t="shared" si="23"/>
        <v>43152</v>
      </c>
      <c r="B66" s="624"/>
      <c r="C66" s="881"/>
      <c r="D66" s="395"/>
      <c r="E66" s="387"/>
      <c r="F66" s="387"/>
      <c r="G66" s="110"/>
      <c r="I66" s="382">
        <f t="shared" si="0"/>
        <v>0</v>
      </c>
      <c r="J66" s="85">
        <v>2018</v>
      </c>
      <c r="K66" s="199">
        <f t="shared" si="1"/>
        <v>43152</v>
      </c>
      <c r="L66" s="439">
        <f t="shared" si="2"/>
        <v>0</v>
      </c>
      <c r="M66" s="883"/>
      <c r="N66" s="883"/>
      <c r="O66" s="326">
        <f t="shared" si="3"/>
        <v>0</v>
      </c>
      <c r="P66" s="171">
        <f>(INDEX(Models!$BJ66:$BT66,,T66)*(1-R66)+INDEX(Models!$BJ66:$BT66,,T66+1)*R66-ERP_i)*Q66*Ramure*Pc/MaxiM</f>
        <v>1.4212977397153135E-5</v>
      </c>
      <c r="Q66" s="307">
        <f t="shared" si="18"/>
        <v>0.9</v>
      </c>
      <c r="R66" s="179">
        <f t="shared" si="4"/>
        <v>0.20666357476489994</v>
      </c>
      <c r="S66" s="839">
        <f t="shared" si="19"/>
        <v>-3</v>
      </c>
      <c r="T66" s="178">
        <f t="shared" si="20"/>
        <v>3</v>
      </c>
      <c r="U66" s="253">
        <f t="shared" si="21"/>
        <v>-2.7933364252351001</v>
      </c>
      <c r="V66" s="385">
        <f t="shared" si="5"/>
        <v>33.99362996143838</v>
      </c>
      <c r="W66" s="58"/>
      <c r="X66" s="157">
        <f t="shared" si="6"/>
        <v>43152</v>
      </c>
      <c r="Y66" s="387">
        <f t="shared" si="7"/>
        <v>0</v>
      </c>
      <c r="Z66" s="387">
        <f t="shared" si="8"/>
        <v>0</v>
      </c>
      <c r="AA66" s="388">
        <f t="shared" si="9"/>
        <v>0</v>
      </c>
      <c r="AB66" s="199">
        <f t="shared" si="10"/>
        <v>43152</v>
      </c>
      <c r="AC66" s="428">
        <f t="shared" si="11"/>
        <v>0</v>
      </c>
      <c r="AD66" s="171">
        <f>(INDEX(Models!$BJ66:$BT66,,AH66)*(1-AF66)+INDEX(Models!$BJ66:$BT66,,AH66+1)*AF66-ERP_i)*AE66*Ramure*Pc/MaxiM</f>
        <v>1.4212977397153135E-5</v>
      </c>
      <c r="AE66" s="307">
        <f t="shared" si="12"/>
        <v>0.9</v>
      </c>
      <c r="AF66" s="179">
        <f t="shared" si="13"/>
        <v>0.20666357476489994</v>
      </c>
      <c r="AG66" s="839">
        <f t="shared" si="22"/>
        <v>-3</v>
      </c>
      <c r="AH66" s="178">
        <f t="shared" si="14"/>
        <v>3</v>
      </c>
      <c r="AI66" s="227">
        <f t="shared" si="15"/>
        <v>-2.7933364252351001</v>
      </c>
      <c r="AJ66" s="267" t="b">
        <f t="shared" si="16"/>
        <v>1</v>
      </c>
      <c r="AK66" s="267" t="b">
        <f t="shared" si="17"/>
        <v>0</v>
      </c>
      <c r="AL66" s="267"/>
      <c r="AM66" s="267"/>
      <c r="AN66" s="75"/>
    </row>
    <row r="67" spans="1:40" s="6" customFormat="1" ht="11.25" customHeight="1" x14ac:dyDescent="0.2">
      <c r="A67" s="56">
        <f t="shared" si="23"/>
        <v>43153</v>
      </c>
      <c r="B67" s="624"/>
      <c r="C67" s="881"/>
      <c r="D67" s="395"/>
      <c r="E67" s="387"/>
      <c r="F67" s="387"/>
      <c r="G67" s="110"/>
      <c r="I67" s="382">
        <f t="shared" si="0"/>
        <v>0</v>
      </c>
      <c r="J67" s="85">
        <v>2018</v>
      </c>
      <c r="K67" s="199">
        <f t="shared" si="1"/>
        <v>43153</v>
      </c>
      <c r="L67" s="439">
        <f t="shared" si="2"/>
        <v>0</v>
      </c>
      <c r="M67" s="883"/>
      <c r="N67" s="883"/>
      <c r="O67" s="326">
        <f t="shared" si="3"/>
        <v>0</v>
      </c>
      <c r="P67" s="171">
        <f>(INDEX(Models!$BJ67:$BT67,,T67)*(1-R67)+INDEX(Models!$BJ67:$BT67,,T67+1)*R67-ERP_i)*Q67*Ramure*Pc/MaxiM</f>
        <v>1.4799875296928327E-5</v>
      </c>
      <c r="Q67" s="307">
        <f t="shared" si="18"/>
        <v>0.9</v>
      </c>
      <c r="R67" s="179">
        <f t="shared" si="4"/>
        <v>0.20698956092759691</v>
      </c>
      <c r="S67" s="839">
        <f t="shared" si="19"/>
        <v>-3</v>
      </c>
      <c r="T67" s="178">
        <f t="shared" si="20"/>
        <v>3</v>
      </c>
      <c r="U67" s="253">
        <f t="shared" si="21"/>
        <v>-2.7930104390724031</v>
      </c>
      <c r="V67" s="385">
        <f t="shared" si="5"/>
        <v>34.410144952926565</v>
      </c>
      <c r="W67" s="58"/>
      <c r="X67" s="157">
        <f t="shared" si="6"/>
        <v>43153</v>
      </c>
      <c r="Y67" s="387">
        <f t="shared" si="7"/>
        <v>0</v>
      </c>
      <c r="Z67" s="387">
        <f t="shared" si="8"/>
        <v>0</v>
      </c>
      <c r="AA67" s="388">
        <f t="shared" si="9"/>
        <v>0</v>
      </c>
      <c r="AB67" s="199">
        <f t="shared" si="10"/>
        <v>43153</v>
      </c>
      <c r="AC67" s="428">
        <f t="shared" si="11"/>
        <v>0</v>
      </c>
      <c r="AD67" s="171">
        <f>(INDEX(Models!$BJ67:$BT67,,AH67)*(1-AF67)+INDEX(Models!$BJ67:$BT67,,AH67+1)*AF67-ERP_i)*AE67*Ramure*Pc/MaxiM</f>
        <v>1.4799875296928327E-5</v>
      </c>
      <c r="AE67" s="307">
        <f t="shared" si="12"/>
        <v>0.9</v>
      </c>
      <c r="AF67" s="179">
        <f t="shared" si="13"/>
        <v>0.20698956092759691</v>
      </c>
      <c r="AG67" s="839">
        <f t="shared" si="22"/>
        <v>-3</v>
      </c>
      <c r="AH67" s="178">
        <f t="shared" si="14"/>
        <v>3</v>
      </c>
      <c r="AI67" s="227">
        <f t="shared" si="15"/>
        <v>-2.7930104390724031</v>
      </c>
      <c r="AJ67" s="267" t="b">
        <f t="shared" si="16"/>
        <v>1</v>
      </c>
      <c r="AK67" s="267" t="b">
        <f t="shared" si="17"/>
        <v>0</v>
      </c>
      <c r="AL67" s="267"/>
      <c r="AM67" s="267"/>
      <c r="AN67" s="75"/>
    </row>
    <row r="68" spans="1:40" s="6" customFormat="1" ht="11.25" customHeight="1" x14ac:dyDescent="0.2">
      <c r="A68" s="56">
        <f t="shared" si="23"/>
        <v>43154</v>
      </c>
      <c r="B68" s="624"/>
      <c r="C68" s="881"/>
      <c r="D68" s="395"/>
      <c r="E68" s="387"/>
      <c r="F68" s="387"/>
      <c r="G68" s="110"/>
      <c r="I68" s="382">
        <f t="shared" si="0"/>
        <v>0</v>
      </c>
      <c r="J68" s="85">
        <v>2018</v>
      </c>
      <c r="K68" s="199">
        <f t="shared" si="1"/>
        <v>43154</v>
      </c>
      <c r="L68" s="439">
        <f t="shared" si="2"/>
        <v>0</v>
      </c>
      <c r="M68" s="883"/>
      <c r="N68" s="883"/>
      <c r="O68" s="326">
        <f t="shared" si="3"/>
        <v>0</v>
      </c>
      <c r="P68" s="171">
        <f>(INDEX(Models!$BJ68:$BT68,,T68)*(1-R68)+INDEX(Models!$BJ68:$BT68,,T68+1)*R68-ERP_i)*Q68*Ramure*Pc/MaxiM</f>
        <v>1.5450219161575314E-5</v>
      </c>
      <c r="Q68" s="307">
        <f t="shared" si="18"/>
        <v>0.9</v>
      </c>
      <c r="R68" s="179">
        <f t="shared" si="4"/>
        <v>0.20732889693212586</v>
      </c>
      <c r="S68" s="839">
        <f t="shared" si="19"/>
        <v>-3</v>
      </c>
      <c r="T68" s="178">
        <f t="shared" si="20"/>
        <v>3</v>
      </c>
      <c r="U68" s="253">
        <f t="shared" si="21"/>
        <v>-2.7926711030678741</v>
      </c>
      <c r="V68" s="385">
        <f t="shared" si="5"/>
        <v>34.831583118482513</v>
      </c>
      <c r="W68" s="58"/>
      <c r="X68" s="157">
        <f t="shared" si="6"/>
        <v>43154</v>
      </c>
      <c r="Y68" s="387">
        <f t="shared" si="7"/>
        <v>0</v>
      </c>
      <c r="Z68" s="387">
        <f t="shared" si="8"/>
        <v>0</v>
      </c>
      <c r="AA68" s="388">
        <f t="shared" si="9"/>
        <v>0</v>
      </c>
      <c r="AB68" s="199">
        <f t="shared" si="10"/>
        <v>43154</v>
      </c>
      <c r="AC68" s="428">
        <f t="shared" si="11"/>
        <v>0</v>
      </c>
      <c r="AD68" s="171">
        <f>(INDEX(Models!$BJ68:$BT68,,AH68)*(1-AF68)+INDEX(Models!$BJ68:$BT68,,AH68+1)*AF68-ERP_i)*AE68*Ramure*Pc/MaxiM</f>
        <v>1.5450219161575314E-5</v>
      </c>
      <c r="AE68" s="307">
        <f t="shared" si="12"/>
        <v>0.9</v>
      </c>
      <c r="AF68" s="179">
        <f t="shared" si="13"/>
        <v>0.20732889693212586</v>
      </c>
      <c r="AG68" s="839">
        <f t="shared" si="22"/>
        <v>-3</v>
      </c>
      <c r="AH68" s="178">
        <f t="shared" si="14"/>
        <v>3</v>
      </c>
      <c r="AI68" s="227">
        <f t="shared" si="15"/>
        <v>-2.7926711030678741</v>
      </c>
      <c r="AJ68" s="267" t="b">
        <f t="shared" si="16"/>
        <v>1</v>
      </c>
      <c r="AK68" s="267" t="b">
        <f t="shared" si="17"/>
        <v>0</v>
      </c>
      <c r="AL68" s="267"/>
      <c r="AM68" s="267"/>
      <c r="AN68" s="75"/>
    </row>
    <row r="69" spans="1:40" s="6" customFormat="1" ht="11.25" customHeight="1" x14ac:dyDescent="0.2">
      <c r="A69" s="56">
        <f t="shared" si="23"/>
        <v>43155</v>
      </c>
      <c r="B69" s="624"/>
      <c r="C69" s="881"/>
      <c r="D69" s="395"/>
      <c r="E69" s="387"/>
      <c r="F69" s="387"/>
      <c r="G69" s="110"/>
      <c r="I69" s="382">
        <f t="shared" si="0"/>
        <v>0</v>
      </c>
      <c r="J69" s="85">
        <v>2018</v>
      </c>
      <c r="K69" s="199">
        <f t="shared" si="1"/>
        <v>43155</v>
      </c>
      <c r="L69" s="439">
        <f t="shared" si="2"/>
        <v>0</v>
      </c>
      <c r="M69" s="883"/>
      <c r="N69" s="883"/>
      <c r="O69" s="326">
        <f t="shared" si="3"/>
        <v>0</v>
      </c>
      <c r="P69" s="171">
        <f>(INDEX(Models!$BJ69:$BT69,,T69)*(1-R69)+INDEX(Models!$BJ69:$BT69,,T69+1)*R69-ERP_i)*Q69*Ramure*Pc/MaxiM</f>
        <v>1.6169351313477482E-5</v>
      </c>
      <c r="Q69" s="307">
        <f t="shared" si="18"/>
        <v>0.9</v>
      </c>
      <c r="R69" s="179">
        <f t="shared" si="4"/>
        <v>0.2076821154302313</v>
      </c>
      <c r="S69" s="839">
        <f t="shared" si="19"/>
        <v>-3</v>
      </c>
      <c r="T69" s="178">
        <f t="shared" si="20"/>
        <v>3</v>
      </c>
      <c r="U69" s="253">
        <f t="shared" si="21"/>
        <v>-2.7923178845697687</v>
      </c>
      <c r="V69" s="385">
        <f t="shared" si="5"/>
        <v>35.257496371230161</v>
      </c>
      <c r="W69" s="58"/>
      <c r="X69" s="157">
        <f t="shared" si="6"/>
        <v>43155</v>
      </c>
      <c r="Y69" s="387">
        <f t="shared" si="7"/>
        <v>0</v>
      </c>
      <c r="Z69" s="387">
        <f t="shared" si="8"/>
        <v>0</v>
      </c>
      <c r="AA69" s="388">
        <f t="shared" si="9"/>
        <v>0</v>
      </c>
      <c r="AB69" s="199">
        <f t="shared" si="10"/>
        <v>43155</v>
      </c>
      <c r="AC69" s="428">
        <f t="shared" si="11"/>
        <v>0</v>
      </c>
      <c r="AD69" s="171">
        <f>(INDEX(Models!$BJ69:$BT69,,AH69)*(1-AF69)+INDEX(Models!$BJ69:$BT69,,AH69+1)*AF69-ERP_i)*AE69*Ramure*Pc/MaxiM</f>
        <v>1.6169351313477482E-5</v>
      </c>
      <c r="AE69" s="307">
        <f t="shared" si="12"/>
        <v>0.9</v>
      </c>
      <c r="AF69" s="179">
        <f t="shared" si="13"/>
        <v>0.2076821154302313</v>
      </c>
      <c r="AG69" s="839">
        <f t="shared" si="22"/>
        <v>-3</v>
      </c>
      <c r="AH69" s="178">
        <f t="shared" si="14"/>
        <v>3</v>
      </c>
      <c r="AI69" s="227">
        <f t="shared" si="15"/>
        <v>-2.7923178845697687</v>
      </c>
      <c r="AJ69" s="267" t="b">
        <f t="shared" si="16"/>
        <v>1</v>
      </c>
      <c r="AK69" s="267" t="b">
        <f t="shared" si="17"/>
        <v>0</v>
      </c>
      <c r="AL69" s="267"/>
      <c r="AM69" s="267"/>
      <c r="AN69" s="75"/>
    </row>
    <row r="70" spans="1:40" s="6" customFormat="1" ht="11.25" customHeight="1" x14ac:dyDescent="0.2">
      <c r="A70" s="56">
        <f t="shared" si="23"/>
        <v>43156</v>
      </c>
      <c r="B70" s="624"/>
      <c r="C70" s="881"/>
      <c r="D70" s="395"/>
      <c r="E70" s="387"/>
      <c r="F70" s="387"/>
      <c r="G70" s="110"/>
      <c r="I70" s="382">
        <f t="shared" si="0"/>
        <v>0</v>
      </c>
      <c r="J70" s="85">
        <v>2018</v>
      </c>
      <c r="K70" s="199">
        <f t="shared" si="1"/>
        <v>43156</v>
      </c>
      <c r="L70" s="439">
        <f t="shared" si="2"/>
        <v>0</v>
      </c>
      <c r="M70" s="883"/>
      <c r="N70" s="883"/>
      <c r="O70" s="326">
        <f t="shared" si="3"/>
        <v>0</v>
      </c>
      <c r="P70" s="171">
        <f>(INDEX(Models!$BJ70:$BT70,,T70)*(1-R70)+INDEX(Models!$BJ70:$BT70,,T70+1)*R70-ERP_i)*Q70*Ramure*Pc/MaxiM</f>
        <v>1.6962902451922173E-5</v>
      </c>
      <c r="Q70" s="307">
        <f t="shared" si="18"/>
        <v>0.9</v>
      </c>
      <c r="R70" s="179">
        <f t="shared" si="4"/>
        <v>0.20804976913922202</v>
      </c>
      <c r="S70" s="839">
        <f t="shared" si="19"/>
        <v>-3</v>
      </c>
      <c r="T70" s="178">
        <f t="shared" si="20"/>
        <v>3</v>
      </c>
      <c r="U70" s="253">
        <f t="shared" si="21"/>
        <v>-2.791950230860778</v>
      </c>
      <c r="V70" s="385">
        <f t="shared" si="5"/>
        <v>35.687436609545962</v>
      </c>
      <c r="W70" s="58"/>
      <c r="X70" s="157">
        <f t="shared" si="6"/>
        <v>43156</v>
      </c>
      <c r="Y70" s="387">
        <f t="shared" si="7"/>
        <v>0</v>
      </c>
      <c r="Z70" s="387">
        <f t="shared" si="8"/>
        <v>0</v>
      </c>
      <c r="AA70" s="388">
        <f t="shared" si="9"/>
        <v>0</v>
      </c>
      <c r="AB70" s="199">
        <f t="shared" si="10"/>
        <v>43156</v>
      </c>
      <c r="AC70" s="428">
        <f t="shared" si="11"/>
        <v>0</v>
      </c>
      <c r="AD70" s="171">
        <f>(INDEX(Models!$BJ70:$BT70,,AH70)*(1-AF70)+INDEX(Models!$BJ70:$BT70,,AH70+1)*AF70-ERP_i)*AE70*Ramure*Pc/MaxiM</f>
        <v>1.6962902451922173E-5</v>
      </c>
      <c r="AE70" s="307">
        <f t="shared" si="12"/>
        <v>0.9</v>
      </c>
      <c r="AF70" s="179">
        <f t="shared" si="13"/>
        <v>0.20804976913922202</v>
      </c>
      <c r="AG70" s="839">
        <f t="shared" si="22"/>
        <v>-3</v>
      </c>
      <c r="AH70" s="178">
        <f t="shared" si="14"/>
        <v>3</v>
      </c>
      <c r="AI70" s="227">
        <f t="shared" si="15"/>
        <v>-2.791950230860778</v>
      </c>
      <c r="AJ70" s="267" t="b">
        <f t="shared" si="16"/>
        <v>1</v>
      </c>
      <c r="AK70" s="267" t="b">
        <f t="shared" si="17"/>
        <v>0</v>
      </c>
      <c r="AL70" s="267"/>
      <c r="AM70" s="267"/>
      <c r="AN70" s="75"/>
    </row>
    <row r="71" spans="1:40" s="6" customFormat="1" ht="11.25" x14ac:dyDescent="0.2">
      <c r="A71" s="56">
        <f t="shared" si="23"/>
        <v>43157</v>
      </c>
      <c r="B71" s="624"/>
      <c r="C71" s="881"/>
      <c r="D71" s="395"/>
      <c r="E71" s="387"/>
      <c r="F71" s="387"/>
      <c r="G71" s="110"/>
      <c r="I71" s="382">
        <f t="shared" si="0"/>
        <v>0</v>
      </c>
      <c r="J71" s="85">
        <v>2018</v>
      </c>
      <c r="K71" s="199">
        <f t="shared" si="1"/>
        <v>43157</v>
      </c>
      <c r="L71" s="439">
        <f t="shared" si="2"/>
        <v>0</v>
      </c>
      <c r="M71" s="883"/>
      <c r="N71" s="883"/>
      <c r="O71" s="326">
        <f t="shared" si="3"/>
        <v>0</v>
      </c>
      <c r="P71" s="171">
        <f>(INDEX(Models!$BJ71:$BT71,,T71)*(1-R71)+INDEX(Models!$BJ71:$BT71,,T71+1)*R71-ERP_i)*Q71*Ramure*Pc/MaxiM</f>
        <v>1.7836811543318854E-5</v>
      </c>
      <c r="Q71" s="307">
        <f t="shared" si="18"/>
        <v>0.9</v>
      </c>
      <c r="R71" s="179">
        <f t="shared" si="4"/>
        <v>0.2084324314970134</v>
      </c>
      <c r="S71" s="839">
        <f t="shared" si="19"/>
        <v>-3</v>
      </c>
      <c r="T71" s="178">
        <f t="shared" si="20"/>
        <v>3</v>
      </c>
      <c r="U71" s="253">
        <f t="shared" si="21"/>
        <v>-2.7915675685029866</v>
      </c>
      <c r="V71" s="385">
        <f t="shared" si="5"/>
        <v>36.120955705643382</v>
      </c>
      <c r="W71" s="58"/>
      <c r="X71" s="157">
        <f t="shared" si="6"/>
        <v>43157</v>
      </c>
      <c r="Y71" s="387">
        <f t="shared" si="7"/>
        <v>0</v>
      </c>
      <c r="Z71" s="387">
        <f t="shared" si="8"/>
        <v>0</v>
      </c>
      <c r="AA71" s="388">
        <f t="shared" si="9"/>
        <v>0</v>
      </c>
      <c r="AB71" s="199">
        <f t="shared" si="10"/>
        <v>43157</v>
      </c>
      <c r="AC71" s="428">
        <f t="shared" si="11"/>
        <v>0</v>
      </c>
      <c r="AD71" s="171">
        <f>(INDEX(Models!$BJ71:$BT71,,AH71)*(1-AF71)+INDEX(Models!$BJ71:$BT71,,AH71+1)*AF71-ERP_i)*AE71*Ramure*Pc/MaxiM</f>
        <v>1.7836811543318854E-5</v>
      </c>
      <c r="AE71" s="307">
        <f t="shared" si="12"/>
        <v>0.9</v>
      </c>
      <c r="AF71" s="179">
        <f t="shared" si="13"/>
        <v>0.2084324314970134</v>
      </c>
      <c r="AG71" s="839">
        <f t="shared" si="22"/>
        <v>-3</v>
      </c>
      <c r="AH71" s="178">
        <f t="shared" si="14"/>
        <v>3</v>
      </c>
      <c r="AI71" s="227">
        <f t="shared" si="15"/>
        <v>-2.7915675685029866</v>
      </c>
      <c r="AJ71" s="267" t="b">
        <f t="shared" si="16"/>
        <v>1</v>
      </c>
      <c r="AK71" s="267" t="b">
        <f t="shared" si="17"/>
        <v>0</v>
      </c>
      <c r="AL71" s="267"/>
      <c r="AM71" s="267"/>
      <c r="AN71" s="75"/>
    </row>
    <row r="72" spans="1:40" s="6" customFormat="1" ht="11.25" customHeight="1" x14ac:dyDescent="0.2">
      <c r="A72" s="56">
        <f t="shared" si="23"/>
        <v>43158</v>
      </c>
      <c r="B72" s="624"/>
      <c r="C72" s="881"/>
      <c r="D72" s="395"/>
      <c r="E72" s="387"/>
      <c r="F72" s="387"/>
      <c r="G72" s="110"/>
      <c r="I72" s="382">
        <f t="shared" si="0"/>
        <v>0</v>
      </c>
      <c r="J72" s="85">
        <v>2018</v>
      </c>
      <c r="K72" s="199">
        <f t="shared" si="1"/>
        <v>43158</v>
      </c>
      <c r="L72" s="439">
        <f t="shared" si="2"/>
        <v>0</v>
      </c>
      <c r="M72" s="883"/>
      <c r="N72" s="883"/>
      <c r="O72" s="326">
        <f t="shared" si="3"/>
        <v>0</v>
      </c>
      <c r="P72" s="171">
        <f>(INDEX(Models!$BJ72:$BT72,,T72)*(1-R72)+INDEX(Models!$BJ72:$BT72,,T72+1)*R72-ERP_i)*Q72*Ramure*Pc/MaxiM</f>
        <v>1.8793589299053956E-5</v>
      </c>
      <c r="Q72" s="307">
        <f t="shared" si="18"/>
        <v>0.9</v>
      </c>
      <c r="R72" s="179">
        <f t="shared" si="4"/>
        <v>0.20883069732974757</v>
      </c>
      <c r="S72" s="839">
        <f t="shared" si="19"/>
        <v>-3</v>
      </c>
      <c r="T72" s="178">
        <f t="shared" si="20"/>
        <v>3</v>
      </c>
      <c r="U72" s="253">
        <f t="shared" si="21"/>
        <v>-2.7911693026702524</v>
      </c>
      <c r="V72" s="385">
        <f t="shared" si="5"/>
        <v>36.557605649242419</v>
      </c>
      <c r="W72" s="58"/>
      <c r="X72" s="157">
        <f t="shared" si="6"/>
        <v>43158</v>
      </c>
      <c r="Y72" s="387">
        <f t="shared" si="7"/>
        <v>0</v>
      </c>
      <c r="Z72" s="387">
        <f t="shared" si="8"/>
        <v>0</v>
      </c>
      <c r="AA72" s="388">
        <f t="shared" si="9"/>
        <v>0</v>
      </c>
      <c r="AB72" s="199">
        <f t="shared" si="10"/>
        <v>43158</v>
      </c>
      <c r="AC72" s="428">
        <f t="shared" si="11"/>
        <v>0</v>
      </c>
      <c r="AD72" s="171">
        <f>(INDEX(Models!$BJ72:$BT72,,AH72)*(1-AF72)+INDEX(Models!$BJ72:$BT72,,AH72+1)*AF72-ERP_i)*AE72*Ramure*Pc/MaxiM</f>
        <v>1.8793589299053956E-5</v>
      </c>
      <c r="AE72" s="307">
        <f t="shared" si="12"/>
        <v>0.9</v>
      </c>
      <c r="AF72" s="179">
        <f t="shared" si="13"/>
        <v>0.20883069732974757</v>
      </c>
      <c r="AG72" s="839">
        <f t="shared" si="22"/>
        <v>-3</v>
      </c>
      <c r="AH72" s="178">
        <f t="shared" si="14"/>
        <v>3</v>
      </c>
      <c r="AI72" s="227">
        <f t="shared" si="15"/>
        <v>-2.7911693026702524</v>
      </c>
      <c r="AJ72" s="267" t="b">
        <f t="shared" si="16"/>
        <v>1</v>
      </c>
      <c r="AK72" s="267" t="b">
        <f t="shared" si="17"/>
        <v>0</v>
      </c>
      <c r="AL72" s="267"/>
      <c r="AM72" s="267"/>
      <c r="AN72" s="75"/>
    </row>
    <row r="73" spans="1:40" s="6" customFormat="1" ht="11.25" customHeight="1" x14ac:dyDescent="0.2">
      <c r="A73" s="56">
        <f t="shared" si="23"/>
        <v>43159</v>
      </c>
      <c r="B73" s="624"/>
      <c r="C73" s="881"/>
      <c r="D73" s="395"/>
      <c r="E73" s="387"/>
      <c r="F73" s="387"/>
      <c r="G73" s="110"/>
      <c r="I73" s="382">
        <f t="shared" si="0"/>
        <v>0</v>
      </c>
      <c r="J73" s="85">
        <v>2018</v>
      </c>
      <c r="K73" s="199">
        <f t="shared" si="1"/>
        <v>43159</v>
      </c>
      <c r="L73" s="439">
        <f t="shared" si="2"/>
        <v>0</v>
      </c>
      <c r="M73" s="883"/>
      <c r="N73" s="883"/>
      <c r="O73" s="326">
        <f t="shared" si="3"/>
        <v>0</v>
      </c>
      <c r="P73" s="171">
        <f>(INDEX(Models!$BJ73:$BT73,,T73)*(1-R73)+INDEX(Models!$BJ73:$BT73,,T73+1)*R73-ERP_i)*Q73*Ramure*Pc/MaxiM</f>
        <v>1.9790079972106118E-5</v>
      </c>
      <c r="Q73" s="307">
        <f t="shared" si="18"/>
        <v>0.9</v>
      </c>
      <c r="R73" s="179">
        <f t="shared" si="4"/>
        <v>0.20924518353137023</v>
      </c>
      <c r="S73" s="839">
        <f t="shared" si="19"/>
        <v>-3</v>
      </c>
      <c r="T73" s="178">
        <f t="shared" si="20"/>
        <v>3</v>
      </c>
      <c r="U73" s="253">
        <f t="shared" si="21"/>
        <v>-2.7907548164686298</v>
      </c>
      <c r="V73" s="385">
        <f t="shared" si="5"/>
        <v>36.99694011626034</v>
      </c>
      <c r="W73" s="58"/>
      <c r="X73" s="157">
        <f t="shared" si="6"/>
        <v>43159</v>
      </c>
      <c r="Y73" s="387">
        <f t="shared" si="7"/>
        <v>0</v>
      </c>
      <c r="Z73" s="387">
        <f t="shared" si="8"/>
        <v>0</v>
      </c>
      <c r="AA73" s="388">
        <f t="shared" si="9"/>
        <v>0</v>
      </c>
      <c r="AB73" s="199">
        <f t="shared" si="10"/>
        <v>43159</v>
      </c>
      <c r="AC73" s="428">
        <f t="shared" si="11"/>
        <v>0</v>
      </c>
      <c r="AD73" s="171">
        <f>(INDEX(Models!$BJ73:$BT73,,AH73)*(1-AF73)+INDEX(Models!$BJ73:$BT73,,AH73+1)*AF73-ERP_i)*AE73*Ramure*Pc/MaxiM</f>
        <v>1.9790079972106118E-5</v>
      </c>
      <c r="AE73" s="307">
        <f t="shared" si="12"/>
        <v>0.9</v>
      </c>
      <c r="AF73" s="179">
        <f t="shared" si="13"/>
        <v>0.20924518353137023</v>
      </c>
      <c r="AG73" s="839">
        <f t="shared" si="22"/>
        <v>-3</v>
      </c>
      <c r="AH73" s="178">
        <f t="shared" si="14"/>
        <v>3</v>
      </c>
      <c r="AI73" s="227">
        <f t="shared" si="15"/>
        <v>-2.7907548164686298</v>
      </c>
      <c r="AJ73" s="267" t="b">
        <f t="shared" si="16"/>
        <v>1</v>
      </c>
      <c r="AK73" s="267" t="b">
        <f t="shared" si="17"/>
        <v>0</v>
      </c>
      <c r="AL73" s="267"/>
      <c r="AM73" s="267"/>
      <c r="AN73" s="75"/>
    </row>
    <row r="74" spans="1:40" s="6" customFormat="1" ht="11.25" customHeight="1" x14ac:dyDescent="0.2">
      <c r="A74" s="56">
        <f t="shared" si="23"/>
        <v>43160</v>
      </c>
      <c r="B74" s="624"/>
      <c r="C74" s="881"/>
      <c r="D74" s="395"/>
      <c r="E74" s="387"/>
      <c r="F74" s="387"/>
      <c r="G74" s="110"/>
      <c r="I74" s="382">
        <f t="shared" si="0"/>
        <v>0</v>
      </c>
      <c r="J74" s="85">
        <v>2018</v>
      </c>
      <c r="K74" s="199">
        <f t="shared" si="1"/>
        <v>43160</v>
      </c>
      <c r="L74" s="439">
        <f t="shared" si="2"/>
        <v>0</v>
      </c>
      <c r="M74" s="883"/>
      <c r="N74" s="883"/>
      <c r="O74" s="326">
        <f t="shared" si="3"/>
        <v>0</v>
      </c>
      <c r="P74" s="171">
        <f>(INDEX(Models!$BJ74:$BT74,,T74)*(1-R74)+INDEX(Models!$BJ74:$BT74,,T74+1)*R74-ERP_i)*Q74*Ramure*Pc/MaxiM</f>
        <v>2.0827957999724436E-5</v>
      </c>
      <c r="Q74" s="307">
        <f t="shared" si="18"/>
        <v>0.9</v>
      </c>
      <c r="R74" s="179">
        <f t="shared" si="4"/>
        <v>0.20967652975445272</v>
      </c>
      <c r="S74" s="839">
        <f t="shared" si="19"/>
        <v>-3</v>
      </c>
      <c r="T74" s="178">
        <f t="shared" si="20"/>
        <v>3</v>
      </c>
      <c r="U74" s="253">
        <f t="shared" si="21"/>
        <v>-2.7903234702455473</v>
      </c>
      <c r="V74" s="385">
        <f t="shared" si="5"/>
        <v>37.438511177483846</v>
      </c>
      <c r="W74" s="58"/>
      <c r="X74" s="157">
        <f t="shared" si="6"/>
        <v>43160</v>
      </c>
      <c r="Y74" s="387">
        <f t="shared" si="7"/>
        <v>0</v>
      </c>
      <c r="Z74" s="387">
        <f t="shared" si="8"/>
        <v>0</v>
      </c>
      <c r="AA74" s="388">
        <f t="shared" si="9"/>
        <v>0</v>
      </c>
      <c r="AB74" s="199">
        <f t="shared" si="10"/>
        <v>43160</v>
      </c>
      <c r="AC74" s="428">
        <f t="shared" si="11"/>
        <v>0</v>
      </c>
      <c r="AD74" s="171">
        <f>(INDEX(Models!$BJ74:$BT74,,AH74)*(1-AF74)+INDEX(Models!$BJ74:$BT74,,AH74+1)*AF74-ERP_i)*AE74*Ramure*Pc/MaxiM</f>
        <v>2.0827957999724436E-5</v>
      </c>
      <c r="AE74" s="307">
        <f t="shared" si="12"/>
        <v>0.9</v>
      </c>
      <c r="AF74" s="179">
        <f t="shared" si="13"/>
        <v>0.20967652975445272</v>
      </c>
      <c r="AG74" s="839">
        <f t="shared" si="22"/>
        <v>-3</v>
      </c>
      <c r="AH74" s="178">
        <f t="shared" si="14"/>
        <v>3</v>
      </c>
      <c r="AI74" s="227">
        <f t="shared" si="15"/>
        <v>-2.7903234702455473</v>
      </c>
      <c r="AJ74" s="267" t="b">
        <f t="shared" si="16"/>
        <v>1</v>
      </c>
      <c r="AK74" s="267" t="b">
        <f t="shared" si="17"/>
        <v>0</v>
      </c>
      <c r="AL74" s="267"/>
      <c r="AM74" s="267"/>
      <c r="AN74" s="75"/>
    </row>
    <row r="75" spans="1:40" s="6" customFormat="1" ht="11.25" customHeight="1" x14ac:dyDescent="0.2">
      <c r="A75" s="56">
        <f t="shared" si="23"/>
        <v>43161</v>
      </c>
      <c r="B75" s="624"/>
      <c r="C75" s="881"/>
      <c r="D75" s="395"/>
      <c r="E75" s="387"/>
      <c r="F75" s="387"/>
      <c r="G75" s="110"/>
      <c r="I75" s="382">
        <f t="shared" si="0"/>
        <v>0</v>
      </c>
      <c r="J75" s="85">
        <v>2018</v>
      </c>
      <c r="K75" s="199">
        <f t="shared" si="1"/>
        <v>43161</v>
      </c>
      <c r="L75" s="439">
        <f t="shared" si="2"/>
        <v>0</v>
      </c>
      <c r="M75" s="883"/>
      <c r="N75" s="883"/>
      <c r="O75" s="326">
        <f t="shared" si="3"/>
        <v>0</v>
      </c>
      <c r="P75" s="171">
        <f>(INDEX(Models!$BJ75:$BT75,,T75)*(1-R75)+INDEX(Models!$BJ75:$BT75,,T75+1)*R75-ERP_i)*Q75*Ramure*Pc/MaxiM</f>
        <v>2.1908984376174501E-5</v>
      </c>
      <c r="Q75" s="307">
        <f t="shared" si="18"/>
        <v>0.9</v>
      </c>
      <c r="R75" s="179">
        <f t="shared" si="4"/>
        <v>0.2101253991114187</v>
      </c>
      <c r="S75" s="839">
        <f t="shared" si="19"/>
        <v>-3</v>
      </c>
      <c r="T75" s="178">
        <f t="shared" si="20"/>
        <v>3</v>
      </c>
      <c r="U75" s="253">
        <f t="shared" si="21"/>
        <v>-2.7898746008885813</v>
      </c>
      <c r="V75" s="385">
        <f t="shared" si="5"/>
        <v>37.881870902941969</v>
      </c>
      <c r="W75" s="58"/>
      <c r="X75" s="157">
        <f t="shared" si="6"/>
        <v>43161</v>
      </c>
      <c r="Y75" s="387">
        <f t="shared" si="7"/>
        <v>0</v>
      </c>
      <c r="Z75" s="387">
        <f t="shared" si="8"/>
        <v>0</v>
      </c>
      <c r="AA75" s="388">
        <f t="shared" si="9"/>
        <v>0</v>
      </c>
      <c r="AB75" s="199">
        <f t="shared" si="10"/>
        <v>43161</v>
      </c>
      <c r="AC75" s="428">
        <f t="shared" si="11"/>
        <v>0</v>
      </c>
      <c r="AD75" s="171">
        <f>(INDEX(Models!$BJ75:$BT75,,AH75)*(1-AF75)+INDEX(Models!$BJ75:$BT75,,AH75+1)*AF75-ERP_i)*AE75*Ramure*Pc/MaxiM</f>
        <v>2.1908984376174501E-5</v>
      </c>
      <c r="AE75" s="307">
        <f t="shared" si="12"/>
        <v>0.9</v>
      </c>
      <c r="AF75" s="179">
        <f t="shared" si="13"/>
        <v>0.2101253991114187</v>
      </c>
      <c r="AG75" s="839">
        <f t="shared" si="22"/>
        <v>-3</v>
      </c>
      <c r="AH75" s="178">
        <f t="shared" si="14"/>
        <v>3</v>
      </c>
      <c r="AI75" s="227">
        <f t="shared" si="15"/>
        <v>-2.7898746008885813</v>
      </c>
      <c r="AJ75" s="267" t="b">
        <f t="shared" si="16"/>
        <v>1</v>
      </c>
      <c r="AK75" s="267" t="b">
        <f t="shared" si="17"/>
        <v>0</v>
      </c>
      <c r="AL75" s="267"/>
      <c r="AM75" s="267"/>
      <c r="AN75" s="75"/>
    </row>
    <row r="76" spans="1:40" s="6" customFormat="1" ht="11.25" customHeight="1" x14ac:dyDescent="0.2">
      <c r="A76" s="56">
        <f t="shared" si="23"/>
        <v>43162</v>
      </c>
      <c r="B76" s="624"/>
      <c r="C76" s="881"/>
      <c r="D76" s="395"/>
      <c r="E76" s="387"/>
      <c r="F76" s="387"/>
      <c r="G76" s="110"/>
      <c r="I76" s="382">
        <f t="shared" si="0"/>
        <v>0</v>
      </c>
      <c r="J76" s="85">
        <v>2018</v>
      </c>
      <c r="K76" s="199">
        <f t="shared" si="1"/>
        <v>43162</v>
      </c>
      <c r="L76" s="439">
        <f t="shared" si="2"/>
        <v>0</v>
      </c>
      <c r="M76" s="883"/>
      <c r="N76" s="883"/>
      <c r="O76" s="326">
        <f t="shared" si="3"/>
        <v>0</v>
      </c>
      <c r="P76" s="171">
        <f>(INDEX(Models!$BJ76:$BT76,,T76)*(1-R76)+INDEX(Models!$BJ76:$BT76,,T76+1)*R76-ERP_i)*Q76*Ramure*Pc/MaxiM</f>
        <v>2.3035010438559724E-5</v>
      </c>
      <c r="Q76" s="307">
        <f t="shared" si="18"/>
        <v>0.9</v>
      </c>
      <c r="R76" s="179">
        <f t="shared" si="4"/>
        <v>0.21059247888521959</v>
      </c>
      <c r="S76" s="839">
        <f t="shared" si="19"/>
        <v>-3</v>
      </c>
      <c r="T76" s="178">
        <f t="shared" si="20"/>
        <v>3</v>
      </c>
      <c r="U76" s="253">
        <f t="shared" si="21"/>
        <v>-2.7894075211147804</v>
      </c>
      <c r="V76" s="385">
        <f t="shared" si="5"/>
        <v>38.326571354113753</v>
      </c>
      <c r="W76" s="58"/>
      <c r="X76" s="157">
        <f t="shared" si="6"/>
        <v>43162</v>
      </c>
      <c r="Y76" s="387">
        <f t="shared" si="7"/>
        <v>0</v>
      </c>
      <c r="Z76" s="387">
        <f t="shared" si="8"/>
        <v>0</v>
      </c>
      <c r="AA76" s="388">
        <f t="shared" si="9"/>
        <v>0</v>
      </c>
      <c r="AB76" s="199">
        <f t="shared" si="10"/>
        <v>43162</v>
      </c>
      <c r="AC76" s="428">
        <f t="shared" si="11"/>
        <v>0</v>
      </c>
      <c r="AD76" s="171">
        <f>(INDEX(Models!$BJ76:$BT76,,AH76)*(1-AF76)+INDEX(Models!$BJ76:$BT76,,AH76+1)*AF76-ERP_i)*AE76*Ramure*Pc/MaxiM</f>
        <v>2.3035010438559724E-5</v>
      </c>
      <c r="AE76" s="307">
        <f t="shared" si="12"/>
        <v>0.9</v>
      </c>
      <c r="AF76" s="179">
        <f t="shared" si="13"/>
        <v>0.21059247888521959</v>
      </c>
      <c r="AG76" s="839">
        <f t="shared" si="22"/>
        <v>-3</v>
      </c>
      <c r="AH76" s="178">
        <f t="shared" si="14"/>
        <v>3</v>
      </c>
      <c r="AI76" s="227">
        <f t="shared" si="15"/>
        <v>-2.7894075211147804</v>
      </c>
      <c r="AJ76" s="267" t="b">
        <f t="shared" si="16"/>
        <v>1</v>
      </c>
      <c r="AK76" s="267" t="b">
        <f t="shared" si="17"/>
        <v>0</v>
      </c>
      <c r="AL76" s="267"/>
      <c r="AM76" s="267"/>
      <c r="AN76" s="75"/>
    </row>
    <row r="77" spans="1:40" s="6" customFormat="1" ht="11.25" x14ac:dyDescent="0.2">
      <c r="A77" s="56">
        <f t="shared" si="23"/>
        <v>43163</v>
      </c>
      <c r="B77" s="624"/>
      <c r="C77" s="881"/>
      <c r="D77" s="395"/>
      <c r="E77" s="387"/>
      <c r="F77" s="387"/>
      <c r="G77" s="110"/>
      <c r="I77" s="382">
        <f t="shared" si="0"/>
        <v>0</v>
      </c>
      <c r="J77" s="85">
        <v>2018</v>
      </c>
      <c r="K77" s="199">
        <f t="shared" si="1"/>
        <v>43163</v>
      </c>
      <c r="L77" s="439">
        <f t="shared" si="2"/>
        <v>0</v>
      </c>
      <c r="M77" s="883"/>
      <c r="N77" s="883"/>
      <c r="O77" s="326">
        <f t="shared" si="3"/>
        <v>0</v>
      </c>
      <c r="P77" s="171">
        <f>(INDEX(Models!$BJ77:$BT77,,T77)*(1-R77)+INDEX(Models!$BJ77:$BT77,,T77+1)*R77-ERP_i)*Q77*Ramure*Pc/MaxiM</f>
        <v>2.4207981844791831E-5</v>
      </c>
      <c r="Q77" s="307">
        <f t="shared" si="18"/>
        <v>0.9</v>
      </c>
      <c r="R77" s="179">
        <f t="shared" si="4"/>
        <v>0.21107848124835726</v>
      </c>
      <c r="S77" s="839">
        <f t="shared" si="19"/>
        <v>-3</v>
      </c>
      <c r="T77" s="178">
        <f t="shared" si="20"/>
        <v>3</v>
      </c>
      <c r="U77" s="253">
        <f t="shared" si="21"/>
        <v>-2.7889215187516427</v>
      </c>
      <c r="V77" s="385">
        <f t="shared" si="5"/>
        <v>38.772164588265703</v>
      </c>
      <c r="W77" s="58"/>
      <c r="X77" s="157">
        <f t="shared" si="6"/>
        <v>43163</v>
      </c>
      <c r="Y77" s="387">
        <f t="shared" si="7"/>
        <v>0</v>
      </c>
      <c r="Z77" s="387">
        <f t="shared" si="8"/>
        <v>0</v>
      </c>
      <c r="AA77" s="388">
        <f t="shared" si="9"/>
        <v>0</v>
      </c>
      <c r="AB77" s="199">
        <f t="shared" si="10"/>
        <v>43163</v>
      </c>
      <c r="AC77" s="428">
        <f t="shared" si="11"/>
        <v>0</v>
      </c>
      <c r="AD77" s="171">
        <f>(INDEX(Models!$BJ77:$BT77,,AH77)*(1-AF77)+INDEX(Models!$BJ77:$BT77,,AH77+1)*AF77-ERP_i)*AE77*Ramure*Pc/MaxiM</f>
        <v>2.4207981844791831E-5</v>
      </c>
      <c r="AE77" s="307">
        <f t="shared" si="12"/>
        <v>0.9</v>
      </c>
      <c r="AF77" s="179">
        <f t="shared" si="13"/>
        <v>0.21107848124835726</v>
      </c>
      <c r="AG77" s="839">
        <f t="shared" si="22"/>
        <v>-3</v>
      </c>
      <c r="AH77" s="178">
        <f t="shared" si="14"/>
        <v>3</v>
      </c>
      <c r="AI77" s="227">
        <f t="shared" si="15"/>
        <v>-2.7889215187516427</v>
      </c>
      <c r="AJ77" s="267" t="b">
        <f t="shared" si="16"/>
        <v>1</v>
      </c>
      <c r="AK77" s="267" t="b">
        <f t="shared" si="17"/>
        <v>0</v>
      </c>
      <c r="AL77" s="267"/>
      <c r="AM77" s="267"/>
      <c r="AN77" s="75"/>
    </row>
    <row r="78" spans="1:40" s="6" customFormat="1" ht="11.25" customHeight="1" x14ac:dyDescent="0.2">
      <c r="A78" s="56">
        <f t="shared" si="23"/>
        <v>43164</v>
      </c>
      <c r="B78" s="624"/>
      <c r="C78" s="881"/>
      <c r="D78" s="395"/>
      <c r="E78" s="387"/>
      <c r="F78" s="387"/>
      <c r="G78" s="110"/>
      <c r="I78" s="382">
        <f t="shared" si="0"/>
        <v>0</v>
      </c>
      <c r="J78" s="85">
        <v>2018</v>
      </c>
      <c r="K78" s="199">
        <f t="shared" si="1"/>
        <v>43164</v>
      </c>
      <c r="L78" s="439">
        <f t="shared" si="2"/>
        <v>0</v>
      </c>
      <c r="M78" s="883"/>
      <c r="N78" s="883"/>
      <c r="O78" s="326">
        <f t="shared" si="3"/>
        <v>0</v>
      </c>
      <c r="P78" s="171">
        <f>(INDEX(Models!$BJ78:$BT78,,T78)*(1-R78)+INDEX(Models!$BJ78:$BT78,,T78+1)*R78-ERP_i)*Q78*Ramure*Pc/MaxiM</f>
        <v>2.5429942766228495E-5</v>
      </c>
      <c r="Q78" s="307">
        <f t="shared" si="18"/>
        <v>0.9</v>
      </c>
      <c r="R78" s="179">
        <f t="shared" si="4"/>
        <v>0.21158414398901115</v>
      </c>
      <c r="S78" s="839">
        <f t="shared" si="19"/>
        <v>-3</v>
      </c>
      <c r="T78" s="178">
        <f t="shared" si="20"/>
        <v>3</v>
      </c>
      <c r="U78" s="253">
        <f t="shared" si="21"/>
        <v>-2.7884158560109888</v>
      </c>
      <c r="V78" s="385">
        <f t="shared" si="5"/>
        <v>39.218202658155555</v>
      </c>
      <c r="W78" s="58"/>
      <c r="X78" s="157">
        <f t="shared" si="6"/>
        <v>43164</v>
      </c>
      <c r="Y78" s="387">
        <f t="shared" si="7"/>
        <v>0</v>
      </c>
      <c r="Z78" s="387">
        <f t="shared" si="8"/>
        <v>0</v>
      </c>
      <c r="AA78" s="388">
        <f t="shared" si="9"/>
        <v>0</v>
      </c>
      <c r="AB78" s="199">
        <f t="shared" si="10"/>
        <v>43164</v>
      </c>
      <c r="AC78" s="428">
        <f t="shared" si="11"/>
        <v>0</v>
      </c>
      <c r="AD78" s="171">
        <f>(INDEX(Models!$BJ78:$BT78,,AH78)*(1-AF78)+INDEX(Models!$BJ78:$BT78,,AH78+1)*AF78-ERP_i)*AE78*Ramure*Pc/MaxiM</f>
        <v>2.5429942766228495E-5</v>
      </c>
      <c r="AE78" s="307">
        <f t="shared" si="12"/>
        <v>0.9</v>
      </c>
      <c r="AF78" s="179">
        <f t="shared" si="13"/>
        <v>0.21158414398901115</v>
      </c>
      <c r="AG78" s="839">
        <f t="shared" si="22"/>
        <v>-3</v>
      </c>
      <c r="AH78" s="178">
        <f t="shared" si="14"/>
        <v>3</v>
      </c>
      <c r="AI78" s="227">
        <f t="shared" si="15"/>
        <v>-2.7884158560109888</v>
      </c>
      <c r="AJ78" s="267" t="b">
        <f t="shared" si="16"/>
        <v>1</v>
      </c>
      <c r="AK78" s="267" t="b">
        <f t="shared" si="17"/>
        <v>0</v>
      </c>
      <c r="AL78" s="267"/>
      <c r="AM78" s="267"/>
      <c r="AN78" s="75"/>
    </row>
    <row r="79" spans="1:40" s="6" customFormat="1" ht="11.25" x14ac:dyDescent="0.2">
      <c r="A79" s="56">
        <f t="shared" si="23"/>
        <v>43165</v>
      </c>
      <c r="B79" s="624"/>
      <c r="C79" s="881"/>
      <c r="D79" s="395"/>
      <c r="E79" s="387"/>
      <c r="F79" s="387"/>
      <c r="G79" s="110"/>
      <c r="I79" s="382">
        <f t="shared" ref="I79:I142" si="24">Wh_hp</f>
        <v>0</v>
      </c>
      <c r="J79" s="85">
        <v>2018</v>
      </c>
      <c r="K79" s="199">
        <f t="shared" ref="K79:K142" si="25">t</f>
        <v>43165</v>
      </c>
      <c r="L79" s="439">
        <f t="shared" ref="L79:L142" si="26">IF(t&lt;T0,0,IF(t&lt;Tvie,1-EXP((T0-t)*PertePVj),1-EXP((T0-t)*PertePVj)+Pspv))</f>
        <v>0</v>
      </c>
      <c r="M79" s="883"/>
      <c r="N79" s="883"/>
      <c r="O79" s="326">
        <f t="shared" ref="O79:O142" si="27">IF(t&lt;T0,0,IF(t&lt;Tnet,Salim_i*(1-EXP((T0-t)/Tau_ij)),Resal+(Salim-Resal)*(1-EXP((Tnet-t)/(Tau_j)))))*Salcycl</f>
        <v>0</v>
      </c>
      <c r="P79" s="171">
        <f>(INDEX(Models!$BJ79:$BT79,,T79)*(1-R79)+INDEX(Models!$BJ79:$BT79,,T79+1)*R79-ERP_i)*Q79*Ramure*Pc/MaxiM</f>
        <v>2.6701306956455412E-5</v>
      </c>
      <c r="Q79" s="307">
        <f t="shared" ref="Q79:Q142" si="28">IF(OR(t&lt;Ttai,Notai),Dd+PousD*Croivg,Dens+PousD*(Croivg-Croi_tai))</f>
        <v>0.9</v>
      </c>
      <c r="R79" s="179">
        <f t="shared" ref="R79:R142" si="29">(Hp_vg-S79)/(INDEX(Echel_vg,T79+1)-S79)</f>
        <v>0.21211023124286843</v>
      </c>
      <c r="S79" s="839">
        <f t="shared" si="19"/>
        <v>-3</v>
      </c>
      <c r="T79" s="178">
        <f t="shared" ref="T79:T142" si="30">MIN(MATCH(Hp_vg,Echel_vg),10)</f>
        <v>3</v>
      </c>
      <c r="U79" s="253">
        <f t="shared" ref="U79:U142" si="31">IF(OR(t&lt;Ttai,Notai),Hdd+PousH*Croivg,Hdtf+PousH*(Croivg-Croi_tai))</f>
        <v>-2.7878897687571316</v>
      </c>
      <c r="V79" s="385">
        <f t="shared" ref="V79:V142" si="32">MaxiM*(1-Ppv)*(1-Pvg)*(1-Psa)</f>
        <v>39.666812535765935</v>
      </c>
      <c r="W79" s="58"/>
      <c r="X79" s="157">
        <f t="shared" ref="X79:X142" si="33">t</f>
        <v>43165</v>
      </c>
      <c r="Y79" s="387">
        <f t="shared" ref="Y79:Y142" si="34">Wh_pvt_s*(1-Ppv)</f>
        <v>0</v>
      </c>
      <c r="Z79" s="387">
        <f t="shared" ref="Z79:Z142" si="35">Wh_sa_s*(1-Psa_s)</f>
        <v>0</v>
      </c>
      <c r="AA79" s="388">
        <f t="shared" ref="AA79:AA142" si="36">Wh_hp*(1-Pvg_s*MEDIAN((-Sdif+Wh/Env_an)/Csdif,0,1))</f>
        <v>0</v>
      </c>
      <c r="AB79" s="199">
        <f t="shared" ref="AB79:AB142" si="37">t</f>
        <v>43165</v>
      </c>
      <c r="AC79" s="428">
        <f t="shared" ref="AC79:AC142" si="38">IF(t&lt;T0,0,IF(OR(t&lt;Tnet,NoTnet),Salim_i*(1-EXP((T0-t)/Tau_ij)),Resal_s+(Salim-Resal_s)*(1-EXP((Tnet_s-t)/Tau_j))))*Salcycl</f>
        <v>0</v>
      </c>
      <c r="AD79" s="171">
        <f>(INDEX(Models!$BJ79:$BT79,,AH79)*(1-AF79)+INDEX(Models!$BJ79:$BT79,,AH79+1)*AF79-ERP_i)*AE79*Ramure*Pc/MaxiM</f>
        <v>2.6701306956455412E-5</v>
      </c>
      <c r="AE79" s="307">
        <f t="shared" ref="AE79:AE142" si="39">Dd+PousD*Croivg</f>
        <v>0.9</v>
      </c>
      <c r="AF79" s="179">
        <f t="shared" ref="AF79:AF142" si="40">(Hp_vg_s-AG79)/(INDEX(Echel_vg,AH79+1)-AG79)</f>
        <v>0.21211023124286843</v>
      </c>
      <c r="AG79" s="839">
        <f t="shared" ref="AG79:AG142" si="41">INDEX(Echel_vg,AH79)</f>
        <v>-3</v>
      </c>
      <c r="AH79" s="178">
        <f t="shared" ref="AH79:AH142" si="42">MIN(MATCH(Hp_vg_s,Echel_vg),10)</f>
        <v>3</v>
      </c>
      <c r="AI79" s="227">
        <f t="shared" ref="AI79:AI142" si="43">Hdd+PousH*Croivg</f>
        <v>-2.7878897687571316</v>
      </c>
      <c r="AJ79" s="267" t="b">
        <f t="shared" ref="AJ79:AJ142" si="44">t&lt;Tnet</f>
        <v>1</v>
      </c>
      <c r="AK79" s="267" t="b">
        <f t="shared" ref="AK79:AK142" si="45">t&lt;Ttai</f>
        <v>0</v>
      </c>
      <c r="AL79" s="267"/>
      <c r="AM79" s="267"/>
      <c r="AN79" s="75"/>
    </row>
    <row r="80" spans="1:40" s="6" customFormat="1" ht="11.25" x14ac:dyDescent="0.2">
      <c r="A80" s="56">
        <f t="shared" si="23"/>
        <v>43166</v>
      </c>
      <c r="B80" s="624"/>
      <c r="C80" s="881"/>
      <c r="D80" s="395"/>
      <c r="E80" s="387"/>
      <c r="F80" s="387"/>
      <c r="G80" s="110"/>
      <c r="I80" s="382">
        <f t="shared" si="24"/>
        <v>0</v>
      </c>
      <c r="J80" s="85">
        <v>2018</v>
      </c>
      <c r="K80" s="199">
        <f t="shared" si="25"/>
        <v>43166</v>
      </c>
      <c r="L80" s="439">
        <f t="shared" si="26"/>
        <v>0</v>
      </c>
      <c r="M80" s="883"/>
      <c r="N80" s="883"/>
      <c r="O80" s="326">
        <f t="shared" si="27"/>
        <v>0</v>
      </c>
      <c r="P80" s="171">
        <f>(INDEX(Models!$BJ80:$BT80,,T80)*(1-R80)+INDEX(Models!$BJ80:$BT80,,T80+1)*R80-ERP_i)*Q80*Ramure*Pc/MaxiM</f>
        <v>2.8007252192533236E-5</v>
      </c>
      <c r="Q80" s="307">
        <f t="shared" si="28"/>
        <v>0.9</v>
      </c>
      <c r="R80" s="179">
        <f t="shared" si="29"/>
        <v>0.2126575342290784</v>
      </c>
      <c r="S80" s="839">
        <f t="shared" ref="S80:S143" si="46">INDEX(Echel_vg,T80)</f>
        <v>-3</v>
      </c>
      <c r="T80" s="178">
        <f t="shared" si="30"/>
        <v>3</v>
      </c>
      <c r="U80" s="253">
        <f t="shared" si="31"/>
        <v>-2.7873424657709216</v>
      </c>
      <c r="V80" s="385">
        <f t="shared" si="32"/>
        <v>40.119972528069574</v>
      </c>
      <c r="W80" s="58"/>
      <c r="X80" s="157">
        <f t="shared" si="33"/>
        <v>43166</v>
      </c>
      <c r="Y80" s="387">
        <f t="shared" si="34"/>
        <v>0</v>
      </c>
      <c r="Z80" s="387">
        <f t="shared" si="35"/>
        <v>0</v>
      </c>
      <c r="AA80" s="388">
        <f t="shared" si="36"/>
        <v>0</v>
      </c>
      <c r="AB80" s="199">
        <f t="shared" si="37"/>
        <v>43166</v>
      </c>
      <c r="AC80" s="428">
        <f t="shared" si="38"/>
        <v>0</v>
      </c>
      <c r="AD80" s="171">
        <f>(INDEX(Models!$BJ80:$BT80,,AH80)*(1-AF80)+INDEX(Models!$BJ80:$BT80,,AH80+1)*AF80-ERP_i)*AE80*Ramure*Pc/MaxiM</f>
        <v>2.8007252192533236E-5</v>
      </c>
      <c r="AE80" s="307">
        <f t="shared" si="39"/>
        <v>0.9</v>
      </c>
      <c r="AF80" s="179">
        <f t="shared" si="40"/>
        <v>0.2126575342290784</v>
      </c>
      <c r="AG80" s="839">
        <f t="shared" si="41"/>
        <v>-3</v>
      </c>
      <c r="AH80" s="178">
        <f t="shared" si="42"/>
        <v>3</v>
      </c>
      <c r="AI80" s="227">
        <f t="shared" si="43"/>
        <v>-2.7873424657709216</v>
      </c>
      <c r="AJ80" s="267" t="b">
        <f t="shared" si="44"/>
        <v>1</v>
      </c>
      <c r="AK80" s="267" t="b">
        <f t="shared" si="45"/>
        <v>0</v>
      </c>
      <c r="AL80" s="267"/>
      <c r="AM80" s="267"/>
      <c r="AN80" s="75"/>
    </row>
    <row r="81" spans="1:40" s="6" customFormat="1" ht="11.25" x14ac:dyDescent="0.2">
      <c r="A81" s="56">
        <f t="shared" ref="A81:A144" si="47">A80+1</f>
        <v>43167</v>
      </c>
      <c r="B81" s="624"/>
      <c r="C81" s="881"/>
      <c r="D81" s="395"/>
      <c r="E81" s="387"/>
      <c r="F81" s="387"/>
      <c r="G81" s="110"/>
      <c r="I81" s="382">
        <f t="shared" si="24"/>
        <v>0</v>
      </c>
      <c r="J81" s="85">
        <v>2018</v>
      </c>
      <c r="K81" s="199">
        <f t="shared" si="25"/>
        <v>43167</v>
      </c>
      <c r="L81" s="439">
        <f t="shared" si="26"/>
        <v>0</v>
      </c>
      <c r="M81" s="883"/>
      <c r="N81" s="883"/>
      <c r="O81" s="326">
        <f t="shared" si="27"/>
        <v>0</v>
      </c>
      <c r="P81" s="171">
        <f>(INDEX(Models!$BJ81:$BT81,,T81)*(1-R81)+INDEX(Models!$BJ81:$BT81,,T81+1)*R81-ERP_i)*Q81*Ramure*Pc/MaxiM</f>
        <v>2.9345222340348912E-5</v>
      </c>
      <c r="Q81" s="307">
        <f t="shared" si="28"/>
        <v>0.9</v>
      </c>
      <c r="R81" s="179">
        <f t="shared" si="29"/>
        <v>0.2132268719885726</v>
      </c>
      <c r="S81" s="839">
        <f t="shared" si="46"/>
        <v>-3</v>
      </c>
      <c r="T81" s="178">
        <f t="shared" si="30"/>
        <v>3</v>
      </c>
      <c r="U81" s="253">
        <f t="shared" si="31"/>
        <v>-2.7867731280114274</v>
      </c>
      <c r="V81" s="385">
        <f t="shared" si="32"/>
        <v>40.577010973062762</v>
      </c>
      <c r="W81" s="58"/>
      <c r="X81" s="157">
        <f t="shared" si="33"/>
        <v>43167</v>
      </c>
      <c r="Y81" s="387">
        <f t="shared" si="34"/>
        <v>0</v>
      </c>
      <c r="Z81" s="387">
        <f t="shared" si="35"/>
        <v>0</v>
      </c>
      <c r="AA81" s="388">
        <f t="shared" si="36"/>
        <v>0</v>
      </c>
      <c r="AB81" s="199">
        <f t="shared" si="37"/>
        <v>43167</v>
      </c>
      <c r="AC81" s="428">
        <f t="shared" si="38"/>
        <v>0</v>
      </c>
      <c r="AD81" s="171">
        <f>(INDEX(Models!$BJ81:$BT81,,AH81)*(1-AF81)+INDEX(Models!$BJ81:$BT81,,AH81+1)*AF81-ERP_i)*AE81*Ramure*Pc/MaxiM</f>
        <v>2.9345222340348912E-5</v>
      </c>
      <c r="AE81" s="307">
        <f t="shared" si="39"/>
        <v>0.9</v>
      </c>
      <c r="AF81" s="179">
        <f t="shared" si="40"/>
        <v>0.2132268719885726</v>
      </c>
      <c r="AG81" s="839">
        <f t="shared" si="41"/>
        <v>-3</v>
      </c>
      <c r="AH81" s="178">
        <f t="shared" si="42"/>
        <v>3</v>
      </c>
      <c r="AI81" s="227">
        <f t="shared" si="43"/>
        <v>-2.7867731280114274</v>
      </c>
      <c r="AJ81" s="267" t="b">
        <f t="shared" si="44"/>
        <v>1</v>
      </c>
      <c r="AK81" s="267" t="b">
        <f t="shared" si="45"/>
        <v>0</v>
      </c>
      <c r="AL81" s="267"/>
      <c r="AM81" s="267"/>
      <c r="AN81" s="75"/>
    </row>
    <row r="82" spans="1:40" s="6" customFormat="1" ht="11.25" x14ac:dyDescent="0.2">
      <c r="A82" s="56">
        <f t="shared" si="47"/>
        <v>43168</v>
      </c>
      <c r="B82" s="624"/>
      <c r="C82" s="881"/>
      <c r="D82" s="395"/>
      <c r="E82" s="387"/>
      <c r="F82" s="387"/>
      <c r="G82" s="110"/>
      <c r="I82" s="382">
        <f t="shared" si="24"/>
        <v>0</v>
      </c>
      <c r="J82" s="85">
        <v>2018</v>
      </c>
      <c r="K82" s="199">
        <f t="shared" si="25"/>
        <v>43168</v>
      </c>
      <c r="L82" s="439">
        <f t="shared" si="26"/>
        <v>0</v>
      </c>
      <c r="M82" s="883"/>
      <c r="N82" s="883"/>
      <c r="O82" s="326">
        <f t="shared" si="27"/>
        <v>0</v>
      </c>
      <c r="P82" s="171">
        <f>(INDEX(Models!$BJ82:$BT82,,T82)*(1-R82)+INDEX(Models!$BJ82:$BT82,,T82+1)*R82-ERP_i)*Q82*Ramure*Pc/MaxiM</f>
        <v>3.0715592773804448E-5</v>
      </c>
      <c r="Q82" s="307">
        <f t="shared" si="28"/>
        <v>0.9</v>
      </c>
      <c r="R82" s="179">
        <f t="shared" si="29"/>
        <v>0.21381909212279426</v>
      </c>
      <c r="S82" s="839">
        <f t="shared" si="46"/>
        <v>-3</v>
      </c>
      <c r="T82" s="178">
        <f t="shared" si="30"/>
        <v>3</v>
      </c>
      <c r="U82" s="253">
        <f t="shared" si="31"/>
        <v>-2.7861809078772057</v>
      </c>
      <c r="V82" s="385">
        <f t="shared" si="32"/>
        <v>41.037256095627619</v>
      </c>
      <c r="W82" s="58"/>
      <c r="X82" s="157">
        <f t="shared" si="33"/>
        <v>43168</v>
      </c>
      <c r="Y82" s="387">
        <f t="shared" si="34"/>
        <v>0</v>
      </c>
      <c r="Z82" s="387">
        <f t="shared" si="35"/>
        <v>0</v>
      </c>
      <c r="AA82" s="388">
        <f t="shared" si="36"/>
        <v>0</v>
      </c>
      <c r="AB82" s="199">
        <f t="shared" si="37"/>
        <v>43168</v>
      </c>
      <c r="AC82" s="428">
        <f t="shared" si="38"/>
        <v>0</v>
      </c>
      <c r="AD82" s="171">
        <f>(INDEX(Models!$BJ82:$BT82,,AH82)*(1-AF82)+INDEX(Models!$BJ82:$BT82,,AH82+1)*AF82-ERP_i)*AE82*Ramure*Pc/MaxiM</f>
        <v>3.0715592773804448E-5</v>
      </c>
      <c r="AE82" s="307">
        <f t="shared" si="39"/>
        <v>0.9</v>
      </c>
      <c r="AF82" s="179">
        <f t="shared" si="40"/>
        <v>0.21381909212279426</v>
      </c>
      <c r="AG82" s="839">
        <f t="shared" si="41"/>
        <v>-3</v>
      </c>
      <c r="AH82" s="178">
        <f t="shared" si="42"/>
        <v>3</v>
      </c>
      <c r="AI82" s="227">
        <f t="shared" si="43"/>
        <v>-2.7861809078772057</v>
      </c>
      <c r="AJ82" s="267" t="b">
        <f t="shared" si="44"/>
        <v>1</v>
      </c>
      <c r="AK82" s="267" t="b">
        <f t="shared" si="45"/>
        <v>0</v>
      </c>
      <c r="AL82" s="267"/>
      <c r="AM82" s="267"/>
      <c r="AN82" s="75"/>
    </row>
    <row r="83" spans="1:40" s="6" customFormat="1" ht="11.25" customHeight="1" x14ac:dyDescent="0.2">
      <c r="A83" s="56">
        <f t="shared" si="47"/>
        <v>43169</v>
      </c>
      <c r="B83" s="624"/>
      <c r="C83" s="881"/>
      <c r="D83" s="395"/>
      <c r="E83" s="387"/>
      <c r="F83" s="387"/>
      <c r="G83" s="110"/>
      <c r="I83" s="382">
        <f t="shared" si="24"/>
        <v>0</v>
      </c>
      <c r="J83" s="85">
        <v>2018</v>
      </c>
      <c r="K83" s="199">
        <f t="shared" si="25"/>
        <v>43169</v>
      </c>
      <c r="L83" s="439">
        <f t="shared" si="26"/>
        <v>0</v>
      </c>
      <c r="M83" s="883"/>
      <c r="N83" s="883"/>
      <c r="O83" s="326">
        <f t="shared" si="27"/>
        <v>0</v>
      </c>
      <c r="P83" s="171">
        <f>(INDEX(Models!$BJ83:$BT83,,T83)*(1-R83)+INDEX(Models!$BJ83:$BT83,,T83+1)*R83-ERP_i)*Q83*Ramure*Pc/MaxiM</f>
        <v>3.2118752566060731E-5</v>
      </c>
      <c r="Q83" s="307">
        <f t="shared" si="28"/>
        <v>0.9</v>
      </c>
      <c r="R83" s="179">
        <f t="shared" si="29"/>
        <v>0.21443507153066577</v>
      </c>
      <c r="S83" s="839">
        <f t="shared" si="46"/>
        <v>-3</v>
      </c>
      <c r="T83" s="178">
        <f t="shared" si="30"/>
        <v>3</v>
      </c>
      <c r="U83" s="253">
        <f t="shared" si="31"/>
        <v>-2.7855649284693342</v>
      </c>
      <c r="V83" s="385">
        <f t="shared" si="32"/>
        <v>41.500036124093675</v>
      </c>
      <c r="W83" s="58"/>
      <c r="X83" s="157">
        <f t="shared" si="33"/>
        <v>43169</v>
      </c>
      <c r="Y83" s="387">
        <f t="shared" si="34"/>
        <v>0</v>
      </c>
      <c r="Z83" s="387">
        <f t="shared" si="35"/>
        <v>0</v>
      </c>
      <c r="AA83" s="388">
        <f t="shared" si="36"/>
        <v>0</v>
      </c>
      <c r="AB83" s="199">
        <f t="shared" si="37"/>
        <v>43169</v>
      </c>
      <c r="AC83" s="428">
        <f t="shared" si="38"/>
        <v>0</v>
      </c>
      <c r="AD83" s="171">
        <f>(INDEX(Models!$BJ83:$BT83,,AH83)*(1-AF83)+INDEX(Models!$BJ83:$BT83,,AH83+1)*AF83-ERP_i)*AE83*Ramure*Pc/MaxiM</f>
        <v>3.2118752566060731E-5</v>
      </c>
      <c r="AE83" s="307">
        <f t="shared" si="39"/>
        <v>0.9</v>
      </c>
      <c r="AF83" s="179">
        <f t="shared" si="40"/>
        <v>0.21443507153066577</v>
      </c>
      <c r="AG83" s="839">
        <f t="shared" si="41"/>
        <v>-3</v>
      </c>
      <c r="AH83" s="178">
        <f t="shared" si="42"/>
        <v>3</v>
      </c>
      <c r="AI83" s="227">
        <f t="shared" si="43"/>
        <v>-2.7855649284693342</v>
      </c>
      <c r="AJ83" s="267" t="b">
        <f t="shared" si="44"/>
        <v>1</v>
      </c>
      <c r="AK83" s="267" t="b">
        <f t="shared" si="45"/>
        <v>0</v>
      </c>
      <c r="AL83" s="267"/>
      <c r="AM83" s="267"/>
      <c r="AN83" s="75"/>
    </row>
    <row r="84" spans="1:40" s="6" customFormat="1" ht="11.25" customHeight="1" x14ac:dyDescent="0.2">
      <c r="A84" s="56">
        <f t="shared" si="47"/>
        <v>43170</v>
      </c>
      <c r="B84" s="624"/>
      <c r="C84" s="881"/>
      <c r="D84" s="395"/>
      <c r="E84" s="387"/>
      <c r="F84" s="387"/>
      <c r="G84" s="110"/>
      <c r="I84" s="382">
        <f t="shared" si="24"/>
        <v>0</v>
      </c>
      <c r="J84" s="85">
        <v>2018</v>
      </c>
      <c r="K84" s="199">
        <f t="shared" si="25"/>
        <v>43170</v>
      </c>
      <c r="L84" s="439">
        <f t="shared" si="26"/>
        <v>0</v>
      </c>
      <c r="M84" s="883"/>
      <c r="N84" s="883"/>
      <c r="O84" s="326">
        <f t="shared" si="27"/>
        <v>0</v>
      </c>
      <c r="P84" s="171">
        <f>(INDEX(Models!$BJ84:$BT84,,T84)*(1-R84)+INDEX(Models!$BJ84:$BT84,,T84+1)*R84-ERP_i)*Q84*Ramure*Pc/MaxiM</f>
        <v>3.3555101287267649E-5</v>
      </c>
      <c r="Q84" s="307">
        <f t="shared" si="28"/>
        <v>0.9</v>
      </c>
      <c r="R84" s="179">
        <f t="shared" si="29"/>
        <v>0.21507571714139662</v>
      </c>
      <c r="S84" s="839">
        <f t="shared" si="46"/>
        <v>-3</v>
      </c>
      <c r="T84" s="178">
        <f t="shared" si="30"/>
        <v>3</v>
      </c>
      <c r="U84" s="253">
        <f t="shared" si="31"/>
        <v>-2.7849242828586034</v>
      </c>
      <c r="V84" s="385">
        <f t="shared" si="32"/>
        <v>41.964679286996393</v>
      </c>
      <c r="W84" s="58"/>
      <c r="X84" s="157">
        <f t="shared" si="33"/>
        <v>43170</v>
      </c>
      <c r="Y84" s="387">
        <f t="shared" si="34"/>
        <v>0</v>
      </c>
      <c r="Z84" s="387">
        <f t="shared" si="35"/>
        <v>0</v>
      </c>
      <c r="AA84" s="388">
        <f t="shared" si="36"/>
        <v>0</v>
      </c>
      <c r="AB84" s="199">
        <f t="shared" si="37"/>
        <v>43170</v>
      </c>
      <c r="AC84" s="428">
        <f t="shared" si="38"/>
        <v>0</v>
      </c>
      <c r="AD84" s="171">
        <f>(INDEX(Models!$BJ84:$BT84,,AH84)*(1-AF84)+INDEX(Models!$BJ84:$BT84,,AH84+1)*AF84-ERP_i)*AE84*Ramure*Pc/MaxiM</f>
        <v>3.3555101287267649E-5</v>
      </c>
      <c r="AE84" s="307">
        <f t="shared" si="39"/>
        <v>0.9</v>
      </c>
      <c r="AF84" s="179">
        <f t="shared" si="40"/>
        <v>0.21507571714139662</v>
      </c>
      <c r="AG84" s="839">
        <f t="shared" si="41"/>
        <v>-3</v>
      </c>
      <c r="AH84" s="178">
        <f t="shared" si="42"/>
        <v>3</v>
      </c>
      <c r="AI84" s="227">
        <f t="shared" si="43"/>
        <v>-2.7849242828586034</v>
      </c>
      <c r="AJ84" s="267" t="b">
        <f t="shared" si="44"/>
        <v>1</v>
      </c>
      <c r="AK84" s="267" t="b">
        <f t="shared" si="45"/>
        <v>0</v>
      </c>
      <c r="AL84" s="267"/>
      <c r="AM84" s="267"/>
      <c r="AN84" s="75"/>
    </row>
    <row r="85" spans="1:40" s="6" customFormat="1" ht="11.25" customHeight="1" x14ac:dyDescent="0.2">
      <c r="A85" s="56">
        <f t="shared" si="47"/>
        <v>43171</v>
      </c>
      <c r="B85" s="624"/>
      <c r="C85" s="881"/>
      <c r="D85" s="395"/>
      <c r="E85" s="387"/>
      <c r="F85" s="387"/>
      <c r="G85" s="110"/>
      <c r="I85" s="382">
        <f t="shared" si="24"/>
        <v>0</v>
      </c>
      <c r="J85" s="85">
        <v>2018</v>
      </c>
      <c r="K85" s="199">
        <f t="shared" si="25"/>
        <v>43171</v>
      </c>
      <c r="L85" s="439">
        <f t="shared" si="26"/>
        <v>0</v>
      </c>
      <c r="M85" s="883"/>
      <c r="N85" s="883"/>
      <c r="O85" s="326">
        <f t="shared" si="27"/>
        <v>0</v>
      </c>
      <c r="P85" s="171">
        <f>(INDEX(Models!$BJ85:$BT85,,T85)*(1-R85)+INDEX(Models!$BJ85:$BT85,,T85+1)*R85-ERP_i)*Q85*Ramure*Pc/MaxiM</f>
        <v>3.5025045559943809E-5</v>
      </c>
      <c r="Q85" s="307">
        <f t="shared" si="28"/>
        <v>0.9</v>
      </c>
      <c r="R85" s="179">
        <f t="shared" si="29"/>
        <v>0.21574196664049383</v>
      </c>
      <c r="S85" s="839">
        <f t="shared" si="46"/>
        <v>-3</v>
      </c>
      <c r="T85" s="178">
        <f t="shared" si="30"/>
        <v>3</v>
      </c>
      <c r="U85" s="253">
        <f t="shared" si="31"/>
        <v>-2.7842580333595062</v>
      </c>
      <c r="V85" s="385">
        <f t="shared" si="32"/>
        <v>42.4305138172966</v>
      </c>
      <c r="W85" s="58"/>
      <c r="X85" s="157">
        <f t="shared" si="33"/>
        <v>43171</v>
      </c>
      <c r="Y85" s="387">
        <f t="shared" si="34"/>
        <v>0</v>
      </c>
      <c r="Z85" s="387">
        <f t="shared" si="35"/>
        <v>0</v>
      </c>
      <c r="AA85" s="388">
        <f t="shared" si="36"/>
        <v>0</v>
      </c>
      <c r="AB85" s="199">
        <f t="shared" si="37"/>
        <v>43171</v>
      </c>
      <c r="AC85" s="428">
        <f t="shared" si="38"/>
        <v>0</v>
      </c>
      <c r="AD85" s="171">
        <f>(INDEX(Models!$BJ85:$BT85,,AH85)*(1-AF85)+INDEX(Models!$BJ85:$BT85,,AH85+1)*AF85-ERP_i)*AE85*Ramure*Pc/MaxiM</f>
        <v>3.5025045559943809E-5</v>
      </c>
      <c r="AE85" s="307">
        <f t="shared" si="39"/>
        <v>0.9</v>
      </c>
      <c r="AF85" s="179">
        <f t="shared" si="40"/>
        <v>0.21574196664049383</v>
      </c>
      <c r="AG85" s="839">
        <f t="shared" si="41"/>
        <v>-3</v>
      </c>
      <c r="AH85" s="178">
        <f t="shared" si="42"/>
        <v>3</v>
      </c>
      <c r="AI85" s="227">
        <f t="shared" si="43"/>
        <v>-2.7842580333595062</v>
      </c>
      <c r="AJ85" s="267" t="b">
        <f t="shared" si="44"/>
        <v>1</v>
      </c>
      <c r="AK85" s="267" t="b">
        <f t="shared" si="45"/>
        <v>0</v>
      </c>
      <c r="AL85" s="267"/>
      <c r="AM85" s="267"/>
      <c r="AN85" s="75"/>
    </row>
    <row r="86" spans="1:40" s="6" customFormat="1" ht="11.25" customHeight="1" x14ac:dyDescent="0.2">
      <c r="A86" s="56">
        <f t="shared" si="47"/>
        <v>43172</v>
      </c>
      <c r="B86" s="624"/>
      <c r="C86" s="881"/>
      <c r="D86" s="395"/>
      <c r="E86" s="387"/>
      <c r="F86" s="387"/>
      <c r="G86" s="110"/>
      <c r="I86" s="382">
        <f t="shared" si="24"/>
        <v>0</v>
      </c>
      <c r="J86" s="85">
        <v>2018</v>
      </c>
      <c r="K86" s="199">
        <f t="shared" si="25"/>
        <v>43172</v>
      </c>
      <c r="L86" s="439">
        <f t="shared" si="26"/>
        <v>0</v>
      </c>
      <c r="M86" s="883"/>
      <c r="N86" s="883"/>
      <c r="O86" s="326">
        <f t="shared" si="27"/>
        <v>0</v>
      </c>
      <c r="P86" s="171">
        <f>(INDEX(Models!$BJ86:$BT86,,T86)*(1-R86)+INDEX(Models!$BJ86:$BT86,,T86+1)*R86-ERP_i)*Q86*Ramure*Pc/MaxiM</f>
        <v>3.6500529365667098E-5</v>
      </c>
      <c r="Q86" s="307">
        <f t="shared" si="28"/>
        <v>0.9</v>
      </c>
      <c r="R86" s="179">
        <f t="shared" si="29"/>
        <v>0.21643478918607784</v>
      </c>
      <c r="S86" s="839">
        <f t="shared" si="46"/>
        <v>-3</v>
      </c>
      <c r="T86" s="178">
        <f t="shared" si="30"/>
        <v>3</v>
      </c>
      <c r="U86" s="253">
        <f t="shared" si="31"/>
        <v>-2.7835652108139222</v>
      </c>
      <c r="V86" s="385">
        <f t="shared" si="32"/>
        <v>42.896869170002766</v>
      </c>
      <c r="W86" s="58"/>
      <c r="X86" s="157">
        <f t="shared" si="33"/>
        <v>43172</v>
      </c>
      <c r="Y86" s="387">
        <f t="shared" si="34"/>
        <v>0</v>
      </c>
      <c r="Z86" s="387">
        <f t="shared" si="35"/>
        <v>0</v>
      </c>
      <c r="AA86" s="388">
        <f t="shared" si="36"/>
        <v>0</v>
      </c>
      <c r="AB86" s="199">
        <f t="shared" si="37"/>
        <v>43172</v>
      </c>
      <c r="AC86" s="428">
        <f t="shared" si="38"/>
        <v>0</v>
      </c>
      <c r="AD86" s="171">
        <f>(INDEX(Models!$BJ86:$BT86,,AH86)*(1-AF86)+INDEX(Models!$BJ86:$BT86,,AH86+1)*AF86-ERP_i)*AE86*Ramure*Pc/MaxiM</f>
        <v>3.6500529365667098E-5</v>
      </c>
      <c r="AE86" s="307">
        <f t="shared" si="39"/>
        <v>0.9</v>
      </c>
      <c r="AF86" s="179">
        <f t="shared" si="40"/>
        <v>0.21643478918607784</v>
      </c>
      <c r="AG86" s="839">
        <f t="shared" si="41"/>
        <v>-3</v>
      </c>
      <c r="AH86" s="178">
        <f t="shared" si="42"/>
        <v>3</v>
      </c>
      <c r="AI86" s="227">
        <f t="shared" si="43"/>
        <v>-2.7835652108139222</v>
      </c>
      <c r="AJ86" s="267" t="b">
        <f t="shared" si="44"/>
        <v>1</v>
      </c>
      <c r="AK86" s="267" t="b">
        <f t="shared" si="45"/>
        <v>0</v>
      </c>
      <c r="AL86" s="267"/>
      <c r="AM86" s="267"/>
      <c r="AN86" s="75"/>
    </row>
    <row r="87" spans="1:40" s="6" customFormat="1" ht="11.25" customHeight="1" x14ac:dyDescent="0.2">
      <c r="A87" s="56">
        <f t="shared" si="47"/>
        <v>43173</v>
      </c>
      <c r="B87" s="624"/>
      <c r="C87" s="881"/>
      <c r="D87" s="395"/>
      <c r="E87" s="387"/>
      <c r="F87" s="387"/>
      <c r="G87" s="110"/>
      <c r="I87" s="382">
        <f t="shared" si="24"/>
        <v>0</v>
      </c>
      <c r="J87" s="85">
        <v>2018</v>
      </c>
      <c r="K87" s="199">
        <f t="shared" si="25"/>
        <v>43173</v>
      </c>
      <c r="L87" s="439">
        <f t="shared" si="26"/>
        <v>0</v>
      </c>
      <c r="M87" s="883"/>
      <c r="N87" s="883"/>
      <c r="O87" s="326">
        <f t="shared" si="27"/>
        <v>0</v>
      </c>
      <c r="P87" s="171">
        <f>(INDEX(Models!$BJ87:$BT87,,T87)*(1-R87)+INDEX(Models!$BJ87:$BT87,,T87+1)*R87-ERP_i)*Q87*Ramure*Pc/MaxiM</f>
        <v>3.7985308862509309E-5</v>
      </c>
      <c r="Q87" s="307">
        <f t="shared" si="28"/>
        <v>0.9</v>
      </c>
      <c r="R87" s="179">
        <f t="shared" si="29"/>
        <v>0.21715518611233042</v>
      </c>
      <c r="S87" s="839">
        <f t="shared" si="46"/>
        <v>-3</v>
      </c>
      <c r="T87" s="178">
        <f t="shared" si="30"/>
        <v>3</v>
      </c>
      <c r="U87" s="253">
        <f t="shared" si="31"/>
        <v>-2.7828448138876696</v>
      </c>
      <c r="V87" s="385">
        <f t="shared" si="32"/>
        <v>43.363073477347235</v>
      </c>
      <c r="W87" s="58"/>
      <c r="X87" s="157">
        <f t="shared" si="33"/>
        <v>43173</v>
      </c>
      <c r="Y87" s="387">
        <f t="shared" si="34"/>
        <v>0</v>
      </c>
      <c r="Z87" s="387">
        <f t="shared" si="35"/>
        <v>0</v>
      </c>
      <c r="AA87" s="388">
        <f t="shared" si="36"/>
        <v>0</v>
      </c>
      <c r="AB87" s="199">
        <f t="shared" si="37"/>
        <v>43173</v>
      </c>
      <c r="AC87" s="428">
        <f t="shared" si="38"/>
        <v>0</v>
      </c>
      <c r="AD87" s="171">
        <f>(INDEX(Models!$BJ87:$BT87,,AH87)*(1-AF87)+INDEX(Models!$BJ87:$BT87,,AH87+1)*AF87-ERP_i)*AE87*Ramure*Pc/MaxiM</f>
        <v>3.7985308862509309E-5</v>
      </c>
      <c r="AE87" s="307">
        <f t="shared" si="39"/>
        <v>0.9</v>
      </c>
      <c r="AF87" s="179">
        <f t="shared" si="40"/>
        <v>0.21715518611233042</v>
      </c>
      <c r="AG87" s="839">
        <f t="shared" si="41"/>
        <v>-3</v>
      </c>
      <c r="AH87" s="178">
        <f t="shared" si="42"/>
        <v>3</v>
      </c>
      <c r="AI87" s="227">
        <f t="shared" si="43"/>
        <v>-2.7828448138876696</v>
      </c>
      <c r="AJ87" s="267" t="b">
        <f t="shared" si="44"/>
        <v>1</v>
      </c>
      <c r="AK87" s="267" t="b">
        <f t="shared" si="45"/>
        <v>0</v>
      </c>
      <c r="AL87" s="267"/>
      <c r="AM87" s="267"/>
      <c r="AN87" s="75"/>
    </row>
    <row r="88" spans="1:40" s="6" customFormat="1" ht="11.25" x14ac:dyDescent="0.2">
      <c r="A88" s="56">
        <f t="shared" si="47"/>
        <v>43174</v>
      </c>
      <c r="B88" s="624"/>
      <c r="C88" s="881"/>
      <c r="D88" s="395"/>
      <c r="E88" s="387"/>
      <c r="F88" s="387"/>
      <c r="G88" s="110"/>
      <c r="I88" s="382">
        <f t="shared" si="24"/>
        <v>0</v>
      </c>
      <c r="J88" s="85">
        <v>2018</v>
      </c>
      <c r="K88" s="199">
        <f t="shared" si="25"/>
        <v>43174</v>
      </c>
      <c r="L88" s="439">
        <f t="shared" si="26"/>
        <v>0</v>
      </c>
      <c r="M88" s="883"/>
      <c r="N88" s="883"/>
      <c r="O88" s="326">
        <f t="shared" si="27"/>
        <v>0</v>
      </c>
      <c r="P88" s="171">
        <f>(INDEX(Models!$BJ88:$BT88,,T88)*(1-R88)+INDEX(Models!$BJ88:$BT88,,T88+1)*R88-ERP_i)*Q88*Ramure*Pc/MaxiM</f>
        <v>3.9477465564825903E-5</v>
      </c>
      <c r="Q88" s="307">
        <f t="shared" si="28"/>
        <v>0.9</v>
      </c>
      <c r="R88" s="179">
        <f t="shared" si="29"/>
        <v>0.2179041916166149</v>
      </c>
      <c r="S88" s="839">
        <f t="shared" si="46"/>
        <v>-3</v>
      </c>
      <c r="T88" s="178">
        <f t="shared" si="30"/>
        <v>3</v>
      </c>
      <c r="U88" s="253">
        <f t="shared" si="31"/>
        <v>-2.7820958083833851</v>
      </c>
      <c r="V88" s="385">
        <f t="shared" si="32"/>
        <v>43.828455118091313</v>
      </c>
      <c r="W88" s="58"/>
      <c r="X88" s="157">
        <f t="shared" si="33"/>
        <v>43174</v>
      </c>
      <c r="Y88" s="387">
        <f t="shared" si="34"/>
        <v>0</v>
      </c>
      <c r="Z88" s="387">
        <f t="shared" si="35"/>
        <v>0</v>
      </c>
      <c r="AA88" s="388">
        <f t="shared" si="36"/>
        <v>0</v>
      </c>
      <c r="AB88" s="199">
        <f t="shared" si="37"/>
        <v>43174</v>
      </c>
      <c r="AC88" s="428">
        <f t="shared" si="38"/>
        <v>0</v>
      </c>
      <c r="AD88" s="171">
        <f>(INDEX(Models!$BJ88:$BT88,,AH88)*(1-AF88)+INDEX(Models!$BJ88:$BT88,,AH88+1)*AF88-ERP_i)*AE88*Ramure*Pc/MaxiM</f>
        <v>3.9477465564825903E-5</v>
      </c>
      <c r="AE88" s="307">
        <f t="shared" si="39"/>
        <v>0.9</v>
      </c>
      <c r="AF88" s="179">
        <f t="shared" si="40"/>
        <v>0.2179041916166149</v>
      </c>
      <c r="AG88" s="839">
        <f t="shared" si="41"/>
        <v>-3</v>
      </c>
      <c r="AH88" s="178">
        <f t="shared" si="42"/>
        <v>3</v>
      </c>
      <c r="AI88" s="227">
        <f t="shared" si="43"/>
        <v>-2.7820958083833851</v>
      </c>
      <c r="AJ88" s="267" t="b">
        <f t="shared" si="44"/>
        <v>1</v>
      </c>
      <c r="AK88" s="267" t="b">
        <f t="shared" si="45"/>
        <v>0</v>
      </c>
      <c r="AL88" s="267"/>
      <c r="AM88" s="267"/>
      <c r="AN88" s="75"/>
    </row>
    <row r="89" spans="1:40" s="6" customFormat="1" ht="11.25" customHeight="1" x14ac:dyDescent="0.2">
      <c r="A89" s="56">
        <f t="shared" si="47"/>
        <v>43175</v>
      </c>
      <c r="B89" s="624"/>
      <c r="C89" s="881"/>
      <c r="D89" s="395"/>
      <c r="E89" s="387"/>
      <c r="F89" s="387"/>
      <c r="G89" s="110"/>
      <c r="I89" s="382">
        <f t="shared" si="24"/>
        <v>0</v>
      </c>
      <c r="J89" s="85">
        <v>2018</v>
      </c>
      <c r="K89" s="199">
        <f t="shared" si="25"/>
        <v>43175</v>
      </c>
      <c r="L89" s="439">
        <f t="shared" si="26"/>
        <v>0</v>
      </c>
      <c r="M89" s="883"/>
      <c r="N89" s="883"/>
      <c r="O89" s="326">
        <f t="shared" si="27"/>
        <v>0</v>
      </c>
      <c r="P89" s="171">
        <f>(INDEX(Models!$BJ89:$BT89,,T89)*(1-R89)+INDEX(Models!$BJ89:$BT89,,T89+1)*R89-ERP_i)*Q89*Ramure*Pc/MaxiM</f>
        <v>4.0974922613123769E-5</v>
      </c>
      <c r="Q89" s="307">
        <f t="shared" si="28"/>
        <v>0.9</v>
      </c>
      <c r="R89" s="179">
        <f t="shared" si="29"/>
        <v>0.21868287342649539</v>
      </c>
      <c r="S89" s="839">
        <f t="shared" si="46"/>
        <v>-3</v>
      </c>
      <c r="T89" s="178">
        <f t="shared" si="30"/>
        <v>3</v>
      </c>
      <c r="U89" s="253">
        <f t="shared" si="31"/>
        <v>-2.7813171265735046</v>
      </c>
      <c r="V89" s="385">
        <f t="shared" si="32"/>
        <v>44.292342484847886</v>
      </c>
      <c r="W89" s="58"/>
      <c r="X89" s="157">
        <f t="shared" si="33"/>
        <v>43175</v>
      </c>
      <c r="Y89" s="387">
        <f t="shared" si="34"/>
        <v>0</v>
      </c>
      <c r="Z89" s="387">
        <f t="shared" si="35"/>
        <v>0</v>
      </c>
      <c r="AA89" s="388">
        <f t="shared" si="36"/>
        <v>0</v>
      </c>
      <c r="AB89" s="199">
        <f t="shared" si="37"/>
        <v>43175</v>
      </c>
      <c r="AC89" s="428">
        <f t="shared" si="38"/>
        <v>0</v>
      </c>
      <c r="AD89" s="171">
        <f>(INDEX(Models!$BJ89:$BT89,,AH89)*(1-AF89)+INDEX(Models!$BJ89:$BT89,,AH89+1)*AF89-ERP_i)*AE89*Ramure*Pc/MaxiM</f>
        <v>4.0974922613123769E-5</v>
      </c>
      <c r="AE89" s="307">
        <f t="shared" si="39"/>
        <v>0.9</v>
      </c>
      <c r="AF89" s="179">
        <f t="shared" si="40"/>
        <v>0.21868287342649539</v>
      </c>
      <c r="AG89" s="839">
        <f t="shared" si="41"/>
        <v>-3</v>
      </c>
      <c r="AH89" s="178">
        <f t="shared" si="42"/>
        <v>3</v>
      </c>
      <c r="AI89" s="227">
        <f t="shared" si="43"/>
        <v>-2.7813171265735046</v>
      </c>
      <c r="AJ89" s="267" t="b">
        <f t="shared" si="44"/>
        <v>1</v>
      </c>
      <c r="AK89" s="267" t="b">
        <f t="shared" si="45"/>
        <v>0</v>
      </c>
      <c r="AL89" s="267"/>
      <c r="AM89" s="267"/>
      <c r="AN89" s="75"/>
    </row>
    <row r="90" spans="1:40" s="6" customFormat="1" ht="11.25" customHeight="1" x14ac:dyDescent="0.2">
      <c r="A90" s="56">
        <f t="shared" si="47"/>
        <v>43176</v>
      </c>
      <c r="B90" s="624"/>
      <c r="C90" s="881"/>
      <c r="D90" s="395"/>
      <c r="E90" s="387"/>
      <c r="F90" s="387"/>
      <c r="G90" s="110"/>
      <c r="I90" s="382">
        <f t="shared" si="24"/>
        <v>0</v>
      </c>
      <c r="J90" s="85">
        <v>2018</v>
      </c>
      <c r="K90" s="199">
        <f t="shared" si="25"/>
        <v>43176</v>
      </c>
      <c r="L90" s="439">
        <f t="shared" si="26"/>
        <v>0</v>
      </c>
      <c r="M90" s="883"/>
      <c r="N90" s="883"/>
      <c r="O90" s="326">
        <f t="shared" si="27"/>
        <v>0</v>
      </c>
      <c r="P90" s="171">
        <f>(INDEX(Models!$BJ90:$BT90,,T90)*(1-R90)+INDEX(Models!$BJ90:$BT90,,T90+1)*R90-ERP_i)*Q90*Ramure*Pc/MaxiM</f>
        <v>4.247542853560168E-5</v>
      </c>
      <c r="Q90" s="307">
        <f t="shared" si="28"/>
        <v>0.9</v>
      </c>
      <c r="R90" s="179">
        <f t="shared" si="29"/>
        <v>0.21949233344256536</v>
      </c>
      <c r="S90" s="839">
        <f t="shared" si="46"/>
        <v>-3</v>
      </c>
      <c r="T90" s="178">
        <f t="shared" si="30"/>
        <v>3</v>
      </c>
      <c r="U90" s="253">
        <f t="shared" si="31"/>
        <v>-2.7805076665574346</v>
      </c>
      <c r="V90" s="385">
        <f t="shared" si="32"/>
        <v>44.754063985860022</v>
      </c>
      <c r="W90" s="58"/>
      <c r="X90" s="157">
        <f t="shared" si="33"/>
        <v>43176</v>
      </c>
      <c r="Y90" s="387">
        <f t="shared" si="34"/>
        <v>0</v>
      </c>
      <c r="Z90" s="387">
        <f t="shared" si="35"/>
        <v>0</v>
      </c>
      <c r="AA90" s="388">
        <f t="shared" si="36"/>
        <v>0</v>
      </c>
      <c r="AB90" s="199">
        <f t="shared" si="37"/>
        <v>43176</v>
      </c>
      <c r="AC90" s="428">
        <f t="shared" si="38"/>
        <v>0</v>
      </c>
      <c r="AD90" s="171">
        <f>(INDEX(Models!$BJ90:$BT90,,AH90)*(1-AF90)+INDEX(Models!$BJ90:$BT90,,AH90+1)*AF90-ERP_i)*AE90*Ramure*Pc/MaxiM</f>
        <v>4.247542853560168E-5</v>
      </c>
      <c r="AE90" s="307">
        <f t="shared" si="39"/>
        <v>0.9</v>
      </c>
      <c r="AF90" s="179">
        <f t="shared" si="40"/>
        <v>0.21949233344256536</v>
      </c>
      <c r="AG90" s="839">
        <f t="shared" si="41"/>
        <v>-3</v>
      </c>
      <c r="AH90" s="178">
        <f t="shared" si="42"/>
        <v>3</v>
      </c>
      <c r="AI90" s="227">
        <f t="shared" si="43"/>
        <v>-2.7805076665574346</v>
      </c>
      <c r="AJ90" s="267" t="b">
        <f t="shared" si="44"/>
        <v>1</v>
      </c>
      <c r="AK90" s="267" t="b">
        <f t="shared" si="45"/>
        <v>0</v>
      </c>
      <c r="AL90" s="267"/>
      <c r="AM90" s="267"/>
      <c r="AN90" s="75"/>
    </row>
    <row r="91" spans="1:40" s="6" customFormat="1" ht="11.25" customHeight="1" x14ac:dyDescent="0.2">
      <c r="A91" s="56">
        <f t="shared" si="47"/>
        <v>43177</v>
      </c>
      <c r="B91" s="624"/>
      <c r="C91" s="881"/>
      <c r="D91" s="395"/>
      <c r="E91" s="387"/>
      <c r="F91" s="387"/>
      <c r="G91" s="110"/>
      <c r="I91" s="382">
        <f t="shared" si="24"/>
        <v>0</v>
      </c>
      <c r="J91" s="85">
        <v>2018</v>
      </c>
      <c r="K91" s="199">
        <f t="shared" si="25"/>
        <v>43177</v>
      </c>
      <c r="L91" s="439">
        <f t="shared" si="26"/>
        <v>0</v>
      </c>
      <c r="M91" s="883"/>
      <c r="N91" s="883"/>
      <c r="O91" s="326">
        <f t="shared" si="27"/>
        <v>0</v>
      </c>
      <c r="P91" s="171">
        <f>(INDEX(Models!$BJ91:$BT91,,T91)*(1-R91)+INDEX(Models!$BJ91:$BT91,,T91+1)*R91-ERP_i)*Q91*Ramure*Pc/MaxiM</f>
        <v>4.397653994895973E-5</v>
      </c>
      <c r="Q91" s="307">
        <f t="shared" si="28"/>
        <v>0.9</v>
      </c>
      <c r="R91" s="179">
        <f t="shared" si="29"/>
        <v>0.2203337083526411</v>
      </c>
      <c r="S91" s="839">
        <f t="shared" si="46"/>
        <v>-3</v>
      </c>
      <c r="T91" s="178">
        <f t="shared" si="30"/>
        <v>3</v>
      </c>
      <c r="U91" s="253">
        <f t="shared" si="31"/>
        <v>-2.7796662916473589</v>
      </c>
      <c r="V91" s="385">
        <f t="shared" si="32"/>
        <v>45.212948046799823</v>
      </c>
      <c r="W91" s="58"/>
      <c r="X91" s="157">
        <f t="shared" si="33"/>
        <v>43177</v>
      </c>
      <c r="Y91" s="387">
        <f t="shared" si="34"/>
        <v>0</v>
      </c>
      <c r="Z91" s="387">
        <f t="shared" si="35"/>
        <v>0</v>
      </c>
      <c r="AA91" s="388">
        <f t="shared" si="36"/>
        <v>0</v>
      </c>
      <c r="AB91" s="199">
        <f t="shared" si="37"/>
        <v>43177</v>
      </c>
      <c r="AC91" s="428">
        <f t="shared" si="38"/>
        <v>0</v>
      </c>
      <c r="AD91" s="171">
        <f>(INDEX(Models!$BJ91:$BT91,,AH91)*(1-AF91)+INDEX(Models!$BJ91:$BT91,,AH91+1)*AF91-ERP_i)*AE91*Ramure*Pc/MaxiM</f>
        <v>4.397653994895973E-5</v>
      </c>
      <c r="AE91" s="307">
        <f t="shared" si="39"/>
        <v>0.9</v>
      </c>
      <c r="AF91" s="179">
        <f t="shared" si="40"/>
        <v>0.2203337083526411</v>
      </c>
      <c r="AG91" s="839">
        <f t="shared" si="41"/>
        <v>-3</v>
      </c>
      <c r="AH91" s="178">
        <f t="shared" si="42"/>
        <v>3</v>
      </c>
      <c r="AI91" s="227">
        <f t="shared" si="43"/>
        <v>-2.7796662916473589</v>
      </c>
      <c r="AJ91" s="267" t="b">
        <f t="shared" si="44"/>
        <v>1</v>
      </c>
      <c r="AK91" s="267" t="b">
        <f t="shared" si="45"/>
        <v>0</v>
      </c>
      <c r="AL91" s="267"/>
      <c r="AM91" s="267"/>
      <c r="AN91" s="75"/>
    </row>
    <row r="92" spans="1:40" s="6" customFormat="1" ht="11.25" customHeight="1" x14ac:dyDescent="0.2">
      <c r="A92" s="56">
        <f t="shared" si="47"/>
        <v>43178</v>
      </c>
      <c r="B92" s="624"/>
      <c r="C92" s="881"/>
      <c r="D92" s="395"/>
      <c r="E92" s="387"/>
      <c r="F92" s="387"/>
      <c r="G92" s="110"/>
      <c r="I92" s="382">
        <f t="shared" si="24"/>
        <v>0</v>
      </c>
      <c r="J92" s="85">
        <v>2018</v>
      </c>
      <c r="K92" s="199">
        <f t="shared" si="25"/>
        <v>43178</v>
      </c>
      <c r="L92" s="439">
        <f t="shared" si="26"/>
        <v>0</v>
      </c>
      <c r="M92" s="883"/>
      <c r="N92" s="883"/>
      <c r="O92" s="326">
        <f t="shared" si="27"/>
        <v>0</v>
      </c>
      <c r="P92" s="171">
        <f>(INDEX(Models!$BJ92:$BT92,,T92)*(1-R92)+INDEX(Models!$BJ92:$BT92,,T92+1)*R92-ERP_i)*Q92*Ramure*Pc/MaxiM</f>
        <v>4.5475603127380206E-5</v>
      </c>
      <c r="Q92" s="307">
        <f t="shared" si="28"/>
        <v>0.9</v>
      </c>
      <c r="R92" s="179">
        <f t="shared" si="29"/>
        <v>0.22120817021253014</v>
      </c>
      <c r="S92" s="839">
        <f t="shared" si="46"/>
        <v>-3</v>
      </c>
      <c r="T92" s="178">
        <f t="shared" si="30"/>
        <v>3</v>
      </c>
      <c r="U92" s="253">
        <f t="shared" si="31"/>
        <v>-2.7787918297874699</v>
      </c>
      <c r="V92" s="385">
        <f t="shared" si="32"/>
        <v>45.668323111005996</v>
      </c>
      <c r="W92" s="58"/>
      <c r="X92" s="157">
        <f t="shared" si="33"/>
        <v>43178</v>
      </c>
      <c r="Y92" s="387">
        <f t="shared" si="34"/>
        <v>0</v>
      </c>
      <c r="Z92" s="387">
        <f t="shared" si="35"/>
        <v>0</v>
      </c>
      <c r="AA92" s="388">
        <f t="shared" si="36"/>
        <v>0</v>
      </c>
      <c r="AB92" s="199">
        <f t="shared" si="37"/>
        <v>43178</v>
      </c>
      <c r="AC92" s="428">
        <f t="shared" si="38"/>
        <v>0</v>
      </c>
      <c r="AD92" s="171">
        <f>(INDEX(Models!$BJ92:$BT92,,AH92)*(1-AF92)+INDEX(Models!$BJ92:$BT92,,AH92+1)*AF92-ERP_i)*AE92*Ramure*Pc/MaxiM</f>
        <v>4.5475603127380206E-5</v>
      </c>
      <c r="AE92" s="307">
        <f t="shared" si="39"/>
        <v>0.9</v>
      </c>
      <c r="AF92" s="179">
        <f t="shared" si="40"/>
        <v>0.22120817021253014</v>
      </c>
      <c r="AG92" s="839">
        <f t="shared" si="41"/>
        <v>-3</v>
      </c>
      <c r="AH92" s="178">
        <f t="shared" si="42"/>
        <v>3</v>
      </c>
      <c r="AI92" s="227">
        <f t="shared" si="43"/>
        <v>-2.7787918297874699</v>
      </c>
      <c r="AJ92" s="267" t="b">
        <f t="shared" si="44"/>
        <v>1</v>
      </c>
      <c r="AK92" s="267" t="b">
        <f t="shared" si="45"/>
        <v>0</v>
      </c>
      <c r="AL92" s="267"/>
      <c r="AM92" s="267"/>
      <c r="AN92" s="75"/>
    </row>
    <row r="93" spans="1:40" s="6" customFormat="1" ht="11.25" x14ac:dyDescent="0.2">
      <c r="A93" s="56">
        <f t="shared" si="47"/>
        <v>43179</v>
      </c>
      <c r="B93" s="624"/>
      <c r="C93" s="881"/>
      <c r="D93" s="395"/>
      <c r="E93" s="387"/>
      <c r="F93" s="387"/>
      <c r="G93" s="110"/>
      <c r="I93" s="382">
        <f t="shared" si="24"/>
        <v>0</v>
      </c>
      <c r="J93" s="85">
        <v>2018</v>
      </c>
      <c r="K93" s="199">
        <f t="shared" si="25"/>
        <v>43179</v>
      </c>
      <c r="L93" s="439">
        <f t="shared" si="26"/>
        <v>0</v>
      </c>
      <c r="M93" s="883"/>
      <c r="N93" s="883"/>
      <c r="O93" s="326">
        <f t="shared" si="27"/>
        <v>0</v>
      </c>
      <c r="P93" s="171">
        <f>(INDEX(Models!$BJ93:$BT93,,T93)*(1-R93)+INDEX(Models!$BJ93:$BT93,,T93+1)*R93-ERP_i)*Q93*Ramure*Pc/MaxiM</f>
        <v>4.6966049819363123E-5</v>
      </c>
      <c r="Q93" s="307">
        <f t="shared" si="28"/>
        <v>0.9</v>
      </c>
      <c r="R93" s="179">
        <f t="shared" si="29"/>
        <v>0.22211692698820018</v>
      </c>
      <c r="S93" s="839">
        <f t="shared" si="46"/>
        <v>-3</v>
      </c>
      <c r="T93" s="178">
        <f t="shared" si="30"/>
        <v>3</v>
      </c>
      <c r="U93" s="253">
        <f t="shared" si="31"/>
        <v>-2.7778830730117998</v>
      </c>
      <c r="V93" s="385">
        <f t="shared" si="32"/>
        <v>46.123137467149775</v>
      </c>
      <c r="W93" s="58"/>
      <c r="X93" s="157">
        <f t="shared" si="33"/>
        <v>43179</v>
      </c>
      <c r="Y93" s="387">
        <f t="shared" si="34"/>
        <v>0</v>
      </c>
      <c r="Z93" s="387">
        <f t="shared" si="35"/>
        <v>0</v>
      </c>
      <c r="AA93" s="388">
        <f t="shared" si="36"/>
        <v>0</v>
      </c>
      <c r="AB93" s="199">
        <f t="shared" si="37"/>
        <v>43179</v>
      </c>
      <c r="AC93" s="428">
        <f t="shared" si="38"/>
        <v>0</v>
      </c>
      <c r="AD93" s="171">
        <f>(INDEX(Models!$BJ93:$BT93,,AH93)*(1-AF93)+INDEX(Models!$BJ93:$BT93,,AH93+1)*AF93-ERP_i)*AE93*Ramure*Pc/MaxiM</f>
        <v>4.6966049819363123E-5</v>
      </c>
      <c r="AE93" s="307">
        <f t="shared" si="39"/>
        <v>0.9</v>
      </c>
      <c r="AF93" s="179">
        <f t="shared" si="40"/>
        <v>0.22211692698820018</v>
      </c>
      <c r="AG93" s="839">
        <f t="shared" si="41"/>
        <v>-3</v>
      </c>
      <c r="AH93" s="178">
        <f t="shared" si="42"/>
        <v>3</v>
      </c>
      <c r="AI93" s="227">
        <f t="shared" si="43"/>
        <v>-2.7778830730117998</v>
      </c>
      <c r="AJ93" s="267" t="b">
        <f t="shared" si="44"/>
        <v>1</v>
      </c>
      <c r="AK93" s="267" t="b">
        <f t="shared" si="45"/>
        <v>0</v>
      </c>
      <c r="AL93" s="267"/>
      <c r="AM93" s="267"/>
      <c r="AN93" s="75"/>
    </row>
    <row r="94" spans="1:40" s="6" customFormat="1" ht="11.25" customHeight="1" x14ac:dyDescent="0.2">
      <c r="A94" s="56">
        <f t="shared" si="47"/>
        <v>43180</v>
      </c>
      <c r="B94" s="624"/>
      <c r="C94" s="881"/>
      <c r="D94" s="395"/>
      <c r="E94" s="387"/>
      <c r="F94" s="387"/>
      <c r="G94" s="110"/>
      <c r="I94" s="382">
        <f t="shared" si="24"/>
        <v>0</v>
      </c>
      <c r="J94" s="85">
        <v>2018</v>
      </c>
      <c r="K94" s="199">
        <f t="shared" si="25"/>
        <v>43180</v>
      </c>
      <c r="L94" s="439">
        <f t="shared" si="26"/>
        <v>0</v>
      </c>
      <c r="M94" s="883"/>
      <c r="N94" s="883"/>
      <c r="O94" s="326">
        <f t="shared" si="27"/>
        <v>0</v>
      </c>
      <c r="P94" s="171">
        <f>(INDEX(Models!$BJ94:$BT94,,T94)*(1-R94)+INDEX(Models!$BJ94:$BT94,,T94+1)*R94-ERP_i)*Q94*Ramure*Pc/MaxiM</f>
        <v>4.8416537778200252E-5</v>
      </c>
      <c r="Q94" s="307">
        <f t="shared" si="28"/>
        <v>0.9</v>
      </c>
      <c r="R94" s="179">
        <f t="shared" si="29"/>
        <v>0.22306122305378073</v>
      </c>
      <c r="S94" s="839">
        <f t="shared" si="46"/>
        <v>-3</v>
      </c>
      <c r="T94" s="178">
        <f t="shared" si="30"/>
        <v>3</v>
      </c>
      <c r="U94" s="253">
        <f t="shared" si="31"/>
        <v>-2.7769387769462193</v>
      </c>
      <c r="V94" s="385">
        <f t="shared" si="32"/>
        <v>46.580191286807178</v>
      </c>
      <c r="W94" s="58"/>
      <c r="X94" s="157">
        <f t="shared" si="33"/>
        <v>43180</v>
      </c>
      <c r="Y94" s="387">
        <f t="shared" si="34"/>
        <v>0</v>
      </c>
      <c r="Z94" s="387">
        <f t="shared" si="35"/>
        <v>0</v>
      </c>
      <c r="AA94" s="388">
        <f t="shared" si="36"/>
        <v>0</v>
      </c>
      <c r="AB94" s="199">
        <f t="shared" si="37"/>
        <v>43180</v>
      </c>
      <c r="AC94" s="428">
        <f t="shared" si="38"/>
        <v>0</v>
      </c>
      <c r="AD94" s="171">
        <f>(INDEX(Models!$BJ94:$BT94,,AH94)*(1-AF94)+INDEX(Models!$BJ94:$BT94,,AH94+1)*AF94-ERP_i)*AE94*Ramure*Pc/MaxiM</f>
        <v>4.8416537778200252E-5</v>
      </c>
      <c r="AE94" s="307">
        <f t="shared" si="39"/>
        <v>0.9</v>
      </c>
      <c r="AF94" s="179">
        <f t="shared" si="40"/>
        <v>0.22306122305378073</v>
      </c>
      <c r="AG94" s="839">
        <f t="shared" si="41"/>
        <v>-3</v>
      </c>
      <c r="AH94" s="178">
        <f t="shared" si="42"/>
        <v>3</v>
      </c>
      <c r="AI94" s="227">
        <f t="shared" si="43"/>
        <v>-2.7769387769462193</v>
      </c>
      <c r="AJ94" s="267" t="b">
        <f t="shared" si="44"/>
        <v>1</v>
      </c>
      <c r="AK94" s="267" t="b">
        <f t="shared" si="45"/>
        <v>0</v>
      </c>
      <c r="AL94" s="267"/>
      <c r="AM94" s="267"/>
      <c r="AN94" s="75"/>
    </row>
    <row r="95" spans="1:40" s="6" customFormat="1" ht="11.25" customHeight="1" x14ac:dyDescent="0.2">
      <c r="A95" s="56">
        <f t="shared" si="47"/>
        <v>43181</v>
      </c>
      <c r="B95" s="624"/>
      <c r="C95" s="881"/>
      <c r="D95" s="395"/>
      <c r="E95" s="387"/>
      <c r="F95" s="387"/>
      <c r="G95" s="110"/>
      <c r="I95" s="382">
        <f t="shared" si="24"/>
        <v>0</v>
      </c>
      <c r="J95" s="85">
        <v>2018</v>
      </c>
      <c r="K95" s="199">
        <f t="shared" si="25"/>
        <v>43181</v>
      </c>
      <c r="L95" s="439">
        <f t="shared" si="26"/>
        <v>0</v>
      </c>
      <c r="M95" s="883"/>
      <c r="N95" s="883"/>
      <c r="O95" s="326">
        <f t="shared" si="27"/>
        <v>0</v>
      </c>
      <c r="P95" s="171">
        <f>(INDEX(Models!$BJ95:$BT95,,T95)*(1-R95)+INDEX(Models!$BJ95:$BT95,,T95+1)*R95-ERP_i)*Q95*Ramure*Pc/MaxiM</f>
        <v>4.9845646418185521E-5</v>
      </c>
      <c r="Q95" s="307">
        <f t="shared" si="28"/>
        <v>0.9</v>
      </c>
      <c r="R95" s="179">
        <f t="shared" si="29"/>
        <v>0.22404233963942533</v>
      </c>
      <c r="S95" s="839">
        <f t="shared" si="46"/>
        <v>-3</v>
      </c>
      <c r="T95" s="178">
        <f t="shared" si="30"/>
        <v>3</v>
      </c>
      <c r="U95" s="253">
        <f t="shared" si="31"/>
        <v>-2.7759576603605747</v>
      </c>
      <c r="V95" s="385">
        <f t="shared" si="32"/>
        <v>47.038588158985654</v>
      </c>
      <c r="W95" s="58"/>
      <c r="X95" s="157">
        <f t="shared" si="33"/>
        <v>43181</v>
      </c>
      <c r="Y95" s="387">
        <f t="shared" si="34"/>
        <v>0</v>
      </c>
      <c r="Z95" s="387">
        <f t="shared" si="35"/>
        <v>0</v>
      </c>
      <c r="AA95" s="388">
        <f t="shared" si="36"/>
        <v>0</v>
      </c>
      <c r="AB95" s="199">
        <f t="shared" si="37"/>
        <v>43181</v>
      </c>
      <c r="AC95" s="428">
        <f t="shared" si="38"/>
        <v>0</v>
      </c>
      <c r="AD95" s="171">
        <f>(INDEX(Models!$BJ95:$BT95,,AH95)*(1-AF95)+INDEX(Models!$BJ95:$BT95,,AH95+1)*AF95-ERP_i)*AE95*Ramure*Pc/MaxiM</f>
        <v>4.9845646418185521E-5</v>
      </c>
      <c r="AE95" s="307">
        <f t="shared" si="39"/>
        <v>0.9</v>
      </c>
      <c r="AF95" s="179">
        <f t="shared" si="40"/>
        <v>0.22404233963942533</v>
      </c>
      <c r="AG95" s="839">
        <f t="shared" si="41"/>
        <v>-3</v>
      </c>
      <c r="AH95" s="178">
        <f t="shared" si="42"/>
        <v>3</v>
      </c>
      <c r="AI95" s="227">
        <f t="shared" si="43"/>
        <v>-2.7759576603605747</v>
      </c>
      <c r="AJ95" s="267" t="b">
        <f t="shared" si="44"/>
        <v>1</v>
      </c>
      <c r="AK95" s="267" t="b">
        <f t="shared" si="45"/>
        <v>0</v>
      </c>
      <c r="AL95" s="267"/>
      <c r="AM95" s="267"/>
      <c r="AN95" s="75"/>
    </row>
    <row r="96" spans="1:40" s="6" customFormat="1" ht="11.25" x14ac:dyDescent="0.2">
      <c r="A96" s="56">
        <f t="shared" si="47"/>
        <v>43182</v>
      </c>
      <c r="B96" s="624"/>
      <c r="C96" s="881"/>
      <c r="D96" s="395"/>
      <c r="E96" s="387"/>
      <c r="F96" s="387"/>
      <c r="G96" s="110"/>
      <c r="I96" s="382">
        <f t="shared" si="24"/>
        <v>0</v>
      </c>
      <c r="J96" s="85">
        <v>2018</v>
      </c>
      <c r="K96" s="199">
        <f t="shared" si="25"/>
        <v>43182</v>
      </c>
      <c r="L96" s="439">
        <f t="shared" si="26"/>
        <v>0</v>
      </c>
      <c r="M96" s="883"/>
      <c r="N96" s="883"/>
      <c r="O96" s="326">
        <f t="shared" si="27"/>
        <v>0</v>
      </c>
      <c r="P96" s="171">
        <f>(INDEX(Models!$BJ96:$BT96,,T96)*(1-R96)+INDEX(Models!$BJ96:$BT96,,T96+1)*R96-ERP_i)*Q96*Ramure*Pc/MaxiM</f>
        <v>5.1249384204247501E-5</v>
      </c>
      <c r="Q96" s="307">
        <f t="shared" si="28"/>
        <v>0.9</v>
      </c>
      <c r="R96" s="179">
        <f t="shared" si="29"/>
        <v>0.22506159522263758</v>
      </c>
      <c r="S96" s="839">
        <f t="shared" si="46"/>
        <v>-3</v>
      </c>
      <c r="T96" s="178">
        <f t="shared" si="30"/>
        <v>3</v>
      </c>
      <c r="U96" s="253">
        <f t="shared" si="31"/>
        <v>-2.7749384047773624</v>
      </c>
      <c r="V96" s="385">
        <f t="shared" si="32"/>
        <v>47.497432716522304</v>
      </c>
      <c r="W96" s="58"/>
      <c r="X96" s="157">
        <f t="shared" si="33"/>
        <v>43182</v>
      </c>
      <c r="Y96" s="387">
        <f t="shared" si="34"/>
        <v>0</v>
      </c>
      <c r="Z96" s="387">
        <f t="shared" si="35"/>
        <v>0</v>
      </c>
      <c r="AA96" s="388">
        <f t="shared" si="36"/>
        <v>0</v>
      </c>
      <c r="AB96" s="199">
        <f t="shared" si="37"/>
        <v>43182</v>
      </c>
      <c r="AC96" s="428">
        <f t="shared" si="38"/>
        <v>0</v>
      </c>
      <c r="AD96" s="171">
        <f>(INDEX(Models!$BJ96:$BT96,,AH96)*(1-AF96)+INDEX(Models!$BJ96:$BT96,,AH96+1)*AF96-ERP_i)*AE96*Ramure*Pc/MaxiM</f>
        <v>5.1249384204247501E-5</v>
      </c>
      <c r="AE96" s="307">
        <f t="shared" si="39"/>
        <v>0.9</v>
      </c>
      <c r="AF96" s="179">
        <f t="shared" si="40"/>
        <v>0.22506159522263758</v>
      </c>
      <c r="AG96" s="839">
        <f t="shared" si="41"/>
        <v>-3</v>
      </c>
      <c r="AH96" s="178">
        <f t="shared" si="42"/>
        <v>3</v>
      </c>
      <c r="AI96" s="227">
        <f t="shared" si="43"/>
        <v>-2.7749384047773624</v>
      </c>
      <c r="AJ96" s="267" t="b">
        <f t="shared" si="44"/>
        <v>1</v>
      </c>
      <c r="AK96" s="267" t="b">
        <f t="shared" si="45"/>
        <v>0</v>
      </c>
      <c r="AL96" s="267"/>
      <c r="AM96" s="267"/>
      <c r="AN96" s="75"/>
    </row>
    <row r="97" spans="1:40" s="6" customFormat="1" ht="11.25" customHeight="1" x14ac:dyDescent="0.2">
      <c r="A97" s="56">
        <f t="shared" si="47"/>
        <v>43183</v>
      </c>
      <c r="B97" s="624"/>
      <c r="C97" s="881"/>
      <c r="D97" s="395"/>
      <c r="E97" s="387"/>
      <c r="F97" s="387"/>
      <c r="G97" s="110"/>
      <c r="I97" s="382">
        <f t="shared" si="24"/>
        <v>0</v>
      </c>
      <c r="J97" s="85">
        <v>2018</v>
      </c>
      <c r="K97" s="199">
        <f t="shared" si="25"/>
        <v>43183</v>
      </c>
      <c r="L97" s="439">
        <f t="shared" si="26"/>
        <v>0</v>
      </c>
      <c r="M97" s="883"/>
      <c r="N97" s="883"/>
      <c r="O97" s="326">
        <f t="shared" si="27"/>
        <v>0</v>
      </c>
      <c r="P97" s="171">
        <f>(INDEX(Models!$BJ97:$BT97,,T97)*(1-R97)+INDEX(Models!$BJ97:$BT97,,T97+1)*R97-ERP_i)*Q97*Ramure*Pc/MaxiM</f>
        <v>5.2623477507083374E-5</v>
      </c>
      <c r="Q97" s="307">
        <f t="shared" si="28"/>
        <v>0.9</v>
      </c>
      <c r="R97" s="179">
        <f t="shared" si="29"/>
        <v>0.22612034585622132</v>
      </c>
      <c r="S97" s="839">
        <f t="shared" si="46"/>
        <v>-3</v>
      </c>
      <c r="T97" s="178">
        <f t="shared" si="30"/>
        <v>3</v>
      </c>
      <c r="U97" s="253">
        <f t="shared" si="31"/>
        <v>-2.7738796541437787</v>
      </c>
      <c r="V97" s="385">
        <f t="shared" si="32"/>
        <v>47.955829618321978</v>
      </c>
      <c r="W97" s="58"/>
      <c r="X97" s="157">
        <f t="shared" si="33"/>
        <v>43183</v>
      </c>
      <c r="Y97" s="387">
        <f t="shared" si="34"/>
        <v>0</v>
      </c>
      <c r="Z97" s="387">
        <f t="shared" si="35"/>
        <v>0</v>
      </c>
      <c r="AA97" s="388">
        <f t="shared" si="36"/>
        <v>0</v>
      </c>
      <c r="AB97" s="199">
        <f t="shared" si="37"/>
        <v>43183</v>
      </c>
      <c r="AC97" s="428">
        <f t="shared" si="38"/>
        <v>0</v>
      </c>
      <c r="AD97" s="171">
        <f>(INDEX(Models!$BJ97:$BT97,,AH97)*(1-AF97)+INDEX(Models!$BJ97:$BT97,,AH97+1)*AF97-ERP_i)*AE97*Ramure*Pc/MaxiM</f>
        <v>5.2623477507083374E-5</v>
      </c>
      <c r="AE97" s="307">
        <f t="shared" si="39"/>
        <v>0.9</v>
      </c>
      <c r="AF97" s="179">
        <f t="shared" si="40"/>
        <v>0.22612034585622132</v>
      </c>
      <c r="AG97" s="839">
        <f t="shared" si="41"/>
        <v>-3</v>
      </c>
      <c r="AH97" s="178">
        <f t="shared" si="42"/>
        <v>3</v>
      </c>
      <c r="AI97" s="227">
        <f t="shared" si="43"/>
        <v>-2.7738796541437787</v>
      </c>
      <c r="AJ97" s="267" t="b">
        <f t="shared" si="44"/>
        <v>1</v>
      </c>
      <c r="AK97" s="267" t="b">
        <f t="shared" si="45"/>
        <v>0</v>
      </c>
      <c r="AL97" s="267"/>
      <c r="AM97" s="267"/>
      <c r="AN97" s="75"/>
    </row>
    <row r="98" spans="1:40" s="6" customFormat="1" ht="11.25" x14ac:dyDescent="0.2">
      <c r="A98" s="56">
        <f t="shared" si="47"/>
        <v>43184</v>
      </c>
      <c r="B98" s="624"/>
      <c r="C98" s="881"/>
      <c r="D98" s="395"/>
      <c r="E98" s="387"/>
      <c r="F98" s="387"/>
      <c r="G98" s="110"/>
      <c r="I98" s="382">
        <f t="shared" si="24"/>
        <v>0</v>
      </c>
      <c r="J98" s="85">
        <v>2018</v>
      </c>
      <c r="K98" s="199">
        <f t="shared" si="25"/>
        <v>43184</v>
      </c>
      <c r="L98" s="439">
        <f t="shared" si="26"/>
        <v>0</v>
      </c>
      <c r="M98" s="883"/>
      <c r="N98" s="883"/>
      <c r="O98" s="326">
        <f t="shared" si="27"/>
        <v>0</v>
      </c>
      <c r="P98" s="171">
        <f>(INDEX(Models!$BJ98:$BT98,,T98)*(1-R98)+INDEX(Models!$BJ98:$BT98,,T98+1)*R98-ERP_i)*Q98*Ramure*Pc/MaxiM</f>
        <v>5.3963343897814392E-5</v>
      </c>
      <c r="Q98" s="307">
        <f t="shared" si="28"/>
        <v>0.9</v>
      </c>
      <c r="R98" s="179">
        <f t="shared" si="29"/>
        <v>0.22721998542556765</v>
      </c>
      <c r="S98" s="839">
        <f t="shared" si="46"/>
        <v>-3</v>
      </c>
      <c r="T98" s="178">
        <f t="shared" si="30"/>
        <v>3</v>
      </c>
      <c r="U98" s="253">
        <f t="shared" si="31"/>
        <v>-2.7727800145744324</v>
      </c>
      <c r="V98" s="385">
        <f t="shared" si="32"/>
        <v>48.41288354846904</v>
      </c>
      <c r="W98" s="58"/>
      <c r="X98" s="157">
        <f t="shared" si="33"/>
        <v>43184</v>
      </c>
      <c r="Y98" s="387">
        <f t="shared" si="34"/>
        <v>0</v>
      </c>
      <c r="Z98" s="387">
        <f t="shared" si="35"/>
        <v>0</v>
      </c>
      <c r="AA98" s="388">
        <f t="shared" si="36"/>
        <v>0</v>
      </c>
      <c r="AB98" s="199">
        <f t="shared" si="37"/>
        <v>43184</v>
      </c>
      <c r="AC98" s="428">
        <f t="shared" si="38"/>
        <v>0</v>
      </c>
      <c r="AD98" s="171">
        <f>(INDEX(Models!$BJ98:$BT98,,AH98)*(1-AF98)+INDEX(Models!$BJ98:$BT98,,AH98+1)*AF98-ERP_i)*AE98*Ramure*Pc/MaxiM</f>
        <v>5.3963343897814392E-5</v>
      </c>
      <c r="AE98" s="307">
        <f t="shared" si="39"/>
        <v>0.9</v>
      </c>
      <c r="AF98" s="179">
        <f t="shared" si="40"/>
        <v>0.22721998542556765</v>
      </c>
      <c r="AG98" s="839">
        <f t="shared" si="41"/>
        <v>-3</v>
      </c>
      <c r="AH98" s="178">
        <f t="shared" si="42"/>
        <v>3</v>
      </c>
      <c r="AI98" s="227">
        <f t="shared" si="43"/>
        <v>-2.7727800145744324</v>
      </c>
      <c r="AJ98" s="267" t="b">
        <f t="shared" si="44"/>
        <v>1</v>
      </c>
      <c r="AK98" s="267" t="b">
        <f t="shared" si="45"/>
        <v>0</v>
      </c>
      <c r="AL98" s="267"/>
      <c r="AM98" s="267"/>
      <c r="AN98" s="75"/>
    </row>
    <row r="99" spans="1:40" s="6" customFormat="1" ht="11.25" x14ac:dyDescent="0.2">
      <c r="A99" s="56">
        <f t="shared" si="47"/>
        <v>43185</v>
      </c>
      <c r="B99" s="624"/>
      <c r="C99" s="881"/>
      <c r="D99" s="395"/>
      <c r="E99" s="387"/>
      <c r="F99" s="387"/>
      <c r="G99" s="110"/>
      <c r="I99" s="382">
        <f t="shared" si="24"/>
        <v>0</v>
      </c>
      <c r="J99" s="85">
        <v>2018</v>
      </c>
      <c r="K99" s="199">
        <f t="shared" si="25"/>
        <v>43185</v>
      </c>
      <c r="L99" s="439">
        <f t="shared" si="26"/>
        <v>0</v>
      </c>
      <c r="M99" s="883"/>
      <c r="N99" s="883"/>
      <c r="O99" s="326">
        <f t="shared" si="27"/>
        <v>0</v>
      </c>
      <c r="P99" s="171">
        <f>(INDEX(Models!$BJ99:$BT99,,T99)*(1-R99)+INDEX(Models!$BJ99:$BT99,,T99+1)*R99-ERP_i)*Q99*Ramure*Pc/MaxiM</f>
        <v>5.526406373838333E-5</v>
      </c>
      <c r="Q99" s="307">
        <f t="shared" si="28"/>
        <v>0.9</v>
      </c>
      <c r="R99" s="179">
        <f t="shared" si="29"/>
        <v>0.22836194582753278</v>
      </c>
      <c r="S99" s="839">
        <f t="shared" si="46"/>
        <v>-3</v>
      </c>
      <c r="T99" s="178">
        <f t="shared" si="30"/>
        <v>3</v>
      </c>
      <c r="U99" s="253">
        <f t="shared" si="31"/>
        <v>-2.7716380541724672</v>
      </c>
      <c r="V99" s="385">
        <f t="shared" si="32"/>
        <v>48.867699223369925</v>
      </c>
      <c r="W99" s="58"/>
      <c r="X99" s="157">
        <f t="shared" si="33"/>
        <v>43185</v>
      </c>
      <c r="Y99" s="387">
        <f t="shared" si="34"/>
        <v>0</v>
      </c>
      <c r="Z99" s="387">
        <f t="shared" si="35"/>
        <v>0</v>
      </c>
      <c r="AA99" s="388">
        <f t="shared" si="36"/>
        <v>0</v>
      </c>
      <c r="AB99" s="199">
        <f t="shared" si="37"/>
        <v>43185</v>
      </c>
      <c r="AC99" s="428">
        <f t="shared" si="38"/>
        <v>0</v>
      </c>
      <c r="AD99" s="171">
        <f>(INDEX(Models!$BJ99:$BT99,,AH99)*(1-AF99)+INDEX(Models!$BJ99:$BT99,,AH99+1)*AF99-ERP_i)*AE99*Ramure*Pc/MaxiM</f>
        <v>5.526406373838333E-5</v>
      </c>
      <c r="AE99" s="307">
        <f t="shared" si="39"/>
        <v>0.9</v>
      </c>
      <c r="AF99" s="179">
        <f t="shared" si="40"/>
        <v>0.22836194582753278</v>
      </c>
      <c r="AG99" s="839">
        <f t="shared" si="41"/>
        <v>-3</v>
      </c>
      <c r="AH99" s="178">
        <f t="shared" si="42"/>
        <v>3</v>
      </c>
      <c r="AI99" s="227">
        <f t="shared" si="43"/>
        <v>-2.7716380541724672</v>
      </c>
      <c r="AJ99" s="267" t="b">
        <f t="shared" si="44"/>
        <v>1</v>
      </c>
      <c r="AK99" s="267" t="b">
        <f t="shared" si="45"/>
        <v>0</v>
      </c>
      <c r="AL99" s="267"/>
      <c r="AM99" s="267"/>
      <c r="AN99" s="75"/>
    </row>
    <row r="100" spans="1:40" s="6" customFormat="1" ht="11.25" x14ac:dyDescent="0.2">
      <c r="A100" s="56">
        <f t="shared" si="47"/>
        <v>43186</v>
      </c>
      <c r="B100" s="624"/>
      <c r="C100" s="881"/>
      <c r="D100" s="395"/>
      <c r="E100" s="387"/>
      <c r="F100" s="387"/>
      <c r="G100" s="110"/>
      <c r="I100" s="382">
        <f t="shared" si="24"/>
        <v>0</v>
      </c>
      <c r="J100" s="85">
        <v>2018</v>
      </c>
      <c r="K100" s="199">
        <f t="shared" si="25"/>
        <v>43186</v>
      </c>
      <c r="L100" s="439">
        <f t="shared" si="26"/>
        <v>0</v>
      </c>
      <c r="M100" s="883"/>
      <c r="N100" s="883"/>
      <c r="O100" s="326">
        <f t="shared" si="27"/>
        <v>0</v>
      </c>
      <c r="P100" s="171">
        <f>(INDEX(Models!$BJ100:$BT100,,T100)*(1-R100)+INDEX(Models!$BJ100:$BT100,,T100+1)*R100-ERP_i)*Q100*Ramure*Pc/MaxiM</f>
        <v>5.6499274957299871E-5</v>
      </c>
      <c r="Q100" s="307">
        <f t="shared" si="28"/>
        <v>0.9</v>
      </c>
      <c r="R100" s="179">
        <f t="shared" si="29"/>
        <v>0.2295476970626833</v>
      </c>
      <c r="S100" s="839">
        <f t="shared" si="46"/>
        <v>-3</v>
      </c>
      <c r="T100" s="178">
        <f t="shared" si="30"/>
        <v>3</v>
      </c>
      <c r="U100" s="253">
        <f t="shared" si="31"/>
        <v>-2.7704523029373167</v>
      </c>
      <c r="V100" s="385">
        <f t="shared" si="32"/>
        <v>49.319382429522285</v>
      </c>
      <c r="W100" s="58"/>
      <c r="X100" s="157">
        <f t="shared" si="33"/>
        <v>43186</v>
      </c>
      <c r="Y100" s="387">
        <f t="shared" si="34"/>
        <v>0</v>
      </c>
      <c r="Z100" s="387">
        <f t="shared" si="35"/>
        <v>0</v>
      </c>
      <c r="AA100" s="388">
        <f t="shared" si="36"/>
        <v>0</v>
      </c>
      <c r="AB100" s="199">
        <f t="shared" si="37"/>
        <v>43186</v>
      </c>
      <c r="AC100" s="428">
        <f t="shared" si="38"/>
        <v>0</v>
      </c>
      <c r="AD100" s="171">
        <f>(INDEX(Models!$BJ100:$BT100,,AH100)*(1-AF100)+INDEX(Models!$BJ100:$BT100,,AH100+1)*AF100-ERP_i)*AE100*Ramure*Pc/MaxiM</f>
        <v>5.6499274957299871E-5</v>
      </c>
      <c r="AE100" s="307">
        <f t="shared" si="39"/>
        <v>0.9</v>
      </c>
      <c r="AF100" s="179">
        <f t="shared" si="40"/>
        <v>0.2295476970626833</v>
      </c>
      <c r="AG100" s="839">
        <f t="shared" si="41"/>
        <v>-3</v>
      </c>
      <c r="AH100" s="178">
        <f t="shared" si="42"/>
        <v>3</v>
      </c>
      <c r="AI100" s="227">
        <f t="shared" si="43"/>
        <v>-2.7704523029373167</v>
      </c>
      <c r="AJ100" s="267" t="b">
        <f t="shared" si="44"/>
        <v>1</v>
      </c>
      <c r="AK100" s="267" t="b">
        <f t="shared" si="45"/>
        <v>0</v>
      </c>
      <c r="AL100" s="267"/>
      <c r="AM100" s="267"/>
      <c r="AN100" s="75"/>
    </row>
    <row r="101" spans="1:40" s="6" customFormat="1" ht="11.25" x14ac:dyDescent="0.2">
      <c r="A101" s="56">
        <f t="shared" si="47"/>
        <v>43187</v>
      </c>
      <c r="B101" s="624"/>
      <c r="C101" s="881"/>
      <c r="D101" s="395"/>
      <c r="E101" s="387"/>
      <c r="F101" s="387"/>
      <c r="G101" s="110"/>
      <c r="I101" s="382">
        <f t="shared" si="24"/>
        <v>0</v>
      </c>
      <c r="J101" s="85">
        <v>2018</v>
      </c>
      <c r="K101" s="199">
        <f t="shared" si="25"/>
        <v>43187</v>
      </c>
      <c r="L101" s="439">
        <f t="shared" si="26"/>
        <v>0</v>
      </c>
      <c r="M101" s="883"/>
      <c r="N101" s="883"/>
      <c r="O101" s="326">
        <f t="shared" si="27"/>
        <v>0</v>
      </c>
      <c r="P101" s="171">
        <f>(INDEX(Models!$BJ101:$BT101,,T101)*(1-R101)+INDEX(Models!$BJ101:$BT101,,T101+1)*R101-ERP_i)*Q101*Ramure*Pc/MaxiM</f>
        <v>5.7706907616131997E-5</v>
      </c>
      <c r="Q101" s="307">
        <f t="shared" si="28"/>
        <v>0.9</v>
      </c>
      <c r="R101" s="179">
        <f t="shared" si="29"/>
        <v>0.23077874723221292</v>
      </c>
      <c r="S101" s="839">
        <f t="shared" si="46"/>
        <v>-3</v>
      </c>
      <c r="T101" s="178">
        <f t="shared" si="30"/>
        <v>3</v>
      </c>
      <c r="U101" s="253">
        <f t="shared" si="31"/>
        <v>-2.7692212527677871</v>
      </c>
      <c r="V101" s="385">
        <f t="shared" si="32"/>
        <v>49.767035805235771</v>
      </c>
      <c r="W101" s="58"/>
      <c r="X101" s="157">
        <f t="shared" si="33"/>
        <v>43187</v>
      </c>
      <c r="Y101" s="387">
        <f t="shared" si="34"/>
        <v>0</v>
      </c>
      <c r="Z101" s="387">
        <f t="shared" si="35"/>
        <v>0</v>
      </c>
      <c r="AA101" s="388">
        <f t="shared" si="36"/>
        <v>0</v>
      </c>
      <c r="AB101" s="199">
        <f t="shared" si="37"/>
        <v>43187</v>
      </c>
      <c r="AC101" s="428">
        <f t="shared" si="38"/>
        <v>0</v>
      </c>
      <c r="AD101" s="171">
        <f>(INDEX(Models!$BJ101:$BT101,,AH101)*(1-AF101)+INDEX(Models!$BJ101:$BT101,,AH101+1)*AF101-ERP_i)*AE101*Ramure*Pc/MaxiM</f>
        <v>5.7706907616131997E-5</v>
      </c>
      <c r="AE101" s="307">
        <f t="shared" si="39"/>
        <v>0.9</v>
      </c>
      <c r="AF101" s="179">
        <f t="shared" si="40"/>
        <v>0.23077874723221292</v>
      </c>
      <c r="AG101" s="839">
        <f t="shared" si="41"/>
        <v>-3</v>
      </c>
      <c r="AH101" s="178">
        <f t="shared" si="42"/>
        <v>3</v>
      </c>
      <c r="AI101" s="227">
        <f t="shared" si="43"/>
        <v>-2.7692212527677871</v>
      </c>
      <c r="AJ101" s="267" t="b">
        <f t="shared" si="44"/>
        <v>1</v>
      </c>
      <c r="AK101" s="267" t="b">
        <f t="shared" si="45"/>
        <v>0</v>
      </c>
      <c r="AL101" s="267"/>
      <c r="AM101" s="267"/>
      <c r="AN101" s="75"/>
    </row>
    <row r="102" spans="1:40" s="6" customFormat="1" ht="11.25" x14ac:dyDescent="0.2">
      <c r="A102" s="56">
        <f t="shared" si="47"/>
        <v>43188</v>
      </c>
      <c r="B102" s="624"/>
      <c r="C102" s="881"/>
      <c r="D102" s="395"/>
      <c r="E102" s="387"/>
      <c r="F102" s="387"/>
      <c r="G102" s="110"/>
      <c r="I102" s="382">
        <f t="shared" si="24"/>
        <v>0</v>
      </c>
      <c r="J102" s="85">
        <v>2018</v>
      </c>
      <c r="K102" s="199">
        <f t="shared" si="25"/>
        <v>43188</v>
      </c>
      <c r="L102" s="439">
        <f t="shared" si="26"/>
        <v>0</v>
      </c>
      <c r="M102" s="883"/>
      <c r="N102" s="883"/>
      <c r="O102" s="326">
        <f t="shared" si="27"/>
        <v>0</v>
      </c>
      <c r="P102" s="171">
        <f>(INDEX(Models!$BJ102:$BT102,,T102)*(1-R102)+INDEX(Models!$BJ102:$BT102,,T102+1)*R102-ERP_i)*Q102*Ramure*Pc/MaxiM</f>
        <v>5.8883064972959459E-5</v>
      </c>
      <c r="Q102" s="307">
        <f t="shared" si="28"/>
        <v>0.9</v>
      </c>
      <c r="R102" s="179">
        <f t="shared" si="29"/>
        <v>0.23205664243035384</v>
      </c>
      <c r="S102" s="839">
        <f t="shared" si="46"/>
        <v>-3</v>
      </c>
      <c r="T102" s="178">
        <f t="shared" si="30"/>
        <v>3</v>
      </c>
      <c r="U102" s="253">
        <f t="shared" si="31"/>
        <v>-2.7679433575696462</v>
      </c>
      <c r="V102" s="385">
        <f t="shared" si="32"/>
        <v>50.209764021511127</v>
      </c>
      <c r="W102" s="58"/>
      <c r="X102" s="157">
        <f t="shared" si="33"/>
        <v>43188</v>
      </c>
      <c r="Y102" s="387">
        <f t="shared" si="34"/>
        <v>0</v>
      </c>
      <c r="Z102" s="387">
        <f t="shared" si="35"/>
        <v>0</v>
      </c>
      <c r="AA102" s="388">
        <f t="shared" si="36"/>
        <v>0</v>
      </c>
      <c r="AB102" s="199">
        <f t="shared" si="37"/>
        <v>43188</v>
      </c>
      <c r="AC102" s="428">
        <f t="shared" si="38"/>
        <v>0</v>
      </c>
      <c r="AD102" s="171">
        <f>(INDEX(Models!$BJ102:$BT102,,AH102)*(1-AF102)+INDEX(Models!$BJ102:$BT102,,AH102+1)*AF102-ERP_i)*AE102*Ramure*Pc/MaxiM</f>
        <v>5.8883064972959459E-5</v>
      </c>
      <c r="AE102" s="307">
        <f t="shared" si="39"/>
        <v>0.9</v>
      </c>
      <c r="AF102" s="179">
        <f t="shared" si="40"/>
        <v>0.23205664243035384</v>
      </c>
      <c r="AG102" s="839">
        <f t="shared" si="41"/>
        <v>-3</v>
      </c>
      <c r="AH102" s="178">
        <f t="shared" si="42"/>
        <v>3</v>
      </c>
      <c r="AI102" s="227">
        <f t="shared" si="43"/>
        <v>-2.7679433575696462</v>
      </c>
      <c r="AJ102" s="267" t="b">
        <f t="shared" si="44"/>
        <v>1</v>
      </c>
      <c r="AK102" s="267" t="b">
        <f t="shared" si="45"/>
        <v>0</v>
      </c>
      <c r="AL102" s="267"/>
      <c r="AM102" s="267"/>
      <c r="AN102" s="75"/>
    </row>
    <row r="103" spans="1:40" s="6" customFormat="1" ht="11.25" x14ac:dyDescent="0.2">
      <c r="A103" s="56">
        <f t="shared" si="47"/>
        <v>43189</v>
      </c>
      <c r="B103" s="624"/>
      <c r="C103" s="881"/>
      <c r="D103" s="395"/>
      <c r="E103" s="387"/>
      <c r="F103" s="387"/>
      <c r="G103" s="110"/>
      <c r="I103" s="382">
        <f t="shared" si="24"/>
        <v>0</v>
      </c>
      <c r="J103" s="85">
        <v>2018</v>
      </c>
      <c r="K103" s="199">
        <f t="shared" si="25"/>
        <v>43189</v>
      </c>
      <c r="L103" s="439">
        <f t="shared" si="26"/>
        <v>0</v>
      </c>
      <c r="M103" s="883"/>
      <c r="N103" s="883"/>
      <c r="O103" s="326">
        <f t="shared" si="27"/>
        <v>0</v>
      </c>
      <c r="P103" s="171">
        <f>(INDEX(Models!$BJ103:$BT103,,T103)*(1-R103)+INDEX(Models!$BJ103:$BT103,,T103+1)*R103-ERP_i)*Q103*Ramure*Pc/MaxiM</f>
        <v>6.0023531833367335E-5</v>
      </c>
      <c r="Q103" s="307">
        <f t="shared" si="28"/>
        <v>0.9</v>
      </c>
      <c r="R103" s="179">
        <f t="shared" si="29"/>
        <v>0.23338296652261947</v>
      </c>
      <c r="S103" s="839">
        <f t="shared" si="46"/>
        <v>-3</v>
      </c>
      <c r="T103" s="178">
        <f t="shared" si="30"/>
        <v>3</v>
      </c>
      <c r="U103" s="253">
        <f t="shared" si="31"/>
        <v>-2.7666170334773805</v>
      </c>
      <c r="V103" s="385">
        <f t="shared" si="32"/>
        <v>50.646671779410433</v>
      </c>
      <c r="W103" s="58"/>
      <c r="X103" s="157">
        <f t="shared" si="33"/>
        <v>43189</v>
      </c>
      <c r="Y103" s="387">
        <f t="shared" si="34"/>
        <v>0</v>
      </c>
      <c r="Z103" s="387">
        <f t="shared" si="35"/>
        <v>0</v>
      </c>
      <c r="AA103" s="388">
        <f t="shared" si="36"/>
        <v>0</v>
      </c>
      <c r="AB103" s="199">
        <f t="shared" si="37"/>
        <v>43189</v>
      </c>
      <c r="AC103" s="428">
        <f t="shared" si="38"/>
        <v>0</v>
      </c>
      <c r="AD103" s="171">
        <f>(INDEX(Models!$BJ103:$BT103,,AH103)*(1-AF103)+INDEX(Models!$BJ103:$BT103,,AH103+1)*AF103-ERP_i)*AE103*Ramure*Pc/MaxiM</f>
        <v>6.0023531833367335E-5</v>
      </c>
      <c r="AE103" s="307">
        <f t="shared" si="39"/>
        <v>0.9</v>
      </c>
      <c r="AF103" s="179">
        <f t="shared" si="40"/>
        <v>0.23338296652261947</v>
      </c>
      <c r="AG103" s="839">
        <f t="shared" si="41"/>
        <v>-3</v>
      </c>
      <c r="AH103" s="178">
        <f t="shared" si="42"/>
        <v>3</v>
      </c>
      <c r="AI103" s="227">
        <f t="shared" si="43"/>
        <v>-2.7666170334773805</v>
      </c>
      <c r="AJ103" s="267" t="b">
        <f t="shared" si="44"/>
        <v>1</v>
      </c>
      <c r="AK103" s="267" t="b">
        <f t="shared" si="45"/>
        <v>0</v>
      </c>
      <c r="AL103" s="267"/>
      <c r="AM103" s="267"/>
      <c r="AN103" s="75"/>
    </row>
    <row r="104" spans="1:40" s="6" customFormat="1" ht="11.25" x14ac:dyDescent="0.2">
      <c r="A104" s="56">
        <f t="shared" si="47"/>
        <v>43190</v>
      </c>
      <c r="B104" s="624"/>
      <c r="C104" s="881"/>
      <c r="D104" s="395"/>
      <c r="E104" s="387"/>
      <c r="F104" s="387"/>
      <c r="G104" s="110"/>
      <c r="I104" s="382">
        <f t="shared" si="24"/>
        <v>0</v>
      </c>
      <c r="J104" s="85">
        <v>2018</v>
      </c>
      <c r="K104" s="199">
        <f t="shared" si="25"/>
        <v>43190</v>
      </c>
      <c r="L104" s="439">
        <f t="shared" si="26"/>
        <v>0</v>
      </c>
      <c r="M104" s="883"/>
      <c r="N104" s="883"/>
      <c r="O104" s="326">
        <f t="shared" si="27"/>
        <v>0</v>
      </c>
      <c r="P104" s="171">
        <f>(INDEX(Models!$BJ104:$BT104,,T104)*(1-R104)+INDEX(Models!$BJ104:$BT104,,T104+1)*R104-ERP_i)*Q104*Ramure*Pc/MaxiM</f>
        <v>6.1123747872060712E-5</v>
      </c>
      <c r="Q104" s="307">
        <f t="shared" si="28"/>
        <v>0.9</v>
      </c>
      <c r="R104" s="179">
        <f t="shared" si="29"/>
        <v>0.23475934079974969</v>
      </c>
      <c r="S104" s="839">
        <f t="shared" si="46"/>
        <v>-3</v>
      </c>
      <c r="T104" s="178">
        <f t="shared" si="30"/>
        <v>3</v>
      </c>
      <c r="U104" s="253">
        <f t="shared" si="31"/>
        <v>-2.7652406592002503</v>
      </c>
      <c r="V104" s="385">
        <f t="shared" si="32"/>
        <v>51.076863807272375</v>
      </c>
      <c r="W104" s="58"/>
      <c r="X104" s="157">
        <f t="shared" si="33"/>
        <v>43190</v>
      </c>
      <c r="Y104" s="387">
        <f t="shared" si="34"/>
        <v>0</v>
      </c>
      <c r="Z104" s="387">
        <f t="shared" si="35"/>
        <v>0</v>
      </c>
      <c r="AA104" s="388">
        <f t="shared" si="36"/>
        <v>0</v>
      </c>
      <c r="AB104" s="199">
        <f t="shared" si="37"/>
        <v>43190</v>
      </c>
      <c r="AC104" s="428">
        <f t="shared" si="38"/>
        <v>0</v>
      </c>
      <c r="AD104" s="171">
        <f>(INDEX(Models!$BJ104:$BT104,,AH104)*(1-AF104)+INDEX(Models!$BJ104:$BT104,,AH104+1)*AF104-ERP_i)*AE104*Ramure*Pc/MaxiM</f>
        <v>6.1123747872060712E-5</v>
      </c>
      <c r="AE104" s="307">
        <f t="shared" si="39"/>
        <v>0.9</v>
      </c>
      <c r="AF104" s="179">
        <f t="shared" si="40"/>
        <v>0.23475934079974969</v>
      </c>
      <c r="AG104" s="839">
        <f t="shared" si="41"/>
        <v>-3</v>
      </c>
      <c r="AH104" s="178">
        <f t="shared" si="42"/>
        <v>3</v>
      </c>
      <c r="AI104" s="227">
        <f t="shared" si="43"/>
        <v>-2.7652406592002503</v>
      </c>
      <c r="AJ104" s="267" t="b">
        <f t="shared" si="44"/>
        <v>1</v>
      </c>
      <c r="AK104" s="267" t="b">
        <f t="shared" si="45"/>
        <v>0</v>
      </c>
      <c r="AL104" s="267"/>
      <c r="AM104" s="267"/>
      <c r="AN104" s="75"/>
    </row>
    <row r="105" spans="1:40" s="6" customFormat="1" ht="11.25" customHeight="1" x14ac:dyDescent="0.2">
      <c r="A105" s="56">
        <f t="shared" si="47"/>
        <v>43191</v>
      </c>
      <c r="B105" s="624"/>
      <c r="C105" s="881"/>
      <c r="D105" s="395"/>
      <c r="E105" s="387"/>
      <c r="F105" s="387"/>
      <c r="G105" s="110"/>
      <c r="I105" s="382">
        <f t="shared" si="24"/>
        <v>0</v>
      </c>
      <c r="J105" s="85">
        <v>2018</v>
      </c>
      <c r="K105" s="199">
        <f t="shared" si="25"/>
        <v>43191</v>
      </c>
      <c r="L105" s="439">
        <f t="shared" si="26"/>
        <v>0</v>
      </c>
      <c r="M105" s="883"/>
      <c r="N105" s="883"/>
      <c r="O105" s="326">
        <f t="shared" si="27"/>
        <v>0</v>
      </c>
      <c r="P105" s="171">
        <f>(INDEX(Models!$BJ105:$BT105,,T105)*(1-R105)+INDEX(Models!$BJ105:$BT105,,T105+1)*R105-ERP_i)*Q105*Ramure*Pc/MaxiM</f>
        <v>6.2178779177176244E-5</v>
      </c>
      <c r="Q105" s="307">
        <f t="shared" si="28"/>
        <v>0.9</v>
      </c>
      <c r="R105" s="179">
        <f t="shared" si="29"/>
        <v>0.23618742349674893</v>
      </c>
      <c r="S105" s="839">
        <f t="shared" si="46"/>
        <v>-3</v>
      </c>
      <c r="T105" s="178">
        <f t="shared" si="30"/>
        <v>3</v>
      </c>
      <c r="U105" s="253">
        <f t="shared" si="31"/>
        <v>-2.7638125765032511</v>
      </c>
      <c r="V105" s="385">
        <f t="shared" si="32"/>
        <v>51.499444859523898</v>
      </c>
      <c r="W105" s="58"/>
      <c r="X105" s="157">
        <f t="shared" si="33"/>
        <v>43191</v>
      </c>
      <c r="Y105" s="387">
        <f t="shared" si="34"/>
        <v>0</v>
      </c>
      <c r="Z105" s="387">
        <f t="shared" si="35"/>
        <v>0</v>
      </c>
      <c r="AA105" s="388">
        <f t="shared" si="36"/>
        <v>0</v>
      </c>
      <c r="AB105" s="199">
        <f t="shared" si="37"/>
        <v>43191</v>
      </c>
      <c r="AC105" s="428">
        <f t="shared" si="38"/>
        <v>0</v>
      </c>
      <c r="AD105" s="171">
        <f>(INDEX(Models!$BJ105:$BT105,,AH105)*(1-AF105)+INDEX(Models!$BJ105:$BT105,,AH105+1)*AF105-ERP_i)*AE105*Ramure*Pc/MaxiM</f>
        <v>6.2178779177176244E-5</v>
      </c>
      <c r="AE105" s="307">
        <f t="shared" si="39"/>
        <v>0.9</v>
      </c>
      <c r="AF105" s="179">
        <f t="shared" si="40"/>
        <v>0.23618742349674893</v>
      </c>
      <c r="AG105" s="839">
        <f t="shared" si="41"/>
        <v>-3</v>
      </c>
      <c r="AH105" s="178">
        <f t="shared" si="42"/>
        <v>3</v>
      </c>
      <c r="AI105" s="227">
        <f t="shared" si="43"/>
        <v>-2.7638125765032511</v>
      </c>
      <c r="AJ105" s="267" t="b">
        <f t="shared" si="44"/>
        <v>1</v>
      </c>
      <c r="AK105" s="267" t="b">
        <f t="shared" si="45"/>
        <v>0</v>
      </c>
      <c r="AL105" s="267"/>
      <c r="AM105" s="267"/>
      <c r="AN105" s="75"/>
    </row>
    <row r="106" spans="1:40" s="6" customFormat="1" ht="11.25" customHeight="1" x14ac:dyDescent="0.2">
      <c r="A106" s="56">
        <f t="shared" si="47"/>
        <v>43192</v>
      </c>
      <c r="B106" s="624"/>
      <c r="C106" s="881"/>
      <c r="D106" s="395"/>
      <c r="E106" s="387"/>
      <c r="F106" s="387"/>
      <c r="G106" s="110"/>
      <c r="I106" s="382">
        <f t="shared" si="24"/>
        <v>0</v>
      </c>
      <c r="J106" s="85">
        <v>2018</v>
      </c>
      <c r="K106" s="199">
        <f t="shared" si="25"/>
        <v>43192</v>
      </c>
      <c r="L106" s="439">
        <f t="shared" si="26"/>
        <v>0</v>
      </c>
      <c r="M106" s="883"/>
      <c r="N106" s="883"/>
      <c r="O106" s="326">
        <f t="shared" si="27"/>
        <v>0</v>
      </c>
      <c r="P106" s="171">
        <f>(INDEX(Models!$BJ106:$BT106,,T106)*(1-R106)+INDEX(Models!$BJ106:$BT106,,T106+1)*R106-ERP_i)*Q106*Ramure*Pc/MaxiM</f>
        <v>6.3183287848024748E-5</v>
      </c>
      <c r="Q106" s="307">
        <f t="shared" si="28"/>
        <v>0.9</v>
      </c>
      <c r="R106" s="179">
        <f t="shared" si="29"/>
        <v>0.23766890916596406</v>
      </c>
      <c r="S106" s="839">
        <f t="shared" si="46"/>
        <v>-3</v>
      </c>
      <c r="T106" s="178">
        <f t="shared" si="30"/>
        <v>3</v>
      </c>
      <c r="U106" s="253">
        <f t="shared" si="31"/>
        <v>-2.7623310908340359</v>
      </c>
      <c r="V106" s="385">
        <f t="shared" si="32"/>
        <v>51.913519726399983</v>
      </c>
      <c r="W106" s="58"/>
      <c r="X106" s="157">
        <f t="shared" si="33"/>
        <v>43192</v>
      </c>
      <c r="Y106" s="387">
        <f t="shared" si="34"/>
        <v>0</v>
      </c>
      <c r="Z106" s="387">
        <f t="shared" si="35"/>
        <v>0</v>
      </c>
      <c r="AA106" s="388">
        <f t="shared" si="36"/>
        <v>0</v>
      </c>
      <c r="AB106" s="199">
        <f t="shared" si="37"/>
        <v>43192</v>
      </c>
      <c r="AC106" s="428">
        <f t="shared" si="38"/>
        <v>0</v>
      </c>
      <c r="AD106" s="171">
        <f>(INDEX(Models!$BJ106:$BT106,,AH106)*(1-AF106)+INDEX(Models!$BJ106:$BT106,,AH106+1)*AF106-ERP_i)*AE106*Ramure*Pc/MaxiM</f>
        <v>6.3183287848024748E-5</v>
      </c>
      <c r="AE106" s="307">
        <f t="shared" si="39"/>
        <v>0.9</v>
      </c>
      <c r="AF106" s="179">
        <f t="shared" si="40"/>
        <v>0.23766890916596406</v>
      </c>
      <c r="AG106" s="839">
        <f t="shared" si="41"/>
        <v>-3</v>
      </c>
      <c r="AH106" s="178">
        <f t="shared" si="42"/>
        <v>3</v>
      </c>
      <c r="AI106" s="227">
        <f t="shared" si="43"/>
        <v>-2.7623310908340359</v>
      </c>
      <c r="AJ106" s="267" t="b">
        <f t="shared" si="44"/>
        <v>1</v>
      </c>
      <c r="AK106" s="267" t="b">
        <f t="shared" si="45"/>
        <v>0</v>
      </c>
      <c r="AL106" s="267"/>
      <c r="AM106" s="267"/>
      <c r="AN106" s="75"/>
    </row>
    <row r="107" spans="1:40" s="6" customFormat="1" ht="11.25" x14ac:dyDescent="0.2">
      <c r="A107" s="56">
        <f t="shared" si="47"/>
        <v>43193</v>
      </c>
      <c r="B107" s="624"/>
      <c r="C107" s="881"/>
      <c r="D107" s="395"/>
      <c r="E107" s="387"/>
      <c r="F107" s="387"/>
      <c r="G107" s="110"/>
      <c r="I107" s="382">
        <f t="shared" si="24"/>
        <v>0</v>
      </c>
      <c r="J107" s="85">
        <v>2018</v>
      </c>
      <c r="K107" s="199">
        <f t="shared" si="25"/>
        <v>43193</v>
      </c>
      <c r="L107" s="439">
        <f t="shared" si="26"/>
        <v>0</v>
      </c>
      <c r="M107" s="883"/>
      <c r="N107" s="883"/>
      <c r="O107" s="326">
        <f t="shared" si="27"/>
        <v>0</v>
      </c>
      <c r="P107" s="171">
        <f>(INDEX(Models!$BJ107:$BT107,,T107)*(1-R107)+INDEX(Models!$BJ107:$BT107,,T107+1)*R107-ERP_i)*Q107*Ramure*Pc/MaxiM</f>
        <v>6.4127863290463818E-5</v>
      </c>
      <c r="Q107" s="307">
        <f t="shared" si="28"/>
        <v>0.9</v>
      </c>
      <c r="R107" s="179">
        <f t="shared" si="29"/>
        <v>0.239205527892703</v>
      </c>
      <c r="S107" s="839">
        <f t="shared" si="46"/>
        <v>-3</v>
      </c>
      <c r="T107" s="178">
        <f t="shared" si="30"/>
        <v>3</v>
      </c>
      <c r="U107" s="253">
        <f t="shared" si="31"/>
        <v>-2.760794472107297</v>
      </c>
      <c r="V107" s="385">
        <f t="shared" si="32"/>
        <v>52.321159992809065</v>
      </c>
      <c r="W107" s="58"/>
      <c r="X107" s="157">
        <f t="shared" si="33"/>
        <v>43193</v>
      </c>
      <c r="Y107" s="387">
        <f t="shared" si="34"/>
        <v>0</v>
      </c>
      <c r="Z107" s="387">
        <f t="shared" si="35"/>
        <v>0</v>
      </c>
      <c r="AA107" s="388">
        <f t="shared" si="36"/>
        <v>0</v>
      </c>
      <c r="AB107" s="199">
        <f t="shared" si="37"/>
        <v>43193</v>
      </c>
      <c r="AC107" s="428">
        <f t="shared" si="38"/>
        <v>0</v>
      </c>
      <c r="AD107" s="171">
        <f>(INDEX(Models!$BJ107:$BT107,,AH107)*(1-AF107)+INDEX(Models!$BJ107:$BT107,,AH107+1)*AF107-ERP_i)*AE107*Ramure*Pc/MaxiM</f>
        <v>6.4127863290463818E-5</v>
      </c>
      <c r="AE107" s="307">
        <f t="shared" si="39"/>
        <v>0.9</v>
      </c>
      <c r="AF107" s="179">
        <f t="shared" si="40"/>
        <v>0.239205527892703</v>
      </c>
      <c r="AG107" s="839">
        <f t="shared" si="41"/>
        <v>-3</v>
      </c>
      <c r="AH107" s="178">
        <f t="shared" si="42"/>
        <v>3</v>
      </c>
      <c r="AI107" s="227">
        <f t="shared" si="43"/>
        <v>-2.760794472107297</v>
      </c>
      <c r="AJ107" s="267" t="b">
        <f t="shared" si="44"/>
        <v>1</v>
      </c>
      <c r="AK107" s="267" t="b">
        <f t="shared" si="45"/>
        <v>0</v>
      </c>
      <c r="AL107" s="267"/>
      <c r="AM107" s="267"/>
      <c r="AN107" s="75"/>
    </row>
    <row r="108" spans="1:40" s="6" customFormat="1" ht="11.25" x14ac:dyDescent="0.2">
      <c r="A108" s="56">
        <f t="shared" si="47"/>
        <v>43194</v>
      </c>
      <c r="B108" s="624"/>
      <c r="C108" s="881"/>
      <c r="D108" s="395"/>
      <c r="E108" s="387"/>
      <c r="F108" s="387"/>
      <c r="G108" s="110"/>
      <c r="I108" s="382">
        <f t="shared" si="24"/>
        <v>0</v>
      </c>
      <c r="J108" s="85">
        <v>2018</v>
      </c>
      <c r="K108" s="199">
        <f t="shared" si="25"/>
        <v>43194</v>
      </c>
      <c r="L108" s="439">
        <f t="shared" si="26"/>
        <v>0</v>
      </c>
      <c r="M108" s="883"/>
      <c r="N108" s="883"/>
      <c r="O108" s="326">
        <f t="shared" si="27"/>
        <v>0</v>
      </c>
      <c r="P108" s="171">
        <f>(INDEX(Models!$BJ108:$BT108,,T108)*(1-R108)+INDEX(Models!$BJ108:$BT108,,T108+1)*R108-ERP_i)*Q108*Ramure*Pc/MaxiM</f>
        <v>6.4979666199785037E-5</v>
      </c>
      <c r="Q108" s="307">
        <f t="shared" si="28"/>
        <v>0.9</v>
      </c>
      <c r="R108" s="179">
        <f t="shared" si="29"/>
        <v>0.24079904434149668</v>
      </c>
      <c r="S108" s="839">
        <f t="shared" si="46"/>
        <v>-3</v>
      </c>
      <c r="T108" s="178">
        <f t="shared" si="30"/>
        <v>3</v>
      </c>
      <c r="U108" s="253">
        <f t="shared" si="31"/>
        <v>-2.7592009556585033</v>
      </c>
      <c r="V108" s="385">
        <f t="shared" si="32"/>
        <v>52.724811638755583</v>
      </c>
      <c r="W108" s="58"/>
      <c r="X108" s="157">
        <f t="shared" si="33"/>
        <v>43194</v>
      </c>
      <c r="Y108" s="387">
        <f t="shared" si="34"/>
        <v>0</v>
      </c>
      <c r="Z108" s="387">
        <f t="shared" si="35"/>
        <v>0</v>
      </c>
      <c r="AA108" s="388">
        <f t="shared" si="36"/>
        <v>0</v>
      </c>
      <c r="AB108" s="199">
        <f t="shared" si="37"/>
        <v>43194</v>
      </c>
      <c r="AC108" s="428">
        <f t="shared" si="38"/>
        <v>0</v>
      </c>
      <c r="AD108" s="171">
        <f>(INDEX(Models!$BJ108:$BT108,,AH108)*(1-AF108)+INDEX(Models!$BJ108:$BT108,,AH108+1)*AF108-ERP_i)*AE108*Ramure*Pc/MaxiM</f>
        <v>6.4979666199785037E-5</v>
      </c>
      <c r="AE108" s="307">
        <f t="shared" si="39"/>
        <v>0.9</v>
      </c>
      <c r="AF108" s="179">
        <f t="shared" si="40"/>
        <v>0.24079904434149668</v>
      </c>
      <c r="AG108" s="839">
        <f t="shared" si="41"/>
        <v>-3</v>
      </c>
      <c r="AH108" s="178">
        <f t="shared" si="42"/>
        <v>3</v>
      </c>
      <c r="AI108" s="227">
        <f t="shared" si="43"/>
        <v>-2.7592009556585033</v>
      </c>
      <c r="AJ108" s="267" t="b">
        <f t="shared" si="44"/>
        <v>1</v>
      </c>
      <c r="AK108" s="267" t="b">
        <f t="shared" si="45"/>
        <v>0</v>
      </c>
      <c r="AL108" s="267"/>
      <c r="AM108" s="267"/>
      <c r="AN108" s="75"/>
    </row>
    <row r="109" spans="1:40" s="6" customFormat="1" ht="11.25" x14ac:dyDescent="0.2">
      <c r="A109" s="56">
        <f t="shared" si="47"/>
        <v>43195</v>
      </c>
      <c r="B109" s="624"/>
      <c r="C109" s="881"/>
      <c r="D109" s="395"/>
      <c r="E109" s="387"/>
      <c r="F109" s="387"/>
      <c r="G109" s="110"/>
      <c r="I109" s="382">
        <f t="shared" si="24"/>
        <v>0</v>
      </c>
      <c r="J109" s="85">
        <v>2018</v>
      </c>
      <c r="K109" s="199">
        <f t="shared" si="25"/>
        <v>43195</v>
      </c>
      <c r="L109" s="439">
        <f t="shared" si="26"/>
        <v>0</v>
      </c>
      <c r="M109" s="883"/>
      <c r="N109" s="883"/>
      <c r="O109" s="326">
        <f t="shared" si="27"/>
        <v>0</v>
      </c>
      <c r="P109" s="171">
        <f>(INDEX(Models!$BJ109:$BT109,,T109)*(1-R109)+INDEX(Models!$BJ109:$BT109,,T109+1)*R109-ERP_i)*Q109*Ramure*Pc/MaxiM</f>
        <v>6.5768383845123165E-5</v>
      </c>
      <c r="Q109" s="307">
        <f t="shared" si="28"/>
        <v>0.9</v>
      </c>
      <c r="R109" s="179">
        <f t="shared" si="29"/>
        <v>0.24245125662072287</v>
      </c>
      <c r="S109" s="839">
        <f t="shared" si="46"/>
        <v>-3</v>
      </c>
      <c r="T109" s="178">
        <f t="shared" si="30"/>
        <v>3</v>
      </c>
      <c r="U109" s="253">
        <f t="shared" si="31"/>
        <v>-2.7575487433792771</v>
      </c>
      <c r="V109" s="385">
        <f t="shared" si="32"/>
        <v>53.124137369290111</v>
      </c>
      <c r="W109" s="58"/>
      <c r="X109" s="157">
        <f t="shared" si="33"/>
        <v>43195</v>
      </c>
      <c r="Y109" s="387">
        <f t="shared" si="34"/>
        <v>0</v>
      </c>
      <c r="Z109" s="387">
        <f t="shared" si="35"/>
        <v>0</v>
      </c>
      <c r="AA109" s="388">
        <f t="shared" si="36"/>
        <v>0</v>
      </c>
      <c r="AB109" s="199">
        <f t="shared" si="37"/>
        <v>43195</v>
      </c>
      <c r="AC109" s="428">
        <f t="shared" si="38"/>
        <v>0</v>
      </c>
      <c r="AD109" s="171">
        <f>(INDEX(Models!$BJ109:$BT109,,AH109)*(1-AF109)+INDEX(Models!$BJ109:$BT109,,AH109+1)*AF109-ERP_i)*AE109*Ramure*Pc/MaxiM</f>
        <v>6.5768383845123165E-5</v>
      </c>
      <c r="AE109" s="307">
        <f t="shared" si="39"/>
        <v>0.9</v>
      </c>
      <c r="AF109" s="179">
        <f t="shared" si="40"/>
        <v>0.24245125662072287</v>
      </c>
      <c r="AG109" s="839">
        <f t="shared" si="41"/>
        <v>-3</v>
      </c>
      <c r="AH109" s="178">
        <f t="shared" si="42"/>
        <v>3</v>
      </c>
      <c r="AI109" s="227">
        <f t="shared" si="43"/>
        <v>-2.7575487433792771</v>
      </c>
      <c r="AJ109" s="267" t="b">
        <f t="shared" si="44"/>
        <v>1</v>
      </c>
      <c r="AK109" s="267" t="b">
        <f t="shared" si="45"/>
        <v>0</v>
      </c>
      <c r="AL109" s="267"/>
      <c r="AM109" s="267"/>
      <c r="AN109" s="75"/>
    </row>
    <row r="110" spans="1:40" s="6" customFormat="1" ht="11.25" customHeight="1" x14ac:dyDescent="0.2">
      <c r="A110" s="56">
        <f t="shared" si="47"/>
        <v>43196</v>
      </c>
      <c r="B110" s="624"/>
      <c r="C110" s="881"/>
      <c r="D110" s="395"/>
      <c r="E110" s="387"/>
      <c r="F110" s="387"/>
      <c r="G110" s="110"/>
      <c r="I110" s="382">
        <f t="shared" si="24"/>
        <v>0</v>
      </c>
      <c r="J110" s="85">
        <v>2018</v>
      </c>
      <c r="K110" s="199">
        <f t="shared" si="25"/>
        <v>43196</v>
      </c>
      <c r="L110" s="439">
        <f t="shared" si="26"/>
        <v>0</v>
      </c>
      <c r="M110" s="883"/>
      <c r="N110" s="883"/>
      <c r="O110" s="326">
        <f t="shared" si="27"/>
        <v>0</v>
      </c>
      <c r="P110" s="171">
        <f>(INDEX(Models!$BJ110:$BT110,,T110)*(1-R110)+INDEX(Models!$BJ110:$BT110,,T110+1)*R110-ERP_i)*Q110*Ramure*Pc/MaxiM</f>
        <v>6.6487470688972135E-5</v>
      </c>
      <c r="Q110" s="307">
        <f t="shared" si="28"/>
        <v>0.9</v>
      </c>
      <c r="R110" s="179">
        <f t="shared" si="29"/>
        <v>0.24416399495297947</v>
      </c>
      <c r="S110" s="839">
        <f t="shared" si="46"/>
        <v>-3</v>
      </c>
      <c r="T110" s="178">
        <f t="shared" si="30"/>
        <v>3</v>
      </c>
      <c r="U110" s="253">
        <f t="shared" si="31"/>
        <v>-2.7558360050470205</v>
      </c>
      <c r="V110" s="385">
        <f t="shared" si="32"/>
        <v>53.518801783188025</v>
      </c>
      <c r="W110" s="58"/>
      <c r="X110" s="157">
        <f t="shared" si="33"/>
        <v>43196</v>
      </c>
      <c r="Y110" s="387">
        <f t="shared" si="34"/>
        <v>0</v>
      </c>
      <c r="Z110" s="387">
        <f t="shared" si="35"/>
        <v>0</v>
      </c>
      <c r="AA110" s="388">
        <f t="shared" si="36"/>
        <v>0</v>
      </c>
      <c r="AB110" s="199">
        <f t="shared" si="37"/>
        <v>43196</v>
      </c>
      <c r="AC110" s="428">
        <f t="shared" si="38"/>
        <v>0</v>
      </c>
      <c r="AD110" s="171">
        <f>(INDEX(Models!$BJ110:$BT110,,AH110)*(1-AF110)+INDEX(Models!$BJ110:$BT110,,AH110+1)*AF110-ERP_i)*AE110*Ramure*Pc/MaxiM</f>
        <v>6.6487470688972135E-5</v>
      </c>
      <c r="AE110" s="307">
        <f t="shared" si="39"/>
        <v>0.9</v>
      </c>
      <c r="AF110" s="179">
        <f t="shared" si="40"/>
        <v>0.24416399495297947</v>
      </c>
      <c r="AG110" s="839">
        <f t="shared" si="41"/>
        <v>-3</v>
      </c>
      <c r="AH110" s="178">
        <f t="shared" si="42"/>
        <v>3</v>
      </c>
      <c r="AI110" s="227">
        <f t="shared" si="43"/>
        <v>-2.7558360050470205</v>
      </c>
      <c r="AJ110" s="267" t="b">
        <f t="shared" si="44"/>
        <v>1</v>
      </c>
      <c r="AK110" s="267" t="b">
        <f t="shared" si="45"/>
        <v>0</v>
      </c>
      <c r="AL110" s="267"/>
      <c r="AM110" s="267"/>
      <c r="AN110" s="75"/>
    </row>
    <row r="111" spans="1:40" s="6" customFormat="1" ht="11.25" x14ac:dyDescent="0.2">
      <c r="A111" s="56">
        <f t="shared" si="47"/>
        <v>43197</v>
      </c>
      <c r="B111" s="624"/>
      <c r="C111" s="881"/>
      <c r="D111" s="395"/>
      <c r="E111" s="387"/>
      <c r="F111" s="387"/>
      <c r="G111" s="110"/>
      <c r="I111" s="382">
        <f t="shared" si="24"/>
        <v>0</v>
      </c>
      <c r="J111" s="85">
        <v>2018</v>
      </c>
      <c r="K111" s="199">
        <f t="shared" si="25"/>
        <v>43197</v>
      </c>
      <c r="L111" s="439">
        <f t="shared" si="26"/>
        <v>0</v>
      </c>
      <c r="M111" s="883"/>
      <c r="N111" s="883"/>
      <c r="O111" s="326">
        <f t="shared" si="27"/>
        <v>0</v>
      </c>
      <c r="P111" s="171">
        <f>(INDEX(Models!$BJ111:$BT111,,T111)*(1-R111)+INDEX(Models!$BJ111:$BT111,,T111+1)*R111-ERP_i)*Q111*Ramure*Pc/MaxiM</f>
        <v>6.7129948623714249E-5</v>
      </c>
      <c r="Q111" s="307">
        <f t="shared" si="28"/>
        <v>0.9</v>
      </c>
      <c r="R111" s="179">
        <f t="shared" si="29"/>
        <v>0.2459391201383081</v>
      </c>
      <c r="S111" s="839">
        <f t="shared" si="46"/>
        <v>-3</v>
      </c>
      <c r="T111" s="178">
        <f t="shared" si="30"/>
        <v>3</v>
      </c>
      <c r="U111" s="253">
        <f t="shared" si="31"/>
        <v>-2.7540608798616919</v>
      </c>
      <c r="V111" s="385">
        <f t="shared" si="32"/>
        <v>53.908469514821356</v>
      </c>
      <c r="W111" s="58"/>
      <c r="X111" s="157">
        <f t="shared" si="33"/>
        <v>43197</v>
      </c>
      <c r="Y111" s="387">
        <f t="shared" si="34"/>
        <v>0</v>
      </c>
      <c r="Z111" s="387">
        <f t="shared" si="35"/>
        <v>0</v>
      </c>
      <c r="AA111" s="388">
        <f t="shared" si="36"/>
        <v>0</v>
      </c>
      <c r="AB111" s="199">
        <f t="shared" si="37"/>
        <v>43197</v>
      </c>
      <c r="AC111" s="428">
        <f t="shared" si="38"/>
        <v>0</v>
      </c>
      <c r="AD111" s="171">
        <f>(INDEX(Models!$BJ111:$BT111,,AH111)*(1-AF111)+INDEX(Models!$BJ111:$BT111,,AH111+1)*AF111-ERP_i)*AE111*Ramure*Pc/MaxiM</f>
        <v>6.7129948623714249E-5</v>
      </c>
      <c r="AE111" s="307">
        <f t="shared" si="39"/>
        <v>0.9</v>
      </c>
      <c r="AF111" s="179">
        <f t="shared" si="40"/>
        <v>0.2459391201383081</v>
      </c>
      <c r="AG111" s="839">
        <f t="shared" si="41"/>
        <v>-3</v>
      </c>
      <c r="AH111" s="178">
        <f t="shared" si="42"/>
        <v>3</v>
      </c>
      <c r="AI111" s="227">
        <f t="shared" si="43"/>
        <v>-2.7540608798616919</v>
      </c>
      <c r="AJ111" s="267" t="b">
        <f t="shared" si="44"/>
        <v>1</v>
      </c>
      <c r="AK111" s="267" t="b">
        <f t="shared" si="45"/>
        <v>0</v>
      </c>
      <c r="AL111" s="267"/>
      <c r="AM111" s="267"/>
      <c r="AN111" s="75"/>
    </row>
    <row r="112" spans="1:40" s="6" customFormat="1" ht="11.25" customHeight="1" x14ac:dyDescent="0.2">
      <c r="A112" s="56">
        <f t="shared" si="47"/>
        <v>43198</v>
      </c>
      <c r="B112" s="624"/>
      <c r="C112" s="881"/>
      <c r="D112" s="395"/>
      <c r="E112" s="387"/>
      <c r="F112" s="387"/>
      <c r="G112" s="110"/>
      <c r="I112" s="382">
        <f t="shared" si="24"/>
        <v>0</v>
      </c>
      <c r="J112" s="85">
        <v>2018</v>
      </c>
      <c r="K112" s="199">
        <f t="shared" si="25"/>
        <v>43198</v>
      </c>
      <c r="L112" s="439">
        <f t="shared" si="26"/>
        <v>0</v>
      </c>
      <c r="M112" s="883"/>
      <c r="N112" s="883"/>
      <c r="O112" s="326">
        <f t="shared" si="27"/>
        <v>0</v>
      </c>
      <c r="P112" s="171">
        <f>(INDEX(Models!$BJ112:$BT112,,T112)*(1-R112)+INDEX(Models!$BJ112:$BT112,,T112+1)*R112-ERP_i)*Q112*Ramure*Pc/MaxiM</f>
        <v>6.7688383804026883E-5</v>
      </c>
      <c r="Q112" s="307">
        <f t="shared" si="28"/>
        <v>0.9</v>
      </c>
      <c r="R112" s="179">
        <f t="shared" si="29"/>
        <v>0.24777852179714888</v>
      </c>
      <c r="S112" s="839">
        <f t="shared" si="46"/>
        <v>-3</v>
      </c>
      <c r="T112" s="178">
        <f t="shared" si="30"/>
        <v>3</v>
      </c>
      <c r="U112" s="253">
        <f t="shared" si="31"/>
        <v>-2.7522214782028511</v>
      </c>
      <c r="V112" s="385">
        <f t="shared" si="32"/>
        <v>54.292805225629252</v>
      </c>
      <c r="W112" s="58"/>
      <c r="X112" s="157">
        <f t="shared" si="33"/>
        <v>43198</v>
      </c>
      <c r="Y112" s="387">
        <f t="shared" si="34"/>
        <v>0</v>
      </c>
      <c r="Z112" s="387">
        <f t="shared" si="35"/>
        <v>0</v>
      </c>
      <c r="AA112" s="388">
        <f t="shared" si="36"/>
        <v>0</v>
      </c>
      <c r="AB112" s="199">
        <f t="shared" si="37"/>
        <v>43198</v>
      </c>
      <c r="AC112" s="428">
        <f t="shared" si="38"/>
        <v>0</v>
      </c>
      <c r="AD112" s="171">
        <f>(INDEX(Models!$BJ112:$BT112,,AH112)*(1-AF112)+INDEX(Models!$BJ112:$BT112,,AH112+1)*AF112-ERP_i)*AE112*Ramure*Pc/MaxiM</f>
        <v>6.7688383804026883E-5</v>
      </c>
      <c r="AE112" s="307">
        <f t="shared" si="39"/>
        <v>0.9</v>
      </c>
      <c r="AF112" s="179">
        <f t="shared" si="40"/>
        <v>0.24777852179714888</v>
      </c>
      <c r="AG112" s="839">
        <f t="shared" si="41"/>
        <v>-3</v>
      </c>
      <c r="AH112" s="178">
        <f t="shared" si="42"/>
        <v>3</v>
      </c>
      <c r="AI112" s="227">
        <f t="shared" si="43"/>
        <v>-2.7522214782028511</v>
      </c>
      <c r="AJ112" s="267" t="b">
        <f t="shared" si="44"/>
        <v>1</v>
      </c>
      <c r="AK112" s="267" t="b">
        <f t="shared" si="45"/>
        <v>0</v>
      </c>
      <c r="AL112" s="267"/>
      <c r="AM112" s="267"/>
      <c r="AN112" s="75"/>
    </row>
    <row r="113" spans="1:40" s="6" customFormat="1" ht="11.25" x14ac:dyDescent="0.2">
      <c r="A113" s="56">
        <f t="shared" si="47"/>
        <v>43199</v>
      </c>
      <c r="B113" s="624"/>
      <c r="C113" s="881"/>
      <c r="D113" s="395"/>
      <c r="E113" s="387"/>
      <c r="F113" s="387"/>
      <c r="G113" s="110"/>
      <c r="I113" s="382">
        <f t="shared" si="24"/>
        <v>0</v>
      </c>
      <c r="J113" s="85">
        <v>2018</v>
      </c>
      <c r="K113" s="199">
        <f t="shared" si="25"/>
        <v>43199</v>
      </c>
      <c r="L113" s="439">
        <f t="shared" si="26"/>
        <v>0</v>
      </c>
      <c r="M113" s="883"/>
      <c r="N113" s="883"/>
      <c r="O113" s="326">
        <f t="shared" si="27"/>
        <v>0</v>
      </c>
      <c r="P113" s="171">
        <f>(INDEX(Models!$BJ113:$BT113,,T113)*(1-R113)+INDEX(Models!$BJ113:$BT113,,T113+1)*R113-ERP_i)*Q113*Ramure*Pc/MaxiM</f>
        <v>6.8154862570941524E-5</v>
      </c>
      <c r="Q113" s="307">
        <f t="shared" si="28"/>
        <v>0.9</v>
      </c>
      <c r="R113" s="179">
        <f t="shared" si="29"/>
        <v>0.24968411637974119</v>
      </c>
      <c r="S113" s="839">
        <f t="shared" si="46"/>
        <v>-3</v>
      </c>
      <c r="T113" s="178">
        <f t="shared" si="30"/>
        <v>3</v>
      </c>
      <c r="U113" s="253">
        <f t="shared" si="31"/>
        <v>-2.7503158836202588</v>
      </c>
      <c r="V113" s="385">
        <f t="shared" si="32"/>
        <v>54.671473619290737</v>
      </c>
      <c r="W113" s="58"/>
      <c r="X113" s="157">
        <f t="shared" si="33"/>
        <v>43199</v>
      </c>
      <c r="Y113" s="387">
        <f t="shared" si="34"/>
        <v>0</v>
      </c>
      <c r="Z113" s="387">
        <f t="shared" si="35"/>
        <v>0</v>
      </c>
      <c r="AA113" s="388">
        <f t="shared" si="36"/>
        <v>0</v>
      </c>
      <c r="AB113" s="199">
        <f t="shared" si="37"/>
        <v>43199</v>
      </c>
      <c r="AC113" s="428">
        <f t="shared" si="38"/>
        <v>0</v>
      </c>
      <c r="AD113" s="171">
        <f>(INDEX(Models!$BJ113:$BT113,,AH113)*(1-AF113)+INDEX(Models!$BJ113:$BT113,,AH113+1)*AF113-ERP_i)*AE113*Ramure*Pc/MaxiM</f>
        <v>6.8154862570941524E-5</v>
      </c>
      <c r="AE113" s="307">
        <f t="shared" si="39"/>
        <v>0.9</v>
      </c>
      <c r="AF113" s="179">
        <f t="shared" si="40"/>
        <v>0.24968411637974119</v>
      </c>
      <c r="AG113" s="839">
        <f t="shared" si="41"/>
        <v>-3</v>
      </c>
      <c r="AH113" s="178">
        <f t="shared" si="42"/>
        <v>3</v>
      </c>
      <c r="AI113" s="227">
        <f t="shared" si="43"/>
        <v>-2.7503158836202588</v>
      </c>
      <c r="AJ113" s="267" t="b">
        <f t="shared" si="44"/>
        <v>1</v>
      </c>
      <c r="AK113" s="267" t="b">
        <f t="shared" si="45"/>
        <v>0</v>
      </c>
      <c r="AL113" s="267"/>
      <c r="AM113" s="267"/>
      <c r="AN113" s="75"/>
    </row>
    <row r="114" spans="1:40" s="6" customFormat="1" ht="11.25" x14ac:dyDescent="0.2">
      <c r="A114" s="56">
        <f t="shared" si="47"/>
        <v>43200</v>
      </c>
      <c r="B114" s="624"/>
      <c r="C114" s="881"/>
      <c r="D114" s="395"/>
      <c r="E114" s="387"/>
      <c r="F114" s="387"/>
      <c r="G114" s="110"/>
      <c r="I114" s="382">
        <f t="shared" si="24"/>
        <v>0</v>
      </c>
      <c r="J114" s="85">
        <v>2018</v>
      </c>
      <c r="K114" s="199">
        <f t="shared" si="25"/>
        <v>43200</v>
      </c>
      <c r="L114" s="439">
        <f t="shared" si="26"/>
        <v>0</v>
      </c>
      <c r="M114" s="883"/>
      <c r="N114" s="883"/>
      <c r="O114" s="326">
        <f t="shared" si="27"/>
        <v>0</v>
      </c>
      <c r="P114" s="171">
        <f>(INDEX(Models!$BJ114:$BT114,,T114)*(1-R114)+INDEX(Models!$BJ114:$BT114,,T114+1)*R114-ERP_i)*Q114*Ramure*Pc/MaxiM</f>
        <v>6.8522319236517936E-5</v>
      </c>
      <c r="Q114" s="307">
        <f t="shared" si="28"/>
        <v>0.9</v>
      </c>
      <c r="R114" s="179">
        <f t="shared" si="29"/>
        <v>0.25165784492862109</v>
      </c>
      <c r="S114" s="839">
        <f t="shared" si="46"/>
        <v>-3</v>
      </c>
      <c r="T114" s="178">
        <f t="shared" si="30"/>
        <v>3</v>
      </c>
      <c r="U114" s="253">
        <f t="shared" si="31"/>
        <v>-2.7483421550713789</v>
      </c>
      <c r="V114" s="385">
        <f t="shared" si="32"/>
        <v>55.044139359882969</v>
      </c>
      <c r="W114" s="58"/>
      <c r="X114" s="157">
        <f t="shared" si="33"/>
        <v>43200</v>
      </c>
      <c r="Y114" s="387">
        <f t="shared" si="34"/>
        <v>0</v>
      </c>
      <c r="Z114" s="387">
        <f t="shared" si="35"/>
        <v>0</v>
      </c>
      <c r="AA114" s="388">
        <f t="shared" si="36"/>
        <v>0</v>
      </c>
      <c r="AB114" s="199">
        <f t="shared" si="37"/>
        <v>43200</v>
      </c>
      <c r="AC114" s="428">
        <f t="shared" si="38"/>
        <v>0</v>
      </c>
      <c r="AD114" s="171">
        <f>(INDEX(Models!$BJ114:$BT114,,AH114)*(1-AF114)+INDEX(Models!$BJ114:$BT114,,AH114+1)*AF114-ERP_i)*AE114*Ramure*Pc/MaxiM</f>
        <v>6.8522319236517936E-5</v>
      </c>
      <c r="AE114" s="307">
        <f t="shared" si="39"/>
        <v>0.9</v>
      </c>
      <c r="AF114" s="179">
        <f t="shared" si="40"/>
        <v>0.25165784492862109</v>
      </c>
      <c r="AG114" s="839">
        <f t="shared" si="41"/>
        <v>-3</v>
      </c>
      <c r="AH114" s="178">
        <f t="shared" si="42"/>
        <v>3</v>
      </c>
      <c r="AI114" s="227">
        <f t="shared" si="43"/>
        <v>-2.7483421550713789</v>
      </c>
      <c r="AJ114" s="267" t="b">
        <f t="shared" si="44"/>
        <v>1</v>
      </c>
      <c r="AK114" s="267" t="b">
        <f t="shared" si="45"/>
        <v>0</v>
      </c>
      <c r="AL114" s="267"/>
      <c r="AM114" s="267"/>
      <c r="AN114" s="75"/>
    </row>
    <row r="115" spans="1:40" s="6" customFormat="1" ht="11.25" x14ac:dyDescent="0.2">
      <c r="A115" s="56">
        <f t="shared" si="47"/>
        <v>43201</v>
      </c>
      <c r="B115" s="624"/>
      <c r="C115" s="881"/>
      <c r="D115" s="395"/>
      <c r="E115" s="387"/>
      <c r="F115" s="387"/>
      <c r="G115" s="110"/>
      <c r="I115" s="382">
        <f t="shared" si="24"/>
        <v>0</v>
      </c>
      <c r="J115" s="85">
        <v>2018</v>
      </c>
      <c r="K115" s="199">
        <f t="shared" si="25"/>
        <v>43201</v>
      </c>
      <c r="L115" s="439">
        <f t="shared" si="26"/>
        <v>0</v>
      </c>
      <c r="M115" s="883"/>
      <c r="N115" s="883"/>
      <c r="O115" s="326">
        <f t="shared" si="27"/>
        <v>0</v>
      </c>
      <c r="P115" s="171">
        <f>(INDEX(Models!$BJ115:$BT115,,T115)*(1-R115)+INDEX(Models!$BJ115:$BT115,,T115+1)*R115-ERP_i)*Q115*Ramure*Pc/MaxiM</f>
        <v>6.8815872212245772E-5</v>
      </c>
      <c r="Q115" s="307">
        <f t="shared" si="28"/>
        <v>0.9</v>
      </c>
      <c r="R115" s="179">
        <f t="shared" si="29"/>
        <v>0.253701670580877</v>
      </c>
      <c r="S115" s="839">
        <f t="shared" si="46"/>
        <v>-3</v>
      </c>
      <c r="T115" s="178">
        <f t="shared" si="30"/>
        <v>3</v>
      </c>
      <c r="U115" s="253">
        <f t="shared" si="31"/>
        <v>-2.746298329419123</v>
      </c>
      <c r="V115" s="385">
        <f t="shared" si="32"/>
        <v>55.410465335203227</v>
      </c>
      <c r="W115" s="58"/>
      <c r="X115" s="157">
        <f t="shared" si="33"/>
        <v>43201</v>
      </c>
      <c r="Y115" s="387">
        <f t="shared" si="34"/>
        <v>0</v>
      </c>
      <c r="Z115" s="387">
        <f t="shared" si="35"/>
        <v>0</v>
      </c>
      <c r="AA115" s="388">
        <f t="shared" si="36"/>
        <v>0</v>
      </c>
      <c r="AB115" s="199">
        <f t="shared" si="37"/>
        <v>43201</v>
      </c>
      <c r="AC115" s="428">
        <f t="shared" si="38"/>
        <v>0</v>
      </c>
      <c r="AD115" s="171">
        <f>(INDEX(Models!$BJ115:$BT115,,AH115)*(1-AF115)+INDEX(Models!$BJ115:$BT115,,AH115+1)*AF115-ERP_i)*AE115*Ramure*Pc/MaxiM</f>
        <v>6.8815872212245772E-5</v>
      </c>
      <c r="AE115" s="307">
        <f t="shared" si="39"/>
        <v>0.9</v>
      </c>
      <c r="AF115" s="179">
        <f t="shared" si="40"/>
        <v>0.253701670580877</v>
      </c>
      <c r="AG115" s="839">
        <f t="shared" si="41"/>
        <v>-3</v>
      </c>
      <c r="AH115" s="178">
        <f t="shared" si="42"/>
        <v>3</v>
      </c>
      <c r="AI115" s="227">
        <f t="shared" si="43"/>
        <v>-2.746298329419123</v>
      </c>
      <c r="AJ115" s="267" t="b">
        <f t="shared" si="44"/>
        <v>1</v>
      </c>
      <c r="AK115" s="267" t="b">
        <f t="shared" si="45"/>
        <v>0</v>
      </c>
      <c r="AL115" s="267"/>
      <c r="AM115" s="267"/>
      <c r="AN115" s="75"/>
    </row>
    <row r="116" spans="1:40" s="6" customFormat="1" ht="11.25" x14ac:dyDescent="0.2">
      <c r="A116" s="56">
        <f t="shared" si="47"/>
        <v>43202</v>
      </c>
      <c r="B116" s="624"/>
      <c r="C116" s="881"/>
      <c r="D116" s="395"/>
      <c r="E116" s="387"/>
      <c r="F116" s="387"/>
      <c r="G116" s="110"/>
      <c r="I116" s="382">
        <f t="shared" si="24"/>
        <v>0</v>
      </c>
      <c r="J116" s="85">
        <v>2018</v>
      </c>
      <c r="K116" s="199">
        <f t="shared" si="25"/>
        <v>43202</v>
      </c>
      <c r="L116" s="439">
        <f t="shared" si="26"/>
        <v>0</v>
      </c>
      <c r="M116" s="883"/>
      <c r="N116" s="883"/>
      <c r="O116" s="326">
        <f t="shared" si="27"/>
        <v>0</v>
      </c>
      <c r="P116" s="171">
        <f>(INDEX(Models!$BJ116:$BT116,,T116)*(1-R116)+INDEX(Models!$BJ116:$BT116,,T116+1)*R116-ERP_i)*Q116*Ramure*Pc/MaxiM</f>
        <v>6.9029454715095132E-5</v>
      </c>
      <c r="Q116" s="307">
        <f t="shared" si="28"/>
        <v>0.9</v>
      </c>
      <c r="R116" s="179">
        <f t="shared" si="29"/>
        <v>0.25581757579695674</v>
      </c>
      <c r="S116" s="839">
        <f t="shared" si="46"/>
        <v>-3</v>
      </c>
      <c r="T116" s="178">
        <f t="shared" si="30"/>
        <v>3</v>
      </c>
      <c r="U116" s="253">
        <f t="shared" si="31"/>
        <v>-2.7441824242030433</v>
      </c>
      <c r="V116" s="385">
        <f t="shared" si="32"/>
        <v>55.770116134486145</v>
      </c>
      <c r="W116" s="58"/>
      <c r="X116" s="157">
        <f t="shared" si="33"/>
        <v>43202</v>
      </c>
      <c r="Y116" s="387">
        <f t="shared" si="34"/>
        <v>0</v>
      </c>
      <c r="Z116" s="387">
        <f t="shared" si="35"/>
        <v>0</v>
      </c>
      <c r="AA116" s="388">
        <f t="shared" si="36"/>
        <v>0</v>
      </c>
      <c r="AB116" s="199">
        <f t="shared" si="37"/>
        <v>43202</v>
      </c>
      <c r="AC116" s="428">
        <f t="shared" si="38"/>
        <v>0</v>
      </c>
      <c r="AD116" s="171">
        <f>(INDEX(Models!$BJ116:$BT116,,AH116)*(1-AF116)+INDEX(Models!$BJ116:$BT116,,AH116+1)*AF116-ERP_i)*AE116*Ramure*Pc/MaxiM</f>
        <v>6.9029454715095132E-5</v>
      </c>
      <c r="AE116" s="307">
        <f t="shared" si="39"/>
        <v>0.9</v>
      </c>
      <c r="AF116" s="179">
        <f t="shared" si="40"/>
        <v>0.25581757579695674</v>
      </c>
      <c r="AG116" s="839">
        <f t="shared" si="41"/>
        <v>-3</v>
      </c>
      <c r="AH116" s="178">
        <f t="shared" si="42"/>
        <v>3</v>
      </c>
      <c r="AI116" s="227">
        <f t="shared" si="43"/>
        <v>-2.7441824242030433</v>
      </c>
      <c r="AJ116" s="267" t="b">
        <f t="shared" si="44"/>
        <v>1</v>
      </c>
      <c r="AK116" s="267" t="b">
        <f t="shared" si="45"/>
        <v>0</v>
      </c>
      <c r="AL116" s="267"/>
      <c r="AM116" s="267"/>
      <c r="AN116" s="75"/>
    </row>
    <row r="117" spans="1:40" s="6" customFormat="1" ht="11.25" x14ac:dyDescent="0.2">
      <c r="A117" s="56">
        <f t="shared" si="47"/>
        <v>43203</v>
      </c>
      <c r="B117" s="624"/>
      <c r="C117" s="881"/>
      <c r="D117" s="395"/>
      <c r="E117" s="387"/>
      <c r="F117" s="387"/>
      <c r="G117" s="110"/>
      <c r="I117" s="382">
        <f t="shared" si="24"/>
        <v>0</v>
      </c>
      <c r="J117" s="85">
        <v>2018</v>
      </c>
      <c r="K117" s="199">
        <f t="shared" si="25"/>
        <v>43203</v>
      </c>
      <c r="L117" s="439">
        <f t="shared" si="26"/>
        <v>0</v>
      </c>
      <c r="M117" s="883"/>
      <c r="N117" s="883"/>
      <c r="O117" s="326">
        <f t="shared" si="27"/>
        <v>0</v>
      </c>
      <c r="P117" s="171">
        <f>(INDEX(Models!$BJ117:$BT117,,T117)*(1-R117)+INDEX(Models!$BJ117:$BT117,,T117+1)*R117-ERP_i)*Q117*Ramure*Pc/MaxiM</f>
        <v>6.9156639146823263E-5</v>
      </c>
      <c r="Q117" s="307">
        <f t="shared" si="28"/>
        <v>0.9</v>
      </c>
      <c r="R117" s="179">
        <f t="shared" si="29"/>
        <v>0.25800755930304664</v>
      </c>
      <c r="S117" s="839">
        <f t="shared" si="46"/>
        <v>-3</v>
      </c>
      <c r="T117" s="178">
        <f t="shared" si="30"/>
        <v>3</v>
      </c>
      <c r="U117" s="253">
        <f t="shared" si="31"/>
        <v>-2.7419924406969534</v>
      </c>
      <c r="V117" s="385">
        <f t="shared" si="32"/>
        <v>56.122756371349382</v>
      </c>
      <c r="W117" s="58"/>
      <c r="X117" s="157">
        <f t="shared" si="33"/>
        <v>43203</v>
      </c>
      <c r="Y117" s="387">
        <f t="shared" si="34"/>
        <v>0</v>
      </c>
      <c r="Z117" s="387">
        <f t="shared" si="35"/>
        <v>0</v>
      </c>
      <c r="AA117" s="388">
        <f t="shared" si="36"/>
        <v>0</v>
      </c>
      <c r="AB117" s="199">
        <f t="shared" si="37"/>
        <v>43203</v>
      </c>
      <c r="AC117" s="428">
        <f t="shared" si="38"/>
        <v>0</v>
      </c>
      <c r="AD117" s="171">
        <f>(INDEX(Models!$BJ117:$BT117,,AH117)*(1-AF117)+INDEX(Models!$BJ117:$BT117,,AH117+1)*AF117-ERP_i)*AE117*Ramure*Pc/MaxiM</f>
        <v>6.9156639146823263E-5</v>
      </c>
      <c r="AE117" s="307">
        <f t="shared" si="39"/>
        <v>0.9</v>
      </c>
      <c r="AF117" s="179">
        <f t="shared" si="40"/>
        <v>0.25800755930304664</v>
      </c>
      <c r="AG117" s="839">
        <f t="shared" si="41"/>
        <v>-3</v>
      </c>
      <c r="AH117" s="178">
        <f t="shared" si="42"/>
        <v>3</v>
      </c>
      <c r="AI117" s="227">
        <f t="shared" si="43"/>
        <v>-2.7419924406969534</v>
      </c>
      <c r="AJ117" s="267" t="b">
        <f t="shared" si="44"/>
        <v>1</v>
      </c>
      <c r="AK117" s="267" t="b">
        <f t="shared" si="45"/>
        <v>0</v>
      </c>
      <c r="AL117" s="267"/>
      <c r="AM117" s="267"/>
      <c r="AN117" s="75"/>
    </row>
    <row r="118" spans="1:40" s="6" customFormat="1" ht="11.25" x14ac:dyDescent="0.2">
      <c r="A118" s="56">
        <f t="shared" si="47"/>
        <v>43204</v>
      </c>
      <c r="B118" s="624"/>
      <c r="C118" s="881"/>
      <c r="D118" s="395"/>
      <c r="E118" s="387"/>
      <c r="F118" s="387"/>
      <c r="G118" s="110"/>
      <c r="I118" s="382">
        <f t="shared" si="24"/>
        <v>0</v>
      </c>
      <c r="J118" s="85">
        <v>2018</v>
      </c>
      <c r="K118" s="199">
        <f t="shared" si="25"/>
        <v>43204</v>
      </c>
      <c r="L118" s="439">
        <f t="shared" si="26"/>
        <v>0</v>
      </c>
      <c r="M118" s="883"/>
      <c r="N118" s="883"/>
      <c r="O118" s="326">
        <f t="shared" si="27"/>
        <v>0</v>
      </c>
      <c r="P118" s="171">
        <f>(INDEX(Models!$BJ118:$BT118,,T118)*(1-R118)+INDEX(Models!$BJ118:$BT118,,T118+1)*R118-ERP_i)*Q118*Ramure*Pc/MaxiM</f>
        <v>6.9190620575453865E-5</v>
      </c>
      <c r="Q118" s="307">
        <f t="shared" si="28"/>
        <v>0.9</v>
      </c>
      <c r="R118" s="179">
        <f t="shared" si="29"/>
        <v>0.26027363273443571</v>
      </c>
      <c r="S118" s="839">
        <f t="shared" si="46"/>
        <v>-3</v>
      </c>
      <c r="T118" s="178">
        <f t="shared" si="30"/>
        <v>3</v>
      </c>
      <c r="U118" s="253">
        <f t="shared" si="31"/>
        <v>-2.7397263672655643</v>
      </c>
      <c r="V118" s="385">
        <f t="shared" si="32"/>
        <v>56.468050687209626</v>
      </c>
      <c r="W118" s="58"/>
      <c r="X118" s="157">
        <f t="shared" si="33"/>
        <v>43204</v>
      </c>
      <c r="Y118" s="387">
        <f t="shared" si="34"/>
        <v>0</v>
      </c>
      <c r="Z118" s="387">
        <f t="shared" si="35"/>
        <v>0</v>
      </c>
      <c r="AA118" s="388">
        <f t="shared" si="36"/>
        <v>0</v>
      </c>
      <c r="AB118" s="199">
        <f t="shared" si="37"/>
        <v>43204</v>
      </c>
      <c r="AC118" s="428">
        <f t="shared" si="38"/>
        <v>0</v>
      </c>
      <c r="AD118" s="171">
        <f>(INDEX(Models!$BJ118:$BT118,,AH118)*(1-AF118)+INDEX(Models!$BJ118:$BT118,,AH118+1)*AF118-ERP_i)*AE118*Ramure*Pc/MaxiM</f>
        <v>6.9190620575453865E-5</v>
      </c>
      <c r="AE118" s="307">
        <f t="shared" si="39"/>
        <v>0.9</v>
      </c>
      <c r="AF118" s="179">
        <f t="shared" si="40"/>
        <v>0.26027363273443571</v>
      </c>
      <c r="AG118" s="839">
        <f t="shared" si="41"/>
        <v>-3</v>
      </c>
      <c r="AH118" s="178">
        <f t="shared" si="42"/>
        <v>3</v>
      </c>
      <c r="AI118" s="227">
        <f t="shared" si="43"/>
        <v>-2.7397263672655643</v>
      </c>
      <c r="AJ118" s="267" t="b">
        <f t="shared" si="44"/>
        <v>1</v>
      </c>
      <c r="AK118" s="267" t="b">
        <f t="shared" si="45"/>
        <v>0</v>
      </c>
      <c r="AL118" s="267"/>
      <c r="AM118" s="267"/>
      <c r="AN118" s="75"/>
    </row>
    <row r="119" spans="1:40" s="6" customFormat="1" ht="11.25" customHeight="1" x14ac:dyDescent="0.2">
      <c r="A119" s="56">
        <f t="shared" si="47"/>
        <v>43205</v>
      </c>
      <c r="B119" s="624"/>
      <c r="C119" s="881"/>
      <c r="D119" s="395"/>
      <c r="E119" s="387"/>
      <c r="F119" s="387"/>
      <c r="G119" s="110"/>
      <c r="I119" s="382">
        <f t="shared" si="24"/>
        <v>0</v>
      </c>
      <c r="J119" s="85">
        <v>2018</v>
      </c>
      <c r="K119" s="199">
        <f t="shared" si="25"/>
        <v>43205</v>
      </c>
      <c r="L119" s="439">
        <f t="shared" si="26"/>
        <v>0</v>
      </c>
      <c r="M119" s="883"/>
      <c r="N119" s="883"/>
      <c r="O119" s="326">
        <f t="shared" si="27"/>
        <v>0</v>
      </c>
      <c r="P119" s="171">
        <f>(INDEX(Models!$BJ119:$BT119,,T119)*(1-R119)+INDEX(Models!$BJ119:$BT119,,T119+1)*R119-ERP_i)*Q119*Ramure*Pc/MaxiM</f>
        <v>6.9124199758607561E-5</v>
      </c>
      <c r="Q119" s="307">
        <f t="shared" si="28"/>
        <v>0.9</v>
      </c>
      <c r="R119" s="179">
        <f t="shared" si="29"/>
        <v>0.26261781696777975</v>
      </c>
      <c r="S119" s="839">
        <f t="shared" si="46"/>
        <v>-3</v>
      </c>
      <c r="T119" s="178">
        <f t="shared" si="30"/>
        <v>3</v>
      </c>
      <c r="U119" s="253">
        <f t="shared" si="31"/>
        <v>-2.7373821830322203</v>
      </c>
      <c r="V119" s="385">
        <f t="shared" si="32"/>
        <v>56.805663753717724</v>
      </c>
      <c r="W119" s="58"/>
      <c r="X119" s="157">
        <f t="shared" si="33"/>
        <v>43205</v>
      </c>
      <c r="Y119" s="387">
        <f t="shared" si="34"/>
        <v>0</v>
      </c>
      <c r="Z119" s="387">
        <f t="shared" si="35"/>
        <v>0</v>
      </c>
      <c r="AA119" s="388">
        <f t="shared" si="36"/>
        <v>0</v>
      </c>
      <c r="AB119" s="199">
        <f t="shared" si="37"/>
        <v>43205</v>
      </c>
      <c r="AC119" s="428">
        <f t="shared" si="38"/>
        <v>0</v>
      </c>
      <c r="AD119" s="171">
        <f>(INDEX(Models!$BJ119:$BT119,,AH119)*(1-AF119)+INDEX(Models!$BJ119:$BT119,,AH119+1)*AF119-ERP_i)*AE119*Ramure*Pc/MaxiM</f>
        <v>6.9124199758607561E-5</v>
      </c>
      <c r="AE119" s="307">
        <f t="shared" si="39"/>
        <v>0.9</v>
      </c>
      <c r="AF119" s="179">
        <f t="shared" si="40"/>
        <v>0.26261781696777975</v>
      </c>
      <c r="AG119" s="839">
        <f t="shared" si="41"/>
        <v>-3</v>
      </c>
      <c r="AH119" s="178">
        <f t="shared" si="42"/>
        <v>3</v>
      </c>
      <c r="AI119" s="227">
        <f t="shared" si="43"/>
        <v>-2.7373821830322203</v>
      </c>
      <c r="AJ119" s="267" t="b">
        <f t="shared" si="44"/>
        <v>1</v>
      </c>
      <c r="AK119" s="267" t="b">
        <f t="shared" si="45"/>
        <v>0</v>
      </c>
      <c r="AL119" s="267"/>
      <c r="AM119" s="267"/>
      <c r="AN119" s="75"/>
    </row>
    <row r="120" spans="1:40" s="6" customFormat="1" ht="11.25" x14ac:dyDescent="0.2">
      <c r="A120" s="56">
        <f t="shared" si="47"/>
        <v>43206</v>
      </c>
      <c r="B120" s="624"/>
      <c r="C120" s="881"/>
      <c r="D120" s="395"/>
      <c r="E120" s="387"/>
      <c r="F120" s="387"/>
      <c r="G120" s="110"/>
      <c r="I120" s="382">
        <f t="shared" si="24"/>
        <v>0</v>
      </c>
      <c r="J120" s="85">
        <v>2018</v>
      </c>
      <c r="K120" s="199">
        <f t="shared" si="25"/>
        <v>43206</v>
      </c>
      <c r="L120" s="439">
        <f t="shared" si="26"/>
        <v>0</v>
      </c>
      <c r="M120" s="883"/>
      <c r="N120" s="883"/>
      <c r="O120" s="326">
        <f t="shared" si="27"/>
        <v>0</v>
      </c>
      <c r="P120" s="171">
        <f>(INDEX(Models!$BJ120:$BT120,,T120)*(1-R120)+INDEX(Models!$BJ120:$BT120,,T120+1)*R120-ERP_i)*Q120*Ramure*Pc/MaxiM</f>
        <v>6.8949765722043816E-5</v>
      </c>
      <c r="Q120" s="307">
        <f t="shared" si="28"/>
        <v>0.9</v>
      </c>
      <c r="R120" s="179">
        <f t="shared" si="29"/>
        <v>0.26504213813087896</v>
      </c>
      <c r="S120" s="839">
        <f t="shared" si="46"/>
        <v>-3</v>
      </c>
      <c r="T120" s="178">
        <f t="shared" si="30"/>
        <v>3</v>
      </c>
      <c r="U120" s="253">
        <f t="shared" si="31"/>
        <v>-2.734957861869121</v>
      </c>
      <c r="V120" s="385">
        <f t="shared" si="32"/>
        <v>57.135260265266332</v>
      </c>
      <c r="W120" s="58"/>
      <c r="X120" s="157">
        <f t="shared" si="33"/>
        <v>43206</v>
      </c>
      <c r="Y120" s="387">
        <f t="shared" si="34"/>
        <v>0</v>
      </c>
      <c r="Z120" s="387">
        <f t="shared" si="35"/>
        <v>0</v>
      </c>
      <c r="AA120" s="388">
        <f t="shared" si="36"/>
        <v>0</v>
      </c>
      <c r="AB120" s="199">
        <f t="shared" si="37"/>
        <v>43206</v>
      </c>
      <c r="AC120" s="428">
        <f t="shared" si="38"/>
        <v>0</v>
      </c>
      <c r="AD120" s="171">
        <f>(INDEX(Models!$BJ120:$BT120,,AH120)*(1-AF120)+INDEX(Models!$BJ120:$BT120,,AH120+1)*AF120-ERP_i)*AE120*Ramure*Pc/MaxiM</f>
        <v>6.8949765722043816E-5</v>
      </c>
      <c r="AE120" s="307">
        <f t="shared" si="39"/>
        <v>0.9</v>
      </c>
      <c r="AF120" s="179">
        <f t="shared" si="40"/>
        <v>0.26504213813087896</v>
      </c>
      <c r="AG120" s="839">
        <f t="shared" si="41"/>
        <v>-3</v>
      </c>
      <c r="AH120" s="178">
        <f t="shared" si="42"/>
        <v>3</v>
      </c>
      <c r="AI120" s="227">
        <f t="shared" si="43"/>
        <v>-2.734957861869121</v>
      </c>
      <c r="AJ120" s="267" t="b">
        <f t="shared" si="44"/>
        <v>1</v>
      </c>
      <c r="AK120" s="267" t="b">
        <f t="shared" si="45"/>
        <v>0</v>
      </c>
      <c r="AL120" s="267"/>
      <c r="AM120" s="267"/>
      <c r="AN120" s="75"/>
    </row>
    <row r="121" spans="1:40" s="6" customFormat="1" ht="11.25" x14ac:dyDescent="0.2">
      <c r="A121" s="56">
        <f t="shared" si="47"/>
        <v>43207</v>
      </c>
      <c r="B121" s="624"/>
      <c r="C121" s="881"/>
      <c r="D121" s="395"/>
      <c r="E121" s="387"/>
      <c r="F121" s="387"/>
      <c r="G121" s="110"/>
      <c r="I121" s="382">
        <f t="shared" si="24"/>
        <v>0</v>
      </c>
      <c r="J121" s="85">
        <v>2018</v>
      </c>
      <c r="K121" s="199">
        <f t="shared" si="25"/>
        <v>43207</v>
      </c>
      <c r="L121" s="439">
        <f t="shared" si="26"/>
        <v>0</v>
      </c>
      <c r="M121" s="883"/>
      <c r="N121" s="883"/>
      <c r="O121" s="326">
        <f t="shared" si="27"/>
        <v>0</v>
      </c>
      <c r="P121" s="171">
        <f>(INDEX(Models!$BJ121:$BT121,,T121)*(1-R121)+INDEX(Models!$BJ121:$BT121,,T121+1)*R121-ERP_i)*Q121*Ramure*Pc/MaxiM</f>
        <v>6.865740509890832E-5</v>
      </c>
      <c r="Q121" s="307">
        <f t="shared" si="28"/>
        <v>0.9</v>
      </c>
      <c r="R121" s="179">
        <f t="shared" si="29"/>
        <v>0.26754862327942686</v>
      </c>
      <c r="S121" s="839">
        <f t="shared" si="46"/>
        <v>-3</v>
      </c>
      <c r="T121" s="178">
        <f t="shared" si="30"/>
        <v>3</v>
      </c>
      <c r="U121" s="253">
        <f t="shared" si="31"/>
        <v>-2.7324513767205731</v>
      </c>
      <c r="V121" s="385">
        <f t="shared" si="32"/>
        <v>57.458072299245373</v>
      </c>
      <c r="W121" s="58"/>
      <c r="X121" s="157">
        <f t="shared" si="33"/>
        <v>43207</v>
      </c>
      <c r="Y121" s="387">
        <f t="shared" si="34"/>
        <v>0</v>
      </c>
      <c r="Z121" s="387">
        <f t="shared" si="35"/>
        <v>0</v>
      </c>
      <c r="AA121" s="388">
        <f t="shared" si="36"/>
        <v>0</v>
      </c>
      <c r="AB121" s="199">
        <f t="shared" si="37"/>
        <v>43207</v>
      </c>
      <c r="AC121" s="428">
        <f t="shared" si="38"/>
        <v>0</v>
      </c>
      <c r="AD121" s="171">
        <f>(INDEX(Models!$BJ121:$BT121,,AH121)*(1-AF121)+INDEX(Models!$BJ121:$BT121,,AH121+1)*AF121-ERP_i)*AE121*Ramure*Pc/MaxiM</f>
        <v>6.865740509890832E-5</v>
      </c>
      <c r="AE121" s="307">
        <f t="shared" si="39"/>
        <v>0.9</v>
      </c>
      <c r="AF121" s="179">
        <f t="shared" si="40"/>
        <v>0.26754862327942686</v>
      </c>
      <c r="AG121" s="839">
        <f t="shared" si="41"/>
        <v>-3</v>
      </c>
      <c r="AH121" s="178">
        <f t="shared" si="42"/>
        <v>3</v>
      </c>
      <c r="AI121" s="227">
        <f t="shared" si="43"/>
        <v>-2.7324513767205731</v>
      </c>
      <c r="AJ121" s="267" t="b">
        <f t="shared" si="44"/>
        <v>1</v>
      </c>
      <c r="AK121" s="267" t="b">
        <f t="shared" si="45"/>
        <v>0</v>
      </c>
      <c r="AL121" s="267"/>
      <c r="AM121" s="267"/>
      <c r="AN121" s="75"/>
    </row>
    <row r="122" spans="1:40" s="18" customFormat="1" ht="11.25" x14ac:dyDescent="0.2">
      <c r="A122" s="579">
        <f t="shared" si="47"/>
        <v>43208</v>
      </c>
      <c r="B122" s="625"/>
      <c r="C122" s="881"/>
      <c r="D122" s="395"/>
      <c r="E122" s="387"/>
      <c r="F122" s="387"/>
      <c r="G122" s="110"/>
      <c r="H122" s="17"/>
      <c r="I122" s="382">
        <f t="shared" si="24"/>
        <v>0</v>
      </c>
      <c r="J122" s="85">
        <v>2018</v>
      </c>
      <c r="K122" s="199">
        <f t="shared" si="25"/>
        <v>43208</v>
      </c>
      <c r="L122" s="455">
        <f t="shared" si="26"/>
        <v>0</v>
      </c>
      <c r="M122" s="883"/>
      <c r="N122" s="883"/>
      <c r="O122" s="326">
        <f t="shared" si="27"/>
        <v>0</v>
      </c>
      <c r="P122" s="171">
        <f>(INDEX(Models!$BJ122:$BT122,,T122)*(1-R122)+INDEX(Models!$BJ122:$BT122,,T122+1)*R122-ERP_i)*Q122*Ramure*Pc/MaxiM</f>
        <v>6.8220990321647909E-5</v>
      </c>
      <c r="Q122" s="307">
        <f t="shared" si="28"/>
        <v>0.9</v>
      </c>
      <c r="R122" s="179">
        <f t="shared" si="29"/>
        <v>0.27013929573123896</v>
      </c>
      <c r="S122" s="839">
        <f t="shared" si="46"/>
        <v>-3</v>
      </c>
      <c r="T122" s="178">
        <f t="shared" si="30"/>
        <v>3</v>
      </c>
      <c r="U122" s="253">
        <f t="shared" si="31"/>
        <v>-2.729860704268761</v>
      </c>
      <c r="V122" s="385">
        <f t="shared" si="32"/>
        <v>57.775332875894115</v>
      </c>
      <c r="W122" s="437"/>
      <c r="X122" s="157">
        <f t="shared" si="33"/>
        <v>43208</v>
      </c>
      <c r="Y122" s="387">
        <f t="shared" si="34"/>
        <v>0</v>
      </c>
      <c r="Z122" s="387">
        <f t="shared" si="35"/>
        <v>0</v>
      </c>
      <c r="AA122" s="388">
        <f t="shared" si="36"/>
        <v>0</v>
      </c>
      <c r="AB122" s="199">
        <f t="shared" si="37"/>
        <v>43208</v>
      </c>
      <c r="AC122" s="454">
        <f t="shared" si="38"/>
        <v>0</v>
      </c>
      <c r="AD122" s="171">
        <f>(INDEX(Models!$BJ122:$BT122,,AH122)*(1-AF122)+INDEX(Models!$BJ122:$BT122,,AH122+1)*AF122-ERP_i)*AE122*Ramure*Pc/MaxiM</f>
        <v>6.8220990321647909E-5</v>
      </c>
      <c r="AE122" s="307">
        <f t="shared" si="39"/>
        <v>0.9</v>
      </c>
      <c r="AF122" s="179">
        <f t="shared" si="40"/>
        <v>0.27013929573123896</v>
      </c>
      <c r="AG122" s="839">
        <f t="shared" si="41"/>
        <v>-3</v>
      </c>
      <c r="AH122" s="178">
        <f t="shared" si="42"/>
        <v>3</v>
      </c>
      <c r="AI122" s="227">
        <f t="shared" si="43"/>
        <v>-2.729860704268761</v>
      </c>
      <c r="AJ122" s="267" t="b">
        <f t="shared" si="44"/>
        <v>1</v>
      </c>
      <c r="AK122" s="267" t="b">
        <f t="shared" si="45"/>
        <v>0</v>
      </c>
      <c r="AL122" s="267"/>
      <c r="AM122" s="267"/>
      <c r="AN122" s="267"/>
    </row>
    <row r="123" spans="1:40" s="18" customFormat="1" ht="11.25" x14ac:dyDescent="0.2">
      <c r="A123" s="56">
        <f t="shared" si="47"/>
        <v>43209</v>
      </c>
      <c r="B123" s="624"/>
      <c r="C123" s="881"/>
      <c r="D123" s="395"/>
      <c r="E123" s="387"/>
      <c r="F123" s="387"/>
      <c r="G123" s="110"/>
      <c r="H123" s="438"/>
      <c r="I123" s="382">
        <f t="shared" si="24"/>
        <v>0</v>
      </c>
      <c r="J123" s="85">
        <v>2018</v>
      </c>
      <c r="K123" s="199">
        <f t="shared" si="25"/>
        <v>43209</v>
      </c>
      <c r="L123" s="439">
        <f t="shared" si="26"/>
        <v>0</v>
      </c>
      <c r="M123" s="883"/>
      <c r="N123" s="883"/>
      <c r="O123" s="326">
        <f t="shared" si="27"/>
        <v>0</v>
      </c>
      <c r="P123" s="171">
        <f>(INDEX(Models!$BJ123:$BT123,,T123)*(1-R123)+INDEX(Models!$BJ123:$BT123,,T123+1)*R123-ERP_i)*Q123*Ramure*Pc/MaxiM</f>
        <v>6.7666336063493534E-5</v>
      </c>
      <c r="Q123" s="307">
        <f t="shared" si="28"/>
        <v>0.9</v>
      </c>
      <c r="R123" s="179">
        <f t="shared" si="29"/>
        <v>0.27281617004973047</v>
      </c>
      <c r="S123" s="839">
        <f t="shared" si="46"/>
        <v>-3</v>
      </c>
      <c r="T123" s="178">
        <f t="shared" si="30"/>
        <v>3</v>
      </c>
      <c r="U123" s="253">
        <f t="shared" si="31"/>
        <v>-2.7271838299502695</v>
      </c>
      <c r="V123" s="385">
        <f t="shared" si="32"/>
        <v>58.086704787541464</v>
      </c>
      <c r="W123" s="437"/>
      <c r="X123" s="157">
        <f t="shared" si="33"/>
        <v>43209</v>
      </c>
      <c r="Y123" s="387">
        <f t="shared" si="34"/>
        <v>0</v>
      </c>
      <c r="Z123" s="387">
        <f t="shared" si="35"/>
        <v>0</v>
      </c>
      <c r="AA123" s="388">
        <f t="shared" si="36"/>
        <v>0</v>
      </c>
      <c r="AB123" s="199">
        <f t="shared" si="37"/>
        <v>43209</v>
      </c>
      <c r="AC123" s="440">
        <f t="shared" si="38"/>
        <v>0</v>
      </c>
      <c r="AD123" s="171">
        <f>(INDEX(Models!$BJ123:$BT123,,AH123)*(1-AF123)+INDEX(Models!$BJ123:$BT123,,AH123+1)*AF123-ERP_i)*AE123*Ramure*Pc/MaxiM</f>
        <v>6.7666336063493534E-5</v>
      </c>
      <c r="AE123" s="307">
        <f t="shared" si="39"/>
        <v>0.9</v>
      </c>
      <c r="AF123" s="179">
        <f t="shared" si="40"/>
        <v>0.27281617004973047</v>
      </c>
      <c r="AG123" s="839">
        <f t="shared" si="41"/>
        <v>-3</v>
      </c>
      <c r="AH123" s="178">
        <f t="shared" si="42"/>
        <v>3</v>
      </c>
      <c r="AI123" s="227">
        <f t="shared" si="43"/>
        <v>-2.7271838299502695</v>
      </c>
      <c r="AJ123" s="267" t="b">
        <f t="shared" si="44"/>
        <v>1</v>
      </c>
      <c r="AK123" s="267" t="b">
        <f t="shared" si="45"/>
        <v>0</v>
      </c>
      <c r="AL123" s="267"/>
      <c r="AM123" s="267"/>
      <c r="AN123" s="267"/>
    </row>
    <row r="124" spans="1:40" s="6" customFormat="1" ht="11.25" customHeight="1" x14ac:dyDescent="0.2">
      <c r="A124" s="56">
        <f t="shared" si="47"/>
        <v>43210</v>
      </c>
      <c r="B124" s="624"/>
      <c r="C124" s="881"/>
      <c r="D124" s="395"/>
      <c r="E124" s="387"/>
      <c r="F124" s="387"/>
      <c r="G124" s="110"/>
      <c r="I124" s="382">
        <f t="shared" si="24"/>
        <v>0</v>
      </c>
      <c r="J124" s="85">
        <v>2018</v>
      </c>
      <c r="K124" s="199">
        <f t="shared" si="25"/>
        <v>43210</v>
      </c>
      <c r="L124" s="439">
        <f t="shared" si="26"/>
        <v>0</v>
      </c>
      <c r="M124" s="883"/>
      <c r="N124" s="883"/>
      <c r="O124" s="326">
        <f t="shared" si="27"/>
        <v>0</v>
      </c>
      <c r="P124" s="171">
        <f>(INDEX(Models!$BJ124:$BT124,,T124)*(1-R124)+INDEX(Models!$BJ124:$BT124,,T124+1)*R124-ERP_i)*Q124*Ramure*Pc/MaxiM</f>
        <v>6.698606701222369E-5</v>
      </c>
      <c r="Q124" s="307">
        <f t="shared" si="28"/>
        <v>0.9</v>
      </c>
      <c r="R124" s="179">
        <f t="shared" si="29"/>
        <v>0.27558124666986705</v>
      </c>
      <c r="S124" s="839">
        <f t="shared" si="46"/>
        <v>-3</v>
      </c>
      <c r="T124" s="178">
        <f t="shared" si="30"/>
        <v>3</v>
      </c>
      <c r="U124" s="253">
        <f t="shared" si="31"/>
        <v>-2.7244187533301329</v>
      </c>
      <c r="V124" s="385">
        <f t="shared" si="32"/>
        <v>58.391852727277936</v>
      </c>
      <c r="W124" s="58"/>
      <c r="X124" s="157">
        <f t="shared" si="33"/>
        <v>43210</v>
      </c>
      <c r="Y124" s="387">
        <f t="shared" si="34"/>
        <v>0</v>
      </c>
      <c r="Z124" s="387">
        <f t="shared" si="35"/>
        <v>0</v>
      </c>
      <c r="AA124" s="388">
        <f t="shared" si="36"/>
        <v>0</v>
      </c>
      <c r="AB124" s="199">
        <f t="shared" si="37"/>
        <v>43210</v>
      </c>
      <c r="AC124" s="428">
        <f t="shared" si="38"/>
        <v>0</v>
      </c>
      <c r="AD124" s="171">
        <f>(INDEX(Models!$BJ124:$BT124,,AH124)*(1-AF124)+INDEX(Models!$BJ124:$BT124,,AH124+1)*AF124-ERP_i)*AE124*Ramure*Pc/MaxiM</f>
        <v>6.698606701222369E-5</v>
      </c>
      <c r="AE124" s="307">
        <f t="shared" si="39"/>
        <v>0.9</v>
      </c>
      <c r="AF124" s="179">
        <f t="shared" si="40"/>
        <v>0.27558124666986705</v>
      </c>
      <c r="AG124" s="839">
        <f t="shared" si="41"/>
        <v>-3</v>
      </c>
      <c r="AH124" s="178">
        <f t="shared" si="42"/>
        <v>3</v>
      </c>
      <c r="AI124" s="227">
        <f t="shared" si="43"/>
        <v>-2.7244187533301329</v>
      </c>
      <c r="AJ124" s="267" t="b">
        <f t="shared" si="44"/>
        <v>1</v>
      </c>
      <c r="AK124" s="267" t="b">
        <f t="shared" si="45"/>
        <v>0</v>
      </c>
      <c r="AL124" s="267"/>
      <c r="AM124" s="267"/>
      <c r="AN124" s="75"/>
    </row>
    <row r="125" spans="1:40" s="6" customFormat="1" ht="11.25" x14ac:dyDescent="0.2">
      <c r="A125" s="56">
        <f t="shared" si="47"/>
        <v>43211</v>
      </c>
      <c r="B125" s="624"/>
      <c r="C125" s="881"/>
      <c r="D125" s="395"/>
      <c r="E125" s="387"/>
      <c r="F125" s="387"/>
      <c r="G125" s="110"/>
      <c r="I125" s="382">
        <f t="shared" si="24"/>
        <v>0</v>
      </c>
      <c r="J125" s="85">
        <v>2018</v>
      </c>
      <c r="K125" s="199">
        <f t="shared" si="25"/>
        <v>43211</v>
      </c>
      <c r="L125" s="439">
        <f t="shared" si="26"/>
        <v>0</v>
      </c>
      <c r="M125" s="883"/>
      <c r="N125" s="883"/>
      <c r="O125" s="326">
        <f t="shared" si="27"/>
        <v>0</v>
      </c>
      <c r="P125" s="171">
        <f>(INDEX(Models!$BJ125:$BT125,,T125)*(1-R125)+INDEX(Models!$BJ125:$BT125,,T125+1)*R125-ERP_i)*Q125*Ramure*Pc/MaxiM</f>
        <v>6.6172651230250881E-5</v>
      </c>
      <c r="Q125" s="307">
        <f t="shared" si="28"/>
        <v>0.9</v>
      </c>
      <c r="R125" s="179">
        <f t="shared" si="29"/>
        <v>0.27843650616152971</v>
      </c>
      <c r="S125" s="839">
        <f t="shared" si="46"/>
        <v>-3</v>
      </c>
      <c r="T125" s="178">
        <f t="shared" si="30"/>
        <v>3</v>
      </c>
      <c r="U125" s="253">
        <f t="shared" si="31"/>
        <v>-2.7215634938384703</v>
      </c>
      <c r="V125" s="385">
        <f t="shared" si="32"/>
        <v>58.690441405578824</v>
      </c>
      <c r="W125" s="58"/>
      <c r="X125" s="157">
        <f t="shared" si="33"/>
        <v>43211</v>
      </c>
      <c r="Y125" s="387">
        <f t="shared" si="34"/>
        <v>0</v>
      </c>
      <c r="Z125" s="387">
        <f t="shared" si="35"/>
        <v>0</v>
      </c>
      <c r="AA125" s="388">
        <f t="shared" si="36"/>
        <v>0</v>
      </c>
      <c r="AB125" s="199">
        <f t="shared" si="37"/>
        <v>43211</v>
      </c>
      <c r="AC125" s="428">
        <f t="shared" si="38"/>
        <v>0</v>
      </c>
      <c r="AD125" s="171">
        <f>(INDEX(Models!$BJ125:$BT125,,AH125)*(1-AF125)+INDEX(Models!$BJ125:$BT125,,AH125+1)*AF125-ERP_i)*AE125*Ramure*Pc/MaxiM</f>
        <v>6.6172651230250881E-5</v>
      </c>
      <c r="AE125" s="307">
        <f t="shared" si="39"/>
        <v>0.9</v>
      </c>
      <c r="AF125" s="179">
        <f t="shared" si="40"/>
        <v>0.27843650616152971</v>
      </c>
      <c r="AG125" s="839">
        <f t="shared" si="41"/>
        <v>-3</v>
      </c>
      <c r="AH125" s="178">
        <f t="shared" si="42"/>
        <v>3</v>
      </c>
      <c r="AI125" s="227">
        <f t="shared" si="43"/>
        <v>-2.7215634938384703</v>
      </c>
      <c r="AJ125" s="267" t="b">
        <f t="shared" si="44"/>
        <v>1</v>
      </c>
      <c r="AK125" s="267" t="b">
        <f t="shared" si="45"/>
        <v>0</v>
      </c>
      <c r="AL125" s="267"/>
      <c r="AM125" s="267"/>
      <c r="AN125" s="75"/>
    </row>
    <row r="126" spans="1:40" s="6" customFormat="1" ht="11.25" customHeight="1" x14ac:dyDescent="0.2">
      <c r="A126" s="56">
        <f t="shared" si="47"/>
        <v>43212</v>
      </c>
      <c r="B126" s="624"/>
      <c r="C126" s="881"/>
      <c r="D126" s="395"/>
      <c r="E126" s="387"/>
      <c r="F126" s="387"/>
      <c r="G126" s="110"/>
      <c r="I126" s="382">
        <f t="shared" si="24"/>
        <v>0</v>
      </c>
      <c r="J126" s="85">
        <v>2018</v>
      </c>
      <c r="K126" s="199">
        <f t="shared" si="25"/>
        <v>43212</v>
      </c>
      <c r="L126" s="439">
        <f t="shared" si="26"/>
        <v>0</v>
      </c>
      <c r="M126" s="883"/>
      <c r="N126" s="883"/>
      <c r="O126" s="326">
        <f t="shared" si="27"/>
        <v>0</v>
      </c>
      <c r="P126" s="171">
        <f>(INDEX(Models!$BJ126:$BT126,,T126)*(1-R126)+INDEX(Models!$BJ126:$BT126,,T126+1)*R126-ERP_i)*Q126*Ramure*Pc/MaxiM</f>
        <v>6.5218195359148141E-5</v>
      </c>
      <c r="Q126" s="307">
        <f t="shared" si="28"/>
        <v>0.9</v>
      </c>
      <c r="R126" s="179">
        <f t="shared" si="29"/>
        <v>0.28138390312716499</v>
      </c>
      <c r="S126" s="839">
        <f t="shared" si="46"/>
        <v>-3</v>
      </c>
      <c r="T126" s="178">
        <f t="shared" si="30"/>
        <v>3</v>
      </c>
      <c r="U126" s="253">
        <f t="shared" si="31"/>
        <v>-2.718616096872835</v>
      </c>
      <c r="V126" s="385">
        <f t="shared" si="32"/>
        <v>58.982135547710932</v>
      </c>
      <c r="W126" s="58"/>
      <c r="X126" s="157">
        <f t="shared" si="33"/>
        <v>43212</v>
      </c>
      <c r="Y126" s="387">
        <f t="shared" si="34"/>
        <v>0</v>
      </c>
      <c r="Z126" s="387">
        <f t="shared" si="35"/>
        <v>0</v>
      </c>
      <c r="AA126" s="388">
        <f t="shared" si="36"/>
        <v>0</v>
      </c>
      <c r="AB126" s="199">
        <f t="shared" si="37"/>
        <v>43212</v>
      </c>
      <c r="AC126" s="428">
        <f t="shared" si="38"/>
        <v>0</v>
      </c>
      <c r="AD126" s="171">
        <f>(INDEX(Models!$BJ126:$BT126,,AH126)*(1-AF126)+INDEX(Models!$BJ126:$BT126,,AH126+1)*AF126-ERP_i)*AE126*Ramure*Pc/MaxiM</f>
        <v>6.5218195359148141E-5</v>
      </c>
      <c r="AE126" s="307">
        <f t="shared" si="39"/>
        <v>0.9</v>
      </c>
      <c r="AF126" s="179">
        <f t="shared" si="40"/>
        <v>0.28138390312716499</v>
      </c>
      <c r="AG126" s="839">
        <f t="shared" si="41"/>
        <v>-3</v>
      </c>
      <c r="AH126" s="178">
        <f t="shared" si="42"/>
        <v>3</v>
      </c>
      <c r="AI126" s="227">
        <f t="shared" si="43"/>
        <v>-2.718616096872835</v>
      </c>
      <c r="AJ126" s="267" t="b">
        <f t="shared" si="44"/>
        <v>1</v>
      </c>
      <c r="AK126" s="267" t="b">
        <f t="shared" si="45"/>
        <v>0</v>
      </c>
      <c r="AL126" s="267"/>
      <c r="AM126" s="267"/>
      <c r="AN126" s="75"/>
    </row>
    <row r="127" spans="1:40" s="6" customFormat="1" ht="11.25" customHeight="1" x14ac:dyDescent="0.2">
      <c r="A127" s="56">
        <f t="shared" si="47"/>
        <v>43213</v>
      </c>
      <c r="B127" s="624"/>
      <c r="C127" s="881"/>
      <c r="D127" s="395"/>
      <c r="E127" s="387"/>
      <c r="F127" s="387"/>
      <c r="G127" s="110"/>
      <c r="I127" s="382">
        <f t="shared" si="24"/>
        <v>0</v>
      </c>
      <c r="J127" s="85">
        <v>2018</v>
      </c>
      <c r="K127" s="199">
        <f t="shared" si="25"/>
        <v>43213</v>
      </c>
      <c r="L127" s="439">
        <f t="shared" si="26"/>
        <v>0</v>
      </c>
      <c r="M127" s="883"/>
      <c r="N127" s="883"/>
      <c r="O127" s="326">
        <f t="shared" si="27"/>
        <v>0</v>
      </c>
      <c r="P127" s="171">
        <f>(INDEX(Models!$BJ127:$BT127,,T127)*(1-R127)+INDEX(Models!$BJ127:$BT127,,T127+1)*R127-ERP_i)*Q127*Ramure*Pc/MaxiM</f>
        <v>6.4114245113692882E-5</v>
      </c>
      <c r="Q127" s="307">
        <f t="shared" si="28"/>
        <v>0.9</v>
      </c>
      <c r="R127" s="179">
        <f t="shared" si="29"/>
        <v>0.28442535973281169</v>
      </c>
      <c r="S127" s="839">
        <f t="shared" si="46"/>
        <v>-3</v>
      </c>
      <c r="T127" s="178">
        <f t="shared" si="30"/>
        <v>3</v>
      </c>
      <c r="U127" s="253">
        <f t="shared" si="31"/>
        <v>-2.7155746402671883</v>
      </c>
      <c r="V127" s="385">
        <f t="shared" si="32"/>
        <v>59.266599922292464</v>
      </c>
      <c r="W127" s="58"/>
      <c r="X127" s="157">
        <f t="shared" si="33"/>
        <v>43213</v>
      </c>
      <c r="Y127" s="387">
        <f t="shared" si="34"/>
        <v>0</v>
      </c>
      <c r="Z127" s="387">
        <f t="shared" si="35"/>
        <v>0</v>
      </c>
      <c r="AA127" s="388">
        <f t="shared" si="36"/>
        <v>0</v>
      </c>
      <c r="AB127" s="199">
        <f t="shared" si="37"/>
        <v>43213</v>
      </c>
      <c r="AC127" s="428">
        <f t="shared" si="38"/>
        <v>0</v>
      </c>
      <c r="AD127" s="171">
        <f>(INDEX(Models!$BJ127:$BT127,,AH127)*(1-AF127)+INDEX(Models!$BJ127:$BT127,,AH127+1)*AF127-ERP_i)*AE127*Ramure*Pc/MaxiM</f>
        <v>6.4114245113692882E-5</v>
      </c>
      <c r="AE127" s="307">
        <f t="shared" si="39"/>
        <v>0.9</v>
      </c>
      <c r="AF127" s="179">
        <f t="shared" si="40"/>
        <v>0.28442535973281169</v>
      </c>
      <c r="AG127" s="839">
        <f t="shared" si="41"/>
        <v>-3</v>
      </c>
      <c r="AH127" s="178">
        <f t="shared" si="42"/>
        <v>3</v>
      </c>
      <c r="AI127" s="227">
        <f t="shared" si="43"/>
        <v>-2.7155746402671883</v>
      </c>
      <c r="AJ127" s="267" t="b">
        <f t="shared" si="44"/>
        <v>1</v>
      </c>
      <c r="AK127" s="267" t="b">
        <f t="shared" si="45"/>
        <v>0</v>
      </c>
      <c r="AL127" s="267"/>
      <c r="AM127" s="267"/>
      <c r="AN127" s="75"/>
    </row>
    <row r="128" spans="1:40" s="6" customFormat="1" ht="11.25" customHeight="1" x14ac:dyDescent="0.2">
      <c r="A128" s="56">
        <f t="shared" si="47"/>
        <v>43214</v>
      </c>
      <c r="B128" s="624"/>
      <c r="C128" s="881"/>
      <c r="D128" s="395"/>
      <c r="E128" s="387"/>
      <c r="F128" s="387"/>
      <c r="G128" s="110"/>
      <c r="I128" s="382">
        <f t="shared" si="24"/>
        <v>0</v>
      </c>
      <c r="J128" s="85">
        <v>2018</v>
      </c>
      <c r="K128" s="199">
        <f t="shared" si="25"/>
        <v>43214</v>
      </c>
      <c r="L128" s="439">
        <f t="shared" si="26"/>
        <v>0</v>
      </c>
      <c r="M128" s="883"/>
      <c r="N128" s="883"/>
      <c r="O128" s="326">
        <f t="shared" si="27"/>
        <v>0</v>
      </c>
      <c r="P128" s="171">
        <f>(INDEX(Models!$BJ128:$BT128,,T128)*(1-R128)+INDEX(Models!$BJ128:$BT128,,T128+1)*R128-ERP_i)*Q128*Ramure*Pc/MaxiM</f>
        <v>6.289599600280283E-5</v>
      </c>
      <c r="Q128" s="307">
        <f t="shared" si="28"/>
        <v>0.9</v>
      </c>
      <c r="R128" s="179">
        <f t="shared" si="29"/>
        <v>0.28756275887402571</v>
      </c>
      <c r="S128" s="839">
        <f t="shared" si="46"/>
        <v>-3</v>
      </c>
      <c r="T128" s="178">
        <f t="shared" si="30"/>
        <v>3</v>
      </c>
      <c r="U128" s="253">
        <f t="shared" si="31"/>
        <v>-2.7124372411259743</v>
      </c>
      <c r="V128" s="385">
        <f t="shared" si="32"/>
        <v>59.543496698872481</v>
      </c>
      <c r="W128" s="58"/>
      <c r="X128" s="157">
        <f t="shared" si="33"/>
        <v>43214</v>
      </c>
      <c r="Y128" s="387">
        <f t="shared" si="34"/>
        <v>0</v>
      </c>
      <c r="Z128" s="387">
        <f t="shared" si="35"/>
        <v>0</v>
      </c>
      <c r="AA128" s="388">
        <f t="shared" si="36"/>
        <v>0</v>
      </c>
      <c r="AB128" s="199">
        <f t="shared" si="37"/>
        <v>43214</v>
      </c>
      <c r="AC128" s="428">
        <f t="shared" si="38"/>
        <v>0</v>
      </c>
      <c r="AD128" s="171">
        <f>(INDEX(Models!$BJ128:$BT128,,AH128)*(1-AF128)+INDEX(Models!$BJ128:$BT128,,AH128+1)*AF128-ERP_i)*AE128*Ramure*Pc/MaxiM</f>
        <v>6.289599600280283E-5</v>
      </c>
      <c r="AE128" s="307">
        <f t="shared" si="39"/>
        <v>0.9</v>
      </c>
      <c r="AF128" s="179">
        <f t="shared" si="40"/>
        <v>0.28756275887402571</v>
      </c>
      <c r="AG128" s="839">
        <f t="shared" si="41"/>
        <v>-3</v>
      </c>
      <c r="AH128" s="178">
        <f t="shared" si="42"/>
        <v>3</v>
      </c>
      <c r="AI128" s="227">
        <f t="shared" si="43"/>
        <v>-2.7124372411259743</v>
      </c>
      <c r="AJ128" s="267" t="b">
        <f t="shared" si="44"/>
        <v>1</v>
      </c>
      <c r="AK128" s="267" t="b">
        <f t="shared" si="45"/>
        <v>0</v>
      </c>
      <c r="AL128" s="267"/>
      <c r="AM128" s="267"/>
      <c r="AN128" s="75"/>
    </row>
    <row r="129" spans="1:40" s="6" customFormat="1" ht="11.25" customHeight="1" x14ac:dyDescent="0.2">
      <c r="A129" s="56">
        <f t="shared" si="47"/>
        <v>43215</v>
      </c>
      <c r="B129" s="624"/>
      <c r="C129" s="881"/>
      <c r="D129" s="395"/>
      <c r="E129" s="387"/>
      <c r="F129" s="387"/>
      <c r="G129" s="110"/>
      <c r="I129" s="382">
        <f t="shared" si="24"/>
        <v>0</v>
      </c>
      <c r="J129" s="85">
        <v>2018</v>
      </c>
      <c r="K129" s="199">
        <f t="shared" si="25"/>
        <v>43215</v>
      </c>
      <c r="L129" s="439">
        <f t="shared" si="26"/>
        <v>0</v>
      </c>
      <c r="M129" s="883"/>
      <c r="N129" s="883"/>
      <c r="O129" s="326">
        <f t="shared" si="27"/>
        <v>0</v>
      </c>
      <c r="P129" s="171">
        <f>(INDEX(Models!$BJ129:$BT129,,T129)*(1-R129)+INDEX(Models!$BJ129:$BT129,,T129+1)*R129-ERP_i)*Q129*Ramure*Pc/MaxiM</f>
        <v>6.1556265696528382E-5</v>
      </c>
      <c r="Q129" s="307">
        <f t="shared" si="28"/>
        <v>0.9</v>
      </c>
      <c r="R129" s="179">
        <f t="shared" si="29"/>
        <v>0.29079793698097811</v>
      </c>
      <c r="S129" s="839">
        <f t="shared" si="46"/>
        <v>-3</v>
      </c>
      <c r="T129" s="178">
        <f t="shared" si="30"/>
        <v>3</v>
      </c>
      <c r="U129" s="253">
        <f t="shared" si="31"/>
        <v>-2.7092020630190219</v>
      </c>
      <c r="V129" s="385">
        <f t="shared" si="32"/>
        <v>59.812490535534629</v>
      </c>
      <c r="W129" s="58"/>
      <c r="X129" s="157">
        <f t="shared" si="33"/>
        <v>43215</v>
      </c>
      <c r="Y129" s="387">
        <f t="shared" si="34"/>
        <v>0</v>
      </c>
      <c r="Z129" s="387">
        <f t="shared" si="35"/>
        <v>0</v>
      </c>
      <c r="AA129" s="388">
        <f t="shared" si="36"/>
        <v>0</v>
      </c>
      <c r="AB129" s="199">
        <f t="shared" si="37"/>
        <v>43215</v>
      </c>
      <c r="AC129" s="428">
        <f t="shared" si="38"/>
        <v>0</v>
      </c>
      <c r="AD129" s="171">
        <f>(INDEX(Models!$BJ129:$BT129,,AH129)*(1-AF129)+INDEX(Models!$BJ129:$BT129,,AH129+1)*AF129-ERP_i)*AE129*Ramure*Pc/MaxiM</f>
        <v>6.1556265696528382E-5</v>
      </c>
      <c r="AE129" s="307">
        <f t="shared" si="39"/>
        <v>0.9</v>
      </c>
      <c r="AF129" s="179">
        <f t="shared" si="40"/>
        <v>0.29079793698097811</v>
      </c>
      <c r="AG129" s="839">
        <f t="shared" si="41"/>
        <v>-3</v>
      </c>
      <c r="AH129" s="178">
        <f t="shared" si="42"/>
        <v>3</v>
      </c>
      <c r="AI129" s="227">
        <f t="shared" si="43"/>
        <v>-2.7092020630190219</v>
      </c>
      <c r="AJ129" s="267" t="b">
        <f t="shared" si="44"/>
        <v>1</v>
      </c>
      <c r="AK129" s="267" t="b">
        <f t="shared" si="45"/>
        <v>0</v>
      </c>
      <c r="AL129" s="267"/>
      <c r="AM129" s="267"/>
      <c r="AN129" s="75"/>
    </row>
    <row r="130" spans="1:40" s="6" customFormat="1" ht="11.25" customHeight="1" x14ac:dyDescent="0.2">
      <c r="A130" s="56">
        <f t="shared" si="47"/>
        <v>43216</v>
      </c>
      <c r="B130" s="624"/>
      <c r="C130" s="881"/>
      <c r="D130" s="395"/>
      <c r="E130" s="387"/>
      <c r="F130" s="387"/>
      <c r="G130" s="110"/>
      <c r="I130" s="382">
        <f t="shared" si="24"/>
        <v>0</v>
      </c>
      <c r="J130" s="85">
        <v>2018</v>
      </c>
      <c r="K130" s="199">
        <f t="shared" si="25"/>
        <v>43216</v>
      </c>
      <c r="L130" s="439">
        <f t="shared" si="26"/>
        <v>0</v>
      </c>
      <c r="M130" s="883"/>
      <c r="N130" s="883"/>
      <c r="O130" s="326">
        <f t="shared" si="27"/>
        <v>0</v>
      </c>
      <c r="P130" s="171">
        <f>(INDEX(Models!$BJ130:$BT130,,T130)*(1-R130)+INDEX(Models!$BJ130:$BT130,,T130+1)*R130-ERP_i)*Q130*Ramure*Pc/MaxiM</f>
        <v>6.008969438918273E-5</v>
      </c>
      <c r="Q130" s="307">
        <f t="shared" si="28"/>
        <v>0.9</v>
      </c>
      <c r="R130" s="179">
        <f t="shared" si="29"/>
        <v>0.29413267646998076</v>
      </c>
      <c r="S130" s="839">
        <f t="shared" si="46"/>
        <v>-3</v>
      </c>
      <c r="T130" s="178">
        <f t="shared" si="30"/>
        <v>3</v>
      </c>
      <c r="U130" s="253">
        <f t="shared" si="31"/>
        <v>-2.7058673235300192</v>
      </c>
      <c r="V130" s="385">
        <f t="shared" si="32"/>
        <v>60.07324597653836</v>
      </c>
      <c r="W130" s="58"/>
      <c r="X130" s="157">
        <f t="shared" si="33"/>
        <v>43216</v>
      </c>
      <c r="Y130" s="387">
        <f t="shared" si="34"/>
        <v>0</v>
      </c>
      <c r="Z130" s="387">
        <f t="shared" si="35"/>
        <v>0</v>
      </c>
      <c r="AA130" s="388">
        <f t="shared" si="36"/>
        <v>0</v>
      </c>
      <c r="AB130" s="199">
        <f t="shared" si="37"/>
        <v>43216</v>
      </c>
      <c r="AC130" s="428">
        <f t="shared" si="38"/>
        <v>0</v>
      </c>
      <c r="AD130" s="171">
        <f>(INDEX(Models!$BJ130:$BT130,,AH130)*(1-AF130)+INDEX(Models!$BJ130:$BT130,,AH130+1)*AF130-ERP_i)*AE130*Ramure*Pc/MaxiM</f>
        <v>6.008969438918273E-5</v>
      </c>
      <c r="AE130" s="307">
        <f t="shared" si="39"/>
        <v>0.9</v>
      </c>
      <c r="AF130" s="179">
        <f t="shared" si="40"/>
        <v>0.29413267646998076</v>
      </c>
      <c r="AG130" s="839">
        <f t="shared" si="41"/>
        <v>-3</v>
      </c>
      <c r="AH130" s="178">
        <f t="shared" si="42"/>
        <v>3</v>
      </c>
      <c r="AI130" s="227">
        <f t="shared" si="43"/>
        <v>-2.7058673235300192</v>
      </c>
      <c r="AJ130" s="267" t="b">
        <f t="shared" si="44"/>
        <v>1</v>
      </c>
      <c r="AK130" s="267" t="b">
        <f t="shared" si="45"/>
        <v>0</v>
      </c>
      <c r="AL130" s="267"/>
      <c r="AM130" s="267"/>
      <c r="AN130" s="75"/>
    </row>
    <row r="131" spans="1:40" s="6" customFormat="1" ht="11.25" customHeight="1" x14ac:dyDescent="0.2">
      <c r="A131" s="56">
        <f t="shared" si="47"/>
        <v>43217</v>
      </c>
      <c r="B131" s="624"/>
      <c r="C131" s="881"/>
      <c r="D131" s="395"/>
      <c r="E131" s="387"/>
      <c r="F131" s="387"/>
      <c r="G131" s="110"/>
      <c r="I131" s="382">
        <f t="shared" si="24"/>
        <v>0</v>
      </c>
      <c r="J131" s="85">
        <v>2018</v>
      </c>
      <c r="K131" s="199">
        <f t="shared" si="25"/>
        <v>43217</v>
      </c>
      <c r="L131" s="439">
        <f t="shared" si="26"/>
        <v>0</v>
      </c>
      <c r="M131" s="883"/>
      <c r="N131" s="883"/>
      <c r="O131" s="326">
        <f t="shared" si="27"/>
        <v>0</v>
      </c>
      <c r="P131" s="171">
        <f>(INDEX(Models!$BJ131:$BT131,,T131)*(1-R131)+INDEX(Models!$BJ131:$BT131,,T131+1)*R131-ERP_i)*Q131*Ramure*Pc/MaxiM</f>
        <v>5.8490763208310844E-5</v>
      </c>
      <c r="Q131" s="307">
        <f t="shared" si="28"/>
        <v>0.9</v>
      </c>
      <c r="R131" s="179">
        <f t="shared" si="29"/>
        <v>0.2975686978519696</v>
      </c>
      <c r="S131" s="839">
        <f t="shared" si="46"/>
        <v>-3</v>
      </c>
      <c r="T131" s="178">
        <f t="shared" si="30"/>
        <v>3</v>
      </c>
      <c r="U131" s="253">
        <f t="shared" si="31"/>
        <v>-2.7024313021480304</v>
      </c>
      <c r="V131" s="385">
        <f t="shared" si="32"/>
        <v>60.325427580754884</v>
      </c>
      <c r="W131" s="58"/>
      <c r="X131" s="157">
        <f t="shared" si="33"/>
        <v>43217</v>
      </c>
      <c r="Y131" s="387">
        <f t="shared" si="34"/>
        <v>0</v>
      </c>
      <c r="Z131" s="387">
        <f t="shared" si="35"/>
        <v>0</v>
      </c>
      <c r="AA131" s="388">
        <f t="shared" si="36"/>
        <v>0</v>
      </c>
      <c r="AB131" s="199">
        <f t="shared" si="37"/>
        <v>43217</v>
      </c>
      <c r="AC131" s="428">
        <f t="shared" si="38"/>
        <v>0</v>
      </c>
      <c r="AD131" s="171">
        <f>(INDEX(Models!$BJ131:$BT131,,AH131)*(1-AF131)+INDEX(Models!$BJ131:$BT131,,AH131+1)*AF131-ERP_i)*AE131*Ramure*Pc/MaxiM</f>
        <v>5.8490763208310844E-5</v>
      </c>
      <c r="AE131" s="307">
        <f t="shared" si="39"/>
        <v>0.9</v>
      </c>
      <c r="AF131" s="179">
        <f t="shared" si="40"/>
        <v>0.2975686978519696</v>
      </c>
      <c r="AG131" s="839">
        <f t="shared" si="41"/>
        <v>-3</v>
      </c>
      <c r="AH131" s="178">
        <f t="shared" si="42"/>
        <v>3</v>
      </c>
      <c r="AI131" s="227">
        <f t="shared" si="43"/>
        <v>-2.7024313021480304</v>
      </c>
      <c r="AJ131" s="267" t="b">
        <f t="shared" si="44"/>
        <v>1</v>
      </c>
      <c r="AK131" s="267" t="b">
        <f t="shared" si="45"/>
        <v>0</v>
      </c>
      <c r="AL131" s="267"/>
      <c r="AM131" s="267"/>
      <c r="AN131" s="75"/>
    </row>
    <row r="132" spans="1:40" s="6" customFormat="1" ht="11.25" customHeight="1" x14ac:dyDescent="0.2">
      <c r="A132" s="56">
        <f t="shared" si="47"/>
        <v>43218</v>
      </c>
      <c r="B132" s="624"/>
      <c r="C132" s="881"/>
      <c r="D132" s="395"/>
      <c r="E132" s="387"/>
      <c r="F132" s="387"/>
      <c r="G132" s="110"/>
      <c r="I132" s="382">
        <f t="shared" si="24"/>
        <v>0</v>
      </c>
      <c r="J132" s="85">
        <v>2018</v>
      </c>
      <c r="K132" s="199">
        <f t="shared" si="25"/>
        <v>43218</v>
      </c>
      <c r="L132" s="439">
        <f t="shared" si="26"/>
        <v>0</v>
      </c>
      <c r="M132" s="883"/>
      <c r="N132" s="883"/>
      <c r="O132" s="326">
        <f t="shared" si="27"/>
        <v>0</v>
      </c>
      <c r="P132" s="171">
        <f>(INDEX(Models!$BJ132:$BT132,,T132)*(1-R132)+INDEX(Models!$BJ132:$BT132,,T132+1)*R132-ERP_i)*Q132*Ramure*Pc/MaxiM</f>
        <v>5.6753794962700787E-5</v>
      </c>
      <c r="Q132" s="307">
        <f t="shared" si="28"/>
        <v>0.9</v>
      </c>
      <c r="R132" s="179">
        <f t="shared" si="29"/>
        <v>0.3011076515119977</v>
      </c>
      <c r="S132" s="839">
        <f t="shared" si="46"/>
        <v>-3</v>
      </c>
      <c r="T132" s="178">
        <f t="shared" si="30"/>
        <v>3</v>
      </c>
      <c r="U132" s="253">
        <f t="shared" si="31"/>
        <v>-2.6988923484880023</v>
      </c>
      <c r="V132" s="385">
        <f t="shared" si="32"/>
        <v>60.568699911723023</v>
      </c>
      <c r="W132" s="58"/>
      <c r="X132" s="157">
        <f t="shared" si="33"/>
        <v>43218</v>
      </c>
      <c r="Y132" s="387">
        <f t="shared" si="34"/>
        <v>0</v>
      </c>
      <c r="Z132" s="387">
        <f t="shared" si="35"/>
        <v>0</v>
      </c>
      <c r="AA132" s="388">
        <f t="shared" si="36"/>
        <v>0</v>
      </c>
      <c r="AB132" s="199">
        <f t="shared" si="37"/>
        <v>43218</v>
      </c>
      <c r="AC132" s="428">
        <f t="shared" si="38"/>
        <v>0</v>
      </c>
      <c r="AD132" s="171">
        <f>(INDEX(Models!$BJ132:$BT132,,AH132)*(1-AF132)+INDEX(Models!$BJ132:$BT132,,AH132+1)*AF132-ERP_i)*AE132*Ramure*Pc/MaxiM</f>
        <v>5.6753794962700787E-5</v>
      </c>
      <c r="AE132" s="307">
        <f t="shared" si="39"/>
        <v>0.9</v>
      </c>
      <c r="AF132" s="179">
        <f t="shared" si="40"/>
        <v>0.3011076515119977</v>
      </c>
      <c r="AG132" s="839">
        <f t="shared" si="41"/>
        <v>-3</v>
      </c>
      <c r="AH132" s="178">
        <f t="shared" si="42"/>
        <v>3</v>
      </c>
      <c r="AI132" s="227">
        <f t="shared" si="43"/>
        <v>-2.6988923484880023</v>
      </c>
      <c r="AJ132" s="267" t="b">
        <f t="shared" si="44"/>
        <v>1</v>
      </c>
      <c r="AK132" s="267" t="b">
        <f t="shared" si="45"/>
        <v>0</v>
      </c>
      <c r="AL132" s="267"/>
      <c r="AM132" s="267"/>
      <c r="AN132" s="75"/>
    </row>
    <row r="133" spans="1:40" s="6" customFormat="1" ht="11.25" customHeight="1" x14ac:dyDescent="0.2">
      <c r="A133" s="56">
        <f t="shared" si="47"/>
        <v>43219</v>
      </c>
      <c r="B133" s="624"/>
      <c r="C133" s="881"/>
      <c r="D133" s="395"/>
      <c r="E133" s="387"/>
      <c r="F133" s="387"/>
      <c r="G133" s="110"/>
      <c r="I133" s="382">
        <f t="shared" si="24"/>
        <v>0</v>
      </c>
      <c r="J133" s="85">
        <v>2018</v>
      </c>
      <c r="K133" s="199">
        <f t="shared" si="25"/>
        <v>43219</v>
      </c>
      <c r="L133" s="439">
        <f t="shared" si="26"/>
        <v>0</v>
      </c>
      <c r="M133" s="883"/>
      <c r="N133" s="883"/>
      <c r="O133" s="326">
        <f t="shared" si="27"/>
        <v>0</v>
      </c>
      <c r="P133" s="171">
        <f>(INDEX(Models!$BJ133:$BT133,,T133)*(1-R133)+INDEX(Models!$BJ133:$BT133,,T133+1)*R133-ERP_i)*Q133*Ramure*Pc/MaxiM</f>
        <v>5.4872955246517669E-5</v>
      </c>
      <c r="Q133" s="307">
        <f t="shared" si="28"/>
        <v>0.9</v>
      </c>
      <c r="R133" s="179">
        <f t="shared" si="29"/>
        <v>0.30475110917758252</v>
      </c>
      <c r="S133" s="839">
        <f t="shared" si="46"/>
        <v>-3</v>
      </c>
      <c r="T133" s="178">
        <f t="shared" si="30"/>
        <v>3</v>
      </c>
      <c r="U133" s="253">
        <f t="shared" si="31"/>
        <v>-2.6952488908224175</v>
      </c>
      <c r="V133" s="385">
        <f t="shared" si="32"/>
        <v>60.802727532147479</v>
      </c>
      <c r="W133" s="58"/>
      <c r="X133" s="157">
        <f t="shared" si="33"/>
        <v>43219</v>
      </c>
      <c r="Y133" s="387">
        <f t="shared" si="34"/>
        <v>0</v>
      </c>
      <c r="Z133" s="387">
        <f t="shared" si="35"/>
        <v>0</v>
      </c>
      <c r="AA133" s="388">
        <f t="shared" si="36"/>
        <v>0</v>
      </c>
      <c r="AB133" s="199">
        <f t="shared" si="37"/>
        <v>43219</v>
      </c>
      <c r="AC133" s="428">
        <f t="shared" si="38"/>
        <v>0</v>
      </c>
      <c r="AD133" s="171">
        <f>(INDEX(Models!$BJ133:$BT133,,AH133)*(1-AF133)+INDEX(Models!$BJ133:$BT133,,AH133+1)*AF133-ERP_i)*AE133*Ramure*Pc/MaxiM</f>
        <v>5.4872955246517669E-5</v>
      </c>
      <c r="AE133" s="307">
        <f t="shared" si="39"/>
        <v>0.9</v>
      </c>
      <c r="AF133" s="179">
        <f t="shared" si="40"/>
        <v>0.30475110917758252</v>
      </c>
      <c r="AG133" s="839">
        <f t="shared" si="41"/>
        <v>-3</v>
      </c>
      <c r="AH133" s="178">
        <f t="shared" si="42"/>
        <v>3</v>
      </c>
      <c r="AI133" s="227">
        <f t="shared" si="43"/>
        <v>-2.6952488908224175</v>
      </c>
      <c r="AJ133" s="267" t="b">
        <f t="shared" si="44"/>
        <v>1</v>
      </c>
      <c r="AK133" s="267" t="b">
        <f t="shared" si="45"/>
        <v>0</v>
      </c>
      <c r="AL133" s="267"/>
      <c r="AM133" s="267"/>
      <c r="AN133" s="75"/>
    </row>
    <row r="134" spans="1:40" s="6" customFormat="1" ht="11.25" customHeight="1" x14ac:dyDescent="0.2">
      <c r="A134" s="56">
        <f t="shared" si="47"/>
        <v>43220</v>
      </c>
      <c r="B134" s="624"/>
      <c r="C134" s="881"/>
      <c r="D134" s="395"/>
      <c r="E134" s="387"/>
      <c r="F134" s="387"/>
      <c r="G134" s="110"/>
      <c r="I134" s="382">
        <f t="shared" si="24"/>
        <v>0</v>
      </c>
      <c r="J134" s="85">
        <v>2018</v>
      </c>
      <c r="K134" s="199">
        <f t="shared" si="25"/>
        <v>43220</v>
      </c>
      <c r="L134" s="439">
        <f t="shared" si="26"/>
        <v>0</v>
      </c>
      <c r="M134" s="883"/>
      <c r="N134" s="883"/>
      <c r="O134" s="326">
        <f t="shared" si="27"/>
        <v>0</v>
      </c>
      <c r="P134" s="171">
        <f>(INDEX(Models!$BJ134:$BT134,,T134)*(1-R134)+INDEX(Models!$BJ134:$BT134,,T134+1)*R134-ERP_i)*Q134*Ramure*Pc/MaxiM</f>
        <v>5.2842253888794591E-5</v>
      </c>
      <c r="Q134" s="307">
        <f t="shared" si="28"/>
        <v>0.9</v>
      </c>
      <c r="R134" s="179">
        <f t="shared" si="29"/>
        <v>0.30850055509777352</v>
      </c>
      <c r="S134" s="839">
        <f t="shared" si="46"/>
        <v>-3</v>
      </c>
      <c r="T134" s="178">
        <f t="shared" si="30"/>
        <v>3</v>
      </c>
      <c r="U134" s="253">
        <f t="shared" si="31"/>
        <v>-2.6914994449022265</v>
      </c>
      <c r="V134" s="385">
        <f t="shared" si="32"/>
        <v>61.027175015130801</v>
      </c>
      <c r="W134" s="58"/>
      <c r="X134" s="157">
        <f t="shared" si="33"/>
        <v>43220</v>
      </c>
      <c r="Y134" s="387">
        <f t="shared" si="34"/>
        <v>0</v>
      </c>
      <c r="Z134" s="387">
        <f t="shared" si="35"/>
        <v>0</v>
      </c>
      <c r="AA134" s="388">
        <f t="shared" si="36"/>
        <v>0</v>
      </c>
      <c r="AB134" s="199">
        <f t="shared" si="37"/>
        <v>43220</v>
      </c>
      <c r="AC134" s="428">
        <f t="shared" si="38"/>
        <v>0</v>
      </c>
      <c r="AD134" s="171">
        <f>(INDEX(Models!$BJ134:$BT134,,AH134)*(1-AF134)+INDEX(Models!$BJ134:$BT134,,AH134+1)*AF134-ERP_i)*AE134*Ramure*Pc/MaxiM</f>
        <v>5.2842253888794591E-5</v>
      </c>
      <c r="AE134" s="307">
        <f t="shared" si="39"/>
        <v>0.9</v>
      </c>
      <c r="AF134" s="179">
        <f t="shared" si="40"/>
        <v>0.30850055509777352</v>
      </c>
      <c r="AG134" s="839">
        <f t="shared" si="41"/>
        <v>-3</v>
      </c>
      <c r="AH134" s="178">
        <f t="shared" si="42"/>
        <v>3</v>
      </c>
      <c r="AI134" s="227">
        <f t="shared" si="43"/>
        <v>-2.6914994449022265</v>
      </c>
      <c r="AJ134" s="267" t="b">
        <f t="shared" si="44"/>
        <v>1</v>
      </c>
      <c r="AK134" s="267" t="b">
        <f t="shared" si="45"/>
        <v>0</v>
      </c>
      <c r="AL134" s="267"/>
      <c r="AM134" s="267"/>
      <c r="AN134" s="75"/>
    </row>
    <row r="135" spans="1:40" s="6" customFormat="1" ht="11.25" customHeight="1" x14ac:dyDescent="0.2">
      <c r="A135" s="56">
        <f t="shared" si="47"/>
        <v>43221</v>
      </c>
      <c r="B135" s="624"/>
      <c r="C135" s="881"/>
      <c r="D135" s="395"/>
      <c r="E135" s="387"/>
      <c r="F135" s="387"/>
      <c r="G135" s="110"/>
      <c r="I135" s="382">
        <f t="shared" si="24"/>
        <v>0</v>
      </c>
      <c r="J135" s="85">
        <v>2018</v>
      </c>
      <c r="K135" s="199">
        <f t="shared" si="25"/>
        <v>43221</v>
      </c>
      <c r="L135" s="439">
        <f t="shared" si="26"/>
        <v>0</v>
      </c>
      <c r="M135" s="883"/>
      <c r="N135" s="883"/>
      <c r="O135" s="326">
        <f t="shared" si="27"/>
        <v>0</v>
      </c>
      <c r="P135" s="171">
        <f>(INDEX(Models!$BJ135:$BT135,,T135)*(1-R135)+INDEX(Models!$BJ135:$BT135,,T135+1)*R135-ERP_i)*Q135*Ramure*Pc/MaxiM</f>
        <v>5.065565480121881E-5</v>
      </c>
      <c r="Q135" s="307">
        <f t="shared" si="28"/>
        <v>0.9</v>
      </c>
      <c r="R135" s="179">
        <f t="shared" si="29"/>
        <v>0.3123573769590573</v>
      </c>
      <c r="S135" s="839">
        <f t="shared" si="46"/>
        <v>-3</v>
      </c>
      <c r="T135" s="178">
        <f t="shared" si="30"/>
        <v>3</v>
      </c>
      <c r="U135" s="253">
        <f t="shared" si="31"/>
        <v>-2.6876426230409427</v>
      </c>
      <c r="V135" s="385">
        <f t="shared" si="32"/>
        <v>61.241576328441667</v>
      </c>
      <c r="W135" s="58"/>
      <c r="X135" s="157">
        <f t="shared" si="33"/>
        <v>43221</v>
      </c>
      <c r="Y135" s="387">
        <f t="shared" si="34"/>
        <v>0</v>
      </c>
      <c r="Z135" s="387">
        <f t="shared" si="35"/>
        <v>0</v>
      </c>
      <c r="AA135" s="388">
        <f t="shared" si="36"/>
        <v>0</v>
      </c>
      <c r="AB135" s="199">
        <f t="shared" si="37"/>
        <v>43221</v>
      </c>
      <c r="AC135" s="428">
        <f t="shared" si="38"/>
        <v>0</v>
      </c>
      <c r="AD135" s="171">
        <f>(INDEX(Models!$BJ135:$BT135,,AH135)*(1-AF135)+INDEX(Models!$BJ135:$BT135,,AH135+1)*AF135-ERP_i)*AE135*Ramure*Pc/MaxiM</f>
        <v>5.065565480121881E-5</v>
      </c>
      <c r="AE135" s="307">
        <f t="shared" si="39"/>
        <v>0.9</v>
      </c>
      <c r="AF135" s="179">
        <f t="shared" si="40"/>
        <v>0.3123573769590573</v>
      </c>
      <c r="AG135" s="839">
        <f t="shared" si="41"/>
        <v>-3</v>
      </c>
      <c r="AH135" s="178">
        <f t="shared" si="42"/>
        <v>3</v>
      </c>
      <c r="AI135" s="227">
        <f t="shared" si="43"/>
        <v>-2.6876426230409427</v>
      </c>
      <c r="AJ135" s="267" t="b">
        <f t="shared" si="44"/>
        <v>1</v>
      </c>
      <c r="AK135" s="267" t="b">
        <f t="shared" si="45"/>
        <v>0</v>
      </c>
      <c r="AL135" s="267"/>
      <c r="AM135" s="267"/>
      <c r="AN135" s="75"/>
    </row>
    <row r="136" spans="1:40" s="6" customFormat="1" ht="11.25" customHeight="1" x14ac:dyDescent="0.2">
      <c r="A136" s="56">
        <f t="shared" si="47"/>
        <v>43222</v>
      </c>
      <c r="B136" s="624"/>
      <c r="C136" s="881"/>
      <c r="D136" s="395"/>
      <c r="E136" s="387"/>
      <c r="F136" s="387"/>
      <c r="G136" s="110"/>
      <c r="I136" s="382">
        <f t="shared" si="24"/>
        <v>0</v>
      </c>
      <c r="J136" s="85">
        <v>2018</v>
      </c>
      <c r="K136" s="199">
        <f t="shared" si="25"/>
        <v>43222</v>
      </c>
      <c r="L136" s="439">
        <f t="shared" si="26"/>
        <v>0</v>
      </c>
      <c r="M136" s="883"/>
      <c r="N136" s="883"/>
      <c r="O136" s="326">
        <f t="shared" si="27"/>
        <v>0</v>
      </c>
      <c r="P136" s="171">
        <f>(INDEX(Models!$BJ136:$BT136,,T136)*(1-R136)+INDEX(Models!$BJ136:$BT136,,T136+1)*R136-ERP_i)*Q136*Ramure*Pc/MaxiM</f>
        <v>4.8441409002350074E-5</v>
      </c>
      <c r="Q136" s="307">
        <f t="shared" si="28"/>
        <v>0.9</v>
      </c>
      <c r="R136" s="179">
        <f t="shared" si="29"/>
        <v>0.31632285656866665</v>
      </c>
      <c r="S136" s="839">
        <f t="shared" si="46"/>
        <v>-3</v>
      </c>
      <c r="T136" s="178">
        <f t="shared" si="30"/>
        <v>3</v>
      </c>
      <c r="U136" s="253">
        <f t="shared" si="31"/>
        <v>-2.6836771434313333</v>
      </c>
      <c r="V136" s="385">
        <f t="shared" si="32"/>
        <v>61.445979595002399</v>
      </c>
      <c r="W136" s="58"/>
      <c r="X136" s="157">
        <f t="shared" si="33"/>
        <v>43222</v>
      </c>
      <c r="Y136" s="387">
        <f t="shared" si="34"/>
        <v>0</v>
      </c>
      <c r="Z136" s="387">
        <f t="shared" si="35"/>
        <v>0</v>
      </c>
      <c r="AA136" s="388">
        <f t="shared" si="36"/>
        <v>0</v>
      </c>
      <c r="AB136" s="199">
        <f t="shared" si="37"/>
        <v>43222</v>
      </c>
      <c r="AC136" s="428">
        <f t="shared" si="38"/>
        <v>0</v>
      </c>
      <c r="AD136" s="171">
        <f>(INDEX(Models!$BJ136:$BT136,,AH136)*(1-AF136)+INDEX(Models!$BJ136:$BT136,,AH136+1)*AF136-ERP_i)*AE136*Ramure*Pc/MaxiM</f>
        <v>4.8441409002350074E-5</v>
      </c>
      <c r="AE136" s="307">
        <f t="shared" si="39"/>
        <v>0.9</v>
      </c>
      <c r="AF136" s="179">
        <f t="shared" si="40"/>
        <v>0.31632285656866665</v>
      </c>
      <c r="AG136" s="839">
        <f t="shared" si="41"/>
        <v>-3</v>
      </c>
      <c r="AH136" s="178">
        <f t="shared" si="42"/>
        <v>3</v>
      </c>
      <c r="AI136" s="227">
        <f t="shared" si="43"/>
        <v>-2.6836771434313333</v>
      </c>
      <c r="AJ136" s="267" t="b">
        <f t="shared" si="44"/>
        <v>1</v>
      </c>
      <c r="AK136" s="267" t="b">
        <f t="shared" si="45"/>
        <v>0</v>
      </c>
      <c r="AL136" s="267"/>
      <c r="AM136" s="267"/>
      <c r="AN136" s="75"/>
    </row>
    <row r="137" spans="1:40" s="6" customFormat="1" ht="11.25" customHeight="1" x14ac:dyDescent="0.2">
      <c r="A137" s="56">
        <f t="shared" si="47"/>
        <v>43223</v>
      </c>
      <c r="B137" s="624"/>
      <c r="C137" s="881"/>
      <c r="D137" s="395"/>
      <c r="E137" s="387"/>
      <c r="F137" s="387"/>
      <c r="G137" s="110"/>
      <c r="I137" s="382">
        <f t="shared" si="24"/>
        <v>0</v>
      </c>
      <c r="J137" s="85">
        <v>2018</v>
      </c>
      <c r="K137" s="199">
        <f t="shared" si="25"/>
        <v>43223</v>
      </c>
      <c r="L137" s="439">
        <f t="shared" si="26"/>
        <v>0</v>
      </c>
      <c r="M137" s="883"/>
      <c r="N137" s="883"/>
      <c r="O137" s="326">
        <f t="shared" si="27"/>
        <v>0</v>
      </c>
      <c r="P137" s="171">
        <f>(INDEX(Models!$BJ137:$BT137,,T137)*(1-R137)+INDEX(Models!$BJ137:$BT137,,T137+1)*R137-ERP_i)*Q137*Ramure*Pc/MaxiM</f>
        <v>4.623062620948628E-5</v>
      </c>
      <c r="Q137" s="307">
        <f t="shared" si="28"/>
        <v>0.9</v>
      </c>
      <c r="R137" s="179">
        <f t="shared" si="29"/>
        <v>0.32039816034045598</v>
      </c>
      <c r="S137" s="839">
        <f t="shared" si="46"/>
        <v>-3</v>
      </c>
      <c r="T137" s="178">
        <f t="shared" si="30"/>
        <v>3</v>
      </c>
      <c r="U137" s="253">
        <f t="shared" si="31"/>
        <v>-2.679601839659544</v>
      </c>
      <c r="V137" s="385">
        <f t="shared" si="32"/>
        <v>61.640830639218429</v>
      </c>
      <c r="W137" s="58"/>
      <c r="X137" s="157">
        <f t="shared" si="33"/>
        <v>43223</v>
      </c>
      <c r="Y137" s="387">
        <f t="shared" si="34"/>
        <v>0</v>
      </c>
      <c r="Z137" s="387">
        <f t="shared" si="35"/>
        <v>0</v>
      </c>
      <c r="AA137" s="388">
        <f t="shared" si="36"/>
        <v>0</v>
      </c>
      <c r="AB137" s="199">
        <f t="shared" si="37"/>
        <v>43223</v>
      </c>
      <c r="AC137" s="428">
        <f t="shared" si="38"/>
        <v>0</v>
      </c>
      <c r="AD137" s="171">
        <f>(INDEX(Models!$BJ137:$BT137,,AH137)*(1-AF137)+INDEX(Models!$BJ137:$BT137,,AH137+1)*AF137-ERP_i)*AE137*Ramure*Pc/MaxiM</f>
        <v>4.623062620948628E-5</v>
      </c>
      <c r="AE137" s="307">
        <f t="shared" si="39"/>
        <v>0.9</v>
      </c>
      <c r="AF137" s="179">
        <f t="shared" si="40"/>
        <v>0.32039816034045598</v>
      </c>
      <c r="AG137" s="839">
        <f t="shared" si="41"/>
        <v>-3</v>
      </c>
      <c r="AH137" s="178">
        <f t="shared" si="42"/>
        <v>3</v>
      </c>
      <c r="AI137" s="227">
        <f t="shared" si="43"/>
        <v>-2.679601839659544</v>
      </c>
      <c r="AJ137" s="267" t="b">
        <f t="shared" si="44"/>
        <v>1</v>
      </c>
      <c r="AK137" s="267" t="b">
        <f t="shared" si="45"/>
        <v>0</v>
      </c>
      <c r="AL137" s="267"/>
      <c r="AM137" s="267"/>
      <c r="AN137" s="75"/>
    </row>
    <row r="138" spans="1:40" s="6" customFormat="1" ht="11.25" customHeight="1" x14ac:dyDescent="0.2">
      <c r="A138" s="56">
        <f t="shared" si="47"/>
        <v>43224</v>
      </c>
      <c r="B138" s="624"/>
      <c r="C138" s="881"/>
      <c r="D138" s="395"/>
      <c r="E138" s="387"/>
      <c r="F138" s="387"/>
      <c r="G138" s="110"/>
      <c r="I138" s="382">
        <f t="shared" si="24"/>
        <v>0</v>
      </c>
      <c r="J138" s="85">
        <v>2018</v>
      </c>
      <c r="K138" s="199">
        <f t="shared" si="25"/>
        <v>43224</v>
      </c>
      <c r="L138" s="439">
        <f t="shared" si="26"/>
        <v>0</v>
      </c>
      <c r="M138" s="883"/>
      <c r="N138" s="883"/>
      <c r="O138" s="326">
        <f t="shared" si="27"/>
        <v>0</v>
      </c>
      <c r="P138" s="171">
        <f>(INDEX(Models!$BJ138:$BT138,,T138)*(1-R138)+INDEX(Models!$BJ138:$BT138,,T138+1)*R138-ERP_i)*Q138*Ramure*Pc/MaxiM</f>
        <v>4.4032125169136105E-5</v>
      </c>
      <c r="Q138" s="307">
        <f t="shared" si="28"/>
        <v>0.9</v>
      </c>
      <c r="R138" s="179">
        <f t="shared" si="29"/>
        <v>0.32458432962326222</v>
      </c>
      <c r="S138" s="839">
        <f t="shared" si="46"/>
        <v>-3</v>
      </c>
      <c r="T138" s="178">
        <f t="shared" si="30"/>
        <v>3</v>
      </c>
      <c r="U138" s="253">
        <f t="shared" si="31"/>
        <v>-2.6754156703767378</v>
      </c>
      <c r="V138" s="385">
        <f t="shared" si="32"/>
        <v>61.826576650701469</v>
      </c>
      <c r="W138" s="58"/>
      <c r="X138" s="157">
        <f t="shared" si="33"/>
        <v>43224</v>
      </c>
      <c r="Y138" s="387">
        <f t="shared" si="34"/>
        <v>0</v>
      </c>
      <c r="Z138" s="387">
        <f t="shared" si="35"/>
        <v>0</v>
      </c>
      <c r="AA138" s="388">
        <f t="shared" si="36"/>
        <v>0</v>
      </c>
      <c r="AB138" s="199">
        <f t="shared" si="37"/>
        <v>43224</v>
      </c>
      <c r="AC138" s="428">
        <f t="shared" si="38"/>
        <v>0</v>
      </c>
      <c r="AD138" s="171">
        <f>(INDEX(Models!$BJ138:$BT138,,AH138)*(1-AF138)+INDEX(Models!$BJ138:$BT138,,AH138+1)*AF138-ERP_i)*AE138*Ramure*Pc/MaxiM</f>
        <v>4.4032125169136105E-5</v>
      </c>
      <c r="AE138" s="307">
        <f t="shared" si="39"/>
        <v>0.9</v>
      </c>
      <c r="AF138" s="179">
        <f t="shared" si="40"/>
        <v>0.32458432962326222</v>
      </c>
      <c r="AG138" s="839">
        <f t="shared" si="41"/>
        <v>-3</v>
      </c>
      <c r="AH138" s="178">
        <f t="shared" si="42"/>
        <v>3</v>
      </c>
      <c r="AI138" s="227">
        <f t="shared" si="43"/>
        <v>-2.6754156703767378</v>
      </c>
      <c r="AJ138" s="267" t="b">
        <f t="shared" si="44"/>
        <v>1</v>
      </c>
      <c r="AK138" s="267" t="b">
        <f t="shared" si="45"/>
        <v>0</v>
      </c>
      <c r="AL138" s="267"/>
      <c r="AM138" s="267"/>
      <c r="AN138" s="75"/>
    </row>
    <row r="139" spans="1:40" s="6" customFormat="1" ht="11.25" customHeight="1" x14ac:dyDescent="0.2">
      <c r="A139" s="56">
        <f t="shared" si="47"/>
        <v>43225</v>
      </c>
      <c r="B139" s="624"/>
      <c r="C139" s="881"/>
      <c r="D139" s="395"/>
      <c r="E139" s="387"/>
      <c r="F139" s="387"/>
      <c r="G139" s="110"/>
      <c r="I139" s="382">
        <f t="shared" si="24"/>
        <v>0</v>
      </c>
      <c r="J139" s="85">
        <v>2018</v>
      </c>
      <c r="K139" s="199">
        <f t="shared" si="25"/>
        <v>43225</v>
      </c>
      <c r="L139" s="439">
        <f t="shared" si="26"/>
        <v>0</v>
      </c>
      <c r="M139" s="883"/>
      <c r="N139" s="883"/>
      <c r="O139" s="326">
        <f t="shared" si="27"/>
        <v>0</v>
      </c>
      <c r="P139" s="171">
        <f>(INDEX(Models!$BJ139:$BT139,,T139)*(1-R139)+INDEX(Models!$BJ139:$BT139,,T139+1)*R139-ERP_i)*Q139*Ramure*Pc/MaxiM</f>
        <v>4.1855595626247581E-5</v>
      </c>
      <c r="Q139" s="307">
        <f t="shared" si="28"/>
        <v>0.9</v>
      </c>
      <c r="R139" s="179">
        <f t="shared" si="29"/>
        <v>0.32888227091646938</v>
      </c>
      <c r="S139" s="839">
        <f t="shared" si="46"/>
        <v>-3</v>
      </c>
      <c r="T139" s="178">
        <f t="shared" si="30"/>
        <v>3</v>
      </c>
      <c r="U139" s="253">
        <f t="shared" si="31"/>
        <v>-2.6711177290835306</v>
      </c>
      <c r="V139" s="385">
        <f t="shared" si="32"/>
        <v>62.003664749975108</v>
      </c>
      <c r="W139" s="58"/>
      <c r="X139" s="157">
        <f t="shared" si="33"/>
        <v>43225</v>
      </c>
      <c r="Y139" s="387">
        <f t="shared" si="34"/>
        <v>0</v>
      </c>
      <c r="Z139" s="387">
        <f t="shared" si="35"/>
        <v>0</v>
      </c>
      <c r="AA139" s="388">
        <f t="shared" si="36"/>
        <v>0</v>
      </c>
      <c r="AB139" s="199">
        <f t="shared" si="37"/>
        <v>43225</v>
      </c>
      <c r="AC139" s="428">
        <f t="shared" si="38"/>
        <v>0</v>
      </c>
      <c r="AD139" s="171">
        <f>(INDEX(Models!$BJ139:$BT139,,AH139)*(1-AF139)+INDEX(Models!$BJ139:$BT139,,AH139+1)*AF139-ERP_i)*AE139*Ramure*Pc/MaxiM</f>
        <v>4.1855595626247581E-5</v>
      </c>
      <c r="AE139" s="307">
        <f t="shared" si="39"/>
        <v>0.9</v>
      </c>
      <c r="AF139" s="179">
        <f t="shared" si="40"/>
        <v>0.32888227091646938</v>
      </c>
      <c r="AG139" s="839">
        <f t="shared" si="41"/>
        <v>-3</v>
      </c>
      <c r="AH139" s="178">
        <f t="shared" si="42"/>
        <v>3</v>
      </c>
      <c r="AI139" s="227">
        <f t="shared" si="43"/>
        <v>-2.6711177290835306</v>
      </c>
      <c r="AJ139" s="267" t="b">
        <f t="shared" si="44"/>
        <v>1</v>
      </c>
      <c r="AK139" s="267" t="b">
        <f t="shared" si="45"/>
        <v>0</v>
      </c>
      <c r="AL139" s="267"/>
      <c r="AM139" s="267"/>
      <c r="AN139" s="75"/>
    </row>
    <row r="140" spans="1:40" s="6" customFormat="1" ht="11.25" customHeight="1" x14ac:dyDescent="0.2">
      <c r="A140" s="56">
        <f t="shared" si="47"/>
        <v>43226</v>
      </c>
      <c r="B140" s="624"/>
      <c r="C140" s="881"/>
      <c r="D140" s="395"/>
      <c r="E140" s="387"/>
      <c r="F140" s="387"/>
      <c r="G140" s="110"/>
      <c r="I140" s="382">
        <f t="shared" si="24"/>
        <v>0</v>
      </c>
      <c r="J140" s="85">
        <v>2018</v>
      </c>
      <c r="K140" s="199">
        <f t="shared" si="25"/>
        <v>43226</v>
      </c>
      <c r="L140" s="439">
        <f t="shared" si="26"/>
        <v>0</v>
      </c>
      <c r="M140" s="883"/>
      <c r="N140" s="883"/>
      <c r="O140" s="326">
        <f t="shared" si="27"/>
        <v>0</v>
      </c>
      <c r="P140" s="171">
        <f>(INDEX(Models!$BJ140:$BT140,,T140)*(1-R140)+INDEX(Models!$BJ140:$BT140,,T140+1)*R140-ERP_i)*Q140*Ramure*Pc/MaxiM</f>
        <v>3.9711627244349532E-5</v>
      </c>
      <c r="Q140" s="307">
        <f t="shared" si="28"/>
        <v>0.9</v>
      </c>
      <c r="R140" s="179">
        <f t="shared" si="29"/>
        <v>0.33329274602234715</v>
      </c>
      <c r="S140" s="839">
        <f t="shared" si="46"/>
        <v>-3</v>
      </c>
      <c r="T140" s="178">
        <f t="shared" si="30"/>
        <v>3</v>
      </c>
      <c r="U140" s="253">
        <f t="shared" si="31"/>
        <v>-2.6667072539776528</v>
      </c>
      <c r="V140" s="385">
        <f t="shared" si="32"/>
        <v>62.172542008788064</v>
      </c>
      <c r="W140" s="58"/>
      <c r="X140" s="157">
        <f t="shared" si="33"/>
        <v>43226</v>
      </c>
      <c r="Y140" s="387">
        <f t="shared" si="34"/>
        <v>0</v>
      </c>
      <c r="Z140" s="387">
        <f t="shared" si="35"/>
        <v>0</v>
      </c>
      <c r="AA140" s="388">
        <f t="shared" si="36"/>
        <v>0</v>
      </c>
      <c r="AB140" s="199">
        <f t="shared" si="37"/>
        <v>43226</v>
      </c>
      <c r="AC140" s="428">
        <f t="shared" si="38"/>
        <v>0</v>
      </c>
      <c r="AD140" s="171">
        <f>(INDEX(Models!$BJ140:$BT140,,AH140)*(1-AF140)+INDEX(Models!$BJ140:$BT140,,AH140+1)*AF140-ERP_i)*AE140*Ramure*Pc/MaxiM</f>
        <v>3.9711627244349532E-5</v>
      </c>
      <c r="AE140" s="307">
        <f t="shared" si="39"/>
        <v>0.9</v>
      </c>
      <c r="AF140" s="179">
        <f t="shared" si="40"/>
        <v>0.33329274602234715</v>
      </c>
      <c r="AG140" s="839">
        <f t="shared" si="41"/>
        <v>-3</v>
      </c>
      <c r="AH140" s="178">
        <f t="shared" si="42"/>
        <v>3</v>
      </c>
      <c r="AI140" s="227">
        <f t="shared" si="43"/>
        <v>-2.6667072539776528</v>
      </c>
      <c r="AJ140" s="267" t="b">
        <f t="shared" si="44"/>
        <v>1</v>
      </c>
      <c r="AK140" s="267" t="b">
        <f t="shared" si="45"/>
        <v>0</v>
      </c>
      <c r="AL140" s="267"/>
      <c r="AM140" s="267"/>
      <c r="AN140" s="75"/>
    </row>
    <row r="141" spans="1:40" s="6" customFormat="1" ht="11.25" customHeight="1" x14ac:dyDescent="0.2">
      <c r="A141" s="56">
        <f t="shared" si="47"/>
        <v>43227</v>
      </c>
      <c r="B141" s="624"/>
      <c r="C141" s="881"/>
      <c r="D141" s="395"/>
      <c r="E141" s="387"/>
      <c r="F141" s="387"/>
      <c r="G141" s="110"/>
      <c r="I141" s="382">
        <f t="shared" si="24"/>
        <v>0</v>
      </c>
      <c r="J141" s="85">
        <v>2018</v>
      </c>
      <c r="K141" s="199">
        <f t="shared" si="25"/>
        <v>43227</v>
      </c>
      <c r="L141" s="439">
        <f t="shared" si="26"/>
        <v>0</v>
      </c>
      <c r="M141" s="883"/>
      <c r="N141" s="883"/>
      <c r="O141" s="326">
        <f t="shared" si="27"/>
        <v>0</v>
      </c>
      <c r="P141" s="171">
        <f>(INDEX(Models!$BJ141:$BT141,,T141)*(1-R141)+INDEX(Models!$BJ141:$BT141,,T141+1)*R141-ERP_i)*Q141*Ramure*Pc/MaxiM</f>
        <v>3.7611736412224579E-5</v>
      </c>
      <c r="Q141" s="307">
        <f t="shared" si="28"/>
        <v>0.9</v>
      </c>
      <c r="R141" s="179">
        <f t="shared" si="29"/>
        <v>0.33781636218956068</v>
      </c>
      <c r="S141" s="839">
        <f t="shared" si="46"/>
        <v>-3</v>
      </c>
      <c r="T141" s="178">
        <f t="shared" si="30"/>
        <v>3</v>
      </c>
      <c r="U141" s="253">
        <f t="shared" si="31"/>
        <v>-2.6621836378104393</v>
      </c>
      <c r="V141" s="385">
        <f t="shared" si="32"/>
        <v>62.333655435856947</v>
      </c>
      <c r="W141" s="58"/>
      <c r="X141" s="157">
        <f t="shared" si="33"/>
        <v>43227</v>
      </c>
      <c r="Y141" s="387">
        <f t="shared" si="34"/>
        <v>0</v>
      </c>
      <c r="Z141" s="387">
        <f t="shared" si="35"/>
        <v>0</v>
      </c>
      <c r="AA141" s="388">
        <f t="shared" si="36"/>
        <v>0</v>
      </c>
      <c r="AB141" s="199">
        <f t="shared" si="37"/>
        <v>43227</v>
      </c>
      <c r="AC141" s="428">
        <f t="shared" si="38"/>
        <v>0</v>
      </c>
      <c r="AD141" s="171">
        <f>(INDEX(Models!$BJ141:$BT141,,AH141)*(1-AF141)+INDEX(Models!$BJ141:$BT141,,AH141+1)*AF141-ERP_i)*AE141*Ramure*Pc/MaxiM</f>
        <v>3.7611736412224579E-5</v>
      </c>
      <c r="AE141" s="307">
        <f t="shared" si="39"/>
        <v>0.9</v>
      </c>
      <c r="AF141" s="179">
        <f t="shared" si="40"/>
        <v>0.33781636218956068</v>
      </c>
      <c r="AG141" s="839">
        <f t="shared" si="41"/>
        <v>-3</v>
      </c>
      <c r="AH141" s="178">
        <f t="shared" si="42"/>
        <v>3</v>
      </c>
      <c r="AI141" s="227">
        <f t="shared" si="43"/>
        <v>-2.6621836378104393</v>
      </c>
      <c r="AJ141" s="267" t="b">
        <f t="shared" si="44"/>
        <v>1</v>
      </c>
      <c r="AK141" s="267" t="b">
        <f t="shared" si="45"/>
        <v>0</v>
      </c>
      <c r="AL141" s="267"/>
      <c r="AM141" s="267"/>
      <c r="AN141" s="75"/>
    </row>
    <row r="142" spans="1:40" s="6" customFormat="1" ht="11.25" customHeight="1" x14ac:dyDescent="0.2">
      <c r="A142" s="56">
        <f t="shared" si="47"/>
        <v>43228</v>
      </c>
      <c r="B142" s="624"/>
      <c r="C142" s="881"/>
      <c r="D142" s="395"/>
      <c r="E142" s="387"/>
      <c r="F142" s="387"/>
      <c r="G142" s="110"/>
      <c r="I142" s="382">
        <f t="shared" si="24"/>
        <v>0</v>
      </c>
      <c r="J142" s="85">
        <v>2018</v>
      </c>
      <c r="K142" s="199">
        <f t="shared" si="25"/>
        <v>43228</v>
      </c>
      <c r="L142" s="439">
        <f t="shared" si="26"/>
        <v>0</v>
      </c>
      <c r="M142" s="883"/>
      <c r="N142" s="883"/>
      <c r="O142" s="326">
        <f t="shared" si="27"/>
        <v>0</v>
      </c>
      <c r="P142" s="171">
        <f>(INDEX(Models!$BJ142:$BT142,,T142)*(1-R142)+INDEX(Models!$BJ142:$BT142,,T142+1)*R142-ERP_i)*Q142*Ramure*Pc/MaxiM</f>
        <v>3.5626268438531461E-5</v>
      </c>
      <c r="Q142" s="307">
        <f t="shared" si="28"/>
        <v>0.9</v>
      </c>
      <c r="R142" s="179">
        <f t="shared" si="29"/>
        <v>0.34245356230694668</v>
      </c>
      <c r="S142" s="839">
        <f t="shared" si="46"/>
        <v>-3</v>
      </c>
      <c r="T142" s="178">
        <f t="shared" si="30"/>
        <v>3</v>
      </c>
      <c r="U142" s="253">
        <f t="shared" si="31"/>
        <v>-2.6575464376930533</v>
      </c>
      <c r="V142" s="385">
        <f t="shared" si="32"/>
        <v>62.487448362372625</v>
      </c>
      <c r="W142" s="58"/>
      <c r="X142" s="157">
        <f t="shared" si="33"/>
        <v>43228</v>
      </c>
      <c r="Y142" s="387">
        <f t="shared" si="34"/>
        <v>0</v>
      </c>
      <c r="Z142" s="387">
        <f t="shared" si="35"/>
        <v>0</v>
      </c>
      <c r="AA142" s="388">
        <f t="shared" si="36"/>
        <v>0</v>
      </c>
      <c r="AB142" s="199">
        <f t="shared" si="37"/>
        <v>43228</v>
      </c>
      <c r="AC142" s="428">
        <f t="shared" si="38"/>
        <v>0</v>
      </c>
      <c r="AD142" s="171">
        <f>(INDEX(Models!$BJ142:$BT142,,AH142)*(1-AF142)+INDEX(Models!$BJ142:$BT142,,AH142+1)*AF142-ERP_i)*AE142*Ramure*Pc/MaxiM</f>
        <v>3.5626268438531461E-5</v>
      </c>
      <c r="AE142" s="307">
        <f t="shared" si="39"/>
        <v>0.9</v>
      </c>
      <c r="AF142" s="179">
        <f t="shared" si="40"/>
        <v>0.34245356230694668</v>
      </c>
      <c r="AG142" s="839">
        <f t="shared" si="41"/>
        <v>-3</v>
      </c>
      <c r="AH142" s="178">
        <f t="shared" si="42"/>
        <v>3</v>
      </c>
      <c r="AI142" s="227">
        <f t="shared" si="43"/>
        <v>-2.6575464376930533</v>
      </c>
      <c r="AJ142" s="267" t="b">
        <f t="shared" si="44"/>
        <v>1</v>
      </c>
      <c r="AK142" s="267" t="b">
        <f t="shared" si="45"/>
        <v>0</v>
      </c>
      <c r="AL142" s="267"/>
      <c r="AM142" s="267"/>
      <c r="AN142" s="75"/>
    </row>
    <row r="143" spans="1:40" s="6" customFormat="1" ht="11.25" customHeight="1" x14ac:dyDescent="0.2">
      <c r="A143" s="56">
        <f t="shared" si="47"/>
        <v>43229</v>
      </c>
      <c r="B143" s="624"/>
      <c r="C143" s="881"/>
      <c r="D143" s="395"/>
      <c r="E143" s="387"/>
      <c r="F143" s="387"/>
      <c r="G143" s="110"/>
      <c r="I143" s="382">
        <f t="shared" ref="I143:I206" si="48">Wh_hp</f>
        <v>0</v>
      </c>
      <c r="J143" s="85">
        <v>2018</v>
      </c>
      <c r="K143" s="199">
        <f t="shared" ref="K143:K206" si="49">t</f>
        <v>43229</v>
      </c>
      <c r="L143" s="439">
        <f t="shared" ref="L143:L206" si="50">IF(t&lt;T0,0,IF(t&lt;Tvie,1-EXP((T0-t)*PertePVj),1-EXP((T0-t)*PertePVj)+Pspv))</f>
        <v>0</v>
      </c>
      <c r="M143" s="883"/>
      <c r="N143" s="883"/>
      <c r="O143" s="326">
        <f t="shared" ref="O143:O206" si="51">IF(t&lt;T0,0,IF(t&lt;Tnet,Salim_i*(1-EXP((T0-t)/Tau_ij)),Resal+(Salim-Resal)*(1-EXP((Tnet-t)/(Tau_j)))))*Salcycl</f>
        <v>0</v>
      </c>
      <c r="P143" s="171">
        <f>(INDEX(Models!$BJ143:$BT143,,T143)*(1-R143)+INDEX(Models!$BJ143:$BT143,,T143+1)*R143-ERP_i)*Q143*Ramure*Pc/MaxiM</f>
        <v>3.3703941319080015E-5</v>
      </c>
      <c r="Q143" s="307">
        <f t="shared" ref="Q143:Q206" si="52">IF(OR(t&lt;Ttai,Notai),Dd+PousD*Croivg,Dens+PousD*(Croivg-Croi_tai))</f>
        <v>0.9</v>
      </c>
      <c r="R143" s="179">
        <f t="shared" ref="R143:R206" si="53">(Hp_vg-S143)/(INDEX(Echel_vg,T143+1)-S143)</f>
        <v>0.34720461521123003</v>
      </c>
      <c r="S143" s="839">
        <f t="shared" si="46"/>
        <v>-3</v>
      </c>
      <c r="T143" s="178">
        <f t="shared" ref="T143:T206" si="54">MIN(MATCH(Hp_vg,Echel_vg),10)</f>
        <v>3</v>
      </c>
      <c r="U143" s="253">
        <f t="shared" ref="U143:U206" si="55">IF(OR(t&lt;Ttai,Notai),Hdd+PousH*Croivg,Hdtf+PousH*(Croivg-Croi_tai))</f>
        <v>-2.65279538478877</v>
      </c>
      <c r="V143" s="385">
        <f t="shared" ref="V143:V206" si="56">MaxiM*(1-Ppv)*(1-Pvg)*(1-Psa)</f>
        <v>62.634371702552848</v>
      </c>
      <c r="W143" s="58"/>
      <c r="X143" s="157">
        <f t="shared" ref="X143:X206" si="57">t</f>
        <v>43229</v>
      </c>
      <c r="Y143" s="387">
        <f t="shared" ref="Y143:Y206" si="58">Wh_pvt_s*(1-Ppv)</f>
        <v>0</v>
      </c>
      <c r="Z143" s="387">
        <f t="shared" ref="Z143:Z206" si="59">Wh_sa_s*(1-Psa_s)</f>
        <v>0</v>
      </c>
      <c r="AA143" s="388">
        <f t="shared" ref="AA143:AA206" si="60">Wh_hp*(1-Pvg_s*MEDIAN((-Sdif+Wh/Env_an)/Csdif,0,1))</f>
        <v>0</v>
      </c>
      <c r="AB143" s="199">
        <f t="shared" ref="AB143:AB206" si="61">t</f>
        <v>43229</v>
      </c>
      <c r="AC143" s="428">
        <f t="shared" ref="AC143:AC206" si="62">IF(t&lt;T0,0,IF(OR(t&lt;Tnet,NoTnet),Salim_i*(1-EXP((T0-t)/Tau_ij)),Resal_s+(Salim-Resal_s)*(1-EXP((Tnet_s-t)/Tau_j))))*Salcycl</f>
        <v>0</v>
      </c>
      <c r="AD143" s="171">
        <f>(INDEX(Models!$BJ143:$BT143,,AH143)*(1-AF143)+INDEX(Models!$BJ143:$BT143,,AH143+1)*AF143-ERP_i)*AE143*Ramure*Pc/MaxiM</f>
        <v>3.3703941319080015E-5</v>
      </c>
      <c r="AE143" s="307">
        <f t="shared" ref="AE143:AE206" si="63">Dd+PousD*Croivg</f>
        <v>0.9</v>
      </c>
      <c r="AF143" s="179">
        <f t="shared" ref="AF143:AF206" si="64">(Hp_vg_s-AG143)/(INDEX(Echel_vg,AH143+1)-AG143)</f>
        <v>0.34720461521123003</v>
      </c>
      <c r="AG143" s="839">
        <f t="shared" ref="AG143:AG206" si="65">INDEX(Echel_vg,AH143)</f>
        <v>-3</v>
      </c>
      <c r="AH143" s="178">
        <f t="shared" ref="AH143:AH206" si="66">MIN(MATCH(Hp_vg_s,Echel_vg),10)</f>
        <v>3</v>
      </c>
      <c r="AI143" s="227">
        <f t="shared" ref="AI143:AI206" si="67">Hdd+PousH*Croivg</f>
        <v>-2.65279538478877</v>
      </c>
      <c r="AJ143" s="267" t="b">
        <f t="shared" ref="AJ143:AJ206" si="68">t&lt;Tnet</f>
        <v>1</v>
      </c>
      <c r="AK143" s="267" t="b">
        <f t="shared" ref="AK143:AK206" si="69">t&lt;Ttai</f>
        <v>0</v>
      </c>
      <c r="AL143" s="267"/>
      <c r="AM143" s="267"/>
      <c r="AN143" s="75"/>
    </row>
    <row r="144" spans="1:40" s="6" customFormat="1" ht="11.25" x14ac:dyDescent="0.2">
      <c r="A144" s="56">
        <f t="shared" si="47"/>
        <v>43230</v>
      </c>
      <c r="B144" s="624"/>
      <c r="C144" s="881"/>
      <c r="D144" s="395"/>
      <c r="E144" s="387"/>
      <c r="F144" s="387"/>
      <c r="G144" s="110"/>
      <c r="I144" s="382">
        <f t="shared" si="48"/>
        <v>0</v>
      </c>
      <c r="J144" s="85">
        <v>2018</v>
      </c>
      <c r="K144" s="199">
        <f t="shared" si="49"/>
        <v>43230</v>
      </c>
      <c r="L144" s="439">
        <f t="shared" si="50"/>
        <v>0</v>
      </c>
      <c r="M144" s="883"/>
      <c r="N144" s="883"/>
      <c r="O144" s="326">
        <f t="shared" si="51"/>
        <v>0</v>
      </c>
      <c r="P144" s="171">
        <f>(INDEX(Models!$BJ144:$BT144,,T144)*(1-R144)+INDEX(Models!$BJ144:$BT144,,T144+1)*R144-ERP_i)*Q144*Ramure*Pc/MaxiM</f>
        <v>3.1858365626317185E-5</v>
      </c>
      <c r="Q144" s="307">
        <f t="shared" si="52"/>
        <v>0.9</v>
      </c>
      <c r="R144" s="179">
        <f t="shared" si="53"/>
        <v>0.35206960617663574</v>
      </c>
      <c r="S144" s="839">
        <f t="shared" ref="S144:S207" si="70">INDEX(Echel_vg,T144)</f>
        <v>-3</v>
      </c>
      <c r="T144" s="178">
        <f t="shared" si="54"/>
        <v>3</v>
      </c>
      <c r="U144" s="253">
        <f t="shared" si="55"/>
        <v>-2.6479303938233643</v>
      </c>
      <c r="V144" s="385">
        <f t="shared" si="56"/>
        <v>62.774872334786139</v>
      </c>
      <c r="W144" s="58"/>
      <c r="X144" s="157">
        <f t="shared" si="57"/>
        <v>43230</v>
      </c>
      <c r="Y144" s="387">
        <f t="shared" si="58"/>
        <v>0</v>
      </c>
      <c r="Z144" s="387">
        <f t="shared" si="59"/>
        <v>0</v>
      </c>
      <c r="AA144" s="388">
        <f t="shared" si="60"/>
        <v>0</v>
      </c>
      <c r="AB144" s="199">
        <f t="shared" si="61"/>
        <v>43230</v>
      </c>
      <c r="AC144" s="428">
        <f t="shared" si="62"/>
        <v>0</v>
      </c>
      <c r="AD144" s="171">
        <f>(INDEX(Models!$BJ144:$BT144,,AH144)*(1-AF144)+INDEX(Models!$BJ144:$BT144,,AH144+1)*AF144-ERP_i)*AE144*Ramure*Pc/MaxiM</f>
        <v>3.1858365626317185E-5</v>
      </c>
      <c r="AE144" s="307">
        <f t="shared" si="63"/>
        <v>0.9</v>
      </c>
      <c r="AF144" s="179">
        <f t="shared" si="64"/>
        <v>0.35206960617663574</v>
      </c>
      <c r="AG144" s="839">
        <f t="shared" si="65"/>
        <v>-3</v>
      </c>
      <c r="AH144" s="178">
        <f t="shared" si="66"/>
        <v>3</v>
      </c>
      <c r="AI144" s="227">
        <f t="shared" si="67"/>
        <v>-2.6479303938233643</v>
      </c>
      <c r="AJ144" s="267" t="b">
        <f t="shared" si="68"/>
        <v>1</v>
      </c>
      <c r="AK144" s="267" t="b">
        <f t="shared" si="69"/>
        <v>0</v>
      </c>
      <c r="AL144" s="267"/>
      <c r="AM144" s="267"/>
      <c r="AN144" s="75"/>
    </row>
    <row r="145" spans="1:40" s="6" customFormat="1" ht="11.25" customHeight="1" x14ac:dyDescent="0.2">
      <c r="A145" s="56">
        <f t="shared" ref="A145:A208" si="71">A144+1</f>
        <v>43231</v>
      </c>
      <c r="B145" s="624"/>
      <c r="C145" s="881"/>
      <c r="D145" s="395"/>
      <c r="E145" s="387"/>
      <c r="F145" s="387"/>
      <c r="G145" s="110"/>
      <c r="I145" s="382">
        <f t="shared" si="48"/>
        <v>0</v>
      </c>
      <c r="J145" s="85">
        <v>2018</v>
      </c>
      <c r="K145" s="199">
        <f t="shared" si="49"/>
        <v>43231</v>
      </c>
      <c r="L145" s="439">
        <f t="shared" si="50"/>
        <v>0</v>
      </c>
      <c r="M145" s="883"/>
      <c r="N145" s="883"/>
      <c r="O145" s="326">
        <f t="shared" si="51"/>
        <v>0</v>
      </c>
      <c r="P145" s="171">
        <f>(INDEX(Models!$BJ145:$BT145,,T145)*(1-R145)+INDEX(Models!$BJ145:$BT145,,T145+1)*R145-ERP_i)*Q145*Ramure*Pc/MaxiM</f>
        <v>3.0104110334843989E-5</v>
      </c>
      <c r="Q145" s="307">
        <f t="shared" si="52"/>
        <v>0.9</v>
      </c>
      <c r="R145" s="179">
        <f t="shared" si="53"/>
        <v>0.35704842765834588</v>
      </c>
      <c r="S145" s="839">
        <f t="shared" si="70"/>
        <v>-3</v>
      </c>
      <c r="T145" s="178">
        <f t="shared" si="54"/>
        <v>3</v>
      </c>
      <c r="U145" s="253">
        <f t="shared" si="55"/>
        <v>-2.6429515723416541</v>
      </c>
      <c r="V145" s="385">
        <f t="shared" si="56"/>
        <v>62.909397074177122</v>
      </c>
      <c r="W145" s="58"/>
      <c r="X145" s="157">
        <f t="shared" si="57"/>
        <v>43231</v>
      </c>
      <c r="Y145" s="387">
        <f t="shared" si="58"/>
        <v>0</v>
      </c>
      <c r="Z145" s="387">
        <f t="shared" si="59"/>
        <v>0</v>
      </c>
      <c r="AA145" s="388">
        <f t="shared" si="60"/>
        <v>0</v>
      </c>
      <c r="AB145" s="199">
        <f t="shared" si="61"/>
        <v>43231</v>
      </c>
      <c r="AC145" s="428">
        <f t="shared" si="62"/>
        <v>0</v>
      </c>
      <c r="AD145" s="171">
        <f>(INDEX(Models!$BJ145:$BT145,,AH145)*(1-AF145)+INDEX(Models!$BJ145:$BT145,,AH145+1)*AF145-ERP_i)*AE145*Ramure*Pc/MaxiM</f>
        <v>3.0104110334843989E-5</v>
      </c>
      <c r="AE145" s="307">
        <f t="shared" si="63"/>
        <v>0.9</v>
      </c>
      <c r="AF145" s="179">
        <f t="shared" si="64"/>
        <v>0.35704842765834588</v>
      </c>
      <c r="AG145" s="839">
        <f t="shared" si="65"/>
        <v>-3</v>
      </c>
      <c r="AH145" s="178">
        <f t="shared" si="66"/>
        <v>3</v>
      </c>
      <c r="AI145" s="227">
        <f t="shared" si="67"/>
        <v>-2.6429515723416541</v>
      </c>
      <c r="AJ145" s="267" t="b">
        <f t="shared" si="68"/>
        <v>1</v>
      </c>
      <c r="AK145" s="267" t="b">
        <f t="shared" si="69"/>
        <v>0</v>
      </c>
      <c r="AL145" s="267"/>
      <c r="AM145" s="267"/>
      <c r="AN145" s="75"/>
    </row>
    <row r="146" spans="1:40" s="6" customFormat="1" ht="11.25" customHeight="1" x14ac:dyDescent="0.2">
      <c r="A146" s="56">
        <f t="shared" si="71"/>
        <v>43232</v>
      </c>
      <c r="B146" s="624"/>
      <c r="C146" s="881"/>
      <c r="D146" s="395"/>
      <c r="E146" s="387"/>
      <c r="F146" s="387"/>
      <c r="G146" s="110"/>
      <c r="I146" s="382">
        <f t="shared" si="48"/>
        <v>0</v>
      </c>
      <c r="J146" s="85">
        <v>2018</v>
      </c>
      <c r="K146" s="199">
        <f t="shared" si="49"/>
        <v>43232</v>
      </c>
      <c r="L146" s="439">
        <f t="shared" si="50"/>
        <v>0</v>
      </c>
      <c r="M146" s="883"/>
      <c r="N146" s="883"/>
      <c r="O146" s="326">
        <f t="shared" si="51"/>
        <v>0</v>
      </c>
      <c r="P146" s="171">
        <f>(INDEX(Models!$BJ146:$BT146,,T146)*(1-R146)+INDEX(Models!$BJ146:$BT146,,T146+1)*R146-ERP_i)*Q146*Ramure*Pc/MaxiM</f>
        <v>2.8456712274910622E-5</v>
      </c>
      <c r="Q146" s="307">
        <f t="shared" si="52"/>
        <v>0.9</v>
      </c>
      <c r="R146" s="179">
        <f t="shared" si="53"/>
        <v>0.3621407703653059</v>
      </c>
      <c r="S146" s="839">
        <f t="shared" si="70"/>
        <v>-3</v>
      </c>
      <c r="T146" s="178">
        <f t="shared" si="54"/>
        <v>3</v>
      </c>
      <c r="U146" s="253">
        <f t="shared" si="55"/>
        <v>-2.6378592296346941</v>
      </c>
      <c r="V146" s="385">
        <f t="shared" si="56"/>
        <v>63.038392672653266</v>
      </c>
      <c r="W146" s="58"/>
      <c r="X146" s="157">
        <f t="shared" si="57"/>
        <v>43232</v>
      </c>
      <c r="Y146" s="387">
        <f t="shared" si="58"/>
        <v>0</v>
      </c>
      <c r="Z146" s="387">
        <f t="shared" si="59"/>
        <v>0</v>
      </c>
      <c r="AA146" s="388">
        <f t="shared" si="60"/>
        <v>0</v>
      </c>
      <c r="AB146" s="199">
        <f t="shared" si="61"/>
        <v>43232</v>
      </c>
      <c r="AC146" s="428">
        <f t="shared" si="62"/>
        <v>0</v>
      </c>
      <c r="AD146" s="171">
        <f>(INDEX(Models!$BJ146:$BT146,,AH146)*(1-AF146)+INDEX(Models!$BJ146:$BT146,,AH146+1)*AF146-ERP_i)*AE146*Ramure*Pc/MaxiM</f>
        <v>2.8456712274910622E-5</v>
      </c>
      <c r="AE146" s="307">
        <f t="shared" si="63"/>
        <v>0.9</v>
      </c>
      <c r="AF146" s="179">
        <f t="shared" si="64"/>
        <v>0.3621407703653059</v>
      </c>
      <c r="AG146" s="839">
        <f t="shared" si="65"/>
        <v>-3</v>
      </c>
      <c r="AH146" s="178">
        <f t="shared" si="66"/>
        <v>3</v>
      </c>
      <c r="AI146" s="227">
        <f t="shared" si="67"/>
        <v>-2.6378592296346941</v>
      </c>
      <c r="AJ146" s="267" t="b">
        <f t="shared" si="68"/>
        <v>1</v>
      </c>
      <c r="AK146" s="267" t="b">
        <f t="shared" si="69"/>
        <v>0</v>
      </c>
      <c r="AL146" s="267"/>
      <c r="AM146" s="267"/>
      <c r="AN146" s="75"/>
    </row>
    <row r="147" spans="1:40" s="6" customFormat="1" ht="11.25" customHeight="1" x14ac:dyDescent="0.2">
      <c r="A147" s="56">
        <f t="shared" si="71"/>
        <v>43233</v>
      </c>
      <c r="B147" s="624"/>
      <c r="C147" s="881"/>
      <c r="D147" s="395"/>
      <c r="E147" s="387"/>
      <c r="F147" s="387"/>
      <c r="G147" s="110"/>
      <c r="I147" s="382">
        <f t="shared" si="48"/>
        <v>0</v>
      </c>
      <c r="J147" s="85">
        <v>2018</v>
      </c>
      <c r="K147" s="199">
        <f t="shared" si="49"/>
        <v>43233</v>
      </c>
      <c r="L147" s="439">
        <f t="shared" si="50"/>
        <v>0</v>
      </c>
      <c r="M147" s="883"/>
      <c r="N147" s="883"/>
      <c r="O147" s="326">
        <f t="shared" si="51"/>
        <v>0</v>
      </c>
      <c r="P147" s="171">
        <f>(INDEX(Models!$BJ147:$BT147,,T147)*(1-R147)+INDEX(Models!$BJ147:$BT147,,T147+1)*R147-ERP_i)*Q147*Ramure*Pc/MaxiM</f>
        <v>2.6932680889380355E-5</v>
      </c>
      <c r="Q147" s="307">
        <f t="shared" si="52"/>
        <v>0.9</v>
      </c>
      <c r="R147" s="179">
        <f t="shared" si="53"/>
        <v>0.36734611474093892</v>
      </c>
      <c r="S147" s="839">
        <f t="shared" si="70"/>
        <v>-3</v>
      </c>
      <c r="T147" s="178">
        <f t="shared" si="54"/>
        <v>3</v>
      </c>
      <c r="U147" s="253">
        <f t="shared" si="55"/>
        <v>-2.6326538852590611</v>
      </c>
      <c r="V147" s="385">
        <f t="shared" si="56"/>
        <v>63.162305821600739</v>
      </c>
      <c r="W147" s="58"/>
      <c r="X147" s="157">
        <f t="shared" si="57"/>
        <v>43233</v>
      </c>
      <c r="Y147" s="387">
        <f t="shared" si="58"/>
        <v>0</v>
      </c>
      <c r="Z147" s="387">
        <f t="shared" si="59"/>
        <v>0</v>
      </c>
      <c r="AA147" s="388">
        <f t="shared" si="60"/>
        <v>0</v>
      </c>
      <c r="AB147" s="199">
        <f t="shared" si="61"/>
        <v>43233</v>
      </c>
      <c r="AC147" s="428">
        <f t="shared" si="62"/>
        <v>0</v>
      </c>
      <c r="AD147" s="171">
        <f>(INDEX(Models!$BJ147:$BT147,,AH147)*(1-AF147)+INDEX(Models!$BJ147:$BT147,,AH147+1)*AF147-ERP_i)*AE147*Ramure*Pc/MaxiM</f>
        <v>2.6932680889380355E-5</v>
      </c>
      <c r="AE147" s="307">
        <f t="shared" si="63"/>
        <v>0.9</v>
      </c>
      <c r="AF147" s="179">
        <f t="shared" si="64"/>
        <v>0.36734611474093892</v>
      </c>
      <c r="AG147" s="839">
        <f t="shared" si="65"/>
        <v>-3</v>
      </c>
      <c r="AH147" s="178">
        <f t="shared" si="66"/>
        <v>3</v>
      </c>
      <c r="AI147" s="227">
        <f t="shared" si="67"/>
        <v>-2.6326538852590611</v>
      </c>
      <c r="AJ147" s="267" t="b">
        <f t="shared" si="68"/>
        <v>1</v>
      </c>
      <c r="AK147" s="267" t="b">
        <f t="shared" si="69"/>
        <v>0</v>
      </c>
      <c r="AL147" s="267"/>
      <c r="AM147" s="267"/>
      <c r="AN147" s="75"/>
    </row>
    <row r="148" spans="1:40" s="6" customFormat="1" ht="11.25" customHeight="1" x14ac:dyDescent="0.2">
      <c r="A148" s="56">
        <f t="shared" si="71"/>
        <v>43234</v>
      </c>
      <c r="B148" s="624"/>
      <c r="C148" s="881"/>
      <c r="D148" s="395"/>
      <c r="E148" s="387"/>
      <c r="F148" s="387"/>
      <c r="G148" s="110"/>
      <c r="I148" s="382">
        <f t="shared" si="48"/>
        <v>0</v>
      </c>
      <c r="J148" s="85">
        <v>2018</v>
      </c>
      <c r="K148" s="199">
        <f t="shared" si="49"/>
        <v>43234</v>
      </c>
      <c r="L148" s="439">
        <f t="shared" si="50"/>
        <v>0</v>
      </c>
      <c r="M148" s="883"/>
      <c r="N148" s="883"/>
      <c r="O148" s="326">
        <f t="shared" si="51"/>
        <v>0</v>
      </c>
      <c r="P148" s="171">
        <f>(INDEX(Models!$BJ148:$BT148,,T148)*(1-R148)+INDEX(Models!$BJ148:$BT148,,T148+1)*R148-ERP_i)*Q148*Ramure*Pc/MaxiM</f>
        <v>2.5549497827791596E-5</v>
      </c>
      <c r="Q148" s="307">
        <f t="shared" si="52"/>
        <v>0.9</v>
      </c>
      <c r="R148" s="179">
        <f t="shared" si="53"/>
        <v>0.37266372293278227</v>
      </c>
      <c r="S148" s="839">
        <f t="shared" si="70"/>
        <v>-3</v>
      </c>
      <c r="T148" s="178">
        <f t="shared" si="54"/>
        <v>3</v>
      </c>
      <c r="U148" s="253">
        <f t="shared" si="55"/>
        <v>-2.6273362770672177</v>
      </c>
      <c r="V148" s="385">
        <f t="shared" si="56"/>
        <v>63.28158314475548</v>
      </c>
      <c r="W148" s="58"/>
      <c r="X148" s="157">
        <f t="shared" si="57"/>
        <v>43234</v>
      </c>
      <c r="Y148" s="387">
        <f t="shared" si="58"/>
        <v>0</v>
      </c>
      <c r="Z148" s="387">
        <f t="shared" si="59"/>
        <v>0</v>
      </c>
      <c r="AA148" s="388">
        <f t="shared" si="60"/>
        <v>0</v>
      </c>
      <c r="AB148" s="199">
        <f t="shared" si="61"/>
        <v>43234</v>
      </c>
      <c r="AC148" s="428">
        <f t="shared" si="62"/>
        <v>0</v>
      </c>
      <c r="AD148" s="171">
        <f>(INDEX(Models!$BJ148:$BT148,,AH148)*(1-AF148)+INDEX(Models!$BJ148:$BT148,,AH148+1)*AF148-ERP_i)*AE148*Ramure*Pc/MaxiM</f>
        <v>2.5549497827791596E-5</v>
      </c>
      <c r="AE148" s="307">
        <f t="shared" si="63"/>
        <v>0.9</v>
      </c>
      <c r="AF148" s="179">
        <f t="shared" si="64"/>
        <v>0.37266372293278227</v>
      </c>
      <c r="AG148" s="839">
        <f t="shared" si="65"/>
        <v>-3</v>
      </c>
      <c r="AH148" s="178">
        <f t="shared" si="66"/>
        <v>3</v>
      </c>
      <c r="AI148" s="227">
        <f t="shared" si="67"/>
        <v>-2.6273362770672177</v>
      </c>
      <c r="AJ148" s="267" t="b">
        <f t="shared" si="68"/>
        <v>1</v>
      </c>
      <c r="AK148" s="267" t="b">
        <f t="shared" si="69"/>
        <v>0</v>
      </c>
      <c r="AL148" s="267"/>
      <c r="AM148" s="267"/>
      <c r="AN148" s="75"/>
    </row>
    <row r="149" spans="1:40" s="6" customFormat="1" ht="11.25" customHeight="1" x14ac:dyDescent="0.2">
      <c r="A149" s="56">
        <f t="shared" si="71"/>
        <v>43235</v>
      </c>
      <c r="B149" s="624"/>
      <c r="C149" s="881"/>
      <c r="D149" s="395"/>
      <c r="E149" s="387"/>
      <c r="F149" s="387"/>
      <c r="G149" s="110"/>
      <c r="I149" s="382">
        <f t="shared" si="48"/>
        <v>0</v>
      </c>
      <c r="J149" s="85">
        <v>2018</v>
      </c>
      <c r="K149" s="199">
        <f t="shared" si="49"/>
        <v>43235</v>
      </c>
      <c r="L149" s="439">
        <f t="shared" si="50"/>
        <v>0</v>
      </c>
      <c r="M149" s="883"/>
      <c r="N149" s="883"/>
      <c r="O149" s="326">
        <f t="shared" si="51"/>
        <v>0</v>
      </c>
      <c r="P149" s="171">
        <f>(INDEX(Models!$BJ149:$BT149,,T149)*(1-R149)+INDEX(Models!$BJ149:$BT149,,T149+1)*R149-ERP_i)*Q149*Ramure*Pc/MaxiM</f>
        <v>2.4326319694099343E-5</v>
      </c>
      <c r="Q149" s="307">
        <f t="shared" si="52"/>
        <v>0.9</v>
      </c>
      <c r="R149" s="179">
        <f t="shared" si="53"/>
        <v>0.37809263133383775</v>
      </c>
      <c r="S149" s="839">
        <f t="shared" si="70"/>
        <v>-3</v>
      </c>
      <c r="T149" s="178">
        <f t="shared" si="54"/>
        <v>3</v>
      </c>
      <c r="U149" s="253">
        <f t="shared" si="55"/>
        <v>-2.6219073686661623</v>
      </c>
      <c r="V149" s="385">
        <f t="shared" si="56"/>
        <v>63.394823980208379</v>
      </c>
      <c r="W149" s="58"/>
      <c r="X149" s="157">
        <f t="shared" si="57"/>
        <v>43235</v>
      </c>
      <c r="Y149" s="387">
        <f t="shared" si="58"/>
        <v>0</v>
      </c>
      <c r="Z149" s="387">
        <f t="shared" si="59"/>
        <v>0</v>
      </c>
      <c r="AA149" s="388">
        <f t="shared" si="60"/>
        <v>0</v>
      </c>
      <c r="AB149" s="199">
        <f t="shared" si="61"/>
        <v>43235</v>
      </c>
      <c r="AC149" s="428">
        <f t="shared" si="62"/>
        <v>0</v>
      </c>
      <c r="AD149" s="171">
        <f>(INDEX(Models!$BJ149:$BT149,,AH149)*(1-AF149)+INDEX(Models!$BJ149:$BT149,,AH149+1)*AF149-ERP_i)*AE149*Ramure*Pc/MaxiM</f>
        <v>2.4326319694099343E-5</v>
      </c>
      <c r="AE149" s="307">
        <f t="shared" si="63"/>
        <v>0.9</v>
      </c>
      <c r="AF149" s="179">
        <f t="shared" si="64"/>
        <v>0.37809263133383775</v>
      </c>
      <c r="AG149" s="839">
        <f t="shared" si="65"/>
        <v>-3</v>
      </c>
      <c r="AH149" s="178">
        <f t="shared" si="66"/>
        <v>3</v>
      </c>
      <c r="AI149" s="227">
        <f t="shared" si="67"/>
        <v>-2.6219073686661623</v>
      </c>
      <c r="AJ149" s="267" t="b">
        <f t="shared" si="68"/>
        <v>1</v>
      </c>
      <c r="AK149" s="267" t="b">
        <f t="shared" si="69"/>
        <v>0</v>
      </c>
      <c r="AL149" s="267"/>
      <c r="AM149" s="267"/>
      <c r="AN149" s="75"/>
    </row>
    <row r="150" spans="1:40" s="6" customFormat="1" ht="11.25" customHeight="1" x14ac:dyDescent="0.2">
      <c r="A150" s="56">
        <f t="shared" si="71"/>
        <v>43236</v>
      </c>
      <c r="B150" s="624"/>
      <c r="C150" s="881"/>
      <c r="D150" s="395"/>
      <c r="E150" s="387"/>
      <c r="F150" s="387"/>
      <c r="G150" s="110"/>
      <c r="I150" s="382">
        <f t="shared" si="48"/>
        <v>0</v>
      </c>
      <c r="J150" s="85">
        <v>2018</v>
      </c>
      <c r="K150" s="199">
        <f t="shared" si="49"/>
        <v>43236</v>
      </c>
      <c r="L150" s="439">
        <f t="shared" si="50"/>
        <v>0</v>
      </c>
      <c r="M150" s="883"/>
      <c r="N150" s="883"/>
      <c r="O150" s="326">
        <f t="shared" si="51"/>
        <v>0</v>
      </c>
      <c r="P150" s="171">
        <f>(INDEX(Models!$BJ150:$BT150,,T150)*(1-R150)+INDEX(Models!$BJ150:$BT150,,T150+1)*R150-ERP_i)*Q150*Ramure*Pc/MaxiM</f>
        <v>2.3310002672417699E-5</v>
      </c>
      <c r="Q150" s="307">
        <f t="shared" si="52"/>
        <v>0.9</v>
      </c>
      <c r="R150" s="179">
        <f t="shared" si="53"/>
        <v>0.38363164377941406</v>
      </c>
      <c r="S150" s="839">
        <f t="shared" si="70"/>
        <v>-3</v>
      </c>
      <c r="T150" s="178">
        <f t="shared" si="54"/>
        <v>3</v>
      </c>
      <c r="U150" s="253">
        <f t="shared" si="55"/>
        <v>-2.6163683562205859</v>
      </c>
      <c r="V150" s="385">
        <f t="shared" si="56"/>
        <v>63.50055125470282</v>
      </c>
      <c r="W150" s="58"/>
      <c r="X150" s="157">
        <f t="shared" si="57"/>
        <v>43236</v>
      </c>
      <c r="Y150" s="387">
        <f t="shared" si="58"/>
        <v>0</v>
      </c>
      <c r="Z150" s="387">
        <f t="shared" si="59"/>
        <v>0</v>
      </c>
      <c r="AA150" s="388">
        <f t="shared" si="60"/>
        <v>0</v>
      </c>
      <c r="AB150" s="199">
        <f t="shared" si="61"/>
        <v>43236</v>
      </c>
      <c r="AC150" s="428">
        <f t="shared" si="62"/>
        <v>0</v>
      </c>
      <c r="AD150" s="171">
        <f>(INDEX(Models!$BJ150:$BT150,,AH150)*(1-AF150)+INDEX(Models!$BJ150:$BT150,,AH150+1)*AF150-ERP_i)*AE150*Ramure*Pc/MaxiM</f>
        <v>2.3310002672417699E-5</v>
      </c>
      <c r="AE150" s="307">
        <f t="shared" si="63"/>
        <v>0.9</v>
      </c>
      <c r="AF150" s="179">
        <f t="shared" si="64"/>
        <v>0.38363164377941406</v>
      </c>
      <c r="AG150" s="839">
        <f t="shared" si="65"/>
        <v>-3</v>
      </c>
      <c r="AH150" s="178">
        <f t="shared" si="66"/>
        <v>3</v>
      </c>
      <c r="AI150" s="227">
        <f t="shared" si="67"/>
        <v>-2.6163683562205859</v>
      </c>
      <c r="AJ150" s="267" t="b">
        <f t="shared" si="68"/>
        <v>1</v>
      </c>
      <c r="AK150" s="267" t="b">
        <f t="shared" si="69"/>
        <v>0</v>
      </c>
      <c r="AL150" s="267"/>
      <c r="AM150" s="267"/>
      <c r="AN150" s="75"/>
    </row>
    <row r="151" spans="1:40" s="6" customFormat="1" ht="11.25" customHeight="1" x14ac:dyDescent="0.2">
      <c r="A151" s="56">
        <f t="shared" si="71"/>
        <v>43237</v>
      </c>
      <c r="B151" s="624"/>
      <c r="C151" s="881"/>
      <c r="D151" s="395"/>
      <c r="E151" s="387"/>
      <c r="F151" s="387"/>
      <c r="G151" s="110"/>
      <c r="I151" s="382">
        <f t="shared" si="48"/>
        <v>0</v>
      </c>
      <c r="J151" s="85">
        <v>2018</v>
      </c>
      <c r="K151" s="199">
        <f t="shared" si="49"/>
        <v>43237</v>
      </c>
      <c r="L151" s="439">
        <f t="shared" si="50"/>
        <v>0</v>
      </c>
      <c r="M151" s="883"/>
      <c r="N151" s="883"/>
      <c r="O151" s="326">
        <f t="shared" si="51"/>
        <v>0</v>
      </c>
      <c r="P151" s="171">
        <f>(INDEX(Models!$BJ151:$BT151,,T151)*(1-R151)+INDEX(Models!$BJ151:$BT151,,T151+1)*R151-ERP_i)*Q151*Ramure*Pc/MaxiM</f>
        <v>2.2312224222255325E-5</v>
      </c>
      <c r="Q151" s="307">
        <f t="shared" si="52"/>
        <v>0.9</v>
      </c>
      <c r="R151" s="179">
        <f t="shared" si="53"/>
        <v>0.38927932548337774</v>
      </c>
      <c r="S151" s="839">
        <f t="shared" si="70"/>
        <v>-3</v>
      </c>
      <c r="T151" s="178">
        <f t="shared" si="54"/>
        <v>3</v>
      </c>
      <c r="U151" s="253">
        <f t="shared" si="55"/>
        <v>-2.6107206745166223</v>
      </c>
      <c r="V151" s="385">
        <f t="shared" si="56"/>
        <v>63.599112709212108</v>
      </c>
      <c r="W151" s="58"/>
      <c r="X151" s="157">
        <f t="shared" si="57"/>
        <v>43237</v>
      </c>
      <c r="Y151" s="387">
        <f t="shared" si="58"/>
        <v>0</v>
      </c>
      <c r="Z151" s="387">
        <f t="shared" si="59"/>
        <v>0</v>
      </c>
      <c r="AA151" s="388">
        <f t="shared" si="60"/>
        <v>0</v>
      </c>
      <c r="AB151" s="199">
        <f t="shared" si="61"/>
        <v>43237</v>
      </c>
      <c r="AC151" s="428">
        <f t="shared" si="62"/>
        <v>0</v>
      </c>
      <c r="AD151" s="171">
        <f>(INDEX(Models!$BJ151:$BT151,,AH151)*(1-AF151)+INDEX(Models!$BJ151:$BT151,,AH151+1)*AF151-ERP_i)*AE151*Ramure*Pc/MaxiM</f>
        <v>2.2312224222255325E-5</v>
      </c>
      <c r="AE151" s="307">
        <f t="shared" si="63"/>
        <v>0.9</v>
      </c>
      <c r="AF151" s="179">
        <f t="shared" si="64"/>
        <v>0.38927932548337774</v>
      </c>
      <c r="AG151" s="839">
        <f t="shared" si="65"/>
        <v>-3</v>
      </c>
      <c r="AH151" s="178">
        <f t="shared" si="66"/>
        <v>3</v>
      </c>
      <c r="AI151" s="227">
        <f t="shared" si="67"/>
        <v>-2.6107206745166223</v>
      </c>
      <c r="AJ151" s="267" t="b">
        <f t="shared" si="68"/>
        <v>1</v>
      </c>
      <c r="AK151" s="267" t="b">
        <f t="shared" si="69"/>
        <v>0</v>
      </c>
      <c r="AL151" s="267"/>
      <c r="AM151" s="267"/>
      <c r="AN151" s="75"/>
    </row>
    <row r="152" spans="1:40" s="6" customFormat="1" ht="11.25" customHeight="1" x14ac:dyDescent="0.2">
      <c r="A152" s="56">
        <f t="shared" si="71"/>
        <v>43238</v>
      </c>
      <c r="B152" s="624"/>
      <c r="C152" s="881"/>
      <c r="D152" s="395"/>
      <c r="E152" s="387"/>
      <c r="F152" s="387"/>
      <c r="G152" s="110"/>
      <c r="I152" s="382">
        <f t="shared" si="48"/>
        <v>0</v>
      </c>
      <c r="J152" s="85">
        <v>2018</v>
      </c>
      <c r="K152" s="199">
        <f t="shared" si="49"/>
        <v>43238</v>
      </c>
      <c r="L152" s="439">
        <f t="shared" si="50"/>
        <v>0</v>
      </c>
      <c r="M152" s="883"/>
      <c r="N152" s="883"/>
      <c r="O152" s="326">
        <f t="shared" si="51"/>
        <v>0</v>
      </c>
      <c r="P152" s="171">
        <f>(INDEX(Models!$BJ152:$BT152,,T152)*(1-R152)+INDEX(Models!$BJ152:$BT152,,T152+1)*R152-ERP_i)*Q152*Ramure*Pc/MaxiM</f>
        <v>2.133859614421782E-5</v>
      </c>
      <c r="Q152" s="307">
        <f t="shared" si="52"/>
        <v>0.9</v>
      </c>
      <c r="R152" s="179">
        <f t="shared" si="53"/>
        <v>0.39503399779691772</v>
      </c>
      <c r="S152" s="839">
        <f t="shared" si="70"/>
        <v>-3</v>
      </c>
      <c r="T152" s="178">
        <f t="shared" si="54"/>
        <v>3</v>
      </c>
      <c r="U152" s="253">
        <f t="shared" si="55"/>
        <v>-2.6049660022030823</v>
      </c>
      <c r="V152" s="385">
        <f t="shared" si="56"/>
        <v>63.690843813055714</v>
      </c>
      <c r="W152" s="58"/>
      <c r="X152" s="157">
        <f t="shared" si="57"/>
        <v>43238</v>
      </c>
      <c r="Y152" s="387">
        <f t="shared" si="58"/>
        <v>0</v>
      </c>
      <c r="Z152" s="387">
        <f t="shared" si="59"/>
        <v>0</v>
      </c>
      <c r="AA152" s="388">
        <f t="shared" si="60"/>
        <v>0</v>
      </c>
      <c r="AB152" s="199">
        <f t="shared" si="61"/>
        <v>43238</v>
      </c>
      <c r="AC152" s="428">
        <f t="shared" si="62"/>
        <v>0</v>
      </c>
      <c r="AD152" s="171">
        <f>(INDEX(Models!$BJ152:$BT152,,AH152)*(1-AF152)+INDEX(Models!$BJ152:$BT152,,AH152+1)*AF152-ERP_i)*AE152*Ramure*Pc/MaxiM</f>
        <v>2.133859614421782E-5</v>
      </c>
      <c r="AE152" s="307">
        <f t="shared" si="63"/>
        <v>0.9</v>
      </c>
      <c r="AF152" s="179">
        <f t="shared" si="64"/>
        <v>0.39503399779691772</v>
      </c>
      <c r="AG152" s="839">
        <f t="shared" si="65"/>
        <v>-3</v>
      </c>
      <c r="AH152" s="178">
        <f t="shared" si="66"/>
        <v>3</v>
      </c>
      <c r="AI152" s="227">
        <f t="shared" si="67"/>
        <v>-2.6049660022030823</v>
      </c>
      <c r="AJ152" s="267" t="b">
        <f t="shared" si="68"/>
        <v>1</v>
      </c>
      <c r="AK152" s="267" t="b">
        <f t="shared" si="69"/>
        <v>0</v>
      </c>
      <c r="AL152" s="267"/>
      <c r="AM152" s="267"/>
      <c r="AN152" s="75"/>
    </row>
    <row r="153" spans="1:40" s="6" customFormat="1" ht="11.25" customHeight="1" x14ac:dyDescent="0.2">
      <c r="A153" s="56">
        <f t="shared" si="71"/>
        <v>43239</v>
      </c>
      <c r="B153" s="624"/>
      <c r="C153" s="881"/>
      <c r="D153" s="395"/>
      <c r="E153" s="387"/>
      <c r="F153" s="387"/>
      <c r="G153" s="110"/>
      <c r="I153" s="382">
        <f t="shared" si="48"/>
        <v>0</v>
      </c>
      <c r="J153" s="85">
        <v>2018</v>
      </c>
      <c r="K153" s="199">
        <f t="shared" si="49"/>
        <v>43239</v>
      </c>
      <c r="L153" s="439">
        <f t="shared" si="50"/>
        <v>0</v>
      </c>
      <c r="M153" s="883"/>
      <c r="N153" s="883"/>
      <c r="O153" s="326">
        <f t="shared" si="51"/>
        <v>0</v>
      </c>
      <c r="P153" s="171">
        <f>(INDEX(Models!$BJ153:$BT153,,T153)*(1-R153)+INDEX(Models!$BJ153:$BT153,,T153+1)*R153-ERP_i)*Q153*Ramure*Pc/MaxiM</f>
        <v>2.039510255741495E-5</v>
      </c>
      <c r="Q153" s="307">
        <f t="shared" si="52"/>
        <v>0.9</v>
      </c>
      <c r="R153" s="179">
        <f t="shared" si="53"/>
        <v>0.4008937338711327</v>
      </c>
      <c r="S153" s="839">
        <f t="shared" si="70"/>
        <v>-3</v>
      </c>
      <c r="T153" s="178">
        <f t="shared" si="54"/>
        <v>3</v>
      </c>
      <c r="U153" s="253">
        <f t="shared" si="55"/>
        <v>-2.5991062661288673</v>
      </c>
      <c r="V153" s="385">
        <f t="shared" si="56"/>
        <v>63.776080011291391</v>
      </c>
      <c r="W153" s="58"/>
      <c r="X153" s="157">
        <f t="shared" si="57"/>
        <v>43239</v>
      </c>
      <c r="Y153" s="387">
        <f t="shared" si="58"/>
        <v>0</v>
      </c>
      <c r="Z153" s="387">
        <f t="shared" si="59"/>
        <v>0</v>
      </c>
      <c r="AA153" s="388">
        <f t="shared" si="60"/>
        <v>0</v>
      </c>
      <c r="AB153" s="199">
        <f t="shared" si="61"/>
        <v>43239</v>
      </c>
      <c r="AC153" s="428">
        <f t="shared" si="62"/>
        <v>0</v>
      </c>
      <c r="AD153" s="171">
        <f>(INDEX(Models!$BJ153:$BT153,,AH153)*(1-AF153)+INDEX(Models!$BJ153:$BT153,,AH153+1)*AF153-ERP_i)*AE153*Ramure*Pc/MaxiM</f>
        <v>2.039510255741495E-5</v>
      </c>
      <c r="AE153" s="307">
        <f t="shared" si="63"/>
        <v>0.9</v>
      </c>
      <c r="AF153" s="179">
        <f t="shared" si="64"/>
        <v>0.4008937338711327</v>
      </c>
      <c r="AG153" s="839">
        <f t="shared" si="65"/>
        <v>-3</v>
      </c>
      <c r="AH153" s="178">
        <f t="shared" si="66"/>
        <v>3</v>
      </c>
      <c r="AI153" s="227">
        <f t="shared" si="67"/>
        <v>-2.5991062661288673</v>
      </c>
      <c r="AJ153" s="267" t="b">
        <f t="shared" si="68"/>
        <v>1</v>
      </c>
      <c r="AK153" s="267" t="b">
        <f t="shared" si="69"/>
        <v>0</v>
      </c>
      <c r="AL153" s="267"/>
      <c r="AM153" s="267"/>
      <c r="AN153" s="75"/>
    </row>
    <row r="154" spans="1:40" s="6" customFormat="1" ht="11.25" customHeight="1" x14ac:dyDescent="0.2">
      <c r="A154" s="56">
        <f t="shared" si="71"/>
        <v>43240</v>
      </c>
      <c r="B154" s="624"/>
      <c r="C154" s="881"/>
      <c r="D154" s="395"/>
      <c r="E154" s="387"/>
      <c r="F154" s="387"/>
      <c r="G154" s="110"/>
      <c r="I154" s="382">
        <f t="shared" si="48"/>
        <v>0</v>
      </c>
      <c r="J154" s="85">
        <v>2018</v>
      </c>
      <c r="K154" s="199">
        <f t="shared" si="49"/>
        <v>43240</v>
      </c>
      <c r="L154" s="439">
        <f t="shared" si="50"/>
        <v>0</v>
      </c>
      <c r="M154" s="883"/>
      <c r="N154" s="883"/>
      <c r="O154" s="326">
        <f t="shared" si="51"/>
        <v>0</v>
      </c>
      <c r="P154" s="171">
        <f>(INDEX(Models!$BJ154:$BT154,,T154)*(1-R154)+INDEX(Models!$BJ154:$BT154,,T154+1)*R154-ERP_i)*Q154*Ramure*Pc/MaxiM</f>
        <v>1.948810005511945E-5</v>
      </c>
      <c r="Q154" s="307">
        <f t="shared" si="52"/>
        <v>0.9</v>
      </c>
      <c r="R154" s="179">
        <f t="shared" si="53"/>
        <v>0.4068563553018576</v>
      </c>
      <c r="S154" s="839">
        <f t="shared" si="70"/>
        <v>-3</v>
      </c>
      <c r="T154" s="178">
        <f t="shared" si="54"/>
        <v>3</v>
      </c>
      <c r="U154" s="253">
        <f t="shared" si="55"/>
        <v>-2.5931436446981424</v>
      </c>
      <c r="V154" s="385">
        <f t="shared" si="56"/>
        <v>63.85515672670406</v>
      </c>
      <c r="W154" s="58"/>
      <c r="X154" s="157">
        <f t="shared" si="57"/>
        <v>43240</v>
      </c>
      <c r="Y154" s="387">
        <f t="shared" si="58"/>
        <v>0</v>
      </c>
      <c r="Z154" s="387">
        <f t="shared" si="59"/>
        <v>0</v>
      </c>
      <c r="AA154" s="388">
        <f t="shared" si="60"/>
        <v>0</v>
      </c>
      <c r="AB154" s="199">
        <f t="shared" si="61"/>
        <v>43240</v>
      </c>
      <c r="AC154" s="428">
        <f t="shared" si="62"/>
        <v>0</v>
      </c>
      <c r="AD154" s="171">
        <f>(INDEX(Models!$BJ154:$BT154,,AH154)*(1-AF154)+INDEX(Models!$BJ154:$BT154,,AH154+1)*AF154-ERP_i)*AE154*Ramure*Pc/MaxiM</f>
        <v>1.948810005511945E-5</v>
      </c>
      <c r="AE154" s="307">
        <f t="shared" si="63"/>
        <v>0.9</v>
      </c>
      <c r="AF154" s="179">
        <f t="shared" si="64"/>
        <v>0.4068563553018576</v>
      </c>
      <c r="AG154" s="839">
        <f t="shared" si="65"/>
        <v>-3</v>
      </c>
      <c r="AH154" s="178">
        <f t="shared" si="66"/>
        <v>3</v>
      </c>
      <c r="AI154" s="227">
        <f t="shared" si="67"/>
        <v>-2.5931436446981424</v>
      </c>
      <c r="AJ154" s="267" t="b">
        <f t="shared" si="68"/>
        <v>1</v>
      </c>
      <c r="AK154" s="267" t="b">
        <f t="shared" si="69"/>
        <v>0</v>
      </c>
      <c r="AL154" s="267"/>
      <c r="AM154" s="267"/>
      <c r="AN154" s="75"/>
    </row>
    <row r="155" spans="1:40" s="6" customFormat="1" ht="11.25" x14ac:dyDescent="0.2">
      <c r="A155" s="56">
        <f t="shared" si="71"/>
        <v>43241</v>
      </c>
      <c r="B155" s="624"/>
      <c r="C155" s="881"/>
      <c r="D155" s="395"/>
      <c r="E155" s="387"/>
      <c r="F155" s="387"/>
      <c r="G155" s="110"/>
      <c r="I155" s="382">
        <f t="shared" si="48"/>
        <v>0</v>
      </c>
      <c r="J155" s="85">
        <v>2018</v>
      </c>
      <c r="K155" s="199">
        <f t="shared" si="49"/>
        <v>43241</v>
      </c>
      <c r="L155" s="439">
        <f t="shared" si="50"/>
        <v>0</v>
      </c>
      <c r="M155" s="883"/>
      <c r="N155" s="883"/>
      <c r="O155" s="326">
        <f t="shared" si="51"/>
        <v>0</v>
      </c>
      <c r="P155" s="171">
        <f>(INDEX(Models!$BJ155:$BT155,,T155)*(1-R155)+INDEX(Models!$BJ155:$BT155,,T155+1)*R155-ERP_i)*Q155*Ramure*Pc/MaxiM</f>
        <v>1.8624315909669985E-5</v>
      </c>
      <c r="Q155" s="307">
        <f t="shared" si="52"/>
        <v>0.9</v>
      </c>
      <c r="R155" s="179">
        <f t="shared" si="53"/>
        <v>0.41291942983117735</v>
      </c>
      <c r="S155" s="839">
        <f t="shared" si="70"/>
        <v>-3</v>
      </c>
      <c r="T155" s="178">
        <f t="shared" si="54"/>
        <v>3</v>
      </c>
      <c r="U155" s="253">
        <f t="shared" si="55"/>
        <v>-2.5870805701688226</v>
      </c>
      <c r="V155" s="385">
        <f t="shared" si="56"/>
        <v>63.928409355315083</v>
      </c>
      <c r="W155" s="58"/>
      <c r="X155" s="157">
        <f t="shared" si="57"/>
        <v>43241</v>
      </c>
      <c r="Y155" s="387">
        <f t="shared" si="58"/>
        <v>0</v>
      </c>
      <c r="Z155" s="387">
        <f t="shared" si="59"/>
        <v>0</v>
      </c>
      <c r="AA155" s="388">
        <f t="shared" si="60"/>
        <v>0</v>
      </c>
      <c r="AB155" s="199">
        <f t="shared" si="61"/>
        <v>43241</v>
      </c>
      <c r="AC155" s="428">
        <f t="shared" si="62"/>
        <v>0</v>
      </c>
      <c r="AD155" s="171">
        <f>(INDEX(Models!$BJ155:$BT155,,AH155)*(1-AF155)+INDEX(Models!$BJ155:$BT155,,AH155+1)*AF155-ERP_i)*AE155*Ramure*Pc/MaxiM</f>
        <v>1.8624315909669985E-5</v>
      </c>
      <c r="AE155" s="307">
        <f t="shared" si="63"/>
        <v>0.9</v>
      </c>
      <c r="AF155" s="179">
        <f t="shared" si="64"/>
        <v>0.41291942983117735</v>
      </c>
      <c r="AG155" s="839">
        <f t="shared" si="65"/>
        <v>-3</v>
      </c>
      <c r="AH155" s="178">
        <f t="shared" si="66"/>
        <v>3</v>
      </c>
      <c r="AI155" s="227">
        <f t="shared" si="67"/>
        <v>-2.5870805701688226</v>
      </c>
      <c r="AJ155" s="267" t="b">
        <f t="shared" si="68"/>
        <v>1</v>
      </c>
      <c r="AK155" s="267" t="b">
        <f t="shared" si="69"/>
        <v>0</v>
      </c>
      <c r="AL155" s="267"/>
      <c r="AM155" s="267"/>
      <c r="AN155" s="75"/>
    </row>
    <row r="156" spans="1:40" s="18" customFormat="1" ht="11.25" customHeight="1" x14ac:dyDescent="0.2">
      <c r="A156" s="56">
        <f t="shared" si="71"/>
        <v>43242</v>
      </c>
      <c r="B156" s="624"/>
      <c r="C156" s="881"/>
      <c r="D156" s="395"/>
      <c r="E156" s="387"/>
      <c r="F156" s="387"/>
      <c r="G156" s="110"/>
      <c r="I156" s="382">
        <f t="shared" si="48"/>
        <v>0</v>
      </c>
      <c r="J156" s="85">
        <v>2018</v>
      </c>
      <c r="K156" s="199">
        <f t="shared" si="49"/>
        <v>43242</v>
      </c>
      <c r="L156" s="439">
        <f t="shared" si="50"/>
        <v>0</v>
      </c>
      <c r="M156" s="883"/>
      <c r="N156" s="883"/>
      <c r="O156" s="326">
        <f t="shared" si="51"/>
        <v>0</v>
      </c>
      <c r="P156" s="171">
        <f>(INDEX(Models!$BJ156:$BT156,,T156)*(1-R156)+INDEX(Models!$BJ156:$BT156,,T156+1)*R156-ERP_i)*Q156*Ramure*Pc/MaxiM</f>
        <v>1.7859002219449518E-5</v>
      </c>
      <c r="Q156" s="307">
        <f t="shared" si="52"/>
        <v>0.9</v>
      </c>
      <c r="R156" s="179">
        <f t="shared" si="53"/>
        <v>0.41908027017495542</v>
      </c>
      <c r="S156" s="839">
        <f t="shared" si="70"/>
        <v>-3</v>
      </c>
      <c r="T156" s="178">
        <f t="shared" si="54"/>
        <v>3</v>
      </c>
      <c r="U156" s="253">
        <f t="shared" si="55"/>
        <v>-2.5809197298250446</v>
      </c>
      <c r="V156" s="385">
        <f t="shared" si="56"/>
        <v>63.996170191420468</v>
      </c>
      <c r="W156" s="58"/>
      <c r="X156" s="157">
        <f t="shared" si="57"/>
        <v>43242</v>
      </c>
      <c r="Y156" s="387">
        <f t="shared" si="58"/>
        <v>0</v>
      </c>
      <c r="Z156" s="387">
        <f t="shared" si="59"/>
        <v>0</v>
      </c>
      <c r="AA156" s="388">
        <f t="shared" si="60"/>
        <v>0</v>
      </c>
      <c r="AB156" s="199">
        <f t="shared" si="61"/>
        <v>43242</v>
      </c>
      <c r="AC156" s="428">
        <f t="shared" si="62"/>
        <v>0</v>
      </c>
      <c r="AD156" s="171">
        <f>(INDEX(Models!$BJ156:$BT156,,AH156)*(1-AF156)+INDEX(Models!$BJ156:$BT156,,AH156+1)*AF156-ERP_i)*AE156*Ramure*Pc/MaxiM</f>
        <v>1.7859002219449518E-5</v>
      </c>
      <c r="AE156" s="307">
        <f t="shared" si="63"/>
        <v>0.9</v>
      </c>
      <c r="AF156" s="179">
        <f t="shared" si="64"/>
        <v>0.41908027017495542</v>
      </c>
      <c r="AG156" s="839">
        <f t="shared" si="65"/>
        <v>-3</v>
      </c>
      <c r="AH156" s="178">
        <f t="shared" si="66"/>
        <v>3</v>
      </c>
      <c r="AI156" s="227">
        <f t="shared" si="67"/>
        <v>-2.5809197298250446</v>
      </c>
      <c r="AJ156" s="267" t="b">
        <f t="shared" si="68"/>
        <v>1</v>
      </c>
      <c r="AK156" s="267" t="b">
        <f t="shared" si="69"/>
        <v>0</v>
      </c>
      <c r="AL156" s="267"/>
      <c r="AM156" s="267"/>
      <c r="AN156" s="267"/>
    </row>
    <row r="157" spans="1:40" s="18" customFormat="1" ht="11.25" customHeight="1" x14ac:dyDescent="0.2">
      <c r="A157" s="56">
        <f t="shared" si="71"/>
        <v>43243</v>
      </c>
      <c r="B157" s="624"/>
      <c r="C157" s="881"/>
      <c r="D157" s="395"/>
      <c r="E157" s="387"/>
      <c r="F157" s="387"/>
      <c r="G157" s="110"/>
      <c r="I157" s="382">
        <f t="shared" si="48"/>
        <v>0</v>
      </c>
      <c r="J157" s="85">
        <v>2018</v>
      </c>
      <c r="K157" s="199">
        <f t="shared" si="49"/>
        <v>43243</v>
      </c>
      <c r="L157" s="439">
        <f t="shared" si="50"/>
        <v>0</v>
      </c>
      <c r="M157" s="883"/>
      <c r="N157" s="883"/>
      <c r="O157" s="326">
        <f t="shared" si="51"/>
        <v>0</v>
      </c>
      <c r="P157" s="171">
        <f>(INDEX(Models!$BJ157:$BT157,,T157)*(1-R157)+INDEX(Models!$BJ157:$BT157,,T157+1)*R157-ERP_i)*Q157*Ramure*Pc/MaxiM</f>
        <v>1.7114669157367896E-5</v>
      </c>
      <c r="Q157" s="307">
        <f t="shared" si="52"/>
        <v>0.9</v>
      </c>
      <c r="R157" s="179">
        <f t="shared" si="53"/>
        <v>0.42533593403943648</v>
      </c>
      <c r="S157" s="839">
        <f t="shared" si="70"/>
        <v>-3</v>
      </c>
      <c r="T157" s="178">
        <f t="shared" si="54"/>
        <v>3</v>
      </c>
      <c r="U157" s="253">
        <f t="shared" si="55"/>
        <v>-2.5746640659605635</v>
      </c>
      <c r="V157" s="385">
        <f t="shared" si="56"/>
        <v>64.058780021261597</v>
      </c>
      <c r="W157" s="58"/>
      <c r="X157" s="157">
        <f t="shared" si="57"/>
        <v>43243</v>
      </c>
      <c r="Y157" s="387">
        <f t="shared" si="58"/>
        <v>0</v>
      </c>
      <c r="Z157" s="387">
        <f t="shared" si="59"/>
        <v>0</v>
      </c>
      <c r="AA157" s="388">
        <f t="shared" si="60"/>
        <v>0</v>
      </c>
      <c r="AB157" s="199">
        <f t="shared" si="61"/>
        <v>43243</v>
      </c>
      <c r="AC157" s="428">
        <f t="shared" si="62"/>
        <v>0</v>
      </c>
      <c r="AD157" s="171">
        <f>(INDEX(Models!$BJ157:$BT157,,AH157)*(1-AF157)+INDEX(Models!$BJ157:$BT157,,AH157+1)*AF157-ERP_i)*AE157*Ramure*Pc/MaxiM</f>
        <v>1.7114669157367896E-5</v>
      </c>
      <c r="AE157" s="307">
        <f t="shared" si="63"/>
        <v>0.9</v>
      </c>
      <c r="AF157" s="179">
        <f t="shared" si="64"/>
        <v>0.42533593403943648</v>
      </c>
      <c r="AG157" s="839">
        <f t="shared" si="65"/>
        <v>-3</v>
      </c>
      <c r="AH157" s="178">
        <f t="shared" si="66"/>
        <v>3</v>
      </c>
      <c r="AI157" s="227">
        <f t="shared" si="67"/>
        <v>-2.5746640659605635</v>
      </c>
      <c r="AJ157" s="267" t="b">
        <f t="shared" si="68"/>
        <v>1</v>
      </c>
      <c r="AK157" s="267" t="b">
        <f t="shared" si="69"/>
        <v>0</v>
      </c>
      <c r="AL157" s="267"/>
      <c r="AM157" s="267"/>
      <c r="AN157" s="267"/>
    </row>
    <row r="158" spans="1:40" s="6" customFormat="1" ht="11.25" customHeight="1" x14ac:dyDescent="0.2">
      <c r="A158" s="56">
        <f t="shared" si="71"/>
        <v>43244</v>
      </c>
      <c r="B158" s="624"/>
      <c r="C158" s="881"/>
      <c r="D158" s="395"/>
      <c r="E158" s="387"/>
      <c r="F158" s="387"/>
      <c r="G158" s="110"/>
      <c r="I158" s="382">
        <f t="shared" si="48"/>
        <v>0</v>
      </c>
      <c r="J158" s="85">
        <v>2018</v>
      </c>
      <c r="K158" s="199">
        <f t="shared" si="49"/>
        <v>43244</v>
      </c>
      <c r="L158" s="439">
        <f t="shared" si="50"/>
        <v>0</v>
      </c>
      <c r="M158" s="883"/>
      <c r="N158" s="883"/>
      <c r="O158" s="326">
        <f t="shared" si="51"/>
        <v>0</v>
      </c>
      <c r="P158" s="171">
        <f>(INDEX(Models!$BJ158:$BT158,,T158)*(1-R158)+INDEX(Models!$BJ158:$BT158,,T158+1)*R158-ERP_i)*Q158*Ramure*Pc/MaxiM</f>
        <v>1.6395967718605415E-5</v>
      </c>
      <c r="Q158" s="307">
        <f t="shared" si="52"/>
        <v>0.9</v>
      </c>
      <c r="R158" s="179">
        <f t="shared" si="53"/>
        <v>0.43168322538259796</v>
      </c>
      <c r="S158" s="839">
        <f t="shared" si="70"/>
        <v>-3</v>
      </c>
      <c r="T158" s="178">
        <f t="shared" si="54"/>
        <v>3</v>
      </c>
      <c r="U158" s="253">
        <f t="shared" si="55"/>
        <v>-2.568316774617402</v>
      </c>
      <c r="V158" s="385">
        <f t="shared" si="56"/>
        <v>64.116574385458463</v>
      </c>
      <c r="W158" s="58"/>
      <c r="X158" s="157">
        <f t="shared" si="57"/>
        <v>43244</v>
      </c>
      <c r="Y158" s="387">
        <f t="shared" si="58"/>
        <v>0</v>
      </c>
      <c r="Z158" s="387">
        <f t="shared" si="59"/>
        <v>0</v>
      </c>
      <c r="AA158" s="388">
        <f t="shared" si="60"/>
        <v>0</v>
      </c>
      <c r="AB158" s="199">
        <f t="shared" si="61"/>
        <v>43244</v>
      </c>
      <c r="AC158" s="428">
        <f t="shared" si="62"/>
        <v>0</v>
      </c>
      <c r="AD158" s="171">
        <f>(INDEX(Models!$BJ158:$BT158,,AH158)*(1-AF158)+INDEX(Models!$BJ158:$BT158,,AH158+1)*AF158-ERP_i)*AE158*Ramure*Pc/MaxiM</f>
        <v>1.6395967718605415E-5</v>
      </c>
      <c r="AE158" s="307">
        <f t="shared" si="63"/>
        <v>0.9</v>
      </c>
      <c r="AF158" s="179">
        <f t="shared" si="64"/>
        <v>0.43168322538259796</v>
      </c>
      <c r="AG158" s="839">
        <f t="shared" si="65"/>
        <v>-3</v>
      </c>
      <c r="AH158" s="178">
        <f t="shared" si="66"/>
        <v>3</v>
      </c>
      <c r="AI158" s="227">
        <f t="shared" si="67"/>
        <v>-2.568316774617402</v>
      </c>
      <c r="AJ158" s="267" t="b">
        <f t="shared" si="68"/>
        <v>1</v>
      </c>
      <c r="AK158" s="267" t="b">
        <f t="shared" si="69"/>
        <v>0</v>
      </c>
      <c r="AL158" s="267"/>
      <c r="AM158" s="267"/>
      <c r="AN158" s="75"/>
    </row>
    <row r="159" spans="1:40" s="6" customFormat="1" ht="11.25" customHeight="1" x14ac:dyDescent="0.2">
      <c r="A159" s="56">
        <f t="shared" si="71"/>
        <v>43245</v>
      </c>
      <c r="B159" s="624"/>
      <c r="C159" s="881"/>
      <c r="D159" s="395"/>
      <c r="E159" s="387"/>
      <c r="F159" s="387"/>
      <c r="G159" s="110"/>
      <c r="I159" s="382">
        <f t="shared" si="48"/>
        <v>0</v>
      </c>
      <c r="J159" s="85">
        <v>2018</v>
      </c>
      <c r="K159" s="199">
        <f t="shared" si="49"/>
        <v>43245</v>
      </c>
      <c r="L159" s="439">
        <f t="shared" si="50"/>
        <v>0</v>
      </c>
      <c r="M159" s="883"/>
      <c r="N159" s="883"/>
      <c r="O159" s="326">
        <f t="shared" si="51"/>
        <v>0</v>
      </c>
      <c r="P159" s="171">
        <f>(INDEX(Models!$BJ159:$BT159,,T159)*(1-R159)+INDEX(Models!$BJ159:$BT159,,T159+1)*R159-ERP_i)*Q159*Ramure*Pc/MaxiM</f>
        <v>1.5707903895934159E-5</v>
      </c>
      <c r="Q159" s="307">
        <f t="shared" si="52"/>
        <v>0.9</v>
      </c>
      <c r="R159" s="179">
        <f t="shared" si="53"/>
        <v>0.4381186969674018</v>
      </c>
      <c r="S159" s="839">
        <f t="shared" si="70"/>
        <v>-3</v>
      </c>
      <c r="T159" s="178">
        <f t="shared" si="54"/>
        <v>3</v>
      </c>
      <c r="U159" s="253">
        <f t="shared" si="55"/>
        <v>-2.5618813030325982</v>
      </c>
      <c r="V159" s="385">
        <f t="shared" si="56"/>
        <v>64.169888802664232</v>
      </c>
      <c r="W159" s="58"/>
      <c r="X159" s="157">
        <f t="shared" si="57"/>
        <v>43245</v>
      </c>
      <c r="Y159" s="387">
        <f t="shared" si="58"/>
        <v>0</v>
      </c>
      <c r="Z159" s="387">
        <f t="shared" si="59"/>
        <v>0</v>
      </c>
      <c r="AA159" s="388">
        <f t="shared" si="60"/>
        <v>0</v>
      </c>
      <c r="AB159" s="199">
        <f t="shared" si="61"/>
        <v>43245</v>
      </c>
      <c r="AC159" s="428">
        <f t="shared" si="62"/>
        <v>0</v>
      </c>
      <c r="AD159" s="171">
        <f>(INDEX(Models!$BJ159:$BT159,,AH159)*(1-AF159)+INDEX(Models!$BJ159:$BT159,,AH159+1)*AF159-ERP_i)*AE159*Ramure*Pc/MaxiM</f>
        <v>1.5707903895934159E-5</v>
      </c>
      <c r="AE159" s="307">
        <f t="shared" si="63"/>
        <v>0.9</v>
      </c>
      <c r="AF159" s="179">
        <f t="shared" si="64"/>
        <v>0.4381186969674018</v>
      </c>
      <c r="AG159" s="839">
        <f t="shared" si="65"/>
        <v>-3</v>
      </c>
      <c r="AH159" s="178">
        <f t="shared" si="66"/>
        <v>3</v>
      </c>
      <c r="AI159" s="227">
        <f t="shared" si="67"/>
        <v>-2.5618813030325982</v>
      </c>
      <c r="AJ159" s="267" t="b">
        <f t="shared" si="68"/>
        <v>1</v>
      </c>
      <c r="AK159" s="267" t="b">
        <f t="shared" si="69"/>
        <v>0</v>
      </c>
      <c r="AL159" s="267"/>
      <c r="AM159" s="267"/>
      <c r="AN159" s="75"/>
    </row>
    <row r="160" spans="1:40" s="6" customFormat="1" ht="11.25" customHeight="1" x14ac:dyDescent="0.2">
      <c r="A160" s="56">
        <f t="shared" si="71"/>
        <v>43246</v>
      </c>
      <c r="B160" s="624"/>
      <c r="C160" s="881"/>
      <c r="D160" s="395"/>
      <c r="E160" s="387"/>
      <c r="F160" s="387"/>
      <c r="G160" s="110"/>
      <c r="I160" s="382">
        <f t="shared" si="48"/>
        <v>0</v>
      </c>
      <c r="J160" s="85">
        <v>2018</v>
      </c>
      <c r="K160" s="199">
        <f t="shared" si="49"/>
        <v>43246</v>
      </c>
      <c r="L160" s="439">
        <f t="shared" si="50"/>
        <v>0</v>
      </c>
      <c r="M160" s="883"/>
      <c r="N160" s="883"/>
      <c r="O160" s="326">
        <f t="shared" si="51"/>
        <v>0</v>
      </c>
      <c r="P160" s="171">
        <f>(INDEX(Models!$BJ160:$BT160,,T160)*(1-R160)+INDEX(Models!$BJ160:$BT160,,T160+1)*R160-ERP_i)*Q160*Ramure*Pc/MaxiM</f>
        <v>1.5055720359595493E-5</v>
      </c>
      <c r="Q160" s="307">
        <f t="shared" si="52"/>
        <v>0.9</v>
      </c>
      <c r="R160" s="179">
        <f t="shared" si="53"/>
        <v>0.44463865424456728</v>
      </c>
      <c r="S160" s="839">
        <f t="shared" si="70"/>
        <v>-3</v>
      </c>
      <c r="T160" s="178">
        <f t="shared" si="54"/>
        <v>3</v>
      </c>
      <c r="U160" s="253">
        <f t="shared" si="55"/>
        <v>-2.5553613457554327</v>
      </c>
      <c r="V160" s="385">
        <f t="shared" si="56"/>
        <v>64.219058776773039</v>
      </c>
      <c r="W160" s="58"/>
      <c r="X160" s="157">
        <f t="shared" si="57"/>
        <v>43246</v>
      </c>
      <c r="Y160" s="387">
        <f t="shared" si="58"/>
        <v>0</v>
      </c>
      <c r="Z160" s="387">
        <f t="shared" si="59"/>
        <v>0</v>
      </c>
      <c r="AA160" s="388">
        <f t="shared" si="60"/>
        <v>0</v>
      </c>
      <c r="AB160" s="199">
        <f t="shared" si="61"/>
        <v>43246</v>
      </c>
      <c r="AC160" s="428">
        <f t="shared" si="62"/>
        <v>0</v>
      </c>
      <c r="AD160" s="171">
        <f>(INDEX(Models!$BJ160:$BT160,,AH160)*(1-AF160)+INDEX(Models!$BJ160:$BT160,,AH160+1)*AF160-ERP_i)*AE160*Ramure*Pc/MaxiM</f>
        <v>1.5055720359595493E-5</v>
      </c>
      <c r="AE160" s="307">
        <f t="shared" si="63"/>
        <v>0.9</v>
      </c>
      <c r="AF160" s="179">
        <f t="shared" si="64"/>
        <v>0.44463865424456728</v>
      </c>
      <c r="AG160" s="839">
        <f t="shared" si="65"/>
        <v>-3</v>
      </c>
      <c r="AH160" s="178">
        <f t="shared" si="66"/>
        <v>3</v>
      </c>
      <c r="AI160" s="227">
        <f t="shared" si="67"/>
        <v>-2.5553613457554327</v>
      </c>
      <c r="AJ160" s="267" t="b">
        <f t="shared" si="68"/>
        <v>1</v>
      </c>
      <c r="AK160" s="267" t="b">
        <f t="shared" si="69"/>
        <v>0</v>
      </c>
      <c r="AL160" s="267"/>
      <c r="AM160" s="267"/>
      <c r="AN160" s="75"/>
    </row>
    <row r="161" spans="1:40" s="6" customFormat="1" ht="11.25" customHeight="1" x14ac:dyDescent="0.2">
      <c r="A161" s="56">
        <f t="shared" si="71"/>
        <v>43247</v>
      </c>
      <c r="B161" s="624"/>
      <c r="C161" s="881"/>
      <c r="D161" s="395"/>
      <c r="E161" s="387"/>
      <c r="F161" s="387"/>
      <c r="G161" s="110"/>
      <c r="I161" s="382">
        <f t="shared" si="48"/>
        <v>0</v>
      </c>
      <c r="J161" s="85">
        <v>2018</v>
      </c>
      <c r="K161" s="199">
        <f t="shared" si="49"/>
        <v>43247</v>
      </c>
      <c r="L161" s="439">
        <f t="shared" si="50"/>
        <v>0</v>
      </c>
      <c r="M161" s="883"/>
      <c r="N161" s="883"/>
      <c r="O161" s="326">
        <f t="shared" si="51"/>
        <v>0</v>
      </c>
      <c r="P161" s="171">
        <f>(INDEX(Models!$BJ161:$BT161,,T161)*(1-R161)+INDEX(Models!$BJ161:$BT161,,T161+1)*R161-ERP_i)*Q161*Ramure*Pc/MaxiM</f>
        <v>1.444488873324369E-5</v>
      </c>
      <c r="Q161" s="307">
        <f t="shared" si="52"/>
        <v>0.9</v>
      </c>
      <c r="R161" s="179">
        <f t="shared" si="53"/>
        <v>0.45123916059193325</v>
      </c>
      <c r="S161" s="839">
        <f t="shared" si="70"/>
        <v>-3</v>
      </c>
      <c r="T161" s="178">
        <f t="shared" si="54"/>
        <v>3</v>
      </c>
      <c r="U161" s="253">
        <f t="shared" si="55"/>
        <v>-2.5487608394080667</v>
      </c>
      <c r="V161" s="385">
        <f t="shared" si="56"/>
        <v>64.264419799436226</v>
      </c>
      <c r="W161" s="58"/>
      <c r="X161" s="157">
        <f t="shared" si="57"/>
        <v>43247</v>
      </c>
      <c r="Y161" s="387">
        <f t="shared" si="58"/>
        <v>0</v>
      </c>
      <c r="Z161" s="387">
        <f t="shared" si="59"/>
        <v>0</v>
      </c>
      <c r="AA161" s="388">
        <f t="shared" si="60"/>
        <v>0</v>
      </c>
      <c r="AB161" s="199">
        <f t="shared" si="61"/>
        <v>43247</v>
      </c>
      <c r="AC161" s="428">
        <f t="shared" si="62"/>
        <v>0</v>
      </c>
      <c r="AD161" s="171">
        <f>(INDEX(Models!$BJ161:$BT161,,AH161)*(1-AF161)+INDEX(Models!$BJ161:$BT161,,AH161+1)*AF161-ERP_i)*AE161*Ramure*Pc/MaxiM</f>
        <v>1.444488873324369E-5</v>
      </c>
      <c r="AE161" s="307">
        <f t="shared" si="63"/>
        <v>0.9</v>
      </c>
      <c r="AF161" s="179">
        <f t="shared" si="64"/>
        <v>0.45123916059193325</v>
      </c>
      <c r="AG161" s="839">
        <f t="shared" si="65"/>
        <v>-3</v>
      </c>
      <c r="AH161" s="178">
        <f t="shared" si="66"/>
        <v>3</v>
      </c>
      <c r="AI161" s="227">
        <f t="shared" si="67"/>
        <v>-2.5487608394080667</v>
      </c>
      <c r="AJ161" s="267" t="b">
        <f t="shared" si="68"/>
        <v>1</v>
      </c>
      <c r="AK161" s="267" t="b">
        <f t="shared" si="69"/>
        <v>0</v>
      </c>
      <c r="AL161" s="267"/>
      <c r="AM161" s="267"/>
      <c r="AN161" s="75"/>
    </row>
    <row r="162" spans="1:40" s="6" customFormat="1" ht="11.25" customHeight="1" x14ac:dyDescent="0.2">
      <c r="A162" s="56">
        <f t="shared" si="71"/>
        <v>43248</v>
      </c>
      <c r="B162" s="624"/>
      <c r="C162" s="881"/>
      <c r="D162" s="395"/>
      <c r="E162" s="387"/>
      <c r="F162" s="387"/>
      <c r="G162" s="110"/>
      <c r="I162" s="382">
        <f t="shared" si="48"/>
        <v>0</v>
      </c>
      <c r="J162" s="85">
        <v>2018</v>
      </c>
      <c r="K162" s="199">
        <f t="shared" si="49"/>
        <v>43248</v>
      </c>
      <c r="L162" s="439">
        <f t="shared" si="50"/>
        <v>0</v>
      </c>
      <c r="M162" s="883"/>
      <c r="N162" s="883"/>
      <c r="O162" s="326">
        <f t="shared" si="51"/>
        <v>0</v>
      </c>
      <c r="P162" s="171">
        <f>(INDEX(Models!$BJ162:$BT162,,T162)*(1-R162)+INDEX(Models!$BJ162:$BT162,,T162+1)*R162-ERP_i)*Q162*Ramure*Pc/MaxiM</f>
        <v>1.3881100298488412E-5</v>
      </c>
      <c r="Q162" s="307">
        <f t="shared" si="52"/>
        <v>0.9</v>
      </c>
      <c r="R162" s="179">
        <f t="shared" si="53"/>
        <v>0.45791604392609253</v>
      </c>
      <c r="S162" s="839">
        <f t="shared" si="70"/>
        <v>-3</v>
      </c>
      <c r="T162" s="178">
        <f t="shared" si="54"/>
        <v>3</v>
      </c>
      <c r="U162" s="253">
        <f t="shared" si="55"/>
        <v>-2.5420839560739075</v>
      </c>
      <c r="V162" s="385">
        <f t="shared" si="56"/>
        <v>64.306307345741999</v>
      </c>
      <c r="W162" s="58"/>
      <c r="X162" s="157">
        <f t="shared" si="57"/>
        <v>43248</v>
      </c>
      <c r="Y162" s="387">
        <f t="shared" si="58"/>
        <v>0</v>
      </c>
      <c r="Z162" s="387">
        <f t="shared" si="59"/>
        <v>0</v>
      </c>
      <c r="AA162" s="388">
        <f t="shared" si="60"/>
        <v>0</v>
      </c>
      <c r="AB162" s="199">
        <f t="shared" si="61"/>
        <v>43248</v>
      </c>
      <c r="AC162" s="428">
        <f t="shared" si="62"/>
        <v>0</v>
      </c>
      <c r="AD162" s="171">
        <f>(INDEX(Models!$BJ162:$BT162,,AH162)*(1-AF162)+INDEX(Models!$BJ162:$BT162,,AH162+1)*AF162-ERP_i)*AE162*Ramure*Pc/MaxiM</f>
        <v>1.3881100298488412E-5</v>
      </c>
      <c r="AE162" s="307">
        <f t="shared" si="63"/>
        <v>0.9</v>
      </c>
      <c r="AF162" s="179">
        <f t="shared" si="64"/>
        <v>0.45791604392609253</v>
      </c>
      <c r="AG162" s="839">
        <f t="shared" si="65"/>
        <v>-3</v>
      </c>
      <c r="AH162" s="178">
        <f t="shared" si="66"/>
        <v>3</v>
      </c>
      <c r="AI162" s="227">
        <f t="shared" si="67"/>
        <v>-2.5420839560739075</v>
      </c>
      <c r="AJ162" s="267" t="b">
        <f t="shared" si="68"/>
        <v>1</v>
      </c>
      <c r="AK162" s="267" t="b">
        <f t="shared" si="69"/>
        <v>0</v>
      </c>
      <c r="AL162" s="267"/>
      <c r="AM162" s="267"/>
      <c r="AN162" s="75"/>
    </row>
    <row r="163" spans="1:40" s="6" customFormat="1" ht="11.25" x14ac:dyDescent="0.2">
      <c r="A163" s="56">
        <f t="shared" si="71"/>
        <v>43249</v>
      </c>
      <c r="B163" s="624"/>
      <c r="C163" s="881"/>
      <c r="D163" s="395"/>
      <c r="E163" s="387"/>
      <c r="F163" s="387"/>
      <c r="G163" s="110"/>
      <c r="I163" s="382">
        <f t="shared" si="48"/>
        <v>0</v>
      </c>
      <c r="J163" s="85">
        <v>2018</v>
      </c>
      <c r="K163" s="199">
        <f t="shared" si="49"/>
        <v>43249</v>
      </c>
      <c r="L163" s="439">
        <f t="shared" si="50"/>
        <v>0</v>
      </c>
      <c r="M163" s="883"/>
      <c r="N163" s="883"/>
      <c r="O163" s="326">
        <f t="shared" si="51"/>
        <v>0</v>
      </c>
      <c r="P163" s="171">
        <f>(INDEX(Models!$BJ163:$BT163,,T163)*(1-R163)+INDEX(Models!$BJ163:$BT163,,T163+1)*R163-ERP_i)*Q163*Ramure*Pc/MaxiM</f>
        <v>1.3370530384747448E-5</v>
      </c>
      <c r="Q163" s="307">
        <f t="shared" si="52"/>
        <v>0.9</v>
      </c>
      <c r="R163" s="179">
        <f t="shared" si="53"/>
        <v>0.46466490468980348</v>
      </c>
      <c r="S163" s="839">
        <f t="shared" si="70"/>
        <v>-3</v>
      </c>
      <c r="T163" s="178">
        <f t="shared" si="54"/>
        <v>3</v>
      </c>
      <c r="U163" s="253">
        <f t="shared" si="55"/>
        <v>-2.5353350953101965</v>
      </c>
      <c r="V163" s="385">
        <f t="shared" si="56"/>
        <v>64.343732098683716</v>
      </c>
      <c r="W163" s="58"/>
      <c r="X163" s="157">
        <f t="shared" si="57"/>
        <v>43249</v>
      </c>
      <c r="Y163" s="387">
        <f t="shared" si="58"/>
        <v>0</v>
      </c>
      <c r="Z163" s="387">
        <f t="shared" si="59"/>
        <v>0</v>
      </c>
      <c r="AA163" s="388">
        <f t="shared" si="60"/>
        <v>0</v>
      </c>
      <c r="AB163" s="199">
        <f t="shared" si="61"/>
        <v>43249</v>
      </c>
      <c r="AC163" s="428">
        <f t="shared" si="62"/>
        <v>0</v>
      </c>
      <c r="AD163" s="171">
        <f>(INDEX(Models!$BJ163:$BT163,,AH163)*(1-AF163)+INDEX(Models!$BJ163:$BT163,,AH163+1)*AF163-ERP_i)*AE163*Ramure*Pc/MaxiM</f>
        <v>1.3370530384747448E-5</v>
      </c>
      <c r="AE163" s="307">
        <f t="shared" si="63"/>
        <v>0.9</v>
      </c>
      <c r="AF163" s="179">
        <f t="shared" si="64"/>
        <v>0.46466490468980348</v>
      </c>
      <c r="AG163" s="839">
        <f t="shared" si="65"/>
        <v>-3</v>
      </c>
      <c r="AH163" s="178">
        <f t="shared" si="66"/>
        <v>3</v>
      </c>
      <c r="AI163" s="227">
        <f t="shared" si="67"/>
        <v>-2.5353350953101965</v>
      </c>
      <c r="AJ163" s="267" t="b">
        <f t="shared" si="68"/>
        <v>1</v>
      </c>
      <c r="AK163" s="267" t="b">
        <f t="shared" si="69"/>
        <v>0</v>
      </c>
      <c r="AL163" s="267"/>
      <c r="AM163" s="267"/>
      <c r="AN163" s="75"/>
    </row>
    <row r="164" spans="1:40" s="6" customFormat="1" ht="11.25" x14ac:dyDescent="0.2">
      <c r="A164" s="56">
        <f t="shared" si="71"/>
        <v>43250</v>
      </c>
      <c r="B164" s="624"/>
      <c r="C164" s="881"/>
      <c r="D164" s="395"/>
      <c r="E164" s="387"/>
      <c r="F164" s="387"/>
      <c r="G164" s="110"/>
      <c r="I164" s="382">
        <f t="shared" si="48"/>
        <v>0</v>
      </c>
      <c r="J164" s="85">
        <v>2018</v>
      </c>
      <c r="K164" s="199">
        <f t="shared" si="49"/>
        <v>43250</v>
      </c>
      <c r="L164" s="439">
        <f t="shared" si="50"/>
        <v>0</v>
      </c>
      <c r="M164" s="883"/>
      <c r="N164" s="883"/>
      <c r="O164" s="326">
        <f t="shared" si="51"/>
        <v>0</v>
      </c>
      <c r="P164" s="171">
        <f>(INDEX(Models!$BJ164:$BT164,,T164)*(1-R164)+INDEX(Models!$BJ164:$BT164,,T164+1)*R164-ERP_i)*Q164*Ramure*Pc/MaxiM</f>
        <v>1.2947444956731343E-5</v>
      </c>
      <c r="Q164" s="307">
        <f t="shared" si="52"/>
        <v>0.9</v>
      </c>
      <c r="R164" s="179">
        <f t="shared" si="53"/>
        <v>0.47148112520592589</v>
      </c>
      <c r="S164" s="839">
        <f t="shared" si="70"/>
        <v>-3</v>
      </c>
      <c r="T164" s="178">
        <f t="shared" si="54"/>
        <v>3</v>
      </c>
      <c r="U164" s="253">
        <f t="shared" si="55"/>
        <v>-2.5285188747940741</v>
      </c>
      <c r="V164" s="385">
        <f t="shared" si="56"/>
        <v>64.375628297049076</v>
      </c>
      <c r="W164" s="58"/>
      <c r="X164" s="157">
        <f t="shared" si="57"/>
        <v>43250</v>
      </c>
      <c r="Y164" s="387">
        <f t="shared" si="58"/>
        <v>0</v>
      </c>
      <c r="Z164" s="387">
        <f t="shared" si="59"/>
        <v>0</v>
      </c>
      <c r="AA164" s="388">
        <f t="shared" si="60"/>
        <v>0</v>
      </c>
      <c r="AB164" s="199">
        <f t="shared" si="61"/>
        <v>43250</v>
      </c>
      <c r="AC164" s="428">
        <f t="shared" si="62"/>
        <v>0</v>
      </c>
      <c r="AD164" s="171">
        <f>(INDEX(Models!$BJ164:$BT164,,AH164)*(1-AF164)+INDEX(Models!$BJ164:$BT164,,AH164+1)*AF164-ERP_i)*AE164*Ramure*Pc/MaxiM</f>
        <v>1.2947444956731343E-5</v>
      </c>
      <c r="AE164" s="307">
        <f t="shared" si="63"/>
        <v>0.9</v>
      </c>
      <c r="AF164" s="179">
        <f t="shared" si="64"/>
        <v>0.47148112520592589</v>
      </c>
      <c r="AG164" s="839">
        <f t="shared" si="65"/>
        <v>-3</v>
      </c>
      <c r="AH164" s="178">
        <f t="shared" si="66"/>
        <v>3</v>
      </c>
      <c r="AI164" s="227">
        <f t="shared" si="67"/>
        <v>-2.5285188747940741</v>
      </c>
      <c r="AJ164" s="267" t="b">
        <f t="shared" si="68"/>
        <v>1</v>
      </c>
      <c r="AK164" s="267" t="b">
        <f t="shared" si="69"/>
        <v>0</v>
      </c>
      <c r="AL164" s="267"/>
      <c r="AM164" s="267"/>
      <c r="AN164" s="75"/>
    </row>
    <row r="165" spans="1:40" s="6" customFormat="1" ht="11.25" x14ac:dyDescent="0.2">
      <c r="A165" s="56">
        <f t="shared" si="71"/>
        <v>43251</v>
      </c>
      <c r="B165" s="624"/>
      <c r="C165" s="881"/>
      <c r="D165" s="395"/>
      <c r="E165" s="387"/>
      <c r="F165" s="387"/>
      <c r="G165" s="110"/>
      <c r="I165" s="382">
        <f t="shared" si="48"/>
        <v>0</v>
      </c>
      <c r="J165" s="85">
        <v>2018</v>
      </c>
      <c r="K165" s="199">
        <f t="shared" si="49"/>
        <v>43251</v>
      </c>
      <c r="L165" s="439">
        <f t="shared" si="50"/>
        <v>0</v>
      </c>
      <c r="M165" s="883"/>
      <c r="N165" s="883"/>
      <c r="O165" s="326">
        <f t="shared" si="51"/>
        <v>0</v>
      </c>
      <c r="P165" s="171">
        <f>(INDEX(Models!$BJ165:$BT165,,T165)*(1-R165)+INDEX(Models!$BJ165:$BT165,,T165+1)*R165-ERP_i)*Q165*Ramure*Pc/MaxiM</f>
        <v>1.2580312381907554E-5</v>
      </c>
      <c r="Q165" s="307">
        <f t="shared" si="52"/>
        <v>0.9</v>
      </c>
      <c r="R165" s="179">
        <f t="shared" si="53"/>
        <v>0.47835988037540345</v>
      </c>
      <c r="S165" s="839">
        <f t="shared" si="70"/>
        <v>-3</v>
      </c>
      <c r="T165" s="178">
        <f t="shared" si="54"/>
        <v>3</v>
      </c>
      <c r="U165" s="253">
        <f t="shared" si="55"/>
        <v>-2.5216401196245966</v>
      </c>
      <c r="V165" s="385">
        <f t="shared" si="56"/>
        <v>64.402221859444708</v>
      </c>
      <c r="W165" s="58"/>
      <c r="X165" s="157">
        <f t="shared" si="57"/>
        <v>43251</v>
      </c>
      <c r="Y165" s="387">
        <f t="shared" si="58"/>
        <v>0</v>
      </c>
      <c r="Z165" s="387">
        <f t="shared" si="59"/>
        <v>0</v>
      </c>
      <c r="AA165" s="388">
        <f t="shared" si="60"/>
        <v>0</v>
      </c>
      <c r="AB165" s="199">
        <f t="shared" si="61"/>
        <v>43251</v>
      </c>
      <c r="AC165" s="428">
        <f t="shared" si="62"/>
        <v>0</v>
      </c>
      <c r="AD165" s="171">
        <f>(INDEX(Models!$BJ165:$BT165,,AH165)*(1-AF165)+INDEX(Models!$BJ165:$BT165,,AH165+1)*AF165-ERP_i)*AE165*Ramure*Pc/MaxiM</f>
        <v>1.2580312381907554E-5</v>
      </c>
      <c r="AE165" s="307">
        <f t="shared" si="63"/>
        <v>0.9</v>
      </c>
      <c r="AF165" s="179">
        <f t="shared" si="64"/>
        <v>0.47835988037540345</v>
      </c>
      <c r="AG165" s="839">
        <f t="shared" si="65"/>
        <v>-3</v>
      </c>
      <c r="AH165" s="178">
        <f t="shared" si="66"/>
        <v>3</v>
      </c>
      <c r="AI165" s="227">
        <f t="shared" si="67"/>
        <v>-2.5216401196245966</v>
      </c>
      <c r="AJ165" s="267" t="b">
        <f t="shared" si="68"/>
        <v>1</v>
      </c>
      <c r="AK165" s="267" t="b">
        <f t="shared" si="69"/>
        <v>0</v>
      </c>
      <c r="AL165" s="267"/>
      <c r="AM165" s="267"/>
      <c r="AN165" s="75"/>
    </row>
    <row r="166" spans="1:40" s="6" customFormat="1" ht="11.25" customHeight="1" x14ac:dyDescent="0.2">
      <c r="A166" s="56">
        <f t="shared" si="71"/>
        <v>43252</v>
      </c>
      <c r="B166" s="624"/>
      <c r="C166" s="881"/>
      <c r="D166" s="395"/>
      <c r="E166" s="387"/>
      <c r="F166" s="387"/>
      <c r="G166" s="110"/>
      <c r="I166" s="382">
        <f t="shared" si="48"/>
        <v>0</v>
      </c>
      <c r="J166" s="85">
        <v>2018</v>
      </c>
      <c r="K166" s="199">
        <f t="shared" si="49"/>
        <v>43252</v>
      </c>
      <c r="L166" s="439">
        <f t="shared" si="50"/>
        <v>0</v>
      </c>
      <c r="M166" s="883"/>
      <c r="N166" s="883"/>
      <c r="O166" s="326">
        <f t="shared" si="51"/>
        <v>0</v>
      </c>
      <c r="P166" s="171">
        <f>(INDEX(Models!$BJ166:$BT166,,T166)*(1-R166)+INDEX(Models!$BJ166:$BT166,,T166+1)*R166-ERP_i)*Q166*Ramure*Pc/MaxiM</f>
        <v>1.227478393178714E-5</v>
      </c>
      <c r="Q166" s="307">
        <f t="shared" si="52"/>
        <v>0.9</v>
      </c>
      <c r="R166" s="179">
        <f t="shared" si="53"/>
        <v>0.48529614968331858</v>
      </c>
      <c r="S166" s="839">
        <f t="shared" si="70"/>
        <v>-3</v>
      </c>
      <c r="T166" s="178">
        <f t="shared" si="54"/>
        <v>3</v>
      </c>
      <c r="U166" s="253">
        <f t="shared" si="55"/>
        <v>-2.5147038503166814</v>
      </c>
      <c r="V166" s="385">
        <f t="shared" si="56"/>
        <v>64.42373631630872</v>
      </c>
      <c r="W166" s="58"/>
      <c r="X166" s="157">
        <f t="shared" si="57"/>
        <v>43252</v>
      </c>
      <c r="Y166" s="387">
        <f t="shared" si="58"/>
        <v>0</v>
      </c>
      <c r="Z166" s="387">
        <f t="shared" si="59"/>
        <v>0</v>
      </c>
      <c r="AA166" s="388">
        <f t="shared" si="60"/>
        <v>0</v>
      </c>
      <c r="AB166" s="199">
        <f t="shared" si="61"/>
        <v>43252</v>
      </c>
      <c r="AC166" s="428">
        <f t="shared" si="62"/>
        <v>0</v>
      </c>
      <c r="AD166" s="171">
        <f>(INDEX(Models!$BJ166:$BT166,,AH166)*(1-AF166)+INDEX(Models!$BJ166:$BT166,,AH166+1)*AF166-ERP_i)*AE166*Ramure*Pc/MaxiM</f>
        <v>1.227478393178714E-5</v>
      </c>
      <c r="AE166" s="307">
        <f t="shared" si="63"/>
        <v>0.9</v>
      </c>
      <c r="AF166" s="179">
        <f t="shared" si="64"/>
        <v>0.48529614968331858</v>
      </c>
      <c r="AG166" s="839">
        <f t="shared" si="65"/>
        <v>-3</v>
      </c>
      <c r="AH166" s="178">
        <f t="shared" si="66"/>
        <v>3</v>
      </c>
      <c r="AI166" s="227">
        <f t="shared" si="67"/>
        <v>-2.5147038503166814</v>
      </c>
      <c r="AJ166" s="267" t="b">
        <f t="shared" si="68"/>
        <v>1</v>
      </c>
      <c r="AK166" s="267" t="b">
        <f t="shared" si="69"/>
        <v>0</v>
      </c>
      <c r="AL166" s="267"/>
      <c r="AM166" s="267"/>
      <c r="AN166" s="75"/>
    </row>
    <row r="167" spans="1:40" s="6" customFormat="1" ht="11.25" customHeight="1" x14ac:dyDescent="0.2">
      <c r="A167" s="56">
        <f t="shared" si="71"/>
        <v>43253</v>
      </c>
      <c r="B167" s="624"/>
      <c r="C167" s="881"/>
      <c r="D167" s="395"/>
      <c r="E167" s="387"/>
      <c r="F167" s="387"/>
      <c r="G167" s="110"/>
      <c r="I167" s="382">
        <f t="shared" si="48"/>
        <v>0</v>
      </c>
      <c r="J167" s="85">
        <v>2018</v>
      </c>
      <c r="K167" s="199">
        <f t="shared" si="49"/>
        <v>43253</v>
      </c>
      <c r="L167" s="439">
        <f t="shared" si="50"/>
        <v>0</v>
      </c>
      <c r="M167" s="883"/>
      <c r="N167" s="883"/>
      <c r="O167" s="326">
        <f t="shared" si="51"/>
        <v>0</v>
      </c>
      <c r="P167" s="171">
        <f>(INDEX(Models!$BJ167:$BT167,,T167)*(1-R167)+INDEX(Models!$BJ167:$BT167,,T167+1)*R167-ERP_i)*Q167*Ramure*Pc/MaxiM</f>
        <v>1.2036665174986175E-5</v>
      </c>
      <c r="Q167" s="307">
        <f t="shared" si="52"/>
        <v>0.9</v>
      </c>
      <c r="R167" s="179">
        <f t="shared" si="53"/>
        <v>0.49228473046349608</v>
      </c>
      <c r="S167" s="839">
        <f t="shared" si="70"/>
        <v>-3</v>
      </c>
      <c r="T167" s="178">
        <f t="shared" si="54"/>
        <v>3</v>
      </c>
      <c r="U167" s="253">
        <f t="shared" si="55"/>
        <v>-2.5077152695365039</v>
      </c>
      <c r="V167" s="385">
        <f t="shared" si="56"/>
        <v>64.440395189448154</v>
      </c>
      <c r="W167" s="58"/>
      <c r="X167" s="157">
        <f t="shared" si="57"/>
        <v>43253</v>
      </c>
      <c r="Y167" s="387">
        <f t="shared" si="58"/>
        <v>0</v>
      </c>
      <c r="Z167" s="387">
        <f t="shared" si="59"/>
        <v>0</v>
      </c>
      <c r="AA167" s="388">
        <f t="shared" si="60"/>
        <v>0</v>
      </c>
      <c r="AB167" s="199">
        <f t="shared" si="61"/>
        <v>43253</v>
      </c>
      <c r="AC167" s="428">
        <f t="shared" si="62"/>
        <v>0</v>
      </c>
      <c r="AD167" s="171">
        <f>(INDEX(Models!$BJ167:$BT167,,AH167)*(1-AF167)+INDEX(Models!$BJ167:$BT167,,AH167+1)*AF167-ERP_i)*AE167*Ramure*Pc/MaxiM</f>
        <v>1.2036665174986175E-5</v>
      </c>
      <c r="AE167" s="307">
        <f t="shared" si="63"/>
        <v>0.9</v>
      </c>
      <c r="AF167" s="179">
        <f t="shared" si="64"/>
        <v>0.49228473046349608</v>
      </c>
      <c r="AG167" s="839">
        <f t="shared" si="65"/>
        <v>-3</v>
      </c>
      <c r="AH167" s="178">
        <f t="shared" si="66"/>
        <v>3</v>
      </c>
      <c r="AI167" s="227">
        <f t="shared" si="67"/>
        <v>-2.5077152695365039</v>
      </c>
      <c r="AJ167" s="267" t="b">
        <f t="shared" si="68"/>
        <v>1</v>
      </c>
      <c r="AK167" s="267" t="b">
        <f t="shared" si="69"/>
        <v>0</v>
      </c>
      <c r="AL167" s="267"/>
      <c r="AM167" s="267"/>
      <c r="AN167" s="75"/>
    </row>
    <row r="168" spans="1:40" s="6" customFormat="1" ht="11.25" customHeight="1" x14ac:dyDescent="0.2">
      <c r="A168" s="56">
        <f t="shared" si="71"/>
        <v>43254</v>
      </c>
      <c r="B168" s="624"/>
      <c r="C168" s="881"/>
      <c r="D168" s="395"/>
      <c r="E168" s="387"/>
      <c r="F168" s="387"/>
      <c r="G168" s="110"/>
      <c r="I168" s="382">
        <f t="shared" si="48"/>
        <v>0</v>
      </c>
      <c r="J168" s="85">
        <v>2018</v>
      </c>
      <c r="K168" s="199">
        <f t="shared" si="49"/>
        <v>43254</v>
      </c>
      <c r="L168" s="439">
        <f t="shared" si="50"/>
        <v>0</v>
      </c>
      <c r="M168" s="883"/>
      <c r="N168" s="883"/>
      <c r="O168" s="326">
        <f t="shared" si="51"/>
        <v>0</v>
      </c>
      <c r="P168" s="171">
        <f>(INDEX(Models!$BJ168:$BT168,,T168)*(1-R168)+INDEX(Models!$BJ168:$BT168,,T168+1)*R168-ERP_i)*Q168*Ramure*Pc/MaxiM</f>
        <v>1.1871903662507129E-5</v>
      </c>
      <c r="Q168" s="307">
        <f t="shared" si="52"/>
        <v>0.9</v>
      </c>
      <c r="R168" s="179">
        <f t="shared" si="53"/>
        <v>0.49932025235867705</v>
      </c>
      <c r="S168" s="839">
        <f t="shared" si="70"/>
        <v>-3</v>
      </c>
      <c r="T168" s="178">
        <f t="shared" si="54"/>
        <v>3</v>
      </c>
      <c r="U168" s="253">
        <f t="shared" si="55"/>
        <v>-2.5006797476413229</v>
      </c>
      <c r="V168" s="385">
        <f t="shared" si="56"/>
        <v>64.452421990405298</v>
      </c>
      <c r="W168" s="58"/>
      <c r="X168" s="157">
        <f t="shared" si="57"/>
        <v>43254</v>
      </c>
      <c r="Y168" s="387">
        <f t="shared" si="58"/>
        <v>0</v>
      </c>
      <c r="Z168" s="387">
        <f t="shared" si="59"/>
        <v>0</v>
      </c>
      <c r="AA168" s="388">
        <f t="shared" si="60"/>
        <v>0</v>
      </c>
      <c r="AB168" s="199">
        <f t="shared" si="61"/>
        <v>43254</v>
      </c>
      <c r="AC168" s="428">
        <f t="shared" si="62"/>
        <v>0</v>
      </c>
      <c r="AD168" s="171">
        <f>(INDEX(Models!$BJ168:$BT168,,AH168)*(1-AF168)+INDEX(Models!$BJ168:$BT168,,AH168+1)*AF168-ERP_i)*AE168*Ramure*Pc/MaxiM</f>
        <v>1.1871903662507129E-5</v>
      </c>
      <c r="AE168" s="307">
        <f t="shared" si="63"/>
        <v>0.9</v>
      </c>
      <c r="AF168" s="179">
        <f t="shared" si="64"/>
        <v>0.49932025235867705</v>
      </c>
      <c r="AG168" s="839">
        <f t="shared" si="65"/>
        <v>-3</v>
      </c>
      <c r="AH168" s="178">
        <f t="shared" si="66"/>
        <v>3</v>
      </c>
      <c r="AI168" s="227">
        <f t="shared" si="67"/>
        <v>-2.5006797476413229</v>
      </c>
      <c r="AJ168" s="267" t="b">
        <f t="shared" si="68"/>
        <v>1</v>
      </c>
      <c r="AK168" s="267" t="b">
        <f t="shared" si="69"/>
        <v>0</v>
      </c>
      <c r="AL168" s="267"/>
      <c r="AM168" s="267"/>
      <c r="AN168" s="75"/>
    </row>
    <row r="169" spans="1:40" s="18" customFormat="1" ht="11.25" customHeight="1" x14ac:dyDescent="0.2">
      <c r="A169" s="56">
        <f t="shared" si="71"/>
        <v>43255</v>
      </c>
      <c r="B169" s="620"/>
      <c r="C169" s="392"/>
      <c r="D169" s="395"/>
      <c r="E169" s="387"/>
      <c r="F169" s="387"/>
      <c r="G169" s="110"/>
      <c r="I169" s="382">
        <f t="shared" si="48"/>
        <v>0</v>
      </c>
      <c r="J169" s="85">
        <v>2018</v>
      </c>
      <c r="K169" s="199">
        <f t="shared" si="49"/>
        <v>43255</v>
      </c>
      <c r="L169" s="439">
        <f t="shared" si="50"/>
        <v>0</v>
      </c>
      <c r="M169" s="883"/>
      <c r="N169" s="883"/>
      <c r="O169" s="326">
        <f t="shared" si="51"/>
        <v>0</v>
      </c>
      <c r="P169" s="171">
        <f>(INDEX(Models!$BJ169:$BT169,,T169)*(1-R169)+INDEX(Models!$BJ169:$BT169,,T169+1)*R169-ERP_i)*Q169*Ramure*Pc/MaxiM</f>
        <v>1.178657565429072E-5</v>
      </c>
      <c r="Q169" s="307">
        <f t="shared" si="52"/>
        <v>0.9</v>
      </c>
      <c r="R169" s="179">
        <f t="shared" si="53"/>
        <v>0.50639719290020047</v>
      </c>
      <c r="S169" s="839">
        <f t="shared" si="70"/>
        <v>-3</v>
      </c>
      <c r="T169" s="178">
        <f t="shared" si="54"/>
        <v>3</v>
      </c>
      <c r="U169" s="253">
        <f t="shared" si="55"/>
        <v>-2.4936028070997995</v>
      </c>
      <c r="V169" s="385">
        <f t="shared" si="56"/>
        <v>64.460040228184212</v>
      </c>
      <c r="W169" s="58"/>
      <c r="X169" s="157">
        <f t="shared" si="57"/>
        <v>43255</v>
      </c>
      <c r="Y169" s="387">
        <f t="shared" si="58"/>
        <v>0</v>
      </c>
      <c r="Z169" s="387">
        <f t="shared" si="59"/>
        <v>0</v>
      </c>
      <c r="AA169" s="388">
        <f t="shared" si="60"/>
        <v>0</v>
      </c>
      <c r="AB169" s="199">
        <f t="shared" si="61"/>
        <v>43255</v>
      </c>
      <c r="AC169" s="428">
        <f t="shared" si="62"/>
        <v>0</v>
      </c>
      <c r="AD169" s="171">
        <f>(INDEX(Models!$BJ169:$BT169,,AH169)*(1-AF169)+INDEX(Models!$BJ169:$BT169,,AH169+1)*AF169-ERP_i)*AE169*Ramure*Pc/MaxiM</f>
        <v>1.178657565429072E-5</v>
      </c>
      <c r="AE169" s="307">
        <f t="shared" si="63"/>
        <v>0.9</v>
      </c>
      <c r="AF169" s="179">
        <f t="shared" si="64"/>
        <v>0.50639719290020047</v>
      </c>
      <c r="AG169" s="839">
        <f t="shared" si="65"/>
        <v>-3</v>
      </c>
      <c r="AH169" s="178">
        <f t="shared" si="66"/>
        <v>3</v>
      </c>
      <c r="AI169" s="227">
        <f t="shared" si="67"/>
        <v>-2.4936028070997995</v>
      </c>
      <c r="AJ169" s="267" t="b">
        <f t="shared" si="68"/>
        <v>1</v>
      </c>
      <c r="AK169" s="267" t="b">
        <f t="shared" si="69"/>
        <v>0</v>
      </c>
      <c r="AL169" s="267"/>
      <c r="AM169" s="267"/>
      <c r="AN169" s="267"/>
    </row>
    <row r="170" spans="1:40" s="18" customFormat="1" ht="11.25" customHeight="1" x14ac:dyDescent="0.2">
      <c r="A170" s="56">
        <f t="shared" si="71"/>
        <v>43256</v>
      </c>
      <c r="B170" s="620"/>
      <c r="C170" s="392"/>
      <c r="D170" s="395"/>
      <c r="E170" s="387"/>
      <c r="F170" s="387"/>
      <c r="G170" s="110"/>
      <c r="I170" s="382">
        <f t="shared" si="48"/>
        <v>0</v>
      </c>
      <c r="J170" s="85">
        <v>2018</v>
      </c>
      <c r="K170" s="199">
        <f t="shared" si="49"/>
        <v>43256</v>
      </c>
      <c r="L170" s="439">
        <f t="shared" si="50"/>
        <v>0</v>
      </c>
      <c r="M170" s="883"/>
      <c r="N170" s="883"/>
      <c r="O170" s="326">
        <f t="shared" si="51"/>
        <v>0</v>
      </c>
      <c r="P170" s="171">
        <f>(INDEX(Models!$BJ170:$BT170,,T170)*(1-R170)+INDEX(Models!$BJ170:$BT170,,T170+1)*R170-ERP_i)*Q170*Ramure*Pc/MaxiM</f>
        <v>1.1798269276797696E-5</v>
      </c>
      <c r="Q170" s="307">
        <f t="shared" si="52"/>
        <v>0.9</v>
      </c>
      <c r="R170" s="179">
        <f t="shared" si="53"/>
        <v>0.51350989411858139</v>
      </c>
      <c r="S170" s="839">
        <f t="shared" si="70"/>
        <v>-3</v>
      </c>
      <c r="T170" s="178">
        <f t="shared" si="54"/>
        <v>3</v>
      </c>
      <c r="U170" s="253">
        <f t="shared" si="55"/>
        <v>-2.4864901058814186</v>
      </c>
      <c r="V170" s="385">
        <f t="shared" si="56"/>
        <v>64.463472670058152</v>
      </c>
      <c r="W170" s="58"/>
      <c r="X170" s="157">
        <f t="shared" si="57"/>
        <v>43256</v>
      </c>
      <c r="Y170" s="387">
        <f t="shared" si="58"/>
        <v>0</v>
      </c>
      <c r="Z170" s="387">
        <f t="shared" si="59"/>
        <v>0</v>
      </c>
      <c r="AA170" s="388">
        <f t="shared" si="60"/>
        <v>0</v>
      </c>
      <c r="AB170" s="199">
        <f t="shared" si="61"/>
        <v>43256</v>
      </c>
      <c r="AC170" s="428">
        <f t="shared" si="62"/>
        <v>0</v>
      </c>
      <c r="AD170" s="171">
        <f>(INDEX(Models!$BJ170:$BT170,,AH170)*(1-AF170)+INDEX(Models!$BJ170:$BT170,,AH170+1)*AF170-ERP_i)*AE170*Ramure*Pc/MaxiM</f>
        <v>1.1798269276797696E-5</v>
      </c>
      <c r="AE170" s="307">
        <f t="shared" si="63"/>
        <v>0.9</v>
      </c>
      <c r="AF170" s="179">
        <f t="shared" si="64"/>
        <v>0.51350989411858139</v>
      </c>
      <c r="AG170" s="839">
        <f t="shared" si="65"/>
        <v>-3</v>
      </c>
      <c r="AH170" s="178">
        <f t="shared" si="66"/>
        <v>3</v>
      </c>
      <c r="AI170" s="227">
        <f t="shared" si="67"/>
        <v>-2.4864901058814186</v>
      </c>
      <c r="AJ170" s="267" t="b">
        <f t="shared" si="68"/>
        <v>1</v>
      </c>
      <c r="AK170" s="267" t="b">
        <f t="shared" si="69"/>
        <v>0</v>
      </c>
      <c r="AL170" s="267"/>
      <c r="AM170" s="267"/>
      <c r="AN170" s="267"/>
    </row>
    <row r="171" spans="1:40" s="6" customFormat="1" ht="11.25" customHeight="1" x14ac:dyDescent="0.2">
      <c r="A171" s="56">
        <f t="shared" si="71"/>
        <v>43257</v>
      </c>
      <c r="B171" s="620"/>
      <c r="C171" s="392"/>
      <c r="D171" s="395"/>
      <c r="E171" s="387"/>
      <c r="F171" s="387"/>
      <c r="G171" s="110"/>
      <c r="I171" s="382">
        <f t="shared" si="48"/>
        <v>0</v>
      </c>
      <c r="J171" s="85">
        <v>2018</v>
      </c>
      <c r="K171" s="199">
        <f t="shared" si="49"/>
        <v>43257</v>
      </c>
      <c r="L171" s="439">
        <f t="shared" si="50"/>
        <v>0</v>
      </c>
      <c r="M171" s="883"/>
      <c r="N171" s="883"/>
      <c r="O171" s="326">
        <f t="shared" si="51"/>
        <v>0</v>
      </c>
      <c r="P171" s="171">
        <f>(INDEX(Models!$BJ171:$BT171,,T171)*(1-R171)+INDEX(Models!$BJ171:$BT171,,T171+1)*R171-ERP_i)*Q171*Ramure*Pc/MaxiM</f>
        <v>1.1844663904712304E-5</v>
      </c>
      <c r="Q171" s="307">
        <f t="shared" si="52"/>
        <v>0.9</v>
      </c>
      <c r="R171" s="179">
        <f t="shared" si="53"/>
        <v>0.52065258008457738</v>
      </c>
      <c r="S171" s="839">
        <f t="shared" si="70"/>
        <v>-3</v>
      </c>
      <c r="T171" s="178">
        <f t="shared" si="54"/>
        <v>3</v>
      </c>
      <c r="U171" s="253">
        <f t="shared" si="55"/>
        <v>-2.4793474199154226</v>
      </c>
      <c r="V171" s="385">
        <f t="shared" si="56"/>
        <v>64.462947236318612</v>
      </c>
      <c r="W171" s="58"/>
      <c r="X171" s="157">
        <f t="shared" si="57"/>
        <v>43257</v>
      </c>
      <c r="Y171" s="387">
        <f t="shared" si="58"/>
        <v>0</v>
      </c>
      <c r="Z171" s="387">
        <f t="shared" si="59"/>
        <v>0</v>
      </c>
      <c r="AA171" s="388">
        <f t="shared" si="60"/>
        <v>0</v>
      </c>
      <c r="AB171" s="199">
        <f t="shared" si="61"/>
        <v>43257</v>
      </c>
      <c r="AC171" s="428">
        <f t="shared" si="62"/>
        <v>0</v>
      </c>
      <c r="AD171" s="171">
        <f>(INDEX(Models!$BJ171:$BT171,,AH171)*(1-AF171)+INDEX(Models!$BJ171:$BT171,,AH171+1)*AF171-ERP_i)*AE171*Ramure*Pc/MaxiM</f>
        <v>1.1844663904712304E-5</v>
      </c>
      <c r="AE171" s="307">
        <f t="shared" si="63"/>
        <v>0.9</v>
      </c>
      <c r="AF171" s="179">
        <f t="shared" si="64"/>
        <v>0.52065258008457738</v>
      </c>
      <c r="AG171" s="839">
        <f t="shared" si="65"/>
        <v>-3</v>
      </c>
      <c r="AH171" s="178">
        <f t="shared" si="66"/>
        <v>3</v>
      </c>
      <c r="AI171" s="227">
        <f t="shared" si="67"/>
        <v>-2.4793474199154226</v>
      </c>
      <c r="AJ171" s="267" t="b">
        <f t="shared" si="68"/>
        <v>1</v>
      </c>
      <c r="AK171" s="267" t="b">
        <f t="shared" si="69"/>
        <v>0</v>
      </c>
      <c r="AL171" s="267"/>
      <c r="AM171" s="267"/>
      <c r="AN171" s="75"/>
    </row>
    <row r="172" spans="1:40" s="6" customFormat="1" ht="11.25" customHeight="1" x14ac:dyDescent="0.2">
      <c r="A172" s="56">
        <f t="shared" si="71"/>
        <v>43258</v>
      </c>
      <c r="B172" s="620"/>
      <c r="C172" s="392"/>
      <c r="D172" s="395"/>
      <c r="E172" s="387"/>
      <c r="F172" s="387"/>
      <c r="G172" s="110"/>
      <c r="I172" s="382">
        <f t="shared" si="48"/>
        <v>0</v>
      </c>
      <c r="J172" s="85">
        <v>2018</v>
      </c>
      <c r="K172" s="199">
        <f t="shared" si="49"/>
        <v>43258</v>
      </c>
      <c r="L172" s="439">
        <f t="shared" si="50"/>
        <v>0</v>
      </c>
      <c r="M172" s="883"/>
      <c r="N172" s="883"/>
      <c r="O172" s="326">
        <f t="shared" si="51"/>
        <v>0</v>
      </c>
      <c r="P172" s="171">
        <f>(INDEX(Models!$BJ172:$BT172,,T172)*(1-R172)+INDEX(Models!$BJ172:$BT172,,T172+1)*R172-ERP_i)*Q172*Ramure*Pc/MaxiM</f>
        <v>1.192837039158701E-5</v>
      </c>
      <c r="Q172" s="307">
        <f t="shared" si="52"/>
        <v>0.9</v>
      </c>
      <c r="R172" s="179">
        <f t="shared" si="53"/>
        <v>0.52781937526953371</v>
      </c>
      <c r="S172" s="839">
        <f t="shared" si="70"/>
        <v>-3</v>
      </c>
      <c r="T172" s="178">
        <f t="shared" si="54"/>
        <v>3</v>
      </c>
      <c r="U172" s="253">
        <f t="shared" si="55"/>
        <v>-2.4721806247304663</v>
      </c>
      <c r="V172" s="385">
        <f t="shared" si="56"/>
        <v>64.458687663636155</v>
      </c>
      <c r="W172" s="58"/>
      <c r="X172" s="157">
        <f t="shared" si="57"/>
        <v>43258</v>
      </c>
      <c r="Y172" s="387">
        <f t="shared" si="58"/>
        <v>0</v>
      </c>
      <c r="Z172" s="387">
        <f t="shared" si="59"/>
        <v>0</v>
      </c>
      <c r="AA172" s="388">
        <f t="shared" si="60"/>
        <v>0</v>
      </c>
      <c r="AB172" s="199">
        <f t="shared" si="61"/>
        <v>43258</v>
      </c>
      <c r="AC172" s="428">
        <f t="shared" si="62"/>
        <v>0</v>
      </c>
      <c r="AD172" s="171">
        <f>(INDEX(Models!$BJ172:$BT172,,AH172)*(1-AF172)+INDEX(Models!$BJ172:$BT172,,AH172+1)*AF172-ERP_i)*AE172*Ramure*Pc/MaxiM</f>
        <v>1.192837039158701E-5</v>
      </c>
      <c r="AE172" s="307">
        <f t="shared" si="63"/>
        <v>0.9</v>
      </c>
      <c r="AF172" s="179">
        <f t="shared" si="64"/>
        <v>0.52781937526953371</v>
      </c>
      <c r="AG172" s="839">
        <f t="shared" si="65"/>
        <v>-3</v>
      </c>
      <c r="AH172" s="178">
        <f t="shared" si="66"/>
        <v>3</v>
      </c>
      <c r="AI172" s="227">
        <f t="shared" si="67"/>
        <v>-2.4721806247304663</v>
      </c>
      <c r="AJ172" s="267" t="b">
        <f t="shared" si="68"/>
        <v>1</v>
      </c>
      <c r="AK172" s="267" t="b">
        <f t="shared" si="69"/>
        <v>0</v>
      </c>
      <c r="AL172" s="267"/>
      <c r="AM172" s="267"/>
      <c r="AN172" s="75"/>
    </row>
    <row r="173" spans="1:40" s="6" customFormat="1" ht="11.25" customHeight="1" x14ac:dyDescent="0.2">
      <c r="A173" s="56">
        <f t="shared" si="71"/>
        <v>43259</v>
      </c>
      <c r="B173" s="620"/>
      <c r="C173" s="392"/>
      <c r="D173" s="395"/>
      <c r="E173" s="387"/>
      <c r="F173" s="387"/>
      <c r="G173" s="110"/>
      <c r="I173" s="382">
        <f t="shared" si="48"/>
        <v>0</v>
      </c>
      <c r="J173" s="85">
        <v>2018</v>
      </c>
      <c r="K173" s="199">
        <f t="shared" si="49"/>
        <v>43259</v>
      </c>
      <c r="L173" s="439">
        <f t="shared" si="50"/>
        <v>0</v>
      </c>
      <c r="M173" s="883"/>
      <c r="N173" s="883"/>
      <c r="O173" s="326">
        <f t="shared" si="51"/>
        <v>0</v>
      </c>
      <c r="P173" s="171">
        <f>(INDEX(Models!$BJ173:$BT173,,T173)*(1-R173)+INDEX(Models!$BJ173:$BT173,,T173+1)*R173-ERP_i)*Q173*Ramure*Pc/MaxiM</f>
        <v>1.2052036245878107E-5</v>
      </c>
      <c r="Q173" s="307">
        <f t="shared" si="52"/>
        <v>0.9</v>
      </c>
      <c r="R173" s="179">
        <f t="shared" si="53"/>
        <v>0.53500432360410688</v>
      </c>
      <c r="S173" s="839">
        <f t="shared" si="70"/>
        <v>-3</v>
      </c>
      <c r="T173" s="178">
        <f t="shared" si="54"/>
        <v>3</v>
      </c>
      <c r="U173" s="253">
        <f t="shared" si="55"/>
        <v>-2.4649956763958931</v>
      </c>
      <c r="V173" s="385">
        <f t="shared" si="56"/>
        <v>64.450917686587616</v>
      </c>
      <c r="W173" s="58"/>
      <c r="X173" s="157">
        <f t="shared" si="57"/>
        <v>43259</v>
      </c>
      <c r="Y173" s="387">
        <f t="shared" si="58"/>
        <v>0</v>
      </c>
      <c r="Z173" s="387">
        <f t="shared" si="59"/>
        <v>0</v>
      </c>
      <c r="AA173" s="388">
        <f t="shared" si="60"/>
        <v>0</v>
      </c>
      <c r="AB173" s="199">
        <f t="shared" si="61"/>
        <v>43259</v>
      </c>
      <c r="AC173" s="428">
        <f t="shared" si="62"/>
        <v>0</v>
      </c>
      <c r="AD173" s="171">
        <f>(INDEX(Models!$BJ173:$BT173,,AH173)*(1-AF173)+INDEX(Models!$BJ173:$BT173,,AH173+1)*AF173-ERP_i)*AE173*Ramure*Pc/MaxiM</f>
        <v>1.2052036245878107E-5</v>
      </c>
      <c r="AE173" s="307">
        <f t="shared" si="63"/>
        <v>0.9</v>
      </c>
      <c r="AF173" s="179">
        <f t="shared" si="64"/>
        <v>0.53500432360410688</v>
      </c>
      <c r="AG173" s="839">
        <f t="shared" si="65"/>
        <v>-3</v>
      </c>
      <c r="AH173" s="178">
        <f t="shared" si="66"/>
        <v>3</v>
      </c>
      <c r="AI173" s="227">
        <f t="shared" si="67"/>
        <v>-2.4649956763958931</v>
      </c>
      <c r="AJ173" s="267" t="b">
        <f t="shared" si="68"/>
        <v>1</v>
      </c>
      <c r="AK173" s="267" t="b">
        <f t="shared" si="69"/>
        <v>0</v>
      </c>
      <c r="AL173" s="267"/>
      <c r="AM173" s="267"/>
      <c r="AN173" s="75"/>
    </row>
    <row r="174" spans="1:40" s="6" customFormat="1" ht="11.25" customHeight="1" x14ac:dyDescent="0.2">
      <c r="A174" s="56">
        <f t="shared" si="71"/>
        <v>43260</v>
      </c>
      <c r="B174" s="620"/>
      <c r="C174" s="392"/>
      <c r="D174" s="395"/>
      <c r="E174" s="387"/>
      <c r="F174" s="387"/>
      <c r="G174" s="110"/>
      <c r="I174" s="382">
        <f t="shared" si="48"/>
        <v>0</v>
      </c>
      <c r="J174" s="85">
        <v>2018</v>
      </c>
      <c r="K174" s="199">
        <f t="shared" si="49"/>
        <v>43260</v>
      </c>
      <c r="L174" s="439">
        <f t="shared" si="50"/>
        <v>0</v>
      </c>
      <c r="M174" s="883"/>
      <c r="N174" s="883"/>
      <c r="O174" s="326">
        <f t="shared" si="51"/>
        <v>0</v>
      </c>
      <c r="P174" s="171">
        <f>(INDEX(Models!$BJ174:$BT174,,T174)*(1-R174)+INDEX(Models!$BJ174:$BT174,,T174+1)*R174-ERP_i)*Q174*Ramure*Pc/MaxiM</f>
        <v>1.2218338832830778E-5</v>
      </c>
      <c r="Q174" s="307">
        <f t="shared" si="52"/>
        <v>0.9</v>
      </c>
      <c r="R174" s="179">
        <f t="shared" si="53"/>
        <v>0.54220140810613504</v>
      </c>
      <c r="S174" s="839">
        <f t="shared" si="70"/>
        <v>-3</v>
      </c>
      <c r="T174" s="178">
        <f t="shared" si="54"/>
        <v>3</v>
      </c>
      <c r="U174" s="253">
        <f t="shared" si="55"/>
        <v>-2.457798591893865</v>
      </c>
      <c r="V174" s="385">
        <f t="shared" si="56"/>
        <v>64.439861038636494</v>
      </c>
      <c r="W174" s="58"/>
      <c r="X174" s="157">
        <f t="shared" si="57"/>
        <v>43260</v>
      </c>
      <c r="Y174" s="387">
        <f t="shared" si="58"/>
        <v>0</v>
      </c>
      <c r="Z174" s="387">
        <f t="shared" si="59"/>
        <v>0</v>
      </c>
      <c r="AA174" s="388">
        <f t="shared" si="60"/>
        <v>0</v>
      </c>
      <c r="AB174" s="199">
        <f t="shared" si="61"/>
        <v>43260</v>
      </c>
      <c r="AC174" s="428">
        <f t="shared" si="62"/>
        <v>0</v>
      </c>
      <c r="AD174" s="171">
        <f>(INDEX(Models!$BJ174:$BT174,,AH174)*(1-AF174)+INDEX(Models!$BJ174:$BT174,,AH174+1)*AF174-ERP_i)*AE174*Ramure*Pc/MaxiM</f>
        <v>1.2218338832830778E-5</v>
      </c>
      <c r="AE174" s="307">
        <f t="shared" si="63"/>
        <v>0.9</v>
      </c>
      <c r="AF174" s="179">
        <f t="shared" si="64"/>
        <v>0.54220140810613504</v>
      </c>
      <c r="AG174" s="839">
        <f t="shared" si="65"/>
        <v>-3</v>
      </c>
      <c r="AH174" s="178">
        <f t="shared" si="66"/>
        <v>3</v>
      </c>
      <c r="AI174" s="227">
        <f t="shared" si="67"/>
        <v>-2.457798591893865</v>
      </c>
      <c r="AJ174" s="267" t="b">
        <f t="shared" si="68"/>
        <v>1</v>
      </c>
      <c r="AK174" s="267" t="b">
        <f t="shared" si="69"/>
        <v>0</v>
      </c>
      <c r="AL174" s="267"/>
      <c r="AM174" s="267"/>
      <c r="AN174" s="75"/>
    </row>
    <row r="175" spans="1:40" s="6" customFormat="1" ht="11.25" customHeight="1" x14ac:dyDescent="0.2">
      <c r="A175" s="56">
        <f t="shared" si="71"/>
        <v>43261</v>
      </c>
      <c r="B175" s="620"/>
      <c r="C175" s="392"/>
      <c r="D175" s="395"/>
      <c r="E175" s="387"/>
      <c r="F175" s="387"/>
      <c r="G175" s="110"/>
      <c r="I175" s="382">
        <f t="shared" si="48"/>
        <v>0</v>
      </c>
      <c r="J175" s="85">
        <v>2018</v>
      </c>
      <c r="K175" s="199">
        <f t="shared" si="49"/>
        <v>43261</v>
      </c>
      <c r="L175" s="439">
        <f t="shared" si="50"/>
        <v>0</v>
      </c>
      <c r="M175" s="883"/>
      <c r="N175" s="883"/>
      <c r="O175" s="326">
        <f t="shared" si="51"/>
        <v>0</v>
      </c>
      <c r="P175" s="171">
        <f>(INDEX(Models!$BJ175:$BT175,,T175)*(1-R175)+INDEX(Models!$BJ175:$BT175,,T175+1)*R175-ERP_i)*Q175*Ramure*Pc/MaxiM</f>
        <v>1.2429978348616634E-5</v>
      </c>
      <c r="Q175" s="307">
        <f t="shared" si="52"/>
        <v>0.9</v>
      </c>
      <c r="R175" s="179">
        <f t="shared" si="53"/>
        <v>0.54940457094155093</v>
      </c>
      <c r="S175" s="839">
        <f t="shared" si="70"/>
        <v>-3</v>
      </c>
      <c r="T175" s="178">
        <f t="shared" si="54"/>
        <v>3</v>
      </c>
      <c r="U175" s="253">
        <f t="shared" si="55"/>
        <v>-2.4505954290584491</v>
      </c>
      <c r="V175" s="385">
        <f t="shared" si="56"/>
        <v>64.425741453436544</v>
      </c>
      <c r="W175" s="58"/>
      <c r="X175" s="157">
        <f t="shared" si="57"/>
        <v>43261</v>
      </c>
      <c r="Y175" s="387">
        <f t="shared" si="58"/>
        <v>0</v>
      </c>
      <c r="Z175" s="387">
        <f t="shared" si="59"/>
        <v>0</v>
      </c>
      <c r="AA175" s="388">
        <f t="shared" si="60"/>
        <v>0</v>
      </c>
      <c r="AB175" s="199">
        <f t="shared" si="61"/>
        <v>43261</v>
      </c>
      <c r="AC175" s="428">
        <f t="shared" si="62"/>
        <v>0</v>
      </c>
      <c r="AD175" s="171">
        <f>(INDEX(Models!$BJ175:$BT175,,AH175)*(1-AF175)+INDEX(Models!$BJ175:$BT175,,AH175+1)*AF175-ERP_i)*AE175*Ramure*Pc/MaxiM</f>
        <v>1.2429978348616634E-5</v>
      </c>
      <c r="AE175" s="307">
        <f t="shared" si="63"/>
        <v>0.9</v>
      </c>
      <c r="AF175" s="179">
        <f t="shared" si="64"/>
        <v>0.54940457094155093</v>
      </c>
      <c r="AG175" s="839">
        <f t="shared" si="65"/>
        <v>-3</v>
      </c>
      <c r="AH175" s="178">
        <f t="shared" si="66"/>
        <v>3</v>
      </c>
      <c r="AI175" s="227">
        <f t="shared" si="67"/>
        <v>-2.4505954290584491</v>
      </c>
      <c r="AJ175" s="267" t="b">
        <f t="shared" si="68"/>
        <v>1</v>
      </c>
      <c r="AK175" s="267" t="b">
        <f t="shared" si="69"/>
        <v>0</v>
      </c>
      <c r="AL175" s="267"/>
      <c r="AM175" s="267"/>
      <c r="AN175" s="75"/>
    </row>
    <row r="176" spans="1:40" s="6" customFormat="1" ht="11.25" customHeight="1" x14ac:dyDescent="0.2">
      <c r="A176" s="56">
        <f t="shared" si="71"/>
        <v>43262</v>
      </c>
      <c r="B176" s="620"/>
      <c r="C176" s="392"/>
      <c r="D176" s="395"/>
      <c r="E176" s="387"/>
      <c r="F176" s="387"/>
      <c r="G176" s="110"/>
      <c r="I176" s="382">
        <f t="shared" si="48"/>
        <v>0</v>
      </c>
      <c r="J176" s="85">
        <v>2018</v>
      </c>
      <c r="K176" s="199">
        <f t="shared" si="49"/>
        <v>43262</v>
      </c>
      <c r="L176" s="439">
        <f t="shared" si="50"/>
        <v>0</v>
      </c>
      <c r="M176" s="883"/>
      <c r="N176" s="883"/>
      <c r="O176" s="326">
        <f t="shared" si="51"/>
        <v>0</v>
      </c>
      <c r="P176" s="171">
        <f>(INDEX(Models!$BJ176:$BT176,,T176)*(1-R176)+INDEX(Models!$BJ176:$BT176,,T176+1)*R176-ERP_i)*Q176*Ramure*Pc/MaxiM</f>
        <v>1.2689670609307944E-5</v>
      </c>
      <c r="Q176" s="307">
        <f t="shared" si="52"/>
        <v>0.9</v>
      </c>
      <c r="R176" s="179">
        <f t="shared" si="53"/>
        <v>0.55660773377696726</v>
      </c>
      <c r="S176" s="839">
        <f t="shared" si="70"/>
        <v>-3</v>
      </c>
      <c r="T176" s="178">
        <f t="shared" si="54"/>
        <v>3</v>
      </c>
      <c r="U176" s="253">
        <f t="shared" si="55"/>
        <v>-2.4433922662230327</v>
      </c>
      <c r="V176" s="385">
        <f t="shared" si="56"/>
        <v>64.408782664965472</v>
      </c>
      <c r="W176" s="58"/>
      <c r="X176" s="157">
        <f t="shared" si="57"/>
        <v>43262</v>
      </c>
      <c r="Y176" s="387">
        <f t="shared" si="58"/>
        <v>0</v>
      </c>
      <c r="Z176" s="387">
        <f t="shared" si="59"/>
        <v>0</v>
      </c>
      <c r="AA176" s="388">
        <f t="shared" si="60"/>
        <v>0</v>
      </c>
      <c r="AB176" s="199">
        <f t="shared" si="61"/>
        <v>43262</v>
      </c>
      <c r="AC176" s="428">
        <f t="shared" si="62"/>
        <v>0</v>
      </c>
      <c r="AD176" s="171">
        <f>(INDEX(Models!$BJ176:$BT176,,AH176)*(1-AF176)+INDEX(Models!$BJ176:$BT176,,AH176+1)*AF176-ERP_i)*AE176*Ramure*Pc/MaxiM</f>
        <v>1.2689670609307944E-5</v>
      </c>
      <c r="AE176" s="307">
        <f t="shared" si="63"/>
        <v>0.9</v>
      </c>
      <c r="AF176" s="179">
        <f t="shared" si="64"/>
        <v>0.55660773377696726</v>
      </c>
      <c r="AG176" s="839">
        <f t="shared" si="65"/>
        <v>-3</v>
      </c>
      <c r="AH176" s="178">
        <f t="shared" si="66"/>
        <v>3</v>
      </c>
      <c r="AI176" s="227">
        <f t="shared" si="67"/>
        <v>-2.4433922662230327</v>
      </c>
      <c r="AJ176" s="267" t="b">
        <f t="shared" si="68"/>
        <v>1</v>
      </c>
      <c r="AK176" s="267" t="b">
        <f t="shared" si="69"/>
        <v>0</v>
      </c>
      <c r="AL176" s="267"/>
      <c r="AM176" s="267"/>
      <c r="AN176" s="75"/>
    </row>
    <row r="177" spans="1:40" s="6" customFormat="1" ht="11.25" customHeight="1" x14ac:dyDescent="0.2">
      <c r="A177" s="56">
        <f t="shared" si="71"/>
        <v>43263</v>
      </c>
      <c r="B177" s="620"/>
      <c r="C177" s="392"/>
      <c r="D177" s="395"/>
      <c r="E177" s="387"/>
      <c r="F177" s="387"/>
      <c r="G177" s="110"/>
      <c r="I177" s="382">
        <f t="shared" si="48"/>
        <v>0</v>
      </c>
      <c r="J177" s="85">
        <v>2018</v>
      </c>
      <c r="K177" s="199">
        <f t="shared" si="49"/>
        <v>43263</v>
      </c>
      <c r="L177" s="439">
        <f t="shared" si="50"/>
        <v>0</v>
      </c>
      <c r="M177" s="883"/>
      <c r="N177" s="883"/>
      <c r="O177" s="326">
        <f t="shared" si="51"/>
        <v>0</v>
      </c>
      <c r="P177" s="171">
        <f>(INDEX(Models!$BJ177:$BT177,,T177)*(1-R177)+INDEX(Models!$BJ177:$BT177,,T177+1)*R177-ERP_i)*Q177*Ramure*Pc/MaxiM</f>
        <v>1.3000350664928868E-5</v>
      </c>
      <c r="Q177" s="307">
        <f t="shared" si="52"/>
        <v>0.9</v>
      </c>
      <c r="R177" s="179">
        <f t="shared" si="53"/>
        <v>0.56380481827899542</v>
      </c>
      <c r="S177" s="839">
        <f t="shared" si="70"/>
        <v>-3</v>
      </c>
      <c r="T177" s="178">
        <f t="shared" si="54"/>
        <v>3</v>
      </c>
      <c r="U177" s="253">
        <f t="shared" si="55"/>
        <v>-2.4361951817210046</v>
      </c>
      <c r="V177" s="385">
        <f t="shared" si="56"/>
        <v>64.388163504438907</v>
      </c>
      <c r="W177" s="58"/>
      <c r="X177" s="157">
        <f t="shared" si="57"/>
        <v>43263</v>
      </c>
      <c r="Y177" s="387">
        <f t="shared" si="58"/>
        <v>0</v>
      </c>
      <c r="Z177" s="387">
        <f t="shared" si="59"/>
        <v>0</v>
      </c>
      <c r="AA177" s="388">
        <f t="shared" si="60"/>
        <v>0</v>
      </c>
      <c r="AB177" s="199">
        <f t="shared" si="61"/>
        <v>43263</v>
      </c>
      <c r="AC177" s="428">
        <f t="shared" si="62"/>
        <v>0</v>
      </c>
      <c r="AD177" s="171">
        <f>(INDEX(Models!$BJ177:$BT177,,AH177)*(1-AF177)+INDEX(Models!$BJ177:$BT177,,AH177+1)*AF177-ERP_i)*AE177*Ramure*Pc/MaxiM</f>
        <v>1.3000350664928868E-5</v>
      </c>
      <c r="AE177" s="307">
        <f t="shared" si="63"/>
        <v>0.9</v>
      </c>
      <c r="AF177" s="179">
        <f t="shared" si="64"/>
        <v>0.56380481827899542</v>
      </c>
      <c r="AG177" s="839">
        <f t="shared" si="65"/>
        <v>-3</v>
      </c>
      <c r="AH177" s="178">
        <f t="shared" si="66"/>
        <v>3</v>
      </c>
      <c r="AI177" s="227">
        <f t="shared" si="67"/>
        <v>-2.4361951817210046</v>
      </c>
      <c r="AJ177" s="267" t="b">
        <f t="shared" si="68"/>
        <v>1</v>
      </c>
      <c r="AK177" s="267" t="b">
        <f t="shared" si="69"/>
        <v>0</v>
      </c>
      <c r="AL177" s="267"/>
      <c r="AM177" s="267"/>
      <c r="AN177" s="75"/>
    </row>
    <row r="178" spans="1:40" s="6" customFormat="1" ht="11.25" customHeight="1" x14ac:dyDescent="0.2">
      <c r="A178" s="56">
        <f t="shared" si="71"/>
        <v>43264</v>
      </c>
      <c r="B178" s="620"/>
      <c r="C178" s="392"/>
      <c r="D178" s="395"/>
      <c r="E178" s="387"/>
      <c r="F178" s="387"/>
      <c r="G178" s="110"/>
      <c r="I178" s="382">
        <f t="shared" si="48"/>
        <v>0</v>
      </c>
      <c r="J178" s="85">
        <v>2018</v>
      </c>
      <c r="K178" s="199">
        <f t="shared" si="49"/>
        <v>43264</v>
      </c>
      <c r="L178" s="439">
        <f t="shared" si="50"/>
        <v>0</v>
      </c>
      <c r="M178" s="883"/>
      <c r="N178" s="883"/>
      <c r="O178" s="326">
        <f t="shared" si="51"/>
        <v>0</v>
      </c>
      <c r="P178" s="171">
        <f>(INDEX(Models!$BJ178:$BT178,,T178)*(1-R178)+INDEX(Models!$BJ178:$BT178,,T178+1)*R178-ERP_i)*Q178*Ramure*Pc/MaxiM</f>
        <v>1.3352194677515563E-5</v>
      </c>
      <c r="Q178" s="307">
        <f t="shared" si="52"/>
        <v>0.9</v>
      </c>
      <c r="R178" s="179">
        <f t="shared" si="53"/>
        <v>0.57098976661356859</v>
      </c>
      <c r="S178" s="839">
        <f t="shared" si="70"/>
        <v>-3</v>
      </c>
      <c r="T178" s="178">
        <f t="shared" si="54"/>
        <v>3</v>
      </c>
      <c r="U178" s="253">
        <f t="shared" si="55"/>
        <v>-2.4290102333864314</v>
      </c>
      <c r="V178" s="385">
        <f t="shared" si="56"/>
        <v>64.363063632898047</v>
      </c>
      <c r="W178" s="58"/>
      <c r="X178" s="157">
        <f t="shared" si="57"/>
        <v>43264</v>
      </c>
      <c r="Y178" s="387">
        <f t="shared" si="58"/>
        <v>0</v>
      </c>
      <c r="Z178" s="387">
        <f t="shared" si="59"/>
        <v>0</v>
      </c>
      <c r="AA178" s="388">
        <f t="shared" si="60"/>
        <v>0</v>
      </c>
      <c r="AB178" s="199">
        <f t="shared" si="61"/>
        <v>43264</v>
      </c>
      <c r="AC178" s="428">
        <f t="shared" si="62"/>
        <v>0</v>
      </c>
      <c r="AD178" s="171">
        <f>(INDEX(Models!$BJ178:$BT178,,AH178)*(1-AF178)+INDEX(Models!$BJ178:$BT178,,AH178+1)*AF178-ERP_i)*AE178*Ramure*Pc/MaxiM</f>
        <v>1.3352194677515563E-5</v>
      </c>
      <c r="AE178" s="307">
        <f t="shared" si="63"/>
        <v>0.9</v>
      </c>
      <c r="AF178" s="179">
        <f t="shared" si="64"/>
        <v>0.57098976661356859</v>
      </c>
      <c r="AG178" s="839">
        <f t="shared" si="65"/>
        <v>-3</v>
      </c>
      <c r="AH178" s="178">
        <f t="shared" si="66"/>
        <v>3</v>
      </c>
      <c r="AI178" s="227">
        <f t="shared" si="67"/>
        <v>-2.4290102333864314</v>
      </c>
      <c r="AJ178" s="267" t="b">
        <f t="shared" si="68"/>
        <v>1</v>
      </c>
      <c r="AK178" s="267" t="b">
        <f t="shared" si="69"/>
        <v>0</v>
      </c>
      <c r="AL178" s="267"/>
      <c r="AM178" s="267"/>
      <c r="AN178" s="75"/>
    </row>
    <row r="179" spans="1:40" s="6" customFormat="1" ht="11.25" x14ac:dyDescent="0.2">
      <c r="A179" s="56">
        <f t="shared" si="71"/>
        <v>43265</v>
      </c>
      <c r="B179" s="620"/>
      <c r="C179" s="392"/>
      <c r="D179" s="395"/>
      <c r="E179" s="387"/>
      <c r="F179" s="387"/>
      <c r="G179" s="110"/>
      <c r="I179" s="382">
        <f t="shared" si="48"/>
        <v>0</v>
      </c>
      <c r="J179" s="85">
        <v>2018</v>
      </c>
      <c r="K179" s="199">
        <f t="shared" si="49"/>
        <v>43265</v>
      </c>
      <c r="L179" s="439">
        <f t="shared" si="50"/>
        <v>0</v>
      </c>
      <c r="M179" s="883"/>
      <c r="N179" s="883"/>
      <c r="O179" s="326">
        <f t="shared" si="51"/>
        <v>0</v>
      </c>
      <c r="P179" s="171">
        <f>(INDEX(Models!$BJ179:$BT179,,T179)*(1-R179)+INDEX(Models!$BJ179:$BT179,,T179+1)*R179-ERP_i)*Q179*Ramure*Pc/MaxiM</f>
        <v>1.370868860949835E-5</v>
      </c>
      <c r="Q179" s="307">
        <f t="shared" si="52"/>
        <v>0.9</v>
      </c>
      <c r="R179" s="179">
        <f t="shared" si="53"/>
        <v>0.57815656179852493</v>
      </c>
      <c r="S179" s="839">
        <f t="shared" si="70"/>
        <v>-3</v>
      </c>
      <c r="T179" s="178">
        <f t="shared" si="54"/>
        <v>3</v>
      </c>
      <c r="U179" s="253">
        <f t="shared" si="55"/>
        <v>-2.4218434382014751</v>
      </c>
      <c r="V179" s="385">
        <f t="shared" si="56"/>
        <v>64.333709311447521</v>
      </c>
      <c r="W179" s="58"/>
      <c r="X179" s="157">
        <f t="shared" si="57"/>
        <v>43265</v>
      </c>
      <c r="Y179" s="387">
        <f t="shared" si="58"/>
        <v>0</v>
      </c>
      <c r="Z179" s="387">
        <f t="shared" si="59"/>
        <v>0</v>
      </c>
      <c r="AA179" s="388">
        <f t="shared" si="60"/>
        <v>0</v>
      </c>
      <c r="AB179" s="199">
        <f t="shared" si="61"/>
        <v>43265</v>
      </c>
      <c r="AC179" s="428">
        <f t="shared" si="62"/>
        <v>0</v>
      </c>
      <c r="AD179" s="171">
        <f>(INDEX(Models!$BJ179:$BT179,,AH179)*(1-AF179)+INDEX(Models!$BJ179:$BT179,,AH179+1)*AF179-ERP_i)*AE179*Ramure*Pc/MaxiM</f>
        <v>1.370868860949835E-5</v>
      </c>
      <c r="AE179" s="307">
        <f t="shared" si="63"/>
        <v>0.9</v>
      </c>
      <c r="AF179" s="179">
        <f t="shared" si="64"/>
        <v>0.57815656179852493</v>
      </c>
      <c r="AG179" s="839">
        <f t="shared" si="65"/>
        <v>-3</v>
      </c>
      <c r="AH179" s="178">
        <f t="shared" si="66"/>
        <v>3</v>
      </c>
      <c r="AI179" s="227">
        <f t="shared" si="67"/>
        <v>-2.4218434382014751</v>
      </c>
      <c r="AJ179" s="267" t="b">
        <f t="shared" si="68"/>
        <v>1</v>
      </c>
      <c r="AK179" s="267" t="b">
        <f t="shared" si="69"/>
        <v>0</v>
      </c>
      <c r="AL179" s="267"/>
      <c r="AM179" s="267"/>
      <c r="AN179" s="75"/>
    </row>
    <row r="180" spans="1:40" s="6" customFormat="1" ht="11.25" customHeight="1" x14ac:dyDescent="0.2">
      <c r="A180" s="56">
        <f t="shared" si="71"/>
        <v>43266</v>
      </c>
      <c r="B180" s="620"/>
      <c r="C180" s="392"/>
      <c r="D180" s="395"/>
      <c r="E180" s="387"/>
      <c r="F180" s="387"/>
      <c r="G180" s="110"/>
      <c r="I180" s="382">
        <f t="shared" si="48"/>
        <v>0</v>
      </c>
      <c r="J180" s="85">
        <v>2018</v>
      </c>
      <c r="K180" s="199">
        <f t="shared" si="49"/>
        <v>43266</v>
      </c>
      <c r="L180" s="439">
        <f t="shared" si="50"/>
        <v>0</v>
      </c>
      <c r="M180" s="883"/>
      <c r="N180" s="883"/>
      <c r="O180" s="326">
        <f t="shared" si="51"/>
        <v>0</v>
      </c>
      <c r="P180" s="171">
        <f>(INDEX(Models!$BJ180:$BT180,,T180)*(1-R180)+INDEX(Models!$BJ180:$BT180,,T180+1)*R180-ERP_i)*Q180*Ramure*Pc/MaxiM</f>
        <v>1.4069686245575482E-5</v>
      </c>
      <c r="Q180" s="307">
        <f t="shared" si="52"/>
        <v>0.9</v>
      </c>
      <c r="R180" s="179">
        <f t="shared" si="53"/>
        <v>0.58529924776452091</v>
      </c>
      <c r="S180" s="839">
        <f t="shared" si="70"/>
        <v>-3</v>
      </c>
      <c r="T180" s="178">
        <f t="shared" si="54"/>
        <v>3</v>
      </c>
      <c r="U180" s="253">
        <f t="shared" si="55"/>
        <v>-2.4147007522354791</v>
      </c>
      <c r="V180" s="385">
        <f t="shared" si="56"/>
        <v>64.300324457157075</v>
      </c>
      <c r="W180" s="58"/>
      <c r="X180" s="157">
        <f t="shared" si="57"/>
        <v>43266</v>
      </c>
      <c r="Y180" s="387">
        <f t="shared" si="58"/>
        <v>0</v>
      </c>
      <c r="Z180" s="387">
        <f t="shared" si="59"/>
        <v>0</v>
      </c>
      <c r="AA180" s="388">
        <f t="shared" si="60"/>
        <v>0</v>
      </c>
      <c r="AB180" s="199">
        <f t="shared" si="61"/>
        <v>43266</v>
      </c>
      <c r="AC180" s="428">
        <f t="shared" si="62"/>
        <v>0</v>
      </c>
      <c r="AD180" s="171">
        <f>(INDEX(Models!$BJ180:$BT180,,AH180)*(1-AF180)+INDEX(Models!$BJ180:$BT180,,AH180+1)*AF180-ERP_i)*AE180*Ramure*Pc/MaxiM</f>
        <v>1.4069686245575482E-5</v>
      </c>
      <c r="AE180" s="307">
        <f t="shared" si="63"/>
        <v>0.9</v>
      </c>
      <c r="AF180" s="179">
        <f t="shared" si="64"/>
        <v>0.58529924776452091</v>
      </c>
      <c r="AG180" s="839">
        <f t="shared" si="65"/>
        <v>-3</v>
      </c>
      <c r="AH180" s="178">
        <f t="shared" si="66"/>
        <v>3</v>
      </c>
      <c r="AI180" s="227">
        <f t="shared" si="67"/>
        <v>-2.4147007522354791</v>
      </c>
      <c r="AJ180" s="267" t="b">
        <f t="shared" si="68"/>
        <v>1</v>
      </c>
      <c r="AK180" s="267" t="b">
        <f t="shared" si="69"/>
        <v>0</v>
      </c>
      <c r="AL180" s="267"/>
      <c r="AM180" s="267"/>
      <c r="AN180" s="75"/>
    </row>
    <row r="181" spans="1:40" s="6" customFormat="1" ht="11.25" x14ac:dyDescent="0.2">
      <c r="A181" s="56">
        <f t="shared" si="71"/>
        <v>43267</v>
      </c>
      <c r="B181" s="620"/>
      <c r="C181" s="392"/>
      <c r="D181" s="395"/>
      <c r="E181" s="387"/>
      <c r="F181" s="387"/>
      <c r="G181" s="110"/>
      <c r="I181" s="382">
        <f t="shared" si="48"/>
        <v>0</v>
      </c>
      <c r="J181" s="85">
        <v>2018</v>
      </c>
      <c r="K181" s="199">
        <f t="shared" si="49"/>
        <v>43267</v>
      </c>
      <c r="L181" s="439">
        <f t="shared" si="50"/>
        <v>0</v>
      </c>
      <c r="M181" s="883"/>
      <c r="N181" s="883"/>
      <c r="O181" s="326">
        <f t="shared" si="51"/>
        <v>0</v>
      </c>
      <c r="P181" s="171">
        <f>(INDEX(Models!$BJ181:$BT181,,T181)*(1-R181)+INDEX(Models!$BJ181:$BT181,,T181+1)*R181-ERP_i)*Q181*Ramure*Pc/MaxiM</f>
        <v>1.4435036735614283E-5</v>
      </c>
      <c r="Q181" s="307">
        <f t="shared" si="52"/>
        <v>0.9</v>
      </c>
      <c r="R181" s="179">
        <f t="shared" si="53"/>
        <v>0.59241194898290184</v>
      </c>
      <c r="S181" s="839">
        <f t="shared" si="70"/>
        <v>-3</v>
      </c>
      <c r="T181" s="178">
        <f t="shared" si="54"/>
        <v>3</v>
      </c>
      <c r="U181" s="253">
        <f t="shared" si="55"/>
        <v>-2.4075880510170982</v>
      </c>
      <c r="V181" s="385">
        <f t="shared" si="56"/>
        <v>64.263132987935307</v>
      </c>
      <c r="W181" s="58"/>
      <c r="X181" s="157">
        <f t="shared" si="57"/>
        <v>43267</v>
      </c>
      <c r="Y181" s="387">
        <f t="shared" si="58"/>
        <v>0</v>
      </c>
      <c r="Z181" s="387">
        <f t="shared" si="59"/>
        <v>0</v>
      </c>
      <c r="AA181" s="388">
        <f t="shared" si="60"/>
        <v>0</v>
      </c>
      <c r="AB181" s="199">
        <f t="shared" si="61"/>
        <v>43267</v>
      </c>
      <c r="AC181" s="428">
        <f t="shared" si="62"/>
        <v>0</v>
      </c>
      <c r="AD181" s="171">
        <f>(INDEX(Models!$BJ181:$BT181,,AH181)*(1-AF181)+INDEX(Models!$BJ181:$BT181,,AH181+1)*AF181-ERP_i)*AE181*Ramure*Pc/MaxiM</f>
        <v>1.4435036735614283E-5</v>
      </c>
      <c r="AE181" s="307">
        <f t="shared" si="63"/>
        <v>0.9</v>
      </c>
      <c r="AF181" s="179">
        <f t="shared" si="64"/>
        <v>0.59241194898290184</v>
      </c>
      <c r="AG181" s="839">
        <f t="shared" si="65"/>
        <v>-3</v>
      </c>
      <c r="AH181" s="178">
        <f t="shared" si="66"/>
        <v>3</v>
      </c>
      <c r="AI181" s="227">
        <f t="shared" si="67"/>
        <v>-2.4075880510170982</v>
      </c>
      <c r="AJ181" s="267" t="b">
        <f t="shared" si="68"/>
        <v>1</v>
      </c>
      <c r="AK181" s="267" t="b">
        <f t="shared" si="69"/>
        <v>0</v>
      </c>
      <c r="AL181" s="267"/>
      <c r="AM181" s="267"/>
      <c r="AN181" s="75"/>
    </row>
    <row r="182" spans="1:40" s="6" customFormat="1" ht="11.25" x14ac:dyDescent="0.2">
      <c r="A182" s="56">
        <f t="shared" si="71"/>
        <v>43268</v>
      </c>
      <c r="B182" s="620"/>
      <c r="C182" s="392"/>
      <c r="D182" s="395"/>
      <c r="E182" s="387"/>
      <c r="F182" s="387"/>
      <c r="G182" s="110"/>
      <c r="I182" s="382">
        <f t="shared" si="48"/>
        <v>0</v>
      </c>
      <c r="J182" s="85">
        <v>2018</v>
      </c>
      <c r="K182" s="199">
        <f t="shared" si="49"/>
        <v>43268</v>
      </c>
      <c r="L182" s="439">
        <f t="shared" si="50"/>
        <v>0</v>
      </c>
      <c r="M182" s="883"/>
      <c r="N182" s="883"/>
      <c r="O182" s="326">
        <f t="shared" si="51"/>
        <v>0</v>
      </c>
      <c r="P182" s="171">
        <f>(INDEX(Models!$BJ182:$BT182,,T182)*(1-R182)+INDEX(Models!$BJ182:$BT182,,T182+1)*R182-ERP_i)*Q182*Ramure*Pc/MaxiM</f>
        <v>1.4804585087798912E-5</v>
      </c>
      <c r="Q182" s="307">
        <f t="shared" si="52"/>
        <v>0.9</v>
      </c>
      <c r="R182" s="179">
        <f t="shared" si="53"/>
        <v>0.59948888952442525</v>
      </c>
      <c r="S182" s="839">
        <f t="shared" si="70"/>
        <v>-3</v>
      </c>
      <c r="T182" s="178">
        <f t="shared" si="54"/>
        <v>3</v>
      </c>
      <c r="U182" s="253">
        <f t="shared" si="55"/>
        <v>-2.4005111104755747</v>
      </c>
      <c r="V182" s="385">
        <f t="shared" si="56"/>
        <v>64.222358822029051</v>
      </c>
      <c r="W182" s="58"/>
      <c r="X182" s="157">
        <f t="shared" si="57"/>
        <v>43268</v>
      </c>
      <c r="Y182" s="387">
        <f t="shared" si="58"/>
        <v>0</v>
      </c>
      <c r="Z182" s="387">
        <f t="shared" si="59"/>
        <v>0</v>
      </c>
      <c r="AA182" s="388">
        <f t="shared" si="60"/>
        <v>0</v>
      </c>
      <c r="AB182" s="199">
        <f t="shared" si="61"/>
        <v>43268</v>
      </c>
      <c r="AC182" s="428">
        <f t="shared" si="62"/>
        <v>0</v>
      </c>
      <c r="AD182" s="171">
        <f>(INDEX(Models!$BJ182:$BT182,,AH182)*(1-AF182)+INDEX(Models!$BJ182:$BT182,,AH182+1)*AF182-ERP_i)*AE182*Ramure*Pc/MaxiM</f>
        <v>1.4804585087798912E-5</v>
      </c>
      <c r="AE182" s="307">
        <f t="shared" si="63"/>
        <v>0.9</v>
      </c>
      <c r="AF182" s="179">
        <f t="shared" si="64"/>
        <v>0.59948888952442525</v>
      </c>
      <c r="AG182" s="839">
        <f t="shared" si="65"/>
        <v>-3</v>
      </c>
      <c r="AH182" s="178">
        <f t="shared" si="66"/>
        <v>3</v>
      </c>
      <c r="AI182" s="227">
        <f t="shared" si="67"/>
        <v>-2.4005111104755747</v>
      </c>
      <c r="AJ182" s="267" t="b">
        <f t="shared" si="68"/>
        <v>1</v>
      </c>
      <c r="AK182" s="267" t="b">
        <f t="shared" si="69"/>
        <v>0</v>
      </c>
      <c r="AL182" s="267"/>
      <c r="AM182" s="267"/>
      <c r="AN182" s="75"/>
    </row>
    <row r="183" spans="1:40" s="6" customFormat="1" ht="11.25" x14ac:dyDescent="0.2">
      <c r="A183" s="56">
        <f t="shared" si="71"/>
        <v>43269</v>
      </c>
      <c r="B183" s="620"/>
      <c r="C183" s="392"/>
      <c r="D183" s="395"/>
      <c r="E183" s="387"/>
      <c r="F183" s="387"/>
      <c r="G183" s="110"/>
      <c r="I183" s="382">
        <f t="shared" si="48"/>
        <v>0</v>
      </c>
      <c r="J183" s="85">
        <v>2018</v>
      </c>
      <c r="K183" s="199">
        <f t="shared" si="49"/>
        <v>43269</v>
      </c>
      <c r="L183" s="439">
        <f t="shared" si="50"/>
        <v>0</v>
      </c>
      <c r="M183" s="883"/>
      <c r="N183" s="883"/>
      <c r="O183" s="326">
        <f t="shared" si="51"/>
        <v>0</v>
      </c>
      <c r="P183" s="171">
        <f>(INDEX(Models!$BJ183:$BT183,,T183)*(1-R183)+INDEX(Models!$BJ183:$BT183,,T183+1)*R183-ERP_i)*Q183*Ramure*Pc/MaxiM</f>
        <v>1.5178172669819348E-5</v>
      </c>
      <c r="Q183" s="307">
        <f t="shared" si="52"/>
        <v>0.9</v>
      </c>
      <c r="R183" s="179">
        <f t="shared" si="53"/>
        <v>0.60652441141960622</v>
      </c>
      <c r="S183" s="839">
        <f t="shared" si="70"/>
        <v>-3</v>
      </c>
      <c r="T183" s="178">
        <f t="shared" si="54"/>
        <v>3</v>
      </c>
      <c r="U183" s="253">
        <f t="shared" si="55"/>
        <v>-2.3934755885803938</v>
      </c>
      <c r="V183" s="385">
        <f t="shared" si="56"/>
        <v>64.178225877336487</v>
      </c>
      <c r="W183" s="58"/>
      <c r="X183" s="157">
        <f t="shared" si="57"/>
        <v>43269</v>
      </c>
      <c r="Y183" s="387">
        <f t="shared" si="58"/>
        <v>0</v>
      </c>
      <c r="Z183" s="387">
        <f t="shared" si="59"/>
        <v>0</v>
      </c>
      <c r="AA183" s="388">
        <f t="shared" si="60"/>
        <v>0</v>
      </c>
      <c r="AB183" s="199">
        <f t="shared" si="61"/>
        <v>43269</v>
      </c>
      <c r="AC183" s="428">
        <f t="shared" si="62"/>
        <v>0</v>
      </c>
      <c r="AD183" s="171">
        <f>(INDEX(Models!$BJ183:$BT183,,AH183)*(1-AF183)+INDEX(Models!$BJ183:$BT183,,AH183+1)*AF183-ERP_i)*AE183*Ramure*Pc/MaxiM</f>
        <v>1.5178172669819348E-5</v>
      </c>
      <c r="AE183" s="307">
        <f t="shared" si="63"/>
        <v>0.9</v>
      </c>
      <c r="AF183" s="179">
        <f t="shared" si="64"/>
        <v>0.60652441141960622</v>
      </c>
      <c r="AG183" s="839">
        <f t="shared" si="65"/>
        <v>-3</v>
      </c>
      <c r="AH183" s="178">
        <f t="shared" si="66"/>
        <v>3</v>
      </c>
      <c r="AI183" s="227">
        <f t="shared" si="67"/>
        <v>-2.3934755885803938</v>
      </c>
      <c r="AJ183" s="267" t="b">
        <f t="shared" si="68"/>
        <v>1</v>
      </c>
      <c r="AK183" s="267" t="b">
        <f t="shared" si="69"/>
        <v>0</v>
      </c>
      <c r="AL183" s="267"/>
      <c r="AM183" s="267"/>
      <c r="AN183" s="75"/>
    </row>
    <row r="184" spans="1:40" s="6" customFormat="1" ht="11.25" x14ac:dyDescent="0.2">
      <c r="A184" s="56">
        <f t="shared" si="71"/>
        <v>43270</v>
      </c>
      <c r="B184" s="620"/>
      <c r="C184" s="392"/>
      <c r="D184" s="395"/>
      <c r="E184" s="387"/>
      <c r="F184" s="387"/>
      <c r="G184" s="110"/>
      <c r="I184" s="382">
        <f t="shared" si="48"/>
        <v>0</v>
      </c>
      <c r="J184" s="85">
        <v>2018</v>
      </c>
      <c r="K184" s="199">
        <f t="shared" si="49"/>
        <v>43270</v>
      </c>
      <c r="L184" s="439">
        <f t="shared" si="50"/>
        <v>0</v>
      </c>
      <c r="M184" s="883"/>
      <c r="N184" s="883"/>
      <c r="O184" s="326">
        <f t="shared" si="51"/>
        <v>0</v>
      </c>
      <c r="P184" s="171">
        <f>(INDEX(Models!$BJ184:$BT184,,T184)*(1-R184)+INDEX(Models!$BJ184:$BT184,,T184+1)*R184-ERP_i)*Q184*Ramure*Pc/MaxiM</f>
        <v>1.5541388765731181E-5</v>
      </c>
      <c r="Q184" s="307">
        <f t="shared" si="52"/>
        <v>0.9</v>
      </c>
      <c r="R184" s="179">
        <f t="shared" si="53"/>
        <v>0.61351299219978372</v>
      </c>
      <c r="S184" s="839">
        <f t="shared" si="70"/>
        <v>-3</v>
      </c>
      <c r="T184" s="178">
        <f t="shared" si="54"/>
        <v>3</v>
      </c>
      <c r="U184" s="253">
        <f t="shared" si="55"/>
        <v>-2.3864870078002163</v>
      </c>
      <c r="V184" s="385">
        <f t="shared" si="56"/>
        <v>64.130958985810906</v>
      </c>
      <c r="W184" s="58"/>
      <c r="X184" s="157">
        <f t="shared" si="57"/>
        <v>43270</v>
      </c>
      <c r="Y184" s="387">
        <f t="shared" si="58"/>
        <v>0</v>
      </c>
      <c r="Z184" s="387">
        <f t="shared" si="59"/>
        <v>0</v>
      </c>
      <c r="AA184" s="388">
        <f t="shared" si="60"/>
        <v>0</v>
      </c>
      <c r="AB184" s="199">
        <f t="shared" si="61"/>
        <v>43270</v>
      </c>
      <c r="AC184" s="428">
        <f t="shared" si="62"/>
        <v>0</v>
      </c>
      <c r="AD184" s="171">
        <f>(INDEX(Models!$BJ184:$BT184,,AH184)*(1-AF184)+INDEX(Models!$BJ184:$BT184,,AH184+1)*AF184-ERP_i)*AE184*Ramure*Pc/MaxiM</f>
        <v>1.5541388765731181E-5</v>
      </c>
      <c r="AE184" s="307">
        <f t="shared" si="63"/>
        <v>0.9</v>
      </c>
      <c r="AF184" s="179">
        <f t="shared" si="64"/>
        <v>0.61351299219978372</v>
      </c>
      <c r="AG184" s="839">
        <f t="shared" si="65"/>
        <v>-3</v>
      </c>
      <c r="AH184" s="178">
        <f t="shared" si="66"/>
        <v>3</v>
      </c>
      <c r="AI184" s="227">
        <f t="shared" si="67"/>
        <v>-2.3864870078002163</v>
      </c>
      <c r="AJ184" s="267" t="b">
        <f t="shared" si="68"/>
        <v>1</v>
      </c>
      <c r="AK184" s="267" t="b">
        <f t="shared" si="69"/>
        <v>0</v>
      </c>
      <c r="AL184" s="267"/>
      <c r="AM184" s="267"/>
      <c r="AN184" s="75"/>
    </row>
    <row r="185" spans="1:40" s="6" customFormat="1" ht="11.25" x14ac:dyDescent="0.2">
      <c r="A185" s="56">
        <f t="shared" si="71"/>
        <v>43271</v>
      </c>
      <c r="B185" s="620"/>
      <c r="C185" s="392"/>
      <c r="D185" s="395"/>
      <c r="E185" s="387"/>
      <c r="F185" s="387"/>
      <c r="G185" s="110"/>
      <c r="I185" s="382">
        <f t="shared" si="48"/>
        <v>0</v>
      </c>
      <c r="J185" s="85">
        <v>2018</v>
      </c>
      <c r="K185" s="199">
        <f t="shared" si="49"/>
        <v>43271</v>
      </c>
      <c r="L185" s="439">
        <f t="shared" si="50"/>
        <v>0</v>
      </c>
      <c r="M185" s="883"/>
      <c r="N185" s="883"/>
      <c r="O185" s="326">
        <f t="shared" si="51"/>
        <v>0</v>
      </c>
      <c r="P185" s="171">
        <f>(INDEX(Models!$BJ185:$BT185,,T185)*(1-R185)+INDEX(Models!$BJ185:$BT185,,T185+1)*R185-ERP_i)*Q185*Ramure*Pc/MaxiM</f>
        <v>1.5878108668235515E-5</v>
      </c>
      <c r="Q185" s="307">
        <f t="shared" si="52"/>
        <v>0.9</v>
      </c>
      <c r="R185" s="179">
        <f t="shared" si="53"/>
        <v>0.62044926150769886</v>
      </c>
      <c r="S185" s="839">
        <f t="shared" si="70"/>
        <v>-3</v>
      </c>
      <c r="T185" s="178">
        <f t="shared" si="54"/>
        <v>3</v>
      </c>
      <c r="U185" s="253">
        <f t="shared" si="55"/>
        <v>-2.3795507384923011</v>
      </c>
      <c r="V185" s="385">
        <f t="shared" si="56"/>
        <v>64.080783085397897</v>
      </c>
      <c r="W185" s="58"/>
      <c r="X185" s="157">
        <f t="shared" si="57"/>
        <v>43271</v>
      </c>
      <c r="Y185" s="387">
        <f t="shared" si="58"/>
        <v>0</v>
      </c>
      <c r="Z185" s="387">
        <f t="shared" si="59"/>
        <v>0</v>
      </c>
      <c r="AA185" s="388">
        <f t="shared" si="60"/>
        <v>0</v>
      </c>
      <c r="AB185" s="199">
        <f t="shared" si="61"/>
        <v>43271</v>
      </c>
      <c r="AC185" s="428">
        <f t="shared" si="62"/>
        <v>0</v>
      </c>
      <c r="AD185" s="171">
        <f>(INDEX(Models!$BJ185:$BT185,,AH185)*(1-AF185)+INDEX(Models!$BJ185:$BT185,,AH185+1)*AF185-ERP_i)*AE185*Ramure*Pc/MaxiM</f>
        <v>1.5878108668235515E-5</v>
      </c>
      <c r="AE185" s="307">
        <f t="shared" si="63"/>
        <v>0.9</v>
      </c>
      <c r="AF185" s="179">
        <f t="shared" si="64"/>
        <v>0.62044926150769886</v>
      </c>
      <c r="AG185" s="839">
        <f t="shared" si="65"/>
        <v>-3</v>
      </c>
      <c r="AH185" s="178">
        <f t="shared" si="66"/>
        <v>3</v>
      </c>
      <c r="AI185" s="227">
        <f t="shared" si="67"/>
        <v>-2.3795507384923011</v>
      </c>
      <c r="AJ185" s="267" t="b">
        <f t="shared" si="68"/>
        <v>1</v>
      </c>
      <c r="AK185" s="267" t="b">
        <f t="shared" si="69"/>
        <v>0</v>
      </c>
      <c r="AL185" s="267"/>
      <c r="AM185" s="267"/>
      <c r="AN185" s="75"/>
    </row>
    <row r="186" spans="1:40" s="6" customFormat="1" ht="11.25" x14ac:dyDescent="0.2">
      <c r="A186" s="56">
        <f t="shared" si="71"/>
        <v>43272</v>
      </c>
      <c r="B186" s="620"/>
      <c r="C186" s="392"/>
      <c r="D186" s="395"/>
      <c r="E186" s="387"/>
      <c r="F186" s="387"/>
      <c r="G186" s="110"/>
      <c r="I186" s="382">
        <f t="shared" si="48"/>
        <v>0</v>
      </c>
      <c r="J186" s="85">
        <v>2018</v>
      </c>
      <c r="K186" s="199">
        <f t="shared" si="49"/>
        <v>43272</v>
      </c>
      <c r="L186" s="439">
        <f t="shared" si="50"/>
        <v>0</v>
      </c>
      <c r="M186" s="883"/>
      <c r="N186" s="883"/>
      <c r="O186" s="326">
        <f t="shared" si="51"/>
        <v>0</v>
      </c>
      <c r="P186" s="171">
        <f>(INDEX(Models!$BJ186:$BT186,,T186)*(1-R186)+INDEX(Models!$BJ186:$BT186,,T186+1)*R186-ERP_i)*Q186*Ramure*Pc/MaxiM</f>
        <v>1.6186684057876045E-5</v>
      </c>
      <c r="Q186" s="307">
        <f t="shared" si="52"/>
        <v>0.9</v>
      </c>
      <c r="R186" s="179">
        <f t="shared" si="53"/>
        <v>0.62732801667717641</v>
      </c>
      <c r="S186" s="839">
        <f t="shared" si="70"/>
        <v>-3</v>
      </c>
      <c r="T186" s="178">
        <f t="shared" si="54"/>
        <v>3</v>
      </c>
      <c r="U186" s="253">
        <f t="shared" si="55"/>
        <v>-2.3726719833228236</v>
      </c>
      <c r="V186" s="385">
        <f t="shared" si="56"/>
        <v>64.027922184342501</v>
      </c>
      <c r="W186" s="58"/>
      <c r="X186" s="157">
        <f t="shared" si="57"/>
        <v>43272</v>
      </c>
      <c r="Y186" s="387">
        <f t="shared" si="58"/>
        <v>0</v>
      </c>
      <c r="Z186" s="387">
        <f t="shared" si="59"/>
        <v>0</v>
      </c>
      <c r="AA186" s="388">
        <f t="shared" si="60"/>
        <v>0</v>
      </c>
      <c r="AB186" s="199">
        <f t="shared" si="61"/>
        <v>43272</v>
      </c>
      <c r="AC186" s="428">
        <f t="shared" si="62"/>
        <v>0</v>
      </c>
      <c r="AD186" s="171">
        <f>(INDEX(Models!$BJ186:$BT186,,AH186)*(1-AF186)+INDEX(Models!$BJ186:$BT186,,AH186+1)*AF186-ERP_i)*AE186*Ramure*Pc/MaxiM</f>
        <v>1.6186684057876045E-5</v>
      </c>
      <c r="AE186" s="307">
        <f t="shared" si="63"/>
        <v>0.9</v>
      </c>
      <c r="AF186" s="179">
        <f t="shared" si="64"/>
        <v>0.62732801667717641</v>
      </c>
      <c r="AG186" s="839">
        <f t="shared" si="65"/>
        <v>-3</v>
      </c>
      <c r="AH186" s="178">
        <f t="shared" si="66"/>
        <v>3</v>
      </c>
      <c r="AI186" s="227">
        <f t="shared" si="67"/>
        <v>-2.3726719833228236</v>
      </c>
      <c r="AJ186" s="267" t="b">
        <f t="shared" si="68"/>
        <v>1</v>
      </c>
      <c r="AK186" s="267" t="b">
        <f t="shared" si="69"/>
        <v>0</v>
      </c>
      <c r="AL186" s="267"/>
      <c r="AM186" s="267"/>
      <c r="AN186" s="75"/>
    </row>
    <row r="187" spans="1:40" s="6" customFormat="1" ht="11.25" x14ac:dyDescent="0.2">
      <c r="A187" s="56">
        <f t="shared" si="71"/>
        <v>43273</v>
      </c>
      <c r="B187" s="620"/>
      <c r="C187" s="392"/>
      <c r="D187" s="395"/>
      <c r="E187" s="387"/>
      <c r="F187" s="387"/>
      <c r="G187" s="110"/>
      <c r="I187" s="382">
        <f t="shared" si="48"/>
        <v>0</v>
      </c>
      <c r="J187" s="85">
        <v>2018</v>
      </c>
      <c r="K187" s="199">
        <f t="shared" si="49"/>
        <v>43273</v>
      </c>
      <c r="L187" s="439">
        <f t="shared" si="50"/>
        <v>0</v>
      </c>
      <c r="M187" s="883"/>
      <c r="N187" s="883"/>
      <c r="O187" s="326">
        <f t="shared" si="51"/>
        <v>0</v>
      </c>
      <c r="P187" s="171">
        <f>(INDEX(Models!$BJ187:$BT187,,T187)*(1-R187)+INDEX(Models!$BJ187:$BT187,,T187+1)*R187-ERP_i)*Q187*Ramure*Pc/MaxiM</f>
        <v>1.6465479942112219E-5</v>
      </c>
      <c r="Q187" s="307">
        <f t="shared" si="52"/>
        <v>0.9</v>
      </c>
      <c r="R187" s="179">
        <f t="shared" si="53"/>
        <v>0.63414423719329882</v>
      </c>
      <c r="S187" s="839">
        <f t="shared" si="70"/>
        <v>-3</v>
      </c>
      <c r="T187" s="178">
        <f t="shared" si="54"/>
        <v>3</v>
      </c>
      <c r="U187" s="253">
        <f t="shared" si="55"/>
        <v>-2.3658557628067012</v>
      </c>
      <c r="V187" s="385">
        <f t="shared" si="56"/>
        <v>63.972600286933485</v>
      </c>
      <c r="W187" s="58"/>
      <c r="X187" s="157">
        <f t="shared" si="57"/>
        <v>43273</v>
      </c>
      <c r="Y187" s="387">
        <f t="shared" si="58"/>
        <v>0</v>
      </c>
      <c r="Z187" s="387">
        <f t="shared" si="59"/>
        <v>0</v>
      </c>
      <c r="AA187" s="388">
        <f t="shared" si="60"/>
        <v>0</v>
      </c>
      <c r="AB187" s="199">
        <f t="shared" si="61"/>
        <v>43273</v>
      </c>
      <c r="AC187" s="428">
        <f t="shared" si="62"/>
        <v>0</v>
      </c>
      <c r="AD187" s="171">
        <f>(INDEX(Models!$BJ187:$BT187,,AH187)*(1-AF187)+INDEX(Models!$BJ187:$BT187,,AH187+1)*AF187-ERP_i)*AE187*Ramure*Pc/MaxiM</f>
        <v>1.6465479942112219E-5</v>
      </c>
      <c r="AE187" s="307">
        <f t="shared" si="63"/>
        <v>0.9</v>
      </c>
      <c r="AF187" s="179">
        <f t="shared" si="64"/>
        <v>0.63414423719329882</v>
      </c>
      <c r="AG187" s="839">
        <f t="shared" si="65"/>
        <v>-3</v>
      </c>
      <c r="AH187" s="178">
        <f t="shared" si="66"/>
        <v>3</v>
      </c>
      <c r="AI187" s="227">
        <f t="shared" si="67"/>
        <v>-2.3658557628067012</v>
      </c>
      <c r="AJ187" s="267" t="b">
        <f t="shared" si="68"/>
        <v>1</v>
      </c>
      <c r="AK187" s="267" t="b">
        <f t="shared" si="69"/>
        <v>0</v>
      </c>
      <c r="AL187" s="267"/>
      <c r="AM187" s="267"/>
      <c r="AN187" s="75"/>
    </row>
    <row r="188" spans="1:40" s="6" customFormat="1" ht="11.25" customHeight="1" x14ac:dyDescent="0.2">
      <c r="A188" s="56">
        <f t="shared" si="71"/>
        <v>43274</v>
      </c>
      <c r="B188" s="620"/>
      <c r="C188" s="392"/>
      <c r="D188" s="395"/>
      <c r="E188" s="387"/>
      <c r="F188" s="387"/>
      <c r="G188" s="110"/>
      <c r="I188" s="382">
        <f t="shared" si="48"/>
        <v>0</v>
      </c>
      <c r="J188" s="85">
        <v>2018</v>
      </c>
      <c r="K188" s="199">
        <f t="shared" si="49"/>
        <v>43274</v>
      </c>
      <c r="L188" s="439">
        <f t="shared" si="50"/>
        <v>0</v>
      </c>
      <c r="M188" s="883"/>
      <c r="N188" s="883"/>
      <c r="O188" s="326">
        <f t="shared" si="51"/>
        <v>0</v>
      </c>
      <c r="P188" s="171">
        <f>(INDEX(Models!$BJ188:$BT188,,T188)*(1-R188)+INDEX(Models!$BJ188:$BT188,,T188+1)*R188-ERP_i)*Q188*Ramure*Pc/MaxiM</f>
        <v>1.6712707450242978E-5</v>
      </c>
      <c r="Q188" s="307">
        <f t="shared" si="52"/>
        <v>0.9</v>
      </c>
      <c r="R188" s="179">
        <f t="shared" si="53"/>
        <v>0.64089309795700977</v>
      </c>
      <c r="S188" s="839">
        <f t="shared" si="70"/>
        <v>-3</v>
      </c>
      <c r="T188" s="178">
        <f t="shared" si="54"/>
        <v>3</v>
      </c>
      <c r="U188" s="253">
        <f t="shared" si="55"/>
        <v>-2.3591069020429902</v>
      </c>
      <c r="V188" s="385">
        <f t="shared" si="56"/>
        <v>63.915041409644736</v>
      </c>
      <c r="W188" s="58"/>
      <c r="X188" s="157">
        <f t="shared" si="57"/>
        <v>43274</v>
      </c>
      <c r="Y188" s="387">
        <f t="shared" si="58"/>
        <v>0</v>
      </c>
      <c r="Z188" s="387">
        <f t="shared" si="59"/>
        <v>0</v>
      </c>
      <c r="AA188" s="388">
        <f t="shared" si="60"/>
        <v>0</v>
      </c>
      <c r="AB188" s="199">
        <f t="shared" si="61"/>
        <v>43274</v>
      </c>
      <c r="AC188" s="428">
        <f t="shared" si="62"/>
        <v>0</v>
      </c>
      <c r="AD188" s="171">
        <f>(INDEX(Models!$BJ188:$BT188,,AH188)*(1-AF188)+INDEX(Models!$BJ188:$BT188,,AH188+1)*AF188-ERP_i)*AE188*Ramure*Pc/MaxiM</f>
        <v>1.6712707450242978E-5</v>
      </c>
      <c r="AE188" s="307">
        <f t="shared" si="63"/>
        <v>0.9</v>
      </c>
      <c r="AF188" s="179">
        <f t="shared" si="64"/>
        <v>0.64089309795700977</v>
      </c>
      <c r="AG188" s="839">
        <f t="shared" si="65"/>
        <v>-3</v>
      </c>
      <c r="AH188" s="178">
        <f t="shared" si="66"/>
        <v>3</v>
      </c>
      <c r="AI188" s="227">
        <f t="shared" si="67"/>
        <v>-2.3591069020429902</v>
      </c>
      <c r="AJ188" s="267" t="b">
        <f t="shared" si="68"/>
        <v>1</v>
      </c>
      <c r="AK188" s="267" t="b">
        <f t="shared" si="69"/>
        <v>0</v>
      </c>
      <c r="AL188" s="267"/>
      <c r="AM188" s="267"/>
      <c r="AN188" s="75"/>
    </row>
    <row r="189" spans="1:40" s="6" customFormat="1" ht="11.25" x14ac:dyDescent="0.2">
      <c r="A189" s="56">
        <f t="shared" si="71"/>
        <v>43275</v>
      </c>
      <c r="B189" s="620"/>
      <c r="C189" s="392"/>
      <c r="D189" s="395"/>
      <c r="E189" s="387"/>
      <c r="F189" s="387"/>
      <c r="G189" s="110"/>
      <c r="I189" s="382">
        <f t="shared" si="48"/>
        <v>0</v>
      </c>
      <c r="J189" s="85">
        <v>2018</v>
      </c>
      <c r="K189" s="199">
        <f t="shared" si="49"/>
        <v>43275</v>
      </c>
      <c r="L189" s="439">
        <f t="shared" si="50"/>
        <v>0</v>
      </c>
      <c r="M189" s="883"/>
      <c r="N189" s="883"/>
      <c r="O189" s="326">
        <f t="shared" si="51"/>
        <v>0</v>
      </c>
      <c r="P189" s="171">
        <f>(INDEX(Models!$BJ189:$BT189,,T189)*(1-R189)+INDEX(Models!$BJ189:$BT189,,T189+1)*R189-ERP_i)*Q189*Ramure*Pc/MaxiM</f>
        <v>1.6926580363397955E-5</v>
      </c>
      <c r="Q189" s="307">
        <f t="shared" si="52"/>
        <v>0.9</v>
      </c>
      <c r="R189" s="179">
        <f t="shared" si="53"/>
        <v>0.64756998129116905</v>
      </c>
      <c r="S189" s="839">
        <f t="shared" si="70"/>
        <v>-3</v>
      </c>
      <c r="T189" s="178">
        <f t="shared" si="54"/>
        <v>3</v>
      </c>
      <c r="U189" s="253">
        <f t="shared" si="55"/>
        <v>-2.3524300187088309</v>
      </c>
      <c r="V189" s="385">
        <f t="shared" si="56"/>
        <v>63.855469564578407</v>
      </c>
      <c r="W189" s="58"/>
      <c r="X189" s="157">
        <f t="shared" si="57"/>
        <v>43275</v>
      </c>
      <c r="Y189" s="387">
        <f t="shared" si="58"/>
        <v>0</v>
      </c>
      <c r="Z189" s="387">
        <f t="shared" si="59"/>
        <v>0</v>
      </c>
      <c r="AA189" s="388">
        <f t="shared" si="60"/>
        <v>0</v>
      </c>
      <c r="AB189" s="199">
        <f t="shared" si="61"/>
        <v>43275</v>
      </c>
      <c r="AC189" s="428">
        <f t="shared" si="62"/>
        <v>0</v>
      </c>
      <c r="AD189" s="171">
        <f>(INDEX(Models!$BJ189:$BT189,,AH189)*(1-AF189)+INDEX(Models!$BJ189:$BT189,,AH189+1)*AF189-ERP_i)*AE189*Ramure*Pc/MaxiM</f>
        <v>1.6926580363397955E-5</v>
      </c>
      <c r="AE189" s="307">
        <f t="shared" si="63"/>
        <v>0.9</v>
      </c>
      <c r="AF189" s="179">
        <f t="shared" si="64"/>
        <v>0.64756998129116905</v>
      </c>
      <c r="AG189" s="839">
        <f t="shared" si="65"/>
        <v>-3</v>
      </c>
      <c r="AH189" s="178">
        <f t="shared" si="66"/>
        <v>3</v>
      </c>
      <c r="AI189" s="227">
        <f t="shared" si="67"/>
        <v>-2.3524300187088309</v>
      </c>
      <c r="AJ189" s="267" t="b">
        <f t="shared" si="68"/>
        <v>1</v>
      </c>
      <c r="AK189" s="267" t="b">
        <f t="shared" si="69"/>
        <v>0</v>
      </c>
      <c r="AL189" s="267"/>
      <c r="AM189" s="267"/>
      <c r="AN189" s="75"/>
    </row>
    <row r="190" spans="1:40" s="6" customFormat="1" ht="11.25" x14ac:dyDescent="0.2">
      <c r="A190" s="56">
        <f t="shared" si="71"/>
        <v>43276</v>
      </c>
      <c r="B190" s="620"/>
      <c r="C190" s="392"/>
      <c r="D190" s="395"/>
      <c r="E190" s="387"/>
      <c r="F190" s="387"/>
      <c r="G190" s="110"/>
      <c r="I190" s="382">
        <f t="shared" si="48"/>
        <v>0</v>
      </c>
      <c r="J190" s="85">
        <v>2018</v>
      </c>
      <c r="K190" s="199">
        <f t="shared" si="49"/>
        <v>43276</v>
      </c>
      <c r="L190" s="439">
        <f t="shared" si="50"/>
        <v>0</v>
      </c>
      <c r="M190" s="883"/>
      <c r="N190" s="883"/>
      <c r="O190" s="326">
        <f t="shared" si="51"/>
        <v>0</v>
      </c>
      <c r="P190" s="171">
        <f>(INDEX(Models!$BJ190:$BT190,,T190)*(1-R190)+INDEX(Models!$BJ190:$BT190,,T190+1)*R190-ERP_i)*Q190*Ramure*Pc/MaxiM</f>
        <v>1.7105501130647483E-5</v>
      </c>
      <c r="Q190" s="307">
        <f t="shared" si="52"/>
        <v>0.9</v>
      </c>
      <c r="R190" s="179">
        <f t="shared" si="53"/>
        <v>0.65417048763853503</v>
      </c>
      <c r="S190" s="839">
        <f t="shared" si="70"/>
        <v>-3</v>
      </c>
      <c r="T190" s="178">
        <f t="shared" si="54"/>
        <v>3</v>
      </c>
      <c r="U190" s="253">
        <f t="shared" si="55"/>
        <v>-2.345829512361465</v>
      </c>
      <c r="V190" s="385">
        <f t="shared" si="56"/>
        <v>63.794108751092551</v>
      </c>
      <c r="W190" s="58"/>
      <c r="X190" s="157">
        <f t="shared" si="57"/>
        <v>43276</v>
      </c>
      <c r="Y190" s="387">
        <f t="shared" si="58"/>
        <v>0</v>
      </c>
      <c r="Z190" s="387">
        <f t="shared" si="59"/>
        <v>0</v>
      </c>
      <c r="AA190" s="388">
        <f t="shared" si="60"/>
        <v>0</v>
      </c>
      <c r="AB190" s="199">
        <f t="shared" si="61"/>
        <v>43276</v>
      </c>
      <c r="AC190" s="428">
        <f t="shared" si="62"/>
        <v>0</v>
      </c>
      <c r="AD190" s="171">
        <f>(INDEX(Models!$BJ190:$BT190,,AH190)*(1-AF190)+INDEX(Models!$BJ190:$BT190,,AH190+1)*AF190-ERP_i)*AE190*Ramure*Pc/MaxiM</f>
        <v>1.7105501130647483E-5</v>
      </c>
      <c r="AE190" s="307">
        <f t="shared" si="63"/>
        <v>0.9</v>
      </c>
      <c r="AF190" s="179">
        <f t="shared" si="64"/>
        <v>0.65417048763853503</v>
      </c>
      <c r="AG190" s="839">
        <f t="shared" si="65"/>
        <v>-3</v>
      </c>
      <c r="AH190" s="178">
        <f t="shared" si="66"/>
        <v>3</v>
      </c>
      <c r="AI190" s="227">
        <f t="shared" si="67"/>
        <v>-2.345829512361465</v>
      </c>
      <c r="AJ190" s="267" t="b">
        <f t="shared" si="68"/>
        <v>1</v>
      </c>
      <c r="AK190" s="267" t="b">
        <f t="shared" si="69"/>
        <v>0</v>
      </c>
      <c r="AL190" s="267"/>
      <c r="AM190" s="267"/>
      <c r="AN190" s="75"/>
    </row>
    <row r="191" spans="1:40" s="6" customFormat="1" ht="11.25" x14ac:dyDescent="0.2">
      <c r="A191" s="56">
        <f t="shared" si="71"/>
        <v>43277</v>
      </c>
      <c r="B191" s="620"/>
      <c r="C191" s="392"/>
      <c r="D191" s="395"/>
      <c r="E191" s="387"/>
      <c r="F191" s="387"/>
      <c r="G191" s="110"/>
      <c r="I191" s="382">
        <f t="shared" si="48"/>
        <v>0</v>
      </c>
      <c r="J191" s="85">
        <v>2018</v>
      </c>
      <c r="K191" s="199">
        <f t="shared" si="49"/>
        <v>43277</v>
      </c>
      <c r="L191" s="439">
        <f t="shared" si="50"/>
        <v>0</v>
      </c>
      <c r="M191" s="883"/>
      <c r="N191" s="883"/>
      <c r="O191" s="326">
        <f t="shared" si="51"/>
        <v>0</v>
      </c>
      <c r="P191" s="171">
        <f>(INDEX(Models!$BJ191:$BT191,,T191)*(1-R191)+INDEX(Models!$BJ191:$BT191,,T191+1)*R191-ERP_i)*Q191*Ramure*Pc/MaxiM</f>
        <v>1.7247923747695286E-5</v>
      </c>
      <c r="Q191" s="307">
        <f t="shared" si="52"/>
        <v>0.9</v>
      </c>
      <c r="R191" s="179">
        <f t="shared" si="53"/>
        <v>0.6606904449157005</v>
      </c>
      <c r="S191" s="839">
        <f t="shared" si="70"/>
        <v>-3</v>
      </c>
      <c r="T191" s="178">
        <f t="shared" si="54"/>
        <v>3</v>
      </c>
      <c r="U191" s="253">
        <f t="shared" si="55"/>
        <v>-2.3393095550842995</v>
      </c>
      <c r="V191" s="385">
        <f t="shared" si="56"/>
        <v>63.731108332106501</v>
      </c>
      <c r="W191" s="58"/>
      <c r="X191" s="157">
        <f t="shared" si="57"/>
        <v>43277</v>
      </c>
      <c r="Y191" s="387">
        <f t="shared" si="58"/>
        <v>0</v>
      </c>
      <c r="Z191" s="387">
        <f t="shared" si="59"/>
        <v>0</v>
      </c>
      <c r="AA191" s="388">
        <f t="shared" si="60"/>
        <v>0</v>
      </c>
      <c r="AB191" s="199">
        <f t="shared" si="61"/>
        <v>43277</v>
      </c>
      <c r="AC191" s="428">
        <f t="shared" si="62"/>
        <v>0</v>
      </c>
      <c r="AD191" s="171">
        <f>(INDEX(Models!$BJ191:$BT191,,AH191)*(1-AF191)+INDEX(Models!$BJ191:$BT191,,AH191+1)*AF191-ERP_i)*AE191*Ramure*Pc/MaxiM</f>
        <v>1.7247923747695286E-5</v>
      </c>
      <c r="AE191" s="307">
        <f t="shared" si="63"/>
        <v>0.9</v>
      </c>
      <c r="AF191" s="179">
        <f t="shared" si="64"/>
        <v>0.6606904449157005</v>
      </c>
      <c r="AG191" s="839">
        <f t="shared" si="65"/>
        <v>-3</v>
      </c>
      <c r="AH191" s="178">
        <f t="shared" si="66"/>
        <v>3</v>
      </c>
      <c r="AI191" s="227">
        <f t="shared" si="67"/>
        <v>-2.3393095550842995</v>
      </c>
      <c r="AJ191" s="267" t="b">
        <f t="shared" si="68"/>
        <v>1</v>
      </c>
      <c r="AK191" s="267" t="b">
        <f t="shared" si="69"/>
        <v>0</v>
      </c>
      <c r="AL191" s="267"/>
      <c r="AM191" s="267"/>
      <c r="AN191" s="75"/>
    </row>
    <row r="192" spans="1:40" s="6" customFormat="1" ht="11.25" customHeight="1" x14ac:dyDescent="0.2">
      <c r="A192" s="56">
        <f t="shared" si="71"/>
        <v>43278</v>
      </c>
      <c r="B192" s="620"/>
      <c r="C192" s="392"/>
      <c r="D192" s="395"/>
      <c r="E192" s="387"/>
      <c r="F192" s="387"/>
      <c r="G192" s="110"/>
      <c r="I192" s="382">
        <f t="shared" si="48"/>
        <v>0</v>
      </c>
      <c r="J192" s="85">
        <v>2018</v>
      </c>
      <c r="K192" s="199">
        <f t="shared" si="49"/>
        <v>43278</v>
      </c>
      <c r="L192" s="439">
        <f t="shared" si="50"/>
        <v>0</v>
      </c>
      <c r="M192" s="883"/>
      <c r="N192" s="883"/>
      <c r="O192" s="326">
        <f t="shared" si="51"/>
        <v>0</v>
      </c>
      <c r="P192" s="171">
        <f>(INDEX(Models!$BJ192:$BT192,,T192)*(1-R192)+INDEX(Models!$BJ192:$BT192,,T192+1)*R192-ERP_i)*Q192*Ramure*Pc/MaxiM</f>
        <v>1.7369392344393843E-5</v>
      </c>
      <c r="Q192" s="307">
        <f t="shared" si="52"/>
        <v>0.9</v>
      </c>
      <c r="R192" s="179">
        <f t="shared" si="53"/>
        <v>0.66712591650050435</v>
      </c>
      <c r="S192" s="839">
        <f t="shared" si="70"/>
        <v>-3</v>
      </c>
      <c r="T192" s="178">
        <f t="shared" si="54"/>
        <v>3</v>
      </c>
      <c r="U192" s="253">
        <f t="shared" si="55"/>
        <v>-2.3328740834994957</v>
      </c>
      <c r="V192" s="385">
        <f t="shared" si="56"/>
        <v>63.666318041711897</v>
      </c>
      <c r="W192" s="58"/>
      <c r="X192" s="157">
        <f t="shared" si="57"/>
        <v>43278</v>
      </c>
      <c r="Y192" s="387">
        <f t="shared" si="58"/>
        <v>0</v>
      </c>
      <c r="Z192" s="387">
        <f t="shared" si="59"/>
        <v>0</v>
      </c>
      <c r="AA192" s="388">
        <f t="shared" si="60"/>
        <v>0</v>
      </c>
      <c r="AB192" s="199">
        <f t="shared" si="61"/>
        <v>43278</v>
      </c>
      <c r="AC192" s="428">
        <f t="shared" si="62"/>
        <v>0</v>
      </c>
      <c r="AD192" s="171">
        <f>(INDEX(Models!$BJ192:$BT192,,AH192)*(1-AF192)+INDEX(Models!$BJ192:$BT192,,AH192+1)*AF192-ERP_i)*AE192*Ramure*Pc/MaxiM</f>
        <v>1.7369392344393843E-5</v>
      </c>
      <c r="AE192" s="307">
        <f t="shared" si="63"/>
        <v>0.9</v>
      </c>
      <c r="AF192" s="179">
        <f t="shared" si="64"/>
        <v>0.66712591650050435</v>
      </c>
      <c r="AG192" s="839">
        <f t="shared" si="65"/>
        <v>-3</v>
      </c>
      <c r="AH192" s="178">
        <f t="shared" si="66"/>
        <v>3</v>
      </c>
      <c r="AI192" s="227">
        <f t="shared" si="67"/>
        <v>-2.3328740834994957</v>
      </c>
      <c r="AJ192" s="267" t="b">
        <f t="shared" si="68"/>
        <v>1</v>
      </c>
      <c r="AK192" s="267" t="b">
        <f t="shared" si="69"/>
        <v>0</v>
      </c>
      <c r="AL192" s="267"/>
      <c r="AM192" s="267"/>
      <c r="AN192" s="75"/>
    </row>
    <row r="193" spans="1:40" s="6" customFormat="1" ht="11.25" x14ac:dyDescent="0.2">
      <c r="A193" s="56">
        <f t="shared" si="71"/>
        <v>43279</v>
      </c>
      <c r="B193" s="620"/>
      <c r="C193" s="392"/>
      <c r="D193" s="395"/>
      <c r="E193" s="387"/>
      <c r="F193" s="387"/>
      <c r="G193" s="110"/>
      <c r="I193" s="382">
        <f t="shared" si="48"/>
        <v>0</v>
      </c>
      <c r="J193" s="85">
        <v>2018</v>
      </c>
      <c r="K193" s="199">
        <f t="shared" si="49"/>
        <v>43279</v>
      </c>
      <c r="L193" s="439">
        <f t="shared" si="50"/>
        <v>0</v>
      </c>
      <c r="M193" s="883"/>
      <c r="N193" s="883"/>
      <c r="O193" s="326">
        <f t="shared" si="51"/>
        <v>0</v>
      </c>
      <c r="P193" s="171">
        <f>(INDEX(Models!$BJ193:$BT193,,T193)*(1-R193)+INDEX(Models!$BJ193:$BT193,,T193+1)*R193-ERP_i)*Q193*Ramure*Pc/MaxiM</f>
        <v>1.7485632783949249E-5</v>
      </c>
      <c r="Q193" s="307">
        <f t="shared" si="52"/>
        <v>0.9</v>
      </c>
      <c r="R193" s="179">
        <f t="shared" si="53"/>
        <v>0.67347320784366582</v>
      </c>
      <c r="S193" s="839">
        <f t="shared" si="70"/>
        <v>-3</v>
      </c>
      <c r="T193" s="178">
        <f t="shared" si="54"/>
        <v>3</v>
      </c>
      <c r="U193" s="253">
        <f t="shared" si="55"/>
        <v>-2.3265267921563342</v>
      </c>
      <c r="V193" s="385">
        <f t="shared" si="56"/>
        <v>63.599512975510891</v>
      </c>
      <c r="W193" s="58"/>
      <c r="X193" s="157">
        <f t="shared" si="57"/>
        <v>43279</v>
      </c>
      <c r="Y193" s="387">
        <f t="shared" si="58"/>
        <v>0</v>
      </c>
      <c r="Z193" s="387">
        <f t="shared" si="59"/>
        <v>0</v>
      </c>
      <c r="AA193" s="388">
        <f t="shared" si="60"/>
        <v>0</v>
      </c>
      <c r="AB193" s="199">
        <f t="shared" si="61"/>
        <v>43279</v>
      </c>
      <c r="AC193" s="428">
        <f t="shared" si="62"/>
        <v>0</v>
      </c>
      <c r="AD193" s="171">
        <f>(INDEX(Models!$BJ193:$BT193,,AH193)*(1-AF193)+INDEX(Models!$BJ193:$BT193,,AH193+1)*AF193-ERP_i)*AE193*Ramure*Pc/MaxiM</f>
        <v>1.7485632783949249E-5</v>
      </c>
      <c r="AE193" s="307">
        <f t="shared" si="63"/>
        <v>0.9</v>
      </c>
      <c r="AF193" s="179">
        <f t="shared" si="64"/>
        <v>0.67347320784366582</v>
      </c>
      <c r="AG193" s="839">
        <f t="shared" si="65"/>
        <v>-3</v>
      </c>
      <c r="AH193" s="178">
        <f t="shared" si="66"/>
        <v>3</v>
      </c>
      <c r="AI193" s="227">
        <f t="shared" si="67"/>
        <v>-2.3265267921563342</v>
      </c>
      <c r="AJ193" s="267" t="b">
        <f t="shared" si="68"/>
        <v>1</v>
      </c>
      <c r="AK193" s="267" t="b">
        <f t="shared" si="69"/>
        <v>0</v>
      </c>
      <c r="AL193" s="267"/>
      <c r="AM193" s="267"/>
      <c r="AN193" s="75"/>
    </row>
    <row r="194" spans="1:40" s="6" customFormat="1" ht="11.25" customHeight="1" x14ac:dyDescent="0.2">
      <c r="A194" s="56">
        <f t="shared" si="71"/>
        <v>43280</v>
      </c>
      <c r="B194" s="620"/>
      <c r="C194" s="392"/>
      <c r="D194" s="395"/>
      <c r="E194" s="387"/>
      <c r="F194" s="387"/>
      <c r="G194" s="110"/>
      <c r="I194" s="382">
        <f t="shared" si="48"/>
        <v>0</v>
      </c>
      <c r="J194" s="85">
        <v>2018</v>
      </c>
      <c r="K194" s="199">
        <f t="shared" si="49"/>
        <v>43280</v>
      </c>
      <c r="L194" s="439">
        <f t="shared" si="50"/>
        <v>0</v>
      </c>
      <c r="M194" s="883"/>
      <c r="N194" s="883"/>
      <c r="O194" s="326">
        <f t="shared" si="51"/>
        <v>0</v>
      </c>
      <c r="P194" s="171">
        <f>(INDEX(Models!$BJ194:$BT194,,T194)*(1-R194)+INDEX(Models!$BJ194:$BT194,,T194+1)*R194-ERP_i)*Q194*Ramure*Pc/MaxiM</f>
        <v>1.7596701231896303E-5</v>
      </c>
      <c r="Q194" s="307">
        <f t="shared" si="52"/>
        <v>0.9</v>
      </c>
      <c r="R194" s="179">
        <f t="shared" si="53"/>
        <v>0.67972887170814689</v>
      </c>
      <c r="S194" s="839">
        <f t="shared" si="70"/>
        <v>-3</v>
      </c>
      <c r="T194" s="178">
        <f t="shared" si="54"/>
        <v>3</v>
      </c>
      <c r="U194" s="253">
        <f t="shared" si="55"/>
        <v>-2.3202711282918531</v>
      </c>
      <c r="V194" s="385">
        <f t="shared" si="56"/>
        <v>63.530469225568837</v>
      </c>
      <c r="W194" s="58"/>
      <c r="X194" s="157">
        <f t="shared" si="57"/>
        <v>43280</v>
      </c>
      <c r="Y194" s="387">
        <f t="shared" si="58"/>
        <v>0</v>
      </c>
      <c r="Z194" s="387">
        <f t="shared" si="59"/>
        <v>0</v>
      </c>
      <c r="AA194" s="388">
        <f t="shared" si="60"/>
        <v>0</v>
      </c>
      <c r="AB194" s="199">
        <f t="shared" si="61"/>
        <v>43280</v>
      </c>
      <c r="AC194" s="428">
        <f t="shared" si="62"/>
        <v>0</v>
      </c>
      <c r="AD194" s="171">
        <f>(INDEX(Models!$BJ194:$BT194,,AH194)*(1-AF194)+INDEX(Models!$BJ194:$BT194,,AH194+1)*AF194-ERP_i)*AE194*Ramure*Pc/MaxiM</f>
        <v>1.7596701231896303E-5</v>
      </c>
      <c r="AE194" s="307">
        <f t="shared" si="63"/>
        <v>0.9</v>
      </c>
      <c r="AF194" s="179">
        <f t="shared" si="64"/>
        <v>0.67972887170814689</v>
      </c>
      <c r="AG194" s="839">
        <f t="shared" si="65"/>
        <v>-3</v>
      </c>
      <c r="AH194" s="178">
        <f t="shared" si="66"/>
        <v>3</v>
      </c>
      <c r="AI194" s="227">
        <f t="shared" si="67"/>
        <v>-2.3202711282918531</v>
      </c>
      <c r="AJ194" s="267" t="b">
        <f t="shared" si="68"/>
        <v>1</v>
      </c>
      <c r="AK194" s="267" t="b">
        <f t="shared" si="69"/>
        <v>0</v>
      </c>
      <c r="AL194" s="267"/>
      <c r="AM194" s="267"/>
      <c r="AN194" s="75"/>
    </row>
    <row r="195" spans="1:40" s="6" customFormat="1" ht="11.25" customHeight="1" x14ac:dyDescent="0.2">
      <c r="A195" s="56">
        <f t="shared" si="71"/>
        <v>43281</v>
      </c>
      <c r="B195" s="620"/>
      <c r="C195" s="392"/>
      <c r="D195" s="395"/>
      <c r="E195" s="387"/>
      <c r="F195" s="387"/>
      <c r="G195" s="110"/>
      <c r="I195" s="382">
        <f t="shared" si="48"/>
        <v>0</v>
      </c>
      <c r="J195" s="85">
        <v>2018</v>
      </c>
      <c r="K195" s="199">
        <f t="shared" si="49"/>
        <v>43281</v>
      </c>
      <c r="L195" s="439">
        <f t="shared" si="50"/>
        <v>0</v>
      </c>
      <c r="M195" s="883"/>
      <c r="N195" s="883"/>
      <c r="O195" s="326">
        <f t="shared" si="51"/>
        <v>0</v>
      </c>
      <c r="P195" s="171">
        <f>(INDEX(Models!$BJ195:$BT195,,T195)*(1-R195)+INDEX(Models!$BJ195:$BT195,,T195+1)*R195-ERP_i)*Q195*Ramure*Pc/MaxiM</f>
        <v>1.7702666722630844E-5</v>
      </c>
      <c r="Q195" s="307">
        <f t="shared" si="52"/>
        <v>0.9</v>
      </c>
      <c r="R195" s="179">
        <f t="shared" si="53"/>
        <v>0.6858897120519245</v>
      </c>
      <c r="S195" s="839">
        <f t="shared" si="70"/>
        <v>-3</v>
      </c>
      <c r="T195" s="178">
        <f t="shared" si="54"/>
        <v>3</v>
      </c>
      <c r="U195" s="253">
        <f t="shared" si="55"/>
        <v>-2.3141102879480755</v>
      </c>
      <c r="V195" s="385">
        <f t="shared" si="56"/>
        <v>63.458962884406098</v>
      </c>
      <c r="W195" s="58"/>
      <c r="X195" s="157">
        <f t="shared" si="57"/>
        <v>43281</v>
      </c>
      <c r="Y195" s="387">
        <f t="shared" si="58"/>
        <v>0</v>
      </c>
      <c r="Z195" s="387">
        <f t="shared" si="59"/>
        <v>0</v>
      </c>
      <c r="AA195" s="388">
        <f t="shared" si="60"/>
        <v>0</v>
      </c>
      <c r="AB195" s="199">
        <f t="shared" si="61"/>
        <v>43281</v>
      </c>
      <c r="AC195" s="428">
        <f t="shared" si="62"/>
        <v>0</v>
      </c>
      <c r="AD195" s="171">
        <f>(INDEX(Models!$BJ195:$BT195,,AH195)*(1-AF195)+INDEX(Models!$BJ195:$BT195,,AH195+1)*AF195-ERP_i)*AE195*Ramure*Pc/MaxiM</f>
        <v>1.7702666722630844E-5</v>
      </c>
      <c r="AE195" s="307">
        <f t="shared" si="63"/>
        <v>0.9</v>
      </c>
      <c r="AF195" s="179">
        <f t="shared" si="64"/>
        <v>0.6858897120519245</v>
      </c>
      <c r="AG195" s="839">
        <f t="shared" si="65"/>
        <v>-3</v>
      </c>
      <c r="AH195" s="178">
        <f t="shared" si="66"/>
        <v>3</v>
      </c>
      <c r="AI195" s="227">
        <f t="shared" si="67"/>
        <v>-2.3141102879480755</v>
      </c>
      <c r="AJ195" s="267" t="b">
        <f t="shared" si="68"/>
        <v>1</v>
      </c>
      <c r="AK195" s="267" t="b">
        <f t="shared" si="69"/>
        <v>0</v>
      </c>
      <c r="AL195" s="267"/>
      <c r="AM195" s="267"/>
      <c r="AN195" s="75"/>
    </row>
    <row r="196" spans="1:40" s="6" customFormat="1" ht="11.25" customHeight="1" x14ac:dyDescent="0.2">
      <c r="A196" s="56">
        <f t="shared" si="71"/>
        <v>43282</v>
      </c>
      <c r="B196" s="620"/>
      <c r="C196" s="392"/>
      <c r="D196" s="395"/>
      <c r="E196" s="387"/>
      <c r="F196" s="387"/>
      <c r="G196" s="110"/>
      <c r="I196" s="382">
        <f t="shared" si="48"/>
        <v>0</v>
      </c>
      <c r="J196" s="85">
        <v>2018</v>
      </c>
      <c r="K196" s="199">
        <f t="shared" si="49"/>
        <v>43282</v>
      </c>
      <c r="L196" s="439">
        <f t="shared" si="50"/>
        <v>0</v>
      </c>
      <c r="M196" s="883"/>
      <c r="N196" s="883"/>
      <c r="O196" s="326">
        <f t="shared" si="51"/>
        <v>0</v>
      </c>
      <c r="P196" s="171">
        <f>(INDEX(Models!$BJ196:$BT196,,T196)*(1-R196)+INDEX(Models!$BJ196:$BT196,,T196+1)*R196-ERP_i)*Q196*Ramure*Pc/MaxiM</f>
        <v>1.780361070300849E-5</v>
      </c>
      <c r="Q196" s="307">
        <f t="shared" si="52"/>
        <v>0.9</v>
      </c>
      <c r="R196" s="179">
        <f t="shared" si="53"/>
        <v>0.69195278658124471</v>
      </c>
      <c r="S196" s="839">
        <f t="shared" si="70"/>
        <v>-3</v>
      </c>
      <c r="T196" s="178">
        <f t="shared" si="54"/>
        <v>3</v>
      </c>
      <c r="U196" s="253">
        <f t="shared" si="55"/>
        <v>-2.3080472134187553</v>
      </c>
      <c r="V196" s="385">
        <f t="shared" si="56"/>
        <v>63.384770044436031</v>
      </c>
      <c r="W196" s="58"/>
      <c r="X196" s="157">
        <f t="shared" si="57"/>
        <v>43282</v>
      </c>
      <c r="Y196" s="387">
        <f t="shared" si="58"/>
        <v>0</v>
      </c>
      <c r="Z196" s="387">
        <f t="shared" si="59"/>
        <v>0</v>
      </c>
      <c r="AA196" s="388">
        <f t="shared" si="60"/>
        <v>0</v>
      </c>
      <c r="AB196" s="199">
        <f t="shared" si="61"/>
        <v>43282</v>
      </c>
      <c r="AC196" s="428">
        <f t="shared" si="62"/>
        <v>0</v>
      </c>
      <c r="AD196" s="171">
        <f>(INDEX(Models!$BJ196:$BT196,,AH196)*(1-AF196)+INDEX(Models!$BJ196:$BT196,,AH196+1)*AF196-ERP_i)*AE196*Ramure*Pc/MaxiM</f>
        <v>1.780361070300849E-5</v>
      </c>
      <c r="AE196" s="307">
        <f t="shared" si="63"/>
        <v>0.9</v>
      </c>
      <c r="AF196" s="179">
        <f t="shared" si="64"/>
        <v>0.69195278658124471</v>
      </c>
      <c r="AG196" s="839">
        <f t="shared" si="65"/>
        <v>-3</v>
      </c>
      <c r="AH196" s="178">
        <f t="shared" si="66"/>
        <v>3</v>
      </c>
      <c r="AI196" s="227">
        <f t="shared" si="67"/>
        <v>-2.3080472134187553</v>
      </c>
      <c r="AJ196" s="267" t="b">
        <f t="shared" si="68"/>
        <v>1</v>
      </c>
      <c r="AK196" s="267" t="b">
        <f t="shared" si="69"/>
        <v>0</v>
      </c>
      <c r="AL196" s="267"/>
      <c r="AM196" s="267"/>
      <c r="AN196" s="75"/>
    </row>
    <row r="197" spans="1:40" s="6" customFormat="1" ht="11.25" customHeight="1" x14ac:dyDescent="0.2">
      <c r="A197" s="56">
        <f t="shared" si="71"/>
        <v>43283</v>
      </c>
      <c r="B197" s="620"/>
      <c r="C197" s="392"/>
      <c r="D197" s="395"/>
      <c r="E197" s="387"/>
      <c r="F197" s="387"/>
      <c r="G197" s="110"/>
      <c r="I197" s="382">
        <f t="shared" si="48"/>
        <v>0</v>
      </c>
      <c r="J197" s="85">
        <v>2018</v>
      </c>
      <c r="K197" s="199">
        <f t="shared" si="49"/>
        <v>43283</v>
      </c>
      <c r="L197" s="439">
        <f t="shared" si="50"/>
        <v>0</v>
      </c>
      <c r="M197" s="883"/>
      <c r="N197" s="883"/>
      <c r="O197" s="326">
        <f t="shared" si="51"/>
        <v>0</v>
      </c>
      <c r="P197" s="171">
        <f>(INDEX(Models!$BJ197:$BT197,,T197)*(1-R197)+INDEX(Models!$BJ197:$BT197,,T197+1)*R197-ERP_i)*Q197*Ramure*Pc/MaxiM</f>
        <v>1.7899626543836113E-5</v>
      </c>
      <c r="Q197" s="307">
        <f t="shared" si="52"/>
        <v>0.9</v>
      </c>
      <c r="R197" s="179">
        <f t="shared" si="53"/>
        <v>0.69791540801196961</v>
      </c>
      <c r="S197" s="839">
        <f t="shared" si="70"/>
        <v>-3</v>
      </c>
      <c r="T197" s="178">
        <f t="shared" si="54"/>
        <v>3</v>
      </c>
      <c r="U197" s="253">
        <f t="shared" si="55"/>
        <v>-2.3020845919880304</v>
      </c>
      <c r="V197" s="385">
        <f t="shared" si="56"/>
        <v>63.307666795330334</v>
      </c>
      <c r="W197" s="58"/>
      <c r="X197" s="157">
        <f t="shared" si="57"/>
        <v>43283</v>
      </c>
      <c r="Y197" s="387">
        <f t="shared" si="58"/>
        <v>0</v>
      </c>
      <c r="Z197" s="387">
        <f t="shared" si="59"/>
        <v>0</v>
      </c>
      <c r="AA197" s="388">
        <f t="shared" si="60"/>
        <v>0</v>
      </c>
      <c r="AB197" s="199">
        <f t="shared" si="61"/>
        <v>43283</v>
      </c>
      <c r="AC197" s="428">
        <f t="shared" si="62"/>
        <v>0</v>
      </c>
      <c r="AD197" s="171">
        <f>(INDEX(Models!$BJ197:$BT197,,AH197)*(1-AF197)+INDEX(Models!$BJ197:$BT197,,AH197+1)*AF197-ERP_i)*AE197*Ramure*Pc/MaxiM</f>
        <v>1.7899626543836113E-5</v>
      </c>
      <c r="AE197" s="307">
        <f t="shared" si="63"/>
        <v>0.9</v>
      </c>
      <c r="AF197" s="179">
        <f t="shared" si="64"/>
        <v>0.69791540801196961</v>
      </c>
      <c r="AG197" s="839">
        <f t="shared" si="65"/>
        <v>-3</v>
      </c>
      <c r="AH197" s="178">
        <f t="shared" si="66"/>
        <v>3</v>
      </c>
      <c r="AI197" s="227">
        <f t="shared" si="67"/>
        <v>-2.3020845919880304</v>
      </c>
      <c r="AJ197" s="267" t="b">
        <f t="shared" si="68"/>
        <v>1</v>
      </c>
      <c r="AK197" s="267" t="b">
        <f t="shared" si="69"/>
        <v>0</v>
      </c>
      <c r="AL197" s="267"/>
      <c r="AM197" s="267"/>
      <c r="AN197" s="75"/>
    </row>
    <row r="198" spans="1:40" s="6" customFormat="1" ht="11.25" customHeight="1" x14ac:dyDescent="0.2">
      <c r="A198" s="56">
        <f t="shared" si="71"/>
        <v>43284</v>
      </c>
      <c r="B198" s="620"/>
      <c r="C198" s="392"/>
      <c r="D198" s="395"/>
      <c r="E198" s="387"/>
      <c r="F198" s="387"/>
      <c r="G198" s="110"/>
      <c r="I198" s="382">
        <f t="shared" si="48"/>
        <v>0</v>
      </c>
      <c r="J198" s="85">
        <v>2018</v>
      </c>
      <c r="K198" s="199">
        <f t="shared" si="49"/>
        <v>43284</v>
      </c>
      <c r="L198" s="439">
        <f t="shared" si="50"/>
        <v>0</v>
      </c>
      <c r="M198" s="883"/>
      <c r="N198" s="883"/>
      <c r="O198" s="326">
        <f t="shared" si="51"/>
        <v>0</v>
      </c>
      <c r="P198" s="171">
        <f>(INDEX(Models!$BJ198:$BT198,,T198)*(1-R198)+INDEX(Models!$BJ198:$BT198,,T198+1)*R198-ERP_i)*Q198*Ramure*Pc/MaxiM</f>
        <v>1.8042535101420779E-5</v>
      </c>
      <c r="Q198" s="307">
        <f t="shared" si="52"/>
        <v>0.9</v>
      </c>
      <c r="R198" s="179">
        <f t="shared" si="53"/>
        <v>0.70377514408618458</v>
      </c>
      <c r="S198" s="839">
        <f t="shared" si="70"/>
        <v>-3</v>
      </c>
      <c r="T198" s="178">
        <f t="shared" si="54"/>
        <v>3</v>
      </c>
      <c r="U198" s="253">
        <f t="shared" si="55"/>
        <v>-2.2962248559138154</v>
      </c>
      <c r="V198" s="385">
        <f t="shared" si="56"/>
        <v>63.227425959648713</v>
      </c>
      <c r="W198" s="58"/>
      <c r="X198" s="157">
        <f t="shared" si="57"/>
        <v>43284</v>
      </c>
      <c r="Y198" s="387">
        <f t="shared" si="58"/>
        <v>0</v>
      </c>
      <c r="Z198" s="387">
        <f t="shared" si="59"/>
        <v>0</v>
      </c>
      <c r="AA198" s="388">
        <f t="shared" si="60"/>
        <v>0</v>
      </c>
      <c r="AB198" s="199">
        <f t="shared" si="61"/>
        <v>43284</v>
      </c>
      <c r="AC198" s="428">
        <f t="shared" si="62"/>
        <v>0</v>
      </c>
      <c r="AD198" s="171">
        <f>(INDEX(Models!$BJ198:$BT198,,AH198)*(1-AF198)+INDEX(Models!$BJ198:$BT198,,AH198+1)*AF198-ERP_i)*AE198*Ramure*Pc/MaxiM</f>
        <v>1.8042535101420779E-5</v>
      </c>
      <c r="AE198" s="307">
        <f t="shared" si="63"/>
        <v>0.9</v>
      </c>
      <c r="AF198" s="179">
        <f t="shared" si="64"/>
        <v>0.70377514408618458</v>
      </c>
      <c r="AG198" s="839">
        <f t="shared" si="65"/>
        <v>-3</v>
      </c>
      <c r="AH198" s="178">
        <f t="shared" si="66"/>
        <v>3</v>
      </c>
      <c r="AI198" s="227">
        <f t="shared" si="67"/>
        <v>-2.2962248559138154</v>
      </c>
      <c r="AJ198" s="267" t="b">
        <f t="shared" si="68"/>
        <v>1</v>
      </c>
      <c r="AK198" s="267" t="b">
        <f t="shared" si="69"/>
        <v>0</v>
      </c>
      <c r="AL198" s="267"/>
      <c r="AM198" s="267"/>
      <c r="AN198" s="75"/>
    </row>
    <row r="199" spans="1:40" s="6" customFormat="1" ht="11.25" customHeight="1" x14ac:dyDescent="0.2">
      <c r="A199" s="56">
        <f t="shared" si="71"/>
        <v>43285</v>
      </c>
      <c r="B199" s="620"/>
      <c r="C199" s="392"/>
      <c r="D199" s="395"/>
      <c r="E199" s="387"/>
      <c r="F199" s="387"/>
      <c r="G199" s="110"/>
      <c r="I199" s="382">
        <f t="shared" si="48"/>
        <v>0</v>
      </c>
      <c r="J199" s="85">
        <v>2018</v>
      </c>
      <c r="K199" s="199">
        <f t="shared" si="49"/>
        <v>43285</v>
      </c>
      <c r="L199" s="439">
        <f t="shared" si="50"/>
        <v>0</v>
      </c>
      <c r="M199" s="883"/>
      <c r="N199" s="883"/>
      <c r="O199" s="326">
        <f t="shared" si="51"/>
        <v>0</v>
      </c>
      <c r="P199" s="171">
        <f>(INDEX(Models!$BJ199:$BT199,,T199)*(1-R199)+INDEX(Models!$BJ199:$BT199,,T199+1)*R199-ERP_i)*Q199*Ramure*Pc/MaxiM</f>
        <v>1.82520521465151E-5</v>
      </c>
      <c r="Q199" s="307">
        <f t="shared" si="52"/>
        <v>0.9</v>
      </c>
      <c r="R199" s="179">
        <f t="shared" si="53"/>
        <v>0.70952981639972457</v>
      </c>
      <c r="S199" s="839">
        <f t="shared" si="70"/>
        <v>-3</v>
      </c>
      <c r="T199" s="178">
        <f t="shared" si="54"/>
        <v>3</v>
      </c>
      <c r="U199" s="253">
        <f t="shared" si="55"/>
        <v>-2.2904701836002754</v>
      </c>
      <c r="V199" s="385">
        <f t="shared" si="56"/>
        <v>63.143822401936333</v>
      </c>
      <c r="W199" s="58"/>
      <c r="X199" s="157">
        <f t="shared" si="57"/>
        <v>43285</v>
      </c>
      <c r="Y199" s="387">
        <f t="shared" si="58"/>
        <v>0</v>
      </c>
      <c r="Z199" s="387">
        <f t="shared" si="59"/>
        <v>0</v>
      </c>
      <c r="AA199" s="388">
        <f t="shared" si="60"/>
        <v>0</v>
      </c>
      <c r="AB199" s="199">
        <f t="shared" si="61"/>
        <v>43285</v>
      </c>
      <c r="AC199" s="428">
        <f t="shared" si="62"/>
        <v>0</v>
      </c>
      <c r="AD199" s="171">
        <f>(INDEX(Models!$BJ199:$BT199,,AH199)*(1-AF199)+INDEX(Models!$BJ199:$BT199,,AH199+1)*AF199-ERP_i)*AE199*Ramure*Pc/MaxiM</f>
        <v>1.82520521465151E-5</v>
      </c>
      <c r="AE199" s="307">
        <f t="shared" si="63"/>
        <v>0.9</v>
      </c>
      <c r="AF199" s="179">
        <f t="shared" si="64"/>
        <v>0.70952981639972457</v>
      </c>
      <c r="AG199" s="839">
        <f t="shared" si="65"/>
        <v>-3</v>
      </c>
      <c r="AH199" s="178">
        <f t="shared" si="66"/>
        <v>3</v>
      </c>
      <c r="AI199" s="227">
        <f t="shared" si="67"/>
        <v>-2.2904701836002754</v>
      </c>
      <c r="AJ199" s="267" t="b">
        <f t="shared" si="68"/>
        <v>1</v>
      </c>
      <c r="AK199" s="267" t="b">
        <f t="shared" si="69"/>
        <v>0</v>
      </c>
      <c r="AL199" s="267"/>
      <c r="AM199" s="267"/>
      <c r="AN199" s="75"/>
    </row>
    <row r="200" spans="1:40" s="6" customFormat="1" ht="11.25" customHeight="1" x14ac:dyDescent="0.2">
      <c r="A200" s="56">
        <f t="shared" si="71"/>
        <v>43286</v>
      </c>
      <c r="B200" s="620"/>
      <c r="C200" s="392"/>
      <c r="D200" s="395"/>
      <c r="E200" s="387"/>
      <c r="F200" s="387"/>
      <c r="G200" s="110"/>
      <c r="I200" s="382">
        <f t="shared" si="48"/>
        <v>0</v>
      </c>
      <c r="J200" s="85">
        <v>2018</v>
      </c>
      <c r="K200" s="199">
        <f t="shared" si="49"/>
        <v>43286</v>
      </c>
      <c r="L200" s="439">
        <f t="shared" si="50"/>
        <v>0</v>
      </c>
      <c r="M200" s="883"/>
      <c r="N200" s="883"/>
      <c r="O200" s="326">
        <f t="shared" si="51"/>
        <v>0</v>
      </c>
      <c r="P200" s="171">
        <f>(INDEX(Models!$BJ200:$BT200,,T200)*(1-R200)+INDEX(Models!$BJ200:$BT200,,T200+1)*R200-ERP_i)*Q200*Ramure*Pc/MaxiM</f>
        <v>1.8530805544396467E-5</v>
      </c>
      <c r="Q200" s="307">
        <f t="shared" si="52"/>
        <v>0.9</v>
      </c>
      <c r="R200" s="179">
        <f t="shared" si="53"/>
        <v>0.7151774981036878</v>
      </c>
      <c r="S200" s="839">
        <f t="shared" si="70"/>
        <v>-3</v>
      </c>
      <c r="T200" s="178">
        <f t="shared" si="54"/>
        <v>3</v>
      </c>
      <c r="U200" s="253">
        <f t="shared" si="55"/>
        <v>-2.2848225018963122</v>
      </c>
      <c r="V200" s="385">
        <f t="shared" si="56"/>
        <v>63.056632071487847</v>
      </c>
      <c r="W200" s="58"/>
      <c r="X200" s="157">
        <f t="shared" si="57"/>
        <v>43286</v>
      </c>
      <c r="Y200" s="387">
        <f t="shared" si="58"/>
        <v>0</v>
      </c>
      <c r="Z200" s="387">
        <f t="shared" si="59"/>
        <v>0</v>
      </c>
      <c r="AA200" s="388">
        <f t="shared" si="60"/>
        <v>0</v>
      </c>
      <c r="AB200" s="199">
        <f t="shared" si="61"/>
        <v>43286</v>
      </c>
      <c r="AC200" s="428">
        <f t="shared" si="62"/>
        <v>0</v>
      </c>
      <c r="AD200" s="171">
        <f>(INDEX(Models!$BJ200:$BT200,,AH200)*(1-AF200)+INDEX(Models!$BJ200:$BT200,,AH200+1)*AF200-ERP_i)*AE200*Ramure*Pc/MaxiM</f>
        <v>1.8530805544396467E-5</v>
      </c>
      <c r="AE200" s="307">
        <f t="shared" si="63"/>
        <v>0.9</v>
      </c>
      <c r="AF200" s="179">
        <f t="shared" si="64"/>
        <v>0.7151774981036878</v>
      </c>
      <c r="AG200" s="839">
        <f t="shared" si="65"/>
        <v>-3</v>
      </c>
      <c r="AH200" s="178">
        <f t="shared" si="66"/>
        <v>3</v>
      </c>
      <c r="AI200" s="227">
        <f t="shared" si="67"/>
        <v>-2.2848225018963122</v>
      </c>
      <c r="AJ200" s="267" t="b">
        <f t="shared" si="68"/>
        <v>1</v>
      </c>
      <c r="AK200" s="267" t="b">
        <f t="shared" si="69"/>
        <v>0</v>
      </c>
      <c r="AL200" s="267"/>
      <c r="AM200" s="267"/>
      <c r="AN200" s="75"/>
    </row>
    <row r="201" spans="1:40" s="6" customFormat="1" ht="11.25" customHeight="1" x14ac:dyDescent="0.2">
      <c r="A201" s="56">
        <f t="shared" si="71"/>
        <v>43287</v>
      </c>
      <c r="B201" s="620"/>
      <c r="C201" s="392"/>
      <c r="D201" s="395"/>
      <c r="E201" s="387"/>
      <c r="F201" s="387"/>
      <c r="G201" s="110"/>
      <c r="I201" s="382">
        <f t="shared" si="48"/>
        <v>0</v>
      </c>
      <c r="J201" s="85">
        <v>2018</v>
      </c>
      <c r="K201" s="199">
        <f t="shared" si="49"/>
        <v>43287</v>
      </c>
      <c r="L201" s="439">
        <f t="shared" si="50"/>
        <v>0</v>
      </c>
      <c r="M201" s="883"/>
      <c r="N201" s="883"/>
      <c r="O201" s="326">
        <f t="shared" si="51"/>
        <v>0</v>
      </c>
      <c r="P201" s="171">
        <f>(INDEX(Models!$BJ201:$BT201,,T201)*(1-R201)+INDEX(Models!$BJ201:$BT201,,T201+1)*R201-ERP_i)*Q201*Ramure*Pc/MaxiM</f>
        <v>1.8881382265941623E-5</v>
      </c>
      <c r="Q201" s="307">
        <f t="shared" si="52"/>
        <v>0.9</v>
      </c>
      <c r="R201" s="179">
        <f t="shared" si="53"/>
        <v>0.72071651054926456</v>
      </c>
      <c r="S201" s="839">
        <f t="shared" si="70"/>
        <v>-3</v>
      </c>
      <c r="T201" s="178">
        <f t="shared" si="54"/>
        <v>3</v>
      </c>
      <c r="U201" s="253">
        <f t="shared" si="55"/>
        <v>-2.2792834894507354</v>
      </c>
      <c r="V201" s="385">
        <f t="shared" si="56"/>
        <v>62.965630924401616</v>
      </c>
      <c r="W201" s="58"/>
      <c r="X201" s="157">
        <f t="shared" si="57"/>
        <v>43287</v>
      </c>
      <c r="Y201" s="387">
        <f t="shared" si="58"/>
        <v>0</v>
      </c>
      <c r="Z201" s="387">
        <f t="shared" si="59"/>
        <v>0</v>
      </c>
      <c r="AA201" s="388">
        <f t="shared" si="60"/>
        <v>0</v>
      </c>
      <c r="AB201" s="199">
        <f t="shared" si="61"/>
        <v>43287</v>
      </c>
      <c r="AC201" s="428">
        <f t="shared" si="62"/>
        <v>0</v>
      </c>
      <c r="AD201" s="171">
        <f>(INDEX(Models!$BJ201:$BT201,,AH201)*(1-AF201)+INDEX(Models!$BJ201:$BT201,,AH201+1)*AF201-ERP_i)*AE201*Ramure*Pc/MaxiM</f>
        <v>1.8881382265941623E-5</v>
      </c>
      <c r="AE201" s="307">
        <f t="shared" si="63"/>
        <v>0.9</v>
      </c>
      <c r="AF201" s="179">
        <f t="shared" si="64"/>
        <v>0.72071651054926456</v>
      </c>
      <c r="AG201" s="839">
        <f t="shared" si="65"/>
        <v>-3</v>
      </c>
      <c r="AH201" s="178">
        <f t="shared" si="66"/>
        <v>3</v>
      </c>
      <c r="AI201" s="227">
        <f t="shared" si="67"/>
        <v>-2.2792834894507354</v>
      </c>
      <c r="AJ201" s="267" t="b">
        <f t="shared" si="68"/>
        <v>1</v>
      </c>
      <c r="AK201" s="267" t="b">
        <f t="shared" si="69"/>
        <v>0</v>
      </c>
      <c r="AL201" s="267"/>
      <c r="AM201" s="267"/>
      <c r="AN201" s="75"/>
    </row>
    <row r="202" spans="1:40" s="6" customFormat="1" ht="11.25" customHeight="1" x14ac:dyDescent="0.2">
      <c r="A202" s="56">
        <f t="shared" si="71"/>
        <v>43288</v>
      </c>
      <c r="B202" s="620"/>
      <c r="C202" s="392"/>
      <c r="D202" s="395"/>
      <c r="E202" s="387"/>
      <c r="F202" s="387"/>
      <c r="G202" s="110"/>
      <c r="I202" s="382">
        <f t="shared" si="48"/>
        <v>0</v>
      </c>
      <c r="J202" s="85">
        <v>2018</v>
      </c>
      <c r="K202" s="199">
        <f t="shared" si="49"/>
        <v>43288</v>
      </c>
      <c r="L202" s="439">
        <f t="shared" si="50"/>
        <v>0</v>
      </c>
      <c r="M202" s="883"/>
      <c r="N202" s="883"/>
      <c r="O202" s="326">
        <f t="shared" si="51"/>
        <v>0</v>
      </c>
      <c r="P202" s="171">
        <f>(INDEX(Models!$BJ202:$BT202,,T202)*(1-R202)+INDEX(Models!$BJ202:$BT202,,T202+1)*R202-ERP_i)*Q202*Ramure*Pc/MaxiM</f>
        <v>1.9306330522931444E-5</v>
      </c>
      <c r="Q202" s="307">
        <f t="shared" si="52"/>
        <v>0.9</v>
      </c>
      <c r="R202" s="179">
        <f t="shared" si="53"/>
        <v>0.72614541895032003</v>
      </c>
      <c r="S202" s="839">
        <f t="shared" si="70"/>
        <v>-3</v>
      </c>
      <c r="T202" s="178">
        <f t="shared" si="54"/>
        <v>3</v>
      </c>
      <c r="U202" s="253">
        <f t="shared" si="55"/>
        <v>-2.27385458104968</v>
      </c>
      <c r="V202" s="385">
        <f t="shared" si="56"/>
        <v>62.870594922536867</v>
      </c>
      <c r="W202" s="58"/>
      <c r="X202" s="157">
        <f t="shared" si="57"/>
        <v>43288</v>
      </c>
      <c r="Y202" s="387">
        <f t="shared" si="58"/>
        <v>0</v>
      </c>
      <c r="Z202" s="387">
        <f t="shared" si="59"/>
        <v>0</v>
      </c>
      <c r="AA202" s="388">
        <f t="shared" si="60"/>
        <v>0</v>
      </c>
      <c r="AB202" s="199">
        <f t="shared" si="61"/>
        <v>43288</v>
      </c>
      <c r="AC202" s="428">
        <f t="shared" si="62"/>
        <v>0</v>
      </c>
      <c r="AD202" s="171">
        <f>(INDEX(Models!$BJ202:$BT202,,AH202)*(1-AF202)+INDEX(Models!$BJ202:$BT202,,AH202+1)*AF202-ERP_i)*AE202*Ramure*Pc/MaxiM</f>
        <v>1.9306330522931444E-5</v>
      </c>
      <c r="AE202" s="307">
        <f t="shared" si="63"/>
        <v>0.9</v>
      </c>
      <c r="AF202" s="179">
        <f t="shared" si="64"/>
        <v>0.72614541895032003</v>
      </c>
      <c r="AG202" s="839">
        <f t="shared" si="65"/>
        <v>-3</v>
      </c>
      <c r="AH202" s="178">
        <f t="shared" si="66"/>
        <v>3</v>
      </c>
      <c r="AI202" s="227">
        <f t="shared" si="67"/>
        <v>-2.27385458104968</v>
      </c>
      <c r="AJ202" s="267" t="b">
        <f t="shared" si="68"/>
        <v>1</v>
      </c>
      <c r="AK202" s="267" t="b">
        <f t="shared" si="69"/>
        <v>0</v>
      </c>
      <c r="AL202" s="267"/>
      <c r="AM202" s="267"/>
      <c r="AN202" s="75"/>
    </row>
    <row r="203" spans="1:40" s="6" customFormat="1" ht="11.25" customHeight="1" x14ac:dyDescent="0.2">
      <c r="A203" s="56">
        <f t="shared" si="71"/>
        <v>43289</v>
      </c>
      <c r="B203" s="620"/>
      <c r="C203" s="392"/>
      <c r="D203" s="395"/>
      <c r="E203" s="387"/>
      <c r="F203" s="387"/>
      <c r="G203" s="110"/>
      <c r="I203" s="382">
        <f t="shared" si="48"/>
        <v>0</v>
      </c>
      <c r="J203" s="85">
        <v>2018</v>
      </c>
      <c r="K203" s="199">
        <f t="shared" si="49"/>
        <v>43289</v>
      </c>
      <c r="L203" s="439">
        <f t="shared" si="50"/>
        <v>0</v>
      </c>
      <c r="M203" s="883"/>
      <c r="N203" s="883"/>
      <c r="O203" s="326">
        <f t="shared" si="51"/>
        <v>0</v>
      </c>
      <c r="P203" s="171">
        <f>(INDEX(Models!$BJ203:$BT203,,T203)*(1-R203)+INDEX(Models!$BJ203:$BT203,,T203+1)*R203-ERP_i)*Q203*Ramure*Pc/MaxiM</f>
        <v>1.9808162567167767E-5</v>
      </c>
      <c r="Q203" s="307">
        <f t="shared" si="52"/>
        <v>0.9</v>
      </c>
      <c r="R203" s="179">
        <f t="shared" si="53"/>
        <v>0.73146302714216338</v>
      </c>
      <c r="S203" s="839">
        <f t="shared" si="70"/>
        <v>-3</v>
      </c>
      <c r="T203" s="178">
        <f t="shared" si="54"/>
        <v>3</v>
      </c>
      <c r="U203" s="253">
        <f t="shared" si="55"/>
        <v>-2.2685369728578366</v>
      </c>
      <c r="V203" s="385">
        <f t="shared" si="56"/>
        <v>62.771300031215688</v>
      </c>
      <c r="W203" s="58"/>
      <c r="X203" s="157">
        <f t="shared" si="57"/>
        <v>43289</v>
      </c>
      <c r="Y203" s="387">
        <f t="shared" si="58"/>
        <v>0</v>
      </c>
      <c r="Z203" s="387">
        <f t="shared" si="59"/>
        <v>0</v>
      </c>
      <c r="AA203" s="388">
        <f t="shared" si="60"/>
        <v>0</v>
      </c>
      <c r="AB203" s="199">
        <f t="shared" si="61"/>
        <v>43289</v>
      </c>
      <c r="AC203" s="428">
        <f t="shared" si="62"/>
        <v>0</v>
      </c>
      <c r="AD203" s="171">
        <f>(INDEX(Models!$BJ203:$BT203,,AH203)*(1-AF203)+INDEX(Models!$BJ203:$BT203,,AH203+1)*AF203-ERP_i)*AE203*Ramure*Pc/MaxiM</f>
        <v>1.9808162567167767E-5</v>
      </c>
      <c r="AE203" s="307">
        <f t="shared" si="63"/>
        <v>0.9</v>
      </c>
      <c r="AF203" s="179">
        <f t="shared" si="64"/>
        <v>0.73146302714216338</v>
      </c>
      <c r="AG203" s="839">
        <f t="shared" si="65"/>
        <v>-3</v>
      </c>
      <c r="AH203" s="178">
        <f t="shared" si="66"/>
        <v>3</v>
      </c>
      <c r="AI203" s="227">
        <f t="shared" si="67"/>
        <v>-2.2685369728578366</v>
      </c>
      <c r="AJ203" s="267" t="b">
        <f t="shared" si="68"/>
        <v>1</v>
      </c>
      <c r="AK203" s="267" t="b">
        <f t="shared" si="69"/>
        <v>0</v>
      </c>
      <c r="AL203" s="267"/>
      <c r="AM203" s="267"/>
      <c r="AN203" s="75"/>
    </row>
    <row r="204" spans="1:40" s="6" customFormat="1" ht="11.25" customHeight="1" x14ac:dyDescent="0.2">
      <c r="A204" s="56">
        <f t="shared" si="71"/>
        <v>43290</v>
      </c>
      <c r="B204" s="620"/>
      <c r="C204" s="392"/>
      <c r="D204" s="395"/>
      <c r="E204" s="387"/>
      <c r="F204" s="387"/>
      <c r="G204" s="110"/>
      <c r="I204" s="382">
        <f t="shared" si="48"/>
        <v>0</v>
      </c>
      <c r="J204" s="85">
        <v>2018</v>
      </c>
      <c r="K204" s="199">
        <f t="shared" si="49"/>
        <v>43290</v>
      </c>
      <c r="L204" s="439">
        <f t="shared" si="50"/>
        <v>0</v>
      </c>
      <c r="M204" s="883"/>
      <c r="N204" s="883"/>
      <c r="O204" s="326">
        <f t="shared" si="51"/>
        <v>0</v>
      </c>
      <c r="P204" s="171">
        <f>(INDEX(Models!$BJ204:$BT204,,T204)*(1-R204)+INDEX(Models!$BJ204:$BT204,,T204+1)*R204-ERP_i)*Q204*Ramure*Pc/MaxiM</f>
        <v>2.0389358138775168E-5</v>
      </c>
      <c r="Q204" s="307">
        <f t="shared" si="52"/>
        <v>0.9</v>
      </c>
      <c r="R204" s="179">
        <f t="shared" si="53"/>
        <v>0.73666837151779641</v>
      </c>
      <c r="S204" s="839">
        <f t="shared" si="70"/>
        <v>-3</v>
      </c>
      <c r="T204" s="178">
        <f t="shared" si="54"/>
        <v>3</v>
      </c>
      <c r="U204" s="253">
        <f t="shared" si="55"/>
        <v>-2.2633316284822036</v>
      </c>
      <c r="V204" s="385">
        <f t="shared" si="56"/>
        <v>62.667522222748957</v>
      </c>
      <c r="W204" s="58"/>
      <c r="X204" s="157">
        <f t="shared" si="57"/>
        <v>43290</v>
      </c>
      <c r="Y204" s="387">
        <f t="shared" si="58"/>
        <v>0</v>
      </c>
      <c r="Z204" s="387">
        <f t="shared" si="59"/>
        <v>0</v>
      </c>
      <c r="AA204" s="388">
        <f t="shared" si="60"/>
        <v>0</v>
      </c>
      <c r="AB204" s="199">
        <f t="shared" si="61"/>
        <v>43290</v>
      </c>
      <c r="AC204" s="428">
        <f t="shared" si="62"/>
        <v>0</v>
      </c>
      <c r="AD204" s="171">
        <f>(INDEX(Models!$BJ204:$BT204,,AH204)*(1-AF204)+INDEX(Models!$BJ204:$BT204,,AH204+1)*AF204-ERP_i)*AE204*Ramure*Pc/MaxiM</f>
        <v>2.0389358138775168E-5</v>
      </c>
      <c r="AE204" s="307">
        <f t="shared" si="63"/>
        <v>0.9</v>
      </c>
      <c r="AF204" s="179">
        <f t="shared" si="64"/>
        <v>0.73666837151779641</v>
      </c>
      <c r="AG204" s="839">
        <f t="shared" si="65"/>
        <v>-3</v>
      </c>
      <c r="AH204" s="178">
        <f t="shared" si="66"/>
        <v>3</v>
      </c>
      <c r="AI204" s="227">
        <f t="shared" si="67"/>
        <v>-2.2633316284822036</v>
      </c>
      <c r="AJ204" s="267" t="b">
        <f t="shared" si="68"/>
        <v>1</v>
      </c>
      <c r="AK204" s="267" t="b">
        <f t="shared" si="69"/>
        <v>0</v>
      </c>
      <c r="AL204" s="267"/>
      <c r="AM204" s="267"/>
      <c r="AN204" s="75"/>
    </row>
    <row r="205" spans="1:40" s="6" customFormat="1" ht="11.25" customHeight="1" x14ac:dyDescent="0.2">
      <c r="A205" s="56">
        <f t="shared" si="71"/>
        <v>43291</v>
      </c>
      <c r="B205" s="620"/>
      <c r="C205" s="392"/>
      <c r="D205" s="395"/>
      <c r="E205" s="387"/>
      <c r="F205" s="387"/>
      <c r="G205" s="110"/>
      <c r="I205" s="382">
        <f t="shared" si="48"/>
        <v>0</v>
      </c>
      <c r="J205" s="85">
        <v>2018</v>
      </c>
      <c r="K205" s="199">
        <f t="shared" si="49"/>
        <v>43291</v>
      </c>
      <c r="L205" s="439">
        <f t="shared" si="50"/>
        <v>0</v>
      </c>
      <c r="M205" s="883"/>
      <c r="N205" s="883"/>
      <c r="O205" s="326">
        <f t="shared" si="51"/>
        <v>0</v>
      </c>
      <c r="P205" s="171">
        <f>(INDEX(Models!$BJ205:$BT205,,T205)*(1-R205)+INDEX(Models!$BJ205:$BT205,,T205+1)*R205-ERP_i)*Q205*Ramure*Pc/MaxiM</f>
        <v>2.1052343439836985E-5</v>
      </c>
      <c r="Q205" s="307">
        <f t="shared" si="52"/>
        <v>0.9</v>
      </c>
      <c r="R205" s="179">
        <f t="shared" si="53"/>
        <v>0.74176071422475642</v>
      </c>
      <c r="S205" s="839">
        <f t="shared" si="70"/>
        <v>-3</v>
      </c>
      <c r="T205" s="178">
        <f t="shared" si="54"/>
        <v>3</v>
      </c>
      <c r="U205" s="253">
        <f t="shared" si="55"/>
        <v>-2.2582392857752436</v>
      </c>
      <c r="V205" s="385">
        <f t="shared" si="56"/>
        <v>62.559112109924506</v>
      </c>
      <c r="W205" s="58"/>
      <c r="X205" s="157">
        <f t="shared" si="57"/>
        <v>43291</v>
      </c>
      <c r="Y205" s="387">
        <f t="shared" si="58"/>
        <v>0</v>
      </c>
      <c r="Z205" s="387">
        <f t="shared" si="59"/>
        <v>0</v>
      </c>
      <c r="AA205" s="388">
        <f t="shared" si="60"/>
        <v>0</v>
      </c>
      <c r="AB205" s="199">
        <f t="shared" si="61"/>
        <v>43291</v>
      </c>
      <c r="AC205" s="428">
        <f t="shared" si="62"/>
        <v>0</v>
      </c>
      <c r="AD205" s="171">
        <f>(INDEX(Models!$BJ205:$BT205,,AH205)*(1-AF205)+INDEX(Models!$BJ205:$BT205,,AH205+1)*AF205-ERP_i)*AE205*Ramure*Pc/MaxiM</f>
        <v>2.1052343439836985E-5</v>
      </c>
      <c r="AE205" s="307">
        <f t="shared" si="63"/>
        <v>0.9</v>
      </c>
      <c r="AF205" s="179">
        <f t="shared" si="64"/>
        <v>0.74176071422475642</v>
      </c>
      <c r="AG205" s="839">
        <f t="shared" si="65"/>
        <v>-3</v>
      </c>
      <c r="AH205" s="178">
        <f t="shared" si="66"/>
        <v>3</v>
      </c>
      <c r="AI205" s="227">
        <f t="shared" si="67"/>
        <v>-2.2582392857752436</v>
      </c>
      <c r="AJ205" s="267" t="b">
        <f t="shared" si="68"/>
        <v>1</v>
      </c>
      <c r="AK205" s="267" t="b">
        <f t="shared" si="69"/>
        <v>0</v>
      </c>
      <c r="AL205" s="267"/>
      <c r="AM205" s="267"/>
      <c r="AN205" s="75"/>
    </row>
    <row r="206" spans="1:40" s="6" customFormat="1" ht="11.25" customHeight="1" x14ac:dyDescent="0.2">
      <c r="A206" s="56">
        <f t="shared" si="71"/>
        <v>43292</v>
      </c>
      <c r="B206" s="620"/>
      <c r="C206" s="392"/>
      <c r="D206" s="395"/>
      <c r="E206" s="387"/>
      <c r="F206" s="387"/>
      <c r="G206" s="110"/>
      <c r="I206" s="382">
        <f t="shared" si="48"/>
        <v>0</v>
      </c>
      <c r="J206" s="85">
        <v>2018</v>
      </c>
      <c r="K206" s="199">
        <f t="shared" si="49"/>
        <v>43292</v>
      </c>
      <c r="L206" s="439">
        <f t="shared" si="50"/>
        <v>0</v>
      </c>
      <c r="M206" s="883"/>
      <c r="N206" s="883"/>
      <c r="O206" s="326">
        <f t="shared" si="51"/>
        <v>0</v>
      </c>
      <c r="P206" s="171">
        <f>(INDEX(Models!$BJ206:$BT206,,T206)*(1-R206)+INDEX(Models!$BJ206:$BT206,,T206+1)*R206-ERP_i)*Q206*Ramure*Pc/MaxiM</f>
        <v>2.1919216912308781E-5</v>
      </c>
      <c r="Q206" s="307">
        <f t="shared" si="52"/>
        <v>0.9</v>
      </c>
      <c r="R206" s="179">
        <f t="shared" si="53"/>
        <v>0.74673953570646656</v>
      </c>
      <c r="S206" s="839">
        <f t="shared" si="70"/>
        <v>-3</v>
      </c>
      <c r="T206" s="178">
        <f t="shared" si="54"/>
        <v>3</v>
      </c>
      <c r="U206" s="253">
        <f t="shared" si="55"/>
        <v>-2.2532604642935334</v>
      </c>
      <c r="V206" s="385">
        <f t="shared" si="56"/>
        <v>62.446211372354426</v>
      </c>
      <c r="W206" s="58"/>
      <c r="X206" s="157">
        <f t="shared" si="57"/>
        <v>43292</v>
      </c>
      <c r="Y206" s="387">
        <f t="shared" si="58"/>
        <v>0</v>
      </c>
      <c r="Z206" s="387">
        <f t="shared" si="59"/>
        <v>0</v>
      </c>
      <c r="AA206" s="388">
        <f t="shared" si="60"/>
        <v>0</v>
      </c>
      <c r="AB206" s="199">
        <f t="shared" si="61"/>
        <v>43292</v>
      </c>
      <c r="AC206" s="428">
        <f t="shared" si="62"/>
        <v>0</v>
      </c>
      <c r="AD206" s="171">
        <f>(INDEX(Models!$BJ206:$BT206,,AH206)*(1-AF206)+INDEX(Models!$BJ206:$BT206,,AH206+1)*AF206-ERP_i)*AE206*Ramure*Pc/MaxiM</f>
        <v>2.1919216912308781E-5</v>
      </c>
      <c r="AE206" s="307">
        <f t="shared" si="63"/>
        <v>0.9</v>
      </c>
      <c r="AF206" s="179">
        <f t="shared" si="64"/>
        <v>0.74673953570646656</v>
      </c>
      <c r="AG206" s="839">
        <f t="shared" si="65"/>
        <v>-3</v>
      </c>
      <c r="AH206" s="178">
        <f t="shared" si="66"/>
        <v>3</v>
      </c>
      <c r="AI206" s="227">
        <f t="shared" si="67"/>
        <v>-2.2532604642935334</v>
      </c>
      <c r="AJ206" s="267" t="b">
        <f t="shared" si="68"/>
        <v>1</v>
      </c>
      <c r="AK206" s="267" t="b">
        <f t="shared" si="69"/>
        <v>0</v>
      </c>
      <c r="AL206" s="267"/>
      <c r="AM206" s="267"/>
      <c r="AN206" s="75"/>
    </row>
    <row r="207" spans="1:40" s="6" customFormat="1" ht="11.25" customHeight="1" x14ac:dyDescent="0.2">
      <c r="A207" s="56">
        <f t="shared" si="71"/>
        <v>43293</v>
      </c>
      <c r="B207" s="620"/>
      <c r="C207" s="392"/>
      <c r="D207" s="395"/>
      <c r="E207" s="387"/>
      <c r="F207" s="387"/>
      <c r="G207" s="110"/>
      <c r="I207" s="382">
        <f t="shared" ref="I207:I270" si="72">Wh_hp</f>
        <v>0</v>
      </c>
      <c r="J207" s="85">
        <v>2018</v>
      </c>
      <c r="K207" s="199">
        <f t="shared" ref="K207:K270" si="73">t</f>
        <v>43293</v>
      </c>
      <c r="L207" s="439">
        <f t="shared" ref="L207:L270" si="74">IF(t&lt;T0,0,IF(t&lt;Tvie,1-EXP((T0-t)*PertePVj),1-EXP((T0-t)*PertePVj)+Pspv))</f>
        <v>0</v>
      </c>
      <c r="M207" s="883"/>
      <c r="N207" s="883"/>
      <c r="O207" s="326">
        <f t="shared" ref="O207:O270" si="75">IF(t&lt;T0,0,IF(t&lt;Tnet,Salim_i*(1-EXP((T0-t)/Tau_ij)),Resal+(Salim-Resal)*(1-EXP((Tnet-t)/(Tau_j)))))*Salcycl</f>
        <v>0</v>
      </c>
      <c r="P207" s="171">
        <f>(INDEX(Models!$BJ207:$BT207,,T207)*(1-R207)+INDEX(Models!$BJ207:$BT207,,T207+1)*R207-ERP_i)*Q207*Ramure*Pc/MaxiM</f>
        <v>2.2975605480394134E-5</v>
      </c>
      <c r="Q207" s="307">
        <f t="shared" ref="Q207:Q270" si="76">IF(OR(t&lt;Ttai,Notai),Dd+PousD*Croivg,Dens+PousD*(Croivg-Croi_tai))</f>
        <v>0.9</v>
      </c>
      <c r="R207" s="179">
        <f t="shared" ref="R207:R270" si="77">(Hp_vg-S207)/(INDEX(Echel_vg,T207+1)-S207)</f>
        <v>0.75160452667187183</v>
      </c>
      <c r="S207" s="839">
        <f t="shared" si="70"/>
        <v>-3</v>
      </c>
      <c r="T207" s="178">
        <f t="shared" ref="T207:T270" si="78">MIN(MATCH(Hp_vg,Echel_vg),10)</f>
        <v>3</v>
      </c>
      <c r="U207" s="253">
        <f t="shared" ref="U207:U270" si="79">IF(OR(t&lt;Ttai,Notai),Hdd+PousH*Croivg,Hdtf+PousH*(Croivg-Croi_tai))</f>
        <v>-2.2483954733281282</v>
      </c>
      <c r="V207" s="385">
        <f t="shared" ref="V207:V270" si="80">MaxiM*(1-Ppv)*(1-Pvg)*(1-Psa)</f>
        <v>62.329044887941301</v>
      </c>
      <c r="W207" s="58"/>
      <c r="X207" s="157">
        <f t="shared" ref="X207:X270" si="81">t</f>
        <v>43293</v>
      </c>
      <c r="Y207" s="387">
        <f t="shared" ref="Y207:Y270" si="82">Wh_pvt_s*(1-Ppv)</f>
        <v>0</v>
      </c>
      <c r="Z207" s="387">
        <f t="shared" ref="Z207:Z270" si="83">Wh_sa_s*(1-Psa_s)</f>
        <v>0</v>
      </c>
      <c r="AA207" s="388">
        <f t="shared" ref="AA207:AA270" si="84">Wh_hp*(1-Pvg_s*MEDIAN((-Sdif+Wh/Env_an)/Csdif,0,1))</f>
        <v>0</v>
      </c>
      <c r="AB207" s="199">
        <f t="shared" ref="AB207:AB270" si="85">t</f>
        <v>43293</v>
      </c>
      <c r="AC207" s="428">
        <f t="shared" ref="AC207:AC270" si="86">IF(t&lt;T0,0,IF(OR(t&lt;Tnet,NoTnet),Salim_i*(1-EXP((T0-t)/Tau_ij)),Resal_s+(Salim-Resal_s)*(1-EXP((Tnet_s-t)/Tau_j))))*Salcycl</f>
        <v>0</v>
      </c>
      <c r="AD207" s="171">
        <f>(INDEX(Models!$BJ207:$BT207,,AH207)*(1-AF207)+INDEX(Models!$BJ207:$BT207,,AH207+1)*AF207-ERP_i)*AE207*Ramure*Pc/MaxiM</f>
        <v>2.2975605480394134E-5</v>
      </c>
      <c r="AE207" s="307">
        <f t="shared" ref="AE207:AE270" si="87">Dd+PousD*Croivg</f>
        <v>0.9</v>
      </c>
      <c r="AF207" s="179">
        <f t="shared" ref="AF207:AF270" si="88">(Hp_vg_s-AG207)/(INDEX(Echel_vg,AH207+1)-AG207)</f>
        <v>0.75160452667187183</v>
      </c>
      <c r="AG207" s="839">
        <f t="shared" ref="AG207:AG270" si="89">INDEX(Echel_vg,AH207)</f>
        <v>-3</v>
      </c>
      <c r="AH207" s="178">
        <f t="shared" ref="AH207:AH270" si="90">MIN(MATCH(Hp_vg_s,Echel_vg),10)</f>
        <v>3</v>
      </c>
      <c r="AI207" s="227">
        <f t="shared" ref="AI207:AI270" si="91">Hdd+PousH*Croivg</f>
        <v>-2.2483954733281282</v>
      </c>
      <c r="AJ207" s="267" t="b">
        <f t="shared" ref="AJ207:AJ270" si="92">t&lt;Tnet</f>
        <v>1</v>
      </c>
      <c r="AK207" s="267" t="b">
        <f t="shared" ref="AK207:AK270" si="93">t&lt;Ttai</f>
        <v>0</v>
      </c>
      <c r="AL207" s="267"/>
      <c r="AM207" s="267"/>
      <c r="AN207" s="75"/>
    </row>
    <row r="208" spans="1:40" s="6" customFormat="1" ht="11.25" customHeight="1" x14ac:dyDescent="0.2">
      <c r="A208" s="56">
        <f t="shared" si="71"/>
        <v>43294</v>
      </c>
      <c r="B208" s="620"/>
      <c r="C208" s="392"/>
      <c r="D208" s="395"/>
      <c r="E208" s="387"/>
      <c r="F208" s="387"/>
      <c r="G208" s="110"/>
      <c r="I208" s="382">
        <f t="shared" si="72"/>
        <v>0</v>
      </c>
      <c r="J208" s="85">
        <v>2018</v>
      </c>
      <c r="K208" s="199">
        <f t="shared" si="73"/>
        <v>43294</v>
      </c>
      <c r="L208" s="439">
        <f t="shared" si="74"/>
        <v>0</v>
      </c>
      <c r="M208" s="883"/>
      <c r="N208" s="883"/>
      <c r="O208" s="326">
        <f t="shared" si="75"/>
        <v>0</v>
      </c>
      <c r="P208" s="171">
        <f>(INDEX(Models!$BJ208:$BT208,,T208)*(1-R208)+INDEX(Models!$BJ208:$BT208,,T208+1)*R208-ERP_i)*Q208*Ramure*Pc/MaxiM</f>
        <v>2.4226728279974784E-5</v>
      </c>
      <c r="Q208" s="307">
        <f t="shared" si="76"/>
        <v>0.9</v>
      </c>
      <c r="R208" s="179">
        <f t="shared" si="77"/>
        <v>0.75635557957615562</v>
      </c>
      <c r="S208" s="839">
        <f t="shared" ref="S208:S271" si="94">INDEX(Echel_vg,T208)</f>
        <v>-3</v>
      </c>
      <c r="T208" s="178">
        <f t="shared" si="78"/>
        <v>3</v>
      </c>
      <c r="U208" s="253">
        <f t="shared" si="79"/>
        <v>-2.2436444204238444</v>
      </c>
      <c r="V208" s="385">
        <f t="shared" si="80"/>
        <v>62.207836311119223</v>
      </c>
      <c r="W208" s="58"/>
      <c r="X208" s="157">
        <f t="shared" si="81"/>
        <v>43294</v>
      </c>
      <c r="Y208" s="387">
        <f t="shared" si="82"/>
        <v>0</v>
      </c>
      <c r="Z208" s="387">
        <f t="shared" si="83"/>
        <v>0</v>
      </c>
      <c r="AA208" s="388">
        <f t="shared" si="84"/>
        <v>0</v>
      </c>
      <c r="AB208" s="199">
        <f t="shared" si="85"/>
        <v>43294</v>
      </c>
      <c r="AC208" s="428">
        <f t="shared" si="86"/>
        <v>0</v>
      </c>
      <c r="AD208" s="171">
        <f>(INDEX(Models!$BJ208:$BT208,,AH208)*(1-AF208)+INDEX(Models!$BJ208:$BT208,,AH208+1)*AF208-ERP_i)*AE208*Ramure*Pc/MaxiM</f>
        <v>2.4226728279974784E-5</v>
      </c>
      <c r="AE208" s="307">
        <f t="shared" si="87"/>
        <v>0.9</v>
      </c>
      <c r="AF208" s="179">
        <f t="shared" si="88"/>
        <v>0.75635557957615562</v>
      </c>
      <c r="AG208" s="839">
        <f t="shared" si="89"/>
        <v>-3</v>
      </c>
      <c r="AH208" s="178">
        <f t="shared" si="90"/>
        <v>3</v>
      </c>
      <c r="AI208" s="227">
        <f t="shared" si="91"/>
        <v>-2.2436444204238444</v>
      </c>
      <c r="AJ208" s="267" t="b">
        <f t="shared" si="92"/>
        <v>1</v>
      </c>
      <c r="AK208" s="267" t="b">
        <f t="shared" si="93"/>
        <v>0</v>
      </c>
      <c r="AL208" s="267"/>
      <c r="AM208" s="267"/>
      <c r="AN208" s="75"/>
    </row>
    <row r="209" spans="1:40" s="6" customFormat="1" ht="11.25" customHeight="1" x14ac:dyDescent="0.2">
      <c r="A209" s="56">
        <f t="shared" ref="A209:A272" si="95">A208+1</f>
        <v>43295</v>
      </c>
      <c r="B209" s="620"/>
      <c r="C209" s="392"/>
      <c r="D209" s="395"/>
      <c r="E209" s="387"/>
      <c r="F209" s="387"/>
      <c r="G209" s="110"/>
      <c r="I209" s="382">
        <f t="shared" si="72"/>
        <v>0</v>
      </c>
      <c r="J209" s="85">
        <v>2018</v>
      </c>
      <c r="K209" s="199">
        <f t="shared" si="73"/>
        <v>43295</v>
      </c>
      <c r="L209" s="439">
        <f t="shared" si="74"/>
        <v>0</v>
      </c>
      <c r="M209" s="883"/>
      <c r="N209" s="883"/>
      <c r="O209" s="326">
        <f t="shared" si="75"/>
        <v>0</v>
      </c>
      <c r="P209" s="171">
        <f>(INDEX(Models!$BJ209:$BT209,,T209)*(1-R209)+INDEX(Models!$BJ209:$BT209,,T209+1)*R209-ERP_i)*Q209*Ramure*Pc/MaxiM</f>
        <v>2.5677698540531755E-5</v>
      </c>
      <c r="Q209" s="307">
        <f t="shared" si="76"/>
        <v>0.9</v>
      </c>
      <c r="R209" s="179">
        <f t="shared" si="77"/>
        <v>0.76099277969354162</v>
      </c>
      <c r="S209" s="839">
        <f t="shared" si="94"/>
        <v>-3</v>
      </c>
      <c r="T209" s="178">
        <f t="shared" si="78"/>
        <v>3</v>
      </c>
      <c r="U209" s="253">
        <f t="shared" si="79"/>
        <v>-2.2390072203064584</v>
      </c>
      <c r="V209" s="385">
        <f t="shared" si="80"/>
        <v>62.082809314059936</v>
      </c>
      <c r="W209" s="58"/>
      <c r="X209" s="157">
        <f t="shared" si="81"/>
        <v>43295</v>
      </c>
      <c r="Y209" s="387">
        <f t="shared" si="82"/>
        <v>0</v>
      </c>
      <c r="Z209" s="387">
        <f t="shared" si="83"/>
        <v>0</v>
      </c>
      <c r="AA209" s="388">
        <f t="shared" si="84"/>
        <v>0</v>
      </c>
      <c r="AB209" s="199">
        <f t="shared" si="85"/>
        <v>43295</v>
      </c>
      <c r="AC209" s="428">
        <f t="shared" si="86"/>
        <v>0</v>
      </c>
      <c r="AD209" s="171">
        <f>(INDEX(Models!$BJ209:$BT209,,AH209)*(1-AF209)+INDEX(Models!$BJ209:$BT209,,AH209+1)*AF209-ERP_i)*AE209*Ramure*Pc/MaxiM</f>
        <v>2.5677698540531755E-5</v>
      </c>
      <c r="AE209" s="307">
        <f t="shared" si="87"/>
        <v>0.9</v>
      </c>
      <c r="AF209" s="179">
        <f t="shared" si="88"/>
        <v>0.76099277969354162</v>
      </c>
      <c r="AG209" s="839">
        <f t="shared" si="89"/>
        <v>-3</v>
      </c>
      <c r="AH209" s="178">
        <f t="shared" si="90"/>
        <v>3</v>
      </c>
      <c r="AI209" s="227">
        <f t="shared" si="91"/>
        <v>-2.2390072203064584</v>
      </c>
      <c r="AJ209" s="267" t="b">
        <f t="shared" si="92"/>
        <v>1</v>
      </c>
      <c r="AK209" s="267" t="b">
        <f t="shared" si="93"/>
        <v>0</v>
      </c>
      <c r="AL209" s="267"/>
      <c r="AM209" s="267"/>
      <c r="AN209" s="75"/>
    </row>
    <row r="210" spans="1:40" s="6" customFormat="1" ht="11.25" x14ac:dyDescent="0.2">
      <c r="A210" s="56">
        <f t="shared" si="95"/>
        <v>43296</v>
      </c>
      <c r="B210" s="620"/>
      <c r="C210" s="392"/>
      <c r="D210" s="395"/>
      <c r="E210" s="387"/>
      <c r="F210" s="387"/>
      <c r="G210" s="110"/>
      <c r="I210" s="382">
        <f t="shared" si="72"/>
        <v>0</v>
      </c>
      <c r="J210" s="85">
        <v>2018</v>
      </c>
      <c r="K210" s="199">
        <f t="shared" si="73"/>
        <v>43296</v>
      </c>
      <c r="L210" s="439">
        <f t="shared" si="74"/>
        <v>0</v>
      </c>
      <c r="M210" s="883"/>
      <c r="N210" s="883"/>
      <c r="O210" s="326">
        <f t="shared" si="75"/>
        <v>0</v>
      </c>
      <c r="P210" s="171">
        <f>(INDEX(Models!$BJ210:$BT210,,T210)*(1-R210)+INDEX(Models!$BJ210:$BT210,,T210+1)*R210-ERP_i)*Q210*Ramure*Pc/MaxiM</f>
        <v>2.7333522277589277E-5</v>
      </c>
      <c r="Q210" s="307">
        <f t="shared" si="76"/>
        <v>0.9</v>
      </c>
      <c r="R210" s="179">
        <f t="shared" si="77"/>
        <v>0.76551639586075515</v>
      </c>
      <c r="S210" s="839">
        <f t="shared" si="94"/>
        <v>-3</v>
      </c>
      <c r="T210" s="178">
        <f t="shared" si="78"/>
        <v>3</v>
      </c>
      <c r="U210" s="253">
        <f t="shared" si="79"/>
        <v>-2.2344836041392449</v>
      </c>
      <c r="V210" s="385">
        <f t="shared" si="80"/>
        <v>61.954187577029117</v>
      </c>
      <c r="W210" s="58"/>
      <c r="X210" s="157">
        <f t="shared" si="81"/>
        <v>43296</v>
      </c>
      <c r="Y210" s="387">
        <f t="shared" si="82"/>
        <v>0</v>
      </c>
      <c r="Z210" s="387">
        <f t="shared" si="83"/>
        <v>0</v>
      </c>
      <c r="AA210" s="388">
        <f t="shared" si="84"/>
        <v>0</v>
      </c>
      <c r="AB210" s="199">
        <f t="shared" si="85"/>
        <v>43296</v>
      </c>
      <c r="AC210" s="428">
        <f t="shared" si="86"/>
        <v>0</v>
      </c>
      <c r="AD210" s="171">
        <f>(INDEX(Models!$BJ210:$BT210,,AH210)*(1-AF210)+INDEX(Models!$BJ210:$BT210,,AH210+1)*AF210-ERP_i)*AE210*Ramure*Pc/MaxiM</f>
        <v>2.7333522277589277E-5</v>
      </c>
      <c r="AE210" s="307">
        <f t="shared" si="87"/>
        <v>0.9</v>
      </c>
      <c r="AF210" s="179">
        <f t="shared" si="88"/>
        <v>0.76551639586075515</v>
      </c>
      <c r="AG210" s="839">
        <f t="shared" si="89"/>
        <v>-3</v>
      </c>
      <c r="AH210" s="178">
        <f t="shared" si="90"/>
        <v>3</v>
      </c>
      <c r="AI210" s="227">
        <f t="shared" si="91"/>
        <v>-2.2344836041392449</v>
      </c>
      <c r="AJ210" s="267" t="b">
        <f t="shared" si="92"/>
        <v>1</v>
      </c>
      <c r="AK210" s="267" t="b">
        <f t="shared" si="93"/>
        <v>0</v>
      </c>
      <c r="AL210" s="267"/>
      <c r="AM210" s="267"/>
      <c r="AN210" s="75"/>
    </row>
    <row r="211" spans="1:40" s="6" customFormat="1" ht="11.25" x14ac:dyDescent="0.2">
      <c r="A211" s="56">
        <f t="shared" si="95"/>
        <v>43297</v>
      </c>
      <c r="B211" s="620"/>
      <c r="C211" s="392"/>
      <c r="D211" s="395"/>
      <c r="E211" s="387"/>
      <c r="F211" s="387"/>
      <c r="G211" s="110"/>
      <c r="I211" s="382">
        <f t="shared" si="72"/>
        <v>0</v>
      </c>
      <c r="J211" s="85">
        <v>2018</v>
      </c>
      <c r="K211" s="199">
        <f t="shared" si="73"/>
        <v>43297</v>
      </c>
      <c r="L211" s="439">
        <f t="shared" si="74"/>
        <v>0</v>
      </c>
      <c r="M211" s="883"/>
      <c r="N211" s="883"/>
      <c r="O211" s="326">
        <f t="shared" si="75"/>
        <v>0</v>
      </c>
      <c r="P211" s="171">
        <f>(INDEX(Models!$BJ211:$BT211,,T211)*(1-R211)+INDEX(Models!$BJ211:$BT211,,T211+1)*R211-ERP_i)*Q211*Ramure*Pc/MaxiM</f>
        <v>2.9199097273958321E-5</v>
      </c>
      <c r="Q211" s="307">
        <f t="shared" si="76"/>
        <v>0.9</v>
      </c>
      <c r="R211" s="179">
        <f t="shared" si="77"/>
        <v>0.76992687096663293</v>
      </c>
      <c r="S211" s="839">
        <f t="shared" si="94"/>
        <v>-3</v>
      </c>
      <c r="T211" s="178">
        <f t="shared" si="78"/>
        <v>3</v>
      </c>
      <c r="U211" s="253">
        <f t="shared" si="79"/>
        <v>-2.2300731290333671</v>
      </c>
      <c r="V211" s="385">
        <f t="shared" si="80"/>
        <v>61.82219479447371</v>
      </c>
      <c r="W211" s="58"/>
      <c r="X211" s="157">
        <f t="shared" si="81"/>
        <v>43297</v>
      </c>
      <c r="Y211" s="387">
        <f t="shared" si="82"/>
        <v>0</v>
      </c>
      <c r="Z211" s="387">
        <f t="shared" si="83"/>
        <v>0</v>
      </c>
      <c r="AA211" s="388">
        <f t="shared" si="84"/>
        <v>0</v>
      </c>
      <c r="AB211" s="199">
        <f t="shared" si="85"/>
        <v>43297</v>
      </c>
      <c r="AC211" s="428">
        <f t="shared" si="86"/>
        <v>0</v>
      </c>
      <c r="AD211" s="171">
        <f>(INDEX(Models!$BJ211:$BT211,,AH211)*(1-AF211)+INDEX(Models!$BJ211:$BT211,,AH211+1)*AF211-ERP_i)*AE211*Ramure*Pc/MaxiM</f>
        <v>2.9199097273958321E-5</v>
      </c>
      <c r="AE211" s="307">
        <f t="shared" si="87"/>
        <v>0.9</v>
      </c>
      <c r="AF211" s="179">
        <f t="shared" si="88"/>
        <v>0.76992687096663293</v>
      </c>
      <c r="AG211" s="839">
        <f t="shared" si="89"/>
        <v>-3</v>
      </c>
      <c r="AH211" s="178">
        <f t="shared" si="90"/>
        <v>3</v>
      </c>
      <c r="AI211" s="227">
        <f t="shared" si="91"/>
        <v>-2.2300731290333671</v>
      </c>
      <c r="AJ211" s="267" t="b">
        <f t="shared" si="92"/>
        <v>1</v>
      </c>
      <c r="AK211" s="267" t="b">
        <f t="shared" si="93"/>
        <v>0</v>
      </c>
      <c r="AL211" s="267"/>
      <c r="AM211" s="267"/>
      <c r="AN211" s="75"/>
    </row>
    <row r="212" spans="1:40" s="6" customFormat="1" ht="11.25" x14ac:dyDescent="0.2">
      <c r="A212" s="56">
        <f t="shared" si="95"/>
        <v>43298</v>
      </c>
      <c r="B212" s="620"/>
      <c r="C212" s="392"/>
      <c r="D212" s="395"/>
      <c r="E212" s="387"/>
      <c r="F212" s="387"/>
      <c r="G212" s="110"/>
      <c r="I212" s="382">
        <f t="shared" si="72"/>
        <v>0</v>
      </c>
      <c r="J212" s="85">
        <v>2018</v>
      </c>
      <c r="K212" s="199">
        <f t="shared" si="73"/>
        <v>43298</v>
      </c>
      <c r="L212" s="439">
        <f t="shared" si="74"/>
        <v>0</v>
      </c>
      <c r="M212" s="883"/>
      <c r="N212" s="883"/>
      <c r="O212" s="326">
        <f t="shared" si="75"/>
        <v>0</v>
      </c>
      <c r="P212" s="171">
        <f>(INDEX(Models!$BJ212:$BT212,,T212)*(1-R212)+INDEX(Models!$BJ212:$BT212,,T212+1)*R212-ERP_i)*Q212*Ramure*Pc/MaxiM</f>
        <v>3.1362848910708448E-5</v>
      </c>
      <c r="Q212" s="307">
        <f t="shared" si="76"/>
        <v>0.9</v>
      </c>
      <c r="R212" s="179">
        <f t="shared" si="77"/>
        <v>0.77422481225984008</v>
      </c>
      <c r="S212" s="839">
        <f t="shared" si="94"/>
        <v>-3</v>
      </c>
      <c r="T212" s="178">
        <f t="shared" si="78"/>
        <v>3</v>
      </c>
      <c r="U212" s="253">
        <f t="shared" si="79"/>
        <v>-2.2257751877401599</v>
      </c>
      <c r="V212" s="385">
        <f t="shared" si="80"/>
        <v>61.687049513625766</v>
      </c>
      <c r="W212" s="58"/>
      <c r="X212" s="157">
        <f t="shared" si="81"/>
        <v>43298</v>
      </c>
      <c r="Y212" s="387">
        <f t="shared" si="82"/>
        <v>0</v>
      </c>
      <c r="Z212" s="387">
        <f t="shared" si="83"/>
        <v>0</v>
      </c>
      <c r="AA212" s="388">
        <f t="shared" si="84"/>
        <v>0</v>
      </c>
      <c r="AB212" s="199">
        <f t="shared" si="85"/>
        <v>43298</v>
      </c>
      <c r="AC212" s="428">
        <f t="shared" si="86"/>
        <v>0</v>
      </c>
      <c r="AD212" s="171">
        <f>(INDEX(Models!$BJ212:$BT212,,AH212)*(1-AF212)+INDEX(Models!$BJ212:$BT212,,AH212+1)*AF212-ERP_i)*AE212*Ramure*Pc/MaxiM</f>
        <v>3.1362848910708448E-5</v>
      </c>
      <c r="AE212" s="307">
        <f t="shared" si="87"/>
        <v>0.9</v>
      </c>
      <c r="AF212" s="179">
        <f t="shared" si="88"/>
        <v>0.77422481225984008</v>
      </c>
      <c r="AG212" s="839">
        <f t="shared" si="89"/>
        <v>-3</v>
      </c>
      <c r="AH212" s="178">
        <f t="shared" si="90"/>
        <v>3</v>
      </c>
      <c r="AI212" s="227">
        <f t="shared" si="91"/>
        <v>-2.2257751877401599</v>
      </c>
      <c r="AJ212" s="267" t="b">
        <f t="shared" si="92"/>
        <v>1</v>
      </c>
      <c r="AK212" s="267" t="b">
        <f t="shared" si="93"/>
        <v>0</v>
      </c>
      <c r="AL212" s="267"/>
      <c r="AM212" s="267"/>
      <c r="AN212" s="75"/>
    </row>
    <row r="213" spans="1:40" s="6" customFormat="1" ht="11.25" customHeight="1" x14ac:dyDescent="0.2">
      <c r="A213" s="56">
        <f t="shared" si="95"/>
        <v>43299</v>
      </c>
      <c r="B213" s="620"/>
      <c r="C213" s="392"/>
      <c r="D213" s="395"/>
      <c r="E213" s="387"/>
      <c r="F213" s="387"/>
      <c r="G213" s="110"/>
      <c r="I213" s="382">
        <f t="shared" si="72"/>
        <v>0</v>
      </c>
      <c r="J213" s="85">
        <v>2018</v>
      </c>
      <c r="K213" s="199">
        <f t="shared" si="73"/>
        <v>43299</v>
      </c>
      <c r="L213" s="439">
        <f t="shared" si="74"/>
        <v>0</v>
      </c>
      <c r="M213" s="883"/>
      <c r="N213" s="883"/>
      <c r="O213" s="326">
        <f t="shared" si="75"/>
        <v>0</v>
      </c>
      <c r="P213" s="171">
        <f>(INDEX(Models!$BJ213:$BT213,,T213)*(1-R213)+INDEX(Models!$BJ213:$BT213,,T213+1)*R213-ERP_i)*Q213*Ramure*Pc/MaxiM</f>
        <v>3.3771153511351802E-5</v>
      </c>
      <c r="Q213" s="307">
        <f t="shared" si="76"/>
        <v>0.9</v>
      </c>
      <c r="R213" s="179">
        <f t="shared" si="77"/>
        <v>0.77841098154264632</v>
      </c>
      <c r="S213" s="839">
        <f t="shared" si="94"/>
        <v>-3</v>
      </c>
      <c r="T213" s="178">
        <f t="shared" si="78"/>
        <v>3</v>
      </c>
      <c r="U213" s="253">
        <f t="shared" si="79"/>
        <v>-2.2215890184573537</v>
      </c>
      <c r="V213" s="385">
        <f t="shared" si="80"/>
        <v>61.548979074861201</v>
      </c>
      <c r="W213" s="58"/>
      <c r="X213" s="157">
        <f t="shared" si="81"/>
        <v>43299</v>
      </c>
      <c r="Y213" s="387">
        <f t="shared" si="82"/>
        <v>0</v>
      </c>
      <c r="Z213" s="387">
        <f t="shared" si="83"/>
        <v>0</v>
      </c>
      <c r="AA213" s="388">
        <f t="shared" si="84"/>
        <v>0</v>
      </c>
      <c r="AB213" s="199">
        <f t="shared" si="85"/>
        <v>43299</v>
      </c>
      <c r="AC213" s="428">
        <f t="shared" si="86"/>
        <v>0</v>
      </c>
      <c r="AD213" s="171">
        <f>(INDEX(Models!$BJ213:$BT213,,AH213)*(1-AF213)+INDEX(Models!$BJ213:$BT213,,AH213+1)*AF213-ERP_i)*AE213*Ramure*Pc/MaxiM</f>
        <v>3.3771153511351802E-5</v>
      </c>
      <c r="AE213" s="307">
        <f t="shared" si="87"/>
        <v>0.9</v>
      </c>
      <c r="AF213" s="179">
        <f t="shared" si="88"/>
        <v>0.77841098154264632</v>
      </c>
      <c r="AG213" s="839">
        <f t="shared" si="89"/>
        <v>-3</v>
      </c>
      <c r="AH213" s="178">
        <f t="shared" si="90"/>
        <v>3</v>
      </c>
      <c r="AI213" s="227">
        <f t="shared" si="91"/>
        <v>-2.2215890184573537</v>
      </c>
      <c r="AJ213" s="267" t="b">
        <f t="shared" si="92"/>
        <v>1</v>
      </c>
      <c r="AK213" s="267" t="b">
        <f t="shared" si="93"/>
        <v>0</v>
      </c>
      <c r="AL213" s="267"/>
      <c r="AM213" s="267"/>
      <c r="AN213" s="75"/>
    </row>
    <row r="214" spans="1:40" s="6" customFormat="1" ht="11.25" customHeight="1" x14ac:dyDescent="0.2">
      <c r="A214" s="56">
        <f t="shared" si="95"/>
        <v>43300</v>
      </c>
      <c r="B214" s="620"/>
      <c r="C214" s="392"/>
      <c r="D214" s="395"/>
      <c r="E214" s="387"/>
      <c r="F214" s="387"/>
      <c r="G214" s="110"/>
      <c r="I214" s="382">
        <f t="shared" si="72"/>
        <v>0</v>
      </c>
      <c r="J214" s="85">
        <v>2018</v>
      </c>
      <c r="K214" s="199">
        <f t="shared" si="73"/>
        <v>43300</v>
      </c>
      <c r="L214" s="439">
        <f t="shared" si="74"/>
        <v>0</v>
      </c>
      <c r="M214" s="883"/>
      <c r="N214" s="883"/>
      <c r="O214" s="326">
        <f t="shared" si="75"/>
        <v>0</v>
      </c>
      <c r="P214" s="171">
        <f>(INDEX(Models!$BJ214:$BT214,,T214)*(1-R214)+INDEX(Models!$BJ214:$BT214,,T214+1)*R214-ERP_i)*Q214*Ramure*Pc/MaxiM</f>
        <v>3.642919955754303E-5</v>
      </c>
      <c r="Q214" s="307">
        <f t="shared" si="76"/>
        <v>0.9</v>
      </c>
      <c r="R214" s="179">
        <f t="shared" si="77"/>
        <v>0.78248628531443565</v>
      </c>
      <c r="S214" s="839">
        <f t="shared" si="94"/>
        <v>-3</v>
      </c>
      <c r="T214" s="178">
        <f t="shared" si="78"/>
        <v>3</v>
      </c>
      <c r="U214" s="253">
        <f t="shared" si="79"/>
        <v>-2.2175137146855644</v>
      </c>
      <c r="V214" s="385">
        <f t="shared" si="80"/>
        <v>61.408207181074474</v>
      </c>
      <c r="W214" s="58"/>
      <c r="X214" s="157">
        <f t="shared" si="81"/>
        <v>43300</v>
      </c>
      <c r="Y214" s="387">
        <f t="shared" si="82"/>
        <v>0</v>
      </c>
      <c r="Z214" s="387">
        <f t="shared" si="83"/>
        <v>0</v>
      </c>
      <c r="AA214" s="388">
        <f t="shared" si="84"/>
        <v>0</v>
      </c>
      <c r="AB214" s="199">
        <f t="shared" si="85"/>
        <v>43300</v>
      </c>
      <c r="AC214" s="428">
        <f t="shared" si="86"/>
        <v>0</v>
      </c>
      <c r="AD214" s="171">
        <f>(INDEX(Models!$BJ214:$BT214,,AH214)*(1-AF214)+INDEX(Models!$BJ214:$BT214,,AH214+1)*AF214-ERP_i)*AE214*Ramure*Pc/MaxiM</f>
        <v>3.642919955754303E-5</v>
      </c>
      <c r="AE214" s="307">
        <f t="shared" si="87"/>
        <v>0.9</v>
      </c>
      <c r="AF214" s="179">
        <f t="shared" si="88"/>
        <v>0.78248628531443565</v>
      </c>
      <c r="AG214" s="839">
        <f t="shared" si="89"/>
        <v>-3</v>
      </c>
      <c r="AH214" s="178">
        <f t="shared" si="90"/>
        <v>3</v>
      </c>
      <c r="AI214" s="227">
        <f t="shared" si="91"/>
        <v>-2.2175137146855644</v>
      </c>
      <c r="AJ214" s="267" t="b">
        <f t="shared" si="92"/>
        <v>1</v>
      </c>
      <c r="AK214" s="267" t="b">
        <f t="shared" si="93"/>
        <v>0</v>
      </c>
      <c r="AL214" s="267"/>
      <c r="AM214" s="267"/>
      <c r="AN214" s="75"/>
    </row>
    <row r="215" spans="1:40" s="6" customFormat="1" ht="11.25" customHeight="1" x14ac:dyDescent="0.2">
      <c r="A215" s="56">
        <f t="shared" si="95"/>
        <v>43301</v>
      </c>
      <c r="B215" s="620"/>
      <c r="C215" s="392"/>
      <c r="D215" s="395"/>
      <c r="E215" s="387"/>
      <c r="F215" s="387"/>
      <c r="G215" s="110"/>
      <c r="I215" s="382">
        <f t="shared" si="72"/>
        <v>0</v>
      </c>
      <c r="J215" s="85">
        <v>2018</v>
      </c>
      <c r="K215" s="199">
        <f t="shared" si="73"/>
        <v>43301</v>
      </c>
      <c r="L215" s="439">
        <f t="shared" si="74"/>
        <v>0</v>
      </c>
      <c r="M215" s="883"/>
      <c r="N215" s="883"/>
      <c r="O215" s="326">
        <f t="shared" si="75"/>
        <v>0</v>
      </c>
      <c r="P215" s="171">
        <f>(INDEX(Models!$BJ215:$BT215,,T215)*(1-R215)+INDEX(Models!$BJ215:$BT215,,T215+1)*R215-ERP_i)*Q215*Ramure*Pc/MaxiM</f>
        <v>3.9342051098779563E-5</v>
      </c>
      <c r="Q215" s="307">
        <f t="shared" si="76"/>
        <v>0.9</v>
      </c>
      <c r="R215" s="179">
        <f t="shared" si="77"/>
        <v>0.786451764924045</v>
      </c>
      <c r="S215" s="839">
        <f t="shared" si="94"/>
        <v>-3</v>
      </c>
      <c r="T215" s="178">
        <f t="shared" si="78"/>
        <v>3</v>
      </c>
      <c r="U215" s="253">
        <f t="shared" si="79"/>
        <v>-2.213548235075955</v>
      </c>
      <c r="V215" s="385">
        <f t="shared" si="80"/>
        <v>61.264957545699559</v>
      </c>
      <c r="W215" s="58"/>
      <c r="X215" s="157">
        <f t="shared" si="81"/>
        <v>43301</v>
      </c>
      <c r="Y215" s="387">
        <f t="shared" si="82"/>
        <v>0</v>
      </c>
      <c r="Z215" s="387">
        <f t="shared" si="83"/>
        <v>0</v>
      </c>
      <c r="AA215" s="388">
        <f t="shared" si="84"/>
        <v>0</v>
      </c>
      <c r="AB215" s="199">
        <f t="shared" si="85"/>
        <v>43301</v>
      </c>
      <c r="AC215" s="428">
        <f t="shared" si="86"/>
        <v>0</v>
      </c>
      <c r="AD215" s="171">
        <f>(INDEX(Models!$BJ215:$BT215,,AH215)*(1-AF215)+INDEX(Models!$BJ215:$BT215,,AH215+1)*AF215-ERP_i)*AE215*Ramure*Pc/MaxiM</f>
        <v>3.9342051098779563E-5</v>
      </c>
      <c r="AE215" s="307">
        <f t="shared" si="87"/>
        <v>0.9</v>
      </c>
      <c r="AF215" s="179">
        <f t="shared" si="88"/>
        <v>0.786451764924045</v>
      </c>
      <c r="AG215" s="839">
        <f t="shared" si="89"/>
        <v>-3</v>
      </c>
      <c r="AH215" s="178">
        <f t="shared" si="90"/>
        <v>3</v>
      </c>
      <c r="AI215" s="227">
        <f t="shared" si="91"/>
        <v>-2.213548235075955</v>
      </c>
      <c r="AJ215" s="267" t="b">
        <f t="shared" si="92"/>
        <v>1</v>
      </c>
      <c r="AK215" s="267" t="b">
        <f t="shared" si="93"/>
        <v>0</v>
      </c>
      <c r="AL215" s="267"/>
      <c r="AM215" s="267"/>
      <c r="AN215" s="75"/>
    </row>
    <row r="216" spans="1:40" s="6" customFormat="1" ht="11.25" customHeight="1" x14ac:dyDescent="0.2">
      <c r="A216" s="56">
        <f t="shared" si="95"/>
        <v>43302</v>
      </c>
      <c r="B216" s="620"/>
      <c r="C216" s="392"/>
      <c r="D216" s="395"/>
      <c r="E216" s="387"/>
      <c r="F216" s="387"/>
      <c r="G216" s="110"/>
      <c r="I216" s="382">
        <f t="shared" si="72"/>
        <v>0</v>
      </c>
      <c r="J216" s="85">
        <v>2018</v>
      </c>
      <c r="K216" s="199">
        <f t="shared" si="73"/>
        <v>43302</v>
      </c>
      <c r="L216" s="439">
        <f t="shared" si="74"/>
        <v>0</v>
      </c>
      <c r="M216" s="883"/>
      <c r="N216" s="883"/>
      <c r="O216" s="326">
        <f t="shared" si="75"/>
        <v>0</v>
      </c>
      <c r="P216" s="171">
        <f>(INDEX(Models!$BJ216:$BT216,,T216)*(1-R216)+INDEX(Models!$BJ216:$BT216,,T216+1)*R216-ERP_i)*Q216*Ramure*Pc/MaxiM</f>
        <v>4.2514647365478118E-5</v>
      </c>
      <c r="Q216" s="307">
        <f t="shared" si="76"/>
        <v>0.9</v>
      </c>
      <c r="R216" s="179">
        <f t="shared" si="77"/>
        <v>0.79030858678532878</v>
      </c>
      <c r="S216" s="839">
        <f t="shared" si="94"/>
        <v>-3</v>
      </c>
      <c r="T216" s="178">
        <f t="shared" si="78"/>
        <v>3</v>
      </c>
      <c r="U216" s="253">
        <f t="shared" si="79"/>
        <v>-2.2096914132146712</v>
      </c>
      <c r="V216" s="385">
        <f t="shared" si="80"/>
        <v>61.119453895857148</v>
      </c>
      <c r="W216" s="58"/>
      <c r="X216" s="157">
        <f t="shared" si="81"/>
        <v>43302</v>
      </c>
      <c r="Y216" s="387">
        <f t="shared" si="82"/>
        <v>0</v>
      </c>
      <c r="Z216" s="387">
        <f t="shared" si="83"/>
        <v>0</v>
      </c>
      <c r="AA216" s="388">
        <f t="shared" si="84"/>
        <v>0</v>
      </c>
      <c r="AB216" s="199">
        <f t="shared" si="85"/>
        <v>43302</v>
      </c>
      <c r="AC216" s="428">
        <f t="shared" si="86"/>
        <v>0</v>
      </c>
      <c r="AD216" s="171">
        <f>(INDEX(Models!$BJ216:$BT216,,AH216)*(1-AF216)+INDEX(Models!$BJ216:$BT216,,AH216+1)*AF216-ERP_i)*AE216*Ramure*Pc/MaxiM</f>
        <v>4.2514647365478118E-5</v>
      </c>
      <c r="AE216" s="307">
        <f t="shared" si="87"/>
        <v>0.9</v>
      </c>
      <c r="AF216" s="179">
        <f t="shared" si="88"/>
        <v>0.79030858678532878</v>
      </c>
      <c r="AG216" s="839">
        <f t="shared" si="89"/>
        <v>-3</v>
      </c>
      <c r="AH216" s="178">
        <f t="shared" si="90"/>
        <v>3</v>
      </c>
      <c r="AI216" s="227">
        <f t="shared" si="91"/>
        <v>-2.2096914132146712</v>
      </c>
      <c r="AJ216" s="267" t="b">
        <f t="shared" si="92"/>
        <v>1</v>
      </c>
      <c r="AK216" s="267" t="b">
        <f t="shared" si="93"/>
        <v>0</v>
      </c>
      <c r="AL216" s="267"/>
      <c r="AM216" s="267"/>
      <c r="AN216" s="75"/>
    </row>
    <row r="217" spans="1:40" s="6" customFormat="1" ht="11.25" customHeight="1" x14ac:dyDescent="0.2">
      <c r="A217" s="56">
        <f t="shared" si="95"/>
        <v>43303</v>
      </c>
      <c r="B217" s="620"/>
      <c r="C217" s="392"/>
      <c r="D217" s="395"/>
      <c r="E217" s="387"/>
      <c r="F217" s="387"/>
      <c r="G217" s="110"/>
      <c r="I217" s="382">
        <f t="shared" si="72"/>
        <v>0</v>
      </c>
      <c r="J217" s="85">
        <v>2018</v>
      </c>
      <c r="K217" s="199">
        <f t="shared" si="73"/>
        <v>43303</v>
      </c>
      <c r="L217" s="439">
        <f t="shared" si="74"/>
        <v>0</v>
      </c>
      <c r="M217" s="883"/>
      <c r="N217" s="883"/>
      <c r="O217" s="326">
        <f t="shared" si="75"/>
        <v>0</v>
      </c>
      <c r="P217" s="171">
        <f>(INDEX(Models!$BJ217:$BT217,,T217)*(1-R217)+INDEX(Models!$BJ217:$BT217,,T217+1)*R217-ERP_i)*Q217*Ramure*Pc/MaxiM</f>
        <v>4.595180237000502E-5</v>
      </c>
      <c r="Q217" s="307">
        <f t="shared" si="76"/>
        <v>0.9</v>
      </c>
      <c r="R217" s="179">
        <f t="shared" si="77"/>
        <v>0.79405803270551978</v>
      </c>
      <c r="S217" s="839">
        <f t="shared" si="94"/>
        <v>-3</v>
      </c>
      <c r="T217" s="178">
        <f t="shared" si="78"/>
        <v>3</v>
      </c>
      <c r="U217" s="253">
        <f t="shared" si="79"/>
        <v>-2.2059419672944802</v>
      </c>
      <c r="V217" s="385">
        <f t="shared" si="80"/>
        <v>60.971919967093683</v>
      </c>
      <c r="W217" s="58"/>
      <c r="X217" s="157">
        <f t="shared" si="81"/>
        <v>43303</v>
      </c>
      <c r="Y217" s="387">
        <f t="shared" si="82"/>
        <v>0</v>
      </c>
      <c r="Z217" s="387">
        <f t="shared" si="83"/>
        <v>0</v>
      </c>
      <c r="AA217" s="388">
        <f t="shared" si="84"/>
        <v>0</v>
      </c>
      <c r="AB217" s="199">
        <f t="shared" si="85"/>
        <v>43303</v>
      </c>
      <c r="AC217" s="428">
        <f t="shared" si="86"/>
        <v>0</v>
      </c>
      <c r="AD217" s="171">
        <f>(INDEX(Models!$BJ217:$BT217,,AH217)*(1-AF217)+INDEX(Models!$BJ217:$BT217,,AH217+1)*AF217-ERP_i)*AE217*Ramure*Pc/MaxiM</f>
        <v>4.595180237000502E-5</v>
      </c>
      <c r="AE217" s="307">
        <f t="shared" si="87"/>
        <v>0.9</v>
      </c>
      <c r="AF217" s="179">
        <f t="shared" si="88"/>
        <v>0.79405803270551978</v>
      </c>
      <c r="AG217" s="839">
        <f t="shared" si="89"/>
        <v>-3</v>
      </c>
      <c r="AH217" s="178">
        <f t="shared" si="90"/>
        <v>3</v>
      </c>
      <c r="AI217" s="227">
        <f t="shared" si="91"/>
        <v>-2.2059419672944802</v>
      </c>
      <c r="AJ217" s="267" t="b">
        <f t="shared" si="92"/>
        <v>1</v>
      </c>
      <c r="AK217" s="267" t="b">
        <f t="shared" si="93"/>
        <v>0</v>
      </c>
      <c r="AL217" s="267"/>
      <c r="AM217" s="267"/>
      <c r="AN217" s="75"/>
    </row>
    <row r="218" spans="1:40" s="6" customFormat="1" ht="11.25" x14ac:dyDescent="0.2">
      <c r="A218" s="56">
        <f t="shared" si="95"/>
        <v>43304</v>
      </c>
      <c r="B218" s="620"/>
      <c r="C218" s="392"/>
      <c r="D218" s="395"/>
      <c r="E218" s="387"/>
      <c r="F218" s="387"/>
      <c r="G218" s="110"/>
      <c r="I218" s="382">
        <f t="shared" si="72"/>
        <v>0</v>
      </c>
      <c r="J218" s="85">
        <v>2018</v>
      </c>
      <c r="K218" s="199">
        <f t="shared" si="73"/>
        <v>43304</v>
      </c>
      <c r="L218" s="439">
        <f t="shared" si="74"/>
        <v>0</v>
      </c>
      <c r="M218" s="883"/>
      <c r="N218" s="883"/>
      <c r="O218" s="326">
        <f t="shared" si="75"/>
        <v>0</v>
      </c>
      <c r="P218" s="171">
        <f>(INDEX(Models!$BJ218:$BT218,,T218)*(1-R218)+INDEX(Models!$BJ218:$BT218,,T218+1)*R218-ERP_i)*Q218*Ramure*Pc/MaxiM</f>
        <v>4.9658204427856443E-5</v>
      </c>
      <c r="Q218" s="307">
        <f t="shared" si="76"/>
        <v>0.9</v>
      </c>
      <c r="R218" s="179">
        <f t="shared" si="77"/>
        <v>0.7977014903711046</v>
      </c>
      <c r="S218" s="839">
        <f t="shared" si="94"/>
        <v>-3</v>
      </c>
      <c r="T218" s="178">
        <f t="shared" si="78"/>
        <v>3</v>
      </c>
      <c r="U218" s="253">
        <f t="shared" si="79"/>
        <v>-2.2022985096288954</v>
      </c>
      <c r="V218" s="385">
        <f t="shared" si="80"/>
        <v>60.822579509274071</v>
      </c>
      <c r="W218" s="58"/>
      <c r="X218" s="157">
        <f t="shared" si="81"/>
        <v>43304</v>
      </c>
      <c r="Y218" s="387">
        <f t="shared" si="82"/>
        <v>0</v>
      </c>
      <c r="Z218" s="387">
        <f t="shared" si="83"/>
        <v>0</v>
      </c>
      <c r="AA218" s="388">
        <f t="shared" si="84"/>
        <v>0</v>
      </c>
      <c r="AB218" s="199">
        <f t="shared" si="85"/>
        <v>43304</v>
      </c>
      <c r="AC218" s="428">
        <f t="shared" si="86"/>
        <v>0</v>
      </c>
      <c r="AD218" s="171">
        <f>(INDEX(Models!$BJ218:$BT218,,AH218)*(1-AF218)+INDEX(Models!$BJ218:$BT218,,AH218+1)*AF218-ERP_i)*AE218*Ramure*Pc/MaxiM</f>
        <v>4.9658204427856443E-5</v>
      </c>
      <c r="AE218" s="307">
        <f t="shared" si="87"/>
        <v>0.9</v>
      </c>
      <c r="AF218" s="179">
        <f t="shared" si="88"/>
        <v>0.7977014903711046</v>
      </c>
      <c r="AG218" s="839">
        <f t="shared" si="89"/>
        <v>-3</v>
      </c>
      <c r="AH218" s="178">
        <f t="shared" si="90"/>
        <v>3</v>
      </c>
      <c r="AI218" s="227">
        <f t="shared" si="91"/>
        <v>-2.2022985096288954</v>
      </c>
      <c r="AJ218" s="267" t="b">
        <f t="shared" si="92"/>
        <v>1</v>
      </c>
      <c r="AK218" s="267" t="b">
        <f t="shared" si="93"/>
        <v>0</v>
      </c>
      <c r="AL218" s="267"/>
      <c r="AM218" s="267"/>
      <c r="AN218" s="75"/>
    </row>
    <row r="219" spans="1:40" s="6" customFormat="1" ht="11.25" customHeight="1" x14ac:dyDescent="0.2">
      <c r="A219" s="56">
        <f t="shared" si="95"/>
        <v>43305</v>
      </c>
      <c r="B219" s="620"/>
      <c r="C219" s="392"/>
      <c r="D219" s="395"/>
      <c r="E219" s="387"/>
      <c r="F219" s="387"/>
      <c r="G219" s="110"/>
      <c r="I219" s="382">
        <f t="shared" si="72"/>
        <v>0</v>
      </c>
      <c r="J219" s="85">
        <v>2018</v>
      </c>
      <c r="K219" s="199">
        <f t="shared" si="73"/>
        <v>43305</v>
      </c>
      <c r="L219" s="439">
        <f t="shared" si="74"/>
        <v>0</v>
      </c>
      <c r="M219" s="883"/>
      <c r="N219" s="883"/>
      <c r="O219" s="326">
        <f t="shared" si="75"/>
        <v>0</v>
      </c>
      <c r="P219" s="171">
        <f>(INDEX(Models!$BJ219:$BT219,,T219)*(1-R219)+INDEX(Models!$BJ219:$BT219,,T219+1)*R219-ERP_i)*Q219*Ramure*Pc/MaxiM</f>
        <v>5.3638394921166492E-5</v>
      </c>
      <c r="Q219" s="307">
        <f t="shared" si="76"/>
        <v>0.9</v>
      </c>
      <c r="R219" s="179">
        <f t="shared" si="77"/>
        <v>0.8012404440311327</v>
      </c>
      <c r="S219" s="839">
        <f t="shared" si="94"/>
        <v>-3</v>
      </c>
      <c r="T219" s="178">
        <f t="shared" si="78"/>
        <v>3</v>
      </c>
      <c r="U219" s="253">
        <f t="shared" si="79"/>
        <v>-2.1987595559688673</v>
      </c>
      <c r="V219" s="385">
        <f t="shared" si="80"/>
        <v>60.671581650585033</v>
      </c>
      <c r="W219" s="58"/>
      <c r="X219" s="157">
        <f t="shared" si="81"/>
        <v>43305</v>
      </c>
      <c r="Y219" s="387">
        <f t="shared" si="82"/>
        <v>0</v>
      </c>
      <c r="Z219" s="387">
        <f t="shared" si="83"/>
        <v>0</v>
      </c>
      <c r="AA219" s="388">
        <f t="shared" si="84"/>
        <v>0</v>
      </c>
      <c r="AB219" s="199">
        <f t="shared" si="85"/>
        <v>43305</v>
      </c>
      <c r="AC219" s="428">
        <f t="shared" si="86"/>
        <v>0</v>
      </c>
      <c r="AD219" s="171">
        <f>(INDEX(Models!$BJ219:$BT219,,AH219)*(1-AF219)+INDEX(Models!$BJ219:$BT219,,AH219+1)*AF219-ERP_i)*AE219*Ramure*Pc/MaxiM</f>
        <v>5.3638394921166492E-5</v>
      </c>
      <c r="AE219" s="307">
        <f t="shared" si="87"/>
        <v>0.9</v>
      </c>
      <c r="AF219" s="179">
        <f t="shared" si="88"/>
        <v>0.8012404440311327</v>
      </c>
      <c r="AG219" s="839">
        <f t="shared" si="89"/>
        <v>-3</v>
      </c>
      <c r="AH219" s="178">
        <f t="shared" si="90"/>
        <v>3</v>
      </c>
      <c r="AI219" s="227">
        <f t="shared" si="91"/>
        <v>-2.1987595559688673</v>
      </c>
      <c r="AJ219" s="267" t="b">
        <f t="shared" si="92"/>
        <v>1</v>
      </c>
      <c r="AK219" s="267" t="b">
        <f t="shared" si="93"/>
        <v>0</v>
      </c>
      <c r="AL219" s="267"/>
      <c r="AM219" s="267"/>
      <c r="AN219" s="75"/>
    </row>
    <row r="220" spans="1:40" s="6" customFormat="1" ht="11.25" customHeight="1" x14ac:dyDescent="0.2">
      <c r="A220" s="56">
        <f t="shared" si="95"/>
        <v>43306</v>
      </c>
      <c r="B220" s="620"/>
      <c r="C220" s="392"/>
      <c r="D220" s="395"/>
      <c r="E220" s="387"/>
      <c r="F220" s="387"/>
      <c r="G220" s="110"/>
      <c r="I220" s="382">
        <f t="shared" si="72"/>
        <v>0</v>
      </c>
      <c r="J220" s="85">
        <v>2018</v>
      </c>
      <c r="K220" s="199">
        <f t="shared" si="73"/>
        <v>43306</v>
      </c>
      <c r="L220" s="439">
        <f t="shared" si="74"/>
        <v>0</v>
      </c>
      <c r="M220" s="883"/>
      <c r="N220" s="883"/>
      <c r="O220" s="326">
        <f t="shared" si="75"/>
        <v>0</v>
      </c>
      <c r="P220" s="171">
        <f>(INDEX(Models!$BJ220:$BT220,,T220)*(1-R220)+INDEX(Models!$BJ220:$BT220,,T220+1)*R220-ERP_i)*Q220*Ramure*Pc/MaxiM</f>
        <v>5.8141239335438103E-5</v>
      </c>
      <c r="Q220" s="307">
        <f t="shared" si="76"/>
        <v>0.9</v>
      </c>
      <c r="R220" s="179">
        <f t="shared" si="77"/>
        <v>0.80467646541312199</v>
      </c>
      <c r="S220" s="839">
        <f t="shared" si="94"/>
        <v>-3</v>
      </c>
      <c r="T220" s="178">
        <f t="shared" si="78"/>
        <v>3</v>
      </c>
      <c r="U220" s="253">
        <f t="shared" si="79"/>
        <v>-2.195323534586878</v>
      </c>
      <c r="V220" s="385">
        <f t="shared" si="80"/>
        <v>60.518762208764343</v>
      </c>
      <c r="W220" s="58"/>
      <c r="X220" s="157">
        <f t="shared" si="81"/>
        <v>43306</v>
      </c>
      <c r="Y220" s="387">
        <f t="shared" si="82"/>
        <v>0</v>
      </c>
      <c r="Z220" s="387">
        <f t="shared" si="83"/>
        <v>0</v>
      </c>
      <c r="AA220" s="388">
        <f t="shared" si="84"/>
        <v>0</v>
      </c>
      <c r="AB220" s="199">
        <f t="shared" si="85"/>
        <v>43306</v>
      </c>
      <c r="AC220" s="428">
        <f t="shared" si="86"/>
        <v>0</v>
      </c>
      <c r="AD220" s="171">
        <f>(INDEX(Models!$BJ220:$BT220,,AH220)*(1-AF220)+INDEX(Models!$BJ220:$BT220,,AH220+1)*AF220-ERP_i)*AE220*Ramure*Pc/MaxiM</f>
        <v>5.8141239335438103E-5</v>
      </c>
      <c r="AE220" s="307">
        <f t="shared" si="87"/>
        <v>0.9</v>
      </c>
      <c r="AF220" s="179">
        <f t="shared" si="88"/>
        <v>0.80467646541312199</v>
      </c>
      <c r="AG220" s="839">
        <f t="shared" si="89"/>
        <v>-3</v>
      </c>
      <c r="AH220" s="178">
        <f t="shared" si="90"/>
        <v>3</v>
      </c>
      <c r="AI220" s="227">
        <f t="shared" si="91"/>
        <v>-2.195323534586878</v>
      </c>
      <c r="AJ220" s="267" t="b">
        <f t="shared" si="92"/>
        <v>1</v>
      </c>
      <c r="AK220" s="267" t="b">
        <f t="shared" si="93"/>
        <v>0</v>
      </c>
      <c r="AL220" s="267"/>
      <c r="AM220" s="267"/>
      <c r="AN220" s="75"/>
    </row>
    <row r="221" spans="1:40" s="6" customFormat="1" ht="11.25" customHeight="1" x14ac:dyDescent="0.2">
      <c r="A221" s="56">
        <f t="shared" si="95"/>
        <v>43307</v>
      </c>
      <c r="B221" s="620"/>
      <c r="C221" s="392"/>
      <c r="D221" s="395"/>
      <c r="E221" s="387"/>
      <c r="F221" s="387"/>
      <c r="G221" s="110"/>
      <c r="I221" s="382">
        <f t="shared" si="72"/>
        <v>0</v>
      </c>
      <c r="J221" s="85">
        <v>2018</v>
      </c>
      <c r="K221" s="199">
        <f t="shared" si="73"/>
        <v>43307</v>
      </c>
      <c r="L221" s="439">
        <f t="shared" si="74"/>
        <v>0</v>
      </c>
      <c r="M221" s="883"/>
      <c r="N221" s="883"/>
      <c r="O221" s="326">
        <f t="shared" si="75"/>
        <v>0</v>
      </c>
      <c r="P221" s="171">
        <f>(INDEX(Models!$BJ221:$BT221,,T221)*(1-R221)+INDEX(Models!$BJ221:$BT221,,T221+1)*R221-ERP_i)*Q221*Ramure*Pc/MaxiM</f>
        <v>6.3040113970427056E-5</v>
      </c>
      <c r="Q221" s="307">
        <f t="shared" si="76"/>
        <v>0.9</v>
      </c>
      <c r="R221" s="179">
        <f t="shared" si="77"/>
        <v>0.80801120490212419</v>
      </c>
      <c r="S221" s="839">
        <f t="shared" si="94"/>
        <v>-3</v>
      </c>
      <c r="T221" s="178">
        <f t="shared" si="78"/>
        <v>3</v>
      </c>
      <c r="U221" s="253">
        <f t="shared" si="79"/>
        <v>-2.1919887950978758</v>
      </c>
      <c r="V221" s="385">
        <f t="shared" si="80"/>
        <v>60.363905199796157</v>
      </c>
      <c r="W221" s="58"/>
      <c r="X221" s="157">
        <f t="shared" si="81"/>
        <v>43307</v>
      </c>
      <c r="Y221" s="387">
        <f t="shared" si="82"/>
        <v>0</v>
      </c>
      <c r="Z221" s="387">
        <f t="shared" si="83"/>
        <v>0</v>
      </c>
      <c r="AA221" s="388">
        <f t="shared" si="84"/>
        <v>0</v>
      </c>
      <c r="AB221" s="199">
        <f t="shared" si="85"/>
        <v>43307</v>
      </c>
      <c r="AC221" s="428">
        <f t="shared" si="86"/>
        <v>0</v>
      </c>
      <c r="AD221" s="171">
        <f>(INDEX(Models!$BJ221:$BT221,,AH221)*(1-AF221)+INDEX(Models!$BJ221:$BT221,,AH221+1)*AF221-ERP_i)*AE221*Ramure*Pc/MaxiM</f>
        <v>6.3040113970427056E-5</v>
      </c>
      <c r="AE221" s="307">
        <f t="shared" si="87"/>
        <v>0.9</v>
      </c>
      <c r="AF221" s="179">
        <f t="shared" si="88"/>
        <v>0.80801120490212419</v>
      </c>
      <c r="AG221" s="839">
        <f t="shared" si="89"/>
        <v>-3</v>
      </c>
      <c r="AH221" s="178">
        <f t="shared" si="90"/>
        <v>3</v>
      </c>
      <c r="AI221" s="227">
        <f t="shared" si="91"/>
        <v>-2.1919887950978758</v>
      </c>
      <c r="AJ221" s="267" t="b">
        <f t="shared" si="92"/>
        <v>1</v>
      </c>
      <c r="AK221" s="267" t="b">
        <f t="shared" si="93"/>
        <v>0</v>
      </c>
      <c r="AL221" s="267"/>
      <c r="AM221" s="267"/>
      <c r="AN221" s="75"/>
    </row>
    <row r="222" spans="1:40" s="6" customFormat="1" ht="11.25" customHeight="1" x14ac:dyDescent="0.2">
      <c r="A222" s="56">
        <f t="shared" si="95"/>
        <v>43308</v>
      </c>
      <c r="B222" s="620"/>
      <c r="C222" s="392"/>
      <c r="D222" s="395"/>
      <c r="E222" s="387"/>
      <c r="F222" s="387"/>
      <c r="G222" s="110"/>
      <c r="I222" s="382">
        <f t="shared" si="72"/>
        <v>0</v>
      </c>
      <c r="J222" s="85">
        <v>2018</v>
      </c>
      <c r="K222" s="199">
        <f t="shared" si="73"/>
        <v>43308</v>
      </c>
      <c r="L222" s="439">
        <f t="shared" si="74"/>
        <v>0</v>
      </c>
      <c r="M222" s="883"/>
      <c r="N222" s="883"/>
      <c r="O222" s="326">
        <f t="shared" si="75"/>
        <v>0</v>
      </c>
      <c r="P222" s="171">
        <f>(INDEX(Models!$BJ222:$BT222,,T222)*(1-R222)+INDEX(Models!$BJ222:$BT222,,T222+1)*R222-ERP_i)*Q222*Ramure*Pc/MaxiM</f>
        <v>6.8342265346272397E-5</v>
      </c>
      <c r="Q222" s="307">
        <f t="shared" si="76"/>
        <v>0.9</v>
      </c>
      <c r="R222" s="179">
        <f t="shared" si="77"/>
        <v>0.81124638300907659</v>
      </c>
      <c r="S222" s="839">
        <f t="shared" si="94"/>
        <v>-3</v>
      </c>
      <c r="T222" s="178">
        <f t="shared" si="78"/>
        <v>3</v>
      </c>
      <c r="U222" s="253">
        <f t="shared" si="79"/>
        <v>-2.1887536169909234</v>
      </c>
      <c r="V222" s="385">
        <f t="shared" si="80"/>
        <v>60.206786508199343</v>
      </c>
      <c r="W222" s="58"/>
      <c r="X222" s="157">
        <f t="shared" si="81"/>
        <v>43308</v>
      </c>
      <c r="Y222" s="387">
        <f t="shared" si="82"/>
        <v>0</v>
      </c>
      <c r="Z222" s="387">
        <f t="shared" si="83"/>
        <v>0</v>
      </c>
      <c r="AA222" s="388">
        <f t="shared" si="84"/>
        <v>0</v>
      </c>
      <c r="AB222" s="199">
        <f t="shared" si="85"/>
        <v>43308</v>
      </c>
      <c r="AC222" s="428">
        <f t="shared" si="86"/>
        <v>0</v>
      </c>
      <c r="AD222" s="171">
        <f>(INDEX(Models!$BJ222:$BT222,,AH222)*(1-AF222)+INDEX(Models!$BJ222:$BT222,,AH222+1)*AF222-ERP_i)*AE222*Ramure*Pc/MaxiM</f>
        <v>6.8342265346272397E-5</v>
      </c>
      <c r="AE222" s="307">
        <f t="shared" si="87"/>
        <v>0.9</v>
      </c>
      <c r="AF222" s="179">
        <f t="shared" si="88"/>
        <v>0.81124638300907659</v>
      </c>
      <c r="AG222" s="839">
        <f t="shared" si="89"/>
        <v>-3</v>
      </c>
      <c r="AH222" s="178">
        <f t="shared" si="90"/>
        <v>3</v>
      </c>
      <c r="AI222" s="227">
        <f t="shared" si="91"/>
        <v>-2.1887536169909234</v>
      </c>
      <c r="AJ222" s="267" t="b">
        <f t="shared" si="92"/>
        <v>1</v>
      </c>
      <c r="AK222" s="267" t="b">
        <f t="shared" si="93"/>
        <v>0</v>
      </c>
      <c r="AL222" s="267"/>
      <c r="AM222" s="267"/>
      <c r="AN222" s="75"/>
    </row>
    <row r="223" spans="1:40" s="6" customFormat="1" ht="11.25" customHeight="1" x14ac:dyDescent="0.2">
      <c r="A223" s="56">
        <f t="shared" si="95"/>
        <v>43309</v>
      </c>
      <c r="B223" s="620"/>
      <c r="C223" s="392"/>
      <c r="D223" s="395"/>
      <c r="E223" s="387"/>
      <c r="F223" s="387"/>
      <c r="G223" s="110"/>
      <c r="I223" s="382">
        <f t="shared" si="72"/>
        <v>0</v>
      </c>
      <c r="J223" s="85">
        <v>2018</v>
      </c>
      <c r="K223" s="199">
        <f t="shared" si="73"/>
        <v>43309</v>
      </c>
      <c r="L223" s="439">
        <f t="shared" si="74"/>
        <v>0</v>
      </c>
      <c r="M223" s="883"/>
      <c r="N223" s="883"/>
      <c r="O223" s="326">
        <f t="shared" si="75"/>
        <v>0</v>
      </c>
      <c r="P223" s="171">
        <f>(INDEX(Models!$BJ223:$BT223,,T223)*(1-R223)+INDEX(Models!$BJ223:$BT223,,T223+1)*R223-ERP_i)*Q223*Ramure*Pc/MaxiM</f>
        <v>7.4054931217414912E-5</v>
      </c>
      <c r="Q223" s="307">
        <f t="shared" si="76"/>
        <v>0.9</v>
      </c>
      <c r="R223" s="179">
        <f t="shared" si="77"/>
        <v>0.81438378215029061</v>
      </c>
      <c r="S223" s="839">
        <f t="shared" si="94"/>
        <v>-3</v>
      </c>
      <c r="T223" s="178">
        <f t="shared" si="78"/>
        <v>3</v>
      </c>
      <c r="U223" s="253">
        <f t="shared" si="79"/>
        <v>-2.1856162178497094</v>
      </c>
      <c r="V223" s="385">
        <f t="shared" si="80"/>
        <v>60.047182034824942</v>
      </c>
      <c r="W223" s="58"/>
      <c r="X223" s="157">
        <f t="shared" si="81"/>
        <v>43309</v>
      </c>
      <c r="Y223" s="387">
        <f t="shared" si="82"/>
        <v>0</v>
      </c>
      <c r="Z223" s="387">
        <f t="shared" si="83"/>
        <v>0</v>
      </c>
      <c r="AA223" s="388">
        <f t="shared" si="84"/>
        <v>0</v>
      </c>
      <c r="AB223" s="199">
        <f t="shared" si="85"/>
        <v>43309</v>
      </c>
      <c r="AC223" s="428">
        <f t="shared" si="86"/>
        <v>0</v>
      </c>
      <c r="AD223" s="171">
        <f>(INDEX(Models!$BJ223:$BT223,,AH223)*(1-AF223)+INDEX(Models!$BJ223:$BT223,,AH223+1)*AF223-ERP_i)*AE223*Ramure*Pc/MaxiM</f>
        <v>7.4054931217414912E-5</v>
      </c>
      <c r="AE223" s="307">
        <f t="shared" si="87"/>
        <v>0.9</v>
      </c>
      <c r="AF223" s="179">
        <f t="shared" si="88"/>
        <v>0.81438378215029061</v>
      </c>
      <c r="AG223" s="839">
        <f t="shared" si="89"/>
        <v>-3</v>
      </c>
      <c r="AH223" s="178">
        <f t="shared" si="90"/>
        <v>3</v>
      </c>
      <c r="AI223" s="227">
        <f t="shared" si="91"/>
        <v>-2.1856162178497094</v>
      </c>
      <c r="AJ223" s="267" t="b">
        <f t="shared" si="92"/>
        <v>1</v>
      </c>
      <c r="AK223" s="267" t="b">
        <f t="shared" si="93"/>
        <v>0</v>
      </c>
      <c r="AL223" s="267"/>
      <c r="AM223" s="267"/>
      <c r="AN223" s="75"/>
    </row>
    <row r="224" spans="1:40" s="6" customFormat="1" ht="11.25" customHeight="1" x14ac:dyDescent="0.2">
      <c r="A224" s="56">
        <f t="shared" si="95"/>
        <v>43310</v>
      </c>
      <c r="B224" s="620"/>
      <c r="C224" s="392"/>
      <c r="D224" s="395"/>
      <c r="E224" s="387"/>
      <c r="F224" s="387"/>
      <c r="G224" s="110"/>
      <c r="I224" s="382">
        <f t="shared" si="72"/>
        <v>0</v>
      </c>
      <c r="J224" s="85">
        <v>2018</v>
      </c>
      <c r="K224" s="199">
        <f t="shared" si="73"/>
        <v>43310</v>
      </c>
      <c r="L224" s="439">
        <f t="shared" si="74"/>
        <v>0</v>
      </c>
      <c r="M224" s="883"/>
      <c r="N224" s="883"/>
      <c r="O224" s="326">
        <f t="shared" si="75"/>
        <v>0</v>
      </c>
      <c r="P224" s="171">
        <f>(INDEX(Models!$BJ224:$BT224,,T224)*(1-R224)+INDEX(Models!$BJ224:$BT224,,T224+1)*R224-ERP_i)*Q224*Ramure*Pc/MaxiM</f>
        <v>8.0185369405813656E-5</v>
      </c>
      <c r="Q224" s="307">
        <f t="shared" si="76"/>
        <v>0.9</v>
      </c>
      <c r="R224" s="179">
        <f t="shared" si="77"/>
        <v>0.81742523875593731</v>
      </c>
      <c r="S224" s="839">
        <f t="shared" si="94"/>
        <v>-3</v>
      </c>
      <c r="T224" s="178">
        <f t="shared" si="78"/>
        <v>3</v>
      </c>
      <c r="U224" s="253">
        <f t="shared" si="79"/>
        <v>-2.1825747612440627</v>
      </c>
      <c r="V224" s="385">
        <f t="shared" si="80"/>
        <v>59.884867695325667</v>
      </c>
      <c r="W224" s="58"/>
      <c r="X224" s="157">
        <f t="shared" si="81"/>
        <v>43310</v>
      </c>
      <c r="Y224" s="387">
        <f t="shared" si="82"/>
        <v>0</v>
      </c>
      <c r="Z224" s="387">
        <f t="shared" si="83"/>
        <v>0</v>
      </c>
      <c r="AA224" s="388">
        <f t="shared" si="84"/>
        <v>0</v>
      </c>
      <c r="AB224" s="199">
        <f t="shared" si="85"/>
        <v>43310</v>
      </c>
      <c r="AC224" s="428">
        <f t="shared" si="86"/>
        <v>0</v>
      </c>
      <c r="AD224" s="171">
        <f>(INDEX(Models!$BJ224:$BT224,,AH224)*(1-AF224)+INDEX(Models!$BJ224:$BT224,,AH224+1)*AF224-ERP_i)*AE224*Ramure*Pc/MaxiM</f>
        <v>8.0185369405813656E-5</v>
      </c>
      <c r="AE224" s="307">
        <f t="shared" si="87"/>
        <v>0.9</v>
      </c>
      <c r="AF224" s="179">
        <f t="shared" si="88"/>
        <v>0.81742523875593731</v>
      </c>
      <c r="AG224" s="839">
        <f t="shared" si="89"/>
        <v>-3</v>
      </c>
      <c r="AH224" s="178">
        <f t="shared" si="90"/>
        <v>3</v>
      </c>
      <c r="AI224" s="227">
        <f t="shared" si="91"/>
        <v>-2.1825747612440627</v>
      </c>
      <c r="AJ224" s="267" t="b">
        <f t="shared" si="92"/>
        <v>1</v>
      </c>
      <c r="AK224" s="267" t="b">
        <f t="shared" si="93"/>
        <v>0</v>
      </c>
      <c r="AL224" s="267"/>
      <c r="AM224" s="267"/>
      <c r="AN224" s="75"/>
    </row>
    <row r="225" spans="1:40" s="6" customFormat="1" ht="11.25" customHeight="1" x14ac:dyDescent="0.2">
      <c r="A225" s="56">
        <f t="shared" si="95"/>
        <v>43311</v>
      </c>
      <c r="B225" s="620"/>
      <c r="C225" s="392"/>
      <c r="D225" s="395"/>
      <c r="E225" s="387"/>
      <c r="F225" s="387"/>
      <c r="G225" s="110"/>
      <c r="I225" s="382">
        <f t="shared" si="72"/>
        <v>0</v>
      </c>
      <c r="J225" s="85">
        <v>2018</v>
      </c>
      <c r="K225" s="199">
        <f t="shared" si="73"/>
        <v>43311</v>
      </c>
      <c r="L225" s="439">
        <f t="shared" si="74"/>
        <v>0</v>
      </c>
      <c r="M225" s="883"/>
      <c r="N225" s="883"/>
      <c r="O225" s="326">
        <f t="shared" si="75"/>
        <v>0</v>
      </c>
      <c r="P225" s="171">
        <f>(INDEX(Models!$BJ225:$BT225,,T225)*(1-R225)+INDEX(Models!$BJ225:$BT225,,T225+1)*R225-ERP_i)*Q225*Ramure*Pc/MaxiM</f>
        <v>8.6740887679375033E-5</v>
      </c>
      <c r="Q225" s="307">
        <f t="shared" si="76"/>
        <v>0.9</v>
      </c>
      <c r="R225" s="179">
        <f t="shared" si="77"/>
        <v>0.8203726357215726</v>
      </c>
      <c r="S225" s="839">
        <f t="shared" si="94"/>
        <v>-3</v>
      </c>
      <c r="T225" s="178">
        <f t="shared" si="78"/>
        <v>3</v>
      </c>
      <c r="U225" s="253">
        <f t="shared" si="79"/>
        <v>-2.1796273642784274</v>
      </c>
      <c r="V225" s="385">
        <f t="shared" si="80"/>
        <v>59.719619417426252</v>
      </c>
      <c r="W225" s="58"/>
      <c r="X225" s="157">
        <f t="shared" si="81"/>
        <v>43311</v>
      </c>
      <c r="Y225" s="387">
        <f t="shared" si="82"/>
        <v>0</v>
      </c>
      <c r="Z225" s="387">
        <f t="shared" si="83"/>
        <v>0</v>
      </c>
      <c r="AA225" s="388">
        <f t="shared" si="84"/>
        <v>0</v>
      </c>
      <c r="AB225" s="199">
        <f t="shared" si="85"/>
        <v>43311</v>
      </c>
      <c r="AC225" s="428">
        <f t="shared" si="86"/>
        <v>0</v>
      </c>
      <c r="AD225" s="171">
        <f>(INDEX(Models!$BJ225:$BT225,,AH225)*(1-AF225)+INDEX(Models!$BJ225:$BT225,,AH225+1)*AF225-ERP_i)*AE225*Ramure*Pc/MaxiM</f>
        <v>8.6740887679375033E-5</v>
      </c>
      <c r="AE225" s="307">
        <f t="shared" si="87"/>
        <v>0.9</v>
      </c>
      <c r="AF225" s="179">
        <f t="shared" si="88"/>
        <v>0.8203726357215726</v>
      </c>
      <c r="AG225" s="839">
        <f t="shared" si="89"/>
        <v>-3</v>
      </c>
      <c r="AH225" s="178">
        <f t="shared" si="90"/>
        <v>3</v>
      </c>
      <c r="AI225" s="227">
        <f t="shared" si="91"/>
        <v>-2.1796273642784274</v>
      </c>
      <c r="AJ225" s="267" t="b">
        <f t="shared" si="92"/>
        <v>1</v>
      </c>
      <c r="AK225" s="267" t="b">
        <f t="shared" si="93"/>
        <v>0</v>
      </c>
      <c r="AL225" s="267"/>
      <c r="AM225" s="267"/>
      <c r="AN225" s="75"/>
    </row>
    <row r="226" spans="1:40" s="6" customFormat="1" ht="11.25" customHeight="1" x14ac:dyDescent="0.2">
      <c r="A226" s="56">
        <f t="shared" si="95"/>
        <v>43312</v>
      </c>
      <c r="B226" s="620"/>
      <c r="C226" s="392"/>
      <c r="D226" s="395"/>
      <c r="E226" s="387"/>
      <c r="F226" s="387"/>
      <c r="G226" s="110"/>
      <c r="I226" s="382">
        <f t="shared" si="72"/>
        <v>0</v>
      </c>
      <c r="J226" s="85">
        <v>2018</v>
      </c>
      <c r="K226" s="199">
        <f t="shared" si="73"/>
        <v>43312</v>
      </c>
      <c r="L226" s="439">
        <f t="shared" si="74"/>
        <v>0</v>
      </c>
      <c r="M226" s="883"/>
      <c r="N226" s="883"/>
      <c r="O226" s="326">
        <f t="shared" si="75"/>
        <v>0</v>
      </c>
      <c r="P226" s="171">
        <f>(INDEX(Models!$BJ226:$BT226,,T226)*(1-R226)+INDEX(Models!$BJ226:$BT226,,T226+1)*R226-ERP_i)*Q226*Ramure*Pc/MaxiM</f>
        <v>9.4444389035426953E-5</v>
      </c>
      <c r="Q226" s="307">
        <f t="shared" si="76"/>
        <v>0.9</v>
      </c>
      <c r="R226" s="179">
        <f t="shared" si="77"/>
        <v>0.82322789521323525</v>
      </c>
      <c r="S226" s="839">
        <f t="shared" si="94"/>
        <v>-3</v>
      </c>
      <c r="T226" s="178">
        <f t="shared" si="78"/>
        <v>3</v>
      </c>
      <c r="U226" s="253">
        <f t="shared" si="79"/>
        <v>-2.1767721047867647</v>
      </c>
      <c r="V226" s="385">
        <f t="shared" si="80"/>
        <v>59.551170529827317</v>
      </c>
      <c r="W226" s="58"/>
      <c r="X226" s="157">
        <f t="shared" si="81"/>
        <v>43312</v>
      </c>
      <c r="Y226" s="387">
        <f t="shared" si="82"/>
        <v>0</v>
      </c>
      <c r="Z226" s="387">
        <f t="shared" si="83"/>
        <v>0</v>
      </c>
      <c r="AA226" s="388">
        <f t="shared" si="84"/>
        <v>0</v>
      </c>
      <c r="AB226" s="199">
        <f t="shared" si="85"/>
        <v>43312</v>
      </c>
      <c r="AC226" s="428">
        <f t="shared" si="86"/>
        <v>0</v>
      </c>
      <c r="AD226" s="171">
        <f>(INDEX(Models!$BJ226:$BT226,,AH226)*(1-AF226)+INDEX(Models!$BJ226:$BT226,,AH226+1)*AF226-ERP_i)*AE226*Ramure*Pc/MaxiM</f>
        <v>9.4444389035426953E-5</v>
      </c>
      <c r="AE226" s="307">
        <f t="shared" si="87"/>
        <v>0.9</v>
      </c>
      <c r="AF226" s="179">
        <f t="shared" si="88"/>
        <v>0.82322789521323525</v>
      </c>
      <c r="AG226" s="839">
        <f t="shared" si="89"/>
        <v>-3</v>
      </c>
      <c r="AH226" s="178">
        <f t="shared" si="90"/>
        <v>3</v>
      </c>
      <c r="AI226" s="227">
        <f t="shared" si="91"/>
        <v>-2.1767721047867647</v>
      </c>
      <c r="AJ226" s="267" t="b">
        <f t="shared" si="92"/>
        <v>1</v>
      </c>
      <c r="AK226" s="267" t="b">
        <f t="shared" si="93"/>
        <v>0</v>
      </c>
      <c r="AL226" s="267"/>
      <c r="AM226" s="267"/>
      <c r="AN226" s="75"/>
    </row>
    <row r="227" spans="1:40" s="6" customFormat="1" ht="11.25" customHeight="1" x14ac:dyDescent="0.2">
      <c r="A227" s="56">
        <f t="shared" si="95"/>
        <v>43313</v>
      </c>
      <c r="B227" s="620"/>
      <c r="C227" s="392"/>
      <c r="D227" s="395"/>
      <c r="E227" s="387"/>
      <c r="F227" s="387"/>
      <c r="G227" s="110"/>
      <c r="I227" s="382">
        <f t="shared" si="72"/>
        <v>0</v>
      </c>
      <c r="J227" s="85">
        <v>2018</v>
      </c>
      <c r="K227" s="199">
        <f t="shared" si="73"/>
        <v>43313</v>
      </c>
      <c r="L227" s="439">
        <f t="shared" si="74"/>
        <v>0</v>
      </c>
      <c r="M227" s="883"/>
      <c r="N227" s="883"/>
      <c r="O227" s="326">
        <f t="shared" si="75"/>
        <v>0</v>
      </c>
      <c r="P227" s="171">
        <f>(INDEX(Models!$BJ227:$BT227,,T227)*(1-R227)+INDEX(Models!$BJ227:$BT227,,T227+1)*R227-ERP_i)*Q227*Ramure*Pc/MaxiM</f>
        <v>1.032244373350518E-4</v>
      </c>
      <c r="Q227" s="307">
        <f t="shared" si="76"/>
        <v>0.9</v>
      </c>
      <c r="R227" s="179">
        <f t="shared" si="77"/>
        <v>0.82599297183337184</v>
      </c>
      <c r="S227" s="839">
        <f t="shared" si="94"/>
        <v>-3</v>
      </c>
      <c r="T227" s="178">
        <f t="shared" si="78"/>
        <v>3</v>
      </c>
      <c r="U227" s="253">
        <f t="shared" si="79"/>
        <v>-2.1740070281666282</v>
      </c>
      <c r="V227" s="385">
        <f t="shared" si="80"/>
        <v>59.379302042735532</v>
      </c>
      <c r="W227" s="58"/>
      <c r="X227" s="157">
        <f t="shared" si="81"/>
        <v>43313</v>
      </c>
      <c r="Y227" s="387">
        <f t="shared" si="82"/>
        <v>0</v>
      </c>
      <c r="Z227" s="387">
        <f t="shared" si="83"/>
        <v>0</v>
      </c>
      <c r="AA227" s="388">
        <f t="shared" si="84"/>
        <v>0</v>
      </c>
      <c r="AB227" s="199">
        <f t="shared" si="85"/>
        <v>43313</v>
      </c>
      <c r="AC227" s="428">
        <f t="shared" si="86"/>
        <v>0</v>
      </c>
      <c r="AD227" s="171">
        <f>(INDEX(Models!$BJ227:$BT227,,AH227)*(1-AF227)+INDEX(Models!$BJ227:$BT227,,AH227+1)*AF227-ERP_i)*AE227*Ramure*Pc/MaxiM</f>
        <v>1.032244373350518E-4</v>
      </c>
      <c r="AE227" s="307">
        <f t="shared" si="87"/>
        <v>0.9</v>
      </c>
      <c r="AF227" s="179">
        <f t="shared" si="88"/>
        <v>0.82599297183337184</v>
      </c>
      <c r="AG227" s="839">
        <f t="shared" si="89"/>
        <v>-3</v>
      </c>
      <c r="AH227" s="178">
        <f t="shared" si="90"/>
        <v>3</v>
      </c>
      <c r="AI227" s="227">
        <f t="shared" si="91"/>
        <v>-2.1740070281666282</v>
      </c>
      <c r="AJ227" s="267" t="b">
        <f t="shared" si="92"/>
        <v>0</v>
      </c>
      <c r="AK227" s="267" t="b">
        <f t="shared" si="93"/>
        <v>0</v>
      </c>
      <c r="AL227" s="267"/>
      <c r="AM227" s="267"/>
      <c r="AN227" s="75"/>
    </row>
    <row r="228" spans="1:40" s="6" customFormat="1" ht="11.25" customHeight="1" x14ac:dyDescent="0.2">
      <c r="A228" s="56">
        <f t="shared" si="95"/>
        <v>43314</v>
      </c>
      <c r="B228" s="620"/>
      <c r="C228" s="392"/>
      <c r="D228" s="395"/>
      <c r="E228" s="387"/>
      <c r="F228" s="387"/>
      <c r="G228" s="110"/>
      <c r="I228" s="382">
        <f t="shared" si="72"/>
        <v>0</v>
      </c>
      <c r="J228" s="85">
        <v>2018</v>
      </c>
      <c r="K228" s="199">
        <f t="shared" si="73"/>
        <v>43314</v>
      </c>
      <c r="L228" s="439">
        <f t="shared" si="74"/>
        <v>2.3271460905971431E-5</v>
      </c>
      <c r="M228" s="883"/>
      <c r="N228" s="883"/>
      <c r="O228" s="326">
        <f t="shared" si="75"/>
        <v>2.4609239568395408E-4</v>
      </c>
      <c r="P228" s="171">
        <f>(INDEX(Models!$BJ228:$BT228,,T228)*(1-R228)+INDEX(Models!$BJ228:$BT228,,T228+1)*R228-ERP_i)*Q228*Ramure*Pc/MaxiM</f>
        <v>1.1310198273688619E-4</v>
      </c>
      <c r="Q228" s="307">
        <f t="shared" si="76"/>
        <v>0.9</v>
      </c>
      <c r="R228" s="179">
        <f t="shared" si="77"/>
        <v>0.82866984615186334</v>
      </c>
      <c r="S228" s="839">
        <f t="shared" si="94"/>
        <v>-3</v>
      </c>
      <c r="T228" s="178">
        <f t="shared" si="78"/>
        <v>3</v>
      </c>
      <c r="U228" s="253">
        <f t="shared" si="79"/>
        <v>-2.1713301538481367</v>
      </c>
      <c r="V228" s="385">
        <f t="shared" si="80"/>
        <v>59.187842451696064</v>
      </c>
      <c r="W228" s="58"/>
      <c r="X228" s="157">
        <f t="shared" si="81"/>
        <v>43314</v>
      </c>
      <c r="Y228" s="387">
        <f t="shared" si="82"/>
        <v>0</v>
      </c>
      <c r="Z228" s="387">
        <f t="shared" si="83"/>
        <v>0</v>
      </c>
      <c r="AA228" s="388">
        <f t="shared" si="84"/>
        <v>0</v>
      </c>
      <c r="AB228" s="199">
        <f t="shared" si="85"/>
        <v>43314</v>
      </c>
      <c r="AC228" s="428">
        <f t="shared" si="86"/>
        <v>2.4609239568395408E-4</v>
      </c>
      <c r="AD228" s="171">
        <f>(INDEX(Models!$BJ228:$BT228,,AH228)*(1-AF228)+INDEX(Models!$BJ228:$BT228,,AH228+1)*AF228-ERP_i)*AE228*Ramure*Pc/MaxiM</f>
        <v>1.1310198273688619E-4</v>
      </c>
      <c r="AE228" s="307">
        <f t="shared" si="87"/>
        <v>0.9</v>
      </c>
      <c r="AF228" s="179">
        <f t="shared" si="88"/>
        <v>0.82866984615186334</v>
      </c>
      <c r="AG228" s="839">
        <f t="shared" si="89"/>
        <v>-3</v>
      </c>
      <c r="AH228" s="178">
        <f t="shared" si="90"/>
        <v>3</v>
      </c>
      <c r="AI228" s="227">
        <f t="shared" si="91"/>
        <v>-2.1713301538481367</v>
      </c>
      <c r="AJ228" s="267" t="b">
        <f t="shared" si="92"/>
        <v>0</v>
      </c>
      <c r="AK228" s="267" t="b">
        <f t="shared" si="93"/>
        <v>0</v>
      </c>
      <c r="AL228" s="267"/>
      <c r="AM228" s="267"/>
      <c r="AN228" s="75"/>
    </row>
    <row r="229" spans="1:40" s="6" customFormat="1" ht="11.25" customHeight="1" x14ac:dyDescent="0.2">
      <c r="A229" s="56">
        <f t="shared" si="95"/>
        <v>43315</v>
      </c>
      <c r="B229" s="620"/>
      <c r="C229" s="392"/>
      <c r="D229" s="395"/>
      <c r="E229" s="387"/>
      <c r="F229" s="387"/>
      <c r="G229" s="110"/>
      <c r="I229" s="382">
        <f t="shared" si="72"/>
        <v>0</v>
      </c>
      <c r="J229" s="85">
        <v>2018</v>
      </c>
      <c r="K229" s="199">
        <f t="shared" si="73"/>
        <v>43315</v>
      </c>
      <c r="L229" s="439">
        <f t="shared" si="74"/>
        <v>4.6542380251035631E-5</v>
      </c>
      <c r="M229" s="883"/>
      <c r="N229" s="883"/>
      <c r="O229" s="326">
        <f t="shared" si="75"/>
        <v>4.9190401202021158E-4</v>
      </c>
      <c r="P229" s="171">
        <f>(INDEX(Models!$BJ229:$BT229,,T229)*(1-R229)+INDEX(Models!$BJ229:$BT229,,T229+1)*R229-ERP_i)*Q229*Ramure*Pc/MaxiM</f>
        <v>1.2409810200234768E-4</v>
      </c>
      <c r="Q229" s="307">
        <f t="shared" si="76"/>
        <v>0.9</v>
      </c>
      <c r="R229" s="179">
        <f t="shared" si="77"/>
        <v>0.83126051860367589</v>
      </c>
      <c r="S229" s="839">
        <f t="shared" si="94"/>
        <v>-3</v>
      </c>
      <c r="T229" s="178">
        <f t="shared" si="78"/>
        <v>3</v>
      </c>
      <c r="U229" s="253">
        <f t="shared" si="79"/>
        <v>-2.1687394813963241</v>
      </c>
      <c r="V229" s="385">
        <f t="shared" si="80"/>
        <v>58.992628256389388</v>
      </c>
      <c r="W229" s="58"/>
      <c r="X229" s="157">
        <f t="shared" si="81"/>
        <v>43315</v>
      </c>
      <c r="Y229" s="387">
        <f t="shared" si="82"/>
        <v>0</v>
      </c>
      <c r="Z229" s="387">
        <f t="shared" si="83"/>
        <v>0</v>
      </c>
      <c r="AA229" s="388">
        <f t="shared" si="84"/>
        <v>0</v>
      </c>
      <c r="AB229" s="199">
        <f t="shared" si="85"/>
        <v>43315</v>
      </c>
      <c r="AC229" s="428">
        <f t="shared" si="86"/>
        <v>4.9190401202021158E-4</v>
      </c>
      <c r="AD229" s="171">
        <f>(INDEX(Models!$BJ229:$BT229,,AH229)*(1-AF229)+INDEX(Models!$BJ229:$BT229,,AH229+1)*AF229-ERP_i)*AE229*Ramure*Pc/MaxiM</f>
        <v>1.2409810200234768E-4</v>
      </c>
      <c r="AE229" s="307">
        <f t="shared" si="87"/>
        <v>0.9</v>
      </c>
      <c r="AF229" s="179">
        <f t="shared" si="88"/>
        <v>0.83126051860367589</v>
      </c>
      <c r="AG229" s="839">
        <f t="shared" si="89"/>
        <v>-3</v>
      </c>
      <c r="AH229" s="178">
        <f t="shared" si="90"/>
        <v>3</v>
      </c>
      <c r="AI229" s="227">
        <f t="shared" si="91"/>
        <v>-2.1687394813963241</v>
      </c>
      <c r="AJ229" s="267" t="b">
        <f t="shared" si="92"/>
        <v>0</v>
      </c>
      <c r="AK229" s="267" t="b">
        <f t="shared" si="93"/>
        <v>0</v>
      </c>
      <c r="AL229" s="267"/>
      <c r="AM229" s="267"/>
      <c r="AN229" s="75"/>
    </row>
    <row r="230" spans="1:40" s="6" customFormat="1" ht="11.25" customHeight="1" x14ac:dyDescent="0.2">
      <c r="A230" s="56">
        <f t="shared" si="95"/>
        <v>43316</v>
      </c>
      <c r="B230" s="620"/>
      <c r="C230" s="392"/>
      <c r="D230" s="395"/>
      <c r="E230" s="387"/>
      <c r="F230" s="387"/>
      <c r="G230" s="110"/>
      <c r="I230" s="382">
        <f t="shared" si="72"/>
        <v>0</v>
      </c>
      <c r="J230" s="85">
        <v>2018</v>
      </c>
      <c r="K230" s="199">
        <f t="shared" si="73"/>
        <v>43316</v>
      </c>
      <c r="L230" s="439">
        <f t="shared" si="74"/>
        <v>6.9812758047849144E-5</v>
      </c>
      <c r="M230" s="883"/>
      <c r="N230" s="883"/>
      <c r="O230" s="326">
        <f t="shared" si="75"/>
        <v>7.3743258401956795E-4</v>
      </c>
      <c r="P230" s="171">
        <f>(INDEX(Models!$BJ230:$BT230,,T230)*(1-R230)+INDEX(Models!$BJ230:$BT230,,T230+1)*R230-ERP_i)*Q230*Ramure*Pc/MaxiM</f>
        <v>1.3623408579317519E-4</v>
      </c>
      <c r="Q230" s="307">
        <f t="shared" si="76"/>
        <v>0.9</v>
      </c>
      <c r="R230" s="179">
        <f t="shared" si="77"/>
        <v>0.83376700375222335</v>
      </c>
      <c r="S230" s="839">
        <f t="shared" si="94"/>
        <v>-3</v>
      </c>
      <c r="T230" s="178">
        <f t="shared" si="78"/>
        <v>3</v>
      </c>
      <c r="U230" s="253">
        <f t="shared" si="79"/>
        <v>-2.1662329962477767</v>
      </c>
      <c r="V230" s="385">
        <f t="shared" si="80"/>
        <v>58.793438328780162</v>
      </c>
      <c r="W230" s="58"/>
      <c r="X230" s="157">
        <f t="shared" si="81"/>
        <v>43316</v>
      </c>
      <c r="Y230" s="387">
        <f t="shared" si="82"/>
        <v>0</v>
      </c>
      <c r="Z230" s="387">
        <f t="shared" si="83"/>
        <v>0</v>
      </c>
      <c r="AA230" s="388">
        <f t="shared" si="84"/>
        <v>0</v>
      </c>
      <c r="AB230" s="199">
        <f t="shared" si="85"/>
        <v>43316</v>
      </c>
      <c r="AC230" s="428">
        <f t="shared" si="86"/>
        <v>7.3743258401956795E-4</v>
      </c>
      <c r="AD230" s="171">
        <f>(INDEX(Models!$BJ230:$BT230,,AH230)*(1-AF230)+INDEX(Models!$BJ230:$BT230,,AH230+1)*AF230-ERP_i)*AE230*Ramure*Pc/MaxiM</f>
        <v>1.3623408579317519E-4</v>
      </c>
      <c r="AE230" s="307">
        <f t="shared" si="87"/>
        <v>0.9</v>
      </c>
      <c r="AF230" s="179">
        <f t="shared" si="88"/>
        <v>0.83376700375222335</v>
      </c>
      <c r="AG230" s="839">
        <f t="shared" si="89"/>
        <v>-3</v>
      </c>
      <c r="AH230" s="178">
        <f t="shared" si="90"/>
        <v>3</v>
      </c>
      <c r="AI230" s="227">
        <f t="shared" si="91"/>
        <v>-2.1662329962477767</v>
      </c>
      <c r="AJ230" s="267" t="b">
        <f t="shared" si="92"/>
        <v>0</v>
      </c>
      <c r="AK230" s="267" t="b">
        <f t="shared" si="93"/>
        <v>0</v>
      </c>
      <c r="AL230" s="267"/>
      <c r="AM230" s="267"/>
      <c r="AN230" s="75"/>
    </row>
    <row r="231" spans="1:40" s="6" customFormat="1" ht="11.25" customHeight="1" x14ac:dyDescent="0.2">
      <c r="A231" s="56">
        <f t="shared" si="95"/>
        <v>43317</v>
      </c>
      <c r="B231" s="620"/>
      <c r="C231" s="392"/>
      <c r="D231" s="395"/>
      <c r="E231" s="387"/>
      <c r="F231" s="387"/>
      <c r="G231" s="110"/>
      <c r="I231" s="382">
        <f t="shared" si="72"/>
        <v>0</v>
      </c>
      <c r="J231" s="85">
        <v>2018</v>
      </c>
      <c r="K231" s="199">
        <f t="shared" si="73"/>
        <v>43317</v>
      </c>
      <c r="L231" s="439">
        <f t="shared" si="74"/>
        <v>9.3082594308957489E-5</v>
      </c>
      <c r="M231" s="883"/>
      <c r="N231" s="883"/>
      <c r="O231" s="326">
        <f t="shared" si="75"/>
        <v>9.8267598440006463E-4</v>
      </c>
      <c r="P231" s="171">
        <f>(INDEX(Models!$BJ231:$BT231,,T231)*(1-R231)+INDEX(Models!$BJ231:$BT231,,T231+1)*R231-ERP_i)*Q231*Ramure*Pc/MaxiM</f>
        <v>1.4953152902108139E-4</v>
      </c>
      <c r="Q231" s="307">
        <f t="shared" si="76"/>
        <v>0.9</v>
      </c>
      <c r="R231" s="179">
        <f t="shared" si="77"/>
        <v>0.83619132491532255</v>
      </c>
      <c r="S231" s="839">
        <f t="shared" si="94"/>
        <v>-3</v>
      </c>
      <c r="T231" s="178">
        <f t="shared" si="78"/>
        <v>3</v>
      </c>
      <c r="U231" s="253">
        <f t="shared" si="79"/>
        <v>-2.1638086750846774</v>
      </c>
      <c r="V231" s="385">
        <f t="shared" si="80"/>
        <v>58.590051806625155</v>
      </c>
      <c r="W231" s="58"/>
      <c r="X231" s="157">
        <f t="shared" si="81"/>
        <v>43317</v>
      </c>
      <c r="Y231" s="387">
        <f t="shared" si="82"/>
        <v>0</v>
      </c>
      <c r="Z231" s="387">
        <f t="shared" si="83"/>
        <v>0</v>
      </c>
      <c r="AA231" s="388">
        <f t="shared" si="84"/>
        <v>0</v>
      </c>
      <c r="AB231" s="199">
        <f t="shared" si="85"/>
        <v>43317</v>
      </c>
      <c r="AC231" s="428">
        <f t="shared" si="86"/>
        <v>9.8267598440006463E-4</v>
      </c>
      <c r="AD231" s="171">
        <f>(INDEX(Models!$BJ231:$BT231,,AH231)*(1-AF231)+INDEX(Models!$BJ231:$BT231,,AH231+1)*AF231-ERP_i)*AE231*Ramure*Pc/MaxiM</f>
        <v>1.4953152902108139E-4</v>
      </c>
      <c r="AE231" s="307">
        <f t="shared" si="87"/>
        <v>0.9</v>
      </c>
      <c r="AF231" s="179">
        <f t="shared" si="88"/>
        <v>0.83619132491532255</v>
      </c>
      <c r="AG231" s="839">
        <f t="shared" si="89"/>
        <v>-3</v>
      </c>
      <c r="AH231" s="178">
        <f t="shared" si="90"/>
        <v>3</v>
      </c>
      <c r="AI231" s="227">
        <f t="shared" si="91"/>
        <v>-2.1638086750846774</v>
      </c>
      <c r="AJ231" s="267" t="b">
        <f t="shared" si="92"/>
        <v>0</v>
      </c>
      <c r="AK231" s="267" t="b">
        <f t="shared" si="93"/>
        <v>0</v>
      </c>
      <c r="AL231" s="267"/>
      <c r="AM231" s="267"/>
      <c r="AN231" s="75"/>
    </row>
    <row r="232" spans="1:40" s="6" customFormat="1" ht="11.25" customHeight="1" x14ac:dyDescent="0.2">
      <c r="A232" s="56">
        <f t="shared" si="95"/>
        <v>43318</v>
      </c>
      <c r="B232" s="620"/>
      <c r="C232" s="392"/>
      <c r="D232" s="395"/>
      <c r="E232" s="387"/>
      <c r="F232" s="387"/>
      <c r="G232" s="110"/>
      <c r="I232" s="382">
        <f t="shared" si="72"/>
        <v>0</v>
      </c>
      <c r="J232" s="85">
        <v>2018</v>
      </c>
      <c r="K232" s="199">
        <f t="shared" si="73"/>
        <v>43318</v>
      </c>
      <c r="L232" s="439">
        <f t="shared" si="74"/>
        <v>1.1635188904701721E-4</v>
      </c>
      <c r="M232" s="883"/>
      <c r="N232" s="883"/>
      <c r="O232" s="326">
        <f t="shared" si="75"/>
        <v>1.2276321871482429E-3</v>
      </c>
      <c r="P232" s="171">
        <f>(INDEX(Models!$BJ232:$BT232,,T232)*(1-R232)+INDEX(Models!$BJ232:$BT232,,T232+1)*R232-ERP_i)*Q232*Ramure*Pc/MaxiM</f>
        <v>1.640124244507269E-4</v>
      </c>
      <c r="Q232" s="307">
        <f t="shared" si="76"/>
        <v>0.9</v>
      </c>
      <c r="R232" s="179">
        <f t="shared" si="77"/>
        <v>0.83853550914866659</v>
      </c>
      <c r="S232" s="839">
        <f t="shared" si="94"/>
        <v>-3</v>
      </c>
      <c r="T232" s="178">
        <f t="shared" si="78"/>
        <v>3</v>
      </c>
      <c r="U232" s="253">
        <f t="shared" si="79"/>
        <v>-2.1614644908513334</v>
      </c>
      <c r="V232" s="385">
        <f t="shared" si="80"/>
        <v>58.382248080792692</v>
      </c>
      <c r="W232" s="58"/>
      <c r="X232" s="157">
        <f t="shared" si="81"/>
        <v>43318</v>
      </c>
      <c r="Y232" s="387">
        <f t="shared" si="82"/>
        <v>0</v>
      </c>
      <c r="Z232" s="387">
        <f t="shared" si="83"/>
        <v>0</v>
      </c>
      <c r="AA232" s="388">
        <f t="shared" si="84"/>
        <v>0</v>
      </c>
      <c r="AB232" s="199">
        <f t="shared" si="85"/>
        <v>43318</v>
      </c>
      <c r="AC232" s="428">
        <f t="shared" si="86"/>
        <v>1.2276321871482429E-3</v>
      </c>
      <c r="AD232" s="171">
        <f>(INDEX(Models!$BJ232:$BT232,,AH232)*(1-AF232)+INDEX(Models!$BJ232:$BT232,,AH232+1)*AF232-ERP_i)*AE232*Ramure*Pc/MaxiM</f>
        <v>1.640124244507269E-4</v>
      </c>
      <c r="AE232" s="307">
        <f t="shared" si="87"/>
        <v>0.9</v>
      </c>
      <c r="AF232" s="179">
        <f t="shared" si="88"/>
        <v>0.83853550914866659</v>
      </c>
      <c r="AG232" s="839">
        <f t="shared" si="89"/>
        <v>-3</v>
      </c>
      <c r="AH232" s="178">
        <f t="shared" si="90"/>
        <v>3</v>
      </c>
      <c r="AI232" s="227">
        <f t="shared" si="91"/>
        <v>-2.1614644908513334</v>
      </c>
      <c r="AJ232" s="267" t="b">
        <f t="shared" si="92"/>
        <v>0</v>
      </c>
      <c r="AK232" s="267" t="b">
        <f t="shared" si="93"/>
        <v>0</v>
      </c>
      <c r="AL232" s="267"/>
      <c r="AM232" s="267"/>
      <c r="AN232" s="75"/>
    </row>
    <row r="233" spans="1:40" s="6" customFormat="1" ht="11.25" customHeight="1" x14ac:dyDescent="0.2">
      <c r="A233" s="56">
        <f t="shared" si="95"/>
        <v>43319</v>
      </c>
      <c r="B233" s="620"/>
      <c r="C233" s="392"/>
      <c r="D233" s="395"/>
      <c r="E233" s="387"/>
      <c r="F233" s="387"/>
      <c r="G233" s="110"/>
      <c r="I233" s="382">
        <f t="shared" si="72"/>
        <v>0</v>
      </c>
      <c r="J233" s="85">
        <v>2018</v>
      </c>
      <c r="K233" s="199">
        <f t="shared" si="73"/>
        <v>43319</v>
      </c>
      <c r="L233" s="439">
        <f t="shared" si="74"/>
        <v>1.396206422744628E-4</v>
      </c>
      <c r="M233" s="883"/>
      <c r="N233" s="883"/>
      <c r="O233" s="326">
        <f t="shared" si="75"/>
        <v>1.4722992331848797E-3</v>
      </c>
      <c r="P233" s="171">
        <f>(INDEX(Models!$BJ233:$BT233,,T233)*(1-R233)+INDEX(Models!$BJ233:$BT233,,T233+1)*R233-ERP_i)*Q233*Ramure*Pc/MaxiM</f>
        <v>1.7969454159261255E-4</v>
      </c>
      <c r="Q233" s="307">
        <f t="shared" si="76"/>
        <v>0.9</v>
      </c>
      <c r="R233" s="179">
        <f t="shared" si="77"/>
        <v>0.84080158258005566</v>
      </c>
      <c r="S233" s="839">
        <f t="shared" si="94"/>
        <v>-3</v>
      </c>
      <c r="T233" s="178">
        <f t="shared" si="78"/>
        <v>3</v>
      </c>
      <c r="U233" s="253">
        <f t="shared" si="79"/>
        <v>-2.1591984174199443</v>
      </c>
      <c r="V233" s="385">
        <f t="shared" si="80"/>
        <v>58.171334368918949</v>
      </c>
      <c r="W233" s="58"/>
      <c r="X233" s="157">
        <f t="shared" si="81"/>
        <v>43319</v>
      </c>
      <c r="Y233" s="387">
        <f t="shared" si="82"/>
        <v>0</v>
      </c>
      <c r="Z233" s="387">
        <f t="shared" si="83"/>
        <v>0</v>
      </c>
      <c r="AA233" s="388">
        <f t="shared" si="84"/>
        <v>0</v>
      </c>
      <c r="AB233" s="199">
        <f t="shared" si="85"/>
        <v>43319</v>
      </c>
      <c r="AC233" s="428">
        <f t="shared" si="86"/>
        <v>1.4722992331848797E-3</v>
      </c>
      <c r="AD233" s="171">
        <f>(INDEX(Models!$BJ233:$BT233,,AH233)*(1-AF233)+INDEX(Models!$BJ233:$BT233,,AH233+1)*AF233-ERP_i)*AE233*Ramure*Pc/MaxiM</f>
        <v>1.7969454159261255E-4</v>
      </c>
      <c r="AE233" s="307">
        <f t="shared" si="87"/>
        <v>0.9</v>
      </c>
      <c r="AF233" s="179">
        <f t="shared" si="88"/>
        <v>0.84080158258005566</v>
      </c>
      <c r="AG233" s="839">
        <f t="shared" si="89"/>
        <v>-3</v>
      </c>
      <c r="AH233" s="178">
        <f t="shared" si="90"/>
        <v>3</v>
      </c>
      <c r="AI233" s="227">
        <f t="shared" si="91"/>
        <v>-2.1591984174199443</v>
      </c>
      <c r="AJ233" s="267" t="b">
        <f t="shared" si="92"/>
        <v>0</v>
      </c>
      <c r="AK233" s="267" t="b">
        <f t="shared" si="93"/>
        <v>0</v>
      </c>
      <c r="AL233" s="267"/>
      <c r="AM233" s="267"/>
      <c r="AN233" s="75"/>
    </row>
    <row r="234" spans="1:40" s="6" customFormat="1" ht="11.25" customHeight="1" x14ac:dyDescent="0.2">
      <c r="A234" s="56">
        <f t="shared" si="95"/>
        <v>43320</v>
      </c>
      <c r="B234" s="620"/>
      <c r="C234" s="392"/>
      <c r="D234" s="395"/>
      <c r="E234" s="387"/>
      <c r="F234" s="387"/>
      <c r="G234" s="110"/>
      <c r="I234" s="382">
        <f t="shared" si="72"/>
        <v>0</v>
      </c>
      <c r="J234" s="85">
        <v>2018</v>
      </c>
      <c r="K234" s="199">
        <f t="shared" si="73"/>
        <v>43320</v>
      </c>
      <c r="L234" s="439">
        <f t="shared" si="74"/>
        <v>1.6288885400417286E-4</v>
      </c>
      <c r="M234" s="883"/>
      <c r="N234" s="883"/>
      <c r="O234" s="326">
        <f t="shared" si="75"/>
        <v>1.7166751982972382E-3</v>
      </c>
      <c r="P234" s="171">
        <f>(INDEX(Models!$BJ234:$BT234,,T234)*(1-R234)+INDEX(Models!$BJ234:$BT234,,T234+1)*R234-ERP_i)*Q234*Ramure*Pc/MaxiM</f>
        <v>1.9691199255431798E-4</v>
      </c>
      <c r="Q234" s="307">
        <f t="shared" si="76"/>
        <v>0.9</v>
      </c>
      <c r="R234" s="179">
        <f t="shared" si="77"/>
        <v>0.84299156608614556</v>
      </c>
      <c r="S234" s="839">
        <f t="shared" si="94"/>
        <v>-3</v>
      </c>
      <c r="T234" s="178">
        <f t="shared" si="78"/>
        <v>3</v>
      </c>
      <c r="U234" s="253">
        <f t="shared" si="79"/>
        <v>-2.1570084339138544</v>
      </c>
      <c r="V234" s="385">
        <f t="shared" si="80"/>
        <v>57.958449136427411</v>
      </c>
      <c r="W234" s="58"/>
      <c r="X234" s="157">
        <f t="shared" si="81"/>
        <v>43320</v>
      </c>
      <c r="Y234" s="387">
        <f t="shared" si="82"/>
        <v>0</v>
      </c>
      <c r="Z234" s="387">
        <f t="shared" si="83"/>
        <v>0</v>
      </c>
      <c r="AA234" s="388">
        <f t="shared" si="84"/>
        <v>0</v>
      </c>
      <c r="AB234" s="199">
        <f t="shared" si="85"/>
        <v>43320</v>
      </c>
      <c r="AC234" s="428">
        <f t="shared" si="86"/>
        <v>1.7166751982972382E-3</v>
      </c>
      <c r="AD234" s="171">
        <f>(INDEX(Models!$BJ234:$BT234,,AH234)*(1-AF234)+INDEX(Models!$BJ234:$BT234,,AH234+1)*AF234-ERP_i)*AE234*Ramure*Pc/MaxiM</f>
        <v>1.9691199255431798E-4</v>
      </c>
      <c r="AE234" s="307">
        <f t="shared" si="87"/>
        <v>0.9</v>
      </c>
      <c r="AF234" s="179">
        <f t="shared" si="88"/>
        <v>0.84299156608614556</v>
      </c>
      <c r="AG234" s="839">
        <f t="shared" si="89"/>
        <v>-3</v>
      </c>
      <c r="AH234" s="178">
        <f t="shared" si="90"/>
        <v>3</v>
      </c>
      <c r="AI234" s="227">
        <f t="shared" si="91"/>
        <v>-2.1570084339138544</v>
      </c>
      <c r="AJ234" s="267" t="b">
        <f t="shared" si="92"/>
        <v>0</v>
      </c>
      <c r="AK234" s="267" t="b">
        <f t="shared" si="93"/>
        <v>0</v>
      </c>
      <c r="AL234" s="267"/>
      <c r="AM234" s="267"/>
      <c r="AN234" s="75"/>
    </row>
    <row r="235" spans="1:40" s="6" customFormat="1" ht="11.25" customHeight="1" x14ac:dyDescent="0.2">
      <c r="A235" s="56">
        <f t="shared" si="95"/>
        <v>43321</v>
      </c>
      <c r="B235" s="620"/>
      <c r="C235" s="392"/>
      <c r="D235" s="395"/>
      <c r="E235" s="387"/>
      <c r="F235" s="387"/>
      <c r="G235" s="110"/>
      <c r="I235" s="382">
        <f t="shared" si="72"/>
        <v>0</v>
      </c>
      <c r="J235" s="85">
        <v>2018</v>
      </c>
      <c r="K235" s="199">
        <f t="shared" si="73"/>
        <v>43321</v>
      </c>
      <c r="L235" s="439">
        <f t="shared" si="74"/>
        <v>1.8615652424858187E-4</v>
      </c>
      <c r="M235" s="883"/>
      <c r="N235" s="883"/>
      <c r="O235" s="326">
        <f t="shared" si="75"/>
        <v>1.9607581634538871E-3</v>
      </c>
      <c r="P235" s="171">
        <f>(INDEX(Models!$BJ235:$BT235,,T235)*(1-R235)+INDEX(Models!$BJ235:$BT235,,T235+1)*R235-ERP_i)*Q235*Ramure*Pc/MaxiM</f>
        <v>2.1542091124535843E-4</v>
      </c>
      <c r="Q235" s="307">
        <f t="shared" si="76"/>
        <v>0.9</v>
      </c>
      <c r="R235" s="179">
        <f t="shared" si="77"/>
        <v>0.8451074713022253</v>
      </c>
      <c r="S235" s="839">
        <f t="shared" si="94"/>
        <v>-3</v>
      </c>
      <c r="T235" s="178">
        <f t="shared" si="78"/>
        <v>3</v>
      </c>
      <c r="U235" s="253">
        <f t="shared" si="79"/>
        <v>-2.1548925286977747</v>
      </c>
      <c r="V235" s="385">
        <f t="shared" si="80"/>
        <v>57.743162333890162</v>
      </c>
      <c r="W235" s="58"/>
      <c r="X235" s="157">
        <f t="shared" si="81"/>
        <v>43321</v>
      </c>
      <c r="Y235" s="387">
        <f t="shared" si="82"/>
        <v>0</v>
      </c>
      <c r="Z235" s="387">
        <f t="shared" si="83"/>
        <v>0</v>
      </c>
      <c r="AA235" s="388">
        <f t="shared" si="84"/>
        <v>0</v>
      </c>
      <c r="AB235" s="199">
        <f t="shared" si="85"/>
        <v>43321</v>
      </c>
      <c r="AC235" s="428">
        <f t="shared" si="86"/>
        <v>1.9607581634538871E-3</v>
      </c>
      <c r="AD235" s="171">
        <f>(INDEX(Models!$BJ235:$BT235,,AH235)*(1-AF235)+INDEX(Models!$BJ235:$BT235,,AH235+1)*AF235-ERP_i)*AE235*Ramure*Pc/MaxiM</f>
        <v>2.1542091124535843E-4</v>
      </c>
      <c r="AE235" s="307">
        <f t="shared" si="87"/>
        <v>0.9</v>
      </c>
      <c r="AF235" s="179">
        <f t="shared" si="88"/>
        <v>0.8451074713022253</v>
      </c>
      <c r="AG235" s="839">
        <f t="shared" si="89"/>
        <v>-3</v>
      </c>
      <c r="AH235" s="178">
        <f t="shared" si="90"/>
        <v>3</v>
      </c>
      <c r="AI235" s="227">
        <f t="shared" si="91"/>
        <v>-2.1548925286977747</v>
      </c>
      <c r="AJ235" s="267" t="b">
        <f t="shared" si="92"/>
        <v>0</v>
      </c>
      <c r="AK235" s="267" t="b">
        <f t="shared" si="93"/>
        <v>0</v>
      </c>
      <c r="AL235" s="267"/>
      <c r="AM235" s="267"/>
      <c r="AN235" s="75"/>
    </row>
    <row r="236" spans="1:40" s="6" customFormat="1" ht="11.25" customHeight="1" x14ac:dyDescent="0.2">
      <c r="A236" s="56">
        <f t="shared" si="95"/>
        <v>43322</v>
      </c>
      <c r="B236" s="620"/>
      <c r="C236" s="392"/>
      <c r="D236" s="395"/>
      <c r="E236" s="387"/>
      <c r="F236" s="387"/>
      <c r="G236" s="110"/>
      <c r="I236" s="382">
        <f t="shared" si="72"/>
        <v>0</v>
      </c>
      <c r="J236" s="85">
        <v>2018</v>
      </c>
      <c r="K236" s="199">
        <f t="shared" si="73"/>
        <v>43322</v>
      </c>
      <c r="L236" s="439">
        <f t="shared" si="74"/>
        <v>2.0942365302023536E-4</v>
      </c>
      <c r="M236" s="883"/>
      <c r="N236" s="883"/>
      <c r="O236" s="326">
        <f t="shared" si="75"/>
        <v>2.204546187571424E-3</v>
      </c>
      <c r="P236" s="171">
        <f>(INDEX(Models!$BJ236:$BT236,,T236)*(1-R236)+INDEX(Models!$BJ236:$BT236,,T236+1)*R236-ERP_i)*Q236*Ramure*Pc/MaxiM</f>
        <v>2.3524458173682845E-4</v>
      </c>
      <c r="Q236" s="307">
        <f t="shared" si="76"/>
        <v>0.9</v>
      </c>
      <c r="R236" s="179">
        <f t="shared" si="77"/>
        <v>0.84715129695448121</v>
      </c>
      <c r="S236" s="839">
        <f t="shared" si="94"/>
        <v>-3</v>
      </c>
      <c r="T236" s="178">
        <f t="shared" si="78"/>
        <v>3</v>
      </c>
      <c r="U236" s="253">
        <f t="shared" si="79"/>
        <v>-2.1528487030455188</v>
      </c>
      <c r="V236" s="385">
        <f t="shared" si="80"/>
        <v>57.52502885769843</v>
      </c>
      <c r="W236" s="58"/>
      <c r="X236" s="157">
        <f t="shared" si="81"/>
        <v>43322</v>
      </c>
      <c r="Y236" s="387">
        <f t="shared" si="82"/>
        <v>0</v>
      </c>
      <c r="Z236" s="387">
        <f t="shared" si="83"/>
        <v>0</v>
      </c>
      <c r="AA236" s="388">
        <f t="shared" si="84"/>
        <v>0</v>
      </c>
      <c r="AB236" s="199">
        <f t="shared" si="85"/>
        <v>43322</v>
      </c>
      <c r="AC236" s="428">
        <f t="shared" si="86"/>
        <v>2.204546187571424E-3</v>
      </c>
      <c r="AD236" s="171">
        <f>(INDEX(Models!$BJ236:$BT236,,AH236)*(1-AF236)+INDEX(Models!$BJ236:$BT236,,AH236+1)*AF236-ERP_i)*AE236*Ramure*Pc/MaxiM</f>
        <v>2.3524458173682845E-4</v>
      </c>
      <c r="AE236" s="307">
        <f t="shared" si="87"/>
        <v>0.9</v>
      </c>
      <c r="AF236" s="179">
        <f t="shared" si="88"/>
        <v>0.84715129695448121</v>
      </c>
      <c r="AG236" s="839">
        <f t="shared" si="89"/>
        <v>-3</v>
      </c>
      <c r="AH236" s="178">
        <f t="shared" si="90"/>
        <v>3</v>
      </c>
      <c r="AI236" s="227">
        <f t="shared" si="91"/>
        <v>-2.1528487030455188</v>
      </c>
      <c r="AJ236" s="267" t="b">
        <f t="shared" si="92"/>
        <v>0</v>
      </c>
      <c r="AK236" s="267" t="b">
        <f t="shared" si="93"/>
        <v>0</v>
      </c>
      <c r="AL236" s="267"/>
      <c r="AM236" s="267"/>
      <c r="AN236" s="75"/>
    </row>
    <row r="237" spans="1:40" s="6" customFormat="1" ht="11.25" customHeight="1" x14ac:dyDescent="0.2">
      <c r="A237" s="56">
        <f t="shared" si="95"/>
        <v>43323</v>
      </c>
      <c r="B237" s="620"/>
      <c r="C237" s="392"/>
      <c r="D237" s="395"/>
      <c r="E237" s="387"/>
      <c r="F237" s="387"/>
      <c r="G237" s="110"/>
      <c r="I237" s="382">
        <f t="shared" si="72"/>
        <v>0</v>
      </c>
      <c r="J237" s="85">
        <v>2018</v>
      </c>
      <c r="K237" s="199">
        <f t="shared" si="73"/>
        <v>43323</v>
      </c>
      <c r="L237" s="439">
        <f t="shared" si="74"/>
        <v>2.3269024033190089E-4</v>
      </c>
      <c r="M237" s="883"/>
      <c r="N237" s="883"/>
      <c r="O237" s="326">
        <f t="shared" si="75"/>
        <v>2.4480372827571594E-3</v>
      </c>
      <c r="P237" s="171">
        <f>(INDEX(Models!$BJ237:$BT237,,T237)*(1-R237)+INDEX(Models!$BJ237:$BT237,,T237+1)*R237-ERP_i)*Q237*Ramure*Pc/MaxiM</f>
        <v>2.5640713800409936E-4</v>
      </c>
      <c r="Q237" s="307">
        <f t="shared" si="76"/>
        <v>0.9</v>
      </c>
      <c r="R237" s="179">
        <f t="shared" si="77"/>
        <v>0.84912502550336111</v>
      </c>
      <c r="S237" s="839">
        <f t="shared" si="94"/>
        <v>-3</v>
      </c>
      <c r="T237" s="178">
        <f t="shared" si="78"/>
        <v>3</v>
      </c>
      <c r="U237" s="253">
        <f t="shared" si="79"/>
        <v>-2.1508749744966389</v>
      </c>
      <c r="V237" s="385">
        <f t="shared" si="80"/>
        <v>57.303604104140483</v>
      </c>
      <c r="W237" s="58"/>
      <c r="X237" s="157">
        <f t="shared" si="81"/>
        <v>43323</v>
      </c>
      <c r="Y237" s="387">
        <f t="shared" si="82"/>
        <v>0</v>
      </c>
      <c r="Z237" s="387">
        <f t="shared" si="83"/>
        <v>0</v>
      </c>
      <c r="AA237" s="388">
        <f t="shared" si="84"/>
        <v>0</v>
      </c>
      <c r="AB237" s="199">
        <f t="shared" si="85"/>
        <v>43323</v>
      </c>
      <c r="AC237" s="428">
        <f t="shared" si="86"/>
        <v>2.4480372827571594E-3</v>
      </c>
      <c r="AD237" s="171">
        <f>(INDEX(Models!$BJ237:$BT237,,AH237)*(1-AF237)+INDEX(Models!$BJ237:$BT237,,AH237+1)*AF237-ERP_i)*AE237*Ramure*Pc/MaxiM</f>
        <v>2.5640713800409936E-4</v>
      </c>
      <c r="AE237" s="307">
        <f t="shared" si="87"/>
        <v>0.9</v>
      </c>
      <c r="AF237" s="179">
        <f t="shared" si="88"/>
        <v>0.84912502550336111</v>
      </c>
      <c r="AG237" s="839">
        <f t="shared" si="89"/>
        <v>-3</v>
      </c>
      <c r="AH237" s="178">
        <f t="shared" si="90"/>
        <v>3</v>
      </c>
      <c r="AI237" s="227">
        <f t="shared" si="91"/>
        <v>-2.1508749744966389</v>
      </c>
      <c r="AJ237" s="267" t="b">
        <f t="shared" si="92"/>
        <v>0</v>
      </c>
      <c r="AK237" s="267" t="b">
        <f t="shared" si="93"/>
        <v>0</v>
      </c>
      <c r="AL237" s="267"/>
      <c r="AM237" s="267"/>
      <c r="AN237" s="75"/>
    </row>
    <row r="238" spans="1:40" s="6" customFormat="1" ht="11.25" customHeight="1" x14ac:dyDescent="0.2">
      <c r="A238" s="56">
        <f t="shared" si="95"/>
        <v>43324</v>
      </c>
      <c r="B238" s="620"/>
      <c r="C238" s="392"/>
      <c r="D238" s="395"/>
      <c r="E238" s="387"/>
      <c r="F238" s="387"/>
      <c r="G238" s="110"/>
      <c r="I238" s="382">
        <f t="shared" si="72"/>
        <v>0</v>
      </c>
      <c r="J238" s="85">
        <v>2018</v>
      </c>
      <c r="K238" s="199">
        <f t="shared" si="73"/>
        <v>43324</v>
      </c>
      <c r="L238" s="439">
        <f t="shared" si="74"/>
        <v>2.5595628619601296E-4</v>
      </c>
      <c r="M238" s="883"/>
      <c r="N238" s="883"/>
      <c r="O238" s="326">
        <f t="shared" si="75"/>
        <v>2.6912293920074012E-3</v>
      </c>
      <c r="P238" s="171">
        <f>(INDEX(Models!$BJ238:$BT238,,T238)*(1-R238)+INDEX(Models!$BJ238:$BT238,,T238+1)*R238-ERP_i)*Q238*Ramure*Pc/MaxiM</f>
        <v>2.7893372272646454E-4</v>
      </c>
      <c r="Q238" s="307">
        <f t="shared" si="76"/>
        <v>0.9</v>
      </c>
      <c r="R238" s="179">
        <f t="shared" si="77"/>
        <v>0.85103062008595343</v>
      </c>
      <c r="S238" s="839">
        <f t="shared" si="94"/>
        <v>-3</v>
      </c>
      <c r="T238" s="178">
        <f t="shared" si="78"/>
        <v>3</v>
      </c>
      <c r="U238" s="253">
        <f t="shared" si="79"/>
        <v>-2.1489693799140466</v>
      </c>
      <c r="V238" s="385">
        <f t="shared" si="80"/>
        <v>57.078443969905194</v>
      </c>
      <c r="W238" s="58"/>
      <c r="X238" s="157">
        <f t="shared" si="81"/>
        <v>43324</v>
      </c>
      <c r="Y238" s="387">
        <f t="shared" si="82"/>
        <v>0</v>
      </c>
      <c r="Z238" s="387">
        <f t="shared" si="83"/>
        <v>0</v>
      </c>
      <c r="AA238" s="388">
        <f t="shared" si="84"/>
        <v>0</v>
      </c>
      <c r="AB238" s="199">
        <f t="shared" si="85"/>
        <v>43324</v>
      </c>
      <c r="AC238" s="428">
        <f t="shared" si="86"/>
        <v>2.6912293920074012E-3</v>
      </c>
      <c r="AD238" s="171">
        <f>(INDEX(Models!$BJ238:$BT238,,AH238)*(1-AF238)+INDEX(Models!$BJ238:$BT238,,AH238+1)*AF238-ERP_i)*AE238*Ramure*Pc/MaxiM</f>
        <v>2.7893372272646454E-4</v>
      </c>
      <c r="AE238" s="307">
        <f t="shared" si="87"/>
        <v>0.9</v>
      </c>
      <c r="AF238" s="179">
        <f t="shared" si="88"/>
        <v>0.85103062008595343</v>
      </c>
      <c r="AG238" s="839">
        <f t="shared" si="89"/>
        <v>-3</v>
      </c>
      <c r="AH238" s="178">
        <f t="shared" si="90"/>
        <v>3</v>
      </c>
      <c r="AI238" s="227">
        <f t="shared" si="91"/>
        <v>-2.1489693799140466</v>
      </c>
      <c r="AJ238" s="267" t="b">
        <f t="shared" si="92"/>
        <v>0</v>
      </c>
      <c r="AK238" s="267" t="b">
        <f t="shared" si="93"/>
        <v>0</v>
      </c>
      <c r="AL238" s="267"/>
      <c r="AM238" s="267"/>
      <c r="AN238" s="75"/>
    </row>
    <row r="239" spans="1:40" s="6" customFormat="1" ht="11.25" customHeight="1" x14ac:dyDescent="0.2">
      <c r="A239" s="56">
        <f t="shared" si="95"/>
        <v>43325</v>
      </c>
      <c r="B239" s="620"/>
      <c r="C239" s="392"/>
      <c r="D239" s="395"/>
      <c r="E239" s="387"/>
      <c r="F239" s="387"/>
      <c r="G239" s="110"/>
      <c r="I239" s="382">
        <f t="shared" si="72"/>
        <v>0</v>
      </c>
      <c r="J239" s="85">
        <v>2018</v>
      </c>
      <c r="K239" s="199">
        <f t="shared" si="73"/>
        <v>43325</v>
      </c>
      <c r="L239" s="439">
        <f t="shared" si="74"/>
        <v>2.7922179062522812E-4</v>
      </c>
      <c r="M239" s="883"/>
      <c r="N239" s="883"/>
      <c r="O239" s="326">
        <f t="shared" si="75"/>
        <v>2.9341203692994089E-3</v>
      </c>
      <c r="P239" s="171">
        <f>(INDEX(Models!$BJ239:$BT239,,T239)*(1-R239)+INDEX(Models!$BJ239:$BT239,,T239+1)*R239-ERP_i)*Q239*Ramure*Pc/MaxiM</f>
        <v>3.0285065326080381E-4</v>
      </c>
      <c r="Q239" s="307">
        <f t="shared" si="76"/>
        <v>0.9</v>
      </c>
      <c r="R239" s="179">
        <f t="shared" si="77"/>
        <v>0.85287002174479465</v>
      </c>
      <c r="S239" s="839">
        <f t="shared" si="94"/>
        <v>-3</v>
      </c>
      <c r="T239" s="178">
        <f t="shared" si="78"/>
        <v>3</v>
      </c>
      <c r="U239" s="253">
        <f t="shared" si="79"/>
        <v>-2.1471299782552054</v>
      </c>
      <c r="V239" s="385">
        <f t="shared" si="80"/>
        <v>56.849104849114447</v>
      </c>
      <c r="W239" s="58"/>
      <c r="X239" s="157">
        <f t="shared" si="81"/>
        <v>43325</v>
      </c>
      <c r="Y239" s="387">
        <f t="shared" si="82"/>
        <v>0</v>
      </c>
      <c r="Z239" s="387">
        <f t="shared" si="83"/>
        <v>0</v>
      </c>
      <c r="AA239" s="388">
        <f t="shared" si="84"/>
        <v>0</v>
      </c>
      <c r="AB239" s="199">
        <f t="shared" si="85"/>
        <v>43325</v>
      </c>
      <c r="AC239" s="428">
        <f t="shared" si="86"/>
        <v>2.9341203692994089E-3</v>
      </c>
      <c r="AD239" s="171">
        <f>(INDEX(Models!$BJ239:$BT239,,AH239)*(1-AF239)+INDEX(Models!$BJ239:$BT239,,AH239+1)*AF239-ERP_i)*AE239*Ramure*Pc/MaxiM</f>
        <v>3.0285065326080381E-4</v>
      </c>
      <c r="AE239" s="307">
        <f t="shared" si="87"/>
        <v>0.9</v>
      </c>
      <c r="AF239" s="179">
        <f t="shared" si="88"/>
        <v>0.85287002174479465</v>
      </c>
      <c r="AG239" s="839">
        <f t="shared" si="89"/>
        <v>-3</v>
      </c>
      <c r="AH239" s="178">
        <f t="shared" si="90"/>
        <v>3</v>
      </c>
      <c r="AI239" s="227">
        <f t="shared" si="91"/>
        <v>-2.1471299782552054</v>
      </c>
      <c r="AJ239" s="267" t="b">
        <f t="shared" si="92"/>
        <v>0</v>
      </c>
      <c r="AK239" s="267" t="b">
        <f t="shared" si="93"/>
        <v>0</v>
      </c>
      <c r="AL239" s="267"/>
      <c r="AM239" s="267"/>
      <c r="AN239" s="75"/>
    </row>
    <row r="240" spans="1:40" s="6" customFormat="1" ht="11.25" customHeight="1" x14ac:dyDescent="0.2">
      <c r="A240" s="56">
        <f t="shared" si="95"/>
        <v>43326</v>
      </c>
      <c r="B240" s="620"/>
      <c r="C240" s="392"/>
      <c r="D240" s="395"/>
      <c r="E240" s="387"/>
      <c r="F240" s="387"/>
      <c r="G240" s="110"/>
      <c r="I240" s="382">
        <f t="shared" si="72"/>
        <v>0</v>
      </c>
      <c r="J240" s="85">
        <v>2018</v>
      </c>
      <c r="K240" s="199">
        <f t="shared" si="73"/>
        <v>43326</v>
      </c>
      <c r="L240" s="439">
        <f t="shared" si="74"/>
        <v>3.0248675363231392E-4</v>
      </c>
      <c r="M240" s="883"/>
      <c r="N240" s="883"/>
      <c r="O240" s="326">
        <f t="shared" si="75"/>
        <v>3.1767079619744627E-3</v>
      </c>
      <c r="P240" s="171">
        <f>(INDEX(Models!$BJ240:$BT240,,T240)*(1-R240)+INDEX(Models!$BJ240:$BT240,,T240+1)*R240-ERP_i)*Q240*Ramure*Pc/MaxiM</f>
        <v>3.280419975434613E-4</v>
      </c>
      <c r="Q240" s="307">
        <f t="shared" si="76"/>
        <v>0.9</v>
      </c>
      <c r="R240" s="179">
        <f t="shared" si="77"/>
        <v>0.85464514693012283</v>
      </c>
      <c r="S240" s="839">
        <f t="shared" si="94"/>
        <v>-3</v>
      </c>
      <c r="T240" s="178">
        <f t="shared" si="78"/>
        <v>3</v>
      </c>
      <c r="U240" s="253">
        <f t="shared" si="79"/>
        <v>-2.1453548530698772</v>
      </c>
      <c r="V240" s="385">
        <f t="shared" si="80"/>
        <v>56.615151766542148</v>
      </c>
      <c r="W240" s="58"/>
      <c r="X240" s="157">
        <f t="shared" si="81"/>
        <v>43326</v>
      </c>
      <c r="Y240" s="387">
        <f t="shared" si="82"/>
        <v>0</v>
      </c>
      <c r="Z240" s="387">
        <f t="shared" si="83"/>
        <v>0</v>
      </c>
      <c r="AA240" s="388">
        <f t="shared" si="84"/>
        <v>0</v>
      </c>
      <c r="AB240" s="199">
        <f t="shared" si="85"/>
        <v>43326</v>
      </c>
      <c r="AC240" s="428">
        <f t="shared" si="86"/>
        <v>3.1767079619744627E-3</v>
      </c>
      <c r="AD240" s="171">
        <f>(INDEX(Models!$BJ240:$BT240,,AH240)*(1-AF240)+INDEX(Models!$BJ240:$BT240,,AH240+1)*AF240-ERP_i)*AE240*Ramure*Pc/MaxiM</f>
        <v>3.280419975434613E-4</v>
      </c>
      <c r="AE240" s="307">
        <f t="shared" si="87"/>
        <v>0.9</v>
      </c>
      <c r="AF240" s="179">
        <f t="shared" si="88"/>
        <v>0.85464514693012283</v>
      </c>
      <c r="AG240" s="839">
        <f t="shared" si="89"/>
        <v>-3</v>
      </c>
      <c r="AH240" s="178">
        <f t="shared" si="90"/>
        <v>3</v>
      </c>
      <c r="AI240" s="227">
        <f t="shared" si="91"/>
        <v>-2.1453548530698772</v>
      </c>
      <c r="AJ240" s="267" t="b">
        <f t="shared" si="92"/>
        <v>0</v>
      </c>
      <c r="AK240" s="267" t="b">
        <f t="shared" si="93"/>
        <v>0</v>
      </c>
      <c r="AL240" s="267"/>
      <c r="AM240" s="267"/>
      <c r="AN240" s="75"/>
    </row>
    <row r="241" spans="1:40" s="6" customFormat="1" ht="11.25" customHeight="1" x14ac:dyDescent="0.2">
      <c r="A241" s="56">
        <f t="shared" si="95"/>
        <v>43327</v>
      </c>
      <c r="B241" s="620"/>
      <c r="C241" s="392"/>
      <c r="D241" s="395"/>
      <c r="E241" s="387"/>
      <c r="F241" s="387"/>
      <c r="G241" s="110"/>
      <c r="I241" s="382">
        <f t="shared" si="72"/>
        <v>0</v>
      </c>
      <c r="J241" s="85">
        <v>2018</v>
      </c>
      <c r="K241" s="199">
        <f t="shared" si="73"/>
        <v>43327</v>
      </c>
      <c r="L241" s="439">
        <f t="shared" si="74"/>
        <v>3.2575117522959385E-4</v>
      </c>
      <c r="M241" s="883"/>
      <c r="N241" s="883"/>
      <c r="O241" s="326">
        <f t="shared" si="75"/>
        <v>3.4189897952745974E-3</v>
      </c>
      <c r="P241" s="171">
        <f>(INDEX(Models!$BJ241:$BT241,,T241)*(1-R241)+INDEX(Models!$BJ241:$BT241,,T241+1)*R241-ERP_i)*Q241*Ramure*Pc/MaxiM</f>
        <v>3.537421249664739E-4</v>
      </c>
      <c r="Q241" s="307">
        <f t="shared" si="76"/>
        <v>0.9</v>
      </c>
      <c r="R241" s="179">
        <f t="shared" si="77"/>
        <v>0.85635788526237899</v>
      </c>
      <c r="S241" s="839">
        <f t="shared" si="94"/>
        <v>-3</v>
      </c>
      <c r="T241" s="178">
        <f t="shared" si="78"/>
        <v>3</v>
      </c>
      <c r="U241" s="253">
        <f t="shared" si="79"/>
        <v>-2.143642114737621</v>
      </c>
      <c r="V241" s="385">
        <f t="shared" si="80"/>
        <v>56.376186828154118</v>
      </c>
      <c r="W241" s="58"/>
      <c r="X241" s="157">
        <f t="shared" si="81"/>
        <v>43327</v>
      </c>
      <c r="Y241" s="387">
        <f t="shared" si="82"/>
        <v>0</v>
      </c>
      <c r="Z241" s="387">
        <f t="shared" si="83"/>
        <v>0</v>
      </c>
      <c r="AA241" s="388">
        <f t="shared" si="84"/>
        <v>0</v>
      </c>
      <c r="AB241" s="199">
        <f t="shared" si="85"/>
        <v>43327</v>
      </c>
      <c r="AC241" s="428">
        <f t="shared" si="86"/>
        <v>3.4189897952745974E-3</v>
      </c>
      <c r="AD241" s="171">
        <f>(INDEX(Models!$BJ241:$BT241,,AH241)*(1-AF241)+INDEX(Models!$BJ241:$BT241,,AH241+1)*AF241-ERP_i)*AE241*Ramure*Pc/MaxiM</f>
        <v>3.537421249664739E-4</v>
      </c>
      <c r="AE241" s="307">
        <f t="shared" si="87"/>
        <v>0.9</v>
      </c>
      <c r="AF241" s="179">
        <f t="shared" si="88"/>
        <v>0.85635788526237899</v>
      </c>
      <c r="AG241" s="839">
        <f t="shared" si="89"/>
        <v>-3</v>
      </c>
      <c r="AH241" s="178">
        <f t="shared" si="90"/>
        <v>3</v>
      </c>
      <c r="AI241" s="227">
        <f t="shared" si="91"/>
        <v>-2.143642114737621</v>
      </c>
      <c r="AJ241" s="267" t="b">
        <f t="shared" si="92"/>
        <v>0</v>
      </c>
      <c r="AK241" s="267" t="b">
        <f t="shared" si="93"/>
        <v>0</v>
      </c>
      <c r="AL241" s="267"/>
      <c r="AM241" s="267"/>
      <c r="AN241" s="75"/>
    </row>
    <row r="242" spans="1:40" s="6" customFormat="1" ht="11.25" customHeight="1" x14ac:dyDescent="0.2">
      <c r="A242" s="56">
        <f t="shared" si="95"/>
        <v>43328</v>
      </c>
      <c r="B242" s="620"/>
      <c r="C242" s="392"/>
      <c r="D242" s="395"/>
      <c r="E242" s="387"/>
      <c r="F242" s="387"/>
      <c r="G242" s="110"/>
      <c r="I242" s="382">
        <f t="shared" si="72"/>
        <v>0</v>
      </c>
      <c r="J242" s="85">
        <v>2018</v>
      </c>
      <c r="K242" s="199">
        <f t="shared" si="73"/>
        <v>43328</v>
      </c>
      <c r="L242" s="439">
        <f t="shared" si="74"/>
        <v>3.4901505542983546E-4</v>
      </c>
      <c r="M242" s="883"/>
      <c r="N242" s="883"/>
      <c r="O242" s="326">
        <f t="shared" si="75"/>
        <v>3.6609633588611514E-3</v>
      </c>
      <c r="P242" s="171">
        <f>(INDEX(Models!$BJ242:$BT242,,T242)*(1-R242)+INDEX(Models!$BJ242:$BT242,,T242+1)*R242-ERP_i)*Q242*Ramure*Pc/MaxiM</f>
        <v>3.7996340423513883E-4</v>
      </c>
      <c r="Q242" s="307">
        <f t="shared" si="76"/>
        <v>0.9</v>
      </c>
      <c r="R242" s="179">
        <f t="shared" si="77"/>
        <v>0.85801009754160562</v>
      </c>
      <c r="S242" s="839">
        <f t="shared" si="94"/>
        <v>-3</v>
      </c>
      <c r="T242" s="178">
        <f t="shared" si="78"/>
        <v>3</v>
      </c>
      <c r="U242" s="253">
        <f t="shared" si="79"/>
        <v>-2.1419899024583944</v>
      </c>
      <c r="V242" s="385">
        <f t="shared" si="80"/>
        <v>56.131768263275191</v>
      </c>
      <c r="W242" s="58"/>
      <c r="X242" s="157">
        <f t="shared" si="81"/>
        <v>43328</v>
      </c>
      <c r="Y242" s="387">
        <f t="shared" si="82"/>
        <v>0</v>
      </c>
      <c r="Z242" s="387">
        <f t="shared" si="83"/>
        <v>0</v>
      </c>
      <c r="AA242" s="388">
        <f t="shared" si="84"/>
        <v>0</v>
      </c>
      <c r="AB242" s="199">
        <f t="shared" si="85"/>
        <v>43328</v>
      </c>
      <c r="AC242" s="428">
        <f t="shared" si="86"/>
        <v>3.6609633588611514E-3</v>
      </c>
      <c r="AD242" s="171">
        <f>(INDEX(Models!$BJ242:$BT242,,AH242)*(1-AF242)+INDEX(Models!$BJ242:$BT242,,AH242+1)*AF242-ERP_i)*AE242*Ramure*Pc/MaxiM</f>
        <v>3.7996340423513883E-4</v>
      </c>
      <c r="AE242" s="307">
        <f t="shared" si="87"/>
        <v>0.9</v>
      </c>
      <c r="AF242" s="179">
        <f t="shared" si="88"/>
        <v>0.85801009754160562</v>
      </c>
      <c r="AG242" s="839">
        <f t="shared" si="89"/>
        <v>-3</v>
      </c>
      <c r="AH242" s="178">
        <f t="shared" si="90"/>
        <v>3</v>
      </c>
      <c r="AI242" s="227">
        <f t="shared" si="91"/>
        <v>-2.1419899024583944</v>
      </c>
      <c r="AJ242" s="267" t="b">
        <f t="shared" si="92"/>
        <v>0</v>
      </c>
      <c r="AK242" s="267" t="b">
        <f t="shared" si="93"/>
        <v>0</v>
      </c>
      <c r="AL242" s="267"/>
      <c r="AM242" s="267"/>
      <c r="AN242" s="75"/>
    </row>
    <row r="243" spans="1:40" s="6" customFormat="1" ht="11.25" x14ac:dyDescent="0.2">
      <c r="A243" s="56">
        <f t="shared" si="95"/>
        <v>43329</v>
      </c>
      <c r="B243" s="620"/>
      <c r="C243" s="392"/>
      <c r="D243" s="395"/>
      <c r="E243" s="387"/>
      <c r="F243" s="387"/>
      <c r="G243" s="110"/>
      <c r="I243" s="382">
        <f t="shared" si="72"/>
        <v>0</v>
      </c>
      <c r="J243" s="85">
        <v>2018</v>
      </c>
      <c r="K243" s="199">
        <f t="shared" si="73"/>
        <v>43329</v>
      </c>
      <c r="L243" s="439">
        <f t="shared" si="74"/>
        <v>3.7227839424558429E-4</v>
      </c>
      <c r="M243" s="883"/>
      <c r="N243" s="883"/>
      <c r="O243" s="326">
        <f t="shared" si="75"/>
        <v>3.9026259951164843E-3</v>
      </c>
      <c r="P243" s="171">
        <f>(INDEX(Models!$BJ243:$BT243,,T243)*(1-R243)+INDEX(Models!$BJ243:$BT243,,T243+1)*R243-ERP_i)*Q243*Ramure*Pc/MaxiM</f>
        <v>4.067196720519564E-4</v>
      </c>
      <c r="Q243" s="307">
        <f t="shared" si="76"/>
        <v>0.9</v>
      </c>
      <c r="R243" s="179">
        <f t="shared" si="77"/>
        <v>0.85960361399039931</v>
      </c>
      <c r="S243" s="839">
        <f t="shared" si="94"/>
        <v>-3</v>
      </c>
      <c r="T243" s="178">
        <f t="shared" si="78"/>
        <v>3</v>
      </c>
      <c r="U243" s="253">
        <f t="shared" si="79"/>
        <v>-2.1403963860096007</v>
      </c>
      <c r="V243" s="385">
        <f t="shared" si="80"/>
        <v>55.881454767468398</v>
      </c>
      <c r="W243" s="58"/>
      <c r="X243" s="157">
        <f t="shared" si="81"/>
        <v>43329</v>
      </c>
      <c r="Y243" s="387">
        <f t="shared" si="82"/>
        <v>0</v>
      </c>
      <c r="Z243" s="387">
        <f t="shared" si="83"/>
        <v>0</v>
      </c>
      <c r="AA243" s="388">
        <f t="shared" si="84"/>
        <v>0</v>
      </c>
      <c r="AB243" s="199">
        <f t="shared" si="85"/>
        <v>43329</v>
      </c>
      <c r="AC243" s="428">
        <f t="shared" si="86"/>
        <v>3.9026259951164843E-3</v>
      </c>
      <c r="AD243" s="171">
        <f>(INDEX(Models!$BJ243:$BT243,,AH243)*(1-AF243)+INDEX(Models!$BJ243:$BT243,,AH243+1)*AF243-ERP_i)*AE243*Ramure*Pc/MaxiM</f>
        <v>4.067196720519564E-4</v>
      </c>
      <c r="AE243" s="307">
        <f t="shared" si="87"/>
        <v>0.9</v>
      </c>
      <c r="AF243" s="179">
        <f t="shared" si="88"/>
        <v>0.85960361399039931</v>
      </c>
      <c r="AG243" s="839">
        <f t="shared" si="89"/>
        <v>-3</v>
      </c>
      <c r="AH243" s="178">
        <f t="shared" si="90"/>
        <v>3</v>
      </c>
      <c r="AI243" s="227">
        <f t="shared" si="91"/>
        <v>-2.1403963860096007</v>
      </c>
      <c r="AJ243" s="267" t="b">
        <f t="shared" si="92"/>
        <v>0</v>
      </c>
      <c r="AK243" s="267" t="b">
        <f t="shared" si="93"/>
        <v>0</v>
      </c>
      <c r="AL243" s="267"/>
      <c r="AM243" s="267"/>
      <c r="AN243" s="75"/>
    </row>
    <row r="244" spans="1:40" s="6" customFormat="1" ht="11.25" x14ac:dyDescent="0.2">
      <c r="A244" s="56">
        <f t="shared" si="95"/>
        <v>43330</v>
      </c>
      <c r="B244" s="620"/>
      <c r="C244" s="392"/>
      <c r="D244" s="395"/>
      <c r="E244" s="387"/>
      <c r="F244" s="387"/>
      <c r="G244" s="110"/>
      <c r="I244" s="382">
        <f t="shared" si="72"/>
        <v>0</v>
      </c>
      <c r="J244" s="85">
        <v>2018</v>
      </c>
      <c r="K244" s="199">
        <f t="shared" si="73"/>
        <v>43330</v>
      </c>
      <c r="L244" s="439">
        <f t="shared" si="74"/>
        <v>3.9554119168949686E-4</v>
      </c>
      <c r="M244" s="883"/>
      <c r="N244" s="883"/>
      <c r="O244" s="326">
        <f t="shared" si="75"/>
        <v>4.1439748890046745E-3</v>
      </c>
      <c r="P244" s="171">
        <f>(INDEX(Models!$BJ244:$BT244,,T244)*(1-R244)+INDEX(Models!$BJ244:$BT244,,T244+1)*R244-ERP_i)*Q244*Ramure*Pc/MaxiM</f>
        <v>4.3402631751849376E-4</v>
      </c>
      <c r="Q244" s="307">
        <f t="shared" si="76"/>
        <v>0.9</v>
      </c>
      <c r="R244" s="179">
        <f t="shared" si="77"/>
        <v>0.86114023271713824</v>
      </c>
      <c r="S244" s="839">
        <f t="shared" si="94"/>
        <v>-3</v>
      </c>
      <c r="T244" s="178">
        <f t="shared" si="78"/>
        <v>3</v>
      </c>
      <c r="U244" s="253">
        <f t="shared" si="79"/>
        <v>-2.1388597672828618</v>
      </c>
      <c r="V244" s="385">
        <f t="shared" si="80"/>
        <v>55.624805494435613</v>
      </c>
      <c r="W244" s="58"/>
      <c r="X244" s="157">
        <f t="shared" si="81"/>
        <v>43330</v>
      </c>
      <c r="Y244" s="387">
        <f t="shared" si="82"/>
        <v>0</v>
      </c>
      <c r="Z244" s="387">
        <f t="shared" si="83"/>
        <v>0</v>
      </c>
      <c r="AA244" s="388">
        <f t="shared" si="84"/>
        <v>0</v>
      </c>
      <c r="AB244" s="199">
        <f t="shared" si="85"/>
        <v>43330</v>
      </c>
      <c r="AC244" s="428">
        <f t="shared" si="86"/>
        <v>4.1439748890046745E-3</v>
      </c>
      <c r="AD244" s="171">
        <f>(INDEX(Models!$BJ244:$BT244,,AH244)*(1-AF244)+INDEX(Models!$BJ244:$BT244,,AH244+1)*AF244-ERP_i)*AE244*Ramure*Pc/MaxiM</f>
        <v>4.3402631751849376E-4</v>
      </c>
      <c r="AE244" s="307">
        <f t="shared" si="87"/>
        <v>0.9</v>
      </c>
      <c r="AF244" s="179">
        <f t="shared" si="88"/>
        <v>0.86114023271713824</v>
      </c>
      <c r="AG244" s="839">
        <f t="shared" si="89"/>
        <v>-3</v>
      </c>
      <c r="AH244" s="178">
        <f t="shared" si="90"/>
        <v>3</v>
      </c>
      <c r="AI244" s="227">
        <f t="shared" si="91"/>
        <v>-2.1388597672828618</v>
      </c>
      <c r="AJ244" s="267" t="b">
        <f t="shared" si="92"/>
        <v>0</v>
      </c>
      <c r="AK244" s="267" t="b">
        <f t="shared" si="93"/>
        <v>0</v>
      </c>
      <c r="AL244" s="267"/>
      <c r="AM244" s="267"/>
      <c r="AN244" s="75"/>
    </row>
    <row r="245" spans="1:40" s="6" customFormat="1" ht="11.25" customHeight="1" x14ac:dyDescent="0.2">
      <c r="A245" s="56">
        <f t="shared" si="95"/>
        <v>43331</v>
      </c>
      <c r="B245" s="620"/>
      <c r="C245" s="392"/>
      <c r="D245" s="395"/>
      <c r="E245" s="387"/>
      <c r="F245" s="387"/>
      <c r="G245" s="110"/>
      <c r="I245" s="382">
        <f t="shared" si="72"/>
        <v>0</v>
      </c>
      <c r="J245" s="85">
        <v>2018</v>
      </c>
      <c r="K245" s="199">
        <f t="shared" si="73"/>
        <v>43331</v>
      </c>
      <c r="L245" s="439">
        <f t="shared" si="74"/>
        <v>4.1880344777400769E-4</v>
      </c>
      <c r="M245" s="883"/>
      <c r="N245" s="883"/>
      <c r="O245" s="326">
        <f t="shared" si="75"/>
        <v>4.3850070592488452E-3</v>
      </c>
      <c r="P245" s="171">
        <f>(INDEX(Models!$BJ245:$BT245,,T245)*(1-R245)+INDEX(Models!$BJ245:$BT245,,T245+1)*R245-ERP_i)*Q245*Ramure*Pc/MaxiM</f>
        <v>4.6190037313933839E-4</v>
      </c>
      <c r="Q245" s="307">
        <f t="shared" si="76"/>
        <v>0.9</v>
      </c>
      <c r="R245" s="179">
        <f t="shared" si="77"/>
        <v>0.86262171838635338</v>
      </c>
      <c r="S245" s="839">
        <f t="shared" si="94"/>
        <v>-3</v>
      </c>
      <c r="T245" s="178">
        <f t="shared" si="78"/>
        <v>3</v>
      </c>
      <c r="U245" s="253">
        <f t="shared" si="79"/>
        <v>-2.1373782816136466</v>
      </c>
      <c r="V245" s="385">
        <f t="shared" si="80"/>
        <v>55.361380062966745</v>
      </c>
      <c r="W245" s="58"/>
      <c r="X245" s="157">
        <f t="shared" si="81"/>
        <v>43331</v>
      </c>
      <c r="Y245" s="387">
        <f t="shared" si="82"/>
        <v>0</v>
      </c>
      <c r="Z245" s="387">
        <f t="shared" si="83"/>
        <v>0</v>
      </c>
      <c r="AA245" s="388">
        <f t="shared" si="84"/>
        <v>0</v>
      </c>
      <c r="AB245" s="199">
        <f t="shared" si="85"/>
        <v>43331</v>
      </c>
      <c r="AC245" s="428">
        <f t="shared" si="86"/>
        <v>4.3850070592488452E-3</v>
      </c>
      <c r="AD245" s="171">
        <f>(INDEX(Models!$BJ245:$BT245,,AH245)*(1-AF245)+INDEX(Models!$BJ245:$BT245,,AH245+1)*AF245-ERP_i)*AE245*Ramure*Pc/MaxiM</f>
        <v>4.6190037313933839E-4</v>
      </c>
      <c r="AE245" s="307">
        <f t="shared" si="87"/>
        <v>0.9</v>
      </c>
      <c r="AF245" s="179">
        <f t="shared" si="88"/>
        <v>0.86262171838635338</v>
      </c>
      <c r="AG245" s="839">
        <f t="shared" si="89"/>
        <v>-3</v>
      </c>
      <c r="AH245" s="178">
        <f t="shared" si="90"/>
        <v>3</v>
      </c>
      <c r="AI245" s="227">
        <f t="shared" si="91"/>
        <v>-2.1373782816136466</v>
      </c>
      <c r="AJ245" s="267" t="b">
        <f t="shared" si="92"/>
        <v>0</v>
      </c>
      <c r="AK245" s="267" t="b">
        <f t="shared" si="93"/>
        <v>0</v>
      </c>
      <c r="AL245" s="267"/>
      <c r="AM245" s="267"/>
      <c r="AN245" s="75"/>
    </row>
    <row r="246" spans="1:40" s="6" customFormat="1" ht="11.25" x14ac:dyDescent="0.2">
      <c r="A246" s="56">
        <f t="shared" si="95"/>
        <v>43332</v>
      </c>
      <c r="B246" s="620"/>
      <c r="C246" s="392"/>
      <c r="D246" s="395"/>
      <c r="E246" s="387"/>
      <c r="F246" s="387"/>
      <c r="G246" s="110"/>
      <c r="I246" s="382">
        <f t="shared" si="72"/>
        <v>0</v>
      </c>
      <c r="J246" s="85">
        <v>2018</v>
      </c>
      <c r="K246" s="199">
        <f t="shared" si="73"/>
        <v>43332</v>
      </c>
      <c r="L246" s="439">
        <f t="shared" si="74"/>
        <v>4.4206516251199535E-4</v>
      </c>
      <c r="M246" s="883"/>
      <c r="N246" s="883"/>
      <c r="O246" s="326">
        <f t="shared" si="75"/>
        <v>4.625719350568663E-3</v>
      </c>
      <c r="P246" s="171">
        <f>(INDEX(Models!$BJ246:$BT246,,T246)*(1-R246)+INDEX(Models!$BJ246:$BT246,,T246+1)*R246-ERP_i)*Q246*Ramure*Pc/MaxiM</f>
        <v>4.903606135548415E-4</v>
      </c>
      <c r="Q246" s="307">
        <f t="shared" si="76"/>
        <v>0.9</v>
      </c>
      <c r="R246" s="179">
        <f t="shared" si="77"/>
        <v>0.86404980108335261</v>
      </c>
      <c r="S246" s="839">
        <f t="shared" si="94"/>
        <v>-3</v>
      </c>
      <c r="T246" s="178">
        <f t="shared" si="78"/>
        <v>3</v>
      </c>
      <c r="U246" s="253">
        <f t="shared" si="79"/>
        <v>-2.1359501989166474</v>
      </c>
      <c r="V246" s="385">
        <f t="shared" si="80"/>
        <v>55.090738547044658</v>
      </c>
      <c r="W246" s="58"/>
      <c r="X246" s="157">
        <f t="shared" si="81"/>
        <v>43332</v>
      </c>
      <c r="Y246" s="387">
        <f t="shared" si="82"/>
        <v>0</v>
      </c>
      <c r="Z246" s="387">
        <f t="shared" si="83"/>
        <v>0</v>
      </c>
      <c r="AA246" s="388">
        <f t="shared" si="84"/>
        <v>0</v>
      </c>
      <c r="AB246" s="199">
        <f t="shared" si="85"/>
        <v>43332</v>
      </c>
      <c r="AC246" s="428">
        <f t="shared" si="86"/>
        <v>4.625719350568663E-3</v>
      </c>
      <c r="AD246" s="171">
        <f>(INDEX(Models!$BJ246:$BT246,,AH246)*(1-AF246)+INDEX(Models!$BJ246:$BT246,,AH246+1)*AF246-ERP_i)*AE246*Ramure*Pc/MaxiM</f>
        <v>4.903606135548415E-4</v>
      </c>
      <c r="AE246" s="307">
        <f t="shared" si="87"/>
        <v>0.9</v>
      </c>
      <c r="AF246" s="179">
        <f t="shared" si="88"/>
        <v>0.86404980108335261</v>
      </c>
      <c r="AG246" s="839">
        <f t="shared" si="89"/>
        <v>-3</v>
      </c>
      <c r="AH246" s="178">
        <f t="shared" si="90"/>
        <v>3</v>
      </c>
      <c r="AI246" s="227">
        <f t="shared" si="91"/>
        <v>-2.1359501989166474</v>
      </c>
      <c r="AJ246" s="267" t="b">
        <f t="shared" si="92"/>
        <v>0</v>
      </c>
      <c r="AK246" s="267" t="b">
        <f t="shared" si="93"/>
        <v>0</v>
      </c>
      <c r="AL246" s="267"/>
      <c r="AM246" s="267"/>
      <c r="AN246" s="75"/>
    </row>
    <row r="247" spans="1:40" s="6" customFormat="1" ht="11.25" customHeight="1" x14ac:dyDescent="0.2">
      <c r="A247" s="56">
        <f t="shared" si="95"/>
        <v>43333</v>
      </c>
      <c r="B247" s="620"/>
      <c r="C247" s="392"/>
      <c r="D247" s="395"/>
      <c r="E247" s="387"/>
      <c r="F247" s="387"/>
      <c r="G247" s="110"/>
      <c r="I247" s="382">
        <f t="shared" si="72"/>
        <v>0</v>
      </c>
      <c r="J247" s="85">
        <v>2018</v>
      </c>
      <c r="K247" s="199">
        <f t="shared" si="73"/>
        <v>43333</v>
      </c>
      <c r="L247" s="439">
        <f t="shared" si="74"/>
        <v>4.6532633591578332E-4</v>
      </c>
      <c r="M247" s="883"/>
      <c r="N247" s="883"/>
      <c r="O247" s="326">
        <f t="shared" si="75"/>
        <v>4.8661084267122628E-3</v>
      </c>
      <c r="P247" s="171">
        <f>(INDEX(Models!$BJ247:$BT247,,T247)*(1-R247)+INDEX(Models!$BJ247:$BT247,,T247+1)*R247-ERP_i)*Q247*Ramure*Pc/MaxiM</f>
        <v>5.1941254555868809E-4</v>
      </c>
      <c r="Q247" s="307">
        <f t="shared" si="76"/>
        <v>0.9</v>
      </c>
      <c r="R247" s="179">
        <f t="shared" si="77"/>
        <v>0.86542617536048283</v>
      </c>
      <c r="S247" s="839">
        <f t="shared" si="94"/>
        <v>-3</v>
      </c>
      <c r="T247" s="178">
        <f t="shared" si="78"/>
        <v>3</v>
      </c>
      <c r="U247" s="253">
        <f t="shared" si="79"/>
        <v>-2.1345738246395172</v>
      </c>
      <c r="V247" s="385">
        <f t="shared" si="80"/>
        <v>54.814037593705805</v>
      </c>
      <c r="W247" s="58"/>
      <c r="X247" s="157">
        <f t="shared" si="81"/>
        <v>43333</v>
      </c>
      <c r="Y247" s="387">
        <f t="shared" si="82"/>
        <v>0</v>
      </c>
      <c r="Z247" s="387">
        <f t="shared" si="83"/>
        <v>0</v>
      </c>
      <c r="AA247" s="388">
        <f t="shared" si="84"/>
        <v>0</v>
      </c>
      <c r="AB247" s="199">
        <f t="shared" si="85"/>
        <v>43333</v>
      </c>
      <c r="AC247" s="428">
        <f t="shared" si="86"/>
        <v>4.8661084267122628E-3</v>
      </c>
      <c r="AD247" s="171">
        <f>(INDEX(Models!$BJ247:$BT247,,AH247)*(1-AF247)+INDEX(Models!$BJ247:$BT247,,AH247+1)*AF247-ERP_i)*AE247*Ramure*Pc/MaxiM</f>
        <v>5.1941254555868809E-4</v>
      </c>
      <c r="AE247" s="307">
        <f t="shared" si="87"/>
        <v>0.9</v>
      </c>
      <c r="AF247" s="179">
        <f t="shared" si="88"/>
        <v>0.86542617536048283</v>
      </c>
      <c r="AG247" s="839">
        <f t="shared" si="89"/>
        <v>-3</v>
      </c>
      <c r="AH247" s="178">
        <f t="shared" si="90"/>
        <v>3</v>
      </c>
      <c r="AI247" s="227">
        <f t="shared" si="91"/>
        <v>-2.1345738246395172</v>
      </c>
      <c r="AJ247" s="267" t="b">
        <f t="shared" si="92"/>
        <v>0</v>
      </c>
      <c r="AK247" s="267" t="b">
        <f t="shared" si="93"/>
        <v>0</v>
      </c>
      <c r="AL247" s="267"/>
      <c r="AM247" s="267"/>
      <c r="AN247" s="75"/>
    </row>
    <row r="248" spans="1:40" s="6" customFormat="1" ht="11.25" customHeight="1" x14ac:dyDescent="0.2">
      <c r="A248" s="56">
        <f t="shared" si="95"/>
        <v>43334</v>
      </c>
      <c r="B248" s="620"/>
      <c r="C248" s="392"/>
      <c r="D248" s="395"/>
      <c r="E248" s="387"/>
      <c r="F248" s="387"/>
      <c r="G248" s="110"/>
      <c r="I248" s="382">
        <f t="shared" si="72"/>
        <v>0</v>
      </c>
      <c r="J248" s="85">
        <v>2018</v>
      </c>
      <c r="K248" s="199">
        <f t="shared" si="73"/>
        <v>43334</v>
      </c>
      <c r="L248" s="439">
        <f t="shared" si="74"/>
        <v>4.8858696799813917E-4</v>
      </c>
      <c r="M248" s="883"/>
      <c r="N248" s="883"/>
      <c r="O248" s="326">
        <f t="shared" si="75"/>
        <v>5.1061707640148507E-3</v>
      </c>
      <c r="P248" s="171">
        <f>(INDEX(Models!$BJ248:$BT248,,T248)*(1-R248)+INDEX(Models!$BJ248:$BT248,,T248+1)*R248-ERP_i)*Q248*Ramure*Pc/MaxiM</f>
        <v>5.4907506646622055E-4</v>
      </c>
      <c r="Q248" s="307">
        <f t="shared" si="76"/>
        <v>0.9</v>
      </c>
      <c r="R248" s="179">
        <f t="shared" si="77"/>
        <v>0.86675249945274846</v>
      </c>
      <c r="S248" s="839">
        <f t="shared" si="94"/>
        <v>-3</v>
      </c>
      <c r="T248" s="178">
        <f t="shared" si="78"/>
        <v>3</v>
      </c>
      <c r="U248" s="253">
        <f t="shared" si="79"/>
        <v>-2.1332475005472515</v>
      </c>
      <c r="V248" s="385">
        <f t="shared" si="80"/>
        <v>54.53258014427103</v>
      </c>
      <c r="W248" s="58"/>
      <c r="X248" s="157">
        <f t="shared" si="81"/>
        <v>43334</v>
      </c>
      <c r="Y248" s="387">
        <f t="shared" si="82"/>
        <v>0</v>
      </c>
      <c r="Z248" s="387">
        <f t="shared" si="83"/>
        <v>0</v>
      </c>
      <c r="AA248" s="388">
        <f t="shared" si="84"/>
        <v>0</v>
      </c>
      <c r="AB248" s="199">
        <f t="shared" si="85"/>
        <v>43334</v>
      </c>
      <c r="AC248" s="428">
        <f t="shared" si="86"/>
        <v>5.1061707640148507E-3</v>
      </c>
      <c r="AD248" s="171">
        <f>(INDEX(Models!$BJ248:$BT248,,AH248)*(1-AF248)+INDEX(Models!$BJ248:$BT248,,AH248+1)*AF248-ERP_i)*AE248*Ramure*Pc/MaxiM</f>
        <v>5.4907506646622055E-4</v>
      </c>
      <c r="AE248" s="307">
        <f t="shared" si="87"/>
        <v>0.9</v>
      </c>
      <c r="AF248" s="179">
        <f t="shared" si="88"/>
        <v>0.86675249945274846</v>
      </c>
      <c r="AG248" s="839">
        <f t="shared" si="89"/>
        <v>-3</v>
      </c>
      <c r="AH248" s="178">
        <f t="shared" si="90"/>
        <v>3</v>
      </c>
      <c r="AI248" s="227">
        <f t="shared" si="91"/>
        <v>-2.1332475005472515</v>
      </c>
      <c r="AJ248" s="267" t="b">
        <f t="shared" si="92"/>
        <v>0</v>
      </c>
      <c r="AK248" s="267" t="b">
        <f t="shared" si="93"/>
        <v>0</v>
      </c>
      <c r="AL248" s="267"/>
      <c r="AM248" s="267"/>
      <c r="AN248" s="75"/>
    </row>
    <row r="249" spans="1:40" s="6" customFormat="1" ht="11.25" customHeight="1" x14ac:dyDescent="0.2">
      <c r="A249" s="56">
        <f t="shared" si="95"/>
        <v>43335</v>
      </c>
      <c r="B249" s="620"/>
      <c r="C249" s="392"/>
      <c r="D249" s="395"/>
      <c r="E249" s="387"/>
      <c r="F249" s="387"/>
      <c r="G249" s="110"/>
      <c r="I249" s="382">
        <f t="shared" si="72"/>
        <v>0</v>
      </c>
      <c r="J249" s="85">
        <v>2018</v>
      </c>
      <c r="K249" s="199">
        <f t="shared" si="73"/>
        <v>43335</v>
      </c>
      <c r="L249" s="439">
        <f t="shared" si="74"/>
        <v>5.1184705877160841E-4</v>
      </c>
      <c r="M249" s="883"/>
      <c r="N249" s="883"/>
      <c r="O249" s="326">
        <f t="shared" si="75"/>
        <v>5.345902645217413E-3</v>
      </c>
      <c r="P249" s="171">
        <f>(INDEX(Models!$BJ249:$BT249,,T249)*(1-R249)+INDEX(Models!$BJ249:$BT249,,T249+1)*R249-ERP_i)*Q249*Ramure*Pc/MaxiM</f>
        <v>5.7901418792610164E-4</v>
      </c>
      <c r="Q249" s="307">
        <f t="shared" si="76"/>
        <v>0.9</v>
      </c>
      <c r="R249" s="179">
        <f t="shared" si="77"/>
        <v>0.86803039465088894</v>
      </c>
      <c r="S249" s="839">
        <f t="shared" si="94"/>
        <v>-3</v>
      </c>
      <c r="T249" s="178">
        <f t="shared" si="78"/>
        <v>3</v>
      </c>
      <c r="U249" s="253">
        <f t="shared" si="79"/>
        <v>-2.1319696053491111</v>
      </c>
      <c r="V249" s="385">
        <f t="shared" si="80"/>
        <v>54.246166610547462</v>
      </c>
      <c r="W249" s="58"/>
      <c r="X249" s="157">
        <f t="shared" si="81"/>
        <v>43335</v>
      </c>
      <c r="Y249" s="387">
        <f t="shared" si="82"/>
        <v>0</v>
      </c>
      <c r="Z249" s="387">
        <f t="shared" si="83"/>
        <v>0</v>
      </c>
      <c r="AA249" s="388">
        <f t="shared" si="84"/>
        <v>0</v>
      </c>
      <c r="AB249" s="199">
        <f t="shared" si="85"/>
        <v>43335</v>
      </c>
      <c r="AC249" s="428">
        <f t="shared" si="86"/>
        <v>5.345902645217413E-3</v>
      </c>
      <c r="AD249" s="171">
        <f>(INDEX(Models!$BJ249:$BT249,,AH249)*(1-AF249)+INDEX(Models!$BJ249:$BT249,,AH249+1)*AF249-ERP_i)*AE249*Ramure*Pc/MaxiM</f>
        <v>5.7901418792610164E-4</v>
      </c>
      <c r="AE249" s="307">
        <f t="shared" si="87"/>
        <v>0.9</v>
      </c>
      <c r="AF249" s="179">
        <f t="shared" si="88"/>
        <v>0.86803039465088894</v>
      </c>
      <c r="AG249" s="839">
        <f t="shared" si="89"/>
        <v>-3</v>
      </c>
      <c r="AH249" s="178">
        <f t="shared" si="90"/>
        <v>3</v>
      </c>
      <c r="AI249" s="227">
        <f t="shared" si="91"/>
        <v>-2.1319696053491111</v>
      </c>
      <c r="AJ249" s="267" t="b">
        <f t="shared" si="92"/>
        <v>0</v>
      </c>
      <c r="AK249" s="267" t="b">
        <f t="shared" si="93"/>
        <v>0</v>
      </c>
      <c r="AL249" s="267"/>
      <c r="AM249" s="267"/>
      <c r="AN249" s="75"/>
    </row>
    <row r="250" spans="1:40" s="6" customFormat="1" ht="11.25" x14ac:dyDescent="0.2">
      <c r="A250" s="56">
        <f t="shared" si="95"/>
        <v>43336</v>
      </c>
      <c r="B250" s="620"/>
      <c r="C250" s="392"/>
      <c r="D250" s="395"/>
      <c r="E250" s="387"/>
      <c r="F250" s="387"/>
      <c r="G250" s="110"/>
      <c r="I250" s="382">
        <f t="shared" si="72"/>
        <v>0</v>
      </c>
      <c r="J250" s="85">
        <v>2018</v>
      </c>
      <c r="K250" s="199">
        <f t="shared" si="73"/>
        <v>43336</v>
      </c>
      <c r="L250" s="439">
        <f t="shared" si="74"/>
        <v>5.3510660824873657E-4</v>
      </c>
      <c r="M250" s="883"/>
      <c r="N250" s="883"/>
      <c r="O250" s="326">
        <f t="shared" si="75"/>
        <v>5.5853001532878864E-3</v>
      </c>
      <c r="P250" s="171">
        <f>(INDEX(Models!$BJ250:$BT250,,T250)*(1-R250)+INDEX(Models!$BJ250:$BT250,,T250+1)*R250-ERP_i)*Q250*Ramure*Pc/MaxiM</f>
        <v>6.0924077100664323E-4</v>
      </c>
      <c r="Q250" s="307">
        <f t="shared" si="76"/>
        <v>0.9</v>
      </c>
      <c r="R250" s="179">
        <f t="shared" si="77"/>
        <v>0.869261444820419</v>
      </c>
      <c r="S250" s="839">
        <f t="shared" si="94"/>
        <v>-3</v>
      </c>
      <c r="T250" s="178">
        <f t="shared" si="78"/>
        <v>3</v>
      </c>
      <c r="U250" s="253">
        <f t="shared" si="79"/>
        <v>-2.130738555179581</v>
      </c>
      <c r="V250" s="385">
        <f t="shared" si="80"/>
        <v>53.954578675639624</v>
      </c>
      <c r="W250" s="58"/>
      <c r="X250" s="157">
        <f t="shared" si="81"/>
        <v>43336</v>
      </c>
      <c r="Y250" s="387">
        <f t="shared" si="82"/>
        <v>0</v>
      </c>
      <c r="Z250" s="387">
        <f t="shared" si="83"/>
        <v>0</v>
      </c>
      <c r="AA250" s="388">
        <f t="shared" si="84"/>
        <v>0</v>
      </c>
      <c r="AB250" s="199">
        <f t="shared" si="85"/>
        <v>43336</v>
      </c>
      <c r="AC250" s="428">
        <f t="shared" si="86"/>
        <v>5.5853001532878864E-3</v>
      </c>
      <c r="AD250" s="171">
        <f>(INDEX(Models!$BJ250:$BT250,,AH250)*(1-AF250)+INDEX(Models!$BJ250:$BT250,,AH250+1)*AF250-ERP_i)*AE250*Ramure*Pc/MaxiM</f>
        <v>6.0924077100664323E-4</v>
      </c>
      <c r="AE250" s="307">
        <f t="shared" si="87"/>
        <v>0.9</v>
      </c>
      <c r="AF250" s="179">
        <f t="shared" si="88"/>
        <v>0.869261444820419</v>
      </c>
      <c r="AG250" s="839">
        <f t="shared" si="89"/>
        <v>-3</v>
      </c>
      <c r="AH250" s="178">
        <f t="shared" si="90"/>
        <v>3</v>
      </c>
      <c r="AI250" s="227">
        <f t="shared" si="91"/>
        <v>-2.130738555179581</v>
      </c>
      <c r="AJ250" s="267" t="b">
        <f t="shared" si="92"/>
        <v>0</v>
      </c>
      <c r="AK250" s="267" t="b">
        <f t="shared" si="93"/>
        <v>0</v>
      </c>
      <c r="AL250" s="267"/>
      <c r="AM250" s="267"/>
      <c r="AN250" s="75"/>
    </row>
    <row r="251" spans="1:40" s="6" customFormat="1" ht="11.25" x14ac:dyDescent="0.2">
      <c r="A251" s="56">
        <f t="shared" si="95"/>
        <v>43337</v>
      </c>
      <c r="B251" s="620"/>
      <c r="C251" s="392"/>
      <c r="D251" s="395"/>
      <c r="E251" s="387"/>
      <c r="F251" s="387"/>
      <c r="G251" s="110"/>
      <c r="I251" s="382">
        <f t="shared" si="72"/>
        <v>0</v>
      </c>
      <c r="J251" s="85">
        <v>2018</v>
      </c>
      <c r="K251" s="199">
        <f t="shared" si="73"/>
        <v>43337</v>
      </c>
      <c r="L251" s="439">
        <f t="shared" si="74"/>
        <v>5.5836561644218019E-4</v>
      </c>
      <c r="M251" s="883"/>
      <c r="N251" s="883"/>
      <c r="O251" s="326">
        <f t="shared" si="75"/>
        <v>5.8243591649994623E-3</v>
      </c>
      <c r="P251" s="171">
        <f>(INDEX(Models!$BJ251:$BT251,,T251)*(1-R251)+INDEX(Models!$BJ251:$BT251,,T251+1)*R251-ERP_i)*Q251*Ramure*Pc/MaxiM</f>
        <v>6.3976709757618115E-4</v>
      </c>
      <c r="Q251" s="307">
        <f t="shared" si="76"/>
        <v>0.9</v>
      </c>
      <c r="R251" s="179">
        <f t="shared" si="77"/>
        <v>0.87044719605556953</v>
      </c>
      <c r="S251" s="839">
        <f t="shared" si="94"/>
        <v>-3</v>
      </c>
      <c r="T251" s="178">
        <f t="shared" si="78"/>
        <v>3</v>
      </c>
      <c r="U251" s="253">
        <f t="shared" si="79"/>
        <v>-2.1295528039444305</v>
      </c>
      <c r="V251" s="385">
        <f t="shared" si="80"/>
        <v>53.657598225595059</v>
      </c>
      <c r="W251" s="58"/>
      <c r="X251" s="157">
        <f t="shared" si="81"/>
        <v>43337</v>
      </c>
      <c r="Y251" s="387">
        <f t="shared" si="82"/>
        <v>0</v>
      </c>
      <c r="Z251" s="387">
        <f t="shared" si="83"/>
        <v>0</v>
      </c>
      <c r="AA251" s="388">
        <f t="shared" si="84"/>
        <v>0</v>
      </c>
      <c r="AB251" s="199">
        <f t="shared" si="85"/>
        <v>43337</v>
      </c>
      <c r="AC251" s="428">
        <f t="shared" si="86"/>
        <v>5.8243591649994623E-3</v>
      </c>
      <c r="AD251" s="171">
        <f>(INDEX(Models!$BJ251:$BT251,,AH251)*(1-AF251)+INDEX(Models!$BJ251:$BT251,,AH251+1)*AF251-ERP_i)*AE251*Ramure*Pc/MaxiM</f>
        <v>6.3976709757618115E-4</v>
      </c>
      <c r="AE251" s="307">
        <f t="shared" si="87"/>
        <v>0.9</v>
      </c>
      <c r="AF251" s="179">
        <f t="shared" si="88"/>
        <v>0.87044719605556953</v>
      </c>
      <c r="AG251" s="839">
        <f t="shared" si="89"/>
        <v>-3</v>
      </c>
      <c r="AH251" s="178">
        <f t="shared" si="90"/>
        <v>3</v>
      </c>
      <c r="AI251" s="227">
        <f t="shared" si="91"/>
        <v>-2.1295528039444305</v>
      </c>
      <c r="AJ251" s="267" t="b">
        <f t="shared" si="92"/>
        <v>0</v>
      </c>
      <c r="AK251" s="267" t="b">
        <f t="shared" si="93"/>
        <v>0</v>
      </c>
      <c r="AL251" s="267"/>
      <c r="AM251" s="267"/>
      <c r="AN251" s="75"/>
    </row>
    <row r="252" spans="1:40" s="6" customFormat="1" ht="11.25" customHeight="1" x14ac:dyDescent="0.2">
      <c r="A252" s="56">
        <f t="shared" si="95"/>
        <v>43338</v>
      </c>
      <c r="B252" s="620"/>
      <c r="C252" s="392"/>
      <c r="D252" s="395"/>
      <c r="E252" s="387"/>
      <c r="F252" s="387"/>
      <c r="G252" s="110"/>
      <c r="I252" s="382">
        <f t="shared" si="72"/>
        <v>0</v>
      </c>
      <c r="J252" s="85">
        <v>2018</v>
      </c>
      <c r="K252" s="199">
        <f t="shared" si="73"/>
        <v>43338</v>
      </c>
      <c r="L252" s="439">
        <f t="shared" si="74"/>
        <v>5.8162408336459581E-4</v>
      </c>
      <c r="M252" s="883"/>
      <c r="N252" s="883"/>
      <c r="O252" s="326">
        <f t="shared" si="75"/>
        <v>6.0630753440400979E-3</v>
      </c>
      <c r="P252" s="171">
        <f>(INDEX(Models!$BJ252:$BT252,,T252)*(1-R252)+INDEX(Models!$BJ252:$BT252,,T252+1)*R252-ERP_i)*Q252*Ramure*Pc/MaxiM</f>
        <v>6.7060631471353607E-4</v>
      </c>
      <c r="Q252" s="307">
        <f t="shared" si="76"/>
        <v>0.9</v>
      </c>
      <c r="R252" s="179">
        <f t="shared" si="77"/>
        <v>0.87158915645753465</v>
      </c>
      <c r="S252" s="839">
        <f t="shared" si="94"/>
        <v>-3</v>
      </c>
      <c r="T252" s="178">
        <f t="shared" si="78"/>
        <v>3</v>
      </c>
      <c r="U252" s="253">
        <f t="shared" si="79"/>
        <v>-2.1284108435424653</v>
      </c>
      <c r="V252" s="385">
        <f t="shared" si="80"/>
        <v>53.355007381094907</v>
      </c>
      <c r="W252" s="58"/>
      <c r="X252" s="157">
        <f t="shared" si="81"/>
        <v>43338</v>
      </c>
      <c r="Y252" s="387">
        <f t="shared" si="82"/>
        <v>0</v>
      </c>
      <c r="Z252" s="387">
        <f t="shared" si="83"/>
        <v>0</v>
      </c>
      <c r="AA252" s="388">
        <f t="shared" si="84"/>
        <v>0</v>
      </c>
      <c r="AB252" s="199">
        <f t="shared" si="85"/>
        <v>43338</v>
      </c>
      <c r="AC252" s="428">
        <f t="shared" si="86"/>
        <v>6.0630753440400979E-3</v>
      </c>
      <c r="AD252" s="171">
        <f>(INDEX(Models!$BJ252:$BT252,,AH252)*(1-AF252)+INDEX(Models!$BJ252:$BT252,,AH252+1)*AF252-ERP_i)*AE252*Ramure*Pc/MaxiM</f>
        <v>6.7060631471353607E-4</v>
      </c>
      <c r="AE252" s="307">
        <f t="shared" si="87"/>
        <v>0.9</v>
      </c>
      <c r="AF252" s="179">
        <f t="shared" si="88"/>
        <v>0.87158915645753465</v>
      </c>
      <c r="AG252" s="839">
        <f t="shared" si="89"/>
        <v>-3</v>
      </c>
      <c r="AH252" s="178">
        <f t="shared" si="90"/>
        <v>3</v>
      </c>
      <c r="AI252" s="227">
        <f t="shared" si="91"/>
        <v>-2.1284108435424653</v>
      </c>
      <c r="AJ252" s="267" t="b">
        <f t="shared" si="92"/>
        <v>0</v>
      </c>
      <c r="AK252" s="267" t="b">
        <f t="shared" si="93"/>
        <v>0</v>
      </c>
      <c r="AL252" s="267"/>
      <c r="AM252" s="267"/>
      <c r="AN252" s="75"/>
    </row>
    <row r="253" spans="1:40" s="6" customFormat="1" ht="11.25" customHeight="1" x14ac:dyDescent="0.2">
      <c r="A253" s="56">
        <f t="shared" si="95"/>
        <v>43339</v>
      </c>
      <c r="B253" s="620"/>
      <c r="C253" s="392"/>
      <c r="D253" s="395"/>
      <c r="E253" s="387"/>
      <c r="F253" s="387"/>
      <c r="G253" s="110"/>
      <c r="I253" s="382">
        <f t="shared" si="72"/>
        <v>0</v>
      </c>
      <c r="J253" s="85">
        <v>2018</v>
      </c>
      <c r="K253" s="199">
        <f t="shared" si="73"/>
        <v>43339</v>
      </c>
      <c r="L253" s="439">
        <f t="shared" si="74"/>
        <v>6.0488200902841793E-4</v>
      </c>
      <c r="M253" s="883"/>
      <c r="N253" s="883"/>
      <c r="O253" s="326">
        <f t="shared" si="75"/>
        <v>6.3014441334496452E-3</v>
      </c>
      <c r="P253" s="171">
        <f>(INDEX(Models!$BJ253:$BT253,,T253)*(1-R253)+INDEX(Models!$BJ253:$BT253,,T253+1)*R253-ERP_i)*Q253*Ramure*Pc/MaxiM</f>
        <v>7.0177283672975615E-4</v>
      </c>
      <c r="Q253" s="307">
        <f t="shared" si="76"/>
        <v>0.9</v>
      </c>
      <c r="R253" s="179">
        <f t="shared" si="77"/>
        <v>0.87268879602688099</v>
      </c>
      <c r="S253" s="839">
        <f t="shared" si="94"/>
        <v>-3</v>
      </c>
      <c r="T253" s="178">
        <f t="shared" si="78"/>
        <v>3</v>
      </c>
      <c r="U253" s="253">
        <f t="shared" si="79"/>
        <v>-2.127311203973119</v>
      </c>
      <c r="V253" s="385">
        <f t="shared" si="80"/>
        <v>53.046588475228432</v>
      </c>
      <c r="W253" s="58"/>
      <c r="X253" s="157">
        <f t="shared" si="81"/>
        <v>43339</v>
      </c>
      <c r="Y253" s="387">
        <f t="shared" si="82"/>
        <v>0</v>
      </c>
      <c r="Z253" s="387">
        <f t="shared" si="83"/>
        <v>0</v>
      </c>
      <c r="AA253" s="388">
        <f t="shared" si="84"/>
        <v>0</v>
      </c>
      <c r="AB253" s="199">
        <f t="shared" si="85"/>
        <v>43339</v>
      </c>
      <c r="AC253" s="428">
        <f t="shared" si="86"/>
        <v>6.3014441334496452E-3</v>
      </c>
      <c r="AD253" s="171">
        <f>(INDEX(Models!$BJ253:$BT253,,AH253)*(1-AF253)+INDEX(Models!$BJ253:$BT253,,AH253+1)*AF253-ERP_i)*AE253*Ramure*Pc/MaxiM</f>
        <v>7.0177283672975615E-4</v>
      </c>
      <c r="AE253" s="307">
        <f t="shared" si="87"/>
        <v>0.9</v>
      </c>
      <c r="AF253" s="179">
        <f t="shared" si="88"/>
        <v>0.87268879602688099</v>
      </c>
      <c r="AG253" s="839">
        <f t="shared" si="89"/>
        <v>-3</v>
      </c>
      <c r="AH253" s="178">
        <f t="shared" si="90"/>
        <v>3</v>
      </c>
      <c r="AI253" s="227">
        <f t="shared" si="91"/>
        <v>-2.127311203973119</v>
      </c>
      <c r="AJ253" s="267" t="b">
        <f t="shared" si="92"/>
        <v>0</v>
      </c>
      <c r="AK253" s="267" t="b">
        <f t="shared" si="93"/>
        <v>0</v>
      </c>
      <c r="AL253" s="267"/>
      <c r="AM253" s="267"/>
      <c r="AN253" s="75"/>
    </row>
    <row r="254" spans="1:40" s="6" customFormat="1" ht="11.25" x14ac:dyDescent="0.2">
      <c r="A254" s="56">
        <f t="shared" si="95"/>
        <v>43340</v>
      </c>
      <c r="B254" s="620"/>
      <c r="C254" s="392"/>
      <c r="D254" s="395"/>
      <c r="E254" s="387"/>
      <c r="F254" s="387"/>
      <c r="G254" s="110"/>
      <c r="I254" s="382">
        <f t="shared" si="72"/>
        <v>0</v>
      </c>
      <c r="J254" s="85">
        <v>2018</v>
      </c>
      <c r="K254" s="199">
        <f t="shared" si="73"/>
        <v>43340</v>
      </c>
      <c r="L254" s="439">
        <f t="shared" si="74"/>
        <v>6.2813939344641412E-4</v>
      </c>
      <c r="M254" s="883"/>
      <c r="N254" s="883"/>
      <c r="O254" s="326">
        <f t="shared" si="75"/>
        <v>6.5394607472098543E-3</v>
      </c>
      <c r="P254" s="171">
        <f>(INDEX(Models!$BJ254:$BT254,,T254)*(1-R254)+INDEX(Models!$BJ254:$BT254,,T254+1)*R254-ERP_i)*Q254*Ramure*Pc/MaxiM</f>
        <v>7.3293314998680473E-4</v>
      </c>
      <c r="Q254" s="307">
        <f t="shared" si="76"/>
        <v>0.9</v>
      </c>
      <c r="R254" s="179">
        <f t="shared" si="77"/>
        <v>0.87374754666046428</v>
      </c>
      <c r="S254" s="839">
        <f t="shared" si="94"/>
        <v>-3</v>
      </c>
      <c r="T254" s="178">
        <f t="shared" si="78"/>
        <v>3</v>
      </c>
      <c r="U254" s="253">
        <f t="shared" si="79"/>
        <v>-2.1262524533395357</v>
      </c>
      <c r="V254" s="385">
        <f t="shared" si="80"/>
        <v>52.732142486490211</v>
      </c>
      <c r="W254" s="58"/>
      <c r="X254" s="157">
        <f t="shared" si="81"/>
        <v>43340</v>
      </c>
      <c r="Y254" s="387">
        <f t="shared" si="82"/>
        <v>0</v>
      </c>
      <c r="Z254" s="387">
        <f t="shared" si="83"/>
        <v>0</v>
      </c>
      <c r="AA254" s="388">
        <f t="shared" si="84"/>
        <v>0</v>
      </c>
      <c r="AB254" s="199">
        <f t="shared" si="85"/>
        <v>43340</v>
      </c>
      <c r="AC254" s="428">
        <f t="shared" si="86"/>
        <v>6.5394607472098543E-3</v>
      </c>
      <c r="AD254" s="171">
        <f>(INDEX(Models!$BJ254:$BT254,,AH254)*(1-AF254)+INDEX(Models!$BJ254:$BT254,,AH254+1)*AF254-ERP_i)*AE254*Ramure*Pc/MaxiM</f>
        <v>7.3293314998680473E-4</v>
      </c>
      <c r="AE254" s="307">
        <f t="shared" si="87"/>
        <v>0.9</v>
      </c>
      <c r="AF254" s="179">
        <f t="shared" si="88"/>
        <v>0.87374754666046428</v>
      </c>
      <c r="AG254" s="839">
        <f t="shared" si="89"/>
        <v>-3</v>
      </c>
      <c r="AH254" s="178">
        <f t="shared" si="90"/>
        <v>3</v>
      </c>
      <c r="AI254" s="227">
        <f t="shared" si="91"/>
        <v>-2.1262524533395357</v>
      </c>
      <c r="AJ254" s="267" t="b">
        <f t="shared" si="92"/>
        <v>0</v>
      </c>
      <c r="AK254" s="267" t="b">
        <f t="shared" si="93"/>
        <v>0</v>
      </c>
      <c r="AL254" s="267"/>
      <c r="AM254" s="267"/>
      <c r="AN254" s="75"/>
    </row>
    <row r="255" spans="1:40" s="6" customFormat="1" ht="11.25" x14ac:dyDescent="0.2">
      <c r="A255" s="56">
        <f t="shared" si="95"/>
        <v>43341</v>
      </c>
      <c r="B255" s="620"/>
      <c r="C255" s="392"/>
      <c r="D255" s="395"/>
      <c r="E255" s="387"/>
      <c r="F255" s="387"/>
      <c r="G255" s="110"/>
      <c r="I255" s="382">
        <f t="shared" si="72"/>
        <v>0</v>
      </c>
      <c r="J255" s="85">
        <v>2018</v>
      </c>
      <c r="K255" s="199">
        <f t="shared" si="73"/>
        <v>43341</v>
      </c>
      <c r="L255" s="439">
        <f t="shared" si="74"/>
        <v>6.5139623663101887E-4</v>
      </c>
      <c r="M255" s="883"/>
      <c r="N255" s="883"/>
      <c r="O255" s="326">
        <f t="shared" si="75"/>
        <v>6.7771201608444031E-3</v>
      </c>
      <c r="P255" s="171">
        <f>(INDEX(Models!$BJ255:$BT255,,T255)*(1-R255)+INDEX(Models!$BJ255:$BT255,,T255+1)*R255-ERP_i)*Q255*Ramure*Pc/MaxiM</f>
        <v>7.6425586097013311E-4</v>
      </c>
      <c r="Q255" s="307">
        <f t="shared" si="76"/>
        <v>0.9</v>
      </c>
      <c r="R255" s="179">
        <f t="shared" si="77"/>
        <v>0.87476680224367698</v>
      </c>
      <c r="S255" s="839">
        <f t="shared" si="94"/>
        <v>-3</v>
      </c>
      <c r="T255" s="178">
        <f t="shared" si="78"/>
        <v>3</v>
      </c>
      <c r="U255" s="253">
        <f t="shared" si="79"/>
        <v>-2.125233197756323</v>
      </c>
      <c r="V255" s="385">
        <f t="shared" si="80"/>
        <v>52.411443897560339</v>
      </c>
      <c r="W255" s="58"/>
      <c r="X255" s="157">
        <f t="shared" si="81"/>
        <v>43341</v>
      </c>
      <c r="Y255" s="387">
        <f t="shared" si="82"/>
        <v>0</v>
      </c>
      <c r="Z255" s="387">
        <f t="shared" si="83"/>
        <v>0</v>
      </c>
      <c r="AA255" s="388">
        <f t="shared" si="84"/>
        <v>0</v>
      </c>
      <c r="AB255" s="199">
        <f t="shared" si="85"/>
        <v>43341</v>
      </c>
      <c r="AC255" s="428">
        <f t="shared" si="86"/>
        <v>6.7771201608444031E-3</v>
      </c>
      <c r="AD255" s="171">
        <f>(INDEX(Models!$BJ255:$BT255,,AH255)*(1-AF255)+INDEX(Models!$BJ255:$BT255,,AH255+1)*AF255-ERP_i)*AE255*Ramure*Pc/MaxiM</f>
        <v>7.6425586097013311E-4</v>
      </c>
      <c r="AE255" s="307">
        <f t="shared" si="87"/>
        <v>0.9</v>
      </c>
      <c r="AF255" s="179">
        <f t="shared" si="88"/>
        <v>0.87476680224367698</v>
      </c>
      <c r="AG255" s="839">
        <f t="shared" si="89"/>
        <v>-3</v>
      </c>
      <c r="AH255" s="178">
        <f t="shared" si="90"/>
        <v>3</v>
      </c>
      <c r="AI255" s="227">
        <f t="shared" si="91"/>
        <v>-2.125233197756323</v>
      </c>
      <c r="AJ255" s="267" t="b">
        <f t="shared" si="92"/>
        <v>0</v>
      </c>
      <c r="AK255" s="267" t="b">
        <f t="shared" si="93"/>
        <v>0</v>
      </c>
      <c r="AL255" s="267"/>
      <c r="AM255" s="267"/>
      <c r="AN255" s="75"/>
    </row>
    <row r="256" spans="1:40" s="6" customFormat="1" ht="11.25" customHeight="1" x14ac:dyDescent="0.2">
      <c r="A256" s="56">
        <f t="shared" si="95"/>
        <v>43342</v>
      </c>
      <c r="B256" s="620"/>
      <c r="C256" s="392"/>
      <c r="D256" s="395"/>
      <c r="E256" s="387"/>
      <c r="F256" s="387"/>
      <c r="G256" s="110"/>
      <c r="I256" s="382">
        <f t="shared" si="72"/>
        <v>0</v>
      </c>
      <c r="J256" s="85">
        <v>2018</v>
      </c>
      <c r="K256" s="199">
        <f t="shared" si="73"/>
        <v>43342</v>
      </c>
      <c r="L256" s="439">
        <f t="shared" si="74"/>
        <v>6.7465253859488872E-4</v>
      </c>
      <c r="M256" s="883"/>
      <c r="N256" s="883"/>
      <c r="O256" s="326">
        <f t="shared" si="75"/>
        <v>7.0144171009216003E-3</v>
      </c>
      <c r="P256" s="171">
        <f>(INDEX(Models!$BJ256:$BT256,,T256)*(1-R256)+INDEX(Models!$BJ256:$BT256,,T256+1)*R256-ERP_i)*Q256*Ramure*Pc/MaxiM</f>
        <v>7.957549921409089E-4</v>
      </c>
      <c r="Q256" s="307">
        <f t="shared" si="76"/>
        <v>0.9</v>
      </c>
      <c r="R256" s="179">
        <f t="shared" si="77"/>
        <v>0.87574791882932157</v>
      </c>
      <c r="S256" s="839">
        <f t="shared" si="94"/>
        <v>-3</v>
      </c>
      <c r="T256" s="178">
        <f t="shared" si="78"/>
        <v>3</v>
      </c>
      <c r="U256" s="253">
        <f t="shared" si="79"/>
        <v>-2.1242520811706784</v>
      </c>
      <c r="V256" s="385">
        <f t="shared" si="80"/>
        <v>52.084275720012833</v>
      </c>
      <c r="W256" s="58"/>
      <c r="X256" s="157">
        <f t="shared" si="81"/>
        <v>43342</v>
      </c>
      <c r="Y256" s="387">
        <f t="shared" si="82"/>
        <v>0</v>
      </c>
      <c r="Z256" s="387">
        <f t="shared" si="83"/>
        <v>0</v>
      </c>
      <c r="AA256" s="388">
        <f t="shared" si="84"/>
        <v>0</v>
      </c>
      <c r="AB256" s="199">
        <f t="shared" si="85"/>
        <v>43342</v>
      </c>
      <c r="AC256" s="428">
        <f t="shared" si="86"/>
        <v>7.0144171009216003E-3</v>
      </c>
      <c r="AD256" s="171">
        <f>(INDEX(Models!$BJ256:$BT256,,AH256)*(1-AF256)+INDEX(Models!$BJ256:$BT256,,AH256+1)*AF256-ERP_i)*AE256*Ramure*Pc/MaxiM</f>
        <v>7.957549921409089E-4</v>
      </c>
      <c r="AE256" s="307">
        <f t="shared" si="87"/>
        <v>0.9</v>
      </c>
      <c r="AF256" s="179">
        <f t="shared" si="88"/>
        <v>0.87574791882932157</v>
      </c>
      <c r="AG256" s="839">
        <f t="shared" si="89"/>
        <v>-3</v>
      </c>
      <c r="AH256" s="178">
        <f t="shared" si="90"/>
        <v>3</v>
      </c>
      <c r="AI256" s="227">
        <f t="shared" si="91"/>
        <v>-2.1242520811706784</v>
      </c>
      <c r="AJ256" s="267" t="b">
        <f t="shared" si="92"/>
        <v>0</v>
      </c>
      <c r="AK256" s="267" t="b">
        <f t="shared" si="93"/>
        <v>0</v>
      </c>
      <c r="AL256" s="267"/>
      <c r="AM256" s="267"/>
      <c r="AN256" s="75"/>
    </row>
    <row r="257" spans="1:40" s="6" customFormat="1" ht="11.25" x14ac:dyDescent="0.2">
      <c r="A257" s="56">
        <f t="shared" si="95"/>
        <v>43343</v>
      </c>
      <c r="B257" s="620"/>
      <c r="C257" s="392"/>
      <c r="D257" s="395"/>
      <c r="E257" s="387"/>
      <c r="F257" s="387"/>
      <c r="G257" s="110"/>
      <c r="I257" s="382">
        <f t="shared" si="72"/>
        <v>0</v>
      </c>
      <c r="J257" s="85">
        <v>2018</v>
      </c>
      <c r="K257" s="199">
        <f t="shared" si="73"/>
        <v>43343</v>
      </c>
      <c r="L257" s="439">
        <f t="shared" si="74"/>
        <v>6.9790829935068022E-4</v>
      </c>
      <c r="M257" s="883"/>
      <c r="N257" s="883"/>
      <c r="O257" s="326">
        <f t="shared" si="75"/>
        <v>7.2513460333923762E-3</v>
      </c>
      <c r="P257" s="171">
        <f>(INDEX(Models!$BJ257:$BT257,,T257)*(1-R257)+INDEX(Models!$BJ257:$BT257,,T257+1)*R257-ERP_i)*Q257*Ramure*Pc/MaxiM</f>
        <v>8.2744585700822112E-4</v>
      </c>
      <c r="Q257" s="307">
        <f t="shared" si="76"/>
        <v>0.9</v>
      </c>
      <c r="R257" s="179">
        <f t="shared" si="77"/>
        <v>0.87669221489490212</v>
      </c>
      <c r="S257" s="839">
        <f t="shared" si="94"/>
        <v>-3</v>
      </c>
      <c r="T257" s="178">
        <f t="shared" si="78"/>
        <v>3</v>
      </c>
      <c r="U257" s="253">
        <f t="shared" si="79"/>
        <v>-2.1233077851050979</v>
      </c>
      <c r="V257" s="385">
        <f t="shared" si="80"/>
        <v>51.75042117678467</v>
      </c>
      <c r="W257" s="58"/>
      <c r="X257" s="157">
        <f t="shared" si="81"/>
        <v>43343</v>
      </c>
      <c r="Y257" s="387">
        <f t="shared" si="82"/>
        <v>0</v>
      </c>
      <c r="Z257" s="387">
        <f t="shared" si="83"/>
        <v>0</v>
      </c>
      <c r="AA257" s="388">
        <f t="shared" si="84"/>
        <v>0</v>
      </c>
      <c r="AB257" s="199">
        <f t="shared" si="85"/>
        <v>43343</v>
      </c>
      <c r="AC257" s="428">
        <f t="shared" si="86"/>
        <v>7.2513460333923762E-3</v>
      </c>
      <c r="AD257" s="171">
        <f>(INDEX(Models!$BJ257:$BT257,,AH257)*(1-AF257)+INDEX(Models!$BJ257:$BT257,,AH257+1)*AF257-ERP_i)*AE257*Ramure*Pc/MaxiM</f>
        <v>8.2744585700822112E-4</v>
      </c>
      <c r="AE257" s="307">
        <f t="shared" si="87"/>
        <v>0.9</v>
      </c>
      <c r="AF257" s="179">
        <f t="shared" si="88"/>
        <v>0.87669221489490212</v>
      </c>
      <c r="AG257" s="839">
        <f t="shared" si="89"/>
        <v>-3</v>
      </c>
      <c r="AH257" s="178">
        <f t="shared" si="90"/>
        <v>3</v>
      </c>
      <c r="AI257" s="227">
        <f t="shared" si="91"/>
        <v>-2.1233077851050979</v>
      </c>
      <c r="AJ257" s="267" t="b">
        <f t="shared" si="92"/>
        <v>0</v>
      </c>
      <c r="AK257" s="267" t="b">
        <f t="shared" si="93"/>
        <v>0</v>
      </c>
      <c r="AL257" s="267"/>
      <c r="AM257" s="267"/>
      <c r="AN257" s="75"/>
    </row>
    <row r="258" spans="1:40" s="6" customFormat="1" ht="11.25" customHeight="1" x14ac:dyDescent="0.2">
      <c r="A258" s="56">
        <f t="shared" si="95"/>
        <v>43344</v>
      </c>
      <c r="B258" s="620"/>
      <c r="C258" s="392"/>
      <c r="D258" s="395"/>
      <c r="E258" s="387"/>
      <c r="F258" s="387"/>
      <c r="G258" s="110"/>
      <c r="I258" s="382">
        <f t="shared" si="72"/>
        <v>0</v>
      </c>
      <c r="J258" s="85">
        <v>2018</v>
      </c>
      <c r="K258" s="199">
        <f t="shared" si="73"/>
        <v>43344</v>
      </c>
      <c r="L258" s="439">
        <f t="shared" si="74"/>
        <v>7.2116351891104991E-4</v>
      </c>
      <c r="M258" s="883"/>
      <c r="N258" s="883"/>
      <c r="O258" s="326">
        <f t="shared" si="75"/>
        <v>7.4879011507370434E-3</v>
      </c>
      <c r="P258" s="171">
        <f>(INDEX(Models!$BJ258:$BT258,,T258)*(1-R258)+INDEX(Models!$BJ258:$BT258,,T258+1)*R258-ERP_i)*Q258*Ramure*Pc/MaxiM</f>
        <v>8.5934511319116669E-4</v>
      </c>
      <c r="Q258" s="307">
        <f t="shared" si="76"/>
        <v>0.9</v>
      </c>
      <c r="R258" s="179">
        <f t="shared" si="77"/>
        <v>0.87760097167057172</v>
      </c>
      <c r="S258" s="839">
        <f t="shared" si="94"/>
        <v>-3</v>
      </c>
      <c r="T258" s="178">
        <f t="shared" si="78"/>
        <v>3</v>
      </c>
      <c r="U258" s="253">
        <f t="shared" si="79"/>
        <v>-2.1223990283294283</v>
      </c>
      <c r="V258" s="385">
        <f t="shared" si="80"/>
        <v>51.409663700905114</v>
      </c>
      <c r="W258" s="58"/>
      <c r="X258" s="157">
        <f t="shared" si="81"/>
        <v>43344</v>
      </c>
      <c r="Y258" s="387">
        <f t="shared" si="82"/>
        <v>0</v>
      </c>
      <c r="Z258" s="387">
        <f t="shared" si="83"/>
        <v>0</v>
      </c>
      <c r="AA258" s="388">
        <f t="shared" si="84"/>
        <v>0</v>
      </c>
      <c r="AB258" s="199">
        <f t="shared" si="85"/>
        <v>43344</v>
      </c>
      <c r="AC258" s="428">
        <f t="shared" si="86"/>
        <v>7.4879011507370434E-3</v>
      </c>
      <c r="AD258" s="171">
        <f>(INDEX(Models!$BJ258:$BT258,,AH258)*(1-AF258)+INDEX(Models!$BJ258:$BT258,,AH258+1)*AF258-ERP_i)*AE258*Ramure*Pc/MaxiM</f>
        <v>8.5934511319116669E-4</v>
      </c>
      <c r="AE258" s="307">
        <f t="shared" si="87"/>
        <v>0.9</v>
      </c>
      <c r="AF258" s="179">
        <f t="shared" si="88"/>
        <v>0.87760097167057172</v>
      </c>
      <c r="AG258" s="839">
        <f t="shared" si="89"/>
        <v>-3</v>
      </c>
      <c r="AH258" s="178">
        <f t="shared" si="90"/>
        <v>3</v>
      </c>
      <c r="AI258" s="227">
        <f t="shared" si="91"/>
        <v>-2.1223990283294283</v>
      </c>
      <c r="AJ258" s="267" t="b">
        <f t="shared" si="92"/>
        <v>0</v>
      </c>
      <c r="AK258" s="267" t="b">
        <f t="shared" si="93"/>
        <v>0</v>
      </c>
      <c r="AL258" s="267"/>
      <c r="AM258" s="267"/>
      <c r="AN258" s="75"/>
    </row>
    <row r="259" spans="1:40" s="6" customFormat="1" ht="11.25" x14ac:dyDescent="0.2">
      <c r="A259" s="56">
        <f t="shared" si="95"/>
        <v>43345</v>
      </c>
      <c r="B259" s="620"/>
      <c r="C259" s="392"/>
      <c r="D259" s="395"/>
      <c r="E259" s="387"/>
      <c r="F259" s="387"/>
      <c r="G259" s="110"/>
      <c r="I259" s="382">
        <f t="shared" si="72"/>
        <v>0</v>
      </c>
      <c r="J259" s="85">
        <v>2018</v>
      </c>
      <c r="K259" s="199">
        <f t="shared" si="73"/>
        <v>43345</v>
      </c>
      <c r="L259" s="439">
        <f t="shared" si="74"/>
        <v>7.4441819728832126E-4</v>
      </c>
      <c r="M259" s="883"/>
      <c r="N259" s="883"/>
      <c r="O259" s="326">
        <f t="shared" si="75"/>
        <v>7.724076357938761E-3</v>
      </c>
      <c r="P259" s="171">
        <f>(INDEX(Models!$BJ259:$BT259,,T259)*(1-R259)+INDEX(Models!$BJ259:$BT259,,T259+1)*R259-ERP_i)*Q259*Ramure*Pc/MaxiM</f>
        <v>8.9147082199407155E-4</v>
      </c>
      <c r="Q259" s="307">
        <f t="shared" si="76"/>
        <v>0.9</v>
      </c>
      <c r="R259" s="179">
        <f t="shared" si="77"/>
        <v>0.8784754335304612</v>
      </c>
      <c r="S259" s="839">
        <f t="shared" si="94"/>
        <v>-3</v>
      </c>
      <c r="T259" s="178">
        <f t="shared" si="78"/>
        <v>3</v>
      </c>
      <c r="U259" s="253">
        <f t="shared" si="79"/>
        <v>-2.1215245664695388</v>
      </c>
      <c r="V259" s="385">
        <f t="shared" si="80"/>
        <v>51.061786934606573</v>
      </c>
      <c r="W259" s="58"/>
      <c r="X259" s="157">
        <f t="shared" si="81"/>
        <v>43345</v>
      </c>
      <c r="Y259" s="387">
        <f t="shared" si="82"/>
        <v>0</v>
      </c>
      <c r="Z259" s="387">
        <f t="shared" si="83"/>
        <v>0</v>
      </c>
      <c r="AA259" s="388">
        <f t="shared" si="84"/>
        <v>0</v>
      </c>
      <c r="AB259" s="199">
        <f t="shared" si="85"/>
        <v>43345</v>
      </c>
      <c r="AC259" s="428">
        <f t="shared" si="86"/>
        <v>7.724076357938761E-3</v>
      </c>
      <c r="AD259" s="171">
        <f>(INDEX(Models!$BJ259:$BT259,,AH259)*(1-AF259)+INDEX(Models!$BJ259:$BT259,,AH259+1)*AF259-ERP_i)*AE259*Ramure*Pc/MaxiM</f>
        <v>8.9147082199407155E-4</v>
      </c>
      <c r="AE259" s="307">
        <f t="shared" si="87"/>
        <v>0.9</v>
      </c>
      <c r="AF259" s="179">
        <f t="shared" si="88"/>
        <v>0.8784754335304612</v>
      </c>
      <c r="AG259" s="839">
        <f t="shared" si="89"/>
        <v>-3</v>
      </c>
      <c r="AH259" s="178">
        <f t="shared" si="90"/>
        <v>3</v>
      </c>
      <c r="AI259" s="227">
        <f t="shared" si="91"/>
        <v>-2.1215245664695388</v>
      </c>
      <c r="AJ259" s="267" t="b">
        <f t="shared" si="92"/>
        <v>0</v>
      </c>
      <c r="AK259" s="267" t="b">
        <f t="shared" si="93"/>
        <v>0</v>
      </c>
      <c r="AL259" s="267"/>
      <c r="AM259" s="267"/>
      <c r="AN259" s="75"/>
    </row>
    <row r="260" spans="1:40" s="6" customFormat="1" ht="11.25" x14ac:dyDescent="0.2">
      <c r="A260" s="56">
        <f t="shared" si="95"/>
        <v>43346</v>
      </c>
      <c r="B260" s="620"/>
      <c r="C260" s="392"/>
      <c r="D260" s="395"/>
      <c r="E260" s="387"/>
      <c r="F260" s="387"/>
      <c r="G260" s="110"/>
      <c r="I260" s="382">
        <f t="shared" si="72"/>
        <v>0</v>
      </c>
      <c r="J260" s="85">
        <v>2018</v>
      </c>
      <c r="K260" s="199">
        <f t="shared" si="73"/>
        <v>43346</v>
      </c>
      <c r="L260" s="439">
        <f t="shared" si="74"/>
        <v>7.6767233449537287E-4</v>
      </c>
      <c r="M260" s="883"/>
      <c r="N260" s="883"/>
      <c r="O260" s="326">
        <f t="shared" si="75"/>
        <v>7.9598652573465295E-3</v>
      </c>
      <c r="P260" s="171">
        <f>(INDEX(Models!$BJ260:$BT260,,T260)*(1-R260)+INDEX(Models!$BJ260:$BT260,,T260+1)*R260-ERP_i)*Q260*Ramure*Pc/MaxiM</f>
        <v>9.2384251510641306E-4</v>
      </c>
      <c r="Q260" s="307">
        <f t="shared" si="76"/>
        <v>0.9</v>
      </c>
      <c r="R260" s="179">
        <f t="shared" si="77"/>
        <v>0.87931680844053695</v>
      </c>
      <c r="S260" s="839">
        <f t="shared" si="94"/>
        <v>-3</v>
      </c>
      <c r="T260" s="178">
        <f t="shared" si="78"/>
        <v>3</v>
      </c>
      <c r="U260" s="253">
        <f t="shared" si="79"/>
        <v>-2.1206831915594631</v>
      </c>
      <c r="V260" s="385">
        <f t="shared" si="80"/>
        <v>50.706574731761037</v>
      </c>
      <c r="W260" s="58"/>
      <c r="X260" s="157">
        <f t="shared" si="81"/>
        <v>43346</v>
      </c>
      <c r="Y260" s="387">
        <f t="shared" si="82"/>
        <v>0</v>
      </c>
      <c r="Z260" s="387">
        <f t="shared" si="83"/>
        <v>0</v>
      </c>
      <c r="AA260" s="388">
        <f t="shared" si="84"/>
        <v>0</v>
      </c>
      <c r="AB260" s="199">
        <f t="shared" si="85"/>
        <v>43346</v>
      </c>
      <c r="AC260" s="428">
        <f t="shared" si="86"/>
        <v>7.9598652573465295E-3</v>
      </c>
      <c r="AD260" s="171">
        <f>(INDEX(Models!$BJ260:$BT260,,AH260)*(1-AF260)+INDEX(Models!$BJ260:$BT260,,AH260+1)*AF260-ERP_i)*AE260*Ramure*Pc/MaxiM</f>
        <v>9.2384251510641306E-4</v>
      </c>
      <c r="AE260" s="307">
        <f t="shared" si="87"/>
        <v>0.9</v>
      </c>
      <c r="AF260" s="179">
        <f t="shared" si="88"/>
        <v>0.87931680844053695</v>
      </c>
      <c r="AG260" s="839">
        <f t="shared" si="89"/>
        <v>-3</v>
      </c>
      <c r="AH260" s="178">
        <f t="shared" si="90"/>
        <v>3</v>
      </c>
      <c r="AI260" s="227">
        <f t="shared" si="91"/>
        <v>-2.1206831915594631</v>
      </c>
      <c r="AJ260" s="267" t="b">
        <f t="shared" si="92"/>
        <v>0</v>
      </c>
      <c r="AK260" s="267" t="b">
        <f t="shared" si="93"/>
        <v>0</v>
      </c>
      <c r="AL260" s="267"/>
      <c r="AM260" s="267"/>
      <c r="AN260" s="75"/>
    </row>
    <row r="261" spans="1:40" s="6" customFormat="1" ht="11.25" customHeight="1" x14ac:dyDescent="0.2">
      <c r="A261" s="56">
        <f t="shared" si="95"/>
        <v>43347</v>
      </c>
      <c r="B261" s="620"/>
      <c r="C261" s="392"/>
      <c r="D261" s="395"/>
      <c r="E261" s="387"/>
      <c r="F261" s="387"/>
      <c r="G261" s="110"/>
      <c r="I261" s="382">
        <f t="shared" si="72"/>
        <v>0</v>
      </c>
      <c r="J261" s="85">
        <v>2018</v>
      </c>
      <c r="K261" s="199">
        <f t="shared" si="73"/>
        <v>43347</v>
      </c>
      <c r="L261" s="439">
        <f t="shared" si="74"/>
        <v>7.9092593054463922E-4</v>
      </c>
      <c r="M261" s="883"/>
      <c r="N261" s="883"/>
      <c r="O261" s="326">
        <f t="shared" si="75"/>
        <v>8.1952611325363141E-3</v>
      </c>
      <c r="P261" s="171">
        <f>(INDEX(Models!$BJ261:$BT261,,T261)*(1-R261)+INDEX(Models!$BJ261:$BT261,,T261+1)*R261-ERP_i)*Q261*Ramure*Pc/MaxiM</f>
        <v>9.5649355390774551E-4</v>
      </c>
      <c r="Q261" s="307">
        <f t="shared" si="76"/>
        <v>0.9</v>
      </c>
      <c r="R261" s="179">
        <f t="shared" si="77"/>
        <v>0.88012626845660691</v>
      </c>
      <c r="S261" s="839">
        <f t="shared" si="94"/>
        <v>-3</v>
      </c>
      <c r="T261" s="178">
        <f t="shared" si="78"/>
        <v>3</v>
      </c>
      <c r="U261" s="253">
        <f t="shared" si="79"/>
        <v>-2.1198737315433931</v>
      </c>
      <c r="V261" s="385">
        <f t="shared" si="80"/>
        <v>50.343163952884311</v>
      </c>
      <c r="W261" s="58"/>
      <c r="X261" s="157">
        <f t="shared" si="81"/>
        <v>43347</v>
      </c>
      <c r="Y261" s="387">
        <f t="shared" si="82"/>
        <v>0</v>
      </c>
      <c r="Z261" s="387">
        <f t="shared" si="83"/>
        <v>0</v>
      </c>
      <c r="AA261" s="388">
        <f t="shared" si="84"/>
        <v>0</v>
      </c>
      <c r="AB261" s="199">
        <f t="shared" si="85"/>
        <v>43347</v>
      </c>
      <c r="AC261" s="428">
        <f t="shared" si="86"/>
        <v>8.1952611325363141E-3</v>
      </c>
      <c r="AD261" s="171">
        <f>(INDEX(Models!$BJ261:$BT261,,AH261)*(1-AF261)+INDEX(Models!$BJ261:$BT261,,AH261+1)*AF261-ERP_i)*AE261*Ramure*Pc/MaxiM</f>
        <v>9.5649355390774551E-4</v>
      </c>
      <c r="AE261" s="307">
        <f t="shared" si="87"/>
        <v>0.9</v>
      </c>
      <c r="AF261" s="179">
        <f t="shared" si="88"/>
        <v>0.88012626845660691</v>
      </c>
      <c r="AG261" s="839">
        <f t="shared" si="89"/>
        <v>-3</v>
      </c>
      <c r="AH261" s="178">
        <f t="shared" si="90"/>
        <v>3</v>
      </c>
      <c r="AI261" s="227">
        <f t="shared" si="91"/>
        <v>-2.1198737315433931</v>
      </c>
      <c r="AJ261" s="267" t="b">
        <f t="shared" si="92"/>
        <v>0</v>
      </c>
      <c r="AK261" s="267" t="b">
        <f t="shared" si="93"/>
        <v>0</v>
      </c>
      <c r="AL261" s="267"/>
      <c r="AM261" s="267"/>
      <c r="AN261" s="75"/>
    </row>
    <row r="262" spans="1:40" s="6" customFormat="1" ht="11.25" x14ac:dyDescent="0.2">
      <c r="A262" s="56">
        <f t="shared" si="95"/>
        <v>43348</v>
      </c>
      <c r="B262" s="620"/>
      <c r="C262" s="392"/>
      <c r="D262" s="395"/>
      <c r="E262" s="387"/>
      <c r="F262" s="387"/>
      <c r="G262" s="110"/>
      <c r="I262" s="382">
        <f t="shared" si="72"/>
        <v>0</v>
      </c>
      <c r="J262" s="85">
        <v>2018</v>
      </c>
      <c r="K262" s="199">
        <f t="shared" si="73"/>
        <v>43348</v>
      </c>
      <c r="L262" s="439">
        <f t="shared" si="74"/>
        <v>8.1417898544866585E-4</v>
      </c>
      <c r="M262" s="883"/>
      <c r="N262" s="883"/>
      <c r="O262" s="326">
        <f t="shared" si="75"/>
        <v>8.4302569313248251E-3</v>
      </c>
      <c r="P262" s="171">
        <f>(INDEX(Models!$BJ262:$BT262,,T262)*(1-R262)+INDEX(Models!$BJ262:$BT262,,T262+1)*R262-ERP_i)*Q262*Ramure*Pc/MaxiM</f>
        <v>9.8900013283900398E-4</v>
      </c>
      <c r="Q262" s="307">
        <f t="shared" si="76"/>
        <v>0.9</v>
      </c>
      <c r="R262" s="179">
        <f t="shared" si="77"/>
        <v>0.88090495026648741</v>
      </c>
      <c r="S262" s="839">
        <f t="shared" si="94"/>
        <v>-3</v>
      </c>
      <c r="T262" s="178">
        <f t="shared" si="78"/>
        <v>3</v>
      </c>
      <c r="U262" s="253">
        <f t="shared" si="79"/>
        <v>-2.1190950497335126</v>
      </c>
      <c r="V262" s="385">
        <f t="shared" si="80"/>
        <v>49.971232512505402</v>
      </c>
      <c r="W262" s="58"/>
      <c r="X262" s="157">
        <f t="shared" si="81"/>
        <v>43348</v>
      </c>
      <c r="Y262" s="387">
        <f t="shared" si="82"/>
        <v>0</v>
      </c>
      <c r="Z262" s="387">
        <f t="shared" si="83"/>
        <v>0</v>
      </c>
      <c r="AA262" s="388">
        <f t="shared" si="84"/>
        <v>0</v>
      </c>
      <c r="AB262" s="199">
        <f t="shared" si="85"/>
        <v>43348</v>
      </c>
      <c r="AC262" s="428">
        <f t="shared" si="86"/>
        <v>8.4302569313248251E-3</v>
      </c>
      <c r="AD262" s="171">
        <f>(INDEX(Models!$BJ262:$BT262,,AH262)*(1-AF262)+INDEX(Models!$BJ262:$BT262,,AH262+1)*AF262-ERP_i)*AE262*Ramure*Pc/MaxiM</f>
        <v>9.8900013283900398E-4</v>
      </c>
      <c r="AE262" s="307">
        <f t="shared" si="87"/>
        <v>0.9</v>
      </c>
      <c r="AF262" s="179">
        <f t="shared" si="88"/>
        <v>0.88090495026648741</v>
      </c>
      <c r="AG262" s="839">
        <f t="shared" si="89"/>
        <v>-3</v>
      </c>
      <c r="AH262" s="178">
        <f t="shared" si="90"/>
        <v>3</v>
      </c>
      <c r="AI262" s="227">
        <f t="shared" si="91"/>
        <v>-2.1190950497335126</v>
      </c>
      <c r="AJ262" s="267" t="b">
        <f t="shared" si="92"/>
        <v>0</v>
      </c>
      <c r="AK262" s="267" t="b">
        <f t="shared" si="93"/>
        <v>0</v>
      </c>
      <c r="AL262" s="267"/>
      <c r="AM262" s="267"/>
      <c r="AN262" s="75"/>
    </row>
    <row r="263" spans="1:40" s="6" customFormat="1" ht="11.25" x14ac:dyDescent="0.2">
      <c r="A263" s="56">
        <f t="shared" si="95"/>
        <v>43349</v>
      </c>
      <c r="B263" s="620"/>
      <c r="C263" s="392"/>
      <c r="D263" s="395"/>
      <c r="E263" s="387"/>
      <c r="F263" s="387"/>
      <c r="G263" s="110"/>
      <c r="I263" s="382">
        <f t="shared" si="72"/>
        <v>0</v>
      </c>
      <c r="J263" s="85">
        <v>2018</v>
      </c>
      <c r="K263" s="199">
        <f t="shared" si="73"/>
        <v>43349</v>
      </c>
      <c r="L263" s="439">
        <f t="shared" si="74"/>
        <v>8.3743149922022031E-4</v>
      </c>
      <c r="M263" s="883"/>
      <c r="N263" s="883"/>
      <c r="O263" s="326">
        <f t="shared" si="75"/>
        <v>8.6648452481355494E-3</v>
      </c>
      <c r="P263" s="171">
        <f>(INDEX(Models!$BJ263:$BT263,,T263)*(1-R263)+INDEX(Models!$BJ263:$BT263,,T263+1)*R263-ERP_i)*Q263*Ramure*Pc/MaxiM</f>
        <v>1.0213422589846475E-3</v>
      </c>
      <c r="Q263" s="307">
        <f t="shared" si="76"/>
        <v>0.9</v>
      </c>
      <c r="R263" s="179">
        <f t="shared" si="77"/>
        <v>0.88165395577077188</v>
      </c>
      <c r="S263" s="839">
        <f t="shared" si="94"/>
        <v>-3</v>
      </c>
      <c r="T263" s="178">
        <f t="shared" si="78"/>
        <v>3</v>
      </c>
      <c r="U263" s="253">
        <f t="shared" si="79"/>
        <v>-2.1183460442292281</v>
      </c>
      <c r="V263" s="385">
        <f t="shared" si="80"/>
        <v>49.591342721221288</v>
      </c>
      <c r="W263" s="58"/>
      <c r="X263" s="157">
        <f t="shared" si="81"/>
        <v>43349</v>
      </c>
      <c r="Y263" s="387">
        <f t="shared" si="82"/>
        <v>0</v>
      </c>
      <c r="Z263" s="387">
        <f t="shared" si="83"/>
        <v>0</v>
      </c>
      <c r="AA263" s="388">
        <f t="shared" si="84"/>
        <v>0</v>
      </c>
      <c r="AB263" s="199">
        <f t="shared" si="85"/>
        <v>43349</v>
      </c>
      <c r="AC263" s="428">
        <f t="shared" si="86"/>
        <v>8.6648452481355494E-3</v>
      </c>
      <c r="AD263" s="171">
        <f>(INDEX(Models!$BJ263:$BT263,,AH263)*(1-AF263)+INDEX(Models!$BJ263:$BT263,,AH263+1)*AF263-ERP_i)*AE263*Ramure*Pc/MaxiM</f>
        <v>1.0213422589846475E-3</v>
      </c>
      <c r="AE263" s="307">
        <f t="shared" si="87"/>
        <v>0.9</v>
      </c>
      <c r="AF263" s="179">
        <f t="shared" si="88"/>
        <v>0.88165395577077188</v>
      </c>
      <c r="AG263" s="839">
        <f t="shared" si="89"/>
        <v>-3</v>
      </c>
      <c r="AH263" s="178">
        <f t="shared" si="90"/>
        <v>3</v>
      </c>
      <c r="AI263" s="227">
        <f t="shared" si="91"/>
        <v>-2.1183460442292281</v>
      </c>
      <c r="AJ263" s="267" t="b">
        <f t="shared" si="92"/>
        <v>0</v>
      </c>
      <c r="AK263" s="267" t="b">
        <f t="shared" si="93"/>
        <v>0</v>
      </c>
      <c r="AL263" s="267"/>
      <c r="AM263" s="267"/>
      <c r="AN263" s="75"/>
    </row>
    <row r="264" spans="1:40" s="6" customFormat="1" ht="11.25" customHeight="1" x14ac:dyDescent="0.2">
      <c r="A264" s="56">
        <f t="shared" si="95"/>
        <v>43350</v>
      </c>
      <c r="B264" s="620"/>
      <c r="C264" s="392"/>
      <c r="D264" s="395"/>
      <c r="E264" s="387"/>
      <c r="F264" s="387"/>
      <c r="G264" s="110"/>
      <c r="I264" s="382">
        <f t="shared" si="72"/>
        <v>0</v>
      </c>
      <c r="J264" s="85">
        <v>2018</v>
      </c>
      <c r="K264" s="199">
        <f t="shared" si="73"/>
        <v>43350</v>
      </c>
      <c r="L264" s="439">
        <f t="shared" si="74"/>
        <v>8.6068347187184813E-4</v>
      </c>
      <c r="M264" s="883"/>
      <c r="N264" s="883"/>
      <c r="O264" s="326">
        <f t="shared" si="75"/>
        <v>8.8990183059604756E-3</v>
      </c>
      <c r="P264" s="171">
        <f>(INDEX(Models!$BJ264:$BT264,,T264)*(1-R264)+INDEX(Models!$BJ264:$BT264,,T264+1)*R264-ERP_i)*Q264*Ramure*Pc/MaxiM</f>
        <v>1.0535167973640218E-3</v>
      </c>
      <c r="Q264" s="307">
        <f t="shared" si="76"/>
        <v>0.9</v>
      </c>
      <c r="R264" s="179">
        <f t="shared" si="77"/>
        <v>0.88237435269702447</v>
      </c>
      <c r="S264" s="839">
        <f t="shared" si="94"/>
        <v>-3</v>
      </c>
      <c r="T264" s="178">
        <f t="shared" si="78"/>
        <v>3</v>
      </c>
      <c r="U264" s="253">
        <f t="shared" si="79"/>
        <v>-2.1176256473029755</v>
      </c>
      <c r="V264" s="385">
        <f t="shared" si="80"/>
        <v>49.204055358174791</v>
      </c>
      <c r="W264" s="58"/>
      <c r="X264" s="157">
        <f t="shared" si="81"/>
        <v>43350</v>
      </c>
      <c r="Y264" s="387">
        <f t="shared" si="82"/>
        <v>0</v>
      </c>
      <c r="Z264" s="387">
        <f t="shared" si="83"/>
        <v>0</v>
      </c>
      <c r="AA264" s="388">
        <f t="shared" si="84"/>
        <v>0</v>
      </c>
      <c r="AB264" s="199">
        <f t="shared" si="85"/>
        <v>43350</v>
      </c>
      <c r="AC264" s="428">
        <f t="shared" si="86"/>
        <v>8.8990183059604756E-3</v>
      </c>
      <c r="AD264" s="171">
        <f>(INDEX(Models!$BJ264:$BT264,,AH264)*(1-AF264)+INDEX(Models!$BJ264:$BT264,,AH264+1)*AF264-ERP_i)*AE264*Ramure*Pc/MaxiM</f>
        <v>1.0535167973640218E-3</v>
      </c>
      <c r="AE264" s="307">
        <f t="shared" si="87"/>
        <v>0.9</v>
      </c>
      <c r="AF264" s="179">
        <f t="shared" si="88"/>
        <v>0.88237435269702447</v>
      </c>
      <c r="AG264" s="839">
        <f t="shared" si="89"/>
        <v>-3</v>
      </c>
      <c r="AH264" s="178">
        <f t="shared" si="90"/>
        <v>3</v>
      </c>
      <c r="AI264" s="227">
        <f t="shared" si="91"/>
        <v>-2.1176256473029755</v>
      </c>
      <c r="AJ264" s="267" t="b">
        <f t="shared" si="92"/>
        <v>0</v>
      </c>
      <c r="AK264" s="267" t="b">
        <f t="shared" si="93"/>
        <v>0</v>
      </c>
      <c r="AL264" s="267"/>
      <c r="AM264" s="267"/>
      <c r="AN264" s="75"/>
    </row>
    <row r="265" spans="1:40" s="6" customFormat="1" ht="11.25" x14ac:dyDescent="0.2">
      <c r="A265" s="56">
        <f t="shared" si="95"/>
        <v>43351</v>
      </c>
      <c r="B265" s="620"/>
      <c r="C265" s="392"/>
      <c r="D265" s="395"/>
      <c r="E265" s="387"/>
      <c r="F265" s="387"/>
      <c r="G265" s="110"/>
      <c r="I265" s="382">
        <f t="shared" si="72"/>
        <v>0</v>
      </c>
      <c r="J265" s="85">
        <v>2018</v>
      </c>
      <c r="K265" s="199">
        <f t="shared" si="73"/>
        <v>43351</v>
      </c>
      <c r="L265" s="439">
        <f t="shared" si="74"/>
        <v>8.839349034159838E-4</v>
      </c>
      <c r="M265" s="883"/>
      <c r="N265" s="883"/>
      <c r="O265" s="326">
        <f t="shared" si="75"/>
        <v>9.1327679382019709E-3</v>
      </c>
      <c r="P265" s="171">
        <f>(INDEX(Models!$BJ265:$BT265,,T265)*(1-R265)+INDEX(Models!$BJ265:$BT265,,T265+1)*R265-ERP_i)*Q265*Ramure*Pc/MaxiM</f>
        <v>1.085519175324863E-3</v>
      </c>
      <c r="Q265" s="307">
        <f t="shared" si="76"/>
        <v>0.9</v>
      </c>
      <c r="R265" s="179">
        <f t="shared" si="77"/>
        <v>0.88306717524260847</v>
      </c>
      <c r="S265" s="839">
        <f t="shared" si="94"/>
        <v>-3</v>
      </c>
      <c r="T265" s="178">
        <f t="shared" si="78"/>
        <v>3</v>
      </c>
      <c r="U265" s="253">
        <f t="shared" si="79"/>
        <v>-2.1169328247573915</v>
      </c>
      <c r="V265" s="385">
        <f t="shared" si="80"/>
        <v>48.809930604535978</v>
      </c>
      <c r="W265" s="58"/>
      <c r="X265" s="157">
        <f t="shared" si="81"/>
        <v>43351</v>
      </c>
      <c r="Y265" s="387">
        <f t="shared" si="82"/>
        <v>0</v>
      </c>
      <c r="Z265" s="387">
        <f t="shared" si="83"/>
        <v>0</v>
      </c>
      <c r="AA265" s="388">
        <f t="shared" si="84"/>
        <v>0</v>
      </c>
      <c r="AB265" s="199">
        <f t="shared" si="85"/>
        <v>43351</v>
      </c>
      <c r="AC265" s="428">
        <f t="shared" si="86"/>
        <v>9.1327679382019709E-3</v>
      </c>
      <c r="AD265" s="171">
        <f>(INDEX(Models!$BJ265:$BT265,,AH265)*(1-AF265)+INDEX(Models!$BJ265:$BT265,,AH265+1)*AF265-ERP_i)*AE265*Ramure*Pc/MaxiM</f>
        <v>1.085519175324863E-3</v>
      </c>
      <c r="AE265" s="307">
        <f t="shared" si="87"/>
        <v>0.9</v>
      </c>
      <c r="AF265" s="179">
        <f t="shared" si="88"/>
        <v>0.88306717524260847</v>
      </c>
      <c r="AG265" s="839">
        <f t="shared" si="89"/>
        <v>-3</v>
      </c>
      <c r="AH265" s="178">
        <f t="shared" si="90"/>
        <v>3</v>
      </c>
      <c r="AI265" s="227">
        <f t="shared" si="91"/>
        <v>-2.1169328247573915</v>
      </c>
      <c r="AJ265" s="267" t="b">
        <f t="shared" si="92"/>
        <v>0</v>
      </c>
      <c r="AK265" s="267" t="b">
        <f t="shared" si="93"/>
        <v>0</v>
      </c>
      <c r="AL265" s="267"/>
      <c r="AM265" s="267"/>
      <c r="AN265" s="75"/>
    </row>
    <row r="266" spans="1:40" s="6" customFormat="1" ht="11.25" x14ac:dyDescent="0.2">
      <c r="A266" s="56">
        <f t="shared" si="95"/>
        <v>43352</v>
      </c>
      <c r="B266" s="620"/>
      <c r="C266" s="392"/>
      <c r="D266" s="395"/>
      <c r="E266" s="387"/>
      <c r="F266" s="387"/>
      <c r="G266" s="110"/>
      <c r="I266" s="382">
        <f t="shared" si="72"/>
        <v>0</v>
      </c>
      <c r="J266" s="85">
        <v>2018</v>
      </c>
      <c r="K266" s="199">
        <f t="shared" si="73"/>
        <v>43352</v>
      </c>
      <c r="L266" s="439">
        <f t="shared" si="74"/>
        <v>9.0718579386550591E-4</v>
      </c>
      <c r="M266" s="883"/>
      <c r="N266" s="883"/>
      <c r="O266" s="326">
        <f t="shared" si="75"/>
        <v>9.3660855707185832E-3</v>
      </c>
      <c r="P266" s="171">
        <f>(INDEX(Models!$BJ266:$BT266,,T266)*(1-R266)+INDEX(Models!$BJ266:$BT266,,T266+1)*R266-ERP_i)*Q266*Ramure*Pc/MaxiM</f>
        <v>1.1173433208004914E-3</v>
      </c>
      <c r="Q266" s="307">
        <f t="shared" si="76"/>
        <v>0.9</v>
      </c>
      <c r="R266" s="179">
        <f t="shared" si="77"/>
        <v>0.88373342474170569</v>
      </c>
      <c r="S266" s="839">
        <f t="shared" si="94"/>
        <v>-3</v>
      </c>
      <c r="T266" s="178">
        <f t="shared" si="78"/>
        <v>3</v>
      </c>
      <c r="U266" s="253">
        <f t="shared" si="79"/>
        <v>-2.1162665752582943</v>
      </c>
      <c r="V266" s="385">
        <f t="shared" si="80"/>
        <v>48.409528037912189</v>
      </c>
      <c r="W266" s="58"/>
      <c r="X266" s="157">
        <f t="shared" si="81"/>
        <v>43352</v>
      </c>
      <c r="Y266" s="387">
        <f t="shared" si="82"/>
        <v>0</v>
      </c>
      <c r="Z266" s="387">
        <f t="shared" si="83"/>
        <v>0</v>
      </c>
      <c r="AA266" s="388">
        <f t="shared" si="84"/>
        <v>0</v>
      </c>
      <c r="AB266" s="199">
        <f t="shared" si="85"/>
        <v>43352</v>
      </c>
      <c r="AC266" s="428">
        <f t="shared" si="86"/>
        <v>9.3660855707185832E-3</v>
      </c>
      <c r="AD266" s="171">
        <f>(INDEX(Models!$BJ266:$BT266,,AH266)*(1-AF266)+INDEX(Models!$BJ266:$BT266,,AH266+1)*AF266-ERP_i)*AE266*Ramure*Pc/MaxiM</f>
        <v>1.1173433208004914E-3</v>
      </c>
      <c r="AE266" s="307">
        <f t="shared" si="87"/>
        <v>0.9</v>
      </c>
      <c r="AF266" s="179">
        <f t="shared" si="88"/>
        <v>0.88373342474170569</v>
      </c>
      <c r="AG266" s="839">
        <f t="shared" si="89"/>
        <v>-3</v>
      </c>
      <c r="AH266" s="178">
        <f t="shared" si="90"/>
        <v>3</v>
      </c>
      <c r="AI266" s="227">
        <f t="shared" si="91"/>
        <v>-2.1162665752582943</v>
      </c>
      <c r="AJ266" s="267" t="b">
        <f t="shared" si="92"/>
        <v>0</v>
      </c>
      <c r="AK266" s="267" t="b">
        <f t="shared" si="93"/>
        <v>0</v>
      </c>
      <c r="AL266" s="267"/>
      <c r="AM266" s="267"/>
      <c r="AN266" s="75"/>
    </row>
    <row r="267" spans="1:40" s="6" customFormat="1" ht="11.25" x14ac:dyDescent="0.2">
      <c r="A267" s="56">
        <f t="shared" si="95"/>
        <v>43353</v>
      </c>
      <c r="B267" s="620"/>
      <c r="C267" s="392"/>
      <c r="D267" s="395"/>
      <c r="E267" s="387"/>
      <c r="F267" s="387"/>
      <c r="G267" s="110"/>
      <c r="I267" s="382">
        <f t="shared" si="72"/>
        <v>0</v>
      </c>
      <c r="J267" s="85">
        <v>2018</v>
      </c>
      <c r="K267" s="199">
        <f t="shared" si="73"/>
        <v>43353</v>
      </c>
      <c r="L267" s="439">
        <f t="shared" si="74"/>
        <v>9.3043614323273793E-4</v>
      </c>
      <c r="M267" s="883"/>
      <c r="N267" s="883"/>
      <c r="O267" s="326">
        <f t="shared" si="75"/>
        <v>9.598962204432954E-3</v>
      </c>
      <c r="P267" s="171">
        <f>(INDEX(Models!$BJ267:$BT267,,T267)*(1-R267)+INDEX(Models!$BJ267:$BT267,,T267+1)*R267-ERP_i)*Q267*Ramure*Pc/MaxiM</f>
        <v>1.1489815959459589E-3</v>
      </c>
      <c r="Q267" s="307">
        <f t="shared" si="76"/>
        <v>0.9</v>
      </c>
      <c r="R267" s="179">
        <f t="shared" si="77"/>
        <v>0.88437407035243654</v>
      </c>
      <c r="S267" s="839">
        <f t="shared" si="94"/>
        <v>-3</v>
      </c>
      <c r="T267" s="178">
        <f t="shared" si="78"/>
        <v>3</v>
      </c>
      <c r="U267" s="253">
        <f t="shared" si="79"/>
        <v>-2.1156259296475635</v>
      </c>
      <c r="V267" s="385">
        <f t="shared" si="80"/>
        <v>48.00340664430334</v>
      </c>
      <c r="W267" s="58"/>
      <c r="X267" s="157">
        <f t="shared" si="81"/>
        <v>43353</v>
      </c>
      <c r="Y267" s="387">
        <f t="shared" si="82"/>
        <v>0</v>
      </c>
      <c r="Z267" s="387">
        <f t="shared" si="83"/>
        <v>0</v>
      </c>
      <c r="AA267" s="388">
        <f t="shared" si="84"/>
        <v>0</v>
      </c>
      <c r="AB267" s="199">
        <f t="shared" si="85"/>
        <v>43353</v>
      </c>
      <c r="AC267" s="428">
        <f t="shared" si="86"/>
        <v>9.598962204432954E-3</v>
      </c>
      <c r="AD267" s="171">
        <f>(INDEX(Models!$BJ267:$BT267,,AH267)*(1-AF267)+INDEX(Models!$BJ267:$BT267,,AH267+1)*AF267-ERP_i)*AE267*Ramure*Pc/MaxiM</f>
        <v>1.1489815959459589E-3</v>
      </c>
      <c r="AE267" s="307">
        <f t="shared" si="87"/>
        <v>0.9</v>
      </c>
      <c r="AF267" s="179">
        <f t="shared" si="88"/>
        <v>0.88437407035243654</v>
      </c>
      <c r="AG267" s="839">
        <f t="shared" si="89"/>
        <v>-3</v>
      </c>
      <c r="AH267" s="178">
        <f t="shared" si="90"/>
        <v>3</v>
      </c>
      <c r="AI267" s="227">
        <f t="shared" si="91"/>
        <v>-2.1156259296475635</v>
      </c>
      <c r="AJ267" s="267" t="b">
        <f t="shared" si="92"/>
        <v>0</v>
      </c>
      <c r="AK267" s="267" t="b">
        <f t="shared" si="93"/>
        <v>0</v>
      </c>
      <c r="AL267" s="267"/>
      <c r="AM267" s="267"/>
      <c r="AN267" s="75"/>
    </row>
    <row r="268" spans="1:40" s="6" customFormat="1" ht="11.25" x14ac:dyDescent="0.2">
      <c r="A268" s="56">
        <f t="shared" si="95"/>
        <v>43354</v>
      </c>
      <c r="B268" s="620"/>
      <c r="C268" s="392"/>
      <c r="D268" s="395"/>
      <c r="E268" s="387"/>
      <c r="F268" s="387"/>
      <c r="G268" s="110"/>
      <c r="I268" s="382">
        <f t="shared" si="72"/>
        <v>0</v>
      </c>
      <c r="J268" s="85">
        <v>2018</v>
      </c>
      <c r="K268" s="199">
        <f t="shared" si="73"/>
        <v>43354</v>
      </c>
      <c r="L268" s="439">
        <f t="shared" si="74"/>
        <v>9.5368595153033642E-4</v>
      </c>
      <c r="M268" s="883"/>
      <c r="N268" s="883"/>
      <c r="O268" s="326">
        <f t="shared" si="75"/>
        <v>9.8313883988921814E-3</v>
      </c>
      <c r="P268" s="171">
        <f>(INDEX(Models!$BJ268:$BT268,,T268)*(1-R268)+INDEX(Models!$BJ268:$BT268,,T268+1)*R268-ERP_i)*Q268*Ramure*Pc/MaxiM</f>
        <v>1.1797558498202272E-3</v>
      </c>
      <c r="Q268" s="307">
        <f t="shared" si="76"/>
        <v>0.9</v>
      </c>
      <c r="R268" s="179">
        <f t="shared" si="77"/>
        <v>0.88499004976030804</v>
      </c>
      <c r="S268" s="839">
        <f t="shared" si="94"/>
        <v>-3</v>
      </c>
      <c r="T268" s="178">
        <f t="shared" si="78"/>
        <v>3</v>
      </c>
      <c r="U268" s="253">
        <f t="shared" si="79"/>
        <v>-2.115009950239692</v>
      </c>
      <c r="V268" s="385">
        <f t="shared" si="80"/>
        <v>47.592156686249147</v>
      </c>
      <c r="W268" s="58"/>
      <c r="X268" s="157">
        <f t="shared" si="81"/>
        <v>43354</v>
      </c>
      <c r="Y268" s="387">
        <f t="shared" si="82"/>
        <v>0</v>
      </c>
      <c r="Z268" s="387">
        <f t="shared" si="83"/>
        <v>0</v>
      </c>
      <c r="AA268" s="388">
        <f t="shared" si="84"/>
        <v>0</v>
      </c>
      <c r="AB268" s="199">
        <f t="shared" si="85"/>
        <v>43354</v>
      </c>
      <c r="AC268" s="428">
        <f t="shared" si="86"/>
        <v>9.8313883988921814E-3</v>
      </c>
      <c r="AD268" s="171">
        <f>(INDEX(Models!$BJ268:$BT268,,AH268)*(1-AF268)+INDEX(Models!$BJ268:$BT268,,AH268+1)*AF268-ERP_i)*AE268*Ramure*Pc/MaxiM</f>
        <v>1.1797558498202272E-3</v>
      </c>
      <c r="AE268" s="307">
        <f t="shared" si="87"/>
        <v>0.9</v>
      </c>
      <c r="AF268" s="179">
        <f t="shared" si="88"/>
        <v>0.88499004976030804</v>
      </c>
      <c r="AG268" s="839">
        <f t="shared" si="89"/>
        <v>-3</v>
      </c>
      <c r="AH268" s="178">
        <f t="shared" si="90"/>
        <v>3</v>
      </c>
      <c r="AI268" s="227">
        <f t="shared" si="91"/>
        <v>-2.115009950239692</v>
      </c>
      <c r="AJ268" s="267" t="b">
        <f t="shared" si="92"/>
        <v>0</v>
      </c>
      <c r="AK268" s="267" t="b">
        <f t="shared" si="93"/>
        <v>0</v>
      </c>
      <c r="AL268" s="267"/>
      <c r="AM268" s="267"/>
      <c r="AN268" s="75"/>
    </row>
    <row r="269" spans="1:40" s="6" customFormat="1" ht="11.25" x14ac:dyDescent="0.2">
      <c r="A269" s="56">
        <f t="shared" si="95"/>
        <v>43355</v>
      </c>
      <c r="B269" s="620"/>
      <c r="C269" s="392"/>
      <c r="D269" s="395"/>
      <c r="E269" s="387"/>
      <c r="F269" s="387"/>
      <c r="G269" s="110"/>
      <c r="I269" s="382">
        <f t="shared" si="72"/>
        <v>0</v>
      </c>
      <c r="J269" s="85">
        <v>2018</v>
      </c>
      <c r="K269" s="199">
        <f t="shared" si="73"/>
        <v>43355</v>
      </c>
      <c r="L269" s="439">
        <f t="shared" si="74"/>
        <v>9.769352187709579E-4</v>
      </c>
      <c r="M269" s="883"/>
      <c r="N269" s="883"/>
      <c r="O269" s="326">
        <f t="shared" si="75"/>
        <v>1.0063354257195799E-2</v>
      </c>
      <c r="P269" s="171">
        <f>(INDEX(Models!$BJ269:$BT269,,T269)*(1-R269)+INDEX(Models!$BJ269:$BT269,,T269+1)*R269-ERP_i)*Q269*Ramure*Pc/MaxiM</f>
        <v>1.2100321900370388E-3</v>
      </c>
      <c r="Q269" s="307">
        <f t="shared" si="76"/>
        <v>0.9</v>
      </c>
      <c r="R269" s="179">
        <f t="shared" si="77"/>
        <v>0.88558226989452971</v>
      </c>
      <c r="S269" s="839">
        <f t="shared" si="94"/>
        <v>-3</v>
      </c>
      <c r="T269" s="178">
        <f t="shared" si="78"/>
        <v>3</v>
      </c>
      <c r="U269" s="253">
        <f t="shared" si="79"/>
        <v>-2.1144177301054703</v>
      </c>
      <c r="V269" s="385">
        <f t="shared" si="80"/>
        <v>47.176317317251318</v>
      </c>
      <c r="W269" s="58"/>
      <c r="X269" s="157">
        <f t="shared" si="81"/>
        <v>43355</v>
      </c>
      <c r="Y269" s="387">
        <f t="shared" si="82"/>
        <v>0</v>
      </c>
      <c r="Z269" s="387">
        <f t="shared" si="83"/>
        <v>0</v>
      </c>
      <c r="AA269" s="388">
        <f t="shared" si="84"/>
        <v>0</v>
      </c>
      <c r="AB269" s="199">
        <f t="shared" si="85"/>
        <v>43355</v>
      </c>
      <c r="AC269" s="428">
        <f t="shared" si="86"/>
        <v>1.0063354257195799E-2</v>
      </c>
      <c r="AD269" s="171">
        <f>(INDEX(Models!$BJ269:$BT269,,AH269)*(1-AF269)+INDEX(Models!$BJ269:$BT269,,AH269+1)*AF269-ERP_i)*AE269*Ramure*Pc/MaxiM</f>
        <v>1.2100321900370388E-3</v>
      </c>
      <c r="AE269" s="307">
        <f t="shared" si="87"/>
        <v>0.9</v>
      </c>
      <c r="AF269" s="179">
        <f t="shared" si="88"/>
        <v>0.88558226989452971</v>
      </c>
      <c r="AG269" s="839">
        <f t="shared" si="89"/>
        <v>-3</v>
      </c>
      <c r="AH269" s="178">
        <f t="shared" si="90"/>
        <v>3</v>
      </c>
      <c r="AI269" s="227">
        <f t="shared" si="91"/>
        <v>-2.1144177301054703</v>
      </c>
      <c r="AJ269" s="267" t="b">
        <f t="shared" si="92"/>
        <v>0</v>
      </c>
      <c r="AK269" s="267" t="b">
        <f t="shared" si="93"/>
        <v>0</v>
      </c>
      <c r="AL269" s="267"/>
      <c r="AM269" s="267"/>
      <c r="AN269" s="75"/>
    </row>
    <row r="270" spans="1:40" s="6" customFormat="1" ht="11.25" x14ac:dyDescent="0.2">
      <c r="A270" s="56">
        <f t="shared" si="95"/>
        <v>43356</v>
      </c>
      <c r="B270" s="620"/>
      <c r="C270" s="392"/>
      <c r="D270" s="395"/>
      <c r="E270" s="387"/>
      <c r="F270" s="387"/>
      <c r="G270" s="110"/>
      <c r="I270" s="382">
        <f t="shared" si="72"/>
        <v>0</v>
      </c>
      <c r="J270" s="85">
        <v>2018</v>
      </c>
      <c r="K270" s="199">
        <f t="shared" si="73"/>
        <v>43356</v>
      </c>
      <c r="L270" s="439">
        <f t="shared" si="74"/>
        <v>1.0001839449671479E-3</v>
      </c>
      <c r="M270" s="883"/>
      <c r="N270" s="883"/>
      <c r="O270" s="326">
        <f t="shared" si="75"/>
        <v>1.0294849412729099E-2</v>
      </c>
      <c r="P270" s="171">
        <f>(INDEX(Models!$BJ270:$BT270,,T270)*(1-R270)+INDEX(Models!$BJ270:$BT270,,T270+1)*R270-ERP_i)*Q270*Ramure*Pc/MaxiM</f>
        <v>1.2397892137601951E-3</v>
      </c>
      <c r="Q270" s="307">
        <f t="shared" si="76"/>
        <v>0.9</v>
      </c>
      <c r="R270" s="179">
        <f t="shared" si="77"/>
        <v>0.8861516076540239</v>
      </c>
      <c r="S270" s="839">
        <f t="shared" si="94"/>
        <v>-3</v>
      </c>
      <c r="T270" s="178">
        <f t="shared" si="78"/>
        <v>3</v>
      </c>
      <c r="U270" s="253">
        <f t="shared" si="79"/>
        <v>-2.1138483923459761</v>
      </c>
      <c r="V270" s="385">
        <f t="shared" si="80"/>
        <v>46.756445781371184</v>
      </c>
      <c r="W270" s="58"/>
      <c r="X270" s="157">
        <f t="shared" si="81"/>
        <v>43356</v>
      </c>
      <c r="Y270" s="387">
        <f t="shared" si="82"/>
        <v>0</v>
      </c>
      <c r="Z270" s="387">
        <f t="shared" si="83"/>
        <v>0</v>
      </c>
      <c r="AA270" s="388">
        <f t="shared" si="84"/>
        <v>0</v>
      </c>
      <c r="AB270" s="199">
        <f t="shared" si="85"/>
        <v>43356</v>
      </c>
      <c r="AC270" s="428">
        <f t="shared" si="86"/>
        <v>1.0294849412729099E-2</v>
      </c>
      <c r="AD270" s="171">
        <f>(INDEX(Models!$BJ270:$BT270,,AH270)*(1-AF270)+INDEX(Models!$BJ270:$BT270,,AH270+1)*AF270-ERP_i)*AE270*Ramure*Pc/MaxiM</f>
        <v>1.2397892137601951E-3</v>
      </c>
      <c r="AE270" s="307">
        <f t="shared" si="87"/>
        <v>0.9</v>
      </c>
      <c r="AF270" s="179">
        <f t="shared" si="88"/>
        <v>0.8861516076540239</v>
      </c>
      <c r="AG270" s="839">
        <f t="shared" si="89"/>
        <v>-3</v>
      </c>
      <c r="AH270" s="178">
        <f t="shared" si="90"/>
        <v>3</v>
      </c>
      <c r="AI270" s="227">
        <f t="shared" si="91"/>
        <v>-2.1138483923459761</v>
      </c>
      <c r="AJ270" s="267" t="b">
        <f t="shared" si="92"/>
        <v>0</v>
      </c>
      <c r="AK270" s="267" t="b">
        <f t="shared" si="93"/>
        <v>0</v>
      </c>
      <c r="AL270" s="267"/>
      <c r="AM270" s="267"/>
      <c r="AN270" s="75"/>
    </row>
    <row r="271" spans="1:40" s="6" customFormat="1" ht="11.25" x14ac:dyDescent="0.2">
      <c r="A271" s="56">
        <f t="shared" si="95"/>
        <v>43357</v>
      </c>
      <c r="B271" s="620"/>
      <c r="C271" s="392"/>
      <c r="D271" s="395"/>
      <c r="E271" s="387"/>
      <c r="F271" s="387"/>
      <c r="G271" s="110"/>
      <c r="I271" s="382">
        <f t="shared" ref="I271:I334" si="96">Wh_hp</f>
        <v>0</v>
      </c>
      <c r="J271" s="85">
        <v>2018</v>
      </c>
      <c r="K271" s="199">
        <f t="shared" ref="K271:K334" si="97">t</f>
        <v>43357</v>
      </c>
      <c r="L271" s="439">
        <f t="shared" ref="L271:L334" si="98">IF(t&lt;T0,0,IF(t&lt;Tvie,1-EXP((T0-t)*PertePVj),1-EXP((T0-t)*PertePVj)+Pspv))</f>
        <v>1.023432130131563E-3</v>
      </c>
      <c r="M271" s="883"/>
      <c r="N271" s="883"/>
      <c r="O271" s="326">
        <f t="shared" ref="O271:O334" si="99">IF(t&lt;T0,0,IF(t&lt;Tnet,Salim_i*(1-EXP((T0-t)/Tau_ij)),Resal+(Salim-Resal)*(1-EXP((Tnet-t)/(Tau_j)))))*Salcycl</f>
        <v>1.0525863018153982E-2</v>
      </c>
      <c r="P271" s="171">
        <f>(INDEX(Models!$BJ271:$BT271,,T271)*(1-R271)+INDEX(Models!$BJ271:$BT271,,T271+1)*R271-ERP_i)*Q271*Ramure*Pc/MaxiM</f>
        <v>1.2690032674140227E-3</v>
      </c>
      <c r="Q271" s="307">
        <f t="shared" ref="Q271:Q334" si="100">IF(OR(t&lt;Ttai,Notai),Dd+PousD*Croivg,Dens+PousD*(Croivg-Croi_tai))</f>
        <v>0.9</v>
      </c>
      <c r="R271" s="179">
        <f t="shared" ref="R271:R334" si="101">(Hp_vg-S271)/(INDEX(Echel_vg,T271+1)-S271)</f>
        <v>0.88669891064023387</v>
      </c>
      <c r="S271" s="839">
        <f t="shared" si="94"/>
        <v>-3</v>
      </c>
      <c r="T271" s="178">
        <f t="shared" ref="T271:T334" si="102">MIN(MATCH(Hp_vg,Echel_vg),10)</f>
        <v>3</v>
      </c>
      <c r="U271" s="253">
        <f t="shared" ref="U271:U334" si="103">IF(OR(t&lt;Ttai,Notai),Hdd+PousH*Croivg,Hdtf+PousH*(Croivg-Croi_tai))</f>
        <v>-2.1133010893597661</v>
      </c>
      <c r="V271" s="385">
        <f t="shared" ref="V271:V334" si="104">MaxiM*(1-Ppv)*(1-Pvg)*(1-Psa)</f>
        <v>46.333098730839495</v>
      </c>
      <c r="W271" s="58"/>
      <c r="X271" s="157">
        <f t="shared" ref="X271:X334" si="105">t</f>
        <v>43357</v>
      </c>
      <c r="Y271" s="387">
        <f t="shared" ref="Y271:Y334" si="106">Wh_pvt_s*(1-Ppv)</f>
        <v>0</v>
      </c>
      <c r="Z271" s="387">
        <f t="shared" ref="Z271:Z334" si="107">Wh_sa_s*(1-Psa_s)</f>
        <v>0</v>
      </c>
      <c r="AA271" s="388">
        <f t="shared" ref="AA271:AA334" si="108">Wh_hp*(1-Pvg_s*MEDIAN((-Sdif+Wh/Env_an)/Csdif,0,1))</f>
        <v>0</v>
      </c>
      <c r="AB271" s="199">
        <f t="shared" ref="AB271:AB334" si="109">t</f>
        <v>43357</v>
      </c>
      <c r="AC271" s="428">
        <f t="shared" ref="AC271:AC334" si="110">IF(t&lt;T0,0,IF(OR(t&lt;Tnet,NoTnet),Salim_i*(1-EXP((T0-t)/Tau_ij)),Resal_s+(Salim-Resal_s)*(1-EXP((Tnet_s-t)/Tau_j))))*Salcycl</f>
        <v>1.0525863018153982E-2</v>
      </c>
      <c r="AD271" s="171">
        <f>(INDEX(Models!$BJ271:$BT271,,AH271)*(1-AF271)+INDEX(Models!$BJ271:$BT271,,AH271+1)*AF271-ERP_i)*AE271*Ramure*Pc/MaxiM</f>
        <v>1.2690032674140227E-3</v>
      </c>
      <c r="AE271" s="307">
        <f t="shared" ref="AE271:AE334" si="111">Dd+PousD*Croivg</f>
        <v>0.9</v>
      </c>
      <c r="AF271" s="179">
        <f t="shared" ref="AF271:AF334" si="112">(Hp_vg_s-AG271)/(INDEX(Echel_vg,AH271+1)-AG271)</f>
        <v>0.88669891064023387</v>
      </c>
      <c r="AG271" s="839">
        <f t="shared" ref="AG271:AG334" si="113">INDEX(Echel_vg,AH271)</f>
        <v>-3</v>
      </c>
      <c r="AH271" s="178">
        <f t="shared" ref="AH271:AH334" si="114">MIN(MATCH(Hp_vg_s,Echel_vg),10)</f>
        <v>3</v>
      </c>
      <c r="AI271" s="227">
        <f t="shared" ref="AI271:AI334" si="115">Hdd+PousH*Croivg</f>
        <v>-2.1133010893597661</v>
      </c>
      <c r="AJ271" s="267" t="b">
        <f t="shared" ref="AJ271:AJ334" si="116">t&lt;Tnet</f>
        <v>0</v>
      </c>
      <c r="AK271" s="267" t="b">
        <f t="shared" ref="AK271:AK334" si="117">t&lt;Ttai</f>
        <v>0</v>
      </c>
      <c r="AL271" s="267"/>
      <c r="AM271" s="267"/>
      <c r="AN271" s="75"/>
    </row>
    <row r="272" spans="1:40" s="6" customFormat="1" ht="11.25" x14ac:dyDescent="0.2">
      <c r="A272" s="56">
        <f t="shared" si="95"/>
        <v>43358</v>
      </c>
      <c r="B272" s="620"/>
      <c r="C272" s="392"/>
      <c r="D272" s="395"/>
      <c r="E272" s="387"/>
      <c r="F272" s="387"/>
      <c r="G272" s="110"/>
      <c r="I272" s="382">
        <f t="shared" si="96"/>
        <v>0</v>
      </c>
      <c r="J272" s="85">
        <v>2018</v>
      </c>
      <c r="K272" s="199">
        <f t="shared" si="97"/>
        <v>43358</v>
      </c>
      <c r="L272" s="439">
        <f t="shared" si="98"/>
        <v>1.0466797742767486E-3</v>
      </c>
      <c r="M272" s="883"/>
      <c r="N272" s="883"/>
      <c r="O272" s="326">
        <f t="shared" si="99"/>
        <v>1.0756383737119145E-2</v>
      </c>
      <c r="P272" s="171">
        <f>(INDEX(Models!$BJ272:$BT272,,T272)*(1-R272)+INDEX(Models!$BJ272:$BT272,,T272+1)*R272-ERP_i)*Q272*Ramure*Pc/MaxiM</f>
        <v>1.2976483708963796E-3</v>
      </c>
      <c r="Q272" s="307">
        <f t="shared" si="100"/>
        <v>0.9</v>
      </c>
      <c r="R272" s="179">
        <f t="shared" si="101"/>
        <v>0.88722499789409115</v>
      </c>
      <c r="S272" s="839">
        <f t="shared" ref="S272:S335" si="118">INDEX(Echel_vg,T272)</f>
        <v>-3</v>
      </c>
      <c r="T272" s="178">
        <f t="shared" si="102"/>
        <v>3</v>
      </c>
      <c r="U272" s="253">
        <f t="shared" si="103"/>
        <v>-2.1127750021059089</v>
      </c>
      <c r="V272" s="385">
        <f t="shared" si="104"/>
        <v>45.906832235854637</v>
      </c>
      <c r="W272" s="58"/>
      <c r="X272" s="157">
        <f t="shared" si="105"/>
        <v>43358</v>
      </c>
      <c r="Y272" s="387">
        <f t="shared" si="106"/>
        <v>0</v>
      </c>
      <c r="Z272" s="387">
        <f t="shared" si="107"/>
        <v>0</v>
      </c>
      <c r="AA272" s="388">
        <f t="shared" si="108"/>
        <v>0</v>
      </c>
      <c r="AB272" s="199">
        <f t="shared" si="109"/>
        <v>43358</v>
      </c>
      <c r="AC272" s="428">
        <f t="shared" si="110"/>
        <v>1.0756383737119145E-2</v>
      </c>
      <c r="AD272" s="171">
        <f>(INDEX(Models!$BJ272:$BT272,,AH272)*(1-AF272)+INDEX(Models!$BJ272:$BT272,,AH272+1)*AF272-ERP_i)*AE272*Ramure*Pc/MaxiM</f>
        <v>1.2976483708963796E-3</v>
      </c>
      <c r="AE272" s="307">
        <f t="shared" si="111"/>
        <v>0.9</v>
      </c>
      <c r="AF272" s="179">
        <f t="shared" si="112"/>
        <v>0.88722499789409115</v>
      </c>
      <c r="AG272" s="839">
        <f t="shared" si="113"/>
        <v>-3</v>
      </c>
      <c r="AH272" s="178">
        <f t="shared" si="114"/>
        <v>3</v>
      </c>
      <c r="AI272" s="227">
        <f t="shared" si="115"/>
        <v>-2.1127750021059089</v>
      </c>
      <c r="AJ272" s="267" t="b">
        <f t="shared" si="116"/>
        <v>0</v>
      </c>
      <c r="AK272" s="267" t="b">
        <f t="shared" si="117"/>
        <v>0</v>
      </c>
      <c r="AL272" s="267"/>
      <c r="AM272" s="267"/>
      <c r="AN272" s="75"/>
    </row>
    <row r="273" spans="1:40" s="6" customFormat="1" ht="11.25" x14ac:dyDescent="0.2">
      <c r="A273" s="56">
        <f t="shared" ref="A273:A336" si="119">A272+1</f>
        <v>43359</v>
      </c>
      <c r="B273" s="620"/>
      <c r="C273" s="392"/>
      <c r="D273" s="395"/>
      <c r="E273" s="387"/>
      <c r="F273" s="387"/>
      <c r="G273" s="110"/>
      <c r="I273" s="382">
        <f t="shared" si="96"/>
        <v>0</v>
      </c>
      <c r="J273" s="85">
        <v>2018</v>
      </c>
      <c r="K273" s="199">
        <f t="shared" si="97"/>
        <v>43359</v>
      </c>
      <c r="L273" s="439">
        <f t="shared" si="98"/>
        <v>1.0699268774152504E-3</v>
      </c>
      <c r="M273" s="883"/>
      <c r="N273" s="883"/>
      <c r="O273" s="326">
        <f t="shared" si="99"/>
        <v>1.0986399739153904E-2</v>
      </c>
      <c r="P273" s="171">
        <f>(INDEX(Models!$BJ273:$BT273,,T273)*(1-R273)+INDEX(Models!$BJ273:$BT273,,T273+1)*R273-ERP_i)*Q273*Ramure*Pc/MaxiM</f>
        <v>1.3256961419581103E-3</v>
      </c>
      <c r="Q273" s="307">
        <f t="shared" si="100"/>
        <v>0.9</v>
      </c>
      <c r="R273" s="179">
        <f t="shared" si="101"/>
        <v>0.88773066063474504</v>
      </c>
      <c r="S273" s="839">
        <f t="shared" si="118"/>
        <v>-3</v>
      </c>
      <c r="T273" s="178">
        <f t="shared" si="102"/>
        <v>3</v>
      </c>
      <c r="U273" s="253">
        <f t="shared" si="103"/>
        <v>-2.112269339365255</v>
      </c>
      <c r="V273" s="385">
        <f t="shared" si="104"/>
        <v>45.478201786213297</v>
      </c>
      <c r="W273" s="58"/>
      <c r="X273" s="157">
        <f t="shared" si="105"/>
        <v>43359</v>
      </c>
      <c r="Y273" s="387">
        <f t="shared" si="106"/>
        <v>0</v>
      </c>
      <c r="Z273" s="387">
        <f t="shared" si="107"/>
        <v>0</v>
      </c>
      <c r="AA273" s="388">
        <f t="shared" si="108"/>
        <v>0</v>
      </c>
      <c r="AB273" s="199">
        <f t="shared" si="109"/>
        <v>43359</v>
      </c>
      <c r="AC273" s="428">
        <f t="shared" si="110"/>
        <v>1.0986399739153904E-2</v>
      </c>
      <c r="AD273" s="171">
        <f>(INDEX(Models!$BJ273:$BT273,,AH273)*(1-AF273)+INDEX(Models!$BJ273:$BT273,,AH273+1)*AF273-ERP_i)*AE273*Ramure*Pc/MaxiM</f>
        <v>1.3256961419581103E-3</v>
      </c>
      <c r="AE273" s="307">
        <f t="shared" si="111"/>
        <v>0.9</v>
      </c>
      <c r="AF273" s="179">
        <f t="shared" si="112"/>
        <v>0.88773066063474504</v>
      </c>
      <c r="AG273" s="839">
        <f t="shared" si="113"/>
        <v>-3</v>
      </c>
      <c r="AH273" s="178">
        <f t="shared" si="114"/>
        <v>3</v>
      </c>
      <c r="AI273" s="227">
        <f t="shared" si="115"/>
        <v>-2.112269339365255</v>
      </c>
      <c r="AJ273" s="267" t="b">
        <f t="shared" si="116"/>
        <v>0</v>
      </c>
      <c r="AK273" s="267" t="b">
        <f t="shared" si="117"/>
        <v>0</v>
      </c>
      <c r="AL273" s="267"/>
      <c r="AM273" s="267"/>
      <c r="AN273" s="75"/>
    </row>
    <row r="274" spans="1:40" s="6" customFormat="1" ht="11.25" customHeight="1" x14ac:dyDescent="0.2">
      <c r="A274" s="56">
        <f t="shared" si="119"/>
        <v>43360</v>
      </c>
      <c r="B274" s="620"/>
      <c r="C274" s="392"/>
      <c r="D274" s="395"/>
      <c r="E274" s="387"/>
      <c r="F274" s="387"/>
      <c r="G274" s="110"/>
      <c r="I274" s="382">
        <f t="shared" si="96"/>
        <v>0</v>
      </c>
      <c r="J274" s="85">
        <v>2018</v>
      </c>
      <c r="K274" s="199">
        <f t="shared" si="97"/>
        <v>43360</v>
      </c>
      <c r="L274" s="439">
        <f t="shared" si="98"/>
        <v>1.0931734395597248E-3</v>
      </c>
      <c r="M274" s="883"/>
      <c r="N274" s="883"/>
      <c r="O274" s="326">
        <f t="shared" si="99"/>
        <v>1.1215898698206639E-2</v>
      </c>
      <c r="P274" s="171">
        <f>(INDEX(Models!$BJ274:$BT274,,T274)*(1-R274)+INDEX(Models!$BJ274:$BT274,,T274+1)*R274-ERP_i)*Q274*Ramure*Pc/MaxiM</f>
        <v>1.3531157215629882E-3</v>
      </c>
      <c r="Q274" s="307">
        <f t="shared" si="100"/>
        <v>0.9</v>
      </c>
      <c r="R274" s="179">
        <f t="shared" si="101"/>
        <v>0.88821666299788271</v>
      </c>
      <c r="S274" s="839">
        <f t="shared" si="118"/>
        <v>-3</v>
      </c>
      <c r="T274" s="178">
        <f t="shared" si="102"/>
        <v>3</v>
      </c>
      <c r="U274" s="253">
        <f t="shared" si="103"/>
        <v>-2.1117833370021173</v>
      </c>
      <c r="V274" s="385">
        <f t="shared" si="104"/>
        <v>45.047762288097871</v>
      </c>
      <c r="W274" s="58"/>
      <c r="X274" s="157">
        <f t="shared" si="105"/>
        <v>43360</v>
      </c>
      <c r="Y274" s="387">
        <f t="shared" si="106"/>
        <v>0</v>
      </c>
      <c r="Z274" s="387">
        <f t="shared" si="107"/>
        <v>0</v>
      </c>
      <c r="AA274" s="388">
        <f t="shared" si="108"/>
        <v>0</v>
      </c>
      <c r="AB274" s="199">
        <f t="shared" si="109"/>
        <v>43360</v>
      </c>
      <c r="AC274" s="428">
        <f t="shared" si="110"/>
        <v>1.1215898698206639E-2</v>
      </c>
      <c r="AD274" s="171">
        <f>(INDEX(Models!$BJ274:$BT274,,AH274)*(1-AF274)+INDEX(Models!$BJ274:$BT274,,AH274+1)*AF274-ERP_i)*AE274*Ramure*Pc/MaxiM</f>
        <v>1.3531157215629882E-3</v>
      </c>
      <c r="AE274" s="307">
        <f t="shared" si="111"/>
        <v>0.9</v>
      </c>
      <c r="AF274" s="179">
        <f t="shared" si="112"/>
        <v>0.88821666299788271</v>
      </c>
      <c r="AG274" s="839">
        <f t="shared" si="113"/>
        <v>-3</v>
      </c>
      <c r="AH274" s="178">
        <f t="shared" si="114"/>
        <v>3</v>
      </c>
      <c r="AI274" s="227">
        <f t="shared" si="115"/>
        <v>-2.1117833370021173</v>
      </c>
      <c r="AJ274" s="267" t="b">
        <f t="shared" si="116"/>
        <v>0</v>
      </c>
      <c r="AK274" s="267" t="b">
        <f t="shared" si="117"/>
        <v>0</v>
      </c>
      <c r="AL274" s="267"/>
      <c r="AM274" s="267"/>
      <c r="AN274" s="75"/>
    </row>
    <row r="275" spans="1:40" s="6" customFormat="1" ht="11.25" x14ac:dyDescent="0.2">
      <c r="A275" s="56">
        <f t="shared" si="119"/>
        <v>43361</v>
      </c>
      <c r="B275" s="620"/>
      <c r="C275" s="392"/>
      <c r="D275" s="395"/>
      <c r="E275" s="387"/>
      <c r="F275" s="387"/>
      <c r="G275" s="110"/>
      <c r="I275" s="382">
        <f t="shared" si="96"/>
        <v>0</v>
      </c>
      <c r="J275" s="85">
        <v>2018</v>
      </c>
      <c r="K275" s="199">
        <f t="shared" si="97"/>
        <v>43361</v>
      </c>
      <c r="L275" s="439">
        <f t="shared" si="98"/>
        <v>1.1164194607228284E-3</v>
      </c>
      <c r="M275" s="883"/>
      <c r="N275" s="883"/>
      <c r="O275" s="326">
        <f t="shared" si="99"/>
        <v>1.1444867795277321E-2</v>
      </c>
      <c r="P275" s="171">
        <f>(INDEX(Models!$BJ275:$BT275,,T275)*(1-R275)+INDEX(Models!$BJ275:$BT275,,T275+1)*R275-ERP_i)*Q275*Ramure*Pc/MaxiM</f>
        <v>1.3799829668363266E-3</v>
      </c>
      <c r="Q275" s="307">
        <f t="shared" si="100"/>
        <v>0.9</v>
      </c>
      <c r="R275" s="179">
        <f t="shared" si="101"/>
        <v>0.8886837427716836</v>
      </c>
      <c r="S275" s="839">
        <f t="shared" si="118"/>
        <v>-3</v>
      </c>
      <c r="T275" s="178">
        <f t="shared" si="102"/>
        <v>3</v>
      </c>
      <c r="U275" s="253">
        <f t="shared" si="103"/>
        <v>-2.1113162572283164</v>
      </c>
      <c r="V275" s="385">
        <f t="shared" si="104"/>
        <v>44.612530519273925</v>
      </c>
      <c r="W275" s="58"/>
      <c r="X275" s="157">
        <f t="shared" si="105"/>
        <v>43361</v>
      </c>
      <c r="Y275" s="387">
        <f t="shared" si="106"/>
        <v>0</v>
      </c>
      <c r="Z275" s="387">
        <f t="shared" si="107"/>
        <v>0</v>
      </c>
      <c r="AA275" s="388">
        <f t="shared" si="108"/>
        <v>0</v>
      </c>
      <c r="AB275" s="199">
        <f t="shared" si="109"/>
        <v>43361</v>
      </c>
      <c r="AC275" s="428">
        <f t="shared" si="110"/>
        <v>1.1444867795277321E-2</v>
      </c>
      <c r="AD275" s="171">
        <f>(INDEX(Models!$BJ275:$BT275,,AH275)*(1-AF275)+INDEX(Models!$BJ275:$BT275,,AH275+1)*AF275-ERP_i)*AE275*Ramure*Pc/MaxiM</f>
        <v>1.3799829668363266E-3</v>
      </c>
      <c r="AE275" s="307">
        <f t="shared" si="111"/>
        <v>0.9</v>
      </c>
      <c r="AF275" s="179">
        <f t="shared" si="112"/>
        <v>0.8886837427716836</v>
      </c>
      <c r="AG275" s="839">
        <f t="shared" si="113"/>
        <v>-3</v>
      </c>
      <c r="AH275" s="178">
        <f t="shared" si="114"/>
        <v>3</v>
      </c>
      <c r="AI275" s="227">
        <f t="shared" si="115"/>
        <v>-2.1113162572283164</v>
      </c>
      <c r="AJ275" s="267" t="b">
        <f t="shared" si="116"/>
        <v>0</v>
      </c>
      <c r="AK275" s="267" t="b">
        <f t="shared" si="117"/>
        <v>0</v>
      </c>
      <c r="AL275" s="267"/>
      <c r="AM275" s="267"/>
      <c r="AN275" s="75"/>
    </row>
    <row r="276" spans="1:40" s="6" customFormat="1" ht="11.25" x14ac:dyDescent="0.2">
      <c r="A276" s="56">
        <f t="shared" si="119"/>
        <v>43362</v>
      </c>
      <c r="B276" s="620"/>
      <c r="C276" s="392"/>
      <c r="D276" s="395"/>
      <c r="E276" s="387"/>
      <c r="F276" s="387"/>
      <c r="G276" s="110"/>
      <c r="I276" s="382">
        <f t="shared" si="96"/>
        <v>0</v>
      </c>
      <c r="J276" s="85">
        <v>2018</v>
      </c>
      <c r="K276" s="199">
        <f t="shared" si="97"/>
        <v>43362</v>
      </c>
      <c r="L276" s="439">
        <f t="shared" si="98"/>
        <v>1.1396649409168846E-3</v>
      </c>
      <c r="M276" s="883"/>
      <c r="N276" s="883"/>
      <c r="O276" s="326">
        <f t="shared" si="99"/>
        <v>1.1673293725576104E-2</v>
      </c>
      <c r="P276" s="171">
        <f>(INDEX(Models!$BJ276:$BT276,,T276)*(1-R276)+INDEX(Models!$BJ276:$BT276,,T276+1)*R276-ERP_i)*Q276*Ramure*Pc/MaxiM</f>
        <v>1.4052927412395355E-3</v>
      </c>
      <c r="Q276" s="307">
        <f t="shared" si="100"/>
        <v>0.9</v>
      </c>
      <c r="R276" s="179">
        <f t="shared" si="101"/>
        <v>0.88913261212865002</v>
      </c>
      <c r="S276" s="839">
        <f t="shared" si="118"/>
        <v>-3</v>
      </c>
      <c r="T276" s="178">
        <f t="shared" si="102"/>
        <v>3</v>
      </c>
      <c r="U276" s="253">
        <f t="shared" si="103"/>
        <v>-2.11086738787135</v>
      </c>
      <c r="V276" s="385">
        <f t="shared" si="104"/>
        <v>44.169868846615316</v>
      </c>
      <c r="W276" s="58"/>
      <c r="X276" s="157">
        <f t="shared" si="105"/>
        <v>43362</v>
      </c>
      <c r="Y276" s="387">
        <f t="shared" si="106"/>
        <v>0</v>
      </c>
      <c r="Z276" s="387">
        <f t="shared" si="107"/>
        <v>0</v>
      </c>
      <c r="AA276" s="388">
        <f t="shared" si="108"/>
        <v>0</v>
      </c>
      <c r="AB276" s="199">
        <f t="shared" si="109"/>
        <v>43362</v>
      </c>
      <c r="AC276" s="428">
        <f t="shared" si="110"/>
        <v>1.1673293725576104E-2</v>
      </c>
      <c r="AD276" s="171">
        <f>(INDEX(Models!$BJ276:$BT276,,AH276)*(1-AF276)+INDEX(Models!$BJ276:$BT276,,AH276+1)*AF276-ERP_i)*AE276*Ramure*Pc/MaxiM</f>
        <v>1.4052927412395355E-3</v>
      </c>
      <c r="AE276" s="307">
        <f t="shared" si="111"/>
        <v>0.9</v>
      </c>
      <c r="AF276" s="179">
        <f t="shared" si="112"/>
        <v>0.88913261212865002</v>
      </c>
      <c r="AG276" s="839">
        <f t="shared" si="113"/>
        <v>-3</v>
      </c>
      <c r="AH276" s="178">
        <f t="shared" si="114"/>
        <v>3</v>
      </c>
      <c r="AI276" s="227">
        <f t="shared" si="115"/>
        <v>-2.11086738787135</v>
      </c>
      <c r="AJ276" s="267" t="b">
        <f t="shared" si="116"/>
        <v>0</v>
      </c>
      <c r="AK276" s="267" t="b">
        <f t="shared" si="117"/>
        <v>0</v>
      </c>
      <c r="AL276" s="267"/>
      <c r="AM276" s="267"/>
      <c r="AN276" s="75"/>
    </row>
    <row r="277" spans="1:40" s="6" customFormat="1" ht="11.25" customHeight="1" x14ac:dyDescent="0.2">
      <c r="A277" s="56">
        <f t="shared" si="119"/>
        <v>43363</v>
      </c>
      <c r="B277" s="620"/>
      <c r="C277" s="392"/>
      <c r="D277" s="395"/>
      <c r="E277" s="387"/>
      <c r="F277" s="387"/>
      <c r="G277" s="110"/>
      <c r="I277" s="382">
        <f t="shared" si="96"/>
        <v>0</v>
      </c>
      <c r="J277" s="85">
        <v>2018</v>
      </c>
      <c r="K277" s="199">
        <f t="shared" si="97"/>
        <v>43363</v>
      </c>
      <c r="L277" s="439">
        <f t="shared" si="98"/>
        <v>1.1629098801547721E-3</v>
      </c>
      <c r="M277" s="883"/>
      <c r="N277" s="883"/>
      <c r="O277" s="326">
        <f t="shared" si="99"/>
        <v>1.19011627106157E-2</v>
      </c>
      <c r="P277" s="171">
        <f>(INDEX(Models!$BJ277:$BT277,,T277)*(1-R277)+INDEX(Models!$BJ277:$BT277,,T277+1)*R277-ERP_i)*Q277*Ramure*Pc/MaxiM</f>
        <v>1.4294957980472193E-3</v>
      </c>
      <c r="Q277" s="307">
        <f t="shared" si="100"/>
        <v>0.9</v>
      </c>
      <c r="R277" s="179">
        <f t="shared" si="101"/>
        <v>0.88956395835173208</v>
      </c>
      <c r="S277" s="839">
        <f t="shared" si="118"/>
        <v>-3</v>
      </c>
      <c r="T277" s="178">
        <f t="shared" si="102"/>
        <v>3</v>
      </c>
      <c r="U277" s="253">
        <f t="shared" si="103"/>
        <v>-2.1104360416482679</v>
      </c>
      <c r="V277" s="385">
        <f t="shared" si="104"/>
        <v>43.720754858612722</v>
      </c>
      <c r="W277" s="58"/>
      <c r="X277" s="157">
        <f t="shared" si="105"/>
        <v>43363</v>
      </c>
      <c r="Y277" s="387">
        <f t="shared" si="106"/>
        <v>0</v>
      </c>
      <c r="Z277" s="387">
        <f t="shared" si="107"/>
        <v>0</v>
      </c>
      <c r="AA277" s="388">
        <f t="shared" si="108"/>
        <v>0</v>
      </c>
      <c r="AB277" s="199">
        <f t="shared" si="109"/>
        <v>43363</v>
      </c>
      <c r="AC277" s="428">
        <f t="shared" si="110"/>
        <v>1.19011627106157E-2</v>
      </c>
      <c r="AD277" s="171">
        <f>(INDEX(Models!$BJ277:$BT277,,AH277)*(1-AF277)+INDEX(Models!$BJ277:$BT277,,AH277+1)*AF277-ERP_i)*AE277*Ramure*Pc/MaxiM</f>
        <v>1.4294957980472193E-3</v>
      </c>
      <c r="AE277" s="307">
        <f t="shared" si="111"/>
        <v>0.9</v>
      </c>
      <c r="AF277" s="179">
        <f t="shared" si="112"/>
        <v>0.88956395835173208</v>
      </c>
      <c r="AG277" s="839">
        <f t="shared" si="113"/>
        <v>-3</v>
      </c>
      <c r="AH277" s="178">
        <f t="shared" si="114"/>
        <v>3</v>
      </c>
      <c r="AI277" s="227">
        <f t="shared" si="115"/>
        <v>-2.1104360416482679</v>
      </c>
      <c r="AJ277" s="267" t="b">
        <f t="shared" si="116"/>
        <v>0</v>
      </c>
      <c r="AK277" s="267" t="b">
        <f t="shared" si="117"/>
        <v>0</v>
      </c>
      <c r="AL277" s="267"/>
      <c r="AM277" s="267"/>
      <c r="AN277" s="75"/>
    </row>
    <row r="278" spans="1:40" s="6" customFormat="1" ht="11.25" x14ac:dyDescent="0.2">
      <c r="A278" s="56">
        <f t="shared" si="119"/>
        <v>43364</v>
      </c>
      <c r="B278" s="620"/>
      <c r="C278" s="392"/>
      <c r="D278" s="395"/>
      <c r="E278" s="387"/>
      <c r="F278" s="387"/>
      <c r="G278" s="110"/>
      <c r="I278" s="382">
        <f t="shared" si="96"/>
        <v>0</v>
      </c>
      <c r="J278" s="85">
        <v>2018</v>
      </c>
      <c r="K278" s="199">
        <f t="shared" si="97"/>
        <v>43364</v>
      </c>
      <c r="L278" s="439">
        <f t="shared" si="98"/>
        <v>1.1861542784489254E-3</v>
      </c>
      <c r="M278" s="883"/>
      <c r="N278" s="883"/>
      <c r="O278" s="326">
        <f t="shared" si="99"/>
        <v>1.2128460515612447E-2</v>
      </c>
      <c r="P278" s="171">
        <f>(INDEX(Models!$BJ278:$BT278,,T278)*(1-R278)+INDEX(Models!$BJ278:$BT278,,T278+1)*R278-ERP_i)*Q278*Ramure*Pc/MaxiM</f>
        <v>1.4525328380796242E-3</v>
      </c>
      <c r="Q278" s="307">
        <f t="shared" si="100"/>
        <v>0.9</v>
      </c>
      <c r="R278" s="179">
        <f t="shared" si="101"/>
        <v>0.88997844455335473</v>
      </c>
      <c r="S278" s="839">
        <f t="shared" si="118"/>
        <v>-3</v>
      </c>
      <c r="T278" s="178">
        <f t="shared" si="102"/>
        <v>3</v>
      </c>
      <c r="U278" s="253">
        <f t="shared" si="103"/>
        <v>-2.1100215554466453</v>
      </c>
      <c r="V278" s="385">
        <f t="shared" si="104"/>
        <v>43.266187864472244</v>
      </c>
      <c r="W278" s="58"/>
      <c r="X278" s="157">
        <f t="shared" si="105"/>
        <v>43364</v>
      </c>
      <c r="Y278" s="387">
        <f t="shared" si="106"/>
        <v>0</v>
      </c>
      <c r="Z278" s="387">
        <f t="shared" si="107"/>
        <v>0</v>
      </c>
      <c r="AA278" s="388">
        <f t="shared" si="108"/>
        <v>0</v>
      </c>
      <c r="AB278" s="199">
        <f t="shared" si="109"/>
        <v>43364</v>
      </c>
      <c r="AC278" s="428">
        <f t="shared" si="110"/>
        <v>1.2128460515612447E-2</v>
      </c>
      <c r="AD278" s="171">
        <f>(INDEX(Models!$BJ278:$BT278,,AH278)*(1-AF278)+INDEX(Models!$BJ278:$BT278,,AH278+1)*AF278-ERP_i)*AE278*Ramure*Pc/MaxiM</f>
        <v>1.4525328380796242E-3</v>
      </c>
      <c r="AE278" s="307">
        <f t="shared" si="111"/>
        <v>0.9</v>
      </c>
      <c r="AF278" s="179">
        <f t="shared" si="112"/>
        <v>0.88997844455335473</v>
      </c>
      <c r="AG278" s="839">
        <f t="shared" si="113"/>
        <v>-3</v>
      </c>
      <c r="AH278" s="178">
        <f t="shared" si="114"/>
        <v>3</v>
      </c>
      <c r="AI278" s="227">
        <f t="shared" si="115"/>
        <v>-2.1100215554466453</v>
      </c>
      <c r="AJ278" s="267" t="b">
        <f t="shared" si="116"/>
        <v>0</v>
      </c>
      <c r="AK278" s="267" t="b">
        <f t="shared" si="117"/>
        <v>0</v>
      </c>
      <c r="AL278" s="267"/>
      <c r="AM278" s="267"/>
      <c r="AN278" s="75"/>
    </row>
    <row r="279" spans="1:40" s="6" customFormat="1" ht="11.25" x14ac:dyDescent="0.2">
      <c r="A279" s="56">
        <f t="shared" si="119"/>
        <v>43365</v>
      </c>
      <c r="B279" s="620"/>
      <c r="C279" s="392"/>
      <c r="D279" s="395"/>
      <c r="E279" s="387"/>
      <c r="F279" s="387"/>
      <c r="G279" s="110"/>
      <c r="I279" s="382">
        <f t="shared" si="96"/>
        <v>0</v>
      </c>
      <c r="J279" s="85">
        <v>2018</v>
      </c>
      <c r="K279" s="199">
        <f t="shared" si="97"/>
        <v>43365</v>
      </c>
      <c r="L279" s="439">
        <f t="shared" si="98"/>
        <v>1.209398135812001E-3</v>
      </c>
      <c r="M279" s="883"/>
      <c r="N279" s="883"/>
      <c r="O279" s="326">
        <f t="shared" si="99"/>
        <v>1.2355172472534003E-2</v>
      </c>
      <c r="P279" s="171">
        <f>(INDEX(Models!$BJ279:$BT279,,T279)*(1-R279)+INDEX(Models!$BJ279:$BT279,,T279+1)*R279-ERP_i)*Q279*Ramure*Pc/MaxiM</f>
        <v>1.4743391957445461E-3</v>
      </c>
      <c r="Q279" s="307">
        <f t="shared" si="100"/>
        <v>0.9</v>
      </c>
      <c r="R279" s="179">
        <f t="shared" si="101"/>
        <v>0.8903767103860889</v>
      </c>
      <c r="S279" s="839">
        <f t="shared" si="118"/>
        <v>-3</v>
      </c>
      <c r="T279" s="178">
        <f t="shared" si="102"/>
        <v>3</v>
      </c>
      <c r="U279" s="253">
        <f t="shared" si="103"/>
        <v>-2.1096232896139111</v>
      </c>
      <c r="V279" s="385">
        <f t="shared" si="104"/>
        <v>42.807166134316205</v>
      </c>
      <c r="W279" s="58"/>
      <c r="X279" s="157">
        <f t="shared" si="105"/>
        <v>43365</v>
      </c>
      <c r="Y279" s="387">
        <f t="shared" si="106"/>
        <v>0</v>
      </c>
      <c r="Z279" s="387">
        <f t="shared" si="107"/>
        <v>0</v>
      </c>
      <c r="AA279" s="388">
        <f t="shared" si="108"/>
        <v>0</v>
      </c>
      <c r="AB279" s="199">
        <f t="shared" si="109"/>
        <v>43365</v>
      </c>
      <c r="AC279" s="428">
        <f t="shared" si="110"/>
        <v>1.2355172472534003E-2</v>
      </c>
      <c r="AD279" s="171">
        <f>(INDEX(Models!$BJ279:$BT279,,AH279)*(1-AF279)+INDEX(Models!$BJ279:$BT279,,AH279+1)*AF279-ERP_i)*AE279*Ramure*Pc/MaxiM</f>
        <v>1.4743391957445461E-3</v>
      </c>
      <c r="AE279" s="307">
        <f t="shared" si="111"/>
        <v>0.9</v>
      </c>
      <c r="AF279" s="179">
        <f t="shared" si="112"/>
        <v>0.8903767103860889</v>
      </c>
      <c r="AG279" s="839">
        <f t="shared" si="113"/>
        <v>-3</v>
      </c>
      <c r="AH279" s="178">
        <f t="shared" si="114"/>
        <v>3</v>
      </c>
      <c r="AI279" s="227">
        <f t="shared" si="115"/>
        <v>-2.1096232896139111</v>
      </c>
      <c r="AJ279" s="267" t="b">
        <f t="shared" si="116"/>
        <v>0</v>
      </c>
      <c r="AK279" s="267" t="b">
        <f t="shared" si="117"/>
        <v>0</v>
      </c>
      <c r="AL279" s="267"/>
      <c r="AM279" s="267"/>
      <c r="AN279" s="75"/>
    </row>
    <row r="280" spans="1:40" s="6" customFormat="1" ht="11.25" x14ac:dyDescent="0.2">
      <c r="A280" s="56">
        <f t="shared" si="119"/>
        <v>43366</v>
      </c>
      <c r="B280" s="620"/>
      <c r="C280" s="392"/>
      <c r="D280" s="395"/>
      <c r="E280" s="387"/>
      <c r="F280" s="387"/>
      <c r="G280" s="110"/>
      <c r="I280" s="382">
        <f t="shared" si="96"/>
        <v>0</v>
      </c>
      <c r="J280" s="85">
        <v>2018</v>
      </c>
      <c r="K280" s="199">
        <f t="shared" si="97"/>
        <v>43366</v>
      </c>
      <c r="L280" s="439">
        <f t="shared" si="98"/>
        <v>1.2326414522565443E-3</v>
      </c>
      <c r="M280" s="883"/>
      <c r="N280" s="883"/>
      <c r="O280" s="326">
        <f t="shared" si="99"/>
        <v>1.2581283509085722E-2</v>
      </c>
      <c r="P280" s="171">
        <f>(INDEX(Models!$BJ280:$BT280,,T280)*(1-R280)+INDEX(Models!$BJ280:$BT280,,T280+1)*R280-ERP_i)*Q280*Ramure*Pc/MaxiM</f>
        <v>1.4948526790937633E-3</v>
      </c>
      <c r="Q280" s="307">
        <f t="shared" si="100"/>
        <v>0.9</v>
      </c>
      <c r="R280" s="179">
        <f t="shared" si="101"/>
        <v>0.89075937274388028</v>
      </c>
      <c r="S280" s="839">
        <f t="shared" si="118"/>
        <v>-3</v>
      </c>
      <c r="T280" s="178">
        <f t="shared" si="102"/>
        <v>3</v>
      </c>
      <c r="U280" s="253">
        <f t="shared" si="103"/>
        <v>-2.1092406272561197</v>
      </c>
      <c r="V280" s="385">
        <f t="shared" si="104"/>
        <v>42.344686557140967</v>
      </c>
      <c r="W280" s="58"/>
      <c r="X280" s="157">
        <f t="shared" si="105"/>
        <v>43366</v>
      </c>
      <c r="Y280" s="387">
        <f t="shared" si="106"/>
        <v>0</v>
      </c>
      <c r="Z280" s="387">
        <f t="shared" si="107"/>
        <v>0</v>
      </c>
      <c r="AA280" s="388">
        <f t="shared" si="108"/>
        <v>0</v>
      </c>
      <c r="AB280" s="199">
        <f t="shared" si="109"/>
        <v>43366</v>
      </c>
      <c r="AC280" s="428">
        <f t="shared" si="110"/>
        <v>1.2581283509085722E-2</v>
      </c>
      <c r="AD280" s="171">
        <f>(INDEX(Models!$BJ280:$BT280,,AH280)*(1-AF280)+INDEX(Models!$BJ280:$BT280,,AH280+1)*AF280-ERP_i)*AE280*Ramure*Pc/MaxiM</f>
        <v>1.4948526790937633E-3</v>
      </c>
      <c r="AE280" s="307">
        <f t="shared" si="111"/>
        <v>0.9</v>
      </c>
      <c r="AF280" s="179">
        <f t="shared" si="112"/>
        <v>0.89075937274388028</v>
      </c>
      <c r="AG280" s="839">
        <f t="shared" si="113"/>
        <v>-3</v>
      </c>
      <c r="AH280" s="178">
        <f t="shared" si="114"/>
        <v>3</v>
      </c>
      <c r="AI280" s="227">
        <f t="shared" si="115"/>
        <v>-2.1092406272561197</v>
      </c>
      <c r="AJ280" s="267" t="b">
        <f t="shared" si="116"/>
        <v>0</v>
      </c>
      <c r="AK280" s="267" t="b">
        <f t="shared" si="117"/>
        <v>0</v>
      </c>
      <c r="AL280" s="267"/>
      <c r="AM280" s="267"/>
      <c r="AN280" s="75"/>
    </row>
    <row r="281" spans="1:40" s="6" customFormat="1" ht="11.25" x14ac:dyDescent="0.2">
      <c r="A281" s="56">
        <f t="shared" si="119"/>
        <v>43367</v>
      </c>
      <c r="B281" s="620"/>
      <c r="C281" s="392"/>
      <c r="D281" s="395"/>
      <c r="E281" s="387"/>
      <c r="F281" s="387"/>
      <c r="G281" s="110"/>
      <c r="I281" s="382">
        <f t="shared" si="96"/>
        <v>0</v>
      </c>
      <c r="J281" s="85">
        <v>2018</v>
      </c>
      <c r="K281" s="199">
        <f t="shared" si="97"/>
        <v>43367</v>
      </c>
      <c r="L281" s="439">
        <f t="shared" si="98"/>
        <v>1.255884227795101E-3</v>
      </c>
      <c r="M281" s="883"/>
      <c r="N281" s="883"/>
      <c r="O281" s="326">
        <f t="shared" si="99"/>
        <v>1.2806778183877284E-2</v>
      </c>
      <c r="P281" s="171">
        <f>(INDEX(Models!$BJ281:$BT281,,T281)*(1-R281)+INDEX(Models!$BJ281:$BT281,,T281+1)*R281-ERP_i)*Q281*Ramure*Pc/MaxiM</f>
        <v>1.5140018998643381E-3</v>
      </c>
      <c r="Q281" s="307">
        <f t="shared" si="100"/>
        <v>0.9</v>
      </c>
      <c r="R281" s="179">
        <f t="shared" si="101"/>
        <v>0.89112702645287101</v>
      </c>
      <c r="S281" s="839">
        <f t="shared" si="118"/>
        <v>-3</v>
      </c>
      <c r="T281" s="178">
        <f t="shared" si="102"/>
        <v>3</v>
      </c>
      <c r="U281" s="253">
        <f t="shared" si="103"/>
        <v>-2.108872973547129</v>
      </c>
      <c r="V281" s="385">
        <f t="shared" si="104"/>
        <v>41.879745153680879</v>
      </c>
      <c r="W281" s="58"/>
      <c r="X281" s="157">
        <f t="shared" si="105"/>
        <v>43367</v>
      </c>
      <c r="Y281" s="387">
        <f t="shared" si="106"/>
        <v>0</v>
      </c>
      <c r="Z281" s="387">
        <f t="shared" si="107"/>
        <v>0</v>
      </c>
      <c r="AA281" s="388">
        <f t="shared" si="108"/>
        <v>0</v>
      </c>
      <c r="AB281" s="199">
        <f t="shared" si="109"/>
        <v>43367</v>
      </c>
      <c r="AC281" s="428">
        <f t="shared" si="110"/>
        <v>1.2806778183877284E-2</v>
      </c>
      <c r="AD281" s="171">
        <f>(INDEX(Models!$BJ281:$BT281,,AH281)*(1-AF281)+INDEX(Models!$BJ281:$BT281,,AH281+1)*AF281-ERP_i)*AE281*Ramure*Pc/MaxiM</f>
        <v>1.5140018998643381E-3</v>
      </c>
      <c r="AE281" s="307">
        <f t="shared" si="111"/>
        <v>0.9</v>
      </c>
      <c r="AF281" s="179">
        <f t="shared" si="112"/>
        <v>0.89112702645287101</v>
      </c>
      <c r="AG281" s="839">
        <f t="shared" si="113"/>
        <v>-3</v>
      </c>
      <c r="AH281" s="178">
        <f t="shared" si="114"/>
        <v>3</v>
      </c>
      <c r="AI281" s="227">
        <f t="shared" si="115"/>
        <v>-2.108872973547129</v>
      </c>
      <c r="AJ281" s="267" t="b">
        <f t="shared" si="116"/>
        <v>0</v>
      </c>
      <c r="AK281" s="267" t="b">
        <f t="shared" si="117"/>
        <v>0</v>
      </c>
      <c r="AL281" s="267"/>
      <c r="AM281" s="267"/>
      <c r="AN281" s="75"/>
    </row>
    <row r="282" spans="1:40" s="6" customFormat="1" ht="11.25" x14ac:dyDescent="0.2">
      <c r="A282" s="56">
        <f t="shared" si="119"/>
        <v>43368</v>
      </c>
      <c r="B282" s="620"/>
      <c r="C282" s="392"/>
      <c r="D282" s="395"/>
      <c r="E282" s="387"/>
      <c r="F282" s="387"/>
      <c r="G282" s="110"/>
      <c r="I282" s="382">
        <f t="shared" si="96"/>
        <v>0</v>
      </c>
      <c r="J282" s="85">
        <v>2018</v>
      </c>
      <c r="K282" s="199">
        <f t="shared" si="97"/>
        <v>43368</v>
      </c>
      <c r="L282" s="439">
        <f t="shared" si="98"/>
        <v>1.2791264624404386E-3</v>
      </c>
      <c r="M282" s="883"/>
      <c r="N282" s="883"/>
      <c r="O282" s="326">
        <f t="shared" si="99"/>
        <v>1.3031640727955089E-2</v>
      </c>
      <c r="P282" s="171">
        <f>(INDEX(Models!$BJ282:$BT282,,T282)*(1-R282)+INDEX(Models!$BJ282:$BT282,,T282+1)*R282-ERP_i)*Q282*Ramure*Pc/MaxiM</f>
        <v>1.530956603763372E-3</v>
      </c>
      <c r="Q282" s="307">
        <f t="shared" si="100"/>
        <v>0.9</v>
      </c>
      <c r="R282" s="179">
        <f t="shared" si="101"/>
        <v>0.89148024495097644</v>
      </c>
      <c r="S282" s="839">
        <f t="shared" si="118"/>
        <v>-3</v>
      </c>
      <c r="T282" s="178">
        <f t="shared" si="102"/>
        <v>3</v>
      </c>
      <c r="U282" s="253">
        <f t="shared" si="103"/>
        <v>-2.1085197550490236</v>
      </c>
      <c r="V282" s="385">
        <f t="shared" si="104"/>
        <v>41.413368164823979</v>
      </c>
      <c r="W282" s="58"/>
      <c r="X282" s="157">
        <f t="shared" si="105"/>
        <v>43368</v>
      </c>
      <c r="Y282" s="387">
        <f t="shared" si="106"/>
        <v>0</v>
      </c>
      <c r="Z282" s="387">
        <f t="shared" si="107"/>
        <v>0</v>
      </c>
      <c r="AA282" s="388">
        <f t="shared" si="108"/>
        <v>0</v>
      </c>
      <c r="AB282" s="199">
        <f t="shared" si="109"/>
        <v>43368</v>
      </c>
      <c r="AC282" s="428">
        <f t="shared" si="110"/>
        <v>1.3031640727955089E-2</v>
      </c>
      <c r="AD282" s="171">
        <f>(INDEX(Models!$BJ282:$BT282,,AH282)*(1-AF282)+INDEX(Models!$BJ282:$BT282,,AH282+1)*AF282-ERP_i)*AE282*Ramure*Pc/MaxiM</f>
        <v>1.530956603763372E-3</v>
      </c>
      <c r="AE282" s="307">
        <f t="shared" si="111"/>
        <v>0.9</v>
      </c>
      <c r="AF282" s="179">
        <f t="shared" si="112"/>
        <v>0.89148024495097644</v>
      </c>
      <c r="AG282" s="839">
        <f t="shared" si="113"/>
        <v>-3</v>
      </c>
      <c r="AH282" s="178">
        <f t="shared" si="114"/>
        <v>3</v>
      </c>
      <c r="AI282" s="227">
        <f t="shared" si="115"/>
        <v>-2.1085197550490236</v>
      </c>
      <c r="AJ282" s="267" t="b">
        <f t="shared" si="116"/>
        <v>0</v>
      </c>
      <c r="AK282" s="267" t="b">
        <f t="shared" si="117"/>
        <v>0</v>
      </c>
      <c r="AL282" s="267"/>
      <c r="AM282" s="267"/>
      <c r="AN282" s="75"/>
    </row>
    <row r="283" spans="1:40" s="6" customFormat="1" ht="11.25" x14ac:dyDescent="0.2">
      <c r="A283" s="56">
        <f t="shared" si="119"/>
        <v>43369</v>
      </c>
      <c r="B283" s="620"/>
      <c r="C283" s="392"/>
      <c r="D283" s="395"/>
      <c r="E283" s="387"/>
      <c r="F283" s="387"/>
      <c r="G283" s="110"/>
      <c r="I283" s="382">
        <f t="shared" si="96"/>
        <v>0</v>
      </c>
      <c r="J283" s="85">
        <v>2018</v>
      </c>
      <c r="K283" s="199">
        <f t="shared" si="97"/>
        <v>43369</v>
      </c>
      <c r="L283" s="439">
        <f t="shared" si="98"/>
        <v>1.3023681562048806E-3</v>
      </c>
      <c r="M283" s="883"/>
      <c r="N283" s="883"/>
      <c r="O283" s="326">
        <f t="shared" si="99"/>
        <v>1.3255855092823191E-2</v>
      </c>
      <c r="P283" s="171">
        <f>(INDEX(Models!$BJ283:$BT283,,T283)*(1-R283)+INDEX(Models!$BJ283:$BT283,,T283+1)*R283-ERP_i)*Q283*Ramure*Pc/MaxiM</f>
        <v>1.5463861095192915E-3</v>
      </c>
      <c r="Q283" s="307">
        <f t="shared" si="100"/>
        <v>0.9</v>
      </c>
      <c r="R283" s="179">
        <f t="shared" si="101"/>
        <v>0.8918195809555054</v>
      </c>
      <c r="S283" s="839">
        <f t="shared" si="118"/>
        <v>-3</v>
      </c>
      <c r="T283" s="178">
        <f t="shared" si="102"/>
        <v>3</v>
      </c>
      <c r="U283" s="253">
        <f t="shared" si="103"/>
        <v>-2.1081804190444946</v>
      </c>
      <c r="V283" s="385">
        <f t="shared" si="104"/>
        <v>40.946517674348001</v>
      </c>
      <c r="W283" s="58"/>
      <c r="X283" s="157">
        <f t="shared" si="105"/>
        <v>43369</v>
      </c>
      <c r="Y283" s="387">
        <f t="shared" si="106"/>
        <v>0</v>
      </c>
      <c r="Z283" s="387">
        <f t="shared" si="107"/>
        <v>0</v>
      </c>
      <c r="AA283" s="388">
        <f t="shared" si="108"/>
        <v>0</v>
      </c>
      <c r="AB283" s="199">
        <f t="shared" si="109"/>
        <v>43369</v>
      </c>
      <c r="AC283" s="428">
        <f t="shared" si="110"/>
        <v>1.3255855092823191E-2</v>
      </c>
      <c r="AD283" s="171">
        <f>(INDEX(Models!$BJ283:$BT283,,AH283)*(1-AF283)+INDEX(Models!$BJ283:$BT283,,AH283+1)*AF283-ERP_i)*AE283*Ramure*Pc/MaxiM</f>
        <v>1.5463861095192915E-3</v>
      </c>
      <c r="AE283" s="307">
        <f t="shared" si="111"/>
        <v>0.9</v>
      </c>
      <c r="AF283" s="179">
        <f t="shared" si="112"/>
        <v>0.8918195809555054</v>
      </c>
      <c r="AG283" s="839">
        <f t="shared" si="113"/>
        <v>-3</v>
      </c>
      <c r="AH283" s="178">
        <f t="shared" si="114"/>
        <v>3</v>
      </c>
      <c r="AI283" s="227">
        <f t="shared" si="115"/>
        <v>-2.1081804190444946</v>
      </c>
      <c r="AJ283" s="267" t="b">
        <f t="shared" si="116"/>
        <v>0</v>
      </c>
      <c r="AK283" s="267" t="b">
        <f t="shared" si="117"/>
        <v>0</v>
      </c>
      <c r="AL283" s="267"/>
      <c r="AM283" s="267"/>
      <c r="AN283" s="75"/>
    </row>
    <row r="284" spans="1:40" s="6" customFormat="1" ht="11.25" x14ac:dyDescent="0.2">
      <c r="A284" s="56">
        <f t="shared" si="119"/>
        <v>43370</v>
      </c>
      <c r="B284" s="620"/>
      <c r="C284" s="392"/>
      <c r="D284" s="395"/>
      <c r="E284" s="387"/>
      <c r="F284" s="387"/>
      <c r="G284" s="110"/>
      <c r="I284" s="382">
        <f t="shared" si="96"/>
        <v>0</v>
      </c>
      <c r="J284" s="85">
        <v>2018</v>
      </c>
      <c r="K284" s="199">
        <f t="shared" si="97"/>
        <v>43370</v>
      </c>
      <c r="L284" s="439">
        <f t="shared" si="98"/>
        <v>1.3256093091013055E-3</v>
      </c>
      <c r="M284" s="883"/>
      <c r="N284" s="883"/>
      <c r="O284" s="326">
        <f t="shared" si="99"/>
        <v>1.3479405005010601E-2</v>
      </c>
      <c r="P284" s="171">
        <f>(INDEX(Models!$BJ284:$BT284,,T284)*(1-R284)+INDEX(Models!$BJ284:$BT284,,T284+1)*R284-ERP_i)*Q284*Ramure*Pc/MaxiM</f>
        <v>1.5601959801261334E-3</v>
      </c>
      <c r="Q284" s="307">
        <f t="shared" si="100"/>
        <v>0.9</v>
      </c>
      <c r="R284" s="179">
        <f t="shared" si="101"/>
        <v>0.89214556711820237</v>
      </c>
      <c r="S284" s="839">
        <f t="shared" si="118"/>
        <v>-3</v>
      </c>
      <c r="T284" s="178">
        <f t="shared" si="102"/>
        <v>3</v>
      </c>
      <c r="U284" s="253">
        <f t="shared" si="103"/>
        <v>-2.1078544328817976</v>
      </c>
      <c r="V284" s="385">
        <f t="shared" si="104"/>
        <v>40.480186890660548</v>
      </c>
      <c r="W284" s="58"/>
      <c r="X284" s="157">
        <f t="shared" si="105"/>
        <v>43370</v>
      </c>
      <c r="Y284" s="387">
        <f t="shared" si="106"/>
        <v>0</v>
      </c>
      <c r="Z284" s="387">
        <f t="shared" si="107"/>
        <v>0</v>
      </c>
      <c r="AA284" s="388">
        <f t="shared" si="108"/>
        <v>0</v>
      </c>
      <c r="AB284" s="199">
        <f t="shared" si="109"/>
        <v>43370</v>
      </c>
      <c r="AC284" s="428">
        <f t="shared" si="110"/>
        <v>1.3479405005010601E-2</v>
      </c>
      <c r="AD284" s="171">
        <f>(INDEX(Models!$BJ284:$BT284,,AH284)*(1-AF284)+INDEX(Models!$BJ284:$BT284,,AH284+1)*AF284-ERP_i)*AE284*Ramure*Pc/MaxiM</f>
        <v>1.5601959801261334E-3</v>
      </c>
      <c r="AE284" s="307">
        <f t="shared" si="111"/>
        <v>0.9</v>
      </c>
      <c r="AF284" s="179">
        <f t="shared" si="112"/>
        <v>0.89214556711820237</v>
      </c>
      <c r="AG284" s="839">
        <f t="shared" si="113"/>
        <v>-3</v>
      </c>
      <c r="AH284" s="178">
        <f t="shared" si="114"/>
        <v>3</v>
      </c>
      <c r="AI284" s="227">
        <f t="shared" si="115"/>
        <v>-2.1078544328817976</v>
      </c>
      <c r="AJ284" s="267" t="b">
        <f t="shared" si="116"/>
        <v>0</v>
      </c>
      <c r="AK284" s="267" t="b">
        <f t="shared" si="117"/>
        <v>0</v>
      </c>
      <c r="AL284" s="267"/>
      <c r="AM284" s="267"/>
      <c r="AN284" s="75"/>
    </row>
    <row r="285" spans="1:40" s="6" customFormat="1" ht="11.25" x14ac:dyDescent="0.2">
      <c r="A285" s="56">
        <f t="shared" si="119"/>
        <v>43371</v>
      </c>
      <c r="B285" s="620"/>
      <c r="C285" s="392"/>
      <c r="D285" s="395"/>
      <c r="E285" s="387"/>
      <c r="F285" s="387"/>
      <c r="G285" s="110"/>
      <c r="I285" s="382">
        <f t="shared" si="96"/>
        <v>0</v>
      </c>
      <c r="J285" s="85">
        <v>2018</v>
      </c>
      <c r="K285" s="199">
        <f t="shared" si="97"/>
        <v>43371</v>
      </c>
      <c r="L285" s="439">
        <f t="shared" si="98"/>
        <v>1.3488499211420368E-3</v>
      </c>
      <c r="M285" s="883"/>
      <c r="N285" s="883"/>
      <c r="O285" s="326">
        <f t="shared" si="99"/>
        <v>1.3702274027171614E-2</v>
      </c>
      <c r="P285" s="171">
        <f>(INDEX(Models!$BJ285:$BT285,,T285)*(1-R285)+INDEX(Models!$BJ285:$BT285,,T285+1)*R285-ERP_i)*Q285*Ramure*Pc/MaxiM</f>
        <v>1.5722860617485557E-3</v>
      </c>
      <c r="Q285" s="307">
        <f t="shared" si="100"/>
        <v>0.9</v>
      </c>
      <c r="R285" s="179">
        <f t="shared" si="101"/>
        <v>0.89245871666720378</v>
      </c>
      <c r="S285" s="839">
        <f t="shared" si="118"/>
        <v>-3</v>
      </c>
      <c r="T285" s="178">
        <f t="shared" si="102"/>
        <v>3</v>
      </c>
      <c r="U285" s="253">
        <f t="shared" si="103"/>
        <v>-2.1075412833327962</v>
      </c>
      <c r="V285" s="385">
        <f t="shared" si="104"/>
        <v>40.01536800791127</v>
      </c>
      <c r="W285" s="58"/>
      <c r="X285" s="157">
        <f t="shared" si="105"/>
        <v>43371</v>
      </c>
      <c r="Y285" s="387">
        <f t="shared" si="106"/>
        <v>0</v>
      </c>
      <c r="Z285" s="387">
        <f t="shared" si="107"/>
        <v>0</v>
      </c>
      <c r="AA285" s="388">
        <f t="shared" si="108"/>
        <v>0</v>
      </c>
      <c r="AB285" s="199">
        <f t="shared" si="109"/>
        <v>43371</v>
      </c>
      <c r="AC285" s="428">
        <f t="shared" si="110"/>
        <v>1.3702274027171614E-2</v>
      </c>
      <c r="AD285" s="171">
        <f>(INDEX(Models!$BJ285:$BT285,,AH285)*(1-AF285)+INDEX(Models!$BJ285:$BT285,,AH285+1)*AF285-ERP_i)*AE285*Ramure*Pc/MaxiM</f>
        <v>1.5722860617485557E-3</v>
      </c>
      <c r="AE285" s="307">
        <f t="shared" si="111"/>
        <v>0.9</v>
      </c>
      <c r="AF285" s="179">
        <f t="shared" si="112"/>
        <v>0.89245871666720378</v>
      </c>
      <c r="AG285" s="839">
        <f t="shared" si="113"/>
        <v>-3</v>
      </c>
      <c r="AH285" s="178">
        <f t="shared" si="114"/>
        <v>3</v>
      </c>
      <c r="AI285" s="227">
        <f t="shared" si="115"/>
        <v>-2.1075412833327962</v>
      </c>
      <c r="AJ285" s="267" t="b">
        <f t="shared" si="116"/>
        <v>0</v>
      </c>
      <c r="AK285" s="267" t="b">
        <f t="shared" si="117"/>
        <v>0</v>
      </c>
      <c r="AL285" s="267"/>
      <c r="AM285" s="267"/>
      <c r="AN285" s="75"/>
    </row>
    <row r="286" spans="1:40" s="6" customFormat="1" ht="11.25" x14ac:dyDescent="0.2">
      <c r="A286" s="56">
        <f t="shared" si="119"/>
        <v>43372</v>
      </c>
      <c r="B286" s="620"/>
      <c r="C286" s="392"/>
      <c r="D286" s="395"/>
      <c r="E286" s="387"/>
      <c r="F286" s="387"/>
      <c r="G286" s="110"/>
      <c r="I286" s="382">
        <f t="shared" si="96"/>
        <v>0</v>
      </c>
      <c r="J286" s="85">
        <v>2018</v>
      </c>
      <c r="K286" s="199">
        <f t="shared" si="97"/>
        <v>43372</v>
      </c>
      <c r="L286" s="439">
        <f t="shared" si="98"/>
        <v>1.3720899923398422E-3</v>
      </c>
      <c r="M286" s="883"/>
      <c r="N286" s="883"/>
      <c r="O286" s="326">
        <f t="shared" si="99"/>
        <v>1.3924445625633743E-2</v>
      </c>
      <c r="P286" s="171">
        <f>(INDEX(Models!$BJ286:$BT286,,T286)*(1-R286)+INDEX(Models!$BJ286:$BT286,,T286+1)*R286-ERP_i)*Q286*Ramure*Pc/MaxiM</f>
        <v>1.5825506005937855E-3</v>
      </c>
      <c r="Q286" s="307">
        <f t="shared" si="100"/>
        <v>0.9</v>
      </c>
      <c r="R286" s="179">
        <f t="shared" si="101"/>
        <v>0.89275952403547798</v>
      </c>
      <c r="S286" s="839">
        <f t="shared" si="118"/>
        <v>-3</v>
      </c>
      <c r="T286" s="178">
        <f t="shared" si="102"/>
        <v>3</v>
      </c>
      <c r="U286" s="253">
        <f t="shared" si="103"/>
        <v>-2.107240475964522</v>
      </c>
      <c r="V286" s="385">
        <f t="shared" si="104"/>
        <v>39.553052208829229</v>
      </c>
      <c r="W286" s="58"/>
      <c r="X286" s="157">
        <f t="shared" si="105"/>
        <v>43372</v>
      </c>
      <c r="Y286" s="387">
        <f t="shared" si="106"/>
        <v>0</v>
      </c>
      <c r="Z286" s="387">
        <f t="shared" si="107"/>
        <v>0</v>
      </c>
      <c r="AA286" s="388">
        <f t="shared" si="108"/>
        <v>0</v>
      </c>
      <c r="AB286" s="199">
        <f t="shared" si="109"/>
        <v>43372</v>
      </c>
      <c r="AC286" s="428">
        <f t="shared" si="110"/>
        <v>1.3924445625633743E-2</v>
      </c>
      <c r="AD286" s="171">
        <f>(INDEX(Models!$BJ286:$BT286,,AH286)*(1-AF286)+INDEX(Models!$BJ286:$BT286,,AH286+1)*AF286-ERP_i)*AE286*Ramure*Pc/MaxiM</f>
        <v>1.5825506005937855E-3</v>
      </c>
      <c r="AE286" s="307">
        <f t="shared" si="111"/>
        <v>0.9</v>
      </c>
      <c r="AF286" s="179">
        <f t="shared" si="112"/>
        <v>0.89275952403547798</v>
      </c>
      <c r="AG286" s="839">
        <f t="shared" si="113"/>
        <v>-3</v>
      </c>
      <c r="AH286" s="178">
        <f t="shared" si="114"/>
        <v>3</v>
      </c>
      <c r="AI286" s="227">
        <f t="shared" si="115"/>
        <v>-2.107240475964522</v>
      </c>
      <c r="AJ286" s="267" t="b">
        <f t="shared" si="116"/>
        <v>0</v>
      </c>
      <c r="AK286" s="267" t="b">
        <f t="shared" si="117"/>
        <v>0</v>
      </c>
      <c r="AL286" s="267"/>
      <c r="AM286" s="267"/>
      <c r="AN286" s="75"/>
    </row>
    <row r="287" spans="1:40" s="6" customFormat="1" ht="11.25" x14ac:dyDescent="0.2">
      <c r="A287" s="56">
        <f t="shared" si="119"/>
        <v>43373</v>
      </c>
      <c r="B287" s="620"/>
      <c r="C287" s="392"/>
      <c r="D287" s="395"/>
      <c r="E287" s="387"/>
      <c r="F287" s="387"/>
      <c r="G287" s="110"/>
      <c r="I287" s="382">
        <f t="shared" si="96"/>
        <v>0</v>
      </c>
      <c r="J287" s="85">
        <v>2018</v>
      </c>
      <c r="K287" s="199">
        <f t="shared" si="97"/>
        <v>43373</v>
      </c>
      <c r="L287" s="439">
        <f t="shared" si="98"/>
        <v>1.395329522707156E-3</v>
      </c>
      <c r="M287" s="883"/>
      <c r="N287" s="883"/>
      <c r="O287" s="326">
        <f t="shared" si="99"/>
        <v>1.4145903244231201E-2</v>
      </c>
      <c r="P287" s="171">
        <f>(INDEX(Models!$BJ287:$BT287,,T287)*(1-R287)+INDEX(Models!$BJ287:$BT287,,T287+1)*R287-ERP_i)*Q287*Ramure*Pc/MaxiM</f>
        <v>1.5908784234699579E-3</v>
      </c>
      <c r="Q287" s="307">
        <f t="shared" si="100"/>
        <v>0.9</v>
      </c>
      <c r="R287" s="179">
        <f t="shared" si="101"/>
        <v>0.8930484654754105</v>
      </c>
      <c r="S287" s="839">
        <f t="shared" si="118"/>
        <v>-3</v>
      </c>
      <c r="T287" s="178">
        <f t="shared" si="102"/>
        <v>3</v>
      </c>
      <c r="U287" s="253">
        <f t="shared" si="103"/>
        <v>-2.1069515345245895</v>
      </c>
      <c r="V287" s="385">
        <f t="shared" si="104"/>
        <v>39.094229666987246</v>
      </c>
      <c r="W287" s="58"/>
      <c r="X287" s="157">
        <f t="shared" si="105"/>
        <v>43373</v>
      </c>
      <c r="Y287" s="387">
        <f t="shared" si="106"/>
        <v>0</v>
      </c>
      <c r="Z287" s="387">
        <f t="shared" si="107"/>
        <v>0</v>
      </c>
      <c r="AA287" s="388">
        <f t="shared" si="108"/>
        <v>0</v>
      </c>
      <c r="AB287" s="199">
        <f t="shared" si="109"/>
        <v>43373</v>
      </c>
      <c r="AC287" s="428">
        <f t="shared" si="110"/>
        <v>1.4145903244231201E-2</v>
      </c>
      <c r="AD287" s="171">
        <f>(INDEX(Models!$BJ287:$BT287,,AH287)*(1-AF287)+INDEX(Models!$BJ287:$BT287,,AH287+1)*AF287-ERP_i)*AE287*Ramure*Pc/MaxiM</f>
        <v>1.5908784234699579E-3</v>
      </c>
      <c r="AE287" s="307">
        <f t="shared" si="111"/>
        <v>0.9</v>
      </c>
      <c r="AF287" s="179">
        <f t="shared" si="112"/>
        <v>0.8930484654754105</v>
      </c>
      <c r="AG287" s="839">
        <f t="shared" si="113"/>
        <v>-3</v>
      </c>
      <c r="AH287" s="178">
        <f t="shared" si="114"/>
        <v>3</v>
      </c>
      <c r="AI287" s="227">
        <f t="shared" si="115"/>
        <v>-2.1069515345245895</v>
      </c>
      <c r="AJ287" s="267" t="b">
        <f t="shared" si="116"/>
        <v>0</v>
      </c>
      <c r="AK287" s="267" t="b">
        <f t="shared" si="117"/>
        <v>0</v>
      </c>
      <c r="AL287" s="267"/>
      <c r="AM287" s="267"/>
      <c r="AN287" s="75"/>
    </row>
    <row r="288" spans="1:40" s="6" customFormat="1" ht="11.25" x14ac:dyDescent="0.2">
      <c r="A288" s="56">
        <f t="shared" si="119"/>
        <v>43374</v>
      </c>
      <c r="B288" s="620">
        <v>2.129</v>
      </c>
      <c r="C288" s="392"/>
      <c r="D288" s="395">
        <f t="shared" ref="D288:D334" si="120">Wh/(1-Ppv)</f>
        <v>2.1320244227134237</v>
      </c>
      <c r="E288" s="387">
        <f t="shared" ref="E288:E296" si="121">Wh_pvt/(1-Psa)</f>
        <v>2.1631008937374516</v>
      </c>
      <c r="F288" s="387">
        <f>Wh_sa/(1-Pvg*MEDIAN((-Sdif+Wh/Env_an)/Csdif,0,1))</f>
        <v>2.1631008937374516</v>
      </c>
      <c r="G288" s="110">
        <f t="shared" ref="G288:G296" si="122">+Wh_hp/MaxiM</f>
        <v>5.5010500430478997E-2</v>
      </c>
      <c r="I288" s="382">
        <f t="shared" si="96"/>
        <v>2.1631008937374516</v>
      </c>
      <c r="J288" s="85">
        <v>2018</v>
      </c>
      <c r="K288" s="199">
        <f t="shared" si="97"/>
        <v>43374</v>
      </c>
      <c r="L288" s="439">
        <f t="shared" si="98"/>
        <v>1.418568512256746E-3</v>
      </c>
      <c r="M288" s="883"/>
      <c r="N288" s="883"/>
      <c r="O288" s="326">
        <f t="shared" si="99"/>
        <v>1.4366630384185711E-2</v>
      </c>
      <c r="P288" s="171">
        <f>(INDEX(Models!$BJ288:$BT288,,T288)*(1-R288)+INDEX(Models!$BJ288:$BT288,,T288+1)*R288-ERP_i)*Q288*Ramure*Pc/MaxiM</f>
        <v>1.59715319175249E-3</v>
      </c>
      <c r="Q288" s="307">
        <f t="shared" si="100"/>
        <v>0.9</v>
      </c>
      <c r="R288" s="179">
        <f t="shared" si="101"/>
        <v>0.89332599965925841</v>
      </c>
      <c r="S288" s="839">
        <f t="shared" si="118"/>
        <v>-3</v>
      </c>
      <c r="T288" s="178">
        <f t="shared" si="102"/>
        <v>3</v>
      </c>
      <c r="U288" s="253">
        <f t="shared" si="103"/>
        <v>-2.1066740003407416</v>
      </c>
      <c r="V288" s="385">
        <f t="shared" si="104"/>
        <v>38.63988955237815</v>
      </c>
      <c r="W288" s="58"/>
      <c r="X288" s="157">
        <f t="shared" si="105"/>
        <v>43374</v>
      </c>
      <c r="Y288" s="387">
        <f t="shared" si="106"/>
        <v>2.129</v>
      </c>
      <c r="Z288" s="387">
        <f t="shared" si="107"/>
        <v>2.1320244227134237</v>
      </c>
      <c r="AA288" s="388">
        <f t="shared" si="108"/>
        <v>2.1631008937374516</v>
      </c>
      <c r="AB288" s="199">
        <f t="shared" si="109"/>
        <v>43374</v>
      </c>
      <c r="AC288" s="428">
        <f t="shared" si="110"/>
        <v>1.4366630384185711E-2</v>
      </c>
      <c r="AD288" s="171">
        <f>(INDEX(Models!$BJ288:$BT288,,AH288)*(1-AF288)+INDEX(Models!$BJ288:$BT288,,AH288+1)*AF288-ERP_i)*AE288*Ramure*Pc/MaxiM</f>
        <v>1.59715319175249E-3</v>
      </c>
      <c r="AE288" s="307">
        <f t="shared" si="111"/>
        <v>0.9</v>
      </c>
      <c r="AF288" s="179">
        <f t="shared" si="112"/>
        <v>0.89332599965925841</v>
      </c>
      <c r="AG288" s="839">
        <f t="shared" si="113"/>
        <v>-3</v>
      </c>
      <c r="AH288" s="178">
        <f t="shared" si="114"/>
        <v>3</v>
      </c>
      <c r="AI288" s="227">
        <f t="shared" si="115"/>
        <v>-2.1066740003407416</v>
      </c>
      <c r="AJ288" s="267" t="b">
        <f t="shared" si="116"/>
        <v>0</v>
      </c>
      <c r="AK288" s="267" t="b">
        <f t="shared" si="117"/>
        <v>0</v>
      </c>
      <c r="AL288" s="267"/>
      <c r="AM288" s="267"/>
      <c r="AN288" s="75"/>
    </row>
    <row r="289" spans="1:40" s="6" customFormat="1" ht="11.25" customHeight="1" x14ac:dyDescent="0.2">
      <c r="A289" s="56">
        <f t="shared" si="119"/>
        <v>43375</v>
      </c>
      <c r="B289" s="620">
        <v>35.54</v>
      </c>
      <c r="C289" s="392"/>
      <c r="D289" s="395">
        <f t="shared" si="120"/>
        <v>35.591315806881546</v>
      </c>
      <c r="E289" s="387">
        <f t="shared" si="121"/>
        <v>36.118157306339114</v>
      </c>
      <c r="F289" s="387">
        <f>Wh_sa/(1-Pvg*MEDIAN((-Sdif+Wh/Env_an)/Csdif,0,1))</f>
        <v>36.170348293737305</v>
      </c>
      <c r="G289" s="110">
        <f t="shared" si="122"/>
        <v>0.93055605877897141</v>
      </c>
      <c r="I289" s="382">
        <f t="shared" si="96"/>
        <v>36.170348293737305</v>
      </c>
      <c r="J289" s="85">
        <v>2018</v>
      </c>
      <c r="K289" s="199">
        <f t="shared" si="97"/>
        <v>43375</v>
      </c>
      <c r="L289" s="439">
        <f t="shared" si="98"/>
        <v>1.4418069610010464E-3</v>
      </c>
      <c r="M289" s="883"/>
      <c r="N289" s="883"/>
      <c r="O289" s="326">
        <f t="shared" si="99"/>
        <v>1.4586610689718062E-2</v>
      </c>
      <c r="P289" s="171">
        <f>(INDEX(Models!$BJ289:$BT289,,T289)*(1-R289)+INDEX(Models!$BJ289:$BT289,,T289+1)*R289-ERP_i)*Q289*Ramure*Pc/MaxiM</f>
        <v>1.601457435081136E-3</v>
      </c>
      <c r="Q289" s="307">
        <f t="shared" si="100"/>
        <v>0.9</v>
      </c>
      <c r="R289" s="179">
        <f t="shared" si="101"/>
        <v>0.893592568265277</v>
      </c>
      <c r="S289" s="839">
        <f t="shared" si="118"/>
        <v>-3</v>
      </c>
      <c r="T289" s="178">
        <f t="shared" si="102"/>
        <v>3</v>
      </c>
      <c r="U289" s="253">
        <f t="shared" si="103"/>
        <v>-2.106407431734723</v>
      </c>
      <c r="V289" s="385">
        <f t="shared" si="104"/>
        <v>38.186154579176808</v>
      </c>
      <c r="W289" s="58"/>
      <c r="X289" s="157">
        <f t="shared" si="105"/>
        <v>43375</v>
      </c>
      <c r="Y289" s="387">
        <f t="shared" si="106"/>
        <v>35.54</v>
      </c>
      <c r="Z289" s="387">
        <f t="shared" si="107"/>
        <v>35.591315806881546</v>
      </c>
      <c r="AA289" s="388">
        <f t="shared" si="108"/>
        <v>36.118157306339114</v>
      </c>
      <c r="AB289" s="199">
        <f t="shared" si="109"/>
        <v>43375</v>
      </c>
      <c r="AC289" s="428">
        <f t="shared" si="110"/>
        <v>1.4586610689718062E-2</v>
      </c>
      <c r="AD289" s="171">
        <f>(INDEX(Models!$BJ289:$BT289,,AH289)*(1-AF289)+INDEX(Models!$BJ289:$BT289,,AH289+1)*AF289-ERP_i)*AE289*Ramure*Pc/MaxiM</f>
        <v>1.601457435081136E-3</v>
      </c>
      <c r="AE289" s="307">
        <f t="shared" si="111"/>
        <v>0.9</v>
      </c>
      <c r="AF289" s="179">
        <f t="shared" si="112"/>
        <v>0.893592568265277</v>
      </c>
      <c r="AG289" s="839">
        <f t="shared" si="113"/>
        <v>-3</v>
      </c>
      <c r="AH289" s="178">
        <f t="shared" si="114"/>
        <v>3</v>
      </c>
      <c r="AI289" s="227">
        <f t="shared" si="115"/>
        <v>-2.106407431734723</v>
      </c>
      <c r="AJ289" s="267" t="b">
        <f t="shared" si="116"/>
        <v>0</v>
      </c>
      <c r="AK289" s="267" t="b">
        <f t="shared" si="117"/>
        <v>0</v>
      </c>
      <c r="AL289" s="267"/>
      <c r="AM289" s="267"/>
      <c r="AN289" s="75"/>
    </row>
    <row r="290" spans="1:40" s="6" customFormat="1" ht="11.25" x14ac:dyDescent="0.2">
      <c r="A290" s="56">
        <f t="shared" si="119"/>
        <v>43376</v>
      </c>
      <c r="B290" s="620">
        <v>35.398000000000003</v>
      </c>
      <c r="C290" s="392"/>
      <c r="D290" s="395">
        <f t="shared" si="120"/>
        <v>35.449935746470068</v>
      </c>
      <c r="E290" s="387">
        <f t="shared" si="121"/>
        <v>35.982689255974698</v>
      </c>
      <c r="F290" s="387">
        <f>Wh_sa/(1-Pvg*MEDIAN((-Sdif+Wh/Env_an)/Csdif,0,1))</f>
        <v>36.035375229537863</v>
      </c>
      <c r="G290" s="110">
        <f t="shared" si="122"/>
        <v>0.93807845296443881</v>
      </c>
      <c r="I290" s="382">
        <f t="shared" si="96"/>
        <v>36.035375229537863</v>
      </c>
      <c r="J290" s="85">
        <v>2018</v>
      </c>
      <c r="K290" s="199">
        <f t="shared" si="97"/>
        <v>43376</v>
      </c>
      <c r="L290" s="439">
        <f t="shared" si="98"/>
        <v>1.465044868952603E-3</v>
      </c>
      <c r="M290" s="883"/>
      <c r="N290" s="883"/>
      <c r="O290" s="326">
        <f t="shared" si="99"/>
        <v>1.4805828038997073E-2</v>
      </c>
      <c r="P290" s="171">
        <f>(INDEX(Models!$BJ290:$BT290,,T290)*(1-R290)+INDEX(Models!$BJ290:$BT290,,T290+1)*R290-ERP_i)*Q290*Ramure*Pc/MaxiM</f>
        <v>1.6036124108908937E-3</v>
      </c>
      <c r="Q290" s="307">
        <f t="shared" si="100"/>
        <v>0.9</v>
      </c>
      <c r="R290" s="179">
        <f t="shared" si="101"/>
        <v>0.89384859654938031</v>
      </c>
      <c r="S290" s="839">
        <f t="shared" si="118"/>
        <v>-3</v>
      </c>
      <c r="T290" s="178">
        <f t="shared" si="102"/>
        <v>3</v>
      </c>
      <c r="U290" s="253">
        <f t="shared" si="103"/>
        <v>-2.1061514034506197</v>
      </c>
      <c r="V290" s="385">
        <f t="shared" si="104"/>
        <v>37.729234661148574</v>
      </c>
      <c r="W290" s="58"/>
      <c r="X290" s="157">
        <f t="shared" si="105"/>
        <v>43376</v>
      </c>
      <c r="Y290" s="387">
        <f t="shared" si="106"/>
        <v>35.398000000000003</v>
      </c>
      <c r="Z290" s="387">
        <f t="shared" si="107"/>
        <v>35.449935746470068</v>
      </c>
      <c r="AA290" s="388">
        <f t="shared" si="108"/>
        <v>35.982689255974698</v>
      </c>
      <c r="AB290" s="199">
        <f t="shared" si="109"/>
        <v>43376</v>
      </c>
      <c r="AC290" s="428">
        <f t="shared" si="110"/>
        <v>1.4805828038997073E-2</v>
      </c>
      <c r="AD290" s="171">
        <f>(INDEX(Models!$BJ290:$BT290,,AH290)*(1-AF290)+INDEX(Models!$BJ290:$BT290,,AH290+1)*AF290-ERP_i)*AE290*Ramure*Pc/MaxiM</f>
        <v>1.6036124108908937E-3</v>
      </c>
      <c r="AE290" s="307">
        <f t="shared" si="111"/>
        <v>0.9</v>
      </c>
      <c r="AF290" s="179">
        <f t="shared" si="112"/>
        <v>0.89384859654938031</v>
      </c>
      <c r="AG290" s="839">
        <f t="shared" si="113"/>
        <v>-3</v>
      </c>
      <c r="AH290" s="178">
        <f t="shared" si="114"/>
        <v>3</v>
      </c>
      <c r="AI290" s="227">
        <f t="shared" si="115"/>
        <v>-2.1061514034506197</v>
      </c>
      <c r="AJ290" s="267" t="b">
        <f t="shared" si="116"/>
        <v>0</v>
      </c>
      <c r="AK290" s="267" t="b">
        <f t="shared" si="117"/>
        <v>0</v>
      </c>
      <c r="AL290" s="267"/>
      <c r="AM290" s="267"/>
      <c r="AN290" s="75"/>
    </row>
    <row r="291" spans="1:40" s="6" customFormat="1" ht="11.25" customHeight="1" x14ac:dyDescent="0.2">
      <c r="A291" s="56">
        <f t="shared" si="119"/>
        <v>43377</v>
      </c>
      <c r="B291" s="620">
        <v>35.271999999999998</v>
      </c>
      <c r="C291" s="392"/>
      <c r="D291" s="395">
        <f t="shared" si="120"/>
        <v>35.324572934396933</v>
      </c>
      <c r="E291" s="387">
        <f t="shared" si="121"/>
        <v>35.863394130426258</v>
      </c>
      <c r="F291" s="387">
        <f>Wh_sa/(1-Pvg*MEDIAN((-Sdif+Wh/Env_an)/Csdif,0,1))</f>
        <v>35.9166178794583</v>
      </c>
      <c r="G291" s="110">
        <f t="shared" si="122"/>
        <v>0.94627001001459299</v>
      </c>
      <c r="I291" s="382">
        <f t="shared" si="96"/>
        <v>35.9166178794583</v>
      </c>
      <c r="J291" s="85">
        <v>2018</v>
      </c>
      <c r="K291" s="199">
        <f t="shared" si="97"/>
        <v>43377</v>
      </c>
      <c r="L291" s="439">
        <f t="shared" si="98"/>
        <v>1.4882822361241832E-3</v>
      </c>
      <c r="M291" s="883"/>
      <c r="N291" s="883"/>
      <c r="O291" s="326">
        <f t="shared" si="99"/>
        <v>1.5024266639955177E-2</v>
      </c>
      <c r="P291" s="171">
        <f>(INDEX(Models!$BJ291:$BT291,,T291)*(1-R291)+INDEX(Models!$BJ291:$BT291,,T291+1)*R291-ERP_i)*Q291*Ramure*Pc/MaxiM</f>
        <v>1.6047810527013283E-3</v>
      </c>
      <c r="Q291" s="307">
        <f t="shared" si="100"/>
        <v>0.9</v>
      </c>
      <c r="R291" s="179">
        <f t="shared" si="101"/>
        <v>0.89409449390224305</v>
      </c>
      <c r="S291" s="839">
        <f t="shared" si="118"/>
        <v>-3</v>
      </c>
      <c r="T291" s="178">
        <f t="shared" si="102"/>
        <v>3</v>
      </c>
      <c r="U291" s="253">
        <f t="shared" si="103"/>
        <v>-2.105905506097757</v>
      </c>
      <c r="V291" s="385">
        <f t="shared" si="104"/>
        <v>37.270184899493181</v>
      </c>
      <c r="W291" s="58"/>
      <c r="X291" s="157">
        <f t="shared" si="105"/>
        <v>43377</v>
      </c>
      <c r="Y291" s="387">
        <f t="shared" si="106"/>
        <v>35.271999999999998</v>
      </c>
      <c r="Z291" s="387">
        <f t="shared" si="107"/>
        <v>35.324572934396933</v>
      </c>
      <c r="AA291" s="388">
        <f t="shared" si="108"/>
        <v>35.863394130426258</v>
      </c>
      <c r="AB291" s="199">
        <f t="shared" si="109"/>
        <v>43377</v>
      </c>
      <c r="AC291" s="428">
        <f t="shared" si="110"/>
        <v>1.5024266639955177E-2</v>
      </c>
      <c r="AD291" s="171">
        <f>(INDEX(Models!$BJ291:$BT291,,AH291)*(1-AF291)+INDEX(Models!$BJ291:$BT291,,AH291+1)*AF291-ERP_i)*AE291*Ramure*Pc/MaxiM</f>
        <v>1.6047810527013283E-3</v>
      </c>
      <c r="AE291" s="307">
        <f t="shared" si="111"/>
        <v>0.9</v>
      </c>
      <c r="AF291" s="179">
        <f t="shared" si="112"/>
        <v>0.89409449390224305</v>
      </c>
      <c r="AG291" s="839">
        <f t="shared" si="113"/>
        <v>-3</v>
      </c>
      <c r="AH291" s="178">
        <f t="shared" si="114"/>
        <v>3</v>
      </c>
      <c r="AI291" s="227">
        <f t="shared" si="115"/>
        <v>-2.105905506097757</v>
      </c>
      <c r="AJ291" s="267" t="b">
        <f t="shared" si="116"/>
        <v>0</v>
      </c>
      <c r="AK291" s="267" t="b">
        <f t="shared" si="117"/>
        <v>0</v>
      </c>
      <c r="AL291" s="267"/>
      <c r="AM291" s="267"/>
      <c r="AN291" s="75"/>
    </row>
    <row r="292" spans="1:40" s="6" customFormat="1" ht="11.25" x14ac:dyDescent="0.2">
      <c r="A292" s="56">
        <f t="shared" si="119"/>
        <v>43378</v>
      </c>
      <c r="B292" s="620">
        <v>34.72</v>
      </c>
      <c r="C292" s="392"/>
      <c r="D292" s="395">
        <f t="shared" si="120"/>
        <v>34.772559386365387</v>
      </c>
      <c r="E292" s="387">
        <f t="shared" si="121"/>
        <v>35.310762896379593</v>
      </c>
      <c r="F292" s="387">
        <f>Wh_sa/(1-Pvg*MEDIAN((-Sdif+Wh/Env_an)/Csdif,0,1))</f>
        <v>35.362912438789422</v>
      </c>
      <c r="G292" s="110">
        <f t="shared" si="122"/>
        <v>0.94309622713293229</v>
      </c>
      <c r="I292" s="382">
        <f t="shared" si="96"/>
        <v>35.362912438789422</v>
      </c>
      <c r="J292" s="85">
        <v>2018</v>
      </c>
      <c r="K292" s="199">
        <f t="shared" si="97"/>
        <v>43378</v>
      </c>
      <c r="L292" s="439">
        <f t="shared" si="98"/>
        <v>1.5115190625283326E-3</v>
      </c>
      <c r="M292" s="883"/>
      <c r="N292" s="883"/>
      <c r="O292" s="326">
        <f t="shared" si="99"/>
        <v>1.5241911130427147E-2</v>
      </c>
      <c r="P292" s="171">
        <f>(INDEX(Models!$BJ292:$BT292,,T292)*(1-R292)+INDEX(Models!$BJ292:$BT292,,T292+1)*R292-ERP_i)*Q292*Ramure*Pc/MaxiM</f>
        <v>1.6048761344128338E-3</v>
      </c>
      <c r="Q292" s="307">
        <f t="shared" si="100"/>
        <v>0.9</v>
      </c>
      <c r="R292" s="179">
        <f t="shared" si="101"/>
        <v>0.89433065439181725</v>
      </c>
      <c r="S292" s="839">
        <f t="shared" si="118"/>
        <v>-3</v>
      </c>
      <c r="T292" s="178">
        <f t="shared" si="102"/>
        <v>3</v>
      </c>
      <c r="U292" s="253">
        <f t="shared" si="103"/>
        <v>-2.1056693456081828</v>
      </c>
      <c r="V292" s="385">
        <f t="shared" si="104"/>
        <v>36.810107461627474</v>
      </c>
      <c r="W292" s="58"/>
      <c r="X292" s="157">
        <f t="shared" si="105"/>
        <v>43378</v>
      </c>
      <c r="Y292" s="387">
        <f t="shared" si="106"/>
        <v>34.72</v>
      </c>
      <c r="Z292" s="387">
        <f t="shared" si="107"/>
        <v>34.772559386365387</v>
      </c>
      <c r="AA292" s="388">
        <f t="shared" si="108"/>
        <v>35.310762896379593</v>
      </c>
      <c r="AB292" s="199">
        <f t="shared" si="109"/>
        <v>43378</v>
      </c>
      <c r="AC292" s="428">
        <f t="shared" si="110"/>
        <v>1.5241911130427147E-2</v>
      </c>
      <c r="AD292" s="171">
        <f>(INDEX(Models!$BJ292:$BT292,,AH292)*(1-AF292)+INDEX(Models!$BJ292:$BT292,,AH292+1)*AF292-ERP_i)*AE292*Ramure*Pc/MaxiM</f>
        <v>1.6048761344128338E-3</v>
      </c>
      <c r="AE292" s="307">
        <f t="shared" si="111"/>
        <v>0.9</v>
      </c>
      <c r="AF292" s="179">
        <f t="shared" si="112"/>
        <v>0.89433065439181725</v>
      </c>
      <c r="AG292" s="839">
        <f t="shared" si="113"/>
        <v>-3</v>
      </c>
      <c r="AH292" s="178">
        <f t="shared" si="114"/>
        <v>3</v>
      </c>
      <c r="AI292" s="227">
        <f t="shared" si="115"/>
        <v>-2.1056693456081828</v>
      </c>
      <c r="AJ292" s="267" t="b">
        <f t="shared" si="116"/>
        <v>0</v>
      </c>
      <c r="AK292" s="267" t="b">
        <f t="shared" si="117"/>
        <v>0</v>
      </c>
      <c r="AL292" s="267"/>
      <c r="AM292" s="267"/>
      <c r="AN292" s="75"/>
    </row>
    <row r="293" spans="1:40" s="6" customFormat="1" ht="11.25" x14ac:dyDescent="0.2">
      <c r="A293" s="56">
        <f t="shared" si="119"/>
        <v>43379</v>
      </c>
      <c r="B293" s="620">
        <v>33.353999999999999</v>
      </c>
      <c r="C293" s="392"/>
      <c r="D293" s="395">
        <f t="shared" si="120"/>
        <v>33.405268915124793</v>
      </c>
      <c r="E293" s="387">
        <f t="shared" si="121"/>
        <v>33.929780801510979</v>
      </c>
      <c r="F293" s="387">
        <f t="shared" ref="F293:F324" si="123">Wh_sa/(1-Pvg*MEDIAN((-Sdif+Wh/Env_an)/Csdif,0,1))</f>
        <v>33.977858149363783</v>
      </c>
      <c r="G293" s="110">
        <f t="shared" si="122"/>
        <v>0.91740295744211742</v>
      </c>
      <c r="I293" s="382">
        <f t="shared" si="96"/>
        <v>33.977858149363783</v>
      </c>
      <c r="J293" s="85">
        <v>2018</v>
      </c>
      <c r="K293" s="199">
        <f t="shared" si="97"/>
        <v>43379</v>
      </c>
      <c r="L293" s="439">
        <f t="shared" si="98"/>
        <v>1.5347553481774856E-3</v>
      </c>
      <c r="M293" s="883"/>
      <c r="N293" s="883"/>
      <c r="O293" s="326">
        <f t="shared" si="99"/>
        <v>1.5458746681995299E-2</v>
      </c>
      <c r="P293" s="171">
        <f>(INDEX(Models!$BJ293:$BT293,,T293)*(1-R293)+INDEX(Models!$BJ293:$BT293,,T293+1)*R293-ERP_i)*Q293*Ramure*Pc/MaxiM</f>
        <v>1.6038058515949044E-3</v>
      </c>
      <c r="Q293" s="307">
        <f t="shared" si="100"/>
        <v>0.9</v>
      </c>
      <c r="R293" s="179">
        <f t="shared" si="101"/>
        <v>0.89455745729127223</v>
      </c>
      <c r="S293" s="839">
        <f t="shared" si="118"/>
        <v>-3</v>
      </c>
      <c r="T293" s="178">
        <f t="shared" si="102"/>
        <v>3</v>
      </c>
      <c r="U293" s="253">
        <f t="shared" si="103"/>
        <v>-2.1054425427087278</v>
      </c>
      <c r="V293" s="385">
        <f t="shared" si="104"/>
        <v>36.350103383529401</v>
      </c>
      <c r="W293" s="58"/>
      <c r="X293" s="157">
        <f t="shared" si="105"/>
        <v>43379</v>
      </c>
      <c r="Y293" s="387">
        <f t="shared" si="106"/>
        <v>33.353999999999999</v>
      </c>
      <c r="Z293" s="387">
        <f t="shared" si="107"/>
        <v>33.405268915124793</v>
      </c>
      <c r="AA293" s="388">
        <f t="shared" si="108"/>
        <v>33.929780801510979</v>
      </c>
      <c r="AB293" s="199">
        <f t="shared" si="109"/>
        <v>43379</v>
      </c>
      <c r="AC293" s="428">
        <f t="shared" si="110"/>
        <v>1.5458746681995299E-2</v>
      </c>
      <c r="AD293" s="171">
        <f>(INDEX(Models!$BJ293:$BT293,,AH293)*(1-AF293)+INDEX(Models!$BJ293:$BT293,,AH293+1)*AF293-ERP_i)*AE293*Ramure*Pc/MaxiM</f>
        <v>1.6038058515949044E-3</v>
      </c>
      <c r="AE293" s="307">
        <f t="shared" si="111"/>
        <v>0.9</v>
      </c>
      <c r="AF293" s="179">
        <f t="shared" si="112"/>
        <v>0.89455745729127223</v>
      </c>
      <c r="AG293" s="839">
        <f t="shared" si="113"/>
        <v>-3</v>
      </c>
      <c r="AH293" s="178">
        <f t="shared" si="114"/>
        <v>3</v>
      </c>
      <c r="AI293" s="227">
        <f t="shared" si="115"/>
        <v>-2.1054425427087278</v>
      </c>
      <c r="AJ293" s="267" t="b">
        <f t="shared" si="116"/>
        <v>0</v>
      </c>
      <c r="AK293" s="267" t="b">
        <f t="shared" si="117"/>
        <v>0</v>
      </c>
      <c r="AL293" s="267"/>
      <c r="AM293" s="267"/>
      <c r="AN293" s="75"/>
    </row>
    <row r="294" spans="1:40" s="6" customFormat="1" ht="11.25" customHeight="1" x14ac:dyDescent="0.2">
      <c r="A294" s="56">
        <f t="shared" si="119"/>
        <v>43380</v>
      </c>
      <c r="B294" s="620">
        <v>15.315</v>
      </c>
      <c r="C294" s="392"/>
      <c r="D294" s="395">
        <f t="shared" si="120"/>
        <v>15.338897866253353</v>
      </c>
      <c r="E294" s="387">
        <f t="shared" si="121"/>
        <v>15.583160147692034</v>
      </c>
      <c r="F294" s="387">
        <f t="shared" si="123"/>
        <v>15.587678690520804</v>
      </c>
      <c r="G294" s="110">
        <f t="shared" si="122"/>
        <v>0.42614557818658527</v>
      </c>
      <c r="I294" s="382">
        <f t="shared" si="96"/>
        <v>15.587678690520804</v>
      </c>
      <c r="J294" s="85">
        <v>2018</v>
      </c>
      <c r="K294" s="199">
        <f t="shared" si="97"/>
        <v>43380</v>
      </c>
      <c r="L294" s="439">
        <f t="shared" si="98"/>
        <v>1.5579910930844099E-3</v>
      </c>
      <c r="M294" s="883"/>
      <c r="N294" s="883"/>
      <c r="O294" s="326">
        <f t="shared" si="99"/>
        <v>1.5674759106859223E-2</v>
      </c>
      <c r="P294" s="171">
        <f>(INDEX(Models!$BJ294:$BT294,,T294)*(1-R294)+INDEX(Models!$BJ294:$BT294,,T294+1)*R294-ERP_i)*Q294*Ramure*Pc/MaxiM</f>
        <v>1.6014738680573909E-3</v>
      </c>
      <c r="Q294" s="307">
        <f t="shared" si="100"/>
        <v>0.9</v>
      </c>
      <c r="R294" s="179">
        <f t="shared" si="101"/>
        <v>0.89477526759240433</v>
      </c>
      <c r="S294" s="839">
        <f t="shared" si="118"/>
        <v>-3</v>
      </c>
      <c r="T294" s="178">
        <f t="shared" si="102"/>
        <v>3</v>
      </c>
      <c r="U294" s="253">
        <f t="shared" si="103"/>
        <v>-2.1052247324075957</v>
      </c>
      <c r="V294" s="385">
        <f t="shared" si="104"/>
        <v>35.891272572274943</v>
      </c>
      <c r="W294" s="58"/>
      <c r="X294" s="157">
        <f t="shared" si="105"/>
        <v>43380</v>
      </c>
      <c r="Y294" s="387">
        <f t="shared" si="106"/>
        <v>15.315</v>
      </c>
      <c r="Z294" s="387">
        <f t="shared" si="107"/>
        <v>15.338897866253353</v>
      </c>
      <c r="AA294" s="388">
        <f t="shared" si="108"/>
        <v>15.583160147692034</v>
      </c>
      <c r="AB294" s="199">
        <f t="shared" si="109"/>
        <v>43380</v>
      </c>
      <c r="AC294" s="428">
        <f t="shared" si="110"/>
        <v>1.5674759106859223E-2</v>
      </c>
      <c r="AD294" s="171">
        <f>(INDEX(Models!$BJ294:$BT294,,AH294)*(1-AF294)+INDEX(Models!$BJ294:$BT294,,AH294+1)*AF294-ERP_i)*AE294*Ramure*Pc/MaxiM</f>
        <v>1.6014738680573909E-3</v>
      </c>
      <c r="AE294" s="307">
        <f t="shared" si="111"/>
        <v>0.9</v>
      </c>
      <c r="AF294" s="179">
        <f t="shared" si="112"/>
        <v>0.89477526759240433</v>
      </c>
      <c r="AG294" s="839">
        <f t="shared" si="113"/>
        <v>-3</v>
      </c>
      <c r="AH294" s="178">
        <f t="shared" si="114"/>
        <v>3</v>
      </c>
      <c r="AI294" s="227">
        <f t="shared" si="115"/>
        <v>-2.1052247324075957</v>
      </c>
      <c r="AJ294" s="267" t="b">
        <f t="shared" si="116"/>
        <v>0</v>
      </c>
      <c r="AK294" s="267" t="b">
        <f t="shared" si="117"/>
        <v>0</v>
      </c>
      <c r="AL294" s="267"/>
      <c r="AM294" s="267"/>
      <c r="AN294" s="75"/>
    </row>
    <row r="295" spans="1:40" s="6" customFormat="1" ht="11.25" customHeight="1" x14ac:dyDescent="0.2">
      <c r="A295" s="56">
        <f t="shared" si="119"/>
        <v>43381</v>
      </c>
      <c r="B295" s="620">
        <v>14.872</v>
      </c>
      <c r="C295" s="392"/>
      <c r="D295" s="395">
        <f t="shared" si="120"/>
        <v>14.895553240496131</v>
      </c>
      <c r="E295" s="387">
        <f t="shared" si="121"/>
        <v>15.136064318167898</v>
      </c>
      <c r="F295" s="387">
        <f t="shared" si="123"/>
        <v>15.140200977500024</v>
      </c>
      <c r="G295" s="110">
        <f t="shared" si="122"/>
        <v>0.41914535837854994</v>
      </c>
      <c r="I295" s="382">
        <f t="shared" si="96"/>
        <v>15.140200977500024</v>
      </c>
      <c r="J295" s="85">
        <v>2018</v>
      </c>
      <c r="K295" s="199">
        <f t="shared" si="97"/>
        <v>43381</v>
      </c>
      <c r="L295" s="439">
        <f t="shared" si="98"/>
        <v>1.5812262972615398E-3</v>
      </c>
      <c r="M295" s="883"/>
      <c r="N295" s="883"/>
      <c r="O295" s="326">
        <f t="shared" si="99"/>
        <v>1.5889934966983592E-2</v>
      </c>
      <c r="P295" s="171">
        <f>(INDEX(Models!$BJ295:$BT295,,T295)*(1-R295)+INDEX(Models!$BJ295:$BT295,,T295+1)*R295-ERP_i)*Q295*Ramure*Pc/MaxiM</f>
        <v>1.5977794237821356E-3</v>
      </c>
      <c r="Q295" s="307">
        <f t="shared" si="100"/>
        <v>0.9</v>
      </c>
      <c r="R295" s="179">
        <f t="shared" si="101"/>
        <v>0.89498443650460979</v>
      </c>
      <c r="S295" s="839">
        <f t="shared" si="118"/>
        <v>-3</v>
      </c>
      <c r="T295" s="178">
        <f t="shared" si="102"/>
        <v>3</v>
      </c>
      <c r="U295" s="253">
        <f t="shared" si="103"/>
        <v>-2.1050155634953902</v>
      </c>
      <c r="V295" s="385">
        <f t="shared" si="104"/>
        <v>35.434713815586122</v>
      </c>
      <c r="W295" s="58"/>
      <c r="X295" s="157">
        <f t="shared" si="105"/>
        <v>43381</v>
      </c>
      <c r="Y295" s="387">
        <f t="shared" si="106"/>
        <v>14.872</v>
      </c>
      <c r="Z295" s="387">
        <f t="shared" si="107"/>
        <v>14.895553240496131</v>
      </c>
      <c r="AA295" s="388">
        <f t="shared" si="108"/>
        <v>15.136064318167898</v>
      </c>
      <c r="AB295" s="199">
        <f t="shared" si="109"/>
        <v>43381</v>
      </c>
      <c r="AC295" s="428">
        <f t="shared" si="110"/>
        <v>1.5889934966983592E-2</v>
      </c>
      <c r="AD295" s="171">
        <f>(INDEX(Models!$BJ295:$BT295,,AH295)*(1-AF295)+INDEX(Models!$BJ295:$BT295,,AH295+1)*AF295-ERP_i)*AE295*Ramure*Pc/MaxiM</f>
        <v>1.5977794237821356E-3</v>
      </c>
      <c r="AE295" s="307">
        <f t="shared" si="111"/>
        <v>0.9</v>
      </c>
      <c r="AF295" s="179">
        <f t="shared" si="112"/>
        <v>0.89498443650460979</v>
      </c>
      <c r="AG295" s="839">
        <f t="shared" si="113"/>
        <v>-3</v>
      </c>
      <c r="AH295" s="178">
        <f t="shared" si="114"/>
        <v>3</v>
      </c>
      <c r="AI295" s="227">
        <f t="shared" si="115"/>
        <v>-2.1050155634953902</v>
      </c>
      <c r="AJ295" s="267" t="b">
        <f t="shared" si="116"/>
        <v>0</v>
      </c>
      <c r="AK295" s="267" t="b">
        <f t="shared" si="117"/>
        <v>0</v>
      </c>
      <c r="AL295" s="267"/>
      <c r="AM295" s="267"/>
      <c r="AN295" s="75"/>
    </row>
    <row r="296" spans="1:40" s="6" customFormat="1" ht="11.25" customHeight="1" x14ac:dyDescent="0.2">
      <c r="A296" s="56">
        <f t="shared" si="119"/>
        <v>43382</v>
      </c>
      <c r="B296" s="620">
        <v>31.266999999999999</v>
      </c>
      <c r="C296" s="392"/>
      <c r="D296" s="395">
        <f t="shared" si="120"/>
        <v>31.317247300691225</v>
      </c>
      <c r="E296" s="387">
        <f t="shared" si="121"/>
        <v>31.829843428649927</v>
      </c>
      <c r="F296" s="387">
        <f t="shared" si="123"/>
        <v>31.87290957206617</v>
      </c>
      <c r="G296" s="110">
        <f t="shared" si="122"/>
        <v>0.89359857968023093</v>
      </c>
      <c r="I296" s="382">
        <f t="shared" si="96"/>
        <v>31.87290957206617</v>
      </c>
      <c r="J296" s="85">
        <v>2018</v>
      </c>
      <c r="K296" s="199">
        <f t="shared" si="97"/>
        <v>43382</v>
      </c>
      <c r="L296" s="439">
        <f t="shared" si="98"/>
        <v>1.6044609607216431E-3</v>
      </c>
      <c r="M296" s="883"/>
      <c r="N296" s="883"/>
      <c r="O296" s="326">
        <f t="shared" si="99"/>
        <v>1.610426168472183E-2</v>
      </c>
      <c r="P296" s="171">
        <f>(INDEX(Models!$BJ296:$BT296,,T296)*(1-R296)+INDEX(Models!$BJ296:$BT296,,T296+1)*R296-ERP_i)*Q296*Ramure*Pc/MaxiM</f>
        <v>1.592800085694327E-3</v>
      </c>
      <c r="Q296" s="307">
        <f t="shared" si="100"/>
        <v>0.9</v>
      </c>
      <c r="R296" s="179">
        <f t="shared" si="101"/>
        <v>0.89518530193953749</v>
      </c>
      <c r="S296" s="839">
        <f t="shared" si="118"/>
        <v>-3</v>
      </c>
      <c r="T296" s="178">
        <f t="shared" si="102"/>
        <v>3</v>
      </c>
      <c r="U296" s="253">
        <f t="shared" si="103"/>
        <v>-2.1048146980604625</v>
      </c>
      <c r="V296" s="385">
        <f t="shared" si="104"/>
        <v>34.981518388177129</v>
      </c>
      <c r="W296" s="58"/>
      <c r="X296" s="157">
        <f t="shared" si="105"/>
        <v>43382</v>
      </c>
      <c r="Y296" s="387">
        <f t="shared" si="106"/>
        <v>31.266999999999999</v>
      </c>
      <c r="Z296" s="387">
        <f t="shared" si="107"/>
        <v>31.317247300691225</v>
      </c>
      <c r="AA296" s="388">
        <f t="shared" si="108"/>
        <v>31.829843428649927</v>
      </c>
      <c r="AB296" s="199">
        <f t="shared" si="109"/>
        <v>43382</v>
      </c>
      <c r="AC296" s="428">
        <f t="shared" si="110"/>
        <v>1.610426168472183E-2</v>
      </c>
      <c r="AD296" s="171">
        <f>(INDEX(Models!$BJ296:$BT296,,AH296)*(1-AF296)+INDEX(Models!$BJ296:$BT296,,AH296+1)*AF296-ERP_i)*AE296*Ramure*Pc/MaxiM</f>
        <v>1.592800085694327E-3</v>
      </c>
      <c r="AE296" s="307">
        <f t="shared" si="111"/>
        <v>0.9</v>
      </c>
      <c r="AF296" s="179">
        <f t="shared" si="112"/>
        <v>0.89518530193953749</v>
      </c>
      <c r="AG296" s="839">
        <f t="shared" si="113"/>
        <v>-3</v>
      </c>
      <c r="AH296" s="178">
        <f t="shared" si="114"/>
        <v>3</v>
      </c>
      <c r="AI296" s="227">
        <f t="shared" si="115"/>
        <v>-2.1048146980604625</v>
      </c>
      <c r="AJ296" s="267" t="b">
        <f t="shared" si="116"/>
        <v>0</v>
      </c>
      <c r="AK296" s="267" t="b">
        <f t="shared" si="117"/>
        <v>0</v>
      </c>
      <c r="AL296" s="267"/>
      <c r="AM296" s="267"/>
      <c r="AN296" s="75"/>
    </row>
    <row r="297" spans="1:40" s="6" customFormat="1" ht="11.25" customHeight="1" x14ac:dyDescent="0.2">
      <c r="A297" s="56">
        <f t="shared" si="119"/>
        <v>43383</v>
      </c>
      <c r="B297" s="620">
        <v>21.789000000000001</v>
      </c>
      <c r="C297" s="392"/>
      <c r="D297" s="395">
        <f t="shared" si="120"/>
        <v>21.824523669876687</v>
      </c>
      <c r="E297" s="387">
        <f t="shared" ref="E297:E360" si="124">Wh_pvt/(1-Psa)</f>
        <v>22.186557878926095</v>
      </c>
      <c r="F297" s="387">
        <f t="shared" si="123"/>
        <v>22.203221567396387</v>
      </c>
      <c r="G297" s="110">
        <f t="shared" ref="G297:G360" si="125">+Wh_hp/MaxiM</f>
        <v>0.63043781939337307</v>
      </c>
      <c r="I297" s="382">
        <f t="shared" si="96"/>
        <v>22.203221567396387</v>
      </c>
      <c r="J297" s="85">
        <v>2018</v>
      </c>
      <c r="K297" s="199">
        <f t="shared" si="97"/>
        <v>43383</v>
      </c>
      <c r="L297" s="439">
        <f t="shared" si="98"/>
        <v>1.6276950834770432E-3</v>
      </c>
      <c r="M297" s="883"/>
      <c r="N297" s="883"/>
      <c r="O297" s="326">
        <f t="shared" si="99"/>
        <v>1.6317727654062412E-2</v>
      </c>
      <c r="P297" s="171">
        <f>(INDEX(Models!$BJ297:$BT297,,T297)*(1-R297)+INDEX(Models!$BJ297:$BT297,,T297+1)*R297-ERP_i)*Q297*Ramure*Pc/MaxiM</f>
        <v>1.5873383352921302E-3</v>
      </c>
      <c r="Q297" s="307">
        <f t="shared" si="100"/>
        <v>0.9</v>
      </c>
      <c r="R297" s="179">
        <f t="shared" si="101"/>
        <v>0.89537818898156507</v>
      </c>
      <c r="S297" s="839">
        <f t="shared" si="118"/>
        <v>-3</v>
      </c>
      <c r="T297" s="178">
        <f t="shared" si="102"/>
        <v>3</v>
      </c>
      <c r="U297" s="253">
        <f t="shared" si="103"/>
        <v>-2.1046218110184349</v>
      </c>
      <c r="V297" s="385">
        <f t="shared" si="104"/>
        <v>34.532751577543657</v>
      </c>
      <c r="W297" s="58"/>
      <c r="X297" s="157">
        <f t="shared" si="105"/>
        <v>43383</v>
      </c>
      <c r="Y297" s="387">
        <f t="shared" si="106"/>
        <v>21.789000000000001</v>
      </c>
      <c r="Z297" s="387">
        <f t="shared" si="107"/>
        <v>21.824523669876687</v>
      </c>
      <c r="AA297" s="388">
        <f t="shared" si="108"/>
        <v>22.186557878926095</v>
      </c>
      <c r="AB297" s="199">
        <f t="shared" si="109"/>
        <v>43383</v>
      </c>
      <c r="AC297" s="428">
        <f t="shared" si="110"/>
        <v>1.6317727654062412E-2</v>
      </c>
      <c r="AD297" s="171">
        <f>(INDEX(Models!$BJ297:$BT297,,AH297)*(1-AF297)+INDEX(Models!$BJ297:$BT297,,AH297+1)*AF297-ERP_i)*AE297*Ramure*Pc/MaxiM</f>
        <v>1.5873383352921302E-3</v>
      </c>
      <c r="AE297" s="307">
        <f t="shared" si="111"/>
        <v>0.9</v>
      </c>
      <c r="AF297" s="179">
        <f t="shared" si="112"/>
        <v>0.89537818898156507</v>
      </c>
      <c r="AG297" s="839">
        <f t="shared" si="113"/>
        <v>-3</v>
      </c>
      <c r="AH297" s="178">
        <f t="shared" si="114"/>
        <v>3</v>
      </c>
      <c r="AI297" s="227">
        <f t="shared" si="115"/>
        <v>-2.1046218110184349</v>
      </c>
      <c r="AJ297" s="267" t="b">
        <f t="shared" si="116"/>
        <v>0</v>
      </c>
      <c r="AK297" s="267" t="b">
        <f t="shared" si="117"/>
        <v>0</v>
      </c>
      <c r="AL297" s="267"/>
      <c r="AM297" s="267"/>
      <c r="AN297" s="75"/>
    </row>
    <row r="298" spans="1:40" s="6" customFormat="1" ht="11.25" customHeight="1" x14ac:dyDescent="0.2">
      <c r="A298" s="56">
        <f t="shared" si="119"/>
        <v>43384</v>
      </c>
      <c r="B298" s="620">
        <v>25.135999999999999</v>
      </c>
      <c r="C298" s="392"/>
      <c r="D298" s="395">
        <f t="shared" si="120"/>
        <v>25.177566366042246</v>
      </c>
      <c r="E298" s="387">
        <f t="shared" si="124"/>
        <v>25.600755100294506</v>
      </c>
      <c r="F298" s="387">
        <f t="shared" si="123"/>
        <v>25.626073572811652</v>
      </c>
      <c r="G298" s="110">
        <f t="shared" si="125"/>
        <v>0.73691502794599839</v>
      </c>
      <c r="I298" s="382">
        <f t="shared" si="96"/>
        <v>25.626073572811652</v>
      </c>
      <c r="J298" s="85">
        <v>2018</v>
      </c>
      <c r="K298" s="199">
        <f t="shared" si="97"/>
        <v>43384</v>
      </c>
      <c r="L298" s="439">
        <f t="shared" si="98"/>
        <v>1.6509286655405075E-3</v>
      </c>
      <c r="M298" s="883"/>
      <c r="N298" s="883"/>
      <c r="O298" s="326">
        <f t="shared" si="99"/>
        <v>1.6530322351600901E-2</v>
      </c>
      <c r="P298" s="171">
        <f>(INDEX(Models!$BJ298:$BT298,,T298)*(1-R298)+INDEX(Models!$BJ298:$BT298,,T298+1)*R298-ERP_i)*Q298*Ramure*Pc/MaxiM</f>
        <v>1.5813259872493543E-3</v>
      </c>
      <c r="Q298" s="307">
        <f t="shared" si="100"/>
        <v>0.9</v>
      </c>
      <c r="R298" s="179">
        <f t="shared" si="101"/>
        <v>0.89556341034427778</v>
      </c>
      <c r="S298" s="839">
        <f t="shared" si="118"/>
        <v>-3</v>
      </c>
      <c r="T298" s="178">
        <f t="shared" si="102"/>
        <v>3</v>
      </c>
      <c r="U298" s="253">
        <f t="shared" si="103"/>
        <v>-2.1044365896557222</v>
      </c>
      <c r="V298" s="385">
        <f t="shared" si="104"/>
        <v>34.089508789141334</v>
      </c>
      <c r="W298" s="58"/>
      <c r="X298" s="157">
        <f t="shared" si="105"/>
        <v>43384</v>
      </c>
      <c r="Y298" s="387">
        <f t="shared" si="106"/>
        <v>25.135999999999999</v>
      </c>
      <c r="Z298" s="387">
        <f t="shared" si="107"/>
        <v>25.177566366042246</v>
      </c>
      <c r="AA298" s="388">
        <f t="shared" si="108"/>
        <v>25.600755100294506</v>
      </c>
      <c r="AB298" s="199">
        <f t="shared" si="109"/>
        <v>43384</v>
      </c>
      <c r="AC298" s="428">
        <f t="shared" si="110"/>
        <v>1.6530322351600901E-2</v>
      </c>
      <c r="AD298" s="171">
        <f>(INDEX(Models!$BJ298:$BT298,,AH298)*(1-AF298)+INDEX(Models!$BJ298:$BT298,,AH298+1)*AF298-ERP_i)*AE298*Ramure*Pc/MaxiM</f>
        <v>1.5813259872493543E-3</v>
      </c>
      <c r="AE298" s="307">
        <f t="shared" si="111"/>
        <v>0.9</v>
      </c>
      <c r="AF298" s="179">
        <f t="shared" si="112"/>
        <v>0.89556341034427778</v>
      </c>
      <c r="AG298" s="839">
        <f t="shared" si="113"/>
        <v>-3</v>
      </c>
      <c r="AH298" s="178">
        <f t="shared" si="114"/>
        <v>3</v>
      </c>
      <c r="AI298" s="227">
        <f t="shared" si="115"/>
        <v>-2.1044365896557222</v>
      </c>
      <c r="AJ298" s="267" t="b">
        <f t="shared" si="116"/>
        <v>0</v>
      </c>
      <c r="AK298" s="267" t="b">
        <f t="shared" si="117"/>
        <v>0</v>
      </c>
      <c r="AL298" s="267"/>
      <c r="AM298" s="267"/>
      <c r="AN298" s="75"/>
    </row>
    <row r="299" spans="1:40" s="6" customFormat="1" ht="11.25" customHeight="1" x14ac:dyDescent="0.2">
      <c r="A299" s="56">
        <f t="shared" si="119"/>
        <v>43385</v>
      </c>
      <c r="B299" s="620">
        <v>30.405999999999999</v>
      </c>
      <c r="C299" s="392"/>
      <c r="D299" s="395">
        <f t="shared" si="120"/>
        <v>30.456989926242702</v>
      </c>
      <c r="E299" s="387">
        <f t="shared" si="124"/>
        <v>30.97558428732674</v>
      </c>
      <c r="F299" s="387">
        <f t="shared" si="123"/>
        <v>31.017695504453624</v>
      </c>
      <c r="G299" s="110">
        <f t="shared" si="125"/>
        <v>0.90332202614486767</v>
      </c>
      <c r="I299" s="382">
        <f t="shared" si="96"/>
        <v>31.017695504453624</v>
      </c>
      <c r="J299" s="85">
        <v>2018</v>
      </c>
      <c r="K299" s="199">
        <f t="shared" si="97"/>
        <v>43385</v>
      </c>
      <c r="L299" s="439">
        <f t="shared" si="98"/>
        <v>1.6741617069245818E-3</v>
      </c>
      <c r="M299" s="883"/>
      <c r="N299" s="883"/>
      <c r="O299" s="326">
        <f t="shared" si="99"/>
        <v>1.6742036446305678E-2</v>
      </c>
      <c r="P299" s="171">
        <f>(INDEX(Models!$BJ299:$BT299,,T299)*(1-R299)+INDEX(Models!$BJ299:$BT299,,T299+1)*R299-ERP_i)*Q299*Ramure*Pc/MaxiM</f>
        <v>1.5746926302477543E-3</v>
      </c>
      <c r="Q299" s="307">
        <f t="shared" si="100"/>
        <v>0.9</v>
      </c>
      <c r="R299" s="179">
        <f t="shared" si="101"/>
        <v>0.8957412668131397</v>
      </c>
      <c r="S299" s="839">
        <f t="shared" si="118"/>
        <v>-3</v>
      </c>
      <c r="T299" s="178">
        <f t="shared" si="102"/>
        <v>3</v>
      </c>
      <c r="U299" s="253">
        <f t="shared" si="103"/>
        <v>-2.1042587331868603</v>
      </c>
      <c r="V299" s="385">
        <f t="shared" si="104"/>
        <v>33.652884344795659</v>
      </c>
      <c r="W299" s="58"/>
      <c r="X299" s="157">
        <f t="shared" si="105"/>
        <v>43385</v>
      </c>
      <c r="Y299" s="387">
        <f t="shared" si="106"/>
        <v>30.405999999999999</v>
      </c>
      <c r="Z299" s="387">
        <f t="shared" si="107"/>
        <v>30.456989926242702</v>
      </c>
      <c r="AA299" s="388">
        <f t="shared" si="108"/>
        <v>30.97558428732674</v>
      </c>
      <c r="AB299" s="199">
        <f t="shared" si="109"/>
        <v>43385</v>
      </c>
      <c r="AC299" s="428">
        <f t="shared" si="110"/>
        <v>1.6742036446305678E-2</v>
      </c>
      <c r="AD299" s="171">
        <f>(INDEX(Models!$BJ299:$BT299,,AH299)*(1-AF299)+INDEX(Models!$BJ299:$BT299,,AH299+1)*AF299-ERP_i)*AE299*Ramure*Pc/MaxiM</f>
        <v>1.5746926302477543E-3</v>
      </c>
      <c r="AE299" s="307">
        <f t="shared" si="111"/>
        <v>0.9</v>
      </c>
      <c r="AF299" s="179">
        <f t="shared" si="112"/>
        <v>0.8957412668131397</v>
      </c>
      <c r="AG299" s="839">
        <f t="shared" si="113"/>
        <v>-3</v>
      </c>
      <c r="AH299" s="178">
        <f t="shared" si="114"/>
        <v>3</v>
      </c>
      <c r="AI299" s="227">
        <f t="shared" si="115"/>
        <v>-2.1042587331868603</v>
      </c>
      <c r="AJ299" s="267" t="b">
        <f t="shared" si="116"/>
        <v>0</v>
      </c>
      <c r="AK299" s="267" t="b">
        <f t="shared" si="117"/>
        <v>0</v>
      </c>
      <c r="AL299" s="267"/>
      <c r="AM299" s="267"/>
      <c r="AN299" s="75"/>
    </row>
    <row r="300" spans="1:40" s="6" customFormat="1" ht="11.25" customHeight="1" x14ac:dyDescent="0.2">
      <c r="A300" s="56">
        <f t="shared" si="119"/>
        <v>43386</v>
      </c>
      <c r="B300" s="620">
        <v>23.381</v>
      </c>
      <c r="C300" s="392"/>
      <c r="D300" s="395">
        <f t="shared" si="120"/>
        <v>23.420754252606979</v>
      </c>
      <c r="E300" s="387">
        <f t="shared" si="124"/>
        <v>23.824650258423411</v>
      </c>
      <c r="F300" s="387">
        <f t="shared" si="123"/>
        <v>23.846207451090908</v>
      </c>
      <c r="G300" s="110">
        <f t="shared" si="125"/>
        <v>0.70327161340308586</v>
      </c>
      <c r="I300" s="382">
        <f t="shared" si="96"/>
        <v>23.846207451090908</v>
      </c>
      <c r="J300" s="85">
        <v>2018</v>
      </c>
      <c r="K300" s="199">
        <f t="shared" si="97"/>
        <v>43386</v>
      </c>
      <c r="L300" s="439">
        <f t="shared" si="98"/>
        <v>1.6973942076418114E-3</v>
      </c>
      <c r="M300" s="883"/>
      <c r="N300" s="883"/>
      <c r="O300" s="326">
        <f t="shared" si="99"/>
        <v>1.6952861907117884E-2</v>
      </c>
      <c r="P300" s="171">
        <f>(INDEX(Models!$BJ300:$BT300,,T300)*(1-R300)+INDEX(Models!$BJ300:$BT300,,T300+1)*R300-ERP_i)*Q300*Ramure*Pc/MaxiM</f>
        <v>1.567365803066002E-3</v>
      </c>
      <c r="Q300" s="307">
        <f t="shared" si="100"/>
        <v>0.9</v>
      </c>
      <c r="R300" s="179">
        <f t="shared" si="101"/>
        <v>0.89591204767457189</v>
      </c>
      <c r="S300" s="839">
        <f t="shared" si="118"/>
        <v>-3</v>
      </c>
      <c r="T300" s="178">
        <f t="shared" si="102"/>
        <v>3</v>
      </c>
      <c r="U300" s="253">
        <f t="shared" si="103"/>
        <v>-2.1040879523254281</v>
      </c>
      <c r="V300" s="385">
        <f t="shared" si="104"/>
        <v>33.223971481085108</v>
      </c>
      <c r="W300" s="58"/>
      <c r="X300" s="157">
        <f t="shared" si="105"/>
        <v>43386</v>
      </c>
      <c r="Y300" s="387">
        <f t="shared" si="106"/>
        <v>23.381</v>
      </c>
      <c r="Z300" s="387">
        <f t="shared" si="107"/>
        <v>23.420754252606979</v>
      </c>
      <c r="AA300" s="388">
        <f t="shared" si="108"/>
        <v>23.824650258423411</v>
      </c>
      <c r="AB300" s="199">
        <f t="shared" si="109"/>
        <v>43386</v>
      </c>
      <c r="AC300" s="428">
        <f t="shared" si="110"/>
        <v>1.6952861907117884E-2</v>
      </c>
      <c r="AD300" s="171">
        <f>(INDEX(Models!$BJ300:$BT300,,AH300)*(1-AF300)+INDEX(Models!$BJ300:$BT300,,AH300+1)*AF300-ERP_i)*AE300*Ramure*Pc/MaxiM</f>
        <v>1.567365803066002E-3</v>
      </c>
      <c r="AE300" s="307">
        <f t="shared" si="111"/>
        <v>0.9</v>
      </c>
      <c r="AF300" s="179">
        <f t="shared" si="112"/>
        <v>0.89591204767457189</v>
      </c>
      <c r="AG300" s="839">
        <f t="shared" si="113"/>
        <v>-3</v>
      </c>
      <c r="AH300" s="178">
        <f t="shared" si="114"/>
        <v>3</v>
      </c>
      <c r="AI300" s="227">
        <f t="shared" si="115"/>
        <v>-2.1040879523254281</v>
      </c>
      <c r="AJ300" s="267" t="b">
        <f t="shared" si="116"/>
        <v>0</v>
      </c>
      <c r="AK300" s="267" t="b">
        <f t="shared" si="117"/>
        <v>0</v>
      </c>
      <c r="AL300" s="267"/>
      <c r="AM300" s="267"/>
      <c r="AN300" s="75"/>
    </row>
    <row r="301" spans="1:40" s="6" customFormat="1" ht="11.25" customHeight="1" x14ac:dyDescent="0.2">
      <c r="A301" s="56">
        <f t="shared" si="119"/>
        <v>43387</v>
      </c>
      <c r="B301" s="620">
        <v>30.224</v>
      </c>
      <c r="C301" s="392"/>
      <c r="D301" s="395">
        <f t="shared" si="120"/>
        <v>30.276093839315816</v>
      </c>
      <c r="E301" s="387">
        <f t="shared" si="124"/>
        <v>30.804790046801401</v>
      </c>
      <c r="F301" s="387">
        <f t="shared" si="123"/>
        <v>30.847485648694672</v>
      </c>
      <c r="G301" s="110">
        <f t="shared" si="125"/>
        <v>0.92119328964720693</v>
      </c>
      <c r="I301" s="382">
        <f t="shared" si="96"/>
        <v>30.847485648694672</v>
      </c>
      <c r="J301" s="85">
        <v>2018</v>
      </c>
      <c r="K301" s="199">
        <f t="shared" si="97"/>
        <v>43387</v>
      </c>
      <c r="L301" s="439">
        <f t="shared" si="98"/>
        <v>1.7206261677048529E-3</v>
      </c>
      <c r="M301" s="883"/>
      <c r="N301" s="883"/>
      <c r="O301" s="326">
        <f t="shared" si="99"/>
        <v>1.7162792107407371E-2</v>
      </c>
      <c r="P301" s="171">
        <f>(INDEX(Models!$BJ301:$BT301,,T301)*(1-R301)+INDEX(Models!$BJ301:$BT301,,T301+1)*R301-ERP_i)*Q301*Ramure*Pc/MaxiM</f>
        <v>1.5592712370172171E-3</v>
      </c>
      <c r="Q301" s="307">
        <f t="shared" si="100"/>
        <v>0.9</v>
      </c>
      <c r="R301" s="179">
        <f t="shared" si="101"/>
        <v>0.89607603113166467</v>
      </c>
      <c r="S301" s="839">
        <f t="shared" si="118"/>
        <v>-3</v>
      </c>
      <c r="T301" s="178">
        <f t="shared" si="102"/>
        <v>3</v>
      </c>
      <c r="U301" s="253">
        <f t="shared" si="103"/>
        <v>-2.1039239688683353</v>
      </c>
      <c r="V301" s="385">
        <f t="shared" si="104"/>
        <v>32.803862371465897</v>
      </c>
      <c r="W301" s="58"/>
      <c r="X301" s="157">
        <f t="shared" si="105"/>
        <v>43387</v>
      </c>
      <c r="Y301" s="387">
        <f t="shared" si="106"/>
        <v>30.224</v>
      </c>
      <c r="Z301" s="387">
        <f t="shared" si="107"/>
        <v>30.276093839315816</v>
      </c>
      <c r="AA301" s="388">
        <f t="shared" si="108"/>
        <v>30.804790046801401</v>
      </c>
      <c r="AB301" s="199">
        <f t="shared" si="109"/>
        <v>43387</v>
      </c>
      <c r="AC301" s="428">
        <f t="shared" si="110"/>
        <v>1.7162792107407371E-2</v>
      </c>
      <c r="AD301" s="171">
        <f>(INDEX(Models!$BJ301:$BT301,,AH301)*(1-AF301)+INDEX(Models!$BJ301:$BT301,,AH301+1)*AF301-ERP_i)*AE301*Ramure*Pc/MaxiM</f>
        <v>1.5592712370172171E-3</v>
      </c>
      <c r="AE301" s="307">
        <f t="shared" si="111"/>
        <v>0.9</v>
      </c>
      <c r="AF301" s="179">
        <f t="shared" si="112"/>
        <v>0.89607603113166467</v>
      </c>
      <c r="AG301" s="839">
        <f t="shared" si="113"/>
        <v>-3</v>
      </c>
      <c r="AH301" s="178">
        <f t="shared" si="114"/>
        <v>3</v>
      </c>
      <c r="AI301" s="227">
        <f t="shared" si="115"/>
        <v>-2.1039239688683353</v>
      </c>
      <c r="AJ301" s="267" t="b">
        <f t="shared" si="116"/>
        <v>0</v>
      </c>
      <c r="AK301" s="267" t="b">
        <f t="shared" si="117"/>
        <v>0</v>
      </c>
      <c r="AL301" s="267"/>
      <c r="AM301" s="267"/>
      <c r="AN301" s="75"/>
    </row>
    <row r="302" spans="1:40" s="6" customFormat="1" ht="11.25" customHeight="1" x14ac:dyDescent="0.2">
      <c r="A302" s="56">
        <f t="shared" si="119"/>
        <v>43388</v>
      </c>
      <c r="B302" s="620">
        <v>11.084</v>
      </c>
      <c r="C302" s="392"/>
      <c r="D302" s="395">
        <f t="shared" si="120"/>
        <v>11.103362683257814</v>
      </c>
      <c r="E302" s="387">
        <f t="shared" si="124"/>
        <v>11.299658335682</v>
      </c>
      <c r="F302" s="387">
        <f t="shared" si="123"/>
        <v>11.30071367880462</v>
      </c>
      <c r="G302" s="110">
        <f t="shared" si="125"/>
        <v>0.34166728177477429</v>
      </c>
      <c r="I302" s="382">
        <f t="shared" si="96"/>
        <v>11.30071367880462</v>
      </c>
      <c r="J302" s="85">
        <v>2018</v>
      </c>
      <c r="K302" s="199">
        <f t="shared" si="97"/>
        <v>43388</v>
      </c>
      <c r="L302" s="439">
        <f t="shared" si="98"/>
        <v>1.7438575871262518E-3</v>
      </c>
      <c r="M302" s="883"/>
      <c r="N302" s="883"/>
      <c r="O302" s="326">
        <f t="shared" si="99"/>
        <v>1.7371821925298868E-2</v>
      </c>
      <c r="P302" s="171">
        <f>(INDEX(Models!$BJ302:$BT302,,T302)*(1-R302)+INDEX(Models!$BJ302:$BT302,,T302+1)*R302-ERP_i)*Q302*Ramure*Pc/MaxiM</f>
        <v>1.55033317401997E-3</v>
      </c>
      <c r="Q302" s="307">
        <f t="shared" si="100"/>
        <v>0.9</v>
      </c>
      <c r="R302" s="179">
        <f t="shared" si="101"/>
        <v>0.89623348470677744</v>
      </c>
      <c r="S302" s="839">
        <f t="shared" si="118"/>
        <v>-3</v>
      </c>
      <c r="T302" s="178">
        <f t="shared" si="102"/>
        <v>3</v>
      </c>
      <c r="U302" s="253">
        <f t="shared" si="103"/>
        <v>-2.1037665152932226</v>
      </c>
      <c r="V302" s="385">
        <f t="shared" si="104"/>
        <v>32.393648130991039</v>
      </c>
      <c r="W302" s="58"/>
      <c r="X302" s="157">
        <f t="shared" si="105"/>
        <v>43388</v>
      </c>
      <c r="Y302" s="387">
        <f t="shared" si="106"/>
        <v>11.084</v>
      </c>
      <c r="Z302" s="387">
        <f t="shared" si="107"/>
        <v>11.103362683257814</v>
      </c>
      <c r="AA302" s="388">
        <f t="shared" si="108"/>
        <v>11.299658335682</v>
      </c>
      <c r="AB302" s="199">
        <f t="shared" si="109"/>
        <v>43388</v>
      </c>
      <c r="AC302" s="428">
        <f t="shared" si="110"/>
        <v>1.7371821925298868E-2</v>
      </c>
      <c r="AD302" s="171">
        <f>(INDEX(Models!$BJ302:$BT302,,AH302)*(1-AF302)+INDEX(Models!$BJ302:$BT302,,AH302+1)*AF302-ERP_i)*AE302*Ramure*Pc/MaxiM</f>
        <v>1.55033317401997E-3</v>
      </c>
      <c r="AE302" s="307">
        <f t="shared" si="111"/>
        <v>0.9</v>
      </c>
      <c r="AF302" s="179">
        <f t="shared" si="112"/>
        <v>0.89623348470677744</v>
      </c>
      <c r="AG302" s="839">
        <f t="shared" si="113"/>
        <v>-3</v>
      </c>
      <c r="AH302" s="178">
        <f t="shared" si="114"/>
        <v>3</v>
      </c>
      <c r="AI302" s="227">
        <f t="shared" si="115"/>
        <v>-2.1037665152932226</v>
      </c>
      <c r="AJ302" s="267" t="b">
        <f t="shared" si="116"/>
        <v>0</v>
      </c>
      <c r="AK302" s="267" t="b">
        <f t="shared" si="117"/>
        <v>0</v>
      </c>
      <c r="AL302" s="267"/>
      <c r="AM302" s="267"/>
      <c r="AN302" s="75"/>
    </row>
    <row r="303" spans="1:40" s="6" customFormat="1" ht="11.25" customHeight="1" x14ac:dyDescent="0.2">
      <c r="A303" s="56">
        <f t="shared" si="119"/>
        <v>43389</v>
      </c>
      <c r="B303" s="620">
        <v>20.001000000000001</v>
      </c>
      <c r="C303" s="392"/>
      <c r="D303" s="395">
        <f t="shared" si="120"/>
        <v>20.036406102121521</v>
      </c>
      <c r="E303" s="387">
        <f t="shared" si="124"/>
        <v>20.394948228149072</v>
      </c>
      <c r="F303" s="387">
        <f t="shared" si="123"/>
        <v>20.409554567689458</v>
      </c>
      <c r="G303" s="110">
        <f t="shared" si="125"/>
        <v>0.62466388382073978</v>
      </c>
      <c r="I303" s="382">
        <f t="shared" si="96"/>
        <v>20.409554567689458</v>
      </c>
      <c r="J303" s="85">
        <v>2018</v>
      </c>
      <c r="K303" s="199">
        <f t="shared" si="97"/>
        <v>43389</v>
      </c>
      <c r="L303" s="439">
        <f t="shared" si="98"/>
        <v>1.7670884659185537E-3</v>
      </c>
      <c r="M303" s="883"/>
      <c r="N303" s="883"/>
      <c r="O303" s="326">
        <f t="shared" si="99"/>
        <v>1.7579947838881668E-2</v>
      </c>
      <c r="P303" s="171">
        <f>(INDEX(Models!$BJ303:$BT303,,T303)*(1-R303)+INDEX(Models!$BJ303:$BT303,,T303+1)*R303-ERP_i)*Q303*Ramure*Pc/MaxiM</f>
        <v>1.5405724175774646E-3</v>
      </c>
      <c r="Q303" s="307">
        <f t="shared" si="100"/>
        <v>0.9</v>
      </c>
      <c r="R303" s="179">
        <f t="shared" si="101"/>
        <v>0.89638466563126329</v>
      </c>
      <c r="S303" s="839">
        <f t="shared" si="118"/>
        <v>-3</v>
      </c>
      <c r="T303" s="178">
        <f t="shared" si="102"/>
        <v>3</v>
      </c>
      <c r="U303" s="253">
        <f t="shared" si="103"/>
        <v>-2.1036153343687367</v>
      </c>
      <c r="V303" s="385">
        <f t="shared" si="104"/>
        <v>31.992387690605185</v>
      </c>
      <c r="W303" s="58"/>
      <c r="X303" s="157">
        <f t="shared" si="105"/>
        <v>43389</v>
      </c>
      <c r="Y303" s="387">
        <f t="shared" si="106"/>
        <v>20.001000000000001</v>
      </c>
      <c r="Z303" s="387">
        <f t="shared" si="107"/>
        <v>20.036406102121521</v>
      </c>
      <c r="AA303" s="388">
        <f t="shared" si="108"/>
        <v>20.394948228149072</v>
      </c>
      <c r="AB303" s="199">
        <f t="shared" si="109"/>
        <v>43389</v>
      </c>
      <c r="AC303" s="428">
        <f t="shared" si="110"/>
        <v>1.7579947838881668E-2</v>
      </c>
      <c r="AD303" s="171">
        <f>(INDEX(Models!$BJ303:$BT303,,AH303)*(1-AF303)+INDEX(Models!$BJ303:$BT303,,AH303+1)*AF303-ERP_i)*AE303*Ramure*Pc/MaxiM</f>
        <v>1.5405724175774646E-3</v>
      </c>
      <c r="AE303" s="307">
        <f t="shared" si="111"/>
        <v>0.9</v>
      </c>
      <c r="AF303" s="179">
        <f t="shared" si="112"/>
        <v>0.89638466563126329</v>
      </c>
      <c r="AG303" s="839">
        <f t="shared" si="113"/>
        <v>-3</v>
      </c>
      <c r="AH303" s="178">
        <f t="shared" si="114"/>
        <v>3</v>
      </c>
      <c r="AI303" s="227">
        <f t="shared" si="115"/>
        <v>-2.1036153343687367</v>
      </c>
      <c r="AJ303" s="267" t="b">
        <f t="shared" si="116"/>
        <v>0</v>
      </c>
      <c r="AK303" s="267" t="b">
        <f t="shared" si="117"/>
        <v>0</v>
      </c>
      <c r="AL303" s="267"/>
      <c r="AM303" s="267"/>
      <c r="AN303" s="75"/>
    </row>
    <row r="304" spans="1:40" s="6" customFormat="1" ht="11.25" customHeight="1" x14ac:dyDescent="0.2">
      <c r="A304" s="56">
        <f t="shared" si="119"/>
        <v>43390</v>
      </c>
      <c r="B304" s="620">
        <v>21.099</v>
      </c>
      <c r="C304" s="392"/>
      <c r="D304" s="395">
        <f t="shared" si="120"/>
        <v>21.136841685128051</v>
      </c>
      <c r="E304" s="387">
        <f t="shared" si="124"/>
        <v>21.519614687194309</v>
      </c>
      <c r="F304" s="387">
        <f t="shared" si="123"/>
        <v>21.536971558944416</v>
      </c>
      <c r="G304" s="110">
        <f t="shared" si="125"/>
        <v>0.66724420621365854</v>
      </c>
      <c r="I304" s="382">
        <f t="shared" si="96"/>
        <v>21.536971558944416</v>
      </c>
      <c r="J304" s="85">
        <v>2018</v>
      </c>
      <c r="K304" s="199">
        <f t="shared" si="97"/>
        <v>43390</v>
      </c>
      <c r="L304" s="439">
        <f t="shared" si="98"/>
        <v>1.7903188040944151E-3</v>
      </c>
      <c r="M304" s="883"/>
      <c r="N304" s="883"/>
      <c r="O304" s="326">
        <f t="shared" si="99"/>
        <v>1.7787168015328484E-2</v>
      </c>
      <c r="P304" s="171">
        <f>(INDEX(Models!$BJ304:$BT304,,T304)*(1-R304)+INDEX(Models!$BJ304:$BT304,,T304+1)*R304-ERP_i)*Q304*Ramure*Pc/MaxiM</f>
        <v>1.5341040316711786E-3</v>
      </c>
      <c r="Q304" s="307">
        <f t="shared" si="100"/>
        <v>0.9</v>
      </c>
      <c r="R304" s="179">
        <f t="shared" si="101"/>
        <v>0.89652982122260605</v>
      </c>
      <c r="S304" s="839">
        <f t="shared" si="118"/>
        <v>-3</v>
      </c>
      <c r="T304" s="178">
        <f t="shared" si="102"/>
        <v>3</v>
      </c>
      <c r="U304" s="253">
        <f t="shared" si="103"/>
        <v>-2.103470178777394</v>
      </c>
      <c r="V304" s="385">
        <f t="shared" si="104"/>
        <v>31.598061484000173</v>
      </c>
      <c r="W304" s="58"/>
      <c r="X304" s="157">
        <f t="shared" si="105"/>
        <v>43390</v>
      </c>
      <c r="Y304" s="387">
        <f t="shared" si="106"/>
        <v>21.099</v>
      </c>
      <c r="Z304" s="387">
        <f t="shared" si="107"/>
        <v>21.136841685128051</v>
      </c>
      <c r="AA304" s="388">
        <f t="shared" si="108"/>
        <v>21.519614687194309</v>
      </c>
      <c r="AB304" s="199">
        <f t="shared" si="109"/>
        <v>43390</v>
      </c>
      <c r="AC304" s="428">
        <f t="shared" si="110"/>
        <v>1.7787168015328484E-2</v>
      </c>
      <c r="AD304" s="171">
        <f>(INDEX(Models!$BJ304:$BT304,,AH304)*(1-AF304)+INDEX(Models!$BJ304:$BT304,,AH304+1)*AF304-ERP_i)*AE304*Ramure*Pc/MaxiM</f>
        <v>1.5341040316711786E-3</v>
      </c>
      <c r="AE304" s="307">
        <f t="shared" si="111"/>
        <v>0.9</v>
      </c>
      <c r="AF304" s="179">
        <f t="shared" si="112"/>
        <v>0.89652982122260605</v>
      </c>
      <c r="AG304" s="839">
        <f t="shared" si="113"/>
        <v>-3</v>
      </c>
      <c r="AH304" s="178">
        <f t="shared" si="114"/>
        <v>3</v>
      </c>
      <c r="AI304" s="227">
        <f t="shared" si="115"/>
        <v>-2.103470178777394</v>
      </c>
      <c r="AJ304" s="267" t="b">
        <f t="shared" si="116"/>
        <v>0</v>
      </c>
      <c r="AK304" s="267" t="b">
        <f t="shared" si="117"/>
        <v>0</v>
      </c>
      <c r="AL304" s="267"/>
      <c r="AM304" s="267"/>
      <c r="AN304" s="75"/>
    </row>
    <row r="305" spans="1:40" s="6" customFormat="1" ht="11.25" customHeight="1" x14ac:dyDescent="0.2">
      <c r="A305" s="56">
        <f t="shared" si="119"/>
        <v>43391</v>
      </c>
      <c r="B305" s="620">
        <v>9.6959999999999997</v>
      </c>
      <c r="C305" s="392"/>
      <c r="D305" s="395">
        <f t="shared" si="120"/>
        <v>9.7136161149223401</v>
      </c>
      <c r="E305" s="387">
        <f t="shared" si="124"/>
        <v>9.8916004535210575</v>
      </c>
      <c r="F305" s="387">
        <f t="shared" si="123"/>
        <v>9.8918312806435562</v>
      </c>
      <c r="G305" s="110">
        <f t="shared" si="125"/>
        <v>0.31019791397125118</v>
      </c>
      <c r="I305" s="382">
        <f t="shared" si="96"/>
        <v>9.8918312806435562</v>
      </c>
      <c r="J305" s="85">
        <v>2018</v>
      </c>
      <c r="K305" s="199">
        <f t="shared" si="97"/>
        <v>43391</v>
      </c>
      <c r="L305" s="439">
        <f t="shared" si="98"/>
        <v>1.8135486016662705E-3</v>
      </c>
      <c r="M305" s="883"/>
      <c r="N305" s="883"/>
      <c r="O305" s="326">
        <f t="shared" si="99"/>
        <v>1.7993482392969155E-2</v>
      </c>
      <c r="P305" s="171">
        <f>(INDEX(Models!$BJ305:$BT305,,T305)*(1-R305)+INDEX(Models!$BJ305:$BT305,,T305+1)*R305-ERP_i)*Q305*Ramure*Pc/MaxiM</f>
        <v>1.531401504341287E-3</v>
      </c>
      <c r="Q305" s="307">
        <f t="shared" si="100"/>
        <v>0.9</v>
      </c>
      <c r="R305" s="179">
        <f t="shared" si="101"/>
        <v>0.89666918924922268</v>
      </c>
      <c r="S305" s="839">
        <f t="shared" si="118"/>
        <v>-3</v>
      </c>
      <c r="T305" s="178">
        <f t="shared" si="102"/>
        <v>3</v>
      </c>
      <c r="U305" s="253">
        <f t="shared" si="103"/>
        <v>-2.1033308107507773</v>
      </c>
      <c r="V305" s="385">
        <f t="shared" si="104"/>
        <v>31.21032415474944</v>
      </c>
      <c r="W305" s="58"/>
      <c r="X305" s="157">
        <f t="shared" si="105"/>
        <v>43391</v>
      </c>
      <c r="Y305" s="387">
        <f t="shared" si="106"/>
        <v>9.6959999999999997</v>
      </c>
      <c r="Z305" s="387">
        <f t="shared" si="107"/>
        <v>9.7136161149223401</v>
      </c>
      <c r="AA305" s="388">
        <f t="shared" si="108"/>
        <v>9.8916004535210575</v>
      </c>
      <c r="AB305" s="199">
        <f t="shared" si="109"/>
        <v>43391</v>
      </c>
      <c r="AC305" s="428">
        <f t="shared" si="110"/>
        <v>1.7993482392969155E-2</v>
      </c>
      <c r="AD305" s="171">
        <f>(INDEX(Models!$BJ305:$BT305,,AH305)*(1-AF305)+INDEX(Models!$BJ305:$BT305,,AH305+1)*AF305-ERP_i)*AE305*Ramure*Pc/MaxiM</f>
        <v>1.531401504341287E-3</v>
      </c>
      <c r="AE305" s="307">
        <f t="shared" si="111"/>
        <v>0.9</v>
      </c>
      <c r="AF305" s="179">
        <f t="shared" si="112"/>
        <v>0.89666918924922268</v>
      </c>
      <c r="AG305" s="839">
        <f t="shared" si="113"/>
        <v>-3</v>
      </c>
      <c r="AH305" s="178">
        <f t="shared" si="114"/>
        <v>3</v>
      </c>
      <c r="AI305" s="227">
        <f t="shared" si="115"/>
        <v>-2.1033308107507773</v>
      </c>
      <c r="AJ305" s="267" t="b">
        <f t="shared" si="116"/>
        <v>0</v>
      </c>
      <c r="AK305" s="267" t="b">
        <f t="shared" si="117"/>
        <v>0</v>
      </c>
      <c r="AL305" s="267"/>
      <c r="AM305" s="267"/>
      <c r="AN305" s="75"/>
    </row>
    <row r="306" spans="1:40" s="6" customFormat="1" ht="11.25" customHeight="1" x14ac:dyDescent="0.2">
      <c r="A306" s="56">
        <f t="shared" si="119"/>
        <v>43392</v>
      </c>
      <c r="B306" s="620">
        <v>20.974</v>
      </c>
      <c r="C306" s="392"/>
      <c r="D306" s="395">
        <f t="shared" si="120"/>
        <v>21.012595470112206</v>
      </c>
      <c r="E306" s="387">
        <f t="shared" si="124"/>
        <v>21.402089807255802</v>
      </c>
      <c r="F306" s="387">
        <f t="shared" si="123"/>
        <v>21.419926985350738</v>
      </c>
      <c r="G306" s="110">
        <f t="shared" si="125"/>
        <v>0.67986040745736942</v>
      </c>
      <c r="I306" s="382">
        <f t="shared" si="96"/>
        <v>21.419926985350738</v>
      </c>
      <c r="J306" s="85">
        <v>2018</v>
      </c>
      <c r="K306" s="199">
        <f t="shared" si="97"/>
        <v>43392</v>
      </c>
      <c r="L306" s="439">
        <f t="shared" si="98"/>
        <v>1.8367778586468875E-3</v>
      </c>
      <c r="M306" s="883"/>
      <c r="N306" s="883"/>
      <c r="O306" s="326">
        <f t="shared" si="99"/>
        <v>1.819889275539565E-2</v>
      </c>
      <c r="P306" s="171">
        <f>(INDEX(Models!$BJ306:$BT306,,T306)*(1-R306)+INDEX(Models!$BJ306:$BT306,,T306+1)*R306-ERP_i)*Q306*Ramure*Pc/MaxiM</f>
        <v>1.5326312011539362E-3</v>
      </c>
      <c r="Q306" s="307">
        <f t="shared" si="100"/>
        <v>0.9</v>
      </c>
      <c r="R306" s="179">
        <f t="shared" si="101"/>
        <v>0.89680299828322507</v>
      </c>
      <c r="S306" s="839">
        <f t="shared" si="118"/>
        <v>-3</v>
      </c>
      <c r="T306" s="178">
        <f t="shared" si="102"/>
        <v>3</v>
      </c>
      <c r="U306" s="253">
        <f t="shared" si="103"/>
        <v>-2.1031970017167749</v>
      </c>
      <c r="V306" s="385">
        <f t="shared" si="104"/>
        <v>30.828840695539789</v>
      </c>
      <c r="W306" s="58"/>
      <c r="X306" s="157">
        <f t="shared" si="105"/>
        <v>43392</v>
      </c>
      <c r="Y306" s="387">
        <f t="shared" si="106"/>
        <v>20.974</v>
      </c>
      <c r="Z306" s="387">
        <f t="shared" si="107"/>
        <v>21.012595470112206</v>
      </c>
      <c r="AA306" s="388">
        <f t="shared" si="108"/>
        <v>21.402089807255802</v>
      </c>
      <c r="AB306" s="199">
        <f t="shared" si="109"/>
        <v>43392</v>
      </c>
      <c r="AC306" s="428">
        <f t="shared" si="110"/>
        <v>1.819889275539565E-2</v>
      </c>
      <c r="AD306" s="171">
        <f>(INDEX(Models!$BJ306:$BT306,,AH306)*(1-AF306)+INDEX(Models!$BJ306:$BT306,,AH306+1)*AF306-ERP_i)*AE306*Ramure*Pc/MaxiM</f>
        <v>1.5326312011539362E-3</v>
      </c>
      <c r="AE306" s="307">
        <f t="shared" si="111"/>
        <v>0.9</v>
      </c>
      <c r="AF306" s="179">
        <f t="shared" si="112"/>
        <v>0.89680299828322507</v>
      </c>
      <c r="AG306" s="839">
        <f t="shared" si="113"/>
        <v>-3</v>
      </c>
      <c r="AH306" s="178">
        <f t="shared" si="114"/>
        <v>3</v>
      </c>
      <c r="AI306" s="227">
        <f t="shared" si="115"/>
        <v>-2.1031970017167749</v>
      </c>
      <c r="AJ306" s="267" t="b">
        <f t="shared" si="116"/>
        <v>0</v>
      </c>
      <c r="AK306" s="267" t="b">
        <f t="shared" si="117"/>
        <v>0</v>
      </c>
      <c r="AL306" s="267"/>
      <c r="AM306" s="267"/>
      <c r="AN306" s="75"/>
    </row>
    <row r="307" spans="1:40" s="6" customFormat="1" ht="11.25" customHeight="1" x14ac:dyDescent="0.2">
      <c r="A307" s="56">
        <f t="shared" si="119"/>
        <v>43393</v>
      </c>
      <c r="B307" s="620">
        <v>12.381</v>
      </c>
      <c r="C307" s="392"/>
      <c r="D307" s="395">
        <f t="shared" si="120"/>
        <v>12.40407165483537</v>
      </c>
      <c r="E307" s="387">
        <f t="shared" si="124"/>
        <v>12.636628621346532</v>
      </c>
      <c r="F307" s="387">
        <f t="shared" si="123"/>
        <v>12.639587748296352</v>
      </c>
      <c r="G307" s="110">
        <f t="shared" si="125"/>
        <v>0.40602702752219316</v>
      </c>
      <c r="I307" s="382">
        <f t="shared" si="96"/>
        <v>12.639587748296352</v>
      </c>
      <c r="J307" s="85">
        <v>2018</v>
      </c>
      <c r="K307" s="199">
        <f t="shared" si="97"/>
        <v>43393</v>
      </c>
      <c r="L307" s="439">
        <f t="shared" si="98"/>
        <v>1.8600065750488115E-3</v>
      </c>
      <c r="M307" s="883"/>
      <c r="N307" s="883"/>
      <c r="O307" s="326">
        <f t="shared" si="99"/>
        <v>1.840340279671691E-2</v>
      </c>
      <c r="P307" s="171">
        <f>(INDEX(Models!$BJ307:$BT307,,T307)*(1-R307)+INDEX(Models!$BJ307:$BT307,,T307+1)*R307-ERP_i)*Q307*Ramure*Pc/MaxiM</f>
        <v>1.5379625662662235E-3</v>
      </c>
      <c r="Q307" s="307">
        <f t="shared" si="100"/>
        <v>0.9</v>
      </c>
      <c r="R307" s="179">
        <f t="shared" si="101"/>
        <v>0.89693146804141577</v>
      </c>
      <c r="S307" s="839">
        <f t="shared" si="118"/>
        <v>-3</v>
      </c>
      <c r="T307" s="178">
        <f t="shared" si="102"/>
        <v>3</v>
      </c>
      <c r="U307" s="253">
        <f t="shared" si="103"/>
        <v>-2.1030685319585842</v>
      </c>
      <c r="V307" s="385">
        <f t="shared" si="104"/>
        <v>30.453276394437943</v>
      </c>
      <c r="W307" s="58"/>
      <c r="X307" s="157">
        <f t="shared" si="105"/>
        <v>43393</v>
      </c>
      <c r="Y307" s="387">
        <f t="shared" si="106"/>
        <v>12.381</v>
      </c>
      <c r="Z307" s="387">
        <f t="shared" si="107"/>
        <v>12.40407165483537</v>
      </c>
      <c r="AA307" s="388">
        <f t="shared" si="108"/>
        <v>12.636628621346532</v>
      </c>
      <c r="AB307" s="199">
        <f t="shared" si="109"/>
        <v>43393</v>
      </c>
      <c r="AC307" s="428">
        <f t="shared" si="110"/>
        <v>1.840340279671691E-2</v>
      </c>
      <c r="AD307" s="171">
        <f>(INDEX(Models!$BJ307:$BT307,,AH307)*(1-AF307)+INDEX(Models!$BJ307:$BT307,,AH307+1)*AF307-ERP_i)*AE307*Ramure*Pc/MaxiM</f>
        <v>1.5379625662662235E-3</v>
      </c>
      <c r="AE307" s="307">
        <f t="shared" si="111"/>
        <v>0.9</v>
      </c>
      <c r="AF307" s="179">
        <f t="shared" si="112"/>
        <v>0.89693146804141577</v>
      </c>
      <c r="AG307" s="839">
        <f t="shared" si="113"/>
        <v>-3</v>
      </c>
      <c r="AH307" s="178">
        <f t="shared" si="114"/>
        <v>3</v>
      </c>
      <c r="AI307" s="227">
        <f t="shared" si="115"/>
        <v>-2.1030685319585842</v>
      </c>
      <c r="AJ307" s="267" t="b">
        <f t="shared" si="116"/>
        <v>0</v>
      </c>
      <c r="AK307" s="267" t="b">
        <f t="shared" si="117"/>
        <v>0</v>
      </c>
      <c r="AL307" s="267"/>
      <c r="AM307" s="267"/>
      <c r="AN307" s="75"/>
    </row>
    <row r="308" spans="1:40" s="6" customFormat="1" ht="11.25" customHeight="1" x14ac:dyDescent="0.2">
      <c r="A308" s="56">
        <f t="shared" si="119"/>
        <v>43394</v>
      </c>
      <c r="B308" s="620">
        <v>16.425000000000001</v>
      </c>
      <c r="C308" s="392"/>
      <c r="D308" s="395">
        <f t="shared" si="120"/>
        <v>16.455990493156939</v>
      </c>
      <c r="E308" s="387">
        <f t="shared" si="124"/>
        <v>16.767992840738568</v>
      </c>
      <c r="F308" s="387">
        <f t="shared" si="123"/>
        <v>16.777116647221828</v>
      </c>
      <c r="G308" s="110">
        <f t="shared" si="125"/>
        <v>0.54543571552090708</v>
      </c>
      <c r="I308" s="382">
        <f t="shared" si="96"/>
        <v>16.777116647221828</v>
      </c>
      <c r="J308" s="85">
        <v>2018</v>
      </c>
      <c r="K308" s="199">
        <f t="shared" si="97"/>
        <v>43394</v>
      </c>
      <c r="L308" s="439">
        <f t="shared" si="98"/>
        <v>1.8832347508844771E-3</v>
      </c>
      <c r="M308" s="883"/>
      <c r="N308" s="883"/>
      <c r="O308" s="326">
        <f t="shared" si="99"/>
        <v>1.860701817713125E-2</v>
      </c>
      <c r="P308" s="171">
        <f>(INDEX(Models!$BJ308:$BT308,,T308)*(1-R308)+INDEX(Models!$BJ308:$BT308,,T308+1)*R308-ERP_i)*Q308*Ramure*Pc/MaxiM</f>
        <v>1.5475683809808649E-3</v>
      </c>
      <c r="Q308" s="307">
        <f t="shared" si="100"/>
        <v>0.9</v>
      </c>
      <c r="R308" s="179">
        <f t="shared" si="101"/>
        <v>0.89705480971481499</v>
      </c>
      <c r="S308" s="839">
        <f t="shared" si="118"/>
        <v>-3</v>
      </c>
      <c r="T308" s="178">
        <f t="shared" si="102"/>
        <v>3</v>
      </c>
      <c r="U308" s="253">
        <f t="shared" si="103"/>
        <v>-2.102945190285185</v>
      </c>
      <c r="V308" s="385">
        <f t="shared" si="104"/>
        <v>30.083296837044589</v>
      </c>
      <c r="W308" s="58"/>
      <c r="X308" s="157">
        <f t="shared" si="105"/>
        <v>43394</v>
      </c>
      <c r="Y308" s="387">
        <f t="shared" si="106"/>
        <v>16.425000000000001</v>
      </c>
      <c r="Z308" s="387">
        <f t="shared" si="107"/>
        <v>16.455990493156939</v>
      </c>
      <c r="AA308" s="388">
        <f t="shared" si="108"/>
        <v>16.767992840738568</v>
      </c>
      <c r="AB308" s="199">
        <f t="shared" si="109"/>
        <v>43394</v>
      </c>
      <c r="AC308" s="428">
        <f t="shared" si="110"/>
        <v>1.860701817713125E-2</v>
      </c>
      <c r="AD308" s="171">
        <f>(INDEX(Models!$BJ308:$BT308,,AH308)*(1-AF308)+INDEX(Models!$BJ308:$BT308,,AH308+1)*AF308-ERP_i)*AE308*Ramure*Pc/MaxiM</f>
        <v>1.5475683809808649E-3</v>
      </c>
      <c r="AE308" s="307">
        <f t="shared" si="111"/>
        <v>0.9</v>
      </c>
      <c r="AF308" s="179">
        <f t="shared" si="112"/>
        <v>0.89705480971481499</v>
      </c>
      <c r="AG308" s="839">
        <f t="shared" si="113"/>
        <v>-3</v>
      </c>
      <c r="AH308" s="178">
        <f t="shared" si="114"/>
        <v>3</v>
      </c>
      <c r="AI308" s="227">
        <f t="shared" si="115"/>
        <v>-2.102945190285185</v>
      </c>
      <c r="AJ308" s="267" t="b">
        <f t="shared" si="116"/>
        <v>0</v>
      </c>
      <c r="AK308" s="267" t="b">
        <f t="shared" si="117"/>
        <v>0</v>
      </c>
      <c r="AL308" s="267"/>
      <c r="AM308" s="267"/>
      <c r="AN308" s="75"/>
    </row>
    <row r="309" spans="1:40" s="6" customFormat="1" ht="11.25" customHeight="1" x14ac:dyDescent="0.2">
      <c r="A309" s="56">
        <f t="shared" si="119"/>
        <v>43395</v>
      </c>
      <c r="B309" s="620">
        <v>20.061</v>
      </c>
      <c r="C309" s="392"/>
      <c r="D309" s="395">
        <f t="shared" si="120"/>
        <v>20.099318594888732</v>
      </c>
      <c r="E309" s="387">
        <f t="shared" si="124"/>
        <v>20.48462928018947</v>
      </c>
      <c r="F309" s="387">
        <f t="shared" si="123"/>
        <v>20.501782248503702</v>
      </c>
      <c r="G309" s="110">
        <f t="shared" si="125"/>
        <v>0.6745427408386927</v>
      </c>
      <c r="I309" s="382">
        <f t="shared" si="96"/>
        <v>20.501782248503702</v>
      </c>
      <c r="J309" s="85">
        <v>2018</v>
      </c>
      <c r="K309" s="199">
        <f t="shared" si="97"/>
        <v>43395</v>
      </c>
      <c r="L309" s="439">
        <f t="shared" si="98"/>
        <v>1.9064623861665408E-3</v>
      </c>
      <c r="M309" s="883"/>
      <c r="N309" s="883"/>
      <c r="O309" s="326">
        <f t="shared" si="99"/>
        <v>1.8809746568045869E-2</v>
      </c>
      <c r="P309" s="171">
        <f>(INDEX(Models!$BJ309:$BT309,,T309)*(1-R309)+INDEX(Models!$BJ309:$BT309,,T309+1)*R309-ERP_i)*Q309*Ramure*Pc/MaxiM</f>
        <v>1.5616250691680121E-3</v>
      </c>
      <c r="Q309" s="307">
        <f t="shared" si="100"/>
        <v>0.9</v>
      </c>
      <c r="R309" s="179">
        <f t="shared" si="101"/>
        <v>0.89717322628699936</v>
      </c>
      <c r="S309" s="839">
        <f t="shared" si="118"/>
        <v>-3</v>
      </c>
      <c r="T309" s="178">
        <f t="shared" si="102"/>
        <v>3</v>
      </c>
      <c r="U309" s="253">
        <f t="shared" si="103"/>
        <v>-2.1028267737130006</v>
      </c>
      <c r="V309" s="385">
        <f t="shared" si="104"/>
        <v>29.718567901207841</v>
      </c>
      <c r="W309" s="58"/>
      <c r="X309" s="157">
        <f t="shared" si="105"/>
        <v>43395</v>
      </c>
      <c r="Y309" s="387">
        <f t="shared" si="106"/>
        <v>20.061</v>
      </c>
      <c r="Z309" s="387">
        <f t="shared" si="107"/>
        <v>20.099318594888732</v>
      </c>
      <c r="AA309" s="388">
        <f t="shared" si="108"/>
        <v>20.48462928018947</v>
      </c>
      <c r="AB309" s="199">
        <f t="shared" si="109"/>
        <v>43395</v>
      </c>
      <c r="AC309" s="428">
        <f t="shared" si="110"/>
        <v>1.8809746568045869E-2</v>
      </c>
      <c r="AD309" s="171">
        <f>(INDEX(Models!$BJ309:$BT309,,AH309)*(1-AF309)+INDEX(Models!$BJ309:$BT309,,AH309+1)*AF309-ERP_i)*AE309*Ramure*Pc/MaxiM</f>
        <v>1.5616250691680121E-3</v>
      </c>
      <c r="AE309" s="307">
        <f t="shared" si="111"/>
        <v>0.9</v>
      </c>
      <c r="AF309" s="179">
        <f t="shared" si="112"/>
        <v>0.89717322628699936</v>
      </c>
      <c r="AG309" s="839">
        <f t="shared" si="113"/>
        <v>-3</v>
      </c>
      <c r="AH309" s="178">
        <f t="shared" si="114"/>
        <v>3</v>
      </c>
      <c r="AI309" s="227">
        <f t="shared" si="115"/>
        <v>-2.1028267737130006</v>
      </c>
      <c r="AJ309" s="267" t="b">
        <f t="shared" si="116"/>
        <v>0</v>
      </c>
      <c r="AK309" s="267" t="b">
        <f t="shared" si="117"/>
        <v>0</v>
      </c>
      <c r="AL309" s="267"/>
      <c r="AM309" s="267"/>
      <c r="AN309" s="75"/>
    </row>
    <row r="310" spans="1:40" s="6" customFormat="1" ht="11.25" customHeight="1" x14ac:dyDescent="0.2">
      <c r="A310" s="56">
        <f t="shared" si="119"/>
        <v>43396</v>
      </c>
      <c r="B310" s="620">
        <v>28.835000000000001</v>
      </c>
      <c r="C310" s="392"/>
      <c r="D310" s="395">
        <f t="shared" si="120"/>
        <v>28.890750176711531</v>
      </c>
      <c r="E310" s="387">
        <f t="shared" si="124"/>
        <v>29.450654165292818</v>
      </c>
      <c r="F310" s="387">
        <f t="shared" si="123"/>
        <v>29.496433962734809</v>
      </c>
      <c r="G310" s="110">
        <f t="shared" si="125"/>
        <v>0.98213234456676235</v>
      </c>
      <c r="I310" s="382">
        <f t="shared" si="96"/>
        <v>29.496433962734809</v>
      </c>
      <c r="J310" s="85">
        <v>2018</v>
      </c>
      <c r="K310" s="199">
        <f t="shared" si="97"/>
        <v>43396</v>
      </c>
      <c r="L310" s="439">
        <f t="shared" si="98"/>
        <v>1.9296894809076592E-3</v>
      </c>
      <c r="M310" s="883"/>
      <c r="N310" s="883"/>
      <c r="O310" s="326">
        <f t="shared" si="99"/>
        <v>1.9011597686041489E-2</v>
      </c>
      <c r="P310" s="171">
        <f>(INDEX(Models!$BJ310:$BT310,,T310)*(1-R310)+INDEX(Models!$BJ310:$BT310,,T310+1)*R310-ERP_i)*Q310*Ramure*Pc/MaxiM</f>
        <v>1.5926059996950472E-3</v>
      </c>
      <c r="Q310" s="307">
        <f t="shared" si="100"/>
        <v>0.9</v>
      </c>
      <c r="R310" s="179">
        <f t="shared" si="101"/>
        <v>0.89728691284155015</v>
      </c>
      <c r="S310" s="839">
        <f t="shared" si="118"/>
        <v>-3</v>
      </c>
      <c r="T310" s="178">
        <f t="shared" si="102"/>
        <v>3</v>
      </c>
      <c r="U310" s="253">
        <f t="shared" si="103"/>
        <v>-2.1027130871584498</v>
      </c>
      <c r="V310" s="385">
        <f t="shared" si="104"/>
        <v>29.358394283137187</v>
      </c>
      <c r="W310" s="58"/>
      <c r="X310" s="157">
        <f t="shared" si="105"/>
        <v>43396</v>
      </c>
      <c r="Y310" s="387">
        <f t="shared" si="106"/>
        <v>28.835000000000001</v>
      </c>
      <c r="Z310" s="387">
        <f t="shared" si="107"/>
        <v>28.890750176711531</v>
      </c>
      <c r="AA310" s="388">
        <f t="shared" si="108"/>
        <v>29.450654165292818</v>
      </c>
      <c r="AB310" s="199">
        <f t="shared" si="109"/>
        <v>43396</v>
      </c>
      <c r="AC310" s="428">
        <f t="shared" si="110"/>
        <v>1.9011597686041489E-2</v>
      </c>
      <c r="AD310" s="171">
        <f>(INDEX(Models!$BJ310:$BT310,,AH310)*(1-AF310)+INDEX(Models!$BJ310:$BT310,,AH310+1)*AF310-ERP_i)*AE310*Ramure*Pc/MaxiM</f>
        <v>1.5926059996950472E-3</v>
      </c>
      <c r="AE310" s="307">
        <f t="shared" si="111"/>
        <v>0.9</v>
      </c>
      <c r="AF310" s="179">
        <f t="shared" si="112"/>
        <v>0.89728691284155015</v>
      </c>
      <c r="AG310" s="839">
        <f t="shared" si="113"/>
        <v>-3</v>
      </c>
      <c r="AH310" s="178">
        <f t="shared" si="114"/>
        <v>3</v>
      </c>
      <c r="AI310" s="227">
        <f t="shared" si="115"/>
        <v>-2.1027130871584498</v>
      </c>
      <c r="AJ310" s="267" t="b">
        <f t="shared" si="116"/>
        <v>0</v>
      </c>
      <c r="AK310" s="267" t="b">
        <f t="shared" si="117"/>
        <v>0</v>
      </c>
      <c r="AL310" s="267"/>
      <c r="AM310" s="267"/>
      <c r="AN310" s="75"/>
    </row>
    <row r="311" spans="1:40" s="6" customFormat="1" ht="11.25" customHeight="1" x14ac:dyDescent="0.2">
      <c r="A311" s="56">
        <f t="shared" si="119"/>
        <v>43397</v>
      </c>
      <c r="B311" s="620">
        <v>28.495000000000001</v>
      </c>
      <c r="C311" s="392"/>
      <c r="D311" s="395">
        <f t="shared" si="120"/>
        <v>28.550757231612444</v>
      </c>
      <c r="E311" s="387">
        <f t="shared" si="124"/>
        <v>29.110036227946217</v>
      </c>
      <c r="F311" s="387">
        <f t="shared" si="123"/>
        <v>29.156685241838929</v>
      </c>
      <c r="G311" s="110">
        <f t="shared" si="125"/>
        <v>0.98246290948299309</v>
      </c>
      <c r="I311" s="382">
        <f t="shared" si="96"/>
        <v>29.156685241838929</v>
      </c>
      <c r="J311" s="85">
        <v>2018</v>
      </c>
      <c r="K311" s="199">
        <f t="shared" si="97"/>
        <v>43397</v>
      </c>
      <c r="L311" s="439">
        <f t="shared" si="98"/>
        <v>1.9529160351202668E-3</v>
      </c>
      <c r="M311" s="883"/>
      <c r="N311" s="883"/>
      <c r="O311" s="326">
        <f t="shared" si="99"/>
        <v>1.9212583315058009E-2</v>
      </c>
      <c r="P311" s="171">
        <f>(INDEX(Models!$BJ311:$BT311,,T311)*(1-R311)+INDEX(Models!$BJ311:$BT311,,T311+1)*R311-ERP_i)*Q311*Ramure*Pc/MaxiM</f>
        <v>1.6409585874633769E-3</v>
      </c>
      <c r="Q311" s="307">
        <f t="shared" si="100"/>
        <v>0.9</v>
      </c>
      <c r="R311" s="179">
        <f t="shared" si="101"/>
        <v>0.89739605685889945</v>
      </c>
      <c r="S311" s="839">
        <f t="shared" si="118"/>
        <v>-3</v>
      </c>
      <c r="T311" s="178">
        <f t="shared" si="102"/>
        <v>3</v>
      </c>
      <c r="U311" s="253">
        <f t="shared" si="103"/>
        <v>-2.1026039431411006</v>
      </c>
      <c r="V311" s="385">
        <f t="shared" si="104"/>
        <v>29.002447922221524</v>
      </c>
      <c r="W311" s="58"/>
      <c r="X311" s="157">
        <f t="shared" si="105"/>
        <v>43397</v>
      </c>
      <c r="Y311" s="387">
        <f t="shared" si="106"/>
        <v>28.495000000000001</v>
      </c>
      <c r="Z311" s="387">
        <f t="shared" si="107"/>
        <v>28.550757231612444</v>
      </c>
      <c r="AA311" s="388">
        <f t="shared" si="108"/>
        <v>29.110036227946217</v>
      </c>
      <c r="AB311" s="199">
        <f t="shared" si="109"/>
        <v>43397</v>
      </c>
      <c r="AC311" s="428">
        <f t="shared" si="110"/>
        <v>1.9212583315058009E-2</v>
      </c>
      <c r="AD311" s="171">
        <f>(INDEX(Models!$BJ311:$BT311,,AH311)*(1-AF311)+INDEX(Models!$BJ311:$BT311,,AH311+1)*AF311-ERP_i)*AE311*Ramure*Pc/MaxiM</f>
        <v>1.6409585874633769E-3</v>
      </c>
      <c r="AE311" s="307">
        <f t="shared" si="111"/>
        <v>0.9</v>
      </c>
      <c r="AF311" s="179">
        <f t="shared" si="112"/>
        <v>0.89739605685889945</v>
      </c>
      <c r="AG311" s="839">
        <f t="shared" si="113"/>
        <v>-3</v>
      </c>
      <c r="AH311" s="178">
        <f t="shared" si="114"/>
        <v>3</v>
      </c>
      <c r="AI311" s="227">
        <f t="shared" si="115"/>
        <v>-2.1026039431411006</v>
      </c>
      <c r="AJ311" s="267" t="b">
        <f t="shared" si="116"/>
        <v>0</v>
      </c>
      <c r="AK311" s="267" t="b">
        <f t="shared" si="117"/>
        <v>0</v>
      </c>
      <c r="AL311" s="267"/>
      <c r="AM311" s="267"/>
      <c r="AN311" s="75"/>
    </row>
    <row r="312" spans="1:40" s="6" customFormat="1" ht="11.25" customHeight="1" x14ac:dyDescent="0.2">
      <c r="A312" s="56">
        <f t="shared" si="119"/>
        <v>43398</v>
      </c>
      <c r="B312" s="620">
        <v>27.832999999999998</v>
      </c>
      <c r="C312" s="392"/>
      <c r="D312" s="395">
        <f t="shared" si="120"/>
        <v>27.888110868549411</v>
      </c>
      <c r="E312" s="387">
        <f t="shared" si="124"/>
        <v>28.440212677675557</v>
      </c>
      <c r="F312" s="387">
        <f t="shared" si="123"/>
        <v>28.486867574069969</v>
      </c>
      <c r="G312" s="110">
        <f t="shared" si="125"/>
        <v>0.97140232204117238</v>
      </c>
      <c r="I312" s="382">
        <f t="shared" si="96"/>
        <v>28.486867574069969</v>
      </c>
      <c r="J312" s="85">
        <v>2018</v>
      </c>
      <c r="K312" s="199">
        <f t="shared" si="97"/>
        <v>43398</v>
      </c>
      <c r="L312" s="439">
        <f t="shared" si="98"/>
        <v>1.9761420488171311E-3</v>
      </c>
      <c r="M312" s="883"/>
      <c r="N312" s="883"/>
      <c r="O312" s="326">
        <f t="shared" si="99"/>
        <v>1.9412717316264146E-2</v>
      </c>
      <c r="P312" s="171">
        <f>(INDEX(Models!$BJ312:$BT312,,T312)*(1-R312)+INDEX(Models!$BJ312:$BT312,,T312+1)*R312-ERP_i)*Q312*Ramure*Pc/MaxiM</f>
        <v>1.7073554153258159E-3</v>
      </c>
      <c r="Q312" s="307">
        <f t="shared" si="100"/>
        <v>0.9</v>
      </c>
      <c r="R312" s="179">
        <f t="shared" si="101"/>
        <v>0.8975008385028711</v>
      </c>
      <c r="S312" s="839">
        <f t="shared" si="118"/>
        <v>-3</v>
      </c>
      <c r="T312" s="178">
        <f t="shared" si="102"/>
        <v>3</v>
      </c>
      <c r="U312" s="253">
        <f t="shared" si="103"/>
        <v>-2.1024991614971289</v>
      </c>
      <c r="V312" s="385">
        <f t="shared" si="104"/>
        <v>28.650394775282962</v>
      </c>
      <c r="W312" s="58"/>
      <c r="X312" s="157">
        <f t="shared" si="105"/>
        <v>43398</v>
      </c>
      <c r="Y312" s="387">
        <f t="shared" si="106"/>
        <v>27.832999999999998</v>
      </c>
      <c r="Z312" s="387">
        <f t="shared" si="107"/>
        <v>27.888110868549411</v>
      </c>
      <c r="AA312" s="388">
        <f t="shared" si="108"/>
        <v>28.440212677675557</v>
      </c>
      <c r="AB312" s="199">
        <f t="shared" si="109"/>
        <v>43398</v>
      </c>
      <c r="AC312" s="428">
        <f t="shared" si="110"/>
        <v>1.9412717316264146E-2</v>
      </c>
      <c r="AD312" s="171">
        <f>(INDEX(Models!$BJ312:$BT312,,AH312)*(1-AF312)+INDEX(Models!$BJ312:$BT312,,AH312+1)*AF312-ERP_i)*AE312*Ramure*Pc/MaxiM</f>
        <v>1.7073554153258159E-3</v>
      </c>
      <c r="AE312" s="307">
        <f t="shared" si="111"/>
        <v>0.9</v>
      </c>
      <c r="AF312" s="179">
        <f t="shared" si="112"/>
        <v>0.8975008385028711</v>
      </c>
      <c r="AG312" s="839">
        <f t="shared" si="113"/>
        <v>-3</v>
      </c>
      <c r="AH312" s="178">
        <f t="shared" si="114"/>
        <v>3</v>
      </c>
      <c r="AI312" s="227">
        <f t="shared" si="115"/>
        <v>-2.1024991614971289</v>
      </c>
      <c r="AJ312" s="267" t="b">
        <f t="shared" si="116"/>
        <v>0</v>
      </c>
      <c r="AK312" s="267" t="b">
        <f t="shared" si="117"/>
        <v>0</v>
      </c>
      <c r="AL312" s="267"/>
      <c r="AM312" s="267"/>
      <c r="AN312" s="75"/>
    </row>
    <row r="313" spans="1:40" s="6" customFormat="1" ht="11.25" customHeight="1" x14ac:dyDescent="0.2">
      <c r="A313" s="56">
        <f t="shared" si="119"/>
        <v>43399</v>
      </c>
      <c r="B313" s="620">
        <v>3.9929999999999999</v>
      </c>
      <c r="C313" s="392"/>
      <c r="D313" s="395">
        <f t="shared" si="120"/>
        <v>4.0009994683926866</v>
      </c>
      <c r="E313" s="387">
        <f t="shared" si="124"/>
        <v>4.0810368263988979</v>
      </c>
      <c r="F313" s="387">
        <f t="shared" si="123"/>
        <v>4.0810368263988979</v>
      </c>
      <c r="G313" s="110">
        <f t="shared" si="125"/>
        <v>0.14083303386245105</v>
      </c>
      <c r="I313" s="382">
        <f t="shared" si="96"/>
        <v>4.0810368263988979</v>
      </c>
      <c r="J313" s="85">
        <v>2018</v>
      </c>
      <c r="K313" s="199">
        <f t="shared" si="97"/>
        <v>43399</v>
      </c>
      <c r="L313" s="439">
        <f t="shared" si="98"/>
        <v>1.9993675220106866E-3</v>
      </c>
      <c r="M313" s="883"/>
      <c r="N313" s="883"/>
      <c r="O313" s="326">
        <f t="shared" si="99"/>
        <v>1.9612015625165478E-2</v>
      </c>
      <c r="P313" s="171">
        <f>(INDEX(Models!$BJ313:$BT313,,T313)*(1-R313)+INDEX(Models!$BJ313:$BT313,,T313+1)*R313-ERP_i)*Q313*Ramure*Pc/MaxiM</f>
        <v>1.7924749461228403E-3</v>
      </c>
      <c r="Q313" s="307">
        <f t="shared" si="100"/>
        <v>0.9</v>
      </c>
      <c r="R313" s="179">
        <f t="shared" si="101"/>
        <v>0.89760143089719246</v>
      </c>
      <c r="S313" s="839">
        <f t="shared" si="118"/>
        <v>-3</v>
      </c>
      <c r="T313" s="178">
        <f t="shared" si="102"/>
        <v>3</v>
      </c>
      <c r="U313" s="253">
        <f t="shared" si="103"/>
        <v>-2.1023985691028075</v>
      </c>
      <c r="V313" s="385">
        <f t="shared" si="104"/>
        <v>28.301901466051131</v>
      </c>
      <c r="W313" s="58"/>
      <c r="X313" s="157">
        <f t="shared" si="105"/>
        <v>43399</v>
      </c>
      <c r="Y313" s="387">
        <f t="shared" si="106"/>
        <v>3.9930000000000003</v>
      </c>
      <c r="Z313" s="387">
        <f t="shared" si="107"/>
        <v>4.0009994683926866</v>
      </c>
      <c r="AA313" s="388">
        <f t="shared" si="108"/>
        <v>4.0810368263988979</v>
      </c>
      <c r="AB313" s="199">
        <f t="shared" si="109"/>
        <v>43399</v>
      </c>
      <c r="AC313" s="428">
        <f t="shared" si="110"/>
        <v>1.9612015625165478E-2</v>
      </c>
      <c r="AD313" s="171">
        <f>(INDEX(Models!$BJ313:$BT313,,AH313)*(1-AF313)+INDEX(Models!$BJ313:$BT313,,AH313+1)*AF313-ERP_i)*AE313*Ramure*Pc/MaxiM</f>
        <v>1.7924749461228403E-3</v>
      </c>
      <c r="AE313" s="307">
        <f t="shared" si="111"/>
        <v>0.9</v>
      </c>
      <c r="AF313" s="179">
        <f t="shared" si="112"/>
        <v>0.89760143089719246</v>
      </c>
      <c r="AG313" s="839">
        <f t="shared" si="113"/>
        <v>-3</v>
      </c>
      <c r="AH313" s="178">
        <f t="shared" si="114"/>
        <v>3</v>
      </c>
      <c r="AI313" s="227">
        <f t="shared" si="115"/>
        <v>-2.1023985691028075</v>
      </c>
      <c r="AJ313" s="267" t="b">
        <f t="shared" si="116"/>
        <v>0</v>
      </c>
      <c r="AK313" s="267" t="b">
        <f t="shared" si="117"/>
        <v>0</v>
      </c>
      <c r="AL313" s="267"/>
      <c r="AM313" s="267"/>
      <c r="AN313" s="75"/>
    </row>
    <row r="314" spans="1:40" s="6" customFormat="1" ht="11.25" customHeight="1" x14ac:dyDescent="0.2">
      <c r="A314" s="56">
        <f t="shared" si="119"/>
        <v>43400</v>
      </c>
      <c r="B314" s="620">
        <v>7.7910000000000004</v>
      </c>
      <c r="C314" s="392"/>
      <c r="D314" s="395">
        <f t="shared" si="120"/>
        <v>7.8067899544574191</v>
      </c>
      <c r="E314" s="387">
        <f t="shared" si="124"/>
        <v>7.9645720796597326</v>
      </c>
      <c r="F314" s="387">
        <f t="shared" si="123"/>
        <v>7.9645720796597326</v>
      </c>
      <c r="G314" s="110">
        <f>+Wh_hp/MaxiM</f>
        <v>0.27815294547398906</v>
      </c>
      <c r="I314" s="382">
        <f t="shared" si="96"/>
        <v>7.9645720796597326</v>
      </c>
      <c r="J314" s="85">
        <v>2018</v>
      </c>
      <c r="K314" s="199">
        <f t="shared" si="97"/>
        <v>43400</v>
      </c>
      <c r="L314" s="439">
        <f t="shared" si="98"/>
        <v>2.0225924547134788E-3</v>
      </c>
      <c r="M314" s="883"/>
      <c r="N314" s="883"/>
      <c r="O314" s="326">
        <f t="shared" si="99"/>
        <v>1.9810496235606281E-2</v>
      </c>
      <c r="P314" s="171">
        <f>(INDEX(Models!$BJ314:$BT314,,T314)*(1-R314)+INDEX(Models!$BJ314:$BT314,,T314+1)*R314-ERP_i)*Q314*Ramure*Pc/MaxiM</f>
        <v>1.8970166599752978E-3</v>
      </c>
      <c r="Q314" s="307">
        <f t="shared" si="100"/>
        <v>0.9</v>
      </c>
      <c r="R314" s="179">
        <f t="shared" si="101"/>
        <v>0.89769800039228098</v>
      </c>
      <c r="S314" s="839">
        <f t="shared" si="118"/>
        <v>-3</v>
      </c>
      <c r="T314" s="178">
        <f t="shared" si="102"/>
        <v>3</v>
      </c>
      <c r="U314" s="253">
        <f t="shared" si="103"/>
        <v>-2.102301999607719</v>
      </c>
      <c r="V314" s="385">
        <f t="shared" si="104"/>
        <v>27.956634900813267</v>
      </c>
      <c r="W314" s="58"/>
      <c r="X314" s="157">
        <f t="shared" si="105"/>
        <v>43400</v>
      </c>
      <c r="Y314" s="387">
        <f t="shared" si="106"/>
        <v>7.7910000000000004</v>
      </c>
      <c r="Z314" s="387">
        <f t="shared" si="107"/>
        <v>7.8067899544574191</v>
      </c>
      <c r="AA314" s="388">
        <f t="shared" si="108"/>
        <v>7.9645720796597326</v>
      </c>
      <c r="AB314" s="199">
        <f t="shared" si="109"/>
        <v>43400</v>
      </c>
      <c r="AC314" s="428">
        <f t="shared" si="110"/>
        <v>1.9810496235606281E-2</v>
      </c>
      <c r="AD314" s="171">
        <f>(INDEX(Models!$BJ314:$BT314,,AH314)*(1-AF314)+INDEX(Models!$BJ314:$BT314,,AH314+1)*AF314-ERP_i)*AE314*Ramure*Pc/MaxiM</f>
        <v>1.8970166599752978E-3</v>
      </c>
      <c r="AE314" s="307">
        <f t="shared" si="111"/>
        <v>0.9</v>
      </c>
      <c r="AF314" s="179">
        <f t="shared" si="112"/>
        <v>0.89769800039228098</v>
      </c>
      <c r="AG314" s="839">
        <f t="shared" si="113"/>
        <v>-3</v>
      </c>
      <c r="AH314" s="178">
        <f t="shared" si="114"/>
        <v>3</v>
      </c>
      <c r="AI314" s="227">
        <f t="shared" si="115"/>
        <v>-2.102301999607719</v>
      </c>
      <c r="AJ314" s="267" t="b">
        <f t="shared" si="116"/>
        <v>0</v>
      </c>
      <c r="AK314" s="267" t="b">
        <f t="shared" si="117"/>
        <v>0</v>
      </c>
      <c r="AL314" s="267"/>
      <c r="AM314" s="267"/>
      <c r="AN314" s="75"/>
    </row>
    <row r="315" spans="1:40" s="6" customFormat="1" ht="11.25" customHeight="1" x14ac:dyDescent="0.2">
      <c r="A315" s="56">
        <f t="shared" si="119"/>
        <v>43401</v>
      </c>
      <c r="B315" s="620">
        <v>3.3420000000000001</v>
      </c>
      <c r="C315" s="392"/>
      <c r="D315" s="395">
        <f t="shared" si="120"/>
        <v>3.3488511360720645</v>
      </c>
      <c r="E315" s="387">
        <f t="shared" si="124"/>
        <v>3.4172235572713472</v>
      </c>
      <c r="F315" s="387">
        <f t="shared" si="123"/>
        <v>3.4172235572713472</v>
      </c>
      <c r="G315" s="110">
        <f t="shared" si="125"/>
        <v>0.12077974174696653</v>
      </c>
      <c r="I315" s="382">
        <f t="shared" si="96"/>
        <v>3.4172235572713472</v>
      </c>
      <c r="J315" s="85">
        <v>2018</v>
      </c>
      <c r="K315" s="199">
        <f t="shared" si="97"/>
        <v>43401</v>
      </c>
      <c r="L315" s="439">
        <f t="shared" si="98"/>
        <v>2.0458168469382754E-3</v>
      </c>
      <c r="M315" s="883"/>
      <c r="N315" s="883"/>
      <c r="O315" s="326">
        <f t="shared" si="99"/>
        <v>2.0008179170425137E-2</v>
      </c>
      <c r="P315" s="171">
        <f>(INDEX(Models!$BJ315:$BT315,,T315)*(1-R315)+INDEX(Models!$BJ315:$BT315,,T315+1)*R315-ERP_i)*Q315*Ramure*Pc/MaxiM</f>
        <v>2.0217035492748098E-3</v>
      </c>
      <c r="Q315" s="307">
        <f t="shared" si="100"/>
        <v>0.9</v>
      </c>
      <c r="R315" s="179">
        <f t="shared" si="101"/>
        <v>0.89779070682257567</v>
      </c>
      <c r="S315" s="839">
        <f t="shared" si="118"/>
        <v>-3</v>
      </c>
      <c r="T315" s="178">
        <f t="shared" si="102"/>
        <v>3</v>
      </c>
      <c r="U315" s="253">
        <f t="shared" si="103"/>
        <v>-2.1022092931774243</v>
      </c>
      <c r="V315" s="385">
        <f t="shared" si="104"/>
        <v>27.614262280222921</v>
      </c>
      <c r="W315" s="58"/>
      <c r="X315" s="157">
        <f t="shared" si="105"/>
        <v>43401</v>
      </c>
      <c r="Y315" s="387">
        <f t="shared" si="106"/>
        <v>3.3420000000000001</v>
      </c>
      <c r="Z315" s="387">
        <f t="shared" si="107"/>
        <v>3.3488511360720645</v>
      </c>
      <c r="AA315" s="388">
        <f t="shared" si="108"/>
        <v>3.4172235572713472</v>
      </c>
      <c r="AB315" s="199">
        <f t="shared" si="109"/>
        <v>43401</v>
      </c>
      <c r="AC315" s="428">
        <f t="shared" si="110"/>
        <v>2.0008179170425137E-2</v>
      </c>
      <c r="AD315" s="171">
        <f>(INDEX(Models!$BJ315:$BT315,,AH315)*(1-AF315)+INDEX(Models!$BJ315:$BT315,,AH315+1)*AF315-ERP_i)*AE315*Ramure*Pc/MaxiM</f>
        <v>2.0217035492748098E-3</v>
      </c>
      <c r="AE315" s="307">
        <f t="shared" si="111"/>
        <v>0.9</v>
      </c>
      <c r="AF315" s="179">
        <f t="shared" si="112"/>
        <v>0.89779070682257567</v>
      </c>
      <c r="AG315" s="839">
        <f t="shared" si="113"/>
        <v>-3</v>
      </c>
      <c r="AH315" s="178">
        <f t="shared" si="114"/>
        <v>3</v>
      </c>
      <c r="AI315" s="227">
        <f t="shared" si="115"/>
        <v>-2.1022092931774243</v>
      </c>
      <c r="AJ315" s="267" t="b">
        <f t="shared" si="116"/>
        <v>0</v>
      </c>
      <c r="AK315" s="267" t="b">
        <f t="shared" si="117"/>
        <v>0</v>
      </c>
      <c r="AL315" s="267"/>
      <c r="AM315" s="267"/>
      <c r="AN315" s="75"/>
    </row>
    <row r="316" spans="1:40" s="6" customFormat="1" ht="11.25" customHeight="1" x14ac:dyDescent="0.2">
      <c r="A316" s="56">
        <f t="shared" si="119"/>
        <v>43402</v>
      </c>
      <c r="B316" s="620">
        <v>5.0030000000000001</v>
      </c>
      <c r="C316" s="392"/>
      <c r="D316" s="395">
        <f t="shared" si="120"/>
        <v>5.0133728725109705</v>
      </c>
      <c r="E316" s="387">
        <f t="shared" si="124"/>
        <v>5.1167573980235552</v>
      </c>
      <c r="F316" s="387">
        <f t="shared" si="123"/>
        <v>5.1167573980235552</v>
      </c>
      <c r="G316" s="110">
        <f t="shared" si="125"/>
        <v>0.18303419034755314</v>
      </c>
      <c r="I316" s="382">
        <f t="shared" si="96"/>
        <v>5.1167573980235552</v>
      </c>
      <c r="J316" s="85">
        <v>2018</v>
      </c>
      <c r="K316" s="199">
        <f t="shared" si="97"/>
        <v>43402</v>
      </c>
      <c r="L316" s="439">
        <f t="shared" si="98"/>
        <v>2.0690406986973997E-3</v>
      </c>
      <c r="M316" s="883"/>
      <c r="N316" s="883"/>
      <c r="O316" s="326">
        <f t="shared" si="99"/>
        <v>2.0205086438633793E-2</v>
      </c>
      <c r="P316" s="171">
        <f>(INDEX(Models!$BJ316:$BT316,,T316)*(1-R316)+INDEX(Models!$BJ316:$BT316,,T316+1)*R316-ERP_i)*Q316*Ramure*Pc/MaxiM</f>
        <v>2.1672849229414461E-3</v>
      </c>
      <c r="Q316" s="307">
        <f t="shared" si="100"/>
        <v>0.9</v>
      </c>
      <c r="R316" s="179">
        <f t="shared" si="101"/>
        <v>0.89787970375470616</v>
      </c>
      <c r="S316" s="839">
        <f t="shared" si="118"/>
        <v>-3</v>
      </c>
      <c r="T316" s="178">
        <f t="shared" si="102"/>
        <v>3</v>
      </c>
      <c r="U316" s="253">
        <f t="shared" si="103"/>
        <v>-2.1021202962452938</v>
      </c>
      <c r="V316" s="385">
        <f t="shared" si="104"/>
        <v>27.274451096001258</v>
      </c>
      <c r="W316" s="58"/>
      <c r="X316" s="157">
        <f t="shared" si="105"/>
        <v>43402</v>
      </c>
      <c r="Y316" s="387">
        <f t="shared" si="106"/>
        <v>5.0030000000000001</v>
      </c>
      <c r="Z316" s="387">
        <f t="shared" si="107"/>
        <v>5.0133728725109705</v>
      </c>
      <c r="AA316" s="388">
        <f t="shared" si="108"/>
        <v>5.1167573980235552</v>
      </c>
      <c r="AB316" s="199">
        <f t="shared" si="109"/>
        <v>43402</v>
      </c>
      <c r="AC316" s="428">
        <f t="shared" si="110"/>
        <v>2.0205086438633793E-2</v>
      </c>
      <c r="AD316" s="171">
        <f>(INDEX(Models!$BJ316:$BT316,,AH316)*(1-AF316)+INDEX(Models!$BJ316:$BT316,,AH316+1)*AF316-ERP_i)*AE316*Ramure*Pc/MaxiM</f>
        <v>2.1672849229414461E-3</v>
      </c>
      <c r="AE316" s="307">
        <f t="shared" si="111"/>
        <v>0.9</v>
      </c>
      <c r="AF316" s="179">
        <f t="shared" si="112"/>
        <v>0.89787970375470616</v>
      </c>
      <c r="AG316" s="839">
        <f t="shared" si="113"/>
        <v>-3</v>
      </c>
      <c r="AH316" s="178">
        <f t="shared" si="114"/>
        <v>3</v>
      </c>
      <c r="AI316" s="227">
        <f t="shared" si="115"/>
        <v>-2.1021202962452938</v>
      </c>
      <c r="AJ316" s="267" t="b">
        <f t="shared" si="116"/>
        <v>0</v>
      </c>
      <c r="AK316" s="267" t="b">
        <f t="shared" si="117"/>
        <v>0</v>
      </c>
      <c r="AL316" s="267"/>
      <c r="AM316" s="267"/>
      <c r="AN316" s="75"/>
    </row>
    <row r="317" spans="1:40" s="6" customFormat="1" ht="11.25" customHeight="1" x14ac:dyDescent="0.2">
      <c r="A317" s="56">
        <f t="shared" si="119"/>
        <v>43403</v>
      </c>
      <c r="B317" s="620">
        <v>24.145</v>
      </c>
      <c r="C317" s="392"/>
      <c r="D317" s="395">
        <f t="shared" si="120"/>
        <v>24.195623632525926</v>
      </c>
      <c r="E317" s="387">
        <f t="shared" si="124"/>
        <v>24.699524610881316</v>
      </c>
      <c r="F317" s="387">
        <f t="shared" si="123"/>
        <v>24.748747432326997</v>
      </c>
      <c r="G317" s="110">
        <f t="shared" si="125"/>
        <v>0.89604890432248419</v>
      </c>
      <c r="I317" s="382">
        <f t="shared" si="96"/>
        <v>24.748747432326997</v>
      </c>
      <c r="J317" s="85">
        <v>2018</v>
      </c>
      <c r="K317" s="199">
        <f t="shared" si="97"/>
        <v>43403</v>
      </c>
      <c r="L317" s="439">
        <f t="shared" si="98"/>
        <v>2.0922640100036194E-3</v>
      </c>
      <c r="M317" s="883"/>
      <c r="N317" s="883"/>
      <c r="O317" s="326">
        <f t="shared" si="99"/>
        <v>2.0401241979102612E-2</v>
      </c>
      <c r="P317" s="171">
        <f>(INDEX(Models!$BJ317:$BT317,,T317)*(1-R317)+INDEX(Models!$BJ317:$BT317,,T317+1)*R317-ERP_i)*Q317*Ramure*Pc/MaxiM</f>
        <v>2.3345505883930438E-3</v>
      </c>
      <c r="Q317" s="307">
        <f t="shared" si="100"/>
        <v>0.9</v>
      </c>
      <c r="R317" s="179">
        <f t="shared" si="101"/>
        <v>0.8979651387267662</v>
      </c>
      <c r="S317" s="839">
        <f t="shared" si="118"/>
        <v>-3</v>
      </c>
      <c r="T317" s="178">
        <f t="shared" si="102"/>
        <v>3</v>
      </c>
      <c r="U317" s="253">
        <f t="shared" si="103"/>
        <v>-2.1020348612732338</v>
      </c>
      <c r="V317" s="385">
        <f t="shared" si="104"/>
        <v>26.936741460226123</v>
      </c>
      <c r="W317" s="58"/>
      <c r="X317" s="157">
        <f t="shared" si="105"/>
        <v>43403</v>
      </c>
      <c r="Y317" s="387">
        <f t="shared" si="106"/>
        <v>24.145</v>
      </c>
      <c r="Z317" s="387">
        <f t="shared" si="107"/>
        <v>24.195623632525926</v>
      </c>
      <c r="AA317" s="388">
        <f t="shared" si="108"/>
        <v>24.699524610881316</v>
      </c>
      <c r="AB317" s="199">
        <f t="shared" si="109"/>
        <v>43403</v>
      </c>
      <c r="AC317" s="428">
        <f t="shared" si="110"/>
        <v>2.0401241979102612E-2</v>
      </c>
      <c r="AD317" s="171">
        <f>(INDEX(Models!$BJ317:$BT317,,AH317)*(1-AF317)+INDEX(Models!$BJ317:$BT317,,AH317+1)*AF317-ERP_i)*AE317*Ramure*Pc/MaxiM</f>
        <v>2.3345505883930438E-3</v>
      </c>
      <c r="AE317" s="307">
        <f t="shared" si="111"/>
        <v>0.9</v>
      </c>
      <c r="AF317" s="179">
        <f t="shared" si="112"/>
        <v>0.8979651387267662</v>
      </c>
      <c r="AG317" s="839">
        <f t="shared" si="113"/>
        <v>-3</v>
      </c>
      <c r="AH317" s="178">
        <f t="shared" si="114"/>
        <v>3</v>
      </c>
      <c r="AI317" s="227">
        <f t="shared" si="115"/>
        <v>-2.1020348612732338</v>
      </c>
      <c r="AJ317" s="267" t="b">
        <f t="shared" si="116"/>
        <v>0</v>
      </c>
      <c r="AK317" s="267" t="b">
        <f t="shared" si="117"/>
        <v>0</v>
      </c>
      <c r="AL317" s="267"/>
      <c r="AM317" s="267"/>
      <c r="AN317" s="75"/>
    </row>
    <row r="318" spans="1:40" s="6" customFormat="1" ht="11.25" customHeight="1" x14ac:dyDescent="0.2">
      <c r="A318" s="56">
        <f t="shared" si="119"/>
        <v>43404</v>
      </c>
      <c r="B318" s="620">
        <v>11.532999999999999</v>
      </c>
      <c r="C318" s="392"/>
      <c r="D318" s="395">
        <f t="shared" si="120"/>
        <v>11.557449631916885</v>
      </c>
      <c r="E318" s="387">
        <f t="shared" si="124"/>
        <v>11.800500668799771</v>
      </c>
      <c r="F318" s="387">
        <f t="shared" si="123"/>
        <v>11.806206498187182</v>
      </c>
      <c r="G318" s="110">
        <f t="shared" si="125"/>
        <v>0.43266681951090069</v>
      </c>
      <c r="I318" s="382">
        <f t="shared" si="96"/>
        <v>11.806206498187182</v>
      </c>
      <c r="J318" s="85">
        <v>2018</v>
      </c>
      <c r="K318" s="199">
        <f t="shared" si="97"/>
        <v>43404</v>
      </c>
      <c r="L318" s="439">
        <f t="shared" si="98"/>
        <v>2.1154867808694799E-3</v>
      </c>
      <c r="M318" s="883"/>
      <c r="N318" s="883"/>
      <c r="O318" s="326">
        <f t="shared" si="99"/>
        <v>2.0596671590850865E-2</v>
      </c>
      <c r="P318" s="171">
        <f>(INDEX(Models!$BJ318:$BT318,,T318)*(1-R318)+INDEX(Models!$BJ318:$BT318,,T318+1)*R318-ERP_i)*Q318*Ramure*Pc/MaxiM</f>
        <v>2.5330470695278467E-3</v>
      </c>
      <c r="Q318" s="307">
        <f t="shared" si="100"/>
        <v>0.9</v>
      </c>
      <c r="R318" s="179">
        <f t="shared" si="101"/>
        <v>0.89804715347897135</v>
      </c>
      <c r="S318" s="839">
        <f t="shared" si="118"/>
        <v>-3</v>
      </c>
      <c r="T318" s="178">
        <f t="shared" si="102"/>
        <v>3</v>
      </c>
      <c r="U318" s="253">
        <f t="shared" si="103"/>
        <v>-2.1019528465210287</v>
      </c>
      <c r="V318" s="385">
        <f t="shared" si="104"/>
        <v>26.600950685232583</v>
      </c>
      <c r="W318" s="58"/>
      <c r="X318" s="157">
        <f t="shared" si="105"/>
        <v>43404</v>
      </c>
      <c r="Y318" s="387">
        <f t="shared" si="106"/>
        <v>11.532999999999999</v>
      </c>
      <c r="Z318" s="387">
        <f t="shared" si="107"/>
        <v>11.557449631916885</v>
      </c>
      <c r="AA318" s="388">
        <f t="shared" si="108"/>
        <v>11.800500668799771</v>
      </c>
      <c r="AB318" s="199">
        <f t="shared" si="109"/>
        <v>43404</v>
      </c>
      <c r="AC318" s="428">
        <f t="shared" si="110"/>
        <v>2.0596671590850865E-2</v>
      </c>
      <c r="AD318" s="171">
        <f>(INDEX(Models!$BJ318:$BT318,,AH318)*(1-AF318)+INDEX(Models!$BJ318:$BT318,,AH318+1)*AF318-ERP_i)*AE318*Ramure*Pc/MaxiM</f>
        <v>2.5330470695278467E-3</v>
      </c>
      <c r="AE318" s="307">
        <f t="shared" si="111"/>
        <v>0.9</v>
      </c>
      <c r="AF318" s="179">
        <f t="shared" si="112"/>
        <v>0.89804715347897135</v>
      </c>
      <c r="AG318" s="839">
        <f t="shared" si="113"/>
        <v>-3</v>
      </c>
      <c r="AH318" s="178">
        <f t="shared" si="114"/>
        <v>3</v>
      </c>
      <c r="AI318" s="227">
        <f t="shared" si="115"/>
        <v>-2.1019528465210287</v>
      </c>
      <c r="AJ318" s="267" t="b">
        <f t="shared" si="116"/>
        <v>0</v>
      </c>
      <c r="AK318" s="267" t="b">
        <f t="shared" si="117"/>
        <v>0</v>
      </c>
      <c r="AL318" s="267"/>
      <c r="AM318" s="267"/>
      <c r="AN318" s="75"/>
    </row>
    <row r="319" spans="1:40" s="6" customFormat="1" ht="11.25" customHeight="1" x14ac:dyDescent="0.2">
      <c r="A319" s="56">
        <f t="shared" si="119"/>
        <v>43405</v>
      </c>
      <c r="B319" s="620">
        <v>19.146999999999998</v>
      </c>
      <c r="C319" s="392"/>
      <c r="D319" s="395">
        <f t="shared" si="120"/>
        <v>19.188037628986422</v>
      </c>
      <c r="E319" s="387">
        <f t="shared" si="124"/>
        <v>19.595454620023325</v>
      </c>
      <c r="F319" s="387">
        <f t="shared" si="123"/>
        <v>19.62863773202201</v>
      </c>
      <c r="G319" s="110">
        <f t="shared" si="125"/>
        <v>0.72813952925505887</v>
      </c>
      <c r="I319" s="382">
        <f t="shared" si="96"/>
        <v>19.62863773202201</v>
      </c>
      <c r="J319" s="85">
        <v>2018</v>
      </c>
      <c r="K319" s="199">
        <f t="shared" si="97"/>
        <v>43405</v>
      </c>
      <c r="L319" s="439">
        <f t="shared" si="98"/>
        <v>2.1387090113076379E-3</v>
      </c>
      <c r="M319" s="883"/>
      <c r="N319" s="883"/>
      <c r="O319" s="326">
        <f t="shared" si="99"/>
        <v>2.0791402850158479E-2</v>
      </c>
      <c r="P319" s="171">
        <f>(INDEX(Models!$BJ319:$BT319,,T319)*(1-R319)+INDEX(Models!$BJ319:$BT319,,T319+1)*R319-ERP_i)*Q319*Ramure*Pc/MaxiM</f>
        <v>2.7589831439936924E-3</v>
      </c>
      <c r="Q319" s="307">
        <f t="shared" si="100"/>
        <v>0.9</v>
      </c>
      <c r="R319" s="179">
        <f t="shared" si="101"/>
        <v>0.89812588417596961</v>
      </c>
      <c r="S319" s="839">
        <f t="shared" si="118"/>
        <v>-3</v>
      </c>
      <c r="T319" s="178">
        <f t="shared" si="102"/>
        <v>3</v>
      </c>
      <c r="U319" s="253">
        <f t="shared" si="103"/>
        <v>-2.1018741158240304</v>
      </c>
      <c r="V319" s="385">
        <f t="shared" si="104"/>
        <v>26.26764132412336</v>
      </c>
      <c r="W319" s="58"/>
      <c r="X319" s="157">
        <f t="shared" si="105"/>
        <v>43405</v>
      </c>
      <c r="Y319" s="387">
        <f t="shared" si="106"/>
        <v>19.146999999999998</v>
      </c>
      <c r="Z319" s="387">
        <f t="shared" si="107"/>
        <v>19.188037628986422</v>
      </c>
      <c r="AA319" s="388">
        <f t="shared" si="108"/>
        <v>19.595454620023325</v>
      </c>
      <c r="AB319" s="199">
        <f t="shared" si="109"/>
        <v>43405</v>
      </c>
      <c r="AC319" s="428">
        <f t="shared" si="110"/>
        <v>2.0791402850158479E-2</v>
      </c>
      <c r="AD319" s="171">
        <f>(INDEX(Models!$BJ319:$BT319,,AH319)*(1-AF319)+INDEX(Models!$BJ319:$BT319,,AH319+1)*AF319-ERP_i)*AE319*Ramure*Pc/MaxiM</f>
        <v>2.7589831439936924E-3</v>
      </c>
      <c r="AE319" s="307">
        <f t="shared" si="111"/>
        <v>0.9</v>
      </c>
      <c r="AF319" s="179">
        <f t="shared" si="112"/>
        <v>0.89812588417596961</v>
      </c>
      <c r="AG319" s="839">
        <f t="shared" si="113"/>
        <v>-3</v>
      </c>
      <c r="AH319" s="178">
        <f t="shared" si="114"/>
        <v>3</v>
      </c>
      <c r="AI319" s="227">
        <f t="shared" si="115"/>
        <v>-2.1018741158240304</v>
      </c>
      <c r="AJ319" s="267" t="b">
        <f t="shared" si="116"/>
        <v>0</v>
      </c>
      <c r="AK319" s="267" t="b">
        <f t="shared" si="117"/>
        <v>0</v>
      </c>
      <c r="AL319" s="267"/>
      <c r="AM319" s="267"/>
      <c r="AN319" s="75"/>
    </row>
    <row r="320" spans="1:40" s="6" customFormat="1" ht="11.25" customHeight="1" x14ac:dyDescent="0.2">
      <c r="A320" s="56">
        <f t="shared" si="119"/>
        <v>43406</v>
      </c>
      <c r="B320" s="620">
        <v>8.1479999999999997</v>
      </c>
      <c r="C320" s="392"/>
      <c r="D320" s="395">
        <f t="shared" si="120"/>
        <v>8.1656535771649015</v>
      </c>
      <c r="E320" s="387">
        <f t="shared" si="124"/>
        <v>8.340686767524458</v>
      </c>
      <c r="F320" s="387">
        <f t="shared" si="123"/>
        <v>8.3411945841665727</v>
      </c>
      <c r="G320" s="110">
        <f t="shared" si="125"/>
        <v>0.31321529072429732</v>
      </c>
      <c r="I320" s="382">
        <f t="shared" si="96"/>
        <v>8.3411945841665727</v>
      </c>
      <c r="J320" s="85">
        <v>2018</v>
      </c>
      <c r="K320" s="199">
        <f t="shared" si="97"/>
        <v>43406</v>
      </c>
      <c r="L320" s="439">
        <f t="shared" si="98"/>
        <v>2.1619307013304168E-3</v>
      </c>
      <c r="M320" s="883"/>
      <c r="N320" s="883"/>
      <c r="O320" s="326">
        <f t="shared" si="99"/>
        <v>2.0985465014831929E-2</v>
      </c>
      <c r="P320" s="171">
        <f>(INDEX(Models!$BJ320:$BT320,,T320)*(1-R320)+INDEX(Models!$BJ320:$BT320,,T320+1)*R320-ERP_i)*Q320*Ramure*Pc/MaxiM</f>
        <v>3.013287435910947E-3</v>
      </c>
      <c r="Q320" s="307">
        <f t="shared" si="100"/>
        <v>0.9</v>
      </c>
      <c r="R320" s="179">
        <f t="shared" si="101"/>
        <v>0.89820146162106518</v>
      </c>
      <c r="S320" s="839">
        <f t="shared" si="118"/>
        <v>-3</v>
      </c>
      <c r="T320" s="178">
        <f t="shared" si="102"/>
        <v>3</v>
      </c>
      <c r="U320" s="253">
        <f t="shared" si="103"/>
        <v>-2.1017985383789348</v>
      </c>
      <c r="V320" s="385">
        <f t="shared" si="104"/>
        <v>25.937246886598736</v>
      </c>
      <c r="W320" s="58"/>
      <c r="X320" s="157">
        <f t="shared" si="105"/>
        <v>43406</v>
      </c>
      <c r="Y320" s="387">
        <f t="shared" si="106"/>
        <v>8.1479999999999997</v>
      </c>
      <c r="Z320" s="387">
        <f t="shared" si="107"/>
        <v>8.1656535771649015</v>
      </c>
      <c r="AA320" s="388">
        <f t="shared" si="108"/>
        <v>8.340686767524458</v>
      </c>
      <c r="AB320" s="199">
        <f t="shared" si="109"/>
        <v>43406</v>
      </c>
      <c r="AC320" s="428">
        <f t="shared" si="110"/>
        <v>2.0985465014831929E-2</v>
      </c>
      <c r="AD320" s="171">
        <f>(INDEX(Models!$BJ320:$BT320,,AH320)*(1-AF320)+INDEX(Models!$BJ320:$BT320,,AH320+1)*AF320-ERP_i)*AE320*Ramure*Pc/MaxiM</f>
        <v>3.013287435910947E-3</v>
      </c>
      <c r="AE320" s="307">
        <f t="shared" si="111"/>
        <v>0.9</v>
      </c>
      <c r="AF320" s="179">
        <f t="shared" si="112"/>
        <v>0.89820146162106518</v>
      </c>
      <c r="AG320" s="839">
        <f t="shared" si="113"/>
        <v>-3</v>
      </c>
      <c r="AH320" s="178">
        <f t="shared" si="114"/>
        <v>3</v>
      </c>
      <c r="AI320" s="227">
        <f t="shared" si="115"/>
        <v>-2.1017985383789348</v>
      </c>
      <c r="AJ320" s="267" t="b">
        <f t="shared" si="116"/>
        <v>0</v>
      </c>
      <c r="AK320" s="267" t="b">
        <f t="shared" si="117"/>
        <v>0</v>
      </c>
      <c r="AL320" s="267"/>
      <c r="AM320" s="267"/>
      <c r="AN320" s="75"/>
    </row>
    <row r="321" spans="1:40" s="6" customFormat="1" ht="11.25" customHeight="1" x14ac:dyDescent="0.2">
      <c r="A321" s="56">
        <f t="shared" si="119"/>
        <v>43407</v>
      </c>
      <c r="B321" s="620">
        <v>22.582999999999998</v>
      </c>
      <c r="C321" s="392"/>
      <c r="D321" s="395">
        <f t="shared" si="120"/>
        <v>22.632455351703328</v>
      </c>
      <c r="E321" s="387">
        <f t="shared" si="124"/>
        <v>23.122156945144575</v>
      </c>
      <c r="F321" s="387">
        <f t="shared" si="123"/>
        <v>23.185689837564855</v>
      </c>
      <c r="G321" s="110">
        <f t="shared" si="125"/>
        <v>0.88130481680925932</v>
      </c>
      <c r="I321" s="382">
        <f t="shared" si="96"/>
        <v>23.185689837564855</v>
      </c>
      <c r="J321" s="85">
        <v>2018</v>
      </c>
      <c r="K321" s="199">
        <f t="shared" si="97"/>
        <v>43407</v>
      </c>
      <c r="L321" s="439">
        <f t="shared" si="98"/>
        <v>2.1851518509505841E-3</v>
      </c>
      <c r="M321" s="883"/>
      <c r="N321" s="883"/>
      <c r="O321" s="326">
        <f t="shared" si="99"/>
        <v>2.1178888916074012E-2</v>
      </c>
      <c r="P321" s="171">
        <f>(INDEX(Models!$BJ321:$BT321,,T321)*(1-R321)+INDEX(Models!$BJ321:$BT321,,T321+1)*R321-ERP_i)*Q321*Ramure*Pc/MaxiM</f>
        <v>3.2968949554907723E-3</v>
      </c>
      <c r="Q321" s="307">
        <f t="shared" si="100"/>
        <v>0.9</v>
      </c>
      <c r="R321" s="179">
        <f t="shared" si="101"/>
        <v>0.89827401146261598</v>
      </c>
      <c r="S321" s="839">
        <f t="shared" si="118"/>
        <v>-3</v>
      </c>
      <c r="T321" s="178">
        <f t="shared" si="102"/>
        <v>3</v>
      </c>
      <c r="U321" s="253">
        <f t="shared" si="103"/>
        <v>-2.101725988537384</v>
      </c>
      <c r="V321" s="385">
        <f t="shared" si="104"/>
        <v>25.610200535845507</v>
      </c>
      <c r="W321" s="58"/>
      <c r="X321" s="157">
        <f t="shared" si="105"/>
        <v>43407</v>
      </c>
      <c r="Y321" s="387">
        <f t="shared" si="106"/>
        <v>22.582999999999998</v>
      </c>
      <c r="Z321" s="387">
        <f t="shared" si="107"/>
        <v>22.632455351703328</v>
      </c>
      <c r="AA321" s="388">
        <f t="shared" si="108"/>
        <v>23.122156945144575</v>
      </c>
      <c r="AB321" s="199">
        <f t="shared" si="109"/>
        <v>43407</v>
      </c>
      <c r="AC321" s="428">
        <f t="shared" si="110"/>
        <v>2.1178888916074012E-2</v>
      </c>
      <c r="AD321" s="171">
        <f>(INDEX(Models!$BJ321:$BT321,,AH321)*(1-AF321)+INDEX(Models!$BJ321:$BT321,,AH321+1)*AF321-ERP_i)*AE321*Ramure*Pc/MaxiM</f>
        <v>3.2968949554907723E-3</v>
      </c>
      <c r="AE321" s="307">
        <f t="shared" si="111"/>
        <v>0.9</v>
      </c>
      <c r="AF321" s="179">
        <f t="shared" si="112"/>
        <v>0.89827401146261598</v>
      </c>
      <c r="AG321" s="839">
        <f t="shared" si="113"/>
        <v>-3</v>
      </c>
      <c r="AH321" s="178">
        <f t="shared" si="114"/>
        <v>3</v>
      </c>
      <c r="AI321" s="227">
        <f t="shared" si="115"/>
        <v>-2.101725988537384</v>
      </c>
      <c r="AJ321" s="267" t="b">
        <f t="shared" si="116"/>
        <v>0</v>
      </c>
      <c r="AK321" s="267" t="b">
        <f t="shared" si="117"/>
        <v>0</v>
      </c>
      <c r="AL321" s="267"/>
      <c r="AM321" s="267"/>
      <c r="AN321" s="75"/>
    </row>
    <row r="322" spans="1:40" s="6" customFormat="1" ht="11.25" customHeight="1" x14ac:dyDescent="0.2">
      <c r="A322" s="56">
        <f t="shared" si="119"/>
        <v>43408</v>
      </c>
      <c r="B322" s="620">
        <v>18.388999999999999</v>
      </c>
      <c r="C322" s="392"/>
      <c r="D322" s="395">
        <f t="shared" si="120"/>
        <v>18.429699641136889</v>
      </c>
      <c r="E322" s="387">
        <f t="shared" si="124"/>
        <v>18.832175372325867</v>
      </c>
      <c r="F322" s="387">
        <f t="shared" si="123"/>
        <v>18.873766608269342</v>
      </c>
      <c r="G322" s="110">
        <f t="shared" si="125"/>
        <v>0.72618796391106455</v>
      </c>
      <c r="I322" s="382">
        <f t="shared" si="96"/>
        <v>18.873766608269342</v>
      </c>
      <c r="J322" s="85">
        <v>2018</v>
      </c>
      <c r="K322" s="199">
        <f t="shared" si="97"/>
        <v>43408</v>
      </c>
      <c r="L322" s="439">
        <f t="shared" si="98"/>
        <v>2.2083724601806853E-3</v>
      </c>
      <c r="M322" s="883"/>
      <c r="N322" s="883"/>
      <c r="O322" s="326">
        <f t="shared" si="99"/>
        <v>2.1371706838521815E-2</v>
      </c>
      <c r="P322" s="171">
        <f>(INDEX(Models!$BJ322:$BT322,,T322)*(1-R322)+INDEX(Models!$BJ322:$BT322,,T322+1)*R322-ERP_i)*Q322*Ramure*Pc/MaxiM</f>
        <v>3.6107410324723371E-3</v>
      </c>
      <c r="Q322" s="307">
        <f t="shared" si="100"/>
        <v>0.9</v>
      </c>
      <c r="R322" s="179">
        <f t="shared" si="101"/>
        <v>0.89834365439285735</v>
      </c>
      <c r="S322" s="839">
        <f t="shared" si="118"/>
        <v>-3</v>
      </c>
      <c r="T322" s="178">
        <f t="shared" si="102"/>
        <v>3</v>
      </c>
      <c r="U322" s="253">
        <f t="shared" si="103"/>
        <v>-2.1016563456071427</v>
      </c>
      <c r="V322" s="385">
        <f t="shared" si="104"/>
        <v>25.286935103410649</v>
      </c>
      <c r="W322" s="58"/>
      <c r="X322" s="157">
        <f t="shared" si="105"/>
        <v>43408</v>
      </c>
      <c r="Y322" s="387">
        <f t="shared" si="106"/>
        <v>18.388999999999999</v>
      </c>
      <c r="Z322" s="387">
        <f t="shared" si="107"/>
        <v>18.429699641136889</v>
      </c>
      <c r="AA322" s="388">
        <f t="shared" si="108"/>
        <v>18.832175372325867</v>
      </c>
      <c r="AB322" s="199">
        <f t="shared" si="109"/>
        <v>43408</v>
      </c>
      <c r="AC322" s="428">
        <f t="shared" si="110"/>
        <v>2.1371706838521815E-2</v>
      </c>
      <c r="AD322" s="171">
        <f>(INDEX(Models!$BJ322:$BT322,,AH322)*(1-AF322)+INDEX(Models!$BJ322:$BT322,,AH322+1)*AF322-ERP_i)*AE322*Ramure*Pc/MaxiM</f>
        <v>3.6107410324723371E-3</v>
      </c>
      <c r="AE322" s="307">
        <f t="shared" si="111"/>
        <v>0.9</v>
      </c>
      <c r="AF322" s="179">
        <f t="shared" si="112"/>
        <v>0.89834365439285735</v>
      </c>
      <c r="AG322" s="839">
        <f t="shared" si="113"/>
        <v>-3</v>
      </c>
      <c r="AH322" s="178">
        <f t="shared" si="114"/>
        <v>3</v>
      </c>
      <c r="AI322" s="227">
        <f t="shared" si="115"/>
        <v>-2.1016563456071427</v>
      </c>
      <c r="AJ322" s="267" t="b">
        <f t="shared" si="116"/>
        <v>0</v>
      </c>
      <c r="AK322" s="267" t="b">
        <f t="shared" si="117"/>
        <v>0</v>
      </c>
      <c r="AL322" s="267"/>
      <c r="AM322" s="267"/>
      <c r="AN322" s="75"/>
    </row>
    <row r="323" spans="1:40" s="6" customFormat="1" ht="11.25" customHeight="1" x14ac:dyDescent="0.2">
      <c r="A323" s="56">
        <f t="shared" si="119"/>
        <v>43409</v>
      </c>
      <c r="B323" s="620">
        <v>10.568</v>
      </c>
      <c r="C323" s="392"/>
      <c r="D323" s="395">
        <f t="shared" si="120"/>
        <v>10.591636216250421</v>
      </c>
      <c r="E323" s="387">
        <f t="shared" si="124"/>
        <v>10.825067455469256</v>
      </c>
      <c r="F323" s="387">
        <f t="shared" si="123"/>
        <v>10.832613162174914</v>
      </c>
      <c r="G323" s="110">
        <f t="shared" si="125"/>
        <v>0.42188330174962485</v>
      </c>
      <c r="I323" s="382">
        <f t="shared" si="96"/>
        <v>10.832613162174914</v>
      </c>
      <c r="J323" s="85">
        <v>2018</v>
      </c>
      <c r="K323" s="199">
        <f t="shared" si="97"/>
        <v>43409</v>
      </c>
      <c r="L323" s="439">
        <f t="shared" si="98"/>
        <v>2.2315925290332661E-3</v>
      </c>
      <c r="M323" s="883"/>
      <c r="N323" s="883"/>
      <c r="O323" s="326">
        <f t="shared" si="99"/>
        <v>2.1563952389127682E-2</v>
      </c>
      <c r="P323" s="171">
        <f>(INDEX(Models!$BJ323:$BT323,,T323)*(1-R323)+INDEX(Models!$BJ323:$BT323,,T323+1)*R323-ERP_i)*Q323*Ramure*Pc/MaxiM</f>
        <v>3.9557544609235551E-3</v>
      </c>
      <c r="Q323" s="307">
        <f t="shared" si="100"/>
        <v>0.9</v>
      </c>
      <c r="R323" s="179">
        <f t="shared" si="101"/>
        <v>0.89841050633940256</v>
      </c>
      <c r="S323" s="839">
        <f t="shared" si="118"/>
        <v>-3</v>
      </c>
      <c r="T323" s="178">
        <f t="shared" si="102"/>
        <v>3</v>
      </c>
      <c r="U323" s="253">
        <f t="shared" si="103"/>
        <v>-2.1015894936605974</v>
      </c>
      <c r="V323" s="385">
        <f t="shared" si="104"/>
        <v>24.967883105736774</v>
      </c>
      <c r="W323" s="58"/>
      <c r="X323" s="157">
        <f t="shared" si="105"/>
        <v>43409</v>
      </c>
      <c r="Y323" s="387">
        <f t="shared" si="106"/>
        <v>10.568</v>
      </c>
      <c r="Z323" s="387">
        <f t="shared" si="107"/>
        <v>10.591636216250421</v>
      </c>
      <c r="AA323" s="388">
        <f t="shared" si="108"/>
        <v>10.825067455469256</v>
      </c>
      <c r="AB323" s="199">
        <f t="shared" si="109"/>
        <v>43409</v>
      </c>
      <c r="AC323" s="428">
        <f t="shared" si="110"/>
        <v>2.1563952389127682E-2</v>
      </c>
      <c r="AD323" s="171">
        <f>(INDEX(Models!$BJ323:$BT323,,AH323)*(1-AF323)+INDEX(Models!$BJ323:$BT323,,AH323+1)*AF323-ERP_i)*AE323*Ramure*Pc/MaxiM</f>
        <v>3.9557544609235551E-3</v>
      </c>
      <c r="AE323" s="307">
        <f t="shared" si="111"/>
        <v>0.9</v>
      </c>
      <c r="AF323" s="179">
        <f t="shared" si="112"/>
        <v>0.89841050633940256</v>
      </c>
      <c r="AG323" s="839">
        <f t="shared" si="113"/>
        <v>-3</v>
      </c>
      <c r="AH323" s="178">
        <f t="shared" si="114"/>
        <v>3</v>
      </c>
      <c r="AI323" s="227">
        <f t="shared" si="115"/>
        <v>-2.1015894936605974</v>
      </c>
      <c r="AJ323" s="267" t="b">
        <f t="shared" si="116"/>
        <v>0</v>
      </c>
      <c r="AK323" s="267" t="b">
        <f t="shared" si="117"/>
        <v>0</v>
      </c>
      <c r="AL323" s="267"/>
      <c r="AM323" s="267"/>
      <c r="AN323" s="75"/>
    </row>
    <row r="324" spans="1:40" s="6" customFormat="1" ht="11.25" customHeight="1" x14ac:dyDescent="0.2">
      <c r="A324" s="56">
        <f t="shared" si="119"/>
        <v>43410</v>
      </c>
      <c r="B324" s="620">
        <v>18.738</v>
      </c>
      <c r="C324" s="392"/>
      <c r="D324" s="395">
        <f t="shared" si="120"/>
        <v>18.780346150945569</v>
      </c>
      <c r="E324" s="387">
        <f t="shared" si="124"/>
        <v>19.198011570170316</v>
      </c>
      <c r="F324" s="387">
        <f t="shared" si="123"/>
        <v>19.252689495986012</v>
      </c>
      <c r="G324" s="110">
        <f t="shared" si="125"/>
        <v>0.75891720186641887</v>
      </c>
      <c r="I324" s="382">
        <f t="shared" si="96"/>
        <v>19.252689495986012</v>
      </c>
      <c r="J324" s="85">
        <v>2018</v>
      </c>
      <c r="K324" s="199">
        <f t="shared" si="97"/>
        <v>43410</v>
      </c>
      <c r="L324" s="439">
        <f t="shared" si="98"/>
        <v>2.2548120575209829E-3</v>
      </c>
      <c r="M324" s="883"/>
      <c r="N324" s="883"/>
      <c r="O324" s="326">
        <f t="shared" si="99"/>
        <v>2.1755660355664654E-2</v>
      </c>
      <c r="P324" s="171">
        <f>(INDEX(Models!$BJ324:$BT324,,T324)*(1-R324)+INDEX(Models!$BJ324:$BT324,,T324+1)*R324-ERP_i)*Q324*Ramure*Pc/MaxiM</f>
        <v>4.3213271568062692E-3</v>
      </c>
      <c r="Q324" s="307">
        <f t="shared" si="100"/>
        <v>0.9</v>
      </c>
      <c r="R324" s="179">
        <f t="shared" si="101"/>
        <v>0.89847467864965935</v>
      </c>
      <c r="S324" s="839">
        <f t="shared" si="118"/>
        <v>-3</v>
      </c>
      <c r="T324" s="178">
        <f t="shared" si="102"/>
        <v>3</v>
      </c>
      <c r="U324" s="253">
        <f t="shared" si="103"/>
        <v>-2.1015253213503406</v>
      </c>
      <c r="V324" s="385">
        <f t="shared" si="104"/>
        <v>24.6537620590972</v>
      </c>
      <c r="W324" s="58"/>
      <c r="X324" s="157">
        <f t="shared" si="105"/>
        <v>43410</v>
      </c>
      <c r="Y324" s="387">
        <f t="shared" si="106"/>
        <v>18.738</v>
      </c>
      <c r="Z324" s="387">
        <f t="shared" si="107"/>
        <v>18.780346150945569</v>
      </c>
      <c r="AA324" s="388">
        <f t="shared" si="108"/>
        <v>19.198011570170316</v>
      </c>
      <c r="AB324" s="199">
        <f t="shared" si="109"/>
        <v>43410</v>
      </c>
      <c r="AC324" s="428">
        <f t="shared" si="110"/>
        <v>2.1755660355664654E-2</v>
      </c>
      <c r="AD324" s="171">
        <f>(INDEX(Models!$BJ324:$BT324,,AH324)*(1-AF324)+INDEX(Models!$BJ324:$BT324,,AH324+1)*AF324-ERP_i)*AE324*Ramure*Pc/MaxiM</f>
        <v>4.3213271568062692E-3</v>
      </c>
      <c r="AE324" s="307">
        <f t="shared" si="111"/>
        <v>0.9</v>
      </c>
      <c r="AF324" s="179">
        <f t="shared" si="112"/>
        <v>0.89847467864965935</v>
      </c>
      <c r="AG324" s="839">
        <f t="shared" si="113"/>
        <v>-3</v>
      </c>
      <c r="AH324" s="178">
        <f t="shared" si="114"/>
        <v>3</v>
      </c>
      <c r="AI324" s="227">
        <f t="shared" si="115"/>
        <v>-2.1015253213503406</v>
      </c>
      <c r="AJ324" s="267" t="b">
        <f t="shared" si="116"/>
        <v>0</v>
      </c>
      <c r="AK324" s="267" t="b">
        <f t="shared" si="117"/>
        <v>0</v>
      </c>
      <c r="AL324" s="267"/>
      <c r="AM324" s="267"/>
      <c r="AN324" s="75"/>
    </row>
    <row r="325" spans="1:40" s="6" customFormat="1" ht="11.25" customHeight="1" x14ac:dyDescent="0.2">
      <c r="A325" s="56">
        <f t="shared" si="119"/>
        <v>43411</v>
      </c>
      <c r="B325" s="620">
        <v>10.808999999999999</v>
      </c>
      <c r="C325" s="392"/>
      <c r="D325" s="395">
        <f t="shared" si="120"/>
        <v>10.83367945814434</v>
      </c>
      <c r="E325" s="387">
        <f t="shared" si="124"/>
        <v>11.076780072257447</v>
      </c>
      <c r="F325" s="387">
        <f t="shared" ref="F325:F356" si="126">Wh_sa/(1-Pvg*MEDIAN((-Sdif+Wh/Env_an)/Csdif,0,1))</f>
        <v>11.087483197731522</v>
      </c>
      <c r="G325" s="110">
        <f t="shared" si="125"/>
        <v>0.44232924712804039</v>
      </c>
      <c r="I325" s="382">
        <f t="shared" si="96"/>
        <v>11.087483197731522</v>
      </c>
      <c r="J325" s="85">
        <v>2018</v>
      </c>
      <c r="K325" s="199">
        <f t="shared" si="97"/>
        <v>43411</v>
      </c>
      <c r="L325" s="439">
        <f t="shared" si="98"/>
        <v>2.2780310456562702E-3</v>
      </c>
      <c r="M325" s="883"/>
      <c r="N325" s="883"/>
      <c r="O325" s="326">
        <f t="shared" si="99"/>
        <v>2.1946866555739426E-2</v>
      </c>
      <c r="P325" s="171">
        <f>(INDEX(Models!$BJ325:$BT325,,T325)*(1-R325)+INDEX(Models!$BJ325:$BT325,,T325+1)*R325-ERP_i)*Q325*Ramure*Pc/MaxiM</f>
        <v>4.6930557146779451E-3</v>
      </c>
      <c r="Q325" s="307">
        <f t="shared" si="100"/>
        <v>0.9</v>
      </c>
      <c r="R325" s="179">
        <f t="shared" si="101"/>
        <v>0.89853627826839855</v>
      </c>
      <c r="S325" s="839">
        <f t="shared" si="118"/>
        <v>-3</v>
      </c>
      <c r="T325" s="178">
        <f t="shared" si="102"/>
        <v>3</v>
      </c>
      <c r="U325" s="253">
        <f t="shared" si="103"/>
        <v>-2.1014637217316015</v>
      </c>
      <c r="V325" s="385">
        <f t="shared" si="104"/>
        <v>24.345367603688906</v>
      </c>
      <c r="W325" s="58"/>
      <c r="X325" s="157">
        <f t="shared" si="105"/>
        <v>43411</v>
      </c>
      <c r="Y325" s="387">
        <f t="shared" si="106"/>
        <v>10.808999999999999</v>
      </c>
      <c r="Z325" s="387">
        <f t="shared" si="107"/>
        <v>10.83367945814434</v>
      </c>
      <c r="AA325" s="388">
        <f t="shared" si="108"/>
        <v>11.076780072257447</v>
      </c>
      <c r="AB325" s="199">
        <f t="shared" si="109"/>
        <v>43411</v>
      </c>
      <c r="AC325" s="428">
        <f t="shared" si="110"/>
        <v>2.1946866555739426E-2</v>
      </c>
      <c r="AD325" s="171">
        <f>(INDEX(Models!$BJ325:$BT325,,AH325)*(1-AF325)+INDEX(Models!$BJ325:$BT325,,AH325+1)*AF325-ERP_i)*AE325*Ramure*Pc/MaxiM</f>
        <v>4.6930557146779451E-3</v>
      </c>
      <c r="AE325" s="307">
        <f t="shared" si="111"/>
        <v>0.9</v>
      </c>
      <c r="AF325" s="179">
        <f t="shared" si="112"/>
        <v>0.89853627826839855</v>
      </c>
      <c r="AG325" s="839">
        <f t="shared" si="113"/>
        <v>-3</v>
      </c>
      <c r="AH325" s="178">
        <f t="shared" si="114"/>
        <v>3</v>
      </c>
      <c r="AI325" s="227">
        <f t="shared" si="115"/>
        <v>-2.1014637217316015</v>
      </c>
      <c r="AJ325" s="267" t="b">
        <f t="shared" si="116"/>
        <v>0</v>
      </c>
      <c r="AK325" s="267" t="b">
        <f t="shared" si="117"/>
        <v>0</v>
      </c>
      <c r="AL325" s="267"/>
      <c r="AM325" s="267"/>
      <c r="AN325" s="75"/>
    </row>
    <row r="326" spans="1:40" s="6" customFormat="1" ht="11.25" customHeight="1" x14ac:dyDescent="0.2">
      <c r="A326" s="56">
        <f t="shared" si="119"/>
        <v>43412</v>
      </c>
      <c r="B326" s="620">
        <v>13.313000000000001</v>
      </c>
      <c r="C326" s="392"/>
      <c r="D326" s="395">
        <f t="shared" si="120"/>
        <v>13.343707199433467</v>
      </c>
      <c r="E326" s="387">
        <f t="shared" si="124"/>
        <v>13.645792397985817</v>
      </c>
      <c r="F326" s="387">
        <f t="shared" si="126"/>
        <v>13.670918172350641</v>
      </c>
      <c r="G326" s="110">
        <f t="shared" si="125"/>
        <v>0.55191982156965103</v>
      </c>
      <c r="I326" s="382">
        <f t="shared" si="96"/>
        <v>13.670918172350641</v>
      </c>
      <c r="J326" s="85">
        <v>2018</v>
      </c>
      <c r="K326" s="199">
        <f t="shared" si="97"/>
        <v>43412</v>
      </c>
      <c r="L326" s="439">
        <f t="shared" si="98"/>
        <v>2.3012494934518957E-3</v>
      </c>
      <c r="M326" s="883"/>
      <c r="N326" s="883"/>
      <c r="O326" s="326">
        <f t="shared" si="99"/>
        <v>2.2137607677289436E-2</v>
      </c>
      <c r="P326" s="171">
        <f>(INDEX(Models!$BJ326:$BT326,,T326)*(1-R326)+INDEX(Models!$BJ326:$BT326,,T326+1)*R326-ERP_i)*Q326*Ramure*Pc/MaxiM</f>
        <v>5.0708027396144453E-3</v>
      </c>
      <c r="Q326" s="307">
        <f t="shared" si="100"/>
        <v>0.9</v>
      </c>
      <c r="R326" s="179">
        <f t="shared" si="101"/>
        <v>0.89859540790871151</v>
      </c>
      <c r="S326" s="839">
        <f t="shared" si="118"/>
        <v>-3</v>
      </c>
      <c r="T326" s="178">
        <f t="shared" si="102"/>
        <v>3</v>
      </c>
      <c r="U326" s="253">
        <f t="shared" si="103"/>
        <v>-2.1014045920912885</v>
      </c>
      <c r="V326" s="385">
        <f t="shared" si="104"/>
        <v>24.043131978698291</v>
      </c>
      <c r="W326" s="58"/>
      <c r="X326" s="157">
        <f t="shared" si="105"/>
        <v>43412</v>
      </c>
      <c r="Y326" s="387">
        <f t="shared" si="106"/>
        <v>13.313000000000001</v>
      </c>
      <c r="Z326" s="387">
        <f t="shared" si="107"/>
        <v>13.343707199433467</v>
      </c>
      <c r="AA326" s="388">
        <f t="shared" si="108"/>
        <v>13.645792397985817</v>
      </c>
      <c r="AB326" s="199">
        <f t="shared" si="109"/>
        <v>43412</v>
      </c>
      <c r="AC326" s="428">
        <f t="shared" si="110"/>
        <v>2.2137607677289436E-2</v>
      </c>
      <c r="AD326" s="171">
        <f>(INDEX(Models!$BJ326:$BT326,,AH326)*(1-AF326)+INDEX(Models!$BJ326:$BT326,,AH326+1)*AF326-ERP_i)*AE326*Ramure*Pc/MaxiM</f>
        <v>5.0708027396144453E-3</v>
      </c>
      <c r="AE326" s="307">
        <f t="shared" si="111"/>
        <v>0.9</v>
      </c>
      <c r="AF326" s="179">
        <f t="shared" si="112"/>
        <v>0.89859540790871151</v>
      </c>
      <c r="AG326" s="839">
        <f t="shared" si="113"/>
        <v>-3</v>
      </c>
      <c r="AH326" s="178">
        <f t="shared" si="114"/>
        <v>3</v>
      </c>
      <c r="AI326" s="227">
        <f t="shared" si="115"/>
        <v>-2.1014045920912885</v>
      </c>
      <c r="AJ326" s="267" t="b">
        <f t="shared" si="116"/>
        <v>0</v>
      </c>
      <c r="AK326" s="267" t="b">
        <f t="shared" si="117"/>
        <v>0</v>
      </c>
      <c r="AL326" s="267"/>
      <c r="AM326" s="267"/>
      <c r="AN326" s="75"/>
    </row>
    <row r="327" spans="1:40" s="6" customFormat="1" ht="11.25" customHeight="1" x14ac:dyDescent="0.2">
      <c r="A327" s="56">
        <f t="shared" si="119"/>
        <v>43413</v>
      </c>
      <c r="B327" s="620">
        <v>3.798</v>
      </c>
      <c r="C327" s="392"/>
      <c r="D327" s="395">
        <f t="shared" si="120"/>
        <v>3.8068488961593516</v>
      </c>
      <c r="E327" s="387">
        <f t="shared" si="124"/>
        <v>3.8937891122837409</v>
      </c>
      <c r="F327" s="387">
        <f t="shared" si="126"/>
        <v>3.8937891122837409</v>
      </c>
      <c r="G327" s="110">
        <f t="shared" si="125"/>
        <v>0.15906037646835916</v>
      </c>
      <c r="I327" s="382">
        <f t="shared" si="96"/>
        <v>3.8937891122837409</v>
      </c>
      <c r="J327" s="85">
        <v>2018</v>
      </c>
      <c r="K327" s="199">
        <f t="shared" si="97"/>
        <v>43413</v>
      </c>
      <c r="L327" s="439">
        <f t="shared" si="98"/>
        <v>2.3244674009201827E-3</v>
      </c>
      <c r="M327" s="883"/>
      <c r="N327" s="883"/>
      <c r="O327" s="326">
        <f t="shared" si="99"/>
        <v>2.2327921111628523E-2</v>
      </c>
      <c r="P327" s="171">
        <f>(INDEX(Models!$BJ327:$BT327,,T327)*(1-R327)+INDEX(Models!$BJ327:$BT327,,T327+1)*R327-ERP_i)*Q327*Ramure*Pc/MaxiM</f>
        <v>5.4543867567028769E-3</v>
      </c>
      <c r="Q327" s="307">
        <f t="shared" si="100"/>
        <v>0.9</v>
      </c>
      <c r="R327" s="179">
        <f t="shared" si="101"/>
        <v>0.89865216621656874</v>
      </c>
      <c r="S327" s="839">
        <f t="shared" si="118"/>
        <v>-3</v>
      </c>
      <c r="T327" s="178">
        <f t="shared" si="102"/>
        <v>3</v>
      </c>
      <c r="U327" s="253">
        <f t="shared" si="103"/>
        <v>-2.1013478337834313</v>
      </c>
      <c r="V327" s="385">
        <f t="shared" si="104"/>
        <v>23.747487104995209</v>
      </c>
      <c r="W327" s="58"/>
      <c r="X327" s="157">
        <f t="shared" si="105"/>
        <v>43413</v>
      </c>
      <c r="Y327" s="387">
        <f t="shared" si="106"/>
        <v>3.798</v>
      </c>
      <c r="Z327" s="387">
        <f t="shared" si="107"/>
        <v>3.8068488961593516</v>
      </c>
      <c r="AA327" s="388">
        <f t="shared" si="108"/>
        <v>3.8937891122837409</v>
      </c>
      <c r="AB327" s="199">
        <f t="shared" si="109"/>
        <v>43413</v>
      </c>
      <c r="AC327" s="428">
        <f t="shared" si="110"/>
        <v>2.2327921111628523E-2</v>
      </c>
      <c r="AD327" s="171">
        <f>(INDEX(Models!$BJ327:$BT327,,AH327)*(1-AF327)+INDEX(Models!$BJ327:$BT327,,AH327+1)*AF327-ERP_i)*AE327*Ramure*Pc/MaxiM</f>
        <v>5.4543867567028769E-3</v>
      </c>
      <c r="AE327" s="307">
        <f t="shared" si="111"/>
        <v>0.9</v>
      </c>
      <c r="AF327" s="179">
        <f t="shared" si="112"/>
        <v>0.89865216621656874</v>
      </c>
      <c r="AG327" s="839">
        <f t="shared" si="113"/>
        <v>-3</v>
      </c>
      <c r="AH327" s="178">
        <f t="shared" si="114"/>
        <v>3</v>
      </c>
      <c r="AI327" s="227">
        <f t="shared" si="115"/>
        <v>-2.1013478337834313</v>
      </c>
      <c r="AJ327" s="267" t="b">
        <f t="shared" si="116"/>
        <v>0</v>
      </c>
      <c r="AK327" s="267" t="b">
        <f t="shared" si="117"/>
        <v>0</v>
      </c>
      <c r="AL327" s="267"/>
      <c r="AM327" s="267"/>
      <c r="AN327" s="75"/>
    </row>
    <row r="328" spans="1:40" s="6" customFormat="1" ht="11.25" customHeight="1" x14ac:dyDescent="0.2">
      <c r="A328" s="56">
        <f t="shared" si="119"/>
        <v>43414</v>
      </c>
      <c r="B328" s="620">
        <v>15.11</v>
      </c>
      <c r="C328" s="392"/>
      <c r="D328" s="395">
        <f t="shared" si="120"/>
        <v>15.145556993457534</v>
      </c>
      <c r="E328" s="387">
        <f t="shared" si="124"/>
        <v>15.494458811937685</v>
      </c>
      <c r="F328" s="387">
        <f t="shared" si="126"/>
        <v>15.539096235501654</v>
      </c>
      <c r="G328" s="110">
        <f t="shared" si="125"/>
        <v>0.64218704802965676</v>
      </c>
      <c r="I328" s="382">
        <f t="shared" si="96"/>
        <v>15.539096235501654</v>
      </c>
      <c r="J328" s="85">
        <v>2018</v>
      </c>
      <c r="K328" s="199">
        <f t="shared" si="97"/>
        <v>43414</v>
      </c>
      <c r="L328" s="439">
        <f t="shared" si="98"/>
        <v>2.3476847680738988E-3</v>
      </c>
      <c r="M328" s="883"/>
      <c r="N328" s="883"/>
      <c r="O328" s="326">
        <f t="shared" si="99"/>
        <v>2.2517844780182903E-2</v>
      </c>
      <c r="P328" s="171">
        <f>(INDEX(Models!$BJ328:$BT328,,T328)*(1-R328)+INDEX(Models!$BJ328:$BT328,,T328+1)*R328-ERP_i)*Q328*Ramure*Pc/MaxiM</f>
        <v>5.8435789028378343E-3</v>
      </c>
      <c r="Q328" s="307">
        <f t="shared" si="100"/>
        <v>0.9</v>
      </c>
      <c r="R328" s="179">
        <f t="shared" si="101"/>
        <v>0.89870664792921762</v>
      </c>
      <c r="S328" s="839">
        <f t="shared" si="118"/>
        <v>-3</v>
      </c>
      <c r="T328" s="178">
        <f t="shared" si="102"/>
        <v>3</v>
      </c>
      <c r="U328" s="253">
        <f t="shared" si="103"/>
        <v>-2.1012933520707824</v>
      </c>
      <c r="V328" s="385">
        <f t="shared" si="104"/>
        <v>23.458864592526634</v>
      </c>
      <c r="W328" s="58"/>
      <c r="X328" s="157">
        <f t="shared" si="105"/>
        <v>43414</v>
      </c>
      <c r="Y328" s="387">
        <f t="shared" si="106"/>
        <v>15.11</v>
      </c>
      <c r="Z328" s="387">
        <f t="shared" si="107"/>
        <v>15.145556993457534</v>
      </c>
      <c r="AA328" s="388">
        <f t="shared" si="108"/>
        <v>15.494458811937685</v>
      </c>
      <c r="AB328" s="199">
        <f t="shared" si="109"/>
        <v>43414</v>
      </c>
      <c r="AC328" s="428">
        <f t="shared" si="110"/>
        <v>2.2517844780182903E-2</v>
      </c>
      <c r="AD328" s="171">
        <f>(INDEX(Models!$BJ328:$BT328,,AH328)*(1-AF328)+INDEX(Models!$BJ328:$BT328,,AH328+1)*AF328-ERP_i)*AE328*Ramure*Pc/MaxiM</f>
        <v>5.8435789028378343E-3</v>
      </c>
      <c r="AE328" s="307">
        <f t="shared" si="111"/>
        <v>0.9</v>
      </c>
      <c r="AF328" s="179">
        <f t="shared" si="112"/>
        <v>0.89870664792921762</v>
      </c>
      <c r="AG328" s="839">
        <f t="shared" si="113"/>
        <v>-3</v>
      </c>
      <c r="AH328" s="178">
        <f t="shared" si="114"/>
        <v>3</v>
      </c>
      <c r="AI328" s="227">
        <f t="shared" si="115"/>
        <v>-2.1012933520707824</v>
      </c>
      <c r="AJ328" s="267" t="b">
        <f t="shared" si="116"/>
        <v>0</v>
      </c>
      <c r="AK328" s="267" t="b">
        <f t="shared" si="117"/>
        <v>0</v>
      </c>
      <c r="AL328" s="267"/>
      <c r="AM328" s="267"/>
      <c r="AN328" s="75"/>
    </row>
    <row r="329" spans="1:40" s="6" customFormat="1" ht="11.25" customHeight="1" x14ac:dyDescent="0.2">
      <c r="A329" s="56">
        <f t="shared" si="119"/>
        <v>43415</v>
      </c>
      <c r="B329" s="620">
        <v>19.414000000000001</v>
      </c>
      <c r="C329" s="392"/>
      <c r="D329" s="395">
        <f t="shared" si="120"/>
        <v>19.46013807239331</v>
      </c>
      <c r="E329" s="387">
        <f t="shared" si="124"/>
        <v>19.912294854201026</v>
      </c>
      <c r="F329" s="387">
        <f t="shared" si="126"/>
        <v>20.008153914217317</v>
      </c>
      <c r="G329" s="110">
        <f t="shared" si="125"/>
        <v>0.83639767158361955</v>
      </c>
      <c r="I329" s="382">
        <f t="shared" si="96"/>
        <v>20.008153914217317</v>
      </c>
      <c r="J329" s="85">
        <v>2018</v>
      </c>
      <c r="K329" s="199">
        <f t="shared" si="97"/>
        <v>43415</v>
      </c>
      <c r="L329" s="439">
        <f t="shared" si="98"/>
        <v>2.3709015949255896E-3</v>
      </c>
      <c r="M329" s="883"/>
      <c r="N329" s="883"/>
      <c r="O329" s="326">
        <f t="shared" si="99"/>
        <v>2.2707416956128539E-2</v>
      </c>
      <c r="P329" s="171">
        <f>(INDEX(Models!$BJ329:$BT329,,T329)*(1-R329)+INDEX(Models!$BJ329:$BT329,,T329+1)*R329-ERP_i)*Q329*Ramure*Pc/MaxiM</f>
        <v>6.2380996479532609E-3</v>
      </c>
      <c r="Q329" s="307">
        <f t="shared" si="100"/>
        <v>0.9</v>
      </c>
      <c r="R329" s="179">
        <f t="shared" si="101"/>
        <v>0.8987589440276138</v>
      </c>
      <c r="S329" s="839">
        <f t="shared" si="118"/>
        <v>-3</v>
      </c>
      <c r="T329" s="178">
        <f t="shared" si="102"/>
        <v>3</v>
      </c>
      <c r="U329" s="253">
        <f t="shared" si="103"/>
        <v>-2.1012410559723862</v>
      </c>
      <c r="V329" s="385">
        <f t="shared" si="104"/>
        <v>23.177695747529253</v>
      </c>
      <c r="W329" s="58"/>
      <c r="X329" s="157">
        <f t="shared" si="105"/>
        <v>43415</v>
      </c>
      <c r="Y329" s="387">
        <f t="shared" si="106"/>
        <v>19.414000000000001</v>
      </c>
      <c r="Z329" s="387">
        <f t="shared" si="107"/>
        <v>19.46013807239331</v>
      </c>
      <c r="AA329" s="388">
        <f t="shared" si="108"/>
        <v>19.912294854201026</v>
      </c>
      <c r="AB329" s="199">
        <f t="shared" si="109"/>
        <v>43415</v>
      </c>
      <c r="AC329" s="428">
        <f t="shared" si="110"/>
        <v>2.2707416956128539E-2</v>
      </c>
      <c r="AD329" s="171">
        <f>(INDEX(Models!$BJ329:$BT329,,AH329)*(1-AF329)+INDEX(Models!$BJ329:$BT329,,AH329+1)*AF329-ERP_i)*AE329*Ramure*Pc/MaxiM</f>
        <v>6.2380996479532609E-3</v>
      </c>
      <c r="AE329" s="307">
        <f t="shared" si="111"/>
        <v>0.9</v>
      </c>
      <c r="AF329" s="179">
        <f t="shared" si="112"/>
        <v>0.8987589440276138</v>
      </c>
      <c r="AG329" s="839">
        <f t="shared" si="113"/>
        <v>-3</v>
      </c>
      <c r="AH329" s="178">
        <f t="shared" si="114"/>
        <v>3</v>
      </c>
      <c r="AI329" s="227">
        <f t="shared" si="115"/>
        <v>-2.1012410559723862</v>
      </c>
      <c r="AJ329" s="267" t="b">
        <f t="shared" si="116"/>
        <v>0</v>
      </c>
      <c r="AK329" s="267" t="b">
        <f t="shared" si="117"/>
        <v>0</v>
      </c>
      <c r="AL329" s="267"/>
      <c r="AM329" s="267"/>
      <c r="AN329" s="75"/>
    </row>
    <row r="330" spans="1:40" s="6" customFormat="1" ht="11.25" customHeight="1" x14ac:dyDescent="0.2">
      <c r="A330" s="56">
        <f t="shared" si="119"/>
        <v>43416</v>
      </c>
      <c r="B330" s="620">
        <v>20.757000000000001</v>
      </c>
      <c r="C330" s="392"/>
      <c r="D330" s="395">
        <f t="shared" si="120"/>
        <v>20.806813965371287</v>
      </c>
      <c r="E330" s="387">
        <f t="shared" si="124"/>
        <v>21.294384591738087</v>
      </c>
      <c r="F330" s="387">
        <f t="shared" si="126"/>
        <v>21.417505226128377</v>
      </c>
      <c r="G330" s="110">
        <f t="shared" si="125"/>
        <v>0.90543430508277378</v>
      </c>
      <c r="I330" s="382">
        <f t="shared" si="96"/>
        <v>21.417505226128377</v>
      </c>
      <c r="J330" s="85">
        <v>2018</v>
      </c>
      <c r="K330" s="199">
        <f t="shared" si="97"/>
        <v>43416</v>
      </c>
      <c r="L330" s="439">
        <f t="shared" si="98"/>
        <v>2.3941178814878006E-3</v>
      </c>
      <c r="M330" s="883"/>
      <c r="N330" s="883"/>
      <c r="O330" s="326">
        <f t="shared" si="99"/>
        <v>2.2896676082199242E-2</v>
      </c>
      <c r="P330" s="171">
        <f>(INDEX(Models!$BJ330:$BT330,,T330)*(1-R330)+INDEX(Models!$BJ330:$BT330,,T330+1)*R330-ERP_i)*Q330*Ramure*Pc/MaxiM</f>
        <v>6.6376156029990061E-3</v>
      </c>
      <c r="Q330" s="307">
        <f t="shared" si="100"/>
        <v>0.9</v>
      </c>
      <c r="R330" s="179">
        <f t="shared" si="101"/>
        <v>0.89880914188310213</v>
      </c>
      <c r="S330" s="839">
        <f t="shared" si="118"/>
        <v>-3</v>
      </c>
      <c r="T330" s="178">
        <f t="shared" si="102"/>
        <v>3</v>
      </c>
      <c r="U330" s="253">
        <f t="shared" si="103"/>
        <v>-2.1011908581168979</v>
      </c>
      <c r="V330" s="385">
        <f t="shared" si="104"/>
        <v>22.904411570821338</v>
      </c>
      <c r="W330" s="58"/>
      <c r="X330" s="157">
        <f t="shared" si="105"/>
        <v>43416</v>
      </c>
      <c r="Y330" s="387">
        <f t="shared" si="106"/>
        <v>20.757000000000001</v>
      </c>
      <c r="Z330" s="387">
        <f t="shared" si="107"/>
        <v>20.806813965371287</v>
      </c>
      <c r="AA330" s="388">
        <f t="shared" si="108"/>
        <v>21.294384591738087</v>
      </c>
      <c r="AB330" s="199">
        <f t="shared" si="109"/>
        <v>43416</v>
      </c>
      <c r="AC330" s="428">
        <f t="shared" si="110"/>
        <v>2.2896676082199242E-2</v>
      </c>
      <c r="AD330" s="171">
        <f>(INDEX(Models!$BJ330:$BT330,,AH330)*(1-AF330)+INDEX(Models!$BJ330:$BT330,,AH330+1)*AF330-ERP_i)*AE330*Ramure*Pc/MaxiM</f>
        <v>6.6376156029990061E-3</v>
      </c>
      <c r="AE330" s="307">
        <f t="shared" si="111"/>
        <v>0.9</v>
      </c>
      <c r="AF330" s="179">
        <f t="shared" si="112"/>
        <v>0.89880914188310213</v>
      </c>
      <c r="AG330" s="839">
        <f t="shared" si="113"/>
        <v>-3</v>
      </c>
      <c r="AH330" s="178">
        <f t="shared" si="114"/>
        <v>3</v>
      </c>
      <c r="AI330" s="227">
        <f t="shared" si="115"/>
        <v>-2.1011908581168979</v>
      </c>
      <c r="AJ330" s="267" t="b">
        <f t="shared" si="116"/>
        <v>0</v>
      </c>
      <c r="AK330" s="267" t="b">
        <f t="shared" si="117"/>
        <v>0</v>
      </c>
      <c r="AL330" s="267"/>
      <c r="AM330" s="267"/>
      <c r="AN330" s="75"/>
    </row>
    <row r="331" spans="1:40" s="6" customFormat="1" ht="11.25" customHeight="1" x14ac:dyDescent="0.2">
      <c r="A331" s="56">
        <f t="shared" si="119"/>
        <v>43417</v>
      </c>
      <c r="B331" s="620">
        <v>7.5250000000000004</v>
      </c>
      <c r="C331" s="392"/>
      <c r="D331" s="395">
        <f t="shared" si="120"/>
        <v>7.5432345144539683</v>
      </c>
      <c r="E331" s="387">
        <f t="shared" si="124"/>
        <v>7.7214902168173998</v>
      </c>
      <c r="F331" s="387">
        <f t="shared" si="126"/>
        <v>7.7240069902276769</v>
      </c>
      <c r="G331" s="110">
        <f t="shared" si="125"/>
        <v>0.33015704739265694</v>
      </c>
      <c r="I331" s="382">
        <f t="shared" si="96"/>
        <v>7.7240069902276769</v>
      </c>
      <c r="J331" s="85">
        <v>2018</v>
      </c>
      <c r="K331" s="199">
        <f t="shared" si="97"/>
        <v>43417</v>
      </c>
      <c r="L331" s="439">
        <f t="shared" si="98"/>
        <v>2.4173336277730773E-3</v>
      </c>
      <c r="M331" s="883"/>
      <c r="N331" s="883"/>
      <c r="O331" s="326">
        <f t="shared" si="99"/>
        <v>2.3085660585982569E-2</v>
      </c>
      <c r="P331" s="171">
        <f>(INDEX(Models!$BJ331:$BT331,,T331)*(1-R331)+INDEX(Models!$BJ331:$BT331,,T331+1)*R331-ERP_i)*Q331*Ramure*Pc/MaxiM</f>
        <v>7.0418544134250426E-3</v>
      </c>
      <c r="Q331" s="307">
        <f t="shared" si="100"/>
        <v>0.9</v>
      </c>
      <c r="R331" s="179">
        <f t="shared" si="101"/>
        <v>0.89885732539855301</v>
      </c>
      <c r="S331" s="839">
        <f t="shared" si="118"/>
        <v>-3</v>
      </c>
      <c r="T331" s="178">
        <f t="shared" si="102"/>
        <v>3</v>
      </c>
      <c r="U331" s="253">
        <f t="shared" si="103"/>
        <v>-2.101142674601447</v>
      </c>
      <c r="V331" s="385">
        <f t="shared" si="104"/>
        <v>22.63906089969003</v>
      </c>
      <c r="W331" s="58"/>
      <c r="X331" s="157">
        <f t="shared" si="105"/>
        <v>43417</v>
      </c>
      <c r="Y331" s="387">
        <f t="shared" si="106"/>
        <v>7.5250000000000004</v>
      </c>
      <c r="Z331" s="387">
        <f t="shared" si="107"/>
        <v>7.5432345144539683</v>
      </c>
      <c r="AA331" s="388">
        <f t="shared" si="108"/>
        <v>7.7214902168173998</v>
      </c>
      <c r="AB331" s="199">
        <f t="shared" si="109"/>
        <v>43417</v>
      </c>
      <c r="AC331" s="428">
        <f t="shared" si="110"/>
        <v>2.3085660585982569E-2</v>
      </c>
      <c r="AD331" s="171">
        <f>(INDEX(Models!$BJ331:$BT331,,AH331)*(1-AF331)+INDEX(Models!$BJ331:$BT331,,AH331+1)*AF331-ERP_i)*AE331*Ramure*Pc/MaxiM</f>
        <v>7.0418544134250426E-3</v>
      </c>
      <c r="AE331" s="307">
        <f t="shared" si="111"/>
        <v>0.9</v>
      </c>
      <c r="AF331" s="179">
        <f t="shared" si="112"/>
        <v>0.89885732539855301</v>
      </c>
      <c r="AG331" s="839">
        <f t="shared" si="113"/>
        <v>-3</v>
      </c>
      <c r="AH331" s="178">
        <f t="shared" si="114"/>
        <v>3</v>
      </c>
      <c r="AI331" s="227">
        <f t="shared" si="115"/>
        <v>-2.101142674601447</v>
      </c>
      <c r="AJ331" s="267" t="b">
        <f t="shared" si="116"/>
        <v>0</v>
      </c>
      <c r="AK331" s="267" t="b">
        <f t="shared" si="117"/>
        <v>0</v>
      </c>
      <c r="AL331" s="267"/>
      <c r="AM331" s="267"/>
      <c r="AN331" s="75"/>
    </row>
    <row r="332" spans="1:40" s="6" customFormat="1" ht="11.25" customHeight="1" x14ac:dyDescent="0.2">
      <c r="A332" s="56">
        <f t="shared" si="119"/>
        <v>43418</v>
      </c>
      <c r="B332" s="620">
        <v>15.919</v>
      </c>
      <c r="C332" s="392"/>
      <c r="D332" s="395">
        <f t="shared" si="120"/>
        <v>15.957946146858465</v>
      </c>
      <c r="E332" s="387">
        <f t="shared" si="124"/>
        <v>16.338208283783871</v>
      </c>
      <c r="F332" s="387">
        <f t="shared" si="126"/>
        <v>16.409856272908318</v>
      </c>
      <c r="G332" s="110">
        <f t="shared" si="125"/>
        <v>0.70906357603344594</v>
      </c>
      <c r="I332" s="382">
        <f t="shared" si="96"/>
        <v>16.409856272908318</v>
      </c>
      <c r="J332" s="85">
        <v>2018</v>
      </c>
      <c r="K332" s="199">
        <f t="shared" si="97"/>
        <v>43418</v>
      </c>
      <c r="L332" s="439">
        <f t="shared" si="98"/>
        <v>2.4405488337940762E-3</v>
      </c>
      <c r="M332" s="883"/>
      <c r="N332" s="883"/>
      <c r="O332" s="326">
        <f t="shared" si="99"/>
        <v>2.3274408694056593E-2</v>
      </c>
      <c r="P332" s="171">
        <f>(INDEX(Models!$BJ332:$BT332,,T332)*(1-R332)+INDEX(Models!$BJ332:$BT332,,T332+1)*R332-ERP_i)*Q332*Ramure*Pc/MaxiM</f>
        <v>7.4316911151891306E-3</v>
      </c>
      <c r="Q332" s="307">
        <f t="shared" si="100"/>
        <v>0.9</v>
      </c>
      <c r="R332" s="179">
        <f t="shared" si="101"/>
        <v>0.89890357514413965</v>
      </c>
      <c r="S332" s="839">
        <f t="shared" si="118"/>
        <v>-3</v>
      </c>
      <c r="T332" s="178">
        <f t="shared" si="102"/>
        <v>3</v>
      </c>
      <c r="U332" s="253">
        <f t="shared" si="103"/>
        <v>-2.1010964248558603</v>
      </c>
      <c r="V332" s="385">
        <f t="shared" si="104"/>
        <v>22.381611855144385</v>
      </c>
      <c r="W332" s="58"/>
      <c r="X332" s="157">
        <f t="shared" si="105"/>
        <v>43418</v>
      </c>
      <c r="Y332" s="387">
        <f t="shared" si="106"/>
        <v>15.918999999999999</v>
      </c>
      <c r="Z332" s="387">
        <f t="shared" si="107"/>
        <v>15.957946146858463</v>
      </c>
      <c r="AA332" s="388">
        <f t="shared" si="108"/>
        <v>16.338208283783871</v>
      </c>
      <c r="AB332" s="199">
        <f t="shared" si="109"/>
        <v>43418</v>
      </c>
      <c r="AC332" s="428">
        <f t="shared" si="110"/>
        <v>2.3274408694056593E-2</v>
      </c>
      <c r="AD332" s="171">
        <f>(INDEX(Models!$BJ332:$BT332,,AH332)*(1-AF332)+INDEX(Models!$BJ332:$BT332,,AH332+1)*AF332-ERP_i)*AE332*Ramure*Pc/MaxiM</f>
        <v>7.4316911151891306E-3</v>
      </c>
      <c r="AE332" s="307">
        <f t="shared" si="111"/>
        <v>0.9</v>
      </c>
      <c r="AF332" s="179">
        <f t="shared" si="112"/>
        <v>0.89890357514413965</v>
      </c>
      <c r="AG332" s="839">
        <f t="shared" si="113"/>
        <v>-3</v>
      </c>
      <c r="AH332" s="178">
        <f t="shared" si="114"/>
        <v>3</v>
      </c>
      <c r="AI332" s="227">
        <f t="shared" si="115"/>
        <v>-2.1010964248558603</v>
      </c>
      <c r="AJ332" s="267" t="b">
        <f t="shared" si="116"/>
        <v>0</v>
      </c>
      <c r="AK332" s="267" t="b">
        <f t="shared" si="117"/>
        <v>0</v>
      </c>
      <c r="AL332" s="267"/>
      <c r="AM332" s="267"/>
      <c r="AN332" s="75"/>
    </row>
    <row r="333" spans="1:40" s="6" customFormat="1" ht="11.25" customHeight="1" x14ac:dyDescent="0.2">
      <c r="A333" s="56">
        <f t="shared" si="119"/>
        <v>43419</v>
      </c>
      <c r="B333" s="620">
        <v>14.42</v>
      </c>
      <c r="C333" s="392"/>
      <c r="D333" s="395">
        <f t="shared" si="120"/>
        <v>14.45561521713571</v>
      </c>
      <c r="E333" s="387">
        <f t="shared" si="124"/>
        <v>14.802935883698238</v>
      </c>
      <c r="F333" s="387">
        <f t="shared" si="126"/>
        <v>14.861118956229259</v>
      </c>
      <c r="G333" s="110">
        <f t="shared" si="125"/>
        <v>0.64900785940496208</v>
      </c>
      <c r="I333" s="382">
        <f t="shared" si="96"/>
        <v>14.861118956229259</v>
      </c>
      <c r="J333" s="85">
        <v>2018</v>
      </c>
      <c r="K333" s="199">
        <f t="shared" si="97"/>
        <v>43419</v>
      </c>
      <c r="L333" s="439">
        <f t="shared" si="98"/>
        <v>2.4637634995632318E-3</v>
      </c>
      <c r="M333" s="883"/>
      <c r="N333" s="883"/>
      <c r="O333" s="326">
        <f t="shared" si="99"/>
        <v>2.3462958246344576E-2</v>
      </c>
      <c r="P333" s="171">
        <f>(INDEX(Models!$BJ333:$BT333,,T333)*(1-R333)+INDEX(Models!$BJ333:$BT333,,T333+1)*R333-ERP_i)*Q333*Ramure*Pc/MaxiM</f>
        <v>7.7958006314856679E-3</v>
      </c>
      <c r="Q333" s="307">
        <f t="shared" si="100"/>
        <v>0.9</v>
      </c>
      <c r="R333" s="179">
        <f t="shared" si="101"/>
        <v>0.89894796848795266</v>
      </c>
      <c r="S333" s="839">
        <f t="shared" si="118"/>
        <v>-3</v>
      </c>
      <c r="T333" s="178">
        <f t="shared" si="102"/>
        <v>3</v>
      </c>
      <c r="U333" s="253">
        <f t="shared" si="103"/>
        <v>-2.1010520315120473</v>
      </c>
      <c r="V333" s="385">
        <f t="shared" si="104"/>
        <v>22.131967181020833</v>
      </c>
      <c r="W333" s="58"/>
      <c r="X333" s="157">
        <f t="shared" si="105"/>
        <v>43419</v>
      </c>
      <c r="Y333" s="387">
        <f t="shared" si="106"/>
        <v>14.42</v>
      </c>
      <c r="Z333" s="387">
        <f t="shared" si="107"/>
        <v>14.45561521713571</v>
      </c>
      <c r="AA333" s="388">
        <f t="shared" si="108"/>
        <v>14.802935883698238</v>
      </c>
      <c r="AB333" s="199">
        <f t="shared" si="109"/>
        <v>43419</v>
      </c>
      <c r="AC333" s="428">
        <f t="shared" si="110"/>
        <v>2.3462958246344576E-2</v>
      </c>
      <c r="AD333" s="171">
        <f>(INDEX(Models!$BJ333:$BT333,,AH333)*(1-AF333)+INDEX(Models!$BJ333:$BT333,,AH333+1)*AF333-ERP_i)*AE333*Ramure*Pc/MaxiM</f>
        <v>7.7958006314856679E-3</v>
      </c>
      <c r="AE333" s="307">
        <f t="shared" si="111"/>
        <v>0.9</v>
      </c>
      <c r="AF333" s="179">
        <f t="shared" si="112"/>
        <v>0.89894796848795266</v>
      </c>
      <c r="AG333" s="839">
        <f t="shared" si="113"/>
        <v>-3</v>
      </c>
      <c r="AH333" s="178">
        <f t="shared" si="114"/>
        <v>3</v>
      </c>
      <c r="AI333" s="227">
        <f t="shared" si="115"/>
        <v>-2.1010520315120473</v>
      </c>
      <c r="AJ333" s="267" t="b">
        <f t="shared" si="116"/>
        <v>0</v>
      </c>
      <c r="AK333" s="267" t="b">
        <f t="shared" si="117"/>
        <v>0</v>
      </c>
      <c r="AL333" s="267"/>
      <c r="AM333" s="267"/>
      <c r="AN333" s="75"/>
    </row>
    <row r="334" spans="1:40" s="6" customFormat="1" ht="11.25" customHeight="1" x14ac:dyDescent="0.2">
      <c r="A334" s="56">
        <f t="shared" si="119"/>
        <v>43420</v>
      </c>
      <c r="B334" s="620">
        <v>20.081</v>
      </c>
      <c r="C334" s="392"/>
      <c r="D334" s="395">
        <f t="shared" si="120"/>
        <v>20.131065509491393</v>
      </c>
      <c r="E334" s="387">
        <f t="shared" si="124"/>
        <v>20.618726146213088</v>
      </c>
      <c r="F334" s="387">
        <f t="shared" si="126"/>
        <v>20.767692594543572</v>
      </c>
      <c r="G334" s="110">
        <f t="shared" si="125"/>
        <v>0.91648100616913519</v>
      </c>
      <c r="I334" s="382">
        <f t="shared" si="96"/>
        <v>20.767692594543572</v>
      </c>
      <c r="J334" s="85">
        <v>2018</v>
      </c>
      <c r="K334" s="199">
        <f t="shared" si="97"/>
        <v>43420</v>
      </c>
      <c r="L334" s="439">
        <f t="shared" si="98"/>
        <v>2.4869776250933118E-3</v>
      </c>
      <c r="M334" s="883"/>
      <c r="N334" s="883"/>
      <c r="O334" s="326">
        <f t="shared" si="99"/>
        <v>2.3651346512076406E-2</v>
      </c>
      <c r="P334" s="171">
        <f>(INDEX(Models!$BJ334:$BT334,,T334)*(1-R334)+INDEX(Models!$BJ334:$BT334,,T334+1)*R334-ERP_i)*Q334*Ramure*Pc/MaxiM</f>
        <v>8.1330616689952191E-3</v>
      </c>
      <c r="Q334" s="307">
        <f t="shared" si="100"/>
        <v>0.9</v>
      </c>
      <c r="R334" s="179">
        <f t="shared" si="101"/>
        <v>0.89899057972163821</v>
      </c>
      <c r="S334" s="839">
        <f t="shared" si="118"/>
        <v>-3</v>
      </c>
      <c r="T334" s="178">
        <f t="shared" si="102"/>
        <v>3</v>
      </c>
      <c r="U334" s="253">
        <f t="shared" si="103"/>
        <v>-2.1010094202783618</v>
      </c>
      <c r="V334" s="385">
        <f t="shared" si="104"/>
        <v>21.889795177709146</v>
      </c>
      <c r="W334" s="58"/>
      <c r="X334" s="157">
        <f t="shared" si="105"/>
        <v>43420</v>
      </c>
      <c r="Y334" s="387">
        <f t="shared" si="106"/>
        <v>20.081</v>
      </c>
      <c r="Z334" s="387">
        <f t="shared" si="107"/>
        <v>20.131065509491393</v>
      </c>
      <c r="AA334" s="388">
        <f t="shared" si="108"/>
        <v>20.618726146213088</v>
      </c>
      <c r="AB334" s="199">
        <f t="shared" si="109"/>
        <v>43420</v>
      </c>
      <c r="AC334" s="428">
        <f t="shared" si="110"/>
        <v>2.3651346512076406E-2</v>
      </c>
      <c r="AD334" s="171">
        <f>(INDEX(Models!$BJ334:$BT334,,AH334)*(1-AF334)+INDEX(Models!$BJ334:$BT334,,AH334+1)*AF334-ERP_i)*AE334*Ramure*Pc/MaxiM</f>
        <v>8.1330616689952191E-3</v>
      </c>
      <c r="AE334" s="307">
        <f t="shared" si="111"/>
        <v>0.9</v>
      </c>
      <c r="AF334" s="179">
        <f t="shared" si="112"/>
        <v>0.89899057972163821</v>
      </c>
      <c r="AG334" s="839">
        <f t="shared" si="113"/>
        <v>-3</v>
      </c>
      <c r="AH334" s="178">
        <f t="shared" si="114"/>
        <v>3</v>
      </c>
      <c r="AI334" s="227">
        <f t="shared" si="115"/>
        <v>-2.1010094202783618</v>
      </c>
      <c r="AJ334" s="267" t="b">
        <f t="shared" si="116"/>
        <v>0</v>
      </c>
      <c r="AK334" s="267" t="b">
        <f t="shared" si="117"/>
        <v>0</v>
      </c>
      <c r="AL334" s="267"/>
      <c r="AM334" s="267"/>
      <c r="AN334" s="75"/>
    </row>
    <row r="335" spans="1:40" s="6" customFormat="1" ht="11.25" customHeight="1" x14ac:dyDescent="0.2">
      <c r="A335" s="56">
        <f t="shared" si="119"/>
        <v>43421</v>
      </c>
      <c r="B335" s="620">
        <v>21.167999999999999</v>
      </c>
      <c r="C335" s="392"/>
      <c r="D335" s="395">
        <f t="shared" ref="D335:D379" si="127">Wh/(1-Ppv)</f>
        <v>21.221269444031869</v>
      </c>
      <c r="E335" s="387">
        <f t="shared" si="124"/>
        <v>21.7395313942435</v>
      </c>
      <c r="F335" s="387">
        <f t="shared" si="126"/>
        <v>21.918634591687038</v>
      </c>
      <c r="G335" s="110">
        <f t="shared" si="125"/>
        <v>0.9772544099131385</v>
      </c>
      <c r="I335" s="382">
        <f t="shared" ref="I335:I380" si="128">Wh_hp</f>
        <v>21.918634591687038</v>
      </c>
      <c r="J335" s="85">
        <v>2018</v>
      </c>
      <c r="K335" s="199">
        <f t="shared" ref="K335:K379" si="129">t</f>
        <v>43421</v>
      </c>
      <c r="L335" s="439">
        <f t="shared" ref="L335:L378" si="130">IF(t&lt;T0,0,IF(t&lt;Tvie,1-EXP((T0-t)*PertePVj),1-EXP((T0-t)*PertePVj)+Pspv))</f>
        <v>2.5101912103966395E-3</v>
      </c>
      <c r="M335" s="883"/>
      <c r="N335" s="883"/>
      <c r="O335" s="326">
        <f t="shared" ref="O335:O379" si="131">IF(t&lt;T0,0,IF(t&lt;Tnet,Salim_i*(1-EXP((T0-t)/Tau_ij)),Resal+(Salim-Resal)*(1-EXP((Tnet-t)/(Tau_j)))))*Salcycl</f>
        <v>2.3839610008744874E-2</v>
      </c>
      <c r="P335" s="171">
        <f>(INDEX(Models!$BJ335:$BT335,,T335)*(1-R335)+INDEX(Models!$BJ335:$BT335,,T335+1)*R335-ERP_i)*Q335*Ramure*Pc/MaxiM</f>
        <v>8.4423768961514045E-3</v>
      </c>
      <c r="Q335" s="307">
        <f t="shared" ref="Q335:Q379" si="132">IF(OR(t&lt;Ttai,Notai),Dd+PousD*Croivg,Dens+PousD*(Croivg-Croi_tai))</f>
        <v>0.9</v>
      </c>
      <c r="R335" s="179">
        <f t="shared" ref="R335:R379" si="133">(Hp_vg-S335)/(INDEX(Echel_vg,T335+1)-S335)</f>
        <v>0.89903148018123025</v>
      </c>
      <c r="S335" s="839">
        <f t="shared" si="118"/>
        <v>-3</v>
      </c>
      <c r="T335" s="178">
        <f t="shared" ref="T335:T379" si="134">MIN(MATCH(Hp_vg,Echel_vg),10)</f>
        <v>3</v>
      </c>
      <c r="U335" s="253">
        <f t="shared" ref="U335:U379" si="135">IF(OR(t&lt;Ttai,Notai),Hdd+PousH*Croivg,Hdtf+PousH*(Croivg-Croi_tai))</f>
        <v>-2.1009685198187698</v>
      </c>
      <c r="V335" s="385">
        <f t="shared" ref="V335:V379" si="136">MaxiM*(1-Ppv)*(1-Pvg)*(1-Psa)</f>
        <v>21.654764438094556</v>
      </c>
      <c r="W335" s="58"/>
      <c r="X335" s="157">
        <f t="shared" ref="X335:X379" si="137">t</f>
        <v>43421</v>
      </c>
      <c r="Y335" s="387">
        <f t="shared" ref="Y335:Y379" si="138">Wh_pvt_s*(1-Ppv)</f>
        <v>21.167999999999999</v>
      </c>
      <c r="Z335" s="387">
        <f t="shared" ref="Z335:Z379" si="139">Wh_sa_s*(1-Psa_s)</f>
        <v>21.221269444031869</v>
      </c>
      <c r="AA335" s="388">
        <f t="shared" ref="AA335:AA379" si="140">Wh_hp*(1-Pvg_s*MEDIAN((-Sdif+Wh/Env_an)/Csdif,0,1))</f>
        <v>21.7395313942435</v>
      </c>
      <c r="AB335" s="199">
        <f t="shared" ref="AB335:AB379" si="141">t</f>
        <v>43421</v>
      </c>
      <c r="AC335" s="428">
        <f t="shared" ref="AC335:AC379" si="142">IF(t&lt;T0,0,IF(OR(t&lt;Tnet,NoTnet),Salim_i*(1-EXP((T0-t)/Tau_ij)),Resal_s+(Salim-Resal_s)*(1-EXP((Tnet_s-t)/Tau_j))))*Salcycl</f>
        <v>2.3839610008744874E-2</v>
      </c>
      <c r="AD335" s="171">
        <f>(INDEX(Models!$BJ335:$BT335,,AH335)*(1-AF335)+INDEX(Models!$BJ335:$BT335,,AH335+1)*AF335-ERP_i)*AE335*Ramure*Pc/MaxiM</f>
        <v>8.4423768961514045E-3</v>
      </c>
      <c r="AE335" s="307">
        <f t="shared" ref="AE335:AE379" si="143">Dd+PousD*Croivg</f>
        <v>0.9</v>
      </c>
      <c r="AF335" s="179">
        <f t="shared" ref="AF335:AF379" si="144">(Hp_vg_s-AG335)/(INDEX(Echel_vg,AH335+1)-AG335)</f>
        <v>0.89903148018123025</v>
      </c>
      <c r="AG335" s="839">
        <f t="shared" ref="AG335:AG379" si="145">INDEX(Echel_vg,AH335)</f>
        <v>-3</v>
      </c>
      <c r="AH335" s="178">
        <f t="shared" ref="AH335:AH379" si="146">MIN(MATCH(Hp_vg_s,Echel_vg),10)</f>
        <v>3</v>
      </c>
      <c r="AI335" s="227">
        <f t="shared" ref="AI335:AI379" si="147">Hdd+PousH*Croivg</f>
        <v>-2.1009685198187698</v>
      </c>
      <c r="AJ335" s="267" t="b">
        <f t="shared" ref="AJ335:AJ380" si="148">t&lt;Tnet</f>
        <v>0</v>
      </c>
      <c r="AK335" s="267" t="b">
        <f t="shared" ref="AK335:AK380" si="149">t&lt;Ttai</f>
        <v>0</v>
      </c>
      <c r="AL335" s="267"/>
      <c r="AM335" s="267"/>
      <c r="AN335" s="75"/>
    </row>
    <row r="336" spans="1:40" s="6" customFormat="1" ht="11.25" customHeight="1" x14ac:dyDescent="0.2">
      <c r="A336" s="56">
        <f t="shared" si="119"/>
        <v>43422</v>
      </c>
      <c r="B336" s="620">
        <v>18.733000000000001</v>
      </c>
      <c r="C336" s="392"/>
      <c r="D336" s="395">
        <f t="shared" si="127"/>
        <v>18.780578798247973</v>
      </c>
      <c r="E336" s="387">
        <f t="shared" si="124"/>
        <v>19.24294410908745</v>
      </c>
      <c r="F336" s="387">
        <f t="shared" si="126"/>
        <v>19.381642993463856</v>
      </c>
      <c r="G336" s="110">
        <f t="shared" si="125"/>
        <v>0.87290996829870104</v>
      </c>
      <c r="I336" s="382">
        <f t="shared" si="128"/>
        <v>19.381642993463856</v>
      </c>
      <c r="J336" s="85">
        <v>2018</v>
      </c>
      <c r="K336" s="199">
        <f t="shared" si="129"/>
        <v>43422</v>
      </c>
      <c r="L336" s="439">
        <f t="shared" si="130"/>
        <v>2.5334042554859826E-3</v>
      </c>
      <c r="M336" s="883"/>
      <c r="N336" s="883"/>
      <c r="O336" s="326">
        <f t="shared" si="131"/>
        <v>2.4027784325431088E-2</v>
      </c>
      <c r="P336" s="171">
        <f>(INDEX(Models!$BJ336:$BT336,,T336)*(1-R336)+INDEX(Models!$BJ336:$BT336,,T336+1)*R336-ERP_i)*Q336*Ramure*Pc/MaxiM</f>
        <v>8.7226736411210055E-3</v>
      </c>
      <c r="Q336" s="307">
        <f t="shared" si="132"/>
        <v>0.9</v>
      </c>
      <c r="R336" s="179">
        <f t="shared" si="133"/>
        <v>0.89907073836335893</v>
      </c>
      <c r="S336" s="839">
        <f t="shared" ref="S336:S379" si="150">INDEX(Echel_vg,T336)</f>
        <v>-3</v>
      </c>
      <c r="T336" s="178">
        <f t="shared" si="134"/>
        <v>3</v>
      </c>
      <c r="U336" s="253">
        <f t="shared" si="135"/>
        <v>-2.1009292616366411</v>
      </c>
      <c r="V336" s="385">
        <f t="shared" si="136"/>
        <v>21.426543847153901</v>
      </c>
      <c r="W336" s="58"/>
      <c r="X336" s="157">
        <f t="shared" si="137"/>
        <v>43422</v>
      </c>
      <c r="Y336" s="387">
        <f t="shared" si="138"/>
        <v>18.733000000000001</v>
      </c>
      <c r="Z336" s="387">
        <f t="shared" si="139"/>
        <v>18.780578798247973</v>
      </c>
      <c r="AA336" s="388">
        <f t="shared" si="140"/>
        <v>19.24294410908745</v>
      </c>
      <c r="AB336" s="199">
        <f t="shared" si="141"/>
        <v>43422</v>
      </c>
      <c r="AC336" s="428">
        <f t="shared" si="142"/>
        <v>2.4027784325431088E-2</v>
      </c>
      <c r="AD336" s="171">
        <f>(INDEX(Models!$BJ336:$BT336,,AH336)*(1-AF336)+INDEX(Models!$BJ336:$BT336,,AH336+1)*AF336-ERP_i)*AE336*Ramure*Pc/MaxiM</f>
        <v>8.7226736411210055E-3</v>
      </c>
      <c r="AE336" s="307">
        <f t="shared" si="143"/>
        <v>0.9</v>
      </c>
      <c r="AF336" s="179">
        <f t="shared" si="144"/>
        <v>0.89907073836335893</v>
      </c>
      <c r="AG336" s="839">
        <f t="shared" si="145"/>
        <v>-3</v>
      </c>
      <c r="AH336" s="178">
        <f t="shared" si="146"/>
        <v>3</v>
      </c>
      <c r="AI336" s="227">
        <f t="shared" si="147"/>
        <v>-2.1009292616366411</v>
      </c>
      <c r="AJ336" s="267" t="b">
        <f t="shared" si="148"/>
        <v>0</v>
      </c>
      <c r="AK336" s="267" t="b">
        <f t="shared" si="149"/>
        <v>0</v>
      </c>
      <c r="AL336" s="267"/>
      <c r="AM336" s="267"/>
      <c r="AN336" s="75"/>
    </row>
    <row r="337" spans="1:40" s="6" customFormat="1" ht="11.25" customHeight="1" x14ac:dyDescent="0.2">
      <c r="A337" s="56">
        <f t="shared" ref="A337:A379" si="151">A336+1</f>
        <v>43423</v>
      </c>
      <c r="B337" s="620">
        <v>14.209</v>
      </c>
      <c r="C337" s="392"/>
      <c r="D337" s="395">
        <f t="shared" si="127"/>
        <v>14.245420079734416</v>
      </c>
      <c r="E337" s="387">
        <f t="shared" si="124"/>
        <v>14.598946772577277</v>
      </c>
      <c r="F337" s="387">
        <f t="shared" si="126"/>
        <v>14.668532798780298</v>
      </c>
      <c r="G337" s="110">
        <f t="shared" si="125"/>
        <v>0.66723675395918869</v>
      </c>
      <c r="I337" s="382">
        <f t="shared" si="128"/>
        <v>14.668532798780298</v>
      </c>
      <c r="J337" s="85">
        <v>2018</v>
      </c>
      <c r="K337" s="199">
        <f t="shared" si="129"/>
        <v>43423</v>
      </c>
      <c r="L337" s="439">
        <f t="shared" si="130"/>
        <v>2.5566167603738865E-3</v>
      </c>
      <c r="M337" s="883"/>
      <c r="N337" s="883"/>
      <c r="O337" s="326">
        <f t="shared" si="131"/>
        <v>2.4215903951847167E-2</v>
      </c>
      <c r="P337" s="171">
        <f>(INDEX(Models!$BJ337:$BT337,,T337)*(1-R337)+INDEX(Models!$BJ337:$BT337,,T337+1)*R337-ERP_i)*Q337*Ramure*Pc/MaxiM</f>
        <v>8.972904200919108E-3</v>
      </c>
      <c r="Q337" s="307">
        <f t="shared" si="132"/>
        <v>0.9</v>
      </c>
      <c r="R337" s="179">
        <f t="shared" si="133"/>
        <v>0.89910842003699765</v>
      </c>
      <c r="S337" s="839">
        <f t="shared" si="150"/>
        <v>-3</v>
      </c>
      <c r="T337" s="178">
        <f t="shared" si="134"/>
        <v>3</v>
      </c>
      <c r="U337" s="253">
        <f t="shared" si="135"/>
        <v>-2.1008915799630024</v>
      </c>
      <c r="V337" s="385">
        <f t="shared" si="136"/>
        <v>21.204802568673763</v>
      </c>
      <c r="W337" s="58"/>
      <c r="X337" s="157">
        <f t="shared" si="137"/>
        <v>43423</v>
      </c>
      <c r="Y337" s="387">
        <f t="shared" si="138"/>
        <v>14.209</v>
      </c>
      <c r="Z337" s="387">
        <f t="shared" si="139"/>
        <v>14.245420079734416</v>
      </c>
      <c r="AA337" s="388">
        <f t="shared" si="140"/>
        <v>14.598946772577277</v>
      </c>
      <c r="AB337" s="199">
        <f t="shared" si="141"/>
        <v>43423</v>
      </c>
      <c r="AC337" s="428">
        <f t="shared" si="142"/>
        <v>2.4215903951847167E-2</v>
      </c>
      <c r="AD337" s="171">
        <f>(INDEX(Models!$BJ337:$BT337,,AH337)*(1-AF337)+INDEX(Models!$BJ337:$BT337,,AH337+1)*AF337-ERP_i)*AE337*Ramure*Pc/MaxiM</f>
        <v>8.972904200919108E-3</v>
      </c>
      <c r="AE337" s="307">
        <f t="shared" si="143"/>
        <v>0.9</v>
      </c>
      <c r="AF337" s="179">
        <f t="shared" si="144"/>
        <v>0.89910842003699765</v>
      </c>
      <c r="AG337" s="839">
        <f t="shared" si="145"/>
        <v>-3</v>
      </c>
      <c r="AH337" s="178">
        <f t="shared" si="146"/>
        <v>3</v>
      </c>
      <c r="AI337" s="227">
        <f t="shared" si="147"/>
        <v>-2.1008915799630024</v>
      </c>
      <c r="AJ337" s="267" t="b">
        <f t="shared" si="148"/>
        <v>0</v>
      </c>
      <c r="AK337" s="267" t="b">
        <f t="shared" si="149"/>
        <v>0</v>
      </c>
      <c r="AL337" s="267"/>
      <c r="AM337" s="267"/>
      <c r="AN337" s="75"/>
    </row>
    <row r="338" spans="1:40" s="6" customFormat="1" ht="11.25" customHeight="1" x14ac:dyDescent="0.2">
      <c r="A338" s="56">
        <f t="shared" si="151"/>
        <v>43424</v>
      </c>
      <c r="B338" s="620">
        <v>11.016999999999999</v>
      </c>
      <c r="C338" s="392"/>
      <c r="D338" s="395">
        <f t="shared" si="127"/>
        <v>11.045495486538835</v>
      </c>
      <c r="E338" s="387">
        <f t="shared" si="124"/>
        <v>11.32179253551439</v>
      </c>
      <c r="F338" s="387">
        <f t="shared" si="126"/>
        <v>11.355305194688599</v>
      </c>
      <c r="G338" s="110">
        <f t="shared" si="125"/>
        <v>0.52160333422916094</v>
      </c>
      <c r="I338" s="382">
        <f t="shared" si="128"/>
        <v>11.355305194688599</v>
      </c>
      <c r="J338" s="85">
        <v>2018</v>
      </c>
      <c r="K338" s="199">
        <f t="shared" si="129"/>
        <v>43424</v>
      </c>
      <c r="L338" s="439">
        <f t="shared" si="130"/>
        <v>2.5798287250728968E-3</v>
      </c>
      <c r="M338" s="883"/>
      <c r="N338" s="883"/>
      <c r="O338" s="326">
        <f t="shared" si="131"/>
        <v>2.4404002114405739E-2</v>
      </c>
      <c r="P338" s="171">
        <f>(INDEX(Models!$BJ338:$BT338,,T338)*(1-R338)+INDEX(Models!$BJ338:$BT338,,T338+1)*R338-ERP_i)*Q338*Ramure*Pc/MaxiM</f>
        <v>9.1864172448241199E-3</v>
      </c>
      <c r="Q338" s="307">
        <f t="shared" si="132"/>
        <v>0.9</v>
      </c>
      <c r="R338" s="179">
        <f t="shared" si="133"/>
        <v>0.89914458835091216</v>
      </c>
      <c r="S338" s="839">
        <f t="shared" si="150"/>
        <v>-3</v>
      </c>
      <c r="T338" s="178">
        <f t="shared" si="134"/>
        <v>3</v>
      </c>
      <c r="U338" s="253">
        <f t="shared" si="135"/>
        <v>-2.1008554116490878</v>
      </c>
      <c r="V338" s="385">
        <f t="shared" si="136"/>
        <v>20.989329282490147</v>
      </c>
      <c r="W338" s="58"/>
      <c r="X338" s="157">
        <f t="shared" si="137"/>
        <v>43424</v>
      </c>
      <c r="Y338" s="387">
        <f t="shared" si="138"/>
        <v>11.016999999999999</v>
      </c>
      <c r="Z338" s="387">
        <f t="shared" si="139"/>
        <v>11.045495486538835</v>
      </c>
      <c r="AA338" s="388">
        <f t="shared" si="140"/>
        <v>11.32179253551439</v>
      </c>
      <c r="AB338" s="199">
        <f t="shared" si="141"/>
        <v>43424</v>
      </c>
      <c r="AC338" s="428">
        <f t="shared" si="142"/>
        <v>2.4404002114405739E-2</v>
      </c>
      <c r="AD338" s="171">
        <f>(INDEX(Models!$BJ338:$BT338,,AH338)*(1-AF338)+INDEX(Models!$BJ338:$BT338,,AH338+1)*AF338-ERP_i)*AE338*Ramure*Pc/MaxiM</f>
        <v>9.1864172448241199E-3</v>
      </c>
      <c r="AE338" s="307">
        <f t="shared" si="143"/>
        <v>0.9</v>
      </c>
      <c r="AF338" s="179">
        <f t="shared" si="144"/>
        <v>0.89914458835091216</v>
      </c>
      <c r="AG338" s="839">
        <f t="shared" si="145"/>
        <v>-3</v>
      </c>
      <c r="AH338" s="178">
        <f t="shared" si="146"/>
        <v>3</v>
      </c>
      <c r="AI338" s="227">
        <f t="shared" si="147"/>
        <v>-2.1008554116490878</v>
      </c>
      <c r="AJ338" s="267" t="b">
        <f t="shared" si="148"/>
        <v>0</v>
      </c>
      <c r="AK338" s="267" t="b">
        <f t="shared" si="149"/>
        <v>0</v>
      </c>
      <c r="AL338" s="267"/>
      <c r="AM338" s="267"/>
      <c r="AN338" s="75"/>
    </row>
    <row r="339" spans="1:40" s="6" customFormat="1" ht="11.25" customHeight="1" x14ac:dyDescent="0.2">
      <c r="A339" s="56">
        <f t="shared" si="151"/>
        <v>43425</v>
      </c>
      <c r="B339" s="620">
        <v>20.134</v>
      </c>
      <c r="C339" s="392"/>
      <c r="D339" s="395">
        <f t="shared" si="127"/>
        <v>20.186546390736762</v>
      </c>
      <c r="E339" s="387">
        <f t="shared" si="124"/>
        <v>20.695492224878201</v>
      </c>
      <c r="F339" s="387">
        <f t="shared" si="126"/>
        <v>20.882592318072916</v>
      </c>
      <c r="G339" s="110">
        <f t="shared" si="125"/>
        <v>0.96852858960234545</v>
      </c>
      <c r="I339" s="382">
        <f t="shared" si="128"/>
        <v>20.882592318072916</v>
      </c>
      <c r="J339" s="85">
        <v>2018</v>
      </c>
      <c r="K339" s="199">
        <f t="shared" si="129"/>
        <v>43425</v>
      </c>
      <c r="L339" s="439">
        <f t="shared" si="130"/>
        <v>2.6030401495955591E-3</v>
      </c>
      <c r="M339" s="883"/>
      <c r="N339" s="883"/>
      <c r="O339" s="326">
        <f t="shared" si="131"/>
        <v>2.4592110620574262E-2</v>
      </c>
      <c r="P339" s="171">
        <f>(INDEX(Models!$BJ339:$BT339,,T339)*(1-R339)+INDEX(Models!$BJ339:$BT339,,T339+1)*R339-ERP_i)*Q339*Ramure*Pc/MaxiM</f>
        <v>9.375694869775214E-3</v>
      </c>
      <c r="Q339" s="307">
        <f t="shared" si="132"/>
        <v>0.9</v>
      </c>
      <c r="R339" s="179">
        <f t="shared" si="133"/>
        <v>0.89917930393697132</v>
      </c>
      <c r="S339" s="839">
        <f t="shared" si="150"/>
        <v>-3</v>
      </c>
      <c r="T339" s="178">
        <f t="shared" si="134"/>
        <v>3</v>
      </c>
      <c r="U339" s="253">
        <f t="shared" si="135"/>
        <v>-2.1008206960630287</v>
      </c>
      <c r="V339" s="385">
        <f t="shared" si="136"/>
        <v>20.77950742027641</v>
      </c>
      <c r="W339" s="58"/>
      <c r="X339" s="157">
        <f t="shared" si="137"/>
        <v>43425</v>
      </c>
      <c r="Y339" s="387">
        <f t="shared" si="138"/>
        <v>20.134</v>
      </c>
      <c r="Z339" s="387">
        <f t="shared" si="139"/>
        <v>20.186546390736762</v>
      </c>
      <c r="AA339" s="388">
        <f t="shared" si="140"/>
        <v>20.695492224878201</v>
      </c>
      <c r="AB339" s="199">
        <f t="shared" si="141"/>
        <v>43425</v>
      </c>
      <c r="AC339" s="428">
        <f t="shared" si="142"/>
        <v>2.4592110620574262E-2</v>
      </c>
      <c r="AD339" s="171">
        <f>(INDEX(Models!$BJ339:$BT339,,AH339)*(1-AF339)+INDEX(Models!$BJ339:$BT339,,AH339+1)*AF339-ERP_i)*AE339*Ramure*Pc/MaxiM</f>
        <v>9.375694869775214E-3</v>
      </c>
      <c r="AE339" s="307">
        <f t="shared" si="143"/>
        <v>0.9</v>
      </c>
      <c r="AF339" s="179">
        <f t="shared" si="144"/>
        <v>0.89917930393697132</v>
      </c>
      <c r="AG339" s="839">
        <f t="shared" si="145"/>
        <v>-3</v>
      </c>
      <c r="AH339" s="178">
        <f t="shared" si="146"/>
        <v>3</v>
      </c>
      <c r="AI339" s="227">
        <f t="shared" si="147"/>
        <v>-2.1008206960630287</v>
      </c>
      <c r="AJ339" s="267" t="b">
        <f t="shared" si="148"/>
        <v>0</v>
      </c>
      <c r="AK339" s="267" t="b">
        <f t="shared" si="149"/>
        <v>0</v>
      </c>
      <c r="AL339" s="267"/>
      <c r="AM339" s="267"/>
      <c r="AN339" s="75"/>
    </row>
    <row r="340" spans="1:40" s="6" customFormat="1" ht="11.25" customHeight="1" x14ac:dyDescent="0.2">
      <c r="A340" s="56">
        <f t="shared" si="151"/>
        <v>43426</v>
      </c>
      <c r="B340" s="620">
        <v>18.757999999999999</v>
      </c>
      <c r="C340" s="392"/>
      <c r="D340" s="395">
        <f t="shared" si="127"/>
        <v>18.807392935141902</v>
      </c>
      <c r="E340" s="387">
        <f t="shared" si="124"/>
        <v>19.28528736467274</v>
      </c>
      <c r="F340" s="387">
        <f t="shared" si="126"/>
        <v>19.447409540817393</v>
      </c>
      <c r="G340" s="110">
        <f t="shared" si="125"/>
        <v>0.91058214261418258</v>
      </c>
      <c r="I340" s="382">
        <f t="shared" si="128"/>
        <v>19.447409540817393</v>
      </c>
      <c r="J340" s="85">
        <v>2018</v>
      </c>
      <c r="K340" s="199">
        <f t="shared" si="129"/>
        <v>43426</v>
      </c>
      <c r="L340" s="439">
        <f t="shared" si="130"/>
        <v>2.6262510339544187E-3</v>
      </c>
      <c r="M340" s="883"/>
      <c r="N340" s="883"/>
      <c r="O340" s="326">
        <f t="shared" si="131"/>
        <v>2.4780259712710147E-2</v>
      </c>
      <c r="P340" s="171">
        <f>(INDEX(Models!$BJ340:$BT340,,T340)*(1-R340)+INDEX(Models!$BJ340:$BT340,,T340+1)*R340-ERP_i)*Q340*Ramure*Pc/MaxiM</f>
        <v>9.5399981823029844E-3</v>
      </c>
      <c r="Q340" s="307">
        <f t="shared" si="132"/>
        <v>0.9</v>
      </c>
      <c r="R340" s="179">
        <f t="shared" si="133"/>
        <v>0.89921262500946764</v>
      </c>
      <c r="S340" s="839">
        <f t="shared" si="150"/>
        <v>-3</v>
      </c>
      <c r="T340" s="178">
        <f t="shared" si="134"/>
        <v>3</v>
      </c>
      <c r="U340" s="253">
        <f t="shared" si="135"/>
        <v>-2.1007873749905324</v>
      </c>
      <c r="V340" s="385">
        <f t="shared" si="136"/>
        <v>20.575006914038621</v>
      </c>
      <c r="W340" s="58"/>
      <c r="X340" s="157">
        <f t="shared" si="137"/>
        <v>43426</v>
      </c>
      <c r="Y340" s="387">
        <f t="shared" si="138"/>
        <v>18.757999999999999</v>
      </c>
      <c r="Z340" s="387">
        <f t="shared" si="139"/>
        <v>18.807392935141902</v>
      </c>
      <c r="AA340" s="388">
        <f t="shared" si="140"/>
        <v>19.28528736467274</v>
      </c>
      <c r="AB340" s="199">
        <f t="shared" si="141"/>
        <v>43426</v>
      </c>
      <c r="AC340" s="428">
        <f t="shared" si="142"/>
        <v>2.4780259712710147E-2</v>
      </c>
      <c r="AD340" s="171">
        <f>(INDEX(Models!$BJ340:$BT340,,AH340)*(1-AF340)+INDEX(Models!$BJ340:$BT340,,AH340+1)*AF340-ERP_i)*AE340*Ramure*Pc/MaxiM</f>
        <v>9.5399981823029844E-3</v>
      </c>
      <c r="AE340" s="307">
        <f t="shared" si="143"/>
        <v>0.9</v>
      </c>
      <c r="AF340" s="179">
        <f t="shared" si="144"/>
        <v>0.89921262500946764</v>
      </c>
      <c r="AG340" s="839">
        <f t="shared" si="145"/>
        <v>-3</v>
      </c>
      <c r="AH340" s="178">
        <f t="shared" si="146"/>
        <v>3</v>
      </c>
      <c r="AI340" s="227">
        <f t="shared" si="147"/>
        <v>-2.1007873749905324</v>
      </c>
      <c r="AJ340" s="267" t="b">
        <f t="shared" si="148"/>
        <v>0</v>
      </c>
      <c r="AK340" s="267" t="b">
        <f t="shared" si="149"/>
        <v>0</v>
      </c>
      <c r="AL340" s="267"/>
      <c r="AM340" s="267"/>
      <c r="AN340" s="75"/>
    </row>
    <row r="341" spans="1:40" s="6" customFormat="1" ht="11.25" customHeight="1" x14ac:dyDescent="0.2">
      <c r="A341" s="56">
        <f t="shared" si="151"/>
        <v>43427</v>
      </c>
      <c r="B341" s="620">
        <v>13.324</v>
      </c>
      <c r="C341" s="392"/>
      <c r="D341" s="395">
        <f t="shared" si="127"/>
        <v>13.359395201622302</v>
      </c>
      <c r="E341" s="387">
        <f t="shared" si="124"/>
        <v>13.701500822552294</v>
      </c>
      <c r="F341" s="387">
        <f t="shared" si="126"/>
        <v>13.768878969214754</v>
      </c>
      <c r="G341" s="110">
        <f t="shared" si="125"/>
        <v>0.6507781966071321</v>
      </c>
      <c r="I341" s="382">
        <f t="shared" si="128"/>
        <v>13.768878969214754</v>
      </c>
      <c r="J341" s="85">
        <v>2018</v>
      </c>
      <c r="K341" s="199">
        <f t="shared" si="129"/>
        <v>43427</v>
      </c>
      <c r="L341" s="439">
        <f t="shared" si="130"/>
        <v>2.6494613781621323E-3</v>
      </c>
      <c r="M341" s="883"/>
      <c r="N341" s="883"/>
      <c r="O341" s="326">
        <f t="shared" si="131"/>
        <v>2.4968477932497374E-2</v>
      </c>
      <c r="P341" s="171">
        <f>(INDEX(Models!$BJ341:$BT341,,T341)*(1-R341)+INDEX(Models!$BJ341:$BT341,,T341+1)*R341-ERP_i)*Q341*Ramure*Pc/MaxiM</f>
        <v>9.6785475501450346E-3</v>
      </c>
      <c r="Q341" s="307">
        <f t="shared" si="132"/>
        <v>0.9</v>
      </c>
      <c r="R341" s="179">
        <f t="shared" si="133"/>
        <v>0.89924460746059687</v>
      </c>
      <c r="S341" s="839">
        <f t="shared" si="150"/>
        <v>-3</v>
      </c>
      <c r="T341" s="178">
        <f t="shared" si="134"/>
        <v>3</v>
      </c>
      <c r="U341" s="253">
        <f t="shared" si="135"/>
        <v>-2.1007553925394031</v>
      </c>
      <c r="V341" s="385">
        <f t="shared" si="136"/>
        <v>20.375499216913166</v>
      </c>
      <c r="W341" s="58"/>
      <c r="X341" s="157">
        <f t="shared" si="137"/>
        <v>43427</v>
      </c>
      <c r="Y341" s="387">
        <f t="shared" si="138"/>
        <v>13.324</v>
      </c>
      <c r="Z341" s="387">
        <f t="shared" si="139"/>
        <v>13.359395201622302</v>
      </c>
      <c r="AA341" s="388">
        <f t="shared" si="140"/>
        <v>13.701500822552294</v>
      </c>
      <c r="AB341" s="199">
        <f t="shared" si="141"/>
        <v>43427</v>
      </c>
      <c r="AC341" s="428">
        <f t="shared" si="142"/>
        <v>2.4968477932497374E-2</v>
      </c>
      <c r="AD341" s="171">
        <f>(INDEX(Models!$BJ341:$BT341,,AH341)*(1-AF341)+INDEX(Models!$BJ341:$BT341,,AH341+1)*AF341-ERP_i)*AE341*Ramure*Pc/MaxiM</f>
        <v>9.6785475501450346E-3</v>
      </c>
      <c r="AE341" s="307">
        <f t="shared" si="143"/>
        <v>0.9</v>
      </c>
      <c r="AF341" s="179">
        <f t="shared" si="144"/>
        <v>0.89924460746059687</v>
      </c>
      <c r="AG341" s="839">
        <f t="shared" si="145"/>
        <v>-3</v>
      </c>
      <c r="AH341" s="178">
        <f t="shared" si="146"/>
        <v>3</v>
      </c>
      <c r="AI341" s="227">
        <f t="shared" si="147"/>
        <v>-2.1007553925394031</v>
      </c>
      <c r="AJ341" s="267" t="b">
        <f t="shared" si="148"/>
        <v>0</v>
      </c>
      <c r="AK341" s="267" t="b">
        <f t="shared" si="149"/>
        <v>0</v>
      </c>
      <c r="AL341" s="267"/>
      <c r="AM341" s="267"/>
      <c r="AN341" s="75"/>
    </row>
    <row r="342" spans="1:40" s="6" customFormat="1" ht="11.25" x14ac:dyDescent="0.2">
      <c r="A342" s="56">
        <f t="shared" si="151"/>
        <v>43428</v>
      </c>
      <c r="B342" s="620">
        <v>16.37</v>
      </c>
      <c r="C342" s="392"/>
      <c r="D342" s="395">
        <f t="shared" si="127"/>
        <v>16.413868874329342</v>
      </c>
      <c r="E342" s="387">
        <f t="shared" si="124"/>
        <v>16.837444975335142</v>
      </c>
      <c r="F342" s="387">
        <f t="shared" si="126"/>
        <v>16.958692332833007</v>
      </c>
      <c r="G342" s="110">
        <f t="shared" si="125"/>
        <v>0.80901509395979199</v>
      </c>
      <c r="I342" s="382">
        <f t="shared" si="128"/>
        <v>16.958692332833007</v>
      </c>
      <c r="J342" s="85">
        <v>2018</v>
      </c>
      <c r="K342" s="199">
        <f t="shared" si="129"/>
        <v>43428</v>
      </c>
      <c r="L342" s="439">
        <f t="shared" si="130"/>
        <v>2.6726711822312454E-3</v>
      </c>
      <c r="M342" s="883"/>
      <c r="N342" s="883"/>
      <c r="O342" s="326">
        <f t="shared" si="131"/>
        <v>2.515679199702147E-2</v>
      </c>
      <c r="P342" s="171">
        <f>(INDEX(Models!$BJ342:$BT342,,T342)*(1-R342)+INDEX(Models!$BJ342:$BT342,,T342+1)*R342-ERP_i)*Q342*Ramure*Pc/MaxiM</f>
        <v>9.7906193538074855E-3</v>
      </c>
      <c r="Q342" s="307">
        <f t="shared" si="132"/>
        <v>0.9</v>
      </c>
      <c r="R342" s="179">
        <f t="shared" si="133"/>
        <v>0.89927530495224417</v>
      </c>
      <c r="S342" s="839">
        <f t="shared" si="150"/>
        <v>-3</v>
      </c>
      <c r="T342" s="178">
        <f t="shared" si="134"/>
        <v>3</v>
      </c>
      <c r="U342" s="253">
        <f t="shared" si="135"/>
        <v>-2.1007246950477558</v>
      </c>
      <c r="V342" s="385">
        <f t="shared" si="136"/>
        <v>20.180655235376971</v>
      </c>
      <c r="W342" s="58"/>
      <c r="X342" s="157">
        <f t="shared" si="137"/>
        <v>43428</v>
      </c>
      <c r="Y342" s="387">
        <f t="shared" si="138"/>
        <v>16.37</v>
      </c>
      <c r="Z342" s="387">
        <f t="shared" si="139"/>
        <v>16.413868874329342</v>
      </c>
      <c r="AA342" s="388">
        <f t="shared" si="140"/>
        <v>16.837444975335142</v>
      </c>
      <c r="AB342" s="199">
        <f t="shared" si="141"/>
        <v>43428</v>
      </c>
      <c r="AC342" s="428">
        <f t="shared" si="142"/>
        <v>2.515679199702147E-2</v>
      </c>
      <c r="AD342" s="171">
        <f>(INDEX(Models!$BJ342:$BT342,,AH342)*(1-AF342)+INDEX(Models!$BJ342:$BT342,,AH342+1)*AF342-ERP_i)*AE342*Ramure*Pc/MaxiM</f>
        <v>9.7906193538074855E-3</v>
      </c>
      <c r="AE342" s="307">
        <f t="shared" si="143"/>
        <v>0.9</v>
      </c>
      <c r="AF342" s="179">
        <f t="shared" si="144"/>
        <v>0.89927530495224417</v>
      </c>
      <c r="AG342" s="839">
        <f t="shared" si="145"/>
        <v>-3</v>
      </c>
      <c r="AH342" s="178">
        <f t="shared" si="146"/>
        <v>3</v>
      </c>
      <c r="AI342" s="227">
        <f t="shared" si="147"/>
        <v>-2.1007246950477558</v>
      </c>
      <c r="AJ342" s="267" t="b">
        <f t="shared" si="148"/>
        <v>0</v>
      </c>
      <c r="AK342" s="267" t="b">
        <f t="shared" si="149"/>
        <v>0</v>
      </c>
      <c r="AL342" s="267"/>
      <c r="AM342" s="267"/>
      <c r="AN342" s="75"/>
    </row>
    <row r="343" spans="1:40" s="6" customFormat="1" ht="11.25" customHeight="1" x14ac:dyDescent="0.2">
      <c r="A343" s="56">
        <f t="shared" si="151"/>
        <v>43429</v>
      </c>
      <c r="B343" s="620">
        <v>9.59</v>
      </c>
      <c r="C343" s="392"/>
      <c r="D343" s="395">
        <f t="shared" si="127"/>
        <v>9.6159233798115444</v>
      </c>
      <c r="E343" s="387">
        <f t="shared" si="124"/>
        <v>9.8659788502648382</v>
      </c>
      <c r="F343" s="387">
        <f t="shared" si="126"/>
        <v>9.891059709629241</v>
      </c>
      <c r="G343" s="110">
        <f t="shared" si="125"/>
        <v>0.47620624442118548</v>
      </c>
      <c r="I343" s="382">
        <f t="shared" si="128"/>
        <v>9.891059709629241</v>
      </c>
      <c r="J343" s="85">
        <v>2018</v>
      </c>
      <c r="K343" s="199">
        <f t="shared" si="129"/>
        <v>43429</v>
      </c>
      <c r="L343" s="439">
        <f t="shared" si="130"/>
        <v>2.6958804461743036E-3</v>
      </c>
      <c r="M343" s="883"/>
      <c r="N343" s="883"/>
      <c r="O343" s="326">
        <f t="shared" si="131"/>
        <v>2.5345226687424026E-2</v>
      </c>
      <c r="P343" s="171">
        <f>(INDEX(Models!$BJ343:$BT343,,T343)*(1-R343)+INDEX(Models!$BJ343:$BT343,,T343+1)*R343-ERP_i)*Q343*Ramure*Pc/MaxiM</f>
        <v>9.8755574596977782E-3</v>
      </c>
      <c r="Q343" s="307">
        <f t="shared" si="132"/>
        <v>0.9</v>
      </c>
      <c r="R343" s="179">
        <f t="shared" si="133"/>
        <v>0.89930476900420064</v>
      </c>
      <c r="S343" s="839">
        <f t="shared" si="150"/>
        <v>-3</v>
      </c>
      <c r="T343" s="178">
        <f t="shared" si="134"/>
        <v>3</v>
      </c>
      <c r="U343" s="253">
        <f t="shared" si="135"/>
        <v>-2.1006952309957994</v>
      </c>
      <c r="V343" s="385">
        <f t="shared" si="136"/>
        <v>19.990145098976225</v>
      </c>
      <c r="W343" s="58"/>
      <c r="X343" s="157">
        <f t="shared" si="137"/>
        <v>43429</v>
      </c>
      <c r="Y343" s="387">
        <f t="shared" si="138"/>
        <v>9.59</v>
      </c>
      <c r="Z343" s="387">
        <f t="shared" si="139"/>
        <v>9.6159233798115444</v>
      </c>
      <c r="AA343" s="388">
        <f t="shared" si="140"/>
        <v>9.8659788502648382</v>
      </c>
      <c r="AB343" s="199">
        <f t="shared" si="141"/>
        <v>43429</v>
      </c>
      <c r="AC343" s="428">
        <f t="shared" si="142"/>
        <v>2.5345226687424026E-2</v>
      </c>
      <c r="AD343" s="171">
        <f>(INDEX(Models!$BJ343:$BT343,,AH343)*(1-AF343)+INDEX(Models!$BJ343:$BT343,,AH343+1)*AF343-ERP_i)*AE343*Ramure*Pc/MaxiM</f>
        <v>9.8755574596977782E-3</v>
      </c>
      <c r="AE343" s="307">
        <f t="shared" si="143"/>
        <v>0.9</v>
      </c>
      <c r="AF343" s="179">
        <f t="shared" si="144"/>
        <v>0.89930476900420064</v>
      </c>
      <c r="AG343" s="839">
        <f t="shared" si="145"/>
        <v>-3</v>
      </c>
      <c r="AH343" s="178">
        <f t="shared" si="146"/>
        <v>3</v>
      </c>
      <c r="AI343" s="227">
        <f t="shared" si="147"/>
        <v>-2.1006952309957994</v>
      </c>
      <c r="AJ343" s="267" t="b">
        <f t="shared" si="148"/>
        <v>0</v>
      </c>
      <c r="AK343" s="267" t="b">
        <f t="shared" si="149"/>
        <v>0</v>
      </c>
      <c r="AL343" s="267"/>
      <c r="AM343" s="267"/>
      <c r="AN343" s="75"/>
    </row>
    <row r="344" spans="1:40" s="6" customFormat="1" ht="11.25" x14ac:dyDescent="0.2">
      <c r="A344" s="56">
        <f t="shared" si="151"/>
        <v>43430</v>
      </c>
      <c r="B344" s="620">
        <v>4.3220000000000001</v>
      </c>
      <c r="C344" s="392"/>
      <c r="D344" s="395">
        <f t="shared" si="127"/>
        <v>4.3337839449899587</v>
      </c>
      <c r="E344" s="387">
        <f t="shared" si="124"/>
        <v>4.4473414943680609</v>
      </c>
      <c r="F344" s="387">
        <f t="shared" si="126"/>
        <v>4.4473414943680609</v>
      </c>
      <c r="G344" s="110">
        <f t="shared" si="125"/>
        <v>0.21607497153813288</v>
      </c>
      <c r="I344" s="382">
        <f t="shared" si="128"/>
        <v>4.4473414943680609</v>
      </c>
      <c r="J344" s="85">
        <v>2018</v>
      </c>
      <c r="K344" s="199">
        <f t="shared" si="129"/>
        <v>43430</v>
      </c>
      <c r="L344" s="439">
        <f t="shared" si="130"/>
        <v>2.7190891700038522E-3</v>
      </c>
      <c r="M344" s="883"/>
      <c r="N344" s="883"/>
      <c r="O344" s="326">
        <f t="shared" si="131"/>
        <v>2.5533804750974651E-2</v>
      </c>
      <c r="P344" s="171">
        <f>(INDEX(Models!$BJ344:$BT344,,T344)*(1-R344)+INDEX(Models!$BJ344:$BT344,,T344+1)*R344-ERP_i)*Q344*Ramure*Pc/MaxiM</f>
        <v>9.9327223375041598E-3</v>
      </c>
      <c r="Q344" s="307">
        <f t="shared" si="132"/>
        <v>0.9</v>
      </c>
      <c r="R344" s="179">
        <f t="shared" si="133"/>
        <v>0.89933304907895817</v>
      </c>
      <c r="S344" s="839">
        <f t="shared" si="150"/>
        <v>-3</v>
      </c>
      <c r="T344" s="178">
        <f t="shared" si="134"/>
        <v>3</v>
      </c>
      <c r="U344" s="253">
        <f t="shared" si="135"/>
        <v>-2.1006669509210418</v>
      </c>
      <c r="V344" s="385">
        <f t="shared" si="136"/>
        <v>19.803639188734721</v>
      </c>
      <c r="W344" s="58"/>
      <c r="X344" s="157">
        <f t="shared" si="137"/>
        <v>43430</v>
      </c>
      <c r="Y344" s="387">
        <f t="shared" si="138"/>
        <v>4.3220000000000001</v>
      </c>
      <c r="Z344" s="387">
        <f t="shared" si="139"/>
        <v>4.3337839449899587</v>
      </c>
      <c r="AA344" s="388">
        <f t="shared" si="140"/>
        <v>4.4473414943680609</v>
      </c>
      <c r="AB344" s="199">
        <f t="shared" si="141"/>
        <v>43430</v>
      </c>
      <c r="AC344" s="428">
        <f t="shared" si="142"/>
        <v>2.5533804750974651E-2</v>
      </c>
      <c r="AD344" s="171">
        <f>(INDEX(Models!$BJ344:$BT344,,AH344)*(1-AF344)+INDEX(Models!$BJ344:$BT344,,AH344+1)*AF344-ERP_i)*AE344*Ramure*Pc/MaxiM</f>
        <v>9.9327223375041598E-3</v>
      </c>
      <c r="AE344" s="307">
        <f t="shared" si="143"/>
        <v>0.9</v>
      </c>
      <c r="AF344" s="179">
        <f t="shared" si="144"/>
        <v>0.89933304907895817</v>
      </c>
      <c r="AG344" s="839">
        <f t="shared" si="145"/>
        <v>-3</v>
      </c>
      <c r="AH344" s="178">
        <f t="shared" si="146"/>
        <v>3</v>
      </c>
      <c r="AI344" s="227">
        <f t="shared" si="147"/>
        <v>-2.1006669509210418</v>
      </c>
      <c r="AJ344" s="267" t="b">
        <f t="shared" si="148"/>
        <v>0</v>
      </c>
      <c r="AK344" s="267" t="b">
        <f t="shared" si="149"/>
        <v>0</v>
      </c>
      <c r="AL344" s="267"/>
      <c r="AM344" s="267"/>
      <c r="AN344" s="75"/>
    </row>
    <row r="345" spans="1:40" s="6" customFormat="1" ht="11.25" customHeight="1" x14ac:dyDescent="0.2">
      <c r="A345" s="56">
        <f t="shared" si="151"/>
        <v>43431</v>
      </c>
      <c r="B345" s="620">
        <v>18.015999999999998</v>
      </c>
      <c r="C345" s="392"/>
      <c r="D345" s="395">
        <f t="shared" si="127"/>
        <v>18.065541085512546</v>
      </c>
      <c r="E345" s="387">
        <f t="shared" si="124"/>
        <v>18.542501447095034</v>
      </c>
      <c r="F345" s="387">
        <f t="shared" si="126"/>
        <v>18.707105113619761</v>
      </c>
      <c r="G345" s="110">
        <f t="shared" si="125"/>
        <v>0.91719238627569033</v>
      </c>
      <c r="I345" s="382">
        <f t="shared" si="128"/>
        <v>18.707105113619761</v>
      </c>
      <c r="J345" s="85">
        <v>2018</v>
      </c>
      <c r="K345" s="199">
        <f t="shared" si="129"/>
        <v>43431</v>
      </c>
      <c r="L345" s="439">
        <f t="shared" si="130"/>
        <v>2.7422973537325479E-3</v>
      </c>
      <c r="M345" s="883"/>
      <c r="N345" s="883"/>
      <c r="O345" s="326">
        <f t="shared" si="131"/>
        <v>2.5722546817285651E-2</v>
      </c>
      <c r="P345" s="171">
        <f>(INDEX(Models!$BJ345:$BT345,,T345)*(1-R345)+INDEX(Models!$BJ345:$BT345,,T345+1)*R345-ERP_i)*Q345*Ramure*Pc/MaxiM</f>
        <v>9.9621440145908919E-3</v>
      </c>
      <c r="Q345" s="307">
        <f t="shared" si="132"/>
        <v>0.9</v>
      </c>
      <c r="R345" s="179">
        <f t="shared" si="133"/>
        <v>0.89936019266320288</v>
      </c>
      <c r="S345" s="839">
        <f t="shared" si="150"/>
        <v>-3</v>
      </c>
      <c r="T345" s="178">
        <f t="shared" si="134"/>
        <v>3</v>
      </c>
      <c r="U345" s="253">
        <f t="shared" si="135"/>
        <v>-2.1006398073367971</v>
      </c>
      <c r="V345" s="385">
        <f t="shared" si="136"/>
        <v>19.619502841678752</v>
      </c>
      <c r="W345" s="58"/>
      <c r="X345" s="157">
        <f t="shared" si="137"/>
        <v>43431</v>
      </c>
      <c r="Y345" s="387">
        <f t="shared" si="138"/>
        <v>18.015999999999998</v>
      </c>
      <c r="Z345" s="387">
        <f t="shared" si="139"/>
        <v>18.065541085512546</v>
      </c>
      <c r="AA345" s="388">
        <f t="shared" si="140"/>
        <v>18.542501447095034</v>
      </c>
      <c r="AB345" s="199">
        <f t="shared" si="141"/>
        <v>43431</v>
      </c>
      <c r="AC345" s="428">
        <f t="shared" si="142"/>
        <v>2.5722546817285651E-2</v>
      </c>
      <c r="AD345" s="171">
        <f>(INDEX(Models!$BJ345:$BT345,,AH345)*(1-AF345)+INDEX(Models!$BJ345:$BT345,,AH345+1)*AF345-ERP_i)*AE345*Ramure*Pc/MaxiM</f>
        <v>9.9621440145908919E-3</v>
      </c>
      <c r="AE345" s="307">
        <f t="shared" si="143"/>
        <v>0.9</v>
      </c>
      <c r="AF345" s="179">
        <f t="shared" si="144"/>
        <v>0.89936019266320288</v>
      </c>
      <c r="AG345" s="839">
        <f t="shared" si="145"/>
        <v>-3</v>
      </c>
      <c r="AH345" s="178">
        <f t="shared" si="146"/>
        <v>3</v>
      </c>
      <c r="AI345" s="227">
        <f t="shared" si="147"/>
        <v>-2.1006398073367971</v>
      </c>
      <c r="AJ345" s="267" t="b">
        <f t="shared" si="148"/>
        <v>0</v>
      </c>
      <c r="AK345" s="267" t="b">
        <f t="shared" si="149"/>
        <v>0</v>
      </c>
      <c r="AL345" s="267"/>
      <c r="AM345" s="267"/>
      <c r="AN345" s="75"/>
    </row>
    <row r="346" spans="1:40" s="6" customFormat="1" ht="11.25" customHeight="1" x14ac:dyDescent="0.2">
      <c r="A346" s="56">
        <f t="shared" si="151"/>
        <v>43432</v>
      </c>
      <c r="B346" s="620">
        <v>14.510999999999999</v>
      </c>
      <c r="C346" s="392"/>
      <c r="D346" s="395">
        <f t="shared" si="127"/>
        <v>14.551241531172435</v>
      </c>
      <c r="E346" s="387">
        <f t="shared" si="124"/>
        <v>14.938315258706091</v>
      </c>
      <c r="F346" s="387">
        <f t="shared" si="126"/>
        <v>15.033904025861062</v>
      </c>
      <c r="G346" s="110">
        <f t="shared" si="125"/>
        <v>0.74385810317110812</v>
      </c>
      <c r="I346" s="382">
        <f t="shared" si="128"/>
        <v>15.033904025861062</v>
      </c>
      <c r="J346" s="85">
        <v>2018</v>
      </c>
      <c r="K346" s="199">
        <f t="shared" si="129"/>
        <v>43432</v>
      </c>
      <c r="L346" s="439">
        <f t="shared" si="130"/>
        <v>2.7655049973728252E-3</v>
      </c>
      <c r="M346" s="883"/>
      <c r="N346" s="883"/>
      <c r="O346" s="326">
        <f t="shared" si="131"/>
        <v>2.5911471329276452E-2</v>
      </c>
      <c r="P346" s="171">
        <f>(INDEX(Models!$BJ346:$BT346,,T346)*(1-R346)+INDEX(Models!$BJ346:$BT346,,T346+1)*R346-ERP_i)*Q346*Ramure*Pc/MaxiM</f>
        <v>9.9665386468818073E-3</v>
      </c>
      <c r="Q346" s="307">
        <f t="shared" si="132"/>
        <v>0.9</v>
      </c>
      <c r="R346" s="179">
        <f t="shared" si="133"/>
        <v>0.89938624534613165</v>
      </c>
      <c r="S346" s="839">
        <f t="shared" si="150"/>
        <v>-3</v>
      </c>
      <c r="T346" s="178">
        <f t="shared" si="134"/>
        <v>3</v>
      </c>
      <c r="U346" s="253">
        <f t="shared" si="135"/>
        <v>-2.1006137546538683</v>
      </c>
      <c r="V346" s="385">
        <f t="shared" si="136"/>
        <v>19.43691206557196</v>
      </c>
      <c r="W346" s="58"/>
      <c r="X346" s="157">
        <f t="shared" si="137"/>
        <v>43432</v>
      </c>
      <c r="Y346" s="387">
        <f t="shared" si="138"/>
        <v>14.510999999999999</v>
      </c>
      <c r="Z346" s="387">
        <f t="shared" si="139"/>
        <v>14.551241531172435</v>
      </c>
      <c r="AA346" s="388">
        <f t="shared" si="140"/>
        <v>14.938315258706091</v>
      </c>
      <c r="AB346" s="199">
        <f t="shared" si="141"/>
        <v>43432</v>
      </c>
      <c r="AC346" s="428">
        <f t="shared" si="142"/>
        <v>2.5911471329276452E-2</v>
      </c>
      <c r="AD346" s="171">
        <f>(INDEX(Models!$BJ346:$BT346,,AH346)*(1-AF346)+INDEX(Models!$BJ346:$BT346,,AH346+1)*AF346-ERP_i)*AE346*Ramure*Pc/MaxiM</f>
        <v>9.9665386468818073E-3</v>
      </c>
      <c r="AE346" s="307">
        <f t="shared" si="143"/>
        <v>0.9</v>
      </c>
      <c r="AF346" s="179">
        <f t="shared" si="144"/>
        <v>0.89938624534613165</v>
      </c>
      <c r="AG346" s="839">
        <f t="shared" si="145"/>
        <v>-3</v>
      </c>
      <c r="AH346" s="178">
        <f t="shared" si="146"/>
        <v>3</v>
      </c>
      <c r="AI346" s="227">
        <f t="shared" si="147"/>
        <v>-2.1006137546538683</v>
      </c>
      <c r="AJ346" s="267" t="b">
        <f t="shared" si="148"/>
        <v>0</v>
      </c>
      <c r="AK346" s="267" t="b">
        <f t="shared" si="149"/>
        <v>0</v>
      </c>
      <c r="AL346" s="267"/>
      <c r="AM346" s="267"/>
      <c r="AN346" s="75"/>
    </row>
    <row r="347" spans="1:40" s="6" customFormat="1" ht="11.25" customHeight="1" x14ac:dyDescent="0.2">
      <c r="A347" s="56">
        <f t="shared" si="151"/>
        <v>43433</v>
      </c>
      <c r="B347" s="620">
        <v>19.163</v>
      </c>
      <c r="C347" s="392"/>
      <c r="D347" s="395">
        <f t="shared" si="127"/>
        <v>19.216589535777167</v>
      </c>
      <c r="E347" s="387">
        <f t="shared" si="124"/>
        <v>19.731595919500123</v>
      </c>
      <c r="F347" s="387">
        <f t="shared" si="126"/>
        <v>19.928845702990856</v>
      </c>
      <c r="G347" s="110">
        <f t="shared" si="125"/>
        <v>0.99507946141725556</v>
      </c>
      <c r="I347" s="382">
        <f t="shared" si="128"/>
        <v>19.928845702990856</v>
      </c>
      <c r="J347" s="85">
        <v>2018</v>
      </c>
      <c r="K347" s="199">
        <f t="shared" si="129"/>
        <v>43433</v>
      </c>
      <c r="L347" s="439">
        <f t="shared" si="130"/>
        <v>2.7887121009373406E-3</v>
      </c>
      <c r="M347" s="883"/>
      <c r="N347" s="883"/>
      <c r="O347" s="326">
        <f t="shared" si="131"/>
        <v>2.6100594489368738E-2</v>
      </c>
      <c r="P347" s="171">
        <f>(INDEX(Models!$BJ347:$BT347,,T347)*(1-R347)+INDEX(Models!$BJ347:$BT347,,T347+1)*R347-ERP_i)*Q347*Ramure*Pc/MaxiM</f>
        <v>9.9667737588366584E-3</v>
      </c>
      <c r="Q347" s="307">
        <f t="shared" si="132"/>
        <v>0.9</v>
      </c>
      <c r="R347" s="179">
        <f t="shared" si="133"/>
        <v>0.8994112508947123</v>
      </c>
      <c r="S347" s="839">
        <f t="shared" si="150"/>
        <v>-3</v>
      </c>
      <c r="T347" s="178">
        <f t="shared" si="134"/>
        <v>3</v>
      </c>
      <c r="U347" s="253">
        <f t="shared" si="135"/>
        <v>-2.1005887491052877</v>
      </c>
      <c r="V347" s="385">
        <f t="shared" si="136"/>
        <v>19.256415086805276</v>
      </c>
      <c r="W347" s="58"/>
      <c r="X347" s="157">
        <f t="shared" si="137"/>
        <v>43433</v>
      </c>
      <c r="Y347" s="387">
        <f t="shared" si="138"/>
        <v>19.163</v>
      </c>
      <c r="Z347" s="387">
        <f t="shared" si="139"/>
        <v>19.216589535777167</v>
      </c>
      <c r="AA347" s="388">
        <f t="shared" si="140"/>
        <v>19.731595919500123</v>
      </c>
      <c r="AB347" s="199">
        <f t="shared" si="141"/>
        <v>43433</v>
      </c>
      <c r="AC347" s="428">
        <f t="shared" si="142"/>
        <v>2.6100594489368738E-2</v>
      </c>
      <c r="AD347" s="171">
        <f>(INDEX(Models!$BJ347:$BT347,,AH347)*(1-AF347)+INDEX(Models!$BJ347:$BT347,,AH347+1)*AF347-ERP_i)*AE347*Ramure*Pc/MaxiM</f>
        <v>9.9667737588366584E-3</v>
      </c>
      <c r="AE347" s="307">
        <f t="shared" si="143"/>
        <v>0.9</v>
      </c>
      <c r="AF347" s="179">
        <f t="shared" si="144"/>
        <v>0.8994112508947123</v>
      </c>
      <c r="AG347" s="839">
        <f t="shared" si="145"/>
        <v>-3</v>
      </c>
      <c r="AH347" s="178">
        <f t="shared" si="146"/>
        <v>3</v>
      </c>
      <c r="AI347" s="227">
        <f t="shared" si="147"/>
        <v>-2.1005887491052877</v>
      </c>
      <c r="AJ347" s="267" t="b">
        <f t="shared" si="148"/>
        <v>0</v>
      </c>
      <c r="AK347" s="267" t="b">
        <f t="shared" si="149"/>
        <v>0</v>
      </c>
      <c r="AL347" s="267"/>
      <c r="AM347" s="267"/>
      <c r="AN347" s="75"/>
    </row>
    <row r="348" spans="1:40" s="6" customFormat="1" ht="11.25" customHeight="1" x14ac:dyDescent="0.2">
      <c r="A348" s="56">
        <f t="shared" si="151"/>
        <v>43434</v>
      </c>
      <c r="B348" s="620">
        <v>7.9089999999999998</v>
      </c>
      <c r="C348" s="392"/>
      <c r="D348" s="395">
        <f t="shared" si="127"/>
        <v>7.9313021766237517</v>
      </c>
      <c r="E348" s="387">
        <f t="shared" si="124"/>
        <v>8.1454453669417717</v>
      </c>
      <c r="F348" s="387">
        <f t="shared" si="126"/>
        <v>8.1587449906451841</v>
      </c>
      <c r="G348" s="110">
        <f t="shared" si="125"/>
        <v>0.41108015503171275</v>
      </c>
      <c r="I348" s="382">
        <f t="shared" si="128"/>
        <v>8.1587449906451841</v>
      </c>
      <c r="J348" s="85">
        <v>2018</v>
      </c>
      <c r="K348" s="199">
        <f t="shared" si="129"/>
        <v>43434</v>
      </c>
      <c r="L348" s="439">
        <f t="shared" si="130"/>
        <v>2.8119186644387506E-3</v>
      </c>
      <c r="M348" s="883"/>
      <c r="N348" s="883"/>
      <c r="O348" s="326">
        <f t="shared" si="131"/>
        <v>2.6289930221264364E-2</v>
      </c>
      <c r="P348" s="171">
        <f>(INDEX(Models!$BJ348:$BT348,,T348)*(1-R348)+INDEX(Models!$BJ348:$BT348,,T348+1)*R348-ERP_i)*Q348*Ramure*Pc/MaxiM</f>
        <v>9.9622539604754118E-3</v>
      </c>
      <c r="Q348" s="307">
        <f t="shared" si="132"/>
        <v>0.9</v>
      </c>
      <c r="R348" s="179">
        <f t="shared" si="133"/>
        <v>0.89943525132600488</v>
      </c>
      <c r="S348" s="839">
        <f t="shared" si="150"/>
        <v>-3</v>
      </c>
      <c r="T348" s="178">
        <f t="shared" si="134"/>
        <v>3</v>
      </c>
      <c r="U348" s="253">
        <f t="shared" si="135"/>
        <v>-2.1005647486739951</v>
      </c>
      <c r="V348" s="385">
        <f t="shared" si="136"/>
        <v>19.078988251976767</v>
      </c>
      <c r="W348" s="58"/>
      <c r="X348" s="157">
        <f t="shared" si="137"/>
        <v>43434</v>
      </c>
      <c r="Y348" s="387">
        <f t="shared" si="138"/>
        <v>7.9089999999999998</v>
      </c>
      <c r="Z348" s="387">
        <f t="shared" si="139"/>
        <v>7.9313021766237517</v>
      </c>
      <c r="AA348" s="388">
        <f t="shared" si="140"/>
        <v>8.1454453669417717</v>
      </c>
      <c r="AB348" s="199">
        <f t="shared" si="141"/>
        <v>43434</v>
      </c>
      <c r="AC348" s="428">
        <f t="shared" si="142"/>
        <v>2.6289930221264364E-2</v>
      </c>
      <c r="AD348" s="171">
        <f>(INDEX(Models!$BJ348:$BT348,,AH348)*(1-AF348)+INDEX(Models!$BJ348:$BT348,,AH348+1)*AF348-ERP_i)*AE348*Ramure*Pc/MaxiM</f>
        <v>9.9622539604754118E-3</v>
      </c>
      <c r="AE348" s="307">
        <f t="shared" si="143"/>
        <v>0.9</v>
      </c>
      <c r="AF348" s="179">
        <f t="shared" si="144"/>
        <v>0.89943525132600488</v>
      </c>
      <c r="AG348" s="839">
        <f t="shared" si="145"/>
        <v>-3</v>
      </c>
      <c r="AH348" s="178">
        <f t="shared" si="146"/>
        <v>3</v>
      </c>
      <c r="AI348" s="227">
        <f t="shared" si="147"/>
        <v>-2.1005647486739951</v>
      </c>
      <c r="AJ348" s="267" t="b">
        <f t="shared" si="148"/>
        <v>0</v>
      </c>
      <c r="AK348" s="267" t="b">
        <f t="shared" si="149"/>
        <v>0</v>
      </c>
      <c r="AL348" s="267"/>
      <c r="AM348" s="267"/>
      <c r="AN348" s="75"/>
    </row>
    <row r="349" spans="1:40" s="6" customFormat="1" ht="11.25" customHeight="1" x14ac:dyDescent="0.2">
      <c r="A349" s="56">
        <f t="shared" si="151"/>
        <v>43435</v>
      </c>
      <c r="B349" s="620">
        <v>15.340999999999999</v>
      </c>
      <c r="C349" s="392"/>
      <c r="D349" s="395">
        <f t="shared" si="127"/>
        <v>15.384617308344618</v>
      </c>
      <c r="E349" s="387">
        <f t="shared" si="124"/>
        <v>15.80307466832512</v>
      </c>
      <c r="F349" s="387">
        <f t="shared" si="126"/>
        <v>15.918830982377084</v>
      </c>
      <c r="G349" s="110">
        <f t="shared" si="125"/>
        <v>0.80926118604428243</v>
      </c>
      <c r="I349" s="382">
        <f t="shared" si="128"/>
        <v>15.918830982377084</v>
      </c>
      <c r="J349" s="85">
        <v>2018</v>
      </c>
      <c r="K349" s="199">
        <f t="shared" si="129"/>
        <v>43435</v>
      </c>
      <c r="L349" s="439">
        <f t="shared" si="130"/>
        <v>2.8351246878893788E-3</v>
      </c>
      <c r="M349" s="883"/>
      <c r="N349" s="883"/>
      <c r="O349" s="326">
        <f t="shared" si="131"/>
        <v>2.6479490147524015E-2</v>
      </c>
      <c r="P349" s="171">
        <f>(INDEX(Models!$BJ349:$BT349,,T349)*(1-R349)+INDEX(Models!$BJ349:$BT349,,T349+1)*R349-ERP_i)*Q349*Ramure*Pc/MaxiM</f>
        <v>9.9523662297064108E-3</v>
      </c>
      <c r="Q349" s="307">
        <f t="shared" si="132"/>
        <v>0.9</v>
      </c>
      <c r="R349" s="179">
        <f t="shared" si="133"/>
        <v>0.89945828697665098</v>
      </c>
      <c r="S349" s="839">
        <f t="shared" si="150"/>
        <v>-3</v>
      </c>
      <c r="T349" s="178">
        <f t="shared" si="134"/>
        <v>3</v>
      </c>
      <c r="U349" s="253">
        <f t="shared" si="135"/>
        <v>-2.100541713023349</v>
      </c>
      <c r="V349" s="385">
        <f t="shared" si="136"/>
        <v>18.905607116833671</v>
      </c>
      <c r="W349" s="58"/>
      <c r="X349" s="157">
        <f t="shared" si="137"/>
        <v>43435</v>
      </c>
      <c r="Y349" s="387">
        <f t="shared" si="138"/>
        <v>15.340999999999999</v>
      </c>
      <c r="Z349" s="387">
        <f t="shared" si="139"/>
        <v>15.384617308344618</v>
      </c>
      <c r="AA349" s="388">
        <f t="shared" si="140"/>
        <v>15.80307466832512</v>
      </c>
      <c r="AB349" s="199">
        <f t="shared" si="141"/>
        <v>43435</v>
      </c>
      <c r="AC349" s="428">
        <f t="shared" si="142"/>
        <v>2.6479490147524015E-2</v>
      </c>
      <c r="AD349" s="171">
        <f>(INDEX(Models!$BJ349:$BT349,,AH349)*(1-AF349)+INDEX(Models!$BJ349:$BT349,,AH349+1)*AF349-ERP_i)*AE349*Ramure*Pc/MaxiM</f>
        <v>9.9523662297064108E-3</v>
      </c>
      <c r="AE349" s="307">
        <f t="shared" si="143"/>
        <v>0.9</v>
      </c>
      <c r="AF349" s="179">
        <f t="shared" si="144"/>
        <v>0.89945828697665098</v>
      </c>
      <c r="AG349" s="839">
        <f t="shared" si="145"/>
        <v>-3</v>
      </c>
      <c r="AH349" s="178">
        <f t="shared" si="146"/>
        <v>3</v>
      </c>
      <c r="AI349" s="227">
        <f t="shared" si="147"/>
        <v>-2.100541713023349</v>
      </c>
      <c r="AJ349" s="267" t="b">
        <f t="shared" si="148"/>
        <v>0</v>
      </c>
      <c r="AK349" s="267" t="b">
        <f t="shared" si="149"/>
        <v>0</v>
      </c>
      <c r="AL349" s="267"/>
      <c r="AM349" s="267"/>
      <c r="AN349" s="75"/>
    </row>
    <row r="350" spans="1:40" s="6" customFormat="1" ht="11.25" customHeight="1" x14ac:dyDescent="0.2">
      <c r="A350" s="56">
        <f t="shared" si="151"/>
        <v>43436</v>
      </c>
      <c r="B350" s="620">
        <v>7.2949999999999999</v>
      </c>
      <c r="C350" s="392"/>
      <c r="D350" s="395">
        <f t="shared" si="127"/>
        <v>7.3159112899706926</v>
      </c>
      <c r="E350" s="387">
        <f t="shared" si="124"/>
        <v>7.5163674243242422</v>
      </c>
      <c r="F350" s="387">
        <f t="shared" si="126"/>
        <v>7.5259107174273945</v>
      </c>
      <c r="G350" s="110">
        <f t="shared" si="125"/>
        <v>0.38595231021340604</v>
      </c>
      <c r="I350" s="382">
        <f t="shared" si="128"/>
        <v>7.5259107174273945</v>
      </c>
      <c r="J350" s="85">
        <v>2018</v>
      </c>
      <c r="K350" s="199">
        <f t="shared" si="129"/>
        <v>43436</v>
      </c>
      <c r="L350" s="439">
        <f t="shared" si="130"/>
        <v>2.8583301713021037E-3</v>
      </c>
      <c r="M350" s="883"/>
      <c r="N350" s="883"/>
      <c r="O350" s="326">
        <f t="shared" si="131"/>
        <v>2.6669283583029672E-2</v>
      </c>
      <c r="P350" s="171">
        <f>(INDEX(Models!$BJ350:$BT350,,T350)*(1-R350)+INDEX(Models!$BJ350:$BT350,,T350+1)*R350-ERP_i)*Q350*Ramure*Pc/MaxiM</f>
        <v>9.9364827579420181E-3</v>
      </c>
      <c r="Q350" s="307">
        <f t="shared" si="132"/>
        <v>0.9</v>
      </c>
      <c r="R350" s="179">
        <f t="shared" si="133"/>
        <v>0.89948039656964163</v>
      </c>
      <c r="S350" s="839">
        <f t="shared" si="150"/>
        <v>-3</v>
      </c>
      <c r="T350" s="178">
        <f t="shared" si="134"/>
        <v>3</v>
      </c>
      <c r="U350" s="253">
        <f t="shared" si="135"/>
        <v>-2.1005196034303584</v>
      </c>
      <c r="V350" s="385">
        <f t="shared" si="136"/>
        <v>18.737246449454844</v>
      </c>
      <c r="W350" s="58"/>
      <c r="X350" s="157">
        <f t="shared" si="137"/>
        <v>43436</v>
      </c>
      <c r="Y350" s="387">
        <f t="shared" si="138"/>
        <v>7.2949999999999999</v>
      </c>
      <c r="Z350" s="387">
        <f t="shared" si="139"/>
        <v>7.3159112899706926</v>
      </c>
      <c r="AA350" s="388">
        <f t="shared" si="140"/>
        <v>7.5163674243242422</v>
      </c>
      <c r="AB350" s="199">
        <f t="shared" si="141"/>
        <v>43436</v>
      </c>
      <c r="AC350" s="428">
        <f t="shared" si="142"/>
        <v>2.6669283583029672E-2</v>
      </c>
      <c r="AD350" s="171">
        <f>(INDEX(Models!$BJ350:$BT350,,AH350)*(1-AF350)+INDEX(Models!$BJ350:$BT350,,AH350+1)*AF350-ERP_i)*AE350*Ramure*Pc/MaxiM</f>
        <v>9.9364827579420181E-3</v>
      </c>
      <c r="AE350" s="307">
        <f t="shared" si="143"/>
        <v>0.9</v>
      </c>
      <c r="AF350" s="179">
        <f t="shared" si="144"/>
        <v>0.89948039656964163</v>
      </c>
      <c r="AG350" s="839">
        <f t="shared" si="145"/>
        <v>-3</v>
      </c>
      <c r="AH350" s="178">
        <f t="shared" si="146"/>
        <v>3</v>
      </c>
      <c r="AI350" s="227">
        <f t="shared" si="147"/>
        <v>-2.1005196034303584</v>
      </c>
      <c r="AJ350" s="267" t="b">
        <f t="shared" si="148"/>
        <v>0</v>
      </c>
      <c r="AK350" s="267" t="b">
        <f t="shared" si="149"/>
        <v>0</v>
      </c>
      <c r="AL350" s="267"/>
      <c r="AM350" s="267"/>
      <c r="AN350" s="75"/>
    </row>
    <row r="351" spans="1:40" s="6" customFormat="1" ht="11.25" customHeight="1" x14ac:dyDescent="0.2">
      <c r="A351" s="56">
        <f t="shared" si="151"/>
        <v>43437</v>
      </c>
      <c r="B351" s="620">
        <v>8.6690000000000005</v>
      </c>
      <c r="C351" s="392"/>
      <c r="D351" s="395">
        <f t="shared" si="127"/>
        <v>8.694052216751512</v>
      </c>
      <c r="E351" s="387">
        <f t="shared" si="124"/>
        <v>8.9340137284282957</v>
      </c>
      <c r="F351" s="387">
        <f t="shared" si="126"/>
        <v>8.9551570217184668</v>
      </c>
      <c r="G351" s="110">
        <f t="shared" si="125"/>
        <v>0.46317222267254687</v>
      </c>
      <c r="I351" s="382">
        <f t="shared" si="128"/>
        <v>8.9551570217184668</v>
      </c>
      <c r="J351" s="85">
        <v>2018</v>
      </c>
      <c r="K351" s="199">
        <f t="shared" si="129"/>
        <v>43437</v>
      </c>
      <c r="L351" s="439">
        <f t="shared" si="130"/>
        <v>2.8815351146892487E-3</v>
      </c>
      <c r="M351" s="883"/>
      <c r="N351" s="883"/>
      <c r="O351" s="326">
        <f t="shared" si="131"/>
        <v>2.6859317544276694E-2</v>
      </c>
      <c r="P351" s="171">
        <f>(INDEX(Models!$BJ351:$BT351,,T351)*(1-R351)+INDEX(Models!$BJ351:$BT351,,T351+1)*R351-ERP_i)*Q351*Ramure*Pc/MaxiM</f>
        <v>9.9139646549182281E-3</v>
      </c>
      <c r="Q351" s="307">
        <f t="shared" si="132"/>
        <v>0.9</v>
      </c>
      <c r="R351" s="179">
        <f t="shared" si="133"/>
        <v>0.89950161727846911</v>
      </c>
      <c r="S351" s="839">
        <f t="shared" si="150"/>
        <v>-3</v>
      </c>
      <c r="T351" s="178">
        <f t="shared" si="134"/>
        <v>3</v>
      </c>
      <c r="U351" s="253">
        <f t="shared" si="135"/>
        <v>-2.1004983827215309</v>
      </c>
      <c r="V351" s="385">
        <f t="shared" si="136"/>
        <v>18.574880213889028</v>
      </c>
      <c r="W351" s="58"/>
      <c r="X351" s="157">
        <f t="shared" si="137"/>
        <v>43437</v>
      </c>
      <c r="Y351" s="387">
        <f t="shared" si="138"/>
        <v>8.6690000000000005</v>
      </c>
      <c r="Z351" s="387">
        <f t="shared" si="139"/>
        <v>8.694052216751512</v>
      </c>
      <c r="AA351" s="388">
        <f t="shared" si="140"/>
        <v>8.9340137284282957</v>
      </c>
      <c r="AB351" s="199">
        <f t="shared" si="141"/>
        <v>43437</v>
      </c>
      <c r="AC351" s="428">
        <f t="shared" si="142"/>
        <v>2.6859317544276694E-2</v>
      </c>
      <c r="AD351" s="171">
        <f>(INDEX(Models!$BJ351:$BT351,,AH351)*(1-AF351)+INDEX(Models!$BJ351:$BT351,,AH351+1)*AF351-ERP_i)*AE351*Ramure*Pc/MaxiM</f>
        <v>9.9139646549182281E-3</v>
      </c>
      <c r="AE351" s="307">
        <f t="shared" si="143"/>
        <v>0.9</v>
      </c>
      <c r="AF351" s="179">
        <f t="shared" si="144"/>
        <v>0.89950161727846911</v>
      </c>
      <c r="AG351" s="839">
        <f t="shared" si="145"/>
        <v>-3</v>
      </c>
      <c r="AH351" s="178">
        <f t="shared" si="146"/>
        <v>3</v>
      </c>
      <c r="AI351" s="227">
        <f t="shared" si="147"/>
        <v>-2.1004983827215309</v>
      </c>
      <c r="AJ351" s="267" t="b">
        <f t="shared" si="148"/>
        <v>0</v>
      </c>
      <c r="AK351" s="267" t="b">
        <f t="shared" si="149"/>
        <v>0</v>
      </c>
      <c r="AL351" s="267"/>
      <c r="AM351" s="267"/>
      <c r="AN351" s="75"/>
    </row>
    <row r="352" spans="1:40" s="6" customFormat="1" ht="11.25" customHeight="1" x14ac:dyDescent="0.2">
      <c r="A352" s="56">
        <f t="shared" si="151"/>
        <v>43438</v>
      </c>
      <c r="B352" s="620">
        <v>4.7720000000000002</v>
      </c>
      <c r="C352" s="392"/>
      <c r="D352" s="395">
        <f t="shared" si="127"/>
        <v>4.7859017980824605</v>
      </c>
      <c r="E352" s="387">
        <f t="shared" si="124"/>
        <v>4.9189576182048</v>
      </c>
      <c r="F352" s="387">
        <f t="shared" si="126"/>
        <v>4.9189576182048</v>
      </c>
      <c r="G352" s="110">
        <f t="shared" si="125"/>
        <v>0.2565127979669552</v>
      </c>
      <c r="I352" s="382">
        <f t="shared" si="128"/>
        <v>4.9189576182048</v>
      </c>
      <c r="J352" s="85">
        <v>2018</v>
      </c>
      <c r="K352" s="199">
        <f t="shared" si="129"/>
        <v>43438</v>
      </c>
      <c r="L352" s="439">
        <f t="shared" si="130"/>
        <v>2.9047395180633595E-3</v>
      </c>
      <c r="M352" s="883"/>
      <c r="N352" s="883"/>
      <c r="O352" s="326">
        <f t="shared" si="131"/>
        <v>2.7049596774305813E-2</v>
      </c>
      <c r="P352" s="171">
        <f>(INDEX(Models!$BJ352:$BT352,,T352)*(1-R352)+INDEX(Models!$BJ352:$BT352,,T352+1)*R352-ERP_i)*Q352*Ramure*Pc/MaxiM</f>
        <v>9.8872773085634334E-3</v>
      </c>
      <c r="Q352" s="307">
        <f t="shared" si="132"/>
        <v>0.9</v>
      </c>
      <c r="R352" s="179">
        <f t="shared" si="133"/>
        <v>0.89952198478875811</v>
      </c>
      <c r="S352" s="839">
        <f t="shared" si="150"/>
        <v>-3</v>
      </c>
      <c r="T352" s="178">
        <f t="shared" si="134"/>
        <v>3</v>
      </c>
      <c r="U352" s="253">
        <f t="shared" si="135"/>
        <v>-2.1004780152112419</v>
      </c>
      <c r="V352" s="385">
        <f t="shared" si="136"/>
        <v>18.419423709581153</v>
      </c>
      <c r="W352" s="58"/>
      <c r="X352" s="157">
        <f t="shared" si="137"/>
        <v>43438</v>
      </c>
      <c r="Y352" s="387">
        <f t="shared" si="138"/>
        <v>4.7720000000000002</v>
      </c>
      <c r="Z352" s="387">
        <f t="shared" si="139"/>
        <v>4.7859017980824605</v>
      </c>
      <c r="AA352" s="388">
        <f t="shared" si="140"/>
        <v>4.9189576182048</v>
      </c>
      <c r="AB352" s="199">
        <f t="shared" si="141"/>
        <v>43438</v>
      </c>
      <c r="AC352" s="428">
        <f t="shared" si="142"/>
        <v>2.7049596774305813E-2</v>
      </c>
      <c r="AD352" s="171">
        <f>(INDEX(Models!$BJ352:$BT352,,AH352)*(1-AF352)+INDEX(Models!$BJ352:$BT352,,AH352+1)*AF352-ERP_i)*AE352*Ramure*Pc/MaxiM</f>
        <v>9.8872773085634334E-3</v>
      </c>
      <c r="AE352" s="307">
        <f t="shared" si="143"/>
        <v>0.9</v>
      </c>
      <c r="AF352" s="179">
        <f t="shared" si="144"/>
        <v>0.89952198478875811</v>
      </c>
      <c r="AG352" s="839">
        <f t="shared" si="145"/>
        <v>-3</v>
      </c>
      <c r="AH352" s="178">
        <f t="shared" si="146"/>
        <v>3</v>
      </c>
      <c r="AI352" s="227">
        <f t="shared" si="147"/>
        <v>-2.1004780152112419</v>
      </c>
      <c r="AJ352" s="267" t="b">
        <f t="shared" si="148"/>
        <v>0</v>
      </c>
      <c r="AK352" s="267" t="b">
        <f t="shared" si="149"/>
        <v>0</v>
      </c>
      <c r="AL352" s="267"/>
      <c r="AM352" s="267"/>
      <c r="AN352" s="75"/>
    </row>
    <row r="353" spans="1:40" s="6" customFormat="1" ht="11.25" customHeight="1" x14ac:dyDescent="0.2">
      <c r="A353" s="56">
        <f t="shared" si="151"/>
        <v>43439</v>
      </c>
      <c r="B353" s="620">
        <v>15.334</v>
      </c>
      <c r="C353" s="392"/>
      <c r="D353" s="395">
        <f t="shared" si="127"/>
        <v>15.379028925956685</v>
      </c>
      <c r="E353" s="387">
        <f t="shared" si="124"/>
        <v>15.809686749996255</v>
      </c>
      <c r="F353" s="387">
        <f t="shared" si="126"/>
        <v>15.930713554791836</v>
      </c>
      <c r="G353" s="110">
        <f t="shared" si="125"/>
        <v>0.83730434352273275</v>
      </c>
      <c r="I353" s="382">
        <f t="shared" si="128"/>
        <v>15.930713554791836</v>
      </c>
      <c r="J353" s="85">
        <v>2018</v>
      </c>
      <c r="K353" s="199">
        <f t="shared" si="129"/>
        <v>43439</v>
      </c>
      <c r="L353" s="439">
        <f t="shared" si="130"/>
        <v>2.9279433814372036E-3</v>
      </c>
      <c r="M353" s="883"/>
      <c r="N353" s="883"/>
      <c r="O353" s="326">
        <f t="shared" si="131"/>
        <v>2.7240123782950373E-2</v>
      </c>
      <c r="P353" s="171">
        <f>(INDEX(Models!$BJ353:$BT353,,T353)*(1-R353)+INDEX(Models!$BJ353:$BT353,,T353+1)*R353-ERP_i)*Q353*Ramure*Pc/MaxiM</f>
        <v>9.8623054273534721E-3</v>
      </c>
      <c r="Q353" s="307">
        <f t="shared" si="132"/>
        <v>0.9</v>
      </c>
      <c r="R353" s="179">
        <f t="shared" si="133"/>
        <v>0.89954153335747478</v>
      </c>
      <c r="S353" s="839">
        <f t="shared" si="150"/>
        <v>-3</v>
      </c>
      <c r="T353" s="178">
        <f t="shared" si="134"/>
        <v>3</v>
      </c>
      <c r="U353" s="253">
        <f t="shared" si="135"/>
        <v>-2.1004584666425252</v>
      </c>
      <c r="V353" s="385">
        <f t="shared" si="136"/>
        <v>18.271730165907037</v>
      </c>
      <c r="W353" s="58"/>
      <c r="X353" s="157">
        <f t="shared" si="137"/>
        <v>43439</v>
      </c>
      <c r="Y353" s="387">
        <f t="shared" si="138"/>
        <v>15.334</v>
      </c>
      <c r="Z353" s="387">
        <f t="shared" si="139"/>
        <v>15.379028925956685</v>
      </c>
      <c r="AA353" s="388">
        <f t="shared" si="140"/>
        <v>15.809686749996255</v>
      </c>
      <c r="AB353" s="199">
        <f t="shared" si="141"/>
        <v>43439</v>
      </c>
      <c r="AC353" s="428">
        <f t="shared" si="142"/>
        <v>2.7240123782950373E-2</v>
      </c>
      <c r="AD353" s="171">
        <f>(INDEX(Models!$BJ353:$BT353,,AH353)*(1-AF353)+INDEX(Models!$BJ353:$BT353,,AH353+1)*AF353-ERP_i)*AE353*Ramure*Pc/MaxiM</f>
        <v>9.8623054273534721E-3</v>
      </c>
      <c r="AE353" s="307">
        <f t="shared" si="143"/>
        <v>0.9</v>
      </c>
      <c r="AF353" s="179">
        <f t="shared" si="144"/>
        <v>0.89954153335747478</v>
      </c>
      <c r="AG353" s="839">
        <f t="shared" si="145"/>
        <v>-3</v>
      </c>
      <c r="AH353" s="178">
        <f t="shared" si="146"/>
        <v>3</v>
      </c>
      <c r="AI353" s="227">
        <f t="shared" si="147"/>
        <v>-2.1004584666425252</v>
      </c>
      <c r="AJ353" s="267" t="b">
        <f t="shared" si="148"/>
        <v>0</v>
      </c>
      <c r="AK353" s="267" t="b">
        <f t="shared" si="149"/>
        <v>0</v>
      </c>
      <c r="AL353" s="267"/>
      <c r="AM353" s="267"/>
      <c r="AN353" s="75"/>
    </row>
    <row r="354" spans="1:40" s="6" customFormat="1" ht="11.25" x14ac:dyDescent="0.2">
      <c r="A354" s="56">
        <f t="shared" si="151"/>
        <v>43440</v>
      </c>
      <c r="B354" s="620">
        <v>12.791</v>
      </c>
      <c r="C354" s="392"/>
      <c r="D354" s="395">
        <f t="shared" si="127"/>
        <v>12.828859847465488</v>
      </c>
      <c r="E354" s="387">
        <f t="shared" si="124"/>
        <v>13.19069239705575</v>
      </c>
      <c r="F354" s="387">
        <f t="shared" si="126"/>
        <v>13.266284725107106</v>
      </c>
      <c r="G354" s="110">
        <f t="shared" si="125"/>
        <v>0.70247038613416002</v>
      </c>
      <c r="I354" s="382">
        <f t="shared" si="128"/>
        <v>13.266284725107106</v>
      </c>
      <c r="J354" s="85">
        <v>2018</v>
      </c>
      <c r="K354" s="199">
        <f t="shared" si="129"/>
        <v>43440</v>
      </c>
      <c r="L354" s="439">
        <f t="shared" si="130"/>
        <v>2.9511467048233264E-3</v>
      </c>
      <c r="M354" s="883"/>
      <c r="N354" s="883"/>
      <c r="O354" s="326">
        <f t="shared" si="131"/>
        <v>2.7430898901942818E-2</v>
      </c>
      <c r="P354" s="171">
        <f>(INDEX(Models!$BJ354:$BT354,,T354)*(1-R354)+INDEX(Models!$BJ354:$BT354,,T354+1)*R354-ERP_i)*Q354*Ramure*Pc/MaxiM</f>
        <v>9.8386212815663922E-3</v>
      </c>
      <c r="Q354" s="307">
        <f t="shared" si="132"/>
        <v>0.9</v>
      </c>
      <c r="R354" s="179">
        <f t="shared" si="133"/>
        <v>0.89956029586980701</v>
      </c>
      <c r="S354" s="839">
        <f t="shared" si="150"/>
        <v>-3</v>
      </c>
      <c r="T354" s="178">
        <f t="shared" si="134"/>
        <v>3</v>
      </c>
      <c r="U354" s="253">
        <f t="shared" si="135"/>
        <v>-2.100439704130193</v>
      </c>
      <c r="V354" s="385">
        <f t="shared" si="136"/>
        <v>18.132771225483516</v>
      </c>
      <c r="W354" s="58"/>
      <c r="X354" s="157">
        <f t="shared" si="137"/>
        <v>43440</v>
      </c>
      <c r="Y354" s="387">
        <f t="shared" si="138"/>
        <v>12.791</v>
      </c>
      <c r="Z354" s="387">
        <f t="shared" si="139"/>
        <v>12.828859847465488</v>
      </c>
      <c r="AA354" s="388">
        <f t="shared" si="140"/>
        <v>13.19069239705575</v>
      </c>
      <c r="AB354" s="199">
        <f t="shared" si="141"/>
        <v>43440</v>
      </c>
      <c r="AC354" s="428">
        <f t="shared" si="142"/>
        <v>2.7430898901942818E-2</v>
      </c>
      <c r="AD354" s="171">
        <f>(INDEX(Models!$BJ354:$BT354,,AH354)*(1-AF354)+INDEX(Models!$BJ354:$BT354,,AH354+1)*AF354-ERP_i)*AE354*Ramure*Pc/MaxiM</f>
        <v>9.8386212815663922E-3</v>
      </c>
      <c r="AE354" s="307">
        <f t="shared" si="143"/>
        <v>0.9</v>
      </c>
      <c r="AF354" s="179">
        <f t="shared" si="144"/>
        <v>0.89956029586980701</v>
      </c>
      <c r="AG354" s="839">
        <f t="shared" si="145"/>
        <v>-3</v>
      </c>
      <c r="AH354" s="178">
        <f t="shared" si="146"/>
        <v>3</v>
      </c>
      <c r="AI354" s="227">
        <f t="shared" si="147"/>
        <v>-2.100439704130193</v>
      </c>
      <c r="AJ354" s="267" t="b">
        <f t="shared" si="148"/>
        <v>0</v>
      </c>
      <c r="AK354" s="267" t="b">
        <f t="shared" si="149"/>
        <v>0</v>
      </c>
      <c r="AL354" s="267"/>
      <c r="AM354" s="267"/>
      <c r="AN354" s="75"/>
    </row>
    <row r="355" spans="1:40" s="6" customFormat="1" ht="11.25" x14ac:dyDescent="0.2">
      <c r="A355" s="56">
        <f t="shared" si="151"/>
        <v>43441</v>
      </c>
      <c r="B355" s="620">
        <v>15.94</v>
      </c>
      <c r="C355" s="392"/>
      <c r="D355" s="395">
        <f t="shared" si="127"/>
        <v>15.987552568801128</v>
      </c>
      <c r="E355" s="387">
        <f t="shared" si="124"/>
        <v>16.441704007381965</v>
      </c>
      <c r="F355" s="387">
        <f t="shared" si="126"/>
        <v>16.577783659150011</v>
      </c>
      <c r="G355" s="110">
        <f t="shared" si="125"/>
        <v>0.88394773609942667</v>
      </c>
      <c r="I355" s="382">
        <f t="shared" si="128"/>
        <v>16.577783659150011</v>
      </c>
      <c r="J355" s="85">
        <v>2018</v>
      </c>
      <c r="K355" s="199">
        <f t="shared" si="129"/>
        <v>43441</v>
      </c>
      <c r="L355" s="439">
        <f t="shared" si="130"/>
        <v>2.9743494882340515E-3</v>
      </c>
      <c r="M355" s="883"/>
      <c r="N355" s="883"/>
      <c r="O355" s="326">
        <f t="shared" si="131"/>
        <v>2.7621920354297447E-2</v>
      </c>
      <c r="P355" s="171">
        <f>(INDEX(Models!$BJ355:$BT355,,T355)*(1-R355)+INDEX(Models!$BJ355:$BT355,,T355+1)*R355-ERP_i)*Q355*Ramure*Pc/MaxiM</f>
        <v>9.8157843145917582E-3</v>
      </c>
      <c r="Q355" s="307">
        <f t="shared" si="132"/>
        <v>0.9</v>
      </c>
      <c r="R355" s="179">
        <f t="shared" si="133"/>
        <v>0.89957830389380611</v>
      </c>
      <c r="S355" s="839">
        <f t="shared" si="150"/>
        <v>-3</v>
      </c>
      <c r="T355" s="178">
        <f t="shared" si="134"/>
        <v>3</v>
      </c>
      <c r="U355" s="253">
        <f t="shared" si="135"/>
        <v>-2.1004216961061939</v>
      </c>
      <c r="V355" s="385">
        <f t="shared" si="136"/>
        <v>18.003517719565643</v>
      </c>
      <c r="W355" s="58"/>
      <c r="X355" s="157">
        <f t="shared" si="137"/>
        <v>43441</v>
      </c>
      <c r="Y355" s="387">
        <f t="shared" si="138"/>
        <v>15.94</v>
      </c>
      <c r="Z355" s="387">
        <f t="shared" si="139"/>
        <v>15.987552568801128</v>
      </c>
      <c r="AA355" s="388">
        <f t="shared" si="140"/>
        <v>16.441704007381965</v>
      </c>
      <c r="AB355" s="199">
        <f t="shared" si="141"/>
        <v>43441</v>
      </c>
      <c r="AC355" s="428">
        <f t="shared" si="142"/>
        <v>2.7621920354297447E-2</v>
      </c>
      <c r="AD355" s="171">
        <f>(INDEX(Models!$BJ355:$BT355,,AH355)*(1-AF355)+INDEX(Models!$BJ355:$BT355,,AH355+1)*AF355-ERP_i)*AE355*Ramure*Pc/MaxiM</f>
        <v>9.8157843145917582E-3</v>
      </c>
      <c r="AE355" s="307">
        <f t="shared" si="143"/>
        <v>0.9</v>
      </c>
      <c r="AF355" s="179">
        <f t="shared" si="144"/>
        <v>0.89957830389380611</v>
      </c>
      <c r="AG355" s="839">
        <f t="shared" si="145"/>
        <v>-3</v>
      </c>
      <c r="AH355" s="178">
        <f t="shared" si="146"/>
        <v>3</v>
      </c>
      <c r="AI355" s="227">
        <f t="shared" si="147"/>
        <v>-2.1004216961061939</v>
      </c>
      <c r="AJ355" s="267" t="b">
        <f t="shared" si="148"/>
        <v>0</v>
      </c>
      <c r="AK355" s="267" t="b">
        <f t="shared" si="149"/>
        <v>0</v>
      </c>
      <c r="AL355" s="267"/>
      <c r="AM355" s="267"/>
      <c r="AN355" s="75"/>
    </row>
    <row r="356" spans="1:40" s="6" customFormat="1" ht="11.25" customHeight="1" x14ac:dyDescent="0.2">
      <c r="A356" s="56">
        <f t="shared" si="151"/>
        <v>43442</v>
      </c>
      <c r="B356" s="620">
        <v>11.874000000000001</v>
      </c>
      <c r="C356" s="392"/>
      <c r="D356" s="395">
        <f t="shared" si="127"/>
        <v>11.909699941684012</v>
      </c>
      <c r="E356" s="387">
        <f t="shared" si="124"/>
        <v>12.250423220937453</v>
      </c>
      <c r="F356" s="387">
        <f t="shared" si="126"/>
        <v>12.313112806513328</v>
      </c>
      <c r="G356" s="110">
        <f t="shared" si="125"/>
        <v>0.66077282343166965</v>
      </c>
      <c r="I356" s="382">
        <f t="shared" si="128"/>
        <v>12.313112806513328</v>
      </c>
      <c r="J356" s="85">
        <v>2018</v>
      </c>
      <c r="K356" s="199">
        <f t="shared" si="129"/>
        <v>43442</v>
      </c>
      <c r="L356" s="439">
        <f t="shared" si="130"/>
        <v>2.9975517316822575E-3</v>
      </c>
      <c r="M356" s="883"/>
      <c r="N356" s="883"/>
      <c r="O356" s="326">
        <f t="shared" si="131"/>
        <v>2.7813184337264658E-2</v>
      </c>
      <c r="P356" s="171">
        <f>(INDEX(Models!$BJ356:$BT356,,T356)*(1-R356)+INDEX(Models!$BJ356:$BT356,,T356+1)*R356-ERP_i)*Q356*Ramure*Pc/MaxiM</f>
        <v>9.7933424883397593E-3</v>
      </c>
      <c r="Q356" s="307">
        <f t="shared" si="132"/>
        <v>0.9</v>
      </c>
      <c r="R356" s="179">
        <f t="shared" si="133"/>
        <v>0.89959558773287362</v>
      </c>
      <c r="S356" s="839">
        <f t="shared" si="150"/>
        <v>-3</v>
      </c>
      <c r="T356" s="178">
        <f t="shared" si="134"/>
        <v>3</v>
      </c>
      <c r="U356" s="253">
        <f t="shared" si="135"/>
        <v>-2.1004044122671264</v>
      </c>
      <c r="V356" s="385">
        <f t="shared" si="136"/>
        <v>17.884939658890623</v>
      </c>
      <c r="W356" s="58"/>
      <c r="X356" s="157">
        <f t="shared" si="137"/>
        <v>43442</v>
      </c>
      <c r="Y356" s="387">
        <f t="shared" si="138"/>
        <v>11.874000000000001</v>
      </c>
      <c r="Z356" s="387">
        <f t="shared" si="139"/>
        <v>11.909699941684012</v>
      </c>
      <c r="AA356" s="388">
        <f t="shared" si="140"/>
        <v>12.250423220937453</v>
      </c>
      <c r="AB356" s="199">
        <f t="shared" si="141"/>
        <v>43442</v>
      </c>
      <c r="AC356" s="428">
        <f t="shared" si="142"/>
        <v>2.7813184337264658E-2</v>
      </c>
      <c r="AD356" s="171">
        <f>(INDEX(Models!$BJ356:$BT356,,AH356)*(1-AF356)+INDEX(Models!$BJ356:$BT356,,AH356+1)*AF356-ERP_i)*AE356*Ramure*Pc/MaxiM</f>
        <v>9.7933424883397593E-3</v>
      </c>
      <c r="AE356" s="307">
        <f t="shared" si="143"/>
        <v>0.9</v>
      </c>
      <c r="AF356" s="179">
        <f t="shared" si="144"/>
        <v>0.89959558773287362</v>
      </c>
      <c r="AG356" s="839">
        <f t="shared" si="145"/>
        <v>-3</v>
      </c>
      <c r="AH356" s="178">
        <f t="shared" si="146"/>
        <v>3</v>
      </c>
      <c r="AI356" s="227">
        <f t="shared" si="147"/>
        <v>-2.1004044122671264</v>
      </c>
      <c r="AJ356" s="267" t="b">
        <f t="shared" si="148"/>
        <v>0</v>
      </c>
      <c r="AK356" s="267" t="b">
        <f t="shared" si="149"/>
        <v>0</v>
      </c>
      <c r="AL356" s="267"/>
      <c r="AM356" s="267"/>
      <c r="AN356" s="75"/>
    </row>
    <row r="357" spans="1:40" s="6" customFormat="1" ht="11.25" x14ac:dyDescent="0.2">
      <c r="A357" s="56">
        <f t="shared" si="151"/>
        <v>43443</v>
      </c>
      <c r="B357" s="620">
        <v>5.0990000000000002</v>
      </c>
      <c r="C357" s="392"/>
      <c r="D357" s="395">
        <f t="shared" si="127"/>
        <v>5.1144494908685978</v>
      </c>
      <c r="E357" s="387">
        <f t="shared" si="124"/>
        <v>5.2618046739141784</v>
      </c>
      <c r="F357" s="387">
        <f t="shared" ref="F357:F379" si="152">Wh_sa/(1-Pvg*MEDIAN((-Sdif+Wh/Env_an)/Csdif,0,1))</f>
        <v>5.2618046739141784</v>
      </c>
      <c r="G357" s="110">
        <f t="shared" si="125"/>
        <v>0.28401264182005664</v>
      </c>
      <c r="I357" s="382">
        <f t="shared" si="128"/>
        <v>5.2618046739141784</v>
      </c>
      <c r="J357" s="85">
        <v>2018</v>
      </c>
      <c r="K357" s="199">
        <f t="shared" si="129"/>
        <v>43443</v>
      </c>
      <c r="L357" s="439">
        <f t="shared" si="130"/>
        <v>3.0207534351802678E-3</v>
      </c>
      <c r="M357" s="883"/>
      <c r="N357" s="883"/>
      <c r="O357" s="326">
        <f t="shared" si="131"/>
        <v>2.8004685118036787E-2</v>
      </c>
      <c r="P357" s="171">
        <f>(INDEX(Models!$BJ357:$BT357,,T357)*(1-R357)+INDEX(Models!$BJ357:$BT357,,T357+1)*R357-ERP_i)*Q357*Ramure*Pc/MaxiM</f>
        <v>9.7708342625229174E-3</v>
      </c>
      <c r="Q357" s="307">
        <f t="shared" si="132"/>
        <v>0.9</v>
      </c>
      <c r="R357" s="179">
        <f t="shared" si="133"/>
        <v>0.89961217647617753</v>
      </c>
      <c r="S357" s="839">
        <f t="shared" si="150"/>
        <v>-3</v>
      </c>
      <c r="T357" s="178">
        <f t="shared" si="134"/>
        <v>3</v>
      </c>
      <c r="U357" s="253">
        <f t="shared" si="135"/>
        <v>-2.1003878235238225</v>
      </c>
      <c r="V357" s="385">
        <f t="shared" si="136"/>
        <v>17.778006231477651</v>
      </c>
      <c r="W357" s="58"/>
      <c r="X357" s="157">
        <f t="shared" si="137"/>
        <v>43443</v>
      </c>
      <c r="Y357" s="387">
        <f t="shared" si="138"/>
        <v>5.0990000000000002</v>
      </c>
      <c r="Z357" s="387">
        <f t="shared" si="139"/>
        <v>5.1144494908685978</v>
      </c>
      <c r="AA357" s="388">
        <f t="shared" si="140"/>
        <v>5.2618046739141784</v>
      </c>
      <c r="AB357" s="199">
        <f t="shared" si="141"/>
        <v>43443</v>
      </c>
      <c r="AC357" s="428">
        <f t="shared" si="142"/>
        <v>2.8004685118036787E-2</v>
      </c>
      <c r="AD357" s="171">
        <f>(INDEX(Models!$BJ357:$BT357,,AH357)*(1-AF357)+INDEX(Models!$BJ357:$BT357,,AH357+1)*AF357-ERP_i)*AE357*Ramure*Pc/MaxiM</f>
        <v>9.7708342625229174E-3</v>
      </c>
      <c r="AE357" s="307">
        <f t="shared" si="143"/>
        <v>0.9</v>
      </c>
      <c r="AF357" s="179">
        <f t="shared" si="144"/>
        <v>0.89961217647617753</v>
      </c>
      <c r="AG357" s="839">
        <f t="shared" si="145"/>
        <v>-3</v>
      </c>
      <c r="AH357" s="178">
        <f t="shared" si="146"/>
        <v>3</v>
      </c>
      <c r="AI357" s="227">
        <f t="shared" si="147"/>
        <v>-2.1003878235238225</v>
      </c>
      <c r="AJ357" s="267" t="b">
        <f t="shared" si="148"/>
        <v>0</v>
      </c>
      <c r="AK357" s="267" t="b">
        <f t="shared" si="149"/>
        <v>0</v>
      </c>
      <c r="AL357" s="267"/>
      <c r="AM357" s="267"/>
      <c r="AN357" s="75"/>
    </row>
    <row r="358" spans="1:40" s="6" customFormat="1" ht="11.25" customHeight="1" x14ac:dyDescent="0.2">
      <c r="A358" s="56">
        <f t="shared" si="151"/>
        <v>43444</v>
      </c>
      <c r="B358" s="620">
        <v>11.51</v>
      </c>
      <c r="C358" s="392"/>
      <c r="D358" s="395">
        <f t="shared" si="127"/>
        <v>11.545142890795557</v>
      </c>
      <c r="E358" s="387">
        <f t="shared" si="124"/>
        <v>11.880119677140282</v>
      </c>
      <c r="F358" s="387">
        <f t="shared" si="152"/>
        <v>11.938453150317109</v>
      </c>
      <c r="G358" s="110">
        <f t="shared" si="125"/>
        <v>0.64770253633980202</v>
      </c>
      <c r="I358" s="382">
        <f t="shared" si="128"/>
        <v>11.938453150317109</v>
      </c>
      <c r="J358" s="85">
        <v>2018</v>
      </c>
      <c r="K358" s="199">
        <f t="shared" si="129"/>
        <v>43444</v>
      </c>
      <c r="L358" s="439">
        <f t="shared" si="130"/>
        <v>3.043954598740739E-3</v>
      </c>
      <c r="M358" s="883"/>
      <c r="N358" s="883"/>
      <c r="O358" s="326">
        <f t="shared" si="131"/>
        <v>2.8196415141279029E-2</v>
      </c>
      <c r="P358" s="171">
        <f>(INDEX(Models!$BJ358:$BT358,,T358)*(1-R358)+INDEX(Models!$BJ358:$BT358,,T358+1)*R358-ERP_i)*Q358*Ramure*Pc/MaxiM</f>
        <v>9.7477912462476078E-3</v>
      </c>
      <c r="Q358" s="307">
        <f t="shared" si="132"/>
        <v>0.9</v>
      </c>
      <c r="R358" s="179">
        <f t="shared" si="133"/>
        <v>0.8996280980470801</v>
      </c>
      <c r="S358" s="839">
        <f t="shared" si="150"/>
        <v>-3</v>
      </c>
      <c r="T358" s="178">
        <f t="shared" si="134"/>
        <v>3</v>
      </c>
      <c r="U358" s="253">
        <f t="shared" si="135"/>
        <v>-2.1003719019529199</v>
      </c>
      <c r="V358" s="385">
        <f t="shared" si="136"/>
        <v>17.683685786878787</v>
      </c>
      <c r="W358" s="58"/>
      <c r="X358" s="157">
        <f t="shared" si="137"/>
        <v>43444</v>
      </c>
      <c r="Y358" s="387">
        <f t="shared" si="138"/>
        <v>11.51</v>
      </c>
      <c r="Z358" s="387">
        <f t="shared" si="139"/>
        <v>11.545142890795557</v>
      </c>
      <c r="AA358" s="388">
        <f t="shared" si="140"/>
        <v>11.880119677140282</v>
      </c>
      <c r="AB358" s="199">
        <f t="shared" si="141"/>
        <v>43444</v>
      </c>
      <c r="AC358" s="428">
        <f t="shared" si="142"/>
        <v>2.8196415141279029E-2</v>
      </c>
      <c r="AD358" s="171">
        <f>(INDEX(Models!$BJ358:$BT358,,AH358)*(1-AF358)+INDEX(Models!$BJ358:$BT358,,AH358+1)*AF358-ERP_i)*AE358*Ramure*Pc/MaxiM</f>
        <v>9.7477912462476078E-3</v>
      </c>
      <c r="AE358" s="307">
        <f t="shared" si="143"/>
        <v>0.9</v>
      </c>
      <c r="AF358" s="179">
        <f t="shared" si="144"/>
        <v>0.8996280980470801</v>
      </c>
      <c r="AG358" s="839">
        <f t="shared" si="145"/>
        <v>-3</v>
      </c>
      <c r="AH358" s="178">
        <f t="shared" si="146"/>
        <v>3</v>
      </c>
      <c r="AI358" s="227">
        <f t="shared" si="147"/>
        <v>-2.1003719019529199</v>
      </c>
      <c r="AJ358" s="267" t="b">
        <f t="shared" si="148"/>
        <v>0</v>
      </c>
      <c r="AK358" s="267" t="b">
        <f t="shared" si="149"/>
        <v>0</v>
      </c>
      <c r="AL358" s="267"/>
      <c r="AM358" s="267"/>
      <c r="AN358" s="75"/>
    </row>
    <row r="359" spans="1:40" s="6" customFormat="1" ht="11.25" customHeight="1" x14ac:dyDescent="0.2">
      <c r="A359" s="56">
        <f t="shared" si="151"/>
        <v>43445</v>
      </c>
      <c r="B359" s="620">
        <v>14.571</v>
      </c>
      <c r="C359" s="392"/>
      <c r="D359" s="395">
        <f t="shared" si="127"/>
        <v>14.615829016296694</v>
      </c>
      <c r="E359" s="387">
        <f t="shared" si="124"/>
        <v>15.04287154662873</v>
      </c>
      <c r="F359" s="387">
        <f t="shared" si="152"/>
        <v>15.154011286324524</v>
      </c>
      <c r="G359" s="110">
        <f t="shared" si="125"/>
        <v>0.82589200574265031</v>
      </c>
      <c r="I359" s="382">
        <f t="shared" si="128"/>
        <v>15.154011286324524</v>
      </c>
      <c r="J359" s="85">
        <v>2018</v>
      </c>
      <c r="K359" s="199">
        <f t="shared" si="129"/>
        <v>43445</v>
      </c>
      <c r="L359" s="439">
        <f t="shared" si="130"/>
        <v>3.0671552223763277E-3</v>
      </c>
      <c r="M359" s="883"/>
      <c r="N359" s="883"/>
      <c r="O359" s="326">
        <f t="shared" si="131"/>
        <v>2.8388365147460258E-2</v>
      </c>
      <c r="P359" s="171">
        <f>(INDEX(Models!$BJ359:$BT359,,T359)*(1-R359)+INDEX(Models!$BJ359:$BT359,,T359+1)*R359-ERP_i)*Q359*Ramure*Pc/MaxiM</f>
        <v>9.725220032007072E-3</v>
      </c>
      <c r="Q359" s="307">
        <f t="shared" si="132"/>
        <v>0.9</v>
      </c>
      <c r="R359" s="179">
        <f t="shared" si="133"/>
        <v>0.89964337924964788</v>
      </c>
      <c r="S359" s="839">
        <f t="shared" si="150"/>
        <v>-3</v>
      </c>
      <c r="T359" s="178">
        <f t="shared" si="134"/>
        <v>3</v>
      </c>
      <c r="U359" s="253">
        <f t="shared" si="135"/>
        <v>-2.1003566207503521</v>
      </c>
      <c r="V359" s="385">
        <f t="shared" si="136"/>
        <v>17.600243400743821</v>
      </c>
      <c r="W359" s="58"/>
      <c r="X359" s="157">
        <f t="shared" si="137"/>
        <v>43445</v>
      </c>
      <c r="Y359" s="387">
        <f t="shared" si="138"/>
        <v>14.571</v>
      </c>
      <c r="Z359" s="387">
        <f t="shared" si="139"/>
        <v>14.615829016296694</v>
      </c>
      <c r="AA359" s="388">
        <f t="shared" si="140"/>
        <v>15.04287154662873</v>
      </c>
      <c r="AB359" s="199">
        <f t="shared" si="141"/>
        <v>43445</v>
      </c>
      <c r="AC359" s="428">
        <f t="shared" si="142"/>
        <v>2.8388365147460258E-2</v>
      </c>
      <c r="AD359" s="171">
        <f>(INDEX(Models!$BJ359:$BT359,,AH359)*(1-AF359)+INDEX(Models!$BJ359:$BT359,,AH359+1)*AF359-ERP_i)*AE359*Ramure*Pc/MaxiM</f>
        <v>9.725220032007072E-3</v>
      </c>
      <c r="AE359" s="307">
        <f t="shared" si="143"/>
        <v>0.9</v>
      </c>
      <c r="AF359" s="179">
        <f t="shared" si="144"/>
        <v>0.89964337924964788</v>
      </c>
      <c r="AG359" s="839">
        <f t="shared" si="145"/>
        <v>-3</v>
      </c>
      <c r="AH359" s="178">
        <f t="shared" si="146"/>
        <v>3</v>
      </c>
      <c r="AI359" s="227">
        <f t="shared" si="147"/>
        <v>-2.1003566207503521</v>
      </c>
      <c r="AJ359" s="267" t="b">
        <f t="shared" si="148"/>
        <v>0</v>
      </c>
      <c r="AK359" s="267" t="b">
        <f t="shared" si="149"/>
        <v>0</v>
      </c>
      <c r="AL359" s="267"/>
      <c r="AM359" s="267"/>
      <c r="AN359" s="75"/>
    </row>
    <row r="360" spans="1:40" s="6" customFormat="1" ht="11.25" customHeight="1" x14ac:dyDescent="0.2">
      <c r="A360" s="56">
        <f t="shared" si="151"/>
        <v>43446</v>
      </c>
      <c r="B360" s="620">
        <v>3.661</v>
      </c>
      <c r="C360" s="392"/>
      <c r="D360" s="395">
        <f t="shared" si="127"/>
        <v>3.6723488627939838</v>
      </c>
      <c r="E360" s="387">
        <f t="shared" si="124"/>
        <v>3.7803945202467748</v>
      </c>
      <c r="F360" s="387">
        <f t="shared" si="152"/>
        <v>3.7803945202467748</v>
      </c>
      <c r="G360" s="110">
        <f t="shared" si="125"/>
        <v>0.20686985702075439</v>
      </c>
      <c r="I360" s="382">
        <f t="shared" si="128"/>
        <v>3.7803945202467748</v>
      </c>
      <c r="J360" s="85">
        <v>2018</v>
      </c>
      <c r="K360" s="199">
        <f t="shared" si="129"/>
        <v>43446</v>
      </c>
      <c r="L360" s="439">
        <f t="shared" si="130"/>
        <v>3.0903553060994682E-3</v>
      </c>
      <c r="M360" s="883"/>
      <c r="N360" s="883"/>
      <c r="O360" s="326">
        <f t="shared" si="131"/>
        <v>2.8580524300870696E-2</v>
      </c>
      <c r="P360" s="171">
        <f>(INDEX(Models!$BJ360:$BT360,,T360)*(1-R360)+INDEX(Models!$BJ360:$BT360,,T360+1)*R360-ERP_i)*Q360*Ramure*Pc/MaxiM</f>
        <v>9.70444838677848E-3</v>
      </c>
      <c r="Q360" s="307">
        <f t="shared" si="132"/>
        <v>0.9</v>
      </c>
      <c r="R360" s="179">
        <f t="shared" si="133"/>
        <v>0.89965804581332831</v>
      </c>
      <c r="S360" s="839">
        <f t="shared" si="150"/>
        <v>-3</v>
      </c>
      <c r="T360" s="178">
        <f t="shared" si="134"/>
        <v>3</v>
      </c>
      <c r="U360" s="253">
        <f t="shared" si="135"/>
        <v>-2.1003419541866717</v>
      </c>
      <c r="V360" s="385">
        <f t="shared" si="136"/>
        <v>17.525375937646999</v>
      </c>
      <c r="W360" s="58"/>
      <c r="X360" s="157">
        <f t="shared" si="137"/>
        <v>43446</v>
      </c>
      <c r="Y360" s="387">
        <f t="shared" si="138"/>
        <v>3.661</v>
      </c>
      <c r="Z360" s="387">
        <f t="shared" si="139"/>
        <v>3.6723488627939838</v>
      </c>
      <c r="AA360" s="388">
        <f t="shared" si="140"/>
        <v>3.7803945202467748</v>
      </c>
      <c r="AB360" s="199">
        <f t="shared" si="141"/>
        <v>43446</v>
      </c>
      <c r="AC360" s="428">
        <f t="shared" si="142"/>
        <v>2.8580524300870696E-2</v>
      </c>
      <c r="AD360" s="171">
        <f>(INDEX(Models!$BJ360:$BT360,,AH360)*(1-AF360)+INDEX(Models!$BJ360:$BT360,,AH360+1)*AF360-ERP_i)*AE360*Ramure*Pc/MaxiM</f>
        <v>9.70444838677848E-3</v>
      </c>
      <c r="AE360" s="307">
        <f t="shared" si="143"/>
        <v>0.9</v>
      </c>
      <c r="AF360" s="179">
        <f t="shared" si="144"/>
        <v>0.89965804581332831</v>
      </c>
      <c r="AG360" s="839">
        <f t="shared" si="145"/>
        <v>-3</v>
      </c>
      <c r="AH360" s="178">
        <f t="shared" si="146"/>
        <v>3</v>
      </c>
      <c r="AI360" s="227">
        <f t="shared" si="147"/>
        <v>-2.1003419541866717</v>
      </c>
      <c r="AJ360" s="267" t="b">
        <f t="shared" si="148"/>
        <v>0</v>
      </c>
      <c r="AK360" s="267" t="b">
        <f t="shared" si="149"/>
        <v>0</v>
      </c>
      <c r="AL360" s="267"/>
      <c r="AM360" s="267"/>
      <c r="AN360" s="75"/>
    </row>
    <row r="361" spans="1:40" s="6" customFormat="1" ht="11.25" customHeight="1" x14ac:dyDescent="0.2">
      <c r="A361" s="56">
        <f t="shared" si="151"/>
        <v>43447</v>
      </c>
      <c r="B361" s="620">
        <v>1.7330000000000001</v>
      </c>
      <c r="C361" s="392"/>
      <c r="D361" s="395">
        <f t="shared" si="127"/>
        <v>1.7384126431161413</v>
      </c>
      <c r="E361" s="387">
        <f t="shared" ref="E361:E379" si="153">Wh_pvt/(1-Psa)</f>
        <v>1.7899136133059126</v>
      </c>
      <c r="F361" s="387">
        <f t="shared" si="152"/>
        <v>1.7899136133059126</v>
      </c>
      <c r="G361" s="110">
        <f t="shared" ref="G361:G379" si="154">+Wh_hp/MaxiM</f>
        <v>9.8298615175983886E-2</v>
      </c>
      <c r="I361" s="382">
        <f t="shared" si="128"/>
        <v>1.7899136133059126</v>
      </c>
      <c r="J361" s="85">
        <v>2018</v>
      </c>
      <c r="K361" s="199">
        <f t="shared" si="129"/>
        <v>43447</v>
      </c>
      <c r="L361" s="439">
        <f t="shared" si="130"/>
        <v>3.1135548499227061E-3</v>
      </c>
      <c r="M361" s="883"/>
      <c r="N361" s="883"/>
      <c r="O361" s="326">
        <f t="shared" si="131"/>
        <v>2.8772880326135248E-2</v>
      </c>
      <c r="P361" s="171">
        <f>(INDEX(Models!$BJ361:$BT361,,T361)*(1-R361)+INDEX(Models!$BJ361:$BT361,,T361+1)*R361-ERP_i)*Q361*Ramure*Pc/MaxiM</f>
        <v>9.6848153671411606E-3</v>
      </c>
      <c r="Q361" s="307">
        <f t="shared" si="132"/>
        <v>0.9</v>
      </c>
      <c r="R361" s="179">
        <f t="shared" si="133"/>
        <v>0.89967212243585459</v>
      </c>
      <c r="S361" s="839">
        <f t="shared" si="150"/>
        <v>-3</v>
      </c>
      <c r="T361" s="178">
        <f t="shared" si="134"/>
        <v>3</v>
      </c>
      <c r="U361" s="253">
        <f t="shared" si="135"/>
        <v>-2.1003278775641454</v>
      </c>
      <c r="V361" s="385">
        <f t="shared" si="136"/>
        <v>17.459210507657758</v>
      </c>
      <c r="W361" s="58"/>
      <c r="X361" s="157">
        <f t="shared" si="137"/>
        <v>43447</v>
      </c>
      <c r="Y361" s="387">
        <f t="shared" si="138"/>
        <v>1.7330000000000001</v>
      </c>
      <c r="Z361" s="387">
        <f t="shared" si="139"/>
        <v>1.7384126431161413</v>
      </c>
      <c r="AA361" s="388">
        <f t="shared" si="140"/>
        <v>1.7899136133059126</v>
      </c>
      <c r="AB361" s="199">
        <f t="shared" si="141"/>
        <v>43447</v>
      </c>
      <c r="AC361" s="428">
        <f t="shared" si="142"/>
        <v>2.8772880326135248E-2</v>
      </c>
      <c r="AD361" s="171">
        <f>(INDEX(Models!$BJ361:$BT361,,AH361)*(1-AF361)+INDEX(Models!$BJ361:$BT361,,AH361+1)*AF361-ERP_i)*AE361*Ramure*Pc/MaxiM</f>
        <v>9.6848153671411606E-3</v>
      </c>
      <c r="AE361" s="307">
        <f t="shared" si="143"/>
        <v>0.9</v>
      </c>
      <c r="AF361" s="179">
        <f t="shared" si="144"/>
        <v>0.89967212243585459</v>
      </c>
      <c r="AG361" s="839">
        <f t="shared" si="145"/>
        <v>-3</v>
      </c>
      <c r="AH361" s="178">
        <f t="shared" si="146"/>
        <v>3</v>
      </c>
      <c r="AI361" s="227">
        <f t="shared" si="147"/>
        <v>-2.1003278775641454</v>
      </c>
      <c r="AJ361" s="267" t="b">
        <f t="shared" si="148"/>
        <v>0</v>
      </c>
      <c r="AK361" s="267" t="b">
        <f t="shared" si="149"/>
        <v>0</v>
      </c>
      <c r="AL361" s="267"/>
      <c r="AM361" s="267"/>
      <c r="AN361" s="75"/>
    </row>
    <row r="362" spans="1:40" s="6" customFormat="1" ht="11.25" customHeight="1" x14ac:dyDescent="0.2">
      <c r="A362" s="56">
        <f t="shared" si="151"/>
        <v>43448</v>
      </c>
      <c r="B362" s="620">
        <v>1.909</v>
      </c>
      <c r="C362" s="392"/>
      <c r="D362" s="395">
        <f t="shared" si="127"/>
        <v>1.9150069052903356</v>
      </c>
      <c r="E362" s="387">
        <f t="shared" si="153"/>
        <v>1.9721304926174379</v>
      </c>
      <c r="F362" s="387">
        <f t="shared" si="152"/>
        <v>1.9721304926174379</v>
      </c>
      <c r="G362" s="110">
        <f t="shared" si="154"/>
        <v>0.10864049859931858</v>
      </c>
      <c r="I362" s="382">
        <f t="shared" si="128"/>
        <v>1.9721304926174379</v>
      </c>
      <c r="J362" s="85">
        <v>2018</v>
      </c>
      <c r="K362" s="199">
        <f t="shared" si="129"/>
        <v>43448</v>
      </c>
      <c r="L362" s="439">
        <f t="shared" si="130"/>
        <v>3.1367538538586981E-3</v>
      </c>
      <c r="M362" s="883"/>
      <c r="N362" s="883"/>
      <c r="O362" s="326">
        <f t="shared" si="131"/>
        <v>2.896541965196581E-2</v>
      </c>
      <c r="P362" s="171">
        <f>(INDEX(Models!$BJ362:$BT362,,T362)*(1-R362)+INDEX(Models!$BJ362:$BT362,,T362+1)*R362-ERP_i)*Q362*Ramure*Pc/MaxiM</f>
        <v>9.6663162807671538E-3</v>
      </c>
      <c r="Q362" s="307">
        <f t="shared" si="132"/>
        <v>0.9</v>
      </c>
      <c r="R362" s="179">
        <f t="shared" si="133"/>
        <v>0.8996856328244518</v>
      </c>
      <c r="S362" s="839">
        <f t="shared" si="150"/>
        <v>-3</v>
      </c>
      <c r="T362" s="178">
        <f t="shared" si="134"/>
        <v>3</v>
      </c>
      <c r="U362" s="253">
        <f t="shared" si="135"/>
        <v>-2.1003143671755482</v>
      </c>
      <c r="V362" s="385">
        <f t="shared" si="136"/>
        <v>17.401862349625425</v>
      </c>
      <c r="W362" s="58"/>
      <c r="X362" s="157">
        <f t="shared" si="137"/>
        <v>43448</v>
      </c>
      <c r="Y362" s="387">
        <f t="shared" si="138"/>
        <v>1.909</v>
      </c>
      <c r="Z362" s="387">
        <f t="shared" si="139"/>
        <v>1.9150069052903356</v>
      </c>
      <c r="AA362" s="388">
        <f t="shared" si="140"/>
        <v>1.9721304926174379</v>
      </c>
      <c r="AB362" s="199">
        <f t="shared" si="141"/>
        <v>43448</v>
      </c>
      <c r="AC362" s="428">
        <f t="shared" si="142"/>
        <v>2.896541965196581E-2</v>
      </c>
      <c r="AD362" s="171">
        <f>(INDEX(Models!$BJ362:$BT362,,AH362)*(1-AF362)+INDEX(Models!$BJ362:$BT362,,AH362+1)*AF362-ERP_i)*AE362*Ramure*Pc/MaxiM</f>
        <v>9.6663162807671538E-3</v>
      </c>
      <c r="AE362" s="307">
        <f t="shared" si="143"/>
        <v>0.9</v>
      </c>
      <c r="AF362" s="179">
        <f t="shared" si="144"/>
        <v>0.8996856328244518</v>
      </c>
      <c r="AG362" s="839">
        <f t="shared" si="145"/>
        <v>-3</v>
      </c>
      <c r="AH362" s="178">
        <f t="shared" si="146"/>
        <v>3</v>
      </c>
      <c r="AI362" s="227">
        <f t="shared" si="147"/>
        <v>-2.1003143671755482</v>
      </c>
      <c r="AJ362" s="267" t="b">
        <f t="shared" si="148"/>
        <v>0</v>
      </c>
      <c r="AK362" s="267" t="b">
        <f t="shared" si="149"/>
        <v>0</v>
      </c>
      <c r="AL362" s="267"/>
      <c r="AM362" s="267"/>
      <c r="AN362" s="75"/>
    </row>
    <row r="363" spans="1:40" s="6" customFormat="1" ht="11.25" x14ac:dyDescent="0.2">
      <c r="A363" s="56">
        <f t="shared" si="151"/>
        <v>43449</v>
      </c>
      <c r="B363" s="620">
        <v>5.8079999999999998</v>
      </c>
      <c r="C363" s="392"/>
      <c r="D363" s="395">
        <f t="shared" si="127"/>
        <v>5.8264111815181936</v>
      </c>
      <c r="E363" s="387">
        <f t="shared" si="153"/>
        <v>6.0014007913356915</v>
      </c>
      <c r="F363" s="387">
        <f t="shared" si="152"/>
        <v>6.0042717589422967</v>
      </c>
      <c r="G363" s="110">
        <f t="shared" si="154"/>
        <v>0.33161773030667369</v>
      </c>
      <c r="I363" s="382">
        <f t="shared" si="128"/>
        <v>6.0042717589422967</v>
      </c>
      <c r="J363" s="85">
        <v>2018</v>
      </c>
      <c r="K363" s="199">
        <f t="shared" si="129"/>
        <v>43449</v>
      </c>
      <c r="L363" s="439">
        <f t="shared" si="130"/>
        <v>3.1599523179199895E-3</v>
      </c>
      <c r="M363" s="883"/>
      <c r="N363" s="883"/>
      <c r="O363" s="326">
        <f t="shared" si="131"/>
        <v>2.9158127560840942E-2</v>
      </c>
      <c r="P363" s="171">
        <f>(INDEX(Models!$BJ363:$BT363,,T363)*(1-R363)+INDEX(Models!$BJ363:$BT363,,T363+1)*R363-ERP_i)*Q363*Ramure*Pc/MaxiM</f>
        <v>9.6489434142431416E-3</v>
      </c>
      <c r="Q363" s="307">
        <f t="shared" si="132"/>
        <v>0.9</v>
      </c>
      <c r="R363" s="179">
        <f t="shared" si="133"/>
        <v>0.899698599735411</v>
      </c>
      <c r="S363" s="839">
        <f t="shared" si="150"/>
        <v>-3</v>
      </c>
      <c r="T363" s="178">
        <f t="shared" si="134"/>
        <v>3</v>
      </c>
      <c r="U363" s="253">
        <f t="shared" si="135"/>
        <v>-2.100301400264589</v>
      </c>
      <c r="V363" s="385">
        <f t="shared" si="136"/>
        <v>17.353446603151127</v>
      </c>
      <c r="W363" s="58"/>
      <c r="X363" s="157">
        <f t="shared" si="137"/>
        <v>43449</v>
      </c>
      <c r="Y363" s="387">
        <f t="shared" si="138"/>
        <v>5.8079999999999998</v>
      </c>
      <c r="Z363" s="387">
        <f t="shared" si="139"/>
        <v>5.8264111815181936</v>
      </c>
      <c r="AA363" s="388">
        <f t="shared" si="140"/>
        <v>6.0014007913356915</v>
      </c>
      <c r="AB363" s="199">
        <f t="shared" si="141"/>
        <v>43449</v>
      </c>
      <c r="AC363" s="428">
        <f t="shared" si="142"/>
        <v>2.9158127560840942E-2</v>
      </c>
      <c r="AD363" s="171">
        <f>(INDEX(Models!$BJ363:$BT363,,AH363)*(1-AF363)+INDEX(Models!$BJ363:$BT363,,AH363+1)*AF363-ERP_i)*AE363*Ramure*Pc/MaxiM</f>
        <v>9.6489434142431416E-3</v>
      </c>
      <c r="AE363" s="307">
        <f t="shared" si="143"/>
        <v>0.9</v>
      </c>
      <c r="AF363" s="179">
        <f t="shared" si="144"/>
        <v>0.899698599735411</v>
      </c>
      <c r="AG363" s="839">
        <f t="shared" si="145"/>
        <v>-3</v>
      </c>
      <c r="AH363" s="178">
        <f t="shared" si="146"/>
        <v>3</v>
      </c>
      <c r="AI363" s="227">
        <f t="shared" si="147"/>
        <v>-2.100301400264589</v>
      </c>
      <c r="AJ363" s="267" t="b">
        <f t="shared" si="148"/>
        <v>0</v>
      </c>
      <c r="AK363" s="267" t="b">
        <f t="shared" si="149"/>
        <v>0</v>
      </c>
      <c r="AL363" s="267"/>
      <c r="AM363" s="267"/>
      <c r="AN363" s="75"/>
    </row>
    <row r="364" spans="1:40" s="6" customFormat="1" ht="11.25" customHeight="1" x14ac:dyDescent="0.2">
      <c r="A364" s="56">
        <f t="shared" si="151"/>
        <v>43450</v>
      </c>
      <c r="B364" s="620">
        <v>2.903</v>
      </c>
      <c r="C364" s="392"/>
      <c r="D364" s="395">
        <f t="shared" si="127"/>
        <v>2.9122701935717843</v>
      </c>
      <c r="E364" s="387">
        <f t="shared" si="153"/>
        <v>3.0003329304390007</v>
      </c>
      <c r="F364" s="387">
        <f t="shared" si="152"/>
        <v>3.0003329304390007</v>
      </c>
      <c r="G364" s="110">
        <f t="shared" si="154"/>
        <v>0.16605194115238878</v>
      </c>
      <c r="I364" s="382">
        <f t="shared" si="128"/>
        <v>3.0003329304390007</v>
      </c>
      <c r="J364" s="85">
        <v>2018</v>
      </c>
      <c r="K364" s="199">
        <f t="shared" si="129"/>
        <v>43450</v>
      </c>
      <c r="L364" s="439">
        <f t="shared" si="130"/>
        <v>3.183150242119126E-3</v>
      </c>
      <c r="M364" s="883"/>
      <c r="N364" s="883"/>
      <c r="O364" s="326">
        <f t="shared" si="131"/>
        <v>2.9350988343260789E-2</v>
      </c>
      <c r="P364" s="171">
        <f>(INDEX(Models!$BJ364:$BT364,,T364)*(1-R364)+INDEX(Models!$BJ364:$BT364,,T364+1)*R364-ERP_i)*Q364*Ramure*Pc/MaxiM</f>
        <v>9.6326860748402899E-3</v>
      </c>
      <c r="Q364" s="307">
        <f t="shared" si="132"/>
        <v>0.9</v>
      </c>
      <c r="R364" s="179">
        <f t="shared" si="133"/>
        <v>0.89971104501209442</v>
      </c>
      <c r="S364" s="839">
        <f t="shared" si="150"/>
        <v>-3</v>
      </c>
      <c r="T364" s="178">
        <f t="shared" si="134"/>
        <v>3</v>
      </c>
      <c r="U364" s="253">
        <f t="shared" si="135"/>
        <v>-2.1002889549879056</v>
      </c>
      <c r="V364" s="385">
        <f t="shared" si="136"/>
        <v>17.314078308101607</v>
      </c>
      <c r="W364" s="58"/>
      <c r="X364" s="157">
        <f t="shared" si="137"/>
        <v>43450</v>
      </c>
      <c r="Y364" s="387">
        <f t="shared" si="138"/>
        <v>2.903</v>
      </c>
      <c r="Z364" s="387">
        <f t="shared" si="139"/>
        <v>2.9122701935717843</v>
      </c>
      <c r="AA364" s="388">
        <f t="shared" si="140"/>
        <v>3.0003329304390007</v>
      </c>
      <c r="AB364" s="199">
        <f t="shared" si="141"/>
        <v>43450</v>
      </c>
      <c r="AC364" s="428">
        <f t="shared" si="142"/>
        <v>2.9350988343260789E-2</v>
      </c>
      <c r="AD364" s="171">
        <f>(INDEX(Models!$BJ364:$BT364,,AH364)*(1-AF364)+INDEX(Models!$BJ364:$BT364,,AH364+1)*AF364-ERP_i)*AE364*Ramure*Pc/MaxiM</f>
        <v>9.6326860748402899E-3</v>
      </c>
      <c r="AE364" s="307">
        <f t="shared" si="143"/>
        <v>0.9</v>
      </c>
      <c r="AF364" s="179">
        <f t="shared" si="144"/>
        <v>0.89971104501209442</v>
      </c>
      <c r="AG364" s="839">
        <f t="shared" si="145"/>
        <v>-3</v>
      </c>
      <c r="AH364" s="178">
        <f t="shared" si="146"/>
        <v>3</v>
      </c>
      <c r="AI364" s="227">
        <f t="shared" si="147"/>
        <v>-2.1002889549879056</v>
      </c>
      <c r="AJ364" s="267" t="b">
        <f t="shared" si="148"/>
        <v>0</v>
      </c>
      <c r="AK364" s="267" t="b">
        <f t="shared" si="149"/>
        <v>0</v>
      </c>
      <c r="AL364" s="267"/>
      <c r="AM364" s="267"/>
      <c r="AN364" s="75"/>
    </row>
    <row r="365" spans="1:40" s="6" customFormat="1" ht="11.25" customHeight="1" x14ac:dyDescent="0.2">
      <c r="A365" s="56">
        <f t="shared" si="151"/>
        <v>43451</v>
      </c>
      <c r="B365" s="620">
        <v>14.638999999999999</v>
      </c>
      <c r="C365" s="392"/>
      <c r="D365" s="395">
        <f t="shared" si="127"/>
        <v>14.686088705663513</v>
      </c>
      <c r="E365" s="387">
        <f t="shared" si="153"/>
        <v>15.133183251537762</v>
      </c>
      <c r="F365" s="387">
        <f t="shared" si="152"/>
        <v>15.247771221141807</v>
      </c>
      <c r="G365" s="110">
        <f t="shared" si="154"/>
        <v>0.84518032749936167</v>
      </c>
      <c r="I365" s="382">
        <f t="shared" si="128"/>
        <v>15.247771221141807</v>
      </c>
      <c r="J365" s="85">
        <v>2018</v>
      </c>
      <c r="K365" s="199">
        <f t="shared" si="129"/>
        <v>43451</v>
      </c>
      <c r="L365" s="439">
        <f t="shared" si="130"/>
        <v>3.206347626468764E-3</v>
      </c>
      <c r="M365" s="883"/>
      <c r="N365" s="883"/>
      <c r="O365" s="326">
        <f t="shared" si="131"/>
        <v>2.9543985455196112E-2</v>
      </c>
      <c r="P365" s="171">
        <f>(INDEX(Models!$BJ365:$BT365,,T365)*(1-R365)+INDEX(Models!$BJ365:$BT365,,T365+1)*R365-ERP_i)*Q365*Ramure*Pc/MaxiM</f>
        <v>9.6175306609938317E-3</v>
      </c>
      <c r="Q365" s="307">
        <f t="shared" si="132"/>
        <v>0.9</v>
      </c>
      <c r="R365" s="179">
        <f t="shared" si="133"/>
        <v>0.8997229896214316</v>
      </c>
      <c r="S365" s="839">
        <f t="shared" si="150"/>
        <v>-3</v>
      </c>
      <c r="T365" s="178">
        <f t="shared" si="134"/>
        <v>3</v>
      </c>
      <c r="U365" s="253">
        <f t="shared" si="135"/>
        <v>-2.1002770103785684</v>
      </c>
      <c r="V365" s="385">
        <f t="shared" si="136"/>
        <v>17.283872397900303</v>
      </c>
      <c r="W365" s="58"/>
      <c r="X365" s="157">
        <f t="shared" si="137"/>
        <v>43451</v>
      </c>
      <c r="Y365" s="387">
        <f t="shared" si="138"/>
        <v>14.638999999999999</v>
      </c>
      <c r="Z365" s="387">
        <f t="shared" si="139"/>
        <v>14.686088705663513</v>
      </c>
      <c r="AA365" s="388">
        <f t="shared" si="140"/>
        <v>15.133183251537762</v>
      </c>
      <c r="AB365" s="199">
        <f t="shared" si="141"/>
        <v>43451</v>
      </c>
      <c r="AC365" s="428">
        <f t="shared" si="142"/>
        <v>2.9543985455196112E-2</v>
      </c>
      <c r="AD365" s="171">
        <f>(INDEX(Models!$BJ365:$BT365,,AH365)*(1-AF365)+INDEX(Models!$BJ365:$BT365,,AH365+1)*AF365-ERP_i)*AE365*Ramure*Pc/MaxiM</f>
        <v>9.6175306609938317E-3</v>
      </c>
      <c r="AE365" s="307">
        <f t="shared" si="143"/>
        <v>0.9</v>
      </c>
      <c r="AF365" s="179">
        <f t="shared" si="144"/>
        <v>0.8997229896214316</v>
      </c>
      <c r="AG365" s="839">
        <f t="shared" si="145"/>
        <v>-3</v>
      </c>
      <c r="AH365" s="178">
        <f t="shared" si="146"/>
        <v>3</v>
      </c>
      <c r="AI365" s="227">
        <f t="shared" si="147"/>
        <v>-2.1002770103785684</v>
      </c>
      <c r="AJ365" s="267" t="b">
        <f t="shared" si="148"/>
        <v>0</v>
      </c>
      <c r="AK365" s="267" t="b">
        <f t="shared" si="149"/>
        <v>0</v>
      </c>
      <c r="AL365" s="267"/>
      <c r="AM365" s="267"/>
      <c r="AN365" s="75"/>
    </row>
    <row r="366" spans="1:40" s="6" customFormat="1" ht="11.25" customHeight="1" x14ac:dyDescent="0.2">
      <c r="A366" s="56">
        <f t="shared" si="151"/>
        <v>43452</v>
      </c>
      <c r="B366" s="620">
        <v>10.794</v>
      </c>
      <c r="C366" s="392"/>
      <c r="D366" s="395">
        <f t="shared" si="127"/>
        <v>10.828972648744159</v>
      </c>
      <c r="E366" s="387">
        <f t="shared" si="153"/>
        <v>11.160864408465651</v>
      </c>
      <c r="F366" s="387">
        <f t="shared" si="152"/>
        <v>11.210907417971896</v>
      </c>
      <c r="G366" s="110">
        <f t="shared" si="154"/>
        <v>0.62204185519084965</v>
      </c>
      <c r="I366" s="382">
        <f t="shared" si="128"/>
        <v>11.210907417971896</v>
      </c>
      <c r="J366" s="85">
        <v>2018</v>
      </c>
      <c r="K366" s="199">
        <f t="shared" si="129"/>
        <v>43452</v>
      </c>
      <c r="L366" s="439">
        <f t="shared" si="130"/>
        <v>3.2295444709812271E-3</v>
      </c>
      <c r="M366" s="883"/>
      <c r="N366" s="883"/>
      <c r="O366" s="326">
        <f t="shared" si="131"/>
        <v>2.9737101677334999E-2</v>
      </c>
      <c r="P366" s="171">
        <f>(INDEX(Models!$BJ366:$BT366,,T366)*(1-R366)+INDEX(Models!$BJ366:$BT366,,T366+1)*R366-ERP_i)*Q366*Ramure*Pc/MaxiM</f>
        <v>9.6062610724019296E-3</v>
      </c>
      <c r="Q366" s="307">
        <f t="shared" si="132"/>
        <v>0.9</v>
      </c>
      <c r="R366" s="179">
        <f t="shared" si="133"/>
        <v>0.89973445368896865</v>
      </c>
      <c r="S366" s="839">
        <f t="shared" si="150"/>
        <v>-3</v>
      </c>
      <c r="T366" s="178">
        <f t="shared" si="134"/>
        <v>3</v>
      </c>
      <c r="U366" s="253">
        <f t="shared" si="135"/>
        <v>-2.1002655463110314</v>
      </c>
      <c r="V366" s="385">
        <f t="shared" si="136"/>
        <v>17.262894882778994</v>
      </c>
      <c r="W366" s="58"/>
      <c r="X366" s="157">
        <f t="shared" si="137"/>
        <v>43452</v>
      </c>
      <c r="Y366" s="387">
        <f t="shared" si="138"/>
        <v>10.794</v>
      </c>
      <c r="Z366" s="387">
        <f t="shared" si="139"/>
        <v>10.828972648744159</v>
      </c>
      <c r="AA366" s="388">
        <f t="shared" si="140"/>
        <v>11.160864408465651</v>
      </c>
      <c r="AB366" s="199">
        <f t="shared" si="141"/>
        <v>43452</v>
      </c>
      <c r="AC366" s="428">
        <f t="shared" si="142"/>
        <v>2.9737101677334999E-2</v>
      </c>
      <c r="AD366" s="171">
        <f>(INDEX(Models!$BJ366:$BT366,,AH366)*(1-AF366)+INDEX(Models!$BJ366:$BT366,,AH366+1)*AF366-ERP_i)*AE366*Ramure*Pc/MaxiM</f>
        <v>9.6062610724019296E-3</v>
      </c>
      <c r="AE366" s="307">
        <f t="shared" si="143"/>
        <v>0.9</v>
      </c>
      <c r="AF366" s="179">
        <f t="shared" si="144"/>
        <v>0.89973445368896865</v>
      </c>
      <c r="AG366" s="839">
        <f t="shared" si="145"/>
        <v>-3</v>
      </c>
      <c r="AH366" s="178">
        <f t="shared" si="146"/>
        <v>3</v>
      </c>
      <c r="AI366" s="227">
        <f t="shared" si="147"/>
        <v>-2.1002655463110314</v>
      </c>
      <c r="AJ366" s="267" t="b">
        <f t="shared" si="148"/>
        <v>0</v>
      </c>
      <c r="AK366" s="267" t="b">
        <f t="shared" si="149"/>
        <v>0</v>
      </c>
      <c r="AL366" s="267"/>
      <c r="AM366" s="267"/>
      <c r="AN366" s="75"/>
    </row>
    <row r="367" spans="1:40" s="6" customFormat="1" ht="11.25" customHeight="1" x14ac:dyDescent="0.2">
      <c r="A367" s="56">
        <f t="shared" si="151"/>
        <v>43453</v>
      </c>
      <c r="B367" s="620">
        <v>15.696</v>
      </c>
      <c r="C367" s="392"/>
      <c r="D367" s="395">
        <f t="shared" si="127"/>
        <v>15.747221629899073</v>
      </c>
      <c r="E367" s="387">
        <f t="shared" si="153"/>
        <v>16.233082986498143</v>
      </c>
      <c r="F367" s="387">
        <f t="shared" si="152"/>
        <v>16.369930523819825</v>
      </c>
      <c r="G367" s="110">
        <f t="shared" si="154"/>
        <v>0.90870959722188638</v>
      </c>
      <c r="I367" s="382">
        <f t="shared" si="128"/>
        <v>16.369930523819825</v>
      </c>
      <c r="J367" s="85">
        <v>2018</v>
      </c>
      <c r="K367" s="199">
        <f t="shared" si="129"/>
        <v>43453</v>
      </c>
      <c r="L367" s="439">
        <f t="shared" si="130"/>
        <v>3.2527407756692828E-3</v>
      </c>
      <c r="M367" s="883"/>
      <c r="N367" s="883"/>
      <c r="O367" s="326">
        <f t="shared" si="131"/>
        <v>2.9930319274729628E-2</v>
      </c>
      <c r="P367" s="171">
        <f>(INDEX(Models!$BJ367:$BT367,,T367)*(1-R367)+INDEX(Models!$BJ367:$BT367,,T367+1)*R367-ERP_i)*Q367*Ramure*Pc/MaxiM</f>
        <v>9.5955479676984607E-3</v>
      </c>
      <c r="Q367" s="307">
        <f t="shared" si="132"/>
        <v>0.9</v>
      </c>
      <c r="R367" s="179">
        <f t="shared" si="133"/>
        <v>0.89974545653252136</v>
      </c>
      <c r="S367" s="839">
        <f t="shared" si="150"/>
        <v>-3</v>
      </c>
      <c r="T367" s="178">
        <f t="shared" si="134"/>
        <v>3</v>
      </c>
      <c r="U367" s="253">
        <f t="shared" si="135"/>
        <v>-2.1002545434674786</v>
      </c>
      <c r="V367" s="385">
        <f t="shared" si="136"/>
        <v>17.251318227291677</v>
      </c>
      <c r="W367" s="58"/>
      <c r="X367" s="157">
        <f t="shared" si="137"/>
        <v>43453</v>
      </c>
      <c r="Y367" s="387">
        <f t="shared" si="138"/>
        <v>15.695999999999998</v>
      </c>
      <c r="Z367" s="387">
        <f t="shared" si="139"/>
        <v>15.747221629899071</v>
      </c>
      <c r="AA367" s="388">
        <f t="shared" si="140"/>
        <v>16.233082986498143</v>
      </c>
      <c r="AB367" s="199">
        <f t="shared" si="141"/>
        <v>43453</v>
      </c>
      <c r="AC367" s="428">
        <f t="shared" si="142"/>
        <v>2.9930319274729628E-2</v>
      </c>
      <c r="AD367" s="171">
        <f>(INDEX(Models!$BJ367:$BT367,,AH367)*(1-AF367)+INDEX(Models!$BJ367:$BT367,,AH367+1)*AF367-ERP_i)*AE367*Ramure*Pc/MaxiM</f>
        <v>9.5955479676984607E-3</v>
      </c>
      <c r="AE367" s="307">
        <f t="shared" si="143"/>
        <v>0.9</v>
      </c>
      <c r="AF367" s="179">
        <f t="shared" si="144"/>
        <v>0.89974545653252136</v>
      </c>
      <c r="AG367" s="839">
        <f t="shared" si="145"/>
        <v>-3</v>
      </c>
      <c r="AH367" s="178">
        <f t="shared" si="146"/>
        <v>3</v>
      </c>
      <c r="AI367" s="227">
        <f t="shared" si="147"/>
        <v>-2.1002545434674786</v>
      </c>
      <c r="AJ367" s="267" t="b">
        <f t="shared" si="148"/>
        <v>0</v>
      </c>
      <c r="AK367" s="267" t="b">
        <f t="shared" si="149"/>
        <v>0</v>
      </c>
      <c r="AL367" s="267"/>
      <c r="AM367" s="267"/>
      <c r="AN367" s="75"/>
    </row>
    <row r="368" spans="1:40" s="6" customFormat="1" ht="11.25" customHeight="1" x14ac:dyDescent="0.2">
      <c r="A368" s="56">
        <f t="shared" si="151"/>
        <v>43454</v>
      </c>
      <c r="B368" s="620">
        <v>10.593</v>
      </c>
      <c r="C368" s="392"/>
      <c r="D368" s="395">
        <f t="shared" si="127"/>
        <v>10.627816050947494</v>
      </c>
      <c r="E368" s="387">
        <f t="shared" si="153"/>
        <v>10.957907906418928</v>
      </c>
      <c r="F368" s="387">
        <f t="shared" si="152"/>
        <v>11.005244476597516</v>
      </c>
      <c r="G368" s="110">
        <f t="shared" si="154"/>
        <v>0.61085435802091403</v>
      </c>
      <c r="I368" s="382">
        <f t="shared" si="128"/>
        <v>11.005244476597516</v>
      </c>
      <c r="J368" s="85">
        <v>2018</v>
      </c>
      <c r="K368" s="199">
        <f t="shared" si="129"/>
        <v>43454</v>
      </c>
      <c r="L368" s="439">
        <f t="shared" si="130"/>
        <v>3.2759365405454766E-3</v>
      </c>
      <c r="M368" s="883"/>
      <c r="N368" s="883"/>
      <c r="O368" s="326">
        <f t="shared" si="131"/>
        <v>3.0123620155456242E-2</v>
      </c>
      <c r="P368" s="171">
        <f>(INDEX(Models!$BJ368:$BT368,,T368)*(1-R368)+INDEX(Models!$BJ368:$BT368,,T368+1)*R368-ERP_i)*Q368*Ramure*Pc/MaxiM</f>
        <v>9.5853650877341847E-3</v>
      </c>
      <c r="Q368" s="307">
        <f t="shared" si="132"/>
        <v>0.9</v>
      </c>
      <c r="R368" s="179">
        <f t="shared" si="133"/>
        <v>0.89975601669449512</v>
      </c>
      <c r="S368" s="839">
        <f t="shared" si="150"/>
        <v>-3</v>
      </c>
      <c r="T368" s="178">
        <f t="shared" si="134"/>
        <v>3</v>
      </c>
      <c r="U368" s="253">
        <f t="shared" si="135"/>
        <v>-2.1002439833055049</v>
      </c>
      <c r="V368" s="385">
        <f t="shared" si="136"/>
        <v>17.249257015003288</v>
      </c>
      <c r="W368" s="58"/>
      <c r="X368" s="157">
        <f t="shared" si="137"/>
        <v>43454</v>
      </c>
      <c r="Y368" s="387">
        <f t="shared" si="138"/>
        <v>10.593</v>
      </c>
      <c r="Z368" s="387">
        <f t="shared" si="139"/>
        <v>10.627816050947494</v>
      </c>
      <c r="AA368" s="388">
        <f t="shared" si="140"/>
        <v>10.957907906418928</v>
      </c>
      <c r="AB368" s="199">
        <f t="shared" si="141"/>
        <v>43454</v>
      </c>
      <c r="AC368" s="428">
        <f t="shared" si="142"/>
        <v>3.0123620155456242E-2</v>
      </c>
      <c r="AD368" s="171">
        <f>(INDEX(Models!$BJ368:$BT368,,AH368)*(1-AF368)+INDEX(Models!$BJ368:$BT368,,AH368+1)*AF368-ERP_i)*AE368*Ramure*Pc/MaxiM</f>
        <v>9.5853650877341847E-3</v>
      </c>
      <c r="AE368" s="307">
        <f t="shared" si="143"/>
        <v>0.9</v>
      </c>
      <c r="AF368" s="179">
        <f t="shared" si="144"/>
        <v>0.89975601669449512</v>
      </c>
      <c r="AG368" s="839">
        <f t="shared" si="145"/>
        <v>-3</v>
      </c>
      <c r="AH368" s="178">
        <f t="shared" si="146"/>
        <v>3</v>
      </c>
      <c r="AI368" s="227">
        <f t="shared" si="147"/>
        <v>-2.1002439833055049</v>
      </c>
      <c r="AJ368" s="267" t="b">
        <f t="shared" si="148"/>
        <v>0</v>
      </c>
      <c r="AK368" s="267" t="b">
        <f t="shared" si="149"/>
        <v>0</v>
      </c>
      <c r="AL368" s="267"/>
      <c r="AM368" s="267"/>
      <c r="AN368" s="75"/>
    </row>
    <row r="369" spans="1:40" s="18" customFormat="1" ht="11.25" customHeight="1" x14ac:dyDescent="0.2">
      <c r="A369" s="56">
        <f t="shared" si="151"/>
        <v>43455</v>
      </c>
      <c r="B369" s="620">
        <v>8.0779999999999994</v>
      </c>
      <c r="C369" s="392"/>
      <c r="D369" s="395">
        <f t="shared" si="127"/>
        <v>8.1047386005692026</v>
      </c>
      <c r="E369" s="387">
        <f t="shared" si="153"/>
        <v>8.3581319707372543</v>
      </c>
      <c r="F369" s="387">
        <f t="shared" si="152"/>
        <v>8.3773965964973396</v>
      </c>
      <c r="G369" s="110">
        <f t="shared" si="154"/>
        <v>0.46469080739679702</v>
      </c>
      <c r="I369" s="382">
        <f t="shared" si="128"/>
        <v>8.3773965964973396</v>
      </c>
      <c r="J369" s="85">
        <v>2018</v>
      </c>
      <c r="K369" s="199">
        <f t="shared" si="129"/>
        <v>43455</v>
      </c>
      <c r="L369" s="439">
        <f t="shared" si="130"/>
        <v>3.299131765622354E-3</v>
      </c>
      <c r="M369" s="883"/>
      <c r="N369" s="883"/>
      <c r="O369" s="326">
        <f t="shared" si="131"/>
        <v>3.0316986026926826E-2</v>
      </c>
      <c r="P369" s="171">
        <f>(INDEX(Models!$BJ369:$BT369,,T369)*(1-R369)+INDEX(Models!$BJ369:$BT369,,T369+1)*R369-ERP_i)*Q369*Ramure*Pc/MaxiM</f>
        <v>9.5756853743828273E-3</v>
      </c>
      <c r="Q369" s="307">
        <f t="shared" si="132"/>
        <v>0.9</v>
      </c>
      <c r="R369" s="179">
        <f t="shared" si="133"/>
        <v>0.89976615197291654</v>
      </c>
      <c r="S369" s="839">
        <f t="shared" si="150"/>
        <v>-3</v>
      </c>
      <c r="T369" s="178">
        <f t="shared" si="134"/>
        <v>3</v>
      </c>
      <c r="U369" s="253">
        <f t="shared" si="135"/>
        <v>-2.1002338480270835</v>
      </c>
      <c r="V369" s="385">
        <f t="shared" si="136"/>
        <v>17.25682571585417</v>
      </c>
      <c r="W369" s="58"/>
      <c r="X369" s="157">
        <f t="shared" si="137"/>
        <v>43455</v>
      </c>
      <c r="Y369" s="387">
        <f t="shared" si="138"/>
        <v>8.0779999999999994</v>
      </c>
      <c r="Z369" s="387">
        <f t="shared" si="139"/>
        <v>8.1047386005692026</v>
      </c>
      <c r="AA369" s="388">
        <f t="shared" si="140"/>
        <v>8.3581319707372543</v>
      </c>
      <c r="AB369" s="199">
        <f t="shared" si="141"/>
        <v>43455</v>
      </c>
      <c r="AC369" s="428">
        <f t="shared" si="142"/>
        <v>3.0316986026926826E-2</v>
      </c>
      <c r="AD369" s="171">
        <f>(INDEX(Models!$BJ369:$BT369,,AH369)*(1-AF369)+INDEX(Models!$BJ369:$BT369,,AH369+1)*AF369-ERP_i)*AE369*Ramure*Pc/MaxiM</f>
        <v>9.5756853743828273E-3</v>
      </c>
      <c r="AE369" s="307">
        <f t="shared" si="143"/>
        <v>0.9</v>
      </c>
      <c r="AF369" s="179">
        <f t="shared" si="144"/>
        <v>0.89976615197291654</v>
      </c>
      <c r="AG369" s="839">
        <f t="shared" si="145"/>
        <v>-3</v>
      </c>
      <c r="AH369" s="178">
        <f t="shared" si="146"/>
        <v>3</v>
      </c>
      <c r="AI369" s="227">
        <f t="shared" si="147"/>
        <v>-2.1002338480270835</v>
      </c>
      <c r="AJ369" s="267" t="b">
        <f t="shared" si="148"/>
        <v>0</v>
      </c>
      <c r="AK369" s="267" t="b">
        <f t="shared" si="149"/>
        <v>0</v>
      </c>
      <c r="AL369" s="267"/>
      <c r="AM369" s="267"/>
      <c r="AN369" s="267"/>
    </row>
    <row r="370" spans="1:40" s="18" customFormat="1" ht="11.25" customHeight="1" x14ac:dyDescent="0.2">
      <c r="A370" s="56">
        <f t="shared" si="151"/>
        <v>43456</v>
      </c>
      <c r="B370" s="620">
        <v>6.8490000000000002</v>
      </c>
      <c r="C370" s="392"/>
      <c r="D370" s="395">
        <f t="shared" si="127"/>
        <v>6.8718304641171226</v>
      </c>
      <c r="E370" s="387">
        <f t="shared" si="153"/>
        <v>7.0880909437594379</v>
      </c>
      <c r="F370" s="387">
        <f>Wh_sa/(1-Pvg*MEDIAN((-Sdif+Wh/Env_an)/Csdif,0,1))</f>
        <v>7.0974500155152409</v>
      </c>
      <c r="G370" s="110">
        <f t="shared" si="154"/>
        <v>0.39321416638907308</v>
      </c>
      <c r="I370" s="382">
        <f t="shared" si="128"/>
        <v>7.0974500155152409</v>
      </c>
      <c r="J370" s="85">
        <v>2018</v>
      </c>
      <c r="K370" s="199">
        <f t="shared" si="129"/>
        <v>43456</v>
      </c>
      <c r="L370" s="439">
        <f t="shared" si="130"/>
        <v>3.3223264509124606E-3</v>
      </c>
      <c r="M370" s="883"/>
      <c r="N370" s="883"/>
      <c r="O370" s="326">
        <f t="shared" si="131"/>
        <v>3.0510398548528484E-2</v>
      </c>
      <c r="P370" s="171">
        <f>(INDEX(Models!$BJ370:$BT370,,T370)*(1-R370)+INDEX(Models!$BJ370:$BT370,,T370+1)*R370-ERP_i)*Q370*Ramure*Pc/MaxiM</f>
        <v>9.5664812138765223E-3</v>
      </c>
      <c r="Q370" s="307">
        <f t="shared" si="132"/>
        <v>0.9</v>
      </c>
      <c r="R370" s="179">
        <f t="shared" si="133"/>
        <v>0.89977587945123272</v>
      </c>
      <c r="S370" s="839">
        <f t="shared" si="150"/>
        <v>-3</v>
      </c>
      <c r="T370" s="178">
        <f t="shared" si="134"/>
        <v>3</v>
      </c>
      <c r="U370" s="253">
        <f t="shared" si="135"/>
        <v>-2.1002241205487673</v>
      </c>
      <c r="V370" s="385">
        <f t="shared" si="136"/>
        <v>17.274138662862313</v>
      </c>
      <c r="W370" s="58"/>
      <c r="X370" s="157">
        <f t="shared" si="137"/>
        <v>43456</v>
      </c>
      <c r="Y370" s="387">
        <f t="shared" si="138"/>
        <v>6.8490000000000002</v>
      </c>
      <c r="Z370" s="387">
        <f t="shared" si="139"/>
        <v>6.8718304641171226</v>
      </c>
      <c r="AA370" s="388">
        <f t="shared" si="140"/>
        <v>7.0880909437594379</v>
      </c>
      <c r="AB370" s="199">
        <f t="shared" si="141"/>
        <v>43456</v>
      </c>
      <c r="AC370" s="428">
        <f t="shared" si="142"/>
        <v>3.0510398548528484E-2</v>
      </c>
      <c r="AD370" s="171">
        <f>(INDEX(Models!$BJ370:$BT370,,AH370)*(1-AF370)+INDEX(Models!$BJ370:$BT370,,AH370+1)*AF370-ERP_i)*AE370*Ramure*Pc/MaxiM</f>
        <v>9.5664812138765223E-3</v>
      </c>
      <c r="AE370" s="307">
        <f t="shared" si="143"/>
        <v>0.9</v>
      </c>
      <c r="AF370" s="179">
        <f t="shared" si="144"/>
        <v>0.89977587945123272</v>
      </c>
      <c r="AG370" s="839">
        <f t="shared" si="145"/>
        <v>-3</v>
      </c>
      <c r="AH370" s="178">
        <f t="shared" si="146"/>
        <v>3</v>
      </c>
      <c r="AI370" s="227">
        <f t="shared" si="147"/>
        <v>-2.1002241205487673</v>
      </c>
      <c r="AJ370" s="267" t="b">
        <f t="shared" si="148"/>
        <v>0</v>
      </c>
      <c r="AK370" s="267" t="b">
        <f t="shared" si="149"/>
        <v>0</v>
      </c>
      <c r="AL370" s="267"/>
      <c r="AM370" s="267"/>
      <c r="AN370" s="267"/>
    </row>
    <row r="371" spans="1:40" s="6" customFormat="1" ht="11.25" customHeight="1" x14ac:dyDescent="0.2">
      <c r="A371" s="56">
        <f t="shared" si="151"/>
        <v>43457</v>
      </c>
      <c r="B371" s="620">
        <v>4.476</v>
      </c>
      <c r="C371" s="392"/>
      <c r="D371" s="395">
        <f t="shared" si="127"/>
        <v>4.4910248160210688</v>
      </c>
      <c r="E371" s="387">
        <f t="shared" si="153"/>
        <v>4.6332844376569007</v>
      </c>
      <c r="F371" s="387">
        <f t="shared" si="152"/>
        <v>4.6332844376569007</v>
      </c>
      <c r="G371" s="110">
        <f t="shared" si="154"/>
        <v>0.25623606559744472</v>
      </c>
      <c r="I371" s="382">
        <f t="shared" si="128"/>
        <v>4.6332844376569007</v>
      </c>
      <c r="J371" s="85">
        <v>2018</v>
      </c>
      <c r="K371" s="199">
        <f t="shared" si="129"/>
        <v>43457</v>
      </c>
      <c r="L371" s="439">
        <f t="shared" si="130"/>
        <v>3.3455205964282309E-3</v>
      </c>
      <c r="M371" s="883"/>
      <c r="N371" s="883"/>
      <c r="O371" s="326">
        <f t="shared" si="131"/>
        <v>3.0703839479316361E-2</v>
      </c>
      <c r="P371" s="171">
        <f>(INDEX(Models!$BJ371:$BT371,,T371)*(1-R371)+INDEX(Models!$BJ371:$BT371,,T371+1)*R371-ERP_i)*Q371*Ramure*Pc/MaxiM</f>
        <v>9.5576037935299254E-3</v>
      </c>
      <c r="Q371" s="307">
        <f t="shared" si="132"/>
        <v>0.9</v>
      </c>
      <c r="R371" s="179">
        <f t="shared" si="133"/>
        <v>0.89977587945123272</v>
      </c>
      <c r="S371" s="839">
        <f t="shared" si="150"/>
        <v>-3</v>
      </c>
      <c r="T371" s="178">
        <f t="shared" si="134"/>
        <v>3</v>
      </c>
      <c r="U371" s="253">
        <f t="shared" si="135"/>
        <v>-2.1002241205487673</v>
      </c>
      <c r="V371" s="385">
        <f t="shared" si="136"/>
        <v>17.301312190708142</v>
      </c>
      <c r="W371" s="58"/>
      <c r="X371" s="157">
        <f t="shared" si="137"/>
        <v>43457</v>
      </c>
      <c r="Y371" s="387">
        <f t="shared" si="138"/>
        <v>4.476</v>
      </c>
      <c r="Z371" s="387">
        <f t="shared" si="139"/>
        <v>4.4910248160210688</v>
      </c>
      <c r="AA371" s="388">
        <f t="shared" si="140"/>
        <v>4.6332844376569007</v>
      </c>
      <c r="AB371" s="199">
        <f t="shared" si="141"/>
        <v>43457</v>
      </c>
      <c r="AC371" s="428">
        <f t="shared" si="142"/>
        <v>3.0703839479316361E-2</v>
      </c>
      <c r="AD371" s="171">
        <f>(INDEX(Models!$BJ371:$BT371,,AH371)*(1-AF371)+INDEX(Models!$BJ371:$BT371,,AH371+1)*AF371-ERP_i)*AE371*Ramure*Pc/MaxiM</f>
        <v>9.5576037935299254E-3</v>
      </c>
      <c r="AE371" s="307">
        <f t="shared" si="143"/>
        <v>0.9</v>
      </c>
      <c r="AF371" s="179">
        <f t="shared" si="144"/>
        <v>0.89977587945123272</v>
      </c>
      <c r="AG371" s="839">
        <f t="shared" si="145"/>
        <v>-3</v>
      </c>
      <c r="AH371" s="178">
        <f t="shared" si="146"/>
        <v>3</v>
      </c>
      <c r="AI371" s="227">
        <f t="shared" si="147"/>
        <v>-2.1002241205487673</v>
      </c>
      <c r="AJ371" s="267" t="b">
        <f t="shared" si="148"/>
        <v>0</v>
      </c>
      <c r="AK371" s="267" t="b">
        <f t="shared" si="149"/>
        <v>0</v>
      </c>
      <c r="AL371" s="267"/>
      <c r="AM371" s="267"/>
      <c r="AN371" s="75"/>
    </row>
    <row r="372" spans="1:40" s="6" customFormat="1" ht="11.25" customHeight="1" x14ac:dyDescent="0.2">
      <c r="A372" s="56">
        <f t="shared" si="151"/>
        <v>43458</v>
      </c>
      <c r="B372" s="620">
        <v>4.9989999999999997</v>
      </c>
      <c r="C372" s="392"/>
      <c r="D372" s="395">
        <f t="shared" si="127"/>
        <v>5.0158971238778935</v>
      </c>
      <c r="E372" s="387">
        <f t="shared" si="153"/>
        <v>5.1758158101938712</v>
      </c>
      <c r="F372" s="387">
        <f t="shared" si="152"/>
        <v>5.1758158101938712</v>
      </c>
      <c r="G372" s="110">
        <f t="shared" si="154"/>
        <v>0.28556540259936869</v>
      </c>
      <c r="I372" s="382">
        <f t="shared" si="128"/>
        <v>5.1758158101938712</v>
      </c>
      <c r="J372" s="85">
        <v>2018</v>
      </c>
      <c r="K372" s="199">
        <f t="shared" si="129"/>
        <v>43458</v>
      </c>
      <c r="L372" s="439">
        <f t="shared" si="130"/>
        <v>3.3687142021824323E-3</v>
      </c>
      <c r="M372" s="883"/>
      <c r="N372" s="883"/>
      <c r="O372" s="326">
        <f t="shared" si="131"/>
        <v>3.0897290819548635E-2</v>
      </c>
      <c r="P372" s="171">
        <f>(INDEX(Models!$BJ372:$BT372,,T372)*(1-R372)+INDEX(Models!$BJ372:$BT372,,T372+1)*R372-ERP_i)*Q372*Ramure*Pc/MaxiM</f>
        <v>9.5491366228843775E-3</v>
      </c>
      <c r="Q372" s="307">
        <f t="shared" si="132"/>
        <v>0.9</v>
      </c>
      <c r="R372" s="179">
        <f t="shared" si="133"/>
        <v>0.89977587945123272</v>
      </c>
      <c r="S372" s="839">
        <f t="shared" si="150"/>
        <v>-3</v>
      </c>
      <c r="T372" s="178">
        <f t="shared" si="134"/>
        <v>3</v>
      </c>
      <c r="U372" s="253">
        <f t="shared" si="135"/>
        <v>-2.1002241205487673</v>
      </c>
      <c r="V372" s="385">
        <f t="shared" si="136"/>
        <v>17.338458444031225</v>
      </c>
      <c r="W372" s="58"/>
      <c r="X372" s="157">
        <f t="shared" si="137"/>
        <v>43458</v>
      </c>
      <c r="Y372" s="387">
        <f t="shared" si="138"/>
        <v>4.9989999999999997</v>
      </c>
      <c r="Z372" s="387">
        <f t="shared" si="139"/>
        <v>5.0158971238778935</v>
      </c>
      <c r="AA372" s="388">
        <f t="shared" si="140"/>
        <v>5.1758158101938712</v>
      </c>
      <c r="AB372" s="199">
        <f t="shared" si="141"/>
        <v>43458</v>
      </c>
      <c r="AC372" s="428">
        <f t="shared" si="142"/>
        <v>3.0897290819548635E-2</v>
      </c>
      <c r="AD372" s="171">
        <f>(INDEX(Models!$BJ372:$BT372,,AH372)*(1-AF372)+INDEX(Models!$BJ372:$BT372,,AH372+1)*AF372-ERP_i)*AE372*Ramure*Pc/MaxiM</f>
        <v>9.5491366228843775E-3</v>
      </c>
      <c r="AE372" s="307">
        <f t="shared" si="143"/>
        <v>0.9</v>
      </c>
      <c r="AF372" s="179">
        <f t="shared" si="144"/>
        <v>0.89977587945123272</v>
      </c>
      <c r="AG372" s="839">
        <f t="shared" si="145"/>
        <v>-3</v>
      </c>
      <c r="AH372" s="178">
        <f t="shared" si="146"/>
        <v>3</v>
      </c>
      <c r="AI372" s="227">
        <f t="shared" si="147"/>
        <v>-2.1002241205487673</v>
      </c>
      <c r="AJ372" s="267" t="b">
        <f t="shared" si="148"/>
        <v>0</v>
      </c>
      <c r="AK372" s="267" t="b">
        <f t="shared" si="149"/>
        <v>0</v>
      </c>
      <c r="AL372" s="267"/>
      <c r="AM372" s="267"/>
      <c r="AN372" s="75"/>
    </row>
    <row r="373" spans="1:40" s="6" customFormat="1" ht="11.25" customHeight="1" x14ac:dyDescent="0.2">
      <c r="A373" s="56">
        <f t="shared" si="151"/>
        <v>43459</v>
      </c>
      <c r="B373" s="620">
        <v>13.336</v>
      </c>
      <c r="C373" s="392"/>
      <c r="D373" s="395">
        <f t="shared" si="127"/>
        <v>13.381388428669647</v>
      </c>
      <c r="E373" s="387">
        <f t="shared" si="153"/>
        <v>13.810775591983855</v>
      </c>
      <c r="F373" s="387">
        <f t="shared" si="152"/>
        <v>13.899256266993024</v>
      </c>
      <c r="G373" s="110">
        <f t="shared" si="154"/>
        <v>0.76460378368279736</v>
      </c>
      <c r="I373" s="382">
        <f t="shared" si="128"/>
        <v>13.899256266993024</v>
      </c>
      <c r="J373" s="85">
        <v>2018</v>
      </c>
      <c r="K373" s="199">
        <f t="shared" si="129"/>
        <v>43459</v>
      </c>
      <c r="L373" s="439">
        <f t="shared" si="130"/>
        <v>3.3919072681876106E-3</v>
      </c>
      <c r="M373" s="883"/>
      <c r="N373" s="883"/>
      <c r="O373" s="326">
        <f t="shared" si="131"/>
        <v>3.1090734944924907E-2</v>
      </c>
      <c r="P373" s="171">
        <f>(INDEX(Models!$BJ373:$BT373,,T373)*(1-R373)+INDEX(Models!$BJ373:$BT373,,T373+1)*R373-ERP_i)*Q373*Ramure*Pc/MaxiM</f>
        <v>9.5408503388327744E-3</v>
      </c>
      <c r="Q373" s="307">
        <f t="shared" si="132"/>
        <v>0.9</v>
      </c>
      <c r="R373" s="179">
        <f t="shared" si="133"/>
        <v>0.89977587945123272</v>
      </c>
      <c r="S373" s="839">
        <f t="shared" si="150"/>
        <v>-3</v>
      </c>
      <c r="T373" s="178">
        <f t="shared" si="134"/>
        <v>3</v>
      </c>
      <c r="U373" s="253">
        <f t="shared" si="135"/>
        <v>-2.1002241205487673</v>
      </c>
      <c r="V373" s="385">
        <f t="shared" si="136"/>
        <v>17.385981212365291</v>
      </c>
      <c r="W373" s="58"/>
      <c r="X373" s="157">
        <f t="shared" si="137"/>
        <v>43459</v>
      </c>
      <c r="Y373" s="387">
        <f t="shared" si="138"/>
        <v>13.336</v>
      </c>
      <c r="Z373" s="387">
        <f t="shared" si="139"/>
        <v>13.381388428669647</v>
      </c>
      <c r="AA373" s="388">
        <f t="shared" si="140"/>
        <v>13.810775591983855</v>
      </c>
      <c r="AB373" s="199">
        <f t="shared" si="141"/>
        <v>43459</v>
      </c>
      <c r="AC373" s="428">
        <f t="shared" si="142"/>
        <v>3.1090734944924907E-2</v>
      </c>
      <c r="AD373" s="171">
        <f>(INDEX(Models!$BJ373:$BT373,,AH373)*(1-AF373)+INDEX(Models!$BJ373:$BT373,,AH373+1)*AF373-ERP_i)*AE373*Ramure*Pc/MaxiM</f>
        <v>9.5408503388327744E-3</v>
      </c>
      <c r="AE373" s="307">
        <f t="shared" si="143"/>
        <v>0.9</v>
      </c>
      <c r="AF373" s="179">
        <f t="shared" si="144"/>
        <v>0.89977587945123272</v>
      </c>
      <c r="AG373" s="839">
        <f t="shared" si="145"/>
        <v>-3</v>
      </c>
      <c r="AH373" s="178">
        <f t="shared" si="146"/>
        <v>3</v>
      </c>
      <c r="AI373" s="227">
        <f t="shared" si="147"/>
        <v>-2.1002241205487673</v>
      </c>
      <c r="AJ373" s="267" t="b">
        <f t="shared" si="148"/>
        <v>0</v>
      </c>
      <c r="AK373" s="267" t="b">
        <f t="shared" si="149"/>
        <v>0</v>
      </c>
      <c r="AL373" s="267"/>
      <c r="AM373" s="267"/>
      <c r="AN373" s="75"/>
    </row>
    <row r="374" spans="1:40" s="6" customFormat="1" ht="11.25" customHeight="1" x14ac:dyDescent="0.2">
      <c r="A374" s="56">
        <f t="shared" si="151"/>
        <v>43460</v>
      </c>
      <c r="B374" s="620">
        <v>16.808</v>
      </c>
      <c r="C374" s="392"/>
      <c r="D374" s="395">
        <f t="shared" si="127"/>
        <v>16.865597699236041</v>
      </c>
      <c r="E374" s="387">
        <f t="shared" si="153"/>
        <v>17.410263062826584</v>
      </c>
      <c r="F374" s="387">
        <f t="shared" si="152"/>
        <v>17.569018811526597</v>
      </c>
      <c r="G374" s="110">
        <f t="shared" si="154"/>
        <v>0.96305576861440101</v>
      </c>
      <c r="I374" s="382">
        <f t="shared" si="128"/>
        <v>17.569018811526597</v>
      </c>
      <c r="J374" s="85">
        <v>2018</v>
      </c>
      <c r="K374" s="199">
        <f t="shared" si="129"/>
        <v>43460</v>
      </c>
      <c r="L374" s="439">
        <f t="shared" si="130"/>
        <v>3.4150997944562E-3</v>
      </c>
      <c r="M374" s="883"/>
      <c r="N374" s="883"/>
      <c r="O374" s="326">
        <f t="shared" si="131"/>
        <v>3.1284154732474062E-2</v>
      </c>
      <c r="P374" s="171">
        <f>(INDEX(Models!$BJ374:$BT374,,T374)*(1-R374)+INDEX(Models!$BJ374:$BT374,,T374+1)*R374-ERP_i)*Q374*Ramure*Pc/MaxiM</f>
        <v>9.5326539053452852E-3</v>
      </c>
      <c r="Q374" s="307">
        <f t="shared" si="132"/>
        <v>0.9</v>
      </c>
      <c r="R374" s="179">
        <f t="shared" si="133"/>
        <v>0.89977587945123272</v>
      </c>
      <c r="S374" s="839">
        <f t="shared" si="150"/>
        <v>-3</v>
      </c>
      <c r="T374" s="178">
        <f t="shared" si="134"/>
        <v>3</v>
      </c>
      <c r="U374" s="253">
        <f t="shared" si="135"/>
        <v>-2.1002241205487673</v>
      </c>
      <c r="V374" s="385">
        <f t="shared" si="136"/>
        <v>17.444034594612337</v>
      </c>
      <c r="W374" s="58"/>
      <c r="X374" s="157">
        <f t="shared" si="137"/>
        <v>43460</v>
      </c>
      <c r="Y374" s="387">
        <f t="shared" si="138"/>
        <v>16.808</v>
      </c>
      <c r="Z374" s="387">
        <f t="shared" si="139"/>
        <v>16.865597699236041</v>
      </c>
      <c r="AA374" s="388">
        <f t="shared" si="140"/>
        <v>17.410263062826584</v>
      </c>
      <c r="AB374" s="199">
        <f t="shared" si="141"/>
        <v>43460</v>
      </c>
      <c r="AC374" s="428">
        <f t="shared" si="142"/>
        <v>3.1284154732474062E-2</v>
      </c>
      <c r="AD374" s="171">
        <f>(INDEX(Models!$BJ374:$BT374,,AH374)*(1-AF374)+INDEX(Models!$BJ374:$BT374,,AH374+1)*AF374-ERP_i)*AE374*Ramure*Pc/MaxiM</f>
        <v>9.5326539053452852E-3</v>
      </c>
      <c r="AE374" s="307">
        <f t="shared" si="143"/>
        <v>0.9</v>
      </c>
      <c r="AF374" s="179">
        <f t="shared" si="144"/>
        <v>0.89977587945123272</v>
      </c>
      <c r="AG374" s="839">
        <f t="shared" si="145"/>
        <v>-3</v>
      </c>
      <c r="AH374" s="178">
        <f t="shared" si="146"/>
        <v>3</v>
      </c>
      <c r="AI374" s="227">
        <f t="shared" si="147"/>
        <v>-2.1002241205487673</v>
      </c>
      <c r="AJ374" s="267" t="b">
        <f t="shared" si="148"/>
        <v>0</v>
      </c>
      <c r="AK374" s="267" t="b">
        <f t="shared" si="149"/>
        <v>0</v>
      </c>
      <c r="AL374" s="267"/>
      <c r="AM374" s="267"/>
      <c r="AN374" s="75"/>
    </row>
    <row r="375" spans="1:40" s="6" customFormat="1" ht="11.25" customHeight="1" x14ac:dyDescent="0.2">
      <c r="A375" s="56">
        <f t="shared" si="151"/>
        <v>43461</v>
      </c>
      <c r="B375" s="620">
        <v>17.027999999999999</v>
      </c>
      <c r="C375" s="392"/>
      <c r="D375" s="395">
        <f t="shared" si="127"/>
        <v>17.086749229439601</v>
      </c>
      <c r="E375" s="387">
        <f t="shared" si="153"/>
        <v>17.642078344668469</v>
      </c>
      <c r="F375" s="387">
        <f t="shared" si="152"/>
        <v>17.805021501401317</v>
      </c>
      <c r="G375" s="110">
        <f t="shared" si="154"/>
        <v>0.97197569544636031</v>
      </c>
      <c r="I375" s="382">
        <f t="shared" si="128"/>
        <v>17.805021501401317</v>
      </c>
      <c r="J375" s="85">
        <v>2018</v>
      </c>
      <c r="K375" s="199">
        <f t="shared" si="129"/>
        <v>43461</v>
      </c>
      <c r="L375" s="439">
        <f t="shared" si="130"/>
        <v>3.4382917810007463E-3</v>
      </c>
      <c r="M375" s="883"/>
      <c r="N375" s="883"/>
      <c r="O375" s="326">
        <f t="shared" si="131"/>
        <v>3.1477533677130069E-2</v>
      </c>
      <c r="P375" s="171">
        <f>(INDEX(Models!$BJ375:$BT375,,T375)*(1-R375)+INDEX(Models!$BJ375:$BT375,,T375+1)*R375-ERP_i)*Q375*Ramure*Pc/MaxiM</f>
        <v>9.5279490827457885E-3</v>
      </c>
      <c r="Q375" s="307">
        <f t="shared" si="132"/>
        <v>0.9</v>
      </c>
      <c r="R375" s="179">
        <f t="shared" si="133"/>
        <v>0.89977587945123272</v>
      </c>
      <c r="S375" s="839">
        <f t="shared" si="150"/>
        <v>-3</v>
      </c>
      <c r="T375" s="178">
        <f t="shared" si="134"/>
        <v>3</v>
      </c>
      <c r="U375" s="253">
        <f t="shared" si="135"/>
        <v>-2.1002241205487673</v>
      </c>
      <c r="V375" s="385">
        <f t="shared" si="136"/>
        <v>17.512301166609564</v>
      </c>
      <c r="W375" s="58"/>
      <c r="X375" s="157">
        <f t="shared" si="137"/>
        <v>43461</v>
      </c>
      <c r="Y375" s="387">
        <f t="shared" si="138"/>
        <v>17.027999999999999</v>
      </c>
      <c r="Z375" s="387">
        <f t="shared" si="139"/>
        <v>17.086749229439601</v>
      </c>
      <c r="AA375" s="388">
        <f t="shared" si="140"/>
        <v>17.642078344668469</v>
      </c>
      <c r="AB375" s="199">
        <f t="shared" si="141"/>
        <v>43461</v>
      </c>
      <c r="AC375" s="428">
        <f t="shared" si="142"/>
        <v>3.1477533677130069E-2</v>
      </c>
      <c r="AD375" s="171">
        <f>(INDEX(Models!$BJ375:$BT375,,AH375)*(1-AF375)+INDEX(Models!$BJ375:$BT375,,AH375+1)*AF375-ERP_i)*AE375*Ramure*Pc/MaxiM</f>
        <v>9.5279490827457885E-3</v>
      </c>
      <c r="AE375" s="307">
        <f t="shared" si="143"/>
        <v>0.9</v>
      </c>
      <c r="AF375" s="179">
        <f t="shared" si="144"/>
        <v>0.89977587945123272</v>
      </c>
      <c r="AG375" s="839">
        <f t="shared" si="145"/>
        <v>-3</v>
      </c>
      <c r="AH375" s="178">
        <f t="shared" si="146"/>
        <v>3</v>
      </c>
      <c r="AI375" s="227">
        <f t="shared" si="147"/>
        <v>-2.1002241205487673</v>
      </c>
      <c r="AJ375" s="267" t="b">
        <f t="shared" si="148"/>
        <v>0</v>
      </c>
      <c r="AK375" s="267" t="b">
        <f t="shared" si="149"/>
        <v>0</v>
      </c>
      <c r="AL375" s="267"/>
      <c r="AM375" s="267"/>
      <c r="AN375" s="75"/>
    </row>
    <row r="376" spans="1:40" s="6" customFormat="1" ht="11.25" customHeight="1" x14ac:dyDescent="0.2">
      <c r="A376" s="56">
        <f t="shared" si="151"/>
        <v>43462</v>
      </c>
      <c r="B376" s="620">
        <v>2.9510000000000001</v>
      </c>
      <c r="C376" s="392"/>
      <c r="D376" s="395">
        <f t="shared" si="127"/>
        <v>2.961250318310249</v>
      </c>
      <c r="E376" s="387">
        <f t="shared" si="153"/>
        <v>3.0581030599493695</v>
      </c>
      <c r="F376" s="387">
        <f t="shared" si="152"/>
        <v>3.0581030599493695</v>
      </c>
      <c r="G376" s="110">
        <f t="shared" si="154"/>
        <v>0.16616257474653107</v>
      </c>
      <c r="I376" s="382">
        <f t="shared" si="128"/>
        <v>3.0581030599493695</v>
      </c>
      <c r="J376" s="85">
        <v>2018</v>
      </c>
      <c r="K376" s="199">
        <f t="shared" si="129"/>
        <v>43462</v>
      </c>
      <c r="L376" s="439">
        <f t="shared" si="130"/>
        <v>3.4614832278340169E-3</v>
      </c>
      <c r="M376" s="883"/>
      <c r="N376" s="883"/>
      <c r="O376" s="326">
        <f t="shared" si="131"/>
        <v>3.167085599813757E-2</v>
      </c>
      <c r="P376" s="171">
        <f>(INDEX(Models!$BJ376:$BT376,,T376)*(1-R376)+INDEX(Models!$BJ376:$BT376,,T376+1)*R376-ERP_i)*Q376*Ramure*Pc/MaxiM</f>
        <v>9.5240746377895161E-3</v>
      </c>
      <c r="Q376" s="307">
        <f t="shared" si="132"/>
        <v>0.9</v>
      </c>
      <c r="R376" s="179">
        <f t="shared" si="133"/>
        <v>0.89977587945123272</v>
      </c>
      <c r="S376" s="839">
        <f t="shared" si="150"/>
        <v>-3</v>
      </c>
      <c r="T376" s="178">
        <f t="shared" si="134"/>
        <v>3</v>
      </c>
      <c r="U376" s="253">
        <f t="shared" si="135"/>
        <v>-2.1002241205487673</v>
      </c>
      <c r="V376" s="385">
        <f t="shared" si="136"/>
        <v>17.59057032067869</v>
      </c>
      <c r="W376" s="58"/>
      <c r="X376" s="157">
        <f t="shared" si="137"/>
        <v>43462</v>
      </c>
      <c r="Y376" s="387">
        <f t="shared" si="138"/>
        <v>2.9510000000000001</v>
      </c>
      <c r="Z376" s="387">
        <f t="shared" si="139"/>
        <v>2.961250318310249</v>
      </c>
      <c r="AA376" s="388">
        <f t="shared" si="140"/>
        <v>3.0581030599493695</v>
      </c>
      <c r="AB376" s="199">
        <f t="shared" si="141"/>
        <v>43462</v>
      </c>
      <c r="AC376" s="428">
        <f t="shared" si="142"/>
        <v>3.167085599813757E-2</v>
      </c>
      <c r="AD376" s="171">
        <f>(INDEX(Models!$BJ376:$BT376,,AH376)*(1-AF376)+INDEX(Models!$BJ376:$BT376,,AH376+1)*AF376-ERP_i)*AE376*Ramure*Pc/MaxiM</f>
        <v>9.5240746377895161E-3</v>
      </c>
      <c r="AE376" s="307">
        <f t="shared" si="143"/>
        <v>0.9</v>
      </c>
      <c r="AF376" s="179">
        <f t="shared" si="144"/>
        <v>0.89977587945123272</v>
      </c>
      <c r="AG376" s="839">
        <f t="shared" si="145"/>
        <v>-3</v>
      </c>
      <c r="AH376" s="178">
        <f t="shared" si="146"/>
        <v>3</v>
      </c>
      <c r="AI376" s="227">
        <f t="shared" si="147"/>
        <v>-2.1002241205487673</v>
      </c>
      <c r="AJ376" s="267" t="b">
        <f t="shared" si="148"/>
        <v>0</v>
      </c>
      <c r="AK376" s="267" t="b">
        <f t="shared" si="149"/>
        <v>0</v>
      </c>
      <c r="AL376" s="267"/>
      <c r="AM376" s="267"/>
      <c r="AN376" s="75"/>
    </row>
    <row r="377" spans="1:40" s="6" customFormat="1" ht="11.25" customHeight="1" x14ac:dyDescent="0.2">
      <c r="A377" s="56">
        <f t="shared" si="151"/>
        <v>43463</v>
      </c>
      <c r="B377" s="620">
        <v>3.24</v>
      </c>
      <c r="C377" s="392"/>
      <c r="D377" s="395">
        <f t="shared" si="127"/>
        <v>3.251329824945238</v>
      </c>
      <c r="E377" s="387">
        <f t="shared" si="153"/>
        <v>3.3583403399895713</v>
      </c>
      <c r="F377" s="387">
        <f t="shared" si="152"/>
        <v>3.3583403399895713</v>
      </c>
      <c r="G377" s="110">
        <f t="shared" si="154"/>
        <v>0.18152764375772465</v>
      </c>
      <c r="I377" s="382">
        <f t="shared" si="128"/>
        <v>3.3583403399895713</v>
      </c>
      <c r="J377" s="85">
        <v>2018</v>
      </c>
      <c r="K377" s="199">
        <f t="shared" si="129"/>
        <v>43463</v>
      </c>
      <c r="L377" s="439">
        <f t="shared" si="130"/>
        <v>3.4846741349683352E-3</v>
      </c>
      <c r="M377" s="883"/>
      <c r="N377" s="883"/>
      <c r="O377" s="326">
        <f t="shared" si="131"/>
        <v>3.1864106734538218E-2</v>
      </c>
      <c r="P377" s="171">
        <f>(INDEX(Models!$BJ377:$BT377,,T377)*(1-R377)+INDEX(Models!$BJ377:$BT377,,T377+1)*R377-ERP_i)*Q377*Ramure*Pc/MaxiM</f>
        <v>9.5211458446559857E-3</v>
      </c>
      <c r="Q377" s="307">
        <f t="shared" si="132"/>
        <v>0.9</v>
      </c>
      <c r="R377" s="179">
        <f t="shared" si="133"/>
        <v>0.89977587945123272</v>
      </c>
      <c r="S377" s="839">
        <f t="shared" si="150"/>
        <v>-3</v>
      </c>
      <c r="T377" s="178">
        <f t="shared" si="134"/>
        <v>3</v>
      </c>
      <c r="U377" s="253">
        <f t="shared" si="135"/>
        <v>-2.1002241205487673</v>
      </c>
      <c r="V377" s="385">
        <f t="shared" si="136"/>
        <v>17.678582837479009</v>
      </c>
      <c r="W377" s="58"/>
      <c r="X377" s="157">
        <f t="shared" si="137"/>
        <v>43463</v>
      </c>
      <c r="Y377" s="387">
        <f t="shared" si="138"/>
        <v>3.24</v>
      </c>
      <c r="Z377" s="387">
        <f t="shared" si="139"/>
        <v>3.251329824945238</v>
      </c>
      <c r="AA377" s="388">
        <f t="shared" si="140"/>
        <v>3.3583403399895713</v>
      </c>
      <c r="AB377" s="199">
        <f t="shared" si="141"/>
        <v>43463</v>
      </c>
      <c r="AC377" s="428">
        <f t="shared" si="142"/>
        <v>3.1864106734538218E-2</v>
      </c>
      <c r="AD377" s="171">
        <f>(INDEX(Models!$BJ377:$BT377,,AH377)*(1-AF377)+INDEX(Models!$BJ377:$BT377,,AH377+1)*AF377-ERP_i)*AE377*Ramure*Pc/MaxiM</f>
        <v>9.5211458446559857E-3</v>
      </c>
      <c r="AE377" s="307">
        <f t="shared" si="143"/>
        <v>0.9</v>
      </c>
      <c r="AF377" s="179">
        <f t="shared" si="144"/>
        <v>0.89977587945123272</v>
      </c>
      <c r="AG377" s="839">
        <f t="shared" si="145"/>
        <v>-3</v>
      </c>
      <c r="AH377" s="178">
        <f t="shared" si="146"/>
        <v>3</v>
      </c>
      <c r="AI377" s="227">
        <f t="shared" si="147"/>
        <v>-2.1002241205487673</v>
      </c>
      <c r="AJ377" s="267" t="b">
        <f t="shared" si="148"/>
        <v>0</v>
      </c>
      <c r="AK377" s="267" t="b">
        <f t="shared" si="149"/>
        <v>0</v>
      </c>
      <c r="AL377" s="267"/>
      <c r="AM377" s="267"/>
      <c r="AN377" s="75"/>
    </row>
    <row r="378" spans="1:40" s="6" customFormat="1" ht="11.25" x14ac:dyDescent="0.2">
      <c r="A378" s="56">
        <f t="shared" si="151"/>
        <v>43464</v>
      </c>
      <c r="B378" s="620">
        <v>3.2</v>
      </c>
      <c r="C378" s="392"/>
      <c r="D378" s="395">
        <f t="shared" si="127"/>
        <v>3.2112646813836898</v>
      </c>
      <c r="E378" s="387">
        <f t="shared" si="153"/>
        <v>3.3176184787833076</v>
      </c>
      <c r="F378" s="387">
        <f t="shared" si="152"/>
        <v>3.3176184787833076</v>
      </c>
      <c r="G378" s="110">
        <f t="shared" si="154"/>
        <v>0.17830356179853232</v>
      </c>
      <c r="I378" s="382">
        <f t="shared" si="128"/>
        <v>3.3176184787833076</v>
      </c>
      <c r="J378" s="85">
        <v>2018</v>
      </c>
      <c r="K378" s="199">
        <f t="shared" si="129"/>
        <v>43464</v>
      </c>
      <c r="L378" s="439">
        <f t="shared" si="130"/>
        <v>3.507864502416469E-3</v>
      </c>
      <c r="M378" s="883"/>
      <c r="N378" s="883"/>
      <c r="O378" s="326">
        <f t="shared" si="131"/>
        <v>3.2057271829104859E-2</v>
      </c>
      <c r="P378" s="171">
        <f>(INDEX(Models!$BJ378:$BT378,,T378)*(1-R378)+INDEX(Models!$BJ378:$BT378,,T378+1)*R378-ERP_i)*Q378*Ramure*Pc/MaxiM</f>
        <v>9.5192726752997281E-3</v>
      </c>
      <c r="Q378" s="307">
        <f t="shared" si="132"/>
        <v>0.9</v>
      </c>
      <c r="R378" s="179">
        <f t="shared" si="133"/>
        <v>0.89977587945123272</v>
      </c>
      <c r="S378" s="839">
        <f t="shared" si="150"/>
        <v>-3</v>
      </c>
      <c r="T378" s="178">
        <f t="shared" si="134"/>
        <v>3</v>
      </c>
      <c r="U378" s="253">
        <f t="shared" si="135"/>
        <v>-2.1002241205487673</v>
      </c>
      <c r="V378" s="385">
        <f t="shared" si="136"/>
        <v>17.776079711858731</v>
      </c>
      <c r="W378" s="58"/>
      <c r="X378" s="157">
        <f t="shared" si="137"/>
        <v>43464</v>
      </c>
      <c r="Y378" s="387">
        <f t="shared" si="138"/>
        <v>3.2</v>
      </c>
      <c r="Z378" s="387">
        <f t="shared" si="139"/>
        <v>3.2112646813836898</v>
      </c>
      <c r="AA378" s="388">
        <f t="shared" si="140"/>
        <v>3.3176184787833076</v>
      </c>
      <c r="AB378" s="199">
        <f t="shared" si="141"/>
        <v>43464</v>
      </c>
      <c r="AC378" s="428">
        <f t="shared" si="142"/>
        <v>3.2057271829104859E-2</v>
      </c>
      <c r="AD378" s="171">
        <f>(INDEX(Models!$BJ378:$BT378,,AH378)*(1-AF378)+INDEX(Models!$BJ378:$BT378,,AH378+1)*AF378-ERP_i)*AE378*Ramure*Pc/MaxiM</f>
        <v>9.5192726752997281E-3</v>
      </c>
      <c r="AE378" s="307">
        <f t="shared" si="143"/>
        <v>0.9</v>
      </c>
      <c r="AF378" s="179">
        <f t="shared" si="144"/>
        <v>0.89977587945123272</v>
      </c>
      <c r="AG378" s="839">
        <f t="shared" si="145"/>
        <v>-3</v>
      </c>
      <c r="AH378" s="178">
        <f t="shared" si="146"/>
        <v>3</v>
      </c>
      <c r="AI378" s="227">
        <f t="shared" si="147"/>
        <v>-2.1002241205487673</v>
      </c>
      <c r="AJ378" s="267" t="b">
        <f t="shared" si="148"/>
        <v>0</v>
      </c>
      <c r="AK378" s="267" t="b">
        <f t="shared" si="149"/>
        <v>0</v>
      </c>
      <c r="AL378" s="267"/>
      <c r="AM378" s="267"/>
      <c r="AN378" s="75"/>
    </row>
    <row r="379" spans="1:40" s="18" customFormat="1" ht="12.75" x14ac:dyDescent="0.2">
      <c r="A379" s="56">
        <f t="shared" si="151"/>
        <v>43465</v>
      </c>
      <c r="B379" s="620">
        <v>5.282</v>
      </c>
      <c r="C379" s="392"/>
      <c r="D379" s="395">
        <f t="shared" si="127"/>
        <v>5.3007171201401873</v>
      </c>
      <c r="E379" s="387">
        <f t="shared" si="153"/>
        <v>5.4773639603057012</v>
      </c>
      <c r="F379" s="387">
        <f t="shared" si="152"/>
        <v>5.4773639603057012</v>
      </c>
      <c r="G379" s="110">
        <f t="shared" si="154"/>
        <v>0.29255610639169966</v>
      </c>
      <c r="I379" s="382">
        <f t="shared" si="128"/>
        <v>5.4773639603057012</v>
      </c>
      <c r="J379" s="85">
        <v>2018</v>
      </c>
      <c r="K379" s="199">
        <f t="shared" si="129"/>
        <v>43465</v>
      </c>
      <c r="L379" s="439">
        <f>IF(t&lt;T0,0,IF(t&lt;Tvie,1-EXP((T0-t)*PertePVj),1-EXP((T0-t)*PertePVj)+Pspv))</f>
        <v>3.5310543301907416E-3</v>
      </c>
      <c r="M379" s="883"/>
      <c r="N379" s="883"/>
      <c r="O379" s="326">
        <f t="shared" si="131"/>
        <v>3.2250338200212551E-2</v>
      </c>
      <c r="P379" s="171">
        <f>(INDEX(Models!$BJ379:$BT379,,T379)*(1-R379)+INDEX(Models!$BJ379:$BT379,,T379+1)*R379-ERP_i)*Q379*Ramure*Pc/MaxiM</f>
        <v>9.51855933062613E-3</v>
      </c>
      <c r="Q379" s="308">
        <f t="shared" si="132"/>
        <v>0.9</v>
      </c>
      <c r="R379" s="179">
        <f t="shared" si="133"/>
        <v>0.89977587945123272</v>
      </c>
      <c r="S379" s="839">
        <f t="shared" si="150"/>
        <v>-3</v>
      </c>
      <c r="T379" s="178">
        <f t="shared" si="134"/>
        <v>3</v>
      </c>
      <c r="U379" s="309">
        <f t="shared" si="135"/>
        <v>-2.1002241205487673</v>
      </c>
      <c r="V379" s="385">
        <f t="shared" si="136"/>
        <v>17.882802154233435</v>
      </c>
      <c r="W379" s="394"/>
      <c r="X379" s="157">
        <f t="shared" si="137"/>
        <v>43465</v>
      </c>
      <c r="Y379" s="387">
        <f t="shared" si="138"/>
        <v>5.282</v>
      </c>
      <c r="Z379" s="387">
        <f t="shared" si="139"/>
        <v>5.3007171201401873</v>
      </c>
      <c r="AA379" s="388">
        <f t="shared" si="140"/>
        <v>5.4773639603057012</v>
      </c>
      <c r="AB379" s="199">
        <f t="shared" si="141"/>
        <v>43465</v>
      </c>
      <c r="AC379" s="428">
        <f t="shared" si="142"/>
        <v>3.2250338200212551E-2</v>
      </c>
      <c r="AD379" s="171">
        <f>(INDEX(Models!$BJ379:$BT379,,AH379)*(1-AF379)+INDEX(Models!$BJ379:$BT379,,AH379+1)*AF379-ERP_i)*AE379*Ramure*Pc/MaxiM</f>
        <v>9.51855933062613E-3</v>
      </c>
      <c r="AE379" s="308">
        <f t="shared" si="143"/>
        <v>0.9</v>
      </c>
      <c r="AF379" s="179">
        <f t="shared" si="144"/>
        <v>0.89977587945123272</v>
      </c>
      <c r="AG379" s="839">
        <f t="shared" si="145"/>
        <v>-3</v>
      </c>
      <c r="AH379" s="178">
        <f t="shared" si="146"/>
        <v>3</v>
      </c>
      <c r="AI379" s="224">
        <f t="shared" si="147"/>
        <v>-2.1002241205487673</v>
      </c>
      <c r="AJ379" s="267" t="b">
        <f t="shared" si="148"/>
        <v>0</v>
      </c>
      <c r="AK379" s="267" t="b">
        <f t="shared" si="149"/>
        <v>0</v>
      </c>
      <c r="AL379" s="267"/>
      <c r="AM379" s="267"/>
      <c r="AN379" s="267"/>
    </row>
    <row r="380" spans="1:40" s="18" customFormat="1" ht="12" thickBot="1" x14ac:dyDescent="0.25">
      <c r="A380" s="103"/>
      <c r="B380" s="626"/>
      <c r="C380" s="882"/>
      <c r="D380" s="396"/>
      <c r="E380" s="397"/>
      <c r="F380" s="397"/>
      <c r="G380" s="97"/>
      <c r="I380" s="383">
        <f t="shared" si="128"/>
        <v>0</v>
      </c>
      <c r="J380" s="151">
        <v>2018</v>
      </c>
      <c r="K380" s="201"/>
      <c r="L380" s="472"/>
      <c r="M380" s="884"/>
      <c r="N380" s="884"/>
      <c r="O380" s="473"/>
      <c r="P380" s="230"/>
      <c r="Q380" s="231"/>
      <c r="R380" s="231"/>
      <c r="S380" s="231"/>
      <c r="T380" s="231"/>
      <c r="U380" s="310"/>
      <c r="V380" s="386"/>
      <c r="W380" s="58"/>
      <c r="X380" s="121"/>
      <c r="Y380" s="389"/>
      <c r="Z380" s="389"/>
      <c r="AA380" s="390"/>
      <c r="AB380" s="201"/>
      <c r="AC380" s="152"/>
      <c r="AD380" s="152"/>
      <c r="AE380" s="231"/>
      <c r="AF380" s="231"/>
      <c r="AG380" s="231"/>
      <c r="AH380" s="231"/>
      <c r="AI380" s="311"/>
      <c r="AJ380" s="267" t="b">
        <f t="shared" si="148"/>
        <v>1</v>
      </c>
      <c r="AK380" s="267" t="b">
        <f t="shared" si="149"/>
        <v>1</v>
      </c>
      <c r="AL380" s="267"/>
      <c r="AM380" s="267"/>
      <c r="AN380" s="267"/>
    </row>
    <row r="381" spans="1:40" s="104" customFormat="1" ht="11.25" customHeight="1" x14ac:dyDescent="0.2">
      <c r="A381" s="111" t="s">
        <v>7</v>
      </c>
      <c r="B381" s="377">
        <f>MIN(B15:B380)</f>
        <v>1.7330000000000001</v>
      </c>
      <c r="C381" s="377"/>
      <c r="D381" s="375">
        <f>MIN(D15:D380)</f>
        <v>1.7384126431161413</v>
      </c>
      <c r="E381" s="375">
        <f>MIN(E15:E380)</f>
        <v>1.7899136133059126</v>
      </c>
      <c r="F381" s="376">
        <f>MIN(F15:F380)</f>
        <v>1.7899136133059126</v>
      </c>
      <c r="G381" s="125">
        <f>+MIN(G15:G380)</f>
        <v>5.5010500430478997E-2</v>
      </c>
      <c r="H381" s="93"/>
      <c r="I381" s="376">
        <f>MIN(I15:I380)</f>
        <v>0</v>
      </c>
      <c r="J381" s="167">
        <f>MIN(J15:J380)</f>
        <v>2018</v>
      </c>
      <c r="K381" s="202" t="s">
        <v>7</v>
      </c>
      <c r="L381" s="146">
        <f t="shared" ref="L381:T381" si="155">MIN(L15:L380)</f>
        <v>0</v>
      </c>
      <c r="M381" s="874"/>
      <c r="N381" s="874"/>
      <c r="O381" s="47">
        <f t="shared" si="155"/>
        <v>0</v>
      </c>
      <c r="P381" s="170">
        <f t="shared" si="155"/>
        <v>2.2760147144448417E-8</v>
      </c>
      <c r="Q381" s="312">
        <f t="shared" si="155"/>
        <v>0.9</v>
      </c>
      <c r="R381" s="313">
        <f t="shared" si="155"/>
        <v>0.19977766170187206</v>
      </c>
      <c r="S381" s="839">
        <f t="shared" si="155"/>
        <v>-3</v>
      </c>
      <c r="T381" s="178">
        <f t="shared" si="155"/>
        <v>3</v>
      </c>
      <c r="U381" s="254">
        <f>+MIN(U15:U380)</f>
        <v>-2.8002223382981279</v>
      </c>
      <c r="V381" s="375">
        <f>MIN(V15:V380)</f>
        <v>17.249257015003288</v>
      </c>
      <c r="W381" s="58"/>
      <c r="X381" s="112" t="s">
        <v>7</v>
      </c>
      <c r="Y381" s="375">
        <f>MIN(Y15:Y380)</f>
        <v>0</v>
      </c>
      <c r="Z381" s="375">
        <f>MIN(Z15:Z380)</f>
        <v>0</v>
      </c>
      <c r="AA381" s="375">
        <f>MIN(AA15:AA380)</f>
        <v>0</v>
      </c>
      <c r="AB381" s="202" t="s">
        <v>7</v>
      </c>
      <c r="AC381" s="47">
        <f t="shared" ref="AC381:AH381" si="156">MIN(AC15:AC380)</f>
        <v>0</v>
      </c>
      <c r="AD381" s="170">
        <f t="shared" si="156"/>
        <v>2.2760147144448417E-8</v>
      </c>
      <c r="AE381" s="312">
        <f t="shared" si="156"/>
        <v>0.9</v>
      </c>
      <c r="AF381" s="313">
        <f t="shared" si="156"/>
        <v>0.19977766170187206</v>
      </c>
      <c r="AG381" s="839">
        <f t="shared" si="156"/>
        <v>-3</v>
      </c>
      <c r="AH381" s="178">
        <f t="shared" si="156"/>
        <v>3</v>
      </c>
      <c r="AI381" s="228">
        <f>MIN(AI15:AI380)</f>
        <v>-2.8002223382981279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14.832782608695654</v>
      </c>
      <c r="C382" s="377"/>
      <c r="D382" s="377">
        <f>AVERAGE(D15:D380)</f>
        <v>14.866330187731297</v>
      </c>
      <c r="E382" s="377">
        <f>AVERAGE(E15:E380)</f>
        <v>15.195677124652644</v>
      </c>
      <c r="F382" s="378">
        <f>AVERAGE(F15:F380)</f>
        <v>15.244273798411337</v>
      </c>
      <c r="G382" s="126">
        <f>AVERAGE(G15:G380)</f>
        <v>0.60091129466121285</v>
      </c>
      <c r="H382" s="94"/>
      <c r="I382" s="378">
        <f>AVERAGE(I15:I380)</f>
        <v>3.8318939602564015</v>
      </c>
      <c r="J382" s="168">
        <f>AVERAGE(J15:J380)</f>
        <v>2018</v>
      </c>
      <c r="K382" s="202" t="s">
        <v>8</v>
      </c>
      <c r="L382" s="147">
        <f t="shared" ref="L382:V382" si="157">AVERAGE(L15:L380)</f>
        <v>7.4050372941583664E-4</v>
      </c>
      <c r="M382" s="872"/>
      <c r="N382" s="872"/>
      <c r="O382" s="48">
        <f t="shared" si="157"/>
        <v>7.1209058432308405E-3</v>
      </c>
      <c r="P382" s="171">
        <f t="shared" si="157"/>
        <v>1.7219161381050552E-3</v>
      </c>
      <c r="Q382" s="314">
        <f t="shared" si="157"/>
        <v>0.89999999999999813</v>
      </c>
      <c r="R382" s="179">
        <f t="shared" si="157"/>
        <v>0.5916146975006733</v>
      </c>
      <c r="S382" s="839">
        <f t="shared" si="157"/>
        <v>-3</v>
      </c>
      <c r="T382" s="178">
        <f t="shared" si="157"/>
        <v>3</v>
      </c>
      <c r="U382" s="253">
        <f t="shared" si="157"/>
        <v>-2.4083853024993287</v>
      </c>
      <c r="V382" s="377">
        <f t="shared" si="157"/>
        <v>43.164717201246063</v>
      </c>
      <c r="X382" s="112" t="s">
        <v>8</v>
      </c>
      <c r="Y382" s="377">
        <f>AVERAGE(Y15:Y380)</f>
        <v>3.7386739726027405</v>
      </c>
      <c r="Z382" s="377">
        <f>AVERAGE(Z15:Z380)</f>
        <v>3.747129800743231</v>
      </c>
      <c r="AA382" s="377">
        <f>AVERAGE(AA15:AA380)</f>
        <v>3.8301432752549132</v>
      </c>
      <c r="AB382" s="202" t="s">
        <v>8</v>
      </c>
      <c r="AC382" s="48">
        <f t="shared" ref="AC382:AH382" si="158">AVERAGE(AC15:AC380)</f>
        <v>7.1209058432308405E-3</v>
      </c>
      <c r="AD382" s="171">
        <f t="shared" si="158"/>
        <v>1.7219161381050552E-3</v>
      </c>
      <c r="AE382" s="314">
        <f t="shared" si="158"/>
        <v>0.89999999999999813</v>
      </c>
      <c r="AF382" s="179">
        <f t="shared" si="158"/>
        <v>0.5916146975006733</v>
      </c>
      <c r="AG382" s="839">
        <f t="shared" si="158"/>
        <v>-3</v>
      </c>
      <c r="AH382" s="178">
        <f t="shared" si="158"/>
        <v>3</v>
      </c>
      <c r="AI382" s="227">
        <f>AVERAGE(AI15:AI380)</f>
        <v>-2.4083853024993287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35.54</v>
      </c>
      <c r="C383" s="379"/>
      <c r="D383" s="379">
        <f>MAX(D15:D380)</f>
        <v>35.591315806881546</v>
      </c>
      <c r="E383" s="379">
        <f>MAX(E15:E380)</f>
        <v>36.118157306339114</v>
      </c>
      <c r="F383" s="380">
        <f>MAX(F15:F380)</f>
        <v>36.170348293737305</v>
      </c>
      <c r="G383" s="127">
        <f>+MAX(G15:G380)</f>
        <v>0.99507946141725556</v>
      </c>
      <c r="H383" s="94"/>
      <c r="I383" s="380">
        <f>MAX(I15:I380)</f>
        <v>36.170348293737305</v>
      </c>
      <c r="J383" s="169">
        <f>MAX(J15:J380)</f>
        <v>2018</v>
      </c>
      <c r="K383" s="202" t="s">
        <v>9</v>
      </c>
      <c r="L383" s="148">
        <f t="shared" ref="L383:T383" si="159">MAX(L15:L380)</f>
        <v>3.5310543301907416E-3</v>
      </c>
      <c r="M383" s="875"/>
      <c r="N383" s="875"/>
      <c r="O383" s="49">
        <f t="shared" si="159"/>
        <v>3.2250338200212551E-2</v>
      </c>
      <c r="P383" s="172">
        <f t="shared" si="159"/>
        <v>9.9667737588366584E-3</v>
      </c>
      <c r="Q383" s="315">
        <f t="shared" si="159"/>
        <v>0.9</v>
      </c>
      <c r="R383" s="316">
        <f t="shared" si="159"/>
        <v>0.89977587945123272</v>
      </c>
      <c r="S383" s="840">
        <f t="shared" si="159"/>
        <v>-3</v>
      </c>
      <c r="T383" s="235">
        <f t="shared" si="159"/>
        <v>3</v>
      </c>
      <c r="U383" s="255">
        <f>+MAX(U15:U380)</f>
        <v>-2.1002241205487673</v>
      </c>
      <c r="V383" s="379">
        <f>MAX(V15:V380)</f>
        <v>64.463472670058152</v>
      </c>
      <c r="X383" s="112" t="s">
        <v>9</v>
      </c>
      <c r="Y383" s="379">
        <f>MAX(Y15:Y380)</f>
        <v>35.54</v>
      </c>
      <c r="Z383" s="379">
        <f>MAX(Z15:Z380)</f>
        <v>35.591315806881546</v>
      </c>
      <c r="AA383" s="379">
        <f>MAX(AA15:AA380)</f>
        <v>36.118157306339114</v>
      </c>
      <c r="AB383" s="202" t="s">
        <v>9</v>
      </c>
      <c r="AC383" s="49">
        <f t="shared" ref="AC383:AH383" si="160">MAX(AC15:AC380)</f>
        <v>3.2250338200212551E-2</v>
      </c>
      <c r="AD383" s="172">
        <f t="shared" si="160"/>
        <v>9.9667737588366584E-3</v>
      </c>
      <c r="AE383" s="315">
        <f t="shared" si="160"/>
        <v>0.9</v>
      </c>
      <c r="AF383" s="316">
        <f t="shared" si="160"/>
        <v>0.89977587945123272</v>
      </c>
      <c r="AG383" s="840">
        <f t="shared" si="160"/>
        <v>-3</v>
      </c>
      <c r="AH383" s="235">
        <f t="shared" si="160"/>
        <v>3</v>
      </c>
      <c r="AI383" s="229">
        <f>MAX(AI15:AI380)</f>
        <v>-2.1002241205487673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7"/>
      <c r="AK384" s="857"/>
      <c r="AL384" s="857"/>
      <c r="AM384" s="857"/>
      <c r="AN384" s="406"/>
    </row>
    <row r="385" spans="6:6" x14ac:dyDescent="0.25">
      <c r="F385" s="405"/>
    </row>
  </sheetData>
  <sheetProtection sheet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19" priority="4" stopIfTrue="1" operator="lessThan">
      <formula>0.01</formula>
    </cfRule>
    <cfRule type="cellIs" dxfId="18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6"/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6">
        <f>'2018'!An+1</f>
        <v>2019</v>
      </c>
      <c r="K1" s="1267"/>
      <c r="L1" s="113" t="str">
        <f>"Calcul pertes et enveloppes en "&amp;TEXT(An,0)</f>
        <v>Calcul pertes et enveloppes en 2019</v>
      </c>
      <c r="M1" s="245"/>
      <c r="N1" s="245"/>
      <c r="V1" s="460"/>
      <c r="W1" s="458"/>
      <c r="X1" s="489" t="str">
        <f>"Prévision sans nettoyage ni taille végétation en "&amp;TEXT(An,0)</f>
        <v>Prévision sans nettoyage ni taille végétation en 2019</v>
      </c>
      <c r="Y1" s="490"/>
      <c r="Z1" s="491"/>
      <c r="AA1" s="492"/>
      <c r="AB1" s="493"/>
      <c r="AC1" s="494"/>
      <c r="AD1" s="494"/>
      <c r="AE1" s="494"/>
      <c r="AF1" s="494"/>
      <c r="AG1" s="494"/>
      <c r="AH1" s="494"/>
      <c r="AI1" s="494"/>
      <c r="AL1" s="856" t="s">
        <v>270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6" t="s">
        <v>24</v>
      </c>
      <c r="P2" s="18"/>
      <c r="Q2" s="812"/>
      <c r="R2" s="18"/>
      <c r="S2" s="497"/>
      <c r="T2" s="497"/>
      <c r="U2" s="296" t="s">
        <v>79</v>
      </c>
      <c r="V2" s="498">
        <f>PertePVan</f>
        <v>8.5000000000000006E-3</v>
      </c>
      <c r="W2" s="452" t="s">
        <v>14</v>
      </c>
      <c r="X2" s="499"/>
      <c r="Y2" s="500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862" t="s">
        <v>262</v>
      </c>
      <c r="AK2" s="862" t="s">
        <v>264</v>
      </c>
      <c r="AL2" s="862" t="s">
        <v>263</v>
      </c>
      <c r="AM2" s="862" t="s">
        <v>265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6">
        <f>Tmaj</f>
        <v>44926</v>
      </c>
      <c r="F3" s="1276"/>
      <c r="G3" s="474"/>
      <c r="H3" s="75"/>
      <c r="I3" s="6"/>
      <c r="J3" s="34"/>
      <c r="K3" s="193"/>
      <c r="L3" s="54"/>
      <c r="M3" s="34"/>
      <c r="N3" s="34"/>
      <c r="O3" s="503"/>
      <c r="P3" s="34"/>
      <c r="Q3" s="503"/>
      <c r="R3" s="34"/>
      <c r="S3" s="515"/>
      <c r="T3" s="452"/>
      <c r="U3" s="211" t="s">
        <v>165</v>
      </c>
      <c r="V3" s="637">
        <f>Salim_i</f>
        <v>0.21</v>
      </c>
      <c r="W3" s="452"/>
      <c r="X3" s="504" t="s">
        <v>96</v>
      </c>
      <c r="Y3" s="505"/>
      <c r="Z3" s="506"/>
      <c r="AA3" s="500"/>
      <c r="AB3" s="500"/>
      <c r="AC3" s="430"/>
      <c r="AD3" s="430"/>
      <c r="AE3" s="430"/>
      <c r="AF3" s="430"/>
      <c r="AG3" s="430"/>
      <c r="AH3" s="430"/>
      <c r="AI3" s="430"/>
      <c r="AJ3" s="860">
        <f>AL11-AJ11</f>
        <v>0</v>
      </c>
      <c r="AK3" s="861">
        <f>AM11-AK11</f>
        <v>0</v>
      </c>
      <c r="AL3" s="860"/>
      <c r="AM3" s="861"/>
      <c r="AN3" s="859" t="s">
        <v>271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6" t="str">
        <f>Station</f>
        <v>Crèche Ayguesvives</v>
      </c>
      <c r="F4" s="1217"/>
      <c r="G4" s="1217"/>
      <c r="H4" s="1217"/>
      <c r="I4" s="1218"/>
      <c r="J4" s="158"/>
      <c r="K4" s="193"/>
      <c r="L4" s="508"/>
      <c r="M4" s="507"/>
      <c r="N4" s="507"/>
      <c r="O4" s="430"/>
      <c r="P4" s="34"/>
      <c r="Q4" s="507"/>
      <c r="R4" s="34"/>
      <c r="S4" s="497"/>
      <c r="T4" s="411"/>
      <c r="U4" s="297" t="s">
        <v>82</v>
      </c>
      <c r="V4" s="636">
        <f>Persistant</f>
        <v>1</v>
      </c>
      <c r="W4" s="510" t="s">
        <v>54</v>
      </c>
      <c r="X4" s="511"/>
      <c r="Y4" s="512"/>
      <c r="Z4" s="513" t="s">
        <v>27</v>
      </c>
      <c r="AA4" s="514" t="s">
        <v>28</v>
      </c>
      <c r="AB4" s="507"/>
      <c r="AC4" s="430"/>
      <c r="AD4" s="430"/>
      <c r="AE4" s="430"/>
      <c r="AF4" s="430"/>
      <c r="AG4" s="430"/>
      <c r="AH4" s="430"/>
      <c r="AI4" s="430"/>
      <c r="AJ4" s="860">
        <f>AL12-AJ12</f>
        <v>0</v>
      </c>
      <c r="AK4" s="861">
        <f>AM12-AK12</f>
        <v>0</v>
      </c>
      <c r="AL4" s="860"/>
      <c r="AM4" s="861"/>
      <c r="AN4" s="859" t="s">
        <v>272</v>
      </c>
    </row>
    <row r="5" spans="1:40" s="35" customFormat="1" ht="16.5" customHeight="1" x14ac:dyDescent="0.25">
      <c r="D5" s="161" t="s">
        <v>20</v>
      </c>
      <c r="E5" s="1277">
        <f>T0</f>
        <v>43313</v>
      </c>
      <c r="F5" s="1277"/>
      <c r="G5" s="34"/>
      <c r="H5" s="336"/>
      <c r="I5" s="158"/>
      <c r="K5" s="194"/>
      <c r="L5" s="508"/>
      <c r="M5" s="507"/>
      <c r="N5" s="507"/>
      <c r="O5" s="430"/>
      <c r="P5" s="510"/>
      <c r="Q5" s="510"/>
      <c r="R5" s="497"/>
      <c r="S5" s="501"/>
      <c r="T5" s="501"/>
      <c r="U5" s="515"/>
      <c r="V5" s="509"/>
      <c r="W5" s="510"/>
      <c r="X5" s="511"/>
      <c r="Y5" s="512"/>
      <c r="Z5" s="238">
        <f>Wh_Psa_s-Wh_Psa</f>
        <v>0</v>
      </c>
      <c r="AA5" s="239">
        <f>Wh_Pvg_s-Wh_Pvg</f>
        <v>0</v>
      </c>
      <c r="AB5" s="516" t="s">
        <v>6</v>
      </c>
      <c r="AC5" s="510"/>
      <c r="AD5" s="510"/>
      <c r="AE5" s="510"/>
      <c r="AF5" s="510"/>
      <c r="AG5" s="510"/>
      <c r="AH5" s="510"/>
      <c r="AI5" s="510"/>
      <c r="AJ5" s="518">
        <f>SUMIF(AJ15:AJ380,"VRAI",Wh)</f>
        <v>0</v>
      </c>
      <c r="AK5" s="518">
        <f>SUMIF(AK15:AK380,"VRAI",Wh)</f>
        <v>0</v>
      </c>
      <c r="AL5" s="518">
        <f>SUMIF(AJ15:AJ380,"VRAI",Wh_s)</f>
        <v>0</v>
      </c>
      <c r="AM5" s="518">
        <f>SUMIF(AK15:AK380,"VRAI",Wh_s)</f>
        <v>0</v>
      </c>
      <c r="AN5" s="859" t="s">
        <v>268</v>
      </c>
    </row>
    <row r="6" spans="1:40" s="6" customFormat="1" ht="16.5" customHeight="1" x14ac:dyDescent="0.2">
      <c r="B6" s="8"/>
      <c r="C6" s="8"/>
      <c r="D6" s="161" t="s">
        <v>11</v>
      </c>
      <c r="E6" s="1278">
        <f>Tservice</f>
        <v>43354</v>
      </c>
      <c r="F6" s="1278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2"/>
      <c r="W6" s="464"/>
      <c r="X6" s="499"/>
      <c r="Y6" s="500"/>
      <c r="Z6" s="464"/>
      <c r="AA6" s="464"/>
      <c r="AB6" s="518"/>
      <c r="AC6" s="533"/>
      <c r="AD6" s="464"/>
      <c r="AE6" s="464"/>
      <c r="AF6" s="464"/>
      <c r="AG6" s="464"/>
      <c r="AH6" s="464"/>
      <c r="AI6" s="464"/>
      <c r="AJ6" s="518">
        <f>SUMIF(AJ15:AJ380,"FAUX",Wh)</f>
        <v>10766.592999999999</v>
      </c>
      <c r="AK6" s="518">
        <f>SUMIF(AK15:AK380,"FAUX",Wh)</f>
        <v>10766.592999999999</v>
      </c>
      <c r="AL6" s="518">
        <f>SUMIF(AJ15:AJ380,"FAUX",Wh_s)</f>
        <v>10766.592999999999</v>
      </c>
      <c r="AM6" s="518">
        <f>SUMIF(AK15:AK380,"FAUX",Wh_s)</f>
        <v>10766.592999999999</v>
      </c>
      <c r="AN6" s="859" t="s">
        <v>269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AND(YEAR(Tnet)=An,Resal_2019="I")</f>
        <v>0</v>
      </c>
      <c r="F7" s="322" t="b">
        <f>YEAR(Tnet)=An</f>
        <v>0</v>
      </c>
      <c r="H7" s="337"/>
      <c r="J7" s="180"/>
      <c r="K7" s="193"/>
      <c r="L7" s="191" t="s">
        <v>81</v>
      </c>
      <c r="M7" s="870"/>
      <c r="N7" s="870"/>
      <c r="O7" s="18"/>
      <c r="P7" s="118"/>
      <c r="Q7" s="118"/>
      <c r="R7" s="141"/>
      <c r="S7" s="141"/>
      <c r="T7" s="141"/>
      <c r="U7" s="141"/>
      <c r="V7" s="430"/>
      <c r="W7" s="520"/>
      <c r="X7" s="521"/>
      <c r="Y7" s="250"/>
      <c r="Z7" s="520"/>
      <c r="AA7" s="520"/>
      <c r="AB7" s="520"/>
      <c r="AC7" s="533"/>
      <c r="AD7" s="250"/>
      <c r="AE7" s="250"/>
      <c r="AF7" s="495"/>
      <c r="AG7" s="495"/>
      <c r="AH7" s="495"/>
      <c r="AI7" s="520"/>
      <c r="AJ7" s="518">
        <f>SUMIF(AJ15:AJ380,"VRAI",Wh_pvt)</f>
        <v>0</v>
      </c>
      <c r="AK7" s="518">
        <f>SUMIF(AK15:AK380,"VRAI",Wh_sa)</f>
        <v>0</v>
      </c>
      <c r="AL7" s="518">
        <f>SUMIF(AJ15:AJ380,"VRAI",Wh_pvt_s)</f>
        <v>0</v>
      </c>
      <c r="AM7" s="518">
        <f>SUMIF(AK15:AK380,"VRAI",Wh_sa_s)</f>
        <v>0</v>
      </c>
      <c r="AN7" s="859" t="s">
        <v>260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AND(YEAR(Tnet)=An,Resal_2019&lt;&gt;"I")</f>
        <v>0</v>
      </c>
      <c r="F8" s="323" t="b">
        <f>YEAR(Ttai)=An</f>
        <v>0</v>
      </c>
      <c r="H8" s="338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20"/>
      <c r="W8" s="406"/>
      <c r="X8" s="1264" t="s">
        <v>102</v>
      </c>
      <c r="Y8" s="1265"/>
      <c r="Z8" s="500"/>
      <c r="AA8" s="500"/>
      <c r="AB8" s="464"/>
      <c r="AC8" s="522" t="s">
        <v>61</v>
      </c>
      <c r="AD8" s="464"/>
      <c r="AE8" s="464"/>
      <c r="AF8" s="464"/>
      <c r="AG8" s="464"/>
      <c r="AH8" s="464"/>
      <c r="AI8" s="464"/>
      <c r="AJ8" s="518">
        <f>SUMIF(AJ15:AJ380,"FAUX",Wh_pvt)</f>
        <v>10848.531693449062</v>
      </c>
      <c r="AK8" s="518">
        <f>SUMIF(AK15:AK380,"FAUX",Wh_sa)</f>
        <v>11607.10090882109</v>
      </c>
      <c r="AL8" s="518">
        <f>SUMIF(AJ15:AJ380,"FAUX",Wh_pvt_s)</f>
        <v>10848.531693449062</v>
      </c>
      <c r="AM8" s="518">
        <f>SUMIF(AK15:AK380,"FAUX",Wh_sa_s)</f>
        <v>11607.10090882109</v>
      </c>
      <c r="AN8" s="859" t="s">
        <v>261</v>
      </c>
    </row>
    <row r="9" spans="1:40" s="19" customFormat="1" ht="15" customHeight="1" x14ac:dyDescent="0.25">
      <c r="A9" s="34"/>
      <c r="B9" s="212"/>
      <c r="C9" s="212"/>
      <c r="D9" s="186">
        <f>SUM(D$15:D$380)</f>
        <v>10848.531693449062</v>
      </c>
      <c r="E9" s="186">
        <f>SUM(E$15:E$380)</f>
        <v>11607.10090882109</v>
      </c>
      <c r="F9" s="186">
        <f>SUM(F$15:F$380)</f>
        <v>11627.851527154764</v>
      </c>
      <c r="H9" s="1268">
        <f>+SUM(Wh)</f>
        <v>10766.592999999999</v>
      </c>
      <c r="I9" s="1269"/>
      <c r="J9" s="1270"/>
      <c r="K9" s="193"/>
      <c r="L9" s="114"/>
      <c r="M9" s="114"/>
      <c r="N9" s="114"/>
      <c r="O9" s="225">
        <f>Tnet_2019</f>
        <v>43313</v>
      </c>
      <c r="P9" s="246" t="s">
        <v>91</v>
      </c>
      <c r="Q9" s="247"/>
      <c r="R9" s="247"/>
      <c r="S9" s="247"/>
      <c r="T9" s="247"/>
      <c r="U9" s="248"/>
      <c r="V9" s="464"/>
      <c r="W9" s="523"/>
      <c r="X9" s="1262">
        <f>+SUM(Wh_s)</f>
        <v>10766.592999999999</v>
      </c>
      <c r="Y9" s="1263"/>
      <c r="Z9" s="518">
        <f>SUM(Z$15:Z$380)</f>
        <v>10848.531693449062</v>
      </c>
      <c r="AA9" s="518">
        <f>SUM(AA$15:AA$380)</f>
        <v>11607.10090882109</v>
      </c>
      <c r="AB9" s="518">
        <f>F9</f>
        <v>11627.851527154764</v>
      </c>
      <c r="AC9" s="327">
        <f>IF(An_Tnet,Tnet,'2018'!Tnet_s)</f>
        <v>43313</v>
      </c>
      <c r="AD9" s="318" t="s">
        <v>91</v>
      </c>
      <c r="AE9" s="318"/>
      <c r="AF9" s="318"/>
      <c r="AG9" s="318"/>
      <c r="AH9" s="318"/>
      <c r="AI9" s="319"/>
      <c r="AJ9" s="518">
        <f>SUMIF(AJ15:AJ380,"VRAI",Wh_sa)</f>
        <v>0</v>
      </c>
      <c r="AK9" s="518">
        <f>SUMIF(AK15:AK380,"VRAI",Wh_hp)</f>
        <v>0</v>
      </c>
      <c r="AL9" s="518">
        <f>SUMIF(AJ15:AJ380,"VRAI",Wh_sa_s)</f>
        <v>0</v>
      </c>
      <c r="AM9" s="518">
        <f>SUMIF(AK15:AK380,"VRAI",Wh_hp)</f>
        <v>0</v>
      </c>
      <c r="AN9" s="859" t="s">
        <v>266</v>
      </c>
    </row>
    <row r="10" spans="1:40" s="19" customFormat="1" ht="15" customHeight="1" x14ac:dyDescent="0.25">
      <c r="A10" s="208"/>
      <c r="B10" s="209"/>
      <c r="C10" s="866"/>
      <c r="D10" s="182" t="s">
        <v>26</v>
      </c>
      <c r="E10" s="183" t="s">
        <v>27</v>
      </c>
      <c r="F10" s="183" t="s">
        <v>28</v>
      </c>
      <c r="H10" s="28"/>
      <c r="K10" s="195"/>
      <c r="L10" s="114"/>
      <c r="M10" s="114"/>
      <c r="N10" s="114"/>
      <c r="O10" s="204">
        <f>IF(Inflex,'2018'!Resal+('2018'!Salim-'2018'!Resal)*(1-EXP(('2018'!Tnet-Tnet)/('2018'!Tau_j))),IF(An_Tnet,Resal_2019,'2018'!Resal))</f>
        <v>0</v>
      </c>
      <c r="P10" s="423" t="b">
        <f>NOT(Acti_tai)</f>
        <v>1</v>
      </c>
      <c r="Q10" s="259">
        <f>IF(Acti_tai,'2018'!PousD,Dens-Dd)</f>
        <v>0</v>
      </c>
      <c r="R10" s="276"/>
      <c r="S10" s="277"/>
      <c r="T10" s="278"/>
      <c r="U10" s="268">
        <f>IF(Acti_tai,'2018'!PousH,Hdtf-Hdd)</f>
        <v>0.70000000000000018</v>
      </c>
      <c r="V10" s="430"/>
      <c r="W10" s="507"/>
      <c r="X10" s="508"/>
      <c r="Y10" s="524" t="s">
        <v>26</v>
      </c>
      <c r="Z10" s="514" t="s">
        <v>27</v>
      </c>
      <c r="AA10" s="514" t="s">
        <v>28</v>
      </c>
      <c r="AB10" s="430"/>
      <c r="AC10" s="320">
        <f>IF(OR(Inflex,GainD),'2018'!Resal_s+('2018'!Salim-'2018'!Resal_s)*(1-EXP(('2018'!Tnet_s-Tnet)/('2018'!Tau_j))),IF(Acti_net,'2018'!Resal+('2018'!Salim-'2018'!Resal)*(1-EXP(('2018'!Tnet-Tnet)/'2018'!Tau_j)),'2018'!Resal_s))</f>
        <v>0</v>
      </c>
      <c r="AD10" s="430"/>
      <c r="AE10" s="430"/>
      <c r="AF10" s="262"/>
      <c r="AG10" s="263"/>
      <c r="AH10" s="264"/>
      <c r="AI10" s="525"/>
      <c r="AJ10" s="518">
        <f>SUMIF(AJ15:AJ380,"FAUX",Wh_sa)</f>
        <v>11607.10090882109</v>
      </c>
      <c r="AK10" s="518">
        <f>SUMIF(AK15:AK380,"FAUX",Wh_hp)</f>
        <v>11627.851527154764</v>
      </c>
      <c r="AL10" s="518">
        <f>SUMIF(AJ15:AJ380,"FAUX",Wh_sa_s)</f>
        <v>11607.10090882109</v>
      </c>
      <c r="AM10" s="518">
        <f>SUMIF(AK15:AK380,"FAUX",Wh_hp)</f>
        <v>11627.851527154764</v>
      </c>
      <c r="AN10" s="859" t="s">
        <v>267</v>
      </c>
    </row>
    <row r="11" spans="1:40" s="40" customFormat="1" ht="15" customHeight="1" x14ac:dyDescent="0.25">
      <c r="A11" s="218"/>
      <c r="B11" s="219" t="s">
        <v>43</v>
      </c>
      <c r="C11" s="867"/>
      <c r="D11" s="50">
        <f>D$9-Prod_an</f>
        <v>81.938693449063067</v>
      </c>
      <c r="E11" s="51">
        <f>(E$9-D$9)*Prod_an/D$9</f>
        <v>752.83976071819734</v>
      </c>
      <c r="F11" s="188">
        <f>(F$9-E$9)*Prod_an/E$9</f>
        <v>19.247998604648451</v>
      </c>
      <c r="G11" s="187" t="s">
        <v>6</v>
      </c>
      <c r="H11" s="337"/>
      <c r="K11" s="196"/>
      <c r="L11" s="184">
        <f>Tvie_2019</f>
        <v>43313</v>
      </c>
      <c r="M11" s="871"/>
      <c r="N11" s="871"/>
      <c r="O11" s="204">
        <f>IF(An_Tnet,Salim_2019,'2018'!Salim)</f>
        <v>0.21</v>
      </c>
      <c r="P11" s="258">
        <f>Ttai_2019</f>
        <v>43101</v>
      </c>
      <c r="Q11" s="274">
        <f>Dens_2019</f>
        <v>0.9</v>
      </c>
      <c r="R11" s="279"/>
      <c r="S11" s="232"/>
      <c r="T11" s="232"/>
      <c r="U11" s="268">
        <f>Htf_2019</f>
        <v>-1.4002241205487671</v>
      </c>
      <c r="V11" s="430"/>
      <c r="W11" s="521"/>
      <c r="X11" s="528" t="s">
        <v>43</v>
      </c>
      <c r="Y11" s="50">
        <f>Z$9-Prod_an_s</f>
        <v>81.938693449063067</v>
      </c>
      <c r="Z11" s="51">
        <f>(AA$9-Z$9)*Prod_an_s/Z$9</f>
        <v>752.83976071819734</v>
      </c>
      <c r="AA11" s="188">
        <f>(AB$9-AA$9)*Prod_an_s/AA$9</f>
        <v>19.247998604648451</v>
      </c>
      <c r="AB11" s="529" t="s">
        <v>6</v>
      </c>
      <c r="AC11" s="327"/>
      <c r="AD11" s="430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60">
        <f>IF($AJ7=0,0,($AJ9-$AJ7)*$AJ5/$AJ7)</f>
        <v>0</v>
      </c>
      <c r="AK11" s="861">
        <f>IF($AK7=0,0,($AK9-$AK7)*$AK5/$AK7)</f>
        <v>0</v>
      </c>
      <c r="AL11" s="860">
        <f>IF($AL7=0,0,($AL9-$AL7)*$AL5/$AL7)</f>
        <v>0</v>
      </c>
      <c r="AM11" s="861">
        <f>IF($AM7=0,0,($AM9-$AM7)*$AM5/$AM7)</f>
        <v>0</v>
      </c>
      <c r="AN11" s="859" t="s">
        <v>273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3.4543380752322106E-2</v>
      </c>
      <c r="H12" s="28"/>
      <c r="K12" s="193"/>
      <c r="L12" s="206">
        <f>Pspv_2019</f>
        <v>0</v>
      </c>
      <c r="M12" s="214"/>
      <c r="N12" s="214"/>
      <c r="O12" s="207">
        <f>IF(An_Tnet,Tau_2019*365,'2018'!Tau_j)</f>
        <v>912.5</v>
      </c>
      <c r="P12" s="283">
        <f>INDEX(Croivg,MIN(MAX(Ttai-$A$15,0)+1,366))</f>
        <v>2.3909964587625958E-6</v>
      </c>
      <c r="Q12" s="282">
        <f>'2018'!Df</f>
        <v>0.9</v>
      </c>
      <c r="R12" s="280"/>
      <c r="S12" s="281"/>
      <c r="T12" s="281"/>
      <c r="U12" s="269">
        <f>'2018'!Hdf</f>
        <v>-2.1002241205487673</v>
      </c>
      <c r="V12" s="520"/>
      <c r="W12" s="507"/>
      <c r="X12" s="508"/>
      <c r="Y12" s="507"/>
      <c r="Z12" s="430"/>
      <c r="AA12" s="430"/>
      <c r="AB12" s="534"/>
      <c r="AC12" s="320" t="b">
        <f>NOT(An_Tnet)</f>
        <v>1</v>
      </c>
      <c r="AD12" s="430"/>
      <c r="AE12" s="298">
        <f>'2018'!Df_s</f>
        <v>0.9</v>
      </c>
      <c r="AF12" s="205"/>
      <c r="AG12" s="205"/>
      <c r="AH12" s="205"/>
      <c r="AI12" s="299">
        <f>'2018'!Hdf_s</f>
        <v>-2.1002241205487673</v>
      </c>
      <c r="AJ12" s="860">
        <f>IF($AJ8=0,0,($AJ10-$AJ8)*$AJ6/$AJ8)</f>
        <v>752.83976071819734</v>
      </c>
      <c r="AK12" s="861">
        <f>IF($AK8=0,0,($AK10-$AK8)*$AK6/$AK8)</f>
        <v>19.247998604648451</v>
      </c>
      <c r="AL12" s="860">
        <f>IF($AL8=0,0,($AL10-$AL8)*$AL6/$AL8)</f>
        <v>752.83976071819734</v>
      </c>
      <c r="AM12" s="861">
        <f>IF($AM8=0,0,($AM10-$AM8)*$AM6/$AM8)</f>
        <v>19.247998604648451</v>
      </c>
      <c r="AN12" s="859" t="s">
        <v>274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751" t="s">
        <v>205</v>
      </c>
      <c r="V13" s="124" t="s">
        <v>41</v>
      </c>
      <c r="W13" s="864" t="s">
        <v>46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209</v>
      </c>
      <c r="AJ13" s="73">
        <f>+AJ11+AJ12</f>
        <v>752.83976071819734</v>
      </c>
      <c r="AK13" s="73">
        <f>+AK11+AK12</f>
        <v>19.247998604648451</v>
      </c>
      <c r="AL13" s="73">
        <f>+AL11+AL12</f>
        <v>752.83976071819734</v>
      </c>
      <c r="AM13" s="73">
        <f>+AM11+AM12</f>
        <v>19.247998604648451</v>
      </c>
      <c r="AN13" s="858" t="s">
        <v>275</v>
      </c>
    </row>
    <row r="14" spans="1:40" s="46" customFormat="1" ht="40.5" customHeight="1" thickBot="1" x14ac:dyDescent="0.25">
      <c r="A14" s="45" t="s">
        <v>2</v>
      </c>
      <c r="B14" s="391" t="s">
        <v>190</v>
      </c>
      <c r="C14" s="391"/>
      <c r="D14" s="53" t="s">
        <v>30</v>
      </c>
      <c r="E14" s="162" t="s">
        <v>29</v>
      </c>
      <c r="F14" s="162" t="str">
        <f>"Hors pertes "&amp; TEXT(An,0)</f>
        <v>Hors pertes 2019</v>
      </c>
      <c r="G14" s="107" t="s">
        <v>42</v>
      </c>
      <c r="H14" s="415" t="s">
        <v>117</v>
      </c>
      <c r="I14" s="417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206</v>
      </c>
      <c r="S14" s="174" t="s">
        <v>207</v>
      </c>
      <c r="T14" s="174" t="s">
        <v>208</v>
      </c>
      <c r="U14" s="108" t="s">
        <v>204</v>
      </c>
      <c r="V14" s="45" t="str">
        <f>"Enveloppe "&amp; TEXT(An,0)</f>
        <v>Enveloppe 2019</v>
      </c>
      <c r="W14" s="120"/>
      <c r="X14" s="260" t="s">
        <v>2</v>
      </c>
      <c r="Y14" s="107" t="str">
        <f>"Wh / Jour "&amp; TEXT(An,0)</f>
        <v>Wh / Jour 2019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333" t="s">
        <v>99</v>
      </c>
      <c r="AF14" s="174" t="s">
        <v>206</v>
      </c>
      <c r="AG14" s="174" t="s">
        <v>207</v>
      </c>
      <c r="AH14" s="174" t="s">
        <v>208</v>
      </c>
      <c r="AI14" s="108" t="s">
        <v>211</v>
      </c>
      <c r="AJ14" s="705" t="s">
        <v>258</v>
      </c>
      <c r="AK14" s="705" t="s">
        <v>259</v>
      </c>
      <c r="AL14" s="267"/>
      <c r="AM14" s="267"/>
      <c r="AN14" s="75"/>
    </row>
    <row r="15" spans="1:40" s="6" customFormat="1" ht="11.25" x14ac:dyDescent="0.2">
      <c r="A15" s="56">
        <f>DATE(An,1,1)</f>
        <v>43466</v>
      </c>
      <c r="B15" s="619">
        <v>2.0649999999999999</v>
      </c>
      <c r="C15" s="392"/>
      <c r="D15" s="395">
        <f t="shared" ref="D15:D78" si="0">Wh/(1-Ppv)</f>
        <v>2.0723656925374931</v>
      </c>
      <c r="E15" s="387">
        <f t="shared" ref="E15:E79" si="1">Wh_pvt/(1-Psa)</f>
        <v>2.1418545076073521</v>
      </c>
      <c r="F15" s="387">
        <f t="shared" ref="F15:F78" si="2">Wh_sa/(1-Pvg*MEDIAN((-Sdif+Wh/Env_an)/Csdif,0,1))</f>
        <v>2.1418545076073521</v>
      </c>
      <c r="G15" s="110">
        <f>+Wh_hp/MaxiM</f>
        <v>0.11363969249177877</v>
      </c>
      <c r="H15" s="416" t="b">
        <f>Wh_hp&gt;='2018'!Maxi_hp</f>
        <v>1</v>
      </c>
      <c r="I15" s="398">
        <f>IF(H15,Wh_hp,'2018'!Maxi_hp)</f>
        <v>2.1418545076073521</v>
      </c>
      <c r="J15" s="84">
        <f>IF(H15,An,'2018'!An_max)</f>
        <v>2019</v>
      </c>
      <c r="K15" s="199">
        <f t="shared" ref="K15:K78" si="3">t</f>
        <v>43466</v>
      </c>
      <c r="L15" s="146">
        <f>IF(t&lt;Tvie,1-EXP((T0-t)*PertePVj)+'2018'!Pspv,1-EXP((T0-t)*PertePVj)+Pspv)</f>
        <v>3.5542436183039205E-3</v>
      </c>
      <c r="M15" s="874"/>
      <c r="N15" s="874"/>
      <c r="O15" s="424">
        <f>IF(t&lt;Tnet,'2018'!Resal+('2018'!Salim-'2018'!Resal)*(1-EXP(('2018'!Tnet-t)/('2018'!Tau_j))),Resal+(Salim-Resal)*(1-EXP((Tnet-t)/(Tau_j))))*Salcycl</f>
        <v>3.2443293801260369E-2</v>
      </c>
      <c r="P15" s="304">
        <f>(INDEX(Models!$BJ15:$BT15,,T15)*(1-R15)+INDEX(Models!$BJ15:$BT15,,T15+1)*R15-ERP_i)*Q15*Ramure*Pc/MaxiM</f>
        <v>9.5191266191640457E-3</v>
      </c>
      <c r="Q15" s="305">
        <f t="shared" ref="Q15:Q78" si="4">IF(OR(t&lt;Ttai,Notai),Dd+PousD*Croivg,Dens+PousD*(Croivg-Croi_tai))</f>
        <v>0.9</v>
      </c>
      <c r="R15" s="306">
        <f t="shared" ref="R15:R78" si="5">(Hp_vg-S15)/(INDEX(Echel_vg,T15+1)-S15)</f>
        <v>0.89977755314875374</v>
      </c>
      <c r="S15" s="838">
        <f t="shared" ref="S15:S78" si="6">INDEX(Echel_vg,T15)</f>
        <v>-3</v>
      </c>
      <c r="T15" s="251">
        <f t="shared" ref="T15:T78" si="7">MIN(MATCH(Hp_vg,Echel_vg),10)</f>
        <v>3</v>
      </c>
      <c r="U15" s="252">
        <f>IF(OR(t&lt;Ttai,Notai),Hdd+PousH*Croivg,Hdtf+PousH*(Croivg-Croi_tai))</f>
        <v>-2.1002224468512463</v>
      </c>
      <c r="V15" s="384">
        <f t="shared" ref="V15:V78" si="8">MaxiM*(1-Ppv)*(1-Pvg)*(1-Psa)</f>
        <v>17.998491184577919</v>
      </c>
      <c r="W15" s="425"/>
      <c r="X15" s="426">
        <f t="shared" ref="X15:X78" si="9">t</f>
        <v>43466</v>
      </c>
      <c r="Y15" s="387">
        <f t="shared" ref="Y15:Y78" si="10">Wh_pvt_s*(1-Ppv)</f>
        <v>2.0649999999999999</v>
      </c>
      <c r="Z15" s="387">
        <f t="shared" ref="Z15:Z78" si="11">Wh_sa_s*(1-Psa_s)</f>
        <v>2.0723656925374931</v>
      </c>
      <c r="AA15" s="388">
        <f t="shared" ref="AA15:AA78" si="12">Wh_hp*(1-Pvg_s*MEDIAN((-Sdif+Wh/Env_an)/Csdif,0,1))</f>
        <v>2.1418545076073521</v>
      </c>
      <c r="AB15" s="427">
        <f t="shared" ref="AB15:AB78" si="13">t</f>
        <v>43466</v>
      </c>
      <c r="AC15" s="428">
        <f>IF(OR(t&lt;Tnet,NoTnet),'2018'!Resal_s+('2018'!Salim-'2018'!Resal_s)*(1-EXP(('2018'!Tnet_s-t)/'2018'!Tau_j)),Resal_s+(Salim-Resal_s)*(1-EXP((Tnet_s-t)/Tau_j)))*Salcycl</f>
        <v>3.2443293801260369E-2</v>
      </c>
      <c r="AD15" s="233">
        <f>(INDEX(Models!$BJ15:$BT15,,AH15)*(1-AF15)+INDEX(Models!$BJ15:$BT15,,AH15+1)*AF15-ERP_i)*AE15*Ramure*Pc/MaxiM</f>
        <v>9.5191266191640457E-3</v>
      </c>
      <c r="AE15" s="305">
        <f t="shared" ref="AE15:AE78" si="14">IF(OR(t&lt;Ttai,Notai),Dd_s+PousD*Croivg,Dens_s+PousD*(Croivg-Croi_tai))</f>
        <v>0.9</v>
      </c>
      <c r="AF15" s="306">
        <f t="shared" ref="AF15:AF78" si="15">(Hp_vg_s-AG15)/(INDEX(Echel_vg,AH15+1)-AG15)</f>
        <v>0.89977755314875374</v>
      </c>
      <c r="AG15" s="251">
        <f t="shared" ref="AG15:AG78" si="16">INDEX(Echel_vg,AH15)</f>
        <v>-3</v>
      </c>
      <c r="AH15" s="251">
        <f t="shared" ref="AH15:AH78" si="17">MIN(MATCH(Hp_vg_s,Echel_vg),10)</f>
        <v>3</v>
      </c>
      <c r="AI15" s="226">
        <f>IF(OR(t&lt;Ttai,Notai),Hdd_s+PousH*Croivg,Hdtai_s+PousH*(Croivg-Croi_tai))</f>
        <v>-2.1002224468512463</v>
      </c>
      <c r="AJ15" s="267" t="b">
        <f t="shared" ref="AJ15:AJ78" si="18">t&lt;Tnet</f>
        <v>0</v>
      </c>
      <c r="AK15" s="267" t="b">
        <f t="shared" ref="AK15:AK78" si="19">t&lt;Ttai</f>
        <v>0</v>
      </c>
      <c r="AL15" s="267"/>
      <c r="AM15" s="267"/>
      <c r="AN15" s="75"/>
    </row>
    <row r="16" spans="1:40" s="6" customFormat="1" ht="11.25" customHeight="1" x14ac:dyDescent="0.2">
      <c r="A16" s="56">
        <f t="shared" ref="A16:A79" si="20">A15+1</f>
        <v>43467</v>
      </c>
      <c r="B16" s="620">
        <v>6.8049999999999997</v>
      </c>
      <c r="C16" s="392"/>
      <c r="D16" s="395">
        <f t="shared" si="0"/>
        <v>6.8294318304769872</v>
      </c>
      <c r="E16" s="387">
        <f t="shared" si="1"/>
        <v>7.0598375914216378</v>
      </c>
      <c r="F16" s="387">
        <f t="shared" si="2"/>
        <v>7.0670950525262803</v>
      </c>
      <c r="G16" s="110">
        <f>+Wh_hp/MaxiM</f>
        <v>0.37229926416771758</v>
      </c>
      <c r="H16" s="416" t="b">
        <f>Wh_hp&gt;='2018'!Maxi_hp</f>
        <v>1</v>
      </c>
      <c r="I16" s="392">
        <f>IF(H16,Wh_hp,'2018'!Maxi_hp)</f>
        <v>7.0670950525262803</v>
      </c>
      <c r="J16" s="85">
        <f>IF(H16,An,'2018'!An_max)</f>
        <v>2019</v>
      </c>
      <c r="K16" s="199">
        <f t="shared" si="3"/>
        <v>43467</v>
      </c>
      <c r="L16" s="147">
        <f>IF(t&lt;Tvie,1-EXP((T0-t)*PertePVj)+'2018'!Pspv,1-EXP((T0-t)*PertePVj)+Pspv)</f>
        <v>3.5774323667685515E-3</v>
      </c>
      <c r="M16" s="872"/>
      <c r="N16" s="872"/>
      <c r="O16" s="48">
        <f>IF(t&lt;Tnet,'2018'!Resal+('2018'!Salim-'2018'!Resal)*(1-EXP(('2018'!Tnet-t)/('2018'!Tau_j))),Resal+(Salim-Resal)*(1-EXP((Tnet-t)/(Tau_j))))*Salcycl</f>
        <v>3.2636127667386397E-2</v>
      </c>
      <c r="P16" s="171">
        <f>(INDEX(Models!$BJ16:$BT16,,T16)*(1-R16)+INDEX(Models!$BJ16:$BT16,,T16+1)*R16-ERP_i)*Q16*Ramure*Pc/MaxiM</f>
        <v>9.5222209770875338E-3</v>
      </c>
      <c r="Q16" s="307">
        <f t="shared" si="4"/>
        <v>0.9</v>
      </c>
      <c r="R16" s="179">
        <f t="shared" si="5"/>
        <v>0.89981845360834578</v>
      </c>
      <c r="S16" s="839">
        <f t="shared" si="6"/>
        <v>-3</v>
      </c>
      <c r="T16" s="178">
        <f t="shared" si="7"/>
        <v>3</v>
      </c>
      <c r="U16" s="253">
        <f t="shared" ref="U16:U78" si="21">IF(OR(t&lt;Ttai,Notai),Hdd+PousH*Croivg,Hdtf+PousH*(Croivg-Croi_tai))</f>
        <v>-2.1001815463916542</v>
      </c>
      <c r="V16" s="385">
        <f t="shared" si="8"/>
        <v>18.122867308558234</v>
      </c>
      <c r="W16" s="58"/>
      <c r="X16" s="157">
        <f t="shared" si="9"/>
        <v>43467</v>
      </c>
      <c r="Y16" s="387">
        <f t="shared" si="10"/>
        <v>6.8049999999999997</v>
      </c>
      <c r="Z16" s="387">
        <f t="shared" si="11"/>
        <v>6.8294318304769872</v>
      </c>
      <c r="AA16" s="388">
        <f t="shared" si="12"/>
        <v>7.0598375914216378</v>
      </c>
      <c r="AB16" s="199">
        <f t="shared" si="13"/>
        <v>43467</v>
      </c>
      <c r="AC16" s="428">
        <f>IF(OR(t&lt;Tnet,NoTnet),'2018'!Resal_s+('2018'!Salim-'2018'!Resal_s)*(1-EXP(('2018'!Tnet_s-t)/'2018'!Tau_j)),Resal_s+(Salim-Resal_s)*(1-EXP((Tnet_s-t)/Tau_j)))*Salcycl</f>
        <v>3.2636127667386397E-2</v>
      </c>
      <c r="AD16" s="233">
        <f>(INDEX(Models!$BJ16:$BT16,,AH16)*(1-AF16)+INDEX(Models!$BJ16:$BT16,,AH16+1)*AF16-ERP_i)*AE16*Ramure*Pc/MaxiM</f>
        <v>9.5222209770875338E-3</v>
      </c>
      <c r="AE16" s="307">
        <f t="shared" si="14"/>
        <v>0.9</v>
      </c>
      <c r="AF16" s="179">
        <f t="shared" si="15"/>
        <v>0.89981845360834578</v>
      </c>
      <c r="AG16" s="178">
        <f t="shared" si="16"/>
        <v>-3</v>
      </c>
      <c r="AH16" s="178">
        <f t="shared" si="17"/>
        <v>3</v>
      </c>
      <c r="AI16" s="227">
        <f t="shared" ref="AI16:AI78" si="22">IF(OR(t&lt;Ttai,Notai),Hdd_s+PousH*Croivg,Hdtai_s+PousH*(Croivg-Croi_tai))</f>
        <v>-2.1001815463916542</v>
      </c>
      <c r="AJ16" s="267" t="b">
        <f t="shared" si="18"/>
        <v>0</v>
      </c>
      <c r="AK16" s="267" t="b">
        <f t="shared" si="19"/>
        <v>0</v>
      </c>
      <c r="AL16" s="267"/>
      <c r="AM16" s="267"/>
      <c r="AN16" s="75"/>
    </row>
    <row r="17" spans="1:40" s="6" customFormat="1" ht="11.25" customHeight="1" x14ac:dyDescent="0.2">
      <c r="A17" s="56">
        <f t="shared" si="20"/>
        <v>43468</v>
      </c>
      <c r="B17" s="620">
        <v>18.526</v>
      </c>
      <c r="C17" s="392"/>
      <c r="D17" s="395">
        <f t="shared" si="0"/>
        <v>18.592946144448671</v>
      </c>
      <c r="E17" s="387">
        <f>Wh_pvt/(1-Psa)</f>
        <v>19.224049186117615</v>
      </c>
      <c r="F17" s="387">
        <f t="shared" si="2"/>
        <v>19.408966249247889</v>
      </c>
      <c r="G17" s="110">
        <f t="shared" ref="G17:G79" si="23">+Wh_hp/MaxiM</f>
        <v>1.0148073583441217</v>
      </c>
      <c r="H17" s="416" t="b">
        <f>Wh_hp&gt;='2018'!Maxi_hp</f>
        <v>1</v>
      </c>
      <c r="I17" s="392">
        <f>IF(H17,Wh_hp,'2018'!Maxi_hp)</f>
        <v>19.408966249247889</v>
      </c>
      <c r="J17" s="85">
        <f>IF(H17,An,'2018'!An_max)</f>
        <v>2019</v>
      </c>
      <c r="K17" s="199">
        <f t="shared" si="3"/>
        <v>43468</v>
      </c>
      <c r="L17" s="147">
        <f>IF(t&lt;Tvie,1-EXP((T0-t)*PertePVj)+'2018'!Pspv,1-EXP((T0-t)*PertePVj)+Pspv)</f>
        <v>3.6006205755970688E-3</v>
      </c>
      <c r="M17" s="872"/>
      <c r="N17" s="872"/>
      <c r="O17" s="48">
        <f>IF(t&lt;Tnet,'2018'!Resal+('2018'!Salim-'2018'!Resal)*(1-EXP(('2018'!Tnet-t)/('2018'!Tau_j))),Resal+(Salim-Resal)*(1-EXP((Tnet-t)/(Tau_j))))*Salcycl</f>
        <v>3.2828829949347368E-2</v>
      </c>
      <c r="P17" s="171">
        <f>(INDEX(Models!$BJ17:$BT17,,T17)*(1-R17)+INDEX(Models!$BJ17:$BT17,,T17+1)*R17-ERP_i)*Q17*Ramure*Pc/MaxiM</f>
        <v>9.5274040232533053E-3</v>
      </c>
      <c r="Q17" s="307">
        <f t="shared" si="4"/>
        <v>0.9</v>
      </c>
      <c r="R17" s="179">
        <f t="shared" si="5"/>
        <v>0.89986106484203132</v>
      </c>
      <c r="S17" s="839">
        <f t="shared" si="6"/>
        <v>-3</v>
      </c>
      <c r="T17" s="178">
        <f t="shared" si="7"/>
        <v>3</v>
      </c>
      <c r="U17" s="253">
        <f t="shared" si="21"/>
        <v>-2.1001389351579687</v>
      </c>
      <c r="V17" s="385">
        <f t="shared" si="8"/>
        <v>18.255681581013746</v>
      </c>
      <c r="W17" s="58"/>
      <c r="X17" s="157">
        <f t="shared" si="9"/>
        <v>43468</v>
      </c>
      <c r="Y17" s="387">
        <f t="shared" si="10"/>
        <v>18.526</v>
      </c>
      <c r="Z17" s="387">
        <f t="shared" si="11"/>
        <v>18.592946144448671</v>
      </c>
      <c r="AA17" s="388">
        <f t="shared" si="12"/>
        <v>19.224049186117615</v>
      </c>
      <c r="AB17" s="199">
        <f t="shared" si="13"/>
        <v>43468</v>
      </c>
      <c r="AC17" s="428">
        <f>IF(OR(t&lt;Tnet,NoTnet),'2018'!Resal_s+('2018'!Salim-'2018'!Resal_s)*(1-EXP(('2018'!Tnet_s-t)/'2018'!Tau_j)),Resal_s+(Salim-Resal_s)*(1-EXP((Tnet_s-t)/Tau_j)))*Salcycl</f>
        <v>3.2828829949347368E-2</v>
      </c>
      <c r="AD17" s="233">
        <f>(INDEX(Models!$BJ17:$BT17,,AH17)*(1-AF17)+INDEX(Models!$BJ17:$BT17,,AH17+1)*AF17-ERP_i)*AE17*Ramure*Pc/MaxiM</f>
        <v>9.5274040232533053E-3</v>
      </c>
      <c r="AE17" s="307">
        <f t="shared" si="14"/>
        <v>0.9</v>
      </c>
      <c r="AF17" s="179">
        <f t="shared" si="15"/>
        <v>0.89986106484203132</v>
      </c>
      <c r="AG17" s="178">
        <f t="shared" si="16"/>
        <v>-3</v>
      </c>
      <c r="AH17" s="178">
        <f t="shared" si="17"/>
        <v>3</v>
      </c>
      <c r="AI17" s="227">
        <f t="shared" si="22"/>
        <v>-2.1001389351579687</v>
      </c>
      <c r="AJ17" s="267" t="b">
        <f t="shared" si="18"/>
        <v>0</v>
      </c>
      <c r="AK17" s="267" t="b">
        <f t="shared" si="19"/>
        <v>0</v>
      </c>
      <c r="AL17" s="267"/>
      <c r="AM17" s="267"/>
      <c r="AN17" s="75"/>
    </row>
    <row r="18" spans="1:40" s="6" customFormat="1" ht="11.25" customHeight="1" x14ac:dyDescent="0.2">
      <c r="A18" s="56">
        <f t="shared" si="20"/>
        <v>43469</v>
      </c>
      <c r="B18" s="620">
        <v>18.312000000000001</v>
      </c>
      <c r="C18" s="392"/>
      <c r="D18" s="395">
        <f t="shared" si="0"/>
        <v>18.378600524107185</v>
      </c>
      <c r="E18" s="387">
        <f>Wh_pvt/(1-Psa)</f>
        <v>19.006212103156994</v>
      </c>
      <c r="F18" s="387">
        <f t="shared" si="2"/>
        <v>19.187961348193991</v>
      </c>
      <c r="G18" s="110">
        <f>+Wh_hp/MaxiM</f>
        <v>0.9953342071389939</v>
      </c>
      <c r="H18" s="416" t="b">
        <f>Wh_hp&gt;='2018'!Maxi_hp</f>
        <v>1</v>
      </c>
      <c r="I18" s="392">
        <f>IF(H18,Wh_hp,'2018'!Maxi_hp)</f>
        <v>19.187961348193991</v>
      </c>
      <c r="J18" s="85">
        <f>IF(H18,An,'2018'!An_max)</f>
        <v>2019</v>
      </c>
      <c r="K18" s="199">
        <f>t</f>
        <v>43469</v>
      </c>
      <c r="L18" s="147">
        <f>IF(t&lt;Tvie,1-EXP((T0-t)*PertePVj)+'2018'!Pspv,1-EXP((T0-t)*PertePVj)+Pspv)</f>
        <v>3.6238082448020181E-3</v>
      </c>
      <c r="M18" s="872"/>
      <c r="N18" s="872"/>
      <c r="O18" s="48">
        <f>IF(t&lt;Tnet,'2018'!Resal+('2018'!Salim-'2018'!Resal)*(1-EXP(('2018'!Tnet-t)/('2018'!Tau_j))),Resal+(Salim-Resal)*(1-EXP((Tnet-t)/(Tau_j))))*Salcycl</f>
        <v>3.3021391934564319E-2</v>
      </c>
      <c r="P18" s="171">
        <f>(INDEX(Models!$BJ18:$BT18,,T18)*(1-R18)+INDEX(Models!$BJ18:$BT18,,T18+1)*R18-ERP_i)*Q18*Ramure*Pc/MaxiM</f>
        <v>9.5347404751506895E-3</v>
      </c>
      <c r="Q18" s="307">
        <f>IF(OR(t&lt;Ttai,Notai),Dd+PousD*Croivg,Dens+PousD*(Croivg-Croi_tai))</f>
        <v>0.9</v>
      </c>
      <c r="R18" s="179">
        <f t="shared" si="5"/>
        <v>0.89990545818584433</v>
      </c>
      <c r="S18" s="839">
        <f t="shared" si="6"/>
        <v>-3</v>
      </c>
      <c r="T18" s="178">
        <f t="shared" si="7"/>
        <v>3</v>
      </c>
      <c r="U18" s="253">
        <f t="shared" si="21"/>
        <v>-2.1000945418141557</v>
      </c>
      <c r="V18" s="385">
        <f t="shared" si="8"/>
        <v>18.396676032768617</v>
      </c>
      <c r="W18" s="58"/>
      <c r="X18" s="157">
        <f t="shared" si="9"/>
        <v>43469</v>
      </c>
      <c r="Y18" s="387">
        <f t="shared" si="10"/>
        <v>18.312000000000001</v>
      </c>
      <c r="Z18" s="387">
        <f>Wh_sa_s*(1-Psa_s)</f>
        <v>18.378600524107185</v>
      </c>
      <c r="AA18" s="388">
        <f t="shared" si="12"/>
        <v>19.006212103156994</v>
      </c>
      <c r="AB18" s="199">
        <f>t</f>
        <v>43469</v>
      </c>
      <c r="AC18" s="428">
        <f>IF(OR(t&lt;Tnet,NoTnet),'2018'!Resal_s+('2018'!Salim-'2018'!Resal_s)*(1-EXP(('2018'!Tnet_s-t)/'2018'!Tau_j)),Resal_s+(Salim-Resal_s)*(1-EXP((Tnet_s-t)/Tau_j)))*Salcycl</f>
        <v>3.3021391934564319E-2</v>
      </c>
      <c r="AD18" s="233">
        <f>(INDEX(Models!$BJ18:$BT18,,AH18)*(1-AF18)+INDEX(Models!$BJ18:$BT18,,AH18+1)*AF18-ERP_i)*AE18*Ramure*Pc/MaxiM</f>
        <v>9.5347404751506895E-3</v>
      </c>
      <c r="AE18" s="307">
        <f t="shared" si="14"/>
        <v>0.9</v>
      </c>
      <c r="AF18" s="179">
        <f t="shared" si="15"/>
        <v>0.89990545818584433</v>
      </c>
      <c r="AG18" s="178">
        <f t="shared" si="16"/>
        <v>-3</v>
      </c>
      <c r="AH18" s="178">
        <f t="shared" si="17"/>
        <v>3</v>
      </c>
      <c r="AI18" s="227">
        <f t="shared" si="22"/>
        <v>-2.1000945418141557</v>
      </c>
      <c r="AJ18" s="267" t="b">
        <f t="shared" si="18"/>
        <v>0</v>
      </c>
      <c r="AK18" s="267" t="b">
        <f t="shared" si="19"/>
        <v>0</v>
      </c>
      <c r="AL18" s="267"/>
      <c r="AM18" s="267"/>
      <c r="AN18" s="75"/>
    </row>
    <row r="19" spans="1:40" s="6" customFormat="1" ht="11.25" customHeight="1" x14ac:dyDescent="0.2">
      <c r="A19" s="56">
        <f t="shared" si="20"/>
        <v>43470</v>
      </c>
      <c r="B19" s="620">
        <v>18.521000000000001</v>
      </c>
      <c r="C19" s="392"/>
      <c r="D19" s="395">
        <f t="shared" si="0"/>
        <v>18.588793242972731</v>
      </c>
      <c r="E19" s="387">
        <f>Wh_pvt/(1-Psa)</f>
        <v>19.227408665332216</v>
      </c>
      <c r="F19" s="387">
        <f t="shared" si="2"/>
        <v>19.412334573306765</v>
      </c>
      <c r="G19" s="110">
        <f>+Wh_hp/MaxiM</f>
        <v>0.9986556903039796</v>
      </c>
      <c r="H19" s="416" t="b">
        <f>Wh_hp&gt;='2018'!Maxi_hp</f>
        <v>1</v>
      </c>
      <c r="I19" s="392">
        <f>IF(H19,Wh_hp,'2018'!Maxi_hp)</f>
        <v>19.412334573306765</v>
      </c>
      <c r="J19" s="85">
        <f>IF(H19,An,'2018'!An_max)</f>
        <v>2019</v>
      </c>
      <c r="K19" s="199">
        <f t="shared" si="3"/>
        <v>43470</v>
      </c>
      <c r="L19" s="147">
        <f>IF(t&lt;Tvie,1-EXP((T0-t)*PertePVj)+'2018'!Pspv,1-EXP((T0-t)*PertePVj)+Pspv)</f>
        <v>3.6469953743961669E-3</v>
      </c>
      <c r="M19" s="872"/>
      <c r="N19" s="872"/>
      <c r="O19" s="48">
        <f>IF(t&lt;Tnet,'2018'!Resal+('2018'!Salim-'2018'!Resal)*(1-EXP(('2018'!Tnet-t)/('2018'!Tau_j))),Resal+(Salim-Resal)*(1-EXP((Tnet-t)/(Tau_j))))*Salcycl</f>
        <v>3.3213806055463611E-2</v>
      </c>
      <c r="P19" s="171">
        <f>(INDEX(Models!$BJ19:$BT19,,T19)*(1-R19)+INDEX(Models!$BJ19:$BT19,,T19+1)*R19-ERP_i)*Q19*Ramure*Pc/MaxiM</f>
        <v>9.5442871977475269E-3</v>
      </c>
      <c r="Q19" s="307">
        <f t="shared" si="4"/>
        <v>0.9</v>
      </c>
      <c r="R19" s="179">
        <f t="shared" si="5"/>
        <v>0.89995170793143053</v>
      </c>
      <c r="S19" s="839">
        <f t="shared" si="6"/>
        <v>-3</v>
      </c>
      <c r="T19" s="178">
        <f t="shared" si="7"/>
        <v>3</v>
      </c>
      <c r="U19" s="253">
        <f t="shared" si="21"/>
        <v>-2.1000482920685695</v>
      </c>
      <c r="V19" s="385">
        <f t="shared" si="8"/>
        <v>18.5455929272159</v>
      </c>
      <c r="W19" s="58"/>
      <c r="X19" s="157">
        <f t="shared" si="9"/>
        <v>43470</v>
      </c>
      <c r="Y19" s="387">
        <f t="shared" si="10"/>
        <v>18.521000000000001</v>
      </c>
      <c r="Z19" s="387">
        <f t="shared" si="11"/>
        <v>18.588793242972731</v>
      </c>
      <c r="AA19" s="388">
        <f t="shared" si="12"/>
        <v>19.227408665332216</v>
      </c>
      <c r="AB19" s="199">
        <f t="shared" si="13"/>
        <v>43470</v>
      </c>
      <c r="AC19" s="428">
        <f>IF(OR(t&lt;Tnet,NoTnet),'2018'!Resal_s+('2018'!Salim-'2018'!Resal_s)*(1-EXP(('2018'!Tnet_s-t)/'2018'!Tau_j)),Resal_s+(Salim-Resal_s)*(1-EXP((Tnet_s-t)/Tau_j)))*Salcycl</f>
        <v>3.3213806055463611E-2</v>
      </c>
      <c r="AD19" s="233">
        <f>(INDEX(Models!$BJ19:$BT19,,AH19)*(1-AF19)+INDEX(Models!$BJ19:$BT19,,AH19+1)*AF19-ERP_i)*AE19*Ramure*Pc/MaxiM</f>
        <v>9.5442871977475269E-3</v>
      </c>
      <c r="AE19" s="307">
        <f t="shared" si="14"/>
        <v>0.9</v>
      </c>
      <c r="AF19" s="179">
        <f t="shared" si="15"/>
        <v>0.89995170793143053</v>
      </c>
      <c r="AG19" s="178">
        <f t="shared" si="16"/>
        <v>-3</v>
      </c>
      <c r="AH19" s="178">
        <f t="shared" si="17"/>
        <v>3</v>
      </c>
      <c r="AI19" s="227">
        <f t="shared" si="22"/>
        <v>-2.1000482920685695</v>
      </c>
      <c r="AJ19" s="267" t="b">
        <f t="shared" si="18"/>
        <v>0</v>
      </c>
      <c r="AK19" s="267" t="b">
        <f t="shared" si="19"/>
        <v>0</v>
      </c>
      <c r="AL19" s="267"/>
      <c r="AM19" s="267"/>
      <c r="AN19" s="75"/>
    </row>
    <row r="20" spans="1:40" s="6" customFormat="1" ht="11.25" customHeight="1" x14ac:dyDescent="0.2">
      <c r="A20" s="56">
        <f t="shared" si="20"/>
        <v>43471</v>
      </c>
      <c r="B20" s="620">
        <v>4.7510000000000003</v>
      </c>
      <c r="C20" s="392"/>
      <c r="D20" s="395">
        <f t="shared" si="0"/>
        <v>4.7685012673486025</v>
      </c>
      <c r="E20" s="387">
        <f t="shared" si="1"/>
        <v>4.9333035301079073</v>
      </c>
      <c r="F20" s="387">
        <f t="shared" si="2"/>
        <v>4.9333035301079073</v>
      </c>
      <c r="G20" s="110">
        <f t="shared" si="23"/>
        <v>0.25160704895520236</v>
      </c>
      <c r="H20" s="416" t="b">
        <f>Wh_hp&gt;='2018'!Maxi_hp</f>
        <v>1</v>
      </c>
      <c r="I20" s="392">
        <f>IF(H20,Wh_hp,'2018'!Maxi_hp)</f>
        <v>4.9333035301079073</v>
      </c>
      <c r="J20" s="85">
        <f>IF(H20,An,'2018'!An_max)</f>
        <v>2019</v>
      </c>
      <c r="K20" s="199">
        <f t="shared" si="3"/>
        <v>43471</v>
      </c>
      <c r="L20" s="147">
        <f>IF(t&lt;Tvie,1-EXP((T0-t)*PertePVj)+'2018'!Pspv,1-EXP((T0-t)*PertePVj)+Pspv)</f>
        <v>3.6701819643918387E-3</v>
      </c>
      <c r="M20" s="872"/>
      <c r="N20" s="872"/>
      <c r="O20" s="48">
        <f>IF(t&lt;Tnet,'2018'!Resal+('2018'!Salim-'2018'!Resal)*(1-EXP(('2018'!Tnet-t)/('2018'!Tau_j))),Resal+(Salim-Resal)*(1-EXP((Tnet-t)/(Tau_j))))*Salcycl</f>
        <v>3.3406065885368305E-2</v>
      </c>
      <c r="P20" s="171">
        <f>(INDEX(Models!$BJ20:$BT20,,T20)*(1-R20)+INDEX(Models!$BJ20:$BT20,,T20+1)*R20-ERP_i)*Q20*Ramure*Pc/MaxiM</f>
        <v>9.5560934026975661E-3</v>
      </c>
      <c r="Q20" s="307">
        <f t="shared" si="4"/>
        <v>0.9</v>
      </c>
      <c r="R20" s="179">
        <f t="shared" si="5"/>
        <v>0.89999989144688186</v>
      </c>
      <c r="S20" s="839">
        <f t="shared" si="6"/>
        <v>-3</v>
      </c>
      <c r="T20" s="178">
        <f t="shared" si="7"/>
        <v>3</v>
      </c>
      <c r="U20" s="253">
        <f t="shared" si="21"/>
        <v>-2.1000001085531181</v>
      </c>
      <c r="V20" s="385">
        <f t="shared" si="8"/>
        <v>18.702174759347049</v>
      </c>
      <c r="W20" s="58"/>
      <c r="X20" s="157">
        <f t="shared" si="9"/>
        <v>43471</v>
      </c>
      <c r="Y20" s="387">
        <f t="shared" si="10"/>
        <v>4.7510000000000003</v>
      </c>
      <c r="Z20" s="387">
        <f t="shared" si="11"/>
        <v>4.7685012673486025</v>
      </c>
      <c r="AA20" s="388">
        <f t="shared" si="12"/>
        <v>4.9333035301079073</v>
      </c>
      <c r="AB20" s="199">
        <f t="shared" si="13"/>
        <v>43471</v>
      </c>
      <c r="AC20" s="428">
        <f>IF(OR(t&lt;Tnet,NoTnet),'2018'!Resal_s+('2018'!Salim-'2018'!Resal_s)*(1-EXP(('2018'!Tnet_s-t)/'2018'!Tau_j)),Resal_s+(Salim-Resal_s)*(1-EXP((Tnet_s-t)/Tau_j)))*Salcycl</f>
        <v>3.3406065885368305E-2</v>
      </c>
      <c r="AD20" s="233">
        <f>(INDEX(Models!$BJ20:$BT20,,AH20)*(1-AF20)+INDEX(Models!$BJ20:$BT20,,AH20+1)*AF20-ERP_i)*AE20*Ramure*Pc/MaxiM</f>
        <v>9.5560934026975661E-3</v>
      </c>
      <c r="AE20" s="307">
        <f>IF(OR(t&lt;Ttai,Notai),Dd_s+PousD*Croivg,Dens_s+PousD*(Croivg-Croi_tai))</f>
        <v>0.9</v>
      </c>
      <c r="AF20" s="179">
        <f t="shared" si="15"/>
        <v>0.89999989144688186</v>
      </c>
      <c r="AG20" s="178">
        <f t="shared" si="16"/>
        <v>-3</v>
      </c>
      <c r="AH20" s="178">
        <f t="shared" si="17"/>
        <v>3</v>
      </c>
      <c r="AI20" s="227">
        <f>IF(OR(t&lt;Ttai,Notai),Hdd_s+PousH*Croivg,Hdtai_s+PousH*(Croivg-Croi_tai))</f>
        <v>-2.1000001085531181</v>
      </c>
      <c r="AJ20" s="267" t="b">
        <f t="shared" si="18"/>
        <v>0</v>
      </c>
      <c r="AK20" s="267" t="b">
        <f t="shared" si="19"/>
        <v>0</v>
      </c>
      <c r="AL20" s="267"/>
      <c r="AM20" s="267"/>
      <c r="AN20" s="75"/>
    </row>
    <row r="21" spans="1:40" s="6" customFormat="1" ht="11.25" customHeight="1" x14ac:dyDescent="0.2">
      <c r="A21" s="56">
        <f t="shared" si="20"/>
        <v>43472</v>
      </c>
      <c r="B21" s="620">
        <v>2.8580000000000001</v>
      </c>
      <c r="C21" s="392"/>
      <c r="D21" s="395">
        <f t="shared" si="0"/>
        <v>2.8685947761938215</v>
      </c>
      <c r="E21" s="387">
        <f t="shared" si="1"/>
        <v>2.968325054479251</v>
      </c>
      <c r="F21" s="387">
        <f t="shared" si="2"/>
        <v>2.968325054479251</v>
      </c>
      <c r="G21" s="110">
        <f t="shared" si="23"/>
        <v>0.15003836124857881</v>
      </c>
      <c r="H21" s="416" t="b">
        <f>Wh_hp&gt;='2018'!Maxi_hp</f>
        <v>1</v>
      </c>
      <c r="I21" s="392">
        <f>IF(H21,Wh_hp,'2018'!Maxi_hp)</f>
        <v>2.968325054479251</v>
      </c>
      <c r="J21" s="85">
        <f>IF(H21,An,'2018'!An_max)</f>
        <v>2019</v>
      </c>
      <c r="K21" s="199">
        <f t="shared" si="3"/>
        <v>43472</v>
      </c>
      <c r="L21" s="147">
        <f>IF(t&lt;Tvie,1-EXP((T0-t)*PertePVj)+'2018'!Pspv,1-EXP((T0-t)*PertePVj)+Pspv)</f>
        <v>3.6933680148016901E-3</v>
      </c>
      <c r="M21" s="872"/>
      <c r="N21" s="872"/>
      <c r="O21" s="48">
        <f>IF(t&lt;Tnet,'2018'!Resal+('2018'!Salim-'2018'!Resal)*(1-EXP(('2018'!Tnet-t)/('2018'!Tau_j))),Resal+(Salim-Resal)*(1-EXP((Tnet-t)/(Tau_j))))*Salcycl</f>
        <v>3.3598166122317009E-2</v>
      </c>
      <c r="P21" s="171">
        <f>(INDEX(Models!$BJ21:$BT21,,T21)*(1-R21)+INDEX(Models!$BJ21:$BT21,,T21+1)*R21-ERP_i)*Q21*Ramure*Pc/MaxiM</f>
        <v>9.570200908398635E-3</v>
      </c>
      <c r="Q21" s="307">
        <f t="shared" si="4"/>
        <v>0.9</v>
      </c>
      <c r="R21" s="179">
        <f t="shared" si="5"/>
        <v>0.90005008930237018</v>
      </c>
      <c r="S21" s="839">
        <f t="shared" si="6"/>
        <v>-3</v>
      </c>
      <c r="T21" s="178">
        <f t="shared" si="7"/>
        <v>3</v>
      </c>
      <c r="U21" s="253">
        <f t="shared" si="21"/>
        <v>-2.0999499106976298</v>
      </c>
      <c r="V21" s="385">
        <f t="shared" si="8"/>
        <v>18.866164241250729</v>
      </c>
      <c r="W21" s="58"/>
      <c r="X21" s="157">
        <f t="shared" si="9"/>
        <v>43472</v>
      </c>
      <c r="Y21" s="387">
        <f t="shared" si="10"/>
        <v>2.8580000000000001</v>
      </c>
      <c r="Z21" s="387">
        <f t="shared" si="11"/>
        <v>2.8685947761938215</v>
      </c>
      <c r="AA21" s="388">
        <f t="shared" si="12"/>
        <v>2.968325054479251</v>
      </c>
      <c r="AB21" s="199">
        <f t="shared" si="13"/>
        <v>43472</v>
      </c>
      <c r="AC21" s="428">
        <f>IF(OR(t&lt;Tnet,NoTnet),'2018'!Resal_s+('2018'!Salim-'2018'!Resal_s)*(1-EXP(('2018'!Tnet_s-t)/'2018'!Tau_j)),Resal_s+(Salim-Resal_s)*(1-EXP((Tnet_s-t)/Tau_j)))*Salcycl</f>
        <v>3.3598166122317009E-2</v>
      </c>
      <c r="AD21" s="233">
        <f>(INDEX(Models!$BJ21:$BT21,,AH21)*(1-AF21)+INDEX(Models!$BJ21:$BT21,,AH21+1)*AF21-ERP_i)*AE21*Ramure*Pc/MaxiM</f>
        <v>9.570200908398635E-3</v>
      </c>
      <c r="AE21" s="307">
        <f t="shared" si="14"/>
        <v>0.9</v>
      </c>
      <c r="AF21" s="179">
        <f t="shared" si="15"/>
        <v>0.90005008930237018</v>
      </c>
      <c r="AG21" s="178">
        <f t="shared" si="16"/>
        <v>-3</v>
      </c>
      <c r="AH21" s="178">
        <f t="shared" si="17"/>
        <v>3</v>
      </c>
      <c r="AI21" s="227">
        <f t="shared" si="22"/>
        <v>-2.0999499106976298</v>
      </c>
      <c r="AJ21" s="267" t="b">
        <f t="shared" si="18"/>
        <v>0</v>
      </c>
      <c r="AK21" s="267" t="b">
        <f t="shared" si="19"/>
        <v>0</v>
      </c>
      <c r="AL21" s="267"/>
      <c r="AM21" s="267"/>
      <c r="AN21" s="75"/>
    </row>
    <row r="22" spans="1:40" s="6" customFormat="1" ht="11.25" customHeight="1" x14ac:dyDescent="0.2">
      <c r="A22" s="56">
        <f t="shared" si="20"/>
        <v>43473</v>
      </c>
      <c r="B22" s="620">
        <v>6.2460000000000004</v>
      </c>
      <c r="C22" s="392"/>
      <c r="D22" s="395">
        <f t="shared" si="0"/>
        <v>6.2693001897234018</v>
      </c>
      <c r="E22" s="387">
        <f t="shared" si="1"/>
        <v>6.4885489233162952</v>
      </c>
      <c r="F22" s="387">
        <f t="shared" si="2"/>
        <v>6.4910462553979</v>
      </c>
      <c r="G22" s="110">
        <f t="shared" si="23"/>
        <v>0.32507242864410002</v>
      </c>
      <c r="H22" s="416" t="b">
        <f>Wh_hp&gt;='2018'!Maxi_hp</f>
        <v>1</v>
      </c>
      <c r="I22" s="392">
        <f>IF(H22,Wh_hp,'2018'!Maxi_hp)</f>
        <v>6.4910462553979</v>
      </c>
      <c r="J22" s="85">
        <f>IF(H22,An,'2018'!An_max)</f>
        <v>2019</v>
      </c>
      <c r="K22" s="199">
        <f t="shared" si="3"/>
        <v>43473</v>
      </c>
      <c r="L22" s="147">
        <f>IF(t&lt;Tvie,1-EXP((T0-t)*PertePVj)+'2018'!Pspv,1-EXP((T0-t)*PertePVj)+Pspv)</f>
        <v>3.7165535256382665E-3</v>
      </c>
      <c r="M22" s="872"/>
      <c r="N22" s="872"/>
      <c r="O22" s="48">
        <f>IF(t&lt;Tnet,'2018'!Resal+('2018'!Salim-'2018'!Resal)*(1-EXP(('2018'!Tnet-t)/('2018'!Tau_j))),Resal+(Salim-Resal)*(1-EXP((Tnet-t)/(Tau_j))))*Salcycl</f>
        <v>3.3790102561303534E-2</v>
      </c>
      <c r="P22" s="171">
        <f>(INDEX(Models!$BJ22:$BT22,,T22)*(1-R22)+INDEX(Models!$BJ22:$BT22,,T22+1)*R22-ERP_i)*Q22*Ramure*Pc/MaxiM</f>
        <v>9.5866444258793891E-3</v>
      </c>
      <c r="Q22" s="307">
        <f t="shared" si="4"/>
        <v>0.9</v>
      </c>
      <c r="R22" s="179">
        <f t="shared" si="5"/>
        <v>0.90010238540076637</v>
      </c>
      <c r="S22" s="839">
        <f t="shared" si="6"/>
        <v>-3</v>
      </c>
      <c r="T22" s="178">
        <f t="shared" si="7"/>
        <v>3</v>
      </c>
      <c r="U22" s="253">
        <f t="shared" si="21"/>
        <v>-2.0998976145992336</v>
      </c>
      <c r="V22" s="385">
        <f t="shared" si="8"/>
        <v>19.037304325572563</v>
      </c>
      <c r="W22" s="58"/>
      <c r="X22" s="157">
        <f t="shared" si="9"/>
        <v>43473</v>
      </c>
      <c r="Y22" s="387">
        <f t="shared" si="10"/>
        <v>6.2460000000000004</v>
      </c>
      <c r="Z22" s="387">
        <f t="shared" si="11"/>
        <v>6.2693001897234018</v>
      </c>
      <c r="AA22" s="388">
        <f t="shared" si="12"/>
        <v>6.4885489233162952</v>
      </c>
      <c r="AB22" s="199">
        <f t="shared" si="13"/>
        <v>43473</v>
      </c>
      <c r="AC22" s="428">
        <f>IF(OR(t&lt;Tnet,NoTnet),'2018'!Resal_s+('2018'!Salim-'2018'!Resal_s)*(1-EXP(('2018'!Tnet_s-t)/'2018'!Tau_j)),Resal_s+(Salim-Resal_s)*(1-EXP((Tnet_s-t)/Tau_j)))*Salcycl</f>
        <v>3.3790102561303534E-2</v>
      </c>
      <c r="AD22" s="233">
        <f>(INDEX(Models!$BJ22:$BT22,,AH22)*(1-AF22)+INDEX(Models!$BJ22:$BT22,,AH22+1)*AF22-ERP_i)*AE22*Ramure*Pc/MaxiM</f>
        <v>9.5866444258793891E-3</v>
      </c>
      <c r="AE22" s="307">
        <f t="shared" si="14"/>
        <v>0.9</v>
      </c>
      <c r="AF22" s="179">
        <f t="shared" si="15"/>
        <v>0.90010238540076637</v>
      </c>
      <c r="AG22" s="178">
        <f t="shared" si="16"/>
        <v>-3</v>
      </c>
      <c r="AH22" s="178">
        <f t="shared" si="17"/>
        <v>3</v>
      </c>
      <c r="AI22" s="227">
        <f t="shared" si="22"/>
        <v>-2.0998976145992336</v>
      </c>
      <c r="AJ22" s="267" t="b">
        <f t="shared" si="18"/>
        <v>0</v>
      </c>
      <c r="AK22" s="267" t="b">
        <f t="shared" si="19"/>
        <v>0</v>
      </c>
      <c r="AL22" s="267"/>
      <c r="AM22" s="267"/>
      <c r="AN22" s="75"/>
    </row>
    <row r="23" spans="1:40" s="6" customFormat="1" ht="11.25" customHeight="1" x14ac:dyDescent="0.2">
      <c r="A23" s="56">
        <f t="shared" si="20"/>
        <v>43474</v>
      </c>
      <c r="B23" s="620">
        <v>8.0649999999999995</v>
      </c>
      <c r="C23" s="392"/>
      <c r="D23" s="395">
        <f t="shared" si="0"/>
        <v>8.0952742086009817</v>
      </c>
      <c r="E23" s="387">
        <f t="shared" si="1"/>
        <v>8.3800437842988664</v>
      </c>
      <c r="F23" s="387">
        <f t="shared" si="2"/>
        <v>8.3938257002490086</v>
      </c>
      <c r="G23" s="110">
        <f t="shared" si="23"/>
        <v>0.41632131685180984</v>
      </c>
      <c r="H23" s="416" t="b">
        <f>Wh_hp&gt;='2018'!Maxi_hp</f>
        <v>1</v>
      </c>
      <c r="I23" s="392">
        <f>IF(H23,Wh_hp,'2018'!Maxi_hp)</f>
        <v>8.3938257002490086</v>
      </c>
      <c r="J23" s="85">
        <f>IF(H23,An,'2018'!An_max)</f>
        <v>2019</v>
      </c>
      <c r="K23" s="199">
        <f t="shared" si="3"/>
        <v>43474</v>
      </c>
      <c r="L23" s="147">
        <f>IF(t&lt;Tvie,1-EXP((T0-t)*PertePVj)+'2018'!Pspv,1-EXP((T0-t)*PertePVj)+Pspv)</f>
        <v>3.7397384969142244E-3</v>
      </c>
      <c r="M23" s="872"/>
      <c r="N23" s="872"/>
      <c r="O23" s="48">
        <f>IF(t&lt;Tnet,'2018'!Resal+('2018'!Salim-'2018'!Resal)*(1-EXP(('2018'!Tnet-t)/('2018'!Tau_j))),Resal+(Salim-Resal)*(1-EXP((Tnet-t)/(Tau_j))))*Salcycl</f>
        <v>3.3981872055542046E-2</v>
      </c>
      <c r="P23" s="171">
        <f>(INDEX(Models!$BJ23:$BT23,,T23)*(1-R23)+INDEX(Models!$BJ23:$BT23,,T23+1)*R23-ERP_i)*Q23*Ramure*Pc/MaxiM</f>
        <v>9.6043551489699841E-3</v>
      </c>
      <c r="Q23" s="307">
        <f t="shared" si="4"/>
        <v>0.9</v>
      </c>
      <c r="R23" s="179">
        <f t="shared" si="5"/>
        <v>0.90015686711341525</v>
      </c>
      <c r="S23" s="839">
        <f t="shared" si="6"/>
        <v>-3</v>
      </c>
      <c r="T23" s="178">
        <f t="shared" si="7"/>
        <v>3</v>
      </c>
      <c r="U23" s="253">
        <f t="shared" si="21"/>
        <v>-2.0998431328865848</v>
      </c>
      <c r="V23" s="385">
        <f t="shared" si="8"/>
        <v>19.217553733248717</v>
      </c>
      <c r="W23" s="58"/>
      <c r="X23" s="157">
        <f t="shared" si="9"/>
        <v>43474</v>
      </c>
      <c r="Y23" s="387">
        <f t="shared" si="10"/>
        <v>8.0649999999999995</v>
      </c>
      <c r="Z23" s="387">
        <f t="shared" si="11"/>
        <v>8.0952742086009817</v>
      </c>
      <c r="AA23" s="388">
        <f t="shared" si="12"/>
        <v>8.3800437842988664</v>
      </c>
      <c r="AB23" s="199">
        <f t="shared" si="13"/>
        <v>43474</v>
      </c>
      <c r="AC23" s="428">
        <f>IF(OR(t&lt;Tnet,NoTnet),'2018'!Resal_s+('2018'!Salim-'2018'!Resal_s)*(1-EXP(('2018'!Tnet_s-t)/'2018'!Tau_j)),Resal_s+(Salim-Resal_s)*(1-EXP((Tnet_s-t)/Tau_j)))*Salcycl</f>
        <v>3.3981872055542046E-2</v>
      </c>
      <c r="AD23" s="233">
        <f>(INDEX(Models!$BJ23:$BT23,,AH23)*(1-AF23)+INDEX(Models!$BJ23:$BT23,,AH23+1)*AF23-ERP_i)*AE23*Ramure*Pc/MaxiM</f>
        <v>9.6043551489699841E-3</v>
      </c>
      <c r="AE23" s="307">
        <f t="shared" si="14"/>
        <v>0.9</v>
      </c>
      <c r="AF23" s="179">
        <f t="shared" si="15"/>
        <v>0.90015686711341525</v>
      </c>
      <c r="AG23" s="178">
        <f t="shared" si="16"/>
        <v>-3</v>
      </c>
      <c r="AH23" s="178">
        <f t="shared" si="17"/>
        <v>3</v>
      </c>
      <c r="AI23" s="227">
        <f t="shared" si="22"/>
        <v>-2.0998431328865848</v>
      </c>
      <c r="AJ23" s="267" t="b">
        <f t="shared" si="18"/>
        <v>0</v>
      </c>
      <c r="AK23" s="267" t="b">
        <f t="shared" si="19"/>
        <v>0</v>
      </c>
      <c r="AL23" s="267"/>
      <c r="AM23" s="267"/>
      <c r="AN23" s="75"/>
    </row>
    <row r="24" spans="1:40" s="6" customFormat="1" ht="11.25" customHeight="1" x14ac:dyDescent="0.2">
      <c r="A24" s="56">
        <f t="shared" si="20"/>
        <v>43475</v>
      </c>
      <c r="B24" s="620">
        <v>10.295</v>
      </c>
      <c r="C24" s="392"/>
      <c r="D24" s="395">
        <f t="shared" si="0"/>
        <v>10.333885615123108</v>
      </c>
      <c r="E24" s="387">
        <f t="shared" si="1"/>
        <v>10.699525557165849</v>
      </c>
      <c r="F24" s="387">
        <f t="shared" si="2"/>
        <v>10.733503548463755</v>
      </c>
      <c r="G24" s="110">
        <f t="shared" si="23"/>
        <v>0.52700014852785992</v>
      </c>
      <c r="H24" s="416" t="b">
        <f>Wh_hp&gt;='2018'!Maxi_hp</f>
        <v>1</v>
      </c>
      <c r="I24" s="392">
        <f>IF(H24,Wh_hp,'2018'!Maxi_hp)</f>
        <v>10.733503548463755</v>
      </c>
      <c r="J24" s="85">
        <f>IF(H24,An,'2018'!An_max)</f>
        <v>2019</v>
      </c>
      <c r="K24" s="199">
        <f t="shared" si="3"/>
        <v>43475</v>
      </c>
      <c r="L24" s="147">
        <f>IF(t&lt;Tvie,1-EXP((T0-t)*PertePVj)+'2018'!Pspv,1-EXP((T0-t)*PertePVj)+Pspv)</f>
        <v>3.7629229286418875E-3</v>
      </c>
      <c r="M24" s="872"/>
      <c r="N24" s="872"/>
      <c r="O24" s="48">
        <f>IF(t&lt;Tnet,'2018'!Resal+('2018'!Salim-'2018'!Resal)*(1-EXP(('2018'!Tnet-t)/('2018'!Tau_j))),Resal+(Salim-Resal)*(1-EXP((Tnet-t)/(Tau_j))))*Salcycl</f>
        <v>3.4173472467464591E-2</v>
      </c>
      <c r="P24" s="171">
        <f>(INDEX(Models!$BJ24:$BT24,,T24)*(1-R24)+INDEX(Models!$BJ24:$BT24,,T24+1)*R24-ERP_i)*Q24*Ramure*Pc/MaxiM</f>
        <v>9.6163469932552294E-3</v>
      </c>
      <c r="Q24" s="307">
        <f t="shared" si="4"/>
        <v>0.9</v>
      </c>
      <c r="R24" s="179">
        <f t="shared" si="5"/>
        <v>0.90021362542127292</v>
      </c>
      <c r="S24" s="839">
        <f t="shared" si="6"/>
        <v>-3</v>
      </c>
      <c r="T24" s="178">
        <f t="shared" si="7"/>
        <v>3</v>
      </c>
      <c r="U24" s="253">
        <f t="shared" si="21"/>
        <v>-2.0997863745787271</v>
      </c>
      <c r="V24" s="385">
        <f t="shared" si="8"/>
        <v>19.408682718001064</v>
      </c>
      <c r="W24" s="58"/>
      <c r="X24" s="157">
        <f t="shared" si="9"/>
        <v>43475</v>
      </c>
      <c r="Y24" s="387">
        <f t="shared" si="10"/>
        <v>10.295</v>
      </c>
      <c r="Z24" s="387">
        <f t="shared" si="11"/>
        <v>10.333885615123108</v>
      </c>
      <c r="AA24" s="388">
        <f t="shared" si="12"/>
        <v>10.699525557165849</v>
      </c>
      <c r="AB24" s="199">
        <f t="shared" si="13"/>
        <v>43475</v>
      </c>
      <c r="AC24" s="428">
        <f>IF(OR(t&lt;Tnet,NoTnet),'2018'!Resal_s+('2018'!Salim-'2018'!Resal_s)*(1-EXP(('2018'!Tnet_s-t)/'2018'!Tau_j)),Resal_s+(Salim-Resal_s)*(1-EXP((Tnet_s-t)/Tau_j)))*Salcycl</f>
        <v>3.4173472467464591E-2</v>
      </c>
      <c r="AD24" s="233">
        <f>(INDEX(Models!$BJ24:$BT24,,AH24)*(1-AF24)+INDEX(Models!$BJ24:$BT24,,AH24+1)*AF24-ERP_i)*AE24*Ramure*Pc/MaxiM</f>
        <v>9.6163469932552294E-3</v>
      </c>
      <c r="AE24" s="307">
        <f t="shared" si="14"/>
        <v>0.9</v>
      </c>
      <c r="AF24" s="179">
        <f t="shared" si="15"/>
        <v>0.90021362542127292</v>
      </c>
      <c r="AG24" s="178">
        <f t="shared" si="16"/>
        <v>-3</v>
      </c>
      <c r="AH24" s="178">
        <f t="shared" si="17"/>
        <v>3</v>
      </c>
      <c r="AI24" s="227">
        <f t="shared" si="22"/>
        <v>-2.0997863745787271</v>
      </c>
      <c r="AJ24" s="267" t="b">
        <f t="shared" si="18"/>
        <v>0</v>
      </c>
      <c r="AK24" s="267" t="b">
        <f t="shared" si="19"/>
        <v>0</v>
      </c>
      <c r="AL24" s="267"/>
      <c r="AM24" s="267"/>
      <c r="AN24" s="75"/>
    </row>
    <row r="25" spans="1:40" s="6" customFormat="1" ht="11.25" customHeight="1" x14ac:dyDescent="0.2">
      <c r="A25" s="56">
        <f t="shared" si="20"/>
        <v>43476</v>
      </c>
      <c r="B25" s="620">
        <v>19.125</v>
      </c>
      <c r="C25" s="392"/>
      <c r="D25" s="395">
        <f t="shared" si="0"/>
        <v>19.197684484169738</v>
      </c>
      <c r="E25" s="387">
        <f t="shared" si="1"/>
        <v>19.880889309081567</v>
      </c>
      <c r="F25" s="387">
        <f t="shared" si="2"/>
        <v>20.067116998152819</v>
      </c>
      <c r="G25" s="110">
        <f t="shared" si="23"/>
        <v>0.97493155586484193</v>
      </c>
      <c r="H25" s="416" t="b">
        <f>Wh_hp&gt;='2018'!Maxi_hp</f>
        <v>1</v>
      </c>
      <c r="I25" s="392">
        <f>IF(H25,Wh_hp,'2018'!Maxi_hp)</f>
        <v>20.067116998152819</v>
      </c>
      <c r="J25" s="85">
        <f>IF(H25,An,'2018'!An_max)</f>
        <v>2019</v>
      </c>
      <c r="K25" s="199">
        <f t="shared" si="3"/>
        <v>43476</v>
      </c>
      <c r="L25" s="147">
        <f>IF(t&lt;Tvie,1-EXP((T0-t)*PertePVj)+'2018'!Pspv,1-EXP((T0-t)*PertePVj)+Pspv)</f>
        <v>3.7861068208341342E-3</v>
      </c>
      <c r="M25" s="872"/>
      <c r="N25" s="872"/>
      <c r="O25" s="48">
        <f>IF(t&lt;Tnet,'2018'!Resal+('2018'!Salim-'2018'!Resal)*(1-EXP(('2018'!Tnet-t)/('2018'!Tau_j))),Resal+(Salim-Resal)*(1-EXP((Tnet-t)/(Tau_j))))*Salcycl</f>
        <v>3.4364902610254051E-2</v>
      </c>
      <c r="P25" s="171">
        <f>(INDEX(Models!$BJ25:$BT25,,T25)*(1-R25)+INDEX(Models!$BJ25:$BT25,,T25+1)*R25-ERP_i)*Q25*Ramure*Pc/MaxiM</f>
        <v>9.6201604805003574E-3</v>
      </c>
      <c r="Q25" s="307">
        <f t="shared" si="4"/>
        <v>0.9</v>
      </c>
      <c r="R25" s="179">
        <f t="shared" si="5"/>
        <v>0.90027275506158499</v>
      </c>
      <c r="S25" s="839">
        <f t="shared" si="6"/>
        <v>-3</v>
      </c>
      <c r="T25" s="178">
        <f t="shared" si="7"/>
        <v>3</v>
      </c>
      <c r="U25" s="253">
        <f t="shared" si="21"/>
        <v>-2.099727244938415</v>
      </c>
      <c r="V25" s="385">
        <f t="shared" si="8"/>
        <v>19.610031120854149</v>
      </c>
      <c r="W25" s="58"/>
      <c r="X25" s="157">
        <f t="shared" si="9"/>
        <v>43476</v>
      </c>
      <c r="Y25" s="387">
        <f t="shared" si="10"/>
        <v>19.125</v>
      </c>
      <c r="Z25" s="387">
        <f t="shared" si="11"/>
        <v>19.197684484169738</v>
      </c>
      <c r="AA25" s="388">
        <f t="shared" si="12"/>
        <v>19.880889309081567</v>
      </c>
      <c r="AB25" s="199">
        <f t="shared" si="13"/>
        <v>43476</v>
      </c>
      <c r="AC25" s="428">
        <f>IF(OR(t&lt;Tnet,NoTnet),'2018'!Resal_s+('2018'!Salim-'2018'!Resal_s)*(1-EXP(('2018'!Tnet_s-t)/'2018'!Tau_j)),Resal_s+(Salim-Resal_s)*(1-EXP((Tnet_s-t)/Tau_j)))*Salcycl</f>
        <v>3.4364902610254051E-2</v>
      </c>
      <c r="AD25" s="233">
        <f>(INDEX(Models!$BJ25:$BT25,,AH25)*(1-AF25)+INDEX(Models!$BJ25:$BT25,,AH25+1)*AF25-ERP_i)*AE25*Ramure*Pc/MaxiM</f>
        <v>9.6201604805003574E-3</v>
      </c>
      <c r="AE25" s="307">
        <f t="shared" si="14"/>
        <v>0.9</v>
      </c>
      <c r="AF25" s="179">
        <f t="shared" si="15"/>
        <v>0.90027275506158499</v>
      </c>
      <c r="AG25" s="178">
        <f t="shared" si="16"/>
        <v>-3</v>
      </c>
      <c r="AH25" s="178">
        <f t="shared" si="17"/>
        <v>3</v>
      </c>
      <c r="AI25" s="227">
        <f t="shared" si="22"/>
        <v>-2.099727244938415</v>
      </c>
      <c r="AJ25" s="267" t="b">
        <f t="shared" si="18"/>
        <v>0</v>
      </c>
      <c r="AK25" s="267" t="b">
        <f t="shared" si="19"/>
        <v>0</v>
      </c>
      <c r="AL25" s="267"/>
      <c r="AM25" s="267"/>
      <c r="AN25" s="75"/>
    </row>
    <row r="26" spans="1:40" s="6" customFormat="1" ht="11.25" customHeight="1" x14ac:dyDescent="0.2">
      <c r="A26" s="56">
        <f t="shared" si="20"/>
        <v>43477</v>
      </c>
      <c r="B26" s="620">
        <v>8.0960000000000001</v>
      </c>
      <c r="C26" s="392"/>
      <c r="D26" s="395">
        <f t="shared" si="0"/>
        <v>8.1269579410252213</v>
      </c>
      <c r="E26" s="387">
        <f t="shared" si="1"/>
        <v>8.4178464066670742</v>
      </c>
      <c r="F26" s="387">
        <f t="shared" si="2"/>
        <v>8.4304073743998345</v>
      </c>
      <c r="G26" s="110">
        <f t="shared" si="23"/>
        <v>0.40513387600947393</v>
      </c>
      <c r="H26" s="416" t="b">
        <f>Wh_hp&gt;='2018'!Maxi_hp</f>
        <v>1</v>
      </c>
      <c r="I26" s="392">
        <f>IF(H26,Wh_hp,'2018'!Maxi_hp)</f>
        <v>8.4304073743998345</v>
      </c>
      <c r="J26" s="85">
        <f>IF(H26,An,'2018'!An_max)</f>
        <v>2019</v>
      </c>
      <c r="K26" s="199">
        <f t="shared" si="3"/>
        <v>43477</v>
      </c>
      <c r="L26" s="147">
        <f>IF(t&lt;Tvie,1-EXP((T0-t)*PertePVj)+'2018'!Pspv,1-EXP((T0-t)*PertePVj)+Pspv)</f>
        <v>3.809290173503177E-3</v>
      </c>
      <c r="M26" s="872"/>
      <c r="N26" s="872"/>
      <c r="O26" s="48">
        <f>IF(t&lt;Tnet,'2018'!Resal+('2018'!Salim-'2018'!Resal)*(1-EXP(('2018'!Tnet-t)/('2018'!Tau_j))),Resal+(Salim-Resal)*(1-EXP((Tnet-t)/(Tau_j))))*Salcycl</f>
        <v>3.4556162180800085E-2</v>
      </c>
      <c r="P26" s="171">
        <f>(INDEX(Models!$BJ26:$BT26,,T26)*(1-R26)+INDEX(Models!$BJ26:$BT26,,T26+1)*R26-ERP_i)*Q26*Ramure*Pc/MaxiM</f>
        <v>9.6163553136769386E-3</v>
      </c>
      <c r="Q26" s="307">
        <f t="shared" si="4"/>
        <v>0.9</v>
      </c>
      <c r="R26" s="179">
        <f t="shared" si="5"/>
        <v>0.90033435468032463</v>
      </c>
      <c r="S26" s="839">
        <f t="shared" si="6"/>
        <v>-3</v>
      </c>
      <c r="T26" s="178">
        <f t="shared" si="7"/>
        <v>3</v>
      </c>
      <c r="U26" s="253">
        <f t="shared" si="21"/>
        <v>-2.0996656453196754</v>
      </c>
      <c r="V26" s="385">
        <f t="shared" si="8"/>
        <v>19.820881452861698</v>
      </c>
      <c r="W26" s="58"/>
      <c r="X26" s="157">
        <f t="shared" si="9"/>
        <v>43477</v>
      </c>
      <c r="Y26" s="387">
        <f t="shared" si="10"/>
        <v>8.0960000000000001</v>
      </c>
      <c r="Z26" s="387">
        <f t="shared" si="11"/>
        <v>8.1269579410252213</v>
      </c>
      <c r="AA26" s="388">
        <f t="shared" si="12"/>
        <v>8.4178464066670742</v>
      </c>
      <c r="AB26" s="199">
        <f t="shared" si="13"/>
        <v>43477</v>
      </c>
      <c r="AC26" s="428">
        <f>IF(OR(t&lt;Tnet,NoTnet),'2018'!Resal_s+('2018'!Salim-'2018'!Resal_s)*(1-EXP(('2018'!Tnet_s-t)/'2018'!Tau_j)),Resal_s+(Salim-Resal_s)*(1-EXP((Tnet_s-t)/Tau_j)))*Salcycl</f>
        <v>3.4556162180800085E-2</v>
      </c>
      <c r="AD26" s="233">
        <f>(INDEX(Models!$BJ26:$BT26,,AH26)*(1-AF26)+INDEX(Models!$BJ26:$BT26,,AH26+1)*AF26-ERP_i)*AE26*Ramure*Pc/MaxiM</f>
        <v>9.6163553136769386E-3</v>
      </c>
      <c r="AE26" s="307">
        <f t="shared" si="14"/>
        <v>0.9</v>
      </c>
      <c r="AF26" s="179">
        <f t="shared" si="15"/>
        <v>0.90033435468032463</v>
      </c>
      <c r="AG26" s="178">
        <f t="shared" si="16"/>
        <v>-3</v>
      </c>
      <c r="AH26" s="178">
        <f t="shared" si="17"/>
        <v>3</v>
      </c>
      <c r="AI26" s="227">
        <f t="shared" si="22"/>
        <v>-2.0996656453196754</v>
      </c>
      <c r="AJ26" s="267" t="b">
        <f t="shared" si="18"/>
        <v>0</v>
      </c>
      <c r="AK26" s="267" t="b">
        <f t="shared" si="19"/>
        <v>0</v>
      </c>
      <c r="AL26" s="267"/>
      <c r="AM26" s="267"/>
      <c r="AN26" s="75"/>
    </row>
    <row r="27" spans="1:40" s="6" customFormat="1" ht="11.25" customHeight="1" x14ac:dyDescent="0.2">
      <c r="A27" s="56">
        <f t="shared" si="20"/>
        <v>43478</v>
      </c>
      <c r="B27" s="620">
        <v>6.2160000000000002</v>
      </c>
      <c r="C27" s="392"/>
      <c r="D27" s="395">
        <f t="shared" si="0"/>
        <v>6.239914303005353</v>
      </c>
      <c r="E27" s="387">
        <f t="shared" si="1"/>
        <v>6.4645392762655947</v>
      </c>
      <c r="F27" s="387">
        <f t="shared" si="2"/>
        <v>6.4654417002888023</v>
      </c>
      <c r="G27" s="110">
        <f t="shared" si="23"/>
        <v>0.30723517371712294</v>
      </c>
      <c r="H27" s="416" t="b">
        <f>Wh_hp&gt;='2018'!Maxi_hp</f>
        <v>1</v>
      </c>
      <c r="I27" s="392">
        <f>IF(H27,Wh_hp,'2018'!Maxi_hp)</f>
        <v>6.4654417002888023</v>
      </c>
      <c r="J27" s="85">
        <f>IF(H27,An,'2018'!An_max)</f>
        <v>2019</v>
      </c>
      <c r="K27" s="199">
        <f t="shared" si="3"/>
        <v>43478</v>
      </c>
      <c r="L27" s="147">
        <f>IF(t&lt;Tvie,1-EXP((T0-t)*PertePVj)+'2018'!Pspv,1-EXP((T0-t)*PertePVj)+Pspv)</f>
        <v>3.8324729866617835E-3</v>
      </c>
      <c r="M27" s="872"/>
      <c r="N27" s="872"/>
      <c r="O27" s="48">
        <f>IF(t&lt;Tnet,'2018'!Resal+('2018'!Salim-'2018'!Resal)*(1-EXP(('2018'!Tnet-t)/('2018'!Tau_j))),Resal+(Salim-Resal)*(1-EXP((Tnet-t)/(Tau_j))))*Salcycl</f>
        <v>3.4747251685042266E-2</v>
      </c>
      <c r="P27" s="171">
        <f>(INDEX(Models!$BJ27:$BT27,,T27)*(1-R27)+INDEX(Models!$BJ27:$BT27,,T27+1)*R27-ERP_i)*Q27*Ramure*Pc/MaxiM</f>
        <v>9.6054886193603153E-3</v>
      </c>
      <c r="Q27" s="307">
        <f t="shared" si="4"/>
        <v>0.9</v>
      </c>
      <c r="R27" s="179">
        <f t="shared" si="5"/>
        <v>0.90039852699058143</v>
      </c>
      <c r="S27" s="839">
        <f t="shared" si="6"/>
        <v>-3</v>
      </c>
      <c r="T27" s="178">
        <f t="shared" si="7"/>
        <v>3</v>
      </c>
      <c r="U27" s="253">
        <f t="shared" si="21"/>
        <v>-2.0996014730094186</v>
      </c>
      <c r="V27" s="385">
        <f t="shared" si="8"/>
        <v>20.040516852987345</v>
      </c>
      <c r="W27" s="58"/>
      <c r="X27" s="157">
        <f t="shared" si="9"/>
        <v>43478</v>
      </c>
      <c r="Y27" s="387">
        <f t="shared" si="10"/>
        <v>6.2160000000000002</v>
      </c>
      <c r="Z27" s="387">
        <f t="shared" si="11"/>
        <v>6.239914303005353</v>
      </c>
      <c r="AA27" s="388">
        <f t="shared" si="12"/>
        <v>6.4645392762655947</v>
      </c>
      <c r="AB27" s="199">
        <f t="shared" si="13"/>
        <v>43478</v>
      </c>
      <c r="AC27" s="428">
        <f>IF(OR(t&lt;Tnet,NoTnet),'2018'!Resal_s+('2018'!Salim-'2018'!Resal_s)*(1-EXP(('2018'!Tnet_s-t)/'2018'!Tau_j)),Resal_s+(Salim-Resal_s)*(1-EXP((Tnet_s-t)/Tau_j)))*Salcycl</f>
        <v>3.4747251685042266E-2</v>
      </c>
      <c r="AD27" s="233">
        <f>(INDEX(Models!$BJ27:$BT27,,AH27)*(1-AF27)+INDEX(Models!$BJ27:$BT27,,AH27+1)*AF27-ERP_i)*AE27*Ramure*Pc/MaxiM</f>
        <v>9.6054886193603153E-3</v>
      </c>
      <c r="AE27" s="307">
        <f t="shared" si="14"/>
        <v>0.9</v>
      </c>
      <c r="AF27" s="179">
        <f t="shared" si="15"/>
        <v>0.90039852699058143</v>
      </c>
      <c r="AG27" s="178">
        <f t="shared" si="16"/>
        <v>-3</v>
      </c>
      <c r="AH27" s="302">
        <f t="shared" si="17"/>
        <v>3</v>
      </c>
      <c r="AI27" s="227">
        <f t="shared" si="22"/>
        <v>-2.0996014730094186</v>
      </c>
      <c r="AJ27" s="267" t="b">
        <f t="shared" si="18"/>
        <v>0</v>
      </c>
      <c r="AK27" s="267" t="b">
        <f t="shared" si="19"/>
        <v>0</v>
      </c>
      <c r="AL27" s="267"/>
      <c r="AM27" s="267"/>
      <c r="AN27" s="75"/>
    </row>
    <row r="28" spans="1:40" s="6" customFormat="1" ht="11.25" customHeight="1" x14ac:dyDescent="0.2">
      <c r="A28" s="56">
        <f t="shared" si="20"/>
        <v>43479</v>
      </c>
      <c r="B28" s="620">
        <v>7.069</v>
      </c>
      <c r="C28" s="392"/>
      <c r="D28" s="395">
        <f t="shared" si="0"/>
        <v>7.0963611220895322</v>
      </c>
      <c r="E28" s="387">
        <f t="shared" si="1"/>
        <v>7.3532709706477535</v>
      </c>
      <c r="F28" s="387">
        <f t="shared" si="2"/>
        <v>7.3581866280096149</v>
      </c>
      <c r="G28" s="110">
        <f t="shared" si="23"/>
        <v>0.34565944027262624</v>
      </c>
      <c r="H28" s="416" t="b">
        <f>Wh_hp&gt;='2018'!Maxi_hp</f>
        <v>1</v>
      </c>
      <c r="I28" s="392">
        <f>IF(H28,Wh_hp,'2018'!Maxi_hp)</f>
        <v>7.3581866280096149</v>
      </c>
      <c r="J28" s="85">
        <f>IF(H28,An,'2018'!An_max)</f>
        <v>2019</v>
      </c>
      <c r="K28" s="199">
        <f t="shared" si="3"/>
        <v>43479</v>
      </c>
      <c r="L28" s="147">
        <f>IF(t&lt;Tvie,1-EXP((T0-t)*PertePVj)+'2018'!Pspv,1-EXP((T0-t)*PertePVj)+Pspv)</f>
        <v>3.8556552603224992E-3</v>
      </c>
      <c r="M28" s="872"/>
      <c r="N28" s="872"/>
      <c r="O28" s="48">
        <f>IF(t&lt;Tnet,'2018'!Resal+('2018'!Salim-'2018'!Resal)*(1-EXP(('2018'!Tnet-t)/('2018'!Tau_j))),Resal+(Salim-Resal)*(1-EXP((Tnet-t)/(Tau_j))))*Salcycl</f>
        <v>3.4938172356728817E-2</v>
      </c>
      <c r="P28" s="171">
        <f>(INDEX(Models!$BJ28:$BT28,,T28)*(1-R28)+INDEX(Models!$BJ28:$BT28,,T28+1)*R28-ERP_i)*Q28*Ramure*Pc/MaxiM</f>
        <v>9.5881101003914559E-3</v>
      </c>
      <c r="Q28" s="307">
        <f t="shared" si="4"/>
        <v>0.9</v>
      </c>
      <c r="R28" s="179">
        <f t="shared" si="5"/>
        <v>0.90046537893712664</v>
      </c>
      <c r="S28" s="839">
        <f t="shared" si="6"/>
        <v>-3</v>
      </c>
      <c r="T28" s="178">
        <f t="shared" si="7"/>
        <v>3</v>
      </c>
      <c r="U28" s="253">
        <f t="shared" si="21"/>
        <v>-2.0995346210628734</v>
      </c>
      <c r="V28" s="385">
        <f t="shared" si="8"/>
        <v>20.268221104479309</v>
      </c>
      <c r="W28" s="58"/>
      <c r="X28" s="157">
        <f t="shared" si="9"/>
        <v>43479</v>
      </c>
      <c r="Y28" s="387">
        <f t="shared" si="10"/>
        <v>7.069</v>
      </c>
      <c r="Z28" s="387">
        <f t="shared" si="11"/>
        <v>7.0963611220895322</v>
      </c>
      <c r="AA28" s="388">
        <f t="shared" si="12"/>
        <v>7.3532709706477535</v>
      </c>
      <c r="AB28" s="199">
        <f t="shared" si="13"/>
        <v>43479</v>
      </c>
      <c r="AC28" s="428">
        <f>IF(OR(t&lt;Tnet,NoTnet),'2018'!Resal_s+('2018'!Salim-'2018'!Resal_s)*(1-EXP(('2018'!Tnet_s-t)/'2018'!Tau_j)),Resal_s+(Salim-Resal_s)*(1-EXP((Tnet_s-t)/Tau_j)))*Salcycl</f>
        <v>3.4938172356728817E-2</v>
      </c>
      <c r="AD28" s="233">
        <f>(INDEX(Models!$BJ28:$BT28,,AH28)*(1-AF28)+INDEX(Models!$BJ28:$BT28,,AH28+1)*AF28-ERP_i)*AE28*Ramure*Pc/MaxiM</f>
        <v>9.5881101003914559E-3</v>
      </c>
      <c r="AE28" s="307">
        <f t="shared" si="14"/>
        <v>0.9</v>
      </c>
      <c r="AF28" s="179">
        <f t="shared" si="15"/>
        <v>0.90046537893712664</v>
      </c>
      <c r="AG28" s="178">
        <f t="shared" si="16"/>
        <v>-3</v>
      </c>
      <c r="AH28" s="178">
        <f t="shared" si="17"/>
        <v>3</v>
      </c>
      <c r="AI28" s="227">
        <f t="shared" si="22"/>
        <v>-2.0995346210628734</v>
      </c>
      <c r="AJ28" s="267" t="b">
        <f t="shared" si="18"/>
        <v>0</v>
      </c>
      <c r="AK28" s="267" t="b">
        <f t="shared" si="19"/>
        <v>0</v>
      </c>
      <c r="AL28" s="267"/>
      <c r="AM28" s="267"/>
      <c r="AN28" s="75"/>
    </row>
    <row r="29" spans="1:40" s="6" customFormat="1" ht="11.25" customHeight="1" x14ac:dyDescent="0.2">
      <c r="A29" s="56">
        <f t="shared" si="20"/>
        <v>43480</v>
      </c>
      <c r="B29" s="620">
        <v>20.338000000000001</v>
      </c>
      <c r="C29" s="392"/>
      <c r="D29" s="395">
        <f t="shared" si="0"/>
        <v>20.417194971178084</v>
      </c>
      <c r="E29" s="387">
        <f t="shared" si="1"/>
        <v>21.16054208986845</v>
      </c>
      <c r="F29" s="387">
        <f t="shared" si="2"/>
        <v>21.362516389344162</v>
      </c>
      <c r="G29" s="110">
        <f t="shared" si="23"/>
        <v>0.99182861658702981</v>
      </c>
      <c r="H29" s="416" t="b">
        <f>Wh_hp&gt;='2018'!Maxi_hp</f>
        <v>1</v>
      </c>
      <c r="I29" s="392">
        <f>IF(H29,Wh_hp,'2018'!Maxi_hp)</f>
        <v>21.362516389344162</v>
      </c>
      <c r="J29" s="85">
        <f>IF(H29,An,'2018'!An_max)</f>
        <v>2019</v>
      </c>
      <c r="K29" s="199">
        <f t="shared" si="3"/>
        <v>43480</v>
      </c>
      <c r="L29" s="147">
        <f>IF(t&lt;Tvie,1-EXP((T0-t)*PertePVj)+'2018'!Pspv,1-EXP((T0-t)*PertePVj)+Pspv)</f>
        <v>3.8788369944978696E-3</v>
      </c>
      <c r="M29" s="872"/>
      <c r="N29" s="872"/>
      <c r="O29" s="48">
        <f>IF(t&lt;Tnet,'2018'!Resal+('2018'!Salim-'2018'!Resal)*(1-EXP(('2018'!Tnet-t)/('2018'!Tau_j))),Resal+(Salim-Resal)*(1-EXP((Tnet-t)/(Tau_j))))*Salcycl</f>
        <v>3.5128926070673513E-2</v>
      </c>
      <c r="P29" s="171">
        <f>(INDEX(Models!$BJ29:$BT29,,T29)*(1-R29)+INDEX(Models!$BJ29:$BT29,,T29+1)*R29-ERP_i)*Q29*Ramure*Pc/MaxiM</f>
        <v>9.5647579417170985E-3</v>
      </c>
      <c r="Q29" s="307">
        <f t="shared" si="4"/>
        <v>0.9</v>
      </c>
      <c r="R29" s="179">
        <f t="shared" si="5"/>
        <v>0.900535021867368</v>
      </c>
      <c r="S29" s="839">
        <f t="shared" si="6"/>
        <v>-3</v>
      </c>
      <c r="T29" s="178">
        <f t="shared" si="7"/>
        <v>3</v>
      </c>
      <c r="U29" s="253">
        <f t="shared" si="21"/>
        <v>-2.099464978132632</v>
      </c>
      <c r="V29" s="385">
        <f t="shared" si="8"/>
        <v>20.503278616586844</v>
      </c>
      <c r="W29" s="58"/>
      <c r="X29" s="157">
        <f t="shared" si="9"/>
        <v>43480</v>
      </c>
      <c r="Y29" s="387">
        <f t="shared" si="10"/>
        <v>20.338000000000001</v>
      </c>
      <c r="Z29" s="387">
        <f t="shared" si="11"/>
        <v>20.417194971178084</v>
      </c>
      <c r="AA29" s="388">
        <f t="shared" si="12"/>
        <v>21.16054208986845</v>
      </c>
      <c r="AB29" s="199">
        <f t="shared" si="13"/>
        <v>43480</v>
      </c>
      <c r="AC29" s="428">
        <f>IF(OR(t&lt;Tnet,NoTnet),'2018'!Resal_s+('2018'!Salim-'2018'!Resal_s)*(1-EXP(('2018'!Tnet_s-t)/'2018'!Tau_j)),Resal_s+(Salim-Resal_s)*(1-EXP((Tnet_s-t)/Tau_j)))*Salcycl</f>
        <v>3.5128926070673513E-2</v>
      </c>
      <c r="AD29" s="233">
        <f>(INDEX(Models!$BJ29:$BT29,,AH29)*(1-AF29)+INDEX(Models!$BJ29:$BT29,,AH29+1)*AF29-ERP_i)*AE29*Ramure*Pc/MaxiM</f>
        <v>9.5647579417170985E-3</v>
      </c>
      <c r="AE29" s="307">
        <f t="shared" si="14"/>
        <v>0.9</v>
      </c>
      <c r="AF29" s="179">
        <f t="shared" si="15"/>
        <v>0.900535021867368</v>
      </c>
      <c r="AG29" s="178">
        <f t="shared" si="16"/>
        <v>-3</v>
      </c>
      <c r="AH29" s="178">
        <f t="shared" si="17"/>
        <v>3</v>
      </c>
      <c r="AI29" s="227">
        <f t="shared" si="22"/>
        <v>-2.099464978132632</v>
      </c>
      <c r="AJ29" s="267" t="b">
        <f t="shared" si="18"/>
        <v>0</v>
      </c>
      <c r="AK29" s="267" t="b">
        <f t="shared" si="19"/>
        <v>0</v>
      </c>
      <c r="AL29" s="267"/>
      <c r="AM29" s="267"/>
      <c r="AN29" s="75"/>
    </row>
    <row r="30" spans="1:40" s="6" customFormat="1" ht="11.25" customHeight="1" x14ac:dyDescent="0.2">
      <c r="A30" s="56">
        <f t="shared" si="20"/>
        <v>43481</v>
      </c>
      <c r="B30" s="620">
        <v>20.181000000000001</v>
      </c>
      <c r="C30" s="392"/>
      <c r="D30" s="395">
        <f t="shared" si="0"/>
        <v>20.26005510352817</v>
      </c>
      <c r="E30" s="387">
        <f t="shared" si="1"/>
        <v>21.001829542361854</v>
      </c>
      <c r="F30" s="387">
        <f t="shared" si="2"/>
        <v>21.195676431552432</v>
      </c>
      <c r="G30" s="110">
        <f t="shared" si="23"/>
        <v>0.97243066311939375</v>
      </c>
      <c r="H30" s="416" t="b">
        <f>Wh_hp&gt;='2018'!Maxi_hp</f>
        <v>1</v>
      </c>
      <c r="I30" s="392">
        <f>IF(H30,Wh_hp,'2018'!Maxi_hp)</f>
        <v>21.195676431552432</v>
      </c>
      <c r="J30" s="85">
        <f>IF(H30,An,'2018'!An_max)</f>
        <v>2019</v>
      </c>
      <c r="K30" s="199">
        <f t="shared" si="3"/>
        <v>43481</v>
      </c>
      <c r="L30" s="147">
        <f>IF(t&lt;Tvie,1-EXP((T0-t)*PertePVj)+'2018'!Pspv,1-EXP((T0-t)*PertePVj)+Pspv)</f>
        <v>3.9020181892003292E-3</v>
      </c>
      <c r="M30" s="872"/>
      <c r="N30" s="872"/>
      <c r="O30" s="48">
        <f>IF(t&lt;Tnet,'2018'!Resal+('2018'!Salim-'2018'!Resal)*(1-EXP(('2018'!Tnet-t)/('2018'!Tau_j))),Resal+(Salim-Resal)*(1-EXP((Tnet-t)/(Tau_j))))*Salcycl</f>
        <v>3.531951525163475E-2</v>
      </c>
      <c r="P30" s="171">
        <f>(INDEX(Models!$BJ30:$BT30,,T30)*(1-R30)+INDEX(Models!$BJ30:$BT30,,T30+1)*R30-ERP_i)*Q30*Ramure*Pc/MaxiM</f>
        <v>9.515413096706702E-3</v>
      </c>
      <c r="Q30" s="307">
        <f t="shared" si="4"/>
        <v>0.9</v>
      </c>
      <c r="R30" s="179">
        <f t="shared" si="5"/>
        <v>0.90060757170891836</v>
      </c>
      <c r="S30" s="839">
        <f t="shared" si="6"/>
        <v>-3</v>
      </c>
      <c r="T30" s="178">
        <f t="shared" si="7"/>
        <v>3</v>
      </c>
      <c r="U30" s="253">
        <f t="shared" si="21"/>
        <v>-2.0993924282910816</v>
      </c>
      <c r="V30" s="385">
        <f t="shared" si="8"/>
        <v>20.745404689300269</v>
      </c>
      <c r="W30" s="58"/>
      <c r="X30" s="157">
        <f t="shared" si="9"/>
        <v>43481</v>
      </c>
      <c r="Y30" s="387">
        <f t="shared" si="10"/>
        <v>20.181000000000001</v>
      </c>
      <c r="Z30" s="387">
        <f t="shared" si="11"/>
        <v>20.26005510352817</v>
      </c>
      <c r="AA30" s="388">
        <f t="shared" si="12"/>
        <v>21.001829542361854</v>
      </c>
      <c r="AB30" s="199">
        <f t="shared" si="13"/>
        <v>43481</v>
      </c>
      <c r="AC30" s="428">
        <f>IF(OR(t&lt;Tnet,NoTnet),'2018'!Resal_s+('2018'!Salim-'2018'!Resal_s)*(1-EXP(('2018'!Tnet_s-t)/'2018'!Tau_j)),Resal_s+(Salim-Resal_s)*(1-EXP((Tnet_s-t)/Tau_j)))*Salcycl</f>
        <v>3.531951525163475E-2</v>
      </c>
      <c r="AD30" s="233">
        <f>(INDEX(Models!$BJ30:$BT30,,AH30)*(1-AF30)+INDEX(Models!$BJ30:$BT30,,AH30+1)*AF30-ERP_i)*AE30*Ramure*Pc/MaxiM</f>
        <v>9.515413096706702E-3</v>
      </c>
      <c r="AE30" s="307">
        <f t="shared" si="14"/>
        <v>0.9</v>
      </c>
      <c r="AF30" s="179">
        <f t="shared" si="15"/>
        <v>0.90060757170891836</v>
      </c>
      <c r="AG30" s="178">
        <f t="shared" si="16"/>
        <v>-3</v>
      </c>
      <c r="AH30" s="178">
        <f t="shared" si="17"/>
        <v>3</v>
      </c>
      <c r="AI30" s="227">
        <f t="shared" si="22"/>
        <v>-2.0993924282910816</v>
      </c>
      <c r="AJ30" s="267" t="b">
        <f t="shared" si="18"/>
        <v>0</v>
      </c>
      <c r="AK30" s="267" t="b">
        <f t="shared" si="19"/>
        <v>0</v>
      </c>
      <c r="AL30" s="267"/>
      <c r="AM30" s="267"/>
      <c r="AN30" s="75"/>
    </row>
    <row r="31" spans="1:40" s="6" customFormat="1" ht="11.25" x14ac:dyDescent="0.2">
      <c r="A31" s="56">
        <f t="shared" si="20"/>
        <v>43482</v>
      </c>
      <c r="B31" s="620">
        <v>9.4239999999999995</v>
      </c>
      <c r="C31" s="392"/>
      <c r="D31" s="395">
        <f t="shared" si="0"/>
        <v>9.4611368434048444</v>
      </c>
      <c r="E31" s="387">
        <f t="shared" si="1"/>
        <v>9.809470582490901</v>
      </c>
      <c r="F31" s="387">
        <f t="shared" si="2"/>
        <v>9.8292033914160033</v>
      </c>
      <c r="G31" s="110">
        <f t="shared" si="23"/>
        <v>0.44554895611490852</v>
      </c>
      <c r="H31" s="416" t="b">
        <f>Wh_hp&gt;='2018'!Maxi_hp</f>
        <v>1</v>
      </c>
      <c r="I31" s="392">
        <f>IF(H31,Wh_hp,'2018'!Maxi_hp)</f>
        <v>9.8292033914160033</v>
      </c>
      <c r="J31" s="85">
        <f>IF(H31,An,'2018'!An_max)</f>
        <v>2019</v>
      </c>
      <c r="K31" s="199">
        <f t="shared" si="3"/>
        <v>43482</v>
      </c>
      <c r="L31" s="147">
        <f>IF(t&lt;Tvie,1-EXP((T0-t)*PertePVj)+'2018'!Pspv,1-EXP((T0-t)*PertePVj)+Pspv)</f>
        <v>3.9251988444425345E-3</v>
      </c>
      <c r="M31" s="872"/>
      <c r="N31" s="872"/>
      <c r="O31" s="48">
        <f>IF(t&lt;Tnet,'2018'!Resal+('2018'!Salim-'2018'!Resal)*(1-EXP(('2018'!Tnet-t)/('2018'!Tau_j))),Resal+(Salim-Resal)*(1-EXP((Tnet-t)/(Tau_j))))*Salcycl</f>
        <v>3.5509942779970584E-2</v>
      </c>
      <c r="P31" s="171">
        <f>(INDEX(Models!$BJ31:$BT31,,T31)*(1-R31)+INDEX(Models!$BJ31:$BT31,,T31+1)*R31-ERP_i)*Q31*Ramure*Pc/MaxiM</f>
        <v>9.4384195281814482E-3</v>
      </c>
      <c r="Q31" s="307">
        <f t="shared" si="4"/>
        <v>0.9</v>
      </c>
      <c r="R31" s="179">
        <f t="shared" si="5"/>
        <v>0.90068314915401437</v>
      </c>
      <c r="S31" s="839">
        <f t="shared" si="6"/>
        <v>-3</v>
      </c>
      <c r="T31" s="178">
        <f t="shared" si="7"/>
        <v>3</v>
      </c>
      <c r="U31" s="253">
        <f t="shared" si="21"/>
        <v>-2.0993168508459856</v>
      </c>
      <c r="V31" s="385">
        <f t="shared" si="8"/>
        <v>20.993946167755453</v>
      </c>
      <c r="W31" s="58"/>
      <c r="X31" s="157">
        <f t="shared" si="9"/>
        <v>43482</v>
      </c>
      <c r="Y31" s="387">
        <f t="shared" si="10"/>
        <v>9.4239999999999995</v>
      </c>
      <c r="Z31" s="387">
        <f t="shared" si="11"/>
        <v>9.4611368434048444</v>
      </c>
      <c r="AA31" s="388">
        <f t="shared" si="12"/>
        <v>9.809470582490901</v>
      </c>
      <c r="AB31" s="199">
        <f t="shared" si="13"/>
        <v>43482</v>
      </c>
      <c r="AC31" s="428">
        <f>IF(OR(t&lt;Tnet,NoTnet),'2018'!Resal_s+('2018'!Salim-'2018'!Resal_s)*(1-EXP(('2018'!Tnet_s-t)/'2018'!Tau_j)),Resal_s+(Salim-Resal_s)*(1-EXP((Tnet_s-t)/Tau_j)))*Salcycl</f>
        <v>3.5509942779970584E-2</v>
      </c>
      <c r="AD31" s="233">
        <f>(INDEX(Models!$BJ31:$BT31,,AH31)*(1-AF31)+INDEX(Models!$BJ31:$BT31,,AH31+1)*AF31-ERP_i)*AE31*Ramure*Pc/MaxiM</f>
        <v>9.4384195281814482E-3</v>
      </c>
      <c r="AE31" s="307">
        <f t="shared" si="14"/>
        <v>0.9</v>
      </c>
      <c r="AF31" s="179">
        <f t="shared" si="15"/>
        <v>0.90068314915401437</v>
      </c>
      <c r="AG31" s="178">
        <f t="shared" si="16"/>
        <v>-3</v>
      </c>
      <c r="AH31" s="178">
        <f t="shared" si="17"/>
        <v>3</v>
      </c>
      <c r="AI31" s="227">
        <f t="shared" si="22"/>
        <v>-2.0993168508459856</v>
      </c>
      <c r="AJ31" s="267" t="b">
        <f t="shared" si="18"/>
        <v>0</v>
      </c>
      <c r="AK31" s="267" t="b">
        <f t="shared" si="19"/>
        <v>0</v>
      </c>
      <c r="AL31" s="267"/>
      <c r="AM31" s="267"/>
      <c r="AN31" s="75"/>
    </row>
    <row r="32" spans="1:40" s="6" customFormat="1" ht="11.25" customHeight="1" x14ac:dyDescent="0.2">
      <c r="A32" s="56">
        <f t="shared" si="20"/>
        <v>43483</v>
      </c>
      <c r="B32" s="620">
        <v>12.182</v>
      </c>
      <c r="C32" s="392"/>
      <c r="D32" s="395">
        <f t="shared" si="0"/>
        <v>12.230289818998937</v>
      </c>
      <c r="E32" s="387">
        <f t="shared" si="1"/>
        <v>12.683078405561435</v>
      </c>
      <c r="F32" s="387">
        <f t="shared" si="2"/>
        <v>12.729476583520796</v>
      </c>
      <c r="G32" s="110">
        <f t="shared" si="23"/>
        <v>0.57004523346299263</v>
      </c>
      <c r="H32" s="416" t="b">
        <f>Wh_hp&gt;='2018'!Maxi_hp</f>
        <v>1</v>
      </c>
      <c r="I32" s="392">
        <f>IF(H32,Wh_hp,'2018'!Maxi_hp)</f>
        <v>12.729476583520796</v>
      </c>
      <c r="J32" s="85">
        <f>IF(H32,An,'2018'!An_max)</f>
        <v>2019</v>
      </c>
      <c r="K32" s="199">
        <f t="shared" si="3"/>
        <v>43483</v>
      </c>
      <c r="L32" s="147">
        <f>IF(t&lt;Tvie,1-EXP((T0-t)*PertePVj)+'2018'!Pspv,1-EXP((T0-t)*PertePVj)+Pspv)</f>
        <v>3.9483789602370312E-3</v>
      </c>
      <c r="M32" s="872"/>
      <c r="N32" s="872"/>
      <c r="O32" s="48">
        <f>IF(t&lt;Tnet,'2018'!Resal+('2018'!Salim-'2018'!Resal)*(1-EXP(('2018'!Tnet-t)/('2018'!Tau_j))),Resal+(Salim-Resal)*(1-EXP((Tnet-t)/(Tau_j))))*Salcycl</f>
        <v>3.5700211895240981E-2</v>
      </c>
      <c r="P32" s="171">
        <f>(INDEX(Models!$BJ32:$BT32,,T32)*(1-R32)+INDEX(Models!$BJ32:$BT32,,T32+1)*R32-ERP_i)*Q32*Ramure*Pc/MaxiM</f>
        <v>9.3350770581017099E-3</v>
      </c>
      <c r="Q32" s="307">
        <f t="shared" si="4"/>
        <v>0.9</v>
      </c>
      <c r="R32" s="179">
        <f t="shared" si="5"/>
        <v>0.90076187985101264</v>
      </c>
      <c r="S32" s="839">
        <f t="shared" si="6"/>
        <v>-3</v>
      </c>
      <c r="T32" s="178">
        <f t="shared" si="7"/>
        <v>3</v>
      </c>
      <c r="U32" s="253">
        <f t="shared" si="21"/>
        <v>-2.0992381201489874</v>
      </c>
      <c r="V32" s="385">
        <f t="shared" si="8"/>
        <v>21.248189542556958</v>
      </c>
      <c r="W32" s="58"/>
      <c r="X32" s="157">
        <f t="shared" si="9"/>
        <v>43483</v>
      </c>
      <c r="Y32" s="387">
        <f t="shared" si="10"/>
        <v>12.182</v>
      </c>
      <c r="Z32" s="387">
        <f t="shared" si="11"/>
        <v>12.230289818998937</v>
      </c>
      <c r="AA32" s="388">
        <f t="shared" si="12"/>
        <v>12.683078405561435</v>
      </c>
      <c r="AB32" s="199">
        <f t="shared" si="13"/>
        <v>43483</v>
      </c>
      <c r="AC32" s="428">
        <f>IF(OR(t&lt;Tnet,NoTnet),'2018'!Resal_s+('2018'!Salim-'2018'!Resal_s)*(1-EXP(('2018'!Tnet_s-t)/'2018'!Tau_j)),Resal_s+(Salim-Resal_s)*(1-EXP((Tnet_s-t)/Tau_j)))*Salcycl</f>
        <v>3.5700211895240981E-2</v>
      </c>
      <c r="AD32" s="233">
        <f>(INDEX(Models!$BJ32:$BT32,,AH32)*(1-AF32)+INDEX(Models!$BJ32:$BT32,,AH32+1)*AF32-ERP_i)*AE32*Ramure*Pc/MaxiM</f>
        <v>9.3350770581017099E-3</v>
      </c>
      <c r="AE32" s="307">
        <f t="shared" si="14"/>
        <v>0.9</v>
      </c>
      <c r="AF32" s="179">
        <f t="shared" si="15"/>
        <v>0.90076187985101264</v>
      </c>
      <c r="AG32" s="178">
        <f t="shared" si="16"/>
        <v>-3</v>
      </c>
      <c r="AH32" s="178">
        <f t="shared" si="17"/>
        <v>3</v>
      </c>
      <c r="AI32" s="227">
        <f t="shared" si="22"/>
        <v>-2.0992381201489874</v>
      </c>
      <c r="AJ32" s="267" t="b">
        <f t="shared" si="18"/>
        <v>0</v>
      </c>
      <c r="AK32" s="267" t="b">
        <f t="shared" si="19"/>
        <v>0</v>
      </c>
      <c r="AL32" s="267"/>
      <c r="AM32" s="267"/>
      <c r="AN32" s="75"/>
    </row>
    <row r="33" spans="1:40" s="6" customFormat="1" ht="11.25" customHeight="1" x14ac:dyDescent="0.2">
      <c r="A33" s="56">
        <f t="shared" si="20"/>
        <v>43484</v>
      </c>
      <c r="B33" s="620">
        <v>15.502000000000001</v>
      </c>
      <c r="C33" s="392"/>
      <c r="D33" s="395">
        <f t="shared" si="0"/>
        <v>15.563812592764783</v>
      </c>
      <c r="E33" s="387">
        <f t="shared" si="1"/>
        <v>16.143197204721638</v>
      </c>
      <c r="F33" s="387">
        <f t="shared" si="2"/>
        <v>16.23303371199442</v>
      </c>
      <c r="G33" s="110">
        <f t="shared" si="23"/>
        <v>0.71811268561948149</v>
      </c>
      <c r="H33" s="416" t="b">
        <f>Wh_hp&gt;='2018'!Maxi_hp</f>
        <v>1</v>
      </c>
      <c r="I33" s="392">
        <f>IF(H33,Wh_hp,'2018'!Maxi_hp)</f>
        <v>16.23303371199442</v>
      </c>
      <c r="J33" s="85">
        <f>IF(H33,An,'2018'!An_max)</f>
        <v>2019</v>
      </c>
      <c r="K33" s="199">
        <f t="shared" si="3"/>
        <v>43484</v>
      </c>
      <c r="L33" s="147">
        <f>IF(t&lt;Tvie,1-EXP((T0-t)*PertePVj)+'2018'!Pspv,1-EXP((T0-t)*PertePVj)+Pspv)</f>
        <v>3.9715585365964756E-3</v>
      </c>
      <c r="M33" s="872"/>
      <c r="N33" s="872"/>
      <c r="O33" s="48">
        <f>IF(t&lt;Tnet,'2018'!Resal+('2018'!Salim-'2018'!Resal)*(1-EXP(('2018'!Tnet-t)/('2018'!Tau_j))),Resal+(Salim-Resal)*(1-EXP((Tnet-t)/(Tau_j))))*Salcycl</f>
        <v>3.5890326098933611E-2</v>
      </c>
      <c r="P33" s="171">
        <f>(INDEX(Models!$BJ33:$BT33,,T33)*(1-R33)+INDEX(Models!$BJ33:$BT33,,T33+1)*R33-ERP_i)*Q33*Ramure*Pc/MaxiM</f>
        <v>9.2066546834245998E-3</v>
      </c>
      <c r="Q33" s="307">
        <f t="shared" si="4"/>
        <v>0.9</v>
      </c>
      <c r="R33" s="179">
        <f t="shared" si="5"/>
        <v>0.90084389460321779</v>
      </c>
      <c r="S33" s="839">
        <f t="shared" si="6"/>
        <v>-3</v>
      </c>
      <c r="T33" s="178">
        <f t="shared" si="7"/>
        <v>3</v>
      </c>
      <c r="U33" s="253">
        <f t="shared" si="21"/>
        <v>-2.0991561053967822</v>
      </c>
      <c r="V33" s="385">
        <f t="shared" si="8"/>
        <v>21.507421838426705</v>
      </c>
      <c r="W33" s="58"/>
      <c r="X33" s="157">
        <f t="shared" si="9"/>
        <v>43484</v>
      </c>
      <c r="Y33" s="387">
        <f t="shared" si="10"/>
        <v>15.502000000000002</v>
      </c>
      <c r="Z33" s="387">
        <f t="shared" si="11"/>
        <v>15.563812592764785</v>
      </c>
      <c r="AA33" s="388">
        <f t="shared" si="12"/>
        <v>16.143197204721638</v>
      </c>
      <c r="AB33" s="199">
        <f t="shared" si="13"/>
        <v>43484</v>
      </c>
      <c r="AC33" s="428">
        <f>IF(OR(t&lt;Tnet,NoTnet),'2018'!Resal_s+('2018'!Salim-'2018'!Resal_s)*(1-EXP(('2018'!Tnet_s-t)/'2018'!Tau_j)),Resal_s+(Salim-Resal_s)*(1-EXP((Tnet_s-t)/Tau_j)))*Salcycl</f>
        <v>3.5890326098933611E-2</v>
      </c>
      <c r="AD33" s="233">
        <f>(INDEX(Models!$BJ33:$BT33,,AH33)*(1-AF33)+INDEX(Models!$BJ33:$BT33,,AH33+1)*AF33-ERP_i)*AE33*Ramure*Pc/MaxiM</f>
        <v>9.2066546834245998E-3</v>
      </c>
      <c r="AE33" s="307">
        <f t="shared" si="14"/>
        <v>0.9</v>
      </c>
      <c r="AF33" s="179">
        <f t="shared" si="15"/>
        <v>0.90084389460321779</v>
      </c>
      <c r="AG33" s="178">
        <f t="shared" si="16"/>
        <v>-3</v>
      </c>
      <c r="AH33" s="178">
        <f t="shared" si="17"/>
        <v>3</v>
      </c>
      <c r="AI33" s="227">
        <f t="shared" si="22"/>
        <v>-2.0991561053967822</v>
      </c>
      <c r="AJ33" s="267" t="b">
        <f t="shared" si="18"/>
        <v>0</v>
      </c>
      <c r="AK33" s="267" t="b">
        <f t="shared" si="19"/>
        <v>0</v>
      </c>
      <c r="AL33" s="267"/>
      <c r="AM33" s="267"/>
      <c r="AN33" s="75"/>
    </row>
    <row r="34" spans="1:40" s="6" customFormat="1" ht="11.25" customHeight="1" x14ac:dyDescent="0.2">
      <c r="A34" s="56">
        <f t="shared" si="20"/>
        <v>43485</v>
      </c>
      <c r="B34" s="620">
        <v>7.343</v>
      </c>
      <c r="C34" s="392"/>
      <c r="D34" s="395">
        <f t="shared" si="0"/>
        <v>7.3724510070468829</v>
      </c>
      <c r="E34" s="387">
        <f t="shared" si="1"/>
        <v>7.6484077702261297</v>
      </c>
      <c r="F34" s="387">
        <f t="shared" si="2"/>
        <v>7.6520981716840391</v>
      </c>
      <c r="G34" s="110">
        <f t="shared" si="23"/>
        <v>0.33439198204351905</v>
      </c>
      <c r="H34" s="416" t="b">
        <f>Wh_hp&gt;='2018'!Maxi_hp</f>
        <v>1</v>
      </c>
      <c r="I34" s="392">
        <f>IF(H34,Wh_hp,'2018'!Maxi_hp)</f>
        <v>7.6520981716840391</v>
      </c>
      <c r="J34" s="85">
        <f>IF(H34,An,'2018'!An_max)</f>
        <v>2019</v>
      </c>
      <c r="K34" s="199">
        <f t="shared" si="3"/>
        <v>43485</v>
      </c>
      <c r="L34" s="147">
        <f>IF(t&lt;Tvie,1-EXP((T0-t)*PertePVj)+'2018'!Pspv,1-EXP((T0-t)*PertePVj)+Pspv)</f>
        <v>3.9947375735331914E-3</v>
      </c>
      <c r="M34" s="872"/>
      <c r="N34" s="872"/>
      <c r="O34" s="48">
        <f>IF(t&lt;Tnet,'2018'!Resal+('2018'!Salim-'2018'!Resal)*(1-EXP(('2018'!Tnet-t)/('2018'!Tau_j))),Resal+(Salim-Resal)*(1-EXP((Tnet-t)/(Tau_j))))*Salcycl</f>
        <v>3.6080289057481459E-2</v>
      </c>
      <c r="P34" s="171">
        <f>(INDEX(Models!$BJ34:$BT34,,T34)*(1-R34)+INDEX(Models!$BJ34:$BT34,,T34+1)*R34-ERP_i)*Q34*Ramure*Pc/MaxiM</f>
        <v>9.0544323435096351E-3</v>
      </c>
      <c r="Q34" s="307">
        <f t="shared" si="4"/>
        <v>0.9</v>
      </c>
      <c r="R34" s="179">
        <f t="shared" si="5"/>
        <v>0.90092932957527783</v>
      </c>
      <c r="S34" s="839">
        <f t="shared" si="6"/>
        <v>-3</v>
      </c>
      <c r="T34" s="178">
        <f t="shared" si="7"/>
        <v>3</v>
      </c>
      <c r="U34" s="253">
        <f t="shared" si="21"/>
        <v>-2.0990706704247222</v>
      </c>
      <c r="V34" s="385">
        <f t="shared" si="8"/>
        <v>21.770929491239617</v>
      </c>
      <c r="W34" s="58"/>
      <c r="X34" s="157">
        <f t="shared" si="9"/>
        <v>43485</v>
      </c>
      <c r="Y34" s="387">
        <f t="shared" si="10"/>
        <v>7.343</v>
      </c>
      <c r="Z34" s="387">
        <f t="shared" si="11"/>
        <v>7.3724510070468829</v>
      </c>
      <c r="AA34" s="388">
        <f t="shared" si="12"/>
        <v>7.6484077702261297</v>
      </c>
      <c r="AB34" s="199">
        <f t="shared" si="13"/>
        <v>43485</v>
      </c>
      <c r="AC34" s="428">
        <f>IF(OR(t&lt;Tnet,NoTnet),'2018'!Resal_s+('2018'!Salim-'2018'!Resal_s)*(1-EXP(('2018'!Tnet_s-t)/'2018'!Tau_j)),Resal_s+(Salim-Resal_s)*(1-EXP((Tnet_s-t)/Tau_j)))*Salcycl</f>
        <v>3.6080289057481459E-2</v>
      </c>
      <c r="AD34" s="233">
        <f>(INDEX(Models!$BJ34:$BT34,,AH34)*(1-AF34)+INDEX(Models!$BJ34:$BT34,,AH34+1)*AF34-ERP_i)*AE34*Ramure*Pc/MaxiM</f>
        <v>9.0544323435096351E-3</v>
      </c>
      <c r="AE34" s="307">
        <f t="shared" si="14"/>
        <v>0.9</v>
      </c>
      <c r="AF34" s="179">
        <f t="shared" si="15"/>
        <v>0.90092932957527783</v>
      </c>
      <c r="AG34" s="178">
        <f t="shared" si="16"/>
        <v>-3</v>
      </c>
      <c r="AH34" s="178">
        <f t="shared" si="17"/>
        <v>3</v>
      </c>
      <c r="AI34" s="227">
        <f t="shared" si="22"/>
        <v>-2.0990706704247222</v>
      </c>
      <c r="AJ34" s="267" t="b">
        <f t="shared" si="18"/>
        <v>0</v>
      </c>
      <c r="AK34" s="267" t="b">
        <f t="shared" si="19"/>
        <v>0</v>
      </c>
      <c r="AL34" s="267"/>
      <c r="AM34" s="267"/>
      <c r="AN34" s="75"/>
    </row>
    <row r="35" spans="1:40" s="6" customFormat="1" ht="11.25" customHeight="1" x14ac:dyDescent="0.2">
      <c r="A35" s="56">
        <f t="shared" si="20"/>
        <v>43486</v>
      </c>
      <c r="B35" s="620">
        <v>9.7739999999999991</v>
      </c>
      <c r="C35" s="392"/>
      <c r="D35" s="395">
        <f t="shared" si="0"/>
        <v>9.8134295362458968</v>
      </c>
      <c r="E35" s="387">
        <f t="shared" si="1"/>
        <v>10.182759279479409</v>
      </c>
      <c r="F35" s="387">
        <f t="shared" si="2"/>
        <v>10.201329938802935</v>
      </c>
      <c r="G35" s="110">
        <f t="shared" si="23"/>
        <v>0.44037015803348678</v>
      </c>
      <c r="H35" s="416" t="b">
        <f>Wh_hp&gt;='2018'!Maxi_hp</f>
        <v>1</v>
      </c>
      <c r="I35" s="392">
        <f>IF(H35,Wh_hp,'2018'!Maxi_hp)</f>
        <v>10.201329938802935</v>
      </c>
      <c r="J35" s="85">
        <f>IF(H35,An,'2018'!An_max)</f>
        <v>2019</v>
      </c>
      <c r="K35" s="199">
        <f t="shared" si="3"/>
        <v>43486</v>
      </c>
      <c r="L35" s="147">
        <f>IF(t&lt;Tvie,1-EXP((T0-t)*PertePVj)+'2018'!Pspv,1-EXP((T0-t)*PertePVj)+Pspv)</f>
        <v>4.017916071059946E-3</v>
      </c>
      <c r="M35" s="872"/>
      <c r="N35" s="872"/>
      <c r="O35" s="48">
        <f>IF(t&lt;Tnet,'2018'!Resal+('2018'!Salim-'2018'!Resal)*(1-EXP(('2018'!Tnet-t)/('2018'!Tau_j))),Resal+(Salim-Resal)*(1-EXP((Tnet-t)/(Tau_j))))*Salcycl</f>
        <v>3.6270104506722196E-2</v>
      </c>
      <c r="P35" s="171">
        <f>(INDEX(Models!$BJ35:$BT35,,T35)*(1-R35)+INDEX(Models!$BJ35:$BT35,,T35+1)*R35-ERP_i)*Q35*Ramure*Pc/MaxiM</f>
        <v>8.8796616800353688E-3</v>
      </c>
      <c r="Q35" s="307">
        <f t="shared" si="4"/>
        <v>0.9</v>
      </c>
      <c r="R35" s="179">
        <f t="shared" si="5"/>
        <v>0.90101832650740832</v>
      </c>
      <c r="S35" s="839">
        <f t="shared" si="6"/>
        <v>-3</v>
      </c>
      <c r="T35" s="178">
        <f t="shared" si="7"/>
        <v>3</v>
      </c>
      <c r="U35" s="253">
        <f t="shared" si="21"/>
        <v>-2.0989816734925917</v>
      </c>
      <c r="V35" s="385">
        <f t="shared" si="8"/>
        <v>22.037998984629709</v>
      </c>
      <c r="W35" s="58"/>
      <c r="X35" s="157">
        <f t="shared" si="9"/>
        <v>43486</v>
      </c>
      <c r="Y35" s="387">
        <f t="shared" si="10"/>
        <v>9.7739999999999991</v>
      </c>
      <c r="Z35" s="387">
        <f t="shared" si="11"/>
        <v>9.8134295362458968</v>
      </c>
      <c r="AA35" s="388">
        <f t="shared" si="12"/>
        <v>10.182759279479409</v>
      </c>
      <c r="AB35" s="199">
        <f t="shared" si="13"/>
        <v>43486</v>
      </c>
      <c r="AC35" s="428">
        <f>IF(OR(t&lt;Tnet,NoTnet),'2018'!Resal_s+('2018'!Salim-'2018'!Resal_s)*(1-EXP(('2018'!Tnet_s-t)/'2018'!Tau_j)),Resal_s+(Salim-Resal_s)*(1-EXP((Tnet_s-t)/Tau_j)))*Salcycl</f>
        <v>3.6270104506722196E-2</v>
      </c>
      <c r="AD35" s="233">
        <f>(INDEX(Models!$BJ35:$BT35,,AH35)*(1-AF35)+INDEX(Models!$BJ35:$BT35,,AH35+1)*AF35-ERP_i)*AE35*Ramure*Pc/MaxiM</f>
        <v>8.8796616800353688E-3</v>
      </c>
      <c r="AE35" s="307">
        <f t="shared" si="14"/>
        <v>0.9</v>
      </c>
      <c r="AF35" s="179">
        <f t="shared" si="15"/>
        <v>0.90101832650740832</v>
      </c>
      <c r="AG35" s="178">
        <f t="shared" si="16"/>
        <v>-3</v>
      </c>
      <c r="AH35" s="178">
        <f t="shared" si="17"/>
        <v>3</v>
      </c>
      <c r="AI35" s="227">
        <f t="shared" si="22"/>
        <v>-2.0989816734925917</v>
      </c>
      <c r="AJ35" s="267" t="b">
        <f t="shared" si="18"/>
        <v>0</v>
      </c>
      <c r="AK35" s="267" t="b">
        <f t="shared" si="19"/>
        <v>0</v>
      </c>
      <c r="AL35" s="267"/>
      <c r="AM35" s="267"/>
      <c r="AN35" s="75"/>
    </row>
    <row r="36" spans="1:40" s="6" customFormat="1" ht="11.25" customHeight="1" x14ac:dyDescent="0.2">
      <c r="A36" s="56">
        <f t="shared" si="20"/>
        <v>43487</v>
      </c>
      <c r="B36" s="620">
        <v>9.7240000000000002</v>
      </c>
      <c r="C36" s="392"/>
      <c r="D36" s="395">
        <f t="shared" si="0"/>
        <v>9.7634550398658586</v>
      </c>
      <c r="E36" s="387">
        <f t="shared" si="1"/>
        <v>10.132898241595512</v>
      </c>
      <c r="F36" s="387">
        <f t="shared" si="2"/>
        <v>10.150009401127683</v>
      </c>
      <c r="G36" s="110">
        <f t="shared" si="23"/>
        <v>0.43284360505748765</v>
      </c>
      <c r="H36" s="416" t="b">
        <f>Wh_hp&gt;='2018'!Maxi_hp</f>
        <v>1</v>
      </c>
      <c r="I36" s="392">
        <f>IF(H36,Wh_hp,'2018'!Maxi_hp)</f>
        <v>10.150009401127683</v>
      </c>
      <c r="J36" s="85">
        <f>IF(H36,An,'2018'!An_max)</f>
        <v>2019</v>
      </c>
      <c r="K36" s="199">
        <f t="shared" si="3"/>
        <v>43487</v>
      </c>
      <c r="L36" s="147">
        <f>IF(t&lt;Tvie,1-EXP((T0-t)*PertePVj)+'2018'!Pspv,1-EXP((T0-t)*PertePVj)+Pspv)</f>
        <v>4.0410940291890629E-3</v>
      </c>
      <c r="M36" s="872"/>
      <c r="N36" s="872"/>
      <c r="O36" s="48">
        <f>IF(t&lt;Tnet,'2018'!Resal+('2018'!Salim-'2018'!Resal)*(1-EXP(('2018'!Tnet-t)/('2018'!Tau_j))),Resal+(Salim-Resal)*(1-EXP((Tnet-t)/(Tau_j))))*Salcycl</f>
        <v>3.645977615891683E-2</v>
      </c>
      <c r="P36" s="171">
        <f>(INDEX(Models!$BJ36:$BT36,,T36)*(1-R36)+INDEX(Models!$BJ36:$BT36,,T36+1)*R36-ERP_i)*Q36*Ramure*Pc/MaxiM</f>
        <v>8.6834971736711557E-3</v>
      </c>
      <c r="Q36" s="307">
        <f t="shared" si="4"/>
        <v>0.9</v>
      </c>
      <c r="R36" s="179">
        <f t="shared" si="5"/>
        <v>0.90111103293770345</v>
      </c>
      <c r="S36" s="839">
        <f t="shared" si="6"/>
        <v>-3</v>
      </c>
      <c r="T36" s="178">
        <f t="shared" si="7"/>
        <v>3</v>
      </c>
      <c r="U36" s="253">
        <f t="shared" si="21"/>
        <v>-2.0988889670622966</v>
      </c>
      <c r="V36" s="385">
        <f t="shared" si="8"/>
        <v>22.307918231130643</v>
      </c>
      <c r="W36" s="58"/>
      <c r="X36" s="157">
        <f t="shared" si="9"/>
        <v>43487</v>
      </c>
      <c r="Y36" s="387">
        <f t="shared" si="10"/>
        <v>9.7240000000000002</v>
      </c>
      <c r="Z36" s="387">
        <f t="shared" si="11"/>
        <v>9.7634550398658586</v>
      </c>
      <c r="AA36" s="388">
        <f t="shared" si="12"/>
        <v>10.132898241595512</v>
      </c>
      <c r="AB36" s="199">
        <f t="shared" si="13"/>
        <v>43487</v>
      </c>
      <c r="AC36" s="428">
        <f>IF(OR(t&lt;Tnet,NoTnet),'2018'!Resal_s+('2018'!Salim-'2018'!Resal_s)*(1-EXP(('2018'!Tnet_s-t)/'2018'!Tau_j)),Resal_s+(Salim-Resal_s)*(1-EXP((Tnet_s-t)/Tau_j)))*Salcycl</f>
        <v>3.645977615891683E-2</v>
      </c>
      <c r="AD36" s="233">
        <f>(INDEX(Models!$BJ36:$BT36,,AH36)*(1-AF36)+INDEX(Models!$BJ36:$BT36,,AH36+1)*AF36-ERP_i)*AE36*Ramure*Pc/MaxiM</f>
        <v>8.6834971736711557E-3</v>
      </c>
      <c r="AE36" s="307">
        <f t="shared" si="14"/>
        <v>0.9</v>
      </c>
      <c r="AF36" s="179">
        <f t="shared" si="15"/>
        <v>0.90111103293770345</v>
      </c>
      <c r="AG36" s="178">
        <f t="shared" si="16"/>
        <v>-3</v>
      </c>
      <c r="AH36" s="178">
        <f t="shared" si="17"/>
        <v>3</v>
      </c>
      <c r="AI36" s="227">
        <f t="shared" si="22"/>
        <v>-2.0988889670622966</v>
      </c>
      <c r="AJ36" s="267" t="b">
        <f t="shared" si="18"/>
        <v>0</v>
      </c>
      <c r="AK36" s="267" t="b">
        <f t="shared" si="19"/>
        <v>0</v>
      </c>
      <c r="AL36" s="267"/>
      <c r="AM36" s="267"/>
      <c r="AN36" s="75"/>
    </row>
    <row r="37" spans="1:40" s="6" customFormat="1" ht="11.25" customHeight="1" x14ac:dyDescent="0.2">
      <c r="A37" s="56">
        <f t="shared" si="20"/>
        <v>43488</v>
      </c>
      <c r="B37" s="620">
        <v>8.8460000000000001</v>
      </c>
      <c r="C37" s="392"/>
      <c r="D37" s="395">
        <f t="shared" si="0"/>
        <v>8.8820992624300033</v>
      </c>
      <c r="E37" s="387">
        <f t="shared" si="1"/>
        <v>9.2200061022695312</v>
      </c>
      <c r="F37" s="387">
        <f t="shared" si="2"/>
        <v>9.2302452541704874</v>
      </c>
      <c r="G37" s="110">
        <f t="shared" si="23"/>
        <v>0.38883514285337661</v>
      </c>
      <c r="H37" s="416" t="b">
        <f>Wh_hp&gt;='2018'!Maxi_hp</f>
        <v>1</v>
      </c>
      <c r="I37" s="392">
        <f>IF(H37,Wh_hp,'2018'!Maxi_hp)</f>
        <v>9.2302452541704874</v>
      </c>
      <c r="J37" s="85">
        <f>IF(H37,An,'2018'!An_max)</f>
        <v>2019</v>
      </c>
      <c r="K37" s="199">
        <f t="shared" si="3"/>
        <v>43488</v>
      </c>
      <c r="L37" s="147">
        <f>IF(t&lt;Tvie,1-EXP((T0-t)*PertePVj)+'2018'!Pspv,1-EXP((T0-t)*PertePVj)+Pspv)</f>
        <v>4.0642714479333097E-3</v>
      </c>
      <c r="M37" s="872"/>
      <c r="N37" s="872"/>
      <c r="O37" s="48">
        <f>IF(t&lt;Tnet,'2018'!Resal+('2018'!Salim-'2018'!Resal)*(1-EXP(('2018'!Tnet-t)/('2018'!Tau_j))),Resal+(Salim-Resal)*(1-EXP((Tnet-t)/(Tau_j))))*Salcycl</f>
        <v>3.6649307613402897E-2</v>
      </c>
      <c r="P37" s="171">
        <f>(INDEX(Models!$BJ37:$BT37,,T37)*(1-R37)+INDEX(Models!$BJ37:$BT37,,T37+1)*R37-ERP_i)*Q37*Ramure*Pc/MaxiM</f>
        <v>8.4661120980245395E-3</v>
      </c>
      <c r="Q37" s="307">
        <f t="shared" si="4"/>
        <v>0.9</v>
      </c>
      <c r="R37" s="179">
        <f t="shared" si="5"/>
        <v>0.90120760243279152</v>
      </c>
      <c r="S37" s="839">
        <f t="shared" si="6"/>
        <v>-3</v>
      </c>
      <c r="T37" s="178">
        <f t="shared" si="7"/>
        <v>3</v>
      </c>
      <c r="U37" s="253">
        <f t="shared" si="21"/>
        <v>-2.0987923975672085</v>
      </c>
      <c r="V37" s="385">
        <f t="shared" si="8"/>
        <v>22.5824480345178</v>
      </c>
      <c r="W37" s="58"/>
      <c r="X37" s="157">
        <f t="shared" si="9"/>
        <v>43488</v>
      </c>
      <c r="Y37" s="387">
        <f t="shared" si="10"/>
        <v>8.8460000000000001</v>
      </c>
      <c r="Z37" s="387">
        <f t="shared" si="11"/>
        <v>8.8820992624300033</v>
      </c>
      <c r="AA37" s="388">
        <f t="shared" si="12"/>
        <v>9.2200061022695312</v>
      </c>
      <c r="AB37" s="199">
        <f t="shared" si="13"/>
        <v>43488</v>
      </c>
      <c r="AC37" s="428">
        <f>IF(OR(t&lt;Tnet,NoTnet),'2018'!Resal_s+('2018'!Salim-'2018'!Resal_s)*(1-EXP(('2018'!Tnet_s-t)/'2018'!Tau_j)),Resal_s+(Salim-Resal_s)*(1-EXP((Tnet_s-t)/Tau_j)))*Salcycl</f>
        <v>3.6649307613402897E-2</v>
      </c>
      <c r="AD37" s="233">
        <f>(INDEX(Models!$BJ37:$BT37,,AH37)*(1-AF37)+INDEX(Models!$BJ37:$BT37,,AH37+1)*AF37-ERP_i)*AE37*Ramure*Pc/MaxiM</f>
        <v>8.4661120980245395E-3</v>
      </c>
      <c r="AE37" s="307">
        <f t="shared" si="14"/>
        <v>0.9</v>
      </c>
      <c r="AF37" s="179">
        <f t="shared" si="15"/>
        <v>0.90120760243279152</v>
      </c>
      <c r="AG37" s="178">
        <f t="shared" si="16"/>
        <v>-3</v>
      </c>
      <c r="AH37" s="178">
        <f t="shared" si="17"/>
        <v>3</v>
      </c>
      <c r="AI37" s="227">
        <f t="shared" si="22"/>
        <v>-2.0987923975672085</v>
      </c>
      <c r="AJ37" s="267" t="b">
        <f t="shared" si="18"/>
        <v>0</v>
      </c>
      <c r="AK37" s="267" t="b">
        <f t="shared" si="19"/>
        <v>0</v>
      </c>
      <c r="AL37" s="267"/>
      <c r="AM37" s="267"/>
      <c r="AN37" s="75"/>
    </row>
    <row r="38" spans="1:40" s="6" customFormat="1" ht="11.25" customHeight="1" x14ac:dyDescent="0.2">
      <c r="A38" s="56">
        <f t="shared" si="20"/>
        <v>43489</v>
      </c>
      <c r="B38" s="620">
        <v>12.212</v>
      </c>
      <c r="C38" s="392"/>
      <c r="D38" s="395">
        <f t="shared" si="0"/>
        <v>12.26212078509224</v>
      </c>
      <c r="E38" s="387">
        <f t="shared" si="1"/>
        <v>12.731118675569833</v>
      </c>
      <c r="F38" s="387">
        <f t="shared" si="2"/>
        <v>12.766195062367927</v>
      </c>
      <c r="G38" s="110">
        <f t="shared" si="23"/>
        <v>0.53118887315507912</v>
      </c>
      <c r="H38" s="416" t="b">
        <f>Wh_hp&gt;='2018'!Maxi_hp</f>
        <v>1</v>
      </c>
      <c r="I38" s="392">
        <f>IF(H38,Wh_hp,'2018'!Maxi_hp)</f>
        <v>12.766195062367927</v>
      </c>
      <c r="J38" s="85">
        <f>IF(H38,An,'2018'!An_max)</f>
        <v>2019</v>
      </c>
      <c r="K38" s="199">
        <f t="shared" si="3"/>
        <v>43489</v>
      </c>
      <c r="L38" s="147">
        <f>IF(t&lt;Tvie,1-EXP((T0-t)*PertePVj)+'2018'!Pspv,1-EXP((T0-t)*PertePVj)+Pspv)</f>
        <v>4.087448327305232E-3</v>
      </c>
      <c r="M38" s="872"/>
      <c r="N38" s="872"/>
      <c r="O38" s="48">
        <f>IF(t&lt;Tnet,'2018'!Resal+('2018'!Salim-'2018'!Resal)*(1-EXP(('2018'!Tnet-t)/('2018'!Tau_j))),Resal+(Salim-Resal)*(1-EXP((Tnet-t)/(Tau_j))))*Salcycl</f>
        <v>3.6838702271904007E-2</v>
      </c>
      <c r="P38" s="171">
        <f>(INDEX(Models!$BJ38:$BT38,,T38)*(1-R38)+INDEX(Models!$BJ38:$BT38,,T38+1)*R38-ERP_i)*Q38*Ramure*Pc/MaxiM</f>
        <v>8.2151970772153891E-3</v>
      </c>
      <c r="Q38" s="307">
        <f t="shared" si="4"/>
        <v>0.9</v>
      </c>
      <c r="R38" s="179">
        <f t="shared" si="5"/>
        <v>0.90130819482711289</v>
      </c>
      <c r="S38" s="839">
        <f t="shared" si="6"/>
        <v>-3</v>
      </c>
      <c r="T38" s="178">
        <f t="shared" si="7"/>
        <v>3</v>
      </c>
      <c r="U38" s="253">
        <f t="shared" si="21"/>
        <v>-2.0986918051728871</v>
      </c>
      <c r="V38" s="385">
        <f t="shared" si="8"/>
        <v>22.863893323994894</v>
      </c>
      <c r="W38" s="58"/>
      <c r="X38" s="157">
        <f t="shared" si="9"/>
        <v>43489</v>
      </c>
      <c r="Y38" s="387">
        <f t="shared" si="10"/>
        <v>12.212</v>
      </c>
      <c r="Z38" s="387">
        <f t="shared" si="11"/>
        <v>12.26212078509224</v>
      </c>
      <c r="AA38" s="388">
        <f t="shared" si="12"/>
        <v>12.731118675569833</v>
      </c>
      <c r="AB38" s="199">
        <f t="shared" si="13"/>
        <v>43489</v>
      </c>
      <c r="AC38" s="428">
        <f>IF(OR(t&lt;Tnet,NoTnet),'2018'!Resal_s+('2018'!Salim-'2018'!Resal_s)*(1-EXP(('2018'!Tnet_s-t)/'2018'!Tau_j)),Resal_s+(Salim-Resal_s)*(1-EXP((Tnet_s-t)/Tau_j)))*Salcycl</f>
        <v>3.6838702271904007E-2</v>
      </c>
      <c r="AD38" s="233">
        <f>(INDEX(Models!$BJ38:$BT38,,AH38)*(1-AF38)+INDEX(Models!$BJ38:$BT38,,AH38+1)*AF38-ERP_i)*AE38*Ramure*Pc/MaxiM</f>
        <v>8.2151970772153891E-3</v>
      </c>
      <c r="AE38" s="307">
        <f t="shared" si="14"/>
        <v>0.9</v>
      </c>
      <c r="AF38" s="179">
        <f t="shared" si="15"/>
        <v>0.90130819482711289</v>
      </c>
      <c r="AG38" s="178">
        <f t="shared" si="16"/>
        <v>-3</v>
      </c>
      <c r="AH38" s="178">
        <f t="shared" si="17"/>
        <v>3</v>
      </c>
      <c r="AI38" s="227">
        <f t="shared" si="22"/>
        <v>-2.0986918051728871</v>
      </c>
      <c r="AJ38" s="267" t="b">
        <f t="shared" si="18"/>
        <v>0</v>
      </c>
      <c r="AK38" s="267" t="b">
        <f t="shared" si="19"/>
        <v>0</v>
      </c>
      <c r="AL38" s="267"/>
      <c r="AM38" s="267"/>
      <c r="AN38" s="75"/>
    </row>
    <row r="39" spans="1:40" s="6" customFormat="1" ht="11.25" customHeight="1" x14ac:dyDescent="0.2">
      <c r="A39" s="56">
        <f t="shared" si="20"/>
        <v>43490</v>
      </c>
      <c r="B39" s="620">
        <v>4.51</v>
      </c>
      <c r="C39" s="392"/>
      <c r="D39" s="395">
        <f t="shared" si="0"/>
        <v>4.5286154383295916</v>
      </c>
      <c r="E39" s="387">
        <f t="shared" si="1"/>
        <v>4.702748642274166</v>
      </c>
      <c r="F39" s="387">
        <f t="shared" si="2"/>
        <v>4.702748642274166</v>
      </c>
      <c r="G39" s="110">
        <f t="shared" si="23"/>
        <v>0.19325498615142012</v>
      </c>
      <c r="H39" s="416" t="b">
        <f>Wh_hp&gt;='2018'!Maxi_hp</f>
        <v>1</v>
      </c>
      <c r="I39" s="392">
        <f>IF(H39,Wh_hp,'2018'!Maxi_hp)</f>
        <v>4.702748642274166</v>
      </c>
      <c r="J39" s="85">
        <f>IF(H39,An,'2018'!An_max)</f>
        <v>2019</v>
      </c>
      <c r="K39" s="199">
        <f t="shared" si="3"/>
        <v>43490</v>
      </c>
      <c r="L39" s="147">
        <f>IF(t&lt;Tvie,1-EXP((T0-t)*PertePVj)+'2018'!Pspv,1-EXP((T0-t)*PertePVj)+Pspv)</f>
        <v>4.1106246673172642E-3</v>
      </c>
      <c r="M39" s="872"/>
      <c r="N39" s="872"/>
      <c r="O39" s="48">
        <f>IF(t&lt;Tnet,'2018'!Resal+('2018'!Salim-'2018'!Resal)*(1-EXP(('2018'!Tnet-t)/('2018'!Tau_j))),Resal+(Salim-Resal)*(1-EXP((Tnet-t)/(Tau_j))))*Salcycl</f>
        <v>3.7027963259453796E-2</v>
      </c>
      <c r="P39" s="171">
        <f>(INDEX(Models!$BJ39:$BT39,,T39)*(1-R39)+INDEX(Models!$BJ39:$BT39,,T39+1)*R39-ERP_i)*Q39*Ramure*Pc/MaxiM</f>
        <v>7.9374046223655275E-3</v>
      </c>
      <c r="Q39" s="307">
        <f t="shared" si="4"/>
        <v>0.9</v>
      </c>
      <c r="R39" s="179">
        <f t="shared" si="5"/>
        <v>0.90141297647108409</v>
      </c>
      <c r="S39" s="839">
        <f t="shared" si="6"/>
        <v>-3</v>
      </c>
      <c r="T39" s="178">
        <f t="shared" si="7"/>
        <v>3</v>
      </c>
      <c r="U39" s="253">
        <f t="shared" si="21"/>
        <v>-2.0985870235289159</v>
      </c>
      <c r="V39" s="385">
        <f t="shared" si="8"/>
        <v>23.151807848556533</v>
      </c>
      <c r="W39" s="58"/>
      <c r="X39" s="157">
        <f t="shared" si="9"/>
        <v>43490</v>
      </c>
      <c r="Y39" s="387">
        <f t="shared" si="10"/>
        <v>4.51</v>
      </c>
      <c r="Z39" s="387">
        <f t="shared" si="11"/>
        <v>4.5286154383295916</v>
      </c>
      <c r="AA39" s="388">
        <f t="shared" si="12"/>
        <v>4.702748642274166</v>
      </c>
      <c r="AB39" s="199">
        <f t="shared" si="13"/>
        <v>43490</v>
      </c>
      <c r="AC39" s="428">
        <f>IF(OR(t&lt;Tnet,NoTnet),'2018'!Resal_s+('2018'!Salim-'2018'!Resal_s)*(1-EXP(('2018'!Tnet_s-t)/'2018'!Tau_j)),Resal_s+(Salim-Resal_s)*(1-EXP((Tnet_s-t)/Tau_j)))*Salcycl</f>
        <v>3.7027963259453796E-2</v>
      </c>
      <c r="AD39" s="233">
        <f>(INDEX(Models!$BJ39:$BT39,,AH39)*(1-AF39)+INDEX(Models!$BJ39:$BT39,,AH39+1)*AF39-ERP_i)*AE39*Ramure*Pc/MaxiM</f>
        <v>7.9374046223655275E-3</v>
      </c>
      <c r="AE39" s="307">
        <f t="shared" si="14"/>
        <v>0.9</v>
      </c>
      <c r="AF39" s="179">
        <f t="shared" si="15"/>
        <v>0.90141297647108409</v>
      </c>
      <c r="AG39" s="178">
        <f t="shared" si="16"/>
        <v>-3</v>
      </c>
      <c r="AH39" s="178">
        <f t="shared" si="17"/>
        <v>3</v>
      </c>
      <c r="AI39" s="227">
        <f t="shared" si="22"/>
        <v>-2.0985870235289159</v>
      </c>
      <c r="AJ39" s="267" t="b">
        <f t="shared" si="18"/>
        <v>0</v>
      </c>
      <c r="AK39" s="267" t="b">
        <f t="shared" si="19"/>
        <v>0</v>
      </c>
      <c r="AL39" s="267"/>
      <c r="AM39" s="267"/>
      <c r="AN39" s="75"/>
    </row>
    <row r="40" spans="1:40" s="6" customFormat="1" ht="11.25" x14ac:dyDescent="0.2">
      <c r="A40" s="56">
        <f t="shared" si="20"/>
        <v>43491</v>
      </c>
      <c r="B40" s="620">
        <v>13.116</v>
      </c>
      <c r="C40" s="392"/>
      <c r="D40" s="395">
        <f t="shared" si="0"/>
        <v>13.170443987519135</v>
      </c>
      <c r="E40" s="387">
        <f t="shared" si="1"/>
        <v>13.679557350442101</v>
      </c>
      <c r="F40" s="387">
        <f t="shared" si="2"/>
        <v>13.718368418779884</v>
      </c>
      <c r="G40" s="110">
        <f t="shared" si="23"/>
        <v>0.55672076796389847</v>
      </c>
      <c r="H40" s="416" t="b">
        <f>Wh_hp&gt;='2018'!Maxi_hp</f>
        <v>1</v>
      </c>
      <c r="I40" s="392">
        <f>IF(H40,Wh_hp,'2018'!Maxi_hp)</f>
        <v>13.718368418779884</v>
      </c>
      <c r="J40" s="85">
        <f>IF(H40,An,'2018'!An_max)</f>
        <v>2019</v>
      </c>
      <c r="K40" s="199">
        <f t="shared" si="3"/>
        <v>43491</v>
      </c>
      <c r="L40" s="147">
        <f>IF(t&lt;Tvie,1-EXP((T0-t)*PertePVj)+'2018'!Pspv,1-EXP((T0-t)*PertePVj)+Pspv)</f>
        <v>4.1338004679819518E-3</v>
      </c>
      <c r="M40" s="872"/>
      <c r="N40" s="872"/>
      <c r="O40" s="48">
        <f>IF(t&lt;Tnet,'2018'!Resal+('2018'!Salim-'2018'!Resal)*(1-EXP(('2018'!Tnet-t)/('2018'!Tau_j))),Resal+(Salim-Resal)*(1-EXP((Tnet-t)/(Tau_j))))*Salcycl</f>
        <v>3.7217093351818956E-2</v>
      </c>
      <c r="P40" s="171">
        <f>(INDEX(Models!$BJ40:$BT40,,T40)*(1-R40)+INDEX(Models!$BJ40:$BT40,,T40+1)*R40-ERP_i)*Q40*Ramure*Pc/MaxiM</f>
        <v>7.6340299586056121E-3</v>
      </c>
      <c r="Q40" s="307">
        <f t="shared" si="4"/>
        <v>0.9</v>
      </c>
      <c r="R40" s="179">
        <f t="shared" si="5"/>
        <v>0.90152212048843383</v>
      </c>
      <c r="S40" s="839">
        <f t="shared" si="6"/>
        <v>-3</v>
      </c>
      <c r="T40" s="178">
        <f t="shared" si="7"/>
        <v>3</v>
      </c>
      <c r="U40" s="253">
        <f t="shared" si="21"/>
        <v>-2.0984778795115662</v>
      </c>
      <c r="V40" s="385">
        <f t="shared" si="8"/>
        <v>23.445865328470099</v>
      </c>
      <c r="W40" s="58"/>
      <c r="X40" s="157">
        <f t="shared" si="9"/>
        <v>43491</v>
      </c>
      <c r="Y40" s="387">
        <f t="shared" si="10"/>
        <v>13.116</v>
      </c>
      <c r="Z40" s="387">
        <f t="shared" si="11"/>
        <v>13.170443987519135</v>
      </c>
      <c r="AA40" s="388">
        <f t="shared" si="12"/>
        <v>13.679557350442101</v>
      </c>
      <c r="AB40" s="199">
        <f t="shared" si="13"/>
        <v>43491</v>
      </c>
      <c r="AC40" s="428">
        <f>IF(OR(t&lt;Tnet,NoTnet),'2018'!Resal_s+('2018'!Salim-'2018'!Resal_s)*(1-EXP(('2018'!Tnet_s-t)/'2018'!Tau_j)),Resal_s+(Salim-Resal_s)*(1-EXP((Tnet_s-t)/Tau_j)))*Salcycl</f>
        <v>3.7217093351818956E-2</v>
      </c>
      <c r="AD40" s="233">
        <f>(INDEX(Models!$BJ40:$BT40,,AH40)*(1-AF40)+INDEX(Models!$BJ40:$BT40,,AH40+1)*AF40-ERP_i)*AE40*Ramure*Pc/MaxiM</f>
        <v>7.6340299586056121E-3</v>
      </c>
      <c r="AE40" s="307">
        <f t="shared" si="14"/>
        <v>0.9</v>
      </c>
      <c r="AF40" s="179">
        <f t="shared" si="15"/>
        <v>0.90152212048843383</v>
      </c>
      <c r="AG40" s="178">
        <f t="shared" si="16"/>
        <v>-3</v>
      </c>
      <c r="AH40" s="178">
        <f t="shared" si="17"/>
        <v>3</v>
      </c>
      <c r="AI40" s="227">
        <f t="shared" si="22"/>
        <v>-2.0984778795115662</v>
      </c>
      <c r="AJ40" s="267" t="b">
        <f t="shared" si="18"/>
        <v>0</v>
      </c>
      <c r="AK40" s="267" t="b">
        <f t="shared" si="19"/>
        <v>0</v>
      </c>
      <c r="AL40" s="267"/>
      <c r="AM40" s="267"/>
      <c r="AN40" s="75"/>
    </row>
    <row r="41" spans="1:40" s="6" customFormat="1" ht="11.25" customHeight="1" x14ac:dyDescent="0.2">
      <c r="A41" s="56">
        <f t="shared" si="20"/>
        <v>43492</v>
      </c>
      <c r="B41" s="620">
        <v>12.475</v>
      </c>
      <c r="C41" s="392"/>
      <c r="D41" s="395">
        <f t="shared" si="0"/>
        <v>12.527074745677055</v>
      </c>
      <c r="E41" s="387">
        <f t="shared" si="1"/>
        <v>13.013872910933024</v>
      </c>
      <c r="F41" s="387">
        <f t="shared" si="2"/>
        <v>13.04455621767182</v>
      </c>
      <c r="G41" s="110">
        <f t="shared" si="23"/>
        <v>0.52274856850044193</v>
      </c>
      <c r="H41" s="416" t="b">
        <f>Wh_hp&gt;='2018'!Maxi_hp</f>
        <v>1</v>
      </c>
      <c r="I41" s="392">
        <f>IF(H41,Wh_hp,'2018'!Maxi_hp)</f>
        <v>13.04455621767182</v>
      </c>
      <c r="J41" s="85">
        <f>IF(H41,An,'2018'!An_max)</f>
        <v>2019</v>
      </c>
      <c r="K41" s="199">
        <f t="shared" si="3"/>
        <v>43492</v>
      </c>
      <c r="L41" s="147">
        <f>IF(t&lt;Tvie,1-EXP((T0-t)*PertePVj)+'2018'!Pspv,1-EXP((T0-t)*PertePVj)+Pspv)</f>
        <v>4.1569757293119514E-3</v>
      </c>
      <c r="M41" s="872"/>
      <c r="N41" s="872"/>
      <c r="O41" s="48">
        <f>IF(t&lt;Tnet,'2018'!Resal+('2018'!Salim-'2018'!Resal)*(1-EXP(('2018'!Tnet-t)/('2018'!Tau_j))),Resal+(Salim-Resal)*(1-EXP((Tnet-t)/(Tau_j))))*Salcycl</f>
        <v>3.7406094910225132E-2</v>
      </c>
      <c r="P41" s="171">
        <f>(INDEX(Models!$BJ41:$BT41,,T41)*(1-R41)+INDEX(Models!$BJ41:$BT41,,T41+1)*R41-ERP_i)*Q41*Ramure*Pc/MaxiM</f>
        <v>7.3063265262372562E-3</v>
      </c>
      <c r="Q41" s="307">
        <f t="shared" si="4"/>
        <v>0.9</v>
      </c>
      <c r="R41" s="179">
        <f t="shared" si="5"/>
        <v>0.90163580704298463</v>
      </c>
      <c r="S41" s="839">
        <f t="shared" si="6"/>
        <v>-3</v>
      </c>
      <c r="T41" s="178">
        <f t="shared" si="7"/>
        <v>3</v>
      </c>
      <c r="U41" s="253">
        <f t="shared" si="21"/>
        <v>-2.0983641929570154</v>
      </c>
      <c r="V41" s="385">
        <f t="shared" si="8"/>
        <v>23.745739750585507</v>
      </c>
      <c r="W41" s="58"/>
      <c r="X41" s="157">
        <f t="shared" si="9"/>
        <v>43492</v>
      </c>
      <c r="Y41" s="387">
        <f t="shared" si="10"/>
        <v>12.475</v>
      </c>
      <c r="Z41" s="387">
        <f t="shared" si="11"/>
        <v>12.527074745677055</v>
      </c>
      <c r="AA41" s="388">
        <f t="shared" si="12"/>
        <v>13.013872910933024</v>
      </c>
      <c r="AB41" s="199">
        <f t="shared" si="13"/>
        <v>43492</v>
      </c>
      <c r="AC41" s="428">
        <f>IF(OR(t&lt;Tnet,NoTnet),'2018'!Resal_s+('2018'!Salim-'2018'!Resal_s)*(1-EXP(('2018'!Tnet_s-t)/'2018'!Tau_j)),Resal_s+(Salim-Resal_s)*(1-EXP((Tnet_s-t)/Tau_j)))*Salcycl</f>
        <v>3.7406094910225132E-2</v>
      </c>
      <c r="AD41" s="233">
        <f>(INDEX(Models!$BJ41:$BT41,,AH41)*(1-AF41)+INDEX(Models!$BJ41:$BT41,,AH41+1)*AF41-ERP_i)*AE41*Ramure*Pc/MaxiM</f>
        <v>7.3063265262372562E-3</v>
      </c>
      <c r="AE41" s="307">
        <f t="shared" si="14"/>
        <v>0.9</v>
      </c>
      <c r="AF41" s="179">
        <f t="shared" si="15"/>
        <v>0.90163580704298463</v>
      </c>
      <c r="AG41" s="178">
        <f t="shared" si="16"/>
        <v>-3</v>
      </c>
      <c r="AH41" s="178">
        <f t="shared" si="17"/>
        <v>3</v>
      </c>
      <c r="AI41" s="227">
        <f t="shared" si="22"/>
        <v>-2.0983641929570154</v>
      </c>
      <c r="AJ41" s="267" t="b">
        <f t="shared" si="18"/>
        <v>0</v>
      </c>
      <c r="AK41" s="267" t="b">
        <f t="shared" si="19"/>
        <v>0</v>
      </c>
      <c r="AL41" s="267"/>
      <c r="AM41" s="267"/>
      <c r="AN41" s="75"/>
    </row>
    <row r="42" spans="1:40" s="6" customFormat="1" ht="11.25" x14ac:dyDescent="0.2">
      <c r="A42" s="56">
        <f t="shared" si="20"/>
        <v>43493</v>
      </c>
      <c r="B42" s="620">
        <v>11.039</v>
      </c>
      <c r="C42" s="392"/>
      <c r="D42" s="395">
        <f t="shared" si="0"/>
        <v>11.085338382241559</v>
      </c>
      <c r="E42" s="387">
        <f t="shared" si="1"/>
        <v>11.518371199925538</v>
      </c>
      <c r="F42" s="387">
        <f t="shared" si="2"/>
        <v>11.536595601913209</v>
      </c>
      <c r="G42" s="110">
        <f t="shared" si="23"/>
        <v>0.45650969042775286</v>
      </c>
      <c r="H42" s="416" t="b">
        <f>Wh_hp&gt;='2018'!Maxi_hp</f>
        <v>1</v>
      </c>
      <c r="I42" s="392">
        <f>IF(H42,Wh_hp,'2018'!Maxi_hp)</f>
        <v>11.536595601913209</v>
      </c>
      <c r="J42" s="85">
        <f>IF(H42,An,'2018'!An_max)</f>
        <v>2019</v>
      </c>
      <c r="K42" s="199">
        <f t="shared" si="3"/>
        <v>43493</v>
      </c>
      <c r="L42" s="147">
        <f>IF(t&lt;Tvie,1-EXP((T0-t)*PertePVj)+'2018'!Pspv,1-EXP((T0-t)*PertePVj)+Pspv)</f>
        <v>4.1801504513198084E-3</v>
      </c>
      <c r="M42" s="872"/>
      <c r="N42" s="872"/>
      <c r="O42" s="48">
        <f>IF(t&lt;Tnet,'2018'!Resal+('2018'!Salim-'2018'!Resal)*(1-EXP(('2018'!Tnet-t)/('2018'!Tau_j))),Resal+(Salim-Resal)*(1-EXP((Tnet-t)/(Tau_j))))*Salcycl</f>
        <v>3.7594969824099649E-2</v>
      </c>
      <c r="P42" s="171">
        <f>(INDEX(Models!$BJ42:$BT42,,T42)*(1-R42)+INDEX(Models!$BJ42:$BT42,,T42+1)*R42-ERP_i)*Q42*Ramure*Pc/MaxiM</f>
        <v>6.9555019639881976E-3</v>
      </c>
      <c r="Q42" s="307">
        <f t="shared" si="4"/>
        <v>0.9</v>
      </c>
      <c r="R42" s="179">
        <f t="shared" si="5"/>
        <v>0.90175422361516855</v>
      </c>
      <c r="S42" s="839">
        <f t="shared" si="6"/>
        <v>-3</v>
      </c>
      <c r="T42" s="178">
        <f t="shared" si="7"/>
        <v>3</v>
      </c>
      <c r="U42" s="253">
        <f t="shared" si="21"/>
        <v>-2.0982457763848315</v>
      </c>
      <c r="V42" s="385">
        <f t="shared" si="8"/>
        <v>24.051105374282617</v>
      </c>
      <c r="W42" s="58"/>
      <c r="X42" s="157">
        <f t="shared" si="9"/>
        <v>43493</v>
      </c>
      <c r="Y42" s="387">
        <f t="shared" si="10"/>
        <v>11.039</v>
      </c>
      <c r="Z42" s="387">
        <f t="shared" si="11"/>
        <v>11.085338382241559</v>
      </c>
      <c r="AA42" s="388">
        <f t="shared" si="12"/>
        <v>11.518371199925538</v>
      </c>
      <c r="AB42" s="199">
        <f t="shared" si="13"/>
        <v>43493</v>
      </c>
      <c r="AC42" s="428">
        <f>IF(OR(t&lt;Tnet,NoTnet),'2018'!Resal_s+('2018'!Salim-'2018'!Resal_s)*(1-EXP(('2018'!Tnet_s-t)/'2018'!Tau_j)),Resal_s+(Salim-Resal_s)*(1-EXP((Tnet_s-t)/Tau_j)))*Salcycl</f>
        <v>3.7594969824099649E-2</v>
      </c>
      <c r="AD42" s="233">
        <f>(INDEX(Models!$BJ42:$BT42,,AH42)*(1-AF42)+INDEX(Models!$BJ42:$BT42,,AH42+1)*AF42-ERP_i)*AE42*Ramure*Pc/MaxiM</f>
        <v>6.9555019639881976E-3</v>
      </c>
      <c r="AE42" s="307">
        <f t="shared" si="14"/>
        <v>0.9</v>
      </c>
      <c r="AF42" s="179">
        <f t="shared" si="15"/>
        <v>0.90175422361516855</v>
      </c>
      <c r="AG42" s="178">
        <f t="shared" si="16"/>
        <v>-3</v>
      </c>
      <c r="AH42" s="178">
        <f t="shared" si="17"/>
        <v>3</v>
      </c>
      <c r="AI42" s="227">
        <f t="shared" si="22"/>
        <v>-2.0982457763848315</v>
      </c>
      <c r="AJ42" s="267" t="b">
        <f t="shared" si="18"/>
        <v>0</v>
      </c>
      <c r="AK42" s="267" t="b">
        <f t="shared" si="19"/>
        <v>0</v>
      </c>
      <c r="AL42" s="267"/>
      <c r="AM42" s="267"/>
      <c r="AN42" s="75"/>
    </row>
    <row r="43" spans="1:40" s="6" customFormat="1" ht="11.25" customHeight="1" x14ac:dyDescent="0.2">
      <c r="A43" s="56">
        <f t="shared" si="20"/>
        <v>43494</v>
      </c>
      <c r="B43" s="620">
        <v>5.3760000000000003</v>
      </c>
      <c r="C43" s="392"/>
      <c r="D43" s="395">
        <f t="shared" si="0"/>
        <v>5.3986924569959784</v>
      </c>
      <c r="E43" s="387">
        <f t="shared" si="1"/>
        <v>5.6106850052255979</v>
      </c>
      <c r="F43" s="387">
        <f t="shared" si="2"/>
        <v>5.6106850052255979</v>
      </c>
      <c r="G43" s="110">
        <f t="shared" si="23"/>
        <v>0.21922218857275144</v>
      </c>
      <c r="H43" s="416" t="b">
        <f>Wh_hp&gt;='2018'!Maxi_hp</f>
        <v>1</v>
      </c>
      <c r="I43" s="392">
        <f>IF(H43,Wh_hp,'2018'!Maxi_hp)</f>
        <v>5.6106850052255979</v>
      </c>
      <c r="J43" s="85">
        <f>IF(H43,An,'2018'!An_max)</f>
        <v>2019</v>
      </c>
      <c r="K43" s="199">
        <f t="shared" si="3"/>
        <v>43494</v>
      </c>
      <c r="L43" s="147">
        <f>IF(t&lt;Tvie,1-EXP((T0-t)*PertePVj)+'2018'!Pspv,1-EXP((T0-t)*PertePVj)+Pspv)</f>
        <v>4.2033246340179575E-3</v>
      </c>
      <c r="M43" s="872"/>
      <c r="N43" s="872"/>
      <c r="O43" s="48">
        <f>IF(t&lt;Tnet,'2018'!Resal+('2018'!Salim-'2018'!Resal)*(1-EXP(('2018'!Tnet-t)/('2018'!Tau_j))),Resal+(Salim-Resal)*(1-EXP((Tnet-t)/(Tau_j))))*Salcycl</f>
        <v>3.778371946245003E-2</v>
      </c>
      <c r="P43" s="171">
        <f>(INDEX(Models!$BJ43:$BT43,,T43)*(1-R43)+INDEX(Models!$BJ43:$BT43,,T43+1)*R43-ERP_i)*Q43*Ramure*Pc/MaxiM</f>
        <v>6.5827148445602585E-3</v>
      </c>
      <c r="Q43" s="307">
        <f t="shared" si="4"/>
        <v>0.9</v>
      </c>
      <c r="R43" s="179">
        <f t="shared" si="5"/>
        <v>0.90187756528856822</v>
      </c>
      <c r="S43" s="839">
        <f t="shared" si="6"/>
        <v>-3</v>
      </c>
      <c r="T43" s="178">
        <f t="shared" si="7"/>
        <v>3</v>
      </c>
      <c r="U43" s="253">
        <f t="shared" si="21"/>
        <v>-2.0981224347114318</v>
      </c>
      <c r="V43" s="385">
        <f t="shared" si="8"/>
        <v>24.36163674747413</v>
      </c>
      <c r="W43" s="58"/>
      <c r="X43" s="157">
        <f t="shared" si="9"/>
        <v>43494</v>
      </c>
      <c r="Y43" s="387">
        <f t="shared" si="10"/>
        <v>5.3760000000000003</v>
      </c>
      <c r="Z43" s="387">
        <f t="shared" si="11"/>
        <v>5.3986924569959784</v>
      </c>
      <c r="AA43" s="388">
        <f t="shared" si="12"/>
        <v>5.6106850052255979</v>
      </c>
      <c r="AB43" s="199">
        <f t="shared" si="13"/>
        <v>43494</v>
      </c>
      <c r="AC43" s="428">
        <f>IF(OR(t&lt;Tnet,NoTnet),'2018'!Resal_s+('2018'!Salim-'2018'!Resal_s)*(1-EXP(('2018'!Tnet_s-t)/'2018'!Tau_j)),Resal_s+(Salim-Resal_s)*(1-EXP((Tnet_s-t)/Tau_j)))*Salcycl</f>
        <v>3.778371946245003E-2</v>
      </c>
      <c r="AD43" s="233">
        <f>(INDEX(Models!$BJ43:$BT43,,AH43)*(1-AF43)+INDEX(Models!$BJ43:$BT43,,AH43+1)*AF43-ERP_i)*AE43*Ramure*Pc/MaxiM</f>
        <v>6.5827148445602585E-3</v>
      </c>
      <c r="AE43" s="307">
        <f t="shared" si="14"/>
        <v>0.9</v>
      </c>
      <c r="AF43" s="179">
        <f t="shared" si="15"/>
        <v>0.90187756528856822</v>
      </c>
      <c r="AG43" s="178">
        <f t="shared" si="16"/>
        <v>-3</v>
      </c>
      <c r="AH43" s="178">
        <f t="shared" si="17"/>
        <v>3</v>
      </c>
      <c r="AI43" s="227">
        <f t="shared" si="22"/>
        <v>-2.0981224347114318</v>
      </c>
      <c r="AJ43" s="267" t="b">
        <f t="shared" si="18"/>
        <v>0</v>
      </c>
      <c r="AK43" s="267" t="b">
        <f t="shared" si="19"/>
        <v>0</v>
      </c>
      <c r="AL43" s="267"/>
      <c r="AM43" s="267"/>
      <c r="AN43" s="75"/>
    </row>
    <row r="44" spans="1:40" s="6" customFormat="1" ht="11.25" x14ac:dyDescent="0.2">
      <c r="A44" s="56">
        <f t="shared" si="20"/>
        <v>43495</v>
      </c>
      <c r="B44" s="620">
        <v>8.1039999999999992</v>
      </c>
      <c r="C44" s="392"/>
      <c r="D44" s="395">
        <f t="shared" si="0"/>
        <v>8.1383969205657234</v>
      </c>
      <c r="E44" s="387">
        <f t="shared" si="1"/>
        <v>8.4596288632397449</v>
      </c>
      <c r="F44" s="387">
        <f t="shared" si="2"/>
        <v>8.4617573192021158</v>
      </c>
      <c r="G44" s="110">
        <f t="shared" si="23"/>
        <v>0.32645245667622691</v>
      </c>
      <c r="H44" s="416" t="b">
        <f>Wh_hp&gt;='2018'!Maxi_hp</f>
        <v>1</v>
      </c>
      <c r="I44" s="392">
        <f>IF(H44,Wh_hp,'2018'!Maxi_hp)</f>
        <v>8.4617573192021158</v>
      </c>
      <c r="J44" s="85">
        <f>IF(H44,An,'2018'!An_max)</f>
        <v>2019</v>
      </c>
      <c r="K44" s="199">
        <f t="shared" si="3"/>
        <v>43495</v>
      </c>
      <c r="L44" s="147">
        <f>IF(t&lt;Tvie,1-EXP((T0-t)*PertePVj)+'2018'!Pspv,1-EXP((T0-t)*PertePVj)+Pspv)</f>
        <v>4.2264982774190551E-3</v>
      </c>
      <c r="M44" s="872"/>
      <c r="N44" s="872"/>
      <c r="O44" s="48">
        <f>IF(t&lt;Tnet,'2018'!Resal+('2018'!Salim-'2018'!Resal)*(1-EXP(('2018'!Tnet-t)/('2018'!Tau_j))),Resal+(Salim-Resal)*(1-EXP((Tnet-t)/(Tau_j))))*Salcycl</f>
        <v>3.7972344634395847E-2</v>
      </c>
      <c r="P44" s="171">
        <f>(INDEX(Models!$BJ44:$BT44,,T44)*(1-R44)+INDEX(Models!$BJ44:$BT44,,T44+1)*R44-ERP_i)*Q44*Ramure*Pc/MaxiM</f>
        <v>6.1985795907845333E-3</v>
      </c>
      <c r="Q44" s="307">
        <f t="shared" si="4"/>
        <v>0.9</v>
      </c>
      <c r="R44" s="179">
        <f t="shared" si="5"/>
        <v>0.90200603504675891</v>
      </c>
      <c r="S44" s="839">
        <f t="shared" si="6"/>
        <v>-3</v>
      </c>
      <c r="T44" s="178">
        <f t="shared" si="7"/>
        <v>3</v>
      </c>
      <c r="U44" s="253">
        <f t="shared" si="21"/>
        <v>-2.0979939649532411</v>
      </c>
      <c r="V44" s="385">
        <f t="shared" si="8"/>
        <v>24.67677264071197</v>
      </c>
      <c r="W44" s="58"/>
      <c r="X44" s="157">
        <f t="shared" si="9"/>
        <v>43495</v>
      </c>
      <c r="Y44" s="387">
        <f t="shared" si="10"/>
        <v>8.1039999999999992</v>
      </c>
      <c r="Z44" s="387">
        <f t="shared" si="11"/>
        <v>8.1383969205657234</v>
      </c>
      <c r="AA44" s="388">
        <f t="shared" si="12"/>
        <v>8.4596288632397449</v>
      </c>
      <c r="AB44" s="199">
        <f t="shared" si="13"/>
        <v>43495</v>
      </c>
      <c r="AC44" s="428">
        <f>IF(OR(t&lt;Tnet,NoTnet),'2018'!Resal_s+('2018'!Salim-'2018'!Resal_s)*(1-EXP(('2018'!Tnet_s-t)/'2018'!Tau_j)),Resal_s+(Salim-Resal_s)*(1-EXP((Tnet_s-t)/Tau_j)))*Salcycl</f>
        <v>3.7972344634395847E-2</v>
      </c>
      <c r="AD44" s="233">
        <f>(INDEX(Models!$BJ44:$BT44,,AH44)*(1-AF44)+INDEX(Models!$BJ44:$BT44,,AH44+1)*AF44-ERP_i)*AE44*Ramure*Pc/MaxiM</f>
        <v>6.1985795907845333E-3</v>
      </c>
      <c r="AE44" s="307">
        <f t="shared" si="14"/>
        <v>0.9</v>
      </c>
      <c r="AF44" s="179">
        <f t="shared" si="15"/>
        <v>0.90200603504675891</v>
      </c>
      <c r="AG44" s="178">
        <f t="shared" si="16"/>
        <v>-3</v>
      </c>
      <c r="AH44" s="178">
        <f t="shared" si="17"/>
        <v>3</v>
      </c>
      <c r="AI44" s="227">
        <f t="shared" si="22"/>
        <v>-2.0979939649532411</v>
      </c>
      <c r="AJ44" s="267" t="b">
        <f t="shared" si="18"/>
        <v>0</v>
      </c>
      <c r="AK44" s="267" t="b">
        <f t="shared" si="19"/>
        <v>0</v>
      </c>
      <c r="AL44" s="267"/>
      <c r="AM44" s="267"/>
      <c r="AN44" s="75"/>
    </row>
    <row r="45" spans="1:40" s="6" customFormat="1" ht="11.25" x14ac:dyDescent="0.2">
      <c r="A45" s="56">
        <f t="shared" si="20"/>
        <v>43496</v>
      </c>
      <c r="B45" s="620">
        <v>7.9710000000000001</v>
      </c>
      <c r="C45" s="392"/>
      <c r="D45" s="395">
        <f t="shared" si="0"/>
        <v>8.0050186988732595</v>
      </c>
      <c r="E45" s="387">
        <f t="shared" si="1"/>
        <v>8.3226167929582999</v>
      </c>
      <c r="F45" s="387">
        <f t="shared" si="2"/>
        <v>8.3239246130594147</v>
      </c>
      <c r="G45" s="110">
        <f t="shared" si="23"/>
        <v>0.3170876763290012</v>
      </c>
      <c r="H45" s="416" t="b">
        <f>Wh_hp&gt;='2018'!Maxi_hp</f>
        <v>1</v>
      </c>
      <c r="I45" s="392">
        <f>IF(H45,Wh_hp,'2018'!Maxi_hp)</f>
        <v>8.3239246130594147</v>
      </c>
      <c r="J45" s="85">
        <f>IF(H45,An,'2018'!An_max)</f>
        <v>2019</v>
      </c>
      <c r="K45" s="199">
        <f t="shared" si="3"/>
        <v>43496</v>
      </c>
      <c r="L45" s="147">
        <f>IF(t&lt;Tvie,1-EXP((T0-t)*PertePVj)+'2018'!Pspv,1-EXP((T0-t)*PertePVj)+Pspv)</f>
        <v>4.2496713815355358E-3</v>
      </c>
      <c r="M45" s="872"/>
      <c r="N45" s="872"/>
      <c r="O45" s="48">
        <f>IF(t&lt;Tnet,'2018'!Resal+('2018'!Salim-'2018'!Resal)*(1-EXP(('2018'!Tnet-t)/('2018'!Tau_j))),Resal+(Salim-Resal)*(1-EXP((Tnet-t)/(Tau_j))))*Salcycl</f>
        <v>3.8160845559266569E-2</v>
      </c>
      <c r="P45" s="171">
        <f>(INDEX(Models!$BJ45:$BT45,,T45)*(1-R45)+INDEX(Models!$BJ45:$BT45,,T45+1)*R45-ERP_i)*Q45*Ramure*Pc/MaxiM</f>
        <v>5.8209169332110707E-3</v>
      </c>
      <c r="Q45" s="307">
        <f t="shared" si="4"/>
        <v>0.9</v>
      </c>
      <c r="R45" s="179">
        <f t="shared" si="5"/>
        <v>0.90213984408076087</v>
      </c>
      <c r="S45" s="839">
        <f t="shared" si="6"/>
        <v>-3</v>
      </c>
      <c r="T45" s="178">
        <f t="shared" si="7"/>
        <v>3</v>
      </c>
      <c r="U45" s="253">
        <f t="shared" si="21"/>
        <v>-2.0978601559192391</v>
      </c>
      <c r="V45" s="385">
        <f t="shared" si="8"/>
        <v>24.995757762213348</v>
      </c>
      <c r="W45" s="58"/>
      <c r="X45" s="157">
        <f t="shared" si="9"/>
        <v>43496</v>
      </c>
      <c r="Y45" s="387">
        <f t="shared" si="10"/>
        <v>7.971000000000001</v>
      </c>
      <c r="Z45" s="387">
        <f t="shared" si="11"/>
        <v>8.0050186988732595</v>
      </c>
      <c r="AA45" s="388">
        <f t="shared" si="12"/>
        <v>8.3226167929582999</v>
      </c>
      <c r="AB45" s="199">
        <f t="shared" si="13"/>
        <v>43496</v>
      </c>
      <c r="AC45" s="428">
        <f>IF(OR(t&lt;Tnet,NoTnet),'2018'!Resal_s+('2018'!Salim-'2018'!Resal_s)*(1-EXP(('2018'!Tnet_s-t)/'2018'!Tau_j)),Resal_s+(Salim-Resal_s)*(1-EXP((Tnet_s-t)/Tau_j)))*Salcycl</f>
        <v>3.8160845559266569E-2</v>
      </c>
      <c r="AD45" s="233">
        <f>(INDEX(Models!$BJ45:$BT45,,AH45)*(1-AF45)+INDEX(Models!$BJ45:$BT45,,AH45+1)*AF45-ERP_i)*AE45*Ramure*Pc/MaxiM</f>
        <v>5.8209169332110707E-3</v>
      </c>
      <c r="AE45" s="307">
        <f t="shared" si="14"/>
        <v>0.9</v>
      </c>
      <c r="AF45" s="179">
        <f t="shared" si="15"/>
        <v>0.90213984408076087</v>
      </c>
      <c r="AG45" s="178">
        <f t="shared" si="16"/>
        <v>-3</v>
      </c>
      <c r="AH45" s="178">
        <f t="shared" si="17"/>
        <v>3</v>
      </c>
      <c r="AI45" s="227">
        <f t="shared" si="22"/>
        <v>-2.0978601559192391</v>
      </c>
      <c r="AJ45" s="267" t="b">
        <f t="shared" si="18"/>
        <v>0</v>
      </c>
      <c r="AK45" s="267" t="b">
        <f t="shared" si="19"/>
        <v>0</v>
      </c>
      <c r="AL45" s="267"/>
      <c r="AM45" s="267"/>
      <c r="AN45" s="75"/>
    </row>
    <row r="46" spans="1:40" s="6" customFormat="1" ht="11.25" x14ac:dyDescent="0.2">
      <c r="A46" s="56">
        <f t="shared" si="20"/>
        <v>43497</v>
      </c>
      <c r="B46" s="620">
        <v>20.661999999999999</v>
      </c>
      <c r="C46" s="392"/>
      <c r="D46" s="395">
        <f t="shared" si="0"/>
        <v>20.750664350553627</v>
      </c>
      <c r="E46" s="387">
        <f t="shared" si="1"/>
        <v>21.578170394037642</v>
      </c>
      <c r="F46" s="387">
        <f t="shared" si="2"/>
        <v>21.665220022404377</v>
      </c>
      <c r="G46" s="110">
        <f t="shared" si="23"/>
        <v>0.81491739768988425</v>
      </c>
      <c r="H46" s="416" t="b">
        <f>Wh_hp&gt;='2018'!Maxi_hp</f>
        <v>1</v>
      </c>
      <c r="I46" s="392">
        <f>IF(H46,Wh_hp,'2018'!Maxi_hp)</f>
        <v>21.665220022404377</v>
      </c>
      <c r="J46" s="85">
        <f>IF(H46,An,'2018'!An_max)</f>
        <v>2019</v>
      </c>
      <c r="K46" s="199">
        <f t="shared" si="3"/>
        <v>43497</v>
      </c>
      <c r="L46" s="147">
        <f>IF(t&lt;Tvie,1-EXP((T0-t)*PertePVj)+'2018'!Pspv,1-EXP((T0-t)*PertePVj)+Pspv)</f>
        <v>4.2728439463801671E-3</v>
      </c>
      <c r="M46" s="872"/>
      <c r="N46" s="872"/>
      <c r="O46" s="48">
        <f>IF(t&lt;Tnet,'2018'!Resal+('2018'!Salim-'2018'!Resal)*(1-EXP(('2018'!Tnet-t)/('2018'!Tau_j))),Resal+(Salim-Resal)*(1-EXP((Tnet-t)/(Tau_j))))*Salcycl</f>
        <v>3.8349221846568873E-2</v>
      </c>
      <c r="P46" s="171">
        <f>(INDEX(Models!$BJ46:$BT46,,T46)*(1-R46)+INDEX(Models!$BJ46:$BT46,,T46+1)*R46-ERP_i)*Q46*Ramure*Pc/MaxiM</f>
        <v>5.4497416936284933E-3</v>
      </c>
      <c r="Q46" s="307">
        <f t="shared" si="4"/>
        <v>0.9</v>
      </c>
      <c r="R46" s="179">
        <f t="shared" si="5"/>
        <v>0.90227921210737794</v>
      </c>
      <c r="S46" s="839">
        <f t="shared" si="6"/>
        <v>-3</v>
      </c>
      <c r="T46" s="178">
        <f t="shared" si="7"/>
        <v>3</v>
      </c>
      <c r="U46" s="253">
        <f t="shared" si="21"/>
        <v>-2.0977207878926221</v>
      </c>
      <c r="V46" s="385">
        <f t="shared" si="8"/>
        <v>25.318267712856368</v>
      </c>
      <c r="W46" s="58"/>
      <c r="X46" s="157">
        <f t="shared" si="9"/>
        <v>43497</v>
      </c>
      <c r="Y46" s="387">
        <f t="shared" si="10"/>
        <v>20.661999999999999</v>
      </c>
      <c r="Z46" s="387">
        <f t="shared" si="11"/>
        <v>20.750664350553627</v>
      </c>
      <c r="AA46" s="388">
        <f t="shared" si="12"/>
        <v>21.578170394037642</v>
      </c>
      <c r="AB46" s="199">
        <f t="shared" si="13"/>
        <v>43497</v>
      </c>
      <c r="AC46" s="428">
        <f>IF(OR(t&lt;Tnet,NoTnet),'2018'!Resal_s+('2018'!Salim-'2018'!Resal_s)*(1-EXP(('2018'!Tnet_s-t)/'2018'!Tau_j)),Resal_s+(Salim-Resal_s)*(1-EXP((Tnet_s-t)/Tau_j)))*Salcycl</f>
        <v>3.8349221846568873E-2</v>
      </c>
      <c r="AD46" s="233">
        <f>(INDEX(Models!$BJ46:$BT46,,AH46)*(1-AF46)+INDEX(Models!$BJ46:$BT46,,AH46+1)*AF46-ERP_i)*AE46*Ramure*Pc/MaxiM</f>
        <v>5.4497416936284933E-3</v>
      </c>
      <c r="AE46" s="307">
        <f t="shared" si="14"/>
        <v>0.9</v>
      </c>
      <c r="AF46" s="179">
        <f t="shared" si="15"/>
        <v>0.90227921210737794</v>
      </c>
      <c r="AG46" s="178">
        <f t="shared" si="16"/>
        <v>-3</v>
      </c>
      <c r="AH46" s="178">
        <f t="shared" si="17"/>
        <v>3</v>
      </c>
      <c r="AI46" s="227">
        <f t="shared" si="22"/>
        <v>-2.0977207878926221</v>
      </c>
      <c r="AJ46" s="267" t="b">
        <f t="shared" si="18"/>
        <v>0</v>
      </c>
      <c r="AK46" s="267" t="b">
        <f t="shared" si="19"/>
        <v>0</v>
      </c>
      <c r="AL46" s="267"/>
      <c r="AM46" s="267"/>
      <c r="AN46" s="75"/>
    </row>
    <row r="47" spans="1:40" s="6" customFormat="1" ht="11.25" x14ac:dyDescent="0.2">
      <c r="A47" s="56">
        <f t="shared" si="20"/>
        <v>43498</v>
      </c>
      <c r="B47" s="620">
        <v>3.4350000000000001</v>
      </c>
      <c r="C47" s="392"/>
      <c r="D47" s="395">
        <f t="shared" si="0"/>
        <v>3.4498204838992441</v>
      </c>
      <c r="E47" s="387">
        <f t="shared" si="1"/>
        <v>3.5880966602196303</v>
      </c>
      <c r="F47" s="387">
        <f t="shared" si="2"/>
        <v>3.5880966602196303</v>
      </c>
      <c r="G47" s="110">
        <f t="shared" si="23"/>
        <v>0.13326843526053675</v>
      </c>
      <c r="H47" s="416" t="b">
        <f>Wh_hp&gt;='2018'!Maxi_hp</f>
        <v>1</v>
      </c>
      <c r="I47" s="392">
        <f>IF(H47,Wh_hp,'2018'!Maxi_hp)</f>
        <v>3.5880966602196303</v>
      </c>
      <c r="J47" s="85">
        <f>IF(H47,An,'2018'!An_max)</f>
        <v>2019</v>
      </c>
      <c r="K47" s="199">
        <f t="shared" si="3"/>
        <v>43498</v>
      </c>
      <c r="L47" s="147">
        <f>IF(t&lt;Tvie,1-EXP((T0-t)*PertePVj)+'2018'!Pspv,1-EXP((T0-t)*PertePVj)+Pspv)</f>
        <v>4.2960159719652724E-3</v>
      </c>
      <c r="M47" s="872"/>
      <c r="N47" s="872"/>
      <c r="O47" s="48">
        <f>IF(t&lt;Tnet,'2018'!Resal+('2018'!Salim-'2018'!Resal)*(1-EXP(('2018'!Tnet-t)/('2018'!Tau_j))),Resal+(Salim-Resal)*(1-EXP((Tnet-t)/(Tau_j))))*Salcycl</f>
        <v>3.8537472486017743E-2</v>
      </c>
      <c r="P47" s="171">
        <f>(INDEX(Models!$BJ47:$BT47,,T47)*(1-R47)+INDEX(Models!$BJ47:$BT47,,T47+1)*R47-ERP_i)*Q47*Ramure*Pc/MaxiM</f>
        <v>5.0850421184722898E-3</v>
      </c>
      <c r="Q47" s="307">
        <f t="shared" si="4"/>
        <v>0.9</v>
      </c>
      <c r="R47" s="179">
        <f t="shared" si="5"/>
        <v>0.9024243676987207</v>
      </c>
      <c r="S47" s="839">
        <f t="shared" si="6"/>
        <v>-3</v>
      </c>
      <c r="T47" s="178">
        <f t="shared" si="7"/>
        <v>3</v>
      </c>
      <c r="U47" s="253">
        <f t="shared" si="21"/>
        <v>-2.0975756323012793</v>
      </c>
      <c r="V47" s="385">
        <f t="shared" si="8"/>
        <v>25.643978438268967</v>
      </c>
      <c r="W47" s="58"/>
      <c r="X47" s="157">
        <f t="shared" si="9"/>
        <v>43498</v>
      </c>
      <c r="Y47" s="387">
        <f t="shared" si="10"/>
        <v>3.4350000000000001</v>
      </c>
      <c r="Z47" s="387">
        <f t="shared" si="11"/>
        <v>3.4498204838992441</v>
      </c>
      <c r="AA47" s="388">
        <f t="shared" si="12"/>
        <v>3.5880966602196303</v>
      </c>
      <c r="AB47" s="199">
        <f t="shared" si="13"/>
        <v>43498</v>
      </c>
      <c r="AC47" s="428">
        <f>IF(OR(t&lt;Tnet,NoTnet),'2018'!Resal_s+('2018'!Salim-'2018'!Resal_s)*(1-EXP(('2018'!Tnet_s-t)/'2018'!Tau_j)),Resal_s+(Salim-Resal_s)*(1-EXP((Tnet_s-t)/Tau_j)))*Salcycl</f>
        <v>3.8537472486017743E-2</v>
      </c>
      <c r="AD47" s="233">
        <f>(INDEX(Models!$BJ47:$BT47,,AH47)*(1-AF47)+INDEX(Models!$BJ47:$BT47,,AH47+1)*AF47-ERP_i)*AE47*Ramure*Pc/MaxiM</f>
        <v>5.0850421184722898E-3</v>
      </c>
      <c r="AE47" s="307">
        <f t="shared" si="14"/>
        <v>0.9</v>
      </c>
      <c r="AF47" s="179">
        <f t="shared" si="15"/>
        <v>0.9024243676987207</v>
      </c>
      <c r="AG47" s="178">
        <f t="shared" si="16"/>
        <v>-3</v>
      </c>
      <c r="AH47" s="178">
        <f t="shared" si="17"/>
        <v>3</v>
      </c>
      <c r="AI47" s="227">
        <f t="shared" si="22"/>
        <v>-2.0975756323012793</v>
      </c>
      <c r="AJ47" s="267" t="b">
        <f t="shared" si="18"/>
        <v>0</v>
      </c>
      <c r="AK47" s="267" t="b">
        <f t="shared" si="19"/>
        <v>0</v>
      </c>
      <c r="AL47" s="267"/>
      <c r="AM47" s="267"/>
      <c r="AN47" s="75"/>
    </row>
    <row r="48" spans="1:40" s="6" customFormat="1" ht="11.25" x14ac:dyDescent="0.2">
      <c r="A48" s="56">
        <f t="shared" si="20"/>
        <v>43499</v>
      </c>
      <c r="B48" s="620">
        <v>13.613</v>
      </c>
      <c r="C48" s="392"/>
      <c r="D48" s="395">
        <f t="shared" si="0"/>
        <v>13.672052156202341</v>
      </c>
      <c r="E48" s="387">
        <f t="shared" si="1"/>
        <v>14.222840114274378</v>
      </c>
      <c r="F48" s="387">
        <f t="shared" si="2"/>
        <v>14.244398268377617</v>
      </c>
      <c r="G48" s="110">
        <f t="shared" si="23"/>
        <v>0.52244319842086717</v>
      </c>
      <c r="H48" s="416" t="b">
        <f>Wh_hp&gt;='2018'!Maxi_hp</f>
        <v>1</v>
      </c>
      <c r="I48" s="392">
        <f>IF(H48,Wh_hp,'2018'!Maxi_hp)</f>
        <v>14.244398268377617</v>
      </c>
      <c r="J48" s="85">
        <f>IF(H48,An,'2018'!An_max)</f>
        <v>2019</v>
      </c>
      <c r="K48" s="199">
        <f t="shared" si="3"/>
        <v>43499</v>
      </c>
      <c r="L48" s="147">
        <f>IF(t&lt;Tvie,1-EXP((T0-t)*PertePVj)+'2018'!Pspv,1-EXP((T0-t)*PertePVj)+Pspv)</f>
        <v>4.3191874583035084E-3</v>
      </c>
      <c r="M48" s="872"/>
      <c r="N48" s="872"/>
      <c r="O48" s="48">
        <f>IF(t&lt;Tnet,'2018'!Resal+('2018'!Salim-'2018'!Resal)*(1-EXP(('2018'!Tnet-t)/('2018'!Tau_j))),Resal+(Salim-Resal)*(1-EXP((Tnet-t)/(Tau_j))))*Salcycl</f>
        <v>3.8725595847713547E-2</v>
      </c>
      <c r="P48" s="171">
        <f>(INDEX(Models!$BJ48:$BT48,,T48)*(1-R48)+INDEX(Models!$BJ48:$BT48,,T48+1)*R48-ERP_i)*Q48*Ramure*Pc/MaxiM</f>
        <v>4.7267822736728566E-3</v>
      </c>
      <c r="Q48" s="307">
        <f t="shared" si="4"/>
        <v>0.9</v>
      </c>
      <c r="R48" s="179">
        <f t="shared" si="5"/>
        <v>0.90257554862320655</v>
      </c>
      <c r="S48" s="839">
        <f t="shared" si="6"/>
        <v>-3</v>
      </c>
      <c r="T48" s="178">
        <f t="shared" si="7"/>
        <v>3</v>
      </c>
      <c r="U48" s="253">
        <f t="shared" si="21"/>
        <v>-2.0974244513767935</v>
      </c>
      <c r="V48" s="385">
        <f t="shared" si="8"/>
        <v>25.972566235691364</v>
      </c>
      <c r="W48" s="58"/>
      <c r="X48" s="157">
        <f t="shared" si="9"/>
        <v>43499</v>
      </c>
      <c r="Y48" s="387">
        <f t="shared" si="10"/>
        <v>13.613</v>
      </c>
      <c r="Z48" s="387">
        <f t="shared" si="11"/>
        <v>13.672052156202341</v>
      </c>
      <c r="AA48" s="388">
        <f t="shared" si="12"/>
        <v>14.222840114274378</v>
      </c>
      <c r="AB48" s="199">
        <f t="shared" si="13"/>
        <v>43499</v>
      </c>
      <c r="AC48" s="428">
        <f>IF(OR(t&lt;Tnet,NoTnet),'2018'!Resal_s+('2018'!Salim-'2018'!Resal_s)*(1-EXP(('2018'!Tnet_s-t)/'2018'!Tau_j)),Resal_s+(Salim-Resal_s)*(1-EXP((Tnet_s-t)/Tau_j)))*Salcycl</f>
        <v>3.8725595847713547E-2</v>
      </c>
      <c r="AD48" s="233">
        <f>(INDEX(Models!$BJ48:$BT48,,AH48)*(1-AF48)+INDEX(Models!$BJ48:$BT48,,AH48+1)*AF48-ERP_i)*AE48*Ramure*Pc/MaxiM</f>
        <v>4.7267822736728566E-3</v>
      </c>
      <c r="AE48" s="307">
        <f t="shared" si="14"/>
        <v>0.9</v>
      </c>
      <c r="AF48" s="179">
        <f t="shared" si="15"/>
        <v>0.90257554862320655</v>
      </c>
      <c r="AG48" s="178">
        <f t="shared" si="16"/>
        <v>-3</v>
      </c>
      <c r="AH48" s="178">
        <f t="shared" si="17"/>
        <v>3</v>
      </c>
      <c r="AI48" s="227">
        <f t="shared" si="22"/>
        <v>-2.0974244513767935</v>
      </c>
      <c r="AJ48" s="267" t="b">
        <f t="shared" si="18"/>
        <v>0</v>
      </c>
      <c r="AK48" s="267" t="b">
        <f t="shared" si="19"/>
        <v>0</v>
      </c>
      <c r="AL48" s="267"/>
      <c r="AM48" s="267"/>
      <c r="AN48" s="75"/>
    </row>
    <row r="49" spans="1:40" s="6" customFormat="1" ht="11.25" x14ac:dyDescent="0.2">
      <c r="A49" s="56">
        <f t="shared" si="20"/>
        <v>43500</v>
      </c>
      <c r="B49" s="620">
        <v>22.289000000000001</v>
      </c>
      <c r="C49" s="392"/>
      <c r="D49" s="395">
        <f t="shared" si="0"/>
        <v>22.386208942566963</v>
      </c>
      <c r="E49" s="387">
        <f t="shared" si="1"/>
        <v>23.292607930438876</v>
      </c>
      <c r="F49" s="387">
        <f t="shared" si="2"/>
        <v>23.372565339149336</v>
      </c>
      <c r="G49" s="110">
        <f t="shared" si="23"/>
        <v>0.84655994212535857</v>
      </c>
      <c r="H49" s="416" t="b">
        <f>Wh_hp&gt;='2018'!Maxi_hp</f>
        <v>1</v>
      </c>
      <c r="I49" s="392">
        <f>IF(H49,Wh_hp,'2018'!Maxi_hp)</f>
        <v>23.372565339149336</v>
      </c>
      <c r="J49" s="85">
        <f>IF(H49,An,'2018'!An_max)</f>
        <v>2019</v>
      </c>
      <c r="K49" s="199">
        <f t="shared" si="3"/>
        <v>43500</v>
      </c>
      <c r="L49" s="147">
        <f>IF(t&lt;Tvie,1-EXP((T0-t)*PertePVj)+'2018'!Pspv,1-EXP((T0-t)*PertePVj)+Pspv)</f>
        <v>4.3423584054073094E-3</v>
      </c>
      <c r="M49" s="872"/>
      <c r="N49" s="872"/>
      <c r="O49" s="48">
        <f>IF(t&lt;Tnet,'2018'!Resal+('2018'!Salim-'2018'!Resal)*(1-EXP(('2018'!Tnet-t)/('2018'!Tau_j))),Resal+(Salim-Resal)*(1-EXP((Tnet-t)/(Tau_j))))*Salcycl</f>
        <v>3.8913589692437509E-2</v>
      </c>
      <c r="P49" s="171">
        <f>(INDEX(Models!$BJ49:$BT49,,T49)*(1-R49)+INDEX(Models!$BJ49:$BT49,,T49+1)*R49-ERP_i)*Q49*Ramure*Pc/MaxiM</f>
        <v>4.374904305019264E-3</v>
      </c>
      <c r="Q49" s="307">
        <f t="shared" si="4"/>
        <v>0.9</v>
      </c>
      <c r="R49" s="179">
        <f t="shared" si="5"/>
        <v>0.90273300219831931</v>
      </c>
      <c r="S49" s="839">
        <f t="shared" si="6"/>
        <v>-3</v>
      </c>
      <c r="T49" s="178">
        <f t="shared" si="7"/>
        <v>3</v>
      </c>
      <c r="U49" s="253">
        <f t="shared" si="21"/>
        <v>-2.0972669978016807</v>
      </c>
      <c r="V49" s="385">
        <f t="shared" si="8"/>
        <v>26.303707749557809</v>
      </c>
      <c r="W49" s="58"/>
      <c r="X49" s="157">
        <f t="shared" si="9"/>
        <v>43500</v>
      </c>
      <c r="Y49" s="387">
        <f t="shared" si="10"/>
        <v>22.289000000000001</v>
      </c>
      <c r="Z49" s="387">
        <f t="shared" si="11"/>
        <v>22.386208942566963</v>
      </c>
      <c r="AA49" s="388">
        <f t="shared" si="12"/>
        <v>23.292607930438876</v>
      </c>
      <c r="AB49" s="199">
        <f t="shared" si="13"/>
        <v>43500</v>
      </c>
      <c r="AC49" s="428">
        <f>IF(OR(t&lt;Tnet,NoTnet),'2018'!Resal_s+('2018'!Salim-'2018'!Resal_s)*(1-EXP(('2018'!Tnet_s-t)/'2018'!Tau_j)),Resal_s+(Salim-Resal_s)*(1-EXP((Tnet_s-t)/Tau_j)))*Salcycl</f>
        <v>3.8913589692437509E-2</v>
      </c>
      <c r="AD49" s="233">
        <f>(INDEX(Models!$BJ49:$BT49,,AH49)*(1-AF49)+INDEX(Models!$BJ49:$BT49,,AH49+1)*AF49-ERP_i)*AE49*Ramure*Pc/MaxiM</f>
        <v>4.374904305019264E-3</v>
      </c>
      <c r="AE49" s="307">
        <f t="shared" si="14"/>
        <v>0.9</v>
      </c>
      <c r="AF49" s="179">
        <f t="shared" si="15"/>
        <v>0.90273300219831931</v>
      </c>
      <c r="AG49" s="178">
        <f t="shared" si="16"/>
        <v>-3</v>
      </c>
      <c r="AH49" s="178">
        <f t="shared" si="17"/>
        <v>3</v>
      </c>
      <c r="AI49" s="227">
        <f t="shared" si="22"/>
        <v>-2.0972669978016807</v>
      </c>
      <c r="AJ49" s="267" t="b">
        <f t="shared" si="18"/>
        <v>0</v>
      </c>
      <c r="AK49" s="267" t="b">
        <f t="shared" si="19"/>
        <v>0</v>
      </c>
      <c r="AL49" s="267"/>
      <c r="AM49" s="267"/>
      <c r="AN49" s="75"/>
    </row>
    <row r="50" spans="1:40" s="6" customFormat="1" ht="11.25" x14ac:dyDescent="0.2">
      <c r="A50" s="56">
        <f t="shared" si="20"/>
        <v>43501</v>
      </c>
      <c r="B50" s="620">
        <v>4.3209999999999997</v>
      </c>
      <c r="C50" s="392"/>
      <c r="D50" s="395">
        <f t="shared" si="0"/>
        <v>4.3399461600096467</v>
      </c>
      <c r="E50" s="387">
        <f t="shared" si="1"/>
        <v>4.5165498120410881</v>
      </c>
      <c r="F50" s="387">
        <f t="shared" si="2"/>
        <v>4.5165498120410881</v>
      </c>
      <c r="G50" s="110">
        <f t="shared" si="23"/>
        <v>0.16156385259787548</v>
      </c>
      <c r="H50" s="416" t="b">
        <f>Wh_hp&gt;='2018'!Maxi_hp</f>
        <v>1</v>
      </c>
      <c r="I50" s="392">
        <f>IF(H50,Wh_hp,'2018'!Maxi_hp)</f>
        <v>4.5165498120410881</v>
      </c>
      <c r="J50" s="85">
        <f>IF(H50,An,'2018'!An_max)</f>
        <v>2019</v>
      </c>
      <c r="K50" s="199">
        <f t="shared" si="3"/>
        <v>43501</v>
      </c>
      <c r="L50" s="147">
        <f>IF(t&lt;Tvie,1-EXP((T0-t)*PertePVj)+'2018'!Pspv,1-EXP((T0-t)*PertePVj)+Pspv)</f>
        <v>4.3655288132894432E-3</v>
      </c>
      <c r="M50" s="872"/>
      <c r="N50" s="872"/>
      <c r="O50" s="48">
        <f>IF(t&lt;Tnet,'2018'!Resal+('2018'!Salim-'2018'!Resal)*(1-EXP(('2018'!Tnet-t)/('2018'!Tau_j))),Resal+(Salim-Resal)*(1-EXP((Tnet-t)/(Tau_j))))*Salcycl</f>
        <v>3.9101451191929135E-2</v>
      </c>
      <c r="P50" s="171">
        <f>(INDEX(Models!$BJ50:$BT50,,T50)*(1-R50)+INDEX(Models!$BJ50:$BT50,,T50+1)*R50-ERP_i)*Q50*Ramure*Pc/MaxiM</f>
        <v>4.0293305561965604E-3</v>
      </c>
      <c r="Q50" s="307">
        <f t="shared" si="4"/>
        <v>0.9</v>
      </c>
      <c r="R50" s="179">
        <f t="shared" si="5"/>
        <v>0.9028969856554121</v>
      </c>
      <c r="S50" s="839">
        <f t="shared" si="6"/>
        <v>-3</v>
      </c>
      <c r="T50" s="178">
        <f t="shared" si="7"/>
        <v>3</v>
      </c>
      <c r="U50" s="253">
        <f t="shared" si="21"/>
        <v>-2.0971030143445879</v>
      </c>
      <c r="V50" s="385">
        <f t="shared" si="8"/>
        <v>26.637079974677857</v>
      </c>
      <c r="W50" s="58"/>
      <c r="X50" s="157">
        <f t="shared" si="9"/>
        <v>43501</v>
      </c>
      <c r="Y50" s="387">
        <f t="shared" si="10"/>
        <v>4.3209999999999997</v>
      </c>
      <c r="Z50" s="387">
        <f t="shared" si="11"/>
        <v>4.3399461600096467</v>
      </c>
      <c r="AA50" s="388">
        <f t="shared" si="12"/>
        <v>4.5165498120410881</v>
      </c>
      <c r="AB50" s="199">
        <f t="shared" si="13"/>
        <v>43501</v>
      </c>
      <c r="AC50" s="428">
        <f>IF(OR(t&lt;Tnet,NoTnet),'2018'!Resal_s+('2018'!Salim-'2018'!Resal_s)*(1-EXP(('2018'!Tnet_s-t)/'2018'!Tau_j)),Resal_s+(Salim-Resal_s)*(1-EXP((Tnet_s-t)/Tau_j)))*Salcycl</f>
        <v>3.9101451191929135E-2</v>
      </c>
      <c r="AD50" s="233">
        <f>(INDEX(Models!$BJ50:$BT50,,AH50)*(1-AF50)+INDEX(Models!$BJ50:$BT50,,AH50+1)*AF50-ERP_i)*AE50*Ramure*Pc/MaxiM</f>
        <v>4.0293305561965604E-3</v>
      </c>
      <c r="AE50" s="307">
        <f t="shared" si="14"/>
        <v>0.9</v>
      </c>
      <c r="AF50" s="179">
        <f t="shared" si="15"/>
        <v>0.9028969856554121</v>
      </c>
      <c r="AG50" s="178">
        <f t="shared" si="16"/>
        <v>-3</v>
      </c>
      <c r="AH50" s="178">
        <f t="shared" si="17"/>
        <v>3</v>
      </c>
      <c r="AI50" s="227">
        <f t="shared" si="22"/>
        <v>-2.0971030143445879</v>
      </c>
      <c r="AJ50" s="267" t="b">
        <f t="shared" si="18"/>
        <v>0</v>
      </c>
      <c r="AK50" s="267" t="b">
        <f t="shared" si="19"/>
        <v>0</v>
      </c>
      <c r="AL50" s="267"/>
      <c r="AM50" s="267"/>
      <c r="AN50" s="75"/>
    </row>
    <row r="51" spans="1:40" s="6" customFormat="1" ht="11.25" x14ac:dyDescent="0.2">
      <c r="A51" s="56">
        <f t="shared" si="20"/>
        <v>43502</v>
      </c>
      <c r="B51" s="620">
        <v>11.99</v>
      </c>
      <c r="C51" s="392"/>
      <c r="D51" s="395">
        <f t="shared" si="0"/>
        <v>12.042852450677355</v>
      </c>
      <c r="E51" s="387">
        <f t="shared" si="1"/>
        <v>12.53535628187899</v>
      </c>
      <c r="F51" s="387">
        <f t="shared" si="2"/>
        <v>12.54491302442413</v>
      </c>
      <c r="G51" s="110">
        <f t="shared" si="23"/>
        <v>0.44321713962961146</v>
      </c>
      <c r="H51" s="416" t="b">
        <f>Wh_hp&gt;='2018'!Maxi_hp</f>
        <v>1</v>
      </c>
      <c r="I51" s="392">
        <f>IF(H51,Wh_hp,'2018'!Maxi_hp)</f>
        <v>12.54491302442413</v>
      </c>
      <c r="J51" s="85">
        <f>IF(H51,An,'2018'!An_max)</f>
        <v>2019</v>
      </c>
      <c r="K51" s="199">
        <f t="shared" si="3"/>
        <v>43502</v>
      </c>
      <c r="L51" s="147">
        <f>IF(t&lt;Tvie,1-EXP((T0-t)*PertePVj)+'2018'!Pspv,1-EXP((T0-t)*PertePVj)+Pspv)</f>
        <v>4.3886986819623441E-3</v>
      </c>
      <c r="M51" s="872"/>
      <c r="N51" s="872"/>
      <c r="O51" s="48">
        <f>IF(t&lt;Tnet,'2018'!Resal+('2018'!Salim-'2018'!Resal)*(1-EXP(('2018'!Tnet-t)/('2018'!Tau_j))),Resal+(Salim-Resal)*(1-EXP((Tnet-t)/(Tau_j))))*Salcycl</f>
        <v>3.9289176958902605E-2</v>
      </c>
      <c r="P51" s="171">
        <f>(INDEX(Models!$BJ51:$BT51,,T51)*(1-R51)+INDEX(Models!$BJ51:$BT51,,T51+1)*R51-ERP_i)*Q51*Ramure*Pc/MaxiM</f>
        <v>3.6898877037334684E-3</v>
      </c>
      <c r="Q51" s="307">
        <f t="shared" si="4"/>
        <v>0.9</v>
      </c>
      <c r="R51" s="179">
        <f t="shared" si="5"/>
        <v>0.90306776651684428</v>
      </c>
      <c r="S51" s="839">
        <f t="shared" si="6"/>
        <v>-3</v>
      </c>
      <c r="T51" s="178">
        <f t="shared" si="7"/>
        <v>3</v>
      </c>
      <c r="U51" s="253">
        <f t="shared" si="21"/>
        <v>-2.0969322334831557</v>
      </c>
      <c r="V51" s="385">
        <f t="shared" si="8"/>
        <v>26.972931370497065</v>
      </c>
      <c r="W51" s="58"/>
      <c r="X51" s="157">
        <f t="shared" si="9"/>
        <v>43502</v>
      </c>
      <c r="Y51" s="387">
        <f t="shared" si="10"/>
        <v>11.99</v>
      </c>
      <c r="Z51" s="387">
        <f t="shared" si="11"/>
        <v>12.042852450677355</v>
      </c>
      <c r="AA51" s="388">
        <f t="shared" si="12"/>
        <v>12.53535628187899</v>
      </c>
      <c r="AB51" s="199">
        <f t="shared" si="13"/>
        <v>43502</v>
      </c>
      <c r="AC51" s="428">
        <f>IF(OR(t&lt;Tnet,NoTnet),'2018'!Resal_s+('2018'!Salim-'2018'!Resal_s)*(1-EXP(('2018'!Tnet_s-t)/'2018'!Tau_j)),Resal_s+(Salim-Resal_s)*(1-EXP((Tnet_s-t)/Tau_j)))*Salcycl</f>
        <v>3.9289176958902605E-2</v>
      </c>
      <c r="AD51" s="233">
        <f>(INDEX(Models!$BJ51:$BT51,,AH51)*(1-AF51)+INDEX(Models!$BJ51:$BT51,,AH51+1)*AF51-ERP_i)*AE51*Ramure*Pc/MaxiM</f>
        <v>3.6898877037334684E-3</v>
      </c>
      <c r="AE51" s="307">
        <f t="shared" si="14"/>
        <v>0.9</v>
      </c>
      <c r="AF51" s="179">
        <f t="shared" si="15"/>
        <v>0.90306776651684428</v>
      </c>
      <c r="AG51" s="178">
        <f t="shared" si="16"/>
        <v>-3</v>
      </c>
      <c r="AH51" s="178">
        <f t="shared" si="17"/>
        <v>3</v>
      </c>
      <c r="AI51" s="227">
        <f t="shared" si="22"/>
        <v>-2.0969322334831557</v>
      </c>
      <c r="AJ51" s="267" t="b">
        <f t="shared" si="18"/>
        <v>0</v>
      </c>
      <c r="AK51" s="267" t="b">
        <f t="shared" si="19"/>
        <v>0</v>
      </c>
      <c r="AL51" s="267"/>
      <c r="AM51" s="267"/>
      <c r="AN51" s="75"/>
    </row>
    <row r="52" spans="1:40" s="6" customFormat="1" ht="11.25" x14ac:dyDescent="0.2">
      <c r="A52" s="56">
        <f t="shared" si="20"/>
        <v>43503</v>
      </c>
      <c r="B52" s="620">
        <v>6.101</v>
      </c>
      <c r="C52" s="392"/>
      <c r="D52" s="395">
        <f t="shared" si="0"/>
        <v>6.1280360863824512</v>
      </c>
      <c r="E52" s="387">
        <f t="shared" si="1"/>
        <v>6.3798936359662948</v>
      </c>
      <c r="F52" s="387">
        <f t="shared" si="2"/>
        <v>6.3798936359662948</v>
      </c>
      <c r="G52" s="110">
        <f t="shared" si="23"/>
        <v>0.22263357434890299</v>
      </c>
      <c r="H52" s="416" t="b">
        <f>Wh_hp&gt;='2018'!Maxi_hp</f>
        <v>1</v>
      </c>
      <c r="I52" s="392">
        <f>IF(H52,Wh_hp,'2018'!Maxi_hp)</f>
        <v>6.3798936359662948</v>
      </c>
      <c r="J52" s="85">
        <f>IF(H52,An,'2018'!An_max)</f>
        <v>2019</v>
      </c>
      <c r="K52" s="199">
        <f t="shared" si="3"/>
        <v>43503</v>
      </c>
      <c r="L52" s="147">
        <f>IF(t&lt;Tvie,1-EXP((T0-t)*PertePVj)+'2018'!Pspv,1-EXP((T0-t)*PertePVj)+Pspv)</f>
        <v>4.4118680114384468E-3</v>
      </c>
      <c r="M52" s="872"/>
      <c r="N52" s="872"/>
      <c r="O52" s="48">
        <f>IF(t&lt;Tnet,'2018'!Resal+('2018'!Salim-'2018'!Resal)*(1-EXP(('2018'!Tnet-t)/('2018'!Tau_j))),Resal+(Salim-Resal)*(1-EXP((Tnet-t)/(Tau_j))))*Salcycl</f>
        <v>3.9476763086458241E-2</v>
      </c>
      <c r="P52" s="171">
        <f>(INDEX(Models!$BJ52:$BT52,,T52)*(1-R52)+INDEX(Models!$BJ52:$BT52,,T52+1)*R52-ERP_i)*Q52*Ramure*Pc/MaxiM</f>
        <v>3.3697349323178402E-3</v>
      </c>
      <c r="Q52" s="307">
        <f t="shared" si="4"/>
        <v>0.9</v>
      </c>
      <c r="R52" s="179">
        <f t="shared" si="5"/>
        <v>0.90324562298570621</v>
      </c>
      <c r="S52" s="839">
        <f t="shared" si="6"/>
        <v>-3</v>
      </c>
      <c r="T52" s="178">
        <f t="shared" si="7"/>
        <v>3</v>
      </c>
      <c r="U52" s="253">
        <f t="shared" si="21"/>
        <v>-2.0967543770142938</v>
      </c>
      <c r="V52" s="385">
        <f t="shared" si="8"/>
        <v>27.311429845926511</v>
      </c>
      <c r="W52" s="58"/>
      <c r="X52" s="157">
        <f t="shared" si="9"/>
        <v>43503</v>
      </c>
      <c r="Y52" s="387">
        <f t="shared" si="10"/>
        <v>6.101</v>
      </c>
      <c r="Z52" s="387">
        <f t="shared" si="11"/>
        <v>6.1280360863824512</v>
      </c>
      <c r="AA52" s="388">
        <f t="shared" si="12"/>
        <v>6.3798936359662948</v>
      </c>
      <c r="AB52" s="199">
        <f t="shared" si="13"/>
        <v>43503</v>
      </c>
      <c r="AC52" s="428">
        <f>IF(OR(t&lt;Tnet,NoTnet),'2018'!Resal_s+('2018'!Salim-'2018'!Resal_s)*(1-EXP(('2018'!Tnet_s-t)/'2018'!Tau_j)),Resal_s+(Salim-Resal_s)*(1-EXP((Tnet_s-t)/Tau_j)))*Salcycl</f>
        <v>3.9476763086458241E-2</v>
      </c>
      <c r="AD52" s="233">
        <f>(INDEX(Models!$BJ52:$BT52,,AH52)*(1-AF52)+INDEX(Models!$BJ52:$BT52,,AH52+1)*AF52-ERP_i)*AE52*Ramure*Pc/MaxiM</f>
        <v>3.3697349323178402E-3</v>
      </c>
      <c r="AE52" s="307">
        <f t="shared" si="14"/>
        <v>0.9</v>
      </c>
      <c r="AF52" s="179">
        <f t="shared" si="15"/>
        <v>0.90324562298570621</v>
      </c>
      <c r="AG52" s="178">
        <f t="shared" si="16"/>
        <v>-3</v>
      </c>
      <c r="AH52" s="178">
        <f t="shared" si="17"/>
        <v>3</v>
      </c>
      <c r="AI52" s="227">
        <f t="shared" si="22"/>
        <v>-2.0967543770142938</v>
      </c>
      <c r="AJ52" s="267" t="b">
        <f t="shared" si="18"/>
        <v>0</v>
      </c>
      <c r="AK52" s="267" t="b">
        <f t="shared" si="19"/>
        <v>0</v>
      </c>
      <c r="AL52" s="267"/>
      <c r="AM52" s="267"/>
      <c r="AN52" s="75"/>
    </row>
    <row r="53" spans="1:40" s="6" customFormat="1" ht="11.25" x14ac:dyDescent="0.2">
      <c r="A53" s="56">
        <f t="shared" si="20"/>
        <v>43504</v>
      </c>
      <c r="B53" s="620">
        <v>23.785</v>
      </c>
      <c r="C53" s="392"/>
      <c r="D53" s="395">
        <f t="shared" si="0"/>
        <v>23.890957274742053</v>
      </c>
      <c r="E53" s="387">
        <f t="shared" si="1"/>
        <v>24.877711946194001</v>
      </c>
      <c r="F53" s="387">
        <f t="shared" si="2"/>
        <v>24.939150308528664</v>
      </c>
      <c r="G53" s="110">
        <f t="shared" si="23"/>
        <v>0.85961216417700415</v>
      </c>
      <c r="H53" s="416" t="b">
        <f>Wh_hp&gt;='2018'!Maxi_hp</f>
        <v>1</v>
      </c>
      <c r="I53" s="392">
        <f>IF(H53,Wh_hp,'2018'!Maxi_hp)</f>
        <v>24.939150308528664</v>
      </c>
      <c r="J53" s="85">
        <f>IF(H53,An,'2018'!An_max)</f>
        <v>2019</v>
      </c>
      <c r="K53" s="199">
        <f t="shared" si="3"/>
        <v>43504</v>
      </c>
      <c r="L53" s="147">
        <f>IF(t&lt;Tvie,1-EXP((T0-t)*PertePVj)+'2018'!Pspv,1-EXP((T0-t)*PertePVj)+Pspv)</f>
        <v>4.4350368017305186E-3</v>
      </c>
      <c r="M53" s="872"/>
      <c r="N53" s="872"/>
      <c r="O53" s="48">
        <f>IF(t&lt;Tnet,'2018'!Resal+('2018'!Salim-'2018'!Resal)*(1-EXP(('2018'!Tnet-t)/('2018'!Tau_j))),Resal+(Salim-Resal)*(1-EXP((Tnet-t)/(Tau_j))))*Salcycl</f>
        <v>3.9664205196447318E-2</v>
      </c>
      <c r="P53" s="171">
        <f>(INDEX(Models!$BJ53:$BT53,,T53)*(1-R53)+INDEX(Models!$BJ53:$BT53,,T53+1)*R53-ERP_i)*Q53*Ramure*Pc/MaxiM</f>
        <v>3.0786297297015056E-3</v>
      </c>
      <c r="Q53" s="307">
        <f t="shared" si="4"/>
        <v>0.9</v>
      </c>
      <c r="R53" s="179">
        <f t="shared" si="5"/>
        <v>0.90343084434841892</v>
      </c>
      <c r="S53" s="839">
        <f t="shared" si="6"/>
        <v>-3</v>
      </c>
      <c r="T53" s="178">
        <f t="shared" si="7"/>
        <v>3</v>
      </c>
      <c r="U53" s="253">
        <f t="shared" si="21"/>
        <v>-2.0965691556515811</v>
      </c>
      <c r="V53" s="385">
        <f t="shared" si="8"/>
        <v>27.652393404033518</v>
      </c>
      <c r="W53" s="58"/>
      <c r="X53" s="157">
        <f t="shared" si="9"/>
        <v>43504</v>
      </c>
      <c r="Y53" s="387">
        <f t="shared" si="10"/>
        <v>23.785</v>
      </c>
      <c r="Z53" s="387">
        <f t="shared" si="11"/>
        <v>23.890957274742053</v>
      </c>
      <c r="AA53" s="388">
        <f t="shared" si="12"/>
        <v>24.877711946194001</v>
      </c>
      <c r="AB53" s="199">
        <f t="shared" si="13"/>
        <v>43504</v>
      </c>
      <c r="AC53" s="428">
        <f>IF(OR(t&lt;Tnet,NoTnet),'2018'!Resal_s+('2018'!Salim-'2018'!Resal_s)*(1-EXP(('2018'!Tnet_s-t)/'2018'!Tau_j)),Resal_s+(Salim-Resal_s)*(1-EXP((Tnet_s-t)/Tau_j)))*Salcycl</f>
        <v>3.9664205196447318E-2</v>
      </c>
      <c r="AD53" s="233">
        <f>(INDEX(Models!$BJ53:$BT53,,AH53)*(1-AF53)+INDEX(Models!$BJ53:$BT53,,AH53+1)*AF53-ERP_i)*AE53*Ramure*Pc/MaxiM</f>
        <v>3.0786297297015056E-3</v>
      </c>
      <c r="AE53" s="307">
        <f t="shared" si="14"/>
        <v>0.9</v>
      </c>
      <c r="AF53" s="179">
        <f t="shared" si="15"/>
        <v>0.90343084434841892</v>
      </c>
      <c r="AG53" s="178">
        <f t="shared" si="16"/>
        <v>-3</v>
      </c>
      <c r="AH53" s="178">
        <f t="shared" si="17"/>
        <v>3</v>
      </c>
      <c r="AI53" s="227">
        <f t="shared" si="22"/>
        <v>-2.0965691556515811</v>
      </c>
      <c r="AJ53" s="267" t="b">
        <f t="shared" si="18"/>
        <v>0</v>
      </c>
      <c r="AK53" s="267" t="b">
        <f t="shared" si="19"/>
        <v>0</v>
      </c>
      <c r="AL53" s="267"/>
      <c r="AM53" s="267"/>
      <c r="AN53" s="75"/>
    </row>
    <row r="54" spans="1:40" s="6" customFormat="1" ht="11.25" x14ac:dyDescent="0.2">
      <c r="A54" s="56">
        <f t="shared" si="20"/>
        <v>43505</v>
      </c>
      <c r="B54" s="620">
        <v>24.696000000000002</v>
      </c>
      <c r="C54" s="392"/>
      <c r="D54" s="395">
        <f t="shared" si="0"/>
        <v>24.806592877711431</v>
      </c>
      <c r="E54" s="387">
        <f t="shared" si="1"/>
        <v>25.836204335954744</v>
      </c>
      <c r="F54" s="387">
        <f t="shared" si="2"/>
        <v>25.896841805449608</v>
      </c>
      <c r="G54" s="110">
        <f t="shared" si="23"/>
        <v>0.8817090940985981</v>
      </c>
      <c r="H54" s="416" t="b">
        <f>Wh_hp&gt;='2018'!Maxi_hp</f>
        <v>1</v>
      </c>
      <c r="I54" s="392">
        <f>IF(H54,Wh_hp,'2018'!Maxi_hp)</f>
        <v>25.896841805449608</v>
      </c>
      <c r="J54" s="85">
        <f>IF(H54,An,'2018'!An_max)</f>
        <v>2019</v>
      </c>
      <c r="K54" s="199">
        <f t="shared" si="3"/>
        <v>43505</v>
      </c>
      <c r="L54" s="147">
        <f>IF(t&lt;Tvie,1-EXP((T0-t)*PertePVj)+'2018'!Pspv,1-EXP((T0-t)*PertePVj)+Pspv)</f>
        <v>4.4582050528509942E-3</v>
      </c>
      <c r="M54" s="872"/>
      <c r="N54" s="872"/>
      <c r="O54" s="48">
        <f>IF(t&lt;Tnet,'2018'!Resal+('2018'!Salim-'2018'!Resal)*(1-EXP(('2018'!Tnet-t)/('2018'!Tau_j))),Resal+(Salim-Resal)*(1-EXP((Tnet-t)/(Tau_j))))*Salcycl</f>
        <v>3.985149849625786E-2</v>
      </c>
      <c r="P54" s="171">
        <f>(INDEX(Models!$BJ54:$BT54,,T54)*(1-R54)+INDEX(Models!$BJ54:$BT54,,T54+1)*R54-ERP_i)*Q54*Ramure*Pc/MaxiM</f>
        <v>2.8156170537797787E-3</v>
      </c>
      <c r="Q54" s="307">
        <f t="shared" si="4"/>
        <v>0.9</v>
      </c>
      <c r="R54" s="179">
        <f t="shared" si="5"/>
        <v>0.90362373139044649</v>
      </c>
      <c r="S54" s="839">
        <f t="shared" si="6"/>
        <v>-3</v>
      </c>
      <c r="T54" s="178">
        <f t="shared" si="7"/>
        <v>3</v>
      </c>
      <c r="U54" s="253">
        <f t="shared" si="21"/>
        <v>-2.0963762686095535</v>
      </c>
      <c r="V54" s="385">
        <f t="shared" si="8"/>
        <v>27.995927345801022</v>
      </c>
      <c r="W54" s="58"/>
      <c r="X54" s="157">
        <f t="shared" si="9"/>
        <v>43505</v>
      </c>
      <c r="Y54" s="387">
        <f t="shared" si="10"/>
        <v>24.696000000000002</v>
      </c>
      <c r="Z54" s="387">
        <f t="shared" si="11"/>
        <v>24.806592877711431</v>
      </c>
      <c r="AA54" s="388">
        <f t="shared" si="12"/>
        <v>25.836204335954744</v>
      </c>
      <c r="AB54" s="199">
        <f t="shared" si="13"/>
        <v>43505</v>
      </c>
      <c r="AC54" s="428">
        <f>IF(OR(t&lt;Tnet,NoTnet),'2018'!Resal_s+('2018'!Salim-'2018'!Resal_s)*(1-EXP(('2018'!Tnet_s-t)/'2018'!Tau_j)),Resal_s+(Salim-Resal_s)*(1-EXP((Tnet_s-t)/Tau_j)))*Salcycl</f>
        <v>3.985149849625786E-2</v>
      </c>
      <c r="AD54" s="233">
        <f>(INDEX(Models!$BJ54:$BT54,,AH54)*(1-AF54)+INDEX(Models!$BJ54:$BT54,,AH54+1)*AF54-ERP_i)*AE54*Ramure*Pc/MaxiM</f>
        <v>2.8156170537797787E-3</v>
      </c>
      <c r="AE54" s="307">
        <f t="shared" si="14"/>
        <v>0.9</v>
      </c>
      <c r="AF54" s="179">
        <f t="shared" si="15"/>
        <v>0.90362373139044649</v>
      </c>
      <c r="AG54" s="178">
        <f t="shared" si="16"/>
        <v>-3</v>
      </c>
      <c r="AH54" s="178">
        <f t="shared" si="17"/>
        <v>3</v>
      </c>
      <c r="AI54" s="227">
        <f t="shared" si="22"/>
        <v>-2.0963762686095535</v>
      </c>
      <c r="AJ54" s="267" t="b">
        <f t="shared" si="18"/>
        <v>0</v>
      </c>
      <c r="AK54" s="267" t="b">
        <f t="shared" si="19"/>
        <v>0</v>
      </c>
      <c r="AL54" s="267"/>
      <c r="AM54" s="267"/>
      <c r="AN54" s="75"/>
    </row>
    <row r="55" spans="1:40" s="6" customFormat="1" ht="11.25" customHeight="1" x14ac:dyDescent="0.2">
      <c r="A55" s="56">
        <f t="shared" si="20"/>
        <v>43506</v>
      </c>
      <c r="B55" s="620">
        <v>8.2569999999999997</v>
      </c>
      <c r="C55" s="392"/>
      <c r="D55" s="395">
        <f t="shared" si="0"/>
        <v>8.2941692642475413</v>
      </c>
      <c r="E55" s="387">
        <f t="shared" si="1"/>
        <v>8.6401073951709222</v>
      </c>
      <c r="F55" s="387">
        <f t="shared" si="2"/>
        <v>8.6401073951709222</v>
      </c>
      <c r="G55" s="110">
        <f t="shared" si="23"/>
        <v>0.290581435357052</v>
      </c>
      <c r="H55" s="416" t="b">
        <f>Wh_hp&gt;='2018'!Maxi_hp</f>
        <v>1</v>
      </c>
      <c r="I55" s="392">
        <f>IF(H55,Wh_hp,'2018'!Maxi_hp)</f>
        <v>8.6401073951709222</v>
      </c>
      <c r="J55" s="85">
        <f>IF(H55,An,'2018'!An_max)</f>
        <v>2019</v>
      </c>
      <c r="K55" s="199">
        <f t="shared" si="3"/>
        <v>43506</v>
      </c>
      <c r="L55" s="147">
        <f>IF(t&lt;Tvie,1-EXP((T0-t)*PertePVj)+'2018'!Pspv,1-EXP((T0-t)*PertePVj)+Pspv)</f>
        <v>4.4813727648123081E-3</v>
      </c>
      <c r="M55" s="872"/>
      <c r="N55" s="872"/>
      <c r="O55" s="48">
        <f>IF(t&lt;Tnet,'2018'!Resal+('2018'!Salim-'2018'!Resal)*(1-EXP(('2018'!Tnet-t)/('2018'!Tau_j))),Resal+(Salim-Resal)*(1-EXP((Tnet-t)/(Tau_j))))*Salcycl</f>
        <v>4.0038637843405736E-2</v>
      </c>
      <c r="P55" s="171">
        <f>(INDEX(Models!$BJ55:$BT55,,T55)*(1-R55)+INDEX(Models!$BJ55:$BT55,,T55+1)*R55-ERP_i)*Q55*Ramure*Pc/MaxiM</f>
        <v>2.5797718610770983E-3</v>
      </c>
      <c r="Q55" s="307">
        <f t="shared" si="4"/>
        <v>0.9</v>
      </c>
      <c r="R55" s="179">
        <f t="shared" si="5"/>
        <v>0.90382459682537419</v>
      </c>
      <c r="S55" s="839">
        <f t="shared" si="6"/>
        <v>-3</v>
      </c>
      <c r="T55" s="178">
        <f t="shared" si="7"/>
        <v>3</v>
      </c>
      <c r="U55" s="253">
        <f t="shared" si="21"/>
        <v>-2.0961754031746258</v>
      </c>
      <c r="V55" s="385">
        <f t="shared" si="8"/>
        <v>28.342136907760363</v>
      </c>
      <c r="W55" s="58"/>
      <c r="X55" s="157">
        <f t="shared" si="9"/>
        <v>43506</v>
      </c>
      <c r="Y55" s="387">
        <f t="shared" si="10"/>
        <v>8.2569999999999997</v>
      </c>
      <c r="Z55" s="387">
        <f t="shared" si="11"/>
        <v>8.2941692642475413</v>
      </c>
      <c r="AA55" s="388">
        <f t="shared" si="12"/>
        <v>8.6401073951709222</v>
      </c>
      <c r="AB55" s="199">
        <f t="shared" si="13"/>
        <v>43506</v>
      </c>
      <c r="AC55" s="428">
        <f>IF(OR(t&lt;Tnet,NoTnet),'2018'!Resal_s+('2018'!Salim-'2018'!Resal_s)*(1-EXP(('2018'!Tnet_s-t)/'2018'!Tau_j)),Resal_s+(Salim-Resal_s)*(1-EXP((Tnet_s-t)/Tau_j)))*Salcycl</f>
        <v>4.0038637843405736E-2</v>
      </c>
      <c r="AD55" s="233">
        <f>(INDEX(Models!$BJ55:$BT55,,AH55)*(1-AF55)+INDEX(Models!$BJ55:$BT55,,AH55+1)*AF55-ERP_i)*AE55*Ramure*Pc/MaxiM</f>
        <v>2.5797718610770983E-3</v>
      </c>
      <c r="AE55" s="307">
        <f t="shared" si="14"/>
        <v>0.9</v>
      </c>
      <c r="AF55" s="179">
        <f t="shared" si="15"/>
        <v>0.90382459682537419</v>
      </c>
      <c r="AG55" s="178">
        <f t="shared" si="16"/>
        <v>-3</v>
      </c>
      <c r="AH55" s="178">
        <f t="shared" si="17"/>
        <v>3</v>
      </c>
      <c r="AI55" s="227">
        <f t="shared" si="22"/>
        <v>-2.0961754031746258</v>
      </c>
      <c r="AJ55" s="267" t="b">
        <f t="shared" si="18"/>
        <v>0</v>
      </c>
      <c r="AK55" s="267" t="b">
        <f t="shared" si="19"/>
        <v>0</v>
      </c>
      <c r="AL55" s="267"/>
      <c r="AM55" s="267"/>
      <c r="AN55" s="75"/>
    </row>
    <row r="56" spans="1:40" s="6" customFormat="1" ht="11.25" customHeight="1" x14ac:dyDescent="0.2">
      <c r="A56" s="56">
        <f t="shared" si="20"/>
        <v>43507</v>
      </c>
      <c r="B56" s="620">
        <v>19.808</v>
      </c>
      <c r="C56" s="392"/>
      <c r="D56" s="395">
        <f t="shared" si="0"/>
        <v>19.897629667501377</v>
      </c>
      <c r="E56" s="387">
        <f t="shared" si="1"/>
        <v>20.731569874004443</v>
      </c>
      <c r="F56" s="387">
        <f t="shared" si="2"/>
        <v>20.759010198902395</v>
      </c>
      <c r="G56" s="110">
        <f t="shared" si="23"/>
        <v>0.68966292925865347</v>
      </c>
      <c r="H56" s="416" t="b">
        <f>Wh_hp&gt;='2018'!Maxi_hp</f>
        <v>1</v>
      </c>
      <c r="I56" s="392">
        <f>IF(H56,Wh_hp,'2018'!Maxi_hp)</f>
        <v>20.759010198902395</v>
      </c>
      <c r="J56" s="85">
        <f>IF(H56,An,'2018'!An_max)</f>
        <v>2019</v>
      </c>
      <c r="K56" s="199">
        <f t="shared" si="3"/>
        <v>43507</v>
      </c>
      <c r="L56" s="147">
        <f>IF(t&lt;Tvie,1-EXP((T0-t)*PertePVj)+'2018'!Pspv,1-EXP((T0-t)*PertePVj)+Pspv)</f>
        <v>4.5045399376272277E-3</v>
      </c>
      <c r="M56" s="872"/>
      <c r="N56" s="872"/>
      <c r="O56" s="48">
        <f>IF(t&lt;Tnet,'2018'!Resal+('2018'!Salim-'2018'!Resal)*(1-EXP(('2018'!Tnet-t)/('2018'!Tau_j))),Resal+(Salim-Resal)*(1-EXP((Tnet-t)/(Tau_j))))*Salcycl</f>
        <v>4.0225617817237887E-2</v>
      </c>
      <c r="P56" s="171">
        <f>(INDEX(Models!$BJ56:$BT56,,T56)*(1-R56)+INDEX(Models!$BJ56:$BT56,,T56+1)*R56-ERP_i)*Q56*Ramure*Pc/MaxiM</f>
        <v>2.3701977077775277E-3</v>
      </c>
      <c r="Q56" s="307">
        <f t="shared" si="4"/>
        <v>0.9</v>
      </c>
      <c r="R56" s="179">
        <f t="shared" si="5"/>
        <v>0.90403376573757965</v>
      </c>
      <c r="S56" s="839">
        <f t="shared" si="6"/>
        <v>-3</v>
      </c>
      <c r="T56" s="178">
        <f t="shared" si="7"/>
        <v>3</v>
      </c>
      <c r="U56" s="253">
        <f t="shared" si="21"/>
        <v>-2.0959662342624203</v>
      </c>
      <c r="V56" s="385">
        <f t="shared" si="8"/>
        <v>28.691127259028615</v>
      </c>
      <c r="W56" s="58"/>
      <c r="X56" s="157">
        <f t="shared" si="9"/>
        <v>43507</v>
      </c>
      <c r="Y56" s="387">
        <f t="shared" si="10"/>
        <v>19.808</v>
      </c>
      <c r="Z56" s="387">
        <f t="shared" si="11"/>
        <v>19.897629667501377</v>
      </c>
      <c r="AA56" s="388">
        <f t="shared" si="12"/>
        <v>20.731569874004443</v>
      </c>
      <c r="AB56" s="199">
        <f t="shared" si="13"/>
        <v>43507</v>
      </c>
      <c r="AC56" s="428">
        <f>IF(OR(t&lt;Tnet,NoTnet),'2018'!Resal_s+('2018'!Salim-'2018'!Resal_s)*(1-EXP(('2018'!Tnet_s-t)/'2018'!Tau_j)),Resal_s+(Salim-Resal_s)*(1-EXP((Tnet_s-t)/Tau_j)))*Salcycl</f>
        <v>4.0225617817237887E-2</v>
      </c>
      <c r="AD56" s="233">
        <f>(INDEX(Models!$BJ56:$BT56,,AH56)*(1-AF56)+INDEX(Models!$BJ56:$BT56,,AH56+1)*AF56-ERP_i)*AE56*Ramure*Pc/MaxiM</f>
        <v>2.3701977077775277E-3</v>
      </c>
      <c r="AE56" s="307">
        <f t="shared" si="14"/>
        <v>0.9</v>
      </c>
      <c r="AF56" s="179">
        <f t="shared" si="15"/>
        <v>0.90403376573757965</v>
      </c>
      <c r="AG56" s="178">
        <f t="shared" si="16"/>
        <v>-3</v>
      </c>
      <c r="AH56" s="178">
        <f t="shared" si="17"/>
        <v>3</v>
      </c>
      <c r="AI56" s="227">
        <f t="shared" si="22"/>
        <v>-2.0959662342624203</v>
      </c>
      <c r="AJ56" s="267" t="b">
        <f t="shared" si="18"/>
        <v>0</v>
      </c>
      <c r="AK56" s="267" t="b">
        <f t="shared" si="19"/>
        <v>0</v>
      </c>
      <c r="AL56" s="267"/>
      <c r="AM56" s="267"/>
      <c r="AN56" s="75"/>
    </row>
    <row r="57" spans="1:40" s="6" customFormat="1" ht="11.25" customHeight="1" x14ac:dyDescent="0.2">
      <c r="A57" s="56">
        <f t="shared" si="20"/>
        <v>43508</v>
      </c>
      <c r="B57" s="620">
        <v>29.193000000000001</v>
      </c>
      <c r="C57" s="392"/>
      <c r="D57" s="395">
        <f t="shared" si="0"/>
        <v>29.325778520114248</v>
      </c>
      <c r="E57" s="387">
        <f t="shared" si="1"/>
        <v>30.560815419474942</v>
      </c>
      <c r="F57" s="387">
        <f t="shared" si="2"/>
        <v>30.627768501609644</v>
      </c>
      <c r="G57" s="110">
        <f t="shared" si="23"/>
        <v>1.0051646352646351</v>
      </c>
      <c r="H57" s="416" t="b">
        <f>Wh_hp&gt;='2018'!Maxi_hp</f>
        <v>1</v>
      </c>
      <c r="I57" s="392">
        <f>IF(H57,Wh_hp,'2018'!Maxi_hp)</f>
        <v>30.627768501609644</v>
      </c>
      <c r="J57" s="85">
        <f>IF(H57,An,'2018'!An_max)</f>
        <v>2019</v>
      </c>
      <c r="K57" s="199">
        <f t="shared" si="3"/>
        <v>43508</v>
      </c>
      <c r="L57" s="147">
        <f>IF(t&lt;Tvie,1-EXP((T0-t)*PertePVj)+'2018'!Pspv,1-EXP((T0-t)*PertePVj)+Pspv)</f>
        <v>4.5277065713080766E-3</v>
      </c>
      <c r="M57" s="872"/>
      <c r="N57" s="872"/>
      <c r="O57" s="48">
        <f>IF(t&lt;Tnet,'2018'!Resal+('2018'!Salim-'2018'!Resal)*(1-EXP(('2018'!Tnet-t)/('2018'!Tau_j))),Resal+(Salim-Resal)*(1-EXP((Tnet-t)/(Tau_j))))*Salcycl</f>
        <v>4.04124327969883E-2</v>
      </c>
      <c r="P57" s="171">
        <f>(INDEX(Models!$BJ57:$BT57,,T57)*(1-R57)+INDEX(Models!$BJ57:$BT57,,T57+1)*R57-ERP_i)*Q57*Ramure*Pc/MaxiM</f>
        <v>2.1860254732950428E-3</v>
      </c>
      <c r="Q57" s="307">
        <f t="shared" si="4"/>
        <v>0.9</v>
      </c>
      <c r="R57" s="179">
        <f t="shared" si="5"/>
        <v>0.90425157603871176</v>
      </c>
      <c r="S57" s="839">
        <f t="shared" si="6"/>
        <v>-3</v>
      </c>
      <c r="T57" s="178">
        <f t="shared" si="7"/>
        <v>3</v>
      </c>
      <c r="U57" s="253">
        <f t="shared" si="21"/>
        <v>-2.0957484239612882</v>
      </c>
      <c r="V57" s="385">
        <f t="shared" si="8"/>
        <v>29.043003480036088</v>
      </c>
      <c r="W57" s="58"/>
      <c r="X57" s="157">
        <f t="shared" si="9"/>
        <v>43508</v>
      </c>
      <c r="Y57" s="387">
        <f t="shared" si="10"/>
        <v>29.193000000000001</v>
      </c>
      <c r="Z57" s="387">
        <f t="shared" si="11"/>
        <v>29.325778520114248</v>
      </c>
      <c r="AA57" s="388">
        <f t="shared" si="12"/>
        <v>30.560815419474942</v>
      </c>
      <c r="AB57" s="199">
        <f t="shared" si="13"/>
        <v>43508</v>
      </c>
      <c r="AC57" s="428">
        <f>IF(OR(t&lt;Tnet,NoTnet),'2018'!Resal_s+('2018'!Salim-'2018'!Resal_s)*(1-EXP(('2018'!Tnet_s-t)/'2018'!Tau_j)),Resal_s+(Salim-Resal_s)*(1-EXP((Tnet_s-t)/Tau_j)))*Salcycl</f>
        <v>4.04124327969883E-2</v>
      </c>
      <c r="AD57" s="233">
        <f>(INDEX(Models!$BJ57:$BT57,,AH57)*(1-AF57)+INDEX(Models!$BJ57:$BT57,,AH57+1)*AF57-ERP_i)*AE57*Ramure*Pc/MaxiM</f>
        <v>2.1860254732950428E-3</v>
      </c>
      <c r="AE57" s="307">
        <f t="shared" si="14"/>
        <v>0.9</v>
      </c>
      <c r="AF57" s="179">
        <f t="shared" si="15"/>
        <v>0.90425157603871176</v>
      </c>
      <c r="AG57" s="178">
        <f t="shared" si="16"/>
        <v>-3</v>
      </c>
      <c r="AH57" s="178">
        <f t="shared" si="17"/>
        <v>3</v>
      </c>
      <c r="AI57" s="227">
        <f t="shared" si="22"/>
        <v>-2.0957484239612882</v>
      </c>
      <c r="AJ57" s="267" t="b">
        <f t="shared" si="18"/>
        <v>0</v>
      </c>
      <c r="AK57" s="267" t="b">
        <f t="shared" si="19"/>
        <v>0</v>
      </c>
      <c r="AL57" s="267"/>
      <c r="AM57" s="267"/>
      <c r="AN57" s="75"/>
    </row>
    <row r="58" spans="1:40" s="6" customFormat="1" ht="11.25" customHeight="1" x14ac:dyDescent="0.2">
      <c r="A58" s="56">
        <f t="shared" si="20"/>
        <v>43509</v>
      </c>
      <c r="B58" s="620">
        <v>30.091000000000001</v>
      </c>
      <c r="C58" s="392"/>
      <c r="D58" s="395">
        <f t="shared" si="0"/>
        <v>30.228566356359522</v>
      </c>
      <c r="E58" s="387">
        <f t="shared" si="1"/>
        <v>31.507752007644211</v>
      </c>
      <c r="F58" s="387">
        <f t="shared" si="2"/>
        <v>31.571868913069107</v>
      </c>
      <c r="G58" s="110">
        <f t="shared" si="23"/>
        <v>1.0235820639325246</v>
      </c>
      <c r="H58" s="416" t="b">
        <f>Wh_hp&gt;='2018'!Maxi_hp</f>
        <v>1</v>
      </c>
      <c r="I58" s="392">
        <f>IF(H58,Wh_hp,'2018'!Maxi_hp)</f>
        <v>31.571868913069107</v>
      </c>
      <c r="J58" s="85">
        <f>IF(H58,An,'2018'!An_max)</f>
        <v>2019</v>
      </c>
      <c r="K58" s="199">
        <f t="shared" si="3"/>
        <v>43509</v>
      </c>
      <c r="L58" s="147">
        <f>IF(t&lt;Tvie,1-EXP((T0-t)*PertePVj)+'2018'!Pspv,1-EXP((T0-t)*PertePVj)+Pspv)</f>
        <v>4.5508726658676224E-3</v>
      </c>
      <c r="M58" s="872"/>
      <c r="N58" s="872"/>
      <c r="O58" s="48">
        <f>IF(t&lt;Tnet,'2018'!Resal+('2018'!Salim-'2018'!Resal)*(1-EXP(('2018'!Tnet-t)/('2018'!Tau_j))),Resal+(Salim-Resal)*(1-EXP((Tnet-t)/(Tau_j))))*Salcycl</f>
        <v>4.0599077045367783E-2</v>
      </c>
      <c r="P58" s="171">
        <f>(INDEX(Models!$BJ58:$BT58,,T58)*(1-R58)+INDEX(Models!$BJ58:$BT58,,T58+1)*R58-ERP_i)*Q58*Ramure*Pc/MaxiM</f>
        <v>2.0308238831675484E-3</v>
      </c>
      <c r="Q58" s="307">
        <f t="shared" si="4"/>
        <v>0.9</v>
      </c>
      <c r="R58" s="179">
        <f t="shared" si="5"/>
        <v>0.90447837893816674</v>
      </c>
      <c r="S58" s="839">
        <f t="shared" si="6"/>
        <v>-3</v>
      </c>
      <c r="T58" s="178">
        <f t="shared" si="7"/>
        <v>3</v>
      </c>
      <c r="U58" s="253">
        <f t="shared" si="21"/>
        <v>-2.0955216210618333</v>
      </c>
      <c r="V58" s="385">
        <f t="shared" si="8"/>
        <v>29.397740601659883</v>
      </c>
      <c r="W58" s="58"/>
      <c r="X58" s="157">
        <f t="shared" si="9"/>
        <v>43509</v>
      </c>
      <c r="Y58" s="387">
        <f t="shared" si="10"/>
        <v>30.091000000000001</v>
      </c>
      <c r="Z58" s="387">
        <f t="shared" si="11"/>
        <v>30.228566356359522</v>
      </c>
      <c r="AA58" s="388">
        <f t="shared" si="12"/>
        <v>31.507752007644211</v>
      </c>
      <c r="AB58" s="199">
        <f t="shared" si="13"/>
        <v>43509</v>
      </c>
      <c r="AC58" s="428">
        <f>IF(OR(t&lt;Tnet,NoTnet),'2018'!Resal_s+('2018'!Salim-'2018'!Resal_s)*(1-EXP(('2018'!Tnet_s-t)/'2018'!Tau_j)),Resal_s+(Salim-Resal_s)*(1-EXP((Tnet_s-t)/Tau_j)))*Salcycl</f>
        <v>4.0599077045367783E-2</v>
      </c>
      <c r="AD58" s="233">
        <f>(INDEX(Models!$BJ58:$BT58,,AH58)*(1-AF58)+INDEX(Models!$BJ58:$BT58,,AH58+1)*AF58-ERP_i)*AE58*Ramure*Pc/MaxiM</f>
        <v>2.0308238831675484E-3</v>
      </c>
      <c r="AE58" s="307">
        <f t="shared" si="14"/>
        <v>0.9</v>
      </c>
      <c r="AF58" s="179">
        <f t="shared" si="15"/>
        <v>0.90447837893816674</v>
      </c>
      <c r="AG58" s="178">
        <f t="shared" si="16"/>
        <v>-3</v>
      </c>
      <c r="AH58" s="178">
        <f t="shared" si="17"/>
        <v>3</v>
      </c>
      <c r="AI58" s="227">
        <f t="shared" si="22"/>
        <v>-2.0955216210618333</v>
      </c>
      <c r="AJ58" s="267" t="b">
        <f t="shared" si="18"/>
        <v>0</v>
      </c>
      <c r="AK58" s="267" t="b">
        <f t="shared" si="19"/>
        <v>0</v>
      </c>
      <c r="AL58" s="267"/>
      <c r="AM58" s="267"/>
      <c r="AN58" s="75"/>
    </row>
    <row r="59" spans="1:40" s="6" customFormat="1" ht="11.25" x14ac:dyDescent="0.2">
      <c r="A59" s="56">
        <f t="shared" si="20"/>
        <v>43510</v>
      </c>
      <c r="B59" s="620">
        <v>30.271999999999998</v>
      </c>
      <c r="C59" s="392"/>
      <c r="D59" s="395">
        <f t="shared" si="0"/>
        <v>30.411101540800008</v>
      </c>
      <c r="E59" s="387">
        <f t="shared" si="1"/>
        <v>31.704173530577535</v>
      </c>
      <c r="F59" s="387">
        <f t="shared" si="2"/>
        <v>31.764389384281085</v>
      </c>
      <c r="G59" s="110">
        <f t="shared" si="23"/>
        <v>1.0173519999954583</v>
      </c>
      <c r="H59" s="416" t="b">
        <f>Wh_hp&gt;='2018'!Maxi_hp</f>
        <v>1</v>
      </c>
      <c r="I59" s="392">
        <f>IF(H59,Wh_hp,'2018'!Maxi_hp)</f>
        <v>31.764389384281085</v>
      </c>
      <c r="J59" s="85">
        <f>IF(H59,An,'2018'!An_max)</f>
        <v>2019</v>
      </c>
      <c r="K59" s="199">
        <f t="shared" si="3"/>
        <v>43510</v>
      </c>
      <c r="L59" s="147">
        <f>IF(t&lt;Tvie,1-EXP((T0-t)*PertePVj)+'2018'!Pspv,1-EXP((T0-t)*PertePVj)+Pspv)</f>
        <v>4.5740382213182995E-3</v>
      </c>
      <c r="M59" s="872"/>
      <c r="N59" s="872"/>
      <c r="O59" s="48">
        <f>IF(t&lt;Tnet,'2018'!Resal+('2018'!Salim-'2018'!Resal)*(1-EXP(('2018'!Tnet-t)/('2018'!Tau_j))),Resal+(Salim-Resal)*(1-EXP((Tnet-t)/(Tau_j))))*Salcycl</f>
        <v>4.0785544796820089E-2</v>
      </c>
      <c r="P59" s="171">
        <f>(INDEX(Models!$BJ59:$BT59,,T59)*(1-R59)+INDEX(Models!$BJ59:$BT59,,T59+1)*R59-ERP_i)*Q59*Ramure*Pc/MaxiM</f>
        <v>1.8957031717205866E-3</v>
      </c>
      <c r="Q59" s="307">
        <f t="shared" si="4"/>
        <v>0.9</v>
      </c>
      <c r="R59" s="179">
        <f t="shared" si="5"/>
        <v>0.90471453942774094</v>
      </c>
      <c r="S59" s="839">
        <f t="shared" si="6"/>
        <v>-3</v>
      </c>
      <c r="T59" s="178">
        <f t="shared" si="7"/>
        <v>3</v>
      </c>
      <c r="U59" s="253">
        <f t="shared" si="21"/>
        <v>-2.0952854605722591</v>
      </c>
      <c r="V59" s="385">
        <f t="shared" si="8"/>
        <v>29.755679450313306</v>
      </c>
      <c r="W59" s="58"/>
      <c r="X59" s="157">
        <f t="shared" si="9"/>
        <v>43510</v>
      </c>
      <c r="Y59" s="387">
        <f t="shared" si="10"/>
        <v>30.271999999999998</v>
      </c>
      <c r="Z59" s="387">
        <f t="shared" si="11"/>
        <v>30.411101540800008</v>
      </c>
      <c r="AA59" s="388">
        <f t="shared" si="12"/>
        <v>31.704173530577535</v>
      </c>
      <c r="AB59" s="199">
        <f t="shared" si="13"/>
        <v>43510</v>
      </c>
      <c r="AC59" s="428">
        <f>IF(OR(t&lt;Tnet,NoTnet),'2018'!Resal_s+('2018'!Salim-'2018'!Resal_s)*(1-EXP(('2018'!Tnet_s-t)/'2018'!Tau_j)),Resal_s+(Salim-Resal_s)*(1-EXP((Tnet_s-t)/Tau_j)))*Salcycl</f>
        <v>4.0785544796820089E-2</v>
      </c>
      <c r="AD59" s="233">
        <f>(INDEX(Models!$BJ59:$BT59,,AH59)*(1-AF59)+INDEX(Models!$BJ59:$BT59,,AH59+1)*AF59-ERP_i)*AE59*Ramure*Pc/MaxiM</f>
        <v>1.8957031717205866E-3</v>
      </c>
      <c r="AE59" s="307">
        <f t="shared" si="14"/>
        <v>0.9</v>
      </c>
      <c r="AF59" s="179">
        <f t="shared" si="15"/>
        <v>0.90471453942774094</v>
      </c>
      <c r="AG59" s="178">
        <f t="shared" si="16"/>
        <v>-3</v>
      </c>
      <c r="AH59" s="178">
        <f t="shared" si="17"/>
        <v>3</v>
      </c>
      <c r="AI59" s="227">
        <f t="shared" si="22"/>
        <v>-2.0952854605722591</v>
      </c>
      <c r="AJ59" s="267" t="b">
        <f t="shared" si="18"/>
        <v>0</v>
      </c>
      <c r="AK59" s="267" t="b">
        <f t="shared" si="19"/>
        <v>0</v>
      </c>
      <c r="AL59" s="267"/>
      <c r="AM59" s="267"/>
      <c r="AN59" s="75"/>
    </row>
    <row r="60" spans="1:40" s="6" customFormat="1" ht="11.25" x14ac:dyDescent="0.2">
      <c r="A60" s="56">
        <f t="shared" si="20"/>
        <v>43511</v>
      </c>
      <c r="B60" s="620">
        <v>30.420999999999999</v>
      </c>
      <c r="C60" s="392"/>
      <c r="D60" s="395">
        <f t="shared" si="0"/>
        <v>30.561497414863734</v>
      </c>
      <c r="E60" s="387">
        <f t="shared" si="1"/>
        <v>31.867153001358162</v>
      </c>
      <c r="F60" s="387">
        <f t="shared" si="2"/>
        <v>31.923977618483878</v>
      </c>
      <c r="G60" s="110">
        <f t="shared" si="23"/>
        <v>1.010096489079841</v>
      </c>
      <c r="H60" s="416" t="b">
        <f>Wh_hp&gt;='2018'!Maxi_hp</f>
        <v>1</v>
      </c>
      <c r="I60" s="392">
        <f>IF(H60,Wh_hp,'2018'!Maxi_hp)</f>
        <v>31.923977618483878</v>
      </c>
      <c r="J60" s="85">
        <f>IF(H60,An,'2018'!An_max)</f>
        <v>2019</v>
      </c>
      <c r="K60" s="199">
        <f t="shared" si="3"/>
        <v>43511</v>
      </c>
      <c r="L60" s="147">
        <f>IF(t&lt;Tvie,1-EXP((T0-t)*PertePVj)+'2018'!Pspv,1-EXP((T0-t)*PertePVj)+Pspv)</f>
        <v>4.5972032376726535E-3</v>
      </c>
      <c r="M60" s="872"/>
      <c r="N60" s="872"/>
      <c r="O60" s="48">
        <f>IF(t&lt;Tnet,'2018'!Resal+('2018'!Salim-'2018'!Resal)*(1-EXP(('2018'!Tnet-t)/('2018'!Tau_j))),Resal+(Salim-Resal)*(1-EXP((Tnet-t)/(Tau_j))))*Salcycl</f>
        <v>4.0971830349538295E-2</v>
      </c>
      <c r="P60" s="171">
        <f>(INDEX(Models!$BJ60:$BT60,,T60)*(1-R60)+INDEX(Models!$BJ60:$BT60,,T60+1)*R60-ERP_i)*Q60*Ramure*Pc/MaxiM</f>
        <v>1.7799980254596273E-3</v>
      </c>
      <c r="Q60" s="307">
        <f t="shared" si="4"/>
        <v>0.9</v>
      </c>
      <c r="R60" s="179">
        <f t="shared" si="5"/>
        <v>0.90496043678060367</v>
      </c>
      <c r="S60" s="839">
        <f t="shared" si="6"/>
        <v>-3</v>
      </c>
      <c r="T60" s="178">
        <f t="shared" si="7"/>
        <v>3</v>
      </c>
      <c r="U60" s="253">
        <f t="shared" si="21"/>
        <v>-2.0950395632193963</v>
      </c>
      <c r="V60" s="385">
        <f t="shared" si="8"/>
        <v>30.116924797662012</v>
      </c>
      <c r="W60" s="58"/>
      <c r="X60" s="157">
        <f t="shared" si="9"/>
        <v>43511</v>
      </c>
      <c r="Y60" s="387">
        <f t="shared" si="10"/>
        <v>30.420999999999999</v>
      </c>
      <c r="Z60" s="387">
        <f t="shared" si="11"/>
        <v>30.561497414863734</v>
      </c>
      <c r="AA60" s="388">
        <f t="shared" si="12"/>
        <v>31.867153001358162</v>
      </c>
      <c r="AB60" s="199">
        <f t="shared" si="13"/>
        <v>43511</v>
      </c>
      <c r="AC60" s="428">
        <f>IF(OR(t&lt;Tnet,NoTnet),'2018'!Resal_s+('2018'!Salim-'2018'!Resal_s)*(1-EXP(('2018'!Tnet_s-t)/'2018'!Tau_j)),Resal_s+(Salim-Resal_s)*(1-EXP((Tnet_s-t)/Tau_j)))*Salcycl</f>
        <v>4.0971830349538295E-2</v>
      </c>
      <c r="AD60" s="233">
        <f>(INDEX(Models!$BJ60:$BT60,,AH60)*(1-AF60)+INDEX(Models!$BJ60:$BT60,,AH60+1)*AF60-ERP_i)*AE60*Ramure*Pc/MaxiM</f>
        <v>1.7799980254596273E-3</v>
      </c>
      <c r="AE60" s="307">
        <f t="shared" si="14"/>
        <v>0.9</v>
      </c>
      <c r="AF60" s="179">
        <f t="shared" si="15"/>
        <v>0.90496043678060367</v>
      </c>
      <c r="AG60" s="178">
        <f t="shared" si="16"/>
        <v>-3</v>
      </c>
      <c r="AH60" s="178">
        <f t="shared" si="17"/>
        <v>3</v>
      </c>
      <c r="AI60" s="227">
        <f t="shared" si="22"/>
        <v>-2.0950395632193963</v>
      </c>
      <c r="AJ60" s="267" t="b">
        <f t="shared" si="18"/>
        <v>0</v>
      </c>
      <c r="AK60" s="267" t="b">
        <f t="shared" si="19"/>
        <v>0</v>
      </c>
      <c r="AL60" s="267"/>
      <c r="AM60" s="267"/>
      <c r="AN60" s="75"/>
    </row>
    <row r="61" spans="1:40" s="6" customFormat="1" ht="11.25" customHeight="1" x14ac:dyDescent="0.2">
      <c r="A61" s="56">
        <f t="shared" si="20"/>
        <v>43512</v>
      </c>
      <c r="B61" s="620">
        <v>31.047999999999998</v>
      </c>
      <c r="C61" s="392"/>
      <c r="D61" s="395">
        <f t="shared" si="0"/>
        <v>31.192119059864861</v>
      </c>
      <c r="E61" s="387">
        <f t="shared" si="1"/>
        <v>32.531028806462082</v>
      </c>
      <c r="F61" s="387">
        <f t="shared" si="2"/>
        <v>32.585872870752389</v>
      </c>
      <c r="G61" s="110">
        <f t="shared" si="23"/>
        <v>1.0185823269288923</v>
      </c>
      <c r="H61" s="416" t="b">
        <f>Wh_hp&gt;='2018'!Maxi_hp</f>
        <v>1</v>
      </c>
      <c r="I61" s="392">
        <f>IF(H61,Wh_hp,'2018'!Maxi_hp)</f>
        <v>32.585872870752389</v>
      </c>
      <c r="J61" s="85">
        <f>IF(H61,An,'2018'!An_max)</f>
        <v>2019</v>
      </c>
      <c r="K61" s="199">
        <f t="shared" si="3"/>
        <v>43512</v>
      </c>
      <c r="L61" s="147">
        <f>IF(t&lt;Tvie,1-EXP((T0-t)*PertePVj)+'2018'!Pspv,1-EXP((T0-t)*PertePVj)+Pspv)</f>
        <v>4.6203677149431188E-3</v>
      </c>
      <c r="M61" s="872"/>
      <c r="N61" s="872"/>
      <c r="O61" s="48">
        <f>IF(t&lt;Tnet,'2018'!Resal+('2018'!Salim-'2018'!Resal)*(1-EXP(('2018'!Tnet-t)/('2018'!Tau_j))),Resal+(Salim-Resal)*(1-EXP((Tnet-t)/(Tau_j))))*Salcycl</f>
        <v>4.1157928160306299E-2</v>
      </c>
      <c r="P61" s="171">
        <f>(INDEX(Models!$BJ61:$BT61,,T61)*(1-R61)+INDEX(Models!$BJ61:$BT61,,T61+1)*R61-ERP_i)*Q61*Ramure*Pc/MaxiM</f>
        <v>1.6830626114525619E-3</v>
      </c>
      <c r="Q61" s="307">
        <f t="shared" si="4"/>
        <v>0.9</v>
      </c>
      <c r="R61" s="179">
        <f t="shared" si="5"/>
        <v>0.90521646506470699</v>
      </c>
      <c r="S61" s="839">
        <f t="shared" si="6"/>
        <v>-3</v>
      </c>
      <c r="T61" s="178">
        <f t="shared" si="7"/>
        <v>3</v>
      </c>
      <c r="U61" s="253">
        <f t="shared" si="21"/>
        <v>-2.094783534935293</v>
      </c>
      <c r="V61" s="385">
        <f t="shared" si="8"/>
        <v>30.481581291138461</v>
      </c>
      <c r="W61" s="58"/>
      <c r="X61" s="157">
        <f t="shared" si="9"/>
        <v>43512</v>
      </c>
      <c r="Y61" s="387">
        <f t="shared" si="10"/>
        <v>31.047999999999998</v>
      </c>
      <c r="Z61" s="387">
        <f t="shared" si="11"/>
        <v>31.192119059864861</v>
      </c>
      <c r="AA61" s="388">
        <f t="shared" si="12"/>
        <v>32.531028806462082</v>
      </c>
      <c r="AB61" s="199">
        <f t="shared" si="13"/>
        <v>43512</v>
      </c>
      <c r="AC61" s="428">
        <f>IF(OR(t&lt;Tnet,NoTnet),'2018'!Resal_s+('2018'!Salim-'2018'!Resal_s)*(1-EXP(('2018'!Tnet_s-t)/'2018'!Tau_j)),Resal_s+(Salim-Resal_s)*(1-EXP((Tnet_s-t)/Tau_j)))*Salcycl</f>
        <v>4.1157928160306299E-2</v>
      </c>
      <c r="AD61" s="233">
        <f>(INDEX(Models!$BJ61:$BT61,,AH61)*(1-AF61)+INDEX(Models!$BJ61:$BT61,,AH61+1)*AF61-ERP_i)*AE61*Ramure*Pc/MaxiM</f>
        <v>1.6830626114525619E-3</v>
      </c>
      <c r="AE61" s="307">
        <f t="shared" si="14"/>
        <v>0.9</v>
      </c>
      <c r="AF61" s="179">
        <f t="shared" si="15"/>
        <v>0.90521646506470699</v>
      </c>
      <c r="AG61" s="178">
        <f t="shared" si="16"/>
        <v>-3</v>
      </c>
      <c r="AH61" s="178">
        <f t="shared" si="17"/>
        <v>3</v>
      </c>
      <c r="AI61" s="227">
        <f t="shared" si="22"/>
        <v>-2.094783534935293</v>
      </c>
      <c r="AJ61" s="267" t="b">
        <f t="shared" si="18"/>
        <v>0</v>
      </c>
      <c r="AK61" s="267" t="b">
        <f t="shared" si="19"/>
        <v>0</v>
      </c>
      <c r="AL61" s="267"/>
      <c r="AM61" s="267"/>
      <c r="AN61" s="75"/>
    </row>
    <row r="62" spans="1:40" s="6" customFormat="1" ht="11.25" x14ac:dyDescent="0.2">
      <c r="A62" s="56">
        <f t="shared" si="20"/>
        <v>43513</v>
      </c>
      <c r="B62" s="620">
        <v>31.634</v>
      </c>
      <c r="C62" s="392"/>
      <c r="D62" s="395">
        <f t="shared" si="0"/>
        <v>31.781578766991366</v>
      </c>
      <c r="E62" s="387">
        <f t="shared" si="1"/>
        <v>33.152218552454634</v>
      </c>
      <c r="F62" s="387">
        <f t="shared" si="2"/>
        <v>33.205489118694373</v>
      </c>
      <c r="G62" s="110">
        <f t="shared" si="23"/>
        <v>1.0254214851876449</v>
      </c>
      <c r="H62" s="416" t="b">
        <f>Wh_hp&gt;='2018'!Maxi_hp</f>
        <v>1</v>
      </c>
      <c r="I62" s="392">
        <f>IF(H62,Wh_hp,'2018'!Maxi_hp)</f>
        <v>33.205489118694373</v>
      </c>
      <c r="J62" s="85">
        <f>IF(H62,An,'2018'!An_max)</f>
        <v>2019</v>
      </c>
      <c r="K62" s="199">
        <f t="shared" si="3"/>
        <v>43513</v>
      </c>
      <c r="L62" s="147">
        <f>IF(t&lt;Tvie,1-EXP((T0-t)*PertePVj)+'2018'!Pspv,1-EXP((T0-t)*PertePVj)+Pspv)</f>
        <v>4.6435316531424631E-3</v>
      </c>
      <c r="M62" s="872"/>
      <c r="N62" s="872"/>
      <c r="O62" s="48">
        <f>IF(t&lt;Tnet,'2018'!Resal+('2018'!Salim-'2018'!Resal)*(1-EXP(('2018'!Tnet-t)/('2018'!Tau_j))),Resal+(Salim-Resal)*(1-EXP((Tnet-t)/(Tau_j))))*Salcycl</f>
        <v>4.1343832941213146E-2</v>
      </c>
      <c r="P62" s="171">
        <f>(INDEX(Models!$BJ62:$BT62,,T62)*(1-R62)+INDEX(Models!$BJ62:$BT62,,T62+1)*R62-ERP_i)*Q62*Ramure*Pc/MaxiM</f>
        <v>1.6042698859012837E-3</v>
      </c>
      <c r="Q62" s="307">
        <f t="shared" si="4"/>
        <v>0.9</v>
      </c>
      <c r="R62" s="179">
        <f t="shared" si="5"/>
        <v>0.90548303367072558</v>
      </c>
      <c r="S62" s="839">
        <f t="shared" si="6"/>
        <v>-3</v>
      </c>
      <c r="T62" s="178">
        <f t="shared" si="7"/>
        <v>3</v>
      </c>
      <c r="U62" s="253">
        <f t="shared" si="21"/>
        <v>-2.0945169663292744</v>
      </c>
      <c r="V62" s="385">
        <f t="shared" si="8"/>
        <v>30.849753449637539</v>
      </c>
      <c r="W62" s="58"/>
      <c r="X62" s="157">
        <f t="shared" si="9"/>
        <v>43513</v>
      </c>
      <c r="Y62" s="387">
        <f t="shared" si="10"/>
        <v>31.633999999999997</v>
      </c>
      <c r="Z62" s="387">
        <f t="shared" si="11"/>
        <v>31.781578766991363</v>
      </c>
      <c r="AA62" s="388">
        <f t="shared" si="12"/>
        <v>33.152218552454634</v>
      </c>
      <c r="AB62" s="199">
        <f t="shared" si="13"/>
        <v>43513</v>
      </c>
      <c r="AC62" s="428">
        <f>IF(OR(t&lt;Tnet,NoTnet),'2018'!Resal_s+('2018'!Salim-'2018'!Resal_s)*(1-EXP(('2018'!Tnet_s-t)/'2018'!Tau_j)),Resal_s+(Salim-Resal_s)*(1-EXP((Tnet_s-t)/Tau_j)))*Salcycl</f>
        <v>4.1343832941213146E-2</v>
      </c>
      <c r="AD62" s="233">
        <f>(INDEX(Models!$BJ62:$BT62,,AH62)*(1-AF62)+INDEX(Models!$BJ62:$BT62,,AH62+1)*AF62-ERP_i)*AE62*Ramure*Pc/MaxiM</f>
        <v>1.6042698859012837E-3</v>
      </c>
      <c r="AE62" s="307">
        <f t="shared" si="14"/>
        <v>0.9</v>
      </c>
      <c r="AF62" s="179">
        <f t="shared" si="15"/>
        <v>0.90548303367072558</v>
      </c>
      <c r="AG62" s="178">
        <f t="shared" si="16"/>
        <v>-3</v>
      </c>
      <c r="AH62" s="178">
        <f t="shared" si="17"/>
        <v>3</v>
      </c>
      <c r="AI62" s="227">
        <f t="shared" si="22"/>
        <v>-2.0945169663292744</v>
      </c>
      <c r="AJ62" s="267" t="b">
        <f t="shared" si="18"/>
        <v>0</v>
      </c>
      <c r="AK62" s="267" t="b">
        <f t="shared" si="19"/>
        <v>0</v>
      </c>
      <c r="AL62" s="267"/>
      <c r="AM62" s="267"/>
      <c r="AN62" s="75"/>
    </row>
    <row r="63" spans="1:40" s="6" customFormat="1" ht="11.25" customHeight="1" x14ac:dyDescent="0.2">
      <c r="A63" s="56">
        <f t="shared" si="20"/>
        <v>43514</v>
      </c>
      <c r="B63" s="620">
        <v>31.548999999999999</v>
      </c>
      <c r="C63" s="392"/>
      <c r="D63" s="395">
        <f t="shared" si="0"/>
        <v>31.696919859078978</v>
      </c>
      <c r="E63" s="387">
        <f t="shared" si="1"/>
        <v>33.070314812886501</v>
      </c>
      <c r="F63" s="387">
        <f t="shared" si="2"/>
        <v>33.121421529464264</v>
      </c>
      <c r="G63" s="110">
        <f t="shared" si="23"/>
        <v>1.0104880892524315</v>
      </c>
      <c r="H63" s="416" t="b">
        <f>Wh_hp&gt;='2018'!Maxi_hp</f>
        <v>1</v>
      </c>
      <c r="I63" s="392">
        <f>IF(H63,Wh_hp,'2018'!Maxi_hp)</f>
        <v>33.121421529464264</v>
      </c>
      <c r="J63" s="85">
        <f>IF(H63,An,'2018'!An_max)</f>
        <v>2019</v>
      </c>
      <c r="K63" s="199">
        <f t="shared" si="3"/>
        <v>43514</v>
      </c>
      <c r="L63" s="147">
        <f>IF(t&lt;Tvie,1-EXP((T0-t)*PertePVj)+'2018'!Pspv,1-EXP((T0-t)*PertePVj)+Pspv)</f>
        <v>4.6666950522831208E-3</v>
      </c>
      <c r="M63" s="872"/>
      <c r="N63" s="872"/>
      <c r="O63" s="48">
        <f>IF(t&lt;Tnet,'2018'!Resal+('2018'!Salim-'2018'!Resal)*(1-EXP(('2018'!Tnet-t)/('2018'!Tau_j))),Resal+(Salim-Resal)*(1-EXP((Tnet-t)/(Tau_j))))*Salcycl</f>
        <v>4.1529539757279681E-2</v>
      </c>
      <c r="P63" s="171">
        <f>(INDEX(Models!$BJ63:$BT63,,T63)*(1-R63)+INDEX(Models!$BJ63:$BT63,,T63+1)*R63-ERP_i)*Q63*Ramure*Pc/MaxiM</f>
        <v>1.5430109644387492E-3</v>
      </c>
      <c r="Q63" s="307">
        <f t="shared" si="4"/>
        <v>0.9</v>
      </c>
      <c r="R63" s="179">
        <f t="shared" si="5"/>
        <v>0.90576056785457348</v>
      </c>
      <c r="S63" s="839">
        <f t="shared" si="6"/>
        <v>-3</v>
      </c>
      <c r="T63" s="178">
        <f t="shared" si="7"/>
        <v>3</v>
      </c>
      <c r="U63" s="253">
        <f t="shared" si="21"/>
        <v>-2.0942394321454265</v>
      </c>
      <c r="V63" s="385">
        <f t="shared" si="8"/>
        <v>31.221545642700494</v>
      </c>
      <c r="W63" s="58"/>
      <c r="X63" s="157">
        <f t="shared" si="9"/>
        <v>43514</v>
      </c>
      <c r="Y63" s="387">
        <f t="shared" si="10"/>
        <v>31.548999999999996</v>
      </c>
      <c r="Z63" s="387">
        <f t="shared" si="11"/>
        <v>31.696919859078974</v>
      </c>
      <c r="AA63" s="388">
        <f t="shared" si="12"/>
        <v>33.070314812886501</v>
      </c>
      <c r="AB63" s="199">
        <f t="shared" si="13"/>
        <v>43514</v>
      </c>
      <c r="AC63" s="428">
        <f>IF(OR(t&lt;Tnet,NoTnet),'2018'!Resal_s+('2018'!Salim-'2018'!Resal_s)*(1-EXP(('2018'!Tnet_s-t)/'2018'!Tau_j)),Resal_s+(Salim-Resal_s)*(1-EXP((Tnet_s-t)/Tau_j)))*Salcycl</f>
        <v>4.1529539757279681E-2</v>
      </c>
      <c r="AD63" s="233">
        <f>(INDEX(Models!$BJ63:$BT63,,AH63)*(1-AF63)+INDEX(Models!$BJ63:$BT63,,AH63+1)*AF63-ERP_i)*AE63*Ramure*Pc/MaxiM</f>
        <v>1.5430109644387492E-3</v>
      </c>
      <c r="AE63" s="307">
        <f t="shared" si="14"/>
        <v>0.9</v>
      </c>
      <c r="AF63" s="179">
        <f t="shared" si="15"/>
        <v>0.90576056785457348</v>
      </c>
      <c r="AG63" s="178">
        <f t="shared" si="16"/>
        <v>-3</v>
      </c>
      <c r="AH63" s="178">
        <f t="shared" si="17"/>
        <v>3</v>
      </c>
      <c r="AI63" s="227">
        <f t="shared" si="22"/>
        <v>-2.0942394321454265</v>
      </c>
      <c r="AJ63" s="267" t="b">
        <f t="shared" si="18"/>
        <v>0</v>
      </c>
      <c r="AK63" s="267" t="b">
        <f t="shared" si="19"/>
        <v>0</v>
      </c>
      <c r="AL63" s="267"/>
      <c r="AM63" s="267"/>
      <c r="AN63" s="75"/>
    </row>
    <row r="64" spans="1:40" s="6" customFormat="1" ht="11.25" x14ac:dyDescent="0.2">
      <c r="A64" s="56">
        <f t="shared" si="20"/>
        <v>43515</v>
      </c>
      <c r="B64" s="620">
        <v>25.263000000000002</v>
      </c>
      <c r="C64" s="392"/>
      <c r="D64" s="395">
        <f t="shared" si="0"/>
        <v>25.382038152461593</v>
      </c>
      <c r="E64" s="387">
        <f t="shared" si="1"/>
        <v>26.486942111347361</v>
      </c>
      <c r="F64" s="387">
        <f t="shared" si="2"/>
        <v>26.515300316641984</v>
      </c>
      <c r="G64" s="110">
        <f t="shared" si="23"/>
        <v>0.79919283843916111</v>
      </c>
      <c r="H64" s="416" t="b">
        <f>Wh_hp&gt;='2018'!Maxi_hp</f>
        <v>1</v>
      </c>
      <c r="I64" s="392">
        <f>IF(H64,Wh_hp,'2018'!Maxi_hp)</f>
        <v>26.515300316641984</v>
      </c>
      <c r="J64" s="85">
        <f>IF(H64,An,'2018'!An_max)</f>
        <v>2019</v>
      </c>
      <c r="K64" s="199">
        <f t="shared" si="3"/>
        <v>43515</v>
      </c>
      <c r="L64" s="147">
        <f>IF(t&lt;Tvie,1-EXP((T0-t)*PertePVj)+'2018'!Pspv,1-EXP((T0-t)*PertePVj)+Pspv)</f>
        <v>4.6898579123776374E-3</v>
      </c>
      <c r="M64" s="872"/>
      <c r="N64" s="872"/>
      <c r="O64" s="48">
        <f>IF(t&lt;Tnet,'2018'!Resal+('2018'!Salim-'2018'!Resal)*(1-EXP(('2018'!Tnet-t)/('2018'!Tau_j))),Resal+(Salim-Resal)*(1-EXP((Tnet-t)/(Tau_j))))*Salcycl</f>
        <v>4.1715044124040652E-2</v>
      </c>
      <c r="P64" s="171">
        <f>(INDEX(Models!$BJ64:$BT64,,T64)*(1-R64)+INDEX(Models!$BJ64:$BT64,,T64+1)*R64-ERP_i)*Q64*Ramure*Pc/MaxiM</f>
        <v>1.4986945470875678E-3</v>
      </c>
      <c r="Q64" s="307">
        <f t="shared" si="4"/>
        <v>0.9</v>
      </c>
      <c r="R64" s="179">
        <f t="shared" si="5"/>
        <v>0.90604950929450601</v>
      </c>
      <c r="S64" s="839">
        <f t="shared" si="6"/>
        <v>-3</v>
      </c>
      <c r="T64" s="178">
        <f t="shared" si="7"/>
        <v>3</v>
      </c>
      <c r="U64" s="253">
        <f t="shared" si="21"/>
        <v>-2.093950490705494</v>
      </c>
      <c r="V64" s="385">
        <f t="shared" si="8"/>
        <v>31.597062088396967</v>
      </c>
      <c r="W64" s="58"/>
      <c r="X64" s="157">
        <f t="shared" si="9"/>
        <v>43515</v>
      </c>
      <c r="Y64" s="387">
        <f t="shared" si="10"/>
        <v>25.263000000000002</v>
      </c>
      <c r="Z64" s="387">
        <f t="shared" si="11"/>
        <v>25.382038152461593</v>
      </c>
      <c r="AA64" s="388">
        <f t="shared" si="12"/>
        <v>26.486942111347361</v>
      </c>
      <c r="AB64" s="199">
        <f t="shared" si="13"/>
        <v>43515</v>
      </c>
      <c r="AC64" s="428">
        <f>IF(OR(t&lt;Tnet,NoTnet),'2018'!Resal_s+('2018'!Salim-'2018'!Resal_s)*(1-EXP(('2018'!Tnet_s-t)/'2018'!Tau_j)),Resal_s+(Salim-Resal_s)*(1-EXP((Tnet_s-t)/Tau_j)))*Salcycl</f>
        <v>4.1715044124040652E-2</v>
      </c>
      <c r="AD64" s="233">
        <f>(INDEX(Models!$BJ64:$BT64,,AH64)*(1-AF64)+INDEX(Models!$BJ64:$BT64,,AH64+1)*AF64-ERP_i)*AE64*Ramure*Pc/MaxiM</f>
        <v>1.4986945470875678E-3</v>
      </c>
      <c r="AE64" s="307">
        <f t="shared" si="14"/>
        <v>0.9</v>
      </c>
      <c r="AF64" s="179">
        <f t="shared" si="15"/>
        <v>0.90604950929450601</v>
      </c>
      <c r="AG64" s="178">
        <f t="shared" si="16"/>
        <v>-3</v>
      </c>
      <c r="AH64" s="178">
        <f t="shared" si="17"/>
        <v>3</v>
      </c>
      <c r="AI64" s="227">
        <f t="shared" si="22"/>
        <v>-2.093950490705494</v>
      </c>
      <c r="AJ64" s="267" t="b">
        <f t="shared" si="18"/>
        <v>0</v>
      </c>
      <c r="AK64" s="267" t="b">
        <f t="shared" si="19"/>
        <v>0</v>
      </c>
      <c r="AL64" s="267"/>
      <c r="AM64" s="267"/>
      <c r="AN64" s="75"/>
    </row>
    <row r="65" spans="1:40" s="6" customFormat="1" ht="11.25" customHeight="1" x14ac:dyDescent="0.2">
      <c r="A65" s="56">
        <f t="shared" si="20"/>
        <v>43516</v>
      </c>
      <c r="B65" s="620">
        <v>31.667999999999999</v>
      </c>
      <c r="C65" s="392"/>
      <c r="D65" s="395">
        <f t="shared" si="0"/>
        <v>31.817958683059974</v>
      </c>
      <c r="E65" s="387">
        <f t="shared" si="1"/>
        <v>33.209445824182055</v>
      </c>
      <c r="F65" s="387">
        <f t="shared" si="2"/>
        <v>33.257683077810277</v>
      </c>
      <c r="G65" s="110">
        <f t="shared" si="23"/>
        <v>0.99031464672348402</v>
      </c>
      <c r="H65" s="416" t="b">
        <f>Wh_hp&gt;='2018'!Maxi_hp</f>
        <v>1</v>
      </c>
      <c r="I65" s="392">
        <f>IF(H65,Wh_hp,'2018'!Maxi_hp)</f>
        <v>33.257683077810277</v>
      </c>
      <c r="J65" s="85">
        <f>IF(H65,An,'2018'!An_max)</f>
        <v>2019</v>
      </c>
      <c r="K65" s="199">
        <f t="shared" si="3"/>
        <v>43516</v>
      </c>
      <c r="L65" s="147">
        <f>IF(t&lt;Tvie,1-EXP((T0-t)*PertePVj)+'2018'!Pspv,1-EXP((T0-t)*PertePVj)+Pspv)</f>
        <v>4.7130202334385585E-3</v>
      </c>
      <c r="M65" s="872"/>
      <c r="N65" s="872"/>
      <c r="O65" s="48">
        <f>IF(t&lt;Tnet,'2018'!Resal+('2018'!Salim-'2018'!Resal)*(1-EXP(('2018'!Tnet-t)/('2018'!Tau_j))),Resal+(Salim-Resal)*(1-EXP((Tnet-t)/(Tau_j))))*Salcycl</f>
        <v>4.1900342104138497E-2</v>
      </c>
      <c r="P65" s="171">
        <f>(INDEX(Models!$BJ65:$BT65,,T65)*(1-R65)+INDEX(Models!$BJ65:$BT65,,T65+1)*R65-ERP_i)*Q65*Ramure*Pc/MaxiM</f>
        <v>1.4707161606237406E-3</v>
      </c>
      <c r="Q65" s="307">
        <f t="shared" si="4"/>
        <v>0.9</v>
      </c>
      <c r="R65" s="179">
        <f t="shared" si="5"/>
        <v>0.90635031666278021</v>
      </c>
      <c r="S65" s="839">
        <f t="shared" si="6"/>
        <v>-3</v>
      </c>
      <c r="T65" s="178">
        <f t="shared" si="7"/>
        <v>3</v>
      </c>
      <c r="U65" s="253">
        <f t="shared" si="21"/>
        <v>-2.0936496833372198</v>
      </c>
      <c r="V65" s="385">
        <f t="shared" si="8"/>
        <v>31.977065161854643</v>
      </c>
      <c r="W65" s="58"/>
      <c r="X65" s="157">
        <f t="shared" si="9"/>
        <v>43516</v>
      </c>
      <c r="Y65" s="387">
        <f t="shared" si="10"/>
        <v>31.667999999999999</v>
      </c>
      <c r="Z65" s="387">
        <f t="shared" si="11"/>
        <v>31.817958683059974</v>
      </c>
      <c r="AA65" s="388">
        <f t="shared" si="12"/>
        <v>33.209445824182055</v>
      </c>
      <c r="AB65" s="199">
        <f t="shared" si="13"/>
        <v>43516</v>
      </c>
      <c r="AC65" s="428">
        <f>IF(OR(t&lt;Tnet,NoTnet),'2018'!Resal_s+('2018'!Salim-'2018'!Resal_s)*(1-EXP(('2018'!Tnet_s-t)/'2018'!Tau_j)),Resal_s+(Salim-Resal_s)*(1-EXP((Tnet_s-t)/Tau_j)))*Salcycl</f>
        <v>4.1900342104138497E-2</v>
      </c>
      <c r="AD65" s="233">
        <f>(INDEX(Models!$BJ65:$BT65,,AH65)*(1-AF65)+INDEX(Models!$BJ65:$BT65,,AH65+1)*AF65-ERP_i)*AE65*Ramure*Pc/MaxiM</f>
        <v>1.4707161606237406E-3</v>
      </c>
      <c r="AE65" s="307">
        <f t="shared" si="14"/>
        <v>0.9</v>
      </c>
      <c r="AF65" s="179">
        <f t="shared" si="15"/>
        <v>0.90635031666278021</v>
      </c>
      <c r="AG65" s="178">
        <f t="shared" si="16"/>
        <v>-3</v>
      </c>
      <c r="AH65" s="178">
        <f t="shared" si="17"/>
        <v>3</v>
      </c>
      <c r="AI65" s="227">
        <f t="shared" si="22"/>
        <v>-2.0936496833372198</v>
      </c>
      <c r="AJ65" s="267" t="b">
        <f t="shared" si="18"/>
        <v>0</v>
      </c>
      <c r="AK65" s="267" t="b">
        <f t="shared" si="19"/>
        <v>0</v>
      </c>
      <c r="AL65" s="267"/>
      <c r="AM65" s="267"/>
      <c r="AN65" s="75"/>
    </row>
    <row r="66" spans="1:40" s="6" customFormat="1" ht="11.25" customHeight="1" x14ac:dyDescent="0.2">
      <c r="A66" s="56">
        <f t="shared" si="20"/>
        <v>43517</v>
      </c>
      <c r="B66" s="620">
        <v>31.75</v>
      </c>
      <c r="C66" s="392"/>
      <c r="D66" s="395">
        <f t="shared" si="0"/>
        <v>31.901089365728133</v>
      </c>
      <c r="E66" s="387">
        <f t="shared" si="1"/>
        <v>33.302645536664173</v>
      </c>
      <c r="F66" s="387">
        <f t="shared" si="2"/>
        <v>33.349979242504801</v>
      </c>
      <c r="G66" s="110">
        <f t="shared" si="23"/>
        <v>0.98105160519293089</v>
      </c>
      <c r="H66" s="416" t="b">
        <f>Wh_hp&gt;='2018'!Maxi_hp</f>
        <v>1</v>
      </c>
      <c r="I66" s="392">
        <f>IF(H66,Wh_hp,'2018'!Maxi_hp)</f>
        <v>33.349979242504801</v>
      </c>
      <c r="J66" s="85">
        <f>IF(H66,An,'2018'!An_max)</f>
        <v>2019</v>
      </c>
      <c r="K66" s="199">
        <f t="shared" si="3"/>
        <v>43517</v>
      </c>
      <c r="L66" s="147">
        <f>IF(t&lt;Tvie,1-EXP((T0-t)*PertePVj)+'2018'!Pspv,1-EXP((T0-t)*PertePVj)+Pspv)</f>
        <v>4.7361820154784295E-3</v>
      </c>
      <c r="M66" s="872"/>
      <c r="N66" s="872"/>
      <c r="O66" s="48">
        <f>IF(t&lt;Tnet,'2018'!Resal+('2018'!Salim-'2018'!Resal)*(1-EXP(('2018'!Tnet-t)/('2018'!Tau_j))),Resal+(Salim-Resal)*(1-EXP((Tnet-t)/(Tau_j))))*Salcycl</f>
        <v>4.208543040200851E-2</v>
      </c>
      <c r="P66" s="171">
        <f>(INDEX(Models!$BJ66:$BT66,,T66)*(1-R66)+INDEX(Models!$BJ66:$BT66,,T66+1)*R66-ERP_i)*Q66*Ramure*Pc/MaxiM</f>
        <v>1.4587076866516141E-3</v>
      </c>
      <c r="Q66" s="307">
        <f t="shared" si="4"/>
        <v>0.9</v>
      </c>
      <c r="R66" s="179">
        <f t="shared" si="5"/>
        <v>0.90666346621178162</v>
      </c>
      <c r="S66" s="839">
        <f t="shared" si="6"/>
        <v>-3</v>
      </c>
      <c r="T66" s="178">
        <f t="shared" si="7"/>
        <v>3</v>
      </c>
      <c r="U66" s="253">
        <f t="shared" si="21"/>
        <v>-2.0933365337882184</v>
      </c>
      <c r="V66" s="385">
        <f t="shared" si="8"/>
        <v>32.361954188858746</v>
      </c>
      <c r="W66" s="58"/>
      <c r="X66" s="157">
        <f t="shared" si="9"/>
        <v>43517</v>
      </c>
      <c r="Y66" s="387">
        <f t="shared" si="10"/>
        <v>31.75</v>
      </c>
      <c r="Z66" s="387">
        <f t="shared" si="11"/>
        <v>31.901089365728133</v>
      </c>
      <c r="AA66" s="388">
        <f t="shared" si="12"/>
        <v>33.302645536664173</v>
      </c>
      <c r="AB66" s="199">
        <f t="shared" si="13"/>
        <v>43517</v>
      </c>
      <c r="AC66" s="428">
        <f>IF(OR(t&lt;Tnet,NoTnet),'2018'!Resal_s+('2018'!Salim-'2018'!Resal_s)*(1-EXP(('2018'!Tnet_s-t)/'2018'!Tau_j)),Resal_s+(Salim-Resal_s)*(1-EXP((Tnet_s-t)/Tau_j)))*Salcycl</f>
        <v>4.208543040200851E-2</v>
      </c>
      <c r="AD66" s="233">
        <f>(INDEX(Models!$BJ66:$BT66,,AH66)*(1-AF66)+INDEX(Models!$BJ66:$BT66,,AH66+1)*AF66-ERP_i)*AE66*Ramure*Pc/MaxiM</f>
        <v>1.4587076866516141E-3</v>
      </c>
      <c r="AE66" s="307">
        <f t="shared" si="14"/>
        <v>0.9</v>
      </c>
      <c r="AF66" s="179">
        <f t="shared" si="15"/>
        <v>0.90666346621178162</v>
      </c>
      <c r="AG66" s="178">
        <f t="shared" si="16"/>
        <v>-3</v>
      </c>
      <c r="AH66" s="178">
        <f t="shared" si="17"/>
        <v>3</v>
      </c>
      <c r="AI66" s="227">
        <f t="shared" si="22"/>
        <v>-2.0933365337882184</v>
      </c>
      <c r="AJ66" s="267" t="b">
        <f t="shared" si="18"/>
        <v>0</v>
      </c>
      <c r="AK66" s="267" t="b">
        <f t="shared" si="19"/>
        <v>0</v>
      </c>
      <c r="AL66" s="267"/>
      <c r="AM66" s="267"/>
      <c r="AN66" s="75"/>
    </row>
    <row r="67" spans="1:40" s="6" customFormat="1" ht="11.25" customHeight="1" x14ac:dyDescent="0.2">
      <c r="A67" s="56">
        <f t="shared" si="20"/>
        <v>43518</v>
      </c>
      <c r="B67" s="620">
        <v>31.79</v>
      </c>
      <c r="C67" s="392"/>
      <c r="D67" s="395">
        <f t="shared" si="0"/>
        <v>31.942023052076063</v>
      </c>
      <c r="E67" s="387">
        <f t="shared" si="1"/>
        <v>33.35181447060441</v>
      </c>
      <c r="F67" s="387">
        <f t="shared" si="2"/>
        <v>33.398241581195691</v>
      </c>
      <c r="G67" s="110">
        <f t="shared" si="23"/>
        <v>0.9705785121531344</v>
      </c>
      <c r="H67" s="416" t="b">
        <f>Wh_hp&gt;='2018'!Maxi_hp</f>
        <v>1</v>
      </c>
      <c r="I67" s="392">
        <f>IF(H67,Wh_hp,'2018'!Maxi_hp)</f>
        <v>33.398241581195691</v>
      </c>
      <c r="J67" s="85">
        <f>IF(H67,An,'2018'!An_max)</f>
        <v>2019</v>
      </c>
      <c r="K67" s="199">
        <f t="shared" si="3"/>
        <v>43518</v>
      </c>
      <c r="L67" s="147">
        <f>IF(t&lt;Tvie,1-EXP((T0-t)*PertePVj)+'2018'!Pspv,1-EXP((T0-t)*PertePVj)+Pspv)</f>
        <v>4.7593432585097961E-3</v>
      </c>
      <c r="M67" s="872"/>
      <c r="N67" s="872"/>
      <c r="O67" s="48">
        <f>IF(t&lt;Tnet,'2018'!Resal+('2018'!Salim-'2018'!Resal)*(1-EXP(('2018'!Tnet-t)/('2018'!Tau_j))),Resal+(Salim-Resal)*(1-EXP((Tnet-t)/(Tau_j))))*Salcycl</f>
        <v>4.2270306455767417E-2</v>
      </c>
      <c r="P67" s="171">
        <f>(INDEX(Models!$BJ67:$BT67,,T67)*(1-R67)+INDEX(Models!$BJ67:$BT67,,T67+1)*R67-ERP_i)*Q67*Ramure*Pc/MaxiM</f>
        <v>1.4509690540810318E-3</v>
      </c>
      <c r="Q67" s="307">
        <f t="shared" si="4"/>
        <v>0.9</v>
      </c>
      <c r="R67" s="179">
        <f t="shared" si="5"/>
        <v>0.90698945237447859</v>
      </c>
      <c r="S67" s="839">
        <f t="shared" si="6"/>
        <v>-3</v>
      </c>
      <c r="T67" s="178">
        <f t="shared" si="7"/>
        <v>3</v>
      </c>
      <c r="U67" s="253">
        <f t="shared" si="21"/>
        <v>-2.0930105476255214</v>
      </c>
      <c r="V67" s="385">
        <f t="shared" si="8"/>
        <v>32.751665203793102</v>
      </c>
      <c r="W67" s="58"/>
      <c r="X67" s="157">
        <f t="shared" si="9"/>
        <v>43518</v>
      </c>
      <c r="Y67" s="387">
        <f t="shared" si="10"/>
        <v>31.79</v>
      </c>
      <c r="Z67" s="387">
        <f t="shared" si="11"/>
        <v>31.942023052076063</v>
      </c>
      <c r="AA67" s="388">
        <f t="shared" si="12"/>
        <v>33.35181447060441</v>
      </c>
      <c r="AB67" s="199">
        <f t="shared" si="13"/>
        <v>43518</v>
      </c>
      <c r="AC67" s="428">
        <f>IF(OR(t&lt;Tnet,NoTnet),'2018'!Resal_s+('2018'!Salim-'2018'!Resal_s)*(1-EXP(('2018'!Tnet_s-t)/'2018'!Tau_j)),Resal_s+(Salim-Resal_s)*(1-EXP((Tnet_s-t)/Tau_j)))*Salcycl</f>
        <v>4.2270306455767417E-2</v>
      </c>
      <c r="AD67" s="233">
        <f>(INDEX(Models!$BJ67:$BT67,,AH67)*(1-AF67)+INDEX(Models!$BJ67:$BT67,,AH67+1)*AF67-ERP_i)*AE67*Ramure*Pc/MaxiM</f>
        <v>1.4509690540810318E-3</v>
      </c>
      <c r="AE67" s="307">
        <f t="shared" si="14"/>
        <v>0.9</v>
      </c>
      <c r="AF67" s="179">
        <f t="shared" si="15"/>
        <v>0.90698945237447859</v>
      </c>
      <c r="AG67" s="178">
        <f t="shared" si="16"/>
        <v>-3</v>
      </c>
      <c r="AH67" s="178">
        <f t="shared" si="17"/>
        <v>3</v>
      </c>
      <c r="AI67" s="227">
        <f t="shared" si="22"/>
        <v>-2.0930105476255214</v>
      </c>
      <c r="AJ67" s="267" t="b">
        <f t="shared" si="18"/>
        <v>0</v>
      </c>
      <c r="AK67" s="267" t="b">
        <f t="shared" si="19"/>
        <v>0</v>
      </c>
      <c r="AL67" s="267"/>
      <c r="AM67" s="267"/>
      <c r="AN67" s="75"/>
    </row>
    <row r="68" spans="1:40" s="6" customFormat="1" ht="11.25" customHeight="1" x14ac:dyDescent="0.2">
      <c r="A68" s="56">
        <f t="shared" si="20"/>
        <v>43519</v>
      </c>
      <c r="B68" s="620">
        <v>32.247999999999998</v>
      </c>
      <c r="C68" s="392"/>
      <c r="D68" s="395">
        <f t="shared" si="0"/>
        <v>32.40296731960423</v>
      </c>
      <c r="E68" s="387">
        <f t="shared" si="1"/>
        <v>33.83962764623859</v>
      </c>
      <c r="F68" s="387">
        <f t="shared" si="2"/>
        <v>33.886776525931595</v>
      </c>
      <c r="G68" s="110">
        <f t="shared" si="23"/>
        <v>0.97285997172568051</v>
      </c>
      <c r="H68" s="416" t="b">
        <f>Wh_hp&gt;='2018'!Maxi_hp</f>
        <v>1</v>
      </c>
      <c r="I68" s="392">
        <f>IF(H68,Wh_hp,'2018'!Maxi_hp)</f>
        <v>33.886776525931595</v>
      </c>
      <c r="J68" s="85">
        <f>IF(H68,An,'2018'!An_max)</f>
        <v>2019</v>
      </c>
      <c r="K68" s="199">
        <f t="shared" si="3"/>
        <v>43519</v>
      </c>
      <c r="L68" s="147">
        <f>IF(t&lt;Tvie,1-EXP((T0-t)*PertePVj)+'2018'!Pspv,1-EXP((T0-t)*PertePVj)+Pspv)</f>
        <v>4.7825039625452037E-3</v>
      </c>
      <c r="M68" s="872"/>
      <c r="N68" s="872"/>
      <c r="O68" s="48">
        <f>IF(t&lt;Tnet,'2018'!Resal+('2018'!Salim-'2018'!Resal)*(1-EXP(('2018'!Tnet-t)/('2018'!Tau_j))),Resal+(Salim-Resal)*(1-EXP((Tnet-t)/(Tau_j))))*Salcycl</f>
        <v>4.2454968525460497E-2</v>
      </c>
      <c r="P68" s="171">
        <f>(INDEX(Models!$BJ68:$BT68,,T68)*(1-R68)+INDEX(Models!$BJ68:$BT68,,T68+1)*R68-ERP_i)*Q68*Ramure*Pc/MaxiM</f>
        <v>1.44736894601952E-3</v>
      </c>
      <c r="Q68" s="307">
        <f t="shared" si="4"/>
        <v>0.9</v>
      </c>
      <c r="R68" s="179">
        <f t="shared" si="5"/>
        <v>0.90732878837900754</v>
      </c>
      <c r="S68" s="839">
        <f t="shared" si="6"/>
        <v>-3</v>
      </c>
      <c r="T68" s="178">
        <f t="shared" si="7"/>
        <v>3</v>
      </c>
      <c r="U68" s="253">
        <f t="shared" si="21"/>
        <v>-2.0926712116209925</v>
      </c>
      <c r="V68" s="385">
        <f t="shared" si="8"/>
        <v>33.145768569206119</v>
      </c>
      <c r="W68" s="58"/>
      <c r="X68" s="157">
        <f t="shared" si="9"/>
        <v>43519</v>
      </c>
      <c r="Y68" s="387">
        <f t="shared" si="10"/>
        <v>32.247999999999998</v>
      </c>
      <c r="Z68" s="387">
        <f t="shared" si="11"/>
        <v>32.40296731960423</v>
      </c>
      <c r="AA68" s="388">
        <f t="shared" si="12"/>
        <v>33.83962764623859</v>
      </c>
      <c r="AB68" s="199">
        <f t="shared" si="13"/>
        <v>43519</v>
      </c>
      <c r="AC68" s="428">
        <f>IF(OR(t&lt;Tnet,NoTnet),'2018'!Resal_s+('2018'!Salim-'2018'!Resal_s)*(1-EXP(('2018'!Tnet_s-t)/'2018'!Tau_j)),Resal_s+(Salim-Resal_s)*(1-EXP((Tnet_s-t)/Tau_j)))*Salcycl</f>
        <v>4.2454968525460497E-2</v>
      </c>
      <c r="AD68" s="233">
        <f>(INDEX(Models!$BJ68:$BT68,,AH68)*(1-AF68)+INDEX(Models!$BJ68:$BT68,,AH68+1)*AF68-ERP_i)*AE68*Ramure*Pc/MaxiM</f>
        <v>1.44736894601952E-3</v>
      </c>
      <c r="AE68" s="307">
        <f t="shared" si="14"/>
        <v>0.9</v>
      </c>
      <c r="AF68" s="179">
        <f t="shared" si="15"/>
        <v>0.90732878837900754</v>
      </c>
      <c r="AG68" s="178">
        <f t="shared" si="16"/>
        <v>-3</v>
      </c>
      <c r="AH68" s="178">
        <f t="shared" si="17"/>
        <v>3</v>
      </c>
      <c r="AI68" s="227">
        <f t="shared" si="22"/>
        <v>-2.0926712116209925</v>
      </c>
      <c r="AJ68" s="267" t="b">
        <f t="shared" si="18"/>
        <v>0</v>
      </c>
      <c r="AK68" s="267" t="b">
        <f t="shared" si="19"/>
        <v>0</v>
      </c>
      <c r="AL68" s="267"/>
      <c r="AM68" s="267"/>
      <c r="AN68" s="75"/>
    </row>
    <row r="69" spans="1:40" s="6" customFormat="1" ht="11.25" customHeight="1" x14ac:dyDescent="0.2">
      <c r="A69" s="56">
        <f t="shared" si="20"/>
        <v>43520</v>
      </c>
      <c r="B69" s="620">
        <v>32.74</v>
      </c>
      <c r="C69" s="392"/>
      <c r="D69" s="395">
        <f t="shared" si="0"/>
        <v>32.898097205607193</v>
      </c>
      <c r="E69" s="387">
        <f t="shared" si="1"/>
        <v>34.363329499619063</v>
      </c>
      <c r="F69" s="387">
        <f t="shared" si="2"/>
        <v>34.411444363732578</v>
      </c>
      <c r="G69" s="110">
        <f t="shared" si="23"/>
        <v>0.9759878464052959</v>
      </c>
      <c r="H69" s="416" t="b">
        <f>Wh_hp&gt;='2018'!Maxi_hp</f>
        <v>1</v>
      </c>
      <c r="I69" s="392">
        <f>IF(H69,Wh_hp,'2018'!Maxi_hp)</f>
        <v>34.411444363732578</v>
      </c>
      <c r="J69" s="85">
        <f>IF(H69,An,'2018'!An_max)</f>
        <v>2019</v>
      </c>
      <c r="K69" s="199">
        <f t="shared" si="3"/>
        <v>43520</v>
      </c>
      <c r="L69" s="147">
        <f>IF(t&lt;Tvie,1-EXP((T0-t)*PertePVj)+'2018'!Pspv,1-EXP((T0-t)*PertePVj)+Pspv)</f>
        <v>4.8056641275970868E-3</v>
      </c>
      <c r="M69" s="872"/>
      <c r="N69" s="872"/>
      <c r="O69" s="48">
        <f>IF(t&lt;Tnet,'2018'!Resal+('2018'!Salim-'2018'!Resal)*(1-EXP(('2018'!Tnet-t)/('2018'!Tau_j))),Resal+(Salim-Resal)*(1-EXP((Tnet-t)/(Tau_j))))*Salcycl</f>
        <v>4.2639415776870908E-2</v>
      </c>
      <c r="P69" s="171">
        <f>(INDEX(Models!$BJ69:$BT69,,T69)*(1-R69)+INDEX(Models!$BJ69:$BT69,,T69+1)*R69-ERP_i)*Q69*Ramure*Pc/MaxiM</f>
        <v>1.44778606509802E-3</v>
      </c>
      <c r="Q69" s="307">
        <f t="shared" si="4"/>
        <v>0.9</v>
      </c>
      <c r="R69" s="179">
        <f t="shared" si="5"/>
        <v>0.90768200687711298</v>
      </c>
      <c r="S69" s="839">
        <f t="shared" si="6"/>
        <v>-3</v>
      </c>
      <c r="T69" s="178">
        <f t="shared" si="7"/>
        <v>3</v>
      </c>
      <c r="U69" s="253">
        <f t="shared" si="21"/>
        <v>-2.092317993122887</v>
      </c>
      <c r="V69" s="385">
        <f t="shared" si="8"/>
        <v>33.543834736593006</v>
      </c>
      <c r="W69" s="58"/>
      <c r="X69" s="157">
        <f t="shared" si="9"/>
        <v>43520</v>
      </c>
      <c r="Y69" s="387">
        <f t="shared" si="10"/>
        <v>32.74</v>
      </c>
      <c r="Z69" s="387">
        <f t="shared" si="11"/>
        <v>32.898097205607193</v>
      </c>
      <c r="AA69" s="388">
        <f t="shared" si="12"/>
        <v>34.363329499619063</v>
      </c>
      <c r="AB69" s="199">
        <f t="shared" si="13"/>
        <v>43520</v>
      </c>
      <c r="AC69" s="428">
        <f>IF(OR(t&lt;Tnet,NoTnet),'2018'!Resal_s+('2018'!Salim-'2018'!Resal_s)*(1-EXP(('2018'!Tnet_s-t)/'2018'!Tau_j)),Resal_s+(Salim-Resal_s)*(1-EXP((Tnet_s-t)/Tau_j)))*Salcycl</f>
        <v>4.2639415776870908E-2</v>
      </c>
      <c r="AD69" s="233">
        <f>(INDEX(Models!$BJ69:$BT69,,AH69)*(1-AF69)+INDEX(Models!$BJ69:$BT69,,AH69+1)*AF69-ERP_i)*AE69*Ramure*Pc/MaxiM</f>
        <v>1.44778606509802E-3</v>
      </c>
      <c r="AE69" s="307">
        <f t="shared" si="14"/>
        <v>0.9</v>
      </c>
      <c r="AF69" s="179">
        <f t="shared" si="15"/>
        <v>0.90768200687711298</v>
      </c>
      <c r="AG69" s="178">
        <f t="shared" si="16"/>
        <v>-3</v>
      </c>
      <c r="AH69" s="178">
        <f t="shared" si="17"/>
        <v>3</v>
      </c>
      <c r="AI69" s="227">
        <f t="shared" si="22"/>
        <v>-2.092317993122887</v>
      </c>
      <c r="AJ69" s="267" t="b">
        <f t="shared" si="18"/>
        <v>0</v>
      </c>
      <c r="AK69" s="267" t="b">
        <f t="shared" si="19"/>
        <v>0</v>
      </c>
      <c r="AL69" s="267"/>
      <c r="AM69" s="267"/>
      <c r="AN69" s="75"/>
    </row>
    <row r="70" spans="1:40" s="6" customFormat="1" ht="11.25" customHeight="1" x14ac:dyDescent="0.2">
      <c r="A70" s="56">
        <f t="shared" si="20"/>
        <v>43521</v>
      </c>
      <c r="B70" s="620">
        <v>33.427999999999997</v>
      </c>
      <c r="C70" s="392"/>
      <c r="D70" s="395">
        <f t="shared" si="0"/>
        <v>33.590201161258314</v>
      </c>
      <c r="E70" s="387">
        <f t="shared" si="1"/>
        <v>35.093011965570597</v>
      </c>
      <c r="F70" s="387">
        <f t="shared" si="2"/>
        <v>35.142931851813223</v>
      </c>
      <c r="G70" s="110">
        <f t="shared" si="23"/>
        <v>0.98472569241042651</v>
      </c>
      <c r="H70" s="416" t="b">
        <f>Wh_hp&gt;='2018'!Maxi_hp</f>
        <v>1</v>
      </c>
      <c r="I70" s="392">
        <f>IF(H70,Wh_hp,'2018'!Maxi_hp)</f>
        <v>35.142931851813223</v>
      </c>
      <c r="J70" s="85">
        <f>IF(H70,An,'2018'!An_max)</f>
        <v>2019</v>
      </c>
      <c r="K70" s="199">
        <f t="shared" si="3"/>
        <v>43521</v>
      </c>
      <c r="L70" s="147">
        <f>IF(t&lt;Tvie,1-EXP((T0-t)*PertePVj)+'2018'!Pspv,1-EXP((T0-t)*PertePVj)+Pspv)</f>
        <v>4.828823753678213E-3</v>
      </c>
      <c r="M70" s="872"/>
      <c r="N70" s="872"/>
      <c r="O70" s="48">
        <f>IF(t&lt;Tnet,'2018'!Resal+('2018'!Salim-'2018'!Resal)*(1-EXP(('2018'!Tnet-t)/('2018'!Tau_j))),Resal+(Salim-Resal)*(1-EXP((Tnet-t)/(Tau_j))))*Salcycl</f>
        <v>4.2823648360154419E-2</v>
      </c>
      <c r="P70" s="171">
        <f>(INDEX(Models!$BJ70:$BT70,,T70)*(1-R70)+INDEX(Models!$BJ70:$BT70,,T70+1)*R70-ERP_i)*Q70*Ramure*Pc/MaxiM</f>
        <v>1.4521023727148042E-3</v>
      </c>
      <c r="Q70" s="307">
        <f t="shared" si="4"/>
        <v>0.9</v>
      </c>
      <c r="R70" s="179">
        <f t="shared" si="5"/>
        <v>0.9080496605861037</v>
      </c>
      <c r="S70" s="839">
        <f t="shared" si="6"/>
        <v>-3</v>
      </c>
      <c r="T70" s="178">
        <f t="shared" si="7"/>
        <v>3</v>
      </c>
      <c r="U70" s="253">
        <f t="shared" si="21"/>
        <v>-2.0919503394138963</v>
      </c>
      <c r="V70" s="385">
        <f t="shared" si="8"/>
        <v>33.945434483016449</v>
      </c>
      <c r="W70" s="58"/>
      <c r="X70" s="157">
        <f t="shared" si="9"/>
        <v>43521</v>
      </c>
      <c r="Y70" s="387">
        <f t="shared" si="10"/>
        <v>33.427999999999997</v>
      </c>
      <c r="Z70" s="387">
        <f t="shared" si="11"/>
        <v>33.590201161258314</v>
      </c>
      <c r="AA70" s="388">
        <f t="shared" si="12"/>
        <v>35.093011965570597</v>
      </c>
      <c r="AB70" s="199">
        <f t="shared" si="13"/>
        <v>43521</v>
      </c>
      <c r="AC70" s="428">
        <f>IF(OR(t&lt;Tnet,NoTnet),'2018'!Resal_s+('2018'!Salim-'2018'!Resal_s)*(1-EXP(('2018'!Tnet_s-t)/'2018'!Tau_j)),Resal_s+(Salim-Resal_s)*(1-EXP((Tnet_s-t)/Tau_j)))*Salcycl</f>
        <v>4.2823648360154419E-2</v>
      </c>
      <c r="AD70" s="233">
        <f>(INDEX(Models!$BJ70:$BT70,,AH70)*(1-AF70)+INDEX(Models!$BJ70:$BT70,,AH70+1)*AF70-ERP_i)*AE70*Ramure*Pc/MaxiM</f>
        <v>1.4521023727148042E-3</v>
      </c>
      <c r="AE70" s="307">
        <f t="shared" si="14"/>
        <v>0.9</v>
      </c>
      <c r="AF70" s="179">
        <f t="shared" si="15"/>
        <v>0.9080496605861037</v>
      </c>
      <c r="AG70" s="178">
        <f t="shared" si="16"/>
        <v>-3</v>
      </c>
      <c r="AH70" s="178">
        <f t="shared" si="17"/>
        <v>3</v>
      </c>
      <c r="AI70" s="227">
        <f t="shared" si="22"/>
        <v>-2.0919503394138963</v>
      </c>
      <c r="AJ70" s="267" t="b">
        <f t="shared" si="18"/>
        <v>0</v>
      </c>
      <c r="AK70" s="267" t="b">
        <f t="shared" si="19"/>
        <v>0</v>
      </c>
      <c r="AL70" s="267"/>
      <c r="AM70" s="267"/>
      <c r="AN70" s="75"/>
    </row>
    <row r="71" spans="1:40" s="6" customFormat="1" ht="11.25" x14ac:dyDescent="0.2">
      <c r="A71" s="56">
        <f t="shared" si="20"/>
        <v>43522</v>
      </c>
      <c r="B71" s="620">
        <v>31.885999999999999</v>
      </c>
      <c r="C71" s="392"/>
      <c r="D71" s="395">
        <f t="shared" si="0"/>
        <v>32.041464636610968</v>
      </c>
      <c r="E71" s="387">
        <f t="shared" si="1"/>
        <v>33.481422523340093</v>
      </c>
      <c r="F71" s="387">
        <f t="shared" si="2"/>
        <v>33.525359587323479</v>
      </c>
      <c r="G71" s="110">
        <f t="shared" si="23"/>
        <v>0.92812498858010095</v>
      </c>
      <c r="H71" s="416" t="b">
        <f>Wh_hp&gt;='2018'!Maxi_hp</f>
        <v>1</v>
      </c>
      <c r="I71" s="392">
        <f>IF(H71,Wh_hp,'2018'!Maxi_hp)</f>
        <v>33.525359587323479</v>
      </c>
      <c r="J71" s="85">
        <f>IF(H71,An,'2018'!An_max)</f>
        <v>2019</v>
      </c>
      <c r="K71" s="199">
        <f t="shared" si="3"/>
        <v>43522</v>
      </c>
      <c r="L71" s="147">
        <f>IF(t&lt;Tvie,1-EXP((T0-t)*PertePVj)+'2018'!Pspv,1-EXP((T0-t)*PertePVj)+Pspv)</f>
        <v>4.8519828408010168E-3</v>
      </c>
      <c r="M71" s="872"/>
      <c r="N71" s="872"/>
      <c r="O71" s="48">
        <f>IF(t&lt;Tnet,'2018'!Resal+('2018'!Salim-'2018'!Resal)*(1-EXP(('2018'!Tnet-t)/('2018'!Tau_j))),Resal+(Salim-Resal)*(1-EXP((Tnet-t)/(Tau_j))))*Salcycl</f>
        <v>4.3007667482626299E-2</v>
      </c>
      <c r="P71" s="171">
        <f>(INDEX(Models!$BJ71:$BT71,,T71)*(1-R71)+INDEX(Models!$BJ71:$BT71,,T71+1)*R71-ERP_i)*Q71*Ramure*Pc/MaxiM</f>
        <v>1.460203547335587E-3</v>
      </c>
      <c r="Q71" s="307">
        <f t="shared" si="4"/>
        <v>0.9</v>
      </c>
      <c r="R71" s="179">
        <f t="shared" si="5"/>
        <v>0.90843232294389509</v>
      </c>
      <c r="S71" s="839">
        <f t="shared" si="6"/>
        <v>-3</v>
      </c>
      <c r="T71" s="178">
        <f t="shared" si="7"/>
        <v>3</v>
      </c>
      <c r="U71" s="253">
        <f t="shared" si="21"/>
        <v>-2.0915676770561049</v>
      </c>
      <c r="V71" s="385">
        <f t="shared" si="8"/>
        <v>34.350138895057135</v>
      </c>
      <c r="W71" s="58"/>
      <c r="X71" s="157">
        <f t="shared" si="9"/>
        <v>43522</v>
      </c>
      <c r="Y71" s="387">
        <f t="shared" si="10"/>
        <v>31.885999999999999</v>
      </c>
      <c r="Z71" s="387">
        <f t="shared" si="11"/>
        <v>32.041464636610968</v>
      </c>
      <c r="AA71" s="388">
        <f t="shared" si="12"/>
        <v>33.481422523340093</v>
      </c>
      <c r="AB71" s="199">
        <f t="shared" si="13"/>
        <v>43522</v>
      </c>
      <c r="AC71" s="428">
        <f>IF(OR(t&lt;Tnet,NoTnet),'2018'!Resal_s+('2018'!Salim-'2018'!Resal_s)*(1-EXP(('2018'!Tnet_s-t)/'2018'!Tau_j)),Resal_s+(Salim-Resal_s)*(1-EXP((Tnet_s-t)/Tau_j)))*Salcycl</f>
        <v>4.3007667482626299E-2</v>
      </c>
      <c r="AD71" s="233">
        <f>(INDEX(Models!$BJ71:$BT71,,AH71)*(1-AF71)+INDEX(Models!$BJ71:$BT71,,AH71+1)*AF71-ERP_i)*AE71*Ramure*Pc/MaxiM</f>
        <v>1.460203547335587E-3</v>
      </c>
      <c r="AE71" s="307">
        <f t="shared" si="14"/>
        <v>0.9</v>
      </c>
      <c r="AF71" s="179">
        <f t="shared" si="15"/>
        <v>0.90843232294389509</v>
      </c>
      <c r="AG71" s="178">
        <f t="shared" si="16"/>
        <v>-3</v>
      </c>
      <c r="AH71" s="178">
        <f t="shared" si="17"/>
        <v>3</v>
      </c>
      <c r="AI71" s="227">
        <f t="shared" si="22"/>
        <v>-2.0915676770561049</v>
      </c>
      <c r="AJ71" s="267" t="b">
        <f t="shared" si="18"/>
        <v>0</v>
      </c>
      <c r="AK71" s="267" t="b">
        <f t="shared" si="19"/>
        <v>0</v>
      </c>
      <c r="AL71" s="267"/>
      <c r="AM71" s="267"/>
      <c r="AN71" s="75"/>
    </row>
    <row r="72" spans="1:40" s="6" customFormat="1" ht="11.25" customHeight="1" x14ac:dyDescent="0.2">
      <c r="A72" s="56">
        <f t="shared" si="20"/>
        <v>43523</v>
      </c>
      <c r="B72" s="620">
        <v>33.981000000000002</v>
      </c>
      <c r="C72" s="392"/>
      <c r="D72" s="395">
        <f t="shared" si="0"/>
        <v>34.147473762669435</v>
      </c>
      <c r="E72" s="387">
        <f t="shared" si="1"/>
        <v>35.688931366518915</v>
      </c>
      <c r="F72" s="387">
        <f t="shared" si="2"/>
        <v>35.739850450809598</v>
      </c>
      <c r="G72" s="110">
        <f t="shared" si="23"/>
        <v>0.97761267829309384</v>
      </c>
      <c r="H72" s="416" t="b">
        <f>Wh_hp&gt;='2018'!Maxi_hp</f>
        <v>1</v>
      </c>
      <c r="I72" s="392">
        <f>IF(H72,Wh_hp,'2018'!Maxi_hp)</f>
        <v>35.739850450809598</v>
      </c>
      <c r="J72" s="85">
        <f>IF(H72,An,'2018'!An_max)</f>
        <v>2019</v>
      </c>
      <c r="K72" s="199">
        <f t="shared" si="3"/>
        <v>43523</v>
      </c>
      <c r="L72" s="147">
        <f>IF(t&lt;Tvie,1-EXP((T0-t)*PertePVj)+'2018'!Pspv,1-EXP((T0-t)*PertePVj)+Pspv)</f>
        <v>4.8751413889780437E-3</v>
      </c>
      <c r="M72" s="872"/>
      <c r="N72" s="872"/>
      <c r="O72" s="48">
        <f>IF(t&lt;Tnet,'2018'!Resal+('2018'!Salim-'2018'!Resal)*(1-EXP(('2018'!Tnet-t)/('2018'!Tau_j))),Resal+(Salim-Resal)*(1-EXP((Tnet-t)/(Tau_j))))*Salcycl</f>
        <v>4.319147547509862E-2</v>
      </c>
      <c r="P72" s="171">
        <f>(INDEX(Models!$BJ72:$BT72,,T72)*(1-R72)+INDEX(Models!$BJ72:$BT72,,T72+1)*R72-ERP_i)*Q72*Ramure*Pc/MaxiM</f>
        <v>1.4716851175049035E-3</v>
      </c>
      <c r="Q72" s="307">
        <f t="shared" si="4"/>
        <v>0.9</v>
      </c>
      <c r="R72" s="179">
        <f t="shared" si="5"/>
        <v>0.90883058877662926</v>
      </c>
      <c r="S72" s="839">
        <f t="shared" si="6"/>
        <v>-3</v>
      </c>
      <c r="T72" s="178">
        <f t="shared" si="7"/>
        <v>3</v>
      </c>
      <c r="U72" s="253">
        <f t="shared" si="21"/>
        <v>-2.0911694112233707</v>
      </c>
      <c r="V72" s="385">
        <f t="shared" si="8"/>
        <v>34.757529612445957</v>
      </c>
      <c r="W72" s="58"/>
      <c r="X72" s="157">
        <f t="shared" si="9"/>
        <v>43523</v>
      </c>
      <c r="Y72" s="387">
        <f t="shared" si="10"/>
        <v>33.981000000000002</v>
      </c>
      <c r="Z72" s="387">
        <f t="shared" si="11"/>
        <v>34.147473762669435</v>
      </c>
      <c r="AA72" s="388">
        <f t="shared" si="12"/>
        <v>35.688931366518915</v>
      </c>
      <c r="AB72" s="199">
        <f t="shared" si="13"/>
        <v>43523</v>
      </c>
      <c r="AC72" s="428">
        <f>IF(OR(t&lt;Tnet,NoTnet),'2018'!Resal_s+('2018'!Salim-'2018'!Resal_s)*(1-EXP(('2018'!Tnet_s-t)/'2018'!Tau_j)),Resal_s+(Salim-Resal_s)*(1-EXP((Tnet_s-t)/Tau_j)))*Salcycl</f>
        <v>4.319147547509862E-2</v>
      </c>
      <c r="AD72" s="233">
        <f>(INDEX(Models!$BJ72:$BT72,,AH72)*(1-AF72)+INDEX(Models!$BJ72:$BT72,,AH72+1)*AF72-ERP_i)*AE72*Ramure*Pc/MaxiM</f>
        <v>1.4716851175049035E-3</v>
      </c>
      <c r="AE72" s="307">
        <f t="shared" si="14"/>
        <v>0.9</v>
      </c>
      <c r="AF72" s="179">
        <f t="shared" si="15"/>
        <v>0.90883058877662926</v>
      </c>
      <c r="AG72" s="178">
        <f t="shared" si="16"/>
        <v>-3</v>
      </c>
      <c r="AH72" s="178">
        <f t="shared" si="17"/>
        <v>3</v>
      </c>
      <c r="AI72" s="227">
        <f t="shared" si="22"/>
        <v>-2.0911694112233707</v>
      </c>
      <c r="AJ72" s="267" t="b">
        <f t="shared" si="18"/>
        <v>0</v>
      </c>
      <c r="AK72" s="267" t="b">
        <f t="shared" si="19"/>
        <v>0</v>
      </c>
      <c r="AL72" s="267"/>
      <c r="AM72" s="267"/>
      <c r="AN72" s="75"/>
    </row>
    <row r="73" spans="1:40" s="6" customFormat="1" ht="11.25" customHeight="1" x14ac:dyDescent="0.2">
      <c r="A73" s="56">
        <f t="shared" si="20"/>
        <v>43524</v>
      </c>
      <c r="B73" s="620">
        <v>29.608000000000001</v>
      </c>
      <c r="C73" s="392"/>
      <c r="D73" s="395">
        <f t="shared" si="0"/>
        <v>29.753742740158966</v>
      </c>
      <c r="E73" s="387">
        <f t="shared" si="1"/>
        <v>31.102830366493944</v>
      </c>
      <c r="F73" s="387">
        <f t="shared" si="2"/>
        <v>31.138574306786101</v>
      </c>
      <c r="G73" s="110">
        <f t="shared" si="23"/>
        <v>0.84163603730636793</v>
      </c>
      <c r="H73" s="416" t="b">
        <f>Wh_hp&gt;='2018'!Maxi_hp</f>
        <v>1</v>
      </c>
      <c r="I73" s="392">
        <f>IF(H73,Wh_hp,'2018'!Maxi_hp)</f>
        <v>31.138574306786101</v>
      </c>
      <c r="J73" s="85">
        <f>IF(H73,An,'2018'!An_max)</f>
        <v>2019</v>
      </c>
      <c r="K73" s="199">
        <f t="shared" si="3"/>
        <v>43524</v>
      </c>
      <c r="L73" s="147">
        <f>IF(t&lt;Tvie,1-EXP((T0-t)*PertePVj)+'2018'!Pspv,1-EXP((T0-t)*PertePVj)+Pspv)</f>
        <v>4.8982993982217282E-3</v>
      </c>
      <c r="M73" s="872"/>
      <c r="N73" s="872"/>
      <c r="O73" s="48">
        <f>IF(t&lt;Tnet,'2018'!Resal+('2018'!Salim-'2018'!Resal)*(1-EXP(('2018'!Tnet-t)/('2018'!Tau_j))),Resal+(Salim-Resal)*(1-EXP((Tnet-t)/(Tau_j))))*Salcycl</f>
        <v>4.3375075851241632E-2</v>
      </c>
      <c r="P73" s="171">
        <f>(INDEX(Models!$BJ73:$BT73,,T73)*(1-R73)+INDEX(Models!$BJ73:$BT73,,T73+1)*R73-ERP_i)*Q73*Ramure*Pc/MaxiM</f>
        <v>1.4827500318150629E-3</v>
      </c>
      <c r="Q73" s="307">
        <f t="shared" si="4"/>
        <v>0.9</v>
      </c>
      <c r="R73" s="179">
        <f t="shared" si="5"/>
        <v>0.90924507497825191</v>
      </c>
      <c r="S73" s="839">
        <f t="shared" si="6"/>
        <v>-3</v>
      </c>
      <c r="T73" s="178">
        <f t="shared" si="7"/>
        <v>3</v>
      </c>
      <c r="U73" s="253">
        <f t="shared" si="21"/>
        <v>-2.0907549250217481</v>
      </c>
      <c r="V73" s="385">
        <f t="shared" si="8"/>
        <v>35.167308702235658</v>
      </c>
      <c r="W73" s="58"/>
      <c r="X73" s="157">
        <f t="shared" si="9"/>
        <v>43524</v>
      </c>
      <c r="Y73" s="387">
        <f t="shared" si="10"/>
        <v>29.608000000000001</v>
      </c>
      <c r="Z73" s="387">
        <f t="shared" si="11"/>
        <v>29.753742740158966</v>
      </c>
      <c r="AA73" s="388">
        <f t="shared" si="12"/>
        <v>31.102830366493944</v>
      </c>
      <c r="AB73" s="199">
        <f t="shared" si="13"/>
        <v>43524</v>
      </c>
      <c r="AC73" s="428">
        <f>IF(OR(t&lt;Tnet,NoTnet),'2018'!Resal_s+('2018'!Salim-'2018'!Resal_s)*(1-EXP(('2018'!Tnet_s-t)/'2018'!Tau_j)),Resal_s+(Salim-Resal_s)*(1-EXP((Tnet_s-t)/Tau_j)))*Salcycl</f>
        <v>4.3375075851241632E-2</v>
      </c>
      <c r="AD73" s="233">
        <f>(INDEX(Models!$BJ73:$BT73,,AH73)*(1-AF73)+INDEX(Models!$BJ73:$BT73,,AH73+1)*AF73-ERP_i)*AE73*Ramure*Pc/MaxiM</f>
        <v>1.4827500318150629E-3</v>
      </c>
      <c r="AE73" s="307">
        <f t="shared" si="14"/>
        <v>0.9</v>
      </c>
      <c r="AF73" s="179">
        <f t="shared" si="15"/>
        <v>0.90924507497825191</v>
      </c>
      <c r="AG73" s="178">
        <f t="shared" si="16"/>
        <v>-3</v>
      </c>
      <c r="AH73" s="178">
        <f t="shared" si="17"/>
        <v>3</v>
      </c>
      <c r="AI73" s="227">
        <f t="shared" si="22"/>
        <v>-2.0907549250217481</v>
      </c>
      <c r="AJ73" s="267" t="b">
        <f t="shared" si="18"/>
        <v>0</v>
      </c>
      <c r="AK73" s="267" t="b">
        <f t="shared" si="19"/>
        <v>0</v>
      </c>
      <c r="AL73" s="267"/>
      <c r="AM73" s="267"/>
      <c r="AN73" s="75"/>
    </row>
    <row r="74" spans="1:40" s="6" customFormat="1" ht="11.25" customHeight="1" x14ac:dyDescent="0.2">
      <c r="A74" s="56">
        <f t="shared" si="20"/>
        <v>43525</v>
      </c>
      <c r="B74" s="620">
        <v>14.99</v>
      </c>
      <c r="C74" s="392"/>
      <c r="D74" s="395">
        <f t="shared" si="0"/>
        <v>15.064137502982756</v>
      </c>
      <c r="E74" s="387">
        <f t="shared" si="1"/>
        <v>15.750191813498404</v>
      </c>
      <c r="F74" s="387">
        <f t="shared" si="2"/>
        <v>15.754269381742652</v>
      </c>
      <c r="G74" s="110">
        <f t="shared" si="23"/>
        <v>0.42079507857022741</v>
      </c>
      <c r="H74" s="416" t="b">
        <f>Wh_hp&gt;='2018'!Maxi_hp</f>
        <v>1</v>
      </c>
      <c r="I74" s="392">
        <f>IF(H74,Wh_hp,'2018'!Maxi_hp)</f>
        <v>15.754269381742652</v>
      </c>
      <c r="J74" s="85">
        <f>IF(H74,An,'2018'!An_max)</f>
        <v>2019</v>
      </c>
      <c r="K74" s="199">
        <f t="shared" si="3"/>
        <v>43525</v>
      </c>
      <c r="L74" s="147">
        <f>IF(t&lt;Tvie,1-EXP((T0-t)*PertePVj)+'2018'!Pspv,1-EXP((T0-t)*PertePVj)+Pspv)</f>
        <v>4.9214568685447269E-3</v>
      </c>
      <c r="M74" s="872"/>
      <c r="N74" s="872"/>
      <c r="O74" s="48">
        <f>IF(t&lt;Tnet,'2018'!Resal+('2018'!Salim-'2018'!Resal)*(1-EXP(('2018'!Tnet-t)/('2018'!Tau_j))),Resal+(Salim-Resal)*(1-EXP((Tnet-t)/(Tau_j))))*Salcycl</f>
        <v>4.355847335952303E-2</v>
      </c>
      <c r="P74" s="171">
        <f>(INDEX(Models!$BJ74:$BT74,,T74)*(1-R74)+INDEX(Models!$BJ74:$BT74,,T74+1)*R74-ERP_i)*Q74*Ramure*Pc/MaxiM</f>
        <v>1.4934310444639685E-3</v>
      </c>
      <c r="Q74" s="307">
        <f t="shared" si="4"/>
        <v>0.9</v>
      </c>
      <c r="R74" s="179">
        <f t="shared" si="5"/>
        <v>0.90967642120133441</v>
      </c>
      <c r="S74" s="839">
        <f t="shared" si="6"/>
        <v>-3</v>
      </c>
      <c r="T74" s="178">
        <f t="shared" si="7"/>
        <v>3</v>
      </c>
      <c r="U74" s="253">
        <f t="shared" si="21"/>
        <v>-2.0903235787986656</v>
      </c>
      <c r="V74" s="385">
        <f t="shared" si="8"/>
        <v>35.579048324414913</v>
      </c>
      <c r="W74" s="58"/>
      <c r="X74" s="157">
        <f t="shared" si="9"/>
        <v>43525</v>
      </c>
      <c r="Y74" s="387">
        <f t="shared" si="10"/>
        <v>14.99</v>
      </c>
      <c r="Z74" s="387">
        <f t="shared" si="11"/>
        <v>15.064137502982756</v>
      </c>
      <c r="AA74" s="388">
        <f t="shared" si="12"/>
        <v>15.750191813498404</v>
      </c>
      <c r="AB74" s="199">
        <f t="shared" si="13"/>
        <v>43525</v>
      </c>
      <c r="AC74" s="428">
        <f>IF(OR(t&lt;Tnet,NoTnet),'2018'!Resal_s+('2018'!Salim-'2018'!Resal_s)*(1-EXP(('2018'!Tnet_s-t)/'2018'!Tau_j)),Resal_s+(Salim-Resal_s)*(1-EXP((Tnet_s-t)/Tau_j)))*Salcycl</f>
        <v>4.355847335952303E-2</v>
      </c>
      <c r="AD74" s="233">
        <f>(INDEX(Models!$BJ74:$BT74,,AH74)*(1-AF74)+INDEX(Models!$BJ74:$BT74,,AH74+1)*AF74-ERP_i)*AE74*Ramure*Pc/MaxiM</f>
        <v>1.4934310444639685E-3</v>
      </c>
      <c r="AE74" s="307">
        <f t="shared" si="14"/>
        <v>0.9</v>
      </c>
      <c r="AF74" s="179">
        <f t="shared" si="15"/>
        <v>0.90967642120133441</v>
      </c>
      <c r="AG74" s="178">
        <f t="shared" si="16"/>
        <v>-3</v>
      </c>
      <c r="AH74" s="178">
        <f t="shared" si="17"/>
        <v>3</v>
      </c>
      <c r="AI74" s="227">
        <f t="shared" si="22"/>
        <v>-2.0903235787986656</v>
      </c>
      <c r="AJ74" s="267" t="b">
        <f t="shared" si="18"/>
        <v>0</v>
      </c>
      <c r="AK74" s="267" t="b">
        <f t="shared" si="19"/>
        <v>0</v>
      </c>
      <c r="AL74" s="267"/>
      <c r="AM74" s="267"/>
      <c r="AN74" s="75"/>
    </row>
    <row r="75" spans="1:40" s="6" customFormat="1" ht="11.25" customHeight="1" x14ac:dyDescent="0.2">
      <c r="A75" s="56">
        <f t="shared" si="20"/>
        <v>43526</v>
      </c>
      <c r="B75" s="620">
        <v>19.584</v>
      </c>
      <c r="C75" s="392"/>
      <c r="D75" s="395">
        <f t="shared" si="0"/>
        <v>19.681316509212827</v>
      </c>
      <c r="E75" s="387">
        <f t="shared" si="1"/>
        <v>20.581589696690358</v>
      </c>
      <c r="F75" s="387">
        <f t="shared" si="2"/>
        <v>20.592388698429946</v>
      </c>
      <c r="G75" s="110">
        <f t="shared" si="23"/>
        <v>0.54358290784704821</v>
      </c>
      <c r="H75" s="416" t="b">
        <f>Wh_hp&gt;='2018'!Maxi_hp</f>
        <v>1</v>
      </c>
      <c r="I75" s="392">
        <f>IF(H75,Wh_hp,'2018'!Maxi_hp)</f>
        <v>20.592388698429946</v>
      </c>
      <c r="J75" s="85">
        <f>IF(H75,An,'2018'!An_max)</f>
        <v>2019</v>
      </c>
      <c r="K75" s="199">
        <f t="shared" si="3"/>
        <v>43526</v>
      </c>
      <c r="L75" s="147">
        <f>IF(t&lt;Tvie,1-EXP((T0-t)*PertePVj)+'2018'!Pspv,1-EXP((T0-t)*PertePVj)+Pspv)</f>
        <v>4.9446137999595852E-3</v>
      </c>
      <c r="M75" s="872"/>
      <c r="N75" s="872"/>
      <c r="O75" s="48">
        <f>IF(t&lt;Tnet,'2018'!Resal+('2018'!Salim-'2018'!Resal)*(1-EXP(('2018'!Tnet-t)/('2018'!Tau_j))),Resal+(Salim-Resal)*(1-EXP((Tnet-t)/(Tau_j))))*Salcycl</f>
        <v>4.3741674027361351E-2</v>
      </c>
      <c r="P75" s="171">
        <f>(INDEX(Models!$BJ75:$BT75,,T75)*(1-R75)+INDEX(Models!$BJ75:$BT75,,T75+1)*R75-ERP_i)*Q75*Ramure*Pc/MaxiM</f>
        <v>1.5037601280185693E-3</v>
      </c>
      <c r="Q75" s="307">
        <f t="shared" si="4"/>
        <v>0.9</v>
      </c>
      <c r="R75" s="179">
        <f t="shared" si="5"/>
        <v>0.91012529055830038</v>
      </c>
      <c r="S75" s="839">
        <f t="shared" si="6"/>
        <v>-3</v>
      </c>
      <c r="T75" s="178">
        <f t="shared" si="7"/>
        <v>3</v>
      </c>
      <c r="U75" s="253">
        <f t="shared" si="21"/>
        <v>-2.0898747094416996</v>
      </c>
      <c r="V75" s="385">
        <f t="shared" si="8"/>
        <v>35.992320952927173</v>
      </c>
      <c r="W75" s="58"/>
      <c r="X75" s="157">
        <f t="shared" si="9"/>
        <v>43526</v>
      </c>
      <c r="Y75" s="387">
        <f t="shared" si="10"/>
        <v>19.584</v>
      </c>
      <c r="Z75" s="387">
        <f t="shared" si="11"/>
        <v>19.681316509212827</v>
      </c>
      <c r="AA75" s="388">
        <f t="shared" si="12"/>
        <v>20.581589696690358</v>
      </c>
      <c r="AB75" s="199">
        <f t="shared" si="13"/>
        <v>43526</v>
      </c>
      <c r="AC75" s="428">
        <f>IF(OR(t&lt;Tnet,NoTnet),'2018'!Resal_s+('2018'!Salim-'2018'!Resal_s)*(1-EXP(('2018'!Tnet_s-t)/'2018'!Tau_j)),Resal_s+(Salim-Resal_s)*(1-EXP((Tnet_s-t)/Tau_j)))*Salcycl</f>
        <v>4.3741674027361351E-2</v>
      </c>
      <c r="AD75" s="233">
        <f>(INDEX(Models!$BJ75:$BT75,,AH75)*(1-AF75)+INDEX(Models!$BJ75:$BT75,,AH75+1)*AF75-ERP_i)*AE75*Ramure*Pc/MaxiM</f>
        <v>1.5037601280185693E-3</v>
      </c>
      <c r="AE75" s="307">
        <f t="shared" si="14"/>
        <v>0.9</v>
      </c>
      <c r="AF75" s="179">
        <f t="shared" si="15"/>
        <v>0.91012529055830038</v>
      </c>
      <c r="AG75" s="178">
        <f t="shared" si="16"/>
        <v>-3</v>
      </c>
      <c r="AH75" s="178">
        <f t="shared" si="17"/>
        <v>3</v>
      </c>
      <c r="AI75" s="227">
        <f t="shared" si="22"/>
        <v>-2.0898747094416996</v>
      </c>
      <c r="AJ75" s="267" t="b">
        <f t="shared" si="18"/>
        <v>0</v>
      </c>
      <c r="AK75" s="267" t="b">
        <f t="shared" si="19"/>
        <v>0</v>
      </c>
      <c r="AL75" s="267"/>
      <c r="AM75" s="267"/>
      <c r="AN75" s="75"/>
    </row>
    <row r="76" spans="1:40" s="6" customFormat="1" ht="11.25" customHeight="1" x14ac:dyDescent="0.2">
      <c r="A76" s="56">
        <f t="shared" si="20"/>
        <v>43527</v>
      </c>
      <c r="B76" s="620">
        <v>31.643000000000001</v>
      </c>
      <c r="C76" s="392"/>
      <c r="D76" s="395">
        <f t="shared" si="0"/>
        <v>31.800979960338587</v>
      </c>
      <c r="E76" s="387">
        <f t="shared" si="1"/>
        <v>33.262002969816621</v>
      </c>
      <c r="F76" s="387">
        <f t="shared" si="2"/>
        <v>33.302992587893023</v>
      </c>
      <c r="G76" s="110">
        <f t="shared" si="23"/>
        <v>0.86890698219309026</v>
      </c>
      <c r="H76" s="416" t="b">
        <f>Wh_hp&gt;='2018'!Maxi_hp</f>
        <v>1</v>
      </c>
      <c r="I76" s="392">
        <f>IF(H76,Wh_hp,'2018'!Maxi_hp)</f>
        <v>33.302992587893023</v>
      </c>
      <c r="J76" s="85">
        <f>IF(H76,An,'2018'!An_max)</f>
        <v>2019</v>
      </c>
      <c r="K76" s="199">
        <f t="shared" si="3"/>
        <v>43527</v>
      </c>
      <c r="L76" s="147">
        <f>IF(t&lt;Tvie,1-EXP((T0-t)*PertePVj)+'2018'!Pspv,1-EXP((T0-t)*PertePVj)+Pspv)</f>
        <v>4.9677701924788487E-3</v>
      </c>
      <c r="M76" s="872"/>
      <c r="N76" s="872"/>
      <c r="O76" s="48">
        <f>IF(t&lt;Tnet,'2018'!Resal+('2018'!Salim-'2018'!Resal)*(1-EXP(('2018'!Tnet-t)/('2018'!Tau_j))),Resal+(Salim-Resal)*(1-EXP((Tnet-t)/(Tau_j))))*Salcycl</f>
        <v>4.3924685197215284E-2</v>
      </c>
      <c r="P76" s="171">
        <f>(INDEX(Models!$BJ76:$BT76,,T76)*(1-R76)+INDEX(Models!$BJ76:$BT76,,T76+1)*R76-ERP_i)*Q76*Ramure*Pc/MaxiM</f>
        <v>1.5137684640200242E-3</v>
      </c>
      <c r="Q76" s="307">
        <f t="shared" si="4"/>
        <v>0.9</v>
      </c>
      <c r="R76" s="179">
        <f t="shared" si="5"/>
        <v>0.91059237033210128</v>
      </c>
      <c r="S76" s="839">
        <f t="shared" si="6"/>
        <v>-3</v>
      </c>
      <c r="T76" s="178">
        <f t="shared" si="7"/>
        <v>3</v>
      </c>
      <c r="U76" s="253">
        <f t="shared" si="21"/>
        <v>-2.0894076296678987</v>
      </c>
      <c r="V76" s="385">
        <f t="shared" si="8"/>
        <v>36.406699363022753</v>
      </c>
      <c r="W76" s="58"/>
      <c r="X76" s="157">
        <f t="shared" si="9"/>
        <v>43527</v>
      </c>
      <c r="Y76" s="387">
        <f t="shared" si="10"/>
        <v>31.643000000000001</v>
      </c>
      <c r="Z76" s="387">
        <f t="shared" si="11"/>
        <v>31.800979960338587</v>
      </c>
      <c r="AA76" s="388">
        <f t="shared" si="12"/>
        <v>33.262002969816621</v>
      </c>
      <c r="AB76" s="199">
        <f t="shared" si="13"/>
        <v>43527</v>
      </c>
      <c r="AC76" s="428">
        <f>IF(OR(t&lt;Tnet,NoTnet),'2018'!Resal_s+('2018'!Salim-'2018'!Resal_s)*(1-EXP(('2018'!Tnet_s-t)/'2018'!Tau_j)),Resal_s+(Salim-Resal_s)*(1-EXP((Tnet_s-t)/Tau_j)))*Salcycl</f>
        <v>4.3924685197215284E-2</v>
      </c>
      <c r="AD76" s="233">
        <f>(INDEX(Models!$BJ76:$BT76,,AH76)*(1-AF76)+INDEX(Models!$BJ76:$BT76,,AH76+1)*AF76-ERP_i)*AE76*Ramure*Pc/MaxiM</f>
        <v>1.5137684640200242E-3</v>
      </c>
      <c r="AE76" s="307">
        <f t="shared" si="14"/>
        <v>0.9</v>
      </c>
      <c r="AF76" s="179">
        <f t="shared" si="15"/>
        <v>0.91059237033210128</v>
      </c>
      <c r="AG76" s="178">
        <f t="shared" si="16"/>
        <v>-3</v>
      </c>
      <c r="AH76" s="178">
        <f t="shared" si="17"/>
        <v>3</v>
      </c>
      <c r="AI76" s="227">
        <f t="shared" si="22"/>
        <v>-2.0894076296678987</v>
      </c>
      <c r="AJ76" s="267" t="b">
        <f t="shared" si="18"/>
        <v>0</v>
      </c>
      <c r="AK76" s="267" t="b">
        <f t="shared" si="19"/>
        <v>0</v>
      </c>
      <c r="AL76" s="267"/>
      <c r="AM76" s="267"/>
      <c r="AN76" s="75"/>
    </row>
    <row r="77" spans="1:40" s="6" customFormat="1" ht="11.25" x14ac:dyDescent="0.2">
      <c r="A77" s="56">
        <f t="shared" si="20"/>
        <v>43528</v>
      </c>
      <c r="B77" s="620">
        <v>9.4640000000000004</v>
      </c>
      <c r="C77" s="392"/>
      <c r="D77" s="395">
        <f t="shared" si="0"/>
        <v>9.5114710485932932</v>
      </c>
      <c r="E77" s="387">
        <f t="shared" si="1"/>
        <v>9.950356555120246</v>
      </c>
      <c r="F77" s="387">
        <f t="shared" si="2"/>
        <v>9.950356555120246</v>
      </c>
      <c r="G77" s="110">
        <f t="shared" si="23"/>
        <v>0.2566303889074274</v>
      </c>
      <c r="H77" s="416" t="b">
        <f>Wh_hp&gt;='2018'!Maxi_hp</f>
        <v>1</v>
      </c>
      <c r="I77" s="392">
        <f>IF(H77,Wh_hp,'2018'!Maxi_hp)</f>
        <v>9.950356555120246</v>
      </c>
      <c r="J77" s="85">
        <f>IF(H77,An,'2018'!An_max)</f>
        <v>2019</v>
      </c>
      <c r="K77" s="199">
        <f t="shared" si="3"/>
        <v>43528</v>
      </c>
      <c r="L77" s="147">
        <f>IF(t&lt;Tvie,1-EXP((T0-t)*PertePVj)+'2018'!Pspv,1-EXP((T0-t)*PertePVj)+Pspv)</f>
        <v>4.9909260461149518E-3</v>
      </c>
      <c r="M77" s="872"/>
      <c r="N77" s="872"/>
      <c r="O77" s="48">
        <f>IF(t&lt;Tnet,'2018'!Resal+('2018'!Salim-'2018'!Resal)*(1-EXP(('2018'!Tnet-t)/('2018'!Tau_j))),Resal+(Salim-Resal)*(1-EXP((Tnet-t)/(Tau_j))))*Salcycl</f>
        <v>4.4107515554416207E-2</v>
      </c>
      <c r="P77" s="171">
        <f>(INDEX(Models!$BJ77:$BT77,,T77)*(1-R77)+INDEX(Models!$BJ77:$BT77,,T77+1)*R77-ERP_i)*Q77*Ramure*Pc/MaxiM</f>
        <v>1.5234864417092344E-3</v>
      </c>
      <c r="Q77" s="307">
        <f t="shared" si="4"/>
        <v>0.9</v>
      </c>
      <c r="R77" s="179">
        <f t="shared" si="5"/>
        <v>0.91107837269523895</v>
      </c>
      <c r="S77" s="839">
        <f t="shared" si="6"/>
        <v>-3</v>
      </c>
      <c r="T77" s="178">
        <f t="shared" si="7"/>
        <v>3</v>
      </c>
      <c r="U77" s="253">
        <f t="shared" si="21"/>
        <v>-2.0889216273047611</v>
      </c>
      <c r="V77" s="385">
        <f t="shared" si="8"/>
        <v>36.821756630405723</v>
      </c>
      <c r="W77" s="58"/>
      <c r="X77" s="157">
        <f t="shared" si="9"/>
        <v>43528</v>
      </c>
      <c r="Y77" s="387">
        <f t="shared" si="10"/>
        <v>9.4640000000000004</v>
      </c>
      <c r="Z77" s="387">
        <f t="shared" si="11"/>
        <v>9.5114710485932932</v>
      </c>
      <c r="AA77" s="388">
        <f t="shared" si="12"/>
        <v>9.950356555120246</v>
      </c>
      <c r="AB77" s="199">
        <f t="shared" si="13"/>
        <v>43528</v>
      </c>
      <c r="AC77" s="428">
        <f>IF(OR(t&lt;Tnet,NoTnet),'2018'!Resal_s+('2018'!Salim-'2018'!Resal_s)*(1-EXP(('2018'!Tnet_s-t)/'2018'!Tau_j)),Resal_s+(Salim-Resal_s)*(1-EXP((Tnet_s-t)/Tau_j)))*Salcycl</f>
        <v>4.4107515554416207E-2</v>
      </c>
      <c r="AD77" s="233">
        <f>(INDEX(Models!$BJ77:$BT77,,AH77)*(1-AF77)+INDEX(Models!$BJ77:$BT77,,AH77+1)*AF77-ERP_i)*AE77*Ramure*Pc/MaxiM</f>
        <v>1.5234864417092344E-3</v>
      </c>
      <c r="AE77" s="307">
        <f t="shared" si="14"/>
        <v>0.9</v>
      </c>
      <c r="AF77" s="179">
        <f t="shared" si="15"/>
        <v>0.91107837269523895</v>
      </c>
      <c r="AG77" s="178">
        <f t="shared" si="16"/>
        <v>-3</v>
      </c>
      <c r="AH77" s="178">
        <f t="shared" si="17"/>
        <v>3</v>
      </c>
      <c r="AI77" s="227">
        <f t="shared" si="22"/>
        <v>-2.0889216273047611</v>
      </c>
      <c r="AJ77" s="267" t="b">
        <f t="shared" si="18"/>
        <v>0</v>
      </c>
      <c r="AK77" s="267" t="b">
        <f t="shared" si="19"/>
        <v>0</v>
      </c>
      <c r="AL77" s="267"/>
      <c r="AM77" s="267"/>
      <c r="AN77" s="75"/>
    </row>
    <row r="78" spans="1:40" s="6" customFormat="1" ht="11.25" customHeight="1" x14ac:dyDescent="0.2">
      <c r="A78" s="56">
        <f t="shared" si="20"/>
        <v>43529</v>
      </c>
      <c r="B78" s="620">
        <v>36.642000000000003</v>
      </c>
      <c r="C78" s="392"/>
      <c r="D78" s="395">
        <f t="shared" si="0"/>
        <v>36.826651828517008</v>
      </c>
      <c r="E78" s="387">
        <f t="shared" si="1"/>
        <v>38.533298361945171</v>
      </c>
      <c r="F78" s="387">
        <f t="shared" si="2"/>
        <v>38.591105820273576</v>
      </c>
      <c r="G78" s="110">
        <f t="shared" si="23"/>
        <v>0.98398503335380005</v>
      </c>
      <c r="H78" s="416" t="b">
        <f>Wh_hp&gt;='2018'!Maxi_hp</f>
        <v>1</v>
      </c>
      <c r="I78" s="392">
        <f>IF(H78,Wh_hp,'2018'!Maxi_hp)</f>
        <v>38.591105820273576</v>
      </c>
      <c r="J78" s="85">
        <f>IF(H78,An,'2018'!An_max)</f>
        <v>2019</v>
      </c>
      <c r="K78" s="199">
        <f t="shared" si="3"/>
        <v>43529</v>
      </c>
      <c r="L78" s="147">
        <f>IF(t&lt;Tvie,1-EXP((T0-t)*PertePVj)+'2018'!Pspv,1-EXP((T0-t)*PertePVj)+Pspv)</f>
        <v>5.0140813608805512E-3</v>
      </c>
      <c r="M78" s="872"/>
      <c r="N78" s="872"/>
      <c r="O78" s="48">
        <f>IF(t&lt;Tnet,'2018'!Resal+('2018'!Salim-'2018'!Resal)*(1-EXP(('2018'!Tnet-t)/('2018'!Tau_j))),Resal+(Salim-Resal)*(1-EXP((Tnet-t)/(Tau_j))))*Salcycl</f>
        <v>4.4290175146636759E-2</v>
      </c>
      <c r="P78" s="171">
        <f>(INDEX(Models!$BJ78:$BT78,,T78)*(1-R78)+INDEX(Models!$BJ78:$BT78,,T78+1)*R78-ERP_i)*Q78*Ramure*Pc/MaxiM</f>
        <v>1.5329436645518774E-3</v>
      </c>
      <c r="Q78" s="307">
        <f t="shared" si="4"/>
        <v>0.9</v>
      </c>
      <c r="R78" s="179">
        <f t="shared" si="5"/>
        <v>0.91158403543589284</v>
      </c>
      <c r="S78" s="839">
        <f t="shared" si="6"/>
        <v>-3</v>
      </c>
      <c r="T78" s="178">
        <f t="shared" si="7"/>
        <v>3</v>
      </c>
      <c r="U78" s="253">
        <f t="shared" si="21"/>
        <v>-2.0884159645641072</v>
      </c>
      <c r="V78" s="385">
        <f t="shared" si="8"/>
        <v>37.237066126266605</v>
      </c>
      <c r="W78" s="58"/>
      <c r="X78" s="157">
        <f t="shared" si="9"/>
        <v>43529</v>
      </c>
      <c r="Y78" s="387">
        <f t="shared" si="10"/>
        <v>36.642000000000003</v>
      </c>
      <c r="Z78" s="387">
        <f t="shared" si="11"/>
        <v>36.826651828517008</v>
      </c>
      <c r="AA78" s="388">
        <f t="shared" si="12"/>
        <v>38.533298361945171</v>
      </c>
      <c r="AB78" s="199">
        <f t="shared" si="13"/>
        <v>43529</v>
      </c>
      <c r="AC78" s="428">
        <f>IF(OR(t&lt;Tnet,NoTnet),'2018'!Resal_s+('2018'!Salim-'2018'!Resal_s)*(1-EXP(('2018'!Tnet_s-t)/'2018'!Tau_j)),Resal_s+(Salim-Resal_s)*(1-EXP((Tnet_s-t)/Tau_j)))*Salcycl</f>
        <v>4.4290175146636759E-2</v>
      </c>
      <c r="AD78" s="233">
        <f>(INDEX(Models!$BJ78:$BT78,,AH78)*(1-AF78)+INDEX(Models!$BJ78:$BT78,,AH78+1)*AF78-ERP_i)*AE78*Ramure*Pc/MaxiM</f>
        <v>1.5329436645518774E-3</v>
      </c>
      <c r="AE78" s="307">
        <f t="shared" si="14"/>
        <v>0.9</v>
      </c>
      <c r="AF78" s="179">
        <f t="shared" si="15"/>
        <v>0.91158403543589284</v>
      </c>
      <c r="AG78" s="178">
        <f t="shared" si="16"/>
        <v>-3</v>
      </c>
      <c r="AH78" s="178">
        <f t="shared" si="17"/>
        <v>3</v>
      </c>
      <c r="AI78" s="227">
        <f t="shared" si="22"/>
        <v>-2.0884159645641072</v>
      </c>
      <c r="AJ78" s="267" t="b">
        <f t="shared" si="18"/>
        <v>0</v>
      </c>
      <c r="AK78" s="267" t="b">
        <f t="shared" si="19"/>
        <v>0</v>
      </c>
      <c r="AL78" s="267"/>
      <c r="AM78" s="267"/>
      <c r="AN78" s="75"/>
    </row>
    <row r="79" spans="1:40" s="6" customFormat="1" ht="11.25" x14ac:dyDescent="0.2">
      <c r="A79" s="56">
        <f t="shared" si="20"/>
        <v>43530</v>
      </c>
      <c r="B79" s="620">
        <v>22.960999999999999</v>
      </c>
      <c r="C79" s="392"/>
      <c r="D79" s="395">
        <f t="shared" ref="D79:D142" si="24">Wh/(1-Ppv)</f>
        <v>23.077245535147174</v>
      </c>
      <c r="E79" s="387">
        <f t="shared" si="1"/>
        <v>24.151319319608483</v>
      </c>
      <c r="F79" s="387">
        <f t="shared" ref="F79:F142" si="25">Wh_sa/(1-Pvg*MEDIAN((-Sdif+Wh/Env_an)/Csdif,0,1))</f>
        <v>24.167812123505598</v>
      </c>
      <c r="G79" s="110">
        <f t="shared" si="23"/>
        <v>0.60925406571413021</v>
      </c>
      <c r="H79" s="416" t="b">
        <f>Wh_hp&gt;='2018'!Maxi_hp</f>
        <v>1</v>
      </c>
      <c r="I79" s="392">
        <f>IF(H79,Wh_hp,'2018'!Maxi_hp)</f>
        <v>24.167812123505598</v>
      </c>
      <c r="J79" s="85">
        <f>IF(H79,An,'2018'!An_max)</f>
        <v>2019</v>
      </c>
      <c r="K79" s="199">
        <f t="shared" ref="K79:K142" si="26">t</f>
        <v>43530</v>
      </c>
      <c r="L79" s="147">
        <f>IF(t&lt;Tvie,1-EXP((T0-t)*PertePVj)+'2018'!Pspv,1-EXP((T0-t)*PertePVj)+Pspv)</f>
        <v>5.0372361367881924E-3</v>
      </c>
      <c r="M79" s="872"/>
      <c r="N79" s="872"/>
      <c r="O79" s="48">
        <f>IF(t&lt;Tnet,'2018'!Resal+('2018'!Salim-'2018'!Resal)*(1-EXP(('2018'!Tnet-t)/('2018'!Tau_j))),Resal+(Salim-Resal)*(1-EXP((Tnet-t)/(Tau_j))))*Salcycl</f>
        <v>4.4472675394973862E-2</v>
      </c>
      <c r="P79" s="171">
        <f>(INDEX(Models!$BJ79:$BT79,,T79)*(1-R79)+INDEX(Models!$BJ79:$BT79,,T79+1)*R79-ERP_i)*Q79*Ramure*Pc/MaxiM</f>
        <v>1.542068858055221E-3</v>
      </c>
      <c r="Q79" s="307">
        <f t="shared" ref="Q79:Q142" si="27">IF(OR(t&lt;Ttai,Notai),Dd+PousD*Croivg,Dens+PousD*(Croivg-Croi_tai))</f>
        <v>0.9</v>
      </c>
      <c r="R79" s="179">
        <f t="shared" ref="R79:R142" si="28">(Hp_vg-S79)/(INDEX(Echel_vg,T79+1)-S79)</f>
        <v>0.91211012268975011</v>
      </c>
      <c r="S79" s="839">
        <f t="shared" ref="S79:S142" si="29">INDEX(Echel_vg,T79)</f>
        <v>-3</v>
      </c>
      <c r="T79" s="178">
        <f t="shared" ref="T79:T142" si="30">MIN(MATCH(Hp_vg,Echel_vg),10)</f>
        <v>3</v>
      </c>
      <c r="U79" s="253">
        <f t="shared" ref="U79:U142" si="31">IF(OR(t&lt;Ttai,Notai),Hdd+PousH*Croivg,Hdtf+PousH*(Croivg-Croi_tai))</f>
        <v>-2.0878898773102499</v>
      </c>
      <c r="V79" s="385">
        <f t="shared" ref="V79:V142" si="32">MaxiM*(1-Ppv)*(1-Pvg)*(1-Psa)</f>
        <v>37.654649529262286</v>
      </c>
      <c r="W79" s="58"/>
      <c r="X79" s="157">
        <f t="shared" ref="X79:X142" si="33">t</f>
        <v>43530</v>
      </c>
      <c r="Y79" s="387">
        <f t="shared" ref="Y79:Y142" si="34">Wh_pvt_s*(1-Ppv)</f>
        <v>22.960999999999999</v>
      </c>
      <c r="Z79" s="387">
        <f t="shared" ref="Z79:Z142" si="35">Wh_sa_s*(1-Psa_s)</f>
        <v>23.077245535147174</v>
      </c>
      <c r="AA79" s="388">
        <f t="shared" ref="AA79:AA142" si="36">Wh_hp*(1-Pvg_s*MEDIAN((-Sdif+Wh/Env_an)/Csdif,0,1))</f>
        <v>24.151319319608483</v>
      </c>
      <c r="AB79" s="199">
        <f t="shared" ref="AB79:AB142" si="37">t</f>
        <v>43530</v>
      </c>
      <c r="AC79" s="428">
        <f>IF(OR(t&lt;Tnet,NoTnet),'2018'!Resal_s+('2018'!Salim-'2018'!Resal_s)*(1-EXP(('2018'!Tnet_s-t)/'2018'!Tau_j)),Resal_s+(Salim-Resal_s)*(1-EXP((Tnet_s-t)/Tau_j)))*Salcycl</f>
        <v>4.4472675394973862E-2</v>
      </c>
      <c r="AD79" s="233">
        <f>(INDEX(Models!$BJ79:$BT79,,AH79)*(1-AF79)+INDEX(Models!$BJ79:$BT79,,AH79+1)*AF79-ERP_i)*AE79*Ramure*Pc/MaxiM</f>
        <v>1.542068858055221E-3</v>
      </c>
      <c r="AE79" s="307">
        <f t="shared" ref="AE79:AE142" si="38">IF(OR(t&lt;Ttai,Notai),Dd_s+PousD*Croivg,Dens_s+PousD*(Croivg-Croi_tai))</f>
        <v>0.9</v>
      </c>
      <c r="AF79" s="179">
        <f t="shared" ref="AF79:AF142" si="39">(Hp_vg_s-AG79)/(INDEX(Echel_vg,AH79+1)-AG79)</f>
        <v>0.91211012268975011</v>
      </c>
      <c r="AG79" s="178">
        <f t="shared" ref="AG79:AG142" si="40">INDEX(Echel_vg,AH79)</f>
        <v>-3</v>
      </c>
      <c r="AH79" s="178">
        <f t="shared" ref="AH79:AH142" si="41">MIN(MATCH(Hp_vg_s,Echel_vg),10)</f>
        <v>3</v>
      </c>
      <c r="AI79" s="227">
        <f t="shared" ref="AI79:AI142" si="42">IF(OR(t&lt;Ttai,Notai),Hdd_s+PousH*Croivg,Hdtai_s+PousH*(Croivg-Croi_tai))</f>
        <v>-2.0878898773102499</v>
      </c>
      <c r="AJ79" s="267" t="b">
        <f t="shared" ref="AJ79:AJ142" si="43">t&lt;Tnet</f>
        <v>0</v>
      </c>
      <c r="AK79" s="267" t="b">
        <f t="shared" ref="AK79:AK142" si="44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5">A79+1</f>
        <v>43531</v>
      </c>
      <c r="B80" s="620">
        <v>34.555999999999997</v>
      </c>
      <c r="C80" s="392"/>
      <c r="D80" s="395">
        <f t="shared" si="24"/>
        <v>34.731756244968956</v>
      </c>
      <c r="E80" s="387">
        <f t="shared" ref="E80:E143" si="46">Wh_pvt/(1-Psa)</f>
        <v>36.355198700768277</v>
      </c>
      <c r="F80" s="387">
        <f t="shared" si="25"/>
        <v>36.40417096783824</v>
      </c>
      <c r="G80" s="110">
        <f t="shared" ref="G80:G143" si="47">+Wh_hp/MaxiM</f>
        <v>0.90735733583994738</v>
      </c>
      <c r="H80" s="416" t="b">
        <f>Wh_hp&gt;='2018'!Maxi_hp</f>
        <v>1</v>
      </c>
      <c r="I80" s="392">
        <f>IF(H80,Wh_hp,'2018'!Maxi_hp)</f>
        <v>36.40417096783824</v>
      </c>
      <c r="J80" s="85">
        <f>IF(H80,An,'2018'!An_max)</f>
        <v>2019</v>
      </c>
      <c r="K80" s="199">
        <f t="shared" si="26"/>
        <v>43531</v>
      </c>
      <c r="L80" s="147">
        <f>IF(t&lt;Tvie,1-EXP((T0-t)*PertePVj)+'2018'!Pspv,1-EXP((T0-t)*PertePVj)+Pspv)</f>
        <v>5.0603903738503098E-3</v>
      </c>
      <c r="M80" s="872"/>
      <c r="N80" s="872"/>
      <c r="O80" s="48">
        <f>IF(t&lt;Tnet,'2018'!Resal+('2018'!Salim-'2018'!Resal)*(1-EXP(('2018'!Tnet-t)/('2018'!Tau_j))),Resal+(Salim-Resal)*(1-EXP((Tnet-t)/(Tau_j))))*Salcycl</f>
        <v>4.4655029096705552E-2</v>
      </c>
      <c r="P80" s="171">
        <f>(INDEX(Models!$BJ80:$BT80,,T80)*(1-R80)+INDEX(Models!$BJ80:$BT80,,T80+1)*R80-ERP_i)*Q80*Ramure*Pc/MaxiM</f>
        <v>1.5499575796202156E-3</v>
      </c>
      <c r="Q80" s="307">
        <f t="shared" si="27"/>
        <v>0.9</v>
      </c>
      <c r="R80" s="179">
        <f t="shared" si="28"/>
        <v>0.91265742567596009</v>
      </c>
      <c r="S80" s="839">
        <f t="shared" si="29"/>
        <v>-3</v>
      </c>
      <c r="T80" s="178">
        <f t="shared" si="30"/>
        <v>3</v>
      </c>
      <c r="U80" s="253">
        <f t="shared" si="31"/>
        <v>-2.0873425743240399</v>
      </c>
      <c r="V80" s="385">
        <f t="shared" si="32"/>
        <v>38.076416875032685</v>
      </c>
      <c r="W80" s="58"/>
      <c r="X80" s="157">
        <f t="shared" si="33"/>
        <v>43531</v>
      </c>
      <c r="Y80" s="387">
        <f t="shared" si="34"/>
        <v>34.555999999999997</v>
      </c>
      <c r="Z80" s="387">
        <f t="shared" si="35"/>
        <v>34.731756244968956</v>
      </c>
      <c r="AA80" s="388">
        <f t="shared" si="36"/>
        <v>36.355198700768277</v>
      </c>
      <c r="AB80" s="199">
        <f t="shared" si="37"/>
        <v>43531</v>
      </c>
      <c r="AC80" s="428">
        <f>IF(OR(t&lt;Tnet,NoTnet),'2018'!Resal_s+('2018'!Salim-'2018'!Resal_s)*(1-EXP(('2018'!Tnet_s-t)/'2018'!Tau_j)),Resal_s+(Salim-Resal_s)*(1-EXP((Tnet_s-t)/Tau_j)))*Salcycl</f>
        <v>4.4655029096705552E-2</v>
      </c>
      <c r="AD80" s="233">
        <f>(INDEX(Models!$BJ80:$BT80,,AH80)*(1-AF80)+INDEX(Models!$BJ80:$BT80,,AH80+1)*AF80-ERP_i)*AE80*Ramure*Pc/MaxiM</f>
        <v>1.5499575796202156E-3</v>
      </c>
      <c r="AE80" s="307">
        <f t="shared" si="38"/>
        <v>0.9</v>
      </c>
      <c r="AF80" s="179">
        <f t="shared" si="39"/>
        <v>0.91265742567596009</v>
      </c>
      <c r="AG80" s="178">
        <f t="shared" si="40"/>
        <v>-3</v>
      </c>
      <c r="AH80" s="178">
        <f t="shared" si="41"/>
        <v>3</v>
      </c>
      <c r="AI80" s="227">
        <f t="shared" si="42"/>
        <v>-2.0873425743240399</v>
      </c>
      <c r="AJ80" s="267" t="b">
        <f t="shared" si="43"/>
        <v>0</v>
      </c>
      <c r="AK80" s="267" t="b">
        <f t="shared" si="44"/>
        <v>0</v>
      </c>
      <c r="AL80" s="267"/>
      <c r="AM80" s="267"/>
      <c r="AN80" s="75"/>
    </row>
    <row r="81" spans="1:40" s="6" customFormat="1" ht="11.25" x14ac:dyDescent="0.2">
      <c r="A81" s="56">
        <f t="shared" si="45"/>
        <v>43532</v>
      </c>
      <c r="B81" s="620">
        <v>25.382000000000001</v>
      </c>
      <c r="C81" s="392"/>
      <c r="D81" s="395">
        <f t="shared" si="24"/>
        <v>25.511689799448721</v>
      </c>
      <c r="E81" s="387">
        <f t="shared" si="46"/>
        <v>26.709259558816466</v>
      </c>
      <c r="F81" s="387">
        <f t="shared" si="25"/>
        <v>26.730612112886266</v>
      </c>
      <c r="G81" s="110">
        <f t="shared" si="47"/>
        <v>0.65874314189567196</v>
      </c>
      <c r="H81" s="416" t="b">
        <f>Wh_hp&gt;='2018'!Maxi_hp</f>
        <v>1</v>
      </c>
      <c r="I81" s="392">
        <f>IF(H81,Wh_hp,'2018'!Maxi_hp)</f>
        <v>26.730612112886266</v>
      </c>
      <c r="J81" s="85">
        <f>IF(H81,An,'2018'!An_max)</f>
        <v>2019</v>
      </c>
      <c r="K81" s="199">
        <f t="shared" si="26"/>
        <v>43532</v>
      </c>
      <c r="L81" s="147">
        <f>IF(t&lt;Tvie,1-EXP((T0-t)*PertePVj)+'2018'!Pspv,1-EXP((T0-t)*PertePVj)+Pspv)</f>
        <v>5.0835440720795599E-3</v>
      </c>
      <c r="M81" s="872"/>
      <c r="N81" s="872"/>
      <c r="O81" s="48">
        <f>IF(t&lt;Tnet,'2018'!Resal+('2018'!Salim-'2018'!Resal)*(1-EXP(('2018'!Tnet-t)/('2018'!Tau_j))),Resal+(Salim-Resal)*(1-EXP((Tnet-t)/(Tau_j))))*Salcycl</f>
        <v>4.4837250419861925E-2</v>
      </c>
      <c r="P81" s="171">
        <f>(INDEX(Models!$BJ81:$BT81,,T81)*(1-R81)+INDEX(Models!$BJ81:$BT81,,T81+1)*R81-ERP_i)*Q81*Ramure*Pc/MaxiM</f>
        <v>1.5565052570878505E-3</v>
      </c>
      <c r="Q81" s="307">
        <f t="shared" si="27"/>
        <v>0.9</v>
      </c>
      <c r="R81" s="179">
        <f t="shared" si="28"/>
        <v>0.91322676343545428</v>
      </c>
      <c r="S81" s="839">
        <f t="shared" si="29"/>
        <v>-3</v>
      </c>
      <c r="T81" s="178">
        <f t="shared" si="30"/>
        <v>3</v>
      </c>
      <c r="U81" s="253">
        <f t="shared" si="31"/>
        <v>-2.0867732365645457</v>
      </c>
      <c r="V81" s="385">
        <f t="shared" si="32"/>
        <v>38.501733181335446</v>
      </c>
      <c r="W81" s="58"/>
      <c r="X81" s="157">
        <f t="shared" si="33"/>
        <v>43532</v>
      </c>
      <c r="Y81" s="387">
        <f t="shared" si="34"/>
        <v>25.382000000000001</v>
      </c>
      <c r="Z81" s="387">
        <f t="shared" si="35"/>
        <v>25.511689799448721</v>
      </c>
      <c r="AA81" s="388">
        <f t="shared" si="36"/>
        <v>26.709259558816466</v>
      </c>
      <c r="AB81" s="199">
        <f t="shared" si="37"/>
        <v>43532</v>
      </c>
      <c r="AC81" s="428">
        <f>IF(OR(t&lt;Tnet,NoTnet),'2018'!Resal_s+('2018'!Salim-'2018'!Resal_s)*(1-EXP(('2018'!Tnet_s-t)/'2018'!Tau_j)),Resal_s+(Salim-Resal_s)*(1-EXP((Tnet_s-t)/Tau_j)))*Salcycl</f>
        <v>4.4837250419861925E-2</v>
      </c>
      <c r="AD81" s="233">
        <f>(INDEX(Models!$BJ81:$BT81,,AH81)*(1-AF81)+INDEX(Models!$BJ81:$BT81,,AH81+1)*AF81-ERP_i)*AE81*Ramure*Pc/MaxiM</f>
        <v>1.5565052570878505E-3</v>
      </c>
      <c r="AE81" s="307">
        <f t="shared" si="38"/>
        <v>0.9</v>
      </c>
      <c r="AF81" s="179">
        <f t="shared" si="39"/>
        <v>0.91322676343545428</v>
      </c>
      <c r="AG81" s="178">
        <f t="shared" si="40"/>
        <v>-3</v>
      </c>
      <c r="AH81" s="178">
        <f t="shared" si="41"/>
        <v>3</v>
      </c>
      <c r="AI81" s="227">
        <f t="shared" si="42"/>
        <v>-2.0867732365645457</v>
      </c>
      <c r="AJ81" s="267" t="b">
        <f t="shared" si="43"/>
        <v>0</v>
      </c>
      <c r="AK81" s="267" t="b">
        <f t="shared" si="44"/>
        <v>0</v>
      </c>
      <c r="AL81" s="267"/>
      <c r="AM81" s="267"/>
      <c r="AN81" s="75"/>
    </row>
    <row r="82" spans="1:40" s="6" customFormat="1" ht="11.25" x14ac:dyDescent="0.2">
      <c r="A82" s="56">
        <f t="shared" si="45"/>
        <v>43533</v>
      </c>
      <c r="B82" s="620">
        <v>21.2</v>
      </c>
      <c r="C82" s="392"/>
      <c r="D82" s="395">
        <f t="shared" si="24"/>
        <v>21.308817680254045</v>
      </c>
      <c r="E82" s="387">
        <f t="shared" si="46"/>
        <v>22.313350316953983</v>
      </c>
      <c r="F82" s="387">
        <f t="shared" si="25"/>
        <v>22.325532444825019</v>
      </c>
      <c r="G82" s="110">
        <f t="shared" si="47"/>
        <v>0.54401411855703052</v>
      </c>
      <c r="H82" s="416" t="b">
        <f>Wh_hp&gt;='2018'!Maxi_hp</f>
        <v>1</v>
      </c>
      <c r="I82" s="392">
        <f>IF(H82,Wh_hp,'2018'!Maxi_hp)</f>
        <v>22.325532444825019</v>
      </c>
      <c r="J82" s="85">
        <f>IF(H82,An,'2018'!An_max)</f>
        <v>2019</v>
      </c>
      <c r="K82" s="199">
        <f t="shared" si="26"/>
        <v>43533</v>
      </c>
      <c r="L82" s="147">
        <f>IF(t&lt;Tvie,1-EXP((T0-t)*PertePVj)+'2018'!Pspv,1-EXP((T0-t)*PertePVj)+Pspv)</f>
        <v>5.1066972314883774E-3</v>
      </c>
      <c r="M82" s="872"/>
      <c r="N82" s="872"/>
      <c r="O82" s="48">
        <f>IF(t&lt;Tnet,'2018'!Resal+('2018'!Salim-'2018'!Resal)*(1-EXP(('2018'!Tnet-t)/('2018'!Tau_j))),Resal+(Salim-Resal)*(1-EXP((Tnet-t)/(Tau_j))))*Salcycl</f>
        <v>4.5019354889824892E-2</v>
      </c>
      <c r="P82" s="171">
        <f>(INDEX(Models!$BJ82:$BT82,,T82)*(1-R82)+INDEX(Models!$BJ82:$BT82,,T82+1)*R82-ERP_i)*Q82*Ramure*Pc/MaxiM</f>
        <v>1.5617810485338238E-3</v>
      </c>
      <c r="Q82" s="307">
        <f t="shared" si="27"/>
        <v>0.9</v>
      </c>
      <c r="R82" s="179">
        <f t="shared" si="28"/>
        <v>0.91381898356967595</v>
      </c>
      <c r="S82" s="839">
        <f t="shared" si="29"/>
        <v>-3</v>
      </c>
      <c r="T82" s="178">
        <f t="shared" si="30"/>
        <v>3</v>
      </c>
      <c r="U82" s="253">
        <f t="shared" si="31"/>
        <v>-2.0861810164303241</v>
      </c>
      <c r="V82" s="385">
        <f t="shared" si="32"/>
        <v>38.92995738421763</v>
      </c>
      <c r="W82" s="58"/>
      <c r="X82" s="157">
        <f t="shared" si="33"/>
        <v>43533</v>
      </c>
      <c r="Y82" s="387">
        <f t="shared" si="34"/>
        <v>21.2</v>
      </c>
      <c r="Z82" s="387">
        <f t="shared" si="35"/>
        <v>21.308817680254045</v>
      </c>
      <c r="AA82" s="388">
        <f t="shared" si="36"/>
        <v>22.313350316953983</v>
      </c>
      <c r="AB82" s="199">
        <f t="shared" si="37"/>
        <v>43533</v>
      </c>
      <c r="AC82" s="428">
        <f>IF(OR(t&lt;Tnet,NoTnet),'2018'!Resal_s+('2018'!Salim-'2018'!Resal_s)*(1-EXP(('2018'!Tnet_s-t)/'2018'!Tau_j)),Resal_s+(Salim-Resal_s)*(1-EXP((Tnet_s-t)/Tau_j)))*Salcycl</f>
        <v>4.5019354889824892E-2</v>
      </c>
      <c r="AD82" s="233">
        <f>(INDEX(Models!$BJ82:$BT82,,AH82)*(1-AF82)+INDEX(Models!$BJ82:$BT82,,AH82+1)*AF82-ERP_i)*AE82*Ramure*Pc/MaxiM</f>
        <v>1.5617810485338238E-3</v>
      </c>
      <c r="AE82" s="307">
        <f t="shared" si="38"/>
        <v>0.9</v>
      </c>
      <c r="AF82" s="179">
        <f t="shared" si="39"/>
        <v>0.91381898356967595</v>
      </c>
      <c r="AG82" s="178">
        <f t="shared" si="40"/>
        <v>-3</v>
      </c>
      <c r="AH82" s="178">
        <f t="shared" si="41"/>
        <v>3</v>
      </c>
      <c r="AI82" s="227">
        <f t="shared" si="42"/>
        <v>-2.0861810164303241</v>
      </c>
      <c r="AJ82" s="267" t="b">
        <f t="shared" si="43"/>
        <v>0</v>
      </c>
      <c r="AK82" s="267" t="b">
        <f t="shared" si="44"/>
        <v>0</v>
      </c>
      <c r="AL82" s="267"/>
      <c r="AM82" s="267"/>
      <c r="AN82" s="75"/>
    </row>
    <row r="83" spans="1:40" s="6" customFormat="1" ht="11.25" customHeight="1" x14ac:dyDescent="0.2">
      <c r="A83" s="56">
        <f t="shared" si="45"/>
        <v>43534</v>
      </c>
      <c r="B83" s="620">
        <v>16.622</v>
      </c>
      <c r="C83" s="392"/>
      <c r="D83" s="395">
        <f t="shared" si="24"/>
        <v>16.70770803358484</v>
      </c>
      <c r="E83" s="387">
        <f t="shared" si="46"/>
        <v>17.498671785424733</v>
      </c>
      <c r="F83" s="387">
        <f t="shared" si="25"/>
        <v>17.503460406504754</v>
      </c>
      <c r="G83" s="110">
        <f t="shared" si="47"/>
        <v>0.42175621642481537</v>
      </c>
      <c r="H83" s="416" t="b">
        <f>Wh_hp&gt;='2018'!Maxi_hp</f>
        <v>1</v>
      </c>
      <c r="I83" s="392">
        <f>IF(H83,Wh_hp,'2018'!Maxi_hp)</f>
        <v>17.503460406504754</v>
      </c>
      <c r="J83" s="85">
        <f>IF(H83,An,'2018'!An_max)</f>
        <v>2019</v>
      </c>
      <c r="K83" s="199">
        <f t="shared" si="26"/>
        <v>43534</v>
      </c>
      <c r="L83" s="147">
        <f>IF(t&lt;Tvie,1-EXP((T0-t)*PertePVj)+'2018'!Pspv,1-EXP((T0-t)*PertePVj)+Pspv)</f>
        <v>5.1298498520894187E-3</v>
      </c>
      <c r="M83" s="872"/>
      <c r="N83" s="872"/>
      <c r="O83" s="48">
        <f>IF(t&lt;Tnet,'2018'!Resal+('2018'!Salim-'2018'!Resal)*(1-EXP(('2018'!Tnet-t)/('2018'!Tau_j))),Resal+(Salim-Resal)*(1-EXP((Tnet-t)/(Tau_j))))*Salcycl</f>
        <v>4.5201359368241614E-2</v>
      </c>
      <c r="P83" s="171">
        <f>(INDEX(Models!$BJ83:$BT83,,T83)*(1-R83)+INDEX(Models!$BJ83:$BT83,,T83+1)*R83-ERP_i)*Q83*Ramure*Pc/MaxiM</f>
        <v>1.5658519678309894E-3</v>
      </c>
      <c r="Q83" s="307">
        <f t="shared" si="27"/>
        <v>0.9</v>
      </c>
      <c r="R83" s="179">
        <f t="shared" si="28"/>
        <v>0.91443496297754745</v>
      </c>
      <c r="S83" s="839">
        <f t="shared" si="29"/>
        <v>-3</v>
      </c>
      <c r="T83" s="178">
        <f t="shared" si="30"/>
        <v>3</v>
      </c>
      <c r="U83" s="253">
        <f t="shared" si="31"/>
        <v>-2.0855650370224526</v>
      </c>
      <c r="V83" s="385">
        <f t="shared" si="32"/>
        <v>39.360448889303917</v>
      </c>
      <c r="W83" s="58"/>
      <c r="X83" s="157">
        <f t="shared" si="33"/>
        <v>43534</v>
      </c>
      <c r="Y83" s="387">
        <f t="shared" si="34"/>
        <v>16.622</v>
      </c>
      <c r="Z83" s="387">
        <f t="shared" si="35"/>
        <v>16.70770803358484</v>
      </c>
      <c r="AA83" s="388">
        <f t="shared" si="36"/>
        <v>17.498671785424733</v>
      </c>
      <c r="AB83" s="199">
        <f t="shared" si="37"/>
        <v>43534</v>
      </c>
      <c r="AC83" s="428">
        <f>IF(OR(t&lt;Tnet,NoTnet),'2018'!Resal_s+('2018'!Salim-'2018'!Resal_s)*(1-EXP(('2018'!Tnet_s-t)/'2018'!Tau_j)),Resal_s+(Salim-Resal_s)*(1-EXP((Tnet_s-t)/Tau_j)))*Salcycl</f>
        <v>4.5201359368241614E-2</v>
      </c>
      <c r="AD83" s="233">
        <f>(INDEX(Models!$BJ83:$BT83,,AH83)*(1-AF83)+INDEX(Models!$BJ83:$BT83,,AH83+1)*AF83-ERP_i)*AE83*Ramure*Pc/MaxiM</f>
        <v>1.5658519678309894E-3</v>
      </c>
      <c r="AE83" s="307">
        <f t="shared" si="38"/>
        <v>0.9</v>
      </c>
      <c r="AF83" s="179">
        <f t="shared" si="39"/>
        <v>0.91443496297754745</v>
      </c>
      <c r="AG83" s="178">
        <f t="shared" si="40"/>
        <v>-3</v>
      </c>
      <c r="AH83" s="178">
        <f t="shared" si="41"/>
        <v>3</v>
      </c>
      <c r="AI83" s="227">
        <f t="shared" si="42"/>
        <v>-2.0855650370224526</v>
      </c>
      <c r="AJ83" s="267" t="b">
        <f t="shared" si="43"/>
        <v>0</v>
      </c>
      <c r="AK83" s="267" t="b">
        <f t="shared" si="44"/>
        <v>0</v>
      </c>
      <c r="AL83" s="267"/>
      <c r="AM83" s="267"/>
      <c r="AN83" s="75"/>
    </row>
    <row r="84" spans="1:40" s="6" customFormat="1" ht="11.25" customHeight="1" x14ac:dyDescent="0.2">
      <c r="A84" s="56">
        <f t="shared" si="45"/>
        <v>43535</v>
      </c>
      <c r="B84" s="620">
        <v>31.381</v>
      </c>
      <c r="C84" s="392"/>
      <c r="D84" s="395">
        <f t="shared" si="24"/>
        <v>31.543543942939873</v>
      </c>
      <c r="E84" s="387">
        <f t="shared" si="46"/>
        <v>33.043150563965725</v>
      </c>
      <c r="F84" s="387">
        <f t="shared" si="25"/>
        <v>33.079373904008349</v>
      </c>
      <c r="G84" s="110">
        <f t="shared" si="47"/>
        <v>0.78824059862448315</v>
      </c>
      <c r="H84" s="416" t="b">
        <f>Wh_hp&gt;='2018'!Maxi_hp</f>
        <v>1</v>
      </c>
      <c r="I84" s="392">
        <f>IF(H84,Wh_hp,'2018'!Maxi_hp)</f>
        <v>33.079373904008349</v>
      </c>
      <c r="J84" s="85">
        <f>IF(H84,An,'2018'!An_max)</f>
        <v>2019</v>
      </c>
      <c r="K84" s="199">
        <f t="shared" si="26"/>
        <v>43535</v>
      </c>
      <c r="L84" s="147">
        <f>IF(t&lt;Tvie,1-EXP((T0-t)*PertePVj)+'2018'!Pspv,1-EXP((T0-t)*PertePVj)+Pspv)</f>
        <v>5.1530019338951183E-3</v>
      </c>
      <c r="M84" s="872"/>
      <c r="N84" s="872"/>
      <c r="O84" s="48">
        <f>IF(t&lt;Tnet,'2018'!Resal+('2018'!Salim-'2018'!Resal)*(1-EXP(('2018'!Tnet-t)/('2018'!Tau_j))),Resal+(Salim-Resal)*(1-EXP((Tnet-t)/(Tau_j))))*Salcycl</f>
        <v>4.5383282024602276E-2</v>
      </c>
      <c r="P84" s="171">
        <f>(INDEX(Models!$BJ84:$BT84,,T84)*(1-R84)+INDEX(Models!$BJ84:$BT84,,T84+1)*R84-ERP_i)*Q84*Ramure*Pc/MaxiM</f>
        <v>1.5687827545470252E-3</v>
      </c>
      <c r="Q84" s="307">
        <f t="shared" si="27"/>
        <v>0.9</v>
      </c>
      <c r="R84" s="179">
        <f t="shared" si="28"/>
        <v>0.9150756085882783</v>
      </c>
      <c r="S84" s="839">
        <f t="shared" si="29"/>
        <v>-3</v>
      </c>
      <c r="T84" s="178">
        <f t="shared" si="30"/>
        <v>3</v>
      </c>
      <c r="U84" s="253">
        <f t="shared" si="31"/>
        <v>-2.0849243914117217</v>
      </c>
      <c r="V84" s="385">
        <f t="shared" si="32"/>
        <v>39.79256756543203</v>
      </c>
      <c r="W84" s="58"/>
      <c r="X84" s="157">
        <f t="shared" si="33"/>
        <v>43535</v>
      </c>
      <c r="Y84" s="387">
        <f t="shared" si="34"/>
        <v>31.381</v>
      </c>
      <c r="Z84" s="387">
        <f t="shared" si="35"/>
        <v>31.543543942939873</v>
      </c>
      <c r="AA84" s="388">
        <f t="shared" si="36"/>
        <v>33.043150563965725</v>
      </c>
      <c r="AB84" s="199">
        <f t="shared" si="37"/>
        <v>43535</v>
      </c>
      <c r="AC84" s="428">
        <f>IF(OR(t&lt;Tnet,NoTnet),'2018'!Resal_s+('2018'!Salim-'2018'!Resal_s)*(1-EXP(('2018'!Tnet_s-t)/'2018'!Tau_j)),Resal_s+(Salim-Resal_s)*(1-EXP((Tnet_s-t)/Tau_j)))*Salcycl</f>
        <v>4.5383282024602276E-2</v>
      </c>
      <c r="AD84" s="233">
        <f>(INDEX(Models!$BJ84:$BT84,,AH84)*(1-AF84)+INDEX(Models!$BJ84:$BT84,,AH84+1)*AF84-ERP_i)*AE84*Ramure*Pc/MaxiM</f>
        <v>1.5687827545470252E-3</v>
      </c>
      <c r="AE84" s="307">
        <f t="shared" si="38"/>
        <v>0.9</v>
      </c>
      <c r="AF84" s="179">
        <f t="shared" si="39"/>
        <v>0.9150756085882783</v>
      </c>
      <c r="AG84" s="178">
        <f t="shared" si="40"/>
        <v>-3</v>
      </c>
      <c r="AH84" s="178">
        <f t="shared" si="41"/>
        <v>3</v>
      </c>
      <c r="AI84" s="227">
        <f t="shared" si="42"/>
        <v>-2.0849243914117217</v>
      </c>
      <c r="AJ84" s="267" t="b">
        <f t="shared" si="43"/>
        <v>0</v>
      </c>
      <c r="AK84" s="267" t="b">
        <f t="shared" si="44"/>
        <v>0</v>
      </c>
      <c r="AL84" s="267"/>
      <c r="AM84" s="267"/>
      <c r="AN84" s="75"/>
    </row>
    <row r="85" spans="1:40" s="6" customFormat="1" ht="11.25" customHeight="1" x14ac:dyDescent="0.2">
      <c r="A85" s="56">
        <f t="shared" si="45"/>
        <v>43536</v>
      </c>
      <c r="B85" s="620">
        <v>34.841999999999999</v>
      </c>
      <c r="C85" s="392"/>
      <c r="D85" s="395">
        <f t="shared" si="24"/>
        <v>35.023285903100422</v>
      </c>
      <c r="E85" s="387">
        <f t="shared" si="46"/>
        <v>36.695313064667715</v>
      </c>
      <c r="F85" s="387">
        <f t="shared" si="25"/>
        <v>36.741987789196443</v>
      </c>
      <c r="G85" s="110">
        <f t="shared" si="47"/>
        <v>0.86590280423196264</v>
      </c>
      <c r="H85" s="416" t="b">
        <f>Wh_hp&gt;='2018'!Maxi_hp</f>
        <v>1</v>
      </c>
      <c r="I85" s="392">
        <f>IF(H85,Wh_hp,'2018'!Maxi_hp)</f>
        <v>36.741987789196443</v>
      </c>
      <c r="J85" s="85">
        <f>IF(H85,An,'2018'!An_max)</f>
        <v>2019</v>
      </c>
      <c r="K85" s="199">
        <f t="shared" si="26"/>
        <v>43536</v>
      </c>
      <c r="L85" s="147">
        <f>IF(t&lt;Tvie,1-EXP((T0-t)*PertePVj)+'2018'!Pspv,1-EXP((T0-t)*PertePVj)+Pspv)</f>
        <v>5.1761534769180217E-3</v>
      </c>
      <c r="M85" s="872"/>
      <c r="N85" s="872"/>
      <c r="O85" s="48">
        <f>IF(t&lt;Tnet,'2018'!Resal+('2018'!Salim-'2018'!Resal)*(1-EXP(('2018'!Tnet-t)/('2018'!Tau_j))),Resal+(Salim-Resal)*(1-EXP((Tnet-t)/(Tau_j))))*Salcycl</f>
        <v>4.5565142300889976E-2</v>
      </c>
      <c r="P85" s="171">
        <f>(INDEX(Models!$BJ85:$BT85,,T85)*(1-R85)+INDEX(Models!$BJ85:$BT85,,T85+1)*R85-ERP_i)*Q85*Ramure*Pc/MaxiM</f>
        <v>1.5706357743868775E-3</v>
      </c>
      <c r="Q85" s="307">
        <f t="shared" si="27"/>
        <v>0.9</v>
      </c>
      <c r="R85" s="179">
        <f t="shared" si="28"/>
        <v>0.91574185808737552</v>
      </c>
      <c r="S85" s="839">
        <f t="shared" si="29"/>
        <v>-3</v>
      </c>
      <c r="T85" s="178">
        <f t="shared" si="30"/>
        <v>3</v>
      </c>
      <c r="U85" s="253">
        <f t="shared" si="31"/>
        <v>-2.0842581419126245</v>
      </c>
      <c r="V85" s="385">
        <f t="shared" si="32"/>
        <v>40.225673745930195</v>
      </c>
      <c r="W85" s="58"/>
      <c r="X85" s="157">
        <f t="shared" si="33"/>
        <v>43536</v>
      </c>
      <c r="Y85" s="387">
        <f t="shared" si="34"/>
        <v>34.841999999999999</v>
      </c>
      <c r="Z85" s="387">
        <f t="shared" si="35"/>
        <v>35.023285903100422</v>
      </c>
      <c r="AA85" s="388">
        <f t="shared" si="36"/>
        <v>36.695313064667715</v>
      </c>
      <c r="AB85" s="199">
        <f t="shared" si="37"/>
        <v>43536</v>
      </c>
      <c r="AC85" s="428">
        <f>IF(OR(t&lt;Tnet,NoTnet),'2018'!Resal_s+('2018'!Salim-'2018'!Resal_s)*(1-EXP(('2018'!Tnet_s-t)/'2018'!Tau_j)),Resal_s+(Salim-Resal_s)*(1-EXP((Tnet_s-t)/Tau_j)))*Salcycl</f>
        <v>4.5565142300889976E-2</v>
      </c>
      <c r="AD85" s="233">
        <f>(INDEX(Models!$BJ85:$BT85,,AH85)*(1-AF85)+INDEX(Models!$BJ85:$BT85,,AH85+1)*AF85-ERP_i)*AE85*Ramure*Pc/MaxiM</f>
        <v>1.5706357743868775E-3</v>
      </c>
      <c r="AE85" s="307">
        <f t="shared" si="38"/>
        <v>0.9</v>
      </c>
      <c r="AF85" s="179">
        <f t="shared" si="39"/>
        <v>0.91574185808737552</v>
      </c>
      <c r="AG85" s="178">
        <f t="shared" si="40"/>
        <v>-3</v>
      </c>
      <c r="AH85" s="178">
        <f t="shared" si="41"/>
        <v>3</v>
      </c>
      <c r="AI85" s="227">
        <f t="shared" si="42"/>
        <v>-2.0842581419126245</v>
      </c>
      <c r="AJ85" s="267" t="b">
        <f t="shared" si="43"/>
        <v>0</v>
      </c>
      <c r="AK85" s="267" t="b">
        <f t="shared" si="44"/>
        <v>0</v>
      </c>
      <c r="AL85" s="267"/>
      <c r="AM85" s="267"/>
      <c r="AN85" s="75"/>
    </row>
    <row r="86" spans="1:40" s="6" customFormat="1" ht="11.25" customHeight="1" x14ac:dyDescent="0.2">
      <c r="A86" s="56">
        <f t="shared" si="45"/>
        <v>43537</v>
      </c>
      <c r="B86" s="620">
        <v>20.381</v>
      </c>
      <c r="C86" s="392"/>
      <c r="D86" s="395">
        <f t="shared" si="24"/>
        <v>20.487520859010331</v>
      </c>
      <c r="E86" s="387">
        <f t="shared" si="46"/>
        <v>21.469694115602568</v>
      </c>
      <c r="F86" s="387">
        <f t="shared" si="25"/>
        <v>21.479391592834855</v>
      </c>
      <c r="G86" s="110">
        <f t="shared" si="47"/>
        <v>0.50070338463514208</v>
      </c>
      <c r="H86" s="416" t="b">
        <f>Wh_hp&gt;='2018'!Maxi_hp</f>
        <v>1</v>
      </c>
      <c r="I86" s="392">
        <f>IF(H86,Wh_hp,'2018'!Maxi_hp)</f>
        <v>21.479391592834855</v>
      </c>
      <c r="J86" s="85">
        <f>IF(H86,An,'2018'!An_max)</f>
        <v>2019</v>
      </c>
      <c r="K86" s="199">
        <f t="shared" si="26"/>
        <v>43537</v>
      </c>
      <c r="L86" s="147">
        <f>IF(t&lt;Tvie,1-EXP((T0-t)*PertePVj)+'2018'!Pspv,1-EXP((T0-t)*PertePVj)+Pspv)</f>
        <v>5.1993044811706746E-3</v>
      </c>
      <c r="M86" s="872"/>
      <c r="N86" s="872"/>
      <c r="O86" s="48">
        <f>IF(t&lt;Tnet,'2018'!Resal+('2018'!Salim-'2018'!Resal)*(1-EXP(('2018'!Tnet-t)/('2018'!Tau_j))),Resal+(Salim-Resal)*(1-EXP((Tnet-t)/(Tau_j))))*Salcycl</f>
        <v>4.5746960869762252E-2</v>
      </c>
      <c r="P86" s="171">
        <f>(INDEX(Models!$BJ86:$BT86,,T86)*(1-R86)+INDEX(Models!$BJ86:$BT86,,T86+1)*R86-ERP_i)*Q86*Ramure*Pc/MaxiM</f>
        <v>1.5702463442654124E-3</v>
      </c>
      <c r="Q86" s="307">
        <f t="shared" si="27"/>
        <v>0.9</v>
      </c>
      <c r="R86" s="179">
        <f t="shared" si="28"/>
        <v>0.91643468063295952</v>
      </c>
      <c r="S86" s="839">
        <f t="shared" si="29"/>
        <v>-3</v>
      </c>
      <c r="T86" s="178">
        <f t="shared" si="30"/>
        <v>3</v>
      </c>
      <c r="U86" s="253">
        <f t="shared" si="31"/>
        <v>-2.0835653193670405</v>
      </c>
      <c r="V86" s="385">
        <f t="shared" si="32"/>
        <v>40.659178092784209</v>
      </c>
      <c r="W86" s="58"/>
      <c r="X86" s="157">
        <f t="shared" si="33"/>
        <v>43537</v>
      </c>
      <c r="Y86" s="387">
        <f t="shared" si="34"/>
        <v>20.381</v>
      </c>
      <c r="Z86" s="387">
        <f t="shared" si="35"/>
        <v>20.487520859010331</v>
      </c>
      <c r="AA86" s="388">
        <f t="shared" si="36"/>
        <v>21.469694115602568</v>
      </c>
      <c r="AB86" s="199">
        <f t="shared" si="37"/>
        <v>43537</v>
      </c>
      <c r="AC86" s="428">
        <f>IF(OR(t&lt;Tnet,NoTnet),'2018'!Resal_s+('2018'!Salim-'2018'!Resal_s)*(1-EXP(('2018'!Tnet_s-t)/'2018'!Tau_j)),Resal_s+(Salim-Resal_s)*(1-EXP((Tnet_s-t)/Tau_j)))*Salcycl</f>
        <v>4.5746960869762252E-2</v>
      </c>
      <c r="AD86" s="233">
        <f>(INDEX(Models!$BJ86:$BT86,,AH86)*(1-AF86)+INDEX(Models!$BJ86:$BT86,,AH86+1)*AF86-ERP_i)*AE86*Ramure*Pc/MaxiM</f>
        <v>1.5702463442654124E-3</v>
      </c>
      <c r="AE86" s="307">
        <f t="shared" si="38"/>
        <v>0.9</v>
      </c>
      <c r="AF86" s="179">
        <f t="shared" si="39"/>
        <v>0.91643468063295952</v>
      </c>
      <c r="AG86" s="178">
        <f t="shared" si="40"/>
        <v>-3</v>
      </c>
      <c r="AH86" s="178">
        <f t="shared" si="41"/>
        <v>3</v>
      </c>
      <c r="AI86" s="227">
        <f t="shared" si="42"/>
        <v>-2.0835653193670405</v>
      </c>
      <c r="AJ86" s="267" t="b">
        <f t="shared" si="43"/>
        <v>0</v>
      </c>
      <c r="AK86" s="267" t="b">
        <f t="shared" si="44"/>
        <v>0</v>
      </c>
      <c r="AL86" s="267"/>
      <c r="AM86" s="267"/>
      <c r="AN86" s="75"/>
    </row>
    <row r="87" spans="1:40" s="6" customFormat="1" ht="11.25" customHeight="1" x14ac:dyDescent="0.2">
      <c r="A87" s="56">
        <f t="shared" si="45"/>
        <v>43538</v>
      </c>
      <c r="B87" s="620">
        <v>22.768000000000001</v>
      </c>
      <c r="C87" s="392"/>
      <c r="D87" s="395">
        <f t="shared" si="24"/>
        <v>22.887529089510469</v>
      </c>
      <c r="E87" s="387">
        <f t="shared" si="46"/>
        <v>23.989329224091602</v>
      </c>
      <c r="F87" s="387">
        <f t="shared" si="25"/>
        <v>24.002989260047588</v>
      </c>
      <c r="G87" s="110">
        <f t="shared" si="47"/>
        <v>0.55351421323088523</v>
      </c>
      <c r="H87" s="416" t="b">
        <f>Wh_hp&gt;='2018'!Maxi_hp</f>
        <v>1</v>
      </c>
      <c r="I87" s="392">
        <f>IF(H87,Wh_hp,'2018'!Maxi_hp)</f>
        <v>24.002989260047588</v>
      </c>
      <c r="J87" s="85">
        <f>IF(H87,An,'2018'!An_max)</f>
        <v>2019</v>
      </c>
      <c r="K87" s="199">
        <f t="shared" si="26"/>
        <v>43538</v>
      </c>
      <c r="L87" s="147">
        <f>IF(t&lt;Tvie,1-EXP((T0-t)*PertePVj)+'2018'!Pspv,1-EXP((T0-t)*PertePVj)+Pspv)</f>
        <v>5.2224549466657333E-3</v>
      </c>
      <c r="M87" s="872"/>
      <c r="N87" s="872"/>
      <c r="O87" s="48">
        <f>IF(t&lt;Tnet,'2018'!Resal+('2018'!Salim-'2018'!Resal)*(1-EXP(('2018'!Tnet-t)/('2018'!Tau_j))),Resal+(Salim-Resal)*(1-EXP((Tnet-t)/(Tau_j))))*Salcycl</f>
        <v>4.5928759586768023E-2</v>
      </c>
      <c r="P87" s="171">
        <f>(INDEX(Models!$BJ87:$BT87,,T87)*(1-R87)+INDEX(Models!$BJ87:$BT87,,T87+1)*R87-ERP_i)*Q87*Ramure*Pc/MaxiM</f>
        <v>1.5679587814662233E-3</v>
      </c>
      <c r="Q87" s="307">
        <f t="shared" si="27"/>
        <v>0.9</v>
      </c>
      <c r="R87" s="179">
        <f t="shared" si="28"/>
        <v>0.91715507755921211</v>
      </c>
      <c r="S87" s="839">
        <f t="shared" si="29"/>
        <v>-3</v>
      </c>
      <c r="T87" s="178">
        <f t="shared" si="30"/>
        <v>3</v>
      </c>
      <c r="U87" s="253">
        <f t="shared" si="31"/>
        <v>-2.0828449224407879</v>
      </c>
      <c r="V87" s="385">
        <f t="shared" si="32"/>
        <v>41.092431644705513</v>
      </c>
      <c r="W87" s="58"/>
      <c r="X87" s="157">
        <f t="shared" si="33"/>
        <v>43538</v>
      </c>
      <c r="Y87" s="387">
        <f t="shared" si="34"/>
        <v>22.768000000000001</v>
      </c>
      <c r="Z87" s="387">
        <f t="shared" si="35"/>
        <v>22.887529089510469</v>
      </c>
      <c r="AA87" s="388">
        <f t="shared" si="36"/>
        <v>23.989329224091602</v>
      </c>
      <c r="AB87" s="199">
        <f t="shared" si="37"/>
        <v>43538</v>
      </c>
      <c r="AC87" s="428">
        <f>IF(OR(t&lt;Tnet,NoTnet),'2018'!Resal_s+('2018'!Salim-'2018'!Resal_s)*(1-EXP(('2018'!Tnet_s-t)/'2018'!Tau_j)),Resal_s+(Salim-Resal_s)*(1-EXP((Tnet_s-t)/Tau_j)))*Salcycl</f>
        <v>4.5928759586768023E-2</v>
      </c>
      <c r="AD87" s="233">
        <f>(INDEX(Models!$BJ87:$BT87,,AH87)*(1-AF87)+INDEX(Models!$BJ87:$BT87,,AH87+1)*AF87-ERP_i)*AE87*Ramure*Pc/MaxiM</f>
        <v>1.5679587814662233E-3</v>
      </c>
      <c r="AE87" s="307">
        <f t="shared" si="38"/>
        <v>0.9</v>
      </c>
      <c r="AF87" s="179">
        <f t="shared" si="39"/>
        <v>0.91715507755921211</v>
      </c>
      <c r="AG87" s="178">
        <f t="shared" si="40"/>
        <v>-3</v>
      </c>
      <c r="AH87" s="178">
        <f t="shared" si="41"/>
        <v>3</v>
      </c>
      <c r="AI87" s="227">
        <f t="shared" si="42"/>
        <v>-2.0828449224407879</v>
      </c>
      <c r="AJ87" s="267" t="b">
        <f t="shared" si="43"/>
        <v>0</v>
      </c>
      <c r="AK87" s="267" t="b">
        <f t="shared" si="44"/>
        <v>0</v>
      </c>
      <c r="AL87" s="267"/>
      <c r="AM87" s="267"/>
      <c r="AN87" s="75"/>
    </row>
    <row r="88" spans="1:40" s="6" customFormat="1" ht="11.25" x14ac:dyDescent="0.2">
      <c r="A88" s="56">
        <f t="shared" si="45"/>
        <v>43539</v>
      </c>
      <c r="B88" s="620">
        <v>13.43</v>
      </c>
      <c r="C88" s="392"/>
      <c r="D88" s="395">
        <f t="shared" si="24"/>
        <v>13.500819967014074</v>
      </c>
      <c r="E88" s="387">
        <f t="shared" si="46"/>
        <v>14.153443178230935</v>
      </c>
      <c r="F88" s="387">
        <f t="shared" si="25"/>
        <v>14.154183793398833</v>
      </c>
      <c r="G88" s="110">
        <f t="shared" si="47"/>
        <v>0.32293232750184847</v>
      </c>
      <c r="H88" s="416" t="b">
        <f>Wh_hp&gt;='2018'!Maxi_hp</f>
        <v>1</v>
      </c>
      <c r="I88" s="392">
        <f>IF(H88,Wh_hp,'2018'!Maxi_hp)</f>
        <v>14.154183793398833</v>
      </c>
      <c r="J88" s="85">
        <f>IF(H88,An,'2018'!An_max)</f>
        <v>2019</v>
      </c>
      <c r="K88" s="199">
        <f t="shared" si="26"/>
        <v>43539</v>
      </c>
      <c r="L88" s="147">
        <f>IF(t&lt;Tvie,1-EXP((T0-t)*PertePVj)+'2018'!Pspv,1-EXP((T0-t)*PertePVj)+Pspv)</f>
        <v>5.2456048734155214E-3</v>
      </c>
      <c r="M88" s="872"/>
      <c r="N88" s="872"/>
      <c r="O88" s="48">
        <f>IF(t&lt;Tnet,'2018'!Resal+('2018'!Salim-'2018'!Resal)*(1-EXP(('2018'!Tnet-t)/('2018'!Tau_j))),Resal+(Salim-Resal)*(1-EXP((Tnet-t)/(Tau_j))))*Salcycl</f>
        <v>4.6110561437138112E-2</v>
      </c>
      <c r="P88" s="171">
        <f>(INDEX(Models!$BJ88:$BT88,,T88)*(1-R88)+INDEX(Models!$BJ88:$BT88,,T88+1)*R88-ERP_i)*Q88*Ramure*Pc/MaxiM</f>
        <v>1.5638547398404523E-3</v>
      </c>
      <c r="Q88" s="307">
        <f t="shared" si="27"/>
        <v>0.9</v>
      </c>
      <c r="R88" s="179">
        <f t="shared" si="28"/>
        <v>0.91790408306349658</v>
      </c>
      <c r="S88" s="839">
        <f t="shared" si="29"/>
        <v>-3</v>
      </c>
      <c r="T88" s="178">
        <f t="shared" si="30"/>
        <v>3</v>
      </c>
      <c r="U88" s="253">
        <f t="shared" si="31"/>
        <v>-2.0820959169365034</v>
      </c>
      <c r="V88" s="385">
        <f t="shared" si="32"/>
        <v>41.524796215716364</v>
      </c>
      <c r="W88" s="58"/>
      <c r="X88" s="157">
        <f t="shared" si="33"/>
        <v>43539</v>
      </c>
      <c r="Y88" s="387">
        <f t="shared" si="34"/>
        <v>13.43</v>
      </c>
      <c r="Z88" s="387">
        <f t="shared" si="35"/>
        <v>13.500819967014074</v>
      </c>
      <c r="AA88" s="388">
        <f t="shared" si="36"/>
        <v>14.153443178230935</v>
      </c>
      <c r="AB88" s="199">
        <f t="shared" si="37"/>
        <v>43539</v>
      </c>
      <c r="AC88" s="428">
        <f>IF(OR(t&lt;Tnet,NoTnet),'2018'!Resal_s+('2018'!Salim-'2018'!Resal_s)*(1-EXP(('2018'!Tnet_s-t)/'2018'!Tau_j)),Resal_s+(Salim-Resal_s)*(1-EXP((Tnet_s-t)/Tau_j)))*Salcycl</f>
        <v>4.6110561437138112E-2</v>
      </c>
      <c r="AD88" s="233">
        <f>(INDEX(Models!$BJ88:$BT88,,AH88)*(1-AF88)+INDEX(Models!$BJ88:$BT88,,AH88+1)*AF88-ERP_i)*AE88*Ramure*Pc/MaxiM</f>
        <v>1.5638547398404523E-3</v>
      </c>
      <c r="AE88" s="307">
        <f t="shared" si="38"/>
        <v>0.9</v>
      </c>
      <c r="AF88" s="179">
        <f t="shared" si="39"/>
        <v>0.91790408306349658</v>
      </c>
      <c r="AG88" s="178">
        <f t="shared" si="40"/>
        <v>-3</v>
      </c>
      <c r="AH88" s="178">
        <f t="shared" si="41"/>
        <v>3</v>
      </c>
      <c r="AI88" s="227">
        <f t="shared" si="42"/>
        <v>-2.0820959169365034</v>
      </c>
      <c r="AJ88" s="267" t="b">
        <f t="shared" si="43"/>
        <v>0</v>
      </c>
      <c r="AK88" s="267" t="b">
        <f t="shared" si="44"/>
        <v>0</v>
      </c>
      <c r="AL88" s="267"/>
      <c r="AM88" s="267"/>
      <c r="AN88" s="75"/>
    </row>
    <row r="89" spans="1:40" s="6" customFormat="1" ht="11.25" customHeight="1" x14ac:dyDescent="0.2">
      <c r="A89" s="56">
        <f t="shared" si="45"/>
        <v>43540</v>
      </c>
      <c r="B89" s="620">
        <v>41.112000000000002</v>
      </c>
      <c r="C89" s="392"/>
      <c r="D89" s="395">
        <f t="shared" si="24"/>
        <v>41.329756329786541</v>
      </c>
      <c r="E89" s="387">
        <f t="shared" si="46"/>
        <v>43.335877702065119</v>
      </c>
      <c r="F89" s="387">
        <f t="shared" si="25"/>
        <v>43.401555421108043</v>
      </c>
      <c r="G89" s="110">
        <f t="shared" si="47"/>
        <v>0.97984831261927841</v>
      </c>
      <c r="H89" s="416" t="b">
        <f>Wh_hp&gt;='2018'!Maxi_hp</f>
        <v>1</v>
      </c>
      <c r="I89" s="392">
        <f>IF(H89,Wh_hp,'2018'!Maxi_hp)</f>
        <v>43.401555421108043</v>
      </c>
      <c r="J89" s="85">
        <f>IF(H89,An,'2018'!An_max)</f>
        <v>2019</v>
      </c>
      <c r="K89" s="199">
        <f t="shared" si="26"/>
        <v>43540</v>
      </c>
      <c r="L89" s="147">
        <f>IF(t&lt;Tvie,1-EXP((T0-t)*PertePVj)+'2018'!Pspv,1-EXP((T0-t)*PertePVj)+Pspv)</f>
        <v>5.2687542614328065E-3</v>
      </c>
      <c r="M89" s="872"/>
      <c r="N89" s="872"/>
      <c r="O89" s="48">
        <f>IF(t&lt;Tnet,'2018'!Resal+('2018'!Salim-'2018'!Resal)*(1-EXP(('2018'!Tnet-t)/('2018'!Tau_j))),Resal+(Salim-Resal)*(1-EXP((Tnet-t)/(Tau_j))))*Salcycl</f>
        <v>4.6292390477716751E-2</v>
      </c>
      <c r="P89" s="171">
        <f>(INDEX(Models!$BJ89:$BT89,,T89)*(1-R89)+INDEX(Models!$BJ89:$BT89,,T89+1)*R89-ERP_i)*Q89*Ramure*Pc/MaxiM</f>
        <v>1.5580117449570752E-3</v>
      </c>
      <c r="Q89" s="307">
        <f t="shared" si="27"/>
        <v>0.9</v>
      </c>
      <c r="R89" s="179">
        <f t="shared" si="28"/>
        <v>0.91868276487337708</v>
      </c>
      <c r="S89" s="839">
        <f t="shared" si="29"/>
        <v>-3</v>
      </c>
      <c r="T89" s="178">
        <f t="shared" si="30"/>
        <v>3</v>
      </c>
      <c r="U89" s="253">
        <f t="shared" si="31"/>
        <v>-2.0813172351266229</v>
      </c>
      <c r="V89" s="385">
        <f t="shared" si="32"/>
        <v>41.95563408726499</v>
      </c>
      <c r="W89" s="58"/>
      <c r="X89" s="157">
        <f t="shared" si="33"/>
        <v>43540</v>
      </c>
      <c r="Y89" s="387">
        <f t="shared" si="34"/>
        <v>41.112000000000002</v>
      </c>
      <c r="Z89" s="387">
        <f t="shared" si="35"/>
        <v>41.329756329786541</v>
      </c>
      <c r="AA89" s="388">
        <f t="shared" si="36"/>
        <v>43.335877702065119</v>
      </c>
      <c r="AB89" s="199">
        <f t="shared" si="37"/>
        <v>43540</v>
      </c>
      <c r="AC89" s="428">
        <f>IF(OR(t&lt;Tnet,NoTnet),'2018'!Resal_s+('2018'!Salim-'2018'!Resal_s)*(1-EXP(('2018'!Tnet_s-t)/'2018'!Tau_j)),Resal_s+(Salim-Resal_s)*(1-EXP((Tnet_s-t)/Tau_j)))*Salcycl</f>
        <v>4.6292390477716751E-2</v>
      </c>
      <c r="AD89" s="233">
        <f>(INDEX(Models!$BJ89:$BT89,,AH89)*(1-AF89)+INDEX(Models!$BJ89:$BT89,,AH89+1)*AF89-ERP_i)*AE89*Ramure*Pc/MaxiM</f>
        <v>1.5580117449570752E-3</v>
      </c>
      <c r="AE89" s="307">
        <f t="shared" si="38"/>
        <v>0.9</v>
      </c>
      <c r="AF89" s="179">
        <f t="shared" si="39"/>
        <v>0.91868276487337708</v>
      </c>
      <c r="AG89" s="178">
        <f t="shared" si="40"/>
        <v>-3</v>
      </c>
      <c r="AH89" s="178">
        <f t="shared" si="41"/>
        <v>3</v>
      </c>
      <c r="AI89" s="227">
        <f t="shared" si="42"/>
        <v>-2.0813172351266229</v>
      </c>
      <c r="AJ89" s="267" t="b">
        <f t="shared" si="43"/>
        <v>0</v>
      </c>
      <c r="AK89" s="267" t="b">
        <f t="shared" si="44"/>
        <v>0</v>
      </c>
      <c r="AL89" s="267"/>
      <c r="AM89" s="267"/>
      <c r="AN89" s="75"/>
    </row>
    <row r="90" spans="1:40" s="6" customFormat="1" ht="11.25" customHeight="1" x14ac:dyDescent="0.2">
      <c r="A90" s="56">
        <f t="shared" si="45"/>
        <v>43541</v>
      </c>
      <c r="B90" s="620">
        <v>15.612</v>
      </c>
      <c r="C90" s="392"/>
      <c r="D90" s="395">
        <f t="shared" si="24"/>
        <v>15.695056719476883</v>
      </c>
      <c r="E90" s="387">
        <f t="shared" si="46"/>
        <v>16.460024365244081</v>
      </c>
      <c r="F90" s="387">
        <f t="shared" si="25"/>
        <v>16.462516493535823</v>
      </c>
      <c r="G90" s="110">
        <f t="shared" si="47"/>
        <v>0.36782843333052545</v>
      </c>
      <c r="H90" s="416" t="b">
        <f>Wh_hp&gt;='2018'!Maxi_hp</f>
        <v>1</v>
      </c>
      <c r="I90" s="392">
        <f>IF(H90,Wh_hp,'2018'!Maxi_hp)</f>
        <v>16.462516493535823</v>
      </c>
      <c r="J90" s="85">
        <f>IF(H90,An,'2018'!An_max)</f>
        <v>2019</v>
      </c>
      <c r="K90" s="199">
        <f t="shared" si="26"/>
        <v>43541</v>
      </c>
      <c r="L90" s="147">
        <f>IF(t&lt;Tvie,1-EXP((T0-t)*PertePVj)+'2018'!Pspv,1-EXP((T0-t)*PertePVj)+Pspv)</f>
        <v>5.2919031107299119E-3</v>
      </c>
      <c r="M90" s="872"/>
      <c r="N90" s="872"/>
      <c r="O90" s="48">
        <f>IF(t&lt;Tnet,'2018'!Resal+('2018'!Salim-'2018'!Resal)*(1-EXP(('2018'!Tnet-t)/('2018'!Tau_j))),Resal+(Salim-Resal)*(1-EXP((Tnet-t)/(Tau_j))))*Salcycl</f>
        <v>4.6474271774618707E-2</v>
      </c>
      <c r="P90" s="171">
        <f>(INDEX(Models!$BJ90:$BT90,,T90)*(1-R90)+INDEX(Models!$BJ90:$BT90,,T90+1)*R90-ERP_i)*Q90*Ramure*Pc/MaxiM</f>
        <v>1.5505031437760041E-3</v>
      </c>
      <c r="Q90" s="307">
        <f t="shared" si="27"/>
        <v>0.9</v>
      </c>
      <c r="R90" s="179">
        <f t="shared" si="28"/>
        <v>0.91949222488944704</v>
      </c>
      <c r="S90" s="839">
        <f t="shared" si="29"/>
        <v>-3</v>
      </c>
      <c r="T90" s="178">
        <f t="shared" si="30"/>
        <v>3</v>
      </c>
      <c r="U90" s="253">
        <f t="shared" si="31"/>
        <v>-2.080507775110553</v>
      </c>
      <c r="V90" s="385">
        <f t="shared" si="32"/>
        <v>42.384308010209217</v>
      </c>
      <c r="W90" s="58"/>
      <c r="X90" s="157">
        <f t="shared" si="33"/>
        <v>43541</v>
      </c>
      <c r="Y90" s="387">
        <f t="shared" si="34"/>
        <v>15.611999999999998</v>
      </c>
      <c r="Z90" s="387">
        <f t="shared" si="35"/>
        <v>15.695056719476881</v>
      </c>
      <c r="AA90" s="388">
        <f t="shared" si="36"/>
        <v>16.460024365244081</v>
      </c>
      <c r="AB90" s="199">
        <f t="shared" si="37"/>
        <v>43541</v>
      </c>
      <c r="AC90" s="428">
        <f>IF(OR(t&lt;Tnet,NoTnet),'2018'!Resal_s+('2018'!Salim-'2018'!Resal_s)*(1-EXP(('2018'!Tnet_s-t)/'2018'!Tau_j)),Resal_s+(Salim-Resal_s)*(1-EXP((Tnet_s-t)/Tau_j)))*Salcycl</f>
        <v>4.6474271774618707E-2</v>
      </c>
      <c r="AD90" s="233">
        <f>(INDEX(Models!$BJ90:$BT90,,AH90)*(1-AF90)+INDEX(Models!$BJ90:$BT90,,AH90+1)*AF90-ERP_i)*AE90*Ramure*Pc/MaxiM</f>
        <v>1.5505031437760041E-3</v>
      </c>
      <c r="AE90" s="307">
        <f t="shared" si="38"/>
        <v>0.9</v>
      </c>
      <c r="AF90" s="179">
        <f t="shared" si="39"/>
        <v>0.91949222488944704</v>
      </c>
      <c r="AG90" s="178">
        <f t="shared" si="40"/>
        <v>-3</v>
      </c>
      <c r="AH90" s="178">
        <f t="shared" si="41"/>
        <v>3</v>
      </c>
      <c r="AI90" s="227">
        <f t="shared" si="42"/>
        <v>-2.080507775110553</v>
      </c>
      <c r="AJ90" s="267" t="b">
        <f t="shared" si="43"/>
        <v>0</v>
      </c>
      <c r="AK90" s="267" t="b">
        <f t="shared" si="44"/>
        <v>0</v>
      </c>
      <c r="AL90" s="267"/>
      <c r="AM90" s="267"/>
      <c r="AN90" s="75"/>
    </row>
    <row r="91" spans="1:40" s="6" customFormat="1" ht="11.25" customHeight="1" x14ac:dyDescent="0.2">
      <c r="A91" s="56">
        <f t="shared" si="45"/>
        <v>43542</v>
      </c>
      <c r="B91" s="620">
        <v>28.573</v>
      </c>
      <c r="C91" s="392"/>
      <c r="D91" s="395">
        <f t="shared" si="24"/>
        <v>28.725678458117187</v>
      </c>
      <c r="E91" s="387">
        <f t="shared" si="46"/>
        <v>30.131500726552495</v>
      </c>
      <c r="F91" s="387">
        <f t="shared" si="25"/>
        <v>30.155899568656967</v>
      </c>
      <c r="G91" s="110">
        <f t="shared" si="47"/>
        <v>0.66694552598786427</v>
      </c>
      <c r="H91" s="416" t="b">
        <f>Wh_hp&gt;='2018'!Maxi_hp</f>
        <v>1</v>
      </c>
      <c r="I91" s="392">
        <f>IF(H91,Wh_hp,'2018'!Maxi_hp)</f>
        <v>30.155899568656967</v>
      </c>
      <c r="J91" s="85">
        <f>IF(H91,An,'2018'!An_max)</f>
        <v>2019</v>
      </c>
      <c r="K91" s="199">
        <f t="shared" si="26"/>
        <v>43542</v>
      </c>
      <c r="L91" s="147">
        <f>IF(t&lt;Tvie,1-EXP((T0-t)*PertePVj)+'2018'!Pspv,1-EXP((T0-t)*PertePVj)+Pspv)</f>
        <v>5.3150514213196054E-3</v>
      </c>
      <c r="M91" s="872"/>
      <c r="N91" s="872"/>
      <c r="O91" s="48">
        <f>IF(t&lt;Tnet,'2018'!Resal+('2018'!Salim-'2018'!Resal)*(1-EXP(('2018'!Tnet-t)/('2018'!Tau_j))),Resal+(Salim-Resal)*(1-EXP((Tnet-t)/(Tau_j))))*Salcycl</f>
        <v>4.6656231337208739E-2</v>
      </c>
      <c r="P91" s="171">
        <f>(INDEX(Models!$BJ91:$BT91,,T91)*(1-R91)+INDEX(Models!$BJ91:$BT91,,T91+1)*R91-ERP_i)*Q91*Ramure*Pc/MaxiM</f>
        <v>1.5413980764298714E-3</v>
      </c>
      <c r="Q91" s="307">
        <f t="shared" si="27"/>
        <v>0.9</v>
      </c>
      <c r="R91" s="179">
        <f t="shared" si="28"/>
        <v>0.92033359979952278</v>
      </c>
      <c r="S91" s="839">
        <f t="shared" si="29"/>
        <v>-3</v>
      </c>
      <c r="T91" s="178">
        <f t="shared" si="30"/>
        <v>3</v>
      </c>
      <c r="U91" s="253">
        <f t="shared" si="31"/>
        <v>-2.0796664002004772</v>
      </c>
      <c r="V91" s="385">
        <f t="shared" si="32"/>
        <v>42.810181207504286</v>
      </c>
      <c r="W91" s="58"/>
      <c r="X91" s="157">
        <f t="shared" si="33"/>
        <v>43542</v>
      </c>
      <c r="Y91" s="387">
        <f t="shared" si="34"/>
        <v>28.573</v>
      </c>
      <c r="Z91" s="387">
        <f t="shared" si="35"/>
        <v>28.725678458117187</v>
      </c>
      <c r="AA91" s="388">
        <f t="shared" si="36"/>
        <v>30.131500726552495</v>
      </c>
      <c r="AB91" s="199">
        <f t="shared" si="37"/>
        <v>43542</v>
      </c>
      <c r="AC91" s="428">
        <f>IF(OR(t&lt;Tnet,NoTnet),'2018'!Resal_s+('2018'!Salim-'2018'!Resal_s)*(1-EXP(('2018'!Tnet_s-t)/'2018'!Tau_j)),Resal_s+(Salim-Resal_s)*(1-EXP((Tnet_s-t)/Tau_j)))*Salcycl</f>
        <v>4.6656231337208739E-2</v>
      </c>
      <c r="AD91" s="233">
        <f>(INDEX(Models!$BJ91:$BT91,,AH91)*(1-AF91)+INDEX(Models!$BJ91:$BT91,,AH91+1)*AF91-ERP_i)*AE91*Ramure*Pc/MaxiM</f>
        <v>1.5413980764298714E-3</v>
      </c>
      <c r="AE91" s="307">
        <f t="shared" si="38"/>
        <v>0.9</v>
      </c>
      <c r="AF91" s="179">
        <f t="shared" si="39"/>
        <v>0.92033359979952278</v>
      </c>
      <c r="AG91" s="178">
        <f t="shared" si="40"/>
        <v>-3</v>
      </c>
      <c r="AH91" s="178">
        <f t="shared" si="41"/>
        <v>3</v>
      </c>
      <c r="AI91" s="227">
        <f t="shared" si="42"/>
        <v>-2.0796664002004772</v>
      </c>
      <c r="AJ91" s="267" t="b">
        <f t="shared" si="43"/>
        <v>0</v>
      </c>
      <c r="AK91" s="267" t="b">
        <f t="shared" si="44"/>
        <v>0</v>
      </c>
      <c r="AL91" s="267"/>
      <c r="AM91" s="267"/>
      <c r="AN91" s="75"/>
    </row>
    <row r="92" spans="1:40" s="6" customFormat="1" ht="11.25" customHeight="1" x14ac:dyDescent="0.2">
      <c r="A92" s="56">
        <f t="shared" si="45"/>
        <v>43543</v>
      </c>
      <c r="B92" s="620">
        <v>15.613</v>
      </c>
      <c r="C92" s="392"/>
      <c r="D92" s="395">
        <f t="shared" si="24"/>
        <v>15.69679260562339</v>
      </c>
      <c r="E92" s="387">
        <f t="shared" si="46"/>
        <v>16.468131840125146</v>
      </c>
      <c r="F92" s="387">
        <f t="shared" si="25"/>
        <v>16.470333918699559</v>
      </c>
      <c r="G92" s="110">
        <f t="shared" si="47"/>
        <v>0.3606347638449145</v>
      </c>
      <c r="H92" s="416" t="b">
        <f>Wh_hp&gt;='2018'!Maxi_hp</f>
        <v>1</v>
      </c>
      <c r="I92" s="392">
        <f>IF(H92,Wh_hp,'2018'!Maxi_hp)</f>
        <v>16.470333918699559</v>
      </c>
      <c r="J92" s="85">
        <f>IF(H92,An,'2018'!An_max)</f>
        <v>2019</v>
      </c>
      <c r="K92" s="199">
        <f t="shared" si="26"/>
        <v>43543</v>
      </c>
      <c r="L92" s="147">
        <f>IF(t&lt;Tvie,1-EXP((T0-t)*PertePVj)+'2018'!Pspv,1-EXP((T0-t)*PertePVj)+Pspv)</f>
        <v>5.3381991932142103E-3</v>
      </c>
      <c r="M92" s="872"/>
      <c r="N92" s="872"/>
      <c r="O92" s="48">
        <f>IF(t&lt;Tnet,'2018'!Resal+('2018'!Salim-'2018'!Resal)*(1-EXP(('2018'!Tnet-t)/('2018'!Tau_j))),Resal+(Salim-Resal)*(1-EXP((Tnet-t)/(Tau_j))))*Salcycl</f>
        <v>4.6838296049000576E-2</v>
      </c>
      <c r="P92" s="171">
        <f>(INDEX(Models!$BJ92:$BT92,,T92)*(1-R92)+INDEX(Models!$BJ92:$BT92,,T92+1)*R92-ERP_i)*Q92*Ramure*Pc/MaxiM</f>
        <v>1.5307614663886231E-3</v>
      </c>
      <c r="Q92" s="307">
        <f t="shared" si="27"/>
        <v>0.9</v>
      </c>
      <c r="R92" s="179">
        <f t="shared" si="28"/>
        <v>0.92120806165941183</v>
      </c>
      <c r="S92" s="839">
        <f t="shared" si="29"/>
        <v>-3</v>
      </c>
      <c r="T92" s="178">
        <f t="shared" si="30"/>
        <v>3</v>
      </c>
      <c r="U92" s="253">
        <f t="shared" si="31"/>
        <v>-2.0787919383405882</v>
      </c>
      <c r="V92" s="385">
        <f t="shared" si="32"/>
        <v>43.232617376100457</v>
      </c>
      <c r="W92" s="58"/>
      <c r="X92" s="157">
        <f t="shared" si="33"/>
        <v>43543</v>
      </c>
      <c r="Y92" s="387">
        <f t="shared" si="34"/>
        <v>15.613000000000001</v>
      </c>
      <c r="Z92" s="387">
        <f t="shared" si="35"/>
        <v>15.696792605623392</v>
      </c>
      <c r="AA92" s="388">
        <f t="shared" si="36"/>
        <v>16.468131840125146</v>
      </c>
      <c r="AB92" s="199">
        <f t="shared" si="37"/>
        <v>43543</v>
      </c>
      <c r="AC92" s="428">
        <f>IF(OR(t&lt;Tnet,NoTnet),'2018'!Resal_s+('2018'!Salim-'2018'!Resal_s)*(1-EXP(('2018'!Tnet_s-t)/'2018'!Tau_j)),Resal_s+(Salim-Resal_s)*(1-EXP((Tnet_s-t)/Tau_j)))*Salcycl</f>
        <v>4.6838296049000576E-2</v>
      </c>
      <c r="AD92" s="233">
        <f>(INDEX(Models!$BJ92:$BT92,,AH92)*(1-AF92)+INDEX(Models!$BJ92:$BT92,,AH92+1)*AF92-ERP_i)*AE92*Ramure*Pc/MaxiM</f>
        <v>1.5307614663886231E-3</v>
      </c>
      <c r="AE92" s="307">
        <f t="shared" si="38"/>
        <v>0.9</v>
      </c>
      <c r="AF92" s="179">
        <f t="shared" si="39"/>
        <v>0.92120806165941183</v>
      </c>
      <c r="AG92" s="178">
        <f t="shared" si="40"/>
        <v>-3</v>
      </c>
      <c r="AH92" s="178">
        <f t="shared" si="41"/>
        <v>3</v>
      </c>
      <c r="AI92" s="227">
        <f t="shared" si="42"/>
        <v>-2.0787919383405882</v>
      </c>
      <c r="AJ92" s="267" t="b">
        <f t="shared" si="43"/>
        <v>0</v>
      </c>
      <c r="AK92" s="267" t="b">
        <f t="shared" si="44"/>
        <v>0</v>
      </c>
      <c r="AL92" s="267"/>
      <c r="AM92" s="267"/>
      <c r="AN92" s="75"/>
    </row>
    <row r="93" spans="1:40" s="6" customFormat="1" ht="11.25" x14ac:dyDescent="0.2">
      <c r="A93" s="56">
        <f t="shared" si="45"/>
        <v>43544</v>
      </c>
      <c r="B93" s="620">
        <v>44.210999999999999</v>
      </c>
      <c r="C93" s="392"/>
      <c r="D93" s="395">
        <f t="shared" si="24"/>
        <v>44.449308139350023</v>
      </c>
      <c r="E93" s="387">
        <f t="shared" si="46"/>
        <v>46.642459612882384</v>
      </c>
      <c r="F93" s="387">
        <f t="shared" si="25"/>
        <v>46.71339553405334</v>
      </c>
      <c r="G93" s="110">
        <f t="shared" si="47"/>
        <v>1.0127498725267881</v>
      </c>
      <c r="H93" s="416" t="b">
        <f>Wh_hp&gt;='2018'!Maxi_hp</f>
        <v>1</v>
      </c>
      <c r="I93" s="392">
        <f>IF(H93,Wh_hp,'2018'!Maxi_hp)</f>
        <v>46.71339553405334</v>
      </c>
      <c r="J93" s="85">
        <f>IF(H93,An,'2018'!An_max)</f>
        <v>2019</v>
      </c>
      <c r="K93" s="199">
        <f t="shared" si="26"/>
        <v>43544</v>
      </c>
      <c r="L93" s="147">
        <f>IF(t&lt;Tvie,1-EXP((T0-t)*PertePVj)+'2018'!Pspv,1-EXP((T0-t)*PertePVj)+Pspv)</f>
        <v>5.3613464264262722E-3</v>
      </c>
      <c r="M93" s="872"/>
      <c r="N93" s="872"/>
      <c r="O93" s="48">
        <f>IF(t&lt;Tnet,'2018'!Resal+('2018'!Salim-'2018'!Resal)*(1-EXP(('2018'!Tnet-t)/('2018'!Tau_j))),Resal+(Salim-Resal)*(1-EXP((Tnet-t)/(Tau_j))))*Salcycl</f>
        <v>4.7020493596067206E-2</v>
      </c>
      <c r="P93" s="171">
        <f>(INDEX(Models!$BJ93:$BT93,,T93)*(1-R93)+INDEX(Models!$BJ93:$BT93,,T93+1)*R93-ERP_i)*Q93*Ramure*Pc/MaxiM</f>
        <v>1.5185348947551155E-3</v>
      </c>
      <c r="Q93" s="307">
        <f t="shared" si="27"/>
        <v>0.9</v>
      </c>
      <c r="R93" s="179">
        <f t="shared" si="28"/>
        <v>0.92211681843508186</v>
      </c>
      <c r="S93" s="839">
        <f t="shared" si="29"/>
        <v>-3</v>
      </c>
      <c r="T93" s="178">
        <f t="shared" si="30"/>
        <v>3</v>
      </c>
      <c r="U93" s="253">
        <f t="shared" si="31"/>
        <v>-2.0778831815649181</v>
      </c>
      <c r="V93" s="385">
        <f t="shared" si="32"/>
        <v>43.654411814137831</v>
      </c>
      <c r="W93" s="58"/>
      <c r="X93" s="157">
        <f t="shared" si="33"/>
        <v>43544</v>
      </c>
      <c r="Y93" s="387">
        <f t="shared" si="34"/>
        <v>44.210999999999999</v>
      </c>
      <c r="Z93" s="387">
        <f t="shared" si="35"/>
        <v>44.449308139350023</v>
      </c>
      <c r="AA93" s="388">
        <f t="shared" si="36"/>
        <v>46.642459612882384</v>
      </c>
      <c r="AB93" s="199">
        <f t="shared" si="37"/>
        <v>43544</v>
      </c>
      <c r="AC93" s="428">
        <f>IF(OR(t&lt;Tnet,NoTnet),'2018'!Resal_s+('2018'!Salim-'2018'!Resal_s)*(1-EXP(('2018'!Tnet_s-t)/'2018'!Tau_j)),Resal_s+(Salim-Resal_s)*(1-EXP((Tnet_s-t)/Tau_j)))*Salcycl</f>
        <v>4.7020493596067206E-2</v>
      </c>
      <c r="AD93" s="233">
        <f>(INDEX(Models!$BJ93:$BT93,,AH93)*(1-AF93)+INDEX(Models!$BJ93:$BT93,,AH93+1)*AF93-ERP_i)*AE93*Ramure*Pc/MaxiM</f>
        <v>1.5185348947551155E-3</v>
      </c>
      <c r="AE93" s="307">
        <f t="shared" si="38"/>
        <v>0.9</v>
      </c>
      <c r="AF93" s="179">
        <f t="shared" si="39"/>
        <v>0.92211681843508186</v>
      </c>
      <c r="AG93" s="178">
        <f t="shared" si="40"/>
        <v>-3</v>
      </c>
      <c r="AH93" s="178">
        <f t="shared" si="41"/>
        <v>3</v>
      </c>
      <c r="AI93" s="227">
        <f t="shared" si="42"/>
        <v>-2.0778831815649181</v>
      </c>
      <c r="AJ93" s="267" t="b">
        <f t="shared" si="43"/>
        <v>0</v>
      </c>
      <c r="AK93" s="267" t="b">
        <f t="shared" si="44"/>
        <v>0</v>
      </c>
      <c r="AL93" s="267"/>
      <c r="AM93" s="267"/>
      <c r="AN93" s="75"/>
    </row>
    <row r="94" spans="1:40" s="6" customFormat="1" ht="11.25" customHeight="1" x14ac:dyDescent="0.2">
      <c r="A94" s="56">
        <f t="shared" si="45"/>
        <v>43545</v>
      </c>
      <c r="B94" s="620">
        <v>43.777000000000001</v>
      </c>
      <c r="C94" s="392"/>
      <c r="D94" s="395">
        <f t="shared" si="24"/>
        <v>44.013993042765129</v>
      </c>
      <c r="E94" s="387">
        <f t="shared" si="46"/>
        <v>46.194505465652874</v>
      </c>
      <c r="F94" s="387">
        <f t="shared" si="25"/>
        <v>46.263402282215509</v>
      </c>
      <c r="G94" s="110">
        <f t="shared" si="47"/>
        <v>0.9931509744906013</v>
      </c>
      <c r="H94" s="416" t="b">
        <f>Wh_hp&gt;='2018'!Maxi_hp</f>
        <v>1</v>
      </c>
      <c r="I94" s="392">
        <f>IF(H94,Wh_hp,'2018'!Maxi_hp)</f>
        <v>46.263402282215509</v>
      </c>
      <c r="J94" s="85">
        <f>IF(H94,An,'2018'!An_max)</f>
        <v>2019</v>
      </c>
      <c r="K94" s="199">
        <f t="shared" si="26"/>
        <v>43545</v>
      </c>
      <c r="L94" s="147">
        <f>IF(t&lt;Tvie,1-EXP((T0-t)*PertePVj)+'2018'!Pspv,1-EXP((T0-t)*PertePVj)+Pspv)</f>
        <v>5.3844931209685587E-3</v>
      </c>
      <c r="M94" s="872"/>
      <c r="N94" s="872"/>
      <c r="O94" s="48">
        <f>IF(t&lt;Tnet,'2018'!Resal+('2018'!Salim-'2018'!Resal)*(1-EXP(('2018'!Tnet-t)/('2018'!Tau_j))),Resal+(Salim-Resal)*(1-EXP((Tnet-t)/(Tau_j))))*Salcycl</f>
        <v>4.7202852393539101E-2</v>
      </c>
      <c r="P94" s="171">
        <f>(INDEX(Models!$BJ94:$BT94,,T94)*(1-R94)+INDEX(Models!$BJ94:$BT94,,T94+1)*R94-ERP_i)*Q94*Ramure*Pc/MaxiM</f>
        <v>1.5039127402871829E-3</v>
      </c>
      <c r="Q94" s="307">
        <f t="shared" si="27"/>
        <v>0.9</v>
      </c>
      <c r="R94" s="179">
        <f t="shared" si="28"/>
        <v>0.92306111450066242</v>
      </c>
      <c r="S94" s="839">
        <f t="shared" si="29"/>
        <v>-3</v>
      </c>
      <c r="T94" s="178">
        <f t="shared" si="30"/>
        <v>3</v>
      </c>
      <c r="U94" s="253">
        <f t="shared" si="31"/>
        <v>-2.0769388854993376</v>
      </c>
      <c r="V94" s="385">
        <f t="shared" si="32"/>
        <v>44.078249300445542</v>
      </c>
      <c r="W94" s="58"/>
      <c r="X94" s="157">
        <f t="shared" si="33"/>
        <v>43545</v>
      </c>
      <c r="Y94" s="387">
        <f t="shared" si="34"/>
        <v>43.777000000000001</v>
      </c>
      <c r="Z94" s="387">
        <f t="shared" si="35"/>
        <v>44.013993042765129</v>
      </c>
      <c r="AA94" s="388">
        <f t="shared" si="36"/>
        <v>46.194505465652874</v>
      </c>
      <c r="AB94" s="199">
        <f t="shared" si="37"/>
        <v>43545</v>
      </c>
      <c r="AC94" s="428">
        <f>IF(OR(t&lt;Tnet,NoTnet),'2018'!Resal_s+('2018'!Salim-'2018'!Resal_s)*(1-EXP(('2018'!Tnet_s-t)/'2018'!Tau_j)),Resal_s+(Salim-Resal_s)*(1-EXP((Tnet_s-t)/Tau_j)))*Salcycl</f>
        <v>4.7202852393539101E-2</v>
      </c>
      <c r="AD94" s="233">
        <f>(INDEX(Models!$BJ94:$BT94,,AH94)*(1-AF94)+INDEX(Models!$BJ94:$BT94,,AH94+1)*AF94-ERP_i)*AE94*Ramure*Pc/MaxiM</f>
        <v>1.5039127402871829E-3</v>
      </c>
      <c r="AE94" s="307">
        <f t="shared" si="38"/>
        <v>0.9</v>
      </c>
      <c r="AF94" s="179">
        <f t="shared" si="39"/>
        <v>0.92306111450066242</v>
      </c>
      <c r="AG94" s="178">
        <f t="shared" si="40"/>
        <v>-3</v>
      </c>
      <c r="AH94" s="178">
        <f t="shared" si="41"/>
        <v>3</v>
      </c>
      <c r="AI94" s="227">
        <f t="shared" si="42"/>
        <v>-2.0769388854993376</v>
      </c>
      <c r="AJ94" s="267" t="b">
        <f t="shared" si="43"/>
        <v>0</v>
      </c>
      <c r="AK94" s="267" t="b">
        <f t="shared" si="44"/>
        <v>0</v>
      </c>
      <c r="AL94" s="267"/>
      <c r="AM94" s="267"/>
      <c r="AN94" s="75"/>
    </row>
    <row r="95" spans="1:40" s="6" customFormat="1" ht="11.25" customHeight="1" x14ac:dyDescent="0.2">
      <c r="A95" s="56">
        <f t="shared" si="45"/>
        <v>43546</v>
      </c>
      <c r="B95" s="620">
        <v>43.002000000000002</v>
      </c>
      <c r="C95" s="392"/>
      <c r="D95" s="395">
        <f t="shared" si="24"/>
        <v>43.235803629875235</v>
      </c>
      <c r="E95" s="387">
        <f t="shared" si="46"/>
        <v>45.386459223323449</v>
      </c>
      <c r="F95" s="387">
        <f t="shared" si="25"/>
        <v>45.450818729101435</v>
      </c>
      <c r="G95" s="110">
        <f t="shared" si="47"/>
        <v>0.96619722194999036</v>
      </c>
      <c r="H95" s="416" t="b">
        <f>Wh_hp&gt;='2018'!Maxi_hp</f>
        <v>1</v>
      </c>
      <c r="I95" s="392">
        <f>IF(H95,Wh_hp,'2018'!Maxi_hp)</f>
        <v>45.450818729101435</v>
      </c>
      <c r="J95" s="85">
        <f>IF(H95,An,'2018'!An_max)</f>
        <v>2019</v>
      </c>
      <c r="K95" s="199">
        <f t="shared" si="26"/>
        <v>43546</v>
      </c>
      <c r="L95" s="147">
        <f>IF(t&lt;Tvie,1-EXP((T0-t)*PertePVj)+'2018'!Pspv,1-EXP((T0-t)*PertePVj)+Pspv)</f>
        <v>5.4076392768533932E-3</v>
      </c>
      <c r="M95" s="872"/>
      <c r="N95" s="872"/>
      <c r="O95" s="48">
        <f>IF(t&lt;Tnet,'2018'!Resal+('2018'!Salim-'2018'!Resal)*(1-EXP(('2018'!Tnet-t)/('2018'!Tau_j))),Resal+(Salim-Resal)*(1-EXP((Tnet-t)/(Tau_j))))*Salcycl</f>
        <v>4.7385401510744461E-2</v>
      </c>
      <c r="P95" s="171">
        <f>(INDEX(Models!$BJ95:$BT95,,T95)*(1-R95)+INDEX(Models!$BJ95:$BT95,,T95+1)*R95-ERP_i)*Q95*Ramure*Pc/MaxiM</f>
        <v>1.487719275159184E-3</v>
      </c>
      <c r="Q95" s="307">
        <f t="shared" si="27"/>
        <v>0.9</v>
      </c>
      <c r="R95" s="179">
        <f t="shared" si="28"/>
        <v>0.92404223108630701</v>
      </c>
      <c r="S95" s="839">
        <f t="shared" si="29"/>
        <v>-3</v>
      </c>
      <c r="T95" s="178">
        <f t="shared" si="30"/>
        <v>3</v>
      </c>
      <c r="U95" s="253">
        <f t="shared" si="31"/>
        <v>-2.075957768913693</v>
      </c>
      <c r="V95" s="385">
        <f t="shared" si="32"/>
        <v>44.503245987251155</v>
      </c>
      <c r="W95" s="58"/>
      <c r="X95" s="157">
        <f t="shared" si="33"/>
        <v>43546</v>
      </c>
      <c r="Y95" s="387">
        <f t="shared" si="34"/>
        <v>43.002000000000002</v>
      </c>
      <c r="Z95" s="387">
        <f t="shared" si="35"/>
        <v>43.235803629875235</v>
      </c>
      <c r="AA95" s="388">
        <f t="shared" si="36"/>
        <v>45.386459223323449</v>
      </c>
      <c r="AB95" s="199">
        <f t="shared" si="37"/>
        <v>43546</v>
      </c>
      <c r="AC95" s="428">
        <f>IF(OR(t&lt;Tnet,NoTnet),'2018'!Resal_s+('2018'!Salim-'2018'!Resal_s)*(1-EXP(('2018'!Tnet_s-t)/'2018'!Tau_j)),Resal_s+(Salim-Resal_s)*(1-EXP((Tnet_s-t)/Tau_j)))*Salcycl</f>
        <v>4.7385401510744461E-2</v>
      </c>
      <c r="AD95" s="233">
        <f>(INDEX(Models!$BJ95:$BT95,,AH95)*(1-AF95)+INDEX(Models!$BJ95:$BT95,,AH95+1)*AF95-ERP_i)*AE95*Ramure*Pc/MaxiM</f>
        <v>1.487719275159184E-3</v>
      </c>
      <c r="AE95" s="307">
        <f t="shared" si="38"/>
        <v>0.9</v>
      </c>
      <c r="AF95" s="179">
        <f t="shared" si="39"/>
        <v>0.92404223108630701</v>
      </c>
      <c r="AG95" s="178">
        <f t="shared" si="40"/>
        <v>-3</v>
      </c>
      <c r="AH95" s="178">
        <f t="shared" si="41"/>
        <v>3</v>
      </c>
      <c r="AI95" s="227">
        <f t="shared" si="42"/>
        <v>-2.075957768913693</v>
      </c>
      <c r="AJ95" s="267" t="b">
        <f t="shared" si="43"/>
        <v>0</v>
      </c>
      <c r="AK95" s="267" t="b">
        <f t="shared" si="44"/>
        <v>0</v>
      </c>
      <c r="AL95" s="267"/>
      <c r="AM95" s="267"/>
      <c r="AN95" s="75"/>
    </row>
    <row r="96" spans="1:40" s="6" customFormat="1" ht="11.25" x14ac:dyDescent="0.2">
      <c r="A96" s="56">
        <f t="shared" si="45"/>
        <v>43547</v>
      </c>
      <c r="B96" s="620">
        <v>40.734999999999999</v>
      </c>
      <c r="C96" s="392"/>
      <c r="D96" s="395">
        <f t="shared" si="24"/>
        <v>40.957430997562433</v>
      </c>
      <c r="E96" s="387">
        <f t="shared" si="46"/>
        <v>43.003005289282939</v>
      </c>
      <c r="F96" s="387">
        <f t="shared" si="25"/>
        <v>43.057861436959648</v>
      </c>
      <c r="G96" s="110">
        <f t="shared" si="47"/>
        <v>0.90648383050603598</v>
      </c>
      <c r="H96" s="416" t="b">
        <f>Wh_hp&gt;='2018'!Maxi_hp</f>
        <v>1</v>
      </c>
      <c r="I96" s="392">
        <f>IF(H96,Wh_hp,'2018'!Maxi_hp)</f>
        <v>43.057861436959648</v>
      </c>
      <c r="J96" s="85">
        <f>IF(H96,An,'2018'!An_max)</f>
        <v>2019</v>
      </c>
      <c r="K96" s="199">
        <f t="shared" si="26"/>
        <v>43547</v>
      </c>
      <c r="L96" s="147">
        <f>IF(t&lt;Tvie,1-EXP((T0-t)*PertePVj)+'2018'!Pspv,1-EXP((T0-t)*PertePVj)+Pspv)</f>
        <v>5.4307848940933212E-3</v>
      </c>
      <c r="M96" s="872"/>
      <c r="N96" s="872"/>
      <c r="O96" s="48">
        <f>IF(t&lt;Tnet,'2018'!Resal+('2018'!Salim-'2018'!Resal)*(1-EXP(('2018'!Tnet-t)/('2018'!Tau_j))),Resal+(Salim-Resal)*(1-EXP((Tnet-t)/(Tau_j))))*Salcycl</f>
        <v>4.7568170595516435E-2</v>
      </c>
      <c r="P96" s="171">
        <f>(INDEX(Models!$BJ96:$BT96,,T96)*(1-R96)+INDEX(Models!$BJ96:$BT96,,T96+1)*R96-ERP_i)*Q96*Ramure*Pc/MaxiM</f>
        <v>1.4700234349910748E-3</v>
      </c>
      <c r="Q96" s="307">
        <f t="shared" si="27"/>
        <v>0.9</v>
      </c>
      <c r="R96" s="179">
        <f t="shared" si="28"/>
        <v>0.92506148666951926</v>
      </c>
      <c r="S96" s="839">
        <f t="shared" si="29"/>
        <v>-3</v>
      </c>
      <c r="T96" s="178">
        <f t="shared" si="30"/>
        <v>3</v>
      </c>
      <c r="U96" s="253">
        <f t="shared" si="31"/>
        <v>-2.0749385133304807</v>
      </c>
      <c r="V96" s="385">
        <f t="shared" si="32"/>
        <v>44.928551219811148</v>
      </c>
      <c r="W96" s="58"/>
      <c r="X96" s="157">
        <f t="shared" si="33"/>
        <v>43547</v>
      </c>
      <c r="Y96" s="387">
        <f t="shared" si="34"/>
        <v>40.734999999999999</v>
      </c>
      <c r="Z96" s="387">
        <f t="shared" si="35"/>
        <v>40.957430997562433</v>
      </c>
      <c r="AA96" s="388">
        <f t="shared" si="36"/>
        <v>43.003005289282939</v>
      </c>
      <c r="AB96" s="199">
        <f t="shared" si="37"/>
        <v>43547</v>
      </c>
      <c r="AC96" s="428">
        <f>IF(OR(t&lt;Tnet,NoTnet),'2018'!Resal_s+('2018'!Salim-'2018'!Resal_s)*(1-EXP(('2018'!Tnet_s-t)/'2018'!Tau_j)),Resal_s+(Salim-Resal_s)*(1-EXP((Tnet_s-t)/Tau_j)))*Salcycl</f>
        <v>4.7568170595516435E-2</v>
      </c>
      <c r="AD96" s="233">
        <f>(INDEX(Models!$BJ96:$BT96,,AH96)*(1-AF96)+INDEX(Models!$BJ96:$BT96,,AH96+1)*AF96-ERP_i)*AE96*Ramure*Pc/MaxiM</f>
        <v>1.4700234349910748E-3</v>
      </c>
      <c r="AE96" s="307">
        <f t="shared" si="38"/>
        <v>0.9</v>
      </c>
      <c r="AF96" s="179">
        <f t="shared" si="39"/>
        <v>0.92506148666951926</v>
      </c>
      <c r="AG96" s="178">
        <f t="shared" si="40"/>
        <v>-3</v>
      </c>
      <c r="AH96" s="178">
        <f t="shared" si="41"/>
        <v>3</v>
      </c>
      <c r="AI96" s="227">
        <f t="shared" si="42"/>
        <v>-2.0749385133304807</v>
      </c>
      <c r="AJ96" s="267" t="b">
        <f t="shared" si="43"/>
        <v>0</v>
      </c>
      <c r="AK96" s="267" t="b">
        <f t="shared" si="44"/>
        <v>0</v>
      </c>
      <c r="AL96" s="267"/>
      <c r="AM96" s="267"/>
      <c r="AN96" s="75"/>
    </row>
    <row r="97" spans="1:40" s="6" customFormat="1" ht="11.25" customHeight="1" x14ac:dyDescent="0.2">
      <c r="A97" s="56">
        <f t="shared" si="45"/>
        <v>43548</v>
      </c>
      <c r="B97" s="620">
        <v>43.941000000000003</v>
      </c>
      <c r="C97" s="392"/>
      <c r="D97" s="395">
        <f t="shared" si="24"/>
        <v>44.181965345048191</v>
      </c>
      <c r="E97" s="387">
        <f t="shared" si="46"/>
        <v>46.397501232564515</v>
      </c>
      <c r="F97" s="387">
        <f t="shared" si="25"/>
        <v>46.461913490405209</v>
      </c>
      <c r="G97" s="110">
        <f t="shared" si="47"/>
        <v>0.96879709667655145</v>
      </c>
      <c r="H97" s="416" t="b">
        <f>Wh_hp&gt;='2018'!Maxi_hp</f>
        <v>1</v>
      </c>
      <c r="I97" s="392">
        <f>IF(H97,Wh_hp,'2018'!Maxi_hp)</f>
        <v>46.461913490405209</v>
      </c>
      <c r="J97" s="85">
        <f>IF(H97,An,'2018'!An_max)</f>
        <v>2019</v>
      </c>
      <c r="K97" s="199">
        <f t="shared" si="26"/>
        <v>43548</v>
      </c>
      <c r="L97" s="147">
        <f>IF(t&lt;Tvie,1-EXP((T0-t)*PertePVj)+'2018'!Pspv,1-EXP((T0-t)*PertePVj)+Pspv)</f>
        <v>5.4539299727008883E-3</v>
      </c>
      <c r="M97" s="872"/>
      <c r="N97" s="872"/>
      <c r="O97" s="48">
        <f>IF(t&lt;Tnet,'2018'!Resal+('2018'!Salim-'2018'!Resal)*(1-EXP(('2018'!Tnet-t)/('2018'!Tau_j))),Resal+(Salim-Resal)*(1-EXP((Tnet-t)/(Tau_j))))*Salcycl</f>
        <v>4.7751189798155104E-2</v>
      </c>
      <c r="P97" s="171">
        <f>(INDEX(Models!$BJ97:$BT97,,T97)*(1-R97)+INDEX(Models!$BJ97:$BT97,,T97+1)*R97-ERP_i)*Q97*Ramure*Pc/MaxiM</f>
        <v>1.450889806473635E-3</v>
      </c>
      <c r="Q97" s="307">
        <f t="shared" si="27"/>
        <v>0.9</v>
      </c>
      <c r="R97" s="179">
        <f t="shared" si="28"/>
        <v>0.926120237303103</v>
      </c>
      <c r="S97" s="839">
        <f t="shared" si="29"/>
        <v>-3</v>
      </c>
      <c r="T97" s="178">
        <f t="shared" si="30"/>
        <v>3</v>
      </c>
      <c r="U97" s="253">
        <f t="shared" si="31"/>
        <v>-2.073879762696897</v>
      </c>
      <c r="V97" s="385">
        <f t="shared" si="32"/>
        <v>45.353315018741483</v>
      </c>
      <c r="W97" s="58"/>
      <c r="X97" s="157">
        <f t="shared" si="33"/>
        <v>43548</v>
      </c>
      <c r="Y97" s="387">
        <f t="shared" si="34"/>
        <v>43.941000000000003</v>
      </c>
      <c r="Z97" s="387">
        <f t="shared" si="35"/>
        <v>44.181965345048191</v>
      </c>
      <c r="AA97" s="388">
        <f t="shared" si="36"/>
        <v>46.397501232564515</v>
      </c>
      <c r="AB97" s="199">
        <f t="shared" si="37"/>
        <v>43548</v>
      </c>
      <c r="AC97" s="428">
        <f>IF(OR(t&lt;Tnet,NoTnet),'2018'!Resal_s+('2018'!Salim-'2018'!Resal_s)*(1-EXP(('2018'!Tnet_s-t)/'2018'!Tau_j)),Resal_s+(Salim-Resal_s)*(1-EXP((Tnet_s-t)/Tau_j)))*Salcycl</f>
        <v>4.7751189798155104E-2</v>
      </c>
      <c r="AD97" s="233">
        <f>(INDEX(Models!$BJ97:$BT97,,AH97)*(1-AF97)+INDEX(Models!$BJ97:$BT97,,AH97+1)*AF97-ERP_i)*AE97*Ramure*Pc/MaxiM</f>
        <v>1.450889806473635E-3</v>
      </c>
      <c r="AE97" s="307">
        <f t="shared" si="38"/>
        <v>0.9</v>
      </c>
      <c r="AF97" s="179">
        <f t="shared" si="39"/>
        <v>0.926120237303103</v>
      </c>
      <c r="AG97" s="178">
        <f t="shared" si="40"/>
        <v>-3</v>
      </c>
      <c r="AH97" s="178">
        <f t="shared" si="41"/>
        <v>3</v>
      </c>
      <c r="AI97" s="227">
        <f t="shared" si="42"/>
        <v>-2.073879762696897</v>
      </c>
      <c r="AJ97" s="267" t="b">
        <f t="shared" si="43"/>
        <v>0</v>
      </c>
      <c r="AK97" s="267" t="b">
        <f t="shared" si="44"/>
        <v>0</v>
      </c>
      <c r="AL97" s="267"/>
      <c r="AM97" s="267"/>
      <c r="AN97" s="75"/>
    </row>
    <row r="98" spans="1:40" s="6" customFormat="1" ht="11.25" x14ac:dyDescent="0.2">
      <c r="A98" s="56">
        <f t="shared" si="45"/>
        <v>43549</v>
      </c>
      <c r="B98" s="620">
        <v>37.497</v>
      </c>
      <c r="C98" s="392"/>
      <c r="D98" s="395">
        <f t="shared" si="24"/>
        <v>37.703504905758365</v>
      </c>
      <c r="E98" s="387">
        <f t="shared" si="46"/>
        <v>39.601796827719568</v>
      </c>
      <c r="F98" s="387">
        <f t="shared" si="25"/>
        <v>39.643850490772188</v>
      </c>
      <c r="G98" s="110">
        <f t="shared" si="47"/>
        <v>0.81882565694206222</v>
      </c>
      <c r="H98" s="416" t="b">
        <f>Wh_hp&gt;='2018'!Maxi_hp</f>
        <v>1</v>
      </c>
      <c r="I98" s="392">
        <f>IF(H98,Wh_hp,'2018'!Maxi_hp)</f>
        <v>39.643850490772188</v>
      </c>
      <c r="J98" s="85">
        <f>IF(H98,An,'2018'!An_max)</f>
        <v>2019</v>
      </c>
      <c r="K98" s="199">
        <f t="shared" si="26"/>
        <v>43549</v>
      </c>
      <c r="L98" s="147">
        <f>IF(t&lt;Tvie,1-EXP((T0-t)*PertePVj)+'2018'!Pspv,1-EXP((T0-t)*PertePVj)+Pspv)</f>
        <v>5.477074512688751E-3</v>
      </c>
      <c r="M98" s="872"/>
      <c r="N98" s="872"/>
      <c r="O98" s="48">
        <f>IF(t&lt;Tnet,'2018'!Resal+('2018'!Salim-'2018'!Resal)*(1-EXP(('2018'!Tnet-t)/('2018'!Tau_j))),Resal+(Salim-Resal)*(1-EXP((Tnet-t)/(Tau_j))))*Salcycl</f>
        <v>4.7934489695489739E-2</v>
      </c>
      <c r="P98" s="171">
        <f>(INDEX(Models!$BJ98:$BT98,,T98)*(1-R98)+INDEX(Models!$BJ98:$BT98,,T98+1)*R98-ERP_i)*Q98*Ramure*Pc/MaxiM</f>
        <v>1.430378531919151E-3</v>
      </c>
      <c r="Q98" s="307">
        <f t="shared" si="27"/>
        <v>0.9</v>
      </c>
      <c r="R98" s="179">
        <f t="shared" si="28"/>
        <v>0.92721987687244933</v>
      </c>
      <c r="S98" s="839">
        <f t="shared" si="29"/>
        <v>-3</v>
      </c>
      <c r="T98" s="178">
        <f t="shared" si="30"/>
        <v>3</v>
      </c>
      <c r="U98" s="253">
        <f t="shared" si="31"/>
        <v>-2.0727801231275507</v>
      </c>
      <c r="V98" s="385">
        <f t="shared" si="32"/>
        <v>45.776688083393104</v>
      </c>
      <c r="W98" s="58"/>
      <c r="X98" s="157">
        <f t="shared" si="33"/>
        <v>43549</v>
      </c>
      <c r="Y98" s="387">
        <f t="shared" si="34"/>
        <v>37.497</v>
      </c>
      <c r="Z98" s="387">
        <f t="shared" si="35"/>
        <v>37.703504905758365</v>
      </c>
      <c r="AA98" s="388">
        <f t="shared" si="36"/>
        <v>39.601796827719568</v>
      </c>
      <c r="AB98" s="199">
        <f t="shared" si="37"/>
        <v>43549</v>
      </c>
      <c r="AC98" s="428">
        <f>IF(OR(t&lt;Tnet,NoTnet),'2018'!Resal_s+('2018'!Salim-'2018'!Resal_s)*(1-EXP(('2018'!Tnet_s-t)/'2018'!Tau_j)),Resal_s+(Salim-Resal_s)*(1-EXP((Tnet_s-t)/Tau_j)))*Salcycl</f>
        <v>4.7934489695489739E-2</v>
      </c>
      <c r="AD98" s="233">
        <f>(INDEX(Models!$BJ98:$BT98,,AH98)*(1-AF98)+INDEX(Models!$BJ98:$BT98,,AH98+1)*AF98-ERP_i)*AE98*Ramure*Pc/MaxiM</f>
        <v>1.430378531919151E-3</v>
      </c>
      <c r="AE98" s="307">
        <f t="shared" si="38"/>
        <v>0.9</v>
      </c>
      <c r="AF98" s="179">
        <f t="shared" si="39"/>
        <v>0.92721987687244933</v>
      </c>
      <c r="AG98" s="178">
        <f t="shared" si="40"/>
        <v>-3</v>
      </c>
      <c r="AH98" s="178">
        <f t="shared" si="41"/>
        <v>3</v>
      </c>
      <c r="AI98" s="227">
        <f t="shared" si="42"/>
        <v>-2.0727801231275507</v>
      </c>
      <c r="AJ98" s="267" t="b">
        <f t="shared" si="43"/>
        <v>0</v>
      </c>
      <c r="AK98" s="267" t="b">
        <f t="shared" si="44"/>
        <v>0</v>
      </c>
      <c r="AL98" s="267"/>
      <c r="AM98" s="267"/>
      <c r="AN98" s="75"/>
    </row>
    <row r="99" spans="1:40" s="6" customFormat="1" ht="11.25" x14ac:dyDescent="0.2">
      <c r="A99" s="56">
        <f t="shared" si="45"/>
        <v>43550</v>
      </c>
      <c r="B99" s="620">
        <v>47.16</v>
      </c>
      <c r="C99" s="392"/>
      <c r="D99" s="395">
        <f t="shared" si="24"/>
        <v>47.420824899062261</v>
      </c>
      <c r="E99" s="387">
        <f t="shared" si="46"/>
        <v>49.817971073525989</v>
      </c>
      <c r="F99" s="387">
        <f t="shared" si="25"/>
        <v>49.888240917785708</v>
      </c>
      <c r="G99" s="110">
        <f t="shared" si="47"/>
        <v>1.0208273498377263</v>
      </c>
      <c r="H99" s="416" t="b">
        <f>Wh_hp&gt;='2018'!Maxi_hp</f>
        <v>1</v>
      </c>
      <c r="I99" s="392">
        <f>IF(H99,Wh_hp,'2018'!Maxi_hp)</f>
        <v>49.888240917785708</v>
      </c>
      <c r="J99" s="85">
        <f>IF(H99,An,'2018'!An_max)</f>
        <v>2019</v>
      </c>
      <c r="K99" s="199">
        <f t="shared" si="26"/>
        <v>43550</v>
      </c>
      <c r="L99" s="147">
        <f>IF(t&lt;Tvie,1-EXP((T0-t)*PertePVj)+'2018'!Pspv,1-EXP((T0-t)*PertePVj)+Pspv)</f>
        <v>5.5002185140693438E-3</v>
      </c>
      <c r="M99" s="872"/>
      <c r="N99" s="872"/>
      <c r="O99" s="48">
        <f>IF(t&lt;Tnet,'2018'!Resal+('2018'!Salim-'2018'!Resal)*(1-EXP(('2018'!Tnet-t)/('2018'!Tau_j))),Resal+(Salim-Resal)*(1-EXP((Tnet-t)/(Tau_j))))*Salcycl</f>
        <v>4.8118101215438885E-2</v>
      </c>
      <c r="P99" s="171">
        <f>(INDEX(Models!$BJ99:$BT99,,T99)*(1-R99)+INDEX(Models!$BJ99:$BT99,,T99+1)*R99-ERP_i)*Q99*Ramure*Pc/MaxiM</f>
        <v>1.4085452396593212E-3</v>
      </c>
      <c r="Q99" s="307">
        <f t="shared" si="27"/>
        <v>0.9</v>
      </c>
      <c r="R99" s="179">
        <f t="shared" si="28"/>
        <v>0.92836183727441446</v>
      </c>
      <c r="S99" s="839">
        <f t="shared" si="29"/>
        <v>-3</v>
      </c>
      <c r="T99" s="178">
        <f t="shared" si="30"/>
        <v>3</v>
      </c>
      <c r="U99" s="253">
        <f t="shared" si="31"/>
        <v>-2.0716381627255855</v>
      </c>
      <c r="V99" s="385">
        <f t="shared" si="32"/>
        <v>46.197821803556387</v>
      </c>
      <c r="W99" s="58"/>
      <c r="X99" s="157">
        <f t="shared" si="33"/>
        <v>43550</v>
      </c>
      <c r="Y99" s="387">
        <f t="shared" si="34"/>
        <v>47.16</v>
      </c>
      <c r="Z99" s="387">
        <f t="shared" si="35"/>
        <v>47.420824899062261</v>
      </c>
      <c r="AA99" s="388">
        <f t="shared" si="36"/>
        <v>49.817971073525989</v>
      </c>
      <c r="AB99" s="199">
        <f t="shared" si="37"/>
        <v>43550</v>
      </c>
      <c r="AC99" s="428">
        <f>IF(OR(t&lt;Tnet,NoTnet),'2018'!Resal_s+('2018'!Salim-'2018'!Resal_s)*(1-EXP(('2018'!Tnet_s-t)/'2018'!Tau_j)),Resal_s+(Salim-Resal_s)*(1-EXP((Tnet_s-t)/Tau_j)))*Salcycl</f>
        <v>4.8118101215438885E-2</v>
      </c>
      <c r="AD99" s="233">
        <f>(INDEX(Models!$BJ99:$BT99,,AH99)*(1-AF99)+INDEX(Models!$BJ99:$BT99,,AH99+1)*AF99-ERP_i)*AE99*Ramure*Pc/MaxiM</f>
        <v>1.4085452396593212E-3</v>
      </c>
      <c r="AE99" s="307">
        <f t="shared" si="38"/>
        <v>0.9</v>
      </c>
      <c r="AF99" s="179">
        <f t="shared" si="39"/>
        <v>0.92836183727441446</v>
      </c>
      <c r="AG99" s="178">
        <f t="shared" si="40"/>
        <v>-3</v>
      </c>
      <c r="AH99" s="178">
        <f t="shared" si="41"/>
        <v>3</v>
      </c>
      <c r="AI99" s="227">
        <f t="shared" si="42"/>
        <v>-2.0716381627255855</v>
      </c>
      <c r="AJ99" s="267" t="b">
        <f t="shared" si="43"/>
        <v>0</v>
      </c>
      <c r="AK99" s="267" t="b">
        <f t="shared" si="44"/>
        <v>0</v>
      </c>
      <c r="AL99" s="267"/>
      <c r="AM99" s="267"/>
      <c r="AN99" s="75"/>
    </row>
    <row r="100" spans="1:40" s="6" customFormat="1" ht="11.25" x14ac:dyDescent="0.2">
      <c r="A100" s="56">
        <f t="shared" si="45"/>
        <v>43551</v>
      </c>
      <c r="B100" s="620">
        <v>46.514000000000003</v>
      </c>
      <c r="C100" s="392"/>
      <c r="D100" s="395">
        <f t="shared" si="24"/>
        <v>46.772340567458826</v>
      </c>
      <c r="E100" s="387">
        <f t="shared" si="46"/>
        <v>49.146203205366064</v>
      </c>
      <c r="F100" s="387">
        <f t="shared" si="25"/>
        <v>49.214148253624103</v>
      </c>
      <c r="G100" s="110">
        <f t="shared" si="47"/>
        <v>0.99780989269793663</v>
      </c>
      <c r="H100" s="416" t="b">
        <f>Wh_hp&gt;='2018'!Maxi_hp</f>
        <v>1</v>
      </c>
      <c r="I100" s="392">
        <f>IF(H100,Wh_hp,'2018'!Maxi_hp)</f>
        <v>49.214148253624103</v>
      </c>
      <c r="J100" s="85">
        <f>IF(H100,An,'2018'!An_max)</f>
        <v>2019</v>
      </c>
      <c r="K100" s="199">
        <f t="shared" si="26"/>
        <v>43551</v>
      </c>
      <c r="L100" s="147">
        <f>IF(t&lt;Tvie,1-EXP((T0-t)*PertePVj)+'2018'!Pspv,1-EXP((T0-t)*PertePVj)+Pspv)</f>
        <v>5.5233619768552122E-3</v>
      </c>
      <c r="M100" s="872"/>
      <c r="N100" s="872"/>
      <c r="O100" s="48">
        <f>IF(t&lt;Tnet,'2018'!Resal+('2018'!Salim-'2018'!Resal)*(1-EXP(('2018'!Tnet-t)/('2018'!Tau_j))),Resal+(Salim-Resal)*(1-EXP((Tnet-t)/(Tau_j))))*Salcycl</f>
        <v>4.8302055562413057E-2</v>
      </c>
      <c r="P100" s="171">
        <f>(INDEX(Models!$BJ100:$BT100,,T100)*(1-R100)+INDEX(Models!$BJ100:$BT100,,T100+1)*R100-ERP_i)*Q100*Ramure*Pc/MaxiM</f>
        <v>1.3849244002817416E-3</v>
      </c>
      <c r="Q100" s="307">
        <f t="shared" si="27"/>
        <v>0.9</v>
      </c>
      <c r="R100" s="179">
        <f t="shared" si="28"/>
        <v>0.92954758850956498</v>
      </c>
      <c r="S100" s="839">
        <f t="shared" si="29"/>
        <v>-3</v>
      </c>
      <c r="T100" s="178">
        <f t="shared" si="30"/>
        <v>3</v>
      </c>
      <c r="U100" s="253">
        <f t="shared" si="31"/>
        <v>-2.070452411490435</v>
      </c>
      <c r="V100" s="385">
        <f t="shared" si="32"/>
        <v>46.615892378488013</v>
      </c>
      <c r="W100" s="58"/>
      <c r="X100" s="157">
        <f t="shared" si="33"/>
        <v>43551</v>
      </c>
      <c r="Y100" s="387">
        <f t="shared" si="34"/>
        <v>46.514000000000003</v>
      </c>
      <c r="Z100" s="387">
        <f t="shared" si="35"/>
        <v>46.772340567458826</v>
      </c>
      <c r="AA100" s="388">
        <f t="shared" si="36"/>
        <v>49.146203205366064</v>
      </c>
      <c r="AB100" s="199">
        <f t="shared" si="37"/>
        <v>43551</v>
      </c>
      <c r="AC100" s="428">
        <f>IF(OR(t&lt;Tnet,NoTnet),'2018'!Resal_s+('2018'!Salim-'2018'!Resal_s)*(1-EXP(('2018'!Tnet_s-t)/'2018'!Tau_j)),Resal_s+(Salim-Resal_s)*(1-EXP((Tnet_s-t)/Tau_j)))*Salcycl</f>
        <v>4.8302055562413057E-2</v>
      </c>
      <c r="AD100" s="233">
        <f>(INDEX(Models!$BJ100:$BT100,,AH100)*(1-AF100)+INDEX(Models!$BJ100:$BT100,,AH100+1)*AF100-ERP_i)*AE100*Ramure*Pc/MaxiM</f>
        <v>1.3849244002817416E-3</v>
      </c>
      <c r="AE100" s="307">
        <f t="shared" si="38"/>
        <v>0.9</v>
      </c>
      <c r="AF100" s="179">
        <f t="shared" si="39"/>
        <v>0.92954758850956498</v>
      </c>
      <c r="AG100" s="178">
        <f t="shared" si="40"/>
        <v>-3</v>
      </c>
      <c r="AH100" s="178">
        <f t="shared" si="41"/>
        <v>3</v>
      </c>
      <c r="AI100" s="227">
        <f t="shared" si="42"/>
        <v>-2.070452411490435</v>
      </c>
      <c r="AJ100" s="267" t="b">
        <f t="shared" si="43"/>
        <v>0</v>
      </c>
      <c r="AK100" s="267" t="b">
        <f t="shared" si="44"/>
        <v>0</v>
      </c>
      <c r="AL100" s="267"/>
      <c r="AM100" s="267"/>
      <c r="AN100" s="75"/>
    </row>
    <row r="101" spans="1:40" s="6" customFormat="1" ht="11.25" x14ac:dyDescent="0.2">
      <c r="A101" s="56">
        <f t="shared" si="45"/>
        <v>43552</v>
      </c>
      <c r="B101" s="620">
        <v>45.658000000000001</v>
      </c>
      <c r="C101" s="392"/>
      <c r="D101" s="395">
        <f t="shared" si="24"/>
        <v>45.91265476467288</v>
      </c>
      <c r="E101" s="387">
        <f t="shared" si="46"/>
        <v>48.252230971347316</v>
      </c>
      <c r="F101" s="387">
        <f t="shared" si="25"/>
        <v>48.315231329996209</v>
      </c>
      <c r="G101" s="110">
        <f t="shared" si="47"/>
        <v>0.97077196633685503</v>
      </c>
      <c r="H101" s="416" t="b">
        <f>Wh_hp&gt;='2018'!Maxi_hp</f>
        <v>1</v>
      </c>
      <c r="I101" s="392">
        <f>IF(H101,Wh_hp,'2018'!Maxi_hp)</f>
        <v>48.315231329996209</v>
      </c>
      <c r="J101" s="85">
        <f>IF(H101,An,'2018'!An_max)</f>
        <v>2019</v>
      </c>
      <c r="K101" s="199">
        <f t="shared" si="26"/>
        <v>43552</v>
      </c>
      <c r="L101" s="147">
        <f>IF(t&lt;Tvie,1-EXP((T0-t)*PertePVj)+'2018'!Pspv,1-EXP((T0-t)*PertePVj)+Pspv)</f>
        <v>5.5465049010587908E-3</v>
      </c>
      <c r="M101" s="872"/>
      <c r="N101" s="872"/>
      <c r="O101" s="48">
        <f>IF(t&lt;Tnet,'2018'!Resal+('2018'!Salim-'2018'!Resal)*(1-EXP(('2018'!Tnet-t)/('2018'!Tau_j))),Resal+(Salim-Resal)*(1-EXP((Tnet-t)/(Tau_j))))*Salcycl</f>
        <v>4.8486384143848232E-2</v>
      </c>
      <c r="P101" s="171">
        <f>(INDEX(Models!$BJ101:$BT101,,T101)*(1-R101)+INDEX(Models!$BJ101:$BT101,,T101+1)*R101-ERP_i)*Q101*Ramure*Pc/MaxiM</f>
        <v>1.3606499382714562E-3</v>
      </c>
      <c r="Q101" s="307">
        <f t="shared" si="27"/>
        <v>0.9</v>
      </c>
      <c r="R101" s="179">
        <f t="shared" si="28"/>
        <v>0.93077863867909461</v>
      </c>
      <c r="S101" s="839">
        <f t="shared" si="29"/>
        <v>-3</v>
      </c>
      <c r="T101" s="178">
        <f t="shared" si="30"/>
        <v>3</v>
      </c>
      <c r="U101" s="253">
        <f t="shared" si="31"/>
        <v>-2.0692213613209054</v>
      </c>
      <c r="V101" s="385">
        <f t="shared" si="32"/>
        <v>47.030002024708551</v>
      </c>
      <c r="W101" s="58"/>
      <c r="X101" s="157">
        <f t="shared" si="33"/>
        <v>43552</v>
      </c>
      <c r="Y101" s="387">
        <f t="shared" si="34"/>
        <v>45.658000000000001</v>
      </c>
      <c r="Z101" s="387">
        <f t="shared" si="35"/>
        <v>45.91265476467288</v>
      </c>
      <c r="AA101" s="388">
        <f t="shared" si="36"/>
        <v>48.252230971347316</v>
      </c>
      <c r="AB101" s="199">
        <f t="shared" si="37"/>
        <v>43552</v>
      </c>
      <c r="AC101" s="428">
        <f>IF(OR(t&lt;Tnet,NoTnet),'2018'!Resal_s+('2018'!Salim-'2018'!Resal_s)*(1-EXP(('2018'!Tnet_s-t)/'2018'!Tau_j)),Resal_s+(Salim-Resal_s)*(1-EXP((Tnet_s-t)/Tau_j)))*Salcycl</f>
        <v>4.8486384143848232E-2</v>
      </c>
      <c r="AD101" s="233">
        <f>(INDEX(Models!$BJ101:$BT101,,AH101)*(1-AF101)+INDEX(Models!$BJ101:$BT101,,AH101+1)*AF101-ERP_i)*AE101*Ramure*Pc/MaxiM</f>
        <v>1.3606499382714562E-3</v>
      </c>
      <c r="AE101" s="307">
        <f t="shared" si="38"/>
        <v>0.9</v>
      </c>
      <c r="AF101" s="179">
        <f t="shared" si="39"/>
        <v>0.93077863867909461</v>
      </c>
      <c r="AG101" s="178">
        <f t="shared" si="40"/>
        <v>-3</v>
      </c>
      <c r="AH101" s="178">
        <f t="shared" si="41"/>
        <v>3</v>
      </c>
      <c r="AI101" s="227">
        <f t="shared" si="42"/>
        <v>-2.0692213613209054</v>
      </c>
      <c r="AJ101" s="267" t="b">
        <f t="shared" si="43"/>
        <v>0</v>
      </c>
      <c r="AK101" s="267" t="b">
        <f t="shared" si="44"/>
        <v>0</v>
      </c>
      <c r="AL101" s="267"/>
      <c r="AM101" s="267"/>
      <c r="AN101" s="75"/>
    </row>
    <row r="102" spans="1:40" s="6" customFormat="1" ht="11.25" x14ac:dyDescent="0.2">
      <c r="A102" s="56">
        <f t="shared" si="45"/>
        <v>43553</v>
      </c>
      <c r="B102" s="620">
        <v>46.591999999999999</v>
      </c>
      <c r="C102" s="392"/>
      <c r="D102" s="395">
        <f t="shared" si="24"/>
        <v>46.852954430517471</v>
      </c>
      <c r="E102" s="387">
        <f t="shared" si="46"/>
        <v>49.250007375523907</v>
      </c>
      <c r="F102" s="387">
        <f t="shared" si="25"/>
        <v>49.314198135031042</v>
      </c>
      <c r="G102" s="110">
        <f t="shared" si="47"/>
        <v>0.98210567854435571</v>
      </c>
      <c r="H102" s="416" t="b">
        <f>Wh_hp&gt;='2018'!Maxi_hp</f>
        <v>1</v>
      </c>
      <c r="I102" s="392">
        <f>IF(H102,Wh_hp,'2018'!Maxi_hp)</f>
        <v>49.314198135031042</v>
      </c>
      <c r="J102" s="85">
        <f>IF(H102,An,'2018'!An_max)</f>
        <v>2019</v>
      </c>
      <c r="K102" s="199">
        <f t="shared" si="26"/>
        <v>43553</v>
      </c>
      <c r="L102" s="147">
        <f>IF(t&lt;Tvie,1-EXP((T0-t)*PertePVj)+'2018'!Pspv,1-EXP((T0-t)*PertePVj)+Pspv)</f>
        <v>5.569647286692847E-3</v>
      </c>
      <c r="M102" s="872"/>
      <c r="N102" s="872"/>
      <c r="O102" s="48">
        <f>IF(t&lt;Tnet,'2018'!Resal+('2018'!Salim-'2018'!Resal)*(1-EXP(('2018'!Tnet-t)/('2018'!Tau_j))),Resal+(Salim-Resal)*(1-EXP((Tnet-t)/(Tau_j))))*Salcycl</f>
        <v>4.8671118498100241E-2</v>
      </c>
      <c r="P102" s="171">
        <f>(INDEX(Models!$BJ102:$BT102,,T102)*(1-R102)+INDEX(Models!$BJ102:$BT102,,T102+1)*R102-ERP_i)*Q102*Ramure*Pc/MaxiM</f>
        <v>1.3357512023155821E-3</v>
      </c>
      <c r="Q102" s="307">
        <f t="shared" si="27"/>
        <v>0.9</v>
      </c>
      <c r="R102" s="179">
        <f t="shared" si="28"/>
        <v>0.93205653387723553</v>
      </c>
      <c r="S102" s="839">
        <f t="shared" si="29"/>
        <v>-3</v>
      </c>
      <c r="T102" s="178">
        <f t="shared" si="30"/>
        <v>3</v>
      </c>
      <c r="U102" s="253">
        <f t="shared" si="31"/>
        <v>-2.0679434661227645</v>
      </c>
      <c r="V102" s="385">
        <f t="shared" si="32"/>
        <v>47.439304126737945</v>
      </c>
      <c r="W102" s="58"/>
      <c r="X102" s="157">
        <f t="shared" si="33"/>
        <v>43553</v>
      </c>
      <c r="Y102" s="387">
        <f t="shared" si="34"/>
        <v>46.591999999999999</v>
      </c>
      <c r="Z102" s="387">
        <f t="shared" si="35"/>
        <v>46.852954430517471</v>
      </c>
      <c r="AA102" s="388">
        <f t="shared" si="36"/>
        <v>49.250007375523907</v>
      </c>
      <c r="AB102" s="199">
        <f t="shared" si="37"/>
        <v>43553</v>
      </c>
      <c r="AC102" s="428">
        <f>IF(OR(t&lt;Tnet,NoTnet),'2018'!Resal_s+('2018'!Salim-'2018'!Resal_s)*(1-EXP(('2018'!Tnet_s-t)/'2018'!Tau_j)),Resal_s+(Salim-Resal_s)*(1-EXP((Tnet_s-t)/Tau_j)))*Salcycl</f>
        <v>4.8671118498100241E-2</v>
      </c>
      <c r="AD102" s="233">
        <f>(INDEX(Models!$BJ102:$BT102,,AH102)*(1-AF102)+INDEX(Models!$BJ102:$BT102,,AH102+1)*AF102-ERP_i)*AE102*Ramure*Pc/MaxiM</f>
        <v>1.3357512023155821E-3</v>
      </c>
      <c r="AE102" s="307">
        <f t="shared" si="38"/>
        <v>0.9</v>
      </c>
      <c r="AF102" s="179">
        <f t="shared" si="39"/>
        <v>0.93205653387723553</v>
      </c>
      <c r="AG102" s="178">
        <f t="shared" si="40"/>
        <v>-3</v>
      </c>
      <c r="AH102" s="178">
        <f t="shared" si="41"/>
        <v>3</v>
      </c>
      <c r="AI102" s="227">
        <f t="shared" si="42"/>
        <v>-2.0679434661227645</v>
      </c>
      <c r="AJ102" s="267" t="b">
        <f t="shared" si="43"/>
        <v>0</v>
      </c>
      <c r="AK102" s="267" t="b">
        <f t="shared" si="44"/>
        <v>0</v>
      </c>
      <c r="AL102" s="267"/>
      <c r="AM102" s="267"/>
      <c r="AN102" s="75"/>
    </row>
    <row r="103" spans="1:40" s="6" customFormat="1" ht="11.25" x14ac:dyDescent="0.2">
      <c r="A103" s="56">
        <f t="shared" si="45"/>
        <v>43554</v>
      </c>
      <c r="B103" s="620">
        <v>47.651000000000003</v>
      </c>
      <c r="C103" s="392"/>
      <c r="D103" s="395">
        <f t="shared" si="24"/>
        <v>47.919000867352032</v>
      </c>
      <c r="E103" s="387">
        <f t="shared" si="46"/>
        <v>50.380400327339153</v>
      </c>
      <c r="F103" s="387">
        <f t="shared" si="25"/>
        <v>50.446118707020261</v>
      </c>
      <c r="G103" s="110">
        <f t="shared" si="47"/>
        <v>0.99598036713075755</v>
      </c>
      <c r="H103" s="416" t="b">
        <f>Wh_hp&gt;='2018'!Maxi_hp</f>
        <v>1</v>
      </c>
      <c r="I103" s="392">
        <f>IF(H103,Wh_hp,'2018'!Maxi_hp)</f>
        <v>50.446118707020261</v>
      </c>
      <c r="J103" s="85">
        <f>IF(H103,An,'2018'!An_max)</f>
        <v>2019</v>
      </c>
      <c r="K103" s="199">
        <f t="shared" si="26"/>
        <v>43554</v>
      </c>
      <c r="L103" s="147">
        <f>IF(t&lt;Tvie,1-EXP((T0-t)*PertePVj)+'2018'!Pspv,1-EXP((T0-t)*PertePVj)+Pspv)</f>
        <v>5.5927891337697044E-3</v>
      </c>
      <c r="M103" s="872"/>
      <c r="N103" s="872"/>
      <c r="O103" s="48">
        <f>IF(t&lt;Tnet,'2018'!Resal+('2018'!Salim-'2018'!Resal)*(1-EXP(('2018'!Tnet-t)/('2018'!Tau_j))),Resal+(Salim-Resal)*(1-EXP((Tnet-t)/(Tau_j))))*Salcycl</f>
        <v>4.8856290223867678E-2</v>
      </c>
      <c r="P103" s="171">
        <f>(INDEX(Models!$BJ103:$BT103,,T103)*(1-R103)+INDEX(Models!$BJ103:$BT103,,T103+1)*R103-ERP_i)*Q103*Ramure*Pc/MaxiM</f>
        <v>1.3102539190958146E-3</v>
      </c>
      <c r="Q103" s="307">
        <f t="shared" si="27"/>
        <v>0.9</v>
      </c>
      <c r="R103" s="179">
        <f t="shared" si="28"/>
        <v>0.93338285796950116</v>
      </c>
      <c r="S103" s="839">
        <f t="shared" si="29"/>
        <v>-3</v>
      </c>
      <c r="T103" s="178">
        <f t="shared" si="30"/>
        <v>3</v>
      </c>
      <c r="U103" s="253">
        <f t="shared" si="31"/>
        <v>-2.0666171420304988</v>
      </c>
      <c r="V103" s="385">
        <f t="shared" si="32"/>
        <v>47.842952784765217</v>
      </c>
      <c r="W103" s="58"/>
      <c r="X103" s="157">
        <f t="shared" si="33"/>
        <v>43554</v>
      </c>
      <c r="Y103" s="387">
        <f t="shared" si="34"/>
        <v>47.651000000000003</v>
      </c>
      <c r="Z103" s="387">
        <f t="shared" si="35"/>
        <v>47.919000867352032</v>
      </c>
      <c r="AA103" s="388">
        <f t="shared" si="36"/>
        <v>50.380400327339153</v>
      </c>
      <c r="AB103" s="199">
        <f t="shared" si="37"/>
        <v>43554</v>
      </c>
      <c r="AC103" s="428">
        <f>IF(OR(t&lt;Tnet,NoTnet),'2018'!Resal_s+('2018'!Salim-'2018'!Resal_s)*(1-EXP(('2018'!Tnet_s-t)/'2018'!Tau_j)),Resal_s+(Salim-Resal_s)*(1-EXP((Tnet_s-t)/Tau_j)))*Salcycl</f>
        <v>4.8856290223867678E-2</v>
      </c>
      <c r="AD103" s="233">
        <f>(INDEX(Models!$BJ103:$BT103,,AH103)*(1-AF103)+INDEX(Models!$BJ103:$BT103,,AH103+1)*AF103-ERP_i)*AE103*Ramure*Pc/MaxiM</f>
        <v>1.3102539190958146E-3</v>
      </c>
      <c r="AE103" s="307">
        <f t="shared" si="38"/>
        <v>0.9</v>
      </c>
      <c r="AF103" s="179">
        <f t="shared" si="39"/>
        <v>0.93338285796950116</v>
      </c>
      <c r="AG103" s="178">
        <f t="shared" si="40"/>
        <v>-3</v>
      </c>
      <c r="AH103" s="178">
        <f t="shared" si="41"/>
        <v>3</v>
      </c>
      <c r="AI103" s="227">
        <f t="shared" si="42"/>
        <v>-2.0666171420304988</v>
      </c>
      <c r="AJ103" s="267" t="b">
        <f t="shared" si="43"/>
        <v>0</v>
      </c>
      <c r="AK103" s="267" t="b">
        <f t="shared" si="44"/>
        <v>0</v>
      </c>
      <c r="AL103" s="267"/>
      <c r="AM103" s="267"/>
      <c r="AN103" s="75"/>
    </row>
    <row r="104" spans="1:40" s="6" customFormat="1" ht="11.25" x14ac:dyDescent="0.2">
      <c r="A104" s="56">
        <f t="shared" si="45"/>
        <v>43555</v>
      </c>
      <c r="B104" s="620">
        <v>40.491999999999997</v>
      </c>
      <c r="C104" s="392"/>
      <c r="D104" s="395">
        <f t="shared" si="24"/>
        <v>40.720684531894037</v>
      </c>
      <c r="E104" s="387">
        <f t="shared" si="46"/>
        <v>42.820694051120881</v>
      </c>
      <c r="F104" s="387">
        <f t="shared" si="25"/>
        <v>42.863108141425833</v>
      </c>
      <c r="G104" s="110">
        <f t="shared" si="47"/>
        <v>0.839137037648507</v>
      </c>
      <c r="H104" s="416" t="b">
        <f>Wh_hp&gt;='2018'!Maxi_hp</f>
        <v>1</v>
      </c>
      <c r="I104" s="392">
        <f>IF(H104,Wh_hp,'2018'!Maxi_hp)</f>
        <v>42.863108141425833</v>
      </c>
      <c r="J104" s="85">
        <f>IF(H104,An,'2018'!An_max)</f>
        <v>2019</v>
      </c>
      <c r="K104" s="199">
        <f t="shared" si="26"/>
        <v>43555</v>
      </c>
      <c r="L104" s="147">
        <f>IF(t&lt;Tvie,1-EXP((T0-t)*PertePVj)+'2018'!Pspv,1-EXP((T0-t)*PertePVj)+Pspv)</f>
        <v>5.6159304423020195E-3</v>
      </c>
      <c r="M104" s="872"/>
      <c r="N104" s="872"/>
      <c r="O104" s="48">
        <f>IF(t&lt;Tnet,'2018'!Resal+('2018'!Salim-'2018'!Resal)*(1-EXP(('2018'!Tnet-t)/('2018'!Tau_j))),Resal+(Salim-Resal)*(1-EXP((Tnet-t)/(Tau_j))))*Salcycl</f>
        <v>4.9041930911250045E-2</v>
      </c>
      <c r="P104" s="171">
        <f>(INDEX(Models!$BJ104:$BT104,,T104)*(1-R104)+INDEX(Models!$BJ104:$BT104,,T104+1)*R104-ERP_i)*Q104*Ramure*Pc/MaxiM</f>
        <v>1.2841802435003603E-3</v>
      </c>
      <c r="Q104" s="307">
        <f t="shared" si="27"/>
        <v>0.9</v>
      </c>
      <c r="R104" s="179">
        <f t="shared" si="28"/>
        <v>0.93475923224663138</v>
      </c>
      <c r="S104" s="839">
        <f t="shared" si="29"/>
        <v>-3</v>
      </c>
      <c r="T104" s="178">
        <f t="shared" si="30"/>
        <v>3</v>
      </c>
      <c r="U104" s="253">
        <f t="shared" si="31"/>
        <v>-2.0652407677533686</v>
      </c>
      <c r="V104" s="385">
        <f t="shared" si="32"/>
        <v>48.24010282051951</v>
      </c>
      <c r="W104" s="58"/>
      <c r="X104" s="157">
        <f t="shared" si="33"/>
        <v>43555</v>
      </c>
      <c r="Y104" s="387">
        <f t="shared" si="34"/>
        <v>40.491999999999997</v>
      </c>
      <c r="Z104" s="387">
        <f t="shared" si="35"/>
        <v>40.720684531894037</v>
      </c>
      <c r="AA104" s="388">
        <f t="shared" si="36"/>
        <v>42.820694051120881</v>
      </c>
      <c r="AB104" s="199">
        <f t="shared" si="37"/>
        <v>43555</v>
      </c>
      <c r="AC104" s="428">
        <f>IF(OR(t&lt;Tnet,NoTnet),'2018'!Resal_s+('2018'!Salim-'2018'!Resal_s)*(1-EXP(('2018'!Tnet_s-t)/'2018'!Tau_j)),Resal_s+(Salim-Resal_s)*(1-EXP((Tnet_s-t)/Tau_j)))*Salcycl</f>
        <v>4.9041930911250045E-2</v>
      </c>
      <c r="AD104" s="233">
        <f>(INDEX(Models!$BJ104:$BT104,,AH104)*(1-AF104)+INDEX(Models!$BJ104:$BT104,,AH104+1)*AF104-ERP_i)*AE104*Ramure*Pc/MaxiM</f>
        <v>1.2841802435003603E-3</v>
      </c>
      <c r="AE104" s="307">
        <f t="shared" si="38"/>
        <v>0.9</v>
      </c>
      <c r="AF104" s="179">
        <f t="shared" si="39"/>
        <v>0.93475923224663138</v>
      </c>
      <c r="AG104" s="178">
        <f t="shared" si="40"/>
        <v>-3</v>
      </c>
      <c r="AH104" s="178">
        <f t="shared" si="41"/>
        <v>3</v>
      </c>
      <c r="AI104" s="227">
        <f t="shared" si="42"/>
        <v>-2.0652407677533686</v>
      </c>
      <c r="AJ104" s="267" t="b">
        <f t="shared" si="43"/>
        <v>0</v>
      </c>
      <c r="AK104" s="267" t="b">
        <f t="shared" si="44"/>
        <v>0</v>
      </c>
      <c r="AL104" s="267"/>
      <c r="AM104" s="267"/>
      <c r="AN104" s="75"/>
    </row>
    <row r="105" spans="1:40" s="6" customFormat="1" ht="11.25" customHeight="1" x14ac:dyDescent="0.2">
      <c r="A105" s="56">
        <f t="shared" si="45"/>
        <v>43556</v>
      </c>
      <c r="B105" s="620">
        <v>43.51</v>
      </c>
      <c r="C105" s="392"/>
      <c r="D105" s="395">
        <f t="shared" si="24"/>
        <v>43.75674741469016</v>
      </c>
      <c r="E105" s="387">
        <f t="shared" si="46"/>
        <v>46.022338406817347</v>
      </c>
      <c r="F105" s="387">
        <f t="shared" si="25"/>
        <v>46.071561623488073</v>
      </c>
      <c r="G105" s="110">
        <f t="shared" si="47"/>
        <v>0.89454744756364035</v>
      </c>
      <c r="H105" s="416" t="b">
        <f>Wh_hp&gt;='2018'!Maxi_hp</f>
        <v>1</v>
      </c>
      <c r="I105" s="392">
        <f>IF(H105,Wh_hp,'2018'!Maxi_hp)</f>
        <v>46.071561623488073</v>
      </c>
      <c r="J105" s="85">
        <f>IF(H105,An,'2018'!An_max)</f>
        <v>2019</v>
      </c>
      <c r="K105" s="199">
        <f t="shared" si="26"/>
        <v>43556</v>
      </c>
      <c r="L105" s="147">
        <f>IF(t&lt;Tvie,1-EXP((T0-t)*PertePVj)+'2018'!Pspv,1-EXP((T0-t)*PertePVj)+Pspv)</f>
        <v>5.6390712123022269E-3</v>
      </c>
      <c r="M105" s="872"/>
      <c r="N105" s="872"/>
      <c r="O105" s="48">
        <f>IF(t&lt;Tnet,'2018'!Resal+('2018'!Salim-'2018'!Resal)*(1-EXP(('2018'!Tnet-t)/('2018'!Tau_j))),Resal+(Salim-Resal)*(1-EXP((Tnet-t)/(Tau_j))))*Salcycl</f>
        <v>4.9228072074485943E-2</v>
      </c>
      <c r="P105" s="171">
        <f>(INDEX(Models!$BJ105:$BT105,,T105)*(1-R105)+INDEX(Models!$BJ105:$BT105,,T105+1)*R105-ERP_i)*Q105*Ramure*Pc/MaxiM</f>
        <v>1.2575488074588147E-3</v>
      </c>
      <c r="Q105" s="307">
        <f t="shared" si="27"/>
        <v>0.9</v>
      </c>
      <c r="R105" s="179">
        <f t="shared" si="28"/>
        <v>0.93618731494363061</v>
      </c>
      <c r="S105" s="839">
        <f t="shared" si="29"/>
        <v>-3</v>
      </c>
      <c r="T105" s="178">
        <f t="shared" si="30"/>
        <v>3</v>
      </c>
      <c r="U105" s="253">
        <f t="shared" si="31"/>
        <v>-2.0638126850563694</v>
      </c>
      <c r="V105" s="385">
        <f t="shared" si="32"/>
        <v>48.62990978530943</v>
      </c>
      <c r="W105" s="58"/>
      <c r="X105" s="157">
        <f t="shared" si="33"/>
        <v>43556</v>
      </c>
      <c r="Y105" s="387">
        <f t="shared" si="34"/>
        <v>43.51</v>
      </c>
      <c r="Z105" s="387">
        <f t="shared" si="35"/>
        <v>43.75674741469016</v>
      </c>
      <c r="AA105" s="388">
        <f t="shared" si="36"/>
        <v>46.022338406817347</v>
      </c>
      <c r="AB105" s="199">
        <f t="shared" si="37"/>
        <v>43556</v>
      </c>
      <c r="AC105" s="428">
        <f>IF(OR(t&lt;Tnet,NoTnet),'2018'!Resal_s+('2018'!Salim-'2018'!Resal_s)*(1-EXP(('2018'!Tnet_s-t)/'2018'!Tau_j)),Resal_s+(Salim-Resal_s)*(1-EXP((Tnet_s-t)/Tau_j)))*Salcycl</f>
        <v>4.9228072074485943E-2</v>
      </c>
      <c r="AD105" s="233">
        <f>(INDEX(Models!$BJ105:$BT105,,AH105)*(1-AF105)+INDEX(Models!$BJ105:$BT105,,AH105+1)*AF105-ERP_i)*AE105*Ramure*Pc/MaxiM</f>
        <v>1.2575488074588147E-3</v>
      </c>
      <c r="AE105" s="307">
        <f t="shared" si="38"/>
        <v>0.9</v>
      </c>
      <c r="AF105" s="179">
        <f t="shared" si="39"/>
        <v>0.93618731494363061</v>
      </c>
      <c r="AG105" s="178">
        <f t="shared" si="40"/>
        <v>-3</v>
      </c>
      <c r="AH105" s="178">
        <f t="shared" si="41"/>
        <v>3</v>
      </c>
      <c r="AI105" s="227">
        <f t="shared" si="42"/>
        <v>-2.0638126850563694</v>
      </c>
      <c r="AJ105" s="267" t="b">
        <f t="shared" si="43"/>
        <v>0</v>
      </c>
      <c r="AK105" s="267" t="b">
        <f t="shared" si="44"/>
        <v>0</v>
      </c>
      <c r="AL105" s="267"/>
      <c r="AM105" s="267"/>
      <c r="AN105" s="75"/>
    </row>
    <row r="106" spans="1:40" s="6" customFormat="1" ht="11.25" customHeight="1" x14ac:dyDescent="0.2">
      <c r="A106" s="56">
        <f t="shared" si="45"/>
        <v>43557</v>
      </c>
      <c r="B106" s="620">
        <v>16.925999999999998</v>
      </c>
      <c r="C106" s="392"/>
      <c r="D106" s="395">
        <f t="shared" si="24"/>
        <v>17.022384339407061</v>
      </c>
      <c r="E106" s="387">
        <f t="shared" si="46"/>
        <v>17.907267392816269</v>
      </c>
      <c r="F106" s="387">
        <f t="shared" si="25"/>
        <v>17.908694822861104</v>
      </c>
      <c r="G106" s="110">
        <f t="shared" si="47"/>
        <v>0.34494989719478525</v>
      </c>
      <c r="H106" s="416" t="b">
        <f>Wh_hp&gt;='2018'!Maxi_hp</f>
        <v>1</v>
      </c>
      <c r="I106" s="392">
        <f>IF(H106,Wh_hp,'2018'!Maxi_hp)</f>
        <v>17.908694822861104</v>
      </c>
      <c r="J106" s="85">
        <f>IF(H106,An,'2018'!An_max)</f>
        <v>2019</v>
      </c>
      <c r="K106" s="199">
        <f t="shared" si="26"/>
        <v>43557</v>
      </c>
      <c r="L106" s="147">
        <f>IF(t&lt;Tvie,1-EXP((T0-t)*PertePVj)+'2018'!Pspv,1-EXP((T0-t)*PertePVj)+Pspv)</f>
        <v>5.6622114437829829E-3</v>
      </c>
      <c r="M106" s="872"/>
      <c r="N106" s="872"/>
      <c r="O106" s="48">
        <f>IF(t&lt;Tnet,'2018'!Resal+('2018'!Salim-'2018'!Resal)*(1-EXP(('2018'!Tnet-t)/('2018'!Tau_j))),Resal+(Salim-Resal)*(1-EXP((Tnet-t)/(Tau_j))))*Salcycl</f>
        <v>4.9414745086354801E-2</v>
      </c>
      <c r="P106" s="171">
        <f>(INDEX(Models!$BJ106:$BT106,,T106)*(1-R106)+INDEX(Models!$BJ106:$BT106,,T106+1)*R106-ERP_i)*Q106*Ramure*Pc/MaxiM</f>
        <v>1.2303747652810052E-3</v>
      </c>
      <c r="Q106" s="307">
        <f t="shared" si="27"/>
        <v>0.9</v>
      </c>
      <c r="R106" s="179">
        <f t="shared" si="28"/>
        <v>0.93766880061284574</v>
      </c>
      <c r="S106" s="839">
        <f t="shared" si="29"/>
        <v>-3</v>
      </c>
      <c r="T106" s="178">
        <f t="shared" si="30"/>
        <v>3</v>
      </c>
      <c r="U106" s="253">
        <f t="shared" si="31"/>
        <v>-2.0623311993871543</v>
      </c>
      <c r="V106" s="385">
        <f t="shared" si="32"/>
        <v>49.011529979014938</v>
      </c>
      <c r="W106" s="58"/>
      <c r="X106" s="157">
        <f t="shared" si="33"/>
        <v>43557</v>
      </c>
      <c r="Y106" s="387">
        <f t="shared" si="34"/>
        <v>16.925999999999998</v>
      </c>
      <c r="Z106" s="387">
        <f t="shared" si="35"/>
        <v>17.022384339407061</v>
      </c>
      <c r="AA106" s="388">
        <f t="shared" si="36"/>
        <v>17.907267392816269</v>
      </c>
      <c r="AB106" s="199">
        <f t="shared" si="37"/>
        <v>43557</v>
      </c>
      <c r="AC106" s="428">
        <f>IF(OR(t&lt;Tnet,NoTnet),'2018'!Resal_s+('2018'!Salim-'2018'!Resal_s)*(1-EXP(('2018'!Tnet_s-t)/'2018'!Tau_j)),Resal_s+(Salim-Resal_s)*(1-EXP((Tnet_s-t)/Tau_j)))*Salcycl</f>
        <v>4.9414745086354801E-2</v>
      </c>
      <c r="AD106" s="233">
        <f>(INDEX(Models!$BJ106:$BT106,,AH106)*(1-AF106)+INDEX(Models!$BJ106:$BT106,,AH106+1)*AF106-ERP_i)*AE106*Ramure*Pc/MaxiM</f>
        <v>1.2303747652810052E-3</v>
      </c>
      <c r="AE106" s="307">
        <f t="shared" si="38"/>
        <v>0.9</v>
      </c>
      <c r="AF106" s="179">
        <f t="shared" si="39"/>
        <v>0.93766880061284574</v>
      </c>
      <c r="AG106" s="178">
        <f t="shared" si="40"/>
        <v>-3</v>
      </c>
      <c r="AH106" s="178">
        <f t="shared" si="41"/>
        <v>3</v>
      </c>
      <c r="AI106" s="227">
        <f t="shared" si="42"/>
        <v>-2.0623311993871543</v>
      </c>
      <c r="AJ106" s="267" t="b">
        <f t="shared" si="43"/>
        <v>0</v>
      </c>
      <c r="AK106" s="267" t="b">
        <f t="shared" si="44"/>
        <v>0</v>
      </c>
      <c r="AL106" s="267"/>
      <c r="AM106" s="267"/>
      <c r="AN106" s="75"/>
    </row>
    <row r="107" spans="1:40" s="6" customFormat="1" ht="11.25" x14ac:dyDescent="0.2">
      <c r="A107" s="56">
        <f t="shared" si="45"/>
        <v>43558</v>
      </c>
      <c r="B107" s="620">
        <v>17.556000000000001</v>
      </c>
      <c r="C107" s="392"/>
      <c r="D107" s="395">
        <f t="shared" si="24"/>
        <v>17.656382735657182</v>
      </c>
      <c r="E107" s="387">
        <f t="shared" si="46"/>
        <v>18.577882513219105</v>
      </c>
      <c r="F107" s="387">
        <f t="shared" si="25"/>
        <v>18.579653387407525</v>
      </c>
      <c r="G107" s="110">
        <f t="shared" si="47"/>
        <v>0.3550850538575312</v>
      </c>
      <c r="H107" s="416" t="b">
        <f>Wh_hp&gt;='2018'!Maxi_hp</f>
        <v>1</v>
      </c>
      <c r="I107" s="392">
        <f>IF(H107,Wh_hp,'2018'!Maxi_hp)</f>
        <v>18.579653387407525</v>
      </c>
      <c r="J107" s="85">
        <f>IF(H107,An,'2018'!An_max)</f>
        <v>2019</v>
      </c>
      <c r="K107" s="199">
        <f t="shared" si="26"/>
        <v>43558</v>
      </c>
      <c r="L107" s="147">
        <f>IF(t&lt;Tvie,1-EXP((T0-t)*PertePVj)+'2018'!Pspv,1-EXP((T0-t)*PertePVj)+Pspv)</f>
        <v>5.6853511367567222E-3</v>
      </c>
      <c r="M107" s="872"/>
      <c r="N107" s="872"/>
      <c r="O107" s="48">
        <f>IF(t&lt;Tnet,'2018'!Resal+('2018'!Salim-'2018'!Resal)*(1-EXP(('2018'!Tnet-t)/('2018'!Tau_j))),Resal+(Salim-Resal)*(1-EXP((Tnet-t)/(Tau_j))))*Salcycl</f>
        <v>4.960198111416781E-2</v>
      </c>
      <c r="P107" s="171">
        <f>(INDEX(Models!$BJ107:$BT107,,T107)*(1-R107)+INDEX(Models!$BJ107:$BT107,,T107+1)*R107-ERP_i)*Q107*Ramure*Pc/MaxiM</f>
        <v>1.2026016438406268E-3</v>
      </c>
      <c r="Q107" s="307">
        <f t="shared" si="27"/>
        <v>0.9</v>
      </c>
      <c r="R107" s="179">
        <f t="shared" si="28"/>
        <v>0.93920541933958468</v>
      </c>
      <c r="S107" s="839">
        <f t="shared" si="29"/>
        <v>-3</v>
      </c>
      <c r="T107" s="178">
        <f t="shared" si="30"/>
        <v>3</v>
      </c>
      <c r="U107" s="253">
        <f t="shared" si="31"/>
        <v>-2.0607945806604153</v>
      </c>
      <c r="V107" s="385">
        <f t="shared" si="32"/>
        <v>49.386924031831143</v>
      </c>
      <c r="W107" s="58"/>
      <c r="X107" s="157">
        <f t="shared" si="33"/>
        <v>43558</v>
      </c>
      <c r="Y107" s="387">
        <f t="shared" si="34"/>
        <v>17.556000000000001</v>
      </c>
      <c r="Z107" s="387">
        <f t="shared" si="35"/>
        <v>17.656382735657182</v>
      </c>
      <c r="AA107" s="388">
        <f t="shared" si="36"/>
        <v>18.577882513219105</v>
      </c>
      <c r="AB107" s="199">
        <f t="shared" si="37"/>
        <v>43558</v>
      </c>
      <c r="AC107" s="428">
        <f>IF(OR(t&lt;Tnet,NoTnet),'2018'!Resal_s+('2018'!Salim-'2018'!Resal_s)*(1-EXP(('2018'!Tnet_s-t)/'2018'!Tau_j)),Resal_s+(Salim-Resal_s)*(1-EXP((Tnet_s-t)/Tau_j)))*Salcycl</f>
        <v>4.960198111416781E-2</v>
      </c>
      <c r="AD107" s="233">
        <f>(INDEX(Models!$BJ107:$BT107,,AH107)*(1-AF107)+INDEX(Models!$BJ107:$BT107,,AH107+1)*AF107-ERP_i)*AE107*Ramure*Pc/MaxiM</f>
        <v>1.2026016438406268E-3</v>
      </c>
      <c r="AE107" s="307">
        <f t="shared" si="38"/>
        <v>0.9</v>
      </c>
      <c r="AF107" s="179">
        <f t="shared" si="39"/>
        <v>0.93920541933958468</v>
      </c>
      <c r="AG107" s="178">
        <f t="shared" si="40"/>
        <v>-3</v>
      </c>
      <c r="AH107" s="178">
        <f t="shared" si="41"/>
        <v>3</v>
      </c>
      <c r="AI107" s="227">
        <f t="shared" si="42"/>
        <v>-2.0607945806604153</v>
      </c>
      <c r="AJ107" s="267" t="b">
        <f t="shared" si="43"/>
        <v>0</v>
      </c>
      <c r="AK107" s="267" t="b">
        <f t="shared" si="44"/>
        <v>0</v>
      </c>
      <c r="AL107" s="267"/>
      <c r="AM107" s="267"/>
      <c r="AN107" s="75"/>
    </row>
    <row r="108" spans="1:40" s="6" customFormat="1" ht="11.25" x14ac:dyDescent="0.2">
      <c r="A108" s="56">
        <f t="shared" si="45"/>
        <v>43559</v>
      </c>
      <c r="B108" s="620">
        <v>38.935000000000002</v>
      </c>
      <c r="C108" s="392"/>
      <c r="D108" s="395">
        <f t="shared" si="24"/>
        <v>39.158536123278751</v>
      </c>
      <c r="E108" s="387">
        <f t="shared" si="46"/>
        <v>41.210393846488941</v>
      </c>
      <c r="F108" s="387">
        <f t="shared" si="25"/>
        <v>41.243761155064576</v>
      </c>
      <c r="G108" s="110">
        <f t="shared" si="47"/>
        <v>0.78219494517676902</v>
      </c>
      <c r="H108" s="416" t="b">
        <f>Wh_hp&gt;='2018'!Maxi_hp</f>
        <v>1</v>
      </c>
      <c r="I108" s="392">
        <f>IF(H108,Wh_hp,'2018'!Maxi_hp)</f>
        <v>41.243761155064576</v>
      </c>
      <c r="J108" s="85">
        <f>IF(H108,An,'2018'!An_max)</f>
        <v>2019</v>
      </c>
      <c r="K108" s="199">
        <f t="shared" si="26"/>
        <v>43559</v>
      </c>
      <c r="L108" s="147">
        <f>IF(t&lt;Tvie,1-EXP((T0-t)*PertePVj)+'2018'!Pspv,1-EXP((T0-t)*PertePVj)+Pspv)</f>
        <v>5.7084902912359903E-3</v>
      </c>
      <c r="M108" s="872"/>
      <c r="N108" s="872"/>
      <c r="O108" s="48">
        <f>IF(t&lt;Tnet,'2018'!Resal+('2018'!Salim-'2018'!Resal)*(1-EXP(('2018'!Tnet-t)/('2018'!Tau_j))),Resal+(Salim-Resal)*(1-EXP((Tnet-t)/(Tau_j))))*Salcycl</f>
        <v>4.97898110572172E-2</v>
      </c>
      <c r="P108" s="171">
        <f>(INDEX(Models!$BJ108:$BT108,,T108)*(1-R108)+INDEX(Models!$BJ108:$BT108,,T108+1)*R108-ERP_i)*Q108*Ramure*Pc/MaxiM</f>
        <v>1.1737649042445047E-3</v>
      </c>
      <c r="Q108" s="307">
        <f t="shared" si="27"/>
        <v>0.9</v>
      </c>
      <c r="R108" s="179">
        <f t="shared" si="28"/>
        <v>0.94079893578837837</v>
      </c>
      <c r="S108" s="839">
        <f t="shared" si="29"/>
        <v>-3</v>
      </c>
      <c r="T108" s="178">
        <f t="shared" si="30"/>
        <v>3</v>
      </c>
      <c r="U108" s="253">
        <f t="shared" si="31"/>
        <v>-2.0592010642116216</v>
      </c>
      <c r="V108" s="385">
        <f t="shared" si="32"/>
        <v>49.758423605259452</v>
      </c>
      <c r="W108" s="58"/>
      <c r="X108" s="157">
        <f t="shared" si="33"/>
        <v>43559</v>
      </c>
      <c r="Y108" s="387">
        <f t="shared" si="34"/>
        <v>38.935000000000002</v>
      </c>
      <c r="Z108" s="387">
        <f t="shared" si="35"/>
        <v>39.158536123278751</v>
      </c>
      <c r="AA108" s="388">
        <f t="shared" si="36"/>
        <v>41.210393846488941</v>
      </c>
      <c r="AB108" s="199">
        <f t="shared" si="37"/>
        <v>43559</v>
      </c>
      <c r="AC108" s="428">
        <f>IF(OR(t&lt;Tnet,NoTnet),'2018'!Resal_s+('2018'!Salim-'2018'!Resal_s)*(1-EXP(('2018'!Tnet_s-t)/'2018'!Tau_j)),Resal_s+(Salim-Resal_s)*(1-EXP((Tnet_s-t)/Tau_j)))*Salcycl</f>
        <v>4.97898110572172E-2</v>
      </c>
      <c r="AD108" s="233">
        <f>(INDEX(Models!$BJ108:$BT108,,AH108)*(1-AF108)+INDEX(Models!$BJ108:$BT108,,AH108+1)*AF108-ERP_i)*AE108*Ramure*Pc/MaxiM</f>
        <v>1.1737649042445047E-3</v>
      </c>
      <c r="AE108" s="307">
        <f t="shared" si="38"/>
        <v>0.9</v>
      </c>
      <c r="AF108" s="179">
        <f t="shared" si="39"/>
        <v>0.94079893578837837</v>
      </c>
      <c r="AG108" s="178">
        <f t="shared" si="40"/>
        <v>-3</v>
      </c>
      <c r="AH108" s="178">
        <f t="shared" si="41"/>
        <v>3</v>
      </c>
      <c r="AI108" s="227">
        <f t="shared" si="42"/>
        <v>-2.0592010642116216</v>
      </c>
      <c r="AJ108" s="267" t="b">
        <f t="shared" si="43"/>
        <v>0</v>
      </c>
      <c r="AK108" s="267" t="b">
        <f t="shared" si="44"/>
        <v>0</v>
      </c>
      <c r="AL108" s="267"/>
      <c r="AM108" s="267"/>
      <c r="AN108" s="75"/>
    </row>
    <row r="109" spans="1:40" s="6" customFormat="1" ht="11.25" x14ac:dyDescent="0.2">
      <c r="A109" s="56">
        <f t="shared" si="45"/>
        <v>43560</v>
      </c>
      <c r="B109" s="620">
        <v>46.162999999999997</v>
      </c>
      <c r="C109" s="392"/>
      <c r="D109" s="395">
        <f t="shared" si="24"/>
        <v>46.429114454544909</v>
      </c>
      <c r="E109" s="387">
        <f t="shared" si="46"/>
        <v>48.871633950850807</v>
      </c>
      <c r="F109" s="387">
        <f t="shared" si="25"/>
        <v>48.921303821570241</v>
      </c>
      <c r="G109" s="110">
        <f t="shared" si="47"/>
        <v>0.92082598925664183</v>
      </c>
      <c r="H109" s="416" t="b">
        <f>Wh_hp&gt;='2018'!Maxi_hp</f>
        <v>1</v>
      </c>
      <c r="I109" s="392">
        <f>IF(H109,Wh_hp,'2018'!Maxi_hp)</f>
        <v>48.921303821570241</v>
      </c>
      <c r="J109" s="85">
        <f>IF(H109,An,'2018'!An_max)</f>
        <v>2019</v>
      </c>
      <c r="K109" s="199">
        <f t="shared" si="26"/>
        <v>43560</v>
      </c>
      <c r="L109" s="147">
        <f>IF(t&lt;Tvie,1-EXP((T0-t)*PertePVj)+'2018'!Pspv,1-EXP((T0-t)*PertePVj)+Pspv)</f>
        <v>5.7316289072333326E-3</v>
      </c>
      <c r="M109" s="872"/>
      <c r="N109" s="872"/>
      <c r="O109" s="48">
        <f>IF(t&lt;Tnet,'2018'!Resal+('2018'!Salim-'2018'!Resal)*(1-EXP(('2018'!Tnet-t)/('2018'!Tau_j))),Resal+(Salim-Resal)*(1-EXP((Tnet-t)/(Tau_j))))*Salcycl</f>
        <v>4.9978265485502063E-2</v>
      </c>
      <c r="P109" s="171">
        <f>(INDEX(Models!$BJ109:$BT109,,T109)*(1-R109)+INDEX(Models!$BJ109:$BT109,,T109+1)*R109-ERP_i)*Q109*Ramure*Pc/MaxiM</f>
        <v>1.1445632700842466E-3</v>
      </c>
      <c r="Q109" s="307">
        <f t="shared" si="27"/>
        <v>0.9</v>
      </c>
      <c r="R109" s="179">
        <f t="shared" si="28"/>
        <v>0.94245114806760455</v>
      </c>
      <c r="S109" s="839">
        <f t="shared" si="29"/>
        <v>-3</v>
      </c>
      <c r="T109" s="178">
        <f t="shared" si="30"/>
        <v>3</v>
      </c>
      <c r="U109" s="253">
        <f t="shared" si="31"/>
        <v>-2.0575488519323955</v>
      </c>
      <c r="V109" s="385">
        <f t="shared" si="32"/>
        <v>50.125677772515161</v>
      </c>
      <c r="W109" s="58"/>
      <c r="X109" s="157">
        <f t="shared" si="33"/>
        <v>43560</v>
      </c>
      <c r="Y109" s="387">
        <f t="shared" si="34"/>
        <v>46.162999999999997</v>
      </c>
      <c r="Z109" s="387">
        <f t="shared" si="35"/>
        <v>46.429114454544909</v>
      </c>
      <c r="AA109" s="388">
        <f t="shared" si="36"/>
        <v>48.871633950850807</v>
      </c>
      <c r="AB109" s="199">
        <f t="shared" si="37"/>
        <v>43560</v>
      </c>
      <c r="AC109" s="428">
        <f>IF(OR(t&lt;Tnet,NoTnet),'2018'!Resal_s+('2018'!Salim-'2018'!Resal_s)*(1-EXP(('2018'!Tnet_s-t)/'2018'!Tau_j)),Resal_s+(Salim-Resal_s)*(1-EXP((Tnet_s-t)/Tau_j)))*Salcycl</f>
        <v>4.9978265485502063E-2</v>
      </c>
      <c r="AD109" s="233">
        <f>(INDEX(Models!$BJ109:$BT109,,AH109)*(1-AF109)+INDEX(Models!$BJ109:$BT109,,AH109+1)*AF109-ERP_i)*AE109*Ramure*Pc/MaxiM</f>
        <v>1.1445632700842466E-3</v>
      </c>
      <c r="AE109" s="307">
        <f t="shared" si="38"/>
        <v>0.9</v>
      </c>
      <c r="AF109" s="179">
        <f t="shared" si="39"/>
        <v>0.94245114806760455</v>
      </c>
      <c r="AG109" s="178">
        <f t="shared" si="40"/>
        <v>-3</v>
      </c>
      <c r="AH109" s="178">
        <f t="shared" si="41"/>
        <v>3</v>
      </c>
      <c r="AI109" s="227">
        <f t="shared" si="42"/>
        <v>-2.0575488519323955</v>
      </c>
      <c r="AJ109" s="267" t="b">
        <f t="shared" si="43"/>
        <v>0</v>
      </c>
      <c r="AK109" s="267" t="b">
        <f t="shared" si="44"/>
        <v>0</v>
      </c>
      <c r="AL109" s="267"/>
      <c r="AM109" s="267"/>
      <c r="AN109" s="75"/>
    </row>
    <row r="110" spans="1:40" s="6" customFormat="1" ht="11.25" customHeight="1" x14ac:dyDescent="0.2">
      <c r="A110" s="56">
        <f t="shared" si="45"/>
        <v>43561</v>
      </c>
      <c r="B110" s="620">
        <v>22.652000000000001</v>
      </c>
      <c r="C110" s="392"/>
      <c r="D110" s="395">
        <f t="shared" si="24"/>
        <v>22.783111497858009</v>
      </c>
      <c r="E110" s="387">
        <f t="shared" si="46"/>
        <v>23.986448652226215</v>
      </c>
      <c r="F110" s="387">
        <f t="shared" si="25"/>
        <v>23.992129744867814</v>
      </c>
      <c r="G110" s="110">
        <f t="shared" si="47"/>
        <v>0.44826367126143013</v>
      </c>
      <c r="H110" s="416" t="b">
        <f>Wh_hp&gt;='2018'!Maxi_hp</f>
        <v>1</v>
      </c>
      <c r="I110" s="392">
        <f>IF(H110,Wh_hp,'2018'!Maxi_hp)</f>
        <v>23.992129744867814</v>
      </c>
      <c r="J110" s="85">
        <f>IF(H110,An,'2018'!An_max)</f>
        <v>2019</v>
      </c>
      <c r="K110" s="199">
        <f t="shared" si="26"/>
        <v>43561</v>
      </c>
      <c r="L110" s="147">
        <f>IF(t&lt;Tvie,1-EXP((T0-t)*PertePVj)+'2018'!Pspv,1-EXP((T0-t)*PertePVj)+Pspv)</f>
        <v>5.7547669847611838E-3</v>
      </c>
      <c r="M110" s="872"/>
      <c r="N110" s="872"/>
      <c r="O110" s="48">
        <f>IF(t&lt;Tnet,'2018'!Resal+('2018'!Salim-'2018'!Resal)*(1-EXP(('2018'!Tnet-t)/('2018'!Tau_j))),Resal+(Salim-Resal)*(1-EXP((Tnet-t)/(Tau_j))))*Salcycl</f>
        <v>5.0167374579501212E-2</v>
      </c>
      <c r="P110" s="171">
        <f>(INDEX(Models!$BJ110:$BT110,,T110)*(1-R110)+INDEX(Models!$BJ110:$BT110,,T110+1)*R110-ERP_i)*Q110*Ramure*Pc/MaxiM</f>
        <v>1.1149964140781598E-3</v>
      </c>
      <c r="Q110" s="307">
        <f t="shared" si="27"/>
        <v>0.9</v>
      </c>
      <c r="R110" s="179">
        <f t="shared" si="28"/>
        <v>0.94416388639986115</v>
      </c>
      <c r="S110" s="839">
        <f t="shared" si="29"/>
        <v>-3</v>
      </c>
      <c r="T110" s="178">
        <f t="shared" si="30"/>
        <v>3</v>
      </c>
      <c r="U110" s="253">
        <f t="shared" si="31"/>
        <v>-2.0558361136001388</v>
      </c>
      <c r="V110" s="385">
        <f t="shared" si="32"/>
        <v>50.488370135956124</v>
      </c>
      <c r="W110" s="58"/>
      <c r="X110" s="157">
        <f t="shared" si="33"/>
        <v>43561</v>
      </c>
      <c r="Y110" s="387">
        <f t="shared" si="34"/>
        <v>22.652000000000001</v>
      </c>
      <c r="Z110" s="387">
        <f t="shared" si="35"/>
        <v>22.783111497858009</v>
      </c>
      <c r="AA110" s="388">
        <f t="shared" si="36"/>
        <v>23.986448652226215</v>
      </c>
      <c r="AB110" s="199">
        <f t="shared" si="37"/>
        <v>43561</v>
      </c>
      <c r="AC110" s="428">
        <f>IF(OR(t&lt;Tnet,NoTnet),'2018'!Resal_s+('2018'!Salim-'2018'!Resal_s)*(1-EXP(('2018'!Tnet_s-t)/'2018'!Tau_j)),Resal_s+(Salim-Resal_s)*(1-EXP((Tnet_s-t)/Tau_j)))*Salcycl</f>
        <v>5.0167374579501212E-2</v>
      </c>
      <c r="AD110" s="233">
        <f>(INDEX(Models!$BJ110:$BT110,,AH110)*(1-AF110)+INDEX(Models!$BJ110:$BT110,,AH110+1)*AF110-ERP_i)*AE110*Ramure*Pc/MaxiM</f>
        <v>1.1149964140781598E-3</v>
      </c>
      <c r="AE110" s="307">
        <f t="shared" si="38"/>
        <v>0.9</v>
      </c>
      <c r="AF110" s="179">
        <f t="shared" si="39"/>
        <v>0.94416388639986115</v>
      </c>
      <c r="AG110" s="178">
        <f t="shared" si="40"/>
        <v>-3</v>
      </c>
      <c r="AH110" s="178">
        <f t="shared" si="41"/>
        <v>3</v>
      </c>
      <c r="AI110" s="227">
        <f t="shared" si="42"/>
        <v>-2.0558361136001388</v>
      </c>
      <c r="AJ110" s="267" t="b">
        <f t="shared" si="43"/>
        <v>0</v>
      </c>
      <c r="AK110" s="267" t="b">
        <f t="shared" si="44"/>
        <v>0</v>
      </c>
      <c r="AL110" s="267"/>
      <c r="AM110" s="267"/>
      <c r="AN110" s="75"/>
    </row>
    <row r="111" spans="1:40" s="6" customFormat="1" ht="11.25" x14ac:dyDescent="0.2">
      <c r="A111" s="56">
        <f t="shared" si="45"/>
        <v>43562</v>
      </c>
      <c r="B111" s="620">
        <v>33.957000000000001</v>
      </c>
      <c r="C111" s="392"/>
      <c r="D111" s="395">
        <f t="shared" si="24"/>
        <v>34.154340518590878</v>
      </c>
      <c r="E111" s="387">
        <f t="shared" si="46"/>
        <v>35.965459191855892</v>
      </c>
      <c r="F111" s="387">
        <f t="shared" si="25"/>
        <v>35.985977724500167</v>
      </c>
      <c r="G111" s="110">
        <f t="shared" si="47"/>
        <v>0.66749366679332622</v>
      </c>
      <c r="H111" s="416" t="b">
        <f>Wh_hp&gt;='2018'!Maxi_hp</f>
        <v>1</v>
      </c>
      <c r="I111" s="392">
        <f>IF(H111,Wh_hp,'2018'!Maxi_hp)</f>
        <v>35.985977724500167</v>
      </c>
      <c r="J111" s="85">
        <f>IF(H111,An,'2018'!An_max)</f>
        <v>2019</v>
      </c>
      <c r="K111" s="199">
        <f t="shared" si="26"/>
        <v>43562</v>
      </c>
      <c r="L111" s="147">
        <f>IF(t&lt;Tvie,1-EXP((T0-t)*PertePVj)+'2018'!Pspv,1-EXP((T0-t)*PertePVj)+Pspv)</f>
        <v>5.7779045238323112E-3</v>
      </c>
      <c r="M111" s="872"/>
      <c r="N111" s="872"/>
      <c r="O111" s="48">
        <f>IF(t&lt;Tnet,'2018'!Resal+('2018'!Salim-'2018'!Resal)*(1-EXP(('2018'!Tnet-t)/('2018'!Tau_j))),Resal+(Salim-Resal)*(1-EXP((Tnet-t)/(Tau_j))))*Salcycl</f>
        <v>5.0357168070722956E-2</v>
      </c>
      <c r="P111" s="171">
        <f>(INDEX(Models!$BJ111:$BT111,,T111)*(1-R111)+INDEX(Models!$BJ111:$BT111,,T111+1)*R111-ERP_i)*Q111*Ramure*Pc/MaxiM</f>
        <v>1.0850625406557137E-3</v>
      </c>
      <c r="Q111" s="307">
        <f t="shared" si="27"/>
        <v>0.9</v>
      </c>
      <c r="R111" s="179">
        <f t="shared" si="28"/>
        <v>0.94593901158518978</v>
      </c>
      <c r="S111" s="839">
        <f t="shared" si="29"/>
        <v>-3</v>
      </c>
      <c r="T111" s="178">
        <f t="shared" si="30"/>
        <v>3</v>
      </c>
      <c r="U111" s="253">
        <f t="shared" si="31"/>
        <v>-2.0540609884148102</v>
      </c>
      <c r="V111" s="385">
        <f t="shared" si="32"/>
        <v>50.846184604484442</v>
      </c>
      <c r="W111" s="58"/>
      <c r="X111" s="157">
        <f t="shared" si="33"/>
        <v>43562</v>
      </c>
      <c r="Y111" s="387">
        <f t="shared" si="34"/>
        <v>33.957000000000001</v>
      </c>
      <c r="Z111" s="387">
        <f t="shared" si="35"/>
        <v>34.154340518590878</v>
      </c>
      <c r="AA111" s="388">
        <f t="shared" si="36"/>
        <v>35.965459191855892</v>
      </c>
      <c r="AB111" s="199">
        <f t="shared" si="37"/>
        <v>43562</v>
      </c>
      <c r="AC111" s="428">
        <f>IF(OR(t&lt;Tnet,NoTnet),'2018'!Resal_s+('2018'!Salim-'2018'!Resal_s)*(1-EXP(('2018'!Tnet_s-t)/'2018'!Tau_j)),Resal_s+(Salim-Resal_s)*(1-EXP((Tnet_s-t)/Tau_j)))*Salcycl</f>
        <v>5.0357168070722956E-2</v>
      </c>
      <c r="AD111" s="233">
        <f>(INDEX(Models!$BJ111:$BT111,,AH111)*(1-AF111)+INDEX(Models!$BJ111:$BT111,,AH111+1)*AF111-ERP_i)*AE111*Ramure*Pc/MaxiM</f>
        <v>1.0850625406557137E-3</v>
      </c>
      <c r="AE111" s="307">
        <f t="shared" si="38"/>
        <v>0.9</v>
      </c>
      <c r="AF111" s="179">
        <f t="shared" si="39"/>
        <v>0.94593901158518978</v>
      </c>
      <c r="AG111" s="178">
        <f t="shared" si="40"/>
        <v>-3</v>
      </c>
      <c r="AH111" s="178">
        <f t="shared" si="41"/>
        <v>3</v>
      </c>
      <c r="AI111" s="227">
        <f t="shared" si="42"/>
        <v>-2.0540609884148102</v>
      </c>
      <c r="AJ111" s="267" t="b">
        <f t="shared" si="43"/>
        <v>0</v>
      </c>
      <c r="AK111" s="267" t="b">
        <f t="shared" si="44"/>
        <v>0</v>
      </c>
      <c r="AL111" s="267"/>
      <c r="AM111" s="267"/>
      <c r="AN111" s="75"/>
    </row>
    <row r="112" spans="1:40" s="6" customFormat="1" ht="11.25" customHeight="1" x14ac:dyDescent="0.2">
      <c r="A112" s="56">
        <f t="shared" si="45"/>
        <v>43563</v>
      </c>
      <c r="B112" s="620">
        <v>33.378</v>
      </c>
      <c r="C112" s="392"/>
      <c r="D112" s="395">
        <f t="shared" si="24"/>
        <v>33.572756957199282</v>
      </c>
      <c r="E112" s="387">
        <f t="shared" si="46"/>
        <v>35.360129286808053</v>
      </c>
      <c r="F112" s="387">
        <f t="shared" si="25"/>
        <v>35.378890224759623</v>
      </c>
      <c r="G112" s="110">
        <f t="shared" si="47"/>
        <v>0.65158717325145388</v>
      </c>
      <c r="H112" s="416" t="b">
        <f>Wh_hp&gt;='2018'!Maxi_hp</f>
        <v>1</v>
      </c>
      <c r="I112" s="392">
        <f>IF(H112,Wh_hp,'2018'!Maxi_hp)</f>
        <v>35.378890224759623</v>
      </c>
      <c r="J112" s="85">
        <f>IF(H112,An,'2018'!An_max)</f>
        <v>2019</v>
      </c>
      <c r="K112" s="199">
        <f t="shared" si="26"/>
        <v>43563</v>
      </c>
      <c r="L112" s="147">
        <f>IF(t&lt;Tvie,1-EXP((T0-t)*PertePVj)+'2018'!Pspv,1-EXP((T0-t)*PertePVj)+Pspv)</f>
        <v>5.8010415244590385E-3</v>
      </c>
      <c r="M112" s="872"/>
      <c r="N112" s="872"/>
      <c r="O112" s="48">
        <f>IF(t&lt;Tnet,'2018'!Resal+('2018'!Salim-'2018'!Resal)*(1-EXP(('2018'!Tnet-t)/('2018'!Tau_j))),Resal+(Salim-Resal)*(1-EXP((Tnet-t)/(Tau_j))))*Salcycl</f>
        <v>5.0547675182725967E-2</v>
      </c>
      <c r="P112" s="171">
        <f>(INDEX(Models!$BJ112:$BT112,,T112)*(1-R112)+INDEX(Models!$BJ112:$BT112,,T112+1)*R112-ERP_i)*Q112*Ramure*Pc/MaxiM</f>
        <v>1.0547583897240588E-3</v>
      </c>
      <c r="Q112" s="307">
        <f t="shared" si="27"/>
        <v>0.9</v>
      </c>
      <c r="R112" s="179">
        <f t="shared" si="28"/>
        <v>0.94777841324403056</v>
      </c>
      <c r="S112" s="839">
        <f t="shared" si="29"/>
        <v>-3</v>
      </c>
      <c r="T112" s="178">
        <f t="shared" si="30"/>
        <v>3</v>
      </c>
      <c r="U112" s="253">
        <f t="shared" si="31"/>
        <v>-2.0522215867559694</v>
      </c>
      <c r="V112" s="385">
        <f t="shared" si="32"/>
        <v>51.198805393004918</v>
      </c>
      <c r="W112" s="58"/>
      <c r="X112" s="157">
        <f t="shared" si="33"/>
        <v>43563</v>
      </c>
      <c r="Y112" s="387">
        <f t="shared" si="34"/>
        <v>33.378</v>
      </c>
      <c r="Z112" s="387">
        <f t="shared" si="35"/>
        <v>33.572756957199282</v>
      </c>
      <c r="AA112" s="388">
        <f t="shared" si="36"/>
        <v>35.360129286808053</v>
      </c>
      <c r="AB112" s="199">
        <f t="shared" si="37"/>
        <v>43563</v>
      </c>
      <c r="AC112" s="428">
        <f>IF(OR(t&lt;Tnet,NoTnet),'2018'!Resal_s+('2018'!Salim-'2018'!Resal_s)*(1-EXP(('2018'!Tnet_s-t)/'2018'!Tau_j)),Resal_s+(Salim-Resal_s)*(1-EXP((Tnet_s-t)/Tau_j)))*Salcycl</f>
        <v>5.0547675182725967E-2</v>
      </c>
      <c r="AD112" s="233">
        <f>(INDEX(Models!$BJ112:$BT112,,AH112)*(1-AF112)+INDEX(Models!$BJ112:$BT112,,AH112+1)*AF112-ERP_i)*AE112*Ramure*Pc/MaxiM</f>
        <v>1.0547583897240588E-3</v>
      </c>
      <c r="AE112" s="307">
        <f t="shared" si="38"/>
        <v>0.9</v>
      </c>
      <c r="AF112" s="179">
        <f t="shared" si="39"/>
        <v>0.94777841324403056</v>
      </c>
      <c r="AG112" s="178">
        <f t="shared" si="40"/>
        <v>-3</v>
      </c>
      <c r="AH112" s="178">
        <f t="shared" si="41"/>
        <v>3</v>
      </c>
      <c r="AI112" s="227">
        <f t="shared" si="42"/>
        <v>-2.0522215867559694</v>
      </c>
      <c r="AJ112" s="267" t="b">
        <f t="shared" si="43"/>
        <v>0</v>
      </c>
      <c r="AK112" s="267" t="b">
        <f t="shared" si="44"/>
        <v>0</v>
      </c>
      <c r="AL112" s="267"/>
      <c r="AM112" s="267"/>
      <c r="AN112" s="75"/>
    </row>
    <row r="113" spans="1:40" s="6" customFormat="1" ht="11.25" x14ac:dyDescent="0.2">
      <c r="A113" s="56">
        <f t="shared" si="45"/>
        <v>43564</v>
      </c>
      <c r="B113" s="620">
        <v>45.027999999999999</v>
      </c>
      <c r="C113" s="392"/>
      <c r="D113" s="395">
        <f t="shared" si="24"/>
        <v>45.29178743133378</v>
      </c>
      <c r="E113" s="387">
        <f t="shared" si="46"/>
        <v>47.712677369527668</v>
      </c>
      <c r="F113" s="387">
        <f t="shared" si="25"/>
        <v>47.752746147701721</v>
      </c>
      <c r="G113" s="110">
        <f t="shared" si="47"/>
        <v>0.87338951019242894</v>
      </c>
      <c r="H113" s="416" t="b">
        <f>Wh_hp&gt;='2018'!Maxi_hp</f>
        <v>1</v>
      </c>
      <c r="I113" s="392">
        <f>IF(H113,Wh_hp,'2018'!Maxi_hp)</f>
        <v>47.752746147701721</v>
      </c>
      <c r="J113" s="85">
        <f>IF(H113,An,'2018'!An_max)</f>
        <v>2019</v>
      </c>
      <c r="K113" s="199">
        <f t="shared" si="26"/>
        <v>43564</v>
      </c>
      <c r="L113" s="147">
        <f>IF(t&lt;Tvie,1-EXP((T0-t)*PertePVj)+'2018'!Pspv,1-EXP((T0-t)*PertePVj)+Pspv)</f>
        <v>5.8241779866539112E-3</v>
      </c>
      <c r="M113" s="872"/>
      <c r="N113" s="872"/>
      <c r="O113" s="48">
        <f>IF(t&lt;Tnet,'2018'!Resal+('2018'!Salim-'2018'!Resal)*(1-EXP(('2018'!Tnet-t)/('2018'!Tau_j))),Resal+(Salim-Resal)*(1-EXP((Tnet-t)/(Tau_j))))*Salcycl</f>
        <v>5.0738924572277667E-2</v>
      </c>
      <c r="P113" s="171">
        <f>(INDEX(Models!$BJ113:$BT113,,T113)*(1-R113)+INDEX(Models!$BJ113:$BT113,,T113+1)*R113-ERP_i)*Q113*Ramure*Pc/MaxiM</f>
        <v>1.0240792371015107E-3</v>
      </c>
      <c r="Q113" s="307">
        <f t="shared" si="27"/>
        <v>0.9</v>
      </c>
      <c r="R113" s="179">
        <f t="shared" si="28"/>
        <v>0.94968400782662288</v>
      </c>
      <c r="S113" s="839">
        <f t="shared" si="29"/>
        <v>-3</v>
      </c>
      <c r="T113" s="178">
        <f t="shared" si="30"/>
        <v>3</v>
      </c>
      <c r="U113" s="253">
        <f t="shared" si="31"/>
        <v>-2.0503159921733771</v>
      </c>
      <c r="V113" s="385">
        <f t="shared" si="32"/>
        <v>51.545917044551842</v>
      </c>
      <c r="W113" s="58"/>
      <c r="X113" s="157">
        <f t="shared" si="33"/>
        <v>43564</v>
      </c>
      <c r="Y113" s="387">
        <f t="shared" si="34"/>
        <v>45.027999999999999</v>
      </c>
      <c r="Z113" s="387">
        <f t="shared" si="35"/>
        <v>45.29178743133378</v>
      </c>
      <c r="AA113" s="388">
        <f t="shared" si="36"/>
        <v>47.712677369527668</v>
      </c>
      <c r="AB113" s="199">
        <f t="shared" si="37"/>
        <v>43564</v>
      </c>
      <c r="AC113" s="428">
        <f>IF(OR(t&lt;Tnet,NoTnet),'2018'!Resal_s+('2018'!Salim-'2018'!Resal_s)*(1-EXP(('2018'!Tnet_s-t)/'2018'!Tau_j)),Resal_s+(Salim-Resal_s)*(1-EXP((Tnet_s-t)/Tau_j)))*Salcycl</f>
        <v>5.0738924572277667E-2</v>
      </c>
      <c r="AD113" s="233">
        <f>(INDEX(Models!$BJ113:$BT113,,AH113)*(1-AF113)+INDEX(Models!$BJ113:$BT113,,AH113+1)*AF113-ERP_i)*AE113*Ramure*Pc/MaxiM</f>
        <v>1.0240792371015107E-3</v>
      </c>
      <c r="AE113" s="307">
        <f t="shared" si="38"/>
        <v>0.9</v>
      </c>
      <c r="AF113" s="179">
        <f t="shared" si="39"/>
        <v>0.94968400782662288</v>
      </c>
      <c r="AG113" s="178">
        <f t="shared" si="40"/>
        <v>-3</v>
      </c>
      <c r="AH113" s="178">
        <f t="shared" si="41"/>
        <v>3</v>
      </c>
      <c r="AI113" s="227">
        <f t="shared" si="42"/>
        <v>-2.0503159921733771</v>
      </c>
      <c r="AJ113" s="267" t="b">
        <f t="shared" si="43"/>
        <v>0</v>
      </c>
      <c r="AK113" s="267" t="b">
        <f t="shared" si="44"/>
        <v>0</v>
      </c>
      <c r="AL113" s="267"/>
      <c r="AM113" s="267"/>
      <c r="AN113" s="75"/>
    </row>
    <row r="114" spans="1:40" s="6" customFormat="1" ht="11.25" x14ac:dyDescent="0.2">
      <c r="A114" s="56">
        <f t="shared" si="45"/>
        <v>43565</v>
      </c>
      <c r="B114" s="620">
        <v>28.42</v>
      </c>
      <c r="C114" s="392"/>
      <c r="D114" s="395">
        <f t="shared" si="24"/>
        <v>28.587158087142601</v>
      </c>
      <c r="E114" s="387">
        <f t="shared" si="46"/>
        <v>30.121262425064518</v>
      </c>
      <c r="F114" s="387">
        <f t="shared" si="25"/>
        <v>30.1318517056804</v>
      </c>
      <c r="G114" s="110">
        <f t="shared" si="47"/>
        <v>0.54737502214954603</v>
      </c>
      <c r="H114" s="416" t="b">
        <f>Wh_hp&gt;='2018'!Maxi_hp</f>
        <v>1</v>
      </c>
      <c r="I114" s="392">
        <f>IF(H114,Wh_hp,'2018'!Maxi_hp)</f>
        <v>30.1318517056804</v>
      </c>
      <c r="J114" s="85">
        <f>IF(H114,An,'2018'!An_max)</f>
        <v>2019</v>
      </c>
      <c r="K114" s="199">
        <f t="shared" si="26"/>
        <v>43565</v>
      </c>
      <c r="L114" s="147">
        <f>IF(t&lt;Tvie,1-EXP((T0-t)*PertePVj)+'2018'!Pspv,1-EXP((T0-t)*PertePVj)+Pspv)</f>
        <v>5.8473139104295857E-3</v>
      </c>
      <c r="M114" s="872"/>
      <c r="N114" s="872"/>
      <c r="O114" s="48">
        <f>IF(t&lt;Tnet,'2018'!Resal+('2018'!Salim-'2018'!Resal)*(1-EXP(('2018'!Tnet-t)/('2018'!Tau_j))),Resal+(Salim-Resal)*(1-EXP((Tnet-t)/(Tau_j))))*Salcycl</f>
        <v>5.0930944270295909E-2</v>
      </c>
      <c r="P114" s="171">
        <f>(INDEX(Models!$BJ114:$BT114,,T114)*(1-R114)+INDEX(Models!$BJ114:$BT114,,T114+1)*R114-ERP_i)*Q114*Ramure*Pc/MaxiM</f>
        <v>9.9303849639002469E-4</v>
      </c>
      <c r="Q114" s="307">
        <f t="shared" si="27"/>
        <v>0.9</v>
      </c>
      <c r="R114" s="179">
        <f t="shared" si="28"/>
        <v>0.95165773637550277</v>
      </c>
      <c r="S114" s="839">
        <f t="shared" si="29"/>
        <v>-3</v>
      </c>
      <c r="T114" s="178">
        <f t="shared" si="30"/>
        <v>3</v>
      </c>
      <c r="U114" s="253">
        <f t="shared" si="31"/>
        <v>-2.0483422636244972</v>
      </c>
      <c r="V114" s="385">
        <f t="shared" si="32"/>
        <v>51.887203413213157</v>
      </c>
      <c r="W114" s="58"/>
      <c r="X114" s="157">
        <f t="shared" si="33"/>
        <v>43565</v>
      </c>
      <c r="Y114" s="387">
        <f t="shared" si="34"/>
        <v>28.42</v>
      </c>
      <c r="Z114" s="387">
        <f t="shared" si="35"/>
        <v>28.587158087142601</v>
      </c>
      <c r="AA114" s="388">
        <f t="shared" si="36"/>
        <v>30.121262425064518</v>
      </c>
      <c r="AB114" s="199">
        <f t="shared" si="37"/>
        <v>43565</v>
      </c>
      <c r="AC114" s="428">
        <f>IF(OR(t&lt;Tnet,NoTnet),'2018'!Resal_s+('2018'!Salim-'2018'!Resal_s)*(1-EXP(('2018'!Tnet_s-t)/'2018'!Tau_j)),Resal_s+(Salim-Resal_s)*(1-EXP((Tnet_s-t)/Tau_j)))*Salcycl</f>
        <v>5.0930944270295909E-2</v>
      </c>
      <c r="AD114" s="233">
        <f>(INDEX(Models!$BJ114:$BT114,,AH114)*(1-AF114)+INDEX(Models!$BJ114:$BT114,,AH114+1)*AF114-ERP_i)*AE114*Ramure*Pc/MaxiM</f>
        <v>9.9303849639002469E-4</v>
      </c>
      <c r="AE114" s="307">
        <f t="shared" si="38"/>
        <v>0.9</v>
      </c>
      <c r="AF114" s="179">
        <f t="shared" si="39"/>
        <v>0.95165773637550277</v>
      </c>
      <c r="AG114" s="178">
        <f t="shared" si="40"/>
        <v>-3</v>
      </c>
      <c r="AH114" s="178">
        <f t="shared" si="41"/>
        <v>3</v>
      </c>
      <c r="AI114" s="227">
        <f t="shared" si="42"/>
        <v>-2.0483422636244972</v>
      </c>
      <c r="AJ114" s="267" t="b">
        <f t="shared" si="43"/>
        <v>0</v>
      </c>
      <c r="AK114" s="267" t="b">
        <f t="shared" si="44"/>
        <v>0</v>
      </c>
      <c r="AL114" s="267"/>
      <c r="AM114" s="267"/>
      <c r="AN114" s="75"/>
    </row>
    <row r="115" spans="1:40" s="6" customFormat="1" ht="11.25" customHeight="1" x14ac:dyDescent="0.2">
      <c r="A115" s="56">
        <f t="shared" si="45"/>
        <v>43566</v>
      </c>
      <c r="B115" s="620">
        <v>9.3000000000000007</v>
      </c>
      <c r="C115" s="392"/>
      <c r="D115" s="395">
        <f t="shared" si="24"/>
        <v>9.3549175692566973</v>
      </c>
      <c r="E115" s="387">
        <f t="shared" si="46"/>
        <v>9.8589438652715629</v>
      </c>
      <c r="F115" s="387">
        <f t="shared" si="25"/>
        <v>9.8589438652715629</v>
      </c>
      <c r="G115" s="110">
        <f t="shared" si="47"/>
        <v>0.17791342039474367</v>
      </c>
      <c r="H115" s="416" t="b">
        <f>Wh_hp&gt;='2018'!Maxi_hp</f>
        <v>1</v>
      </c>
      <c r="I115" s="392">
        <f>IF(H115,Wh_hp,'2018'!Maxi_hp)</f>
        <v>9.8589438652715629</v>
      </c>
      <c r="J115" s="85">
        <f>IF(H115,An,'2018'!An_max)</f>
        <v>2019</v>
      </c>
      <c r="K115" s="199">
        <f t="shared" si="26"/>
        <v>43566</v>
      </c>
      <c r="L115" s="147">
        <f>IF(t&lt;Tvie,1-EXP((T0-t)*PertePVj)+'2018'!Pspv,1-EXP((T0-t)*PertePVj)+Pspv)</f>
        <v>5.8704492957984966E-3</v>
      </c>
      <c r="M115" s="872"/>
      <c r="N115" s="872"/>
      <c r="O115" s="48">
        <f>IF(t&lt;Tnet,'2018'!Resal+('2018'!Salim-'2018'!Resal)*(1-EXP(('2018'!Tnet-t)/('2018'!Tau_j))),Resal+(Salim-Resal)*(1-EXP((Tnet-t)/(Tau_j))))*Salcycl</f>
        <v>5.1123761622207171E-2</v>
      </c>
      <c r="P115" s="171">
        <f>(INDEX(Models!$BJ115:$BT115,,T115)*(1-R115)+INDEX(Models!$BJ115:$BT115,,T115+1)*R115-ERP_i)*Q115*Ramure*Pc/MaxiM</f>
        <v>9.6210272138721683E-4</v>
      </c>
      <c r="Q115" s="307">
        <f t="shared" si="27"/>
        <v>0.9</v>
      </c>
      <c r="R115" s="179">
        <f t="shared" si="28"/>
        <v>0.95370156202775869</v>
      </c>
      <c r="S115" s="839">
        <f t="shared" si="29"/>
        <v>-3</v>
      </c>
      <c r="T115" s="178">
        <f t="shared" si="30"/>
        <v>3</v>
      </c>
      <c r="U115" s="253">
        <f t="shared" si="31"/>
        <v>-2.0462984379722413</v>
      </c>
      <c r="V115" s="385">
        <f t="shared" si="32"/>
        <v>52.22232490430833</v>
      </c>
      <c r="W115" s="58"/>
      <c r="X115" s="157">
        <f t="shared" si="33"/>
        <v>43566</v>
      </c>
      <c r="Y115" s="387">
        <f t="shared" si="34"/>
        <v>9.3000000000000007</v>
      </c>
      <c r="Z115" s="387">
        <f t="shared" si="35"/>
        <v>9.3549175692566973</v>
      </c>
      <c r="AA115" s="388">
        <f t="shared" si="36"/>
        <v>9.8589438652715629</v>
      </c>
      <c r="AB115" s="199">
        <f t="shared" si="37"/>
        <v>43566</v>
      </c>
      <c r="AC115" s="428">
        <f>IF(OR(t&lt;Tnet,NoTnet),'2018'!Resal_s+('2018'!Salim-'2018'!Resal_s)*(1-EXP(('2018'!Tnet_s-t)/'2018'!Tau_j)),Resal_s+(Salim-Resal_s)*(1-EXP((Tnet_s-t)/Tau_j)))*Salcycl</f>
        <v>5.1123761622207171E-2</v>
      </c>
      <c r="AD115" s="233">
        <f>(INDEX(Models!$BJ115:$BT115,,AH115)*(1-AF115)+INDEX(Models!$BJ115:$BT115,,AH115+1)*AF115-ERP_i)*AE115*Ramure*Pc/MaxiM</f>
        <v>9.6210272138721683E-4</v>
      </c>
      <c r="AE115" s="307">
        <f t="shared" si="38"/>
        <v>0.9</v>
      </c>
      <c r="AF115" s="179">
        <f t="shared" si="39"/>
        <v>0.95370156202775869</v>
      </c>
      <c r="AG115" s="178">
        <f t="shared" si="40"/>
        <v>-3</v>
      </c>
      <c r="AH115" s="178">
        <f t="shared" si="41"/>
        <v>3</v>
      </c>
      <c r="AI115" s="227">
        <f t="shared" si="42"/>
        <v>-2.0462984379722413</v>
      </c>
      <c r="AJ115" s="267" t="b">
        <f t="shared" si="43"/>
        <v>0</v>
      </c>
      <c r="AK115" s="267" t="b">
        <f t="shared" si="44"/>
        <v>0</v>
      </c>
      <c r="AL115" s="267"/>
      <c r="AM115" s="267"/>
      <c r="AN115" s="75"/>
    </row>
    <row r="116" spans="1:40" s="6" customFormat="1" ht="11.25" x14ac:dyDescent="0.2">
      <c r="A116" s="56">
        <f t="shared" si="45"/>
        <v>43567</v>
      </c>
      <c r="B116" s="620">
        <v>52.219000000000001</v>
      </c>
      <c r="C116" s="392"/>
      <c r="D116" s="395">
        <f t="shared" si="24"/>
        <v>52.528581615652378</v>
      </c>
      <c r="E116" s="387">
        <f t="shared" si="46"/>
        <v>55.370027651346014</v>
      </c>
      <c r="F116" s="387">
        <f t="shared" si="25"/>
        <v>55.421173257782392</v>
      </c>
      <c r="G116" s="110">
        <f t="shared" si="47"/>
        <v>0.99367459502464139</v>
      </c>
      <c r="H116" s="416" t="b">
        <f>Wh_hp&gt;='2018'!Maxi_hp</f>
        <v>1</v>
      </c>
      <c r="I116" s="392">
        <f>IF(H116,Wh_hp,'2018'!Maxi_hp)</f>
        <v>55.421173257782392</v>
      </c>
      <c r="J116" s="85">
        <f>IF(H116,An,'2018'!An_max)</f>
        <v>2019</v>
      </c>
      <c r="K116" s="199">
        <f t="shared" si="26"/>
        <v>43567</v>
      </c>
      <c r="L116" s="147">
        <f>IF(t&lt;Tvie,1-EXP((T0-t)*PertePVj)+'2018'!Pspv,1-EXP((T0-t)*PertePVj)+Pspv)</f>
        <v>5.8935841427731894E-3</v>
      </c>
      <c r="M116" s="872"/>
      <c r="N116" s="872"/>
      <c r="O116" s="48">
        <f>IF(t&lt;Tnet,'2018'!Resal+('2018'!Salim-'2018'!Resal)*(1-EXP(('2018'!Tnet-t)/('2018'!Tau_j))),Resal+(Salim-Resal)*(1-EXP((Tnet-t)/(Tau_j))))*Salcycl</f>
        <v>5.1317403227349893E-2</v>
      </c>
      <c r="P116" s="171">
        <f>(INDEX(Models!$BJ116:$BT116,,T116)*(1-R116)+INDEX(Models!$BJ116:$BT116,,T116+1)*R116-ERP_i)*Q116*Ramure*Pc/MaxiM</f>
        <v>9.3125718077498385E-4</v>
      </c>
      <c r="Q116" s="307">
        <f t="shared" si="27"/>
        <v>0.9</v>
      </c>
      <c r="R116" s="179">
        <f t="shared" si="28"/>
        <v>0.95581746724383843</v>
      </c>
      <c r="S116" s="839">
        <f t="shared" si="29"/>
        <v>-3</v>
      </c>
      <c r="T116" s="178">
        <f t="shared" si="30"/>
        <v>3</v>
      </c>
      <c r="U116" s="253">
        <f t="shared" si="31"/>
        <v>-2.0441825327561616</v>
      </c>
      <c r="V116" s="385">
        <f t="shared" si="32"/>
        <v>52.55096689399803</v>
      </c>
      <c r="W116" s="58"/>
      <c r="X116" s="157">
        <f t="shared" si="33"/>
        <v>43567</v>
      </c>
      <c r="Y116" s="387">
        <f t="shared" si="34"/>
        <v>52.219000000000001</v>
      </c>
      <c r="Z116" s="387">
        <f t="shared" si="35"/>
        <v>52.528581615652378</v>
      </c>
      <c r="AA116" s="388">
        <f t="shared" si="36"/>
        <v>55.370027651346014</v>
      </c>
      <c r="AB116" s="199">
        <f t="shared" si="37"/>
        <v>43567</v>
      </c>
      <c r="AC116" s="428">
        <f>IF(OR(t&lt;Tnet,NoTnet),'2018'!Resal_s+('2018'!Salim-'2018'!Resal_s)*(1-EXP(('2018'!Tnet_s-t)/'2018'!Tau_j)),Resal_s+(Salim-Resal_s)*(1-EXP((Tnet_s-t)/Tau_j)))*Salcycl</f>
        <v>5.1317403227349893E-2</v>
      </c>
      <c r="AD116" s="233">
        <f>(INDEX(Models!$BJ116:$BT116,,AH116)*(1-AF116)+INDEX(Models!$BJ116:$BT116,,AH116+1)*AF116-ERP_i)*AE116*Ramure*Pc/MaxiM</f>
        <v>9.3125718077498385E-4</v>
      </c>
      <c r="AE116" s="307">
        <f t="shared" si="38"/>
        <v>0.9</v>
      </c>
      <c r="AF116" s="179">
        <f t="shared" si="39"/>
        <v>0.95581746724383843</v>
      </c>
      <c r="AG116" s="178">
        <f t="shared" si="40"/>
        <v>-3</v>
      </c>
      <c r="AH116" s="178">
        <f t="shared" si="41"/>
        <v>3</v>
      </c>
      <c r="AI116" s="227">
        <f t="shared" si="42"/>
        <v>-2.0441825327561616</v>
      </c>
      <c r="AJ116" s="267" t="b">
        <f t="shared" si="43"/>
        <v>0</v>
      </c>
      <c r="AK116" s="267" t="b">
        <f t="shared" si="44"/>
        <v>0</v>
      </c>
      <c r="AL116" s="267"/>
      <c r="AM116" s="267"/>
      <c r="AN116" s="75"/>
    </row>
    <row r="117" spans="1:40" s="6" customFormat="1" ht="11.25" x14ac:dyDescent="0.2">
      <c r="A117" s="56">
        <f t="shared" si="45"/>
        <v>43568</v>
      </c>
      <c r="B117" s="620">
        <v>53.136000000000003</v>
      </c>
      <c r="C117" s="392"/>
      <c r="D117" s="395">
        <f t="shared" si="24"/>
        <v>53.452261984752447</v>
      </c>
      <c r="E117" s="387">
        <f t="shared" si="46"/>
        <v>56.355226487341049</v>
      </c>
      <c r="F117" s="387">
        <f t="shared" si="25"/>
        <v>56.406019342238785</v>
      </c>
      <c r="G117" s="110">
        <f t="shared" si="47"/>
        <v>1.0049776977865372</v>
      </c>
      <c r="H117" s="416" t="b">
        <f>Wh_hp&gt;='2018'!Maxi_hp</f>
        <v>1</v>
      </c>
      <c r="I117" s="392">
        <f>IF(H117,Wh_hp,'2018'!Maxi_hp)</f>
        <v>56.406019342238785</v>
      </c>
      <c r="J117" s="85">
        <f>IF(H117,An,'2018'!An_max)</f>
        <v>2019</v>
      </c>
      <c r="K117" s="199">
        <f t="shared" si="26"/>
        <v>43568</v>
      </c>
      <c r="L117" s="147">
        <f>IF(t&lt;Tvie,1-EXP((T0-t)*PertePVj)+'2018'!Pspv,1-EXP((T0-t)*PertePVj)+Pspv)</f>
        <v>5.9167184513662097E-3</v>
      </c>
      <c r="M117" s="872"/>
      <c r="N117" s="872"/>
      <c r="O117" s="48">
        <f>IF(t&lt;Tnet,'2018'!Resal+('2018'!Salim-'2018'!Resal)*(1-EXP(('2018'!Tnet-t)/('2018'!Tau_j))),Resal+(Salim-Resal)*(1-EXP((Tnet-t)/(Tau_j))))*Salcycl</f>
        <v>5.1511894877056132E-2</v>
      </c>
      <c r="P117" s="171">
        <f>(INDEX(Models!$BJ117:$BT117,,T117)*(1-R117)+INDEX(Models!$BJ117:$BT117,,T117+1)*R117-ERP_i)*Q117*Ramure*Pc/MaxiM</f>
        <v>9.0048642839968491E-4</v>
      </c>
      <c r="Q117" s="307">
        <f t="shared" si="27"/>
        <v>0.9</v>
      </c>
      <c r="R117" s="179">
        <f t="shared" si="28"/>
        <v>0.95800745074992832</v>
      </c>
      <c r="S117" s="839">
        <f t="shared" si="29"/>
        <v>-3</v>
      </c>
      <c r="T117" s="178">
        <f t="shared" si="30"/>
        <v>3</v>
      </c>
      <c r="U117" s="253">
        <f t="shared" si="31"/>
        <v>-2.0419925492500717</v>
      </c>
      <c r="V117" s="385">
        <f t="shared" si="32"/>
        <v>52.872815105282449</v>
      </c>
      <c r="W117" s="58"/>
      <c r="X117" s="157">
        <f t="shared" si="33"/>
        <v>43568</v>
      </c>
      <c r="Y117" s="387">
        <f t="shared" si="34"/>
        <v>53.136000000000003</v>
      </c>
      <c r="Z117" s="387">
        <f t="shared" si="35"/>
        <v>53.452261984752447</v>
      </c>
      <c r="AA117" s="388">
        <f t="shared" si="36"/>
        <v>56.355226487341049</v>
      </c>
      <c r="AB117" s="199">
        <f t="shared" si="37"/>
        <v>43568</v>
      </c>
      <c r="AC117" s="428">
        <f>IF(OR(t&lt;Tnet,NoTnet),'2018'!Resal_s+('2018'!Salim-'2018'!Resal_s)*(1-EXP(('2018'!Tnet_s-t)/'2018'!Tau_j)),Resal_s+(Salim-Resal_s)*(1-EXP((Tnet_s-t)/Tau_j)))*Salcycl</f>
        <v>5.1511894877056132E-2</v>
      </c>
      <c r="AD117" s="233">
        <f>(INDEX(Models!$BJ117:$BT117,,AH117)*(1-AF117)+INDEX(Models!$BJ117:$BT117,,AH117+1)*AF117-ERP_i)*AE117*Ramure*Pc/MaxiM</f>
        <v>9.0048642839968491E-4</v>
      </c>
      <c r="AE117" s="307">
        <f t="shared" si="38"/>
        <v>0.9</v>
      </c>
      <c r="AF117" s="179">
        <f t="shared" si="39"/>
        <v>0.95800745074992832</v>
      </c>
      <c r="AG117" s="178">
        <f t="shared" si="40"/>
        <v>-3</v>
      </c>
      <c r="AH117" s="178">
        <f t="shared" si="41"/>
        <v>3</v>
      </c>
      <c r="AI117" s="227">
        <f t="shared" si="42"/>
        <v>-2.0419925492500717</v>
      </c>
      <c r="AJ117" s="267" t="b">
        <f t="shared" si="43"/>
        <v>0</v>
      </c>
      <c r="AK117" s="267" t="b">
        <f t="shared" si="44"/>
        <v>0</v>
      </c>
      <c r="AL117" s="267"/>
      <c r="AM117" s="267"/>
      <c r="AN117" s="75"/>
    </row>
    <row r="118" spans="1:40" s="6" customFormat="1" ht="11.25" x14ac:dyDescent="0.2">
      <c r="A118" s="56">
        <f t="shared" si="45"/>
        <v>43569</v>
      </c>
      <c r="B118" s="620">
        <v>26.486999999999998</v>
      </c>
      <c r="C118" s="392"/>
      <c r="D118" s="395">
        <f t="shared" si="24"/>
        <v>26.645268960027078</v>
      </c>
      <c r="E118" s="387">
        <f t="shared" si="46"/>
        <v>28.098147204968623</v>
      </c>
      <c r="F118" s="387">
        <f t="shared" si="25"/>
        <v>28.10506140040971</v>
      </c>
      <c r="G118" s="110">
        <f t="shared" si="47"/>
        <v>0.49768172358986068</v>
      </c>
      <c r="H118" s="416" t="b">
        <f>Wh_hp&gt;='2018'!Maxi_hp</f>
        <v>1</v>
      </c>
      <c r="I118" s="392">
        <f>IF(H118,Wh_hp,'2018'!Maxi_hp)</f>
        <v>28.10506140040971</v>
      </c>
      <c r="J118" s="85">
        <f>IF(H118,An,'2018'!An_max)</f>
        <v>2019</v>
      </c>
      <c r="K118" s="199">
        <f t="shared" si="26"/>
        <v>43569</v>
      </c>
      <c r="L118" s="147">
        <f>IF(t&lt;Tvie,1-EXP((T0-t)*PertePVj)+'2018'!Pspv,1-EXP((T0-t)*PertePVj)+Pspv)</f>
        <v>5.9398522215899918E-3</v>
      </c>
      <c r="M118" s="872"/>
      <c r="N118" s="872"/>
      <c r="O118" s="48">
        <f>IF(t&lt;Tnet,'2018'!Resal+('2018'!Salim-'2018'!Resal)*(1-EXP(('2018'!Tnet-t)/('2018'!Tau_j))),Resal+(Salim-Resal)*(1-EXP((Tnet-t)/(Tau_j))))*Salcycl</f>
        <v>5.1707261491057699E-2</v>
      </c>
      <c r="P118" s="171">
        <f>(INDEX(Models!$BJ118:$BT118,,T118)*(1-R118)+INDEX(Models!$BJ118:$BT118,,T118+1)*R118-ERP_i)*Q118*Ramure*Pc/MaxiM</f>
        <v>8.6977429797396833E-4</v>
      </c>
      <c r="Q118" s="307">
        <f t="shared" si="27"/>
        <v>0.9</v>
      </c>
      <c r="R118" s="179">
        <f t="shared" si="28"/>
        <v>0.96027352418131739</v>
      </c>
      <c r="S118" s="839">
        <f t="shared" si="29"/>
        <v>-3</v>
      </c>
      <c r="T118" s="178">
        <f t="shared" si="30"/>
        <v>3</v>
      </c>
      <c r="U118" s="253">
        <f t="shared" si="31"/>
        <v>-2.0397264758186826</v>
      </c>
      <c r="V118" s="385">
        <f t="shared" si="32"/>
        <v>53.187555620660497</v>
      </c>
      <c r="W118" s="58"/>
      <c r="X118" s="157">
        <f t="shared" si="33"/>
        <v>43569</v>
      </c>
      <c r="Y118" s="387">
        <f t="shared" si="34"/>
        <v>26.486999999999998</v>
      </c>
      <c r="Z118" s="387">
        <f t="shared" si="35"/>
        <v>26.645268960027078</v>
      </c>
      <c r="AA118" s="388">
        <f t="shared" si="36"/>
        <v>28.098147204968623</v>
      </c>
      <c r="AB118" s="199">
        <f t="shared" si="37"/>
        <v>43569</v>
      </c>
      <c r="AC118" s="428">
        <f>IF(OR(t&lt;Tnet,NoTnet),'2018'!Resal_s+('2018'!Salim-'2018'!Resal_s)*(1-EXP(('2018'!Tnet_s-t)/'2018'!Tau_j)),Resal_s+(Salim-Resal_s)*(1-EXP((Tnet_s-t)/Tau_j)))*Salcycl</f>
        <v>5.1707261491057699E-2</v>
      </c>
      <c r="AD118" s="233">
        <f>(INDEX(Models!$BJ118:$BT118,,AH118)*(1-AF118)+INDEX(Models!$BJ118:$BT118,,AH118+1)*AF118-ERP_i)*AE118*Ramure*Pc/MaxiM</f>
        <v>8.6977429797396833E-4</v>
      </c>
      <c r="AE118" s="307">
        <f t="shared" si="38"/>
        <v>0.9</v>
      </c>
      <c r="AF118" s="179">
        <f t="shared" si="39"/>
        <v>0.96027352418131739</v>
      </c>
      <c r="AG118" s="178">
        <f t="shared" si="40"/>
        <v>-3</v>
      </c>
      <c r="AH118" s="178">
        <f t="shared" si="41"/>
        <v>3</v>
      </c>
      <c r="AI118" s="227">
        <f t="shared" si="42"/>
        <v>-2.0397264758186826</v>
      </c>
      <c r="AJ118" s="267" t="b">
        <f t="shared" si="43"/>
        <v>0</v>
      </c>
      <c r="AK118" s="267" t="b">
        <f t="shared" si="44"/>
        <v>0</v>
      </c>
      <c r="AL118" s="267"/>
      <c r="AM118" s="267"/>
      <c r="AN118" s="75"/>
    </row>
    <row r="119" spans="1:40" s="6" customFormat="1" ht="11.25" x14ac:dyDescent="0.2">
      <c r="A119" s="56">
        <f t="shared" si="45"/>
        <v>43570</v>
      </c>
      <c r="B119" s="620">
        <v>36.061</v>
      </c>
      <c r="C119" s="392"/>
      <c r="D119" s="395">
        <f t="shared" si="24"/>
        <v>36.27732113823771</v>
      </c>
      <c r="E119" s="387">
        <f t="shared" si="46"/>
        <v>38.263322534502201</v>
      </c>
      <c r="F119" s="387">
        <f t="shared" si="25"/>
        <v>38.280489168946431</v>
      </c>
      <c r="G119" s="110">
        <f t="shared" si="47"/>
        <v>0.67383849657528416</v>
      </c>
      <c r="H119" s="416" t="b">
        <f>Wh_hp&gt;='2018'!Maxi_hp</f>
        <v>1</v>
      </c>
      <c r="I119" s="392">
        <f>IF(H119,Wh_hp,'2018'!Maxi_hp)</f>
        <v>38.280489168946431</v>
      </c>
      <c r="J119" s="85">
        <f>IF(H119,An,'2018'!An_max)</f>
        <v>2019</v>
      </c>
      <c r="K119" s="199">
        <f t="shared" si="26"/>
        <v>43570</v>
      </c>
      <c r="L119" s="147">
        <f>IF(t&lt;Tvie,1-EXP((T0-t)*PertePVj)+'2018'!Pspv,1-EXP((T0-t)*PertePVj)+Pspv)</f>
        <v>5.9629854534571924E-3</v>
      </c>
      <c r="M119" s="872"/>
      <c r="N119" s="872"/>
      <c r="O119" s="48">
        <f>IF(t&lt;Tnet,'2018'!Resal+('2018'!Salim-'2018'!Resal)*(1-EXP(('2018'!Tnet-t)/('2018'!Tau_j))),Resal+(Salim-Resal)*(1-EXP((Tnet-t)/(Tau_j))))*Salcycl</f>
        <v>5.1903527051883828E-2</v>
      </c>
      <c r="P119" s="171">
        <f>(INDEX(Models!$BJ119:$BT119,,T119)*(1-R119)+INDEX(Models!$BJ119:$BT119,,T119+1)*R119-ERP_i)*Q119*Ramure*Pc/MaxiM</f>
        <v>8.3910389521809139E-4</v>
      </c>
      <c r="Q119" s="307">
        <f t="shared" si="27"/>
        <v>0.9</v>
      </c>
      <c r="R119" s="179">
        <f t="shared" si="28"/>
        <v>0.96261770841466143</v>
      </c>
      <c r="S119" s="839">
        <f t="shared" si="29"/>
        <v>-3</v>
      </c>
      <c r="T119" s="178">
        <f t="shared" si="30"/>
        <v>3</v>
      </c>
      <c r="U119" s="253">
        <f t="shared" si="31"/>
        <v>-2.0373822915853386</v>
      </c>
      <c r="V119" s="385">
        <f t="shared" si="32"/>
        <v>53.494874894184683</v>
      </c>
      <c r="W119" s="58"/>
      <c r="X119" s="157">
        <f t="shared" si="33"/>
        <v>43570</v>
      </c>
      <c r="Y119" s="387">
        <f t="shared" si="34"/>
        <v>36.061</v>
      </c>
      <c r="Z119" s="387">
        <f t="shared" si="35"/>
        <v>36.27732113823771</v>
      </c>
      <c r="AA119" s="388">
        <f t="shared" si="36"/>
        <v>38.263322534502201</v>
      </c>
      <c r="AB119" s="199">
        <f t="shared" si="37"/>
        <v>43570</v>
      </c>
      <c r="AC119" s="428">
        <f>IF(OR(t&lt;Tnet,NoTnet),'2018'!Resal_s+('2018'!Salim-'2018'!Resal_s)*(1-EXP(('2018'!Tnet_s-t)/'2018'!Tau_j)),Resal_s+(Salim-Resal_s)*(1-EXP((Tnet_s-t)/Tau_j)))*Salcycl</f>
        <v>5.1903527051883828E-2</v>
      </c>
      <c r="AD119" s="233">
        <f>(INDEX(Models!$BJ119:$BT119,,AH119)*(1-AF119)+INDEX(Models!$BJ119:$BT119,,AH119+1)*AF119-ERP_i)*AE119*Ramure*Pc/MaxiM</f>
        <v>8.3910389521809139E-4</v>
      </c>
      <c r="AE119" s="307">
        <f t="shared" si="38"/>
        <v>0.9</v>
      </c>
      <c r="AF119" s="179">
        <f t="shared" si="39"/>
        <v>0.96261770841466143</v>
      </c>
      <c r="AG119" s="178">
        <f t="shared" si="40"/>
        <v>-3</v>
      </c>
      <c r="AH119" s="178">
        <f t="shared" si="41"/>
        <v>3</v>
      </c>
      <c r="AI119" s="227">
        <f t="shared" si="42"/>
        <v>-2.0373822915853386</v>
      </c>
      <c r="AJ119" s="267" t="b">
        <f t="shared" si="43"/>
        <v>0</v>
      </c>
      <c r="AK119" s="267" t="b">
        <f t="shared" si="44"/>
        <v>0</v>
      </c>
      <c r="AL119" s="267"/>
      <c r="AM119" s="267"/>
      <c r="AN119" s="75"/>
    </row>
    <row r="120" spans="1:40" s="6" customFormat="1" ht="11.25" x14ac:dyDescent="0.2">
      <c r="A120" s="56">
        <f t="shared" si="45"/>
        <v>43571</v>
      </c>
      <c r="B120" s="620">
        <v>33.991</v>
      </c>
      <c r="C120" s="392"/>
      <c r="D120" s="395">
        <f t="shared" si="24"/>
        <v>34.195699497309533</v>
      </c>
      <c r="E120" s="387">
        <f t="shared" si="46"/>
        <v>36.075245568525602</v>
      </c>
      <c r="F120" s="387">
        <f t="shared" si="25"/>
        <v>36.089078060377744</v>
      </c>
      <c r="G120" s="110">
        <f t="shared" si="47"/>
        <v>0.63159928841416546</v>
      </c>
      <c r="H120" s="416" t="b">
        <f>Wh_hp&gt;='2018'!Maxi_hp</f>
        <v>1</v>
      </c>
      <c r="I120" s="392">
        <f>IF(H120,Wh_hp,'2018'!Maxi_hp)</f>
        <v>36.089078060377744</v>
      </c>
      <c r="J120" s="85">
        <f>IF(H120,An,'2018'!An_max)</f>
        <v>2019</v>
      </c>
      <c r="K120" s="199">
        <f t="shared" si="26"/>
        <v>43571</v>
      </c>
      <c r="L120" s="147">
        <f>IF(t&lt;Tvie,1-EXP((T0-t)*PertePVj)+'2018'!Pspv,1-EXP((T0-t)*PertePVj)+Pspv)</f>
        <v>5.986118146980357E-3</v>
      </c>
      <c r="M120" s="872"/>
      <c r="N120" s="872"/>
      <c r="O120" s="48">
        <f>IF(t&lt;Tnet,'2018'!Resal+('2018'!Salim-'2018'!Resal)*(1-EXP(('2018'!Tnet-t)/('2018'!Tau_j))),Resal+(Salim-Resal)*(1-EXP((Tnet-t)/(Tau_j))))*Salcycl</f>
        <v>5.2100714536948436E-2</v>
      </c>
      <c r="P120" s="171">
        <f>(INDEX(Models!$BJ120:$BT120,,T120)*(1-R120)+INDEX(Models!$BJ120:$BT120,,T120+1)*R120-ERP_i)*Q120*Ramure*Pc/MaxiM</f>
        <v>8.0845758757380152E-4</v>
      </c>
      <c r="Q120" s="307">
        <f t="shared" si="27"/>
        <v>0.9</v>
      </c>
      <c r="R120" s="179">
        <f t="shared" si="28"/>
        <v>0.96504202957776064</v>
      </c>
      <c r="S120" s="839">
        <f t="shared" si="29"/>
        <v>-3</v>
      </c>
      <c r="T120" s="178">
        <f t="shared" si="30"/>
        <v>3</v>
      </c>
      <c r="U120" s="253">
        <f t="shared" si="31"/>
        <v>-2.0349579704222394</v>
      </c>
      <c r="V120" s="385">
        <f t="shared" si="32"/>
        <v>53.794459754486702</v>
      </c>
      <c r="W120" s="58"/>
      <c r="X120" s="157">
        <f t="shared" si="33"/>
        <v>43571</v>
      </c>
      <c r="Y120" s="387">
        <f t="shared" si="34"/>
        <v>33.991</v>
      </c>
      <c r="Z120" s="387">
        <f t="shared" si="35"/>
        <v>34.195699497309533</v>
      </c>
      <c r="AA120" s="388">
        <f t="shared" si="36"/>
        <v>36.075245568525602</v>
      </c>
      <c r="AB120" s="199">
        <f t="shared" si="37"/>
        <v>43571</v>
      </c>
      <c r="AC120" s="428">
        <f>IF(OR(t&lt;Tnet,NoTnet),'2018'!Resal_s+('2018'!Salim-'2018'!Resal_s)*(1-EXP(('2018'!Tnet_s-t)/'2018'!Tau_j)),Resal_s+(Salim-Resal_s)*(1-EXP((Tnet_s-t)/Tau_j)))*Salcycl</f>
        <v>5.2100714536948436E-2</v>
      </c>
      <c r="AD120" s="233">
        <f>(INDEX(Models!$BJ120:$BT120,,AH120)*(1-AF120)+INDEX(Models!$BJ120:$BT120,,AH120+1)*AF120-ERP_i)*AE120*Ramure*Pc/MaxiM</f>
        <v>8.0845758757380152E-4</v>
      </c>
      <c r="AE120" s="307">
        <f t="shared" si="38"/>
        <v>0.9</v>
      </c>
      <c r="AF120" s="179">
        <f t="shared" si="39"/>
        <v>0.96504202957776064</v>
      </c>
      <c r="AG120" s="178">
        <f t="shared" si="40"/>
        <v>-3</v>
      </c>
      <c r="AH120" s="178">
        <f t="shared" si="41"/>
        <v>3</v>
      </c>
      <c r="AI120" s="227">
        <f t="shared" si="42"/>
        <v>-2.0349579704222394</v>
      </c>
      <c r="AJ120" s="267" t="b">
        <f t="shared" si="43"/>
        <v>0</v>
      </c>
      <c r="AK120" s="267" t="b">
        <f t="shared" si="44"/>
        <v>0</v>
      </c>
      <c r="AL120" s="267"/>
      <c r="AM120" s="267"/>
      <c r="AN120" s="75"/>
    </row>
    <row r="121" spans="1:40" s="6" customFormat="1" ht="11.25" x14ac:dyDescent="0.2">
      <c r="A121" s="56">
        <f t="shared" si="45"/>
        <v>43572</v>
      </c>
      <c r="B121" s="620">
        <v>32.253</v>
      </c>
      <c r="C121" s="392"/>
      <c r="D121" s="395">
        <f t="shared" si="24"/>
        <v>32.447988082187756</v>
      </c>
      <c r="E121" s="387">
        <f t="shared" si="46"/>
        <v>34.238628854709212</v>
      </c>
      <c r="F121" s="387">
        <f t="shared" si="25"/>
        <v>34.249905395426509</v>
      </c>
      <c r="G121" s="110">
        <f t="shared" si="47"/>
        <v>0.59604425479911149</v>
      </c>
      <c r="H121" s="416" t="b">
        <f>Wh_hp&gt;='2018'!Maxi_hp</f>
        <v>1</v>
      </c>
      <c r="I121" s="392">
        <f>IF(H121,Wh_hp,'2018'!Maxi_hp)</f>
        <v>34.249905395426509</v>
      </c>
      <c r="J121" s="85">
        <f>IF(H121,An,'2018'!An_max)</f>
        <v>2019</v>
      </c>
      <c r="K121" s="199">
        <f t="shared" si="26"/>
        <v>43572</v>
      </c>
      <c r="L121" s="147">
        <f>IF(t&lt;Tvie,1-EXP((T0-t)*PertePVj)+'2018'!Pspv,1-EXP((T0-t)*PertePVj)+Pspv)</f>
        <v>6.0092503021719201E-3</v>
      </c>
      <c r="M121" s="872"/>
      <c r="N121" s="872"/>
      <c r="O121" s="48">
        <f>IF(t&lt;Tnet,'2018'!Resal+('2018'!Salim-'2018'!Resal)*(1-EXP(('2018'!Tnet-t)/('2018'!Tau_j))),Resal+(Salim-Resal)*(1-EXP((Tnet-t)/(Tau_j))))*Salcycl</f>
        <v>5.2298845848062478E-2</v>
      </c>
      <c r="P121" s="171">
        <f>(INDEX(Models!$BJ121:$BT121,,T121)*(1-R121)+INDEX(Models!$BJ121:$BT121,,T121+1)*R121-ERP_i)*Q121*Ramure*Pc/MaxiM</f>
        <v>7.7779577519760063E-4</v>
      </c>
      <c r="Q121" s="307">
        <f t="shared" si="27"/>
        <v>0.9</v>
      </c>
      <c r="R121" s="179">
        <f t="shared" si="28"/>
        <v>0.96754851472630854</v>
      </c>
      <c r="S121" s="839">
        <f t="shared" si="29"/>
        <v>-3</v>
      </c>
      <c r="T121" s="178">
        <f t="shared" si="30"/>
        <v>3</v>
      </c>
      <c r="U121" s="253">
        <f t="shared" si="31"/>
        <v>-2.0324514852736915</v>
      </c>
      <c r="V121" s="385">
        <f t="shared" si="32"/>
        <v>54.087473878243948</v>
      </c>
      <c r="W121" s="58"/>
      <c r="X121" s="157">
        <f t="shared" si="33"/>
        <v>43572</v>
      </c>
      <c r="Y121" s="387">
        <f t="shared" si="34"/>
        <v>32.253</v>
      </c>
      <c r="Z121" s="387">
        <f t="shared" si="35"/>
        <v>32.447988082187756</v>
      </c>
      <c r="AA121" s="388">
        <f t="shared" si="36"/>
        <v>34.238628854709212</v>
      </c>
      <c r="AB121" s="199">
        <f t="shared" si="37"/>
        <v>43572</v>
      </c>
      <c r="AC121" s="428">
        <f>IF(OR(t&lt;Tnet,NoTnet),'2018'!Resal_s+('2018'!Salim-'2018'!Resal_s)*(1-EXP(('2018'!Tnet_s-t)/'2018'!Tau_j)),Resal_s+(Salim-Resal_s)*(1-EXP((Tnet_s-t)/Tau_j)))*Salcycl</f>
        <v>5.2298845848062478E-2</v>
      </c>
      <c r="AD121" s="233">
        <f>(INDEX(Models!$BJ121:$BT121,,AH121)*(1-AF121)+INDEX(Models!$BJ121:$BT121,,AH121+1)*AF121-ERP_i)*AE121*Ramure*Pc/MaxiM</f>
        <v>7.7779577519760063E-4</v>
      </c>
      <c r="AE121" s="307">
        <f t="shared" si="38"/>
        <v>0.9</v>
      </c>
      <c r="AF121" s="179">
        <f t="shared" si="39"/>
        <v>0.96754851472630854</v>
      </c>
      <c r="AG121" s="178">
        <f t="shared" si="40"/>
        <v>-3</v>
      </c>
      <c r="AH121" s="178">
        <f t="shared" si="41"/>
        <v>3</v>
      </c>
      <c r="AI121" s="227">
        <f t="shared" si="42"/>
        <v>-2.0324514852736915</v>
      </c>
      <c r="AJ121" s="267" t="b">
        <f t="shared" si="43"/>
        <v>0</v>
      </c>
      <c r="AK121" s="267" t="b">
        <f t="shared" si="44"/>
        <v>0</v>
      </c>
      <c r="AL121" s="267"/>
      <c r="AM121" s="267"/>
      <c r="AN121" s="75"/>
    </row>
    <row r="122" spans="1:40" s="18" customFormat="1" ht="11.25" x14ac:dyDescent="0.2">
      <c r="A122" s="56">
        <f t="shared" si="45"/>
        <v>43573</v>
      </c>
      <c r="B122" s="620">
        <v>25.41</v>
      </c>
      <c r="C122" s="392"/>
      <c r="D122" s="395">
        <f t="shared" si="24"/>
        <v>25.564213096860097</v>
      </c>
      <c r="E122" s="387">
        <f t="shared" si="46"/>
        <v>26.980641228111541</v>
      </c>
      <c r="F122" s="387">
        <f t="shared" si="25"/>
        <v>26.985458707496477</v>
      </c>
      <c r="G122" s="110">
        <f t="shared" si="47"/>
        <v>0.46704391631532555</v>
      </c>
      <c r="H122" s="416" t="b">
        <f>Wh_hp&gt;='2018'!Maxi_hp</f>
        <v>1</v>
      </c>
      <c r="I122" s="392">
        <f>IF(H122,Wh_hp,'2018'!Maxi_hp)</f>
        <v>26.985458707496477</v>
      </c>
      <c r="J122" s="85">
        <f>IF(H122,An,'2018'!An_max)</f>
        <v>2019</v>
      </c>
      <c r="K122" s="199">
        <f t="shared" si="26"/>
        <v>43573</v>
      </c>
      <c r="L122" s="147">
        <f>IF(t&lt;Tvie,1-EXP((T0-t)*PertePVj)+'2018'!Pspv,1-EXP((T0-t)*PertePVj)+Pspv)</f>
        <v>6.0323819190444272E-3</v>
      </c>
      <c r="M122" s="872"/>
      <c r="N122" s="872"/>
      <c r="O122" s="48">
        <f>IF(t&lt;Tnet,'2018'!Resal+('2018'!Salim-'2018'!Resal)*(1-EXP(('2018'!Tnet-t)/('2018'!Tau_j))),Resal+(Salim-Resal)*(1-EXP((Tnet-t)/(Tau_j))))*Salcycl</f>
        <v>5.2497941738154259E-2</v>
      </c>
      <c r="P122" s="171">
        <f>(INDEX(Models!$BJ122:$BT122,,T122)*(1-R122)+INDEX(Models!$BJ122:$BT122,,T122+1)*R122-ERP_i)*Q122*Ramure*Pc/MaxiM</f>
        <v>7.4690832555765019E-4</v>
      </c>
      <c r="Q122" s="307">
        <f t="shared" si="27"/>
        <v>0.9</v>
      </c>
      <c r="R122" s="179">
        <f t="shared" si="28"/>
        <v>0.97013918717812064</v>
      </c>
      <c r="S122" s="839">
        <f t="shared" si="29"/>
        <v>-3</v>
      </c>
      <c r="T122" s="178">
        <f t="shared" si="30"/>
        <v>3</v>
      </c>
      <c r="U122" s="253">
        <f t="shared" si="31"/>
        <v>-2.0298608128218794</v>
      </c>
      <c r="V122" s="385">
        <f t="shared" si="32"/>
        <v>54.375089407962534</v>
      </c>
      <c r="W122" s="58"/>
      <c r="X122" s="157">
        <f t="shared" si="33"/>
        <v>43573</v>
      </c>
      <c r="Y122" s="387">
        <f t="shared" si="34"/>
        <v>25.41</v>
      </c>
      <c r="Z122" s="387">
        <f t="shared" si="35"/>
        <v>25.564213096860097</v>
      </c>
      <c r="AA122" s="388">
        <f t="shared" si="36"/>
        <v>26.980641228111541</v>
      </c>
      <c r="AB122" s="199">
        <f t="shared" si="37"/>
        <v>43573</v>
      </c>
      <c r="AC122" s="428">
        <f>IF(OR(t&lt;Tnet,NoTnet),'2018'!Resal_s+('2018'!Salim-'2018'!Resal_s)*(1-EXP(('2018'!Tnet_s-t)/'2018'!Tau_j)),Resal_s+(Salim-Resal_s)*(1-EXP((Tnet_s-t)/Tau_j)))*Salcycl</f>
        <v>5.2497941738154259E-2</v>
      </c>
      <c r="AD122" s="233">
        <f>(INDEX(Models!$BJ122:$BT122,,AH122)*(1-AF122)+INDEX(Models!$BJ122:$BT122,,AH122+1)*AF122-ERP_i)*AE122*Ramure*Pc/MaxiM</f>
        <v>7.4690832555765019E-4</v>
      </c>
      <c r="AE122" s="307">
        <f t="shared" si="38"/>
        <v>0.9</v>
      </c>
      <c r="AF122" s="179">
        <f t="shared" si="39"/>
        <v>0.97013918717812064</v>
      </c>
      <c r="AG122" s="178">
        <f t="shared" si="40"/>
        <v>-3</v>
      </c>
      <c r="AH122" s="178">
        <f t="shared" si="41"/>
        <v>3</v>
      </c>
      <c r="AI122" s="227">
        <f t="shared" si="42"/>
        <v>-2.0298608128218794</v>
      </c>
      <c r="AJ122" s="267" t="b">
        <f t="shared" si="43"/>
        <v>0</v>
      </c>
      <c r="AK122" s="267" t="b">
        <f t="shared" si="44"/>
        <v>0</v>
      </c>
      <c r="AL122" s="267"/>
      <c r="AM122" s="267"/>
      <c r="AN122" s="267"/>
    </row>
    <row r="123" spans="1:40" s="18" customFormat="1" ht="11.25" x14ac:dyDescent="0.2">
      <c r="A123" s="56">
        <f t="shared" si="45"/>
        <v>43574</v>
      </c>
      <c r="B123" s="620">
        <v>49.012999999999998</v>
      </c>
      <c r="C123" s="392"/>
      <c r="D123" s="395">
        <f t="shared" si="24"/>
        <v>49.311607077591404</v>
      </c>
      <c r="E123" s="387">
        <f t="shared" si="46"/>
        <v>52.054791617672109</v>
      </c>
      <c r="F123" s="387">
        <f t="shared" si="25"/>
        <v>52.086591435879924</v>
      </c>
      <c r="G123" s="110">
        <f t="shared" si="47"/>
        <v>0.896643511068135</v>
      </c>
      <c r="H123" s="416" t="b">
        <f>Wh_hp&gt;='2018'!Maxi_hp</f>
        <v>1</v>
      </c>
      <c r="I123" s="392">
        <f>IF(H123,Wh_hp,'2018'!Maxi_hp)</f>
        <v>52.086591435879924</v>
      </c>
      <c r="J123" s="85">
        <f>IF(H123,An,'2018'!An_max)</f>
        <v>2019</v>
      </c>
      <c r="K123" s="199">
        <f t="shared" si="26"/>
        <v>43574</v>
      </c>
      <c r="L123" s="147">
        <f>IF(t&lt;Tvie,1-EXP((T0-t)*PertePVj)+'2018'!Pspv,1-EXP((T0-t)*PertePVj)+Pspv)</f>
        <v>6.0555129976103128E-3</v>
      </c>
      <c r="M123" s="872"/>
      <c r="N123" s="872"/>
      <c r="O123" s="48">
        <f>IF(t&lt;Tnet,'2018'!Resal+('2018'!Salim-'2018'!Resal)*(1-EXP(('2018'!Tnet-t)/('2018'!Tau_j))),Resal+(Salim-Resal)*(1-EXP((Tnet-t)/(Tau_j))))*Salcycl</f>
        <v>5.2698021735033101E-2</v>
      </c>
      <c r="P123" s="171">
        <f>(INDEX(Models!$BJ123:$BT123,,T123)*(1-R123)+INDEX(Models!$BJ123:$BT123,,T123+1)*R123-ERP_i)*Q123*Ramure*Pc/MaxiM</f>
        <v>7.1616455406663701E-4</v>
      </c>
      <c r="Q123" s="307">
        <f t="shared" si="27"/>
        <v>0.9</v>
      </c>
      <c r="R123" s="179">
        <f t="shared" si="28"/>
        <v>0.97281606149661215</v>
      </c>
      <c r="S123" s="839">
        <f t="shared" si="29"/>
        <v>-3</v>
      </c>
      <c r="T123" s="178">
        <f t="shared" si="30"/>
        <v>3</v>
      </c>
      <c r="U123" s="253">
        <f t="shared" si="31"/>
        <v>-2.0271839385033879</v>
      </c>
      <c r="V123" s="385">
        <f t="shared" si="32"/>
        <v>54.656971463993536</v>
      </c>
      <c r="W123" s="58"/>
      <c r="X123" s="157">
        <f t="shared" si="33"/>
        <v>43574</v>
      </c>
      <c r="Y123" s="387">
        <f t="shared" si="34"/>
        <v>49.012999999999998</v>
      </c>
      <c r="Z123" s="387">
        <f t="shared" si="35"/>
        <v>49.311607077591404</v>
      </c>
      <c r="AA123" s="388">
        <f t="shared" si="36"/>
        <v>52.054791617672109</v>
      </c>
      <c r="AB123" s="199">
        <f t="shared" si="37"/>
        <v>43574</v>
      </c>
      <c r="AC123" s="428">
        <f>IF(OR(t&lt;Tnet,NoTnet),'2018'!Resal_s+('2018'!Salim-'2018'!Resal_s)*(1-EXP(('2018'!Tnet_s-t)/'2018'!Tau_j)),Resal_s+(Salim-Resal_s)*(1-EXP((Tnet_s-t)/Tau_j)))*Salcycl</f>
        <v>5.2698021735033101E-2</v>
      </c>
      <c r="AD123" s="233">
        <f>(INDEX(Models!$BJ123:$BT123,,AH123)*(1-AF123)+INDEX(Models!$BJ123:$BT123,,AH123+1)*AF123-ERP_i)*AE123*Ramure*Pc/MaxiM</f>
        <v>7.1616455406663701E-4</v>
      </c>
      <c r="AE123" s="307">
        <f t="shared" si="38"/>
        <v>0.9</v>
      </c>
      <c r="AF123" s="179">
        <f t="shared" si="39"/>
        <v>0.97281606149661215</v>
      </c>
      <c r="AG123" s="178">
        <f t="shared" si="40"/>
        <v>-3</v>
      </c>
      <c r="AH123" s="178">
        <f t="shared" si="41"/>
        <v>3</v>
      </c>
      <c r="AI123" s="227">
        <f t="shared" si="42"/>
        <v>-2.0271839385033879</v>
      </c>
      <c r="AJ123" s="267" t="b">
        <f t="shared" si="43"/>
        <v>0</v>
      </c>
      <c r="AK123" s="267" t="b">
        <f t="shared" si="44"/>
        <v>0</v>
      </c>
      <c r="AL123" s="267"/>
      <c r="AM123" s="267"/>
      <c r="AN123" s="267"/>
    </row>
    <row r="124" spans="1:40" s="6" customFormat="1" ht="11.25" customHeight="1" x14ac:dyDescent="0.2">
      <c r="A124" s="56">
        <f t="shared" si="45"/>
        <v>43575</v>
      </c>
      <c r="B124" s="620">
        <v>45.716000000000001</v>
      </c>
      <c r="C124" s="392"/>
      <c r="D124" s="395">
        <f t="shared" si="24"/>
        <v>45.995590800792321</v>
      </c>
      <c r="E124" s="387">
        <f t="shared" si="46"/>
        <v>48.564615447061996</v>
      </c>
      <c r="F124" s="387">
        <f t="shared" si="25"/>
        <v>48.589941916916572</v>
      </c>
      <c r="G124" s="110">
        <f t="shared" si="47"/>
        <v>0.83207990153588296</v>
      </c>
      <c r="H124" s="416" t="b">
        <f>Wh_hp&gt;='2018'!Maxi_hp</f>
        <v>1</v>
      </c>
      <c r="I124" s="392">
        <f>IF(H124,Wh_hp,'2018'!Maxi_hp)</f>
        <v>48.589941916916572</v>
      </c>
      <c r="J124" s="85">
        <f>IF(H124,An,'2018'!An_max)</f>
        <v>2019</v>
      </c>
      <c r="K124" s="199">
        <f t="shared" si="26"/>
        <v>43575</v>
      </c>
      <c r="L124" s="147">
        <f>IF(t&lt;Tvie,1-EXP((T0-t)*PertePVj)+'2018'!Pspv,1-EXP((T0-t)*PertePVj)+Pspv)</f>
        <v>6.0786435378823445E-3</v>
      </c>
      <c r="M124" s="872"/>
      <c r="N124" s="872"/>
      <c r="O124" s="48">
        <f>IF(t&lt;Tnet,'2018'!Resal+('2018'!Salim-'2018'!Resal)*(1-EXP(('2018'!Tnet-t)/('2018'!Tau_j))),Resal+(Salim-Resal)*(1-EXP((Tnet-t)/(Tau_j))))*Salcycl</f>
        <v>5.2899104062093354E-2</v>
      </c>
      <c r="P124" s="171">
        <f>(INDEX(Models!$BJ124:$BT124,,T124)*(1-R124)+INDEX(Models!$BJ124:$BT124,,T124+1)*R124-ERP_i)*Q124*Ramure*Pc/MaxiM</f>
        <v>6.8554789850611933E-4</v>
      </c>
      <c r="Q124" s="307">
        <f t="shared" si="27"/>
        <v>0.9</v>
      </c>
      <c r="R124" s="179">
        <f t="shared" si="28"/>
        <v>0.97558113811674874</v>
      </c>
      <c r="S124" s="839">
        <f t="shared" si="29"/>
        <v>-3</v>
      </c>
      <c r="T124" s="178">
        <f t="shared" si="30"/>
        <v>3</v>
      </c>
      <c r="U124" s="253">
        <f t="shared" si="31"/>
        <v>-2.0244188618832513</v>
      </c>
      <c r="V124" s="385">
        <f t="shared" si="32"/>
        <v>54.932806307865086</v>
      </c>
      <c r="W124" s="58"/>
      <c r="X124" s="157">
        <f t="shared" si="33"/>
        <v>43575</v>
      </c>
      <c r="Y124" s="387">
        <f t="shared" si="34"/>
        <v>45.716000000000001</v>
      </c>
      <c r="Z124" s="387">
        <f t="shared" si="35"/>
        <v>45.995590800792321</v>
      </c>
      <c r="AA124" s="388">
        <f t="shared" si="36"/>
        <v>48.564615447061996</v>
      </c>
      <c r="AB124" s="199">
        <f t="shared" si="37"/>
        <v>43575</v>
      </c>
      <c r="AC124" s="428">
        <f>IF(OR(t&lt;Tnet,NoTnet),'2018'!Resal_s+('2018'!Salim-'2018'!Resal_s)*(1-EXP(('2018'!Tnet_s-t)/'2018'!Tau_j)),Resal_s+(Salim-Resal_s)*(1-EXP((Tnet_s-t)/Tau_j)))*Salcycl</f>
        <v>5.2899104062093354E-2</v>
      </c>
      <c r="AD124" s="233">
        <f>(INDEX(Models!$BJ124:$BT124,,AH124)*(1-AF124)+INDEX(Models!$BJ124:$BT124,,AH124+1)*AF124-ERP_i)*AE124*Ramure*Pc/MaxiM</f>
        <v>6.8554789850611933E-4</v>
      </c>
      <c r="AE124" s="307">
        <f t="shared" si="38"/>
        <v>0.9</v>
      </c>
      <c r="AF124" s="179">
        <f t="shared" si="39"/>
        <v>0.97558113811674874</v>
      </c>
      <c r="AG124" s="178">
        <f t="shared" si="40"/>
        <v>-3</v>
      </c>
      <c r="AH124" s="178">
        <f t="shared" si="41"/>
        <v>3</v>
      </c>
      <c r="AI124" s="227">
        <f t="shared" si="42"/>
        <v>-2.0244188618832513</v>
      </c>
      <c r="AJ124" s="267" t="b">
        <f t="shared" si="43"/>
        <v>0</v>
      </c>
      <c r="AK124" s="267" t="b">
        <f t="shared" si="44"/>
        <v>0</v>
      </c>
      <c r="AL124" s="267"/>
      <c r="AM124" s="267"/>
      <c r="AN124" s="75"/>
    </row>
    <row r="125" spans="1:40" s="6" customFormat="1" ht="11.25" x14ac:dyDescent="0.2">
      <c r="A125" s="56">
        <f t="shared" si="45"/>
        <v>43576</v>
      </c>
      <c r="B125" s="620">
        <v>19.373000000000001</v>
      </c>
      <c r="C125" s="392"/>
      <c r="D125" s="395">
        <f t="shared" si="24"/>
        <v>19.491935375515233</v>
      </c>
      <c r="E125" s="387">
        <f t="shared" si="46"/>
        <v>20.585025020502748</v>
      </c>
      <c r="F125" s="387">
        <f t="shared" si="25"/>
        <v>20.586006431599987</v>
      </c>
      <c r="G125" s="110">
        <f t="shared" si="47"/>
        <v>0.35073248229173298</v>
      </c>
      <c r="H125" s="416" t="b">
        <f>Wh_hp&gt;='2018'!Maxi_hp</f>
        <v>1</v>
      </c>
      <c r="I125" s="392">
        <f>IF(H125,Wh_hp,'2018'!Maxi_hp)</f>
        <v>20.586006431599987</v>
      </c>
      <c r="J125" s="85">
        <f>IF(H125,An,'2018'!An_max)</f>
        <v>2019</v>
      </c>
      <c r="K125" s="199">
        <f t="shared" si="26"/>
        <v>43576</v>
      </c>
      <c r="L125" s="147">
        <f>IF(t&lt;Tvie,1-EXP((T0-t)*PertePVj)+'2018'!Pspv,1-EXP((T0-t)*PertePVj)+Pspv)</f>
        <v>6.1017735398728457E-3</v>
      </c>
      <c r="M125" s="872"/>
      <c r="N125" s="872"/>
      <c r="O125" s="48">
        <f>IF(t&lt;Tnet,'2018'!Resal+('2018'!Salim-'2018'!Resal)*(1-EXP(('2018'!Tnet-t)/('2018'!Tau_j))),Resal+(Salim-Resal)*(1-EXP((Tnet-t)/(Tau_j))))*Salcycl</f>
        <v>5.3101205555922112E-2</v>
      </c>
      <c r="P125" s="171">
        <f>(INDEX(Models!$BJ125:$BT125,,T125)*(1-R125)+INDEX(Models!$BJ125:$BT125,,T125+1)*R125-ERP_i)*Q125*Ramure*Pc/MaxiM</f>
        <v>6.5504302436166189E-4</v>
      </c>
      <c r="Q125" s="307">
        <f t="shared" si="27"/>
        <v>0.9</v>
      </c>
      <c r="R125" s="179">
        <f t="shared" si="28"/>
        <v>0.97843639760841139</v>
      </c>
      <c r="S125" s="839">
        <f t="shared" si="29"/>
        <v>-3</v>
      </c>
      <c r="T125" s="178">
        <f t="shared" si="30"/>
        <v>3</v>
      </c>
      <c r="U125" s="253">
        <f t="shared" si="31"/>
        <v>-2.0215636023915886</v>
      </c>
      <c r="V125" s="385">
        <f t="shared" si="32"/>
        <v>55.202280514738909</v>
      </c>
      <c r="W125" s="58"/>
      <c r="X125" s="157">
        <f t="shared" si="33"/>
        <v>43576</v>
      </c>
      <c r="Y125" s="387">
        <f t="shared" si="34"/>
        <v>19.373000000000001</v>
      </c>
      <c r="Z125" s="387">
        <f t="shared" si="35"/>
        <v>19.491935375515233</v>
      </c>
      <c r="AA125" s="388">
        <f t="shared" si="36"/>
        <v>20.585025020502748</v>
      </c>
      <c r="AB125" s="199">
        <f t="shared" si="37"/>
        <v>43576</v>
      </c>
      <c r="AC125" s="428">
        <f>IF(OR(t&lt;Tnet,NoTnet),'2018'!Resal_s+('2018'!Salim-'2018'!Resal_s)*(1-EXP(('2018'!Tnet_s-t)/'2018'!Tau_j)),Resal_s+(Salim-Resal_s)*(1-EXP((Tnet_s-t)/Tau_j)))*Salcycl</f>
        <v>5.3101205555922112E-2</v>
      </c>
      <c r="AD125" s="233">
        <f>(INDEX(Models!$BJ125:$BT125,,AH125)*(1-AF125)+INDEX(Models!$BJ125:$BT125,,AH125+1)*AF125-ERP_i)*AE125*Ramure*Pc/MaxiM</f>
        <v>6.5504302436166189E-4</v>
      </c>
      <c r="AE125" s="307">
        <f t="shared" si="38"/>
        <v>0.9</v>
      </c>
      <c r="AF125" s="179">
        <f t="shared" si="39"/>
        <v>0.97843639760841139</v>
      </c>
      <c r="AG125" s="178">
        <f t="shared" si="40"/>
        <v>-3</v>
      </c>
      <c r="AH125" s="178">
        <f t="shared" si="41"/>
        <v>3</v>
      </c>
      <c r="AI125" s="227">
        <f t="shared" si="42"/>
        <v>-2.0215636023915886</v>
      </c>
      <c r="AJ125" s="267" t="b">
        <f t="shared" si="43"/>
        <v>0</v>
      </c>
      <c r="AK125" s="267" t="b">
        <f t="shared" si="44"/>
        <v>0</v>
      </c>
      <c r="AL125" s="267"/>
      <c r="AM125" s="267"/>
      <c r="AN125" s="75"/>
    </row>
    <row r="126" spans="1:40" s="6" customFormat="1" ht="11.25" customHeight="1" x14ac:dyDescent="0.2">
      <c r="A126" s="56">
        <f t="shared" si="45"/>
        <v>43577</v>
      </c>
      <c r="B126" s="620">
        <v>32.776000000000003</v>
      </c>
      <c r="C126" s="392"/>
      <c r="D126" s="395">
        <f t="shared" si="24"/>
        <v>32.977986971453959</v>
      </c>
      <c r="E126" s="387">
        <f t="shared" si="46"/>
        <v>34.834834910432008</v>
      </c>
      <c r="F126" s="387">
        <f t="shared" si="25"/>
        <v>34.84388062532576</v>
      </c>
      <c r="G126" s="110">
        <f t="shared" si="47"/>
        <v>0.59071459259267622</v>
      </c>
      <c r="H126" s="416" t="b">
        <f>Wh_hp&gt;='2018'!Maxi_hp</f>
        <v>1</v>
      </c>
      <c r="I126" s="392">
        <f>IF(H126,Wh_hp,'2018'!Maxi_hp)</f>
        <v>34.84388062532576</v>
      </c>
      <c r="J126" s="85">
        <f>IF(H126,An,'2018'!An_max)</f>
        <v>2019</v>
      </c>
      <c r="K126" s="199">
        <f t="shared" si="26"/>
        <v>43577</v>
      </c>
      <c r="L126" s="147">
        <f>IF(t&lt;Tvie,1-EXP((T0-t)*PertePVj)+'2018'!Pspv,1-EXP((T0-t)*PertePVj)+Pspv)</f>
        <v>6.1249030035944729E-3</v>
      </c>
      <c r="M126" s="872"/>
      <c r="N126" s="872"/>
      <c r="O126" s="48">
        <f>IF(t&lt;Tnet,'2018'!Resal+('2018'!Salim-'2018'!Resal)*(1-EXP(('2018'!Tnet-t)/('2018'!Tau_j))),Resal+(Salim-Resal)*(1-EXP((Tnet-t)/(Tau_j))))*Salcycl</f>
        <v>5.3304341580846119E-2</v>
      </c>
      <c r="P126" s="171">
        <f>(INDEX(Models!$BJ126:$BT126,,T126)*(1-R126)+INDEX(Models!$BJ126:$BT126,,T126+1)*R126-ERP_i)*Q126*Ramure*Pc/MaxiM</f>
        <v>6.2463365895800641E-4</v>
      </c>
      <c r="Q126" s="307">
        <f t="shared" si="27"/>
        <v>0.9</v>
      </c>
      <c r="R126" s="179">
        <f t="shared" si="28"/>
        <v>0.98138379457404668</v>
      </c>
      <c r="S126" s="839">
        <f t="shared" si="29"/>
        <v>-3</v>
      </c>
      <c r="T126" s="178">
        <f t="shared" si="30"/>
        <v>3</v>
      </c>
      <c r="U126" s="253">
        <f t="shared" si="31"/>
        <v>-2.0186162054259533</v>
      </c>
      <c r="V126" s="385">
        <f t="shared" si="32"/>
        <v>55.465081089753035</v>
      </c>
      <c r="W126" s="58"/>
      <c r="X126" s="157">
        <f t="shared" si="33"/>
        <v>43577</v>
      </c>
      <c r="Y126" s="387">
        <f t="shared" si="34"/>
        <v>32.776000000000003</v>
      </c>
      <c r="Z126" s="387">
        <f t="shared" si="35"/>
        <v>32.977986971453959</v>
      </c>
      <c r="AA126" s="388">
        <f t="shared" si="36"/>
        <v>34.834834910432008</v>
      </c>
      <c r="AB126" s="199">
        <f t="shared" si="37"/>
        <v>43577</v>
      </c>
      <c r="AC126" s="428">
        <f>IF(OR(t&lt;Tnet,NoTnet),'2018'!Resal_s+('2018'!Salim-'2018'!Resal_s)*(1-EXP(('2018'!Tnet_s-t)/'2018'!Tau_j)),Resal_s+(Salim-Resal_s)*(1-EXP((Tnet_s-t)/Tau_j)))*Salcycl</f>
        <v>5.3304341580846119E-2</v>
      </c>
      <c r="AD126" s="233">
        <f>(INDEX(Models!$BJ126:$BT126,,AH126)*(1-AF126)+INDEX(Models!$BJ126:$BT126,,AH126+1)*AF126-ERP_i)*AE126*Ramure*Pc/MaxiM</f>
        <v>6.2463365895800641E-4</v>
      </c>
      <c r="AE126" s="307">
        <f t="shared" si="38"/>
        <v>0.9</v>
      </c>
      <c r="AF126" s="179">
        <f t="shared" si="39"/>
        <v>0.98138379457404668</v>
      </c>
      <c r="AG126" s="178">
        <f t="shared" si="40"/>
        <v>-3</v>
      </c>
      <c r="AH126" s="178">
        <f t="shared" si="41"/>
        <v>3</v>
      </c>
      <c r="AI126" s="227">
        <f t="shared" si="42"/>
        <v>-2.0186162054259533</v>
      </c>
      <c r="AJ126" s="267" t="b">
        <f t="shared" si="43"/>
        <v>0</v>
      </c>
      <c r="AK126" s="267" t="b">
        <f t="shared" si="44"/>
        <v>0</v>
      </c>
      <c r="AL126" s="267"/>
      <c r="AM126" s="267"/>
      <c r="AN126" s="75"/>
    </row>
    <row r="127" spans="1:40" s="6" customFormat="1" ht="11.25" customHeight="1" x14ac:dyDescent="0.2">
      <c r="A127" s="56">
        <f t="shared" si="45"/>
        <v>43578</v>
      </c>
      <c r="B127" s="620">
        <v>36.167999999999999</v>
      </c>
      <c r="C127" s="392"/>
      <c r="D127" s="395">
        <f t="shared" si="24"/>
        <v>36.391737564500509</v>
      </c>
      <c r="E127" s="387">
        <f t="shared" si="46"/>
        <v>38.449091789931899</v>
      </c>
      <c r="F127" s="387">
        <f t="shared" si="25"/>
        <v>38.460490699817321</v>
      </c>
      <c r="G127" s="110">
        <f t="shared" si="47"/>
        <v>0.64889878759560571</v>
      </c>
      <c r="H127" s="416" t="b">
        <f>Wh_hp&gt;='2018'!Maxi_hp</f>
        <v>1</v>
      </c>
      <c r="I127" s="392">
        <f>IF(H127,Wh_hp,'2018'!Maxi_hp)</f>
        <v>38.460490699817321</v>
      </c>
      <c r="J127" s="85">
        <f>IF(H127,An,'2018'!An_max)</f>
        <v>2019</v>
      </c>
      <c r="K127" s="199">
        <f t="shared" si="26"/>
        <v>43578</v>
      </c>
      <c r="L127" s="147">
        <f>IF(t&lt;Tvie,1-EXP((T0-t)*PertePVj)+'2018'!Pspv,1-EXP((T0-t)*PertePVj)+Pspv)</f>
        <v>6.1480319290596608E-3</v>
      </c>
      <c r="M127" s="872"/>
      <c r="N127" s="872"/>
      <c r="O127" s="48">
        <f>IF(t&lt;Tnet,'2018'!Resal+('2018'!Salim-'2018'!Resal)*(1-EXP(('2018'!Tnet-t)/('2018'!Tau_j))),Resal+(Salim-Resal)*(1-EXP((Tnet-t)/(Tau_j))))*Salcycl</f>
        <v>5.3508525940529926E-2</v>
      </c>
      <c r="P127" s="171">
        <f>(INDEX(Models!$BJ127:$BT127,,T127)*(1-R127)+INDEX(Models!$BJ127:$BT127,,T127+1)*R127-ERP_i)*Q127*Ramure*Pc/MaxiM</f>
        <v>5.9430086910601608E-4</v>
      </c>
      <c r="Q127" s="307">
        <f t="shared" si="27"/>
        <v>0.9</v>
      </c>
      <c r="R127" s="179">
        <f t="shared" si="28"/>
        <v>0.98442525117969337</v>
      </c>
      <c r="S127" s="839">
        <f t="shared" si="29"/>
        <v>-3</v>
      </c>
      <c r="T127" s="178">
        <f t="shared" si="30"/>
        <v>3</v>
      </c>
      <c r="U127" s="253">
        <f t="shared" si="31"/>
        <v>-2.0155747488203066</v>
      </c>
      <c r="V127" s="385">
        <f t="shared" si="32"/>
        <v>55.720895592591056</v>
      </c>
      <c r="W127" s="58"/>
      <c r="X127" s="157">
        <f t="shared" si="33"/>
        <v>43578</v>
      </c>
      <c r="Y127" s="387">
        <f t="shared" si="34"/>
        <v>36.167999999999999</v>
      </c>
      <c r="Z127" s="387">
        <f t="shared" si="35"/>
        <v>36.391737564500509</v>
      </c>
      <c r="AA127" s="388">
        <f t="shared" si="36"/>
        <v>38.449091789931899</v>
      </c>
      <c r="AB127" s="199">
        <f t="shared" si="37"/>
        <v>43578</v>
      </c>
      <c r="AC127" s="428">
        <f>IF(OR(t&lt;Tnet,NoTnet),'2018'!Resal_s+('2018'!Salim-'2018'!Resal_s)*(1-EXP(('2018'!Tnet_s-t)/'2018'!Tau_j)),Resal_s+(Salim-Resal_s)*(1-EXP((Tnet_s-t)/Tau_j)))*Salcycl</f>
        <v>5.3508525940529926E-2</v>
      </c>
      <c r="AD127" s="233">
        <f>(INDEX(Models!$BJ127:$BT127,,AH127)*(1-AF127)+INDEX(Models!$BJ127:$BT127,,AH127+1)*AF127-ERP_i)*AE127*Ramure*Pc/MaxiM</f>
        <v>5.9430086910601608E-4</v>
      </c>
      <c r="AE127" s="307">
        <f t="shared" si="38"/>
        <v>0.9</v>
      </c>
      <c r="AF127" s="179">
        <f t="shared" si="39"/>
        <v>0.98442525117969337</v>
      </c>
      <c r="AG127" s="178">
        <f t="shared" si="40"/>
        <v>-3</v>
      </c>
      <c r="AH127" s="178">
        <f t="shared" si="41"/>
        <v>3</v>
      </c>
      <c r="AI127" s="227">
        <f t="shared" si="42"/>
        <v>-2.0155747488203066</v>
      </c>
      <c r="AJ127" s="267" t="b">
        <f t="shared" si="43"/>
        <v>0</v>
      </c>
      <c r="AK127" s="267" t="b">
        <f t="shared" si="44"/>
        <v>0</v>
      </c>
      <c r="AL127" s="267"/>
      <c r="AM127" s="267"/>
      <c r="AN127" s="75"/>
    </row>
    <row r="128" spans="1:40" s="6" customFormat="1" ht="11.25" customHeight="1" x14ac:dyDescent="0.2">
      <c r="A128" s="56">
        <f t="shared" si="45"/>
        <v>43579</v>
      </c>
      <c r="B128" s="620">
        <v>50.5</v>
      </c>
      <c r="C128" s="392"/>
      <c r="D128" s="395">
        <f t="shared" si="24"/>
        <v>50.813578740652531</v>
      </c>
      <c r="E128" s="387">
        <f t="shared" si="46"/>
        <v>53.697895173749906</v>
      </c>
      <c r="F128" s="387">
        <f t="shared" si="25"/>
        <v>53.723984951605644</v>
      </c>
      <c r="G128" s="110">
        <f t="shared" si="47"/>
        <v>0.90220777929355511</v>
      </c>
      <c r="H128" s="416" t="b">
        <f>Wh_hp&gt;='2018'!Maxi_hp</f>
        <v>1</v>
      </c>
      <c r="I128" s="392">
        <f>IF(H128,Wh_hp,'2018'!Maxi_hp)</f>
        <v>53.723984951605644</v>
      </c>
      <c r="J128" s="85">
        <f>IF(H128,An,'2018'!An_max)</f>
        <v>2019</v>
      </c>
      <c r="K128" s="199">
        <f t="shared" si="26"/>
        <v>43579</v>
      </c>
      <c r="L128" s="147">
        <f>IF(t&lt;Tvie,1-EXP((T0-t)*PertePVj)+'2018'!Pspv,1-EXP((T0-t)*PertePVj)+Pspv)</f>
        <v>6.1711603162809547E-3</v>
      </c>
      <c r="M128" s="872"/>
      <c r="N128" s="872"/>
      <c r="O128" s="48">
        <f>IF(t&lt;Tnet,'2018'!Resal+('2018'!Salim-'2018'!Resal)*(1-EXP(('2018'!Tnet-t)/('2018'!Tau_j))),Resal+(Salim-Resal)*(1-EXP((Tnet-t)/(Tau_j))))*Salcycl</f>
        <v>5.3713770786817772E-2</v>
      </c>
      <c r="P128" s="171">
        <f>(INDEX(Models!$BJ128:$BT128,,T128)*(1-R128)+INDEX(Models!$BJ128:$BT128,,T128+1)*R128-ERP_i)*Q128*Ramure*Pc/MaxiM</f>
        <v>5.6442019991465226E-4</v>
      </c>
      <c r="Q128" s="307">
        <f t="shared" si="27"/>
        <v>0.9</v>
      </c>
      <c r="R128" s="179">
        <f t="shared" si="28"/>
        <v>0.9875626503209074</v>
      </c>
      <c r="S128" s="839">
        <f t="shared" si="29"/>
        <v>-3</v>
      </c>
      <c r="T128" s="178">
        <f t="shared" si="30"/>
        <v>3</v>
      </c>
      <c r="U128" s="253">
        <f t="shared" si="31"/>
        <v>-2.0124373496790926</v>
      </c>
      <c r="V128" s="385">
        <f t="shared" si="32"/>
        <v>55.969389902906087</v>
      </c>
      <c r="W128" s="58"/>
      <c r="X128" s="157">
        <f t="shared" si="33"/>
        <v>43579</v>
      </c>
      <c r="Y128" s="387">
        <f t="shared" si="34"/>
        <v>50.5</v>
      </c>
      <c r="Z128" s="387">
        <f t="shared" si="35"/>
        <v>50.813578740652531</v>
      </c>
      <c r="AA128" s="388">
        <f t="shared" si="36"/>
        <v>53.697895173749906</v>
      </c>
      <c r="AB128" s="199">
        <f t="shared" si="37"/>
        <v>43579</v>
      </c>
      <c r="AC128" s="428">
        <f>IF(OR(t&lt;Tnet,NoTnet),'2018'!Resal_s+('2018'!Salim-'2018'!Resal_s)*(1-EXP(('2018'!Tnet_s-t)/'2018'!Tau_j)),Resal_s+(Salim-Resal_s)*(1-EXP((Tnet_s-t)/Tau_j)))*Salcycl</f>
        <v>5.3713770786817772E-2</v>
      </c>
      <c r="AD128" s="233">
        <f>(INDEX(Models!$BJ128:$BT128,,AH128)*(1-AF128)+INDEX(Models!$BJ128:$BT128,,AH128+1)*AF128-ERP_i)*AE128*Ramure*Pc/MaxiM</f>
        <v>5.6442019991465226E-4</v>
      </c>
      <c r="AE128" s="307">
        <f t="shared" si="38"/>
        <v>0.9</v>
      </c>
      <c r="AF128" s="179">
        <f t="shared" si="39"/>
        <v>0.9875626503209074</v>
      </c>
      <c r="AG128" s="178">
        <f t="shared" si="40"/>
        <v>-3</v>
      </c>
      <c r="AH128" s="178">
        <f t="shared" si="41"/>
        <v>3</v>
      </c>
      <c r="AI128" s="227">
        <f t="shared" si="42"/>
        <v>-2.0124373496790926</v>
      </c>
      <c r="AJ128" s="267" t="b">
        <f t="shared" si="43"/>
        <v>0</v>
      </c>
      <c r="AK128" s="267" t="b">
        <f t="shared" si="44"/>
        <v>0</v>
      </c>
      <c r="AL128" s="267"/>
      <c r="AM128" s="267"/>
      <c r="AN128" s="75"/>
    </row>
    <row r="129" spans="1:40" s="6" customFormat="1" ht="11.25" customHeight="1" x14ac:dyDescent="0.2">
      <c r="A129" s="56">
        <f t="shared" si="45"/>
        <v>43580</v>
      </c>
      <c r="B129" s="620">
        <v>34.786999999999999</v>
      </c>
      <c r="C129" s="392"/>
      <c r="D129" s="395">
        <f t="shared" si="24"/>
        <v>35.003823771325955</v>
      </c>
      <c r="E129" s="387">
        <f t="shared" si="46"/>
        <v>36.998802397987284</v>
      </c>
      <c r="F129" s="387">
        <f t="shared" si="25"/>
        <v>37.007820759348157</v>
      </c>
      <c r="G129" s="110">
        <f t="shared" si="47"/>
        <v>0.61869255676814927</v>
      </c>
      <c r="H129" s="416" t="b">
        <f>Wh_hp&gt;='2018'!Maxi_hp</f>
        <v>1</v>
      </c>
      <c r="I129" s="392">
        <f>IF(H129,Wh_hp,'2018'!Maxi_hp)</f>
        <v>37.007820759348157</v>
      </c>
      <c r="J129" s="85">
        <f>IF(H129,An,'2018'!An_max)</f>
        <v>2019</v>
      </c>
      <c r="K129" s="199">
        <f t="shared" si="26"/>
        <v>43580</v>
      </c>
      <c r="L129" s="147">
        <f>IF(t&lt;Tvie,1-EXP((T0-t)*PertePVj)+'2018'!Pspv,1-EXP((T0-t)*PertePVj)+Pspv)</f>
        <v>6.1942881652709003E-3</v>
      </c>
      <c r="M129" s="872"/>
      <c r="N129" s="872"/>
      <c r="O129" s="48">
        <f>IF(t&lt;Tnet,'2018'!Resal+('2018'!Salim-'2018'!Resal)*(1-EXP(('2018'!Tnet-t)/('2018'!Tau_j))),Resal+(Salim-Resal)*(1-EXP((Tnet-t)/(Tau_j))))*Salcycl</f>
        <v>5.3920086526093876E-2</v>
      </c>
      <c r="P129" s="171">
        <f>(INDEX(Models!$BJ129:$BT129,,T129)*(1-R129)+INDEX(Models!$BJ129:$BT129,,T129+1)*R129-ERP_i)*Q129*Ramure*Pc/MaxiM</f>
        <v>5.3495174656576308E-4</v>
      </c>
      <c r="Q129" s="307">
        <f t="shared" si="27"/>
        <v>0.9</v>
      </c>
      <c r="R129" s="179">
        <f t="shared" si="28"/>
        <v>0.99079782842785979</v>
      </c>
      <c r="S129" s="839">
        <f t="shared" si="29"/>
        <v>-3</v>
      </c>
      <c r="T129" s="178">
        <f t="shared" si="30"/>
        <v>3</v>
      </c>
      <c r="U129" s="253">
        <f t="shared" si="31"/>
        <v>-2.0092021715721402</v>
      </c>
      <c r="V129" s="385">
        <f t="shared" si="32"/>
        <v>56.210253311563179</v>
      </c>
      <c r="W129" s="58"/>
      <c r="X129" s="157">
        <f t="shared" si="33"/>
        <v>43580</v>
      </c>
      <c r="Y129" s="387">
        <f t="shared" si="34"/>
        <v>34.786999999999999</v>
      </c>
      <c r="Z129" s="387">
        <f t="shared" si="35"/>
        <v>35.003823771325955</v>
      </c>
      <c r="AA129" s="388">
        <f t="shared" si="36"/>
        <v>36.998802397987284</v>
      </c>
      <c r="AB129" s="199">
        <f t="shared" si="37"/>
        <v>43580</v>
      </c>
      <c r="AC129" s="428">
        <f>IF(OR(t&lt;Tnet,NoTnet),'2018'!Resal_s+('2018'!Salim-'2018'!Resal_s)*(1-EXP(('2018'!Tnet_s-t)/'2018'!Tau_j)),Resal_s+(Salim-Resal_s)*(1-EXP((Tnet_s-t)/Tau_j)))*Salcycl</f>
        <v>5.3920086526093876E-2</v>
      </c>
      <c r="AD129" s="233">
        <f>(INDEX(Models!$BJ129:$BT129,,AH129)*(1-AF129)+INDEX(Models!$BJ129:$BT129,,AH129+1)*AF129-ERP_i)*AE129*Ramure*Pc/MaxiM</f>
        <v>5.3495174656576308E-4</v>
      </c>
      <c r="AE129" s="307">
        <f t="shared" si="38"/>
        <v>0.9</v>
      </c>
      <c r="AF129" s="179">
        <f t="shared" si="39"/>
        <v>0.99079782842785979</v>
      </c>
      <c r="AG129" s="178">
        <f t="shared" si="40"/>
        <v>-3</v>
      </c>
      <c r="AH129" s="178">
        <f t="shared" si="41"/>
        <v>3</v>
      </c>
      <c r="AI129" s="227">
        <f t="shared" si="42"/>
        <v>-2.0092021715721402</v>
      </c>
      <c r="AJ129" s="267" t="b">
        <f t="shared" si="43"/>
        <v>0</v>
      </c>
      <c r="AK129" s="267" t="b">
        <f t="shared" si="44"/>
        <v>0</v>
      </c>
      <c r="AL129" s="267"/>
      <c r="AM129" s="267"/>
      <c r="AN129" s="75"/>
    </row>
    <row r="130" spans="1:40" s="6" customFormat="1" ht="11.25" customHeight="1" x14ac:dyDescent="0.2">
      <c r="A130" s="56">
        <f t="shared" si="45"/>
        <v>43581</v>
      </c>
      <c r="B130" s="620">
        <v>33.15</v>
      </c>
      <c r="C130" s="392"/>
      <c r="D130" s="395">
        <f t="shared" si="24"/>
        <v>33.357396795074166</v>
      </c>
      <c r="E130" s="387">
        <f t="shared" si="46"/>
        <v>35.266271247478784</v>
      </c>
      <c r="F130" s="387">
        <f t="shared" si="25"/>
        <v>35.27359535736673</v>
      </c>
      <c r="G130" s="110">
        <f t="shared" si="47"/>
        <v>0.58714116749371248</v>
      </c>
      <c r="H130" s="416" t="b">
        <f>Wh_hp&gt;='2018'!Maxi_hp</f>
        <v>1</v>
      </c>
      <c r="I130" s="392">
        <f>IF(H130,Wh_hp,'2018'!Maxi_hp)</f>
        <v>35.27359535736673</v>
      </c>
      <c r="J130" s="85">
        <f>IF(H130,An,'2018'!An_max)</f>
        <v>2019</v>
      </c>
      <c r="K130" s="199">
        <f t="shared" si="26"/>
        <v>43581</v>
      </c>
      <c r="L130" s="147">
        <f>IF(t&lt;Tvie,1-EXP((T0-t)*PertePVj)+'2018'!Pspv,1-EXP((T0-t)*PertePVj)+Pspv)</f>
        <v>6.217415476041932E-3</v>
      </c>
      <c r="M130" s="872"/>
      <c r="N130" s="872"/>
      <c r="O130" s="48">
        <f>IF(t&lt;Tnet,'2018'!Resal+('2018'!Salim-'2018'!Resal)*(1-EXP(('2018'!Tnet-t)/('2018'!Tau_j))),Resal+(Salim-Resal)*(1-EXP((Tnet-t)/(Tau_j))))*Salcycl</f>
        <v>5.4127481723520346E-2</v>
      </c>
      <c r="P130" s="171">
        <f>(INDEX(Models!$BJ130:$BT130,,T130)*(1-R130)+INDEX(Models!$BJ130:$BT130,,T130+1)*R130-ERP_i)*Q130*Ramure*Pc/MaxiM</f>
        <v>5.0587451614907293E-4</v>
      </c>
      <c r="Q130" s="307">
        <f t="shared" si="27"/>
        <v>0.9</v>
      </c>
      <c r="R130" s="179">
        <f t="shared" si="28"/>
        <v>0.99413256791686244</v>
      </c>
      <c r="S130" s="839">
        <f t="shared" si="29"/>
        <v>-3</v>
      </c>
      <c r="T130" s="178">
        <f t="shared" si="30"/>
        <v>3</v>
      </c>
      <c r="U130" s="253">
        <f t="shared" si="31"/>
        <v>-2.0058674320831376</v>
      </c>
      <c r="V130" s="385">
        <f t="shared" si="32"/>
        <v>56.443174510386363</v>
      </c>
      <c r="W130" s="58"/>
      <c r="X130" s="157">
        <f t="shared" si="33"/>
        <v>43581</v>
      </c>
      <c r="Y130" s="387">
        <f t="shared" si="34"/>
        <v>33.15</v>
      </c>
      <c r="Z130" s="387">
        <f t="shared" si="35"/>
        <v>33.357396795074166</v>
      </c>
      <c r="AA130" s="388">
        <f t="shared" si="36"/>
        <v>35.266271247478784</v>
      </c>
      <c r="AB130" s="199">
        <f t="shared" si="37"/>
        <v>43581</v>
      </c>
      <c r="AC130" s="428">
        <f>IF(OR(t&lt;Tnet,NoTnet),'2018'!Resal_s+('2018'!Salim-'2018'!Resal_s)*(1-EXP(('2018'!Tnet_s-t)/'2018'!Tau_j)),Resal_s+(Salim-Resal_s)*(1-EXP((Tnet_s-t)/Tau_j)))*Salcycl</f>
        <v>5.4127481723520346E-2</v>
      </c>
      <c r="AD130" s="233">
        <f>(INDEX(Models!$BJ130:$BT130,,AH130)*(1-AF130)+INDEX(Models!$BJ130:$BT130,,AH130+1)*AF130-ERP_i)*AE130*Ramure*Pc/MaxiM</f>
        <v>5.0587451614907293E-4</v>
      </c>
      <c r="AE130" s="307">
        <f t="shared" si="38"/>
        <v>0.9</v>
      </c>
      <c r="AF130" s="179">
        <f t="shared" si="39"/>
        <v>0.99413256791686244</v>
      </c>
      <c r="AG130" s="178">
        <f t="shared" si="40"/>
        <v>-3</v>
      </c>
      <c r="AH130" s="178">
        <f t="shared" si="41"/>
        <v>3</v>
      </c>
      <c r="AI130" s="227">
        <f t="shared" si="42"/>
        <v>-2.0058674320831376</v>
      </c>
      <c r="AJ130" s="267" t="b">
        <f t="shared" si="43"/>
        <v>0</v>
      </c>
      <c r="AK130" s="267" t="b">
        <f t="shared" si="44"/>
        <v>0</v>
      </c>
      <c r="AL130" s="267"/>
      <c r="AM130" s="267"/>
      <c r="AN130" s="75"/>
    </row>
    <row r="131" spans="1:40" s="6" customFormat="1" ht="11.25" customHeight="1" x14ac:dyDescent="0.2">
      <c r="A131" s="56">
        <f t="shared" si="45"/>
        <v>43582</v>
      </c>
      <c r="B131" s="620">
        <v>31.824999999999999</v>
      </c>
      <c r="C131" s="392"/>
      <c r="D131" s="395">
        <f t="shared" si="24"/>
        <v>32.024852444686459</v>
      </c>
      <c r="E131" s="387">
        <f t="shared" si="46"/>
        <v>33.864936374730668</v>
      </c>
      <c r="F131" s="387">
        <f t="shared" si="25"/>
        <v>33.87097653103303</v>
      </c>
      <c r="G131" s="110">
        <f t="shared" si="47"/>
        <v>0.56143813231039674</v>
      </c>
      <c r="H131" s="416" t="b">
        <f>Wh_hp&gt;='2018'!Maxi_hp</f>
        <v>1</v>
      </c>
      <c r="I131" s="392">
        <f>IF(H131,Wh_hp,'2018'!Maxi_hp)</f>
        <v>33.87097653103303</v>
      </c>
      <c r="J131" s="85">
        <f>IF(H131,An,'2018'!An_max)</f>
        <v>2019</v>
      </c>
      <c r="K131" s="199">
        <f t="shared" si="26"/>
        <v>43582</v>
      </c>
      <c r="L131" s="147">
        <f>IF(t&lt;Tvie,1-EXP((T0-t)*PertePVj)+'2018'!Pspv,1-EXP((T0-t)*PertePVj)+Pspv)</f>
        <v>6.2405422486067064E-3</v>
      </c>
      <c r="M131" s="872"/>
      <c r="N131" s="872"/>
      <c r="O131" s="48">
        <f>IF(t&lt;Tnet,'2018'!Resal+('2018'!Salim-'2018'!Resal)*(1-EXP(('2018'!Tnet-t)/('2018'!Tau_j))),Resal+(Salim-Resal)*(1-EXP((Tnet-t)/(Tau_j))))*Salcycl</f>
        <v>5.4335963005595539E-2</v>
      </c>
      <c r="P131" s="171">
        <f>(INDEX(Models!$BJ131:$BT131,,T131)*(1-R131)+INDEX(Models!$BJ131:$BT131,,T131+1)*R131-ERP_i)*Q131*Ramure*Pc/MaxiM</f>
        <v>4.7716745148355504E-4</v>
      </c>
      <c r="Q131" s="307">
        <f t="shared" si="27"/>
        <v>0.9</v>
      </c>
      <c r="R131" s="179">
        <f t="shared" si="28"/>
        <v>0.99756858929885128</v>
      </c>
      <c r="S131" s="839">
        <f t="shared" si="29"/>
        <v>-3</v>
      </c>
      <c r="T131" s="178">
        <f t="shared" si="30"/>
        <v>3</v>
      </c>
      <c r="U131" s="253">
        <f t="shared" si="31"/>
        <v>-2.0024314107011487</v>
      </c>
      <c r="V131" s="385">
        <f t="shared" si="32"/>
        <v>56.667842669064235</v>
      </c>
      <c r="W131" s="58"/>
      <c r="X131" s="157">
        <f t="shared" si="33"/>
        <v>43582</v>
      </c>
      <c r="Y131" s="387">
        <f t="shared" si="34"/>
        <v>31.824999999999999</v>
      </c>
      <c r="Z131" s="387">
        <f t="shared" si="35"/>
        <v>32.024852444686459</v>
      </c>
      <c r="AA131" s="388">
        <f t="shared" si="36"/>
        <v>33.864936374730668</v>
      </c>
      <c r="AB131" s="199">
        <f t="shared" si="37"/>
        <v>43582</v>
      </c>
      <c r="AC131" s="428">
        <f>IF(OR(t&lt;Tnet,NoTnet),'2018'!Resal_s+('2018'!Salim-'2018'!Resal_s)*(1-EXP(('2018'!Tnet_s-t)/'2018'!Tau_j)),Resal_s+(Salim-Resal_s)*(1-EXP((Tnet_s-t)/Tau_j)))*Salcycl</f>
        <v>5.4335963005595539E-2</v>
      </c>
      <c r="AD131" s="233">
        <f>(INDEX(Models!$BJ131:$BT131,,AH131)*(1-AF131)+INDEX(Models!$BJ131:$BT131,,AH131+1)*AF131-ERP_i)*AE131*Ramure*Pc/MaxiM</f>
        <v>4.7716745148355504E-4</v>
      </c>
      <c r="AE131" s="307">
        <f t="shared" si="38"/>
        <v>0.9</v>
      </c>
      <c r="AF131" s="179">
        <f t="shared" si="39"/>
        <v>0.99756858929885128</v>
      </c>
      <c r="AG131" s="178">
        <f t="shared" si="40"/>
        <v>-3</v>
      </c>
      <c r="AH131" s="178">
        <f t="shared" si="41"/>
        <v>3</v>
      </c>
      <c r="AI131" s="227">
        <f t="shared" si="42"/>
        <v>-2.0024314107011487</v>
      </c>
      <c r="AJ131" s="267" t="b">
        <f t="shared" si="43"/>
        <v>0</v>
      </c>
      <c r="AK131" s="267" t="b">
        <f t="shared" si="44"/>
        <v>0</v>
      </c>
      <c r="AL131" s="267"/>
      <c r="AM131" s="267"/>
      <c r="AN131" s="75"/>
    </row>
    <row r="132" spans="1:40" s="6" customFormat="1" ht="11.25" customHeight="1" x14ac:dyDescent="0.2">
      <c r="A132" s="56">
        <f t="shared" si="45"/>
        <v>43583</v>
      </c>
      <c r="B132" s="620">
        <v>45.134</v>
      </c>
      <c r="C132" s="392"/>
      <c r="D132" s="395">
        <f t="shared" si="24"/>
        <v>45.418486341441444</v>
      </c>
      <c r="E132" s="387">
        <f t="shared" si="46"/>
        <v>48.03878771633368</v>
      </c>
      <c r="F132" s="387">
        <f t="shared" si="25"/>
        <v>48.054004151723234</v>
      </c>
      <c r="G132" s="110">
        <f t="shared" si="47"/>
        <v>0.7933351215175114</v>
      </c>
      <c r="H132" s="416" t="b">
        <f>Wh_hp&gt;='2018'!Maxi_hp</f>
        <v>1</v>
      </c>
      <c r="I132" s="392">
        <f>IF(H132,Wh_hp,'2018'!Maxi_hp)</f>
        <v>48.054004151723234</v>
      </c>
      <c r="J132" s="85">
        <f>IF(H132,An,'2018'!An_max)</f>
        <v>2019</v>
      </c>
      <c r="K132" s="199">
        <f t="shared" si="26"/>
        <v>43583</v>
      </c>
      <c r="L132" s="147">
        <f>IF(t&lt;Tvie,1-EXP((T0-t)*PertePVj)+'2018'!Pspv,1-EXP((T0-t)*PertePVj)+Pspv)</f>
        <v>6.2636684829777689E-3</v>
      </c>
      <c r="M132" s="872"/>
      <c r="N132" s="872"/>
      <c r="O132" s="48">
        <f>IF(t&lt;Tnet,'2018'!Resal+('2018'!Salim-'2018'!Resal)*(1-EXP(('2018'!Tnet-t)/('2018'!Tau_j))),Resal+(Salim-Resal)*(1-EXP((Tnet-t)/(Tau_j))))*Salcycl</f>
        <v>5.4545534961560033E-2</v>
      </c>
      <c r="P132" s="171">
        <f>(INDEX(Models!$BJ132:$BT132,,T132)*(1-R132)+INDEX(Models!$BJ132:$BT132,,T132+1)*R132-ERP_i)*Q132*Ramure*Pc/MaxiM</f>
        <v>4.4920723582552612E-4</v>
      </c>
      <c r="Q132" s="307">
        <f t="shared" si="27"/>
        <v>0.9</v>
      </c>
      <c r="R132" s="179">
        <f t="shared" si="28"/>
        <v>1.1075429588793817E-3</v>
      </c>
      <c r="S132" s="839">
        <f t="shared" si="29"/>
        <v>-2</v>
      </c>
      <c r="T132" s="178">
        <f t="shared" si="30"/>
        <v>4</v>
      </c>
      <c r="U132" s="253">
        <f t="shared" si="31"/>
        <v>-1.9988924570411206</v>
      </c>
      <c r="V132" s="385">
        <f t="shared" si="32"/>
        <v>56.883924799808334</v>
      </c>
      <c r="W132" s="58"/>
      <c r="X132" s="157">
        <f t="shared" si="33"/>
        <v>43583</v>
      </c>
      <c r="Y132" s="387">
        <f t="shared" si="34"/>
        <v>45.134</v>
      </c>
      <c r="Z132" s="387">
        <f t="shared" si="35"/>
        <v>45.418486341441444</v>
      </c>
      <c r="AA132" s="388">
        <f t="shared" si="36"/>
        <v>48.03878771633368</v>
      </c>
      <c r="AB132" s="199">
        <f t="shared" si="37"/>
        <v>43583</v>
      </c>
      <c r="AC132" s="428">
        <f>IF(OR(t&lt;Tnet,NoTnet),'2018'!Resal_s+('2018'!Salim-'2018'!Resal_s)*(1-EXP(('2018'!Tnet_s-t)/'2018'!Tau_j)),Resal_s+(Salim-Resal_s)*(1-EXP((Tnet_s-t)/Tau_j)))*Salcycl</f>
        <v>5.4545534961560033E-2</v>
      </c>
      <c r="AD132" s="233">
        <f>(INDEX(Models!$BJ132:$BT132,,AH132)*(1-AF132)+INDEX(Models!$BJ132:$BT132,,AH132+1)*AF132-ERP_i)*AE132*Ramure*Pc/MaxiM</f>
        <v>4.4920723582552612E-4</v>
      </c>
      <c r="AE132" s="307">
        <f t="shared" si="38"/>
        <v>0.9</v>
      </c>
      <c r="AF132" s="179">
        <f t="shared" si="39"/>
        <v>1.1075429588793817E-3</v>
      </c>
      <c r="AG132" s="178">
        <f t="shared" si="40"/>
        <v>-2</v>
      </c>
      <c r="AH132" s="178">
        <f t="shared" si="41"/>
        <v>4</v>
      </c>
      <c r="AI132" s="227">
        <f t="shared" si="42"/>
        <v>-1.9988924570411206</v>
      </c>
      <c r="AJ132" s="267" t="b">
        <f t="shared" si="43"/>
        <v>0</v>
      </c>
      <c r="AK132" s="267" t="b">
        <f t="shared" si="44"/>
        <v>0</v>
      </c>
      <c r="AL132" s="267"/>
      <c r="AM132" s="267"/>
      <c r="AN132" s="75"/>
    </row>
    <row r="133" spans="1:40" s="6" customFormat="1" ht="11.25" customHeight="1" x14ac:dyDescent="0.2">
      <c r="A133" s="56">
        <f t="shared" si="45"/>
        <v>43584</v>
      </c>
      <c r="B133" s="620">
        <v>51.438000000000002</v>
      </c>
      <c r="C133" s="392"/>
      <c r="D133" s="395">
        <f t="shared" si="24"/>
        <v>51.763426005303913</v>
      </c>
      <c r="E133" s="387">
        <f t="shared" si="46"/>
        <v>54.761984165066778</v>
      </c>
      <c r="F133" s="387">
        <f t="shared" si="25"/>
        <v>54.78185076677125</v>
      </c>
      <c r="G133" s="110">
        <f t="shared" si="47"/>
        <v>0.90092742460876041</v>
      </c>
      <c r="H133" s="416" t="b">
        <f>Wh_hp&gt;='2018'!Maxi_hp</f>
        <v>1</v>
      </c>
      <c r="I133" s="392">
        <f>IF(H133,Wh_hp,'2018'!Maxi_hp)</f>
        <v>54.78185076677125</v>
      </c>
      <c r="J133" s="85">
        <f>IF(H133,An,'2018'!An_max)</f>
        <v>2019</v>
      </c>
      <c r="K133" s="199">
        <f t="shared" si="26"/>
        <v>43584</v>
      </c>
      <c r="L133" s="147">
        <f>IF(t&lt;Tvie,1-EXP((T0-t)*PertePVj)+'2018'!Pspv,1-EXP((T0-t)*PertePVj)+Pspv)</f>
        <v>6.2867941791674431E-3</v>
      </c>
      <c r="M133" s="872"/>
      <c r="N133" s="872"/>
      <c r="O133" s="48">
        <f>IF(t&lt;Tnet,'2018'!Resal+('2018'!Salim-'2018'!Resal)*(1-EXP(('2018'!Tnet-t)/('2018'!Tau_j))),Resal+(Salim-Resal)*(1-EXP((Tnet-t)/(Tau_j))))*Salcycl</f>
        <v>5.4756200044257596E-2</v>
      </c>
      <c r="P133" s="171">
        <f>(INDEX(Models!$BJ133:$BT133,,T133)*(1-R133)+INDEX(Models!$BJ133:$BT133,,T133+1)*R133-ERP_i)*Q133*Ramure*Pc/MaxiM</f>
        <v>4.224000697191923E-4</v>
      </c>
      <c r="Q133" s="307">
        <f t="shared" si="27"/>
        <v>0.9</v>
      </c>
      <c r="R133" s="179">
        <f t="shared" si="28"/>
        <v>4.7510006244642078E-3</v>
      </c>
      <c r="S133" s="839">
        <f t="shared" si="29"/>
        <v>-2</v>
      </c>
      <c r="T133" s="178">
        <f t="shared" si="30"/>
        <v>4</v>
      </c>
      <c r="U133" s="253">
        <f t="shared" si="31"/>
        <v>-1.9952489993755358</v>
      </c>
      <c r="V133" s="385">
        <f t="shared" si="32"/>
        <v>57.091086386906795</v>
      </c>
      <c r="W133" s="58"/>
      <c r="X133" s="157">
        <f t="shared" si="33"/>
        <v>43584</v>
      </c>
      <c r="Y133" s="387">
        <f t="shared" si="34"/>
        <v>51.438000000000002</v>
      </c>
      <c r="Z133" s="387">
        <f t="shared" si="35"/>
        <v>51.763426005303913</v>
      </c>
      <c r="AA133" s="388">
        <f t="shared" si="36"/>
        <v>54.761984165066778</v>
      </c>
      <c r="AB133" s="199">
        <f t="shared" si="37"/>
        <v>43584</v>
      </c>
      <c r="AC133" s="428">
        <f>IF(OR(t&lt;Tnet,NoTnet),'2018'!Resal_s+('2018'!Salim-'2018'!Resal_s)*(1-EXP(('2018'!Tnet_s-t)/'2018'!Tau_j)),Resal_s+(Salim-Resal_s)*(1-EXP((Tnet_s-t)/Tau_j)))*Salcycl</f>
        <v>5.4756200044257596E-2</v>
      </c>
      <c r="AD133" s="233">
        <f>(INDEX(Models!$BJ133:$BT133,,AH133)*(1-AF133)+INDEX(Models!$BJ133:$BT133,,AH133+1)*AF133-ERP_i)*AE133*Ramure*Pc/MaxiM</f>
        <v>4.224000697191923E-4</v>
      </c>
      <c r="AE133" s="307">
        <f t="shared" si="38"/>
        <v>0.9</v>
      </c>
      <c r="AF133" s="179">
        <f t="shared" si="39"/>
        <v>4.7510006244642078E-3</v>
      </c>
      <c r="AG133" s="178">
        <f t="shared" si="40"/>
        <v>-2</v>
      </c>
      <c r="AH133" s="178">
        <f t="shared" si="41"/>
        <v>4</v>
      </c>
      <c r="AI133" s="227">
        <f t="shared" si="42"/>
        <v>-1.9952489993755358</v>
      </c>
      <c r="AJ133" s="267" t="b">
        <f t="shared" si="43"/>
        <v>0</v>
      </c>
      <c r="AK133" s="267" t="b">
        <f t="shared" si="44"/>
        <v>0</v>
      </c>
      <c r="AL133" s="267"/>
      <c r="AM133" s="267"/>
      <c r="AN133" s="75"/>
    </row>
    <row r="134" spans="1:40" s="6" customFormat="1" ht="11.25" customHeight="1" x14ac:dyDescent="0.2">
      <c r="A134" s="56">
        <f t="shared" si="45"/>
        <v>43585</v>
      </c>
      <c r="B134" s="620">
        <v>57.116</v>
      </c>
      <c r="C134" s="392"/>
      <c r="D134" s="395">
        <f t="shared" si="24"/>
        <v>57.478685871456484</v>
      </c>
      <c r="E134" s="387">
        <f t="shared" si="46"/>
        <v>60.821943961252451</v>
      </c>
      <c r="F134" s="387">
        <f t="shared" si="25"/>
        <v>60.84592314154898</v>
      </c>
      <c r="G134" s="110">
        <f t="shared" si="47"/>
        <v>0.99697729561863502</v>
      </c>
      <c r="H134" s="416" t="b">
        <f>Wh_hp&gt;='2018'!Maxi_hp</f>
        <v>1</v>
      </c>
      <c r="I134" s="392">
        <f>IF(H134,Wh_hp,'2018'!Maxi_hp)</f>
        <v>60.84592314154898</v>
      </c>
      <c r="J134" s="85">
        <f>IF(H134,An,'2018'!An_max)</f>
        <v>2019</v>
      </c>
      <c r="K134" s="199">
        <f t="shared" si="26"/>
        <v>43585</v>
      </c>
      <c r="L134" s="147">
        <f>IF(t&lt;Tvie,1-EXP((T0-t)*PertePVj)+'2018'!Pspv,1-EXP((T0-t)*PertePVj)+Pspv)</f>
        <v>6.3099193371884965E-3</v>
      </c>
      <c r="M134" s="872"/>
      <c r="N134" s="872"/>
      <c r="O134" s="48">
        <f>IF(t&lt;Tnet,'2018'!Resal+('2018'!Salim-'2018'!Resal)*(1-EXP(('2018'!Tnet-t)/('2018'!Tau_j))),Resal+(Salim-Resal)*(1-EXP((Tnet-t)/(Tau_j))))*Salcycl</f>
        <v>5.4967958471137363E-2</v>
      </c>
      <c r="P134" s="171">
        <f>(INDEX(Models!$BJ134:$BT134,,T134)*(1-R134)+INDEX(Models!$BJ134:$BT134,,T134+1)*R134-ERP_i)*Q134*Ramure*Pc/MaxiM</f>
        <v>3.9580492702363118E-4</v>
      </c>
      <c r="Q134" s="307">
        <f t="shared" si="27"/>
        <v>0.9</v>
      </c>
      <c r="R134" s="179">
        <f t="shared" si="28"/>
        <v>8.5004465446552047E-3</v>
      </c>
      <c r="S134" s="839">
        <f t="shared" si="29"/>
        <v>-2</v>
      </c>
      <c r="T134" s="178">
        <f t="shared" si="30"/>
        <v>4</v>
      </c>
      <c r="U134" s="253">
        <f t="shared" si="31"/>
        <v>-1.9914995534553448</v>
      </c>
      <c r="V134" s="385">
        <f t="shared" si="32"/>
        <v>57.289070320911357</v>
      </c>
      <c r="W134" s="58"/>
      <c r="X134" s="157">
        <f t="shared" si="33"/>
        <v>43585</v>
      </c>
      <c r="Y134" s="387">
        <f t="shared" si="34"/>
        <v>57.116</v>
      </c>
      <c r="Z134" s="387">
        <f t="shared" si="35"/>
        <v>57.478685871456484</v>
      </c>
      <c r="AA134" s="388">
        <f t="shared" si="36"/>
        <v>60.821943961252451</v>
      </c>
      <c r="AB134" s="199">
        <f t="shared" si="37"/>
        <v>43585</v>
      </c>
      <c r="AC134" s="428">
        <f>IF(OR(t&lt;Tnet,NoTnet),'2018'!Resal_s+('2018'!Salim-'2018'!Resal_s)*(1-EXP(('2018'!Tnet_s-t)/'2018'!Tau_j)),Resal_s+(Salim-Resal_s)*(1-EXP((Tnet_s-t)/Tau_j)))*Salcycl</f>
        <v>5.4967958471137363E-2</v>
      </c>
      <c r="AD134" s="233">
        <f>(INDEX(Models!$BJ134:$BT134,,AH134)*(1-AF134)+INDEX(Models!$BJ134:$BT134,,AH134+1)*AF134-ERP_i)*AE134*Ramure*Pc/MaxiM</f>
        <v>3.9580492702363118E-4</v>
      </c>
      <c r="AE134" s="307">
        <f t="shared" si="38"/>
        <v>0.9</v>
      </c>
      <c r="AF134" s="179">
        <f t="shared" si="39"/>
        <v>8.5004465446552047E-3</v>
      </c>
      <c r="AG134" s="178">
        <f t="shared" si="40"/>
        <v>-2</v>
      </c>
      <c r="AH134" s="178">
        <f t="shared" si="41"/>
        <v>4</v>
      </c>
      <c r="AI134" s="227">
        <f t="shared" si="42"/>
        <v>-1.9914995534553448</v>
      </c>
      <c r="AJ134" s="267" t="b">
        <f t="shared" si="43"/>
        <v>0</v>
      </c>
      <c r="AK134" s="267" t="b">
        <f t="shared" si="44"/>
        <v>0</v>
      </c>
      <c r="AL134" s="267"/>
      <c r="AM134" s="267"/>
      <c r="AN134" s="75"/>
    </row>
    <row r="135" spans="1:40" s="6" customFormat="1" ht="11.25" customHeight="1" x14ac:dyDescent="0.2">
      <c r="A135" s="56">
        <f t="shared" si="45"/>
        <v>43586</v>
      </c>
      <c r="B135" s="620">
        <v>53.350999999999999</v>
      </c>
      <c r="C135" s="392"/>
      <c r="D135" s="395">
        <f t="shared" si="24"/>
        <v>53.691027638131651</v>
      </c>
      <c r="E135" s="387">
        <f t="shared" si="46"/>
        <v>56.826775006175744</v>
      </c>
      <c r="F135" s="387">
        <f t="shared" si="25"/>
        <v>56.845620095734738</v>
      </c>
      <c r="G135" s="110">
        <f t="shared" si="47"/>
        <v>0.92817239449839961</v>
      </c>
      <c r="H135" s="416" t="b">
        <f>Wh_hp&gt;='2018'!Maxi_hp</f>
        <v>1</v>
      </c>
      <c r="I135" s="392">
        <f>IF(H135,Wh_hp,'2018'!Maxi_hp)</f>
        <v>56.845620095734738</v>
      </c>
      <c r="J135" s="85">
        <f>IF(H135,An,'2018'!An_max)</f>
        <v>2019</v>
      </c>
      <c r="K135" s="199">
        <f t="shared" si="26"/>
        <v>43586</v>
      </c>
      <c r="L135" s="147">
        <f>IF(t&lt;Tvie,1-EXP((T0-t)*PertePVj)+'2018'!Pspv,1-EXP((T0-t)*PertePVj)+Pspv)</f>
        <v>6.3330439570532526E-3</v>
      </c>
      <c r="M135" s="872"/>
      <c r="N135" s="872"/>
      <c r="O135" s="48">
        <f>IF(t&lt;Tnet,'2018'!Resal+('2018'!Salim-'2018'!Resal)*(1-EXP(('2018'!Tnet-t)/('2018'!Tau_j))),Resal+(Salim-Resal)*(1-EXP((Tnet-t)/(Tau_j))))*Salcycl</f>
        <v>5.518080812615718E-2</v>
      </c>
      <c r="P135" s="171">
        <f>(INDEX(Models!$BJ135:$BT135,,T135)*(1-R135)+INDEX(Models!$BJ135:$BT135,,T135+1)*R135-ERP_i)*Q135*Ramure*Pc/MaxiM</f>
        <v>3.6939930209027154E-4</v>
      </c>
      <c r="Q135" s="307">
        <f t="shared" si="27"/>
        <v>0.9</v>
      </c>
      <c r="R135" s="179">
        <f t="shared" si="28"/>
        <v>1.2357268405938981E-2</v>
      </c>
      <c r="S135" s="839">
        <f t="shared" si="29"/>
        <v>-2</v>
      </c>
      <c r="T135" s="178">
        <f t="shared" si="30"/>
        <v>4</v>
      </c>
      <c r="U135" s="253">
        <f t="shared" si="31"/>
        <v>-1.987642731594061</v>
      </c>
      <c r="V135" s="385">
        <f t="shared" si="32"/>
        <v>57.477445353509623</v>
      </c>
      <c r="W135" s="58"/>
      <c r="X135" s="157">
        <f t="shared" si="33"/>
        <v>43586</v>
      </c>
      <c r="Y135" s="387">
        <f t="shared" si="34"/>
        <v>53.350999999999999</v>
      </c>
      <c r="Z135" s="387">
        <f t="shared" si="35"/>
        <v>53.691027638131651</v>
      </c>
      <c r="AA135" s="388">
        <f t="shared" si="36"/>
        <v>56.826775006175744</v>
      </c>
      <c r="AB135" s="199">
        <f t="shared" si="37"/>
        <v>43586</v>
      </c>
      <c r="AC135" s="428">
        <f>IF(OR(t&lt;Tnet,NoTnet),'2018'!Resal_s+('2018'!Salim-'2018'!Resal_s)*(1-EXP(('2018'!Tnet_s-t)/'2018'!Tau_j)),Resal_s+(Salim-Resal_s)*(1-EXP((Tnet_s-t)/Tau_j)))*Salcycl</f>
        <v>5.518080812615718E-2</v>
      </c>
      <c r="AD135" s="233">
        <f>(INDEX(Models!$BJ135:$BT135,,AH135)*(1-AF135)+INDEX(Models!$BJ135:$BT135,,AH135+1)*AF135-ERP_i)*AE135*Ramure*Pc/MaxiM</f>
        <v>3.6939930209027154E-4</v>
      </c>
      <c r="AE135" s="307">
        <f t="shared" si="38"/>
        <v>0.9</v>
      </c>
      <c r="AF135" s="179">
        <f t="shared" si="39"/>
        <v>1.2357268405938981E-2</v>
      </c>
      <c r="AG135" s="178">
        <f t="shared" si="40"/>
        <v>-2</v>
      </c>
      <c r="AH135" s="178">
        <f t="shared" si="41"/>
        <v>4</v>
      </c>
      <c r="AI135" s="227">
        <f t="shared" si="42"/>
        <v>-1.987642731594061</v>
      </c>
      <c r="AJ135" s="267" t="b">
        <f t="shared" si="43"/>
        <v>0</v>
      </c>
      <c r="AK135" s="267" t="b">
        <f t="shared" si="44"/>
        <v>0</v>
      </c>
      <c r="AL135" s="267"/>
      <c r="AM135" s="267"/>
      <c r="AN135" s="75"/>
    </row>
    <row r="136" spans="1:40" s="6" customFormat="1" ht="11.25" customHeight="1" x14ac:dyDescent="0.2">
      <c r="A136" s="56">
        <f t="shared" si="45"/>
        <v>43587</v>
      </c>
      <c r="B136" s="620">
        <v>34.759</v>
      </c>
      <c r="C136" s="392"/>
      <c r="D136" s="395">
        <f t="shared" si="24"/>
        <v>34.981347321800094</v>
      </c>
      <c r="E136" s="387">
        <f t="shared" si="46"/>
        <v>37.032768044392121</v>
      </c>
      <c r="F136" s="387">
        <f t="shared" si="25"/>
        <v>37.03828245610211</v>
      </c>
      <c r="G136" s="110">
        <f t="shared" si="47"/>
        <v>0.60274876425804758</v>
      </c>
      <c r="H136" s="416" t="b">
        <f>Wh_hp&gt;='2018'!Maxi_hp</f>
        <v>1</v>
      </c>
      <c r="I136" s="392">
        <f>IF(H136,Wh_hp,'2018'!Maxi_hp)</f>
        <v>37.03828245610211</v>
      </c>
      <c r="J136" s="85">
        <f>IF(H136,An,'2018'!An_max)</f>
        <v>2019</v>
      </c>
      <c r="K136" s="199">
        <f t="shared" si="26"/>
        <v>43587</v>
      </c>
      <c r="L136" s="147">
        <f>IF(t&lt;Tvie,1-EXP((T0-t)*PertePVj)+'2018'!Pspv,1-EXP((T0-t)*PertePVj)+Pspv)</f>
        <v>6.356168038774368E-3</v>
      </c>
      <c r="M136" s="872"/>
      <c r="N136" s="872"/>
      <c r="O136" s="48">
        <f>IF(t&lt;Tnet,'2018'!Resal+('2018'!Salim-'2018'!Resal)*(1-EXP(('2018'!Tnet-t)/('2018'!Tau_j))),Resal+(Salim-Resal)*(1-EXP((Tnet-t)/(Tau_j))))*Salcycl</f>
        <v>5.5394744463415142E-2</v>
      </c>
      <c r="P136" s="171">
        <f>(INDEX(Models!$BJ136:$BT136,,T136)*(1-R136)+INDEX(Models!$BJ136:$BT136,,T136+1)*R136-ERP_i)*Q136*Ramure*Pc/MaxiM</f>
        <v>3.4410832861376574E-4</v>
      </c>
      <c r="Q136" s="307">
        <f t="shared" si="27"/>
        <v>0.9</v>
      </c>
      <c r="R136" s="179">
        <f t="shared" si="28"/>
        <v>1.6322748015548116E-2</v>
      </c>
      <c r="S136" s="839">
        <f t="shared" si="29"/>
        <v>-2</v>
      </c>
      <c r="T136" s="178">
        <f t="shared" si="30"/>
        <v>4</v>
      </c>
      <c r="U136" s="253">
        <f t="shared" si="31"/>
        <v>-1.9836772519844519</v>
      </c>
      <c r="V136" s="385">
        <f t="shared" si="32"/>
        <v>57.656216406692273</v>
      </c>
      <c r="W136" s="58"/>
      <c r="X136" s="157">
        <f t="shared" si="33"/>
        <v>43587</v>
      </c>
      <c r="Y136" s="387">
        <f t="shared" si="34"/>
        <v>34.759</v>
      </c>
      <c r="Z136" s="387">
        <f t="shared" si="35"/>
        <v>34.981347321800094</v>
      </c>
      <c r="AA136" s="388">
        <f t="shared" si="36"/>
        <v>37.032768044392121</v>
      </c>
      <c r="AB136" s="199">
        <f t="shared" si="37"/>
        <v>43587</v>
      </c>
      <c r="AC136" s="428">
        <f>IF(OR(t&lt;Tnet,NoTnet),'2018'!Resal_s+('2018'!Salim-'2018'!Resal_s)*(1-EXP(('2018'!Tnet_s-t)/'2018'!Tau_j)),Resal_s+(Salim-Resal_s)*(1-EXP((Tnet_s-t)/Tau_j)))*Salcycl</f>
        <v>5.5394744463415142E-2</v>
      </c>
      <c r="AD136" s="233">
        <f>(INDEX(Models!$BJ136:$BT136,,AH136)*(1-AF136)+INDEX(Models!$BJ136:$BT136,,AH136+1)*AF136-ERP_i)*AE136*Ramure*Pc/MaxiM</f>
        <v>3.4410832861376574E-4</v>
      </c>
      <c r="AE136" s="307">
        <f t="shared" si="38"/>
        <v>0.9</v>
      </c>
      <c r="AF136" s="179">
        <f t="shared" si="39"/>
        <v>1.6322748015548116E-2</v>
      </c>
      <c r="AG136" s="178">
        <f t="shared" si="40"/>
        <v>-2</v>
      </c>
      <c r="AH136" s="178">
        <f t="shared" si="41"/>
        <v>4</v>
      </c>
      <c r="AI136" s="227">
        <f t="shared" si="42"/>
        <v>-1.9836772519844519</v>
      </c>
      <c r="AJ136" s="267" t="b">
        <f t="shared" si="43"/>
        <v>0</v>
      </c>
      <c r="AK136" s="267" t="b">
        <f t="shared" si="44"/>
        <v>0</v>
      </c>
      <c r="AL136" s="267"/>
      <c r="AM136" s="267"/>
      <c r="AN136" s="75"/>
    </row>
    <row r="137" spans="1:40" s="6" customFormat="1" ht="11.25" customHeight="1" x14ac:dyDescent="0.2">
      <c r="A137" s="56">
        <f t="shared" si="45"/>
        <v>43588</v>
      </c>
      <c r="B137" s="620">
        <v>21.260999999999999</v>
      </c>
      <c r="C137" s="392"/>
      <c r="D137" s="395">
        <f t="shared" si="24"/>
        <v>21.39750089735815</v>
      </c>
      <c r="E137" s="387">
        <f t="shared" si="46"/>
        <v>22.657477809940858</v>
      </c>
      <c r="F137" s="387">
        <f t="shared" si="25"/>
        <v>22.658178969795486</v>
      </c>
      <c r="G137" s="110">
        <f t="shared" si="47"/>
        <v>0.36756693952754022</v>
      </c>
      <c r="H137" s="416" t="b">
        <f>Wh_hp&gt;='2018'!Maxi_hp</f>
        <v>1</v>
      </c>
      <c r="I137" s="392">
        <f>IF(H137,Wh_hp,'2018'!Maxi_hp)</f>
        <v>22.658178969795486</v>
      </c>
      <c r="J137" s="85">
        <f>IF(H137,An,'2018'!An_max)</f>
        <v>2019</v>
      </c>
      <c r="K137" s="199">
        <f t="shared" si="26"/>
        <v>43588</v>
      </c>
      <c r="L137" s="147">
        <f>IF(t&lt;Tvie,1-EXP((T0-t)*PertePVj)+'2018'!Pspv,1-EXP((T0-t)*PertePVj)+Pspv)</f>
        <v>6.3792915823643881E-3</v>
      </c>
      <c r="M137" s="872"/>
      <c r="N137" s="872"/>
      <c r="O137" s="48">
        <f>IF(t&lt;Tnet,'2018'!Resal+('2018'!Salim-'2018'!Resal)*(1-EXP(('2018'!Tnet-t)/('2018'!Tau_j))),Resal+(Salim-Resal)*(1-EXP((Tnet-t)/(Tau_j))))*Salcycl</f>
        <v>5.5609760413398761E-2</v>
      </c>
      <c r="P137" s="171">
        <f>(INDEX(Models!$BJ137:$BT137,,T137)*(1-R137)+INDEX(Models!$BJ137:$BT137,,T137+1)*R137-ERP_i)*Q137*Ramure*Pc/MaxiM</f>
        <v>3.2009067367196341E-4</v>
      </c>
      <c r="Q137" s="307">
        <f t="shared" si="27"/>
        <v>0.9</v>
      </c>
      <c r="R137" s="179">
        <f t="shared" si="28"/>
        <v>2.0398051787337446E-2</v>
      </c>
      <c r="S137" s="839">
        <f t="shared" si="29"/>
        <v>-2</v>
      </c>
      <c r="T137" s="178">
        <f t="shared" si="30"/>
        <v>4</v>
      </c>
      <c r="U137" s="253">
        <f t="shared" si="31"/>
        <v>-1.9796019482126626</v>
      </c>
      <c r="V137" s="385">
        <f t="shared" si="32"/>
        <v>57.825799875425652</v>
      </c>
      <c r="W137" s="58"/>
      <c r="X137" s="157">
        <f t="shared" si="33"/>
        <v>43588</v>
      </c>
      <c r="Y137" s="387">
        <f t="shared" si="34"/>
        <v>21.260999999999999</v>
      </c>
      <c r="Z137" s="387">
        <f t="shared" si="35"/>
        <v>21.39750089735815</v>
      </c>
      <c r="AA137" s="388">
        <f t="shared" si="36"/>
        <v>22.657477809940858</v>
      </c>
      <c r="AB137" s="199">
        <f t="shared" si="37"/>
        <v>43588</v>
      </c>
      <c r="AC137" s="428">
        <f>IF(OR(t&lt;Tnet,NoTnet),'2018'!Resal_s+('2018'!Salim-'2018'!Resal_s)*(1-EXP(('2018'!Tnet_s-t)/'2018'!Tau_j)),Resal_s+(Salim-Resal_s)*(1-EXP((Tnet_s-t)/Tau_j)))*Salcycl</f>
        <v>5.5609760413398761E-2</v>
      </c>
      <c r="AD137" s="233">
        <f>(INDEX(Models!$BJ137:$BT137,,AH137)*(1-AF137)+INDEX(Models!$BJ137:$BT137,,AH137+1)*AF137-ERP_i)*AE137*Ramure*Pc/MaxiM</f>
        <v>3.2009067367196341E-4</v>
      </c>
      <c r="AE137" s="307">
        <f t="shared" si="38"/>
        <v>0.9</v>
      </c>
      <c r="AF137" s="179">
        <f t="shared" si="39"/>
        <v>2.0398051787337446E-2</v>
      </c>
      <c r="AG137" s="178">
        <f t="shared" si="40"/>
        <v>-2</v>
      </c>
      <c r="AH137" s="178">
        <f t="shared" si="41"/>
        <v>4</v>
      </c>
      <c r="AI137" s="227">
        <f t="shared" si="42"/>
        <v>-1.9796019482126626</v>
      </c>
      <c r="AJ137" s="267" t="b">
        <f t="shared" si="43"/>
        <v>0</v>
      </c>
      <c r="AK137" s="267" t="b">
        <f t="shared" si="44"/>
        <v>0</v>
      </c>
      <c r="AL137" s="267"/>
      <c r="AM137" s="267"/>
      <c r="AN137" s="75"/>
    </row>
    <row r="138" spans="1:40" s="6" customFormat="1" ht="11.25" customHeight="1" x14ac:dyDescent="0.2">
      <c r="A138" s="56">
        <f t="shared" si="45"/>
        <v>43589</v>
      </c>
      <c r="B138" s="620">
        <v>31.178000000000001</v>
      </c>
      <c r="C138" s="392"/>
      <c r="D138" s="395">
        <f t="shared" si="24"/>
        <v>31.378900731795493</v>
      </c>
      <c r="E138" s="387">
        <f t="shared" si="46"/>
        <v>33.234229732501561</v>
      </c>
      <c r="F138" s="387">
        <f t="shared" si="25"/>
        <v>33.237585264773607</v>
      </c>
      <c r="G138" s="110">
        <f t="shared" si="47"/>
        <v>0.53757014448707663</v>
      </c>
      <c r="H138" s="416" t="b">
        <f>Wh_hp&gt;='2018'!Maxi_hp</f>
        <v>1</v>
      </c>
      <c r="I138" s="392">
        <f>IF(H138,Wh_hp,'2018'!Maxi_hp)</f>
        <v>33.237585264773607</v>
      </c>
      <c r="J138" s="85">
        <f>IF(H138,An,'2018'!An_max)</f>
        <v>2019</v>
      </c>
      <c r="K138" s="199">
        <f t="shared" si="26"/>
        <v>43589</v>
      </c>
      <c r="L138" s="147">
        <f>IF(t&lt;Tvie,1-EXP((T0-t)*PertePVj)+'2018'!Pspv,1-EXP((T0-t)*PertePVj)+Pspv)</f>
        <v>6.4024145878356364E-3</v>
      </c>
      <c r="M138" s="872"/>
      <c r="N138" s="872"/>
      <c r="O138" s="48">
        <f>IF(t&lt;Tnet,'2018'!Resal+('2018'!Salim-'2018'!Resal)*(1-EXP(('2018'!Tnet-t)/('2018'!Tau_j))),Resal+(Salim-Resal)*(1-EXP((Tnet-t)/(Tau_j))))*Salcycl</f>
        <v>5.5825846292794815E-2</v>
      </c>
      <c r="P138" s="171">
        <f>(INDEX(Models!$BJ138:$BT138,,T138)*(1-R138)+INDEX(Models!$BJ138:$BT138,,T138+1)*R138-ERP_i)*Q138*Ramure*Pc/MaxiM</f>
        <v>2.9733438465438919E-4</v>
      </c>
      <c r="Q138" s="307">
        <f t="shared" si="27"/>
        <v>0.9</v>
      </c>
      <c r="R138" s="179">
        <f t="shared" si="28"/>
        <v>2.458422107014413E-2</v>
      </c>
      <c r="S138" s="839">
        <f t="shared" si="29"/>
        <v>-2</v>
      </c>
      <c r="T138" s="178">
        <f t="shared" si="30"/>
        <v>4</v>
      </c>
      <c r="U138" s="253">
        <f t="shared" si="31"/>
        <v>-1.9754157789298559</v>
      </c>
      <c r="V138" s="385">
        <f t="shared" si="32"/>
        <v>57.986621866773824</v>
      </c>
      <c r="W138" s="58"/>
      <c r="X138" s="157">
        <f t="shared" si="33"/>
        <v>43589</v>
      </c>
      <c r="Y138" s="387">
        <f t="shared" si="34"/>
        <v>31.178000000000004</v>
      </c>
      <c r="Z138" s="387">
        <f t="shared" si="35"/>
        <v>31.378900731795497</v>
      </c>
      <c r="AA138" s="388">
        <f t="shared" si="36"/>
        <v>33.234229732501561</v>
      </c>
      <c r="AB138" s="199">
        <f t="shared" si="37"/>
        <v>43589</v>
      </c>
      <c r="AC138" s="428">
        <f>IF(OR(t&lt;Tnet,NoTnet),'2018'!Resal_s+('2018'!Salim-'2018'!Resal_s)*(1-EXP(('2018'!Tnet_s-t)/'2018'!Tau_j)),Resal_s+(Salim-Resal_s)*(1-EXP((Tnet_s-t)/Tau_j)))*Salcycl</f>
        <v>5.5825846292794815E-2</v>
      </c>
      <c r="AD138" s="233">
        <f>(INDEX(Models!$BJ138:$BT138,,AH138)*(1-AF138)+INDEX(Models!$BJ138:$BT138,,AH138+1)*AF138-ERP_i)*AE138*Ramure*Pc/MaxiM</f>
        <v>2.9733438465438919E-4</v>
      </c>
      <c r="AE138" s="307">
        <f t="shared" si="38"/>
        <v>0.9</v>
      </c>
      <c r="AF138" s="179">
        <f t="shared" si="39"/>
        <v>2.458422107014413E-2</v>
      </c>
      <c r="AG138" s="178">
        <f t="shared" si="40"/>
        <v>-2</v>
      </c>
      <c r="AH138" s="178">
        <f t="shared" si="41"/>
        <v>4</v>
      </c>
      <c r="AI138" s="227">
        <f t="shared" si="42"/>
        <v>-1.9754157789298559</v>
      </c>
      <c r="AJ138" s="267" t="b">
        <f t="shared" si="43"/>
        <v>0</v>
      </c>
      <c r="AK138" s="267" t="b">
        <f t="shared" si="44"/>
        <v>0</v>
      </c>
      <c r="AL138" s="267"/>
      <c r="AM138" s="267"/>
      <c r="AN138" s="75"/>
    </row>
    <row r="139" spans="1:40" s="6" customFormat="1" ht="11.25" customHeight="1" x14ac:dyDescent="0.2">
      <c r="A139" s="56">
        <f t="shared" si="45"/>
        <v>43590</v>
      </c>
      <c r="B139" s="620">
        <v>43.878999999999998</v>
      </c>
      <c r="C139" s="392"/>
      <c r="D139" s="395">
        <f t="shared" si="24"/>
        <v>44.162769511959389</v>
      </c>
      <c r="E139" s="387">
        <f t="shared" si="46"/>
        <v>46.784725396345863</v>
      </c>
      <c r="F139" s="387">
        <f t="shared" si="25"/>
        <v>46.793109847317936</v>
      </c>
      <c r="G139" s="110">
        <f t="shared" si="47"/>
        <v>0.75465138201936455</v>
      </c>
      <c r="H139" s="416" t="b">
        <f>Wh_hp&gt;='2018'!Maxi_hp</f>
        <v>1</v>
      </c>
      <c r="I139" s="392">
        <f>IF(H139,Wh_hp,'2018'!Maxi_hp)</f>
        <v>46.793109847317936</v>
      </c>
      <c r="J139" s="85">
        <f>IF(H139,An,'2018'!An_max)</f>
        <v>2019</v>
      </c>
      <c r="K139" s="199">
        <f t="shared" si="26"/>
        <v>43590</v>
      </c>
      <c r="L139" s="147">
        <f>IF(t&lt;Tvie,1-EXP((T0-t)*PertePVj)+'2018'!Pspv,1-EXP((T0-t)*PertePVj)+Pspv)</f>
        <v>6.4255370552008806E-3</v>
      </c>
      <c r="M139" s="872"/>
      <c r="N139" s="872"/>
      <c r="O139" s="48">
        <f>IF(t&lt;Tnet,'2018'!Resal+('2018'!Salim-'2018'!Resal)*(1-EXP(('2018'!Tnet-t)/('2018'!Tau_j))),Resal+(Salim-Resal)*(1-EXP((Tnet-t)/(Tau_j))))*Salcycl</f>
        <v>5.6042989718846546E-2</v>
      </c>
      <c r="P139" s="171">
        <f>(INDEX(Models!$BJ139:$BT139,,T139)*(1-R139)+INDEX(Models!$BJ139:$BT139,,T139+1)*R139-ERP_i)*Q139*Ramure*Pc/MaxiM</f>
        <v>2.7583067381911836E-4</v>
      </c>
      <c r="Q139" s="307">
        <f t="shared" si="27"/>
        <v>0.9</v>
      </c>
      <c r="R139" s="179">
        <f t="shared" si="28"/>
        <v>2.888216236335106E-2</v>
      </c>
      <c r="S139" s="839">
        <f t="shared" si="29"/>
        <v>-2</v>
      </c>
      <c r="T139" s="178">
        <f t="shared" si="30"/>
        <v>4</v>
      </c>
      <c r="U139" s="253">
        <f t="shared" si="31"/>
        <v>-1.9711178376366489</v>
      </c>
      <c r="V139" s="385">
        <f t="shared" si="32"/>
        <v>58.139108213614925</v>
      </c>
      <c r="W139" s="58"/>
      <c r="X139" s="157">
        <f t="shared" si="33"/>
        <v>43590</v>
      </c>
      <c r="Y139" s="387">
        <f t="shared" si="34"/>
        <v>43.878999999999998</v>
      </c>
      <c r="Z139" s="387">
        <f t="shared" si="35"/>
        <v>44.162769511959389</v>
      </c>
      <c r="AA139" s="388">
        <f t="shared" si="36"/>
        <v>46.784725396345863</v>
      </c>
      <c r="AB139" s="199">
        <f t="shared" si="37"/>
        <v>43590</v>
      </c>
      <c r="AC139" s="428">
        <f>IF(OR(t&lt;Tnet,NoTnet),'2018'!Resal_s+('2018'!Salim-'2018'!Resal_s)*(1-EXP(('2018'!Tnet_s-t)/'2018'!Tau_j)),Resal_s+(Salim-Resal_s)*(1-EXP((Tnet_s-t)/Tau_j)))*Salcycl</f>
        <v>5.6042989718846546E-2</v>
      </c>
      <c r="AD139" s="233">
        <f>(INDEX(Models!$BJ139:$BT139,,AH139)*(1-AF139)+INDEX(Models!$BJ139:$BT139,,AH139+1)*AF139-ERP_i)*AE139*Ramure*Pc/MaxiM</f>
        <v>2.7583067381911836E-4</v>
      </c>
      <c r="AE139" s="307">
        <f t="shared" si="38"/>
        <v>0.9</v>
      </c>
      <c r="AF139" s="179">
        <f t="shared" si="39"/>
        <v>2.888216236335106E-2</v>
      </c>
      <c r="AG139" s="178">
        <f t="shared" si="40"/>
        <v>-2</v>
      </c>
      <c r="AH139" s="178">
        <f t="shared" si="41"/>
        <v>4</v>
      </c>
      <c r="AI139" s="227">
        <f t="shared" si="42"/>
        <v>-1.9711178376366489</v>
      </c>
      <c r="AJ139" s="267" t="b">
        <f t="shared" si="43"/>
        <v>0</v>
      </c>
      <c r="AK139" s="267" t="b">
        <f t="shared" si="44"/>
        <v>0</v>
      </c>
      <c r="AL139" s="267"/>
      <c r="AM139" s="267"/>
      <c r="AN139" s="75"/>
    </row>
    <row r="140" spans="1:40" s="6" customFormat="1" ht="11.25" customHeight="1" x14ac:dyDescent="0.2">
      <c r="A140" s="56">
        <f t="shared" si="45"/>
        <v>43591</v>
      </c>
      <c r="B140" s="620">
        <v>60.296999999999997</v>
      </c>
      <c r="C140" s="392"/>
      <c r="D140" s="395">
        <f t="shared" si="24"/>
        <v>60.688358528477551</v>
      </c>
      <c r="E140" s="387">
        <f t="shared" si="46"/>
        <v>64.30630695151676</v>
      </c>
      <c r="F140" s="387">
        <f t="shared" si="25"/>
        <v>64.322746160656237</v>
      </c>
      <c r="G140" s="110">
        <f t="shared" si="47"/>
        <v>1.0345433807523221</v>
      </c>
      <c r="H140" s="416" t="b">
        <f>Wh_hp&gt;='2018'!Maxi_hp</f>
        <v>1</v>
      </c>
      <c r="I140" s="392">
        <f>IF(H140,Wh_hp,'2018'!Maxi_hp)</f>
        <v>64.322746160656237</v>
      </c>
      <c r="J140" s="85">
        <f>IF(H140,An,'2018'!An_max)</f>
        <v>2019</v>
      </c>
      <c r="K140" s="199">
        <f t="shared" si="26"/>
        <v>43591</v>
      </c>
      <c r="L140" s="147">
        <f>IF(t&lt;Tvie,1-EXP((T0-t)*PertePVj)+'2018'!Pspv,1-EXP((T0-t)*PertePVj)+Pspv)</f>
        <v>6.448658984472444E-3</v>
      </c>
      <c r="M140" s="872"/>
      <c r="N140" s="872"/>
      <c r="O140" s="48">
        <f>IF(t&lt;Tnet,'2018'!Resal+('2018'!Salim-'2018'!Resal)*(1-EXP(('2018'!Tnet-t)/('2018'!Tau_j))),Resal+(Salim-Resal)*(1-EXP((Tnet-t)/(Tau_j))))*Salcycl</f>
        <v>5.6261175529282517E-2</v>
      </c>
      <c r="P140" s="171">
        <f>(INDEX(Models!$BJ140:$BT140,,T140)*(1-R140)+INDEX(Models!$BJ140:$BT140,,T140+1)*R140-ERP_i)*Q140*Ramure*Pc/MaxiM</f>
        <v>2.5557380741207669E-4</v>
      </c>
      <c r="Q140" s="307">
        <f t="shared" si="27"/>
        <v>0.9</v>
      </c>
      <c r="R140" s="179">
        <f t="shared" si="28"/>
        <v>3.3292637469228836E-2</v>
      </c>
      <c r="S140" s="839">
        <f t="shared" si="29"/>
        <v>-2</v>
      </c>
      <c r="T140" s="178">
        <f t="shared" si="30"/>
        <v>4</v>
      </c>
      <c r="U140" s="253">
        <f t="shared" si="31"/>
        <v>-1.9667073625307712</v>
      </c>
      <c r="V140" s="385">
        <f t="shared" si="32"/>
        <v>58.283684494846312</v>
      </c>
      <c r="W140" s="58"/>
      <c r="X140" s="157">
        <f t="shared" si="33"/>
        <v>43591</v>
      </c>
      <c r="Y140" s="387">
        <f t="shared" si="34"/>
        <v>60.296999999999997</v>
      </c>
      <c r="Z140" s="387">
        <f t="shared" si="35"/>
        <v>60.688358528477551</v>
      </c>
      <c r="AA140" s="388">
        <f t="shared" si="36"/>
        <v>64.30630695151676</v>
      </c>
      <c r="AB140" s="199">
        <f t="shared" si="37"/>
        <v>43591</v>
      </c>
      <c r="AC140" s="428">
        <f>IF(OR(t&lt;Tnet,NoTnet),'2018'!Resal_s+('2018'!Salim-'2018'!Resal_s)*(1-EXP(('2018'!Tnet_s-t)/'2018'!Tau_j)),Resal_s+(Salim-Resal_s)*(1-EXP((Tnet_s-t)/Tau_j)))*Salcycl</f>
        <v>5.6261175529282517E-2</v>
      </c>
      <c r="AD140" s="233">
        <f>(INDEX(Models!$BJ140:$BT140,,AH140)*(1-AF140)+INDEX(Models!$BJ140:$BT140,,AH140+1)*AF140-ERP_i)*AE140*Ramure*Pc/MaxiM</f>
        <v>2.5557380741207669E-4</v>
      </c>
      <c r="AE140" s="307">
        <f t="shared" si="38"/>
        <v>0.9</v>
      </c>
      <c r="AF140" s="179">
        <f t="shared" si="39"/>
        <v>3.3292637469228836E-2</v>
      </c>
      <c r="AG140" s="178">
        <f t="shared" si="40"/>
        <v>-2</v>
      </c>
      <c r="AH140" s="178">
        <f t="shared" si="41"/>
        <v>4</v>
      </c>
      <c r="AI140" s="227">
        <f t="shared" si="42"/>
        <v>-1.9667073625307712</v>
      </c>
      <c r="AJ140" s="267" t="b">
        <f t="shared" si="43"/>
        <v>0</v>
      </c>
      <c r="AK140" s="267" t="b">
        <f t="shared" si="44"/>
        <v>0</v>
      </c>
      <c r="AL140" s="267"/>
      <c r="AM140" s="267"/>
      <c r="AN140" s="75"/>
    </row>
    <row r="141" spans="1:40" s="6" customFormat="1" ht="11.25" customHeight="1" x14ac:dyDescent="0.2">
      <c r="A141" s="56">
        <f t="shared" si="45"/>
        <v>43592</v>
      </c>
      <c r="B141" s="620">
        <v>44.591000000000001</v>
      </c>
      <c r="C141" s="392"/>
      <c r="D141" s="395">
        <f t="shared" si="24"/>
        <v>44.881462971288634</v>
      </c>
      <c r="E141" s="387">
        <f t="shared" si="46"/>
        <v>47.568129259303177</v>
      </c>
      <c r="F141" s="387">
        <f t="shared" si="25"/>
        <v>47.575577713560342</v>
      </c>
      <c r="G141" s="110">
        <f t="shared" si="47"/>
        <v>0.76321191145971634</v>
      </c>
      <c r="H141" s="416" t="b">
        <f>Wh_hp&gt;='2018'!Maxi_hp</f>
        <v>1</v>
      </c>
      <c r="I141" s="392">
        <f>IF(H141,Wh_hp,'2018'!Maxi_hp)</f>
        <v>47.575577713560342</v>
      </c>
      <c r="J141" s="85">
        <f>IF(H141,An,'2018'!An_max)</f>
        <v>2019</v>
      </c>
      <c r="K141" s="199">
        <f t="shared" si="26"/>
        <v>43592</v>
      </c>
      <c r="L141" s="147">
        <f>IF(t&lt;Tvie,1-EXP((T0-t)*PertePVj)+'2018'!Pspv,1-EXP((T0-t)*PertePVj)+Pspv)</f>
        <v>6.4717803756629833E-3</v>
      </c>
      <c r="M141" s="872"/>
      <c r="N141" s="872"/>
      <c r="O141" s="48">
        <f>IF(t&lt;Tnet,'2018'!Resal+('2018'!Salim-'2018'!Resal)*(1-EXP(('2018'!Tnet-t)/('2018'!Tau_j))),Resal+(Salim-Resal)*(1-EXP((Tnet-t)/(Tau_j))))*Salcycl</f>
        <v>5.6480385708864086E-2</v>
      </c>
      <c r="P141" s="171">
        <f>(INDEX(Models!$BJ141:$BT141,,T141)*(1-R141)+INDEX(Models!$BJ141:$BT141,,T141+1)*R141-ERP_i)*Q141*Ramure*Pc/MaxiM</f>
        <v>2.3656100152926558E-4</v>
      </c>
      <c r="Q141" s="307">
        <f t="shared" si="27"/>
        <v>0.9</v>
      </c>
      <c r="R141" s="179">
        <f t="shared" si="28"/>
        <v>3.7816253636442143E-2</v>
      </c>
      <c r="S141" s="839">
        <f t="shared" si="29"/>
        <v>-2</v>
      </c>
      <c r="T141" s="178">
        <f t="shared" si="30"/>
        <v>4</v>
      </c>
      <c r="U141" s="253">
        <f t="shared" si="31"/>
        <v>-1.9621837463635579</v>
      </c>
      <c r="V141" s="385">
        <f t="shared" si="32"/>
        <v>58.420776022636893</v>
      </c>
      <c r="W141" s="58"/>
      <c r="X141" s="157">
        <f t="shared" si="33"/>
        <v>43592</v>
      </c>
      <c r="Y141" s="387">
        <f t="shared" si="34"/>
        <v>44.591000000000001</v>
      </c>
      <c r="Z141" s="387">
        <f t="shared" si="35"/>
        <v>44.881462971288634</v>
      </c>
      <c r="AA141" s="388">
        <f t="shared" si="36"/>
        <v>47.568129259303177</v>
      </c>
      <c r="AB141" s="199">
        <f t="shared" si="37"/>
        <v>43592</v>
      </c>
      <c r="AC141" s="428">
        <f>IF(OR(t&lt;Tnet,NoTnet),'2018'!Resal_s+('2018'!Salim-'2018'!Resal_s)*(1-EXP(('2018'!Tnet_s-t)/'2018'!Tau_j)),Resal_s+(Salim-Resal_s)*(1-EXP((Tnet_s-t)/Tau_j)))*Salcycl</f>
        <v>5.6480385708864086E-2</v>
      </c>
      <c r="AD141" s="233">
        <f>(INDEX(Models!$BJ141:$BT141,,AH141)*(1-AF141)+INDEX(Models!$BJ141:$BT141,,AH141+1)*AF141-ERP_i)*AE141*Ramure*Pc/MaxiM</f>
        <v>2.3656100152926558E-4</v>
      </c>
      <c r="AE141" s="307">
        <f t="shared" si="38"/>
        <v>0.9</v>
      </c>
      <c r="AF141" s="179">
        <f t="shared" si="39"/>
        <v>3.7816253636442143E-2</v>
      </c>
      <c r="AG141" s="178">
        <f t="shared" si="40"/>
        <v>-2</v>
      </c>
      <c r="AH141" s="178">
        <f t="shared" si="41"/>
        <v>4</v>
      </c>
      <c r="AI141" s="227">
        <f t="shared" si="42"/>
        <v>-1.9621837463635579</v>
      </c>
      <c r="AJ141" s="267" t="b">
        <f t="shared" si="43"/>
        <v>0</v>
      </c>
      <c r="AK141" s="267" t="b">
        <f t="shared" si="44"/>
        <v>0</v>
      </c>
      <c r="AL141" s="267"/>
      <c r="AM141" s="267"/>
      <c r="AN141" s="75"/>
    </row>
    <row r="142" spans="1:40" s="6" customFormat="1" ht="11.25" customHeight="1" x14ac:dyDescent="0.2">
      <c r="A142" s="56">
        <f t="shared" si="45"/>
        <v>43593</v>
      </c>
      <c r="B142" s="620">
        <v>30.876000000000001</v>
      </c>
      <c r="C142" s="392"/>
      <c r="D142" s="395">
        <f t="shared" si="24"/>
        <v>31.077847550242058</v>
      </c>
      <c r="E142" s="387">
        <f t="shared" si="46"/>
        <v>32.945899815008794</v>
      </c>
      <c r="F142" s="387">
        <f t="shared" si="25"/>
        <v>32.948244772165765</v>
      </c>
      <c r="G142" s="110">
        <f t="shared" si="47"/>
        <v>0.5272590226134487</v>
      </c>
      <c r="H142" s="416" t="b">
        <f>Wh_hp&gt;='2018'!Maxi_hp</f>
        <v>1</v>
      </c>
      <c r="I142" s="392">
        <f>IF(H142,Wh_hp,'2018'!Maxi_hp)</f>
        <v>32.948244772165765</v>
      </c>
      <c r="J142" s="85">
        <f>IF(H142,An,'2018'!An_max)</f>
        <v>2019</v>
      </c>
      <c r="K142" s="199">
        <f t="shared" si="26"/>
        <v>43593</v>
      </c>
      <c r="L142" s="147">
        <f>IF(t&lt;Tvie,1-EXP((T0-t)*PertePVj)+'2018'!Pspv,1-EXP((T0-t)*PertePVj)+Pspv)</f>
        <v>6.4949012287849328E-3</v>
      </c>
      <c r="M142" s="872"/>
      <c r="N142" s="872"/>
      <c r="O142" s="48">
        <f>IF(t&lt;Tnet,'2018'!Resal+('2018'!Salim-'2018'!Resal)*(1-EXP(('2018'!Tnet-t)/('2018'!Tau_j))),Resal+(Salim-Resal)*(1-EXP((Tnet-t)/(Tau_j))))*Salcycl</f>
        <v>5.6700599323613772E-2</v>
      </c>
      <c r="P142" s="171">
        <f>(INDEX(Models!$BJ142:$BT142,,T142)*(1-R142)+INDEX(Models!$BJ142:$BT142,,T142+1)*R142-ERP_i)*Q142*Ramure*Pc/MaxiM</f>
        <v>2.1914442632079507E-4</v>
      </c>
      <c r="Q142" s="307">
        <f t="shared" si="27"/>
        <v>0.9</v>
      </c>
      <c r="R142" s="179">
        <f t="shared" si="28"/>
        <v>4.2453453753828363E-2</v>
      </c>
      <c r="S142" s="839">
        <f t="shared" si="29"/>
        <v>-2</v>
      </c>
      <c r="T142" s="178">
        <f t="shared" si="30"/>
        <v>4</v>
      </c>
      <c r="U142" s="253">
        <f t="shared" si="31"/>
        <v>-1.9575465462461716</v>
      </c>
      <c r="V142" s="385">
        <f t="shared" si="32"/>
        <v>58.550787224191822</v>
      </c>
      <c r="W142" s="58"/>
      <c r="X142" s="157">
        <f t="shared" si="33"/>
        <v>43593</v>
      </c>
      <c r="Y142" s="387">
        <f t="shared" si="34"/>
        <v>30.876000000000001</v>
      </c>
      <c r="Z142" s="387">
        <f t="shared" si="35"/>
        <v>31.077847550242058</v>
      </c>
      <c r="AA142" s="388">
        <f t="shared" si="36"/>
        <v>32.945899815008794</v>
      </c>
      <c r="AB142" s="199">
        <f t="shared" si="37"/>
        <v>43593</v>
      </c>
      <c r="AC142" s="428">
        <f>IF(OR(t&lt;Tnet,NoTnet),'2018'!Resal_s+('2018'!Salim-'2018'!Resal_s)*(1-EXP(('2018'!Tnet_s-t)/'2018'!Tau_j)),Resal_s+(Salim-Resal_s)*(1-EXP((Tnet_s-t)/Tau_j)))*Salcycl</f>
        <v>5.6700599323613772E-2</v>
      </c>
      <c r="AD142" s="233">
        <f>(INDEX(Models!$BJ142:$BT142,,AH142)*(1-AF142)+INDEX(Models!$BJ142:$BT142,,AH142+1)*AF142-ERP_i)*AE142*Ramure*Pc/MaxiM</f>
        <v>2.1914442632079507E-4</v>
      </c>
      <c r="AE142" s="307">
        <f t="shared" si="38"/>
        <v>0.9</v>
      </c>
      <c r="AF142" s="179">
        <f t="shared" si="39"/>
        <v>4.2453453753828363E-2</v>
      </c>
      <c r="AG142" s="178">
        <f t="shared" si="40"/>
        <v>-2</v>
      </c>
      <c r="AH142" s="178">
        <f t="shared" si="41"/>
        <v>4</v>
      </c>
      <c r="AI142" s="227">
        <f t="shared" si="42"/>
        <v>-1.9575465462461716</v>
      </c>
      <c r="AJ142" s="267" t="b">
        <f t="shared" si="43"/>
        <v>0</v>
      </c>
      <c r="AK142" s="267" t="b">
        <f t="shared" si="44"/>
        <v>0</v>
      </c>
      <c r="AL142" s="267"/>
      <c r="AM142" s="267"/>
      <c r="AN142" s="75"/>
    </row>
    <row r="143" spans="1:40" s="6" customFormat="1" ht="11.25" x14ac:dyDescent="0.2">
      <c r="A143" s="56">
        <f t="shared" si="45"/>
        <v>43594</v>
      </c>
      <c r="B143" s="620">
        <v>47.829000000000001</v>
      </c>
      <c r="C143" s="392"/>
      <c r="D143" s="395">
        <f t="shared" ref="D143:D206" si="48">Wh/(1-Ppv)</f>
        <v>48.142795780075744</v>
      </c>
      <c r="E143" s="387">
        <f t="shared" si="46"/>
        <v>51.048572001094854</v>
      </c>
      <c r="F143" s="387">
        <f t="shared" ref="F143:F206" si="49">Wh_sa/(1-Pvg*MEDIAN((-Sdif+Wh/Env_an)/Csdif,0,1))</f>
        <v>51.05619650716055</v>
      </c>
      <c r="G143" s="110">
        <f t="shared" si="47"/>
        <v>0.81511914823005438</v>
      </c>
      <c r="H143" s="416" t="b">
        <f>Wh_hp&gt;='2018'!Maxi_hp</f>
        <v>1</v>
      </c>
      <c r="I143" s="392">
        <f>IF(H143,Wh_hp,'2018'!Maxi_hp)</f>
        <v>51.05619650716055</v>
      </c>
      <c r="J143" s="85">
        <f>IF(H143,An,'2018'!An_max)</f>
        <v>2019</v>
      </c>
      <c r="K143" s="199">
        <f t="shared" ref="K143:K206" si="50">t</f>
        <v>43594</v>
      </c>
      <c r="L143" s="147">
        <f>IF(t&lt;Tvie,1-EXP((T0-t)*PertePVj)+'2018'!Pspv,1-EXP((T0-t)*PertePVj)+Pspv)</f>
        <v>6.5180215438508382E-3</v>
      </c>
      <c r="M143" s="872"/>
      <c r="N143" s="872"/>
      <c r="O143" s="48">
        <f>IF(t&lt;Tnet,'2018'!Resal+('2018'!Salim-'2018'!Resal)*(1-EXP(('2018'!Tnet-t)/('2018'!Tau_j))),Resal+(Salim-Resal)*(1-EXP((Tnet-t)/(Tau_j))))*Salcycl</f>
        <v>5.6921792463789013E-2</v>
      </c>
      <c r="P143" s="171">
        <f>(INDEX(Models!$BJ143:$BT143,,T143)*(1-R143)+INDEX(Models!$BJ143:$BT143,,T143+1)*R143-ERP_i)*Q143*Ramure*Pc/MaxiM</f>
        <v>2.0291622497085372E-4</v>
      </c>
      <c r="Q143" s="307">
        <f t="shared" ref="Q143:Q206" si="51">IF(OR(t&lt;Ttai,Notai),Dd+PousD*Croivg,Dens+PousD*(Croivg-Croi_tai))</f>
        <v>0.9</v>
      </c>
      <c r="R143" s="179">
        <f t="shared" ref="R143:R206" si="52">(Hp_vg-S143)/(INDEX(Echel_vg,T143+1)-S143)</f>
        <v>4.7204506658111933E-2</v>
      </c>
      <c r="S143" s="839">
        <f t="shared" ref="S143:S206" si="53">INDEX(Echel_vg,T143)</f>
        <v>-2</v>
      </c>
      <c r="T143" s="178">
        <f t="shared" ref="T143:T206" si="54">MIN(MATCH(Hp_vg,Echel_vg),10)</f>
        <v>4</v>
      </c>
      <c r="U143" s="253">
        <f t="shared" ref="U143:U206" si="55">IF(OR(t&lt;Ttai,Notai),Hdd+PousH*Croivg,Hdtf+PousH*(Croivg-Croi_tai))</f>
        <v>-1.9527954933418881</v>
      </c>
      <c r="V143" s="385">
        <f t="shared" ref="V143:V206" si="56">MaxiM*(1-Ppv)*(1-Pvg)*(1-Psa)</f>
        <v>58.674166852551437</v>
      </c>
      <c r="W143" s="58"/>
      <c r="X143" s="157">
        <f t="shared" ref="X143:X206" si="57">t</f>
        <v>43594</v>
      </c>
      <c r="Y143" s="387">
        <f t="shared" ref="Y143:Y206" si="58">Wh_pvt_s*(1-Ppv)</f>
        <v>47.829000000000001</v>
      </c>
      <c r="Z143" s="387">
        <f t="shared" ref="Z143:Z206" si="59">Wh_sa_s*(1-Psa_s)</f>
        <v>48.142795780075744</v>
      </c>
      <c r="AA143" s="388">
        <f t="shared" ref="AA143:AA206" si="60">Wh_hp*(1-Pvg_s*MEDIAN((-Sdif+Wh/Env_an)/Csdif,0,1))</f>
        <v>51.048572001094854</v>
      </c>
      <c r="AB143" s="199">
        <f t="shared" ref="AB143:AB206" si="61">t</f>
        <v>43594</v>
      </c>
      <c r="AC143" s="428">
        <f>IF(OR(t&lt;Tnet,NoTnet),'2018'!Resal_s+('2018'!Salim-'2018'!Resal_s)*(1-EXP(('2018'!Tnet_s-t)/'2018'!Tau_j)),Resal_s+(Salim-Resal_s)*(1-EXP((Tnet_s-t)/Tau_j)))*Salcycl</f>
        <v>5.6921792463789013E-2</v>
      </c>
      <c r="AD143" s="233">
        <f>(INDEX(Models!$BJ143:$BT143,,AH143)*(1-AF143)+INDEX(Models!$BJ143:$BT143,,AH143+1)*AF143-ERP_i)*AE143*Ramure*Pc/MaxiM</f>
        <v>2.0291622497085372E-4</v>
      </c>
      <c r="AE143" s="307">
        <f t="shared" ref="AE143:AE206" si="62">IF(OR(t&lt;Ttai,Notai),Dd_s+PousD*Croivg,Dens_s+PousD*(Croivg-Croi_tai))</f>
        <v>0.9</v>
      </c>
      <c r="AF143" s="179">
        <f t="shared" ref="AF143:AF206" si="63">(Hp_vg_s-AG143)/(INDEX(Echel_vg,AH143+1)-AG143)</f>
        <v>4.7204506658111933E-2</v>
      </c>
      <c r="AG143" s="178">
        <f t="shared" ref="AG143:AG206" si="64">INDEX(Echel_vg,AH143)</f>
        <v>-2</v>
      </c>
      <c r="AH143" s="178">
        <f t="shared" ref="AH143:AH206" si="65">MIN(MATCH(Hp_vg_s,Echel_vg),10)</f>
        <v>4</v>
      </c>
      <c r="AI143" s="227">
        <f t="shared" ref="AI143:AI206" si="66">IF(OR(t&lt;Ttai,Notai),Hdd_s+PousH*Croivg,Hdtai_s+PousH*(Croivg-Croi_tai))</f>
        <v>-1.9527954933418881</v>
      </c>
      <c r="AJ143" s="267" t="b">
        <f t="shared" ref="AJ143:AJ206" si="67">t&lt;Tnet</f>
        <v>0</v>
      </c>
      <c r="AK143" s="267" t="b">
        <f t="shared" ref="AK143:AK206" si="68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169" si="69">A143+1</f>
        <v>43595</v>
      </c>
      <c r="B144" s="620">
        <v>39.668999999999997</v>
      </c>
      <c r="C144" s="392"/>
      <c r="D144" s="395">
        <f t="shared" si="48"/>
        <v>39.930189009278877</v>
      </c>
      <c r="E144" s="387">
        <f t="shared" ref="E144:E169" si="70">Wh_pvt/(1-Psa)</f>
        <v>42.350249022005272</v>
      </c>
      <c r="F144" s="387">
        <f t="shared" si="49"/>
        <v>42.354509087669797</v>
      </c>
      <c r="G144" s="110">
        <f t="shared" ref="G144:G169" si="71">+Wh_hp/MaxiM</f>
        <v>0.67468332737275405</v>
      </c>
      <c r="H144" s="416" t="b">
        <f>Wh_hp&gt;='2018'!Maxi_hp</f>
        <v>1</v>
      </c>
      <c r="I144" s="392">
        <f>IF(H144,Wh_hp,'2018'!Maxi_hp)</f>
        <v>42.354509087669797</v>
      </c>
      <c r="J144" s="85">
        <f>IF(H144,An,'2018'!An_max)</f>
        <v>2019</v>
      </c>
      <c r="K144" s="199">
        <f t="shared" si="50"/>
        <v>43595</v>
      </c>
      <c r="L144" s="147">
        <f>IF(t&lt;Tvie,1-EXP((T0-t)*PertePVj)+'2018'!Pspv,1-EXP((T0-t)*PertePVj)+Pspv)</f>
        <v>6.541141320873356E-3</v>
      </c>
      <c r="M144" s="872"/>
      <c r="N144" s="872"/>
      <c r="O144" s="48">
        <f>IF(t&lt;Tnet,'2018'!Resal+('2018'!Salim-'2018'!Resal)*(1-EXP(('2018'!Tnet-t)/('2018'!Tau_j))),Resal+(Salim-Resal)*(1-EXP((Tnet-t)/(Tau_j))))*Salcycl</f>
        <v>5.7143938196654427E-2</v>
      </c>
      <c r="P144" s="171">
        <f>(INDEX(Models!$BJ144:$BT144,,T144)*(1-R144)+INDEX(Models!$BJ144:$BT144,,T144+1)*R144-ERP_i)*Q144*Ramure*Pc/MaxiM</f>
        <v>1.8788064174178078E-4</v>
      </c>
      <c r="Q144" s="307">
        <f t="shared" si="51"/>
        <v>0.9</v>
      </c>
      <c r="R144" s="179">
        <f t="shared" si="52"/>
        <v>5.2069497623517425E-2</v>
      </c>
      <c r="S144" s="839">
        <f t="shared" si="53"/>
        <v>-2</v>
      </c>
      <c r="T144" s="178">
        <f t="shared" si="54"/>
        <v>4</v>
      </c>
      <c r="U144" s="253">
        <f t="shared" si="55"/>
        <v>-1.9479305023764826</v>
      </c>
      <c r="V144" s="385">
        <f t="shared" si="56"/>
        <v>58.791339520676772</v>
      </c>
      <c r="W144" s="58"/>
      <c r="X144" s="157">
        <f t="shared" si="57"/>
        <v>43595</v>
      </c>
      <c r="Y144" s="387">
        <f t="shared" si="58"/>
        <v>39.668999999999997</v>
      </c>
      <c r="Z144" s="387">
        <f t="shared" si="59"/>
        <v>39.930189009278877</v>
      </c>
      <c r="AA144" s="388">
        <f t="shared" si="60"/>
        <v>42.350249022005272</v>
      </c>
      <c r="AB144" s="199">
        <f t="shared" si="61"/>
        <v>43595</v>
      </c>
      <c r="AC144" s="428">
        <f>IF(OR(t&lt;Tnet,NoTnet),'2018'!Resal_s+('2018'!Salim-'2018'!Resal_s)*(1-EXP(('2018'!Tnet_s-t)/'2018'!Tau_j)),Resal_s+(Salim-Resal_s)*(1-EXP((Tnet_s-t)/Tau_j)))*Salcycl</f>
        <v>5.7143938196654427E-2</v>
      </c>
      <c r="AD144" s="233">
        <f>(INDEX(Models!$BJ144:$BT144,,AH144)*(1-AF144)+INDEX(Models!$BJ144:$BT144,,AH144+1)*AF144-ERP_i)*AE144*Ramure*Pc/MaxiM</f>
        <v>1.8788064174178078E-4</v>
      </c>
      <c r="AE144" s="307">
        <f t="shared" si="62"/>
        <v>0.9</v>
      </c>
      <c r="AF144" s="179">
        <f t="shared" si="63"/>
        <v>5.2069497623517425E-2</v>
      </c>
      <c r="AG144" s="178">
        <f t="shared" si="64"/>
        <v>-2</v>
      </c>
      <c r="AH144" s="178">
        <f t="shared" si="65"/>
        <v>4</v>
      </c>
      <c r="AI144" s="227">
        <f t="shared" si="66"/>
        <v>-1.9479305023764826</v>
      </c>
      <c r="AJ144" s="267" t="b">
        <f t="shared" si="67"/>
        <v>0</v>
      </c>
      <c r="AK144" s="267" t="b">
        <f t="shared" si="68"/>
        <v>0</v>
      </c>
      <c r="AL144" s="267"/>
      <c r="AM144" s="267"/>
      <c r="AN144" s="75"/>
    </row>
    <row r="145" spans="1:40" s="6" customFormat="1" ht="11.25" customHeight="1" x14ac:dyDescent="0.2">
      <c r="A145" s="56">
        <f t="shared" si="69"/>
        <v>43596</v>
      </c>
      <c r="B145" s="620">
        <v>37.786999999999999</v>
      </c>
      <c r="C145" s="392"/>
      <c r="D145" s="395">
        <f t="shared" si="48"/>
        <v>38.036682696049773</v>
      </c>
      <c r="E145" s="387">
        <f t="shared" si="70"/>
        <v>40.351529131219365</v>
      </c>
      <c r="F145" s="387">
        <f t="shared" si="49"/>
        <v>40.354955774710767</v>
      </c>
      <c r="G145" s="110">
        <f t="shared" si="71"/>
        <v>0.64145807783037645</v>
      </c>
      <c r="H145" s="416" t="b">
        <f>Wh_hp&gt;='2018'!Maxi_hp</f>
        <v>1</v>
      </c>
      <c r="I145" s="392">
        <f>IF(H145,Wh_hp,'2018'!Maxi_hp)</f>
        <v>40.354955774710767</v>
      </c>
      <c r="J145" s="85">
        <f>IF(H145,An,'2018'!An_max)</f>
        <v>2019</v>
      </c>
      <c r="K145" s="199">
        <f t="shared" si="50"/>
        <v>43596</v>
      </c>
      <c r="L145" s="147">
        <f>IF(t&lt;Tvie,1-EXP((T0-t)*PertePVj)+'2018'!Pspv,1-EXP((T0-t)*PertePVj)+Pspv)</f>
        <v>6.5642605598648096E-3</v>
      </c>
      <c r="M145" s="872"/>
      <c r="N145" s="872"/>
      <c r="O145" s="48">
        <f>IF(t&lt;Tnet,'2018'!Resal+('2018'!Salim-'2018'!Resal)*(1-EXP(('2018'!Tnet-t)/('2018'!Tau_j))),Resal+(Salim-Resal)*(1-EXP((Tnet-t)/(Tau_j))))*Salcycl</f>
        <v>5.7367006530085467E-2</v>
      </c>
      <c r="P145" s="171">
        <f>(INDEX(Models!$BJ145:$BT145,,T145)*(1-R145)+INDEX(Models!$BJ145:$BT145,,T145+1)*R145-ERP_i)*Q145*Ramure*Pc/MaxiM</f>
        <v>1.7404436638727359E-4</v>
      </c>
      <c r="Q145" s="307">
        <f t="shared" si="51"/>
        <v>0.9</v>
      </c>
      <c r="R145" s="179">
        <f t="shared" si="52"/>
        <v>5.7048319105227341E-2</v>
      </c>
      <c r="S145" s="839">
        <f t="shared" si="53"/>
        <v>-2</v>
      </c>
      <c r="T145" s="178">
        <f t="shared" si="54"/>
        <v>4</v>
      </c>
      <c r="U145" s="253">
        <f t="shared" si="55"/>
        <v>-1.9429516808947727</v>
      </c>
      <c r="V145" s="385">
        <f t="shared" si="56"/>
        <v>58.902729573612021</v>
      </c>
      <c r="W145" s="58"/>
      <c r="X145" s="157">
        <f t="shared" si="57"/>
        <v>43596</v>
      </c>
      <c r="Y145" s="387">
        <f t="shared" si="58"/>
        <v>37.786999999999999</v>
      </c>
      <c r="Z145" s="387">
        <f t="shared" si="59"/>
        <v>38.036682696049773</v>
      </c>
      <c r="AA145" s="388">
        <f t="shared" si="60"/>
        <v>40.351529131219365</v>
      </c>
      <c r="AB145" s="199">
        <f t="shared" si="61"/>
        <v>43596</v>
      </c>
      <c r="AC145" s="428">
        <f>IF(OR(t&lt;Tnet,NoTnet),'2018'!Resal_s+('2018'!Salim-'2018'!Resal_s)*(1-EXP(('2018'!Tnet_s-t)/'2018'!Tau_j)),Resal_s+(Salim-Resal_s)*(1-EXP((Tnet_s-t)/Tau_j)))*Salcycl</f>
        <v>5.7367006530085467E-2</v>
      </c>
      <c r="AD145" s="233">
        <f>(INDEX(Models!$BJ145:$BT145,,AH145)*(1-AF145)+INDEX(Models!$BJ145:$BT145,,AH145+1)*AF145-ERP_i)*AE145*Ramure*Pc/MaxiM</f>
        <v>1.7404436638727359E-4</v>
      </c>
      <c r="AE145" s="307">
        <f t="shared" si="62"/>
        <v>0.9</v>
      </c>
      <c r="AF145" s="179">
        <f t="shared" si="63"/>
        <v>5.7048319105227341E-2</v>
      </c>
      <c r="AG145" s="178">
        <f t="shared" si="64"/>
        <v>-2</v>
      </c>
      <c r="AH145" s="178">
        <f t="shared" si="65"/>
        <v>4</v>
      </c>
      <c r="AI145" s="227">
        <f t="shared" si="66"/>
        <v>-1.9429516808947727</v>
      </c>
      <c r="AJ145" s="267" t="b">
        <f t="shared" si="67"/>
        <v>0</v>
      </c>
      <c r="AK145" s="267" t="b">
        <f t="shared" si="68"/>
        <v>0</v>
      </c>
      <c r="AL145" s="267"/>
      <c r="AM145" s="267"/>
      <c r="AN145" s="75"/>
    </row>
    <row r="146" spans="1:40" s="6" customFormat="1" ht="11.25" customHeight="1" x14ac:dyDescent="0.2">
      <c r="A146" s="56">
        <f t="shared" si="69"/>
        <v>43597</v>
      </c>
      <c r="B146" s="620">
        <v>54.933</v>
      </c>
      <c r="C146" s="392"/>
      <c r="D146" s="395">
        <f t="shared" si="48"/>
        <v>55.297264050386588</v>
      </c>
      <c r="E146" s="387">
        <f t="shared" si="70"/>
        <v>58.676500288939337</v>
      </c>
      <c r="F146" s="387">
        <f t="shared" si="49"/>
        <v>58.685038325386628</v>
      </c>
      <c r="G146" s="110">
        <f t="shared" si="71"/>
        <v>0.93091473075571662</v>
      </c>
      <c r="H146" s="416" t="b">
        <f>Wh_hp&gt;='2018'!Maxi_hp</f>
        <v>1</v>
      </c>
      <c r="I146" s="392">
        <f>IF(H146,Wh_hp,'2018'!Maxi_hp)</f>
        <v>58.685038325386628</v>
      </c>
      <c r="J146" s="85">
        <f>IF(H146,An,'2018'!An_max)</f>
        <v>2019</v>
      </c>
      <c r="K146" s="199">
        <f t="shared" si="50"/>
        <v>43597</v>
      </c>
      <c r="L146" s="147">
        <f>IF(t&lt;Tvie,1-EXP((T0-t)*PertePVj)+'2018'!Pspv,1-EXP((T0-t)*PertePVj)+Pspv)</f>
        <v>6.5873792608377446E-3</v>
      </c>
      <c r="M146" s="872"/>
      <c r="N146" s="872"/>
      <c r="O146" s="48">
        <f>IF(t&lt;Tnet,'2018'!Resal+('2018'!Salim-'2018'!Resal)*(1-EXP(('2018'!Tnet-t)/('2018'!Tau_j))),Resal+(Salim-Resal)*(1-EXP((Tnet-t)/(Tau_j))))*Salcycl</f>
        <v>5.7590964387999544E-2</v>
      </c>
      <c r="P146" s="171">
        <f>(INDEX(Models!$BJ146:$BT146,,T146)*(1-R146)+INDEX(Models!$BJ146:$BT146,,T146+1)*R146-ERP_i)*Q146*Ramure*Pc/MaxiM</f>
        <v>1.6141644436455964E-4</v>
      </c>
      <c r="Q146" s="307">
        <f t="shared" si="51"/>
        <v>0.9</v>
      </c>
      <c r="R146" s="179">
        <f t="shared" si="52"/>
        <v>6.2140661812187581E-2</v>
      </c>
      <c r="S146" s="839">
        <f t="shared" si="53"/>
        <v>-2</v>
      </c>
      <c r="T146" s="178">
        <f t="shared" si="54"/>
        <v>4</v>
      </c>
      <c r="U146" s="253">
        <f t="shared" si="55"/>
        <v>-1.9378593381878124</v>
      </c>
      <c r="V146" s="385">
        <f t="shared" si="56"/>
        <v>59.008761086130669</v>
      </c>
      <c r="W146" s="58"/>
      <c r="X146" s="157">
        <f t="shared" si="57"/>
        <v>43597</v>
      </c>
      <c r="Y146" s="387">
        <f t="shared" si="58"/>
        <v>54.933</v>
      </c>
      <c r="Z146" s="387">
        <f t="shared" si="59"/>
        <v>55.297264050386588</v>
      </c>
      <c r="AA146" s="388">
        <f t="shared" si="60"/>
        <v>58.676500288939337</v>
      </c>
      <c r="AB146" s="199">
        <f t="shared" si="61"/>
        <v>43597</v>
      </c>
      <c r="AC146" s="428">
        <f>IF(OR(t&lt;Tnet,NoTnet),'2018'!Resal_s+('2018'!Salim-'2018'!Resal_s)*(1-EXP(('2018'!Tnet_s-t)/'2018'!Tau_j)),Resal_s+(Salim-Resal_s)*(1-EXP((Tnet_s-t)/Tau_j)))*Salcycl</f>
        <v>5.7590964387999544E-2</v>
      </c>
      <c r="AD146" s="233">
        <f>(INDEX(Models!$BJ146:$BT146,,AH146)*(1-AF146)+INDEX(Models!$BJ146:$BT146,,AH146+1)*AF146-ERP_i)*AE146*Ramure*Pc/MaxiM</f>
        <v>1.6141644436455964E-4</v>
      </c>
      <c r="AE146" s="307">
        <f t="shared" si="62"/>
        <v>0.9</v>
      </c>
      <c r="AF146" s="179">
        <f t="shared" si="63"/>
        <v>6.2140661812187581E-2</v>
      </c>
      <c r="AG146" s="178">
        <f t="shared" si="64"/>
        <v>-2</v>
      </c>
      <c r="AH146" s="178">
        <f t="shared" si="65"/>
        <v>4</v>
      </c>
      <c r="AI146" s="227">
        <f t="shared" si="66"/>
        <v>-1.9378593381878124</v>
      </c>
      <c r="AJ146" s="267" t="b">
        <f t="shared" si="67"/>
        <v>0</v>
      </c>
      <c r="AK146" s="267" t="b">
        <f t="shared" si="68"/>
        <v>0</v>
      </c>
      <c r="AL146" s="267"/>
      <c r="AM146" s="267"/>
      <c r="AN146" s="75"/>
    </row>
    <row r="147" spans="1:40" s="6" customFormat="1" ht="11.25" customHeight="1" x14ac:dyDescent="0.2">
      <c r="A147" s="56">
        <f t="shared" si="69"/>
        <v>43598</v>
      </c>
      <c r="B147" s="620">
        <v>61.014000000000003</v>
      </c>
      <c r="C147" s="392"/>
      <c r="D147" s="395">
        <f t="shared" si="48"/>
        <v>61.420016863244527</v>
      </c>
      <c r="E147" s="387">
        <f t="shared" si="70"/>
        <v>65.188967584618908</v>
      </c>
      <c r="F147" s="387">
        <f t="shared" si="49"/>
        <v>65.198747930481261</v>
      </c>
      <c r="G147" s="110">
        <f t="shared" si="71"/>
        <v>1.0322136138847591</v>
      </c>
      <c r="H147" s="416" t="b">
        <f>Wh_hp&gt;='2018'!Maxi_hp</f>
        <v>1</v>
      </c>
      <c r="I147" s="392">
        <f>IF(H147,Wh_hp,'2018'!Maxi_hp)</f>
        <v>65.198747930481261</v>
      </c>
      <c r="J147" s="85">
        <f>IF(H147,An,'2018'!An_max)</f>
        <v>2019</v>
      </c>
      <c r="K147" s="199">
        <f t="shared" si="50"/>
        <v>43598</v>
      </c>
      <c r="L147" s="147">
        <f>IF(t&lt;Tvie,1-EXP((T0-t)*PertePVj)+'2018'!Pspv,1-EXP((T0-t)*PertePVj)+Pspv)</f>
        <v>6.6104974238048175E-3</v>
      </c>
      <c r="M147" s="872"/>
      <c r="N147" s="872"/>
      <c r="O147" s="48">
        <f>IF(t&lt;Tnet,'2018'!Resal+('2018'!Salim-'2018'!Resal)*(1-EXP(('2018'!Tnet-t)/('2018'!Tau_j))),Resal+(Salim-Resal)*(1-EXP((Tnet-t)/(Tau_j))))*Salcycl</f>
        <v>5.7815775598563802E-2</v>
      </c>
      <c r="P147" s="171">
        <f>(INDEX(Models!$BJ147:$BT147,,T147)*(1-R147)+INDEX(Models!$BJ147:$BT147,,T147+1)*R147-ERP_i)*Q147*Ramure*Pc/MaxiM</f>
        <v>1.5000818532254152E-4</v>
      </c>
      <c r="Q147" s="307">
        <f t="shared" si="51"/>
        <v>0.9</v>
      </c>
      <c r="R147" s="179">
        <f t="shared" si="52"/>
        <v>6.7346006187820606E-2</v>
      </c>
      <c r="S147" s="839">
        <f t="shared" si="53"/>
        <v>-2</v>
      </c>
      <c r="T147" s="178">
        <f t="shared" si="54"/>
        <v>4</v>
      </c>
      <c r="U147" s="253">
        <f t="shared" si="55"/>
        <v>-1.9326539938121794</v>
      </c>
      <c r="V147" s="385">
        <f t="shared" si="56"/>
        <v>59.109857862048969</v>
      </c>
      <c r="W147" s="58"/>
      <c r="X147" s="157">
        <f t="shared" si="57"/>
        <v>43598</v>
      </c>
      <c r="Y147" s="387">
        <f t="shared" si="58"/>
        <v>61.01400000000001</v>
      </c>
      <c r="Z147" s="387">
        <f t="shared" si="59"/>
        <v>61.420016863244534</v>
      </c>
      <c r="AA147" s="388">
        <f t="shared" si="60"/>
        <v>65.188967584618908</v>
      </c>
      <c r="AB147" s="199">
        <f t="shared" si="61"/>
        <v>43598</v>
      </c>
      <c r="AC147" s="428">
        <f>IF(OR(t&lt;Tnet,NoTnet),'2018'!Resal_s+('2018'!Salim-'2018'!Resal_s)*(1-EXP(('2018'!Tnet_s-t)/'2018'!Tau_j)),Resal_s+(Salim-Resal_s)*(1-EXP((Tnet_s-t)/Tau_j)))*Salcycl</f>
        <v>5.7815775598563802E-2</v>
      </c>
      <c r="AD147" s="233">
        <f>(INDEX(Models!$BJ147:$BT147,,AH147)*(1-AF147)+INDEX(Models!$BJ147:$BT147,,AH147+1)*AF147-ERP_i)*AE147*Ramure*Pc/MaxiM</f>
        <v>1.5000818532254152E-4</v>
      </c>
      <c r="AE147" s="307">
        <f t="shared" si="62"/>
        <v>0.9</v>
      </c>
      <c r="AF147" s="179">
        <f t="shared" si="63"/>
        <v>6.7346006187820606E-2</v>
      </c>
      <c r="AG147" s="178">
        <f t="shared" si="64"/>
        <v>-2</v>
      </c>
      <c r="AH147" s="178">
        <f t="shared" si="65"/>
        <v>4</v>
      </c>
      <c r="AI147" s="227">
        <f t="shared" si="66"/>
        <v>-1.9326539938121794</v>
      </c>
      <c r="AJ147" s="267" t="b">
        <f t="shared" si="67"/>
        <v>0</v>
      </c>
      <c r="AK147" s="267" t="b">
        <f t="shared" si="68"/>
        <v>0</v>
      </c>
      <c r="AL147" s="267"/>
      <c r="AM147" s="267"/>
      <c r="AN147" s="75"/>
    </row>
    <row r="148" spans="1:40" s="6" customFormat="1" ht="11.25" customHeight="1" x14ac:dyDescent="0.2">
      <c r="A148" s="56">
        <f t="shared" si="69"/>
        <v>43599</v>
      </c>
      <c r="B148" s="620">
        <v>59.463000000000001</v>
      </c>
      <c r="C148" s="392"/>
      <c r="D148" s="395">
        <f t="shared" si="48"/>
        <v>59.86008878579063</v>
      </c>
      <c r="E148" s="387">
        <f t="shared" si="70"/>
        <v>63.548534768655941</v>
      </c>
      <c r="F148" s="387">
        <f t="shared" si="49"/>
        <v>63.557422198043149</v>
      </c>
      <c r="G148" s="110">
        <f t="shared" si="71"/>
        <v>1.0043332543125545</v>
      </c>
      <c r="H148" s="416" t="b">
        <f>Wh_hp&gt;='2018'!Maxi_hp</f>
        <v>1</v>
      </c>
      <c r="I148" s="392">
        <f>IF(H148,Wh_hp,'2018'!Maxi_hp)</f>
        <v>63.557422198043149</v>
      </c>
      <c r="J148" s="85">
        <f>IF(H148,An,'2018'!An_max)</f>
        <v>2019</v>
      </c>
      <c r="K148" s="199">
        <f t="shared" si="50"/>
        <v>43599</v>
      </c>
      <c r="L148" s="147">
        <f>IF(t&lt;Tvie,1-EXP((T0-t)*PertePVj)+'2018'!Pspv,1-EXP((T0-t)*PertePVj)+Pspv)</f>
        <v>6.6336150487783518E-3</v>
      </c>
      <c r="M148" s="872"/>
      <c r="N148" s="872"/>
      <c r="O148" s="48">
        <f>IF(t&lt;Tnet,'2018'!Resal+('2018'!Salim-'2018'!Resal)*(1-EXP(('2018'!Tnet-t)/('2018'!Tau_j))),Resal+(Salim-Resal)*(1-EXP((Tnet-t)/(Tau_j))))*Salcycl</f>
        <v>5.8041400896068553E-2</v>
      </c>
      <c r="P148" s="171">
        <f>(INDEX(Models!$BJ148:$BT148,,T148)*(1-R148)+INDEX(Models!$BJ148:$BT148,,T148+1)*R148-ERP_i)*Q148*Ramure*Pc/MaxiM</f>
        <v>1.3983306874077809E-4</v>
      </c>
      <c r="Q148" s="307">
        <f t="shared" si="51"/>
        <v>0.9</v>
      </c>
      <c r="R148" s="179">
        <f t="shared" si="52"/>
        <v>7.2663614379663954E-2</v>
      </c>
      <c r="S148" s="839">
        <f t="shared" si="53"/>
        <v>-2</v>
      </c>
      <c r="T148" s="178">
        <f t="shared" si="54"/>
        <v>4</v>
      </c>
      <c r="U148" s="253">
        <f t="shared" si="55"/>
        <v>-1.927336385620336</v>
      </c>
      <c r="V148" s="385">
        <f t="shared" si="56"/>
        <v>59.206443423703227</v>
      </c>
      <c r="W148" s="58"/>
      <c r="X148" s="157">
        <f t="shared" si="57"/>
        <v>43599</v>
      </c>
      <c r="Y148" s="387">
        <f t="shared" si="58"/>
        <v>59.463000000000001</v>
      </c>
      <c r="Z148" s="387">
        <f t="shared" si="59"/>
        <v>59.86008878579063</v>
      </c>
      <c r="AA148" s="388">
        <f t="shared" si="60"/>
        <v>63.548534768655941</v>
      </c>
      <c r="AB148" s="199">
        <f t="shared" si="61"/>
        <v>43599</v>
      </c>
      <c r="AC148" s="428">
        <f>IF(OR(t&lt;Tnet,NoTnet),'2018'!Resal_s+('2018'!Salim-'2018'!Resal_s)*(1-EXP(('2018'!Tnet_s-t)/'2018'!Tau_j)),Resal_s+(Salim-Resal_s)*(1-EXP((Tnet_s-t)/Tau_j)))*Salcycl</f>
        <v>5.8041400896068553E-2</v>
      </c>
      <c r="AD148" s="233">
        <f>(INDEX(Models!$BJ148:$BT148,,AH148)*(1-AF148)+INDEX(Models!$BJ148:$BT148,,AH148+1)*AF148-ERP_i)*AE148*Ramure*Pc/MaxiM</f>
        <v>1.3983306874077809E-4</v>
      </c>
      <c r="AE148" s="307">
        <f t="shared" si="62"/>
        <v>0.9</v>
      </c>
      <c r="AF148" s="179">
        <f t="shared" si="63"/>
        <v>7.2663614379663954E-2</v>
      </c>
      <c r="AG148" s="178">
        <f t="shared" si="64"/>
        <v>-2</v>
      </c>
      <c r="AH148" s="178">
        <f t="shared" si="65"/>
        <v>4</v>
      </c>
      <c r="AI148" s="227">
        <f t="shared" si="66"/>
        <v>-1.927336385620336</v>
      </c>
      <c r="AJ148" s="267" t="b">
        <f t="shared" si="67"/>
        <v>0</v>
      </c>
      <c r="AK148" s="267" t="b">
        <f t="shared" si="68"/>
        <v>0</v>
      </c>
      <c r="AL148" s="267"/>
      <c r="AM148" s="267"/>
      <c r="AN148" s="75"/>
    </row>
    <row r="149" spans="1:40" s="6" customFormat="1" ht="11.25" customHeight="1" x14ac:dyDescent="0.2">
      <c r="A149" s="56">
        <f t="shared" si="69"/>
        <v>43600</v>
      </c>
      <c r="B149" s="620">
        <v>60.335999999999999</v>
      </c>
      <c r="C149" s="392"/>
      <c r="D149" s="395">
        <f t="shared" si="48"/>
        <v>60.740332120765707</v>
      </c>
      <c r="E149" s="387">
        <f t="shared" si="70"/>
        <v>64.498518780310889</v>
      </c>
      <c r="F149" s="387">
        <f t="shared" si="49"/>
        <v>64.50696341655771</v>
      </c>
      <c r="G149" s="110">
        <f t="shared" si="71"/>
        <v>1.0175183106381285</v>
      </c>
      <c r="H149" s="416" t="b">
        <f>Wh_hp&gt;='2018'!Maxi_hp</f>
        <v>1</v>
      </c>
      <c r="I149" s="392">
        <f>IF(H149,Wh_hp,'2018'!Maxi_hp)</f>
        <v>64.50696341655771</v>
      </c>
      <c r="J149" s="85">
        <f>IF(H149,An,'2018'!An_max)</f>
        <v>2019</v>
      </c>
      <c r="K149" s="199">
        <f t="shared" si="50"/>
        <v>43600</v>
      </c>
      <c r="L149" s="147">
        <f>IF(t&lt;Tvie,1-EXP((T0-t)*PertePVj)+'2018'!Pspv,1-EXP((T0-t)*PertePVj)+Pspv)</f>
        <v>6.6567321357711151E-3</v>
      </c>
      <c r="M149" s="872"/>
      <c r="N149" s="872"/>
      <c r="O149" s="48">
        <f>IF(t&lt;Tnet,'2018'!Resal+('2018'!Salim-'2018'!Resal)*(1-EXP(('2018'!Tnet-t)/('2018'!Tau_j))),Resal+(Salim-Resal)*(1-EXP((Tnet-t)/(Tau_j))))*Salcycl</f>
        <v>5.8267797937282595E-2</v>
      </c>
      <c r="P149" s="171">
        <f>(INDEX(Models!$BJ149:$BT149,,T149)*(1-R149)+INDEX(Models!$BJ149:$BT149,,T149+1)*R149-ERP_i)*Q149*Ramure*Pc/MaxiM</f>
        <v>1.3091045988783078E-4</v>
      </c>
      <c r="Q149" s="307">
        <f t="shared" si="51"/>
        <v>0.9</v>
      </c>
      <c r="R149" s="179">
        <f t="shared" si="52"/>
        <v>7.8092522780719431E-2</v>
      </c>
      <c r="S149" s="839">
        <f t="shared" si="53"/>
        <v>-2</v>
      </c>
      <c r="T149" s="178">
        <f t="shared" si="54"/>
        <v>4</v>
      </c>
      <c r="U149" s="253">
        <f t="shared" si="55"/>
        <v>-1.9219074772192806</v>
      </c>
      <c r="V149" s="385">
        <f t="shared" si="56"/>
        <v>59.297213002644398</v>
      </c>
      <c r="W149" s="58"/>
      <c r="X149" s="157">
        <f t="shared" si="57"/>
        <v>43600</v>
      </c>
      <c r="Y149" s="387">
        <f t="shared" si="58"/>
        <v>60.335999999999999</v>
      </c>
      <c r="Z149" s="387">
        <f t="shared" si="59"/>
        <v>60.740332120765707</v>
      </c>
      <c r="AA149" s="388">
        <f t="shared" si="60"/>
        <v>64.498518780310889</v>
      </c>
      <c r="AB149" s="199">
        <f t="shared" si="61"/>
        <v>43600</v>
      </c>
      <c r="AC149" s="428">
        <f>IF(OR(t&lt;Tnet,NoTnet),'2018'!Resal_s+('2018'!Salim-'2018'!Resal_s)*(1-EXP(('2018'!Tnet_s-t)/'2018'!Tau_j)),Resal_s+(Salim-Resal_s)*(1-EXP((Tnet_s-t)/Tau_j)))*Salcycl</f>
        <v>5.8267797937282595E-2</v>
      </c>
      <c r="AD149" s="233">
        <f>(INDEX(Models!$BJ149:$BT149,,AH149)*(1-AF149)+INDEX(Models!$BJ149:$BT149,,AH149+1)*AF149-ERP_i)*AE149*Ramure*Pc/MaxiM</f>
        <v>1.3091045988783078E-4</v>
      </c>
      <c r="AE149" s="307">
        <f t="shared" si="62"/>
        <v>0.9</v>
      </c>
      <c r="AF149" s="179">
        <f t="shared" si="63"/>
        <v>7.8092522780719431E-2</v>
      </c>
      <c r="AG149" s="178">
        <f t="shared" si="64"/>
        <v>-2</v>
      </c>
      <c r="AH149" s="178">
        <f t="shared" si="65"/>
        <v>4</v>
      </c>
      <c r="AI149" s="227">
        <f t="shared" si="66"/>
        <v>-1.9219074772192806</v>
      </c>
      <c r="AJ149" s="267" t="b">
        <f t="shared" si="67"/>
        <v>0</v>
      </c>
      <c r="AK149" s="267" t="b">
        <f t="shared" si="68"/>
        <v>0</v>
      </c>
      <c r="AL149" s="267"/>
      <c r="AM149" s="267"/>
      <c r="AN149" s="75"/>
    </row>
    <row r="150" spans="1:40" s="6" customFormat="1" ht="11.25" customHeight="1" x14ac:dyDescent="0.2">
      <c r="A150" s="56">
        <f t="shared" si="69"/>
        <v>43601</v>
      </c>
      <c r="B150" s="620">
        <v>49.947000000000003</v>
      </c>
      <c r="C150" s="392"/>
      <c r="D150" s="395">
        <f t="shared" si="48"/>
        <v>50.282882043485905</v>
      </c>
      <c r="E150" s="387">
        <f t="shared" si="70"/>
        <v>53.406915355866701</v>
      </c>
      <c r="F150" s="387">
        <f t="shared" si="49"/>
        <v>53.412009546178766</v>
      </c>
      <c r="G150" s="110">
        <f t="shared" si="71"/>
        <v>0.8411070999661272</v>
      </c>
      <c r="H150" s="416" t="b">
        <f>Wh_hp&gt;='2018'!Maxi_hp</f>
        <v>1</v>
      </c>
      <c r="I150" s="392">
        <f>IF(H150,Wh_hp,'2018'!Maxi_hp)</f>
        <v>53.412009546178766</v>
      </c>
      <c r="J150" s="85">
        <f>IF(H150,An,'2018'!An_max)</f>
        <v>2019</v>
      </c>
      <c r="K150" s="199">
        <f t="shared" si="50"/>
        <v>43601</v>
      </c>
      <c r="L150" s="147">
        <f>IF(t&lt;Tvie,1-EXP((T0-t)*PertePVj)+'2018'!Pspv,1-EXP((T0-t)*PertePVj)+Pspv)</f>
        <v>6.6798486847954308E-3</v>
      </c>
      <c r="M150" s="872"/>
      <c r="N150" s="872"/>
      <c r="O150" s="48">
        <f>IF(t&lt;Tnet,'2018'!Resal+('2018'!Salim-'2018'!Resal)*(1-EXP(('2018'!Tnet-t)/('2018'!Tau_j))),Resal+(Salim-Resal)*(1-EXP((Tnet-t)/(Tau_j))))*Salcycl</f>
        <v>5.8494921333022164E-2</v>
      </c>
      <c r="P150" s="171">
        <f>(INDEX(Models!$BJ150:$BT150,,T150)*(1-R150)+INDEX(Models!$BJ150:$BT150,,T150+1)*R150-ERP_i)*Q150*Ramure*Pc/MaxiM</f>
        <v>1.2337641609806382E-4</v>
      </c>
      <c r="Q150" s="307">
        <f t="shared" si="51"/>
        <v>0.9</v>
      </c>
      <c r="R150" s="179">
        <f t="shared" si="52"/>
        <v>8.3631535226295961E-2</v>
      </c>
      <c r="S150" s="839">
        <f t="shared" si="53"/>
        <v>-2</v>
      </c>
      <c r="T150" s="178">
        <f t="shared" si="54"/>
        <v>4</v>
      </c>
      <c r="U150" s="253">
        <f t="shared" si="55"/>
        <v>-1.916368464773704</v>
      </c>
      <c r="V150" s="385">
        <f t="shared" si="56"/>
        <v>59.380786704202578</v>
      </c>
      <c r="W150" s="58"/>
      <c r="X150" s="157">
        <f t="shared" si="57"/>
        <v>43601</v>
      </c>
      <c r="Y150" s="387">
        <f t="shared" si="58"/>
        <v>49.947000000000003</v>
      </c>
      <c r="Z150" s="387">
        <f t="shared" si="59"/>
        <v>50.282882043485905</v>
      </c>
      <c r="AA150" s="388">
        <f t="shared" si="60"/>
        <v>53.406915355866701</v>
      </c>
      <c r="AB150" s="199">
        <f t="shared" si="61"/>
        <v>43601</v>
      </c>
      <c r="AC150" s="428">
        <f>IF(OR(t&lt;Tnet,NoTnet),'2018'!Resal_s+('2018'!Salim-'2018'!Resal_s)*(1-EXP(('2018'!Tnet_s-t)/'2018'!Tau_j)),Resal_s+(Salim-Resal_s)*(1-EXP((Tnet_s-t)/Tau_j)))*Salcycl</f>
        <v>5.8494921333022164E-2</v>
      </c>
      <c r="AD150" s="233">
        <f>(INDEX(Models!$BJ150:$BT150,,AH150)*(1-AF150)+INDEX(Models!$BJ150:$BT150,,AH150+1)*AF150-ERP_i)*AE150*Ramure*Pc/MaxiM</f>
        <v>1.2337641609806382E-4</v>
      </c>
      <c r="AE150" s="307">
        <f t="shared" si="62"/>
        <v>0.9</v>
      </c>
      <c r="AF150" s="179">
        <f t="shared" si="63"/>
        <v>8.3631535226295961E-2</v>
      </c>
      <c r="AG150" s="178">
        <f t="shared" si="64"/>
        <v>-2</v>
      </c>
      <c r="AH150" s="178">
        <f t="shared" si="65"/>
        <v>4</v>
      </c>
      <c r="AI150" s="227">
        <f t="shared" si="66"/>
        <v>-1.916368464773704</v>
      </c>
      <c r="AJ150" s="267" t="b">
        <f t="shared" si="67"/>
        <v>0</v>
      </c>
      <c r="AK150" s="267" t="b">
        <f t="shared" si="68"/>
        <v>0</v>
      </c>
      <c r="AL150" s="267"/>
      <c r="AM150" s="267"/>
      <c r="AN150" s="75"/>
    </row>
    <row r="151" spans="1:40" s="6" customFormat="1" ht="11.25" customHeight="1" x14ac:dyDescent="0.2">
      <c r="A151" s="56">
        <f t="shared" si="69"/>
        <v>43602</v>
      </c>
      <c r="B151" s="620">
        <v>6.9109999999999996</v>
      </c>
      <c r="C151" s="392"/>
      <c r="D151" s="395">
        <f t="shared" si="48"/>
        <v>6.9576367937954542</v>
      </c>
      <c r="E151" s="387">
        <f t="shared" si="70"/>
        <v>7.3916973898703757</v>
      </c>
      <c r="F151" s="387">
        <f t="shared" si="49"/>
        <v>7.3916973898703757</v>
      </c>
      <c r="G151" s="110">
        <f t="shared" si="71"/>
        <v>0.11622068531767729</v>
      </c>
      <c r="H151" s="416" t="b">
        <f>Wh_hp&gt;='2018'!Maxi_hp</f>
        <v>1</v>
      </c>
      <c r="I151" s="392">
        <f>IF(H151,Wh_hp,'2018'!Maxi_hp)</f>
        <v>7.3916973898703757</v>
      </c>
      <c r="J151" s="85">
        <f>IF(H151,An,'2018'!An_max)</f>
        <v>2019</v>
      </c>
      <c r="K151" s="199">
        <f t="shared" si="50"/>
        <v>43602</v>
      </c>
      <c r="L151" s="147">
        <f>IF(t&lt;Tvie,1-EXP((T0-t)*PertePVj)+'2018'!Pspv,1-EXP((T0-t)*PertePVj)+Pspv)</f>
        <v>6.7029646958638445E-3</v>
      </c>
      <c r="M151" s="872"/>
      <c r="N151" s="872"/>
      <c r="O151" s="48">
        <f>IF(t&lt;Tnet,'2018'!Resal+('2018'!Salim-'2018'!Resal)*(1-EXP(('2018'!Tnet-t)/('2018'!Tau_j))),Resal+(Salim-Resal)*(1-EXP((Tnet-t)/(Tau_j))))*Salcycl</f>
        <v>5.8722722695569309E-2</v>
      </c>
      <c r="P151" s="171">
        <f>(INDEX(Models!$BJ151:$BT151,,T151)*(1-R151)+INDEX(Models!$BJ151:$BT151,,T151+1)*R151-ERP_i)*Q151*Ramure*Pc/MaxiM</f>
        <v>1.1622713228007498E-4</v>
      </c>
      <c r="Q151" s="307">
        <f t="shared" si="51"/>
        <v>0.9</v>
      </c>
      <c r="R151" s="179">
        <f t="shared" si="52"/>
        <v>8.9279216930259198E-2</v>
      </c>
      <c r="S151" s="839">
        <f t="shared" si="53"/>
        <v>-2</v>
      </c>
      <c r="T151" s="178">
        <f t="shared" si="54"/>
        <v>4</v>
      </c>
      <c r="U151" s="253">
        <f t="shared" si="55"/>
        <v>-1.9107207830697408</v>
      </c>
      <c r="V151" s="385">
        <f t="shared" si="56"/>
        <v>59.45754609345574</v>
      </c>
      <c r="W151" s="58"/>
      <c r="X151" s="157">
        <f t="shared" si="57"/>
        <v>43602</v>
      </c>
      <c r="Y151" s="387">
        <f t="shared" si="58"/>
        <v>6.9109999999999996</v>
      </c>
      <c r="Z151" s="387">
        <f t="shared" si="59"/>
        <v>6.9576367937954542</v>
      </c>
      <c r="AA151" s="388">
        <f t="shared" si="60"/>
        <v>7.3916973898703757</v>
      </c>
      <c r="AB151" s="199">
        <f t="shared" si="61"/>
        <v>43602</v>
      </c>
      <c r="AC151" s="428">
        <f>IF(OR(t&lt;Tnet,NoTnet),'2018'!Resal_s+('2018'!Salim-'2018'!Resal_s)*(1-EXP(('2018'!Tnet_s-t)/'2018'!Tau_j)),Resal_s+(Salim-Resal_s)*(1-EXP((Tnet_s-t)/Tau_j)))*Salcycl</f>
        <v>5.8722722695569309E-2</v>
      </c>
      <c r="AD151" s="233">
        <f>(INDEX(Models!$BJ151:$BT151,,AH151)*(1-AF151)+INDEX(Models!$BJ151:$BT151,,AH151+1)*AF151-ERP_i)*AE151*Ramure*Pc/MaxiM</f>
        <v>1.1622713228007498E-4</v>
      </c>
      <c r="AE151" s="307">
        <f t="shared" si="62"/>
        <v>0.9</v>
      </c>
      <c r="AF151" s="179">
        <f t="shared" si="63"/>
        <v>8.9279216930259198E-2</v>
      </c>
      <c r="AG151" s="178">
        <f t="shared" si="64"/>
        <v>-2</v>
      </c>
      <c r="AH151" s="178">
        <f t="shared" si="65"/>
        <v>4</v>
      </c>
      <c r="AI151" s="227">
        <f t="shared" si="66"/>
        <v>-1.9107207830697408</v>
      </c>
      <c r="AJ151" s="267" t="b">
        <f t="shared" si="67"/>
        <v>0</v>
      </c>
      <c r="AK151" s="267" t="b">
        <f t="shared" si="68"/>
        <v>0</v>
      </c>
      <c r="AL151" s="267"/>
      <c r="AM151" s="267"/>
      <c r="AN151" s="75"/>
    </row>
    <row r="152" spans="1:40" s="6" customFormat="1" ht="11.25" customHeight="1" x14ac:dyDescent="0.2">
      <c r="A152" s="56">
        <f t="shared" si="69"/>
        <v>43603</v>
      </c>
      <c r="B152" s="620">
        <v>37.584000000000003</v>
      </c>
      <c r="C152" s="392"/>
      <c r="D152" s="395">
        <f t="shared" si="48"/>
        <v>37.83850481687297</v>
      </c>
      <c r="E152" s="387">
        <f t="shared" si="70"/>
        <v>40.208863594189054</v>
      </c>
      <c r="F152" s="387">
        <f t="shared" si="49"/>
        <v>40.210947241704694</v>
      </c>
      <c r="G152" s="110">
        <f t="shared" si="71"/>
        <v>0.63133233584665482</v>
      </c>
      <c r="H152" s="416" t="b">
        <f>Wh_hp&gt;='2018'!Maxi_hp</f>
        <v>1</v>
      </c>
      <c r="I152" s="392">
        <f>IF(H152,Wh_hp,'2018'!Maxi_hp)</f>
        <v>40.210947241704694</v>
      </c>
      <c r="J152" s="85">
        <f>IF(H152,An,'2018'!An_max)</f>
        <v>2019</v>
      </c>
      <c r="K152" s="199">
        <f t="shared" si="50"/>
        <v>43603</v>
      </c>
      <c r="L152" s="147">
        <f>IF(t&lt;Tvie,1-EXP((T0-t)*PertePVj)+'2018'!Pspv,1-EXP((T0-t)*PertePVj)+Pspv)</f>
        <v>6.7260801689890126E-3</v>
      </c>
      <c r="M152" s="872"/>
      <c r="N152" s="872"/>
      <c r="O152" s="48">
        <f>IF(t&lt;Tnet,'2018'!Resal+('2018'!Salim-'2018'!Resal)*(1-EXP(('2018'!Tnet-t)/('2018'!Tau_j))),Resal+(Salim-Resal)*(1-EXP((Tnet-t)/(Tau_j))))*Salcycl</f>
        <v>5.8951150702469715E-2</v>
      </c>
      <c r="P152" s="171">
        <f>(INDEX(Models!$BJ152:$BT152,,T152)*(1-R152)+INDEX(Models!$BJ152:$BT152,,T152+1)*R152-ERP_i)*Q152*Ramure*Pc/MaxiM</f>
        <v>1.0946277698311297E-4</v>
      </c>
      <c r="Q152" s="307">
        <f t="shared" si="51"/>
        <v>0.9</v>
      </c>
      <c r="R152" s="179">
        <f t="shared" si="52"/>
        <v>9.5033889243799186E-2</v>
      </c>
      <c r="S152" s="839">
        <f t="shared" si="53"/>
        <v>-2</v>
      </c>
      <c r="T152" s="178">
        <f t="shared" si="54"/>
        <v>4</v>
      </c>
      <c r="U152" s="253">
        <f t="shared" si="55"/>
        <v>-1.9049661107562008</v>
      </c>
      <c r="V152" s="385">
        <f t="shared" si="56"/>
        <v>59.527813212516648</v>
      </c>
      <c r="W152" s="58"/>
      <c r="X152" s="157">
        <f t="shared" si="57"/>
        <v>43603</v>
      </c>
      <c r="Y152" s="387">
        <f t="shared" si="58"/>
        <v>37.584000000000003</v>
      </c>
      <c r="Z152" s="387">
        <f t="shared" si="59"/>
        <v>37.83850481687297</v>
      </c>
      <c r="AA152" s="388">
        <f t="shared" si="60"/>
        <v>40.208863594189054</v>
      </c>
      <c r="AB152" s="199">
        <f t="shared" si="61"/>
        <v>43603</v>
      </c>
      <c r="AC152" s="428">
        <f>IF(OR(t&lt;Tnet,NoTnet),'2018'!Resal_s+('2018'!Salim-'2018'!Resal_s)*(1-EXP(('2018'!Tnet_s-t)/'2018'!Tau_j)),Resal_s+(Salim-Resal_s)*(1-EXP((Tnet_s-t)/Tau_j)))*Salcycl</f>
        <v>5.8951150702469715E-2</v>
      </c>
      <c r="AD152" s="233">
        <f>(INDEX(Models!$BJ152:$BT152,,AH152)*(1-AF152)+INDEX(Models!$BJ152:$BT152,,AH152+1)*AF152-ERP_i)*AE152*Ramure*Pc/MaxiM</f>
        <v>1.0946277698311297E-4</v>
      </c>
      <c r="AE152" s="307">
        <f t="shared" si="62"/>
        <v>0.9</v>
      </c>
      <c r="AF152" s="179">
        <f t="shared" si="63"/>
        <v>9.5033889243799186E-2</v>
      </c>
      <c r="AG152" s="178">
        <f t="shared" si="64"/>
        <v>-2</v>
      </c>
      <c r="AH152" s="178">
        <f t="shared" si="65"/>
        <v>4</v>
      </c>
      <c r="AI152" s="227">
        <f t="shared" si="66"/>
        <v>-1.9049661107562008</v>
      </c>
      <c r="AJ152" s="267" t="b">
        <f t="shared" si="67"/>
        <v>0</v>
      </c>
      <c r="AK152" s="267" t="b">
        <f t="shared" si="68"/>
        <v>0</v>
      </c>
      <c r="AL152" s="267"/>
      <c r="AM152" s="267"/>
      <c r="AN152" s="75"/>
    </row>
    <row r="153" spans="1:40" s="6" customFormat="1" ht="11.25" customHeight="1" x14ac:dyDescent="0.2">
      <c r="A153" s="56">
        <f t="shared" si="69"/>
        <v>43604</v>
      </c>
      <c r="B153" s="620">
        <v>27.007999999999999</v>
      </c>
      <c r="C153" s="392"/>
      <c r="D153" s="395">
        <f t="shared" si="48"/>
        <v>27.191520879595863</v>
      </c>
      <c r="E153" s="387">
        <f t="shared" si="70"/>
        <v>28.901942187568629</v>
      </c>
      <c r="F153" s="387">
        <f t="shared" si="49"/>
        <v>28.902594319130856</v>
      </c>
      <c r="G153" s="110">
        <f t="shared" si="71"/>
        <v>0.45317938704665628</v>
      </c>
      <c r="H153" s="416" t="b">
        <f>Wh_hp&gt;='2018'!Maxi_hp</f>
        <v>1</v>
      </c>
      <c r="I153" s="392">
        <f>IF(H153,Wh_hp,'2018'!Maxi_hp)</f>
        <v>28.902594319130856</v>
      </c>
      <c r="J153" s="85">
        <f>IF(H153,An,'2018'!An_max)</f>
        <v>2019</v>
      </c>
      <c r="K153" s="199">
        <f t="shared" si="50"/>
        <v>43604</v>
      </c>
      <c r="L153" s="147">
        <f>IF(t&lt;Tvie,1-EXP((T0-t)*PertePVj)+'2018'!Pspv,1-EXP((T0-t)*PertePVj)+Pspv)</f>
        <v>6.7491951041832587E-3</v>
      </c>
      <c r="M153" s="872"/>
      <c r="N153" s="872"/>
      <c r="O153" s="48">
        <f>IF(t&lt;Tnet,'2018'!Resal+('2018'!Salim-'2018'!Resal)*(1-EXP(('2018'!Tnet-t)/('2018'!Tau_j))),Resal+(Salim-Resal)*(1-EXP((Tnet-t)/(Tau_j))))*Salcycl</f>
        <v>5.9180151177122539E-2</v>
      </c>
      <c r="P153" s="171">
        <f>(INDEX(Models!$BJ153:$BT153,,T153)*(1-R153)+INDEX(Models!$BJ153:$BT153,,T153+1)*R153-ERP_i)*Q153*Ramure*Pc/MaxiM</f>
        <v>1.0308432916058063E-4</v>
      </c>
      <c r="Q153" s="307">
        <f t="shared" si="51"/>
        <v>0.9</v>
      </c>
      <c r="R153" s="179">
        <f t="shared" si="52"/>
        <v>0.10089362531801438</v>
      </c>
      <c r="S153" s="839">
        <f t="shared" si="53"/>
        <v>-2</v>
      </c>
      <c r="T153" s="178">
        <f t="shared" si="54"/>
        <v>4</v>
      </c>
      <c r="U153" s="253">
        <f t="shared" si="55"/>
        <v>-1.8991063746819856</v>
      </c>
      <c r="V153" s="385">
        <f t="shared" si="56"/>
        <v>59.591909969784972</v>
      </c>
      <c r="W153" s="58"/>
      <c r="X153" s="157">
        <f t="shared" si="57"/>
        <v>43604</v>
      </c>
      <c r="Y153" s="387">
        <f t="shared" si="58"/>
        <v>27.007999999999999</v>
      </c>
      <c r="Z153" s="387">
        <f t="shared" si="59"/>
        <v>27.191520879595863</v>
      </c>
      <c r="AA153" s="388">
        <f t="shared" si="60"/>
        <v>28.901942187568629</v>
      </c>
      <c r="AB153" s="199">
        <f t="shared" si="61"/>
        <v>43604</v>
      </c>
      <c r="AC153" s="428">
        <f>IF(OR(t&lt;Tnet,NoTnet),'2018'!Resal_s+('2018'!Salim-'2018'!Resal_s)*(1-EXP(('2018'!Tnet_s-t)/'2018'!Tau_j)),Resal_s+(Salim-Resal_s)*(1-EXP((Tnet_s-t)/Tau_j)))*Salcycl</f>
        <v>5.9180151177122539E-2</v>
      </c>
      <c r="AD153" s="233">
        <f>(INDEX(Models!$BJ153:$BT153,,AH153)*(1-AF153)+INDEX(Models!$BJ153:$BT153,,AH153+1)*AF153-ERP_i)*AE153*Ramure*Pc/MaxiM</f>
        <v>1.0308432916058063E-4</v>
      </c>
      <c r="AE153" s="307">
        <f t="shared" si="62"/>
        <v>0.9</v>
      </c>
      <c r="AF153" s="179">
        <f t="shared" si="63"/>
        <v>0.10089362531801438</v>
      </c>
      <c r="AG153" s="178">
        <f t="shared" si="64"/>
        <v>-2</v>
      </c>
      <c r="AH153" s="178">
        <f t="shared" si="65"/>
        <v>4</v>
      </c>
      <c r="AI153" s="227">
        <f t="shared" si="66"/>
        <v>-1.8991063746819856</v>
      </c>
      <c r="AJ153" s="267" t="b">
        <f t="shared" si="67"/>
        <v>0</v>
      </c>
      <c r="AK153" s="267" t="b">
        <f t="shared" si="68"/>
        <v>0</v>
      </c>
      <c r="AL153" s="267"/>
      <c r="AM153" s="267"/>
      <c r="AN153" s="75"/>
    </row>
    <row r="154" spans="1:40" s="6" customFormat="1" ht="11.25" customHeight="1" x14ac:dyDescent="0.2">
      <c r="A154" s="56">
        <f t="shared" si="69"/>
        <v>43605</v>
      </c>
      <c r="B154" s="620">
        <v>55.753999999999998</v>
      </c>
      <c r="C154" s="392"/>
      <c r="D154" s="395">
        <f t="shared" si="48"/>
        <v>56.134157890840548</v>
      </c>
      <c r="E154" s="387">
        <f t="shared" si="70"/>
        <v>59.679709574442185</v>
      </c>
      <c r="F154" s="387">
        <f t="shared" si="49"/>
        <v>59.684963867578702</v>
      </c>
      <c r="G154" s="110">
        <f t="shared" si="71"/>
        <v>0.93467471979551886</v>
      </c>
      <c r="H154" s="416" t="b">
        <f>Wh_hp&gt;='2018'!Maxi_hp</f>
        <v>1</v>
      </c>
      <c r="I154" s="392">
        <f>IF(H154,Wh_hp,'2018'!Maxi_hp)</f>
        <v>59.684963867578702</v>
      </c>
      <c r="J154" s="85">
        <f>IF(H154,An,'2018'!An_max)</f>
        <v>2019</v>
      </c>
      <c r="K154" s="199">
        <f t="shared" si="50"/>
        <v>43605</v>
      </c>
      <c r="L154" s="147">
        <f>IF(t&lt;Tvie,1-EXP((T0-t)*PertePVj)+'2018'!Pspv,1-EXP((T0-t)*PertePVj)+Pspv)</f>
        <v>6.7723095014592394E-3</v>
      </c>
      <c r="M154" s="872"/>
      <c r="N154" s="872"/>
      <c r="O154" s="48">
        <f>IF(t&lt;Tnet,'2018'!Resal+('2018'!Salim-'2018'!Resal)*(1-EXP(('2018'!Tnet-t)/('2018'!Tau_j))),Resal+(Salim-Resal)*(1-EXP((Tnet-t)/(Tau_j))))*Salcycl</f>
        <v>5.9409667186450542E-2</v>
      </c>
      <c r="P154" s="171">
        <f>(INDEX(Models!$BJ154:$BT154,,T154)*(1-R154)+INDEX(Models!$BJ154:$BT154,,T154+1)*R154-ERP_i)*Q154*Ramure*Pc/MaxiM</f>
        <v>9.7093556226087027E-5</v>
      </c>
      <c r="Q154" s="307">
        <f t="shared" si="51"/>
        <v>0.9</v>
      </c>
      <c r="R154" s="179">
        <f t="shared" si="52"/>
        <v>0.10685624674873928</v>
      </c>
      <c r="S154" s="839">
        <f t="shared" si="53"/>
        <v>-2</v>
      </c>
      <c r="T154" s="178">
        <f t="shared" si="54"/>
        <v>4</v>
      </c>
      <c r="U154" s="253">
        <f t="shared" si="55"/>
        <v>-1.8931437532512607</v>
      </c>
      <c r="V154" s="385">
        <f t="shared" si="56"/>
        <v>59.650158131066043</v>
      </c>
      <c r="W154" s="58"/>
      <c r="X154" s="157">
        <f t="shared" si="57"/>
        <v>43605</v>
      </c>
      <c r="Y154" s="387">
        <f t="shared" si="58"/>
        <v>55.753999999999998</v>
      </c>
      <c r="Z154" s="387">
        <f t="shared" si="59"/>
        <v>56.134157890840548</v>
      </c>
      <c r="AA154" s="388">
        <f t="shared" si="60"/>
        <v>59.679709574442185</v>
      </c>
      <c r="AB154" s="199">
        <f t="shared" si="61"/>
        <v>43605</v>
      </c>
      <c r="AC154" s="428">
        <f>IF(OR(t&lt;Tnet,NoTnet),'2018'!Resal_s+('2018'!Salim-'2018'!Resal_s)*(1-EXP(('2018'!Tnet_s-t)/'2018'!Tau_j)),Resal_s+(Salim-Resal_s)*(1-EXP((Tnet_s-t)/Tau_j)))*Salcycl</f>
        <v>5.9409667186450542E-2</v>
      </c>
      <c r="AD154" s="233">
        <f>(INDEX(Models!$BJ154:$BT154,,AH154)*(1-AF154)+INDEX(Models!$BJ154:$BT154,,AH154+1)*AF154-ERP_i)*AE154*Ramure*Pc/MaxiM</f>
        <v>9.7093556226087027E-5</v>
      </c>
      <c r="AE154" s="307">
        <f t="shared" si="62"/>
        <v>0.9</v>
      </c>
      <c r="AF154" s="179">
        <f t="shared" si="63"/>
        <v>0.10685624674873928</v>
      </c>
      <c r="AG154" s="178">
        <f t="shared" si="64"/>
        <v>-2</v>
      </c>
      <c r="AH154" s="178">
        <f t="shared" si="65"/>
        <v>4</v>
      </c>
      <c r="AI154" s="227">
        <f t="shared" si="66"/>
        <v>-1.8931437532512607</v>
      </c>
      <c r="AJ154" s="267" t="b">
        <f t="shared" si="67"/>
        <v>0</v>
      </c>
      <c r="AK154" s="267" t="b">
        <f t="shared" si="68"/>
        <v>0</v>
      </c>
      <c r="AL154" s="267"/>
      <c r="AM154" s="267"/>
      <c r="AN154" s="75"/>
    </row>
    <row r="155" spans="1:40" s="6" customFormat="1" ht="11.25" x14ac:dyDescent="0.2">
      <c r="A155" s="56">
        <f t="shared" si="69"/>
        <v>43606</v>
      </c>
      <c r="B155" s="620">
        <v>44.51</v>
      </c>
      <c r="C155" s="392"/>
      <c r="D155" s="395">
        <f t="shared" si="48"/>
        <v>44.814533729409504</v>
      </c>
      <c r="E155" s="387">
        <f t="shared" si="70"/>
        <v>47.656766060596077</v>
      </c>
      <c r="F155" s="387">
        <f t="shared" si="49"/>
        <v>47.659541373168672</v>
      </c>
      <c r="G155" s="110">
        <f t="shared" si="71"/>
        <v>0.74550038437412847</v>
      </c>
      <c r="H155" s="416" t="b">
        <f>Wh_hp&gt;='2018'!Maxi_hp</f>
        <v>1</v>
      </c>
      <c r="I155" s="392">
        <f>IF(H155,Wh_hp,'2018'!Maxi_hp)</f>
        <v>47.659541373168672</v>
      </c>
      <c r="J155" s="85">
        <f>IF(H155,An,'2018'!An_max)</f>
        <v>2019</v>
      </c>
      <c r="K155" s="199">
        <f t="shared" si="50"/>
        <v>43606</v>
      </c>
      <c r="L155" s="147">
        <f>IF(t&lt;Tvie,1-EXP((T0-t)*PertePVj)+'2018'!Pspv,1-EXP((T0-t)*PertePVj)+Pspv)</f>
        <v>6.795423360829389E-3</v>
      </c>
      <c r="M155" s="872"/>
      <c r="N155" s="872"/>
      <c r="O155" s="48">
        <f>IF(t&lt;Tnet,'2018'!Resal+('2018'!Salim-'2018'!Resal)*(1-EXP(('2018'!Tnet-t)/('2018'!Tau_j))),Resal+(Salim-Resal)*(1-EXP((Tnet-t)/(Tau_j))))*Salcycl</f>
        <v>5.9639639155805182E-2</v>
      </c>
      <c r="P155" s="171">
        <f>(INDEX(Models!$BJ155:$BT155,,T155)*(1-R155)+INDEX(Models!$BJ155:$BT155,,T155+1)*R155-ERP_i)*Q155*Ramure*Pc/MaxiM</f>
        <v>9.1492991415804688E-5</v>
      </c>
      <c r="Q155" s="307">
        <f t="shared" si="51"/>
        <v>0.9</v>
      </c>
      <c r="R155" s="179">
        <f t="shared" si="52"/>
        <v>0.11291932127805926</v>
      </c>
      <c r="S155" s="839">
        <f t="shared" si="53"/>
        <v>-2</v>
      </c>
      <c r="T155" s="178">
        <f t="shared" si="54"/>
        <v>4</v>
      </c>
      <c r="U155" s="253">
        <f t="shared" si="55"/>
        <v>-1.8870806787219407</v>
      </c>
      <c r="V155" s="385">
        <f t="shared" si="56"/>
        <v>59.702879303597847</v>
      </c>
      <c r="W155" s="58"/>
      <c r="X155" s="157">
        <f t="shared" si="57"/>
        <v>43606</v>
      </c>
      <c r="Y155" s="387">
        <f t="shared" si="58"/>
        <v>44.51</v>
      </c>
      <c r="Z155" s="387">
        <f t="shared" si="59"/>
        <v>44.814533729409504</v>
      </c>
      <c r="AA155" s="388">
        <f t="shared" si="60"/>
        <v>47.656766060596077</v>
      </c>
      <c r="AB155" s="199">
        <f t="shared" si="61"/>
        <v>43606</v>
      </c>
      <c r="AC155" s="428">
        <f>IF(OR(t&lt;Tnet,NoTnet),'2018'!Resal_s+('2018'!Salim-'2018'!Resal_s)*(1-EXP(('2018'!Tnet_s-t)/'2018'!Tau_j)),Resal_s+(Salim-Resal_s)*(1-EXP((Tnet_s-t)/Tau_j)))*Salcycl</f>
        <v>5.9639639155805182E-2</v>
      </c>
      <c r="AD155" s="233">
        <f>(INDEX(Models!$BJ155:$BT155,,AH155)*(1-AF155)+INDEX(Models!$BJ155:$BT155,,AH155+1)*AF155-ERP_i)*AE155*Ramure*Pc/MaxiM</f>
        <v>9.1492991415804688E-5</v>
      </c>
      <c r="AE155" s="307">
        <f t="shared" si="62"/>
        <v>0.9</v>
      </c>
      <c r="AF155" s="179">
        <f t="shared" si="63"/>
        <v>0.11291932127805926</v>
      </c>
      <c r="AG155" s="178">
        <f t="shared" si="64"/>
        <v>-2</v>
      </c>
      <c r="AH155" s="178">
        <f t="shared" si="65"/>
        <v>4</v>
      </c>
      <c r="AI155" s="227">
        <f t="shared" si="66"/>
        <v>-1.8870806787219407</v>
      </c>
      <c r="AJ155" s="267" t="b">
        <f t="shared" si="67"/>
        <v>0</v>
      </c>
      <c r="AK155" s="267" t="b">
        <f t="shared" si="68"/>
        <v>0</v>
      </c>
      <c r="AL155" s="267"/>
      <c r="AM155" s="267"/>
      <c r="AN155" s="75"/>
    </row>
    <row r="156" spans="1:40" s="18" customFormat="1" ht="11.25" customHeight="1" x14ac:dyDescent="0.2">
      <c r="A156" s="56">
        <f t="shared" si="69"/>
        <v>43607</v>
      </c>
      <c r="B156" s="620">
        <v>58.847000000000001</v>
      </c>
      <c r="C156" s="392"/>
      <c r="D156" s="395">
        <f t="shared" si="48"/>
        <v>59.251005152093065</v>
      </c>
      <c r="E156" s="387">
        <f t="shared" si="70"/>
        <v>63.024268417437085</v>
      </c>
      <c r="F156" s="387">
        <f t="shared" si="49"/>
        <v>63.02960296513583</v>
      </c>
      <c r="G156" s="110">
        <f t="shared" si="71"/>
        <v>0.98487889401491702</v>
      </c>
      <c r="H156" s="416" t="b">
        <f>Wh_hp&gt;='2018'!Maxi_hp</f>
        <v>1</v>
      </c>
      <c r="I156" s="392">
        <f>IF(H156,Wh_hp,'2018'!Maxi_hp)</f>
        <v>63.02960296513583</v>
      </c>
      <c r="J156" s="85">
        <f>IF(H156,An,'2018'!An_max)</f>
        <v>2019</v>
      </c>
      <c r="K156" s="199">
        <f t="shared" si="50"/>
        <v>43607</v>
      </c>
      <c r="L156" s="147">
        <f>IF(t&lt;Tvie,1-EXP((T0-t)*PertePVj)+'2018'!Pspv,1-EXP((T0-t)*PertePVj)+Pspv)</f>
        <v>6.8185366823062532E-3</v>
      </c>
      <c r="M156" s="872"/>
      <c r="N156" s="872"/>
      <c r="O156" s="48">
        <f>IF(t&lt;Tnet,'2018'!Resal+('2018'!Salim-'2018'!Resal)*(1-EXP(('2018'!Tnet-t)/('2018'!Tau_j))),Resal+(Salim-Resal)*(1-EXP((Tnet-t)/(Tau_j))))*Salcycl</f>
        <v>5.987000500112212E-2</v>
      </c>
      <c r="P156" s="171">
        <f>(INDEX(Models!$BJ156:$BT156,,T156)*(1-R156)+INDEX(Models!$BJ156:$BT156,,T156+1)*R156-ERP_i)*Q156*Ramure*Pc/MaxiM</f>
        <v>8.6503986381635491E-5</v>
      </c>
      <c r="Q156" s="307">
        <f t="shared" si="51"/>
        <v>0.9</v>
      </c>
      <c r="R156" s="179">
        <f t="shared" si="52"/>
        <v>0.1190801616218371</v>
      </c>
      <c r="S156" s="839">
        <f t="shared" si="53"/>
        <v>-2</v>
      </c>
      <c r="T156" s="178">
        <f t="shared" si="54"/>
        <v>4</v>
      </c>
      <c r="U156" s="253">
        <f t="shared" si="55"/>
        <v>-1.8809198383781629</v>
      </c>
      <c r="V156" s="385">
        <f t="shared" si="56"/>
        <v>59.750381898569209</v>
      </c>
      <c r="W156" s="58"/>
      <c r="X156" s="157">
        <f t="shared" si="57"/>
        <v>43607</v>
      </c>
      <c r="Y156" s="387">
        <f t="shared" si="58"/>
        <v>58.847000000000001</v>
      </c>
      <c r="Z156" s="387">
        <f t="shared" si="59"/>
        <v>59.251005152093065</v>
      </c>
      <c r="AA156" s="388">
        <f t="shared" si="60"/>
        <v>63.024268417437085</v>
      </c>
      <c r="AB156" s="199">
        <f t="shared" si="61"/>
        <v>43607</v>
      </c>
      <c r="AC156" s="428">
        <f>IF(OR(t&lt;Tnet,NoTnet),'2018'!Resal_s+('2018'!Salim-'2018'!Resal_s)*(1-EXP(('2018'!Tnet_s-t)/'2018'!Tau_j)),Resal_s+(Salim-Resal_s)*(1-EXP((Tnet_s-t)/Tau_j)))*Salcycl</f>
        <v>5.987000500112212E-2</v>
      </c>
      <c r="AD156" s="233">
        <f>(INDEX(Models!$BJ156:$BT156,,AH156)*(1-AF156)+INDEX(Models!$BJ156:$BT156,,AH156+1)*AF156-ERP_i)*AE156*Ramure*Pc/MaxiM</f>
        <v>8.6503986381635491E-5</v>
      </c>
      <c r="AE156" s="307">
        <f t="shared" si="62"/>
        <v>0.9</v>
      </c>
      <c r="AF156" s="179">
        <f t="shared" si="63"/>
        <v>0.1190801616218371</v>
      </c>
      <c r="AG156" s="178">
        <f t="shared" si="64"/>
        <v>-2</v>
      </c>
      <c r="AH156" s="178">
        <f t="shared" si="65"/>
        <v>4</v>
      </c>
      <c r="AI156" s="227">
        <f t="shared" si="66"/>
        <v>-1.8809198383781629</v>
      </c>
      <c r="AJ156" s="267" t="b">
        <f t="shared" si="67"/>
        <v>0</v>
      </c>
      <c r="AK156" s="267" t="b">
        <f t="shared" si="68"/>
        <v>0</v>
      </c>
      <c r="AL156" s="267"/>
      <c r="AM156" s="267"/>
      <c r="AN156" s="267"/>
    </row>
    <row r="157" spans="1:40" s="18" customFormat="1" ht="11.25" customHeight="1" x14ac:dyDescent="0.2">
      <c r="A157" s="56">
        <f t="shared" si="69"/>
        <v>43608</v>
      </c>
      <c r="B157" s="620">
        <v>49.948999999999998</v>
      </c>
      <c r="C157" s="392"/>
      <c r="D157" s="395">
        <f t="shared" si="48"/>
        <v>50.293087676440095</v>
      </c>
      <c r="E157" s="387">
        <f t="shared" si="70"/>
        <v>53.509017073771808</v>
      </c>
      <c r="F157" s="387">
        <f t="shared" si="49"/>
        <v>53.512362508298921</v>
      </c>
      <c r="G157" s="110">
        <f t="shared" si="71"/>
        <v>0.83534913784118126</v>
      </c>
      <c r="H157" s="416" t="b">
        <f>Wh_hp&gt;='2018'!Maxi_hp</f>
        <v>1</v>
      </c>
      <c r="I157" s="392">
        <f>IF(H157,Wh_hp,'2018'!Maxi_hp)</f>
        <v>53.512362508298921</v>
      </c>
      <c r="J157" s="85">
        <f>IF(H157,An,'2018'!An_max)</f>
        <v>2019</v>
      </c>
      <c r="K157" s="199">
        <f t="shared" si="50"/>
        <v>43608</v>
      </c>
      <c r="L157" s="147">
        <f>IF(t&lt;Tvie,1-EXP((T0-t)*PertePVj)+'2018'!Pspv,1-EXP((T0-t)*PertePVj)+Pspv)</f>
        <v>6.8416494659023774E-3</v>
      </c>
      <c r="M157" s="872"/>
      <c r="N157" s="872"/>
      <c r="O157" s="48">
        <f>IF(t&lt;Tnet,'2018'!Resal+('2018'!Salim-'2018'!Resal)*(1-EXP(('2018'!Tnet-t)/('2018'!Tau_j))),Resal+(Salim-Resal)*(1-EXP((Tnet-t)/(Tau_j))))*Salcycl</f>
        <v>6.0100700278197416E-2</v>
      </c>
      <c r="P157" s="171">
        <f>(INDEX(Models!$BJ157:$BT157,,T157)*(1-R157)+INDEX(Models!$BJ157:$BT157,,T157+1)*R157-ERP_i)*Q157*Ramure*Pc/MaxiM</f>
        <v>8.1742198315540453E-5</v>
      </c>
      <c r="Q157" s="307">
        <f t="shared" si="51"/>
        <v>0.9</v>
      </c>
      <c r="R157" s="179">
        <f t="shared" si="52"/>
        <v>0.12533582548631839</v>
      </c>
      <c r="S157" s="839">
        <f t="shared" si="53"/>
        <v>-2</v>
      </c>
      <c r="T157" s="178">
        <f t="shared" si="54"/>
        <v>4</v>
      </c>
      <c r="U157" s="253">
        <f t="shared" si="55"/>
        <v>-1.8746641745136816</v>
      </c>
      <c r="V157" s="385">
        <f t="shared" si="56"/>
        <v>59.793010371244876</v>
      </c>
      <c r="W157" s="58"/>
      <c r="X157" s="157">
        <f t="shared" si="57"/>
        <v>43608</v>
      </c>
      <c r="Y157" s="387">
        <f t="shared" si="58"/>
        <v>49.948999999999998</v>
      </c>
      <c r="Z157" s="387">
        <f t="shared" si="59"/>
        <v>50.293087676440095</v>
      </c>
      <c r="AA157" s="388">
        <f t="shared" si="60"/>
        <v>53.509017073771808</v>
      </c>
      <c r="AB157" s="199">
        <f t="shared" si="61"/>
        <v>43608</v>
      </c>
      <c r="AC157" s="428">
        <f>IF(OR(t&lt;Tnet,NoTnet),'2018'!Resal_s+('2018'!Salim-'2018'!Resal_s)*(1-EXP(('2018'!Tnet_s-t)/'2018'!Tau_j)),Resal_s+(Salim-Resal_s)*(1-EXP((Tnet_s-t)/Tau_j)))*Salcycl</f>
        <v>6.0100700278197416E-2</v>
      </c>
      <c r="AD157" s="233">
        <f>(INDEX(Models!$BJ157:$BT157,,AH157)*(1-AF157)+INDEX(Models!$BJ157:$BT157,,AH157+1)*AF157-ERP_i)*AE157*Ramure*Pc/MaxiM</f>
        <v>8.1742198315540453E-5</v>
      </c>
      <c r="AE157" s="307">
        <f t="shared" si="62"/>
        <v>0.9</v>
      </c>
      <c r="AF157" s="179">
        <f t="shared" si="63"/>
        <v>0.12533582548631839</v>
      </c>
      <c r="AG157" s="178">
        <f t="shared" si="64"/>
        <v>-2</v>
      </c>
      <c r="AH157" s="178">
        <f t="shared" si="65"/>
        <v>4</v>
      </c>
      <c r="AI157" s="227">
        <f t="shared" si="66"/>
        <v>-1.8746641745136816</v>
      </c>
      <c r="AJ157" s="267" t="b">
        <f t="shared" si="67"/>
        <v>0</v>
      </c>
      <c r="AK157" s="267" t="b">
        <f t="shared" si="68"/>
        <v>0</v>
      </c>
      <c r="AL157" s="267"/>
      <c r="AM157" s="267"/>
      <c r="AN157" s="267"/>
    </row>
    <row r="158" spans="1:40" s="6" customFormat="1" ht="11.25" customHeight="1" x14ac:dyDescent="0.2">
      <c r="A158" s="56">
        <f t="shared" si="69"/>
        <v>43609</v>
      </c>
      <c r="B158" s="620">
        <v>12.086</v>
      </c>
      <c r="C158" s="392"/>
      <c r="D158" s="395">
        <f t="shared" si="48"/>
        <v>12.169540999098729</v>
      </c>
      <c r="E158" s="387">
        <f t="shared" si="70"/>
        <v>12.950889648696998</v>
      </c>
      <c r="F158" s="387">
        <f t="shared" si="49"/>
        <v>12.950889648696998</v>
      </c>
      <c r="G158" s="110">
        <f t="shared" si="71"/>
        <v>0.2019864197433727</v>
      </c>
      <c r="H158" s="416" t="b">
        <f>Wh_hp&gt;='2018'!Maxi_hp</f>
        <v>1</v>
      </c>
      <c r="I158" s="392">
        <f>IF(H158,Wh_hp,'2018'!Maxi_hp)</f>
        <v>12.950889648696998</v>
      </c>
      <c r="J158" s="85">
        <f>IF(H158,An,'2018'!An_max)</f>
        <v>2019</v>
      </c>
      <c r="K158" s="199">
        <f t="shared" si="50"/>
        <v>43609</v>
      </c>
      <c r="L158" s="147">
        <f>IF(t&lt;Tvie,1-EXP((T0-t)*PertePVj)+'2018'!Pspv,1-EXP((T0-t)*PertePVj)+Pspv)</f>
        <v>6.8647617116303072E-3</v>
      </c>
      <c r="M158" s="872"/>
      <c r="N158" s="872"/>
      <c r="O158" s="48">
        <f>IF(t&lt;Tnet,'2018'!Resal+('2018'!Salim-'2018'!Resal)*(1-EXP(('2018'!Tnet-t)/('2018'!Tau_j))),Resal+(Salim-Resal)*(1-EXP((Tnet-t)/(Tau_j))))*Salcycl</f>
        <v>6.0331658348805578E-2</v>
      </c>
      <c r="P158" s="171">
        <f>(INDEX(Models!$BJ158:$BT158,,T158)*(1-R158)+INDEX(Models!$BJ158:$BT158,,T158+1)*R158-ERP_i)*Q158*Ramure*Pc/MaxiM</f>
        <v>7.720767875395767E-5</v>
      </c>
      <c r="Q158" s="307">
        <f t="shared" si="51"/>
        <v>0.9</v>
      </c>
      <c r="R158" s="179">
        <f t="shared" si="52"/>
        <v>0.13168311682947964</v>
      </c>
      <c r="S158" s="839">
        <f t="shared" si="53"/>
        <v>-2</v>
      </c>
      <c r="T158" s="178">
        <f t="shared" si="54"/>
        <v>4</v>
      </c>
      <c r="U158" s="253">
        <f t="shared" si="55"/>
        <v>-1.8683168831705204</v>
      </c>
      <c r="V158" s="385">
        <f t="shared" si="56"/>
        <v>59.831086086623401</v>
      </c>
      <c r="W158" s="58"/>
      <c r="X158" s="157">
        <f t="shared" si="57"/>
        <v>43609</v>
      </c>
      <c r="Y158" s="387">
        <f t="shared" si="58"/>
        <v>12.086</v>
      </c>
      <c r="Z158" s="387">
        <f t="shared" si="59"/>
        <v>12.169540999098729</v>
      </c>
      <c r="AA158" s="388">
        <f t="shared" si="60"/>
        <v>12.950889648696998</v>
      </c>
      <c r="AB158" s="199">
        <f t="shared" si="61"/>
        <v>43609</v>
      </c>
      <c r="AC158" s="428">
        <f>IF(OR(t&lt;Tnet,NoTnet),'2018'!Resal_s+('2018'!Salim-'2018'!Resal_s)*(1-EXP(('2018'!Tnet_s-t)/'2018'!Tau_j)),Resal_s+(Salim-Resal_s)*(1-EXP((Tnet_s-t)/Tau_j)))*Salcycl</f>
        <v>6.0331658348805578E-2</v>
      </c>
      <c r="AD158" s="233">
        <f>(INDEX(Models!$BJ158:$BT158,,AH158)*(1-AF158)+INDEX(Models!$BJ158:$BT158,,AH158+1)*AF158-ERP_i)*AE158*Ramure*Pc/MaxiM</f>
        <v>7.720767875395767E-5</v>
      </c>
      <c r="AE158" s="307">
        <f t="shared" si="62"/>
        <v>0.9</v>
      </c>
      <c r="AF158" s="179">
        <f t="shared" si="63"/>
        <v>0.13168311682947964</v>
      </c>
      <c r="AG158" s="178">
        <f t="shared" si="64"/>
        <v>-2</v>
      </c>
      <c r="AH158" s="178">
        <f t="shared" si="65"/>
        <v>4</v>
      </c>
      <c r="AI158" s="227">
        <f t="shared" si="66"/>
        <v>-1.8683168831705204</v>
      </c>
      <c r="AJ158" s="267" t="b">
        <f t="shared" si="67"/>
        <v>0</v>
      </c>
      <c r="AK158" s="267" t="b">
        <f t="shared" si="68"/>
        <v>0</v>
      </c>
      <c r="AL158" s="267"/>
      <c r="AM158" s="267"/>
      <c r="AN158" s="75"/>
    </row>
    <row r="159" spans="1:40" s="6" customFormat="1" ht="11.25" customHeight="1" x14ac:dyDescent="0.2">
      <c r="A159" s="56">
        <f t="shared" si="69"/>
        <v>43610</v>
      </c>
      <c r="B159" s="620">
        <v>32.164000000000001</v>
      </c>
      <c r="C159" s="392"/>
      <c r="D159" s="395">
        <f t="shared" si="48"/>
        <v>32.387078094341369</v>
      </c>
      <c r="E159" s="387">
        <f t="shared" si="70"/>
        <v>34.474979762892609</v>
      </c>
      <c r="F159" s="387">
        <f t="shared" si="49"/>
        <v>34.475831699062113</v>
      </c>
      <c r="G159" s="110">
        <f t="shared" si="71"/>
        <v>0.53725027110503099</v>
      </c>
      <c r="H159" s="416" t="b">
        <f>Wh_hp&gt;='2018'!Maxi_hp</f>
        <v>1</v>
      </c>
      <c r="I159" s="392">
        <f>IF(H159,Wh_hp,'2018'!Maxi_hp)</f>
        <v>34.475831699062113</v>
      </c>
      <c r="J159" s="85">
        <f>IF(H159,An,'2018'!An_max)</f>
        <v>2019</v>
      </c>
      <c r="K159" s="199">
        <f t="shared" si="50"/>
        <v>43610</v>
      </c>
      <c r="L159" s="147">
        <f>IF(t&lt;Tvie,1-EXP((T0-t)*PertePVj)+'2018'!Pspv,1-EXP((T0-t)*PertePVj)+Pspv)</f>
        <v>6.8878734195024771E-3</v>
      </c>
      <c r="M159" s="872"/>
      <c r="N159" s="872"/>
      <c r="O159" s="48">
        <f>IF(t&lt;Tnet,'2018'!Resal+('2018'!Salim-'2018'!Resal)*(1-EXP(('2018'!Tnet-t)/('2018'!Tau_j))),Resal+(Salim-Resal)*(1-EXP((Tnet-t)/(Tau_j))))*Salcycl</f>
        <v>6.0562810563229583E-2</v>
      </c>
      <c r="P159" s="171">
        <f>(INDEX(Models!$BJ159:$BT159,,T159)*(1-R159)+INDEX(Models!$BJ159:$BT159,,T159+1)*R159-ERP_i)*Q159*Ramure*Pc/MaxiM</f>
        <v>7.2901461288922125E-5</v>
      </c>
      <c r="Q159" s="307">
        <f t="shared" si="51"/>
        <v>0.9</v>
      </c>
      <c r="R159" s="179">
        <f t="shared" si="52"/>
        <v>0.13811858841428348</v>
      </c>
      <c r="S159" s="839">
        <f t="shared" si="53"/>
        <v>-2</v>
      </c>
      <c r="T159" s="178">
        <f t="shared" si="54"/>
        <v>4</v>
      </c>
      <c r="U159" s="253">
        <f t="shared" si="55"/>
        <v>-1.8618814115857165</v>
      </c>
      <c r="V159" s="385">
        <f t="shared" si="56"/>
        <v>59.864930177101371</v>
      </c>
      <c r="W159" s="58"/>
      <c r="X159" s="157">
        <f t="shared" si="57"/>
        <v>43610</v>
      </c>
      <c r="Y159" s="387">
        <f t="shared" si="58"/>
        <v>32.164000000000001</v>
      </c>
      <c r="Z159" s="387">
        <f t="shared" si="59"/>
        <v>32.387078094341369</v>
      </c>
      <c r="AA159" s="388">
        <f t="shared" si="60"/>
        <v>34.474979762892609</v>
      </c>
      <c r="AB159" s="199">
        <f t="shared" si="61"/>
        <v>43610</v>
      </c>
      <c r="AC159" s="428">
        <f>IF(OR(t&lt;Tnet,NoTnet),'2018'!Resal_s+('2018'!Salim-'2018'!Resal_s)*(1-EXP(('2018'!Tnet_s-t)/'2018'!Tau_j)),Resal_s+(Salim-Resal_s)*(1-EXP((Tnet_s-t)/Tau_j)))*Salcycl</f>
        <v>6.0562810563229583E-2</v>
      </c>
      <c r="AD159" s="233">
        <f>(INDEX(Models!$BJ159:$BT159,,AH159)*(1-AF159)+INDEX(Models!$BJ159:$BT159,,AH159+1)*AF159-ERP_i)*AE159*Ramure*Pc/MaxiM</f>
        <v>7.2901461288922125E-5</v>
      </c>
      <c r="AE159" s="307">
        <f t="shared" si="62"/>
        <v>0.9</v>
      </c>
      <c r="AF159" s="179">
        <f t="shared" si="63"/>
        <v>0.13811858841428348</v>
      </c>
      <c r="AG159" s="178">
        <f t="shared" si="64"/>
        <v>-2</v>
      </c>
      <c r="AH159" s="178">
        <f t="shared" si="65"/>
        <v>4</v>
      </c>
      <c r="AI159" s="227">
        <f t="shared" si="66"/>
        <v>-1.8618814115857165</v>
      </c>
      <c r="AJ159" s="267" t="b">
        <f t="shared" si="67"/>
        <v>0</v>
      </c>
      <c r="AK159" s="267" t="b">
        <f t="shared" si="68"/>
        <v>0</v>
      </c>
      <c r="AL159" s="267"/>
      <c r="AM159" s="267"/>
      <c r="AN159" s="75"/>
    </row>
    <row r="160" spans="1:40" s="6" customFormat="1" ht="11.25" customHeight="1" x14ac:dyDescent="0.2">
      <c r="A160" s="56">
        <f t="shared" si="69"/>
        <v>43611</v>
      </c>
      <c r="B160" s="620">
        <v>26.34</v>
      </c>
      <c r="C160" s="392"/>
      <c r="D160" s="395">
        <f t="shared" si="48"/>
        <v>26.523302132299811</v>
      </c>
      <c r="E160" s="387">
        <f t="shared" si="70"/>
        <v>28.240135363171614</v>
      </c>
      <c r="F160" s="387">
        <f t="shared" si="49"/>
        <v>28.240523457018647</v>
      </c>
      <c r="G160" s="110">
        <f t="shared" si="71"/>
        <v>0.43974637457328536</v>
      </c>
      <c r="H160" s="416" t="b">
        <f>Wh_hp&gt;='2018'!Maxi_hp</f>
        <v>1</v>
      </c>
      <c r="I160" s="392">
        <f>IF(H160,Wh_hp,'2018'!Maxi_hp)</f>
        <v>28.240523457018647</v>
      </c>
      <c r="J160" s="85">
        <f>IF(H160,An,'2018'!An_max)</f>
        <v>2019</v>
      </c>
      <c r="K160" s="199">
        <f t="shared" si="50"/>
        <v>43611</v>
      </c>
      <c r="L160" s="147">
        <f>IF(t&lt;Tvie,1-EXP((T0-t)*PertePVj)+'2018'!Pspv,1-EXP((T0-t)*PertePVj)+Pspv)</f>
        <v>6.9109845895314326E-3</v>
      </c>
      <c r="M160" s="872"/>
      <c r="N160" s="872"/>
      <c r="O160" s="48">
        <f>IF(t&lt;Tnet,'2018'!Resal+('2018'!Salim-'2018'!Resal)*(1-EXP(('2018'!Tnet-t)/('2018'!Tau_j))),Resal+(Salim-Resal)*(1-EXP((Tnet-t)/(Tau_j))))*Salcycl</f>
        <v>6.0794086458620528E-2</v>
      </c>
      <c r="P160" s="171">
        <f>(INDEX(Models!$BJ160:$BT160,,T160)*(1-R160)+INDEX(Models!$BJ160:$BT160,,T160+1)*R160-ERP_i)*Q160*Ramure*Pc/MaxiM</f>
        <v>6.8825001549664333E-5</v>
      </c>
      <c r="Q160" s="307">
        <f t="shared" si="51"/>
        <v>0.9</v>
      </c>
      <c r="R160" s="179">
        <f t="shared" si="52"/>
        <v>0.14463854569144874</v>
      </c>
      <c r="S160" s="839">
        <f t="shared" si="53"/>
        <v>-2</v>
      </c>
      <c r="T160" s="178">
        <f t="shared" si="54"/>
        <v>4</v>
      </c>
      <c r="U160" s="253">
        <f t="shared" si="55"/>
        <v>-1.8553614543085513</v>
      </c>
      <c r="V160" s="385">
        <f t="shared" si="56"/>
        <v>59.894863558763539</v>
      </c>
      <c r="W160" s="58"/>
      <c r="X160" s="157">
        <f t="shared" si="57"/>
        <v>43611</v>
      </c>
      <c r="Y160" s="387">
        <f t="shared" si="58"/>
        <v>26.34</v>
      </c>
      <c r="Z160" s="387">
        <f t="shared" si="59"/>
        <v>26.523302132299811</v>
      </c>
      <c r="AA160" s="388">
        <f t="shared" si="60"/>
        <v>28.240135363171614</v>
      </c>
      <c r="AB160" s="199">
        <f t="shared" si="61"/>
        <v>43611</v>
      </c>
      <c r="AC160" s="428">
        <f>IF(OR(t&lt;Tnet,NoTnet),'2018'!Resal_s+('2018'!Salim-'2018'!Resal_s)*(1-EXP(('2018'!Tnet_s-t)/'2018'!Tau_j)),Resal_s+(Salim-Resal_s)*(1-EXP((Tnet_s-t)/Tau_j)))*Salcycl</f>
        <v>6.0794086458620528E-2</v>
      </c>
      <c r="AD160" s="233">
        <f>(INDEX(Models!$BJ160:$BT160,,AH160)*(1-AF160)+INDEX(Models!$BJ160:$BT160,,AH160+1)*AF160-ERP_i)*AE160*Ramure*Pc/MaxiM</f>
        <v>6.8825001549664333E-5</v>
      </c>
      <c r="AE160" s="307">
        <f t="shared" si="62"/>
        <v>0.9</v>
      </c>
      <c r="AF160" s="179">
        <f t="shared" si="63"/>
        <v>0.14463854569144874</v>
      </c>
      <c r="AG160" s="178">
        <f t="shared" si="64"/>
        <v>-2</v>
      </c>
      <c r="AH160" s="178">
        <f t="shared" si="65"/>
        <v>4</v>
      </c>
      <c r="AI160" s="227">
        <f t="shared" si="66"/>
        <v>-1.8553614543085513</v>
      </c>
      <c r="AJ160" s="267" t="b">
        <f t="shared" si="67"/>
        <v>0</v>
      </c>
      <c r="AK160" s="267" t="b">
        <f t="shared" si="68"/>
        <v>0</v>
      </c>
      <c r="AL160" s="267"/>
      <c r="AM160" s="267"/>
      <c r="AN160" s="75"/>
    </row>
    <row r="161" spans="1:40" s="6" customFormat="1" ht="11.25" customHeight="1" x14ac:dyDescent="0.2">
      <c r="A161" s="56">
        <f t="shared" si="69"/>
        <v>43612</v>
      </c>
      <c r="B161" s="620">
        <v>33.523000000000003</v>
      </c>
      <c r="C161" s="392"/>
      <c r="D161" s="395">
        <f t="shared" si="48"/>
        <v>33.75707477086825</v>
      </c>
      <c r="E161" s="387">
        <f t="shared" si="70"/>
        <v>35.950999391455177</v>
      </c>
      <c r="F161" s="387">
        <f t="shared" si="49"/>
        <v>35.951865276309746</v>
      </c>
      <c r="G161" s="110">
        <f t="shared" si="71"/>
        <v>0.55942846862723039</v>
      </c>
      <c r="H161" s="416" t="b">
        <f>Wh_hp&gt;='2018'!Maxi_hp</f>
        <v>1</v>
      </c>
      <c r="I161" s="392">
        <f>IF(H161,Wh_hp,'2018'!Maxi_hp)</f>
        <v>35.951865276309746</v>
      </c>
      <c r="J161" s="85">
        <f>IF(H161,An,'2018'!An_max)</f>
        <v>2019</v>
      </c>
      <c r="K161" s="199">
        <f t="shared" si="50"/>
        <v>43612</v>
      </c>
      <c r="L161" s="147">
        <f>IF(t&lt;Tvie,1-EXP((T0-t)*PertePVj)+'2018'!Pspv,1-EXP((T0-t)*PertePVj)+Pspv)</f>
        <v>6.9340952217297191E-3</v>
      </c>
      <c r="M161" s="872"/>
      <c r="N161" s="872"/>
      <c r="O161" s="48">
        <f>IF(t&lt;Tnet,'2018'!Resal+('2018'!Salim-'2018'!Resal)*(1-EXP(('2018'!Tnet-t)/('2018'!Tau_j))),Resal+(Salim-Resal)*(1-EXP((Tnet-t)/(Tau_j))))*Salcycl</f>
        <v>6.102541397245223E-2</v>
      </c>
      <c r="P161" s="171">
        <f>(INDEX(Models!$BJ161:$BT161,,T161)*(1-R161)+INDEX(Models!$BJ161:$BT161,,T161+1)*R161-ERP_i)*Q161*Ramure*Pc/MaxiM</f>
        <v>6.4980167098496828E-5</v>
      </c>
      <c r="Q161" s="307">
        <f t="shared" si="51"/>
        <v>0.9</v>
      </c>
      <c r="R161" s="179">
        <f t="shared" si="52"/>
        <v>0.15123905203881494</v>
      </c>
      <c r="S161" s="839">
        <f t="shared" si="53"/>
        <v>-2</v>
      </c>
      <c r="T161" s="178">
        <f t="shared" si="54"/>
        <v>4</v>
      </c>
      <c r="U161" s="253">
        <f t="shared" si="55"/>
        <v>-1.8487609479611851</v>
      </c>
      <c r="V161" s="385">
        <f t="shared" si="56"/>
        <v>59.921206916409183</v>
      </c>
      <c r="W161" s="58"/>
      <c r="X161" s="157">
        <f t="shared" si="57"/>
        <v>43612</v>
      </c>
      <c r="Y161" s="387">
        <f t="shared" si="58"/>
        <v>33.523000000000003</v>
      </c>
      <c r="Z161" s="387">
        <f t="shared" si="59"/>
        <v>33.75707477086825</v>
      </c>
      <c r="AA161" s="388">
        <f t="shared" si="60"/>
        <v>35.950999391455177</v>
      </c>
      <c r="AB161" s="199">
        <f t="shared" si="61"/>
        <v>43612</v>
      </c>
      <c r="AC161" s="428">
        <f>IF(OR(t&lt;Tnet,NoTnet),'2018'!Resal_s+('2018'!Salim-'2018'!Resal_s)*(1-EXP(('2018'!Tnet_s-t)/'2018'!Tau_j)),Resal_s+(Salim-Resal_s)*(1-EXP((Tnet_s-t)/Tau_j)))*Salcycl</f>
        <v>6.102541397245223E-2</v>
      </c>
      <c r="AD161" s="233">
        <f>(INDEX(Models!$BJ161:$BT161,,AH161)*(1-AF161)+INDEX(Models!$BJ161:$BT161,,AH161+1)*AF161-ERP_i)*AE161*Ramure*Pc/MaxiM</f>
        <v>6.4980167098496828E-5</v>
      </c>
      <c r="AE161" s="307">
        <f t="shared" si="62"/>
        <v>0.9</v>
      </c>
      <c r="AF161" s="179">
        <f t="shared" si="63"/>
        <v>0.15123905203881494</v>
      </c>
      <c r="AG161" s="178">
        <f t="shared" si="64"/>
        <v>-2</v>
      </c>
      <c r="AH161" s="178">
        <f t="shared" si="65"/>
        <v>4</v>
      </c>
      <c r="AI161" s="227">
        <f t="shared" si="66"/>
        <v>-1.8487609479611851</v>
      </c>
      <c r="AJ161" s="267" t="b">
        <f t="shared" si="67"/>
        <v>0</v>
      </c>
      <c r="AK161" s="267" t="b">
        <f t="shared" si="68"/>
        <v>0</v>
      </c>
      <c r="AL161" s="267"/>
      <c r="AM161" s="267"/>
      <c r="AN161" s="75"/>
    </row>
    <row r="162" spans="1:40" s="6" customFormat="1" ht="11.25" customHeight="1" x14ac:dyDescent="0.2">
      <c r="A162" s="56">
        <f t="shared" si="69"/>
        <v>43613</v>
      </c>
      <c r="B162" s="620">
        <v>27.216999999999999</v>
      </c>
      <c r="C162" s="392"/>
      <c r="D162" s="395">
        <f t="shared" si="48"/>
        <v>27.407680863002319</v>
      </c>
      <c r="E162" s="387">
        <f t="shared" si="70"/>
        <v>29.196140667311159</v>
      </c>
      <c r="F162" s="387">
        <f t="shared" si="49"/>
        <v>29.196534954503505</v>
      </c>
      <c r="G162" s="110">
        <f t="shared" si="71"/>
        <v>0.45401657908143966</v>
      </c>
      <c r="H162" s="416" t="b">
        <f>Wh_hp&gt;='2018'!Maxi_hp</f>
        <v>1</v>
      </c>
      <c r="I162" s="392">
        <f>IF(H162,Wh_hp,'2018'!Maxi_hp)</f>
        <v>29.196534954503505</v>
      </c>
      <c r="J162" s="85">
        <f>IF(H162,An,'2018'!An_max)</f>
        <v>2019</v>
      </c>
      <c r="K162" s="199">
        <f t="shared" si="50"/>
        <v>43613</v>
      </c>
      <c r="L162" s="147">
        <f>IF(t&lt;Tvie,1-EXP((T0-t)*PertePVj)+'2018'!Pspv,1-EXP((T0-t)*PertePVj)+Pspv)</f>
        <v>6.9572053161097713E-3</v>
      </c>
      <c r="M162" s="872"/>
      <c r="N162" s="872"/>
      <c r="O162" s="48">
        <f>IF(t&lt;Tnet,'2018'!Resal+('2018'!Salim-'2018'!Resal)*(1-EXP(('2018'!Tnet-t)/('2018'!Tau_j))),Resal+(Salim-Resal)*(1-EXP((Tnet-t)/(Tau_j))))*Salcycl</f>
        <v>6.1256719670187441E-2</v>
      </c>
      <c r="P162" s="171">
        <f>(INDEX(Models!$BJ162:$BT162,,T162)*(1-R162)+INDEX(Models!$BJ162:$BT162,,T162+1)*R162-ERP_i)*Q162*Ramure*Pc/MaxiM</f>
        <v>6.1369226227881088E-5</v>
      </c>
      <c r="Q162" s="307">
        <f t="shared" si="51"/>
        <v>0.9</v>
      </c>
      <c r="R162" s="179">
        <f t="shared" si="52"/>
        <v>0.15791593537297421</v>
      </c>
      <c r="S162" s="839">
        <f t="shared" si="53"/>
        <v>-2</v>
      </c>
      <c r="T162" s="178">
        <f t="shared" si="54"/>
        <v>4</v>
      </c>
      <c r="U162" s="253">
        <f t="shared" si="55"/>
        <v>-1.8420840646270258</v>
      </c>
      <c r="V162" s="385">
        <f t="shared" si="56"/>
        <v>59.944280681613698</v>
      </c>
      <c r="W162" s="58"/>
      <c r="X162" s="157">
        <f t="shared" si="57"/>
        <v>43613</v>
      </c>
      <c r="Y162" s="387">
        <f t="shared" si="58"/>
        <v>27.216999999999999</v>
      </c>
      <c r="Z162" s="387">
        <f t="shared" si="59"/>
        <v>27.407680863002319</v>
      </c>
      <c r="AA162" s="388">
        <f t="shared" si="60"/>
        <v>29.196140667311159</v>
      </c>
      <c r="AB162" s="199">
        <f t="shared" si="61"/>
        <v>43613</v>
      </c>
      <c r="AC162" s="428">
        <f>IF(OR(t&lt;Tnet,NoTnet),'2018'!Resal_s+('2018'!Salim-'2018'!Resal_s)*(1-EXP(('2018'!Tnet_s-t)/'2018'!Tau_j)),Resal_s+(Salim-Resal_s)*(1-EXP((Tnet_s-t)/Tau_j)))*Salcycl</f>
        <v>6.1256719670187441E-2</v>
      </c>
      <c r="AD162" s="233">
        <f>(INDEX(Models!$BJ162:$BT162,,AH162)*(1-AF162)+INDEX(Models!$BJ162:$BT162,,AH162+1)*AF162-ERP_i)*AE162*Ramure*Pc/MaxiM</f>
        <v>6.1369226227881088E-5</v>
      </c>
      <c r="AE162" s="307">
        <f t="shared" si="62"/>
        <v>0.9</v>
      </c>
      <c r="AF162" s="179">
        <f t="shared" si="63"/>
        <v>0.15791593537297421</v>
      </c>
      <c r="AG162" s="178">
        <f t="shared" si="64"/>
        <v>-2</v>
      </c>
      <c r="AH162" s="178">
        <f t="shared" si="65"/>
        <v>4</v>
      </c>
      <c r="AI162" s="227">
        <f t="shared" si="66"/>
        <v>-1.8420840646270258</v>
      </c>
      <c r="AJ162" s="267" t="b">
        <f t="shared" si="67"/>
        <v>0</v>
      </c>
      <c r="AK162" s="267" t="b">
        <f t="shared" si="68"/>
        <v>0</v>
      </c>
      <c r="AL162" s="267"/>
      <c r="AM162" s="267"/>
      <c r="AN162" s="75"/>
    </row>
    <row r="163" spans="1:40" s="6" customFormat="1" ht="11.25" x14ac:dyDescent="0.2">
      <c r="A163" s="56">
        <f t="shared" si="69"/>
        <v>43614</v>
      </c>
      <c r="B163" s="620">
        <v>38.695999999999998</v>
      </c>
      <c r="C163" s="392"/>
      <c r="D163" s="395">
        <f t="shared" si="48"/>
        <v>38.968008972590262</v>
      </c>
      <c r="E163" s="387">
        <f t="shared" si="70"/>
        <v>41.521052500148564</v>
      </c>
      <c r="F163" s="387">
        <f t="shared" si="49"/>
        <v>41.522240495179588</v>
      </c>
      <c r="G163" s="110">
        <f t="shared" si="71"/>
        <v>0.6453104904937712</v>
      </c>
      <c r="H163" s="416" t="b">
        <f>Wh_hp&gt;='2018'!Maxi_hp</f>
        <v>1</v>
      </c>
      <c r="I163" s="392">
        <f>IF(H163,Wh_hp,'2018'!Maxi_hp)</f>
        <v>41.522240495179588</v>
      </c>
      <c r="J163" s="85">
        <f>IF(H163,An,'2018'!An_max)</f>
        <v>2019</v>
      </c>
      <c r="K163" s="199">
        <f t="shared" si="50"/>
        <v>43614</v>
      </c>
      <c r="L163" s="147">
        <f>IF(t&lt;Tvie,1-EXP((T0-t)*PertePVj)+'2018'!Pspv,1-EXP((T0-t)*PertePVj)+Pspv)</f>
        <v>6.9803148726842457E-3</v>
      </c>
      <c r="M163" s="872"/>
      <c r="N163" s="872"/>
      <c r="O163" s="48">
        <f>IF(t&lt;Tnet,'2018'!Resal+('2018'!Salim-'2018'!Resal)*(1-EXP(('2018'!Tnet-t)/('2018'!Tau_j))),Resal+(Salim-Resal)*(1-EXP((Tnet-t)/(Tau_j))))*Salcycl</f>
        <v>6.1487928986125012E-2</v>
      </c>
      <c r="P163" s="171">
        <f>(INDEX(Models!$BJ163:$BT163,,T163)*(1-R163)+INDEX(Models!$BJ163:$BT163,,T163+1)*R163-ERP_i)*Q163*Ramure*Pc/MaxiM</f>
        <v>5.7996029569724102E-5</v>
      </c>
      <c r="Q163" s="307">
        <f t="shared" si="51"/>
        <v>0.9</v>
      </c>
      <c r="R163" s="179">
        <f t="shared" si="52"/>
        <v>0.16466479613668517</v>
      </c>
      <c r="S163" s="839">
        <f t="shared" si="53"/>
        <v>-2</v>
      </c>
      <c r="T163" s="178">
        <f t="shared" si="54"/>
        <v>4</v>
      </c>
      <c r="U163" s="253">
        <f t="shared" si="55"/>
        <v>-1.8353352038633148</v>
      </c>
      <c r="V163" s="385">
        <f t="shared" si="56"/>
        <v>59.963170375258542</v>
      </c>
      <c r="W163" s="58"/>
      <c r="X163" s="157">
        <f t="shared" si="57"/>
        <v>43614</v>
      </c>
      <c r="Y163" s="387">
        <f t="shared" si="58"/>
        <v>38.695999999999998</v>
      </c>
      <c r="Z163" s="387">
        <f t="shared" si="59"/>
        <v>38.968008972590262</v>
      </c>
      <c r="AA163" s="388">
        <f t="shared" si="60"/>
        <v>41.521052500148564</v>
      </c>
      <c r="AB163" s="199">
        <f t="shared" si="61"/>
        <v>43614</v>
      </c>
      <c r="AC163" s="428">
        <f>IF(OR(t&lt;Tnet,NoTnet),'2018'!Resal_s+('2018'!Salim-'2018'!Resal_s)*(1-EXP(('2018'!Tnet_s-t)/'2018'!Tau_j)),Resal_s+(Salim-Resal_s)*(1-EXP((Tnet_s-t)/Tau_j)))*Salcycl</f>
        <v>6.1487928986125012E-2</v>
      </c>
      <c r="AD163" s="233">
        <f>(INDEX(Models!$BJ163:$BT163,,AH163)*(1-AF163)+INDEX(Models!$BJ163:$BT163,,AH163+1)*AF163-ERP_i)*AE163*Ramure*Pc/MaxiM</f>
        <v>5.7996029569724102E-5</v>
      </c>
      <c r="AE163" s="307">
        <f t="shared" si="62"/>
        <v>0.9</v>
      </c>
      <c r="AF163" s="179">
        <f t="shared" si="63"/>
        <v>0.16466479613668517</v>
      </c>
      <c r="AG163" s="178">
        <f t="shared" si="64"/>
        <v>-2</v>
      </c>
      <c r="AH163" s="178">
        <f t="shared" si="65"/>
        <v>4</v>
      </c>
      <c r="AI163" s="227">
        <f t="shared" si="66"/>
        <v>-1.8353352038633148</v>
      </c>
      <c r="AJ163" s="267" t="b">
        <f t="shared" si="67"/>
        <v>0</v>
      </c>
      <c r="AK163" s="267" t="b">
        <f t="shared" si="68"/>
        <v>0</v>
      </c>
      <c r="AL163" s="267"/>
      <c r="AM163" s="267"/>
      <c r="AN163" s="75"/>
    </row>
    <row r="164" spans="1:40" s="6" customFormat="1" ht="11.25" x14ac:dyDescent="0.2">
      <c r="A164" s="56">
        <f t="shared" si="69"/>
        <v>43615</v>
      </c>
      <c r="B164" s="620">
        <v>59.265000000000001</v>
      </c>
      <c r="C164" s="392"/>
      <c r="D164" s="395">
        <f t="shared" si="48"/>
        <v>59.682985244777264</v>
      </c>
      <c r="E164" s="387">
        <f t="shared" si="70"/>
        <v>63.608858233695763</v>
      </c>
      <c r="F164" s="387">
        <f t="shared" si="49"/>
        <v>63.612298063151371</v>
      </c>
      <c r="G164" s="110">
        <f t="shared" si="71"/>
        <v>0.9881297647752747</v>
      </c>
      <c r="H164" s="416" t="b">
        <f>Wh_hp&gt;='2018'!Maxi_hp</f>
        <v>1</v>
      </c>
      <c r="I164" s="392">
        <f>IF(H164,Wh_hp,'2018'!Maxi_hp)</f>
        <v>63.612298063151371</v>
      </c>
      <c r="J164" s="85">
        <f>IF(H164,An,'2018'!An_max)</f>
        <v>2019</v>
      </c>
      <c r="K164" s="199">
        <f t="shared" si="50"/>
        <v>43615</v>
      </c>
      <c r="L164" s="147">
        <f>IF(t&lt;Tvie,1-EXP((T0-t)*PertePVj)+'2018'!Pspv,1-EXP((T0-t)*PertePVj)+Pspv)</f>
        <v>7.0034238914655766E-3</v>
      </c>
      <c r="M164" s="872"/>
      <c r="N164" s="872"/>
      <c r="O164" s="48">
        <f>IF(t&lt;Tnet,'2018'!Resal+('2018'!Salim-'2018'!Resal)*(1-EXP(('2018'!Tnet-t)/('2018'!Tau_j))),Resal+(Salim-Resal)*(1-EXP((Tnet-t)/(Tau_j))))*Salcycl</f>
        <v>6.171896647625779E-2</v>
      </c>
      <c r="P164" s="171">
        <f>(INDEX(Models!$BJ164:$BT164,,T164)*(1-R164)+INDEX(Models!$BJ164:$BT164,,T164+1)*R164-ERP_i)*Q164*Ramure*Pc/MaxiM</f>
        <v>5.5007630871955564E-5</v>
      </c>
      <c r="Q164" s="307">
        <f t="shared" si="51"/>
        <v>0.9</v>
      </c>
      <c r="R164" s="179">
        <f t="shared" si="52"/>
        <v>0.17148101665280757</v>
      </c>
      <c r="S164" s="839">
        <f t="shared" si="53"/>
        <v>-2</v>
      </c>
      <c r="T164" s="178">
        <f t="shared" si="54"/>
        <v>4</v>
      </c>
      <c r="U164" s="253">
        <f t="shared" si="55"/>
        <v>-1.8285189833471924</v>
      </c>
      <c r="V164" s="385">
        <f t="shared" si="56"/>
        <v>59.976884445878795</v>
      </c>
      <c r="W164" s="58"/>
      <c r="X164" s="157">
        <f t="shared" si="57"/>
        <v>43615</v>
      </c>
      <c r="Y164" s="387">
        <f t="shared" si="58"/>
        <v>59.265000000000001</v>
      </c>
      <c r="Z164" s="387">
        <f t="shared" si="59"/>
        <v>59.682985244777264</v>
      </c>
      <c r="AA164" s="388">
        <f t="shared" si="60"/>
        <v>63.608858233695763</v>
      </c>
      <c r="AB164" s="199">
        <f t="shared" si="61"/>
        <v>43615</v>
      </c>
      <c r="AC164" s="428">
        <f>IF(OR(t&lt;Tnet,NoTnet),'2018'!Resal_s+('2018'!Salim-'2018'!Resal_s)*(1-EXP(('2018'!Tnet_s-t)/'2018'!Tau_j)),Resal_s+(Salim-Resal_s)*(1-EXP((Tnet_s-t)/Tau_j)))*Salcycl</f>
        <v>6.171896647625779E-2</v>
      </c>
      <c r="AD164" s="233">
        <f>(INDEX(Models!$BJ164:$BT164,,AH164)*(1-AF164)+INDEX(Models!$BJ164:$BT164,,AH164+1)*AF164-ERP_i)*AE164*Ramure*Pc/MaxiM</f>
        <v>5.5007630871955564E-5</v>
      </c>
      <c r="AE164" s="307">
        <f t="shared" si="62"/>
        <v>0.9</v>
      </c>
      <c r="AF164" s="179">
        <f t="shared" si="63"/>
        <v>0.17148101665280757</v>
      </c>
      <c r="AG164" s="178">
        <f t="shared" si="64"/>
        <v>-2</v>
      </c>
      <c r="AH164" s="178">
        <f t="shared" si="65"/>
        <v>4</v>
      </c>
      <c r="AI164" s="227">
        <f t="shared" si="66"/>
        <v>-1.8285189833471924</v>
      </c>
      <c r="AJ164" s="267" t="b">
        <f t="shared" si="67"/>
        <v>0</v>
      </c>
      <c r="AK164" s="267" t="b">
        <f t="shared" si="68"/>
        <v>0</v>
      </c>
      <c r="AL164" s="267"/>
      <c r="AM164" s="267"/>
      <c r="AN164" s="75"/>
    </row>
    <row r="165" spans="1:40" s="6" customFormat="1" ht="11.25" x14ac:dyDescent="0.2">
      <c r="A165" s="56">
        <f t="shared" si="69"/>
        <v>43616</v>
      </c>
      <c r="B165" s="620">
        <v>60.198</v>
      </c>
      <c r="C165" s="392"/>
      <c r="D165" s="395">
        <f t="shared" si="48"/>
        <v>60.623976332246151</v>
      </c>
      <c r="E165" s="387">
        <f t="shared" si="70"/>
        <v>64.627643055690172</v>
      </c>
      <c r="F165" s="387">
        <f t="shared" si="49"/>
        <v>64.631023417183059</v>
      </c>
      <c r="G165" s="110">
        <f t="shared" si="71"/>
        <v>1.0035400716418104</v>
      </c>
      <c r="H165" s="416" t="b">
        <f>Wh_hp&gt;='2018'!Maxi_hp</f>
        <v>1</v>
      </c>
      <c r="I165" s="392">
        <f>IF(H165,Wh_hp,'2018'!Maxi_hp)</f>
        <v>64.631023417183059</v>
      </c>
      <c r="J165" s="85">
        <f>IF(H165,An,'2018'!An_max)</f>
        <v>2019</v>
      </c>
      <c r="K165" s="199">
        <f t="shared" si="50"/>
        <v>43616</v>
      </c>
      <c r="L165" s="147">
        <f>IF(t&lt;Tvie,1-EXP((T0-t)*PertePVj)+'2018'!Pspv,1-EXP((T0-t)*PertePVj)+Pspv)</f>
        <v>7.0265323724661988E-3</v>
      </c>
      <c r="M165" s="872"/>
      <c r="N165" s="872"/>
      <c r="O165" s="48">
        <f>IF(t&lt;Tnet,'2018'!Resal+('2018'!Salim-'2018'!Resal)*(1-EXP(('2018'!Tnet-t)/('2018'!Tau_j))),Resal+(Salim-Resal)*(1-EXP((Tnet-t)/(Tau_j))))*Salcycl</f>
        <v>6.1949756081836713E-2</v>
      </c>
      <c r="P165" s="171">
        <f>(INDEX(Models!$BJ165:$BT165,,T165)*(1-R165)+INDEX(Models!$BJ165:$BT165,,T165+1)*R165-ERP_i)*Q165*Ramure*Pc/MaxiM</f>
        <v>5.2302459626377067E-5</v>
      </c>
      <c r="Q165" s="307">
        <f t="shared" si="51"/>
        <v>0.9</v>
      </c>
      <c r="R165" s="179">
        <f t="shared" si="52"/>
        <v>0.17835977182228513</v>
      </c>
      <c r="S165" s="839">
        <f t="shared" si="53"/>
        <v>-2</v>
      </c>
      <c r="T165" s="178">
        <f t="shared" si="54"/>
        <v>4</v>
      </c>
      <c r="U165" s="253">
        <f t="shared" si="55"/>
        <v>-1.8216402281777149</v>
      </c>
      <c r="V165" s="385">
        <f t="shared" si="56"/>
        <v>59.985646513860623</v>
      </c>
      <c r="W165" s="58"/>
      <c r="X165" s="157">
        <f t="shared" si="57"/>
        <v>43616</v>
      </c>
      <c r="Y165" s="387">
        <f t="shared" si="58"/>
        <v>60.198000000000008</v>
      </c>
      <c r="Z165" s="387">
        <f t="shared" si="59"/>
        <v>60.623976332246158</v>
      </c>
      <c r="AA165" s="388">
        <f t="shared" si="60"/>
        <v>64.627643055690172</v>
      </c>
      <c r="AB165" s="199">
        <f t="shared" si="61"/>
        <v>43616</v>
      </c>
      <c r="AC165" s="428">
        <f>IF(OR(t&lt;Tnet,NoTnet),'2018'!Resal_s+('2018'!Salim-'2018'!Resal_s)*(1-EXP(('2018'!Tnet_s-t)/'2018'!Tau_j)),Resal_s+(Salim-Resal_s)*(1-EXP((Tnet_s-t)/Tau_j)))*Salcycl</f>
        <v>6.1949756081836713E-2</v>
      </c>
      <c r="AD165" s="233">
        <f>(INDEX(Models!$BJ165:$BT165,,AH165)*(1-AF165)+INDEX(Models!$BJ165:$BT165,,AH165+1)*AF165-ERP_i)*AE165*Ramure*Pc/MaxiM</f>
        <v>5.2302459626377067E-5</v>
      </c>
      <c r="AE165" s="307">
        <f t="shared" si="62"/>
        <v>0.9</v>
      </c>
      <c r="AF165" s="179">
        <f t="shared" si="63"/>
        <v>0.17835977182228513</v>
      </c>
      <c r="AG165" s="178">
        <f t="shared" si="64"/>
        <v>-2</v>
      </c>
      <c r="AH165" s="178">
        <f t="shared" si="65"/>
        <v>4</v>
      </c>
      <c r="AI165" s="227">
        <f t="shared" si="66"/>
        <v>-1.8216402281777149</v>
      </c>
      <c r="AJ165" s="267" t="b">
        <f t="shared" si="67"/>
        <v>0</v>
      </c>
      <c r="AK165" s="267" t="b">
        <f t="shared" si="68"/>
        <v>0</v>
      </c>
      <c r="AL165" s="267"/>
      <c r="AM165" s="267"/>
      <c r="AN165" s="75"/>
    </row>
    <row r="166" spans="1:40" s="6" customFormat="1" ht="11.25" customHeight="1" x14ac:dyDescent="0.2">
      <c r="A166" s="56">
        <f t="shared" si="69"/>
        <v>43617</v>
      </c>
      <c r="B166" s="620">
        <v>60.582000000000001</v>
      </c>
      <c r="C166" s="392"/>
      <c r="D166" s="395">
        <f t="shared" si="48"/>
        <v>61.012113454756637</v>
      </c>
      <c r="E166" s="387">
        <f t="shared" si="70"/>
        <v>65.057396791077323</v>
      </c>
      <c r="F166" s="387">
        <f t="shared" si="49"/>
        <v>65.060642777484958</v>
      </c>
      <c r="G166" s="110">
        <f t="shared" si="71"/>
        <v>1.0098738119242343</v>
      </c>
      <c r="H166" s="416" t="b">
        <f>Wh_hp&gt;='2018'!Maxi_hp</f>
        <v>1</v>
      </c>
      <c r="I166" s="392">
        <f>IF(H166,Wh_hp,'2018'!Maxi_hp)</f>
        <v>65.060642777484958</v>
      </c>
      <c r="J166" s="85">
        <f>IF(H166,An,'2018'!An_max)</f>
        <v>2019</v>
      </c>
      <c r="K166" s="199">
        <f t="shared" si="50"/>
        <v>43617</v>
      </c>
      <c r="L166" s="147">
        <f>IF(t&lt;Tvie,1-EXP((T0-t)*PertePVj)+'2018'!Pspv,1-EXP((T0-t)*PertePVj)+Pspv)</f>
        <v>7.0496403156987686E-3</v>
      </c>
      <c r="M166" s="872"/>
      <c r="N166" s="872"/>
      <c r="O166" s="48">
        <f>IF(t&lt;Tnet,'2018'!Resal+('2018'!Salim-'2018'!Resal)*(1-EXP(('2018'!Tnet-t)/('2018'!Tau_j))),Resal+(Salim-Resal)*(1-EXP((Tnet-t)/(Tau_j))))*Salcycl</f>
        <v>6.2180221402211154E-2</v>
      </c>
      <c r="P166" s="171">
        <f>(INDEX(Models!$BJ166:$BT166,,T166)*(1-R166)+INDEX(Models!$BJ166:$BT166,,T166+1)*R166-ERP_i)*Q166*Ramure*Pc/MaxiM</f>
        <v>4.9891705170126821E-5</v>
      </c>
      <c r="Q166" s="307">
        <f t="shared" si="51"/>
        <v>0.9</v>
      </c>
      <c r="R166" s="179">
        <f t="shared" si="52"/>
        <v>0.18529604113020026</v>
      </c>
      <c r="S166" s="839">
        <f t="shared" si="53"/>
        <v>-2</v>
      </c>
      <c r="T166" s="178">
        <f t="shared" si="54"/>
        <v>4</v>
      </c>
      <c r="U166" s="253">
        <f t="shared" si="55"/>
        <v>-1.8147039588697997</v>
      </c>
      <c r="V166" s="385">
        <f t="shared" si="56"/>
        <v>59.989673248943667</v>
      </c>
      <c r="W166" s="58"/>
      <c r="X166" s="157">
        <f t="shared" si="57"/>
        <v>43617</v>
      </c>
      <c r="Y166" s="387">
        <f t="shared" si="58"/>
        <v>60.582000000000001</v>
      </c>
      <c r="Z166" s="387">
        <f t="shared" si="59"/>
        <v>61.012113454756637</v>
      </c>
      <c r="AA166" s="388">
        <f t="shared" si="60"/>
        <v>65.057396791077323</v>
      </c>
      <c r="AB166" s="199">
        <f t="shared" si="61"/>
        <v>43617</v>
      </c>
      <c r="AC166" s="428">
        <f>IF(OR(t&lt;Tnet,NoTnet),'2018'!Resal_s+('2018'!Salim-'2018'!Resal_s)*(1-EXP(('2018'!Tnet_s-t)/'2018'!Tau_j)),Resal_s+(Salim-Resal_s)*(1-EXP((Tnet_s-t)/Tau_j)))*Salcycl</f>
        <v>6.2180221402211154E-2</v>
      </c>
      <c r="AD166" s="233">
        <f>(INDEX(Models!$BJ166:$BT166,,AH166)*(1-AF166)+INDEX(Models!$BJ166:$BT166,,AH166+1)*AF166-ERP_i)*AE166*Ramure*Pc/MaxiM</f>
        <v>4.9891705170126821E-5</v>
      </c>
      <c r="AE166" s="307">
        <f t="shared" si="62"/>
        <v>0.9</v>
      </c>
      <c r="AF166" s="179">
        <f t="shared" si="63"/>
        <v>0.18529604113020026</v>
      </c>
      <c r="AG166" s="178">
        <f t="shared" si="64"/>
        <v>-2</v>
      </c>
      <c r="AH166" s="178">
        <f t="shared" si="65"/>
        <v>4</v>
      </c>
      <c r="AI166" s="227">
        <f t="shared" si="66"/>
        <v>-1.8147039588697997</v>
      </c>
      <c r="AJ166" s="267" t="b">
        <f t="shared" si="67"/>
        <v>0</v>
      </c>
      <c r="AK166" s="267" t="b">
        <f t="shared" si="68"/>
        <v>0</v>
      </c>
      <c r="AL166" s="267"/>
      <c r="AM166" s="267"/>
      <c r="AN166" s="75"/>
    </row>
    <row r="167" spans="1:40" s="6" customFormat="1" ht="11.25" customHeight="1" x14ac:dyDescent="0.2">
      <c r="A167" s="56">
        <f t="shared" si="69"/>
        <v>43618</v>
      </c>
      <c r="B167" s="620">
        <v>59.411999999999999</v>
      </c>
      <c r="C167" s="392"/>
      <c r="D167" s="395">
        <f t="shared" si="48"/>
        <v>59.835199269277886</v>
      </c>
      <c r="E167" s="387">
        <f t="shared" si="70"/>
        <v>63.818105482872184</v>
      </c>
      <c r="F167" s="387">
        <f t="shared" si="49"/>
        <v>63.821113384817394</v>
      </c>
      <c r="G167" s="110">
        <f t="shared" si="71"/>
        <v>0.99037792992763651</v>
      </c>
      <c r="H167" s="416" t="b">
        <f>Wh_hp&gt;='2018'!Maxi_hp</f>
        <v>1</v>
      </c>
      <c r="I167" s="392">
        <f>IF(H167,Wh_hp,'2018'!Maxi_hp)</f>
        <v>63.821113384817394</v>
      </c>
      <c r="J167" s="85">
        <f>IF(H167,An,'2018'!An_max)</f>
        <v>2019</v>
      </c>
      <c r="K167" s="199">
        <f t="shared" si="50"/>
        <v>43618</v>
      </c>
      <c r="L167" s="147">
        <f>IF(t&lt;Tvie,1-EXP((T0-t)*PertePVj)+'2018'!Pspv,1-EXP((T0-t)*PertePVj)+Pspv)</f>
        <v>7.0727477211758316E-3</v>
      </c>
      <c r="M167" s="872"/>
      <c r="N167" s="872"/>
      <c r="O167" s="48">
        <f>IF(t&lt;Tnet,'2018'!Resal+('2018'!Salim-'2018'!Resal)*(1-EXP(('2018'!Tnet-t)/('2018'!Tau_j))),Resal+(Salim-Resal)*(1-EXP((Tnet-t)/(Tau_j))))*Salcycl</f>
        <v>6.2410285975399979E-2</v>
      </c>
      <c r="P167" s="171">
        <f>(INDEX(Models!$BJ167:$BT167,,T167)*(1-R167)+INDEX(Models!$BJ167:$BT167,,T167+1)*R167-ERP_i)*Q167*Ramure*Pc/MaxiM</f>
        <v>4.778702889812932E-5</v>
      </c>
      <c r="Q167" s="307">
        <f t="shared" si="51"/>
        <v>0.9</v>
      </c>
      <c r="R167" s="179">
        <f t="shared" si="52"/>
        <v>0.19228462191037798</v>
      </c>
      <c r="S167" s="839">
        <f t="shared" si="53"/>
        <v>-2</v>
      </c>
      <c r="T167" s="178">
        <f t="shared" si="54"/>
        <v>4</v>
      </c>
      <c r="U167" s="253">
        <f t="shared" si="55"/>
        <v>-1.807715378089622</v>
      </c>
      <c r="V167" s="385">
        <f t="shared" si="56"/>
        <v>59.989181078664608</v>
      </c>
      <c r="W167" s="58"/>
      <c r="X167" s="157">
        <f t="shared" si="57"/>
        <v>43618</v>
      </c>
      <c r="Y167" s="387">
        <f t="shared" si="58"/>
        <v>59.411999999999999</v>
      </c>
      <c r="Z167" s="387">
        <f t="shared" si="59"/>
        <v>59.835199269277886</v>
      </c>
      <c r="AA167" s="388">
        <f t="shared" si="60"/>
        <v>63.818105482872184</v>
      </c>
      <c r="AB167" s="199">
        <f t="shared" si="61"/>
        <v>43618</v>
      </c>
      <c r="AC167" s="428">
        <f>IF(OR(t&lt;Tnet,NoTnet),'2018'!Resal_s+('2018'!Salim-'2018'!Resal_s)*(1-EXP(('2018'!Tnet_s-t)/'2018'!Tau_j)),Resal_s+(Salim-Resal_s)*(1-EXP((Tnet_s-t)/Tau_j)))*Salcycl</f>
        <v>6.2410285975399979E-2</v>
      </c>
      <c r="AD167" s="233">
        <f>(INDEX(Models!$BJ167:$BT167,,AH167)*(1-AF167)+INDEX(Models!$BJ167:$BT167,,AH167+1)*AF167-ERP_i)*AE167*Ramure*Pc/MaxiM</f>
        <v>4.778702889812932E-5</v>
      </c>
      <c r="AE167" s="307">
        <f t="shared" si="62"/>
        <v>0.9</v>
      </c>
      <c r="AF167" s="179">
        <f t="shared" si="63"/>
        <v>0.19228462191037798</v>
      </c>
      <c r="AG167" s="178">
        <f t="shared" si="64"/>
        <v>-2</v>
      </c>
      <c r="AH167" s="178">
        <f t="shared" si="65"/>
        <v>4</v>
      </c>
      <c r="AI167" s="227">
        <f t="shared" si="66"/>
        <v>-1.807715378089622</v>
      </c>
      <c r="AJ167" s="267" t="b">
        <f t="shared" si="67"/>
        <v>0</v>
      </c>
      <c r="AK167" s="267" t="b">
        <f t="shared" si="68"/>
        <v>0</v>
      </c>
      <c r="AL167" s="267"/>
      <c r="AM167" s="267"/>
      <c r="AN167" s="75"/>
    </row>
    <row r="168" spans="1:40" s="6" customFormat="1" ht="11.25" customHeight="1" x14ac:dyDescent="0.2">
      <c r="A168" s="56">
        <f t="shared" si="69"/>
        <v>43619</v>
      </c>
      <c r="B168" s="620">
        <v>45.567</v>
      </c>
      <c r="C168" s="392"/>
      <c r="D168" s="395">
        <f t="shared" si="48"/>
        <v>45.892647553741433</v>
      </c>
      <c r="E168" s="387">
        <f t="shared" si="70"/>
        <v>48.959462067443965</v>
      </c>
      <c r="F168" s="387">
        <f t="shared" si="49"/>
        <v>48.960940970367389</v>
      </c>
      <c r="G168" s="110">
        <f t="shared" si="71"/>
        <v>0.759635684723864</v>
      </c>
      <c r="H168" s="416" t="b">
        <f>Wh_hp&gt;='2018'!Maxi_hp</f>
        <v>1</v>
      </c>
      <c r="I168" s="392">
        <f>IF(H168,Wh_hp,'2018'!Maxi_hp)</f>
        <v>48.960940970367389</v>
      </c>
      <c r="J168" s="85">
        <f>IF(H168,An,'2018'!An_max)</f>
        <v>2019</v>
      </c>
      <c r="K168" s="199">
        <f t="shared" si="50"/>
        <v>43619</v>
      </c>
      <c r="L168" s="147">
        <f>IF(t&lt;Tvie,1-EXP((T0-t)*PertePVj)+'2018'!Pspv,1-EXP((T0-t)*PertePVj)+Pspv)</f>
        <v>7.0958545889097113E-3</v>
      </c>
      <c r="M168" s="872"/>
      <c r="N168" s="872"/>
      <c r="O168" s="48">
        <f>IF(t&lt;Tnet,'2018'!Resal+('2018'!Salim-'2018'!Resal)*(1-EXP(('2018'!Tnet-t)/('2018'!Tau_j))),Resal+(Salim-Resal)*(1-EXP((Tnet-t)/(Tau_j))))*Salcycl</f>
        <v>6.2639873564743209E-2</v>
      </c>
      <c r="P168" s="171">
        <f>(INDEX(Models!$BJ168:$BT168,,T168)*(1-R168)+INDEX(Models!$BJ168:$BT168,,T168+1)*R168-ERP_i)*Q168*Ramure*Pc/MaxiM</f>
        <v>4.6000534275226952E-5</v>
      </c>
      <c r="Q168" s="307">
        <f t="shared" si="51"/>
        <v>0.9</v>
      </c>
      <c r="R168" s="179">
        <f t="shared" si="52"/>
        <v>0.19932014380555851</v>
      </c>
      <c r="S168" s="839">
        <f t="shared" si="53"/>
        <v>-2</v>
      </c>
      <c r="T168" s="178">
        <f t="shared" si="54"/>
        <v>4</v>
      </c>
      <c r="U168" s="253">
        <f t="shared" si="55"/>
        <v>-1.8006798561944415</v>
      </c>
      <c r="V168" s="385">
        <f t="shared" si="56"/>
        <v>59.984386166378094</v>
      </c>
      <c r="W168" s="58"/>
      <c r="X168" s="157">
        <f t="shared" si="57"/>
        <v>43619</v>
      </c>
      <c r="Y168" s="387">
        <f t="shared" si="58"/>
        <v>45.567</v>
      </c>
      <c r="Z168" s="387">
        <f t="shared" si="59"/>
        <v>45.892647553741433</v>
      </c>
      <c r="AA168" s="388">
        <f t="shared" si="60"/>
        <v>48.959462067443965</v>
      </c>
      <c r="AB168" s="199">
        <f t="shared" si="61"/>
        <v>43619</v>
      </c>
      <c r="AC168" s="428">
        <f>IF(OR(t&lt;Tnet,NoTnet),'2018'!Resal_s+('2018'!Salim-'2018'!Resal_s)*(1-EXP(('2018'!Tnet_s-t)/'2018'!Tau_j)),Resal_s+(Salim-Resal_s)*(1-EXP((Tnet_s-t)/Tau_j)))*Salcycl</f>
        <v>6.2639873564743209E-2</v>
      </c>
      <c r="AD168" s="233">
        <f>(INDEX(Models!$BJ168:$BT168,,AH168)*(1-AF168)+INDEX(Models!$BJ168:$BT168,,AH168+1)*AF168-ERP_i)*AE168*Ramure*Pc/MaxiM</f>
        <v>4.6000534275226952E-5</v>
      </c>
      <c r="AE168" s="307">
        <f t="shared" si="62"/>
        <v>0.9</v>
      </c>
      <c r="AF168" s="179">
        <f t="shared" si="63"/>
        <v>0.19932014380555851</v>
      </c>
      <c r="AG168" s="178">
        <f t="shared" si="64"/>
        <v>-2</v>
      </c>
      <c r="AH168" s="178">
        <f t="shared" si="65"/>
        <v>4</v>
      </c>
      <c r="AI168" s="227">
        <f t="shared" si="66"/>
        <v>-1.8006798561944415</v>
      </c>
      <c r="AJ168" s="267" t="b">
        <f t="shared" si="67"/>
        <v>0</v>
      </c>
      <c r="AK168" s="267" t="b">
        <f t="shared" si="68"/>
        <v>0</v>
      </c>
      <c r="AL168" s="267"/>
      <c r="AM168" s="267"/>
      <c r="AN168" s="75"/>
    </row>
    <row r="169" spans="1:40" s="18" customFormat="1" ht="11.25" customHeight="1" x14ac:dyDescent="0.2">
      <c r="A169" s="56">
        <f t="shared" si="69"/>
        <v>43620</v>
      </c>
      <c r="B169" s="620">
        <v>53.857999999999997</v>
      </c>
      <c r="C169" s="392"/>
      <c r="D169" s="395">
        <f t="shared" si="48"/>
        <v>54.244162069854468</v>
      </c>
      <c r="E169" s="387">
        <f t="shared" si="70"/>
        <v>57.883216722784496</v>
      </c>
      <c r="F169" s="387">
        <f t="shared" si="49"/>
        <v>57.885419490334492</v>
      </c>
      <c r="G169" s="110">
        <f t="shared" si="71"/>
        <v>0.89799412185518834</v>
      </c>
      <c r="H169" s="416" t="b">
        <f>Wh_hp&gt;='2018'!Maxi_hp</f>
        <v>1</v>
      </c>
      <c r="I169" s="392">
        <f>IF(H169,Wh_hp,'2018'!Maxi_hp)</f>
        <v>57.885419490334492</v>
      </c>
      <c r="J169" s="85">
        <f>IF(H169,An,'2018'!An_max)</f>
        <v>2019</v>
      </c>
      <c r="K169" s="199">
        <f t="shared" si="50"/>
        <v>43620</v>
      </c>
      <c r="L169" s="147">
        <f>IF(t&lt;Tvie,1-EXP((T0-t)*PertePVj)+'2018'!Pspv,1-EXP((T0-t)*PertePVj)+Pspv)</f>
        <v>7.1189609189129532E-3</v>
      </c>
      <c r="M169" s="872"/>
      <c r="N169" s="872"/>
      <c r="O169" s="48">
        <f>IF(t&lt;Tnet,'2018'!Resal+('2018'!Salim-'2018'!Resal)*(1-EXP(('2018'!Tnet-t)/('2018'!Tau_j))),Resal+(Salim-Resal)*(1-EXP((Tnet-t)/(Tau_j))))*Salcycl</f>
        <v>6.2868908449892624E-2</v>
      </c>
      <c r="P169" s="171">
        <f>(INDEX(Models!$BJ169:$BT169,,T169)*(1-R169)+INDEX(Models!$BJ169:$BT169,,T169+1)*R169-ERP_i)*Q169*Ramure*Pc/MaxiM</f>
        <v>4.4544734717073313E-5</v>
      </c>
      <c r="Q169" s="307">
        <f t="shared" si="51"/>
        <v>0.9</v>
      </c>
      <c r="R169" s="179">
        <f t="shared" si="52"/>
        <v>0.20639708434708237</v>
      </c>
      <c r="S169" s="839">
        <f t="shared" si="53"/>
        <v>-2</v>
      </c>
      <c r="T169" s="178">
        <f t="shared" si="54"/>
        <v>4</v>
      </c>
      <c r="U169" s="253">
        <f t="shared" si="55"/>
        <v>-1.7936029156529176</v>
      </c>
      <c r="V169" s="385">
        <f t="shared" si="56"/>
        <v>59.975504398101663</v>
      </c>
      <c r="W169" s="58"/>
      <c r="X169" s="157">
        <f t="shared" si="57"/>
        <v>43620</v>
      </c>
      <c r="Y169" s="387">
        <f t="shared" si="58"/>
        <v>53.857999999999997</v>
      </c>
      <c r="Z169" s="387">
        <f t="shared" si="59"/>
        <v>54.244162069854468</v>
      </c>
      <c r="AA169" s="388">
        <f t="shared" si="60"/>
        <v>57.883216722784496</v>
      </c>
      <c r="AB169" s="199">
        <f t="shared" si="61"/>
        <v>43620</v>
      </c>
      <c r="AC169" s="428">
        <f>IF(OR(t&lt;Tnet,NoTnet),'2018'!Resal_s+('2018'!Salim-'2018'!Resal_s)*(1-EXP(('2018'!Tnet_s-t)/'2018'!Tau_j)),Resal_s+(Salim-Resal_s)*(1-EXP((Tnet_s-t)/Tau_j)))*Salcycl</f>
        <v>6.2868908449892624E-2</v>
      </c>
      <c r="AD169" s="233">
        <f>(INDEX(Models!$BJ169:$BT169,,AH169)*(1-AF169)+INDEX(Models!$BJ169:$BT169,,AH169+1)*AF169-ERP_i)*AE169*Ramure*Pc/MaxiM</f>
        <v>4.4544734717073313E-5</v>
      </c>
      <c r="AE169" s="307">
        <f t="shared" si="62"/>
        <v>0.9</v>
      </c>
      <c r="AF169" s="179">
        <f t="shared" si="63"/>
        <v>0.20639708434708237</v>
      </c>
      <c r="AG169" s="178">
        <f t="shared" si="64"/>
        <v>-2</v>
      </c>
      <c r="AH169" s="178">
        <f t="shared" si="65"/>
        <v>4</v>
      </c>
      <c r="AI169" s="227">
        <f t="shared" si="66"/>
        <v>-1.7936029156529176</v>
      </c>
      <c r="AJ169" s="267" t="b">
        <f t="shared" si="67"/>
        <v>0</v>
      </c>
      <c r="AK169" s="267" t="b">
        <f t="shared" si="68"/>
        <v>0</v>
      </c>
      <c r="AL169" s="267"/>
      <c r="AM169" s="267"/>
      <c r="AN169" s="267"/>
    </row>
    <row r="170" spans="1:40" s="18" customFormat="1" ht="11.25" customHeight="1" x14ac:dyDescent="0.2">
      <c r="A170" s="56">
        <f t="shared" ref="A170:A207" si="72">A169+1</f>
        <v>43621</v>
      </c>
      <c r="B170" s="620">
        <v>10.987</v>
      </c>
      <c r="C170" s="392"/>
      <c r="D170" s="395">
        <f t="shared" si="48"/>
        <v>11.066034355596079</v>
      </c>
      <c r="E170" s="387">
        <f t="shared" ref="E170:E232" si="73">Wh_pvt/(1-Psa)</f>
        <v>11.81129538987712</v>
      </c>
      <c r="F170" s="387">
        <f t="shared" si="49"/>
        <v>11.81129538987712</v>
      </c>
      <c r="G170" s="110">
        <f t="shared" ref="G170:G232" si="74">+Wh_hp/MaxiM</f>
        <v>0.18322245991131073</v>
      </c>
      <c r="H170" s="416" t="b">
        <f>Wh_hp&gt;='2018'!Maxi_hp</f>
        <v>1</v>
      </c>
      <c r="I170" s="392">
        <f>IF(H170,Wh_hp,'2018'!Maxi_hp)</f>
        <v>11.81129538987712</v>
      </c>
      <c r="J170" s="85">
        <f>IF(H170,An,'2018'!An_max)</f>
        <v>2019</v>
      </c>
      <c r="K170" s="199">
        <f t="shared" si="50"/>
        <v>43621</v>
      </c>
      <c r="L170" s="147">
        <f>IF(t&lt;Tvie,1-EXP((T0-t)*PertePVj)+'2018'!Pspv,1-EXP((T0-t)*PertePVj)+Pspv)</f>
        <v>7.1420667111982139E-3</v>
      </c>
      <c r="M170" s="872"/>
      <c r="N170" s="872"/>
      <c r="O170" s="48">
        <f>IF(t&lt;Tnet,'2018'!Resal+('2018'!Salim-'2018'!Resal)*(1-EXP(('2018'!Tnet-t)/('2018'!Tau_j))),Resal+(Salim-Resal)*(1-EXP((Tnet-t)/(Tau_j))))*Salcycl</f>
        <v>6.3097315720320388E-2</v>
      </c>
      <c r="P170" s="171">
        <f>(INDEX(Models!$BJ170:$BT170,,T170)*(1-R170)+INDEX(Models!$BJ170:$BT170,,T170+1)*R170-ERP_i)*Q170*Ramure*Pc/MaxiM</f>
        <v>4.3474733939244711E-5</v>
      </c>
      <c r="Q170" s="307">
        <f t="shared" si="51"/>
        <v>0.9</v>
      </c>
      <c r="R170" s="179">
        <f t="shared" si="52"/>
        <v>0.21350978556546307</v>
      </c>
      <c r="S170" s="839">
        <f t="shared" si="53"/>
        <v>-2</v>
      </c>
      <c r="T170" s="178">
        <f t="shared" si="54"/>
        <v>4</v>
      </c>
      <c r="U170" s="253">
        <f t="shared" si="55"/>
        <v>-1.7864902144345369</v>
      </c>
      <c r="V170" s="385">
        <f t="shared" si="56"/>
        <v>59.962748826842862</v>
      </c>
      <c r="W170" s="58"/>
      <c r="X170" s="157">
        <f t="shared" si="57"/>
        <v>43621</v>
      </c>
      <c r="Y170" s="387">
        <f t="shared" si="58"/>
        <v>10.987</v>
      </c>
      <c r="Z170" s="387">
        <f t="shared" si="59"/>
        <v>11.066034355596079</v>
      </c>
      <c r="AA170" s="388">
        <f t="shared" si="60"/>
        <v>11.81129538987712</v>
      </c>
      <c r="AB170" s="199">
        <f t="shared" si="61"/>
        <v>43621</v>
      </c>
      <c r="AC170" s="428">
        <f>IF(OR(t&lt;Tnet,NoTnet),'2018'!Resal_s+('2018'!Salim-'2018'!Resal_s)*(1-EXP(('2018'!Tnet_s-t)/'2018'!Tau_j)),Resal_s+(Salim-Resal_s)*(1-EXP((Tnet_s-t)/Tau_j)))*Salcycl</f>
        <v>6.3097315720320388E-2</v>
      </c>
      <c r="AD170" s="233">
        <f>(INDEX(Models!$BJ170:$BT170,,AH170)*(1-AF170)+INDEX(Models!$BJ170:$BT170,,AH170+1)*AF170-ERP_i)*AE170*Ramure*Pc/MaxiM</f>
        <v>4.3474733939244711E-5</v>
      </c>
      <c r="AE170" s="307">
        <f t="shared" si="62"/>
        <v>0.9</v>
      </c>
      <c r="AF170" s="179">
        <f t="shared" si="63"/>
        <v>0.21350978556546307</v>
      </c>
      <c r="AG170" s="178">
        <f t="shared" si="64"/>
        <v>-2</v>
      </c>
      <c r="AH170" s="178">
        <f t="shared" si="65"/>
        <v>4</v>
      </c>
      <c r="AI170" s="227">
        <f t="shared" si="66"/>
        <v>-1.7864902144345369</v>
      </c>
      <c r="AJ170" s="267" t="b">
        <f t="shared" si="67"/>
        <v>0</v>
      </c>
      <c r="AK170" s="267" t="b">
        <f t="shared" si="68"/>
        <v>0</v>
      </c>
      <c r="AL170" s="267"/>
      <c r="AM170" s="267"/>
      <c r="AN170" s="267"/>
    </row>
    <row r="171" spans="1:40" s="6" customFormat="1" ht="11.25" customHeight="1" x14ac:dyDescent="0.2">
      <c r="A171" s="56">
        <f t="shared" si="72"/>
        <v>43622</v>
      </c>
      <c r="B171" s="620">
        <v>59.167000000000002</v>
      </c>
      <c r="C171" s="392"/>
      <c r="D171" s="395">
        <f t="shared" si="48"/>
        <v>59.594001267208334</v>
      </c>
      <c r="E171" s="387">
        <f t="shared" si="73"/>
        <v>63.622924322225522</v>
      </c>
      <c r="F171" s="387">
        <f t="shared" si="49"/>
        <v>63.625581606461907</v>
      </c>
      <c r="G171" s="110">
        <f t="shared" si="74"/>
        <v>0.98699843414831678</v>
      </c>
      <c r="H171" s="416" t="b">
        <f>Wh_hp&gt;='2018'!Maxi_hp</f>
        <v>1</v>
      </c>
      <c r="I171" s="392">
        <f>IF(H171,Wh_hp,'2018'!Maxi_hp)</f>
        <v>63.625581606461907</v>
      </c>
      <c r="J171" s="85">
        <f>IF(H171,An,'2018'!An_max)</f>
        <v>2019</v>
      </c>
      <c r="K171" s="199">
        <f t="shared" si="50"/>
        <v>43622</v>
      </c>
      <c r="L171" s="147">
        <f>IF(t&lt;Tvie,1-EXP((T0-t)*PertePVj)+'2018'!Pspv,1-EXP((T0-t)*PertePVj)+Pspv)</f>
        <v>7.1651719657779278E-3</v>
      </c>
      <c r="M171" s="872"/>
      <c r="N171" s="872"/>
      <c r="O171" s="48">
        <f>IF(t&lt;Tnet,'2018'!Resal+('2018'!Salim-'2018'!Resal)*(1-EXP(('2018'!Tnet-t)/('2018'!Tau_j))),Resal+(Salim-Resal)*(1-EXP((Tnet-t)/(Tau_j))))*Salcycl</f>
        <v>6.3325021569462209E-2</v>
      </c>
      <c r="P171" s="171">
        <f>(INDEX(Models!$BJ171:$BT171,,T171)*(1-R171)+INDEX(Models!$BJ171:$BT171,,T171+1)*R171-ERP_i)*Q171*Ramure*Pc/MaxiM</f>
        <v>4.2554750207386481E-5</v>
      </c>
      <c r="Q171" s="307">
        <f t="shared" si="51"/>
        <v>0.9</v>
      </c>
      <c r="R171" s="179">
        <f t="shared" si="52"/>
        <v>0.22065247153145906</v>
      </c>
      <c r="S171" s="839">
        <f t="shared" si="53"/>
        <v>-2</v>
      </c>
      <c r="T171" s="178">
        <f t="shared" si="54"/>
        <v>4</v>
      </c>
      <c r="U171" s="253">
        <f t="shared" si="55"/>
        <v>-1.7793475284685409</v>
      </c>
      <c r="V171" s="385">
        <f t="shared" si="56"/>
        <v>59.946349647907695</v>
      </c>
      <c r="W171" s="58"/>
      <c r="X171" s="157">
        <f t="shared" si="57"/>
        <v>43622</v>
      </c>
      <c r="Y171" s="387">
        <f t="shared" si="58"/>
        <v>59.167000000000002</v>
      </c>
      <c r="Z171" s="387">
        <f t="shared" si="59"/>
        <v>59.594001267208334</v>
      </c>
      <c r="AA171" s="388">
        <f t="shared" si="60"/>
        <v>63.622924322225522</v>
      </c>
      <c r="AB171" s="199">
        <f t="shared" si="61"/>
        <v>43622</v>
      </c>
      <c r="AC171" s="428">
        <f>IF(OR(t&lt;Tnet,NoTnet),'2018'!Resal_s+('2018'!Salim-'2018'!Resal_s)*(1-EXP(('2018'!Tnet_s-t)/'2018'!Tau_j)),Resal_s+(Salim-Resal_s)*(1-EXP((Tnet_s-t)/Tau_j)))*Salcycl</f>
        <v>6.3325021569462209E-2</v>
      </c>
      <c r="AD171" s="233">
        <f>(INDEX(Models!$BJ171:$BT171,,AH171)*(1-AF171)+INDEX(Models!$BJ171:$BT171,,AH171+1)*AF171-ERP_i)*AE171*Ramure*Pc/MaxiM</f>
        <v>4.2554750207386481E-5</v>
      </c>
      <c r="AE171" s="307">
        <f t="shared" si="62"/>
        <v>0.9</v>
      </c>
      <c r="AF171" s="179">
        <f t="shared" si="63"/>
        <v>0.22065247153145906</v>
      </c>
      <c r="AG171" s="178">
        <f t="shared" si="64"/>
        <v>-2</v>
      </c>
      <c r="AH171" s="178">
        <f t="shared" si="65"/>
        <v>4</v>
      </c>
      <c r="AI171" s="227">
        <f t="shared" si="66"/>
        <v>-1.7793475284685409</v>
      </c>
      <c r="AJ171" s="267" t="b">
        <f t="shared" si="67"/>
        <v>0</v>
      </c>
      <c r="AK171" s="267" t="b">
        <f t="shared" si="68"/>
        <v>0</v>
      </c>
      <c r="AL171" s="267"/>
      <c r="AM171" s="267"/>
      <c r="AN171" s="75"/>
    </row>
    <row r="172" spans="1:40" s="6" customFormat="1" ht="11.25" customHeight="1" x14ac:dyDescent="0.2">
      <c r="A172" s="56">
        <f t="shared" si="72"/>
        <v>43623</v>
      </c>
      <c r="B172" s="620">
        <v>20.465</v>
      </c>
      <c r="C172" s="392"/>
      <c r="D172" s="395">
        <f t="shared" si="48"/>
        <v>20.613173192213313</v>
      </c>
      <c r="E172" s="387">
        <f t="shared" si="73"/>
        <v>22.012084141969275</v>
      </c>
      <c r="F172" s="387">
        <f t="shared" si="49"/>
        <v>22.012138683407944</v>
      </c>
      <c r="G172" s="110">
        <f t="shared" si="74"/>
        <v>0.34148812072204876</v>
      </c>
      <c r="H172" s="416" t="b">
        <f>Wh_hp&gt;='2018'!Maxi_hp</f>
        <v>1</v>
      </c>
      <c r="I172" s="392">
        <f>IF(H172,Wh_hp,'2018'!Maxi_hp)</f>
        <v>22.012138683407944</v>
      </c>
      <c r="J172" s="85">
        <f>IF(H172,An,'2018'!An_max)</f>
        <v>2019</v>
      </c>
      <c r="K172" s="199">
        <f t="shared" si="50"/>
        <v>43623</v>
      </c>
      <c r="L172" s="147">
        <f>IF(t&lt;Tvie,1-EXP((T0-t)*PertePVj)+'2018'!Pspv,1-EXP((T0-t)*PertePVj)+Pspv)</f>
        <v>7.1882766826646405E-3</v>
      </c>
      <c r="M172" s="872"/>
      <c r="N172" s="872"/>
      <c r="O172" s="48">
        <f>IF(t&lt;Tnet,'2018'!Resal+('2018'!Salim-'2018'!Resal)*(1-EXP(('2018'!Tnet-t)/('2018'!Tau_j))),Resal+(Salim-Resal)*(1-EXP((Tnet-t)/(Tau_j))))*Salcycl</f>
        <v>6.3551953587562895E-2</v>
      </c>
      <c r="P172" s="171">
        <f>(INDEX(Models!$BJ172:$BT172,,T172)*(1-R172)+INDEX(Models!$BJ172:$BT172,,T172+1)*R172-ERP_i)*Q172*Ramure*Pc/MaxiM</f>
        <v>4.1792476380047892E-5</v>
      </c>
      <c r="Q172" s="307">
        <f t="shared" si="51"/>
        <v>0.9</v>
      </c>
      <c r="R172" s="179">
        <f t="shared" si="52"/>
        <v>0.22781926671641539</v>
      </c>
      <c r="S172" s="839">
        <f t="shared" si="53"/>
        <v>-2</v>
      </c>
      <c r="T172" s="178">
        <f t="shared" si="54"/>
        <v>4</v>
      </c>
      <c r="U172" s="253">
        <f t="shared" si="55"/>
        <v>-1.7721807332835846</v>
      </c>
      <c r="V172" s="385">
        <f t="shared" si="56"/>
        <v>59.926522128098185</v>
      </c>
      <c r="W172" s="58"/>
      <c r="X172" s="157">
        <f t="shared" si="57"/>
        <v>43623</v>
      </c>
      <c r="Y172" s="387">
        <f t="shared" si="58"/>
        <v>20.465</v>
      </c>
      <c r="Z172" s="387">
        <f t="shared" si="59"/>
        <v>20.613173192213313</v>
      </c>
      <c r="AA172" s="388">
        <f t="shared" si="60"/>
        <v>22.012084141969275</v>
      </c>
      <c r="AB172" s="199">
        <f t="shared" si="61"/>
        <v>43623</v>
      </c>
      <c r="AC172" s="428">
        <f>IF(OR(t&lt;Tnet,NoTnet),'2018'!Resal_s+('2018'!Salim-'2018'!Resal_s)*(1-EXP(('2018'!Tnet_s-t)/'2018'!Tau_j)),Resal_s+(Salim-Resal_s)*(1-EXP((Tnet_s-t)/Tau_j)))*Salcycl</f>
        <v>6.3551953587562895E-2</v>
      </c>
      <c r="AD172" s="233">
        <f>(INDEX(Models!$BJ172:$BT172,,AH172)*(1-AF172)+INDEX(Models!$BJ172:$BT172,,AH172+1)*AF172-ERP_i)*AE172*Ramure*Pc/MaxiM</f>
        <v>4.1792476380047892E-5</v>
      </c>
      <c r="AE172" s="307">
        <f t="shared" si="62"/>
        <v>0.9</v>
      </c>
      <c r="AF172" s="179">
        <f t="shared" si="63"/>
        <v>0.22781926671641539</v>
      </c>
      <c r="AG172" s="178">
        <f t="shared" si="64"/>
        <v>-2</v>
      </c>
      <c r="AH172" s="178">
        <f t="shared" si="65"/>
        <v>4</v>
      </c>
      <c r="AI172" s="227">
        <f t="shared" si="66"/>
        <v>-1.7721807332835846</v>
      </c>
      <c r="AJ172" s="267" t="b">
        <f t="shared" si="67"/>
        <v>0</v>
      </c>
      <c r="AK172" s="267" t="b">
        <f t="shared" si="68"/>
        <v>0</v>
      </c>
      <c r="AL172" s="267"/>
      <c r="AM172" s="267"/>
      <c r="AN172" s="75"/>
    </row>
    <row r="173" spans="1:40" s="6" customFormat="1" ht="11.25" customHeight="1" x14ac:dyDescent="0.2">
      <c r="A173" s="56">
        <f t="shared" si="72"/>
        <v>43624</v>
      </c>
      <c r="B173" s="620">
        <v>61.329000000000001</v>
      </c>
      <c r="C173" s="392"/>
      <c r="D173" s="395">
        <f t="shared" si="48"/>
        <v>61.774479297759896</v>
      </c>
      <c r="E173" s="387">
        <f t="shared" si="73"/>
        <v>65.982728462302774</v>
      </c>
      <c r="F173" s="387">
        <f t="shared" si="49"/>
        <v>65.985446784364868</v>
      </c>
      <c r="G173" s="110">
        <f t="shared" si="74"/>
        <v>1.0237969278612784</v>
      </c>
      <c r="H173" s="416" t="b">
        <f>Wh_hp&gt;='2018'!Maxi_hp</f>
        <v>1</v>
      </c>
      <c r="I173" s="392">
        <f>IF(H173,Wh_hp,'2018'!Maxi_hp)</f>
        <v>65.985446784364868</v>
      </c>
      <c r="J173" s="85">
        <f>IF(H173,An,'2018'!An_max)</f>
        <v>2019</v>
      </c>
      <c r="K173" s="199">
        <f t="shared" si="50"/>
        <v>43624</v>
      </c>
      <c r="L173" s="147">
        <f>IF(t&lt;Tvie,1-EXP((T0-t)*PertePVj)+'2018'!Pspv,1-EXP((T0-t)*PertePVj)+Pspv)</f>
        <v>7.2113808618707864E-3</v>
      </c>
      <c r="M173" s="872"/>
      <c r="N173" s="872"/>
      <c r="O173" s="48">
        <f>IF(t&lt;Tnet,'2018'!Resal+('2018'!Salim-'2018'!Resal)*(1-EXP(('2018'!Tnet-t)/('2018'!Tau_j))),Resal+(Salim-Resal)*(1-EXP((Tnet-t)/(Tau_j))))*Salcycl</f>
        <v>6.3778041051259879E-2</v>
      </c>
      <c r="P173" s="171">
        <f>(INDEX(Models!$BJ173:$BT173,,T173)*(1-R173)+INDEX(Models!$BJ173:$BT173,,T173+1)*R173-ERP_i)*Q173*Ramure*Pc/MaxiM</f>
        <v>4.1195781714961223E-5</v>
      </c>
      <c r="Q173" s="307">
        <f t="shared" si="51"/>
        <v>0.9</v>
      </c>
      <c r="R173" s="179">
        <f t="shared" si="52"/>
        <v>0.23500421505098856</v>
      </c>
      <c r="S173" s="839">
        <f t="shared" si="53"/>
        <v>-2</v>
      </c>
      <c r="T173" s="178">
        <f t="shared" si="54"/>
        <v>4</v>
      </c>
      <c r="U173" s="253">
        <f t="shared" si="55"/>
        <v>-1.7649957849490114</v>
      </c>
      <c r="V173" s="385">
        <f t="shared" si="56"/>
        <v>59.903481179726604</v>
      </c>
      <c r="W173" s="58"/>
      <c r="X173" s="157">
        <f t="shared" si="57"/>
        <v>43624</v>
      </c>
      <c r="Y173" s="387">
        <f t="shared" si="58"/>
        <v>61.329000000000001</v>
      </c>
      <c r="Z173" s="387">
        <f t="shared" si="59"/>
        <v>61.774479297759896</v>
      </c>
      <c r="AA173" s="388">
        <f t="shared" si="60"/>
        <v>65.982728462302774</v>
      </c>
      <c r="AB173" s="199">
        <f t="shared" si="61"/>
        <v>43624</v>
      </c>
      <c r="AC173" s="428">
        <f>IF(OR(t&lt;Tnet,NoTnet),'2018'!Resal_s+('2018'!Salim-'2018'!Resal_s)*(1-EXP(('2018'!Tnet_s-t)/'2018'!Tau_j)),Resal_s+(Salim-Resal_s)*(1-EXP((Tnet_s-t)/Tau_j)))*Salcycl</f>
        <v>6.3778041051259879E-2</v>
      </c>
      <c r="AD173" s="233">
        <f>(INDEX(Models!$BJ173:$BT173,,AH173)*(1-AF173)+INDEX(Models!$BJ173:$BT173,,AH173+1)*AF173-ERP_i)*AE173*Ramure*Pc/MaxiM</f>
        <v>4.1195781714961223E-5</v>
      </c>
      <c r="AE173" s="307">
        <f t="shared" si="62"/>
        <v>0.9</v>
      </c>
      <c r="AF173" s="179">
        <f t="shared" si="63"/>
        <v>0.23500421505098856</v>
      </c>
      <c r="AG173" s="178">
        <f t="shared" si="64"/>
        <v>-2</v>
      </c>
      <c r="AH173" s="178">
        <f t="shared" si="65"/>
        <v>4</v>
      </c>
      <c r="AI173" s="227">
        <f t="shared" si="66"/>
        <v>-1.7649957849490114</v>
      </c>
      <c r="AJ173" s="267" t="b">
        <f t="shared" si="67"/>
        <v>0</v>
      </c>
      <c r="AK173" s="267" t="b">
        <f t="shared" si="68"/>
        <v>0</v>
      </c>
      <c r="AL173" s="267"/>
      <c r="AM173" s="267"/>
      <c r="AN173" s="75"/>
    </row>
    <row r="174" spans="1:40" s="6" customFormat="1" ht="11.25" customHeight="1" x14ac:dyDescent="0.2">
      <c r="A174" s="56">
        <f t="shared" si="72"/>
        <v>43625</v>
      </c>
      <c r="B174" s="620">
        <v>49.305</v>
      </c>
      <c r="C174" s="392"/>
      <c r="D174" s="395">
        <f t="shared" si="48"/>
        <v>49.664295576722523</v>
      </c>
      <c r="E174" s="387">
        <f t="shared" si="73"/>
        <v>53.060327111866314</v>
      </c>
      <c r="F174" s="387">
        <f t="shared" si="49"/>
        <v>53.061944874279007</v>
      </c>
      <c r="G174" s="110">
        <f t="shared" si="74"/>
        <v>0.82342350976894885</v>
      </c>
      <c r="H174" s="416" t="b">
        <f>Wh_hp&gt;='2018'!Maxi_hp</f>
        <v>1</v>
      </c>
      <c r="I174" s="392">
        <f>IF(H174,Wh_hp,'2018'!Maxi_hp)</f>
        <v>53.061944874279007</v>
      </c>
      <c r="J174" s="85">
        <f>IF(H174,An,'2018'!An_max)</f>
        <v>2019</v>
      </c>
      <c r="K174" s="199">
        <f t="shared" si="50"/>
        <v>43625</v>
      </c>
      <c r="L174" s="147">
        <f>IF(t&lt;Tvie,1-EXP((T0-t)*PertePVj)+'2018'!Pspv,1-EXP((T0-t)*PertePVj)+Pspv)</f>
        <v>7.2344845034090222E-3</v>
      </c>
      <c r="M174" s="872"/>
      <c r="N174" s="872"/>
      <c r="O174" s="48">
        <f>IF(t&lt;Tnet,'2018'!Resal+('2018'!Salim-'2018'!Resal)*(1-EXP(('2018'!Tnet-t)/('2018'!Tau_j))),Resal+(Salim-Resal)*(1-EXP((Tnet-t)/(Tau_j))))*Salcycl</f>
        <v>6.4003215207927205E-2</v>
      </c>
      <c r="P174" s="171">
        <f>(INDEX(Models!$BJ174:$BT174,,T174)*(1-R174)+INDEX(Models!$BJ174:$BT174,,T174+1)*R174-ERP_i)*Q174*Ramure*Pc/MaxiM</f>
        <v>4.0772689953278933E-5</v>
      </c>
      <c r="Q174" s="307">
        <f t="shared" si="51"/>
        <v>0.9</v>
      </c>
      <c r="R174" s="179">
        <f t="shared" si="52"/>
        <v>0.24220129955301672</v>
      </c>
      <c r="S174" s="839">
        <f t="shared" si="53"/>
        <v>-2</v>
      </c>
      <c r="T174" s="178">
        <f t="shared" si="54"/>
        <v>4</v>
      </c>
      <c r="U174" s="253">
        <f t="shared" si="55"/>
        <v>-1.7577987004469833</v>
      </c>
      <c r="V174" s="385">
        <f t="shared" si="56"/>
        <v>59.877441343491768</v>
      </c>
      <c r="W174" s="58"/>
      <c r="X174" s="157">
        <f t="shared" si="57"/>
        <v>43625</v>
      </c>
      <c r="Y174" s="387">
        <f t="shared" si="58"/>
        <v>49.305</v>
      </c>
      <c r="Z174" s="387">
        <f t="shared" si="59"/>
        <v>49.664295576722523</v>
      </c>
      <c r="AA174" s="388">
        <f t="shared" si="60"/>
        <v>53.060327111866314</v>
      </c>
      <c r="AB174" s="199">
        <f t="shared" si="61"/>
        <v>43625</v>
      </c>
      <c r="AC174" s="428">
        <f>IF(OR(t&lt;Tnet,NoTnet),'2018'!Resal_s+('2018'!Salim-'2018'!Resal_s)*(1-EXP(('2018'!Tnet_s-t)/'2018'!Tau_j)),Resal_s+(Salim-Resal_s)*(1-EXP((Tnet_s-t)/Tau_j)))*Salcycl</f>
        <v>6.4003215207927205E-2</v>
      </c>
      <c r="AD174" s="233">
        <f>(INDEX(Models!$BJ174:$BT174,,AH174)*(1-AF174)+INDEX(Models!$BJ174:$BT174,,AH174+1)*AF174-ERP_i)*AE174*Ramure*Pc/MaxiM</f>
        <v>4.0772689953278933E-5</v>
      </c>
      <c r="AE174" s="307">
        <f t="shared" si="62"/>
        <v>0.9</v>
      </c>
      <c r="AF174" s="179">
        <f t="shared" si="63"/>
        <v>0.24220129955301672</v>
      </c>
      <c r="AG174" s="178">
        <f t="shared" si="64"/>
        <v>-2</v>
      </c>
      <c r="AH174" s="178">
        <f t="shared" si="65"/>
        <v>4</v>
      </c>
      <c r="AI174" s="227">
        <f t="shared" si="66"/>
        <v>-1.7577987004469833</v>
      </c>
      <c r="AJ174" s="267" t="b">
        <f t="shared" si="67"/>
        <v>0</v>
      </c>
      <c r="AK174" s="267" t="b">
        <f t="shared" si="68"/>
        <v>0</v>
      </c>
      <c r="AL174" s="267"/>
      <c r="AM174" s="267"/>
      <c r="AN174" s="75"/>
    </row>
    <row r="175" spans="1:40" s="6" customFormat="1" ht="11.25" customHeight="1" x14ac:dyDescent="0.2">
      <c r="A175" s="56">
        <f t="shared" si="72"/>
        <v>43626</v>
      </c>
      <c r="B175" s="620">
        <v>24.428000000000001</v>
      </c>
      <c r="C175" s="392"/>
      <c r="D175" s="395">
        <f t="shared" si="48"/>
        <v>24.606584442306257</v>
      </c>
      <c r="E175" s="387">
        <f t="shared" si="73"/>
        <v>26.295474662863345</v>
      </c>
      <c r="F175" s="387">
        <f t="shared" si="49"/>
        <v>26.295639348667407</v>
      </c>
      <c r="G175" s="110">
        <f t="shared" si="74"/>
        <v>0.40814916369172838</v>
      </c>
      <c r="H175" s="416" t="b">
        <f>Wh_hp&gt;='2018'!Maxi_hp</f>
        <v>1</v>
      </c>
      <c r="I175" s="392">
        <f>IF(H175,Wh_hp,'2018'!Maxi_hp)</f>
        <v>26.295639348667407</v>
      </c>
      <c r="J175" s="85">
        <f>IF(H175,An,'2018'!An_max)</f>
        <v>2019</v>
      </c>
      <c r="K175" s="199">
        <f t="shared" si="50"/>
        <v>43626</v>
      </c>
      <c r="L175" s="147">
        <f>IF(t&lt;Tvie,1-EXP((T0-t)*PertePVj)+'2018'!Pspv,1-EXP((T0-t)*PertePVj)+Pspv)</f>
        <v>7.2575876072916712E-3</v>
      </c>
      <c r="M175" s="872"/>
      <c r="N175" s="872"/>
      <c r="O175" s="48">
        <f>IF(t&lt;Tnet,'2018'!Resal+('2018'!Salim-'2018'!Resal)*(1-EXP(('2018'!Tnet-t)/('2018'!Tau_j))),Resal+(Salim-Resal)*(1-EXP((Tnet-t)/(Tau_j))))*Salcycl</f>
        <v>6.4227409552803344E-2</v>
      </c>
      <c r="P175" s="171">
        <f>(INDEX(Models!$BJ175:$BT175,,T175)*(1-R175)+INDEX(Models!$BJ175:$BT175,,T175+1)*R175-ERP_i)*Q175*Ramure*Pc/MaxiM</f>
        <v>4.0531356564819732E-5</v>
      </c>
      <c r="Q175" s="307">
        <f t="shared" si="51"/>
        <v>0.9</v>
      </c>
      <c r="R175" s="179">
        <f t="shared" si="52"/>
        <v>0.24940446238843283</v>
      </c>
      <c r="S175" s="839">
        <f t="shared" si="53"/>
        <v>-2</v>
      </c>
      <c r="T175" s="178">
        <f t="shared" si="54"/>
        <v>4</v>
      </c>
      <c r="U175" s="253">
        <f t="shared" si="55"/>
        <v>-1.7505955376115672</v>
      </c>
      <c r="V175" s="385">
        <f t="shared" si="56"/>
        <v>59.84861677255914</v>
      </c>
      <c r="W175" s="58"/>
      <c r="X175" s="157">
        <f t="shared" si="57"/>
        <v>43626</v>
      </c>
      <c r="Y175" s="387">
        <f t="shared" si="58"/>
        <v>24.428000000000001</v>
      </c>
      <c r="Z175" s="387">
        <f t="shared" si="59"/>
        <v>24.606584442306257</v>
      </c>
      <c r="AA175" s="388">
        <f t="shared" si="60"/>
        <v>26.295474662863345</v>
      </c>
      <c r="AB175" s="199">
        <f t="shared" si="61"/>
        <v>43626</v>
      </c>
      <c r="AC175" s="428">
        <f>IF(OR(t&lt;Tnet,NoTnet),'2018'!Resal_s+('2018'!Salim-'2018'!Resal_s)*(1-EXP(('2018'!Tnet_s-t)/'2018'!Tau_j)),Resal_s+(Salim-Resal_s)*(1-EXP((Tnet_s-t)/Tau_j)))*Salcycl</f>
        <v>6.4227409552803344E-2</v>
      </c>
      <c r="AD175" s="233">
        <f>(INDEX(Models!$BJ175:$BT175,,AH175)*(1-AF175)+INDEX(Models!$BJ175:$BT175,,AH175+1)*AF175-ERP_i)*AE175*Ramure*Pc/MaxiM</f>
        <v>4.0531356564819732E-5</v>
      </c>
      <c r="AE175" s="307">
        <f t="shared" si="62"/>
        <v>0.9</v>
      </c>
      <c r="AF175" s="179">
        <f t="shared" si="63"/>
        <v>0.24940446238843283</v>
      </c>
      <c r="AG175" s="178">
        <f t="shared" si="64"/>
        <v>-2</v>
      </c>
      <c r="AH175" s="178">
        <f t="shared" si="65"/>
        <v>4</v>
      </c>
      <c r="AI175" s="227">
        <f t="shared" si="66"/>
        <v>-1.7505955376115672</v>
      </c>
      <c r="AJ175" s="267" t="b">
        <f t="shared" si="67"/>
        <v>0</v>
      </c>
      <c r="AK175" s="267" t="b">
        <f t="shared" si="68"/>
        <v>0</v>
      </c>
      <c r="AL175" s="267"/>
      <c r="AM175" s="267"/>
      <c r="AN175" s="75"/>
    </row>
    <row r="176" spans="1:40" s="6" customFormat="1" ht="11.25" customHeight="1" x14ac:dyDescent="0.2">
      <c r="A176" s="56">
        <f t="shared" si="72"/>
        <v>43627</v>
      </c>
      <c r="B176" s="620">
        <v>30.742000000000001</v>
      </c>
      <c r="C176" s="392"/>
      <c r="D176" s="395">
        <f t="shared" si="48"/>
        <v>30.967464514590564</v>
      </c>
      <c r="E176" s="387">
        <f t="shared" si="73"/>
        <v>33.100831654390831</v>
      </c>
      <c r="F176" s="387">
        <f t="shared" si="49"/>
        <v>33.101241163453807</v>
      </c>
      <c r="G176" s="110">
        <f t="shared" si="74"/>
        <v>0.51391781912393686</v>
      </c>
      <c r="H176" s="416" t="b">
        <f>Wh_hp&gt;='2018'!Maxi_hp</f>
        <v>1</v>
      </c>
      <c r="I176" s="392">
        <f>IF(H176,Wh_hp,'2018'!Maxi_hp)</f>
        <v>33.101241163453807</v>
      </c>
      <c r="J176" s="85">
        <f>IF(H176,An,'2018'!An_max)</f>
        <v>2019</v>
      </c>
      <c r="K176" s="199">
        <f t="shared" si="50"/>
        <v>43627</v>
      </c>
      <c r="L176" s="147">
        <f>IF(t&lt;Tvie,1-EXP((T0-t)*PertePVj)+'2018'!Pspv,1-EXP((T0-t)*PertePVj)+Pspv)</f>
        <v>7.28069017353139E-3</v>
      </c>
      <c r="M176" s="872"/>
      <c r="N176" s="872"/>
      <c r="O176" s="48">
        <f>IF(t&lt;Tnet,'2018'!Resal+('2018'!Salim-'2018'!Resal)*(1-EXP(('2018'!Tnet-t)/('2018'!Tau_j))),Resal+(Salim-Resal)*(1-EXP((Tnet-t)/(Tau_j))))*Salcycl</f>
        <v>6.4450560096947704E-2</v>
      </c>
      <c r="P176" s="171">
        <f>(INDEX(Models!$BJ176:$BT176,,T176)*(1-R176)+INDEX(Models!$BJ176:$BT176,,T176+1)*R176-ERP_i)*Q176*Ramure*Pc/MaxiM</f>
        <v>4.0480045278146045E-5</v>
      </c>
      <c r="Q176" s="307">
        <f t="shared" si="51"/>
        <v>0.9</v>
      </c>
      <c r="R176" s="179">
        <f t="shared" si="52"/>
        <v>0.25660762522384895</v>
      </c>
      <c r="S176" s="839">
        <f t="shared" si="53"/>
        <v>-2</v>
      </c>
      <c r="T176" s="178">
        <f t="shared" si="54"/>
        <v>4</v>
      </c>
      <c r="U176" s="253">
        <f t="shared" si="55"/>
        <v>-1.7433923747761511</v>
      </c>
      <c r="V176" s="385">
        <f t="shared" si="56"/>
        <v>59.817221216578709</v>
      </c>
      <c r="W176" s="58"/>
      <c r="X176" s="157">
        <f t="shared" si="57"/>
        <v>43627</v>
      </c>
      <c r="Y176" s="387">
        <f t="shared" si="58"/>
        <v>30.742000000000001</v>
      </c>
      <c r="Z176" s="387">
        <f t="shared" si="59"/>
        <v>30.967464514590564</v>
      </c>
      <c r="AA176" s="388">
        <f t="shared" si="60"/>
        <v>33.100831654390831</v>
      </c>
      <c r="AB176" s="199">
        <f t="shared" si="61"/>
        <v>43627</v>
      </c>
      <c r="AC176" s="428">
        <f>IF(OR(t&lt;Tnet,NoTnet),'2018'!Resal_s+('2018'!Salim-'2018'!Resal_s)*(1-EXP(('2018'!Tnet_s-t)/'2018'!Tau_j)),Resal_s+(Salim-Resal_s)*(1-EXP((Tnet_s-t)/Tau_j)))*Salcycl</f>
        <v>6.4450560096947704E-2</v>
      </c>
      <c r="AD176" s="233">
        <f>(INDEX(Models!$BJ176:$BT176,,AH176)*(1-AF176)+INDEX(Models!$BJ176:$BT176,,AH176+1)*AF176-ERP_i)*AE176*Ramure*Pc/MaxiM</f>
        <v>4.0480045278146045E-5</v>
      </c>
      <c r="AE176" s="307">
        <f t="shared" si="62"/>
        <v>0.9</v>
      </c>
      <c r="AF176" s="179">
        <f t="shared" si="63"/>
        <v>0.25660762522384895</v>
      </c>
      <c r="AG176" s="178">
        <f t="shared" si="64"/>
        <v>-2</v>
      </c>
      <c r="AH176" s="178">
        <f t="shared" si="65"/>
        <v>4</v>
      </c>
      <c r="AI176" s="227">
        <f t="shared" si="66"/>
        <v>-1.7433923747761511</v>
      </c>
      <c r="AJ176" s="267" t="b">
        <f t="shared" si="67"/>
        <v>0</v>
      </c>
      <c r="AK176" s="267" t="b">
        <f t="shared" si="68"/>
        <v>0</v>
      </c>
      <c r="AL176" s="267"/>
      <c r="AM176" s="267"/>
      <c r="AN176" s="75"/>
    </row>
    <row r="177" spans="1:40" s="6" customFormat="1" ht="11.25" customHeight="1" x14ac:dyDescent="0.2">
      <c r="A177" s="56">
        <f t="shared" si="72"/>
        <v>43628</v>
      </c>
      <c r="B177" s="620">
        <v>56.485999999999997</v>
      </c>
      <c r="C177" s="392"/>
      <c r="D177" s="395">
        <f t="shared" si="48"/>
        <v>56.901597443698627</v>
      </c>
      <c r="E177" s="387">
        <f t="shared" si="73"/>
        <v>60.836021467827223</v>
      </c>
      <c r="F177" s="387">
        <f t="shared" si="49"/>
        <v>60.838298485220825</v>
      </c>
      <c r="G177" s="110">
        <f t="shared" si="74"/>
        <v>0.94485545564306284</v>
      </c>
      <c r="H177" s="416" t="b">
        <f>Wh_hp&gt;='2018'!Maxi_hp</f>
        <v>1</v>
      </c>
      <c r="I177" s="392">
        <f>IF(H177,Wh_hp,'2018'!Maxi_hp)</f>
        <v>60.838298485220825</v>
      </c>
      <c r="J177" s="85">
        <f>IF(H177,An,'2018'!An_max)</f>
        <v>2019</v>
      </c>
      <c r="K177" s="199">
        <f t="shared" si="50"/>
        <v>43628</v>
      </c>
      <c r="L177" s="147">
        <f>IF(t&lt;Tvie,1-EXP((T0-t)*PertePVj)+'2018'!Pspv,1-EXP((T0-t)*PertePVj)+Pspv)</f>
        <v>7.3037922021406132E-3</v>
      </c>
      <c r="M177" s="872"/>
      <c r="N177" s="872"/>
      <c r="O177" s="48">
        <f>IF(t&lt;Tnet,'2018'!Resal+('2018'!Salim-'2018'!Resal)*(1-EXP(('2018'!Tnet-t)/('2018'!Tau_j))),Resal+(Salim-Resal)*(1-EXP((Tnet-t)/(Tau_j))))*Salcycl</f>
        <v>6.4672605624108578E-2</v>
      </c>
      <c r="P177" s="171">
        <f>(INDEX(Models!$BJ177:$BT177,,T177)*(1-R177)+INDEX(Models!$BJ177:$BT177,,T177+1)*R177-ERP_i)*Q177*Ramure*Pc/MaxiM</f>
        <v>4.0627763322186671E-5</v>
      </c>
      <c r="Q177" s="307">
        <f t="shared" si="51"/>
        <v>0.9</v>
      </c>
      <c r="R177" s="179">
        <f t="shared" si="52"/>
        <v>0.26380470972587711</v>
      </c>
      <c r="S177" s="839">
        <f t="shared" si="53"/>
        <v>-2</v>
      </c>
      <c r="T177" s="178">
        <f t="shared" si="54"/>
        <v>4</v>
      </c>
      <c r="U177" s="253">
        <f t="shared" si="55"/>
        <v>-1.7361952902741229</v>
      </c>
      <c r="V177" s="385">
        <f t="shared" si="56"/>
        <v>59.78249781842748</v>
      </c>
      <c r="W177" s="58"/>
      <c r="X177" s="157">
        <f t="shared" si="57"/>
        <v>43628</v>
      </c>
      <c r="Y177" s="387">
        <f t="shared" si="58"/>
        <v>56.485999999999997</v>
      </c>
      <c r="Z177" s="387">
        <f t="shared" si="59"/>
        <v>56.901597443698627</v>
      </c>
      <c r="AA177" s="388">
        <f t="shared" si="60"/>
        <v>60.836021467827223</v>
      </c>
      <c r="AB177" s="199">
        <f t="shared" si="61"/>
        <v>43628</v>
      </c>
      <c r="AC177" s="428">
        <f>IF(OR(t&lt;Tnet,NoTnet),'2018'!Resal_s+('2018'!Salim-'2018'!Resal_s)*(1-EXP(('2018'!Tnet_s-t)/'2018'!Tau_j)),Resal_s+(Salim-Resal_s)*(1-EXP((Tnet_s-t)/Tau_j)))*Salcycl</f>
        <v>6.4672605624108578E-2</v>
      </c>
      <c r="AD177" s="233">
        <f>(INDEX(Models!$BJ177:$BT177,,AH177)*(1-AF177)+INDEX(Models!$BJ177:$BT177,,AH177+1)*AF177-ERP_i)*AE177*Ramure*Pc/MaxiM</f>
        <v>4.0627763322186671E-5</v>
      </c>
      <c r="AE177" s="307">
        <f t="shared" si="62"/>
        <v>0.9</v>
      </c>
      <c r="AF177" s="179">
        <f t="shared" si="63"/>
        <v>0.26380470972587711</v>
      </c>
      <c r="AG177" s="178">
        <f t="shared" si="64"/>
        <v>-2</v>
      </c>
      <c r="AH177" s="178">
        <f t="shared" si="65"/>
        <v>4</v>
      </c>
      <c r="AI177" s="227">
        <f t="shared" si="66"/>
        <v>-1.7361952902741229</v>
      </c>
      <c r="AJ177" s="267" t="b">
        <f t="shared" si="67"/>
        <v>0</v>
      </c>
      <c r="AK177" s="267" t="b">
        <f t="shared" si="68"/>
        <v>0</v>
      </c>
      <c r="AL177" s="267"/>
      <c r="AM177" s="267"/>
      <c r="AN177" s="75"/>
    </row>
    <row r="178" spans="1:40" s="6" customFormat="1" ht="11.25" customHeight="1" x14ac:dyDescent="0.2">
      <c r="A178" s="56">
        <f t="shared" si="72"/>
        <v>43629</v>
      </c>
      <c r="B178" s="620">
        <v>58.921999999999997</v>
      </c>
      <c r="C178" s="392"/>
      <c r="D178" s="395">
        <f t="shared" si="48"/>
        <v>59.356901708773862</v>
      </c>
      <c r="E178" s="387">
        <f t="shared" si="73"/>
        <v>63.476086352636941</v>
      </c>
      <c r="F178" s="387">
        <f t="shared" si="49"/>
        <v>63.47863553055479</v>
      </c>
      <c r="G178" s="110">
        <f t="shared" si="74"/>
        <v>0.98624559442210524</v>
      </c>
      <c r="H178" s="416" t="b">
        <f>Wh_hp&gt;='2018'!Maxi_hp</f>
        <v>1</v>
      </c>
      <c r="I178" s="392">
        <f>IF(H178,Wh_hp,'2018'!Maxi_hp)</f>
        <v>63.47863553055479</v>
      </c>
      <c r="J178" s="85">
        <f>IF(H178,An,'2018'!An_max)</f>
        <v>2019</v>
      </c>
      <c r="K178" s="199">
        <f t="shared" si="50"/>
        <v>43629</v>
      </c>
      <c r="L178" s="147">
        <f>IF(t&lt;Tvie,1-EXP((T0-t)*PertePVj)+'2018'!Pspv,1-EXP((T0-t)*PertePVj)+Pspv)</f>
        <v>7.3268936931318862E-3</v>
      </c>
      <c r="M178" s="872"/>
      <c r="N178" s="872"/>
      <c r="O178" s="48">
        <f>IF(t&lt;Tnet,'2018'!Resal+('2018'!Salim-'2018'!Resal)*(1-EXP(('2018'!Tnet-t)/('2018'!Tau_j))),Resal+(Salim-Resal)*(1-EXP((Tnet-t)/(Tau_j))))*Salcycl</f>
        <v>6.4893487934641017E-2</v>
      </c>
      <c r="P178" s="171">
        <f>(INDEX(Models!$BJ178:$BT178,,T178)*(1-R178)+INDEX(Models!$BJ178:$BT178,,T178+1)*R178-ERP_i)*Q178*Ramure*Pc/MaxiM</f>
        <v>4.0962884694487236E-5</v>
      </c>
      <c r="Q178" s="307">
        <f t="shared" si="51"/>
        <v>0.9</v>
      </c>
      <c r="R178" s="179">
        <f t="shared" si="52"/>
        <v>0.27098965806045028</v>
      </c>
      <c r="S178" s="839">
        <f t="shared" si="53"/>
        <v>-2</v>
      </c>
      <c r="T178" s="178">
        <f t="shared" si="54"/>
        <v>4</v>
      </c>
      <c r="U178" s="253">
        <f t="shared" si="55"/>
        <v>-1.7290103419395497</v>
      </c>
      <c r="V178" s="385">
        <f t="shared" si="56"/>
        <v>59.743691539500517</v>
      </c>
      <c r="W178" s="58"/>
      <c r="X178" s="157">
        <f t="shared" si="57"/>
        <v>43629</v>
      </c>
      <c r="Y178" s="387">
        <f t="shared" si="58"/>
        <v>58.921999999999997</v>
      </c>
      <c r="Z178" s="387">
        <f t="shared" si="59"/>
        <v>59.356901708773862</v>
      </c>
      <c r="AA178" s="388">
        <f t="shared" si="60"/>
        <v>63.476086352636941</v>
      </c>
      <c r="AB178" s="199">
        <f t="shared" si="61"/>
        <v>43629</v>
      </c>
      <c r="AC178" s="428">
        <f>IF(OR(t&lt;Tnet,NoTnet),'2018'!Resal_s+('2018'!Salim-'2018'!Resal_s)*(1-EXP(('2018'!Tnet_s-t)/'2018'!Tau_j)),Resal_s+(Salim-Resal_s)*(1-EXP((Tnet_s-t)/Tau_j)))*Salcycl</f>
        <v>6.4893487934641017E-2</v>
      </c>
      <c r="AD178" s="233">
        <f>(INDEX(Models!$BJ178:$BT178,,AH178)*(1-AF178)+INDEX(Models!$BJ178:$BT178,,AH178+1)*AF178-ERP_i)*AE178*Ramure*Pc/MaxiM</f>
        <v>4.0962884694487236E-5</v>
      </c>
      <c r="AE178" s="307">
        <f t="shared" si="62"/>
        <v>0.9</v>
      </c>
      <c r="AF178" s="179">
        <f t="shared" si="63"/>
        <v>0.27098965806045028</v>
      </c>
      <c r="AG178" s="178">
        <f t="shared" si="64"/>
        <v>-2</v>
      </c>
      <c r="AH178" s="178">
        <f t="shared" si="65"/>
        <v>4</v>
      </c>
      <c r="AI178" s="227">
        <f t="shared" si="66"/>
        <v>-1.7290103419395497</v>
      </c>
      <c r="AJ178" s="267" t="b">
        <f t="shared" si="67"/>
        <v>0</v>
      </c>
      <c r="AK178" s="267" t="b">
        <f t="shared" si="68"/>
        <v>0</v>
      </c>
      <c r="AL178" s="267"/>
      <c r="AM178" s="267"/>
      <c r="AN178" s="75"/>
    </row>
    <row r="179" spans="1:40" s="6" customFormat="1" ht="11.25" x14ac:dyDescent="0.2">
      <c r="A179" s="56">
        <f t="shared" si="72"/>
        <v>43630</v>
      </c>
      <c r="B179" s="620">
        <v>27.216000000000001</v>
      </c>
      <c r="C179" s="392"/>
      <c r="D179" s="395">
        <f t="shared" si="48"/>
        <v>27.417518615041356</v>
      </c>
      <c r="E179" s="387">
        <f t="shared" si="73"/>
        <v>29.327098435373102</v>
      </c>
      <c r="F179" s="387">
        <f t="shared" si="49"/>
        <v>29.327368241362816</v>
      </c>
      <c r="G179" s="110">
        <f t="shared" si="74"/>
        <v>0.45585691413545509</v>
      </c>
      <c r="H179" s="416" t="b">
        <f>Wh_hp&gt;='2018'!Maxi_hp</f>
        <v>1</v>
      </c>
      <c r="I179" s="392">
        <f>IF(H179,Wh_hp,'2018'!Maxi_hp)</f>
        <v>29.327368241362816</v>
      </c>
      <c r="J179" s="85">
        <f>IF(H179,An,'2018'!An_max)</f>
        <v>2019</v>
      </c>
      <c r="K179" s="199">
        <f t="shared" si="50"/>
        <v>43630</v>
      </c>
      <c r="L179" s="147">
        <f>IF(t&lt;Tvie,1-EXP((T0-t)*PertePVj)+'2018'!Pspv,1-EXP((T0-t)*PertePVj)+Pspv)</f>
        <v>7.3499946465177546E-3</v>
      </c>
      <c r="M179" s="872"/>
      <c r="N179" s="872"/>
      <c r="O179" s="48">
        <f>IF(t&lt;Tnet,'2018'!Resal+('2018'!Salim-'2018'!Resal)*(1-EXP(('2018'!Tnet-t)/('2018'!Tau_j))),Resal+(Salim-Resal)*(1-EXP((Tnet-t)/(Tau_j))))*Salcycl</f>
        <v>6.511315207468639E-2</v>
      </c>
      <c r="P179" s="171">
        <f>(INDEX(Models!$BJ179:$BT179,,T179)*(1-R179)+INDEX(Models!$BJ179:$BT179,,T179+1)*R179-ERP_i)*Q179*Ramure*Pc/MaxiM</f>
        <v>4.1315181708165353E-5</v>
      </c>
      <c r="Q179" s="307">
        <f t="shared" si="51"/>
        <v>0.9</v>
      </c>
      <c r="R179" s="179">
        <f t="shared" si="52"/>
        <v>0.27815645324540661</v>
      </c>
      <c r="S179" s="839">
        <f t="shared" si="53"/>
        <v>-2</v>
      </c>
      <c r="T179" s="178">
        <f t="shared" si="54"/>
        <v>4</v>
      </c>
      <c r="U179" s="253">
        <f t="shared" si="55"/>
        <v>-1.7218435467545934</v>
      </c>
      <c r="V179" s="385">
        <f t="shared" si="56"/>
        <v>59.701027001876213</v>
      </c>
      <c r="W179" s="58"/>
      <c r="X179" s="157">
        <f t="shared" si="57"/>
        <v>43630</v>
      </c>
      <c r="Y179" s="387">
        <f t="shared" si="58"/>
        <v>27.216000000000001</v>
      </c>
      <c r="Z179" s="387">
        <f t="shared" si="59"/>
        <v>27.417518615041356</v>
      </c>
      <c r="AA179" s="388">
        <f t="shared" si="60"/>
        <v>29.327098435373102</v>
      </c>
      <c r="AB179" s="199">
        <f t="shared" si="61"/>
        <v>43630</v>
      </c>
      <c r="AC179" s="428">
        <f>IF(OR(t&lt;Tnet,NoTnet),'2018'!Resal_s+('2018'!Salim-'2018'!Resal_s)*(1-EXP(('2018'!Tnet_s-t)/'2018'!Tau_j)),Resal_s+(Salim-Resal_s)*(1-EXP((Tnet_s-t)/Tau_j)))*Salcycl</f>
        <v>6.511315207468639E-2</v>
      </c>
      <c r="AD179" s="233">
        <f>(INDEX(Models!$BJ179:$BT179,,AH179)*(1-AF179)+INDEX(Models!$BJ179:$BT179,,AH179+1)*AF179-ERP_i)*AE179*Ramure*Pc/MaxiM</f>
        <v>4.1315181708165353E-5</v>
      </c>
      <c r="AE179" s="307">
        <f t="shared" si="62"/>
        <v>0.9</v>
      </c>
      <c r="AF179" s="179">
        <f t="shared" si="63"/>
        <v>0.27815645324540661</v>
      </c>
      <c r="AG179" s="178">
        <f t="shared" si="64"/>
        <v>-2</v>
      </c>
      <c r="AH179" s="178">
        <f t="shared" si="65"/>
        <v>4</v>
      </c>
      <c r="AI179" s="227">
        <f t="shared" si="66"/>
        <v>-1.7218435467545934</v>
      </c>
      <c r="AJ179" s="267" t="b">
        <f t="shared" si="67"/>
        <v>0</v>
      </c>
      <c r="AK179" s="267" t="b">
        <f t="shared" si="68"/>
        <v>0</v>
      </c>
      <c r="AL179" s="267"/>
      <c r="AM179" s="267"/>
      <c r="AN179" s="75"/>
    </row>
    <row r="180" spans="1:40" s="6" customFormat="1" ht="11.25" customHeight="1" x14ac:dyDescent="0.2">
      <c r="A180" s="56">
        <f t="shared" si="72"/>
        <v>43631</v>
      </c>
      <c r="B180" s="620">
        <v>19.905999999999999</v>
      </c>
      <c r="C180" s="392"/>
      <c r="D180" s="395">
        <f t="shared" si="48"/>
        <v>20.053859008838337</v>
      </c>
      <c r="E180" s="387">
        <f t="shared" si="73"/>
        <v>21.4555855980731</v>
      </c>
      <c r="F180" s="387">
        <f t="shared" si="49"/>
        <v>21.455628640603194</v>
      </c>
      <c r="G180" s="110">
        <f t="shared" si="74"/>
        <v>0.33367369368307892</v>
      </c>
      <c r="H180" s="416" t="b">
        <f>Wh_hp&gt;='2018'!Maxi_hp</f>
        <v>1</v>
      </c>
      <c r="I180" s="392">
        <f>IF(H180,Wh_hp,'2018'!Maxi_hp)</f>
        <v>21.455628640603194</v>
      </c>
      <c r="J180" s="85">
        <f>IF(H180,An,'2018'!An_max)</f>
        <v>2019</v>
      </c>
      <c r="K180" s="199">
        <f t="shared" si="50"/>
        <v>43631</v>
      </c>
      <c r="L180" s="147">
        <f>IF(t&lt;Tvie,1-EXP((T0-t)*PertePVj)+'2018'!Pspv,1-EXP((T0-t)*PertePVj)+Pspv)</f>
        <v>7.3730950623106528E-3</v>
      </c>
      <c r="M180" s="872"/>
      <c r="N180" s="872"/>
      <c r="O180" s="48">
        <f>IF(t&lt;Tnet,'2018'!Resal+('2018'!Salim-'2018'!Resal)*(1-EXP(('2018'!Tnet-t)/('2018'!Tau_j))),Resal+(Salim-Resal)*(1-EXP((Tnet-t)/(Tau_j))))*Salcycl</f>
        <v>6.5331546548915889E-2</v>
      </c>
      <c r="P180" s="171">
        <f>(INDEX(Models!$BJ180:$BT180,,T180)*(1-R180)+INDEX(Models!$BJ180:$BT180,,T180+1)*R180-ERP_i)*Q180*Ramure*Pc/MaxiM</f>
        <v>4.1686275701706962E-5</v>
      </c>
      <c r="Q180" s="307">
        <f t="shared" si="51"/>
        <v>0.9</v>
      </c>
      <c r="R180" s="179">
        <f t="shared" si="52"/>
        <v>0.2852991392114026</v>
      </c>
      <c r="S180" s="839">
        <f t="shared" si="53"/>
        <v>-2</v>
      </c>
      <c r="T180" s="178">
        <f t="shared" si="54"/>
        <v>4</v>
      </c>
      <c r="U180" s="253">
        <f t="shared" si="55"/>
        <v>-1.7147008607885974</v>
      </c>
      <c r="V180" s="385">
        <f t="shared" si="56"/>
        <v>59.654718073486478</v>
      </c>
      <c r="W180" s="58"/>
      <c r="X180" s="157">
        <f t="shared" si="57"/>
        <v>43631</v>
      </c>
      <c r="Y180" s="387">
        <f t="shared" si="58"/>
        <v>19.905999999999999</v>
      </c>
      <c r="Z180" s="387">
        <f t="shared" si="59"/>
        <v>20.053859008838337</v>
      </c>
      <c r="AA180" s="388">
        <f t="shared" si="60"/>
        <v>21.4555855980731</v>
      </c>
      <c r="AB180" s="199">
        <f t="shared" si="61"/>
        <v>43631</v>
      </c>
      <c r="AC180" s="428">
        <f>IF(OR(t&lt;Tnet,NoTnet),'2018'!Resal_s+('2018'!Salim-'2018'!Resal_s)*(1-EXP(('2018'!Tnet_s-t)/'2018'!Tau_j)),Resal_s+(Salim-Resal_s)*(1-EXP((Tnet_s-t)/Tau_j)))*Salcycl</f>
        <v>6.5331546548915889E-2</v>
      </c>
      <c r="AD180" s="233">
        <f>(INDEX(Models!$BJ180:$BT180,,AH180)*(1-AF180)+INDEX(Models!$BJ180:$BT180,,AH180+1)*AF180-ERP_i)*AE180*Ramure*Pc/MaxiM</f>
        <v>4.1686275701706962E-5</v>
      </c>
      <c r="AE180" s="307">
        <f t="shared" si="62"/>
        <v>0.9</v>
      </c>
      <c r="AF180" s="179">
        <f t="shared" si="63"/>
        <v>0.2852991392114026</v>
      </c>
      <c r="AG180" s="178">
        <f t="shared" si="64"/>
        <v>-2</v>
      </c>
      <c r="AH180" s="178">
        <f t="shared" si="65"/>
        <v>4</v>
      </c>
      <c r="AI180" s="227">
        <f t="shared" si="66"/>
        <v>-1.7147008607885974</v>
      </c>
      <c r="AJ180" s="267" t="b">
        <f t="shared" si="67"/>
        <v>0</v>
      </c>
      <c r="AK180" s="267" t="b">
        <f t="shared" si="68"/>
        <v>0</v>
      </c>
      <c r="AL180" s="267"/>
      <c r="AM180" s="267"/>
      <c r="AN180" s="75"/>
    </row>
    <row r="181" spans="1:40" s="6" customFormat="1" ht="11.25" x14ac:dyDescent="0.2">
      <c r="A181" s="56">
        <f t="shared" si="72"/>
        <v>43632</v>
      </c>
      <c r="B181" s="620">
        <v>60.323999999999998</v>
      </c>
      <c r="C181" s="392"/>
      <c r="D181" s="395">
        <f t="shared" si="48"/>
        <v>60.773492598474753</v>
      </c>
      <c r="E181" s="387">
        <f t="shared" si="73"/>
        <v>65.036548854039097</v>
      </c>
      <c r="F181" s="387">
        <f t="shared" si="49"/>
        <v>65.039285563897309</v>
      </c>
      <c r="G181" s="110">
        <f t="shared" si="74"/>
        <v>1.012063117614125</v>
      </c>
      <c r="H181" s="416" t="b">
        <f>Wh_hp&gt;='2018'!Maxi_hp</f>
        <v>1</v>
      </c>
      <c r="I181" s="392">
        <f>IF(H181,Wh_hp,'2018'!Maxi_hp)</f>
        <v>65.039285563897309</v>
      </c>
      <c r="J181" s="85">
        <f>IF(H181,An,'2018'!An_max)</f>
        <v>2019</v>
      </c>
      <c r="K181" s="199">
        <f t="shared" si="50"/>
        <v>43632</v>
      </c>
      <c r="L181" s="147">
        <f>IF(t&lt;Tvie,1-EXP((T0-t)*PertePVj)+'2018'!Pspv,1-EXP((T0-t)*PertePVj)+Pspv)</f>
        <v>7.3961949405231264E-3</v>
      </c>
      <c r="M181" s="872"/>
      <c r="N181" s="872"/>
      <c r="O181" s="48">
        <f>IF(t&lt;Tnet,'2018'!Resal+('2018'!Salim-'2018'!Resal)*(1-EXP(('2018'!Tnet-t)/('2018'!Tau_j))),Resal+(Salim-Resal)*(1-EXP((Tnet-t)/(Tau_j))))*Salcycl</f>
        <v>6.5548623515246443E-2</v>
      </c>
      <c r="P181" s="171">
        <f>(INDEX(Models!$BJ181:$BT181,,T181)*(1-R181)+INDEX(Models!$BJ181:$BT181,,T181+1)*R181-ERP_i)*Q181*Ramure*Pc/MaxiM</f>
        <v>4.2077797049535595E-5</v>
      </c>
      <c r="Q181" s="307">
        <f t="shared" si="51"/>
        <v>0.9</v>
      </c>
      <c r="R181" s="179">
        <f t="shared" si="52"/>
        <v>0.2924118404297833</v>
      </c>
      <c r="S181" s="839">
        <f t="shared" si="53"/>
        <v>-2</v>
      </c>
      <c r="T181" s="178">
        <f t="shared" si="54"/>
        <v>4</v>
      </c>
      <c r="U181" s="253">
        <f t="shared" si="55"/>
        <v>-1.7075881595702167</v>
      </c>
      <c r="V181" s="385">
        <f t="shared" si="56"/>
        <v>59.604978138329969</v>
      </c>
      <c r="W181" s="58"/>
      <c r="X181" s="157">
        <f t="shared" si="57"/>
        <v>43632</v>
      </c>
      <c r="Y181" s="387">
        <f t="shared" si="58"/>
        <v>60.323999999999998</v>
      </c>
      <c r="Z181" s="387">
        <f t="shared" si="59"/>
        <v>60.773492598474753</v>
      </c>
      <c r="AA181" s="388">
        <f t="shared" si="60"/>
        <v>65.036548854039097</v>
      </c>
      <c r="AB181" s="199">
        <f t="shared" si="61"/>
        <v>43632</v>
      </c>
      <c r="AC181" s="428">
        <f>IF(OR(t&lt;Tnet,NoTnet),'2018'!Resal_s+('2018'!Salim-'2018'!Resal_s)*(1-EXP(('2018'!Tnet_s-t)/'2018'!Tau_j)),Resal_s+(Salim-Resal_s)*(1-EXP((Tnet_s-t)/Tau_j)))*Salcycl</f>
        <v>6.5548623515246443E-2</v>
      </c>
      <c r="AD181" s="233">
        <f>(INDEX(Models!$BJ181:$BT181,,AH181)*(1-AF181)+INDEX(Models!$BJ181:$BT181,,AH181+1)*AF181-ERP_i)*AE181*Ramure*Pc/MaxiM</f>
        <v>4.2077797049535595E-5</v>
      </c>
      <c r="AE181" s="307">
        <f t="shared" si="62"/>
        <v>0.9</v>
      </c>
      <c r="AF181" s="179">
        <f t="shared" si="63"/>
        <v>0.2924118404297833</v>
      </c>
      <c r="AG181" s="178">
        <f t="shared" si="64"/>
        <v>-2</v>
      </c>
      <c r="AH181" s="178">
        <f t="shared" si="65"/>
        <v>4</v>
      </c>
      <c r="AI181" s="227">
        <f t="shared" si="66"/>
        <v>-1.7075881595702167</v>
      </c>
      <c r="AJ181" s="267" t="b">
        <f t="shared" si="67"/>
        <v>0</v>
      </c>
      <c r="AK181" s="267" t="b">
        <f t="shared" si="68"/>
        <v>0</v>
      </c>
      <c r="AL181" s="267"/>
      <c r="AM181" s="267"/>
      <c r="AN181" s="75"/>
    </row>
    <row r="182" spans="1:40" s="6" customFormat="1" ht="11.25" x14ac:dyDescent="0.2">
      <c r="A182" s="56">
        <f t="shared" si="72"/>
        <v>43633</v>
      </c>
      <c r="B182" s="620">
        <v>59.505000000000003</v>
      </c>
      <c r="C182" s="392"/>
      <c r="D182" s="395">
        <f t="shared" si="48"/>
        <v>59.949785097732835</v>
      </c>
      <c r="E182" s="387">
        <f t="shared" si="73"/>
        <v>64.169874473641912</v>
      </c>
      <c r="F182" s="387">
        <f t="shared" si="49"/>
        <v>64.172598180317252</v>
      </c>
      <c r="G182" s="110">
        <f t="shared" si="74"/>
        <v>0.99921038885316571</v>
      </c>
      <c r="H182" s="416" t="b">
        <f>Wh_hp&gt;='2018'!Maxi_hp</f>
        <v>1</v>
      </c>
      <c r="I182" s="392">
        <f>IF(H182,Wh_hp,'2018'!Maxi_hp)</f>
        <v>64.172598180317252</v>
      </c>
      <c r="J182" s="85">
        <f>IF(H182,An,'2018'!An_max)</f>
        <v>2019</v>
      </c>
      <c r="K182" s="199">
        <f t="shared" si="50"/>
        <v>43633</v>
      </c>
      <c r="L182" s="147">
        <f>IF(t&lt;Tvie,1-EXP((T0-t)*PertePVj)+'2018'!Pspv,1-EXP((T0-t)*PertePVj)+Pspv)</f>
        <v>7.4192942811676099E-3</v>
      </c>
      <c r="M182" s="872"/>
      <c r="N182" s="872"/>
      <c r="O182" s="48">
        <f>IF(t&lt;Tnet,'2018'!Resal+('2018'!Salim-'2018'!Resal)*(1-EXP(('2018'!Tnet-t)/('2018'!Tau_j))),Resal+(Salim-Resal)*(1-EXP((Tnet-t)/(Tau_j))))*Salcycl</f>
        <v>6.5764338960059857E-2</v>
      </c>
      <c r="P182" s="171">
        <f>(INDEX(Models!$BJ182:$BT182,,T182)*(1-R182)+INDEX(Models!$BJ182:$BT182,,T182+1)*R182-ERP_i)*Q182*Ramure*Pc/MaxiM</f>
        <v>4.2491381368404423E-5</v>
      </c>
      <c r="Q182" s="307">
        <f t="shared" si="51"/>
        <v>0.9</v>
      </c>
      <c r="R182" s="179">
        <f t="shared" si="52"/>
        <v>0.29948878097130693</v>
      </c>
      <c r="S182" s="839">
        <f t="shared" si="53"/>
        <v>-2</v>
      </c>
      <c r="T182" s="178">
        <f t="shared" si="54"/>
        <v>4</v>
      </c>
      <c r="U182" s="253">
        <f t="shared" si="55"/>
        <v>-1.7005112190286931</v>
      </c>
      <c r="V182" s="385">
        <f t="shared" si="56"/>
        <v>59.552020086797512</v>
      </c>
      <c r="W182" s="58"/>
      <c r="X182" s="157">
        <f t="shared" si="57"/>
        <v>43633</v>
      </c>
      <c r="Y182" s="387">
        <f t="shared" si="58"/>
        <v>59.505000000000003</v>
      </c>
      <c r="Z182" s="387">
        <f t="shared" si="59"/>
        <v>59.949785097732835</v>
      </c>
      <c r="AA182" s="388">
        <f t="shared" si="60"/>
        <v>64.169874473641912</v>
      </c>
      <c r="AB182" s="199">
        <f t="shared" si="61"/>
        <v>43633</v>
      </c>
      <c r="AC182" s="428">
        <f>IF(OR(t&lt;Tnet,NoTnet),'2018'!Resal_s+('2018'!Salim-'2018'!Resal_s)*(1-EXP(('2018'!Tnet_s-t)/'2018'!Tau_j)),Resal_s+(Salim-Resal_s)*(1-EXP((Tnet_s-t)/Tau_j)))*Salcycl</f>
        <v>6.5764338960059857E-2</v>
      </c>
      <c r="AD182" s="233">
        <f>(INDEX(Models!$BJ182:$BT182,,AH182)*(1-AF182)+INDEX(Models!$BJ182:$BT182,,AH182+1)*AF182-ERP_i)*AE182*Ramure*Pc/MaxiM</f>
        <v>4.2491381368404423E-5</v>
      </c>
      <c r="AE182" s="307">
        <f t="shared" si="62"/>
        <v>0.9</v>
      </c>
      <c r="AF182" s="179">
        <f t="shared" si="63"/>
        <v>0.29948878097130693</v>
      </c>
      <c r="AG182" s="178">
        <f t="shared" si="64"/>
        <v>-2</v>
      </c>
      <c r="AH182" s="178">
        <f t="shared" si="65"/>
        <v>4</v>
      </c>
      <c r="AI182" s="227">
        <f t="shared" si="66"/>
        <v>-1.7005112190286931</v>
      </c>
      <c r="AJ182" s="267" t="b">
        <f t="shared" si="67"/>
        <v>0</v>
      </c>
      <c r="AK182" s="267" t="b">
        <f t="shared" si="68"/>
        <v>0</v>
      </c>
      <c r="AL182" s="267"/>
      <c r="AM182" s="267"/>
      <c r="AN182" s="75"/>
    </row>
    <row r="183" spans="1:40" s="6" customFormat="1" ht="11.25" x14ac:dyDescent="0.2">
      <c r="A183" s="56">
        <f t="shared" si="72"/>
        <v>43634</v>
      </c>
      <c r="B183" s="620">
        <v>57.956000000000003</v>
      </c>
      <c r="C183" s="392"/>
      <c r="D183" s="395">
        <f t="shared" si="48"/>
        <v>58.390565541169451</v>
      </c>
      <c r="E183" s="387">
        <f t="shared" si="73"/>
        <v>62.515236637256677</v>
      </c>
      <c r="F183" s="387">
        <f t="shared" si="49"/>
        <v>62.517821200510539</v>
      </c>
      <c r="G183" s="110">
        <f t="shared" si="74"/>
        <v>0.97411343862501898</v>
      </c>
      <c r="H183" s="416" t="b">
        <f>Wh_hp&gt;='2018'!Maxi_hp</f>
        <v>1</v>
      </c>
      <c r="I183" s="392">
        <f>IF(H183,Wh_hp,'2018'!Maxi_hp)</f>
        <v>62.517821200510539</v>
      </c>
      <c r="J183" s="85">
        <f>IF(H183,An,'2018'!An_max)</f>
        <v>2019</v>
      </c>
      <c r="K183" s="199">
        <f t="shared" si="50"/>
        <v>43634</v>
      </c>
      <c r="L183" s="147">
        <f>IF(t&lt;Tvie,1-EXP((T0-t)*PertePVj)+'2018'!Pspv,1-EXP((T0-t)*PertePVj)+Pspv)</f>
        <v>7.4423930842568708E-3</v>
      </c>
      <c r="M183" s="872"/>
      <c r="N183" s="872"/>
      <c r="O183" s="48">
        <f>IF(t&lt;Tnet,'2018'!Resal+('2018'!Salim-'2018'!Resal)*(1-EXP(('2018'!Tnet-t)/('2018'!Tau_j))),Resal+(Salim-Resal)*(1-EXP((Tnet-t)/(Tau_j))))*Salcycl</f>
        <v>6.5978652852592398E-2</v>
      </c>
      <c r="P183" s="171">
        <f>(INDEX(Models!$BJ183:$BT183,,T183)*(1-R183)+INDEX(Models!$BJ183:$BT183,,T183+1)*R183-ERP_i)*Q183*Ramure*Pc/MaxiM</f>
        <v>4.2928665706509123E-5</v>
      </c>
      <c r="Q183" s="307">
        <f t="shared" si="51"/>
        <v>0.9</v>
      </c>
      <c r="R183" s="179">
        <f t="shared" si="52"/>
        <v>0.30652430286648791</v>
      </c>
      <c r="S183" s="839">
        <f t="shared" si="53"/>
        <v>-2</v>
      </c>
      <c r="T183" s="178">
        <f t="shared" si="54"/>
        <v>4</v>
      </c>
      <c r="U183" s="253">
        <f t="shared" si="55"/>
        <v>-1.6934756971335121</v>
      </c>
      <c r="V183" s="385">
        <f t="shared" si="56"/>
        <v>59.49605630760432</v>
      </c>
      <c r="W183" s="58"/>
      <c r="X183" s="157">
        <f t="shared" si="57"/>
        <v>43634</v>
      </c>
      <c r="Y183" s="387">
        <f t="shared" si="58"/>
        <v>57.956000000000003</v>
      </c>
      <c r="Z183" s="387">
        <f t="shared" si="59"/>
        <v>58.390565541169451</v>
      </c>
      <c r="AA183" s="388">
        <f t="shared" si="60"/>
        <v>62.515236637256677</v>
      </c>
      <c r="AB183" s="199">
        <f t="shared" si="61"/>
        <v>43634</v>
      </c>
      <c r="AC183" s="428">
        <f>IF(OR(t&lt;Tnet,NoTnet),'2018'!Resal_s+('2018'!Salim-'2018'!Resal_s)*(1-EXP(('2018'!Tnet_s-t)/'2018'!Tau_j)),Resal_s+(Salim-Resal_s)*(1-EXP((Tnet_s-t)/Tau_j)))*Salcycl</f>
        <v>6.5978652852592398E-2</v>
      </c>
      <c r="AD183" s="233">
        <f>(INDEX(Models!$BJ183:$BT183,,AH183)*(1-AF183)+INDEX(Models!$BJ183:$BT183,,AH183+1)*AF183-ERP_i)*AE183*Ramure*Pc/MaxiM</f>
        <v>4.2928665706509123E-5</v>
      </c>
      <c r="AE183" s="307">
        <f t="shared" si="62"/>
        <v>0.9</v>
      </c>
      <c r="AF183" s="179">
        <f t="shared" si="63"/>
        <v>0.30652430286648791</v>
      </c>
      <c r="AG183" s="178">
        <f t="shared" si="64"/>
        <v>-2</v>
      </c>
      <c r="AH183" s="178">
        <f t="shared" si="65"/>
        <v>4</v>
      </c>
      <c r="AI183" s="227">
        <f t="shared" si="66"/>
        <v>-1.6934756971335121</v>
      </c>
      <c r="AJ183" s="267" t="b">
        <f t="shared" si="67"/>
        <v>0</v>
      </c>
      <c r="AK183" s="267" t="b">
        <f t="shared" si="68"/>
        <v>0</v>
      </c>
      <c r="AL183" s="267"/>
      <c r="AM183" s="267"/>
      <c r="AN183" s="75"/>
    </row>
    <row r="184" spans="1:40" s="6" customFormat="1" ht="11.25" x14ac:dyDescent="0.2">
      <c r="A184" s="56">
        <f t="shared" si="72"/>
        <v>43635</v>
      </c>
      <c r="B184" s="620">
        <v>47.031999999999996</v>
      </c>
      <c r="C184" s="392"/>
      <c r="D184" s="395">
        <f t="shared" si="48"/>
        <v>47.385757966200529</v>
      </c>
      <c r="E184" s="387">
        <f t="shared" si="73"/>
        <v>50.744622105995695</v>
      </c>
      <c r="F184" s="387">
        <f t="shared" si="49"/>
        <v>50.746166815699091</v>
      </c>
      <c r="G184" s="110">
        <f t="shared" si="74"/>
        <v>0.79127739476061387</v>
      </c>
      <c r="H184" s="416" t="b">
        <f>Wh_hp&gt;='2018'!Maxi_hp</f>
        <v>1</v>
      </c>
      <c r="I184" s="392">
        <f>IF(H184,Wh_hp,'2018'!Maxi_hp)</f>
        <v>50.746166815699091</v>
      </c>
      <c r="J184" s="85">
        <f>IF(H184,An,'2018'!An_max)</f>
        <v>2019</v>
      </c>
      <c r="K184" s="199">
        <f t="shared" si="50"/>
        <v>43635</v>
      </c>
      <c r="L184" s="147">
        <f>IF(t&lt;Tvie,1-EXP((T0-t)*PertePVj)+'2018'!Pspv,1-EXP((T0-t)*PertePVj)+Pspv)</f>
        <v>7.4654913498031217E-3</v>
      </c>
      <c r="M184" s="872"/>
      <c r="N184" s="872"/>
      <c r="O184" s="48">
        <f>IF(t&lt;Tnet,'2018'!Resal+('2018'!Salim-'2018'!Resal)*(1-EXP(('2018'!Tnet-t)/('2018'!Tau_j))),Resal+(Salim-Resal)*(1-EXP((Tnet-t)/(Tau_j))))*Salcycl</f>
        <v>6.6191529277312353E-2</v>
      </c>
      <c r="P184" s="171">
        <f>(INDEX(Models!$BJ184:$BT184,,T184)*(1-R184)+INDEX(Models!$BJ184:$BT184,,T184+1)*R184-ERP_i)*Q184*Ramure*Pc/MaxiM</f>
        <v>4.3371640026608794E-5</v>
      </c>
      <c r="Q184" s="307">
        <f t="shared" si="51"/>
        <v>0.9</v>
      </c>
      <c r="R184" s="179">
        <f t="shared" si="52"/>
        <v>0.31351288364666541</v>
      </c>
      <c r="S184" s="839">
        <f t="shared" si="53"/>
        <v>-2</v>
      </c>
      <c r="T184" s="178">
        <f t="shared" si="54"/>
        <v>4</v>
      </c>
      <c r="U184" s="253">
        <f t="shared" si="55"/>
        <v>-1.6864871163533346</v>
      </c>
      <c r="V184" s="385">
        <f t="shared" si="56"/>
        <v>59.437299850415343</v>
      </c>
      <c r="W184" s="58"/>
      <c r="X184" s="157">
        <f t="shared" si="57"/>
        <v>43635</v>
      </c>
      <c r="Y184" s="387">
        <f t="shared" si="58"/>
        <v>47.031999999999996</v>
      </c>
      <c r="Z184" s="387">
        <f t="shared" si="59"/>
        <v>47.385757966200529</v>
      </c>
      <c r="AA184" s="388">
        <f t="shared" si="60"/>
        <v>50.744622105995695</v>
      </c>
      <c r="AB184" s="199">
        <f t="shared" si="61"/>
        <v>43635</v>
      </c>
      <c r="AC184" s="428">
        <f>IF(OR(t&lt;Tnet,NoTnet),'2018'!Resal_s+('2018'!Salim-'2018'!Resal_s)*(1-EXP(('2018'!Tnet_s-t)/'2018'!Tau_j)),Resal_s+(Salim-Resal_s)*(1-EXP((Tnet_s-t)/Tau_j)))*Salcycl</f>
        <v>6.6191529277312353E-2</v>
      </c>
      <c r="AD184" s="233">
        <f>(INDEX(Models!$BJ184:$BT184,,AH184)*(1-AF184)+INDEX(Models!$BJ184:$BT184,,AH184+1)*AF184-ERP_i)*AE184*Ramure*Pc/MaxiM</f>
        <v>4.3371640026608794E-5</v>
      </c>
      <c r="AE184" s="307">
        <f t="shared" si="62"/>
        <v>0.9</v>
      </c>
      <c r="AF184" s="179">
        <f t="shared" si="63"/>
        <v>0.31351288364666541</v>
      </c>
      <c r="AG184" s="178">
        <f t="shared" si="64"/>
        <v>-2</v>
      </c>
      <c r="AH184" s="178">
        <f t="shared" si="65"/>
        <v>4</v>
      </c>
      <c r="AI184" s="227">
        <f t="shared" si="66"/>
        <v>-1.6864871163533346</v>
      </c>
      <c r="AJ184" s="267" t="b">
        <f t="shared" si="67"/>
        <v>0</v>
      </c>
      <c r="AK184" s="267" t="b">
        <f t="shared" si="68"/>
        <v>0</v>
      </c>
      <c r="AL184" s="267"/>
      <c r="AM184" s="267"/>
      <c r="AN184" s="75"/>
    </row>
    <row r="185" spans="1:40" s="6" customFormat="1" ht="11.25" x14ac:dyDescent="0.2">
      <c r="A185" s="56">
        <f t="shared" si="72"/>
        <v>43636</v>
      </c>
      <c r="B185" s="620">
        <v>25.588999999999999</v>
      </c>
      <c r="C185" s="392"/>
      <c r="D185" s="395">
        <f t="shared" si="48"/>
        <v>25.782071337823979</v>
      </c>
      <c r="E185" s="387">
        <f t="shared" si="73"/>
        <v>27.615844508297108</v>
      </c>
      <c r="F185" s="387">
        <f t="shared" si="49"/>
        <v>27.61607067853096</v>
      </c>
      <c r="G185" s="110">
        <f t="shared" si="74"/>
        <v>0.43095029208300228</v>
      </c>
      <c r="H185" s="416" t="b">
        <f>Wh_hp&gt;='2018'!Maxi_hp</f>
        <v>1</v>
      </c>
      <c r="I185" s="392">
        <f>IF(H185,Wh_hp,'2018'!Maxi_hp)</f>
        <v>27.61607067853096</v>
      </c>
      <c r="J185" s="85">
        <f>IF(H185,An,'2018'!An_max)</f>
        <v>2019</v>
      </c>
      <c r="K185" s="199">
        <f t="shared" si="50"/>
        <v>43636</v>
      </c>
      <c r="L185" s="147">
        <f>IF(t&lt;Tvie,1-EXP((T0-t)*PertePVj)+'2018'!Pspv,1-EXP((T0-t)*PertePVj)+Pspv)</f>
        <v>7.4885890778190189E-3</v>
      </c>
      <c r="M185" s="872"/>
      <c r="N185" s="872"/>
      <c r="O185" s="48">
        <f>IF(t&lt;Tnet,'2018'!Resal+('2018'!Salim-'2018'!Resal)*(1-EXP(('2018'!Tnet-t)/('2018'!Tau_j))),Resal+(Salim-Resal)*(1-EXP((Tnet-t)/(Tau_j))))*Salcycl</f>
        <v>6.6402936543265123E-2</v>
      </c>
      <c r="P185" s="171">
        <f>(INDEX(Models!$BJ185:$BT185,,T185)*(1-R185)+INDEX(Models!$BJ185:$BT185,,T185+1)*R185-ERP_i)*Q185*Ramure*Pc/MaxiM</f>
        <v>4.3773802366391335E-5</v>
      </c>
      <c r="Q185" s="307">
        <f t="shared" si="51"/>
        <v>0.9</v>
      </c>
      <c r="R185" s="179">
        <f t="shared" si="52"/>
        <v>0.32044915295458054</v>
      </c>
      <c r="S185" s="839">
        <f t="shared" si="53"/>
        <v>-2</v>
      </c>
      <c r="T185" s="178">
        <f t="shared" si="54"/>
        <v>4</v>
      </c>
      <c r="U185" s="253">
        <f t="shared" si="55"/>
        <v>-1.6795508470454195</v>
      </c>
      <c r="V185" s="385">
        <f t="shared" si="56"/>
        <v>59.375964940072031</v>
      </c>
      <c r="W185" s="58"/>
      <c r="X185" s="157">
        <f t="shared" si="57"/>
        <v>43636</v>
      </c>
      <c r="Y185" s="387">
        <f t="shared" si="58"/>
        <v>25.588999999999999</v>
      </c>
      <c r="Z185" s="387">
        <f t="shared" si="59"/>
        <v>25.782071337823979</v>
      </c>
      <c r="AA185" s="388">
        <f t="shared" si="60"/>
        <v>27.615844508297108</v>
      </c>
      <c r="AB185" s="199">
        <f t="shared" si="61"/>
        <v>43636</v>
      </c>
      <c r="AC185" s="428">
        <f>IF(OR(t&lt;Tnet,NoTnet),'2018'!Resal_s+('2018'!Salim-'2018'!Resal_s)*(1-EXP(('2018'!Tnet_s-t)/'2018'!Tau_j)),Resal_s+(Salim-Resal_s)*(1-EXP((Tnet_s-t)/Tau_j)))*Salcycl</f>
        <v>6.6402936543265123E-2</v>
      </c>
      <c r="AD185" s="233">
        <f>(INDEX(Models!$BJ185:$BT185,,AH185)*(1-AF185)+INDEX(Models!$BJ185:$BT185,,AH185+1)*AF185-ERP_i)*AE185*Ramure*Pc/MaxiM</f>
        <v>4.3773802366391335E-5</v>
      </c>
      <c r="AE185" s="307">
        <f t="shared" si="62"/>
        <v>0.9</v>
      </c>
      <c r="AF185" s="179">
        <f t="shared" si="63"/>
        <v>0.32044915295458054</v>
      </c>
      <c r="AG185" s="178">
        <f t="shared" si="64"/>
        <v>-2</v>
      </c>
      <c r="AH185" s="178">
        <f t="shared" si="65"/>
        <v>4</v>
      </c>
      <c r="AI185" s="227">
        <f t="shared" si="66"/>
        <v>-1.6795508470454195</v>
      </c>
      <c r="AJ185" s="267" t="b">
        <f t="shared" si="67"/>
        <v>0</v>
      </c>
      <c r="AK185" s="267" t="b">
        <f t="shared" si="68"/>
        <v>0</v>
      </c>
      <c r="AL185" s="267"/>
      <c r="AM185" s="267"/>
      <c r="AN185" s="75"/>
    </row>
    <row r="186" spans="1:40" s="6" customFormat="1" ht="11.25" x14ac:dyDescent="0.2">
      <c r="A186" s="56">
        <f t="shared" si="72"/>
        <v>43637</v>
      </c>
      <c r="B186" s="620">
        <v>9.91</v>
      </c>
      <c r="C186" s="392"/>
      <c r="D186" s="395">
        <f t="shared" si="48"/>
        <v>9.9850042190815618</v>
      </c>
      <c r="E186" s="387">
        <f t="shared" si="73"/>
        <v>10.697601943493829</v>
      </c>
      <c r="F186" s="387">
        <f t="shared" si="49"/>
        <v>10.697601943493829</v>
      </c>
      <c r="G186" s="110">
        <f t="shared" si="74"/>
        <v>0.16707443283872422</v>
      </c>
      <c r="H186" s="416" t="b">
        <f>Wh_hp&gt;='2018'!Maxi_hp</f>
        <v>1</v>
      </c>
      <c r="I186" s="392">
        <f>IF(H186,Wh_hp,'2018'!Maxi_hp)</f>
        <v>10.697601943493829</v>
      </c>
      <c r="J186" s="85">
        <f>IF(H186,An,'2018'!An_max)</f>
        <v>2019</v>
      </c>
      <c r="K186" s="199">
        <f t="shared" si="50"/>
        <v>43637</v>
      </c>
      <c r="L186" s="147">
        <f>IF(t&lt;Tvie,1-EXP((T0-t)*PertePVj)+'2018'!Pspv,1-EXP((T0-t)*PertePVj)+Pspv)</f>
        <v>7.5116862683169972E-3</v>
      </c>
      <c r="M186" s="872"/>
      <c r="N186" s="872"/>
      <c r="O186" s="48">
        <f>IF(t&lt;Tnet,'2018'!Resal+('2018'!Salim-'2018'!Resal)*(1-EXP(('2018'!Tnet-t)/('2018'!Tau_j))),Resal+(Salim-Resal)*(1-EXP((Tnet-t)/(Tau_j))))*Salcycl</f>
        <v>6.6612847269538131E-2</v>
      </c>
      <c r="P186" s="171">
        <f>(INDEX(Models!$BJ186:$BT186,,T186)*(1-R186)+INDEX(Models!$BJ186:$BT186,,T186+1)*R186-ERP_i)*Q186*Ramure*Pc/MaxiM</f>
        <v>4.4135958316850581E-5</v>
      </c>
      <c r="Q186" s="307">
        <f t="shared" si="51"/>
        <v>0.9</v>
      </c>
      <c r="R186" s="179">
        <f t="shared" si="52"/>
        <v>0.32732790812405788</v>
      </c>
      <c r="S186" s="839">
        <f t="shared" si="53"/>
        <v>-2</v>
      </c>
      <c r="T186" s="178">
        <f t="shared" si="54"/>
        <v>4</v>
      </c>
      <c r="U186" s="253">
        <f t="shared" si="55"/>
        <v>-1.6726720918759421</v>
      </c>
      <c r="V186" s="385">
        <f t="shared" si="56"/>
        <v>59.312262470576272</v>
      </c>
      <c r="W186" s="58"/>
      <c r="X186" s="157">
        <f t="shared" si="57"/>
        <v>43637</v>
      </c>
      <c r="Y186" s="387">
        <f t="shared" si="58"/>
        <v>9.91</v>
      </c>
      <c r="Z186" s="387">
        <f t="shared" si="59"/>
        <v>9.9850042190815618</v>
      </c>
      <c r="AA186" s="388">
        <f t="shared" si="60"/>
        <v>10.697601943493829</v>
      </c>
      <c r="AB186" s="199">
        <f t="shared" si="61"/>
        <v>43637</v>
      </c>
      <c r="AC186" s="428">
        <f>IF(OR(t&lt;Tnet,NoTnet),'2018'!Resal_s+('2018'!Salim-'2018'!Resal_s)*(1-EXP(('2018'!Tnet_s-t)/'2018'!Tau_j)),Resal_s+(Salim-Resal_s)*(1-EXP((Tnet_s-t)/Tau_j)))*Salcycl</f>
        <v>6.6612847269538131E-2</v>
      </c>
      <c r="AD186" s="233">
        <f>(INDEX(Models!$BJ186:$BT186,,AH186)*(1-AF186)+INDEX(Models!$BJ186:$BT186,,AH186+1)*AF186-ERP_i)*AE186*Ramure*Pc/MaxiM</f>
        <v>4.4135958316850581E-5</v>
      </c>
      <c r="AE186" s="307">
        <f t="shared" si="62"/>
        <v>0.9</v>
      </c>
      <c r="AF186" s="179">
        <f t="shared" si="63"/>
        <v>0.32732790812405788</v>
      </c>
      <c r="AG186" s="178">
        <f t="shared" si="64"/>
        <v>-2</v>
      </c>
      <c r="AH186" s="178">
        <f t="shared" si="65"/>
        <v>4</v>
      </c>
      <c r="AI186" s="227">
        <f t="shared" si="66"/>
        <v>-1.6726720918759421</v>
      </c>
      <c r="AJ186" s="267" t="b">
        <f t="shared" si="67"/>
        <v>0</v>
      </c>
      <c r="AK186" s="267" t="b">
        <f t="shared" si="68"/>
        <v>0</v>
      </c>
      <c r="AL186" s="267"/>
      <c r="AM186" s="267"/>
      <c r="AN186" s="75"/>
    </row>
    <row r="187" spans="1:40" s="6" customFormat="1" ht="11.25" x14ac:dyDescent="0.2">
      <c r="A187" s="56">
        <f t="shared" si="72"/>
        <v>43638</v>
      </c>
      <c r="B187" s="620">
        <v>54.820999999999998</v>
      </c>
      <c r="C187" s="392"/>
      <c r="D187" s="395">
        <f t="shared" si="48"/>
        <v>55.23720031354344</v>
      </c>
      <c r="E187" s="387">
        <f t="shared" si="73"/>
        <v>59.192517649639726</v>
      </c>
      <c r="F187" s="387">
        <f t="shared" si="49"/>
        <v>59.194868562933301</v>
      </c>
      <c r="G187" s="110">
        <f t="shared" si="74"/>
        <v>0.92530073227463838</v>
      </c>
      <c r="H187" s="416" t="b">
        <f>Wh_hp&gt;='2018'!Maxi_hp</f>
        <v>1</v>
      </c>
      <c r="I187" s="392">
        <f>IF(H187,Wh_hp,'2018'!Maxi_hp)</f>
        <v>59.194868562933301</v>
      </c>
      <c r="J187" s="85">
        <f>IF(H187,An,'2018'!An_max)</f>
        <v>2019</v>
      </c>
      <c r="K187" s="199">
        <f t="shared" si="50"/>
        <v>43638</v>
      </c>
      <c r="L187" s="147">
        <f>IF(t&lt;Tvie,1-EXP((T0-t)*PertePVj)+'2018'!Pspv,1-EXP((T0-t)*PertePVj)+Pspv)</f>
        <v>7.5347829213096018E-3</v>
      </c>
      <c r="M187" s="872"/>
      <c r="N187" s="872"/>
      <c r="O187" s="48">
        <f>IF(t&lt;Tnet,'2018'!Resal+('2018'!Salim-'2018'!Resal)*(1-EXP(('2018'!Tnet-t)/('2018'!Tau_j))),Resal+(Salim-Resal)*(1-EXP((Tnet-t)/(Tau_j))))*Salcycl</f>
        <v>6.6821238446179848E-2</v>
      </c>
      <c r="P187" s="171">
        <f>(INDEX(Models!$BJ187:$BT187,,T187)*(1-R187)+INDEX(Models!$BJ187:$BT187,,T187+1)*R187-ERP_i)*Q187*Ramure*Pc/MaxiM</f>
        <v>4.4458888922266227E-5</v>
      </c>
      <c r="Q187" s="307">
        <f t="shared" si="51"/>
        <v>0.9</v>
      </c>
      <c r="R187" s="179">
        <f t="shared" si="52"/>
        <v>0.3341441286401805</v>
      </c>
      <c r="S187" s="839">
        <f t="shared" si="53"/>
        <v>-2</v>
      </c>
      <c r="T187" s="178">
        <f t="shared" si="54"/>
        <v>4</v>
      </c>
      <c r="U187" s="253">
        <f t="shared" si="55"/>
        <v>-1.6658558713598195</v>
      </c>
      <c r="V187" s="385">
        <f t="shared" si="56"/>
        <v>59.246402820915144</v>
      </c>
      <c r="W187" s="58"/>
      <c r="X187" s="157">
        <f t="shared" si="57"/>
        <v>43638</v>
      </c>
      <c r="Y187" s="387">
        <f t="shared" si="58"/>
        <v>54.820999999999998</v>
      </c>
      <c r="Z187" s="387">
        <f t="shared" si="59"/>
        <v>55.23720031354344</v>
      </c>
      <c r="AA187" s="388">
        <f t="shared" si="60"/>
        <v>59.192517649639726</v>
      </c>
      <c r="AB187" s="199">
        <f t="shared" si="61"/>
        <v>43638</v>
      </c>
      <c r="AC187" s="428">
        <f>IF(OR(t&lt;Tnet,NoTnet),'2018'!Resal_s+('2018'!Salim-'2018'!Resal_s)*(1-EXP(('2018'!Tnet_s-t)/'2018'!Tau_j)),Resal_s+(Salim-Resal_s)*(1-EXP((Tnet_s-t)/Tau_j)))*Salcycl</f>
        <v>6.6821238446179848E-2</v>
      </c>
      <c r="AD187" s="233">
        <f>(INDEX(Models!$BJ187:$BT187,,AH187)*(1-AF187)+INDEX(Models!$BJ187:$BT187,,AH187+1)*AF187-ERP_i)*AE187*Ramure*Pc/MaxiM</f>
        <v>4.4458888922266227E-5</v>
      </c>
      <c r="AE187" s="307">
        <f t="shared" si="62"/>
        <v>0.9</v>
      </c>
      <c r="AF187" s="179">
        <f t="shared" si="63"/>
        <v>0.3341441286401805</v>
      </c>
      <c r="AG187" s="178">
        <f t="shared" si="64"/>
        <v>-2</v>
      </c>
      <c r="AH187" s="178">
        <f t="shared" si="65"/>
        <v>4</v>
      </c>
      <c r="AI187" s="227">
        <f t="shared" si="66"/>
        <v>-1.6658558713598195</v>
      </c>
      <c r="AJ187" s="267" t="b">
        <f t="shared" si="67"/>
        <v>0</v>
      </c>
      <c r="AK187" s="267" t="b">
        <f t="shared" si="68"/>
        <v>0</v>
      </c>
      <c r="AL187" s="267"/>
      <c r="AM187" s="267"/>
      <c r="AN187" s="75"/>
    </row>
    <row r="188" spans="1:40" s="6" customFormat="1" ht="11.25" x14ac:dyDescent="0.2">
      <c r="A188" s="56">
        <f t="shared" si="72"/>
        <v>43639</v>
      </c>
      <c r="B188" s="620">
        <v>52.204999999999998</v>
      </c>
      <c r="C188" s="392"/>
      <c r="D188" s="395">
        <f t="shared" si="48"/>
        <v>52.602563814334786</v>
      </c>
      <c r="E188" s="387">
        <f t="shared" si="73"/>
        <v>56.381723108063802</v>
      </c>
      <c r="F188" s="387">
        <f t="shared" si="49"/>
        <v>56.383821192709775</v>
      </c>
      <c r="G188" s="110">
        <f t="shared" si="74"/>
        <v>0.88215352165747196</v>
      </c>
      <c r="H188" s="416" t="b">
        <f>Wh_hp&gt;='2018'!Maxi_hp</f>
        <v>1</v>
      </c>
      <c r="I188" s="392">
        <f>IF(H188,Wh_hp,'2018'!Maxi_hp)</f>
        <v>56.383821192709775</v>
      </c>
      <c r="J188" s="85">
        <f>IF(H188,An,'2018'!An_max)</f>
        <v>2019</v>
      </c>
      <c r="K188" s="199">
        <f t="shared" si="50"/>
        <v>43639</v>
      </c>
      <c r="L188" s="147">
        <f>IF(t&lt;Tvie,1-EXP((T0-t)*PertePVj)+'2018'!Pspv,1-EXP((T0-t)*PertePVj)+Pspv)</f>
        <v>7.5578790368093784E-3</v>
      </c>
      <c r="M188" s="872"/>
      <c r="N188" s="872"/>
      <c r="O188" s="48">
        <f>IF(t&lt;Tnet,'2018'!Resal+('2018'!Salim-'2018'!Resal)*(1-EXP(('2018'!Tnet-t)/('2018'!Tau_j))),Resal+(Salim-Resal)*(1-EXP((Tnet-t)/(Tau_j))))*Salcycl</f>
        <v>6.7028091470097584E-2</v>
      </c>
      <c r="P188" s="171">
        <f>(INDEX(Models!$BJ188:$BT188,,T188)*(1-R188)+INDEX(Models!$BJ188:$BT188,,T188+1)*R188-ERP_i)*Q188*Ramure*Pc/MaxiM</f>
        <v>4.4742892271526677E-5</v>
      </c>
      <c r="Q188" s="307">
        <f t="shared" si="51"/>
        <v>0.9</v>
      </c>
      <c r="R188" s="179">
        <f t="shared" si="52"/>
        <v>0.34089298940389123</v>
      </c>
      <c r="S188" s="839">
        <f t="shared" si="53"/>
        <v>-2</v>
      </c>
      <c r="T188" s="178">
        <f t="shared" si="54"/>
        <v>4</v>
      </c>
      <c r="U188" s="253">
        <f t="shared" si="55"/>
        <v>-1.6591070105961088</v>
      </c>
      <c r="V188" s="385">
        <f t="shared" si="56"/>
        <v>59.178595888998402</v>
      </c>
      <c r="W188" s="58"/>
      <c r="X188" s="157">
        <f t="shared" si="57"/>
        <v>43639</v>
      </c>
      <c r="Y188" s="387">
        <f t="shared" si="58"/>
        <v>52.204999999999998</v>
      </c>
      <c r="Z188" s="387">
        <f t="shared" si="59"/>
        <v>52.602563814334786</v>
      </c>
      <c r="AA188" s="388">
        <f t="shared" si="60"/>
        <v>56.381723108063802</v>
      </c>
      <c r="AB188" s="199">
        <f t="shared" si="61"/>
        <v>43639</v>
      </c>
      <c r="AC188" s="428">
        <f>IF(OR(t&lt;Tnet,NoTnet),'2018'!Resal_s+('2018'!Salim-'2018'!Resal_s)*(1-EXP(('2018'!Tnet_s-t)/'2018'!Tau_j)),Resal_s+(Salim-Resal_s)*(1-EXP((Tnet_s-t)/Tau_j)))*Salcycl</f>
        <v>6.7028091470097584E-2</v>
      </c>
      <c r="AD188" s="233">
        <f>(INDEX(Models!$BJ188:$BT188,,AH188)*(1-AF188)+INDEX(Models!$BJ188:$BT188,,AH188+1)*AF188-ERP_i)*AE188*Ramure*Pc/MaxiM</f>
        <v>4.4742892271526677E-5</v>
      </c>
      <c r="AE188" s="307">
        <f t="shared" si="62"/>
        <v>0.9</v>
      </c>
      <c r="AF188" s="179">
        <f t="shared" si="63"/>
        <v>0.34089298940389123</v>
      </c>
      <c r="AG188" s="178">
        <f t="shared" si="64"/>
        <v>-2</v>
      </c>
      <c r="AH188" s="178">
        <f t="shared" si="65"/>
        <v>4</v>
      </c>
      <c r="AI188" s="227">
        <f t="shared" si="66"/>
        <v>-1.6591070105961088</v>
      </c>
      <c r="AJ188" s="267" t="b">
        <f t="shared" si="67"/>
        <v>0</v>
      </c>
      <c r="AK188" s="267" t="b">
        <f t="shared" si="68"/>
        <v>0</v>
      </c>
      <c r="AL188" s="267"/>
      <c r="AM188" s="267"/>
      <c r="AN188" s="75"/>
    </row>
    <row r="189" spans="1:40" s="6" customFormat="1" ht="11.25" x14ac:dyDescent="0.2">
      <c r="A189" s="56">
        <f t="shared" si="72"/>
        <v>43640</v>
      </c>
      <c r="B189" s="620">
        <v>37.631</v>
      </c>
      <c r="C189" s="392"/>
      <c r="D189" s="395">
        <f t="shared" si="48"/>
        <v>37.918458874158425</v>
      </c>
      <c r="E189" s="387">
        <f t="shared" si="73"/>
        <v>40.651604115405817</v>
      </c>
      <c r="F189" s="387">
        <f t="shared" si="49"/>
        <v>40.652483642797577</v>
      </c>
      <c r="G189" s="110">
        <f t="shared" si="74"/>
        <v>0.63662198105291812</v>
      </c>
      <c r="H189" s="416" t="b">
        <f>Wh_hp&gt;='2018'!Maxi_hp</f>
        <v>1</v>
      </c>
      <c r="I189" s="392">
        <f>IF(H189,Wh_hp,'2018'!Maxi_hp)</f>
        <v>40.652483642797577</v>
      </c>
      <c r="J189" s="85">
        <f>IF(H189,An,'2018'!An_max)</f>
        <v>2019</v>
      </c>
      <c r="K189" s="199">
        <f t="shared" si="50"/>
        <v>43640</v>
      </c>
      <c r="L189" s="147">
        <f>IF(t&lt;Tvie,1-EXP((T0-t)*PertePVj)+'2018'!Pspv,1-EXP((T0-t)*PertePVj)+Pspv)</f>
        <v>7.5809746148288726E-3</v>
      </c>
      <c r="M189" s="872"/>
      <c r="N189" s="872"/>
      <c r="O189" s="48">
        <f>IF(t&lt;Tnet,'2018'!Resal+('2018'!Salim-'2018'!Resal)*(1-EXP(('2018'!Tnet-t)/('2018'!Tau_j))),Resal+(Salim-Resal)*(1-EXP((Tnet-t)/(Tau_j))))*Salcycl</f>
        <v>6.7233392155651925E-2</v>
      </c>
      <c r="P189" s="171">
        <f>(INDEX(Models!$BJ189:$BT189,,T189)*(1-R189)+INDEX(Models!$BJ189:$BT189,,T189+1)*R189-ERP_i)*Q189*Ramure*Pc/MaxiM</f>
        <v>4.4988205796446857E-5</v>
      </c>
      <c r="Q189" s="307">
        <f t="shared" si="51"/>
        <v>0.9</v>
      </c>
      <c r="R189" s="179">
        <f t="shared" si="52"/>
        <v>0.34756987273805073</v>
      </c>
      <c r="S189" s="839">
        <f t="shared" si="53"/>
        <v>-2</v>
      </c>
      <c r="T189" s="178">
        <f t="shared" si="54"/>
        <v>4</v>
      </c>
      <c r="U189" s="253">
        <f t="shared" si="55"/>
        <v>-1.6524301272619493</v>
      </c>
      <c r="V189" s="385">
        <f t="shared" si="56"/>
        <v>59.1090510641177</v>
      </c>
      <c r="W189" s="58"/>
      <c r="X189" s="157">
        <f t="shared" si="57"/>
        <v>43640</v>
      </c>
      <c r="Y189" s="387">
        <f t="shared" si="58"/>
        <v>37.631</v>
      </c>
      <c r="Z189" s="387">
        <f t="shared" si="59"/>
        <v>37.918458874158425</v>
      </c>
      <c r="AA189" s="388">
        <f t="shared" si="60"/>
        <v>40.651604115405817</v>
      </c>
      <c r="AB189" s="199">
        <f t="shared" si="61"/>
        <v>43640</v>
      </c>
      <c r="AC189" s="428">
        <f>IF(OR(t&lt;Tnet,NoTnet),'2018'!Resal_s+('2018'!Salim-'2018'!Resal_s)*(1-EXP(('2018'!Tnet_s-t)/'2018'!Tau_j)),Resal_s+(Salim-Resal_s)*(1-EXP((Tnet_s-t)/Tau_j)))*Salcycl</f>
        <v>6.7233392155651925E-2</v>
      </c>
      <c r="AD189" s="233">
        <f>(INDEX(Models!$BJ189:$BT189,,AH189)*(1-AF189)+INDEX(Models!$BJ189:$BT189,,AH189+1)*AF189-ERP_i)*AE189*Ramure*Pc/MaxiM</f>
        <v>4.4988205796446857E-5</v>
      </c>
      <c r="AE189" s="307">
        <f t="shared" si="62"/>
        <v>0.9</v>
      </c>
      <c r="AF189" s="179">
        <f t="shared" si="63"/>
        <v>0.34756987273805073</v>
      </c>
      <c r="AG189" s="178">
        <f t="shared" si="64"/>
        <v>-2</v>
      </c>
      <c r="AH189" s="178">
        <f t="shared" si="65"/>
        <v>4</v>
      </c>
      <c r="AI189" s="227">
        <f t="shared" si="66"/>
        <v>-1.6524301272619493</v>
      </c>
      <c r="AJ189" s="267" t="b">
        <f t="shared" si="67"/>
        <v>0</v>
      </c>
      <c r="AK189" s="267" t="b">
        <f t="shared" si="68"/>
        <v>0</v>
      </c>
      <c r="AL189" s="267"/>
      <c r="AM189" s="267"/>
      <c r="AN189" s="75"/>
    </row>
    <row r="190" spans="1:40" s="6" customFormat="1" ht="11.25" x14ac:dyDescent="0.2">
      <c r="A190" s="56">
        <f t="shared" si="72"/>
        <v>43641</v>
      </c>
      <c r="B190" s="620">
        <v>52.283999999999999</v>
      </c>
      <c r="C190" s="392"/>
      <c r="D190" s="395">
        <f t="shared" si="48"/>
        <v>52.684617501246549</v>
      </c>
      <c r="E190" s="387">
        <f t="shared" si="73"/>
        <v>56.494440468035194</v>
      </c>
      <c r="F190" s="387">
        <f t="shared" si="49"/>
        <v>56.496576559205096</v>
      </c>
      <c r="G190" s="110">
        <f t="shared" si="74"/>
        <v>0.88559290603747687</v>
      </c>
      <c r="H190" s="416" t="b">
        <f>Wh_hp&gt;='2018'!Maxi_hp</f>
        <v>1</v>
      </c>
      <c r="I190" s="392">
        <f>IF(H190,Wh_hp,'2018'!Maxi_hp)</f>
        <v>56.496576559205096</v>
      </c>
      <c r="J190" s="85">
        <f>IF(H190,An,'2018'!An_max)</f>
        <v>2019</v>
      </c>
      <c r="K190" s="199">
        <f t="shared" si="50"/>
        <v>43641</v>
      </c>
      <c r="L190" s="147">
        <f>IF(t&lt;Tvie,1-EXP((T0-t)*PertePVj)+'2018'!Pspv,1-EXP((T0-t)*PertePVj)+Pspv)</f>
        <v>7.6040696553804077E-3</v>
      </c>
      <c r="M190" s="872"/>
      <c r="N190" s="872"/>
      <c r="O190" s="48">
        <f>IF(t&lt;Tnet,'2018'!Resal+('2018'!Salim-'2018'!Resal)*(1-EXP(('2018'!Tnet-t)/('2018'!Tau_j))),Resal+(Salim-Resal)*(1-EXP((Tnet-t)/(Tau_j))))*Salcycl</f>
        <v>6.7437130719867233E-2</v>
      </c>
      <c r="P190" s="171">
        <f>(INDEX(Models!$BJ190:$BT190,,T190)*(1-R190)+INDEX(Models!$BJ190:$BT190,,T190+1)*R190-ERP_i)*Q190*Ramure*Pc/MaxiM</f>
        <v>4.5195483217672266E-5</v>
      </c>
      <c r="Q190" s="307">
        <f t="shared" si="51"/>
        <v>0.9</v>
      </c>
      <c r="R190" s="179">
        <f t="shared" si="52"/>
        <v>0.35417037908541671</v>
      </c>
      <c r="S190" s="839">
        <f t="shared" si="53"/>
        <v>-2</v>
      </c>
      <c r="T190" s="178">
        <f t="shared" si="54"/>
        <v>4</v>
      </c>
      <c r="U190" s="253">
        <f t="shared" si="55"/>
        <v>-1.6458296209145833</v>
      </c>
      <c r="V190" s="385">
        <f t="shared" si="56"/>
        <v>59.037977207442857</v>
      </c>
      <c r="W190" s="58"/>
      <c r="X190" s="157">
        <f t="shared" si="57"/>
        <v>43641</v>
      </c>
      <c r="Y190" s="387">
        <f t="shared" si="58"/>
        <v>52.283999999999999</v>
      </c>
      <c r="Z190" s="387">
        <f t="shared" si="59"/>
        <v>52.684617501246549</v>
      </c>
      <c r="AA190" s="388">
        <f t="shared" si="60"/>
        <v>56.494440468035194</v>
      </c>
      <c r="AB190" s="199">
        <f t="shared" si="61"/>
        <v>43641</v>
      </c>
      <c r="AC190" s="428">
        <f>IF(OR(t&lt;Tnet,NoTnet),'2018'!Resal_s+('2018'!Salim-'2018'!Resal_s)*(1-EXP(('2018'!Tnet_s-t)/'2018'!Tau_j)),Resal_s+(Salim-Resal_s)*(1-EXP((Tnet_s-t)/Tau_j)))*Salcycl</f>
        <v>6.7437130719867233E-2</v>
      </c>
      <c r="AD190" s="233">
        <f>(INDEX(Models!$BJ190:$BT190,,AH190)*(1-AF190)+INDEX(Models!$BJ190:$BT190,,AH190+1)*AF190-ERP_i)*AE190*Ramure*Pc/MaxiM</f>
        <v>4.5195483217672266E-5</v>
      </c>
      <c r="AE190" s="307">
        <f t="shared" si="62"/>
        <v>0.9</v>
      </c>
      <c r="AF190" s="179">
        <f t="shared" si="63"/>
        <v>0.35417037908541671</v>
      </c>
      <c r="AG190" s="178">
        <f t="shared" si="64"/>
        <v>-2</v>
      </c>
      <c r="AH190" s="178">
        <f t="shared" si="65"/>
        <v>4</v>
      </c>
      <c r="AI190" s="227">
        <f t="shared" si="66"/>
        <v>-1.6458296209145833</v>
      </c>
      <c r="AJ190" s="267" t="b">
        <f t="shared" si="67"/>
        <v>0</v>
      </c>
      <c r="AK190" s="267" t="b">
        <f t="shared" si="68"/>
        <v>0</v>
      </c>
      <c r="AL190" s="267"/>
      <c r="AM190" s="267"/>
      <c r="AN190" s="75"/>
    </row>
    <row r="191" spans="1:40" s="6" customFormat="1" ht="11.25" x14ac:dyDescent="0.2">
      <c r="A191" s="56">
        <f t="shared" si="72"/>
        <v>43642</v>
      </c>
      <c r="B191" s="620">
        <v>56.491999999999997</v>
      </c>
      <c r="C191" s="392"/>
      <c r="D191" s="395">
        <f t="shared" si="48"/>
        <v>56.926185360661641</v>
      </c>
      <c r="E191" s="387">
        <f t="shared" si="73"/>
        <v>61.055968432650772</v>
      </c>
      <c r="F191" s="387">
        <f t="shared" si="49"/>
        <v>61.058572386734099</v>
      </c>
      <c r="G191" s="110">
        <f t="shared" si="74"/>
        <v>0.95804891600125885</v>
      </c>
      <c r="H191" s="416" t="b">
        <f>Wh_hp&gt;='2018'!Maxi_hp</f>
        <v>1</v>
      </c>
      <c r="I191" s="392">
        <f>IF(H191,Wh_hp,'2018'!Maxi_hp)</f>
        <v>61.058572386734099</v>
      </c>
      <c r="J191" s="85">
        <f>IF(H191,An,'2018'!An_max)</f>
        <v>2019</v>
      </c>
      <c r="K191" s="199">
        <f t="shared" si="50"/>
        <v>43642</v>
      </c>
      <c r="L191" s="147">
        <f>IF(t&lt;Tvie,1-EXP((T0-t)*PertePVj)+'2018'!Pspv,1-EXP((T0-t)*PertePVj)+Pspv)</f>
        <v>7.6271641584767513E-3</v>
      </c>
      <c r="M191" s="872"/>
      <c r="N191" s="872"/>
      <c r="O191" s="48">
        <f>IF(t&lt;Tnet,'2018'!Resal+('2018'!Salim-'2018'!Resal)*(1-EXP(('2018'!Tnet-t)/('2018'!Tau_j))),Resal+(Salim-Resal)*(1-EXP((Tnet-t)/(Tau_j))))*Salcycl</f>
        <v>6.7639301742377284E-2</v>
      </c>
      <c r="P191" s="171">
        <f>(INDEX(Models!$BJ191:$BT191,,T191)*(1-R191)+INDEX(Models!$BJ191:$BT191,,T191+1)*R191-ERP_i)*Q191*Ramure*Pc/MaxiM</f>
        <v>4.536540777863525E-5</v>
      </c>
      <c r="Q191" s="307">
        <f t="shared" si="51"/>
        <v>0.9</v>
      </c>
      <c r="R191" s="179">
        <f t="shared" si="52"/>
        <v>0.36069033636258196</v>
      </c>
      <c r="S191" s="839">
        <f t="shared" si="53"/>
        <v>-2</v>
      </c>
      <c r="T191" s="178">
        <f t="shared" si="54"/>
        <v>4</v>
      </c>
      <c r="U191" s="253">
        <f t="shared" si="55"/>
        <v>-1.639309663637418</v>
      </c>
      <c r="V191" s="385">
        <f t="shared" si="56"/>
        <v>58.965513630456513</v>
      </c>
      <c r="W191" s="58"/>
      <c r="X191" s="157">
        <f t="shared" si="57"/>
        <v>43642</v>
      </c>
      <c r="Y191" s="387">
        <f t="shared" si="58"/>
        <v>56.491999999999997</v>
      </c>
      <c r="Z191" s="387">
        <f t="shared" si="59"/>
        <v>56.926185360661641</v>
      </c>
      <c r="AA191" s="388">
        <f t="shared" si="60"/>
        <v>61.055968432650772</v>
      </c>
      <c r="AB191" s="199">
        <f t="shared" si="61"/>
        <v>43642</v>
      </c>
      <c r="AC191" s="428">
        <f>IF(OR(t&lt;Tnet,NoTnet),'2018'!Resal_s+('2018'!Salim-'2018'!Resal_s)*(1-EXP(('2018'!Tnet_s-t)/'2018'!Tau_j)),Resal_s+(Salim-Resal_s)*(1-EXP((Tnet_s-t)/Tau_j)))*Salcycl</f>
        <v>6.7639301742377284E-2</v>
      </c>
      <c r="AD191" s="233">
        <f>(INDEX(Models!$BJ191:$BT191,,AH191)*(1-AF191)+INDEX(Models!$BJ191:$BT191,,AH191+1)*AF191-ERP_i)*AE191*Ramure*Pc/MaxiM</f>
        <v>4.536540777863525E-5</v>
      </c>
      <c r="AE191" s="307">
        <f t="shared" si="62"/>
        <v>0.9</v>
      </c>
      <c r="AF191" s="179">
        <f t="shared" si="63"/>
        <v>0.36069033636258196</v>
      </c>
      <c r="AG191" s="178">
        <f t="shared" si="64"/>
        <v>-2</v>
      </c>
      <c r="AH191" s="178">
        <f t="shared" si="65"/>
        <v>4</v>
      </c>
      <c r="AI191" s="227">
        <f t="shared" si="66"/>
        <v>-1.639309663637418</v>
      </c>
      <c r="AJ191" s="267" t="b">
        <f t="shared" si="67"/>
        <v>0</v>
      </c>
      <c r="AK191" s="267" t="b">
        <f t="shared" si="68"/>
        <v>0</v>
      </c>
      <c r="AL191" s="267"/>
      <c r="AM191" s="267"/>
      <c r="AN191" s="75"/>
    </row>
    <row r="192" spans="1:40" s="6" customFormat="1" ht="11.25" customHeight="1" x14ac:dyDescent="0.2">
      <c r="A192" s="56">
        <f t="shared" si="72"/>
        <v>43643</v>
      </c>
      <c r="B192" s="620">
        <v>56.304000000000002</v>
      </c>
      <c r="C192" s="392"/>
      <c r="D192" s="395">
        <f t="shared" si="48"/>
        <v>56.738060810664173</v>
      </c>
      <c r="E192" s="387">
        <f t="shared" si="73"/>
        <v>60.867292067366989</v>
      </c>
      <c r="F192" s="387">
        <f t="shared" si="49"/>
        <v>60.869890690098934</v>
      </c>
      <c r="G192" s="110">
        <f t="shared" si="74"/>
        <v>0.95606021031727462</v>
      </c>
      <c r="H192" s="416" t="b">
        <f>Wh_hp&gt;='2018'!Maxi_hp</f>
        <v>1</v>
      </c>
      <c r="I192" s="392">
        <f>IF(H192,Wh_hp,'2018'!Maxi_hp)</f>
        <v>60.869890690098934</v>
      </c>
      <c r="J192" s="85">
        <f>IF(H192,An,'2018'!An_max)</f>
        <v>2019</v>
      </c>
      <c r="K192" s="199">
        <f t="shared" si="50"/>
        <v>43643</v>
      </c>
      <c r="L192" s="147">
        <f>IF(t&lt;Tvie,1-EXP((T0-t)*PertePVj)+'2018'!Pspv,1-EXP((T0-t)*PertePVj)+Pspv)</f>
        <v>7.650258124130116E-3</v>
      </c>
      <c r="M192" s="872"/>
      <c r="N192" s="872"/>
      <c r="O192" s="48">
        <f>IF(t&lt;Tnet,'2018'!Resal+('2018'!Salim-'2018'!Resal)*(1-EXP(('2018'!Tnet-t)/('2018'!Tau_j))),Resal+(Salim-Resal)*(1-EXP((Tnet-t)/(Tau_j))))*Salcycl</f>
        <v>6.7839904100426326E-2</v>
      </c>
      <c r="P192" s="171">
        <f>(INDEX(Models!$BJ192:$BT192,,T192)*(1-R192)+INDEX(Models!$BJ192:$BT192,,T192+1)*R192-ERP_i)*Q192*Ramure*Pc/MaxiM</f>
        <v>4.5550509908013514E-5</v>
      </c>
      <c r="Q192" s="307">
        <f t="shared" si="51"/>
        <v>0.9</v>
      </c>
      <c r="R192" s="179">
        <f t="shared" si="52"/>
        <v>0.36712580794738603</v>
      </c>
      <c r="S192" s="839">
        <f t="shared" si="53"/>
        <v>-2</v>
      </c>
      <c r="T192" s="178">
        <f t="shared" si="54"/>
        <v>4</v>
      </c>
      <c r="U192" s="253">
        <f t="shared" si="55"/>
        <v>-1.632874192052614</v>
      </c>
      <c r="V192" s="385">
        <f t="shared" si="56"/>
        <v>58.891520019285991</v>
      </c>
      <c r="W192" s="58"/>
      <c r="X192" s="157">
        <f t="shared" si="57"/>
        <v>43643</v>
      </c>
      <c r="Y192" s="387">
        <f t="shared" si="58"/>
        <v>56.304000000000002</v>
      </c>
      <c r="Z192" s="387">
        <f t="shared" si="59"/>
        <v>56.738060810664173</v>
      </c>
      <c r="AA192" s="388">
        <f t="shared" si="60"/>
        <v>60.867292067366989</v>
      </c>
      <c r="AB192" s="199">
        <f t="shared" si="61"/>
        <v>43643</v>
      </c>
      <c r="AC192" s="428">
        <f>IF(OR(t&lt;Tnet,NoTnet),'2018'!Resal_s+('2018'!Salim-'2018'!Resal_s)*(1-EXP(('2018'!Tnet_s-t)/'2018'!Tau_j)),Resal_s+(Salim-Resal_s)*(1-EXP((Tnet_s-t)/Tau_j)))*Salcycl</f>
        <v>6.7839904100426326E-2</v>
      </c>
      <c r="AD192" s="233">
        <f>(INDEX(Models!$BJ192:$BT192,,AH192)*(1-AF192)+INDEX(Models!$BJ192:$BT192,,AH192+1)*AF192-ERP_i)*AE192*Ramure*Pc/MaxiM</f>
        <v>4.5550509908013514E-5</v>
      </c>
      <c r="AE192" s="307">
        <f t="shared" si="62"/>
        <v>0.9</v>
      </c>
      <c r="AF192" s="179">
        <f t="shared" si="63"/>
        <v>0.36712580794738603</v>
      </c>
      <c r="AG192" s="178">
        <f t="shared" si="64"/>
        <v>-2</v>
      </c>
      <c r="AH192" s="178">
        <f t="shared" si="65"/>
        <v>4</v>
      </c>
      <c r="AI192" s="227">
        <f t="shared" si="66"/>
        <v>-1.632874192052614</v>
      </c>
      <c r="AJ192" s="267" t="b">
        <f t="shared" si="67"/>
        <v>0</v>
      </c>
      <c r="AK192" s="267" t="b">
        <f t="shared" si="68"/>
        <v>0</v>
      </c>
      <c r="AL192" s="267"/>
      <c r="AM192" s="267"/>
      <c r="AN192" s="75"/>
    </row>
    <row r="193" spans="1:40" s="6" customFormat="1" ht="11.25" x14ac:dyDescent="0.2">
      <c r="A193" s="56">
        <f t="shared" si="72"/>
        <v>43644</v>
      </c>
      <c r="B193" s="620">
        <v>56.225000000000001</v>
      </c>
      <c r="C193" s="392"/>
      <c r="D193" s="395">
        <f t="shared" si="48"/>
        <v>56.659770336668856</v>
      </c>
      <c r="E193" s="387">
        <f t="shared" si="73"/>
        <v>60.796285190430531</v>
      </c>
      <c r="F193" s="387">
        <f t="shared" si="49"/>
        <v>60.798892909051645</v>
      </c>
      <c r="G193" s="110">
        <f t="shared" si="74"/>
        <v>0.95594804044092108</v>
      </c>
      <c r="H193" s="416" t="b">
        <f>Wh_hp&gt;='2018'!Maxi_hp</f>
        <v>1</v>
      </c>
      <c r="I193" s="392">
        <f>IF(H193,Wh_hp,'2018'!Maxi_hp)</f>
        <v>60.798892909051645</v>
      </c>
      <c r="J193" s="85">
        <f>IF(H193,An,'2018'!An_max)</f>
        <v>2019</v>
      </c>
      <c r="K193" s="199">
        <f t="shared" si="50"/>
        <v>43644</v>
      </c>
      <c r="L193" s="147">
        <f>IF(t&lt;Tvie,1-EXP((T0-t)*PertePVj)+'2018'!Pspv,1-EXP((T0-t)*PertePVj)+Pspv)</f>
        <v>7.6733515523532692E-3</v>
      </c>
      <c r="M193" s="872"/>
      <c r="N193" s="872"/>
      <c r="O193" s="48">
        <f>IF(t&lt;Tnet,'2018'!Resal+('2018'!Salim-'2018'!Resal)*(1-EXP(('2018'!Tnet-t)/('2018'!Tau_j))),Resal+(Salim-Resal)*(1-EXP((Tnet-t)/(Tau_j))))*Salcycl</f>
        <v>6.8038940879446494E-2</v>
      </c>
      <c r="P193" s="171">
        <f>(INDEX(Models!$BJ193:$BT193,,T193)*(1-R193)+INDEX(Models!$BJ193:$BT193,,T193+1)*R193-ERP_i)*Q193*Ramure*Pc/MaxiM</f>
        <v>4.577115112767459E-5</v>
      </c>
      <c r="Q193" s="307">
        <f t="shared" si="51"/>
        <v>0.9</v>
      </c>
      <c r="R193" s="179">
        <f t="shared" si="52"/>
        <v>0.37347309929054728</v>
      </c>
      <c r="S193" s="839">
        <f t="shared" si="53"/>
        <v>-2</v>
      </c>
      <c r="T193" s="178">
        <f t="shared" si="54"/>
        <v>4</v>
      </c>
      <c r="U193" s="253">
        <f t="shared" si="55"/>
        <v>-1.6265269007094527</v>
      </c>
      <c r="V193" s="385">
        <f t="shared" si="56"/>
        <v>58.815788800019455</v>
      </c>
      <c r="W193" s="58"/>
      <c r="X193" s="157">
        <f t="shared" si="57"/>
        <v>43644</v>
      </c>
      <c r="Y193" s="387">
        <f t="shared" si="58"/>
        <v>56.225000000000001</v>
      </c>
      <c r="Z193" s="387">
        <f t="shared" si="59"/>
        <v>56.659770336668856</v>
      </c>
      <c r="AA193" s="388">
        <f t="shared" si="60"/>
        <v>60.796285190430531</v>
      </c>
      <c r="AB193" s="199">
        <f t="shared" si="61"/>
        <v>43644</v>
      </c>
      <c r="AC193" s="428">
        <f>IF(OR(t&lt;Tnet,NoTnet),'2018'!Resal_s+('2018'!Salim-'2018'!Resal_s)*(1-EXP(('2018'!Tnet_s-t)/'2018'!Tau_j)),Resal_s+(Salim-Resal_s)*(1-EXP((Tnet_s-t)/Tau_j)))*Salcycl</f>
        <v>6.8038940879446494E-2</v>
      </c>
      <c r="AD193" s="233">
        <f>(INDEX(Models!$BJ193:$BT193,,AH193)*(1-AF193)+INDEX(Models!$BJ193:$BT193,,AH193+1)*AF193-ERP_i)*AE193*Ramure*Pc/MaxiM</f>
        <v>4.577115112767459E-5</v>
      </c>
      <c r="AE193" s="307">
        <f t="shared" si="62"/>
        <v>0.9</v>
      </c>
      <c r="AF193" s="179">
        <f t="shared" si="63"/>
        <v>0.37347309929054728</v>
      </c>
      <c r="AG193" s="178">
        <f t="shared" si="64"/>
        <v>-2</v>
      </c>
      <c r="AH193" s="178">
        <f t="shared" si="65"/>
        <v>4</v>
      </c>
      <c r="AI193" s="227">
        <f t="shared" si="66"/>
        <v>-1.6265269007094527</v>
      </c>
      <c r="AJ193" s="267" t="b">
        <f t="shared" si="67"/>
        <v>0</v>
      </c>
      <c r="AK193" s="267" t="b">
        <f t="shared" si="68"/>
        <v>0</v>
      </c>
      <c r="AL193" s="267"/>
      <c r="AM193" s="267"/>
      <c r="AN193" s="75"/>
    </row>
    <row r="194" spans="1:40" s="6" customFormat="1" ht="11.25" customHeight="1" x14ac:dyDescent="0.2">
      <c r="A194" s="56">
        <f t="shared" si="72"/>
        <v>43645</v>
      </c>
      <c r="B194" s="620">
        <v>54.15</v>
      </c>
      <c r="C194" s="392"/>
      <c r="D194" s="395">
        <f t="shared" si="48"/>
        <v>54.569994934275087</v>
      </c>
      <c r="E194" s="387">
        <f t="shared" si="73"/>
        <v>58.566353163247385</v>
      </c>
      <c r="F194" s="387">
        <f t="shared" si="49"/>
        <v>58.56874819985623</v>
      </c>
      <c r="G194" s="110">
        <f t="shared" si="74"/>
        <v>0.92188391329433361</v>
      </c>
      <c r="H194" s="416" t="b">
        <f>Wh_hp&gt;='2018'!Maxi_hp</f>
        <v>1</v>
      </c>
      <c r="I194" s="392">
        <f>IF(H194,Wh_hp,'2018'!Maxi_hp)</f>
        <v>58.56874819985623</v>
      </c>
      <c r="J194" s="85">
        <f>IF(H194,An,'2018'!An_max)</f>
        <v>2019</v>
      </c>
      <c r="K194" s="199">
        <f t="shared" si="50"/>
        <v>43645</v>
      </c>
      <c r="L194" s="147">
        <f>IF(t&lt;Tvie,1-EXP((T0-t)*PertePVj)+'2018'!Pspv,1-EXP((T0-t)*PertePVj)+Pspv)</f>
        <v>7.6964444431585344E-3</v>
      </c>
      <c r="M194" s="872"/>
      <c r="N194" s="872"/>
      <c r="O194" s="48">
        <f>IF(t&lt;Tnet,'2018'!Resal+('2018'!Salim-'2018'!Resal)*(1-EXP(('2018'!Tnet-t)/('2018'!Tau_j))),Resal+(Salim-Resal)*(1-EXP((Tnet-t)/(Tau_j))))*Salcycl</f>
        <v>6.8236419259927003E-2</v>
      </c>
      <c r="P194" s="171">
        <f>(INDEX(Models!$BJ194:$BT194,,T194)*(1-R194)+INDEX(Models!$BJ194:$BT194,,T194+1)*R194-ERP_i)*Q194*Ramure*Pc/MaxiM</f>
        <v>4.6029008994980212E-5</v>
      </c>
      <c r="Q194" s="307">
        <f t="shared" si="51"/>
        <v>0.9</v>
      </c>
      <c r="R194" s="179">
        <f t="shared" si="52"/>
        <v>0.37972876315502857</v>
      </c>
      <c r="S194" s="839">
        <f t="shared" si="53"/>
        <v>-2</v>
      </c>
      <c r="T194" s="178">
        <f t="shared" si="54"/>
        <v>4</v>
      </c>
      <c r="U194" s="253">
        <f t="shared" si="55"/>
        <v>-1.6202712368449714</v>
      </c>
      <c r="V194" s="385">
        <f t="shared" si="56"/>
        <v>58.73811342056333</v>
      </c>
      <c r="W194" s="58"/>
      <c r="X194" s="157">
        <f t="shared" si="57"/>
        <v>43645</v>
      </c>
      <c r="Y194" s="387">
        <f t="shared" si="58"/>
        <v>54.15</v>
      </c>
      <c r="Z194" s="387">
        <f t="shared" si="59"/>
        <v>54.569994934275087</v>
      </c>
      <c r="AA194" s="388">
        <f t="shared" si="60"/>
        <v>58.566353163247385</v>
      </c>
      <c r="AB194" s="199">
        <f t="shared" si="61"/>
        <v>43645</v>
      </c>
      <c r="AC194" s="428">
        <f>IF(OR(t&lt;Tnet,NoTnet),'2018'!Resal_s+('2018'!Salim-'2018'!Resal_s)*(1-EXP(('2018'!Tnet_s-t)/'2018'!Tau_j)),Resal_s+(Salim-Resal_s)*(1-EXP((Tnet_s-t)/Tau_j)))*Salcycl</f>
        <v>6.8236419259927003E-2</v>
      </c>
      <c r="AD194" s="233">
        <f>(INDEX(Models!$BJ194:$BT194,,AH194)*(1-AF194)+INDEX(Models!$BJ194:$BT194,,AH194+1)*AF194-ERP_i)*AE194*Ramure*Pc/MaxiM</f>
        <v>4.6029008994980212E-5</v>
      </c>
      <c r="AE194" s="307">
        <f t="shared" si="62"/>
        <v>0.9</v>
      </c>
      <c r="AF194" s="179">
        <f t="shared" si="63"/>
        <v>0.37972876315502857</v>
      </c>
      <c r="AG194" s="178">
        <f t="shared" si="64"/>
        <v>-2</v>
      </c>
      <c r="AH194" s="178">
        <f t="shared" si="65"/>
        <v>4</v>
      </c>
      <c r="AI194" s="227">
        <f t="shared" si="66"/>
        <v>-1.6202712368449714</v>
      </c>
      <c r="AJ194" s="267" t="b">
        <f t="shared" si="67"/>
        <v>0</v>
      </c>
      <c r="AK194" s="267" t="b">
        <f t="shared" si="68"/>
        <v>0</v>
      </c>
      <c r="AL194" s="267"/>
      <c r="AM194" s="267"/>
      <c r="AN194" s="75"/>
    </row>
    <row r="195" spans="1:40" s="6" customFormat="1" ht="11.25" customHeight="1" x14ac:dyDescent="0.2">
      <c r="A195" s="56">
        <f t="shared" si="72"/>
        <v>43646</v>
      </c>
      <c r="B195" s="620">
        <v>53.037999999999997</v>
      </c>
      <c r="C195" s="392"/>
      <c r="D195" s="395">
        <f t="shared" si="48"/>
        <v>53.450613981428283</v>
      </c>
      <c r="E195" s="387">
        <f t="shared" si="73"/>
        <v>57.377061132722382</v>
      </c>
      <c r="F195" s="387">
        <f t="shared" si="49"/>
        <v>57.379355434694759</v>
      </c>
      <c r="G195" s="110">
        <f t="shared" si="74"/>
        <v>0.9041802301686912</v>
      </c>
      <c r="H195" s="416" t="b">
        <f>Wh_hp&gt;='2018'!Maxi_hp</f>
        <v>1</v>
      </c>
      <c r="I195" s="392">
        <f>IF(H195,Wh_hp,'2018'!Maxi_hp)</f>
        <v>57.379355434694759</v>
      </c>
      <c r="J195" s="85">
        <f>IF(H195,An,'2018'!An_max)</f>
        <v>2019</v>
      </c>
      <c r="K195" s="199">
        <f t="shared" si="50"/>
        <v>43646</v>
      </c>
      <c r="L195" s="147">
        <f>IF(t&lt;Tvie,1-EXP((T0-t)*PertePVj)+'2018'!Pspv,1-EXP((T0-t)*PertePVj)+Pspv)</f>
        <v>7.7195367965585682E-3</v>
      </c>
      <c r="M195" s="872"/>
      <c r="N195" s="872"/>
      <c r="O195" s="48">
        <f>IF(t&lt;Tnet,'2018'!Resal+('2018'!Salim-'2018'!Resal)*(1-EXP(('2018'!Tnet-t)/('2018'!Tau_j))),Resal+(Salim-Resal)*(1-EXP((Tnet-t)/(Tau_j))))*Salcycl</f>
        <v>6.8432350381480711E-2</v>
      </c>
      <c r="P195" s="171">
        <f>(INDEX(Models!$BJ195:$BT195,,T195)*(1-R195)+INDEX(Models!$BJ195:$BT195,,T195+1)*R195-ERP_i)*Q195*Ramure*Pc/MaxiM</f>
        <v>4.6325735313868098E-5</v>
      </c>
      <c r="Q195" s="307">
        <f t="shared" si="51"/>
        <v>0.9</v>
      </c>
      <c r="R195" s="179">
        <f t="shared" si="52"/>
        <v>0.38588960349880641</v>
      </c>
      <c r="S195" s="839">
        <f t="shared" si="53"/>
        <v>-2</v>
      </c>
      <c r="T195" s="178">
        <f t="shared" si="54"/>
        <v>4</v>
      </c>
      <c r="U195" s="253">
        <f t="shared" si="55"/>
        <v>-1.6141103965011936</v>
      </c>
      <c r="V195" s="385">
        <f t="shared" si="56"/>
        <v>58.65828725989396</v>
      </c>
      <c r="W195" s="58"/>
      <c r="X195" s="157">
        <f t="shared" si="57"/>
        <v>43646</v>
      </c>
      <c r="Y195" s="387">
        <f t="shared" si="58"/>
        <v>53.037999999999997</v>
      </c>
      <c r="Z195" s="387">
        <f t="shared" si="59"/>
        <v>53.450613981428283</v>
      </c>
      <c r="AA195" s="388">
        <f t="shared" si="60"/>
        <v>57.377061132722382</v>
      </c>
      <c r="AB195" s="199">
        <f t="shared" si="61"/>
        <v>43646</v>
      </c>
      <c r="AC195" s="428">
        <f>IF(OR(t&lt;Tnet,NoTnet),'2018'!Resal_s+('2018'!Salim-'2018'!Resal_s)*(1-EXP(('2018'!Tnet_s-t)/'2018'!Tau_j)),Resal_s+(Salim-Resal_s)*(1-EXP((Tnet_s-t)/Tau_j)))*Salcycl</f>
        <v>6.8432350381480711E-2</v>
      </c>
      <c r="AD195" s="233">
        <f>(INDEX(Models!$BJ195:$BT195,,AH195)*(1-AF195)+INDEX(Models!$BJ195:$BT195,,AH195+1)*AF195-ERP_i)*AE195*Ramure*Pc/MaxiM</f>
        <v>4.6325735313868098E-5</v>
      </c>
      <c r="AE195" s="307">
        <f t="shared" si="62"/>
        <v>0.9</v>
      </c>
      <c r="AF195" s="179">
        <f t="shared" si="63"/>
        <v>0.38588960349880641</v>
      </c>
      <c r="AG195" s="178">
        <f t="shared" si="64"/>
        <v>-2</v>
      </c>
      <c r="AH195" s="178">
        <f t="shared" si="65"/>
        <v>4</v>
      </c>
      <c r="AI195" s="227">
        <f t="shared" si="66"/>
        <v>-1.6141103965011936</v>
      </c>
      <c r="AJ195" s="267" t="b">
        <f t="shared" si="67"/>
        <v>0</v>
      </c>
      <c r="AK195" s="267" t="b">
        <f t="shared" si="68"/>
        <v>0</v>
      </c>
      <c r="AL195" s="267"/>
      <c r="AM195" s="267"/>
      <c r="AN195" s="75"/>
    </row>
    <row r="196" spans="1:40" s="6" customFormat="1" ht="11.25" customHeight="1" x14ac:dyDescent="0.2">
      <c r="A196" s="56">
        <f t="shared" si="72"/>
        <v>43647</v>
      </c>
      <c r="B196" s="620">
        <v>18.012</v>
      </c>
      <c r="C196" s="392"/>
      <c r="D196" s="395">
        <f t="shared" si="48"/>
        <v>18.152548440949886</v>
      </c>
      <c r="E196" s="387">
        <f t="shared" si="73"/>
        <v>19.490089955954073</v>
      </c>
      <c r="F196" s="387">
        <f t="shared" si="49"/>
        <v>19.490099696860618</v>
      </c>
      <c r="G196" s="110">
        <f t="shared" si="74"/>
        <v>0.3074832122771719</v>
      </c>
      <c r="H196" s="416" t="b">
        <f>Wh_hp&gt;='2018'!Maxi_hp</f>
        <v>1</v>
      </c>
      <c r="I196" s="392">
        <f>IF(H196,Wh_hp,'2018'!Maxi_hp)</f>
        <v>19.490099696860618</v>
      </c>
      <c r="J196" s="85">
        <f>IF(H196,An,'2018'!An_max)</f>
        <v>2019</v>
      </c>
      <c r="K196" s="199">
        <f t="shared" si="50"/>
        <v>43647</v>
      </c>
      <c r="L196" s="147">
        <f>IF(t&lt;Tvie,1-EXP((T0-t)*PertePVj)+'2018'!Pspv,1-EXP((T0-t)*PertePVj)+Pspv)</f>
        <v>7.742628612565805E-3</v>
      </c>
      <c r="M196" s="872"/>
      <c r="N196" s="872"/>
      <c r="O196" s="48">
        <f>IF(t&lt;Tnet,'2018'!Resal+('2018'!Salim-'2018'!Resal)*(1-EXP(('2018'!Tnet-t)/('2018'!Tau_j))),Resal+(Salim-Resal)*(1-EXP((Tnet-t)/(Tau_j))))*Salcycl</f>
        <v>6.8626749185196928E-2</v>
      </c>
      <c r="P196" s="171">
        <f>(INDEX(Models!$BJ196:$BT196,,T196)*(1-R196)+INDEX(Models!$BJ196:$BT196,,T196+1)*R196-ERP_i)*Q196*Ramure*Pc/MaxiM</f>
        <v>4.6662956224024063E-5</v>
      </c>
      <c r="Q196" s="307">
        <f t="shared" si="51"/>
        <v>0.9</v>
      </c>
      <c r="R196" s="179">
        <f t="shared" si="52"/>
        <v>0.39195267802812639</v>
      </c>
      <c r="S196" s="839">
        <f t="shared" si="53"/>
        <v>-2</v>
      </c>
      <c r="T196" s="178">
        <f t="shared" si="54"/>
        <v>4</v>
      </c>
      <c r="U196" s="253">
        <f t="shared" si="55"/>
        <v>-1.6080473219718736</v>
      </c>
      <c r="V196" s="385">
        <f t="shared" si="56"/>
        <v>58.576103635707412</v>
      </c>
      <c r="W196" s="58"/>
      <c r="X196" s="157">
        <f t="shared" si="57"/>
        <v>43647</v>
      </c>
      <c r="Y196" s="387">
        <f t="shared" si="58"/>
        <v>18.012</v>
      </c>
      <c r="Z196" s="387">
        <f t="shared" si="59"/>
        <v>18.152548440949886</v>
      </c>
      <c r="AA196" s="388">
        <f t="shared" si="60"/>
        <v>19.490089955954073</v>
      </c>
      <c r="AB196" s="199">
        <f t="shared" si="61"/>
        <v>43647</v>
      </c>
      <c r="AC196" s="428">
        <f>IF(OR(t&lt;Tnet,NoTnet),'2018'!Resal_s+('2018'!Salim-'2018'!Resal_s)*(1-EXP(('2018'!Tnet_s-t)/'2018'!Tau_j)),Resal_s+(Salim-Resal_s)*(1-EXP((Tnet_s-t)/Tau_j)))*Salcycl</f>
        <v>6.8626749185196928E-2</v>
      </c>
      <c r="AD196" s="233">
        <f>(INDEX(Models!$BJ196:$BT196,,AH196)*(1-AF196)+INDEX(Models!$BJ196:$BT196,,AH196+1)*AF196-ERP_i)*AE196*Ramure*Pc/MaxiM</f>
        <v>4.6662956224024063E-5</v>
      </c>
      <c r="AE196" s="307">
        <f t="shared" si="62"/>
        <v>0.9</v>
      </c>
      <c r="AF196" s="179">
        <f t="shared" si="63"/>
        <v>0.39195267802812639</v>
      </c>
      <c r="AG196" s="178">
        <f t="shared" si="64"/>
        <v>-2</v>
      </c>
      <c r="AH196" s="178">
        <f t="shared" si="65"/>
        <v>4</v>
      </c>
      <c r="AI196" s="227">
        <f t="shared" si="66"/>
        <v>-1.6080473219718736</v>
      </c>
      <c r="AJ196" s="267" t="b">
        <f t="shared" si="67"/>
        <v>0</v>
      </c>
      <c r="AK196" s="267" t="b">
        <f t="shared" si="68"/>
        <v>0</v>
      </c>
      <c r="AL196" s="267"/>
      <c r="AM196" s="267"/>
      <c r="AN196" s="75"/>
    </row>
    <row r="197" spans="1:40" s="6" customFormat="1" ht="11.25" customHeight="1" x14ac:dyDescent="0.2">
      <c r="A197" s="56">
        <f t="shared" si="72"/>
        <v>43648</v>
      </c>
      <c r="B197" s="620">
        <v>29.558</v>
      </c>
      <c r="C197" s="392"/>
      <c r="D197" s="395">
        <f t="shared" si="48"/>
        <v>29.789335636296201</v>
      </c>
      <c r="E197" s="387">
        <f t="shared" si="73"/>
        <v>31.990940457427325</v>
      </c>
      <c r="F197" s="387">
        <f t="shared" si="49"/>
        <v>31.991381922172447</v>
      </c>
      <c r="G197" s="110">
        <f t="shared" si="74"/>
        <v>0.5053228290944235</v>
      </c>
      <c r="H197" s="416" t="b">
        <f>Wh_hp&gt;='2018'!Maxi_hp</f>
        <v>1</v>
      </c>
      <c r="I197" s="392">
        <f>IF(H197,Wh_hp,'2018'!Maxi_hp)</f>
        <v>31.991381922172447</v>
      </c>
      <c r="J197" s="85">
        <f>IF(H197,An,'2018'!An_max)</f>
        <v>2019</v>
      </c>
      <c r="K197" s="199">
        <f t="shared" si="50"/>
        <v>43648</v>
      </c>
      <c r="L197" s="147">
        <f>IF(t&lt;Tvie,1-EXP((T0-t)*PertePVj)+'2018'!Pspv,1-EXP((T0-t)*PertePVj)+Pspv)</f>
        <v>7.7657198911926795E-3</v>
      </c>
      <c r="M197" s="872"/>
      <c r="N197" s="872"/>
      <c r="O197" s="48">
        <f>IF(t&lt;Tnet,'2018'!Resal+('2018'!Salim-'2018'!Resal)*(1-EXP(('2018'!Tnet-t)/('2018'!Tau_j))),Resal+(Salim-Resal)*(1-EXP((Tnet-t)/(Tau_j))))*Salcycl</f>
        <v>6.8819634235541174E-2</v>
      </c>
      <c r="P197" s="171">
        <f>(INDEX(Models!$BJ197:$BT197,,T197)*(1-R197)+INDEX(Models!$BJ197:$BT197,,T197+1)*R197-ERP_i)*Q197*Ramure*Pc/MaxiM</f>
        <v>4.7042272693516071E-5</v>
      </c>
      <c r="Q197" s="307">
        <f t="shared" si="51"/>
        <v>0.9</v>
      </c>
      <c r="R197" s="179">
        <f t="shared" si="52"/>
        <v>0.39791529945885129</v>
      </c>
      <c r="S197" s="839">
        <f t="shared" si="53"/>
        <v>-2</v>
      </c>
      <c r="T197" s="178">
        <f t="shared" si="54"/>
        <v>4</v>
      </c>
      <c r="U197" s="253">
        <f t="shared" si="55"/>
        <v>-1.6020847005411487</v>
      </c>
      <c r="V197" s="385">
        <f t="shared" si="56"/>
        <v>58.49135581154934</v>
      </c>
      <c r="W197" s="58"/>
      <c r="X197" s="157">
        <f t="shared" si="57"/>
        <v>43648</v>
      </c>
      <c r="Y197" s="387">
        <f t="shared" si="58"/>
        <v>29.558</v>
      </c>
      <c r="Z197" s="387">
        <f t="shared" si="59"/>
        <v>29.789335636296201</v>
      </c>
      <c r="AA197" s="388">
        <f t="shared" si="60"/>
        <v>31.990940457427325</v>
      </c>
      <c r="AB197" s="199">
        <f t="shared" si="61"/>
        <v>43648</v>
      </c>
      <c r="AC197" s="428">
        <f>IF(OR(t&lt;Tnet,NoTnet),'2018'!Resal_s+('2018'!Salim-'2018'!Resal_s)*(1-EXP(('2018'!Tnet_s-t)/'2018'!Tau_j)),Resal_s+(Salim-Resal_s)*(1-EXP((Tnet_s-t)/Tau_j)))*Salcycl</f>
        <v>6.8819634235541174E-2</v>
      </c>
      <c r="AD197" s="233">
        <f>(INDEX(Models!$BJ197:$BT197,,AH197)*(1-AF197)+INDEX(Models!$BJ197:$BT197,,AH197+1)*AF197-ERP_i)*AE197*Ramure*Pc/MaxiM</f>
        <v>4.7042272693516071E-5</v>
      </c>
      <c r="AE197" s="307">
        <f t="shared" si="62"/>
        <v>0.9</v>
      </c>
      <c r="AF197" s="179">
        <f t="shared" si="63"/>
        <v>0.39791529945885129</v>
      </c>
      <c r="AG197" s="178">
        <f t="shared" si="64"/>
        <v>-2</v>
      </c>
      <c r="AH197" s="178">
        <f t="shared" si="65"/>
        <v>4</v>
      </c>
      <c r="AI197" s="227">
        <f t="shared" si="66"/>
        <v>-1.6020847005411487</v>
      </c>
      <c r="AJ197" s="267" t="b">
        <f t="shared" si="67"/>
        <v>0</v>
      </c>
      <c r="AK197" s="267" t="b">
        <f t="shared" si="68"/>
        <v>0</v>
      </c>
      <c r="AL197" s="267"/>
      <c r="AM197" s="267"/>
      <c r="AN197" s="75"/>
    </row>
    <row r="198" spans="1:40" s="6" customFormat="1" ht="11.25" customHeight="1" x14ac:dyDescent="0.2">
      <c r="A198" s="56">
        <f t="shared" si="72"/>
        <v>43649</v>
      </c>
      <c r="B198" s="620">
        <v>47.58</v>
      </c>
      <c r="C198" s="392"/>
      <c r="D198" s="395">
        <f t="shared" si="48"/>
        <v>47.953500736398951</v>
      </c>
      <c r="E198" s="387">
        <f t="shared" si="73"/>
        <v>51.508129692261484</v>
      </c>
      <c r="F198" s="387">
        <f t="shared" si="49"/>
        <v>51.509935845707219</v>
      </c>
      <c r="G198" s="110">
        <f t="shared" si="74"/>
        <v>0.8146623983831689</v>
      </c>
      <c r="H198" s="416" t="b">
        <f>Wh_hp&gt;='2018'!Maxi_hp</f>
        <v>1</v>
      </c>
      <c r="I198" s="392">
        <f>IF(H198,Wh_hp,'2018'!Maxi_hp)</f>
        <v>51.509935845707219</v>
      </c>
      <c r="J198" s="85">
        <f>IF(H198,An,'2018'!An_max)</f>
        <v>2019</v>
      </c>
      <c r="K198" s="199">
        <f t="shared" si="50"/>
        <v>43649</v>
      </c>
      <c r="L198" s="147">
        <f>IF(t&lt;Tvie,1-EXP((T0-t)*PertePVj)+'2018'!Pspv,1-EXP((T0-t)*PertePVj)+Pspv)</f>
        <v>7.788810632451848E-3</v>
      </c>
      <c r="M198" s="872"/>
      <c r="N198" s="872"/>
      <c r="O198" s="48">
        <f>IF(t&lt;Tnet,'2018'!Resal+('2018'!Salim-'2018'!Resal)*(1-EXP(('2018'!Tnet-t)/('2018'!Tau_j))),Resal+(Salim-Resal)*(1-EXP((Tnet-t)/(Tau_j))))*Salcycl</f>
        <v>6.901102752322559E-2</v>
      </c>
      <c r="P198" s="171">
        <f>(INDEX(Models!$BJ198:$BT198,,T198)*(1-R198)+INDEX(Models!$BJ198:$BT198,,T198+1)*R198-ERP_i)*Q198*Ramure*Pc/MaxiM</f>
        <v>4.7690355006310074E-5</v>
      </c>
      <c r="Q198" s="307">
        <f t="shared" si="51"/>
        <v>0.9</v>
      </c>
      <c r="R198" s="179">
        <f t="shared" si="52"/>
        <v>0.40377503553306626</v>
      </c>
      <c r="S198" s="839">
        <f t="shared" si="53"/>
        <v>-2</v>
      </c>
      <c r="T198" s="178">
        <f t="shared" si="54"/>
        <v>4</v>
      </c>
      <c r="U198" s="253">
        <f t="shared" si="55"/>
        <v>-1.5962249644669337</v>
      </c>
      <c r="V198" s="385">
        <f t="shared" si="56"/>
        <v>58.403823865881904</v>
      </c>
      <c r="W198" s="58"/>
      <c r="X198" s="157">
        <f t="shared" si="57"/>
        <v>43649</v>
      </c>
      <c r="Y198" s="387">
        <f t="shared" si="58"/>
        <v>47.58</v>
      </c>
      <c r="Z198" s="387">
        <f t="shared" si="59"/>
        <v>47.953500736398951</v>
      </c>
      <c r="AA198" s="388">
        <f t="shared" si="60"/>
        <v>51.508129692261484</v>
      </c>
      <c r="AB198" s="199">
        <f t="shared" si="61"/>
        <v>43649</v>
      </c>
      <c r="AC198" s="428">
        <f>IF(OR(t&lt;Tnet,NoTnet),'2018'!Resal_s+('2018'!Salim-'2018'!Resal_s)*(1-EXP(('2018'!Tnet_s-t)/'2018'!Tau_j)),Resal_s+(Salim-Resal_s)*(1-EXP((Tnet_s-t)/Tau_j)))*Salcycl</f>
        <v>6.901102752322559E-2</v>
      </c>
      <c r="AD198" s="233">
        <f>(INDEX(Models!$BJ198:$BT198,,AH198)*(1-AF198)+INDEX(Models!$BJ198:$BT198,,AH198+1)*AF198-ERP_i)*AE198*Ramure*Pc/MaxiM</f>
        <v>4.7690355006310074E-5</v>
      </c>
      <c r="AE198" s="307">
        <f t="shared" si="62"/>
        <v>0.9</v>
      </c>
      <c r="AF198" s="179">
        <f t="shared" si="63"/>
        <v>0.40377503553306626</v>
      </c>
      <c r="AG198" s="178">
        <f t="shared" si="64"/>
        <v>-2</v>
      </c>
      <c r="AH198" s="178">
        <f t="shared" si="65"/>
        <v>4</v>
      </c>
      <c r="AI198" s="227">
        <f t="shared" si="66"/>
        <v>-1.5962249644669337</v>
      </c>
      <c r="AJ198" s="267" t="b">
        <f t="shared" si="67"/>
        <v>0</v>
      </c>
      <c r="AK198" s="267" t="b">
        <f t="shared" si="68"/>
        <v>0</v>
      </c>
      <c r="AL198" s="267"/>
      <c r="AM198" s="267"/>
      <c r="AN198" s="75"/>
    </row>
    <row r="199" spans="1:40" s="6" customFormat="1" ht="11.25" customHeight="1" x14ac:dyDescent="0.2">
      <c r="A199" s="56">
        <f t="shared" si="72"/>
        <v>43650</v>
      </c>
      <c r="B199" s="620">
        <v>54.66</v>
      </c>
      <c r="C199" s="392"/>
      <c r="D199" s="395">
        <f t="shared" si="48"/>
        <v>55.090360432739651</v>
      </c>
      <c r="E199" s="387">
        <f t="shared" si="73"/>
        <v>59.186094661696714</v>
      </c>
      <c r="F199" s="387">
        <f t="shared" si="49"/>
        <v>59.188715550013768</v>
      </c>
      <c r="G199" s="110">
        <f t="shared" si="74"/>
        <v>0.93734640987898199</v>
      </c>
      <c r="H199" s="416" t="b">
        <f>Wh_hp&gt;='2018'!Maxi_hp</f>
        <v>1</v>
      </c>
      <c r="I199" s="392">
        <f>IF(H199,Wh_hp,'2018'!Maxi_hp)</f>
        <v>59.188715550013768</v>
      </c>
      <c r="J199" s="85">
        <f>IF(H199,An,'2018'!An_max)</f>
        <v>2019</v>
      </c>
      <c r="K199" s="199">
        <f t="shared" si="50"/>
        <v>43650</v>
      </c>
      <c r="L199" s="147">
        <f>IF(t&lt;Tvie,1-EXP((T0-t)*PertePVj)+'2018'!Pspv,1-EXP((T0-t)*PertePVj)+Pspv)</f>
        <v>7.8119008363556341E-3</v>
      </c>
      <c r="M199" s="872"/>
      <c r="N199" s="872"/>
      <c r="O199" s="48">
        <f>IF(t&lt;Tnet,'2018'!Resal+('2018'!Salim-'2018'!Resal)*(1-EXP(('2018'!Tnet-t)/('2018'!Tau_j))),Resal+(Salim-Resal)*(1-EXP((Tnet-t)/(Tau_j))))*Salcycl</f>
        <v>6.9200954250622129E-2</v>
      </c>
      <c r="P199" s="171">
        <f>(INDEX(Models!$BJ199:$BT199,,T199)*(1-R199)+INDEX(Models!$BJ199:$BT199,,T199+1)*R199-ERP_i)*Q199*Ramure*Pc/MaxiM</f>
        <v>4.8632804583773126E-5</v>
      </c>
      <c r="Q199" s="307">
        <f t="shared" si="51"/>
        <v>0.9</v>
      </c>
      <c r="R199" s="179">
        <f t="shared" si="52"/>
        <v>0.40952970784660625</v>
      </c>
      <c r="S199" s="839">
        <f t="shared" si="53"/>
        <v>-2</v>
      </c>
      <c r="T199" s="178">
        <f t="shared" si="54"/>
        <v>4</v>
      </c>
      <c r="U199" s="253">
        <f t="shared" si="55"/>
        <v>-1.5904702921533937</v>
      </c>
      <c r="V199" s="385">
        <f t="shared" si="56"/>
        <v>58.313299651190867</v>
      </c>
      <c r="W199" s="58"/>
      <c r="X199" s="157">
        <f t="shared" si="57"/>
        <v>43650</v>
      </c>
      <c r="Y199" s="387">
        <f t="shared" si="58"/>
        <v>54.66</v>
      </c>
      <c r="Z199" s="387">
        <f t="shared" si="59"/>
        <v>55.090360432739651</v>
      </c>
      <c r="AA199" s="388">
        <f t="shared" si="60"/>
        <v>59.186094661696714</v>
      </c>
      <c r="AB199" s="199">
        <f t="shared" si="61"/>
        <v>43650</v>
      </c>
      <c r="AC199" s="428">
        <f>IF(OR(t&lt;Tnet,NoTnet),'2018'!Resal_s+('2018'!Salim-'2018'!Resal_s)*(1-EXP(('2018'!Tnet_s-t)/'2018'!Tau_j)),Resal_s+(Salim-Resal_s)*(1-EXP((Tnet_s-t)/Tau_j)))*Salcycl</f>
        <v>6.9200954250622129E-2</v>
      </c>
      <c r="AD199" s="233">
        <f>(INDEX(Models!$BJ199:$BT199,,AH199)*(1-AF199)+INDEX(Models!$BJ199:$BT199,,AH199+1)*AF199-ERP_i)*AE199*Ramure*Pc/MaxiM</f>
        <v>4.8632804583773126E-5</v>
      </c>
      <c r="AE199" s="307">
        <f t="shared" si="62"/>
        <v>0.9</v>
      </c>
      <c r="AF199" s="179">
        <f t="shared" si="63"/>
        <v>0.40952970784660625</v>
      </c>
      <c r="AG199" s="178">
        <f t="shared" si="64"/>
        <v>-2</v>
      </c>
      <c r="AH199" s="178">
        <f t="shared" si="65"/>
        <v>4</v>
      </c>
      <c r="AI199" s="227">
        <f t="shared" si="66"/>
        <v>-1.5904702921533937</v>
      </c>
      <c r="AJ199" s="267" t="b">
        <f t="shared" si="67"/>
        <v>0</v>
      </c>
      <c r="AK199" s="267" t="b">
        <f t="shared" si="68"/>
        <v>0</v>
      </c>
      <c r="AL199" s="267"/>
      <c r="AM199" s="267"/>
      <c r="AN199" s="75"/>
    </row>
    <row r="200" spans="1:40" s="6" customFormat="1" ht="11.25" customHeight="1" x14ac:dyDescent="0.2">
      <c r="A200" s="56">
        <f t="shared" si="72"/>
        <v>43651</v>
      </c>
      <c r="B200" s="620">
        <v>53.228999999999999</v>
      </c>
      <c r="C200" s="392"/>
      <c r="D200" s="395">
        <f t="shared" si="48"/>
        <v>53.649342085729415</v>
      </c>
      <c r="E200" s="387">
        <f t="shared" si="73"/>
        <v>57.649616866265376</v>
      </c>
      <c r="F200" s="387">
        <f t="shared" si="49"/>
        <v>57.652140272337206</v>
      </c>
      <c r="G200" s="110">
        <f t="shared" si="74"/>
        <v>0.91427451860063003</v>
      </c>
      <c r="H200" s="416" t="b">
        <f>Wh_hp&gt;='2018'!Maxi_hp</f>
        <v>1</v>
      </c>
      <c r="I200" s="392">
        <f>IF(H200,Wh_hp,'2018'!Maxi_hp)</f>
        <v>57.652140272337206</v>
      </c>
      <c r="J200" s="85">
        <f>IF(H200,An,'2018'!An_max)</f>
        <v>2019</v>
      </c>
      <c r="K200" s="199">
        <f t="shared" si="50"/>
        <v>43651</v>
      </c>
      <c r="L200" s="147">
        <f>IF(t&lt;Tvie,1-EXP((T0-t)*PertePVj)+'2018'!Pspv,1-EXP((T0-t)*PertePVj)+Pspv)</f>
        <v>7.8349905029166944E-3</v>
      </c>
      <c r="M200" s="872"/>
      <c r="N200" s="872"/>
      <c r="O200" s="48">
        <f>IF(t&lt;Tnet,'2018'!Resal+('2018'!Salim-'2018'!Resal)*(1-EXP(('2018'!Tnet-t)/('2018'!Tau_j))),Resal+(Salim-Resal)*(1-EXP((Tnet-t)/(Tau_j))))*Salcycl</f>
        <v>6.9389442601426626E-2</v>
      </c>
      <c r="P200" s="171">
        <f>(INDEX(Models!$BJ200:$BT200,,T200)*(1-R200)+INDEX(Models!$BJ200:$BT200,,T200+1)*R200-ERP_i)*Q200*Ramure*Pc/MaxiM</f>
        <v>4.9877341891392716E-5</v>
      </c>
      <c r="Q200" s="307">
        <f t="shared" si="51"/>
        <v>0.9</v>
      </c>
      <c r="R200" s="179">
        <f t="shared" si="52"/>
        <v>0.41517738955056971</v>
      </c>
      <c r="S200" s="839">
        <f t="shared" si="53"/>
        <v>-2</v>
      </c>
      <c r="T200" s="178">
        <f t="shared" si="54"/>
        <v>4</v>
      </c>
      <c r="U200" s="253">
        <f t="shared" si="55"/>
        <v>-1.5848226104494303</v>
      </c>
      <c r="V200" s="385">
        <f t="shared" si="56"/>
        <v>58.219576056420202</v>
      </c>
      <c r="W200" s="58"/>
      <c r="X200" s="157">
        <f t="shared" si="57"/>
        <v>43651</v>
      </c>
      <c r="Y200" s="387">
        <f t="shared" si="58"/>
        <v>53.228999999999999</v>
      </c>
      <c r="Z200" s="387">
        <f t="shared" si="59"/>
        <v>53.649342085729415</v>
      </c>
      <c r="AA200" s="388">
        <f t="shared" si="60"/>
        <v>57.649616866265376</v>
      </c>
      <c r="AB200" s="199">
        <f t="shared" si="61"/>
        <v>43651</v>
      </c>
      <c r="AC200" s="428">
        <f>IF(OR(t&lt;Tnet,NoTnet),'2018'!Resal_s+('2018'!Salim-'2018'!Resal_s)*(1-EXP(('2018'!Tnet_s-t)/'2018'!Tau_j)),Resal_s+(Salim-Resal_s)*(1-EXP((Tnet_s-t)/Tau_j)))*Salcycl</f>
        <v>6.9389442601426626E-2</v>
      </c>
      <c r="AD200" s="233">
        <f>(INDEX(Models!$BJ200:$BT200,,AH200)*(1-AF200)+INDEX(Models!$BJ200:$BT200,,AH200+1)*AF200-ERP_i)*AE200*Ramure*Pc/MaxiM</f>
        <v>4.9877341891392716E-5</v>
      </c>
      <c r="AE200" s="307">
        <f t="shared" si="62"/>
        <v>0.9</v>
      </c>
      <c r="AF200" s="179">
        <f t="shared" si="63"/>
        <v>0.41517738955056971</v>
      </c>
      <c r="AG200" s="178">
        <f t="shared" si="64"/>
        <v>-2</v>
      </c>
      <c r="AH200" s="178">
        <f t="shared" si="65"/>
        <v>4</v>
      </c>
      <c r="AI200" s="227">
        <f t="shared" si="66"/>
        <v>-1.5848226104494303</v>
      </c>
      <c r="AJ200" s="267" t="b">
        <f t="shared" si="67"/>
        <v>0</v>
      </c>
      <c r="AK200" s="267" t="b">
        <f t="shared" si="68"/>
        <v>0</v>
      </c>
      <c r="AL200" s="267"/>
      <c r="AM200" s="267"/>
      <c r="AN200" s="75"/>
    </row>
    <row r="201" spans="1:40" s="6" customFormat="1" ht="11.25" customHeight="1" x14ac:dyDescent="0.2">
      <c r="A201" s="56">
        <f t="shared" si="72"/>
        <v>43652</v>
      </c>
      <c r="B201" s="620">
        <v>53.045000000000002</v>
      </c>
      <c r="C201" s="392"/>
      <c r="D201" s="395">
        <f t="shared" si="48"/>
        <v>53.465133274816893</v>
      </c>
      <c r="E201" s="387">
        <f t="shared" si="73"/>
        <v>57.463224676715299</v>
      </c>
      <c r="F201" s="387">
        <f t="shared" si="49"/>
        <v>57.465811390162493</v>
      </c>
      <c r="G201" s="110">
        <f t="shared" si="74"/>
        <v>0.9126363940544685</v>
      </c>
      <c r="H201" s="416" t="b">
        <f>Wh_hp&gt;='2018'!Maxi_hp</f>
        <v>1</v>
      </c>
      <c r="I201" s="392">
        <f>IF(H201,Wh_hp,'2018'!Maxi_hp)</f>
        <v>57.465811390162493</v>
      </c>
      <c r="J201" s="85">
        <f>IF(H201,An,'2018'!An_max)</f>
        <v>2019</v>
      </c>
      <c r="K201" s="199">
        <f t="shared" si="50"/>
        <v>43652</v>
      </c>
      <c r="L201" s="147">
        <f>IF(t&lt;Tvie,1-EXP((T0-t)*PertePVj)+'2018'!Pspv,1-EXP((T0-t)*PertePVj)+Pspv)</f>
        <v>7.8580796321474633E-3</v>
      </c>
      <c r="M201" s="872"/>
      <c r="N201" s="872"/>
      <c r="O201" s="48">
        <f>IF(t&lt;Tnet,'2018'!Resal+('2018'!Salim-'2018'!Resal)*(1-EXP(('2018'!Tnet-t)/('2018'!Tau_j))),Resal+(Salim-Resal)*(1-EXP((Tnet-t)/(Tau_j))))*Salcycl</f>
        <v>6.9576523496400186E-2</v>
      </c>
      <c r="P201" s="171">
        <f>(INDEX(Models!$BJ201:$BT201,,T201)*(1-R201)+INDEX(Models!$BJ201:$BT201,,T201+1)*R201-ERP_i)*Q201*Ramure*Pc/MaxiM</f>
        <v>5.1431580705502208E-5</v>
      </c>
      <c r="Q201" s="307">
        <f t="shared" si="51"/>
        <v>0.9</v>
      </c>
      <c r="R201" s="179">
        <f t="shared" si="52"/>
        <v>0.42071640199614624</v>
      </c>
      <c r="S201" s="839">
        <f t="shared" si="53"/>
        <v>-2</v>
      </c>
      <c r="T201" s="178">
        <f t="shared" si="54"/>
        <v>4</v>
      </c>
      <c r="U201" s="253">
        <f t="shared" si="55"/>
        <v>-1.5792835980038538</v>
      </c>
      <c r="V201" s="385">
        <f t="shared" si="56"/>
        <v>58.122445983014487</v>
      </c>
      <c r="W201" s="58"/>
      <c r="X201" s="157">
        <f t="shared" si="57"/>
        <v>43652</v>
      </c>
      <c r="Y201" s="387">
        <f t="shared" si="58"/>
        <v>53.045000000000002</v>
      </c>
      <c r="Z201" s="387">
        <f t="shared" si="59"/>
        <v>53.465133274816893</v>
      </c>
      <c r="AA201" s="388">
        <f t="shared" si="60"/>
        <v>57.463224676715299</v>
      </c>
      <c r="AB201" s="199">
        <f t="shared" si="61"/>
        <v>43652</v>
      </c>
      <c r="AC201" s="428">
        <f>IF(OR(t&lt;Tnet,NoTnet),'2018'!Resal_s+('2018'!Salim-'2018'!Resal_s)*(1-EXP(('2018'!Tnet_s-t)/'2018'!Tau_j)),Resal_s+(Salim-Resal_s)*(1-EXP((Tnet_s-t)/Tau_j)))*Salcycl</f>
        <v>6.9576523496400186E-2</v>
      </c>
      <c r="AD201" s="233">
        <f>(INDEX(Models!$BJ201:$BT201,,AH201)*(1-AF201)+INDEX(Models!$BJ201:$BT201,,AH201+1)*AF201-ERP_i)*AE201*Ramure*Pc/MaxiM</f>
        <v>5.1431580705502208E-5</v>
      </c>
      <c r="AE201" s="307">
        <f t="shared" si="62"/>
        <v>0.9</v>
      </c>
      <c r="AF201" s="179">
        <f t="shared" si="63"/>
        <v>0.42071640199614624</v>
      </c>
      <c r="AG201" s="178">
        <f t="shared" si="64"/>
        <v>-2</v>
      </c>
      <c r="AH201" s="178">
        <f t="shared" si="65"/>
        <v>4</v>
      </c>
      <c r="AI201" s="227">
        <f t="shared" si="66"/>
        <v>-1.5792835980038538</v>
      </c>
      <c r="AJ201" s="267" t="b">
        <f t="shared" si="67"/>
        <v>0</v>
      </c>
      <c r="AK201" s="267" t="b">
        <f t="shared" si="68"/>
        <v>0</v>
      </c>
      <c r="AL201" s="267"/>
      <c r="AM201" s="267"/>
      <c r="AN201" s="75"/>
    </row>
    <row r="202" spans="1:40" s="6" customFormat="1" ht="11.25" customHeight="1" x14ac:dyDescent="0.2">
      <c r="A202" s="56">
        <f t="shared" si="72"/>
        <v>43653</v>
      </c>
      <c r="B202" s="620">
        <v>48.911999999999999</v>
      </c>
      <c r="C202" s="392"/>
      <c r="D202" s="395">
        <f t="shared" si="48"/>
        <v>49.30054589574236</v>
      </c>
      <c r="E202" s="387">
        <f t="shared" si="73"/>
        <v>52.997789923762021</v>
      </c>
      <c r="F202" s="387">
        <f t="shared" si="49"/>
        <v>52.999981342766986</v>
      </c>
      <c r="G202" s="110">
        <f t="shared" si="74"/>
        <v>0.84298483532579449</v>
      </c>
      <c r="H202" s="416" t="b">
        <f>Wh_hp&gt;='2018'!Maxi_hp</f>
        <v>1</v>
      </c>
      <c r="I202" s="392">
        <f>IF(H202,Wh_hp,'2018'!Maxi_hp)</f>
        <v>52.999981342766986</v>
      </c>
      <c r="J202" s="85">
        <f>IF(H202,An,'2018'!An_max)</f>
        <v>2019</v>
      </c>
      <c r="K202" s="199">
        <f t="shared" si="50"/>
        <v>43653</v>
      </c>
      <c r="L202" s="147">
        <f>IF(t&lt;Tvie,1-EXP((T0-t)*PertePVj)+'2018'!Pspv,1-EXP((T0-t)*PertePVj)+Pspv)</f>
        <v>7.8811682240604863E-3</v>
      </c>
      <c r="M202" s="872"/>
      <c r="N202" s="872"/>
      <c r="O202" s="48">
        <f>IF(t&lt;Tnet,'2018'!Resal+('2018'!Salim-'2018'!Resal)*(1-EXP(('2018'!Tnet-t)/('2018'!Tau_j))),Resal+(Salim-Resal)*(1-EXP((Tnet-t)/(Tau_j))))*Salcycl</f>
        <v>6.9762230337117689E-2</v>
      </c>
      <c r="P202" s="171">
        <f>(INDEX(Models!$BJ202:$BT202,,T202)*(1-R202)+INDEX(Models!$BJ202:$BT202,,T202+1)*R202-ERP_i)*Q202*Ramure*Pc/MaxiM</f>
        <v>5.3303040802846956E-5</v>
      </c>
      <c r="Q202" s="307">
        <f t="shared" si="51"/>
        <v>0.9</v>
      </c>
      <c r="R202" s="179">
        <f t="shared" si="52"/>
        <v>0.42614531039720172</v>
      </c>
      <c r="S202" s="839">
        <f t="shared" si="53"/>
        <v>-2</v>
      </c>
      <c r="T202" s="178">
        <f t="shared" si="54"/>
        <v>4</v>
      </c>
      <c r="U202" s="253">
        <f t="shared" si="55"/>
        <v>-1.5738546896027983</v>
      </c>
      <c r="V202" s="385">
        <f t="shared" si="56"/>
        <v>58.021702359101418</v>
      </c>
      <c r="W202" s="58"/>
      <c r="X202" s="157">
        <f t="shared" si="57"/>
        <v>43653</v>
      </c>
      <c r="Y202" s="387">
        <f t="shared" si="58"/>
        <v>48.911999999999999</v>
      </c>
      <c r="Z202" s="387">
        <f t="shared" si="59"/>
        <v>49.30054589574236</v>
      </c>
      <c r="AA202" s="388">
        <f t="shared" si="60"/>
        <v>52.997789923762021</v>
      </c>
      <c r="AB202" s="199">
        <f t="shared" si="61"/>
        <v>43653</v>
      </c>
      <c r="AC202" s="428">
        <f>IF(OR(t&lt;Tnet,NoTnet),'2018'!Resal_s+('2018'!Salim-'2018'!Resal_s)*(1-EXP(('2018'!Tnet_s-t)/'2018'!Tau_j)),Resal_s+(Salim-Resal_s)*(1-EXP((Tnet_s-t)/Tau_j)))*Salcycl</f>
        <v>6.9762230337117689E-2</v>
      </c>
      <c r="AD202" s="233">
        <f>(INDEX(Models!$BJ202:$BT202,,AH202)*(1-AF202)+INDEX(Models!$BJ202:$BT202,,AH202+1)*AF202-ERP_i)*AE202*Ramure*Pc/MaxiM</f>
        <v>5.3303040802846956E-5</v>
      </c>
      <c r="AE202" s="307">
        <f t="shared" si="62"/>
        <v>0.9</v>
      </c>
      <c r="AF202" s="179">
        <f t="shared" si="63"/>
        <v>0.42614531039720172</v>
      </c>
      <c r="AG202" s="178">
        <f t="shared" si="64"/>
        <v>-2</v>
      </c>
      <c r="AH202" s="178">
        <f t="shared" si="65"/>
        <v>4</v>
      </c>
      <c r="AI202" s="227">
        <f t="shared" si="66"/>
        <v>-1.5738546896027983</v>
      </c>
      <c r="AJ202" s="267" t="b">
        <f t="shared" si="67"/>
        <v>0</v>
      </c>
      <c r="AK202" s="267" t="b">
        <f t="shared" si="68"/>
        <v>0</v>
      </c>
      <c r="AL202" s="267"/>
      <c r="AM202" s="267"/>
      <c r="AN202" s="75"/>
    </row>
    <row r="203" spans="1:40" s="6" customFormat="1" ht="11.25" customHeight="1" x14ac:dyDescent="0.2">
      <c r="A203" s="56">
        <f t="shared" si="72"/>
        <v>43654</v>
      </c>
      <c r="B203" s="620">
        <v>32.03</v>
      </c>
      <c r="C203" s="392"/>
      <c r="D203" s="395">
        <f t="shared" si="48"/>
        <v>32.285190419077999</v>
      </c>
      <c r="E203" s="387">
        <f t="shared" si="73"/>
        <v>34.713265254801705</v>
      </c>
      <c r="F203" s="387">
        <f t="shared" si="49"/>
        <v>34.713961668183494</v>
      </c>
      <c r="G203" s="110">
        <f t="shared" si="74"/>
        <v>0.55301187057022516</v>
      </c>
      <c r="H203" s="416" t="b">
        <f>Wh_hp&gt;='2018'!Maxi_hp</f>
        <v>1</v>
      </c>
      <c r="I203" s="392">
        <f>IF(H203,Wh_hp,'2018'!Maxi_hp)</f>
        <v>34.713961668183494</v>
      </c>
      <c r="J203" s="85">
        <f>IF(H203,An,'2018'!An_max)</f>
        <v>2019</v>
      </c>
      <c r="K203" s="199">
        <f t="shared" si="50"/>
        <v>43654</v>
      </c>
      <c r="L203" s="147">
        <f>IF(t&lt;Tvie,1-EXP((T0-t)*PertePVj)+'2018'!Pspv,1-EXP((T0-t)*PertePVj)+Pspv)</f>
        <v>7.904256278668309E-3</v>
      </c>
      <c r="M203" s="872"/>
      <c r="N203" s="872"/>
      <c r="O203" s="48">
        <f>IF(t&lt;Tnet,'2018'!Resal+('2018'!Salim-'2018'!Resal)*(1-EXP(('2018'!Tnet-t)/('2018'!Tau_j))),Resal+(Salim-Resal)*(1-EXP((Tnet-t)/(Tau_j))))*Salcycl</f>
        <v>6.994659873973802E-2</v>
      </c>
      <c r="P203" s="171">
        <f>(INDEX(Models!$BJ203:$BT203,,T203)*(1-R203)+INDEX(Models!$BJ203:$BT203,,T203+1)*R203-ERP_i)*Q203*Ramure*Pc/MaxiM</f>
        <v>5.5499162690427819E-5</v>
      </c>
      <c r="Q203" s="307">
        <f t="shared" si="51"/>
        <v>0.9</v>
      </c>
      <c r="R203" s="179">
        <f t="shared" si="52"/>
        <v>0.43146291858904506</v>
      </c>
      <c r="S203" s="839">
        <f t="shared" si="53"/>
        <v>-2</v>
      </c>
      <c r="T203" s="178">
        <f t="shared" si="54"/>
        <v>4</v>
      </c>
      <c r="U203" s="253">
        <f t="shared" si="55"/>
        <v>-1.5685370814109549</v>
      </c>
      <c r="V203" s="385">
        <f t="shared" si="56"/>
        <v>57.91713815322835</v>
      </c>
      <c r="W203" s="58"/>
      <c r="X203" s="157">
        <f t="shared" si="57"/>
        <v>43654</v>
      </c>
      <c r="Y203" s="387">
        <f t="shared" si="58"/>
        <v>32.03</v>
      </c>
      <c r="Z203" s="387">
        <f t="shared" si="59"/>
        <v>32.285190419077999</v>
      </c>
      <c r="AA203" s="388">
        <f t="shared" si="60"/>
        <v>34.713265254801705</v>
      </c>
      <c r="AB203" s="199">
        <f t="shared" si="61"/>
        <v>43654</v>
      </c>
      <c r="AC203" s="428">
        <f>IF(OR(t&lt;Tnet,NoTnet),'2018'!Resal_s+('2018'!Salim-'2018'!Resal_s)*(1-EXP(('2018'!Tnet_s-t)/'2018'!Tau_j)),Resal_s+(Salim-Resal_s)*(1-EXP((Tnet_s-t)/Tau_j)))*Salcycl</f>
        <v>6.994659873973802E-2</v>
      </c>
      <c r="AD203" s="233">
        <f>(INDEX(Models!$BJ203:$BT203,,AH203)*(1-AF203)+INDEX(Models!$BJ203:$BT203,,AH203+1)*AF203-ERP_i)*AE203*Ramure*Pc/MaxiM</f>
        <v>5.5499162690427819E-5</v>
      </c>
      <c r="AE203" s="307">
        <f t="shared" si="62"/>
        <v>0.9</v>
      </c>
      <c r="AF203" s="179">
        <f t="shared" si="63"/>
        <v>0.43146291858904506</v>
      </c>
      <c r="AG203" s="178">
        <f t="shared" si="64"/>
        <v>-2</v>
      </c>
      <c r="AH203" s="178">
        <f t="shared" si="65"/>
        <v>4</v>
      </c>
      <c r="AI203" s="227">
        <f t="shared" si="66"/>
        <v>-1.5685370814109549</v>
      </c>
      <c r="AJ203" s="267" t="b">
        <f t="shared" si="67"/>
        <v>0</v>
      </c>
      <c r="AK203" s="267" t="b">
        <f t="shared" si="68"/>
        <v>0</v>
      </c>
      <c r="AL203" s="267"/>
      <c r="AM203" s="267"/>
      <c r="AN203" s="75"/>
    </row>
    <row r="204" spans="1:40" s="6" customFormat="1" ht="11.25" customHeight="1" x14ac:dyDescent="0.2">
      <c r="A204" s="56">
        <f t="shared" si="72"/>
        <v>43655</v>
      </c>
      <c r="B204" s="620">
        <v>23.619</v>
      </c>
      <c r="C204" s="392"/>
      <c r="D204" s="395">
        <f t="shared" si="48"/>
        <v>23.807732077178454</v>
      </c>
      <c r="E204" s="387">
        <f t="shared" si="73"/>
        <v>25.603281676322126</v>
      </c>
      <c r="F204" s="387">
        <f t="shared" si="49"/>
        <v>25.603512114859328</v>
      </c>
      <c r="G204" s="110">
        <f t="shared" si="74"/>
        <v>0.40855277450856448</v>
      </c>
      <c r="H204" s="416" t="b">
        <f>Wh_hp&gt;='2018'!Maxi_hp</f>
        <v>1</v>
      </c>
      <c r="I204" s="392">
        <f>IF(H204,Wh_hp,'2018'!Maxi_hp)</f>
        <v>25.603512114859328</v>
      </c>
      <c r="J204" s="85">
        <f>IF(H204,An,'2018'!An_max)</f>
        <v>2019</v>
      </c>
      <c r="K204" s="199">
        <f t="shared" si="50"/>
        <v>43655</v>
      </c>
      <c r="L204" s="147">
        <f>IF(t&lt;Tvie,1-EXP((T0-t)*PertePVj)+'2018'!Pspv,1-EXP((T0-t)*PertePVj)+Pspv)</f>
        <v>7.9273437959832549E-3</v>
      </c>
      <c r="M204" s="872"/>
      <c r="N204" s="872"/>
      <c r="O204" s="48">
        <f>IF(t&lt;Tnet,'2018'!Resal+('2018'!Salim-'2018'!Resal)*(1-EXP(('2018'!Tnet-t)/('2018'!Tau_j))),Resal+(Salim-Resal)*(1-EXP((Tnet-t)/(Tau_j))))*Salcycl</f>
        <v>7.0129666260876009E-2</v>
      </c>
      <c r="P204" s="171">
        <f>(INDEX(Models!$BJ204:$BT204,,T204)*(1-R204)+INDEX(Models!$BJ204:$BT204,,T204+1)*R204-ERP_i)*Q204*Ramure*Pc/MaxiM</f>
        <v>5.8027324329793794E-5</v>
      </c>
      <c r="Q204" s="307">
        <f t="shared" si="51"/>
        <v>0.9</v>
      </c>
      <c r="R204" s="179">
        <f t="shared" si="52"/>
        <v>0.43666826296467809</v>
      </c>
      <c r="S204" s="839">
        <f t="shared" si="53"/>
        <v>-2</v>
      </c>
      <c r="T204" s="178">
        <f t="shared" si="54"/>
        <v>4</v>
      </c>
      <c r="U204" s="253">
        <f t="shared" si="55"/>
        <v>-1.5633317370353219</v>
      </c>
      <c r="V204" s="385">
        <f t="shared" si="56"/>
        <v>57.808546394048747</v>
      </c>
      <c r="W204" s="58"/>
      <c r="X204" s="157">
        <f t="shared" si="57"/>
        <v>43655</v>
      </c>
      <c r="Y204" s="387">
        <f t="shared" si="58"/>
        <v>23.619</v>
      </c>
      <c r="Z204" s="387">
        <f t="shared" si="59"/>
        <v>23.807732077178454</v>
      </c>
      <c r="AA204" s="388">
        <f t="shared" si="60"/>
        <v>25.603281676322126</v>
      </c>
      <c r="AB204" s="199">
        <f t="shared" si="61"/>
        <v>43655</v>
      </c>
      <c r="AC204" s="428">
        <f>IF(OR(t&lt;Tnet,NoTnet),'2018'!Resal_s+('2018'!Salim-'2018'!Resal_s)*(1-EXP(('2018'!Tnet_s-t)/'2018'!Tau_j)),Resal_s+(Salim-Resal_s)*(1-EXP((Tnet_s-t)/Tau_j)))*Salcycl</f>
        <v>7.0129666260876009E-2</v>
      </c>
      <c r="AD204" s="233">
        <f>(INDEX(Models!$BJ204:$BT204,,AH204)*(1-AF204)+INDEX(Models!$BJ204:$BT204,,AH204+1)*AF204-ERP_i)*AE204*Ramure*Pc/MaxiM</f>
        <v>5.8027324329793794E-5</v>
      </c>
      <c r="AE204" s="307">
        <f t="shared" si="62"/>
        <v>0.9</v>
      </c>
      <c r="AF204" s="179">
        <f t="shared" si="63"/>
        <v>0.43666826296467809</v>
      </c>
      <c r="AG204" s="178">
        <f t="shared" si="64"/>
        <v>-2</v>
      </c>
      <c r="AH204" s="178">
        <f t="shared" si="65"/>
        <v>4</v>
      </c>
      <c r="AI204" s="227">
        <f t="shared" si="66"/>
        <v>-1.5633317370353219</v>
      </c>
      <c r="AJ204" s="267" t="b">
        <f t="shared" si="67"/>
        <v>0</v>
      </c>
      <c r="AK204" s="267" t="b">
        <f t="shared" si="68"/>
        <v>0</v>
      </c>
      <c r="AL204" s="267"/>
      <c r="AM204" s="267"/>
      <c r="AN204" s="75"/>
    </row>
    <row r="205" spans="1:40" s="6" customFormat="1" ht="11.25" customHeight="1" x14ac:dyDescent="0.2">
      <c r="A205" s="56">
        <f t="shared" si="72"/>
        <v>43656</v>
      </c>
      <c r="B205" s="620">
        <v>58.07</v>
      </c>
      <c r="C205" s="392"/>
      <c r="D205" s="395">
        <f t="shared" si="48"/>
        <v>58.535381498552042</v>
      </c>
      <c r="E205" s="387">
        <f t="shared" si="73"/>
        <v>62.962357545583203</v>
      </c>
      <c r="F205" s="387">
        <f t="shared" si="49"/>
        <v>62.966191858436069</v>
      </c>
      <c r="G205" s="110">
        <f t="shared" si="74"/>
        <v>1.0064859322476076</v>
      </c>
      <c r="H205" s="416" t="b">
        <f>Wh_hp&gt;='2018'!Maxi_hp</f>
        <v>1</v>
      </c>
      <c r="I205" s="392">
        <f>IF(H205,Wh_hp,'2018'!Maxi_hp)</f>
        <v>62.966191858436069</v>
      </c>
      <c r="J205" s="85">
        <f>IF(H205,An,'2018'!An_max)</f>
        <v>2019</v>
      </c>
      <c r="K205" s="199">
        <f t="shared" si="50"/>
        <v>43656</v>
      </c>
      <c r="L205" s="147">
        <f>IF(t&lt;Tvie,1-EXP((T0-t)*PertePVj)+'2018'!Pspv,1-EXP((T0-t)*PertePVj)+Pspv)</f>
        <v>7.9504307760179804E-3</v>
      </c>
      <c r="M205" s="872"/>
      <c r="N205" s="872"/>
      <c r="O205" s="48">
        <f>IF(t&lt;Tnet,'2018'!Resal+('2018'!Salim-'2018'!Resal)*(1-EXP(('2018'!Tnet-t)/('2018'!Tau_j))),Resal+(Salim-Resal)*(1-EXP((Tnet-t)/(Tau_j))))*Salcycl</f>
        <v>7.0311472117703638E-2</v>
      </c>
      <c r="P205" s="171">
        <f>(INDEX(Models!$BJ205:$BT205,,T205)*(1-R205)+INDEX(Models!$BJ205:$BT205,,T205+1)*R205-ERP_i)*Q205*Ramure*Pc/MaxiM</f>
        <v>6.0894787181763814E-5</v>
      </c>
      <c r="Q205" s="307">
        <f t="shared" si="51"/>
        <v>0.9</v>
      </c>
      <c r="R205" s="179">
        <f t="shared" si="52"/>
        <v>0.44176060567163811</v>
      </c>
      <c r="S205" s="839">
        <f t="shared" si="53"/>
        <v>-2</v>
      </c>
      <c r="T205" s="178">
        <f t="shared" si="54"/>
        <v>4</v>
      </c>
      <c r="U205" s="253">
        <f t="shared" si="55"/>
        <v>-1.5582393943283619</v>
      </c>
      <c r="V205" s="385">
        <f t="shared" si="56"/>
        <v>57.695789021434713</v>
      </c>
      <c r="W205" s="58"/>
      <c r="X205" s="157">
        <f t="shared" si="57"/>
        <v>43656</v>
      </c>
      <c r="Y205" s="387">
        <f t="shared" si="58"/>
        <v>58.07</v>
      </c>
      <c r="Z205" s="387">
        <f t="shared" si="59"/>
        <v>58.535381498552042</v>
      </c>
      <c r="AA205" s="388">
        <f t="shared" si="60"/>
        <v>62.962357545583203</v>
      </c>
      <c r="AB205" s="199">
        <f t="shared" si="61"/>
        <v>43656</v>
      </c>
      <c r="AC205" s="428">
        <f>IF(OR(t&lt;Tnet,NoTnet),'2018'!Resal_s+('2018'!Salim-'2018'!Resal_s)*(1-EXP(('2018'!Tnet_s-t)/'2018'!Tau_j)),Resal_s+(Salim-Resal_s)*(1-EXP((Tnet_s-t)/Tau_j)))*Salcycl</f>
        <v>7.0311472117703638E-2</v>
      </c>
      <c r="AD205" s="233">
        <f>(INDEX(Models!$BJ205:$BT205,,AH205)*(1-AF205)+INDEX(Models!$BJ205:$BT205,,AH205+1)*AF205-ERP_i)*AE205*Ramure*Pc/MaxiM</f>
        <v>6.0894787181763814E-5</v>
      </c>
      <c r="AE205" s="307">
        <f t="shared" si="62"/>
        <v>0.9</v>
      </c>
      <c r="AF205" s="179">
        <f t="shared" si="63"/>
        <v>0.44176060567163811</v>
      </c>
      <c r="AG205" s="178">
        <f t="shared" si="64"/>
        <v>-2</v>
      </c>
      <c r="AH205" s="178">
        <f t="shared" si="65"/>
        <v>4</v>
      </c>
      <c r="AI205" s="227">
        <f t="shared" si="66"/>
        <v>-1.5582393943283619</v>
      </c>
      <c r="AJ205" s="267" t="b">
        <f t="shared" si="67"/>
        <v>0</v>
      </c>
      <c r="AK205" s="267" t="b">
        <f t="shared" si="68"/>
        <v>0</v>
      </c>
      <c r="AL205" s="267"/>
      <c r="AM205" s="267"/>
      <c r="AN205" s="75"/>
    </row>
    <row r="206" spans="1:40" s="6" customFormat="1" ht="11.25" customHeight="1" x14ac:dyDescent="0.2">
      <c r="A206" s="56">
        <f t="shared" si="72"/>
        <v>43657</v>
      </c>
      <c r="B206" s="620">
        <v>57.658000000000001</v>
      </c>
      <c r="C206" s="392"/>
      <c r="D206" s="395">
        <f t="shared" si="48"/>
        <v>58.121432240752085</v>
      </c>
      <c r="E206" s="387">
        <f t="shared" si="73"/>
        <v>62.529247514753472</v>
      </c>
      <c r="F206" s="387">
        <f t="shared" si="49"/>
        <v>62.533277298191116</v>
      </c>
      <c r="G206" s="110">
        <f t="shared" si="74"/>
        <v>1.0013723049562826</v>
      </c>
      <c r="H206" s="416" t="b">
        <f>Wh_hp&gt;='2018'!Maxi_hp</f>
        <v>1</v>
      </c>
      <c r="I206" s="392">
        <f>IF(H206,Wh_hp,'2018'!Maxi_hp)</f>
        <v>62.533277298191116</v>
      </c>
      <c r="J206" s="85">
        <f>IF(H206,An,'2018'!An_max)</f>
        <v>2019</v>
      </c>
      <c r="K206" s="199">
        <f t="shared" si="50"/>
        <v>43657</v>
      </c>
      <c r="L206" s="147">
        <f>IF(t&lt;Tvie,1-EXP((T0-t)*PertePVj)+'2018'!Pspv,1-EXP((T0-t)*PertePVj)+Pspv)</f>
        <v>7.9735172187850312E-3</v>
      </c>
      <c r="M206" s="872"/>
      <c r="N206" s="872"/>
      <c r="O206" s="48">
        <f>IF(t&lt;Tnet,'2018'!Resal+('2018'!Salim-'2018'!Resal)*(1-EXP(('2018'!Tnet-t)/('2018'!Tau_j))),Resal+(Salim-Resal)*(1-EXP((Tnet-t)/(Tau_j))))*Salcycl</f>
        <v>7.0492056904433123E-2</v>
      </c>
      <c r="P206" s="171">
        <f>(INDEX(Models!$BJ206:$BT206,,T206)*(1-R206)+INDEX(Models!$BJ206:$BT206,,T206+1)*R206-ERP_i)*Q206*Ramure*Pc/MaxiM</f>
        <v>6.4442223592892482E-5</v>
      </c>
      <c r="Q206" s="307">
        <f t="shared" si="51"/>
        <v>0.9</v>
      </c>
      <c r="R206" s="179">
        <f t="shared" si="52"/>
        <v>0.44673942715334825</v>
      </c>
      <c r="S206" s="839">
        <f t="shared" si="53"/>
        <v>-2</v>
      </c>
      <c r="T206" s="178">
        <f t="shared" si="54"/>
        <v>4</v>
      </c>
      <c r="U206" s="253">
        <f t="shared" si="55"/>
        <v>-1.5532605728466518</v>
      </c>
      <c r="V206" s="385">
        <f t="shared" si="56"/>
        <v>57.578984074776457</v>
      </c>
      <c r="W206" s="58"/>
      <c r="X206" s="157">
        <f t="shared" si="57"/>
        <v>43657</v>
      </c>
      <c r="Y206" s="387">
        <f t="shared" si="58"/>
        <v>57.658000000000001</v>
      </c>
      <c r="Z206" s="387">
        <f t="shared" si="59"/>
        <v>58.121432240752085</v>
      </c>
      <c r="AA206" s="388">
        <f t="shared" si="60"/>
        <v>62.529247514753472</v>
      </c>
      <c r="AB206" s="199">
        <f t="shared" si="61"/>
        <v>43657</v>
      </c>
      <c r="AC206" s="428">
        <f>IF(OR(t&lt;Tnet,NoTnet),'2018'!Resal_s+('2018'!Salim-'2018'!Resal_s)*(1-EXP(('2018'!Tnet_s-t)/'2018'!Tau_j)),Resal_s+(Salim-Resal_s)*(1-EXP((Tnet_s-t)/Tau_j)))*Salcycl</f>
        <v>7.0492056904433123E-2</v>
      </c>
      <c r="AD206" s="233">
        <f>(INDEX(Models!$BJ206:$BT206,,AH206)*(1-AF206)+INDEX(Models!$BJ206:$BT206,,AH206+1)*AF206-ERP_i)*AE206*Ramure*Pc/MaxiM</f>
        <v>6.4442223592892482E-5</v>
      </c>
      <c r="AE206" s="307">
        <f t="shared" si="62"/>
        <v>0.9</v>
      </c>
      <c r="AF206" s="179">
        <f t="shared" si="63"/>
        <v>0.44673942715334825</v>
      </c>
      <c r="AG206" s="178">
        <f t="shared" si="64"/>
        <v>-2</v>
      </c>
      <c r="AH206" s="178">
        <f t="shared" si="65"/>
        <v>4</v>
      </c>
      <c r="AI206" s="227">
        <f t="shared" si="66"/>
        <v>-1.5532605728466518</v>
      </c>
      <c r="AJ206" s="267" t="b">
        <f t="shared" si="67"/>
        <v>0</v>
      </c>
      <c r="AK206" s="267" t="b">
        <f t="shared" si="68"/>
        <v>0</v>
      </c>
      <c r="AL206" s="267"/>
      <c r="AM206" s="267"/>
      <c r="AN206" s="75"/>
    </row>
    <row r="207" spans="1:40" s="6" customFormat="1" ht="11.25" customHeight="1" x14ac:dyDescent="0.2">
      <c r="A207" s="56">
        <f t="shared" si="72"/>
        <v>43658</v>
      </c>
      <c r="B207" s="620">
        <v>58.412999999999997</v>
      </c>
      <c r="C207" s="392"/>
      <c r="D207" s="395">
        <f t="shared" ref="D207:D270" si="75">Wh/(1-Ppv)</f>
        <v>58.883870946380512</v>
      </c>
      <c r="E207" s="387">
        <f t="shared" si="73"/>
        <v>63.361737596671468</v>
      </c>
      <c r="F207" s="387">
        <f t="shared" ref="F207:F270" si="76">Wh_sa/(1-Pvg*MEDIAN((-Sdif+Wh/Env_an)/Csdif,0,1))</f>
        <v>63.366086116985848</v>
      </c>
      <c r="G207" s="110">
        <f t="shared" si="74"/>
        <v>1.0166148118699865</v>
      </c>
      <c r="H207" s="416" t="b">
        <f>Wh_hp&gt;='2018'!Maxi_hp</f>
        <v>1</v>
      </c>
      <c r="I207" s="392">
        <f>IF(H207,Wh_hp,'2018'!Maxi_hp)</f>
        <v>63.366086116985848</v>
      </c>
      <c r="J207" s="85">
        <f>IF(H207,An,'2018'!An_max)</f>
        <v>2019</v>
      </c>
      <c r="K207" s="199">
        <f t="shared" ref="K207:K270" si="77">t</f>
        <v>43658</v>
      </c>
      <c r="L207" s="147">
        <f>IF(t&lt;Tvie,1-EXP((T0-t)*PertePVj)+'2018'!Pspv,1-EXP((T0-t)*PertePVj)+Pspv)</f>
        <v>7.9966031242967306E-3</v>
      </c>
      <c r="M207" s="872"/>
      <c r="N207" s="872"/>
      <c r="O207" s="48">
        <f>IF(t&lt;Tnet,'2018'!Resal+('2018'!Salim-'2018'!Resal)*(1-EXP(('2018'!Tnet-t)/('2018'!Tau_j))),Resal+(Salim-Resal)*(1-EXP((Tnet-t)/(Tau_j))))*Salcycl</f>
        <v>7.0671462307343474E-2</v>
      </c>
      <c r="P207" s="171">
        <f>(INDEX(Models!$BJ207:$BT207,,T207)*(1-R207)+INDEX(Models!$BJ207:$BT207,,T207+1)*R207-ERP_i)*Q207*Ramure*Pc/MaxiM</f>
        <v>6.8625357519342393E-5</v>
      </c>
      <c r="Q207" s="307">
        <f t="shared" ref="Q207:Q270" si="78">IF(OR(t&lt;Ttai,Notai),Dd+PousD*Croivg,Dens+PousD*(Croivg-Croi_tai))</f>
        <v>0.9</v>
      </c>
      <c r="R207" s="179">
        <f t="shared" ref="R207:R270" si="79">(Hp_vg-S207)/(INDEX(Echel_vg,T207+1)-S207)</f>
        <v>0.45160441811875374</v>
      </c>
      <c r="S207" s="839">
        <f t="shared" ref="S207:S270" si="80">INDEX(Echel_vg,T207)</f>
        <v>-2</v>
      </c>
      <c r="T207" s="178">
        <f t="shared" ref="T207:T270" si="81">MIN(MATCH(Hp_vg,Echel_vg),10)</f>
        <v>4</v>
      </c>
      <c r="U207" s="253">
        <f t="shared" ref="U207:U270" si="82">IF(OR(t&lt;Ttai,Notai),Hdd+PousH*Croivg,Hdtf+PousH*(Croivg-Croi_tai))</f>
        <v>-1.5483955818812463</v>
      </c>
      <c r="V207" s="385">
        <f t="shared" ref="V207:V270" si="83">MaxiM*(1-Ppv)*(1-Pvg)*(1-Psa)</f>
        <v>57.458340482521287</v>
      </c>
      <c r="W207" s="58"/>
      <c r="X207" s="157">
        <f t="shared" ref="X207:X270" si="84">t</f>
        <v>43658</v>
      </c>
      <c r="Y207" s="387">
        <f t="shared" ref="Y207:Y270" si="85">Wh_pvt_s*(1-Ppv)</f>
        <v>58.412999999999997</v>
      </c>
      <c r="Z207" s="387">
        <f t="shared" ref="Z207:Z270" si="86">Wh_sa_s*(1-Psa_s)</f>
        <v>58.883870946380512</v>
      </c>
      <c r="AA207" s="388">
        <f t="shared" ref="AA207:AA270" si="87">Wh_hp*(1-Pvg_s*MEDIAN((-Sdif+Wh/Env_an)/Csdif,0,1))</f>
        <v>63.361737596671468</v>
      </c>
      <c r="AB207" s="199">
        <f t="shared" ref="AB207:AB270" si="88">t</f>
        <v>43658</v>
      </c>
      <c r="AC207" s="428">
        <f>IF(OR(t&lt;Tnet,NoTnet),'2018'!Resal_s+('2018'!Salim-'2018'!Resal_s)*(1-EXP(('2018'!Tnet_s-t)/'2018'!Tau_j)),Resal_s+(Salim-Resal_s)*(1-EXP((Tnet_s-t)/Tau_j)))*Salcycl</f>
        <v>7.0671462307343474E-2</v>
      </c>
      <c r="AD207" s="233">
        <f>(INDEX(Models!$BJ207:$BT207,,AH207)*(1-AF207)+INDEX(Models!$BJ207:$BT207,,AH207+1)*AF207-ERP_i)*AE207*Ramure*Pc/MaxiM</f>
        <v>6.8625357519342393E-5</v>
      </c>
      <c r="AE207" s="307">
        <f t="shared" ref="AE207:AE270" si="89">IF(OR(t&lt;Ttai,Notai),Dd_s+PousD*Croivg,Dens_s+PousD*(Croivg-Croi_tai))</f>
        <v>0.9</v>
      </c>
      <c r="AF207" s="179">
        <f t="shared" ref="AF207:AF270" si="90">(Hp_vg_s-AG207)/(INDEX(Echel_vg,AH207+1)-AG207)</f>
        <v>0.45160441811875374</v>
      </c>
      <c r="AG207" s="178">
        <f t="shared" ref="AG207:AG270" si="91">INDEX(Echel_vg,AH207)</f>
        <v>-2</v>
      </c>
      <c r="AH207" s="178">
        <f t="shared" ref="AH207:AH270" si="92">MIN(MATCH(Hp_vg_s,Echel_vg),10)</f>
        <v>4</v>
      </c>
      <c r="AI207" s="227">
        <f t="shared" ref="AI207:AI270" si="93">IF(OR(t&lt;Ttai,Notai),Hdd_s+PousH*Croivg,Hdtai_s+PousH*(Croivg-Croi_tai))</f>
        <v>-1.5483955818812463</v>
      </c>
      <c r="AJ207" s="267" t="b">
        <f t="shared" ref="AJ207:AJ270" si="94">t&lt;Tnet</f>
        <v>0</v>
      </c>
      <c r="AK207" s="267" t="b">
        <f t="shared" ref="AK207:AK270" si="95">t&lt;Ttai</f>
        <v>0</v>
      </c>
      <c r="AL207" s="267"/>
      <c r="AM207" s="267"/>
      <c r="AN207" s="75"/>
    </row>
    <row r="208" spans="1:40" s="6" customFormat="1" ht="11.25" customHeight="1" x14ac:dyDescent="0.2">
      <c r="A208" s="56">
        <f t="shared" ref="A208:A271" si="96">A207+1</f>
        <v>43659</v>
      </c>
      <c r="B208" s="620">
        <v>50.381999999999998</v>
      </c>
      <c r="C208" s="392"/>
      <c r="D208" s="395">
        <f t="shared" si="75"/>
        <v>50.789314480887676</v>
      </c>
      <c r="E208" s="387">
        <f t="shared" si="73"/>
        <v>54.662110280329223</v>
      </c>
      <c r="F208" s="387">
        <f t="shared" si="76"/>
        <v>54.665430222779129</v>
      </c>
      <c r="G208" s="110">
        <f t="shared" si="74"/>
        <v>0.87873343777565183</v>
      </c>
      <c r="H208" s="416" t="b">
        <f>Wh_hp&gt;='2018'!Maxi_hp</f>
        <v>1</v>
      </c>
      <c r="I208" s="392">
        <f>IF(H208,Wh_hp,'2018'!Maxi_hp)</f>
        <v>54.665430222779129</v>
      </c>
      <c r="J208" s="85">
        <f>IF(H208,An,'2018'!An_max)</f>
        <v>2019</v>
      </c>
      <c r="K208" s="199">
        <f t="shared" si="77"/>
        <v>43659</v>
      </c>
      <c r="L208" s="147">
        <f>IF(t&lt;Tvie,1-EXP((T0-t)*PertePVj)+'2018'!Pspv,1-EXP((T0-t)*PertePVj)+Pspv)</f>
        <v>8.0196884925657352E-3</v>
      </c>
      <c r="M208" s="872"/>
      <c r="N208" s="872"/>
      <c r="O208" s="48">
        <f>IF(t&lt;Tnet,'2018'!Resal+('2018'!Salim-'2018'!Resal)*(1-EXP(('2018'!Tnet-t)/('2018'!Tau_j))),Resal+(Salim-Resal)*(1-EXP((Tnet-t)/(Tau_j))))*Salcycl</f>
        <v>7.0849730820495171E-2</v>
      </c>
      <c r="P208" s="171">
        <f>(INDEX(Models!$BJ208:$BT208,,T208)*(1-R208)+INDEX(Models!$BJ208:$BT208,,T208+1)*R208-ERP_i)*Q208*Ramure*Pc/MaxiM</f>
        <v>7.345626773073947E-5</v>
      </c>
      <c r="Q208" s="307">
        <f t="shared" si="78"/>
        <v>0.9</v>
      </c>
      <c r="R208" s="179">
        <f t="shared" si="79"/>
        <v>0.45635547102303731</v>
      </c>
      <c r="S208" s="839">
        <f t="shared" si="80"/>
        <v>-2</v>
      </c>
      <c r="T208" s="178">
        <f t="shared" si="81"/>
        <v>4</v>
      </c>
      <c r="U208" s="253">
        <f t="shared" si="82"/>
        <v>-1.5436445289769627</v>
      </c>
      <c r="V208" s="385">
        <f t="shared" si="83"/>
        <v>57.334063690530456</v>
      </c>
      <c r="W208" s="58"/>
      <c r="X208" s="157">
        <f t="shared" si="84"/>
        <v>43659</v>
      </c>
      <c r="Y208" s="387">
        <f t="shared" si="85"/>
        <v>50.381999999999998</v>
      </c>
      <c r="Z208" s="387">
        <f t="shared" si="86"/>
        <v>50.789314480887676</v>
      </c>
      <c r="AA208" s="388">
        <f t="shared" si="87"/>
        <v>54.662110280329223</v>
      </c>
      <c r="AB208" s="199">
        <f t="shared" si="88"/>
        <v>43659</v>
      </c>
      <c r="AC208" s="428">
        <f>IF(OR(t&lt;Tnet,NoTnet),'2018'!Resal_s+('2018'!Salim-'2018'!Resal_s)*(1-EXP(('2018'!Tnet_s-t)/'2018'!Tau_j)),Resal_s+(Salim-Resal_s)*(1-EXP((Tnet_s-t)/Tau_j)))*Salcycl</f>
        <v>7.0849730820495171E-2</v>
      </c>
      <c r="AD208" s="233">
        <f>(INDEX(Models!$BJ208:$BT208,,AH208)*(1-AF208)+INDEX(Models!$BJ208:$BT208,,AH208+1)*AF208-ERP_i)*AE208*Ramure*Pc/MaxiM</f>
        <v>7.345626773073947E-5</v>
      </c>
      <c r="AE208" s="307">
        <f t="shared" si="89"/>
        <v>0.9</v>
      </c>
      <c r="AF208" s="179">
        <f t="shared" si="90"/>
        <v>0.45635547102303731</v>
      </c>
      <c r="AG208" s="178">
        <f t="shared" si="91"/>
        <v>-2</v>
      </c>
      <c r="AH208" s="178">
        <f t="shared" si="92"/>
        <v>4</v>
      </c>
      <c r="AI208" s="227">
        <f t="shared" si="93"/>
        <v>-1.5436445289769627</v>
      </c>
      <c r="AJ208" s="267" t="b">
        <f t="shared" si="94"/>
        <v>0</v>
      </c>
      <c r="AK208" s="267" t="b">
        <f t="shared" si="95"/>
        <v>0</v>
      </c>
      <c r="AL208" s="267"/>
      <c r="AM208" s="267"/>
      <c r="AN208" s="75"/>
    </row>
    <row r="209" spans="1:40" s="6" customFormat="1" ht="11.25" customHeight="1" x14ac:dyDescent="0.2">
      <c r="A209" s="56">
        <f t="shared" si="96"/>
        <v>43660</v>
      </c>
      <c r="B209" s="620">
        <v>57.393999999999998</v>
      </c>
      <c r="C209" s="392"/>
      <c r="D209" s="395">
        <f t="shared" si="75"/>
        <v>57.859349633755471</v>
      </c>
      <c r="E209" s="387">
        <f t="shared" si="73"/>
        <v>62.283127438335775</v>
      </c>
      <c r="F209" s="387">
        <f t="shared" si="76"/>
        <v>62.288044884961785</v>
      </c>
      <c r="G209" s="110">
        <f t="shared" si="74"/>
        <v>1.0032800731718257</v>
      </c>
      <c r="H209" s="416" t="b">
        <f>Wh_hp&gt;='2018'!Maxi_hp</f>
        <v>1</v>
      </c>
      <c r="I209" s="392">
        <f>IF(H209,Wh_hp,'2018'!Maxi_hp)</f>
        <v>62.288044884961785</v>
      </c>
      <c r="J209" s="85">
        <f>IF(H209,An,'2018'!An_max)</f>
        <v>2019</v>
      </c>
      <c r="K209" s="199">
        <f t="shared" si="77"/>
        <v>43660</v>
      </c>
      <c r="L209" s="147">
        <f>IF(t&lt;Tvie,1-EXP((T0-t)*PertePVj)+'2018'!Pspv,1-EXP((T0-t)*PertePVj)+Pspv)</f>
        <v>8.0427733236044796E-3</v>
      </c>
      <c r="M209" s="872"/>
      <c r="N209" s="872"/>
      <c r="O209" s="48">
        <f>IF(t&lt;Tnet,'2018'!Resal+('2018'!Salim-'2018'!Resal)*(1-EXP(('2018'!Tnet-t)/('2018'!Tau_j))),Resal+(Salim-Resal)*(1-EXP((Tnet-t)/(Tau_j))))*Salcycl</f>
        <v>7.1026905464246684E-2</v>
      </c>
      <c r="P209" s="171">
        <f>(INDEX(Models!$BJ209:$BT209,,T209)*(1-R209)+INDEX(Models!$BJ209:$BT209,,T209+1)*R209-ERP_i)*Q209*Ramure*Pc/MaxiM</f>
        <v>7.8946877127001184E-5</v>
      </c>
      <c r="Q209" s="307">
        <f t="shared" si="78"/>
        <v>0.9</v>
      </c>
      <c r="R209" s="179">
        <f t="shared" si="79"/>
        <v>0.4609926711404233</v>
      </c>
      <c r="S209" s="839">
        <f t="shared" si="80"/>
        <v>-2</v>
      </c>
      <c r="T209" s="178">
        <f t="shared" si="81"/>
        <v>4</v>
      </c>
      <c r="U209" s="253">
        <f t="shared" si="82"/>
        <v>-1.5390073288595767</v>
      </c>
      <c r="V209" s="385">
        <f t="shared" si="83"/>
        <v>57.206358956728209</v>
      </c>
      <c r="W209" s="58"/>
      <c r="X209" s="157">
        <f t="shared" si="84"/>
        <v>43660</v>
      </c>
      <c r="Y209" s="387">
        <f t="shared" si="85"/>
        <v>57.393999999999998</v>
      </c>
      <c r="Z209" s="387">
        <f t="shared" si="86"/>
        <v>57.859349633755471</v>
      </c>
      <c r="AA209" s="388">
        <f t="shared" si="87"/>
        <v>62.283127438335775</v>
      </c>
      <c r="AB209" s="199">
        <f t="shared" si="88"/>
        <v>43660</v>
      </c>
      <c r="AC209" s="428">
        <f>IF(OR(t&lt;Tnet,NoTnet),'2018'!Resal_s+('2018'!Salim-'2018'!Resal_s)*(1-EXP(('2018'!Tnet_s-t)/'2018'!Tau_j)),Resal_s+(Salim-Resal_s)*(1-EXP((Tnet_s-t)/Tau_j)))*Salcycl</f>
        <v>7.1026905464246684E-2</v>
      </c>
      <c r="AD209" s="233">
        <f>(INDEX(Models!$BJ209:$BT209,,AH209)*(1-AF209)+INDEX(Models!$BJ209:$BT209,,AH209+1)*AF209-ERP_i)*AE209*Ramure*Pc/MaxiM</f>
        <v>7.8946877127001184E-5</v>
      </c>
      <c r="AE209" s="307">
        <f t="shared" si="89"/>
        <v>0.9</v>
      </c>
      <c r="AF209" s="179">
        <f t="shared" si="90"/>
        <v>0.4609926711404233</v>
      </c>
      <c r="AG209" s="178">
        <f t="shared" si="91"/>
        <v>-2</v>
      </c>
      <c r="AH209" s="178">
        <f t="shared" si="92"/>
        <v>4</v>
      </c>
      <c r="AI209" s="227">
        <f t="shared" si="93"/>
        <v>-1.5390073288595767</v>
      </c>
      <c r="AJ209" s="267" t="b">
        <f t="shared" si="94"/>
        <v>0</v>
      </c>
      <c r="AK209" s="267" t="b">
        <f t="shared" si="95"/>
        <v>0</v>
      </c>
      <c r="AL209" s="267"/>
      <c r="AM209" s="267"/>
      <c r="AN209" s="75"/>
    </row>
    <row r="210" spans="1:40" s="6" customFormat="1" ht="11.25" x14ac:dyDescent="0.2">
      <c r="A210" s="56">
        <f t="shared" si="96"/>
        <v>43661</v>
      </c>
      <c r="B210" s="620">
        <v>58.887</v>
      </c>
      <c r="C210" s="392"/>
      <c r="D210" s="395">
        <f t="shared" si="75"/>
        <v>59.365836383609576</v>
      </c>
      <c r="E210" s="387">
        <f t="shared" si="73"/>
        <v>63.916914320039979</v>
      </c>
      <c r="F210" s="387">
        <f t="shared" si="76"/>
        <v>63.922354684310292</v>
      </c>
      <c r="G210" s="110">
        <f t="shared" si="74"/>
        <v>1.0317399026777727</v>
      </c>
      <c r="H210" s="416" t="b">
        <f>Wh_hp&gt;='2018'!Maxi_hp</f>
        <v>1</v>
      </c>
      <c r="I210" s="392">
        <f>IF(H210,Wh_hp,'2018'!Maxi_hp)</f>
        <v>63.922354684310292</v>
      </c>
      <c r="J210" s="85">
        <f>IF(H210,An,'2018'!An_max)</f>
        <v>2019</v>
      </c>
      <c r="K210" s="199">
        <f t="shared" si="77"/>
        <v>43661</v>
      </c>
      <c r="L210" s="147">
        <f>IF(t&lt;Tvie,1-EXP((T0-t)*PertePVj)+'2018'!Pspv,1-EXP((T0-t)*PertePVj)+Pspv)</f>
        <v>8.0658576174255092E-3</v>
      </c>
      <c r="M210" s="872"/>
      <c r="N210" s="872"/>
      <c r="O210" s="48">
        <f>IF(t&lt;Tnet,'2018'!Resal+('2018'!Salim-'2018'!Resal)*(1-EXP(('2018'!Tnet-t)/('2018'!Tau_j))),Resal+(Salim-Resal)*(1-EXP((Tnet-t)/(Tau_j))))*Salcycl</f>
        <v>7.1203029508630375E-2</v>
      </c>
      <c r="P210" s="171">
        <f>(INDEX(Models!$BJ210:$BT210,,T210)*(1-R210)+INDEX(Models!$BJ210:$BT210,,T210+1)*R210-ERP_i)*Q210*Ramure*Pc/MaxiM</f>
        <v>8.5108946583405042E-5</v>
      </c>
      <c r="Q210" s="307">
        <f t="shared" si="78"/>
        <v>0.9</v>
      </c>
      <c r="R210" s="179">
        <f t="shared" si="79"/>
        <v>0.46551628730763683</v>
      </c>
      <c r="S210" s="839">
        <f t="shared" si="80"/>
        <v>-2</v>
      </c>
      <c r="T210" s="178">
        <f t="shared" si="81"/>
        <v>4</v>
      </c>
      <c r="U210" s="253">
        <f t="shared" si="82"/>
        <v>-1.5344837126923632</v>
      </c>
      <c r="V210" s="385">
        <f t="shared" si="83"/>
        <v>57.075431363238913</v>
      </c>
      <c r="W210" s="58"/>
      <c r="X210" s="157">
        <f t="shared" si="84"/>
        <v>43661</v>
      </c>
      <c r="Y210" s="387">
        <f t="shared" si="85"/>
        <v>58.887</v>
      </c>
      <c r="Z210" s="387">
        <f t="shared" si="86"/>
        <v>59.365836383609576</v>
      </c>
      <c r="AA210" s="388">
        <f t="shared" si="87"/>
        <v>63.916914320039979</v>
      </c>
      <c r="AB210" s="199">
        <f t="shared" si="88"/>
        <v>43661</v>
      </c>
      <c r="AC210" s="428">
        <f>IF(OR(t&lt;Tnet,NoTnet),'2018'!Resal_s+('2018'!Salim-'2018'!Resal_s)*(1-EXP(('2018'!Tnet_s-t)/'2018'!Tau_j)),Resal_s+(Salim-Resal_s)*(1-EXP((Tnet_s-t)/Tau_j)))*Salcycl</f>
        <v>7.1203029508630375E-2</v>
      </c>
      <c r="AD210" s="233">
        <f>(INDEX(Models!$BJ210:$BT210,,AH210)*(1-AF210)+INDEX(Models!$BJ210:$BT210,,AH210+1)*AF210-ERP_i)*AE210*Ramure*Pc/MaxiM</f>
        <v>8.5108946583405042E-5</v>
      </c>
      <c r="AE210" s="307">
        <f t="shared" si="89"/>
        <v>0.9</v>
      </c>
      <c r="AF210" s="179">
        <f t="shared" si="90"/>
        <v>0.46551628730763683</v>
      </c>
      <c r="AG210" s="178">
        <f t="shared" si="91"/>
        <v>-2</v>
      </c>
      <c r="AH210" s="178">
        <f t="shared" si="92"/>
        <v>4</v>
      </c>
      <c r="AI210" s="227">
        <f t="shared" si="93"/>
        <v>-1.5344837126923632</v>
      </c>
      <c r="AJ210" s="267" t="b">
        <f t="shared" si="94"/>
        <v>0</v>
      </c>
      <c r="AK210" s="267" t="b">
        <f t="shared" si="95"/>
        <v>0</v>
      </c>
      <c r="AL210" s="267"/>
      <c r="AM210" s="267"/>
      <c r="AN210" s="75"/>
    </row>
    <row r="211" spans="1:40" s="6" customFormat="1" ht="11.25" x14ac:dyDescent="0.2">
      <c r="A211" s="56">
        <f t="shared" si="96"/>
        <v>43662</v>
      </c>
      <c r="B211" s="620">
        <v>56.924999999999997</v>
      </c>
      <c r="C211" s="392"/>
      <c r="D211" s="395">
        <f t="shared" si="75"/>
        <v>57.389218020066387</v>
      </c>
      <c r="E211" s="387">
        <f t="shared" si="73"/>
        <v>61.800417237054717</v>
      </c>
      <c r="F211" s="387">
        <f t="shared" si="76"/>
        <v>61.80609820864801</v>
      </c>
      <c r="G211" s="110">
        <f t="shared" si="74"/>
        <v>0.9997104394601497</v>
      </c>
      <c r="H211" s="416" t="b">
        <f>Wh_hp&gt;='2018'!Maxi_hp</f>
        <v>1</v>
      </c>
      <c r="I211" s="392">
        <f>IF(H211,Wh_hp,'2018'!Maxi_hp)</f>
        <v>61.80609820864801</v>
      </c>
      <c r="J211" s="85">
        <f>IF(H211,An,'2018'!An_max)</f>
        <v>2019</v>
      </c>
      <c r="K211" s="199">
        <f t="shared" si="77"/>
        <v>43662</v>
      </c>
      <c r="L211" s="147">
        <f>IF(t&lt;Tvie,1-EXP((T0-t)*PertePVj)+'2018'!Pspv,1-EXP((T0-t)*PertePVj)+Pspv)</f>
        <v>8.0889413740412586E-3</v>
      </c>
      <c r="M211" s="872"/>
      <c r="N211" s="872"/>
      <c r="O211" s="48">
        <f>IF(t&lt;Tnet,'2018'!Resal+('2018'!Salim-'2018'!Resal)*(1-EXP(('2018'!Tnet-t)/('2018'!Tau_j))),Resal+(Salim-Resal)*(1-EXP((Tnet-t)/(Tau_j))))*Salcycl</f>
        <v>7.1378146203573384E-2</v>
      </c>
      <c r="P211" s="171">
        <f>(INDEX(Models!$BJ211:$BT211,,T211)*(1-R211)+INDEX(Models!$BJ211:$BT211,,T211+1)*R211-ERP_i)*Q211*Ramure*Pc/MaxiM</f>
        <v>9.1954069266858682E-5</v>
      </c>
      <c r="Q211" s="307">
        <f t="shared" si="78"/>
        <v>0.9</v>
      </c>
      <c r="R211" s="179">
        <f t="shared" si="79"/>
        <v>0.46992676241351461</v>
      </c>
      <c r="S211" s="839">
        <f t="shared" si="80"/>
        <v>-2</v>
      </c>
      <c r="T211" s="178">
        <f t="shared" si="81"/>
        <v>4</v>
      </c>
      <c r="U211" s="253">
        <f t="shared" si="82"/>
        <v>-1.5300732375864854</v>
      </c>
      <c r="V211" s="385">
        <f t="shared" si="83"/>
        <v>56.941485842179354</v>
      </c>
      <c r="W211" s="58"/>
      <c r="X211" s="157">
        <f t="shared" si="84"/>
        <v>43662</v>
      </c>
      <c r="Y211" s="387">
        <f t="shared" si="85"/>
        <v>56.924999999999997</v>
      </c>
      <c r="Z211" s="387">
        <f t="shared" si="86"/>
        <v>57.389218020066387</v>
      </c>
      <c r="AA211" s="388">
        <f t="shared" si="87"/>
        <v>61.800417237054717</v>
      </c>
      <c r="AB211" s="199">
        <f t="shared" si="88"/>
        <v>43662</v>
      </c>
      <c r="AC211" s="428">
        <f>IF(OR(t&lt;Tnet,NoTnet),'2018'!Resal_s+('2018'!Salim-'2018'!Resal_s)*(1-EXP(('2018'!Tnet_s-t)/'2018'!Tau_j)),Resal_s+(Salim-Resal_s)*(1-EXP((Tnet_s-t)/Tau_j)))*Salcycl</f>
        <v>7.1378146203573384E-2</v>
      </c>
      <c r="AD211" s="233">
        <f>(INDEX(Models!$BJ211:$BT211,,AH211)*(1-AF211)+INDEX(Models!$BJ211:$BT211,,AH211+1)*AF211-ERP_i)*AE211*Ramure*Pc/MaxiM</f>
        <v>9.1954069266858682E-5</v>
      </c>
      <c r="AE211" s="307">
        <f t="shared" si="89"/>
        <v>0.9</v>
      </c>
      <c r="AF211" s="179">
        <f t="shared" si="90"/>
        <v>0.46992676241351461</v>
      </c>
      <c r="AG211" s="178">
        <f t="shared" si="91"/>
        <v>-2</v>
      </c>
      <c r="AH211" s="178">
        <f t="shared" si="92"/>
        <v>4</v>
      </c>
      <c r="AI211" s="227">
        <f t="shared" si="93"/>
        <v>-1.5300732375864854</v>
      </c>
      <c r="AJ211" s="267" t="b">
        <f t="shared" si="94"/>
        <v>0</v>
      </c>
      <c r="AK211" s="267" t="b">
        <f t="shared" si="95"/>
        <v>0</v>
      </c>
      <c r="AL211" s="267"/>
      <c r="AM211" s="267"/>
      <c r="AN211" s="75"/>
    </row>
    <row r="212" spans="1:40" s="6" customFormat="1" ht="11.25" x14ac:dyDescent="0.2">
      <c r="A212" s="56">
        <f t="shared" si="96"/>
        <v>43663</v>
      </c>
      <c r="B212" s="620">
        <v>49.921999999999997</v>
      </c>
      <c r="C212" s="392"/>
      <c r="D212" s="395">
        <f t="shared" si="75"/>
        <v>50.330280472992868</v>
      </c>
      <c r="E212" s="387">
        <f t="shared" si="73"/>
        <v>54.209063572075536</v>
      </c>
      <c r="F212" s="387">
        <f t="shared" si="76"/>
        <v>54.213528714227458</v>
      </c>
      <c r="G212" s="110">
        <f t="shared" si="74"/>
        <v>0.87882025240229522</v>
      </c>
      <c r="H212" s="416" t="b">
        <f>Wh_hp&gt;='2018'!Maxi_hp</f>
        <v>1</v>
      </c>
      <c r="I212" s="392">
        <f>IF(H212,Wh_hp,'2018'!Maxi_hp)</f>
        <v>54.213528714227458</v>
      </c>
      <c r="J212" s="85">
        <f>IF(H212,An,'2018'!An_max)</f>
        <v>2019</v>
      </c>
      <c r="K212" s="199">
        <f t="shared" si="77"/>
        <v>43663</v>
      </c>
      <c r="L212" s="147">
        <f>IF(t&lt;Tvie,1-EXP((T0-t)*PertePVj)+'2018'!Pspv,1-EXP((T0-t)*PertePVj)+Pspv)</f>
        <v>8.1120245934642732E-3</v>
      </c>
      <c r="M212" s="872"/>
      <c r="N212" s="872"/>
      <c r="O212" s="48">
        <f>IF(t&lt;Tnet,'2018'!Resal+('2018'!Salim-'2018'!Resal)*(1-EXP(('2018'!Tnet-t)/('2018'!Tau_j))),Resal+(Salim-Resal)*(1-EXP((Tnet-t)/(Tau_j))))*Salcycl</f>
        <v>7.1552298517857563E-2</v>
      </c>
      <c r="P212" s="171">
        <f>(INDEX(Models!$BJ212:$BT212,,T212)*(1-R212)+INDEX(Models!$BJ212:$BT212,,T212+1)*R212-ERP_i)*Q212*Ramure*Pc/MaxiM</f>
        <v>9.9602574972444167E-5</v>
      </c>
      <c r="Q212" s="307">
        <f t="shared" si="78"/>
        <v>0.9</v>
      </c>
      <c r="R212" s="179">
        <f t="shared" si="79"/>
        <v>0.47422470370672176</v>
      </c>
      <c r="S212" s="839">
        <f t="shared" si="80"/>
        <v>-2</v>
      </c>
      <c r="T212" s="178">
        <f t="shared" si="81"/>
        <v>4</v>
      </c>
      <c r="U212" s="253">
        <f t="shared" si="82"/>
        <v>-1.5257752962932782</v>
      </c>
      <c r="V212" s="385">
        <f t="shared" si="83"/>
        <v>56.804721005880026</v>
      </c>
      <c r="W212" s="58"/>
      <c r="X212" s="157">
        <f t="shared" si="84"/>
        <v>43663</v>
      </c>
      <c r="Y212" s="387">
        <f t="shared" si="85"/>
        <v>49.921999999999997</v>
      </c>
      <c r="Z212" s="387">
        <f t="shared" si="86"/>
        <v>50.330280472992868</v>
      </c>
      <c r="AA212" s="388">
        <f t="shared" si="87"/>
        <v>54.209063572075536</v>
      </c>
      <c r="AB212" s="199">
        <f t="shared" si="88"/>
        <v>43663</v>
      </c>
      <c r="AC212" s="428">
        <f>IF(OR(t&lt;Tnet,NoTnet),'2018'!Resal_s+('2018'!Salim-'2018'!Resal_s)*(1-EXP(('2018'!Tnet_s-t)/'2018'!Tau_j)),Resal_s+(Salim-Resal_s)*(1-EXP((Tnet_s-t)/Tau_j)))*Salcycl</f>
        <v>7.1552298517857563E-2</v>
      </c>
      <c r="AD212" s="233">
        <f>(INDEX(Models!$BJ212:$BT212,,AH212)*(1-AF212)+INDEX(Models!$BJ212:$BT212,,AH212+1)*AF212-ERP_i)*AE212*Ramure*Pc/MaxiM</f>
        <v>9.9602574972444167E-5</v>
      </c>
      <c r="AE212" s="307">
        <f t="shared" si="89"/>
        <v>0.9</v>
      </c>
      <c r="AF212" s="179">
        <f t="shared" si="90"/>
        <v>0.47422470370672176</v>
      </c>
      <c r="AG212" s="178">
        <f t="shared" si="91"/>
        <v>-2</v>
      </c>
      <c r="AH212" s="178">
        <f t="shared" si="92"/>
        <v>4</v>
      </c>
      <c r="AI212" s="227">
        <f t="shared" si="93"/>
        <v>-1.5257752962932782</v>
      </c>
      <c r="AJ212" s="267" t="b">
        <f t="shared" si="94"/>
        <v>0</v>
      </c>
      <c r="AK212" s="267" t="b">
        <f t="shared" si="95"/>
        <v>0</v>
      </c>
      <c r="AL212" s="267"/>
      <c r="AM212" s="267"/>
      <c r="AN212" s="75"/>
    </row>
    <row r="213" spans="1:40" s="6" customFormat="1" ht="11.25" customHeight="1" x14ac:dyDescent="0.2">
      <c r="A213" s="56">
        <f t="shared" si="96"/>
        <v>43664</v>
      </c>
      <c r="B213" s="620">
        <v>40.627000000000002</v>
      </c>
      <c r="C213" s="392"/>
      <c r="D213" s="395">
        <f t="shared" si="75"/>
        <v>40.960215749155488</v>
      </c>
      <c r="E213" s="387">
        <f t="shared" si="73"/>
        <v>44.125112802159634</v>
      </c>
      <c r="F213" s="387">
        <f t="shared" si="76"/>
        <v>44.127946609612778</v>
      </c>
      <c r="G213" s="110">
        <f t="shared" si="74"/>
        <v>0.71693238492686073</v>
      </c>
      <c r="H213" s="416" t="b">
        <f>Wh_hp&gt;='2018'!Maxi_hp</f>
        <v>1</v>
      </c>
      <c r="I213" s="392">
        <f>IF(H213,Wh_hp,'2018'!Maxi_hp)</f>
        <v>44.127946609612778</v>
      </c>
      <c r="J213" s="85">
        <f>IF(H213,An,'2018'!An_max)</f>
        <v>2019</v>
      </c>
      <c r="K213" s="199">
        <f t="shared" si="77"/>
        <v>43664</v>
      </c>
      <c r="L213" s="147">
        <f>IF(t&lt;Tvie,1-EXP((T0-t)*PertePVj)+'2018'!Pspv,1-EXP((T0-t)*PertePVj)+Pspv)</f>
        <v>8.1351072757069876E-3</v>
      </c>
      <c r="M213" s="872"/>
      <c r="N213" s="872"/>
      <c r="O213" s="48">
        <f>IF(t&lt;Tnet,'2018'!Resal+('2018'!Salim-'2018'!Resal)*(1-EXP(('2018'!Tnet-t)/('2018'!Tau_j))),Resal+(Salim-Resal)*(1-EXP((Tnet-t)/(Tau_j))))*Salcycl</f>
        <v>7.1725528888602466E-2</v>
      </c>
      <c r="P213" s="171">
        <f>(INDEX(Models!$BJ213:$BT213,,T213)*(1-R213)+INDEX(Models!$BJ213:$BT213,,T213+1)*R213-ERP_i)*Q213*Ramure*Pc/MaxiM</f>
        <v>1.0780936137336822E-4</v>
      </c>
      <c r="Q213" s="307">
        <f t="shared" si="78"/>
        <v>0.9</v>
      </c>
      <c r="R213" s="179">
        <f t="shared" si="79"/>
        <v>0.47841087298952822</v>
      </c>
      <c r="S213" s="839">
        <f t="shared" si="80"/>
        <v>-2</v>
      </c>
      <c r="T213" s="178">
        <f t="shared" si="81"/>
        <v>4</v>
      </c>
      <c r="U213" s="253">
        <f t="shared" si="82"/>
        <v>-1.5215891270104718</v>
      </c>
      <c r="V213" s="385">
        <f t="shared" si="83"/>
        <v>56.665356110574223</v>
      </c>
      <c r="W213" s="58"/>
      <c r="X213" s="157">
        <f t="shared" si="84"/>
        <v>43664</v>
      </c>
      <c r="Y213" s="387">
        <f t="shared" si="85"/>
        <v>40.627000000000002</v>
      </c>
      <c r="Z213" s="387">
        <f t="shared" si="86"/>
        <v>40.960215749155488</v>
      </c>
      <c r="AA213" s="388">
        <f t="shared" si="87"/>
        <v>44.125112802159634</v>
      </c>
      <c r="AB213" s="199">
        <f t="shared" si="88"/>
        <v>43664</v>
      </c>
      <c r="AC213" s="428">
        <f>IF(OR(t&lt;Tnet,NoTnet),'2018'!Resal_s+('2018'!Salim-'2018'!Resal_s)*(1-EXP(('2018'!Tnet_s-t)/'2018'!Tau_j)),Resal_s+(Salim-Resal_s)*(1-EXP((Tnet_s-t)/Tau_j)))*Salcycl</f>
        <v>7.1725528888602466E-2</v>
      </c>
      <c r="AD213" s="233">
        <f>(INDEX(Models!$BJ213:$BT213,,AH213)*(1-AF213)+INDEX(Models!$BJ213:$BT213,,AH213+1)*AF213-ERP_i)*AE213*Ramure*Pc/MaxiM</f>
        <v>1.0780936137336822E-4</v>
      </c>
      <c r="AE213" s="307">
        <f t="shared" si="89"/>
        <v>0.9</v>
      </c>
      <c r="AF213" s="179">
        <f t="shared" si="90"/>
        <v>0.47841087298952822</v>
      </c>
      <c r="AG213" s="178">
        <f t="shared" si="91"/>
        <v>-2</v>
      </c>
      <c r="AH213" s="178">
        <f t="shared" si="92"/>
        <v>4</v>
      </c>
      <c r="AI213" s="227">
        <f t="shared" si="93"/>
        <v>-1.5215891270104718</v>
      </c>
      <c r="AJ213" s="267" t="b">
        <f t="shared" si="94"/>
        <v>0</v>
      </c>
      <c r="AK213" s="267" t="b">
        <f t="shared" si="95"/>
        <v>0</v>
      </c>
      <c r="AL213" s="267"/>
      <c r="AM213" s="267"/>
      <c r="AN213" s="75"/>
    </row>
    <row r="214" spans="1:40" s="6" customFormat="1" ht="11.25" customHeight="1" x14ac:dyDescent="0.2">
      <c r="A214" s="56">
        <f t="shared" si="96"/>
        <v>43665</v>
      </c>
      <c r="B214" s="620">
        <v>55.353000000000002</v>
      </c>
      <c r="C214" s="392"/>
      <c r="D214" s="395">
        <f t="shared" si="75"/>
        <v>55.808294638915086</v>
      </c>
      <c r="E214" s="387">
        <f t="shared" si="73"/>
        <v>60.131631396076372</v>
      </c>
      <c r="F214" s="387">
        <f t="shared" si="76"/>
        <v>60.138434913631158</v>
      </c>
      <c r="G214" s="110">
        <f t="shared" si="74"/>
        <v>0.97928675789639608</v>
      </c>
      <c r="H214" s="416" t="b">
        <f>Wh_hp&gt;='2018'!Maxi_hp</f>
        <v>1</v>
      </c>
      <c r="I214" s="392">
        <f>IF(H214,Wh_hp,'2018'!Maxi_hp)</f>
        <v>60.138434913631158</v>
      </c>
      <c r="J214" s="85">
        <f>IF(H214,An,'2018'!An_max)</f>
        <v>2019</v>
      </c>
      <c r="K214" s="199">
        <f t="shared" si="77"/>
        <v>43665</v>
      </c>
      <c r="L214" s="147">
        <f>IF(t&lt;Tvie,1-EXP((T0-t)*PertePVj)+'2018'!Pspv,1-EXP((T0-t)*PertePVj)+Pspv)</f>
        <v>8.1581894207820582E-3</v>
      </c>
      <c r="M214" s="872"/>
      <c r="N214" s="872"/>
      <c r="O214" s="48">
        <f>IF(t&lt;Tnet,'2018'!Resal+('2018'!Salim-'2018'!Resal)*(1-EXP(('2018'!Tnet-t)/('2018'!Tau_j))),Resal+(Salim-Resal)*(1-EXP((Tnet-t)/(Tau_j))))*Salcycl</f>
        <v>7.1897878982930583E-2</v>
      </c>
      <c r="P214" s="171">
        <f>(INDEX(Models!$BJ214:$BT214,,T214)*(1-R214)+INDEX(Models!$BJ214:$BT214,,T214+1)*R214-ERP_i)*Q214*Ramure*Pc/MaxiM</f>
        <v>1.1658001853421022E-4</v>
      </c>
      <c r="Q214" s="307">
        <f t="shared" si="78"/>
        <v>0.9</v>
      </c>
      <c r="R214" s="179">
        <f t="shared" si="79"/>
        <v>0.48248617676131733</v>
      </c>
      <c r="S214" s="839">
        <f t="shared" si="80"/>
        <v>-2</v>
      </c>
      <c r="T214" s="178">
        <f t="shared" si="81"/>
        <v>4</v>
      </c>
      <c r="U214" s="253">
        <f t="shared" si="82"/>
        <v>-1.5175138232386827</v>
      </c>
      <c r="V214" s="385">
        <f t="shared" si="83"/>
        <v>56.523595989749005</v>
      </c>
      <c r="W214" s="58"/>
      <c r="X214" s="157">
        <f t="shared" si="84"/>
        <v>43665</v>
      </c>
      <c r="Y214" s="387">
        <f t="shared" si="85"/>
        <v>55.353000000000002</v>
      </c>
      <c r="Z214" s="387">
        <f t="shared" si="86"/>
        <v>55.808294638915086</v>
      </c>
      <c r="AA214" s="388">
        <f t="shared" si="87"/>
        <v>60.131631396076372</v>
      </c>
      <c r="AB214" s="199">
        <f t="shared" si="88"/>
        <v>43665</v>
      </c>
      <c r="AC214" s="428">
        <f>IF(OR(t&lt;Tnet,NoTnet),'2018'!Resal_s+('2018'!Salim-'2018'!Resal_s)*(1-EXP(('2018'!Tnet_s-t)/'2018'!Tau_j)),Resal_s+(Salim-Resal_s)*(1-EXP((Tnet_s-t)/Tau_j)))*Salcycl</f>
        <v>7.1897878982930583E-2</v>
      </c>
      <c r="AD214" s="233">
        <f>(INDEX(Models!$BJ214:$BT214,,AH214)*(1-AF214)+INDEX(Models!$BJ214:$BT214,,AH214+1)*AF214-ERP_i)*AE214*Ramure*Pc/MaxiM</f>
        <v>1.1658001853421022E-4</v>
      </c>
      <c r="AE214" s="307">
        <f t="shared" si="89"/>
        <v>0.9</v>
      </c>
      <c r="AF214" s="179">
        <f t="shared" si="90"/>
        <v>0.48248617676131733</v>
      </c>
      <c r="AG214" s="178">
        <f t="shared" si="91"/>
        <v>-2</v>
      </c>
      <c r="AH214" s="178">
        <f t="shared" si="92"/>
        <v>4</v>
      </c>
      <c r="AI214" s="227">
        <f t="shared" si="93"/>
        <v>-1.5175138232386827</v>
      </c>
      <c r="AJ214" s="267" t="b">
        <f t="shared" si="94"/>
        <v>0</v>
      </c>
      <c r="AK214" s="267" t="b">
        <f t="shared" si="95"/>
        <v>0</v>
      </c>
      <c r="AL214" s="267"/>
      <c r="AM214" s="267"/>
      <c r="AN214" s="75"/>
    </row>
    <row r="215" spans="1:40" s="6" customFormat="1" ht="11.25" customHeight="1" x14ac:dyDescent="0.2">
      <c r="A215" s="56">
        <f t="shared" si="96"/>
        <v>43666</v>
      </c>
      <c r="B215" s="620">
        <v>25.777000000000001</v>
      </c>
      <c r="C215" s="392"/>
      <c r="D215" s="395">
        <f t="shared" si="75"/>
        <v>25.989628192175381</v>
      </c>
      <c r="E215" s="387">
        <f t="shared" si="73"/>
        <v>28.008159120243274</v>
      </c>
      <c r="F215" s="387">
        <f t="shared" si="76"/>
        <v>28.008951179176766</v>
      </c>
      <c r="G215" s="110">
        <f t="shared" si="74"/>
        <v>0.457159367631917</v>
      </c>
      <c r="H215" s="416" t="b">
        <f>Wh_hp&gt;='2018'!Maxi_hp</f>
        <v>1</v>
      </c>
      <c r="I215" s="392">
        <f>IF(H215,Wh_hp,'2018'!Maxi_hp)</f>
        <v>28.008951179176766</v>
      </c>
      <c r="J215" s="85">
        <f>IF(H215,An,'2018'!An_max)</f>
        <v>2019</v>
      </c>
      <c r="K215" s="199">
        <f t="shared" si="77"/>
        <v>43666</v>
      </c>
      <c r="L215" s="147">
        <f>IF(t&lt;Tvie,1-EXP((T0-t)*PertePVj)+'2018'!Pspv,1-EXP((T0-t)*PertePVj)+Pspv)</f>
        <v>8.1812710287019197E-3</v>
      </c>
      <c r="M215" s="872"/>
      <c r="N215" s="872"/>
      <c r="O215" s="48">
        <f>IF(t&lt;Tnet,'2018'!Resal+('2018'!Salim-'2018'!Resal)*(1-EXP(('2018'!Tnet-t)/('2018'!Tau_j))),Resal+(Salim-Resal)*(1-EXP((Tnet-t)/(Tau_j))))*Salcycl</f>
        <v>7.2069389473332829E-2</v>
      </c>
      <c r="P215" s="171">
        <f>(INDEX(Models!$BJ215:$BT215,,T215)*(1-R215)+INDEX(Models!$BJ215:$BT215,,T215+1)*R215-ERP_i)*Q215*Ramure*Pc/MaxiM</f>
        <v>1.2592010225192669E-4</v>
      </c>
      <c r="Q215" s="307">
        <f t="shared" si="78"/>
        <v>0.9</v>
      </c>
      <c r="R215" s="179">
        <f t="shared" si="79"/>
        <v>0.48645165637092669</v>
      </c>
      <c r="S215" s="839">
        <f t="shared" si="80"/>
        <v>-2</v>
      </c>
      <c r="T215" s="178">
        <f t="shared" si="81"/>
        <v>4</v>
      </c>
      <c r="U215" s="253">
        <f t="shared" si="82"/>
        <v>-1.5135483436290733</v>
      </c>
      <c r="V215" s="385">
        <f t="shared" si="83"/>
        <v>56.379645378238585</v>
      </c>
      <c r="W215" s="58"/>
      <c r="X215" s="157">
        <f t="shared" si="84"/>
        <v>43666</v>
      </c>
      <c r="Y215" s="387">
        <f t="shared" si="85"/>
        <v>25.777000000000001</v>
      </c>
      <c r="Z215" s="387">
        <f t="shared" si="86"/>
        <v>25.989628192175381</v>
      </c>
      <c r="AA215" s="388">
        <f t="shared" si="87"/>
        <v>28.008159120243274</v>
      </c>
      <c r="AB215" s="199">
        <f t="shared" si="88"/>
        <v>43666</v>
      </c>
      <c r="AC215" s="428">
        <f>IF(OR(t&lt;Tnet,NoTnet),'2018'!Resal_s+('2018'!Salim-'2018'!Resal_s)*(1-EXP(('2018'!Tnet_s-t)/'2018'!Tau_j)),Resal_s+(Salim-Resal_s)*(1-EXP((Tnet_s-t)/Tau_j)))*Salcycl</f>
        <v>7.2069389473332829E-2</v>
      </c>
      <c r="AD215" s="233">
        <f>(INDEX(Models!$BJ215:$BT215,,AH215)*(1-AF215)+INDEX(Models!$BJ215:$BT215,,AH215+1)*AF215-ERP_i)*AE215*Ramure*Pc/MaxiM</f>
        <v>1.2592010225192669E-4</v>
      </c>
      <c r="AE215" s="307">
        <f t="shared" si="89"/>
        <v>0.9</v>
      </c>
      <c r="AF215" s="179">
        <f t="shared" si="90"/>
        <v>0.48645165637092669</v>
      </c>
      <c r="AG215" s="178">
        <f t="shared" si="91"/>
        <v>-2</v>
      </c>
      <c r="AH215" s="178">
        <f t="shared" si="92"/>
        <v>4</v>
      </c>
      <c r="AI215" s="227">
        <f t="shared" si="93"/>
        <v>-1.5135483436290733</v>
      </c>
      <c r="AJ215" s="267" t="b">
        <f t="shared" si="94"/>
        <v>0</v>
      </c>
      <c r="AK215" s="267" t="b">
        <f t="shared" si="95"/>
        <v>0</v>
      </c>
      <c r="AL215" s="267"/>
      <c r="AM215" s="267"/>
      <c r="AN215" s="75"/>
    </row>
    <row r="216" spans="1:40" s="6" customFormat="1" ht="11.25" customHeight="1" x14ac:dyDescent="0.2">
      <c r="A216" s="56">
        <f t="shared" si="96"/>
        <v>43667</v>
      </c>
      <c r="B216" s="620">
        <v>42.951999999999998</v>
      </c>
      <c r="C216" s="392"/>
      <c r="D216" s="395">
        <f t="shared" si="75"/>
        <v>43.307308406648865</v>
      </c>
      <c r="E216" s="387">
        <f t="shared" si="73"/>
        <v>46.679435486082717</v>
      </c>
      <c r="F216" s="387">
        <f t="shared" si="76"/>
        <v>46.683637147236936</v>
      </c>
      <c r="G216" s="110">
        <f t="shared" si="74"/>
        <v>0.76377731529486226</v>
      </c>
      <c r="H216" s="416" t="b">
        <f>Wh_hp&gt;='2018'!Maxi_hp</f>
        <v>1</v>
      </c>
      <c r="I216" s="392">
        <f>IF(H216,Wh_hp,'2018'!Maxi_hp)</f>
        <v>46.683637147236936</v>
      </c>
      <c r="J216" s="85">
        <f>IF(H216,An,'2018'!An_max)</f>
        <v>2019</v>
      </c>
      <c r="K216" s="199">
        <f t="shared" si="77"/>
        <v>43667</v>
      </c>
      <c r="L216" s="147">
        <f>IF(t&lt;Tvie,1-EXP((T0-t)*PertePVj)+'2018'!Pspv,1-EXP((T0-t)*PertePVj)+Pspv)</f>
        <v>8.2043520994788954E-3</v>
      </c>
      <c r="M216" s="872"/>
      <c r="N216" s="872"/>
      <c r="O216" s="48">
        <f>IF(t&lt;Tnet,'2018'!Resal+('2018'!Salim-'2018'!Resal)*(1-EXP(('2018'!Tnet-t)/('2018'!Tau_j))),Resal+(Salim-Resal)*(1-EXP((Tnet-t)/(Tau_j))))*Salcycl</f>
        <v>7.2240099828097482E-2</v>
      </c>
      <c r="P216" s="171">
        <f>(INDEX(Models!$BJ216:$BT216,,T216)*(1-R216)+INDEX(Models!$BJ216:$BT216,,T216+1)*R216-ERP_i)*Q216*Ramure*Pc/MaxiM</f>
        <v>1.3583512758282923E-4</v>
      </c>
      <c r="Q216" s="307">
        <f t="shared" si="78"/>
        <v>0.9</v>
      </c>
      <c r="R216" s="179">
        <f t="shared" si="79"/>
        <v>0.49030847823221047</v>
      </c>
      <c r="S216" s="839">
        <f t="shared" si="80"/>
        <v>-2</v>
      </c>
      <c r="T216" s="178">
        <f t="shared" si="81"/>
        <v>4</v>
      </c>
      <c r="U216" s="253">
        <f t="shared" si="82"/>
        <v>-1.5096915217677895</v>
      </c>
      <c r="V216" s="385">
        <f t="shared" si="83"/>
        <v>56.233708929859041</v>
      </c>
      <c r="W216" s="58"/>
      <c r="X216" s="157">
        <f t="shared" si="84"/>
        <v>43667</v>
      </c>
      <c r="Y216" s="387">
        <f t="shared" si="85"/>
        <v>42.951999999999998</v>
      </c>
      <c r="Z216" s="387">
        <f t="shared" si="86"/>
        <v>43.307308406648865</v>
      </c>
      <c r="AA216" s="388">
        <f t="shared" si="87"/>
        <v>46.679435486082717</v>
      </c>
      <c r="AB216" s="199">
        <f t="shared" si="88"/>
        <v>43667</v>
      </c>
      <c r="AC216" s="428">
        <f>IF(OR(t&lt;Tnet,NoTnet),'2018'!Resal_s+('2018'!Salim-'2018'!Resal_s)*(1-EXP(('2018'!Tnet_s-t)/'2018'!Tau_j)),Resal_s+(Salim-Resal_s)*(1-EXP((Tnet_s-t)/Tau_j)))*Salcycl</f>
        <v>7.2240099828097482E-2</v>
      </c>
      <c r="AD216" s="233">
        <f>(INDEX(Models!$BJ216:$BT216,,AH216)*(1-AF216)+INDEX(Models!$BJ216:$BT216,,AH216+1)*AF216-ERP_i)*AE216*Ramure*Pc/MaxiM</f>
        <v>1.3583512758282923E-4</v>
      </c>
      <c r="AE216" s="307">
        <f t="shared" si="89"/>
        <v>0.9</v>
      </c>
      <c r="AF216" s="179">
        <f t="shared" si="90"/>
        <v>0.49030847823221047</v>
      </c>
      <c r="AG216" s="178">
        <f t="shared" si="91"/>
        <v>-2</v>
      </c>
      <c r="AH216" s="178">
        <f t="shared" si="92"/>
        <v>4</v>
      </c>
      <c r="AI216" s="227">
        <f t="shared" si="93"/>
        <v>-1.5096915217677895</v>
      </c>
      <c r="AJ216" s="267" t="b">
        <f t="shared" si="94"/>
        <v>0</v>
      </c>
      <c r="AK216" s="267" t="b">
        <f t="shared" si="95"/>
        <v>0</v>
      </c>
      <c r="AL216" s="267"/>
      <c r="AM216" s="267"/>
      <c r="AN216" s="75"/>
    </row>
    <row r="217" spans="1:40" s="6" customFormat="1" ht="11.25" customHeight="1" x14ac:dyDescent="0.2">
      <c r="A217" s="56">
        <f t="shared" si="96"/>
        <v>43668</v>
      </c>
      <c r="B217" s="620">
        <v>48.713000000000001</v>
      </c>
      <c r="C217" s="392"/>
      <c r="D217" s="395">
        <f t="shared" si="75"/>
        <v>49.117107694692059</v>
      </c>
      <c r="E217" s="387">
        <f t="shared" si="73"/>
        <v>52.951314958767803</v>
      </c>
      <c r="F217" s="387">
        <f t="shared" si="76"/>
        <v>52.957608968217315</v>
      </c>
      <c r="G217" s="110">
        <f t="shared" si="74"/>
        <v>0.86851743391409897</v>
      </c>
      <c r="H217" s="416" t="b">
        <f>Wh_hp&gt;='2018'!Maxi_hp</f>
        <v>1</v>
      </c>
      <c r="I217" s="392">
        <f>IF(H217,Wh_hp,'2018'!Maxi_hp)</f>
        <v>52.957608968217315</v>
      </c>
      <c r="J217" s="85">
        <f>IF(H217,An,'2018'!An_max)</f>
        <v>2019</v>
      </c>
      <c r="K217" s="199">
        <f t="shared" si="77"/>
        <v>43668</v>
      </c>
      <c r="L217" s="147">
        <f>IF(t&lt;Tvie,1-EXP((T0-t)*PertePVj)+'2018'!Pspv,1-EXP((T0-t)*PertePVj)+Pspv)</f>
        <v>8.227432633125753E-3</v>
      </c>
      <c r="M217" s="872"/>
      <c r="N217" s="872"/>
      <c r="O217" s="48">
        <f>IF(t&lt;Tnet,'2018'!Resal+('2018'!Salim-'2018'!Resal)*(1-EXP(('2018'!Tnet-t)/('2018'!Tau_j))),Resal+(Salim-Resal)*(1-EXP((Tnet-t)/(Tau_j))))*Salcycl</f>
        <v>7.241004811799992E-2</v>
      </c>
      <c r="P217" s="171">
        <f>(INDEX(Models!$BJ217:$BT217,,T217)*(1-R217)+INDEX(Models!$BJ217:$BT217,,T217+1)*R217-ERP_i)*Q217*Ramure*Pc/MaxiM</f>
        <v>1.4633056189161889E-4</v>
      </c>
      <c r="Q217" s="307">
        <f t="shared" si="78"/>
        <v>0.9</v>
      </c>
      <c r="R217" s="179">
        <f t="shared" si="79"/>
        <v>0.49405792415240146</v>
      </c>
      <c r="S217" s="839">
        <f t="shared" si="80"/>
        <v>-2</v>
      </c>
      <c r="T217" s="178">
        <f t="shared" si="81"/>
        <v>4</v>
      </c>
      <c r="U217" s="253">
        <f t="shared" si="82"/>
        <v>-1.5059420758475985</v>
      </c>
      <c r="V217" s="385">
        <f t="shared" si="83"/>
        <v>56.085991225941932</v>
      </c>
      <c r="W217" s="58"/>
      <c r="X217" s="157">
        <f t="shared" si="84"/>
        <v>43668</v>
      </c>
      <c r="Y217" s="387">
        <f t="shared" si="85"/>
        <v>48.713000000000001</v>
      </c>
      <c r="Z217" s="387">
        <f t="shared" si="86"/>
        <v>49.117107694692059</v>
      </c>
      <c r="AA217" s="388">
        <f t="shared" si="87"/>
        <v>52.951314958767803</v>
      </c>
      <c r="AB217" s="199">
        <f t="shared" si="88"/>
        <v>43668</v>
      </c>
      <c r="AC217" s="428">
        <f>IF(OR(t&lt;Tnet,NoTnet),'2018'!Resal_s+('2018'!Salim-'2018'!Resal_s)*(1-EXP(('2018'!Tnet_s-t)/'2018'!Tau_j)),Resal_s+(Salim-Resal_s)*(1-EXP((Tnet_s-t)/Tau_j)))*Salcycl</f>
        <v>7.241004811799992E-2</v>
      </c>
      <c r="AD217" s="233">
        <f>(INDEX(Models!$BJ217:$BT217,,AH217)*(1-AF217)+INDEX(Models!$BJ217:$BT217,,AH217+1)*AF217-ERP_i)*AE217*Ramure*Pc/MaxiM</f>
        <v>1.4633056189161889E-4</v>
      </c>
      <c r="AE217" s="307">
        <f t="shared" si="89"/>
        <v>0.9</v>
      </c>
      <c r="AF217" s="179">
        <f t="shared" si="90"/>
        <v>0.49405792415240146</v>
      </c>
      <c r="AG217" s="178">
        <f t="shared" si="91"/>
        <v>-2</v>
      </c>
      <c r="AH217" s="178">
        <f t="shared" si="92"/>
        <v>4</v>
      </c>
      <c r="AI217" s="227">
        <f t="shared" si="93"/>
        <v>-1.5059420758475985</v>
      </c>
      <c r="AJ217" s="267" t="b">
        <f t="shared" si="94"/>
        <v>0</v>
      </c>
      <c r="AK217" s="267" t="b">
        <f t="shared" si="95"/>
        <v>0</v>
      </c>
      <c r="AL217" s="267"/>
      <c r="AM217" s="267"/>
      <c r="AN217" s="75"/>
    </row>
    <row r="218" spans="1:40" s="6" customFormat="1" ht="11.25" x14ac:dyDescent="0.2">
      <c r="A218" s="56">
        <f t="shared" si="96"/>
        <v>43669</v>
      </c>
      <c r="B218" s="620">
        <v>52.298000000000002</v>
      </c>
      <c r="C218" s="392"/>
      <c r="D218" s="395">
        <f t="shared" si="75"/>
        <v>52.733074900466839</v>
      </c>
      <c r="E218" s="387">
        <f t="shared" si="73"/>
        <v>56.859926937631286</v>
      </c>
      <c r="F218" s="387">
        <f t="shared" si="76"/>
        <v>56.868046767934125</v>
      </c>
      <c r="G218" s="110">
        <f t="shared" si="74"/>
        <v>0.93493605929968238</v>
      </c>
      <c r="H218" s="416" t="b">
        <f>Wh_hp&gt;='2018'!Maxi_hp</f>
        <v>1</v>
      </c>
      <c r="I218" s="392">
        <f>IF(H218,Wh_hp,'2018'!Maxi_hp)</f>
        <v>56.868046767934125</v>
      </c>
      <c r="J218" s="85">
        <f>IF(H218,An,'2018'!An_max)</f>
        <v>2019</v>
      </c>
      <c r="K218" s="199">
        <f t="shared" si="77"/>
        <v>43669</v>
      </c>
      <c r="L218" s="147">
        <f>IF(t&lt;Tvie,1-EXP((T0-t)*PertePVj)+'2018'!Pspv,1-EXP((T0-t)*PertePVj)+Pspv)</f>
        <v>8.2505126296548159E-3</v>
      </c>
      <c r="M218" s="872"/>
      <c r="N218" s="872"/>
      <c r="O218" s="48">
        <f>IF(t&lt;Tnet,'2018'!Resal+('2018'!Salim-'2018'!Resal)*(1-EXP(('2018'!Tnet-t)/('2018'!Tau_j))),Resal+(Salim-Resal)*(1-EXP((Tnet-t)/(Tau_j))))*Salcycl</f>
        <v>7.2579270840272533E-2</v>
      </c>
      <c r="P218" s="171">
        <f>(INDEX(Models!$BJ218:$BT218,,T218)*(1-R218)+INDEX(Models!$BJ218:$BT218,,T218+1)*R218-ERP_i)*Q218*Ramure*Pc/MaxiM</f>
        <v>1.574118173223413E-4</v>
      </c>
      <c r="Q218" s="307">
        <f t="shared" si="78"/>
        <v>0.9</v>
      </c>
      <c r="R218" s="179">
        <f t="shared" si="79"/>
        <v>0.49770138181798629</v>
      </c>
      <c r="S218" s="839">
        <f t="shared" si="80"/>
        <v>-2</v>
      </c>
      <c r="T218" s="178">
        <f t="shared" si="81"/>
        <v>4</v>
      </c>
      <c r="U218" s="253">
        <f t="shared" si="82"/>
        <v>-1.5022986181820137</v>
      </c>
      <c r="V218" s="385">
        <f t="shared" si="83"/>
        <v>55.93669679272525</v>
      </c>
      <c r="W218" s="58"/>
      <c r="X218" s="157">
        <f t="shared" si="84"/>
        <v>43669</v>
      </c>
      <c r="Y218" s="387">
        <f t="shared" si="85"/>
        <v>52.298000000000002</v>
      </c>
      <c r="Z218" s="387">
        <f t="shared" si="86"/>
        <v>52.733074900466839</v>
      </c>
      <c r="AA218" s="388">
        <f t="shared" si="87"/>
        <v>56.859926937631286</v>
      </c>
      <c r="AB218" s="199">
        <f t="shared" si="88"/>
        <v>43669</v>
      </c>
      <c r="AC218" s="428">
        <f>IF(OR(t&lt;Tnet,NoTnet),'2018'!Resal_s+('2018'!Salim-'2018'!Resal_s)*(1-EXP(('2018'!Tnet_s-t)/'2018'!Tau_j)),Resal_s+(Salim-Resal_s)*(1-EXP((Tnet_s-t)/Tau_j)))*Salcycl</f>
        <v>7.2579270840272533E-2</v>
      </c>
      <c r="AD218" s="233">
        <f>(INDEX(Models!$BJ218:$BT218,,AH218)*(1-AF218)+INDEX(Models!$BJ218:$BT218,,AH218+1)*AF218-ERP_i)*AE218*Ramure*Pc/MaxiM</f>
        <v>1.574118173223413E-4</v>
      </c>
      <c r="AE218" s="307">
        <f t="shared" si="89"/>
        <v>0.9</v>
      </c>
      <c r="AF218" s="179">
        <f t="shared" si="90"/>
        <v>0.49770138181798629</v>
      </c>
      <c r="AG218" s="178">
        <f t="shared" si="91"/>
        <v>-2</v>
      </c>
      <c r="AH218" s="178">
        <f t="shared" si="92"/>
        <v>4</v>
      </c>
      <c r="AI218" s="227">
        <f t="shared" si="93"/>
        <v>-1.5022986181820137</v>
      </c>
      <c r="AJ218" s="267" t="b">
        <f t="shared" si="94"/>
        <v>0</v>
      </c>
      <c r="AK218" s="267" t="b">
        <f t="shared" si="95"/>
        <v>0</v>
      </c>
      <c r="AL218" s="267"/>
      <c r="AM218" s="267"/>
      <c r="AN218" s="75"/>
    </row>
    <row r="219" spans="1:40" s="6" customFormat="1" ht="11.25" customHeight="1" x14ac:dyDescent="0.2">
      <c r="A219" s="56">
        <f t="shared" si="96"/>
        <v>43670</v>
      </c>
      <c r="B219" s="620">
        <v>52.521999999999998</v>
      </c>
      <c r="C219" s="392"/>
      <c r="D219" s="395">
        <f t="shared" si="75"/>
        <v>52.960170850585662</v>
      </c>
      <c r="E219" s="387">
        <f t="shared" si="73"/>
        <v>57.115174284043725</v>
      </c>
      <c r="F219" s="387">
        <f t="shared" si="76"/>
        <v>57.12402573643886</v>
      </c>
      <c r="G219" s="110">
        <f t="shared" si="74"/>
        <v>0.94147803866979185</v>
      </c>
      <c r="H219" s="416" t="b">
        <f>Wh_hp&gt;='2018'!Maxi_hp</f>
        <v>1</v>
      </c>
      <c r="I219" s="392">
        <f>IF(H219,Wh_hp,'2018'!Maxi_hp)</f>
        <v>57.12402573643886</v>
      </c>
      <c r="J219" s="85">
        <f>IF(H219,An,'2018'!An_max)</f>
        <v>2019</v>
      </c>
      <c r="K219" s="199">
        <f t="shared" si="77"/>
        <v>43670</v>
      </c>
      <c r="L219" s="147">
        <f>IF(t&lt;Tvie,1-EXP((T0-t)*PertePVj)+'2018'!Pspv,1-EXP((T0-t)*PertePVj)+Pspv)</f>
        <v>8.2735920890787407E-3</v>
      </c>
      <c r="M219" s="872"/>
      <c r="N219" s="872"/>
      <c r="O219" s="48">
        <f>IF(t&lt;Tnet,'2018'!Resal+('2018'!Salim-'2018'!Resal)*(1-EXP(('2018'!Tnet-t)/('2018'!Tau_j))),Resal+(Salim-Resal)*(1-EXP((Tnet-t)/(Tau_j))))*Salcycl</f>
        <v>7.2747802760690275E-2</v>
      </c>
      <c r="P219" s="171">
        <f>(INDEX(Models!$BJ219:$BT219,,T219)*(1-R219)+INDEX(Models!$BJ219:$BT219,,T219+1)*R219-ERP_i)*Q219*Ramure*Pc/MaxiM</f>
        <v>1.6908417762033466E-4</v>
      </c>
      <c r="Q219" s="307">
        <f t="shared" si="78"/>
        <v>0.9</v>
      </c>
      <c r="R219" s="179">
        <f t="shared" si="79"/>
        <v>0.50124033547801439</v>
      </c>
      <c r="S219" s="839">
        <f t="shared" si="80"/>
        <v>-2</v>
      </c>
      <c r="T219" s="178">
        <f t="shared" si="81"/>
        <v>4</v>
      </c>
      <c r="U219" s="253">
        <f t="shared" si="82"/>
        <v>-1.4987596645219856</v>
      </c>
      <c r="V219" s="385">
        <f t="shared" si="83"/>
        <v>55.785961488476445</v>
      </c>
      <c r="W219" s="58"/>
      <c r="X219" s="157">
        <f t="shared" si="84"/>
        <v>43670</v>
      </c>
      <c r="Y219" s="387">
        <f t="shared" si="85"/>
        <v>52.521999999999998</v>
      </c>
      <c r="Z219" s="387">
        <f t="shared" si="86"/>
        <v>52.960170850585662</v>
      </c>
      <c r="AA219" s="388">
        <f t="shared" si="87"/>
        <v>57.115174284043725</v>
      </c>
      <c r="AB219" s="199">
        <f t="shared" si="88"/>
        <v>43670</v>
      </c>
      <c r="AC219" s="428">
        <f>IF(OR(t&lt;Tnet,NoTnet),'2018'!Resal_s+('2018'!Salim-'2018'!Resal_s)*(1-EXP(('2018'!Tnet_s-t)/'2018'!Tau_j)),Resal_s+(Salim-Resal_s)*(1-EXP((Tnet_s-t)/Tau_j)))*Salcycl</f>
        <v>7.2747802760690275E-2</v>
      </c>
      <c r="AD219" s="233">
        <f>(INDEX(Models!$BJ219:$BT219,,AH219)*(1-AF219)+INDEX(Models!$BJ219:$BT219,,AH219+1)*AF219-ERP_i)*AE219*Ramure*Pc/MaxiM</f>
        <v>1.6908417762033466E-4</v>
      </c>
      <c r="AE219" s="307">
        <f t="shared" si="89"/>
        <v>0.9</v>
      </c>
      <c r="AF219" s="179">
        <f t="shared" si="90"/>
        <v>0.50124033547801439</v>
      </c>
      <c r="AG219" s="178">
        <f t="shared" si="91"/>
        <v>-2</v>
      </c>
      <c r="AH219" s="178">
        <f t="shared" si="92"/>
        <v>4</v>
      </c>
      <c r="AI219" s="227">
        <f t="shared" si="93"/>
        <v>-1.4987596645219856</v>
      </c>
      <c r="AJ219" s="267" t="b">
        <f t="shared" si="94"/>
        <v>0</v>
      </c>
      <c r="AK219" s="267" t="b">
        <f t="shared" si="95"/>
        <v>0</v>
      </c>
      <c r="AL219" s="267"/>
      <c r="AM219" s="267"/>
      <c r="AN219" s="75"/>
    </row>
    <row r="220" spans="1:40" s="6" customFormat="1" ht="11.25" customHeight="1" x14ac:dyDescent="0.2">
      <c r="A220" s="56">
        <f t="shared" si="96"/>
        <v>43671</v>
      </c>
      <c r="B220" s="620">
        <v>52.424999999999997</v>
      </c>
      <c r="C220" s="392"/>
      <c r="D220" s="395">
        <f t="shared" si="75"/>
        <v>52.863591829894084</v>
      </c>
      <c r="E220" s="387">
        <f t="shared" si="73"/>
        <v>57.021341538779154</v>
      </c>
      <c r="F220" s="387">
        <f t="shared" si="76"/>
        <v>57.030866064395305</v>
      </c>
      <c r="G220" s="110">
        <f t="shared" si="74"/>
        <v>0.94231190688336985</v>
      </c>
      <c r="H220" s="416" t="b">
        <f>Wh_hp&gt;='2018'!Maxi_hp</f>
        <v>1</v>
      </c>
      <c r="I220" s="392">
        <f>IF(H220,Wh_hp,'2018'!Maxi_hp)</f>
        <v>57.030866064395305</v>
      </c>
      <c r="J220" s="85">
        <f>IF(H220,An,'2018'!An_max)</f>
        <v>2019</v>
      </c>
      <c r="K220" s="199">
        <f t="shared" si="77"/>
        <v>43671</v>
      </c>
      <c r="L220" s="147">
        <f>IF(t&lt;Tvie,1-EXP((T0-t)*PertePVj)+'2018'!Pspv,1-EXP((T0-t)*PertePVj)+Pspv)</f>
        <v>8.2966710114098507E-3</v>
      </c>
      <c r="M220" s="872"/>
      <c r="N220" s="872"/>
      <c r="O220" s="48">
        <f>IF(t&lt;Tnet,'2018'!Resal+('2018'!Salim-'2018'!Resal)*(1-EXP(('2018'!Tnet-t)/('2018'!Tau_j))),Resal+(Salim-Resal)*(1-EXP((Tnet-t)/(Tau_j))))*Salcycl</f>
        <v>7.2915676774413685E-2</v>
      </c>
      <c r="P220" s="171">
        <f>(INDEX(Models!$BJ220:$BT220,,T220)*(1-R220)+INDEX(Models!$BJ220:$BT220,,T220+1)*R220-ERP_i)*Q220*Ramure*Pc/MaxiM</f>
        <v>1.8200189036354618E-4</v>
      </c>
      <c r="Q220" s="307">
        <f t="shared" si="78"/>
        <v>0.9</v>
      </c>
      <c r="R220" s="179">
        <f t="shared" si="79"/>
        <v>0.50467635686000345</v>
      </c>
      <c r="S220" s="839">
        <f t="shared" si="80"/>
        <v>-2</v>
      </c>
      <c r="T220" s="178">
        <f t="shared" si="81"/>
        <v>4</v>
      </c>
      <c r="U220" s="253">
        <f t="shared" si="82"/>
        <v>-1.4953236431399966</v>
      </c>
      <c r="V220" s="385">
        <f t="shared" si="83"/>
        <v>55.633610647029009</v>
      </c>
      <c r="W220" s="58"/>
      <c r="X220" s="157">
        <f t="shared" si="84"/>
        <v>43671</v>
      </c>
      <c r="Y220" s="387">
        <f t="shared" si="85"/>
        <v>52.424999999999997</v>
      </c>
      <c r="Z220" s="387">
        <f t="shared" si="86"/>
        <v>52.863591829894084</v>
      </c>
      <c r="AA220" s="388">
        <f t="shared" si="87"/>
        <v>57.021341538779154</v>
      </c>
      <c r="AB220" s="199">
        <f t="shared" si="88"/>
        <v>43671</v>
      </c>
      <c r="AC220" s="428">
        <f>IF(OR(t&lt;Tnet,NoTnet),'2018'!Resal_s+('2018'!Salim-'2018'!Resal_s)*(1-EXP(('2018'!Tnet_s-t)/'2018'!Tau_j)),Resal_s+(Salim-Resal_s)*(1-EXP((Tnet_s-t)/Tau_j)))*Salcycl</f>
        <v>7.2915676774413685E-2</v>
      </c>
      <c r="AD220" s="233">
        <f>(INDEX(Models!$BJ220:$BT220,,AH220)*(1-AF220)+INDEX(Models!$BJ220:$BT220,,AH220+1)*AF220-ERP_i)*AE220*Ramure*Pc/MaxiM</f>
        <v>1.8200189036354618E-4</v>
      </c>
      <c r="AE220" s="307">
        <f t="shared" si="89"/>
        <v>0.9</v>
      </c>
      <c r="AF220" s="179">
        <f t="shared" si="90"/>
        <v>0.50467635686000345</v>
      </c>
      <c r="AG220" s="178">
        <f t="shared" si="91"/>
        <v>-2</v>
      </c>
      <c r="AH220" s="178">
        <f t="shared" si="92"/>
        <v>4</v>
      </c>
      <c r="AI220" s="227">
        <f t="shared" si="93"/>
        <v>-1.4953236431399966</v>
      </c>
      <c r="AJ220" s="267" t="b">
        <f t="shared" si="94"/>
        <v>0</v>
      </c>
      <c r="AK220" s="267" t="b">
        <f t="shared" si="95"/>
        <v>0</v>
      </c>
      <c r="AL220" s="267"/>
      <c r="AM220" s="267"/>
      <c r="AN220" s="75"/>
    </row>
    <row r="221" spans="1:40" s="6" customFormat="1" ht="11.25" customHeight="1" x14ac:dyDescent="0.2">
      <c r="A221" s="56">
        <f t="shared" si="96"/>
        <v>43672</v>
      </c>
      <c r="B221" s="620">
        <v>24.744</v>
      </c>
      <c r="C221" s="392"/>
      <c r="D221" s="395">
        <f t="shared" si="75"/>
        <v>24.95159098403515</v>
      </c>
      <c r="E221" s="387">
        <f t="shared" si="73"/>
        <v>26.918903129879858</v>
      </c>
      <c r="F221" s="387">
        <f t="shared" si="76"/>
        <v>26.920002611863048</v>
      </c>
      <c r="G221" s="110">
        <f t="shared" si="74"/>
        <v>0.4459337990597933</v>
      </c>
      <c r="H221" s="416" t="b">
        <f>Wh_hp&gt;='2018'!Maxi_hp</f>
        <v>1</v>
      </c>
      <c r="I221" s="392">
        <f>IF(H221,Wh_hp,'2018'!Maxi_hp)</f>
        <v>26.920002611863048</v>
      </c>
      <c r="J221" s="85">
        <f>IF(H221,An,'2018'!An_max)</f>
        <v>2019</v>
      </c>
      <c r="K221" s="199">
        <f t="shared" si="77"/>
        <v>43672</v>
      </c>
      <c r="L221" s="147">
        <f>IF(t&lt;Tvie,1-EXP((T0-t)*PertePVj)+'2018'!Pspv,1-EXP((T0-t)*PertePVj)+Pspv)</f>
        <v>8.3197493966606917E-3</v>
      </c>
      <c r="M221" s="872"/>
      <c r="N221" s="872"/>
      <c r="O221" s="48">
        <f>IF(t&lt;Tnet,'2018'!Resal+('2018'!Salim-'2018'!Resal)*(1-EXP(('2018'!Tnet-t)/('2018'!Tau_j))),Resal+(Salim-Resal)*(1-EXP((Tnet-t)/(Tau_j))))*Salcycl</f>
        <v>7.3082923786036549E-2</v>
      </c>
      <c r="P221" s="171">
        <f>(INDEX(Models!$BJ221:$BT221,,T221)*(1-R221)+INDEX(Models!$BJ221:$BT221,,T221+1)*R221-ERP_i)*Q221*Ramure*Pc/MaxiM</f>
        <v>1.9581660453421454E-4</v>
      </c>
      <c r="Q221" s="307">
        <f t="shared" si="78"/>
        <v>0.9</v>
      </c>
      <c r="R221" s="179">
        <f t="shared" si="79"/>
        <v>0.50801109634900588</v>
      </c>
      <c r="S221" s="839">
        <f t="shared" si="80"/>
        <v>-2</v>
      </c>
      <c r="T221" s="178">
        <f t="shared" si="81"/>
        <v>4</v>
      </c>
      <c r="U221" s="253">
        <f t="shared" si="82"/>
        <v>-1.4919889036509941</v>
      </c>
      <c r="V221" s="385">
        <f t="shared" si="83"/>
        <v>55.479457304936311</v>
      </c>
      <c r="W221" s="58"/>
      <c r="X221" s="157">
        <f t="shared" si="84"/>
        <v>43672</v>
      </c>
      <c r="Y221" s="387">
        <f t="shared" si="85"/>
        <v>24.744</v>
      </c>
      <c r="Z221" s="387">
        <f t="shared" si="86"/>
        <v>24.95159098403515</v>
      </c>
      <c r="AA221" s="388">
        <f t="shared" si="87"/>
        <v>26.918903129879858</v>
      </c>
      <c r="AB221" s="199">
        <f t="shared" si="88"/>
        <v>43672</v>
      </c>
      <c r="AC221" s="428">
        <f>IF(OR(t&lt;Tnet,NoTnet),'2018'!Resal_s+('2018'!Salim-'2018'!Resal_s)*(1-EXP(('2018'!Tnet_s-t)/'2018'!Tau_j)),Resal_s+(Salim-Resal_s)*(1-EXP((Tnet_s-t)/Tau_j)))*Salcycl</f>
        <v>7.3082923786036549E-2</v>
      </c>
      <c r="AD221" s="233">
        <f>(INDEX(Models!$BJ221:$BT221,,AH221)*(1-AF221)+INDEX(Models!$BJ221:$BT221,,AH221+1)*AF221-ERP_i)*AE221*Ramure*Pc/MaxiM</f>
        <v>1.9581660453421454E-4</v>
      </c>
      <c r="AE221" s="307">
        <f t="shared" si="89"/>
        <v>0.9</v>
      </c>
      <c r="AF221" s="179">
        <f t="shared" si="90"/>
        <v>0.50801109634900588</v>
      </c>
      <c r="AG221" s="178">
        <f t="shared" si="91"/>
        <v>-2</v>
      </c>
      <c r="AH221" s="178">
        <f t="shared" si="92"/>
        <v>4</v>
      </c>
      <c r="AI221" s="227">
        <f t="shared" si="93"/>
        <v>-1.4919889036509941</v>
      </c>
      <c r="AJ221" s="267" t="b">
        <f t="shared" si="94"/>
        <v>0</v>
      </c>
      <c r="AK221" s="267" t="b">
        <f t="shared" si="95"/>
        <v>0</v>
      </c>
      <c r="AL221" s="267"/>
      <c r="AM221" s="267"/>
      <c r="AN221" s="75"/>
    </row>
    <row r="222" spans="1:40" s="6" customFormat="1" ht="11.25" customHeight="1" x14ac:dyDescent="0.2">
      <c r="A222" s="56">
        <f t="shared" si="96"/>
        <v>43673</v>
      </c>
      <c r="B222" s="620">
        <v>12.273</v>
      </c>
      <c r="C222" s="392"/>
      <c r="D222" s="395">
        <f t="shared" si="75"/>
        <v>12.376252940218736</v>
      </c>
      <c r="E222" s="387">
        <f t="shared" si="73"/>
        <v>13.354461540483634</v>
      </c>
      <c r="F222" s="387">
        <f t="shared" si="76"/>
        <v>13.354461540483634</v>
      </c>
      <c r="G222" s="110">
        <f t="shared" si="74"/>
        <v>0.22179474509091937</v>
      </c>
      <c r="H222" s="416" t="b">
        <f>Wh_hp&gt;='2018'!Maxi_hp</f>
        <v>1</v>
      </c>
      <c r="I222" s="392">
        <f>IF(H222,Wh_hp,'2018'!Maxi_hp)</f>
        <v>13.354461540483634</v>
      </c>
      <c r="J222" s="85">
        <f>IF(H222,An,'2018'!An_max)</f>
        <v>2019</v>
      </c>
      <c r="K222" s="199">
        <f t="shared" si="77"/>
        <v>43673</v>
      </c>
      <c r="L222" s="147">
        <f>IF(t&lt;Tvie,1-EXP((T0-t)*PertePVj)+'2018'!Pspv,1-EXP((T0-t)*PertePVj)+Pspv)</f>
        <v>8.34282724484392E-3</v>
      </c>
      <c r="M222" s="872"/>
      <c r="N222" s="872"/>
      <c r="O222" s="48">
        <f>IF(t&lt;Tnet,'2018'!Resal+('2018'!Salim-'2018'!Resal)*(1-EXP(('2018'!Tnet-t)/('2018'!Tau_j))),Resal+(Salim-Resal)*(1-EXP((Tnet-t)/(Tau_j))))*Salcycl</f>
        <v>7.3249572609085614E-2</v>
      </c>
      <c r="P222" s="171">
        <f>(INDEX(Models!$BJ222:$BT222,,T222)*(1-R222)+INDEX(Models!$BJ222:$BT222,,T222+1)*R222-ERP_i)*Q222*Ramure*Pc/MaxiM</f>
        <v>2.1053996989556868E-4</v>
      </c>
      <c r="Q222" s="307">
        <f t="shared" si="78"/>
        <v>0.9</v>
      </c>
      <c r="R222" s="179">
        <f t="shared" si="79"/>
        <v>0.51124627445595827</v>
      </c>
      <c r="S222" s="839">
        <f t="shared" si="80"/>
        <v>-2</v>
      </c>
      <c r="T222" s="178">
        <f t="shared" si="81"/>
        <v>4</v>
      </c>
      <c r="U222" s="253">
        <f t="shared" si="82"/>
        <v>-1.4887537255440417</v>
      </c>
      <c r="V222" s="385">
        <f t="shared" si="83"/>
        <v>55.323294688156437</v>
      </c>
      <c r="W222" s="58"/>
      <c r="X222" s="157">
        <f t="shared" si="84"/>
        <v>43673</v>
      </c>
      <c r="Y222" s="387">
        <f t="shared" si="85"/>
        <v>12.273</v>
      </c>
      <c r="Z222" s="387">
        <f t="shared" si="86"/>
        <v>12.376252940218736</v>
      </c>
      <c r="AA222" s="388">
        <f t="shared" si="87"/>
        <v>13.354461540483634</v>
      </c>
      <c r="AB222" s="199">
        <f t="shared" si="88"/>
        <v>43673</v>
      </c>
      <c r="AC222" s="428">
        <f>IF(OR(t&lt;Tnet,NoTnet),'2018'!Resal_s+('2018'!Salim-'2018'!Resal_s)*(1-EXP(('2018'!Tnet_s-t)/'2018'!Tau_j)),Resal_s+(Salim-Resal_s)*(1-EXP((Tnet_s-t)/Tau_j)))*Salcycl</f>
        <v>7.3249572609085614E-2</v>
      </c>
      <c r="AD222" s="233">
        <f>(INDEX(Models!$BJ222:$BT222,,AH222)*(1-AF222)+INDEX(Models!$BJ222:$BT222,,AH222+1)*AF222-ERP_i)*AE222*Ramure*Pc/MaxiM</f>
        <v>2.1053996989556868E-4</v>
      </c>
      <c r="AE222" s="307">
        <f t="shared" si="89"/>
        <v>0.9</v>
      </c>
      <c r="AF222" s="179">
        <f t="shared" si="90"/>
        <v>0.51124627445595827</v>
      </c>
      <c r="AG222" s="178">
        <f t="shared" si="91"/>
        <v>-2</v>
      </c>
      <c r="AH222" s="178">
        <f t="shared" si="92"/>
        <v>4</v>
      </c>
      <c r="AI222" s="227">
        <f t="shared" si="93"/>
        <v>-1.4887537255440417</v>
      </c>
      <c r="AJ222" s="267" t="b">
        <f t="shared" si="94"/>
        <v>0</v>
      </c>
      <c r="AK222" s="267" t="b">
        <f t="shared" si="95"/>
        <v>0</v>
      </c>
      <c r="AL222" s="267"/>
      <c r="AM222" s="267"/>
      <c r="AN222" s="75"/>
    </row>
    <row r="223" spans="1:40" s="6" customFormat="1" ht="11.25" customHeight="1" x14ac:dyDescent="0.2">
      <c r="A223" s="56">
        <f t="shared" si="96"/>
        <v>43674</v>
      </c>
      <c r="B223" s="620">
        <v>56.353999999999999</v>
      </c>
      <c r="C223" s="392"/>
      <c r="D223" s="395">
        <f t="shared" si="75"/>
        <v>56.829429583868965</v>
      </c>
      <c r="E223" s="387">
        <f t="shared" si="73"/>
        <v>61.332170759000036</v>
      </c>
      <c r="F223" s="387">
        <f t="shared" si="76"/>
        <v>61.3460462503919</v>
      </c>
      <c r="G223" s="110">
        <f t="shared" si="74"/>
        <v>1.0215550704374565</v>
      </c>
      <c r="H223" s="416" t="b">
        <f>Wh_hp&gt;='2018'!Maxi_hp</f>
        <v>1</v>
      </c>
      <c r="I223" s="392">
        <f>IF(H223,Wh_hp,'2018'!Maxi_hp)</f>
        <v>61.3460462503919</v>
      </c>
      <c r="J223" s="85">
        <f>IF(H223,An,'2018'!An_max)</f>
        <v>2019</v>
      </c>
      <c r="K223" s="199">
        <f t="shared" si="77"/>
        <v>43674</v>
      </c>
      <c r="L223" s="147">
        <f>IF(t&lt;Tvie,1-EXP((T0-t)*PertePVj)+'2018'!Pspv,1-EXP((T0-t)*PertePVj)+Pspv)</f>
        <v>8.3659045559717482E-3</v>
      </c>
      <c r="M223" s="872"/>
      <c r="N223" s="872"/>
      <c r="O223" s="48">
        <f>IF(t&lt;Tnet,'2018'!Resal+('2018'!Salim-'2018'!Resal)*(1-EXP(('2018'!Tnet-t)/('2018'!Tau_j))),Resal+(Salim-Resal)*(1-EXP((Tnet-t)/(Tau_j))))*Salcycl</f>
        <v>7.3415649885021014E-2</v>
      </c>
      <c r="P223" s="171">
        <f>(INDEX(Models!$BJ223:$BT223,,T223)*(1-R223)+INDEX(Models!$BJ223:$BT223,,T223+1)*R223-ERP_i)*Q223*Ramure*Pc/MaxiM</f>
        <v>2.2618395544559178E-4</v>
      </c>
      <c r="Q223" s="307">
        <f t="shared" si="78"/>
        <v>0.9</v>
      </c>
      <c r="R223" s="179">
        <f t="shared" si="79"/>
        <v>0.5143836735971723</v>
      </c>
      <c r="S223" s="839">
        <f t="shared" si="80"/>
        <v>-2</v>
      </c>
      <c r="T223" s="178">
        <f t="shared" si="81"/>
        <v>4</v>
      </c>
      <c r="U223" s="253">
        <f t="shared" si="82"/>
        <v>-1.4856163264028277</v>
      </c>
      <c r="V223" s="385">
        <f t="shared" si="83"/>
        <v>55.164916342559728</v>
      </c>
      <c r="W223" s="58"/>
      <c r="X223" s="157">
        <f t="shared" si="84"/>
        <v>43674</v>
      </c>
      <c r="Y223" s="387">
        <f t="shared" si="85"/>
        <v>56.353999999999999</v>
      </c>
      <c r="Z223" s="387">
        <f t="shared" si="86"/>
        <v>56.829429583868965</v>
      </c>
      <c r="AA223" s="388">
        <f t="shared" si="87"/>
        <v>61.332170759000036</v>
      </c>
      <c r="AB223" s="199">
        <f t="shared" si="88"/>
        <v>43674</v>
      </c>
      <c r="AC223" s="428">
        <f>IF(OR(t&lt;Tnet,NoTnet),'2018'!Resal_s+('2018'!Salim-'2018'!Resal_s)*(1-EXP(('2018'!Tnet_s-t)/'2018'!Tau_j)),Resal_s+(Salim-Resal_s)*(1-EXP((Tnet_s-t)/Tau_j)))*Salcycl</f>
        <v>7.3415649885021014E-2</v>
      </c>
      <c r="AD223" s="233">
        <f>(INDEX(Models!$BJ223:$BT223,,AH223)*(1-AF223)+INDEX(Models!$BJ223:$BT223,,AH223+1)*AF223-ERP_i)*AE223*Ramure*Pc/MaxiM</f>
        <v>2.2618395544559178E-4</v>
      </c>
      <c r="AE223" s="307">
        <f t="shared" si="89"/>
        <v>0.9</v>
      </c>
      <c r="AF223" s="179">
        <f t="shared" si="90"/>
        <v>0.5143836735971723</v>
      </c>
      <c r="AG223" s="178">
        <f t="shared" si="91"/>
        <v>-2</v>
      </c>
      <c r="AH223" s="178">
        <f t="shared" si="92"/>
        <v>4</v>
      </c>
      <c r="AI223" s="227">
        <f t="shared" si="93"/>
        <v>-1.4856163264028277</v>
      </c>
      <c r="AJ223" s="267" t="b">
        <f t="shared" si="94"/>
        <v>0</v>
      </c>
      <c r="AK223" s="267" t="b">
        <f t="shared" si="95"/>
        <v>0</v>
      </c>
      <c r="AL223" s="267"/>
      <c r="AM223" s="267"/>
      <c r="AN223" s="75"/>
    </row>
    <row r="224" spans="1:40" s="6" customFormat="1" ht="11.25" customHeight="1" x14ac:dyDescent="0.2">
      <c r="A224" s="56">
        <f t="shared" si="96"/>
        <v>43675</v>
      </c>
      <c r="B224" s="620">
        <v>55.177999999999997</v>
      </c>
      <c r="C224" s="392"/>
      <c r="D224" s="395">
        <f t="shared" si="75"/>
        <v>55.644803215287737</v>
      </c>
      <c r="E224" s="387">
        <f t="shared" si="73"/>
        <v>60.064413648876958</v>
      </c>
      <c r="F224" s="387">
        <f t="shared" si="76"/>
        <v>60.078998480863916</v>
      </c>
      <c r="G224" s="110">
        <f t="shared" si="74"/>
        <v>1.0031612882542331</v>
      </c>
      <c r="H224" s="416" t="b">
        <f>Wh_hp&gt;='2018'!Maxi_hp</f>
        <v>1</v>
      </c>
      <c r="I224" s="392">
        <f>IF(H224,Wh_hp,'2018'!Maxi_hp)</f>
        <v>60.078998480863916</v>
      </c>
      <c r="J224" s="85">
        <f>IF(H224,An,'2018'!An_max)</f>
        <v>2019</v>
      </c>
      <c r="K224" s="199">
        <f t="shared" si="77"/>
        <v>43675</v>
      </c>
      <c r="L224" s="147">
        <f>IF(t&lt;Tvie,1-EXP((T0-t)*PertePVj)+'2018'!Pspv,1-EXP((T0-t)*PertePVj)+Pspv)</f>
        <v>8.3889813300569438E-3</v>
      </c>
      <c r="M224" s="872"/>
      <c r="N224" s="872"/>
      <c r="O224" s="48">
        <f>IF(t&lt;Tnet,'2018'!Resal+('2018'!Salim-'2018'!Resal)*(1-EXP(('2018'!Tnet-t)/('2018'!Tau_j))),Resal+(Salim-Resal)*(1-EXP((Tnet-t)/(Tau_j))))*Salcycl</f>
        <v>7.3581180021589282E-2</v>
      </c>
      <c r="P224" s="171">
        <f>(INDEX(Models!$BJ224:$BT224,,T224)*(1-R224)+INDEX(Models!$BJ224:$BT224,,T224+1)*R224-ERP_i)*Q224*Ramure*Pc/MaxiM</f>
        <v>2.427609040720746E-4</v>
      </c>
      <c r="Q224" s="307">
        <f t="shared" si="78"/>
        <v>0.9</v>
      </c>
      <c r="R224" s="179">
        <f t="shared" si="79"/>
        <v>0.51742513020281899</v>
      </c>
      <c r="S224" s="839">
        <f t="shared" si="80"/>
        <v>-2</v>
      </c>
      <c r="T224" s="178">
        <f t="shared" si="81"/>
        <v>4</v>
      </c>
      <c r="U224" s="253">
        <f t="shared" si="82"/>
        <v>-1.482574869797181</v>
      </c>
      <c r="V224" s="385">
        <f t="shared" si="83"/>
        <v>55.004116133731962</v>
      </c>
      <c r="W224" s="58"/>
      <c r="X224" s="157">
        <f t="shared" si="84"/>
        <v>43675</v>
      </c>
      <c r="Y224" s="387">
        <f t="shared" si="85"/>
        <v>55.177999999999997</v>
      </c>
      <c r="Z224" s="387">
        <f t="shared" si="86"/>
        <v>55.644803215287737</v>
      </c>
      <c r="AA224" s="388">
        <f t="shared" si="87"/>
        <v>60.064413648876958</v>
      </c>
      <c r="AB224" s="199">
        <f t="shared" si="88"/>
        <v>43675</v>
      </c>
      <c r="AC224" s="428">
        <f>IF(OR(t&lt;Tnet,NoTnet),'2018'!Resal_s+('2018'!Salim-'2018'!Resal_s)*(1-EXP(('2018'!Tnet_s-t)/'2018'!Tau_j)),Resal_s+(Salim-Resal_s)*(1-EXP((Tnet_s-t)/Tau_j)))*Salcycl</f>
        <v>7.3581180021589282E-2</v>
      </c>
      <c r="AD224" s="233">
        <f>(INDEX(Models!$BJ224:$BT224,,AH224)*(1-AF224)+INDEX(Models!$BJ224:$BT224,,AH224+1)*AF224-ERP_i)*AE224*Ramure*Pc/MaxiM</f>
        <v>2.427609040720746E-4</v>
      </c>
      <c r="AE224" s="307">
        <f t="shared" si="89"/>
        <v>0.9</v>
      </c>
      <c r="AF224" s="179">
        <f t="shared" si="90"/>
        <v>0.51742513020281899</v>
      </c>
      <c r="AG224" s="178">
        <f t="shared" si="91"/>
        <v>-2</v>
      </c>
      <c r="AH224" s="178">
        <f t="shared" si="92"/>
        <v>4</v>
      </c>
      <c r="AI224" s="227">
        <f t="shared" si="93"/>
        <v>-1.482574869797181</v>
      </c>
      <c r="AJ224" s="267" t="b">
        <f t="shared" si="94"/>
        <v>0</v>
      </c>
      <c r="AK224" s="267" t="b">
        <f t="shared" si="95"/>
        <v>0</v>
      </c>
      <c r="AL224" s="267"/>
      <c r="AM224" s="267"/>
      <c r="AN224" s="75"/>
    </row>
    <row r="225" spans="1:40" s="6" customFormat="1" ht="11.25" customHeight="1" x14ac:dyDescent="0.2">
      <c r="A225" s="56">
        <f t="shared" si="96"/>
        <v>43676</v>
      </c>
      <c r="B225" s="620">
        <v>27.228999999999999</v>
      </c>
      <c r="C225" s="392"/>
      <c r="D225" s="395">
        <f t="shared" si="75"/>
        <v>27.459995059230856</v>
      </c>
      <c r="E225" s="387">
        <f t="shared" si="73"/>
        <v>29.646296316397194</v>
      </c>
      <c r="F225" s="387">
        <f t="shared" si="76"/>
        <v>29.648462711135775</v>
      </c>
      <c r="G225" s="110">
        <f t="shared" si="74"/>
        <v>0.49641794884766427</v>
      </c>
      <c r="H225" s="416" t="b">
        <f>Wh_hp&gt;='2018'!Maxi_hp</f>
        <v>1</v>
      </c>
      <c r="I225" s="392">
        <f>IF(H225,Wh_hp,'2018'!Maxi_hp)</f>
        <v>29.648462711135775</v>
      </c>
      <c r="J225" s="85">
        <f>IF(H225,An,'2018'!An_max)</f>
        <v>2019</v>
      </c>
      <c r="K225" s="199">
        <f t="shared" si="77"/>
        <v>43676</v>
      </c>
      <c r="L225" s="147">
        <f>IF(t&lt;Tvie,1-EXP((T0-t)*PertePVj)+'2018'!Pspv,1-EXP((T0-t)*PertePVj)+Pspv)</f>
        <v>8.4120575671118303E-3</v>
      </c>
      <c r="M225" s="872"/>
      <c r="N225" s="872"/>
      <c r="O225" s="48">
        <f>IF(t&lt;Tnet,'2018'!Resal+('2018'!Salim-'2018'!Resal)*(1-EXP(('2018'!Tnet-t)/('2018'!Tau_j))),Resal+(Salim-Resal)*(1-EXP((Tnet-t)/(Tau_j))))*Salcycl</f>
        <v>7.374618515018716E-2</v>
      </c>
      <c r="P225" s="171">
        <f>(INDEX(Models!$BJ225:$BT225,,T225)*(1-R225)+INDEX(Models!$BJ225:$BT225,,T225+1)*R225-ERP_i)*Q225*Ramure*Pc/MaxiM</f>
        <v>2.6028358907573696E-4</v>
      </c>
      <c r="Q225" s="307">
        <f t="shared" si="78"/>
        <v>0.9</v>
      </c>
      <c r="R225" s="179">
        <f t="shared" si="79"/>
        <v>0.52037252716845428</v>
      </c>
      <c r="S225" s="839">
        <f t="shared" si="80"/>
        <v>-2</v>
      </c>
      <c r="T225" s="178">
        <f t="shared" si="81"/>
        <v>4</v>
      </c>
      <c r="U225" s="253">
        <f t="shared" si="82"/>
        <v>-1.4796274728315457</v>
      </c>
      <c r="V225" s="385">
        <f t="shared" si="83"/>
        <v>54.840688244533837</v>
      </c>
      <c r="W225" s="58"/>
      <c r="X225" s="157">
        <f t="shared" si="84"/>
        <v>43676</v>
      </c>
      <c r="Y225" s="387">
        <f t="shared" si="85"/>
        <v>27.228999999999999</v>
      </c>
      <c r="Z225" s="387">
        <f t="shared" si="86"/>
        <v>27.459995059230856</v>
      </c>
      <c r="AA225" s="388">
        <f t="shared" si="87"/>
        <v>29.646296316397194</v>
      </c>
      <c r="AB225" s="199">
        <f t="shared" si="88"/>
        <v>43676</v>
      </c>
      <c r="AC225" s="428">
        <f>IF(OR(t&lt;Tnet,NoTnet),'2018'!Resal_s+('2018'!Salim-'2018'!Resal_s)*(1-EXP(('2018'!Tnet_s-t)/'2018'!Tau_j)),Resal_s+(Salim-Resal_s)*(1-EXP((Tnet_s-t)/Tau_j)))*Salcycl</f>
        <v>7.374618515018716E-2</v>
      </c>
      <c r="AD225" s="233">
        <f>(INDEX(Models!$BJ225:$BT225,,AH225)*(1-AF225)+INDEX(Models!$BJ225:$BT225,,AH225+1)*AF225-ERP_i)*AE225*Ramure*Pc/MaxiM</f>
        <v>2.6028358907573696E-4</v>
      </c>
      <c r="AE225" s="307">
        <f t="shared" si="89"/>
        <v>0.9</v>
      </c>
      <c r="AF225" s="179">
        <f t="shared" si="90"/>
        <v>0.52037252716845428</v>
      </c>
      <c r="AG225" s="178">
        <f t="shared" si="91"/>
        <v>-2</v>
      </c>
      <c r="AH225" s="178">
        <f t="shared" si="92"/>
        <v>4</v>
      </c>
      <c r="AI225" s="227">
        <f t="shared" si="93"/>
        <v>-1.4796274728315457</v>
      </c>
      <c r="AJ225" s="267" t="b">
        <f t="shared" si="94"/>
        <v>0</v>
      </c>
      <c r="AK225" s="267" t="b">
        <f t="shared" si="95"/>
        <v>0</v>
      </c>
      <c r="AL225" s="267"/>
      <c r="AM225" s="267"/>
      <c r="AN225" s="75"/>
    </row>
    <row r="226" spans="1:40" s="6" customFormat="1" ht="11.25" customHeight="1" x14ac:dyDescent="0.2">
      <c r="A226" s="56">
        <f t="shared" si="96"/>
        <v>43677</v>
      </c>
      <c r="B226" s="620">
        <v>50.145000000000003</v>
      </c>
      <c r="C226" s="392"/>
      <c r="D226" s="395">
        <f t="shared" si="75"/>
        <v>50.571577999959686</v>
      </c>
      <c r="E226" s="387">
        <f t="shared" si="73"/>
        <v>54.607668165908713</v>
      </c>
      <c r="F226" s="387">
        <f t="shared" si="76"/>
        <v>54.621174999858518</v>
      </c>
      <c r="G226" s="110">
        <f t="shared" si="74"/>
        <v>0.91712750312778168</v>
      </c>
      <c r="H226" s="416" t="b">
        <f>Wh_hp&gt;='2018'!Maxi_hp</f>
        <v>1</v>
      </c>
      <c r="I226" s="392">
        <f>IF(H226,Wh_hp,'2018'!Maxi_hp)</f>
        <v>54.621174999858518</v>
      </c>
      <c r="J226" s="85">
        <f>IF(H226,An,'2018'!An_max)</f>
        <v>2019</v>
      </c>
      <c r="K226" s="199">
        <f t="shared" si="77"/>
        <v>43677</v>
      </c>
      <c r="L226" s="147">
        <f>IF(t&lt;Tvie,1-EXP((T0-t)*PertePVj)+'2018'!Pspv,1-EXP((T0-t)*PertePVj)+Pspv)</f>
        <v>8.4351332671490642E-3</v>
      </c>
      <c r="M226" s="872"/>
      <c r="N226" s="872"/>
      <c r="O226" s="48">
        <f>IF(t&lt;Tnet,'2018'!Resal+('2018'!Salim-'2018'!Resal)*(1-EXP(('2018'!Tnet-t)/('2018'!Tau_j))),Resal+(Salim-Resal)*(1-EXP((Tnet-t)/(Tau_j))))*Salcycl</f>
        <v>7.3910685101707702E-2</v>
      </c>
      <c r="P226" s="171">
        <f>(INDEX(Models!$BJ226:$BT226,,T226)*(1-R226)+INDEX(Models!$BJ226:$BT226,,T226+1)*R226-ERP_i)*Q226*Ramure*Pc/MaxiM</f>
        <v>2.8047504855878099E-4</v>
      </c>
      <c r="Q226" s="307">
        <f t="shared" si="78"/>
        <v>0.9</v>
      </c>
      <c r="R226" s="179">
        <f t="shared" si="79"/>
        <v>0.52322778666011671</v>
      </c>
      <c r="S226" s="839">
        <f t="shared" si="80"/>
        <v>-2</v>
      </c>
      <c r="T226" s="178">
        <f t="shared" si="81"/>
        <v>4</v>
      </c>
      <c r="U226" s="253">
        <f t="shared" si="82"/>
        <v>-1.4767722133398833</v>
      </c>
      <c r="V226" s="385">
        <f t="shared" si="83"/>
        <v>54.67433366940228</v>
      </c>
      <c r="W226" s="58"/>
      <c r="X226" s="157">
        <f t="shared" si="84"/>
        <v>43677</v>
      </c>
      <c r="Y226" s="387">
        <f t="shared" si="85"/>
        <v>50.145000000000003</v>
      </c>
      <c r="Z226" s="387">
        <f t="shared" si="86"/>
        <v>50.571577999959686</v>
      </c>
      <c r="AA226" s="388">
        <f t="shared" si="87"/>
        <v>54.607668165908713</v>
      </c>
      <c r="AB226" s="199">
        <f t="shared" si="88"/>
        <v>43677</v>
      </c>
      <c r="AC226" s="428">
        <f>IF(OR(t&lt;Tnet,NoTnet),'2018'!Resal_s+('2018'!Salim-'2018'!Resal_s)*(1-EXP(('2018'!Tnet_s-t)/'2018'!Tau_j)),Resal_s+(Salim-Resal_s)*(1-EXP((Tnet_s-t)/Tau_j)))*Salcycl</f>
        <v>7.3910685101707702E-2</v>
      </c>
      <c r="AD226" s="233">
        <f>(INDEX(Models!$BJ226:$BT226,,AH226)*(1-AF226)+INDEX(Models!$BJ226:$BT226,,AH226+1)*AF226-ERP_i)*AE226*Ramure*Pc/MaxiM</f>
        <v>2.8047504855878099E-4</v>
      </c>
      <c r="AE226" s="307">
        <f t="shared" si="89"/>
        <v>0.9</v>
      </c>
      <c r="AF226" s="179">
        <f t="shared" si="90"/>
        <v>0.52322778666011671</v>
      </c>
      <c r="AG226" s="178">
        <f t="shared" si="91"/>
        <v>-2</v>
      </c>
      <c r="AH226" s="178">
        <f t="shared" si="92"/>
        <v>4</v>
      </c>
      <c r="AI226" s="227">
        <f t="shared" si="93"/>
        <v>-1.4767722133398833</v>
      </c>
      <c r="AJ226" s="267" t="b">
        <f t="shared" si="94"/>
        <v>0</v>
      </c>
      <c r="AK226" s="267" t="b">
        <f t="shared" si="95"/>
        <v>0</v>
      </c>
      <c r="AL226" s="267"/>
      <c r="AM226" s="267"/>
      <c r="AN226" s="75"/>
    </row>
    <row r="227" spans="1:40" s="6" customFormat="1" ht="11.25" customHeight="1" x14ac:dyDescent="0.2">
      <c r="A227" s="56">
        <f t="shared" si="96"/>
        <v>43678</v>
      </c>
      <c r="B227" s="620">
        <v>47.914999999999999</v>
      </c>
      <c r="C227" s="392"/>
      <c r="D227" s="395">
        <f t="shared" si="75"/>
        <v>48.323732199063926</v>
      </c>
      <c r="E227" s="387">
        <f t="shared" si="73"/>
        <v>52.189665908663663</v>
      </c>
      <c r="F227" s="387">
        <f t="shared" si="76"/>
        <v>52.202762754844649</v>
      </c>
      <c r="G227" s="110">
        <f t="shared" si="74"/>
        <v>0.87904997799511486</v>
      </c>
      <c r="H227" s="416" t="b">
        <f>Wh_hp&gt;='2018'!Maxi_hp</f>
        <v>1</v>
      </c>
      <c r="I227" s="392">
        <f>IF(H227,Wh_hp,'2018'!Maxi_hp)</f>
        <v>52.202762754844649</v>
      </c>
      <c r="J227" s="85">
        <f>IF(H227,An,'2018'!An_max)</f>
        <v>2019</v>
      </c>
      <c r="K227" s="199">
        <f t="shared" si="77"/>
        <v>43678</v>
      </c>
      <c r="L227" s="147">
        <f>IF(t&lt;Tvie,1-EXP((T0-t)*PertePVj)+'2018'!Pspv,1-EXP((T0-t)*PertePVj)+Pspv)</f>
        <v>8.458208430180969E-3</v>
      </c>
      <c r="M227" s="872"/>
      <c r="N227" s="872"/>
      <c r="O227" s="48">
        <f>IF(t&lt;Tnet,'2018'!Resal+('2018'!Salim-'2018'!Resal)*(1-EXP(('2018'!Tnet-t)/('2018'!Tau_j))),Resal+(Salim-Resal)*(1-EXP((Tnet-t)/(Tau_j))))*Salcycl</f>
        <v>7.407469740016058E-2</v>
      </c>
      <c r="P227" s="171">
        <f>(INDEX(Models!$BJ227:$BT227,,T227)*(1-R227)+INDEX(Models!$BJ227:$BT227,,T227+1)*R227-ERP_i)*Q227*Ramure*Pc/MaxiM</f>
        <v>3.0326387956540967E-4</v>
      </c>
      <c r="Q227" s="307">
        <f t="shared" si="78"/>
        <v>0.9</v>
      </c>
      <c r="R227" s="179">
        <f t="shared" si="79"/>
        <v>0.52599286328025352</v>
      </c>
      <c r="S227" s="839">
        <f t="shared" si="80"/>
        <v>-2</v>
      </c>
      <c r="T227" s="178">
        <f t="shared" si="81"/>
        <v>4</v>
      </c>
      <c r="U227" s="253">
        <f t="shared" si="82"/>
        <v>-1.4740071367197465</v>
      </c>
      <c r="V227" s="385">
        <f t="shared" si="83"/>
        <v>54.504852733286363</v>
      </c>
      <c r="W227" s="58"/>
      <c r="X227" s="157">
        <f t="shared" si="84"/>
        <v>43678</v>
      </c>
      <c r="Y227" s="387">
        <f t="shared" si="85"/>
        <v>47.914999999999999</v>
      </c>
      <c r="Z227" s="387">
        <f t="shared" si="86"/>
        <v>48.323732199063926</v>
      </c>
      <c r="AA227" s="388">
        <f t="shared" si="87"/>
        <v>52.189665908663663</v>
      </c>
      <c r="AB227" s="199">
        <f t="shared" si="88"/>
        <v>43678</v>
      </c>
      <c r="AC227" s="428">
        <f>IF(OR(t&lt;Tnet,NoTnet),'2018'!Resal_s+('2018'!Salim-'2018'!Resal_s)*(1-EXP(('2018'!Tnet_s-t)/'2018'!Tau_j)),Resal_s+(Salim-Resal_s)*(1-EXP((Tnet_s-t)/Tau_j)))*Salcycl</f>
        <v>7.407469740016058E-2</v>
      </c>
      <c r="AD227" s="233">
        <f>(INDEX(Models!$BJ227:$BT227,,AH227)*(1-AF227)+INDEX(Models!$BJ227:$BT227,,AH227+1)*AF227-ERP_i)*AE227*Ramure*Pc/MaxiM</f>
        <v>3.0326387956540967E-4</v>
      </c>
      <c r="AE227" s="307">
        <f t="shared" si="89"/>
        <v>0.9</v>
      </c>
      <c r="AF227" s="179">
        <f t="shared" si="90"/>
        <v>0.52599286328025352</v>
      </c>
      <c r="AG227" s="178">
        <f t="shared" si="91"/>
        <v>-2</v>
      </c>
      <c r="AH227" s="178">
        <f t="shared" si="92"/>
        <v>4</v>
      </c>
      <c r="AI227" s="227">
        <f t="shared" si="93"/>
        <v>-1.4740071367197465</v>
      </c>
      <c r="AJ227" s="267" t="b">
        <f t="shared" si="94"/>
        <v>0</v>
      </c>
      <c r="AK227" s="267" t="b">
        <f t="shared" si="95"/>
        <v>0</v>
      </c>
      <c r="AL227" s="267"/>
      <c r="AM227" s="267"/>
      <c r="AN227" s="75"/>
    </row>
    <row r="228" spans="1:40" s="6" customFormat="1" ht="11.25" customHeight="1" x14ac:dyDescent="0.2">
      <c r="A228" s="56">
        <f t="shared" si="96"/>
        <v>43679</v>
      </c>
      <c r="B228" s="620">
        <v>52.32</v>
      </c>
      <c r="C228" s="392"/>
      <c r="D228" s="395">
        <f t="shared" si="75"/>
        <v>52.767536412493762</v>
      </c>
      <c r="E228" s="387">
        <f t="shared" si="73"/>
        <v>56.99904504272051</v>
      </c>
      <c r="F228" s="387">
        <f t="shared" si="76"/>
        <v>57.016794472934762</v>
      </c>
      <c r="G228" s="110">
        <f t="shared" si="74"/>
        <v>0.96295095748488502</v>
      </c>
      <c r="H228" s="416" t="b">
        <f>Wh_hp&gt;='2018'!Maxi_hp</f>
        <v>1</v>
      </c>
      <c r="I228" s="392">
        <f>IF(H228,Wh_hp,'2018'!Maxi_hp)</f>
        <v>57.016794472934762</v>
      </c>
      <c r="J228" s="85">
        <f>IF(H228,An,'2018'!An_max)</f>
        <v>2019</v>
      </c>
      <c r="K228" s="199">
        <f t="shared" si="77"/>
        <v>43679</v>
      </c>
      <c r="L228" s="147">
        <f>IF(t&lt;Tvie,1-EXP((T0-t)*PertePVj)+'2018'!Pspv,1-EXP((T0-t)*PertePVj)+Pspv)</f>
        <v>8.4812830562200903E-3</v>
      </c>
      <c r="M228" s="872"/>
      <c r="N228" s="872"/>
      <c r="O228" s="48">
        <f>IF(t&lt;Tnet,'2018'!Resal+('2018'!Salim-'2018'!Resal)*(1-EXP(('2018'!Tnet-t)/('2018'!Tau_j))),Resal+(Salim-Resal)*(1-EXP((Tnet-t)/(Tau_j))))*Salcycl</f>
        <v>7.4238237273190302E-2</v>
      </c>
      <c r="P228" s="171">
        <f>(INDEX(Models!$BJ228:$BT228,,T228)*(1-R228)+INDEX(Models!$BJ228:$BT228,,T228+1)*R228-ERP_i)*Q228*Ramure*Pc/MaxiM</f>
        <v>3.2869059977075007E-4</v>
      </c>
      <c r="Q228" s="307">
        <f t="shared" si="78"/>
        <v>0.9</v>
      </c>
      <c r="R228" s="179">
        <f t="shared" si="79"/>
        <v>0.52866973759874503</v>
      </c>
      <c r="S228" s="839">
        <f t="shared" si="80"/>
        <v>-2</v>
      </c>
      <c r="T228" s="178">
        <f t="shared" si="81"/>
        <v>4</v>
      </c>
      <c r="U228" s="253">
        <f t="shared" si="82"/>
        <v>-1.471330262401255</v>
      </c>
      <c r="V228" s="385">
        <f t="shared" si="83"/>
        <v>54.33203999386523</v>
      </c>
      <c r="W228" s="58"/>
      <c r="X228" s="157">
        <f t="shared" si="84"/>
        <v>43679</v>
      </c>
      <c r="Y228" s="387">
        <f t="shared" si="85"/>
        <v>52.32</v>
      </c>
      <c r="Z228" s="387">
        <f t="shared" si="86"/>
        <v>52.767536412493762</v>
      </c>
      <c r="AA228" s="388">
        <f t="shared" si="87"/>
        <v>56.99904504272051</v>
      </c>
      <c r="AB228" s="199">
        <f t="shared" si="88"/>
        <v>43679</v>
      </c>
      <c r="AC228" s="428">
        <f>IF(OR(t&lt;Tnet,NoTnet),'2018'!Resal_s+('2018'!Salim-'2018'!Resal_s)*(1-EXP(('2018'!Tnet_s-t)/'2018'!Tau_j)),Resal_s+(Salim-Resal_s)*(1-EXP((Tnet_s-t)/Tau_j)))*Salcycl</f>
        <v>7.4238237273190302E-2</v>
      </c>
      <c r="AD228" s="233">
        <f>(INDEX(Models!$BJ228:$BT228,,AH228)*(1-AF228)+INDEX(Models!$BJ228:$BT228,,AH228+1)*AF228-ERP_i)*AE228*Ramure*Pc/MaxiM</f>
        <v>3.2869059977075007E-4</v>
      </c>
      <c r="AE228" s="307">
        <f t="shared" si="89"/>
        <v>0.9</v>
      </c>
      <c r="AF228" s="179">
        <f t="shared" si="90"/>
        <v>0.52866973759874503</v>
      </c>
      <c r="AG228" s="178">
        <f t="shared" si="91"/>
        <v>-2</v>
      </c>
      <c r="AH228" s="178">
        <f t="shared" si="92"/>
        <v>4</v>
      </c>
      <c r="AI228" s="227">
        <f t="shared" si="93"/>
        <v>-1.471330262401255</v>
      </c>
      <c r="AJ228" s="267" t="b">
        <f t="shared" si="94"/>
        <v>0</v>
      </c>
      <c r="AK228" s="267" t="b">
        <f t="shared" si="95"/>
        <v>0</v>
      </c>
      <c r="AL228" s="267"/>
      <c r="AM228" s="267"/>
      <c r="AN228" s="75"/>
    </row>
    <row r="229" spans="1:40" s="6" customFormat="1" ht="11.25" customHeight="1" x14ac:dyDescent="0.2">
      <c r="A229" s="56">
        <f t="shared" si="96"/>
        <v>43680</v>
      </c>
      <c r="B229" s="620">
        <v>52.585000000000001</v>
      </c>
      <c r="C229" s="392"/>
      <c r="D229" s="395">
        <f t="shared" si="75"/>
        <v>53.036037403651022</v>
      </c>
      <c r="E229" s="387">
        <f t="shared" si="73"/>
        <v>57.299171246256066</v>
      </c>
      <c r="F229" s="387">
        <f t="shared" si="76"/>
        <v>57.318775039173993</v>
      </c>
      <c r="G229" s="110">
        <f t="shared" si="74"/>
        <v>0.97098240298041072</v>
      </c>
      <c r="H229" s="416" t="b">
        <f>Wh_hp&gt;='2018'!Maxi_hp</f>
        <v>1</v>
      </c>
      <c r="I229" s="392">
        <f>IF(H229,Wh_hp,'2018'!Maxi_hp)</f>
        <v>57.318775039173993</v>
      </c>
      <c r="J229" s="85">
        <f>IF(H229,An,'2018'!An_max)</f>
        <v>2019</v>
      </c>
      <c r="K229" s="199">
        <f t="shared" si="77"/>
        <v>43680</v>
      </c>
      <c r="L229" s="147">
        <f>IF(t&lt;Tvie,1-EXP((T0-t)*PertePVj)+'2018'!Pspv,1-EXP((T0-t)*PertePVj)+Pspv)</f>
        <v>8.5043571452789735E-3</v>
      </c>
      <c r="M229" s="872"/>
      <c r="N229" s="872"/>
      <c r="O229" s="48">
        <f>IF(t&lt;Tnet,'2018'!Resal+('2018'!Salim-'2018'!Resal)*(1-EXP(('2018'!Tnet-t)/('2018'!Tau_j))),Resal+(Salim-Resal)*(1-EXP((Tnet-t)/(Tau_j))))*Salcycl</f>
        <v>7.4401317678457618E-2</v>
      </c>
      <c r="P229" s="171">
        <f>(INDEX(Models!$BJ229:$BT229,,T229)*(1-R229)+INDEX(Models!$BJ229:$BT229,,T229+1)*R229-ERP_i)*Q229*Ramure*Pc/MaxiM</f>
        <v>3.5679669356030201E-4</v>
      </c>
      <c r="Q229" s="307">
        <f t="shared" si="78"/>
        <v>0.9</v>
      </c>
      <c r="R229" s="179">
        <f t="shared" si="79"/>
        <v>0.53126041005055735</v>
      </c>
      <c r="S229" s="839">
        <f t="shared" si="80"/>
        <v>-2</v>
      </c>
      <c r="T229" s="178">
        <f t="shared" si="81"/>
        <v>4</v>
      </c>
      <c r="U229" s="253">
        <f t="shared" si="82"/>
        <v>-1.4687395899494426</v>
      </c>
      <c r="V229" s="385">
        <f t="shared" si="83"/>
        <v>54.155690357115049</v>
      </c>
      <c r="W229" s="58"/>
      <c r="X229" s="157">
        <f t="shared" si="84"/>
        <v>43680</v>
      </c>
      <c r="Y229" s="387">
        <f t="shared" si="85"/>
        <v>52.585000000000001</v>
      </c>
      <c r="Z229" s="387">
        <f t="shared" si="86"/>
        <v>53.036037403651022</v>
      </c>
      <c r="AA229" s="388">
        <f t="shared" si="87"/>
        <v>57.299171246256066</v>
      </c>
      <c r="AB229" s="199">
        <f t="shared" si="88"/>
        <v>43680</v>
      </c>
      <c r="AC229" s="428">
        <f>IF(OR(t&lt;Tnet,NoTnet),'2018'!Resal_s+('2018'!Salim-'2018'!Resal_s)*(1-EXP(('2018'!Tnet_s-t)/'2018'!Tau_j)),Resal_s+(Salim-Resal_s)*(1-EXP((Tnet_s-t)/Tau_j)))*Salcycl</f>
        <v>7.4401317678457618E-2</v>
      </c>
      <c r="AD229" s="233">
        <f>(INDEX(Models!$BJ229:$BT229,,AH229)*(1-AF229)+INDEX(Models!$BJ229:$BT229,,AH229+1)*AF229-ERP_i)*AE229*Ramure*Pc/MaxiM</f>
        <v>3.5679669356030201E-4</v>
      </c>
      <c r="AE229" s="307">
        <f t="shared" si="89"/>
        <v>0.9</v>
      </c>
      <c r="AF229" s="179">
        <f t="shared" si="90"/>
        <v>0.53126041005055735</v>
      </c>
      <c r="AG229" s="178">
        <f t="shared" si="91"/>
        <v>-2</v>
      </c>
      <c r="AH229" s="178">
        <f t="shared" si="92"/>
        <v>4</v>
      </c>
      <c r="AI229" s="227">
        <f t="shared" si="93"/>
        <v>-1.4687395899494426</v>
      </c>
      <c r="AJ229" s="267" t="b">
        <f t="shared" si="94"/>
        <v>0</v>
      </c>
      <c r="AK229" s="267" t="b">
        <f t="shared" si="95"/>
        <v>0</v>
      </c>
      <c r="AL229" s="267"/>
      <c r="AM229" s="267"/>
      <c r="AN229" s="75"/>
    </row>
    <row r="230" spans="1:40" s="6" customFormat="1" ht="11.25" customHeight="1" x14ac:dyDescent="0.2">
      <c r="A230" s="56">
        <f t="shared" si="96"/>
        <v>43681</v>
      </c>
      <c r="B230" s="620">
        <v>48.545999999999999</v>
      </c>
      <c r="C230" s="392"/>
      <c r="D230" s="395">
        <f t="shared" si="75"/>
        <v>48.963533135511462</v>
      </c>
      <c r="E230" s="387">
        <f t="shared" si="73"/>
        <v>52.908607894452317</v>
      </c>
      <c r="F230" s="387">
        <f t="shared" si="76"/>
        <v>52.926175209989978</v>
      </c>
      <c r="G230" s="110">
        <f t="shared" si="74"/>
        <v>0.89935629724016286</v>
      </c>
      <c r="H230" s="416" t="b">
        <f>Wh_hp&gt;='2018'!Maxi_hp</f>
        <v>1</v>
      </c>
      <c r="I230" s="392">
        <f>IF(H230,Wh_hp,'2018'!Maxi_hp)</f>
        <v>52.926175209989978</v>
      </c>
      <c r="J230" s="85">
        <f>IF(H230,An,'2018'!An_max)</f>
        <v>2019</v>
      </c>
      <c r="K230" s="199">
        <f t="shared" si="77"/>
        <v>43681</v>
      </c>
      <c r="L230" s="147">
        <f>IF(t&lt;Tvie,1-EXP((T0-t)*PertePVj)+'2018'!Pspv,1-EXP((T0-t)*PertePVj)+Pspv)</f>
        <v>8.5274306973701641E-3</v>
      </c>
      <c r="M230" s="872"/>
      <c r="N230" s="872"/>
      <c r="O230" s="48">
        <f>IF(t&lt;Tnet,'2018'!Resal+('2018'!Salim-'2018'!Resal)*(1-EXP(('2018'!Tnet-t)/('2018'!Tau_j))),Resal+(Salim-Resal)*(1-EXP((Tnet-t)/(Tau_j))))*Salcycl</f>
        <v>7.4563949344706046E-2</v>
      </c>
      <c r="P230" s="171">
        <f>(INDEX(Models!$BJ230:$BT230,,T230)*(1-R230)+INDEX(Models!$BJ230:$BT230,,T230+1)*R230-ERP_i)*Q230*Ramure*Pc/MaxiM</f>
        <v>3.8762479174751124E-4</v>
      </c>
      <c r="Q230" s="307">
        <f t="shared" si="78"/>
        <v>0.9</v>
      </c>
      <c r="R230" s="179">
        <f t="shared" si="79"/>
        <v>0.53376689519910481</v>
      </c>
      <c r="S230" s="839">
        <f t="shared" si="80"/>
        <v>-2</v>
      </c>
      <c r="T230" s="178">
        <f t="shared" si="81"/>
        <v>4</v>
      </c>
      <c r="U230" s="253">
        <f t="shared" si="82"/>
        <v>-1.4662331048008952</v>
      </c>
      <c r="V230" s="385">
        <f t="shared" si="83"/>
        <v>53.975599059915055</v>
      </c>
      <c r="W230" s="58"/>
      <c r="X230" s="157">
        <f t="shared" si="84"/>
        <v>43681</v>
      </c>
      <c r="Y230" s="387">
        <f t="shared" si="85"/>
        <v>48.545999999999999</v>
      </c>
      <c r="Z230" s="387">
        <f t="shared" si="86"/>
        <v>48.963533135511462</v>
      </c>
      <c r="AA230" s="388">
        <f t="shared" si="87"/>
        <v>52.908607894452317</v>
      </c>
      <c r="AB230" s="199">
        <f t="shared" si="88"/>
        <v>43681</v>
      </c>
      <c r="AC230" s="428">
        <f>IF(OR(t&lt;Tnet,NoTnet),'2018'!Resal_s+('2018'!Salim-'2018'!Resal_s)*(1-EXP(('2018'!Tnet_s-t)/'2018'!Tau_j)),Resal_s+(Salim-Resal_s)*(1-EXP((Tnet_s-t)/Tau_j)))*Salcycl</f>
        <v>7.4563949344706046E-2</v>
      </c>
      <c r="AD230" s="233">
        <f>(INDEX(Models!$BJ230:$BT230,,AH230)*(1-AF230)+INDEX(Models!$BJ230:$BT230,,AH230+1)*AF230-ERP_i)*AE230*Ramure*Pc/MaxiM</f>
        <v>3.8762479174751124E-4</v>
      </c>
      <c r="AE230" s="307">
        <f t="shared" si="89"/>
        <v>0.9</v>
      </c>
      <c r="AF230" s="179">
        <f t="shared" si="90"/>
        <v>0.53376689519910481</v>
      </c>
      <c r="AG230" s="178">
        <f t="shared" si="91"/>
        <v>-2</v>
      </c>
      <c r="AH230" s="178">
        <f t="shared" si="92"/>
        <v>4</v>
      </c>
      <c r="AI230" s="227">
        <f t="shared" si="93"/>
        <v>-1.4662331048008952</v>
      </c>
      <c r="AJ230" s="267" t="b">
        <f t="shared" si="94"/>
        <v>0</v>
      </c>
      <c r="AK230" s="267" t="b">
        <f t="shared" si="95"/>
        <v>0</v>
      </c>
      <c r="AL230" s="267"/>
      <c r="AM230" s="267"/>
      <c r="AN230" s="75"/>
    </row>
    <row r="231" spans="1:40" s="6" customFormat="1" ht="11.25" customHeight="1" x14ac:dyDescent="0.2">
      <c r="A231" s="56">
        <f t="shared" si="96"/>
        <v>43682</v>
      </c>
      <c r="B231" s="620">
        <v>49.357999999999997</v>
      </c>
      <c r="C231" s="392"/>
      <c r="D231" s="395">
        <f t="shared" si="75"/>
        <v>49.783675502203785</v>
      </c>
      <c r="E231" s="387">
        <f t="shared" si="73"/>
        <v>53.804260229136119</v>
      </c>
      <c r="F231" s="387">
        <f t="shared" si="76"/>
        <v>53.824262544876554</v>
      </c>
      <c r="G231" s="110">
        <f t="shared" si="74"/>
        <v>0.91753333768306777</v>
      </c>
      <c r="H231" s="416" t="b">
        <f>Wh_hp&gt;='2018'!Maxi_hp</f>
        <v>1</v>
      </c>
      <c r="I231" s="392">
        <f>IF(H231,Wh_hp,'2018'!Maxi_hp)</f>
        <v>53.824262544876554</v>
      </c>
      <c r="J231" s="85">
        <f>IF(H231,An,'2018'!An_max)</f>
        <v>2019</v>
      </c>
      <c r="K231" s="199">
        <f t="shared" si="77"/>
        <v>43682</v>
      </c>
      <c r="L231" s="147">
        <f>IF(t&lt;Tvie,1-EXP((T0-t)*PertePVj)+'2018'!Pspv,1-EXP((T0-t)*PertePVj)+Pspv)</f>
        <v>8.5505037125059857E-3</v>
      </c>
      <c r="M231" s="872"/>
      <c r="N231" s="872"/>
      <c r="O231" s="48">
        <f>IF(t&lt;Tnet,'2018'!Resal+('2018'!Salim-'2018'!Resal)*(1-EXP(('2018'!Tnet-t)/('2018'!Tau_j))),Resal+(Salim-Resal)*(1-EXP((Tnet-t)/(Tau_j))))*Salcycl</f>
        <v>7.4726140826207446E-2</v>
      </c>
      <c r="P231" s="171">
        <f>(INDEX(Models!$BJ231:$BT231,,T231)*(1-R231)+INDEX(Models!$BJ231:$BT231,,T231+1)*R231-ERP_i)*Q231*Ramure*Pc/MaxiM</f>
        <v>4.2121885826867657E-4</v>
      </c>
      <c r="Q231" s="307">
        <f t="shared" si="78"/>
        <v>0.9</v>
      </c>
      <c r="R231" s="179">
        <f t="shared" si="79"/>
        <v>0.53619121636220424</v>
      </c>
      <c r="S231" s="839">
        <f t="shared" si="80"/>
        <v>-2</v>
      </c>
      <c r="T231" s="178">
        <f t="shared" si="81"/>
        <v>4</v>
      </c>
      <c r="U231" s="253">
        <f t="shared" si="82"/>
        <v>-1.4638087836377958</v>
      </c>
      <c r="V231" s="385">
        <f t="shared" si="83"/>
        <v>53.791561672875247</v>
      </c>
      <c r="W231" s="58"/>
      <c r="X231" s="157">
        <f t="shared" si="84"/>
        <v>43682</v>
      </c>
      <c r="Y231" s="387">
        <f t="shared" si="85"/>
        <v>49.357999999999997</v>
      </c>
      <c r="Z231" s="387">
        <f t="shared" si="86"/>
        <v>49.783675502203785</v>
      </c>
      <c r="AA231" s="388">
        <f t="shared" si="87"/>
        <v>53.804260229136119</v>
      </c>
      <c r="AB231" s="199">
        <f t="shared" si="88"/>
        <v>43682</v>
      </c>
      <c r="AC231" s="428">
        <f>IF(OR(t&lt;Tnet,NoTnet),'2018'!Resal_s+('2018'!Salim-'2018'!Resal_s)*(1-EXP(('2018'!Tnet_s-t)/'2018'!Tau_j)),Resal_s+(Salim-Resal_s)*(1-EXP((Tnet_s-t)/Tau_j)))*Salcycl</f>
        <v>7.4726140826207446E-2</v>
      </c>
      <c r="AD231" s="233">
        <f>(INDEX(Models!$BJ231:$BT231,,AH231)*(1-AF231)+INDEX(Models!$BJ231:$BT231,,AH231+1)*AF231-ERP_i)*AE231*Ramure*Pc/MaxiM</f>
        <v>4.2121885826867657E-4</v>
      </c>
      <c r="AE231" s="307">
        <f t="shared" si="89"/>
        <v>0.9</v>
      </c>
      <c r="AF231" s="179">
        <f t="shared" si="90"/>
        <v>0.53619121636220424</v>
      </c>
      <c r="AG231" s="178">
        <f t="shared" si="91"/>
        <v>-2</v>
      </c>
      <c r="AH231" s="178">
        <f t="shared" si="92"/>
        <v>4</v>
      </c>
      <c r="AI231" s="227">
        <f t="shared" si="93"/>
        <v>-1.4638087836377958</v>
      </c>
      <c r="AJ231" s="267" t="b">
        <f t="shared" si="94"/>
        <v>0</v>
      </c>
      <c r="AK231" s="267" t="b">
        <f t="shared" si="95"/>
        <v>0</v>
      </c>
      <c r="AL231" s="267"/>
      <c r="AM231" s="267"/>
      <c r="AN231" s="75"/>
    </row>
    <row r="232" spans="1:40" s="6" customFormat="1" ht="11.25" customHeight="1" x14ac:dyDescent="0.2">
      <c r="A232" s="56">
        <f t="shared" si="96"/>
        <v>43683</v>
      </c>
      <c r="B232" s="620">
        <v>39.383000000000003</v>
      </c>
      <c r="C232" s="392"/>
      <c r="D232" s="395">
        <f t="shared" si="75"/>
        <v>39.723573080371374</v>
      </c>
      <c r="E232" s="387">
        <f t="shared" si="73"/>
        <v>42.939199496939388</v>
      </c>
      <c r="F232" s="387">
        <f t="shared" si="76"/>
        <v>42.951405946050528</v>
      </c>
      <c r="G232" s="110">
        <f t="shared" si="74"/>
        <v>0.73458375427196398</v>
      </c>
      <c r="H232" s="416" t="b">
        <f>Wh_hp&gt;='2018'!Maxi_hp</f>
        <v>1</v>
      </c>
      <c r="I232" s="392">
        <f>IF(H232,Wh_hp,'2018'!Maxi_hp)</f>
        <v>42.951405946050528</v>
      </c>
      <c r="J232" s="85">
        <f>IF(H232,An,'2018'!An_max)</f>
        <v>2019</v>
      </c>
      <c r="K232" s="199">
        <f t="shared" si="77"/>
        <v>43683</v>
      </c>
      <c r="L232" s="147">
        <f>IF(t&lt;Tvie,1-EXP((T0-t)*PertePVj)+'2018'!Pspv,1-EXP((T0-t)*PertePVj)+Pspv)</f>
        <v>8.5735761906990948E-3</v>
      </c>
      <c r="M232" s="872"/>
      <c r="N232" s="872"/>
      <c r="O232" s="48">
        <f>IF(t&lt;Tnet,'2018'!Resal+('2018'!Salim-'2018'!Resal)*(1-EXP(('2018'!Tnet-t)/('2018'!Tau_j))),Resal+(Salim-Resal)*(1-EXP((Tnet-t)/(Tau_j))))*Salcycl</f>
        <v>7.4887898569166736E-2</v>
      </c>
      <c r="P232" s="171">
        <f>(INDEX(Models!$BJ232:$BT232,,T232)*(1-R232)+INDEX(Models!$BJ232:$BT232,,T232+1)*R232-ERP_i)*Q232*Ramure*Pc/MaxiM</f>
        <v>4.5762438454892093E-4</v>
      </c>
      <c r="Q232" s="307">
        <f t="shared" si="78"/>
        <v>0.9</v>
      </c>
      <c r="R232" s="179">
        <f t="shared" si="79"/>
        <v>0.53853540059554827</v>
      </c>
      <c r="S232" s="839">
        <f t="shared" si="80"/>
        <v>-2</v>
      </c>
      <c r="T232" s="178">
        <f t="shared" si="81"/>
        <v>4</v>
      </c>
      <c r="U232" s="253">
        <f t="shared" si="82"/>
        <v>-1.4614645994044517</v>
      </c>
      <c r="V232" s="385">
        <f t="shared" si="83"/>
        <v>53.603374080400862</v>
      </c>
      <c r="W232" s="58"/>
      <c r="X232" s="157">
        <f t="shared" si="84"/>
        <v>43683</v>
      </c>
      <c r="Y232" s="387">
        <f t="shared" si="85"/>
        <v>39.383000000000003</v>
      </c>
      <c r="Z232" s="387">
        <f t="shared" si="86"/>
        <v>39.723573080371374</v>
      </c>
      <c r="AA232" s="388">
        <f t="shared" si="87"/>
        <v>42.939199496939388</v>
      </c>
      <c r="AB232" s="199">
        <f t="shared" si="88"/>
        <v>43683</v>
      </c>
      <c r="AC232" s="428">
        <f>IF(OR(t&lt;Tnet,NoTnet),'2018'!Resal_s+('2018'!Salim-'2018'!Resal_s)*(1-EXP(('2018'!Tnet_s-t)/'2018'!Tau_j)),Resal_s+(Salim-Resal_s)*(1-EXP((Tnet_s-t)/Tau_j)))*Salcycl</f>
        <v>7.4887898569166736E-2</v>
      </c>
      <c r="AD232" s="233">
        <f>(INDEX(Models!$BJ232:$BT232,,AH232)*(1-AF232)+INDEX(Models!$BJ232:$BT232,,AH232+1)*AF232-ERP_i)*AE232*Ramure*Pc/MaxiM</f>
        <v>4.5762438454892093E-4</v>
      </c>
      <c r="AE232" s="307">
        <f t="shared" si="89"/>
        <v>0.9</v>
      </c>
      <c r="AF232" s="179">
        <f t="shared" si="90"/>
        <v>0.53853540059554827</v>
      </c>
      <c r="AG232" s="178">
        <f t="shared" si="91"/>
        <v>-2</v>
      </c>
      <c r="AH232" s="178">
        <f t="shared" si="92"/>
        <v>4</v>
      </c>
      <c r="AI232" s="227">
        <f t="shared" si="93"/>
        <v>-1.4614645994044517</v>
      </c>
      <c r="AJ232" s="267" t="b">
        <f t="shared" si="94"/>
        <v>0</v>
      </c>
      <c r="AK232" s="267" t="b">
        <f t="shared" si="95"/>
        <v>0</v>
      </c>
      <c r="AL232" s="267"/>
      <c r="AM232" s="267"/>
      <c r="AN232" s="75"/>
    </row>
    <row r="233" spans="1:40" s="6" customFormat="1" ht="11.25" customHeight="1" x14ac:dyDescent="0.2">
      <c r="A233" s="56">
        <f t="shared" si="96"/>
        <v>43684</v>
      </c>
      <c r="B233" s="620">
        <v>42.011000000000003</v>
      </c>
      <c r="C233" s="392"/>
      <c r="D233" s="395">
        <f t="shared" si="75"/>
        <v>42.375285418232004</v>
      </c>
      <c r="E233" s="387">
        <f t="shared" ref="E233:E296" si="97">Wh_pvt/(1-Psa)</f>
        <v>45.813557493733207</v>
      </c>
      <c r="F233" s="387">
        <f t="shared" si="76"/>
        <v>45.829385073402854</v>
      </c>
      <c r="G233" s="110">
        <f t="shared" ref="G233:G296" si="98">+Wh_hp/MaxiM</f>
        <v>0.78642341071346444</v>
      </c>
      <c r="H233" s="416" t="b">
        <f>Wh_hp&gt;='2018'!Maxi_hp</f>
        <v>1</v>
      </c>
      <c r="I233" s="392">
        <f>IF(H233,Wh_hp,'2018'!Maxi_hp)</f>
        <v>45.829385073402854</v>
      </c>
      <c r="J233" s="85">
        <f>IF(H233,An,'2018'!An_max)</f>
        <v>2019</v>
      </c>
      <c r="K233" s="199">
        <f t="shared" si="77"/>
        <v>43684</v>
      </c>
      <c r="L233" s="147">
        <f>IF(t&lt;Tvie,1-EXP((T0-t)*PertePVj)+'2018'!Pspv,1-EXP((T0-t)*PertePVj)+Pspv)</f>
        <v>8.5966481319619259E-3</v>
      </c>
      <c r="M233" s="872"/>
      <c r="N233" s="872"/>
      <c r="O233" s="48">
        <f>IF(t&lt;Tnet,'2018'!Resal+('2018'!Salim-'2018'!Resal)*(1-EXP(('2018'!Tnet-t)/('2018'!Tau_j))),Resal+(Salim-Resal)*(1-EXP((Tnet-t)/(Tau_j))))*Salcycl</f>
        <v>7.5049226988572582E-2</v>
      </c>
      <c r="P233" s="171">
        <f>(INDEX(Models!$BJ233:$BT233,,T233)*(1-R233)+INDEX(Models!$BJ233:$BT233,,T233+1)*R233-ERP_i)*Q233*Ramure*Pc/MaxiM</f>
        <v>4.9687554592463582E-4</v>
      </c>
      <c r="Q233" s="307">
        <f t="shared" si="78"/>
        <v>0.9</v>
      </c>
      <c r="R233" s="179">
        <f t="shared" si="79"/>
        <v>0.54080147402693735</v>
      </c>
      <c r="S233" s="839">
        <f t="shared" si="80"/>
        <v>-2</v>
      </c>
      <c r="T233" s="178">
        <f t="shared" si="81"/>
        <v>4</v>
      </c>
      <c r="U233" s="253">
        <f t="shared" si="82"/>
        <v>-1.4591985259730627</v>
      </c>
      <c r="V233" s="385">
        <f t="shared" si="83"/>
        <v>53.412235517208003</v>
      </c>
      <c r="W233" s="58"/>
      <c r="X233" s="157">
        <f t="shared" si="84"/>
        <v>43684</v>
      </c>
      <c r="Y233" s="387">
        <f t="shared" si="85"/>
        <v>42.011000000000003</v>
      </c>
      <c r="Z233" s="387">
        <f t="shared" si="86"/>
        <v>42.375285418232004</v>
      </c>
      <c r="AA233" s="388">
        <f t="shared" si="87"/>
        <v>45.813557493733207</v>
      </c>
      <c r="AB233" s="199">
        <f t="shared" si="88"/>
        <v>43684</v>
      </c>
      <c r="AC233" s="428">
        <f>IF(OR(t&lt;Tnet,NoTnet),'2018'!Resal_s+('2018'!Salim-'2018'!Resal_s)*(1-EXP(('2018'!Tnet_s-t)/'2018'!Tau_j)),Resal_s+(Salim-Resal_s)*(1-EXP((Tnet_s-t)/Tau_j)))*Salcycl</f>
        <v>7.5049226988572582E-2</v>
      </c>
      <c r="AD233" s="233">
        <f>(INDEX(Models!$BJ233:$BT233,,AH233)*(1-AF233)+INDEX(Models!$BJ233:$BT233,,AH233+1)*AF233-ERP_i)*AE233*Ramure*Pc/MaxiM</f>
        <v>4.9687554592463582E-4</v>
      </c>
      <c r="AE233" s="307">
        <f t="shared" si="89"/>
        <v>0.9</v>
      </c>
      <c r="AF233" s="179">
        <f t="shared" si="90"/>
        <v>0.54080147402693735</v>
      </c>
      <c r="AG233" s="178">
        <f t="shared" si="91"/>
        <v>-2</v>
      </c>
      <c r="AH233" s="178">
        <f t="shared" si="92"/>
        <v>4</v>
      </c>
      <c r="AI233" s="227">
        <f t="shared" si="93"/>
        <v>-1.4591985259730627</v>
      </c>
      <c r="AJ233" s="267" t="b">
        <f t="shared" si="94"/>
        <v>0</v>
      </c>
      <c r="AK233" s="267" t="b">
        <f t="shared" si="95"/>
        <v>0</v>
      </c>
      <c r="AL233" s="267"/>
      <c r="AM233" s="267"/>
      <c r="AN233" s="75"/>
    </row>
    <row r="234" spans="1:40" s="6" customFormat="1" ht="11.25" customHeight="1" x14ac:dyDescent="0.2">
      <c r="A234" s="56">
        <f t="shared" si="96"/>
        <v>43685</v>
      </c>
      <c r="B234" s="620">
        <v>49.904000000000003</v>
      </c>
      <c r="C234" s="392"/>
      <c r="D234" s="395">
        <f t="shared" si="75"/>
        <v>50.337898567700655</v>
      </c>
      <c r="E234" s="387">
        <f t="shared" si="97"/>
        <v>54.431714838082272</v>
      </c>
      <c r="F234" s="387">
        <f t="shared" si="76"/>
        <v>54.4584975814522</v>
      </c>
      <c r="G234" s="110">
        <f t="shared" si="98"/>
        <v>0.93766227368348254</v>
      </c>
      <c r="H234" s="416" t="b">
        <f>Wh_hp&gt;='2018'!Maxi_hp</f>
        <v>1</v>
      </c>
      <c r="I234" s="392">
        <f>IF(H234,Wh_hp,'2018'!Maxi_hp)</f>
        <v>54.4584975814522</v>
      </c>
      <c r="J234" s="85">
        <f>IF(H234,An,'2018'!An_max)</f>
        <v>2019</v>
      </c>
      <c r="K234" s="199">
        <f t="shared" si="77"/>
        <v>43685</v>
      </c>
      <c r="L234" s="147">
        <f>IF(t&lt;Tvie,1-EXP((T0-t)*PertePVj)+'2018'!Pspv,1-EXP((T0-t)*PertePVj)+Pspv)</f>
        <v>8.6197195363070245E-3</v>
      </c>
      <c r="M234" s="872"/>
      <c r="N234" s="872"/>
      <c r="O234" s="48">
        <f>IF(t&lt;Tnet,'2018'!Resal+('2018'!Salim-'2018'!Resal)*(1-EXP(('2018'!Tnet-t)/('2018'!Tau_j))),Resal+(Salim-Resal)*(1-EXP((Tnet-t)/(Tau_j))))*Salcycl</f>
        <v>7.5210128553904076E-2</v>
      </c>
      <c r="P234" s="171">
        <f>(INDEX(Models!$BJ234:$BT234,,T234)*(1-R234)+INDEX(Models!$BJ234:$BT234,,T234+1)*R234-ERP_i)*Q234*Ramure*Pc/MaxiM</f>
        <v>5.3984119980614428E-4</v>
      </c>
      <c r="Q234" s="307">
        <f t="shared" si="78"/>
        <v>0.9</v>
      </c>
      <c r="R234" s="179">
        <f t="shared" si="79"/>
        <v>0.54299145753302724</v>
      </c>
      <c r="S234" s="839">
        <f t="shared" si="80"/>
        <v>-2</v>
      </c>
      <c r="T234" s="178">
        <f t="shared" si="81"/>
        <v>4</v>
      </c>
      <c r="U234" s="253">
        <f t="shared" si="82"/>
        <v>-1.4570085424669728</v>
      </c>
      <c r="V234" s="385">
        <f t="shared" si="83"/>
        <v>53.219163042607576</v>
      </c>
      <c r="W234" s="58"/>
      <c r="X234" s="157">
        <f t="shared" si="84"/>
        <v>43685</v>
      </c>
      <c r="Y234" s="387">
        <f t="shared" si="85"/>
        <v>49.904000000000003</v>
      </c>
      <c r="Z234" s="387">
        <f t="shared" si="86"/>
        <v>50.337898567700655</v>
      </c>
      <c r="AA234" s="388">
        <f t="shared" si="87"/>
        <v>54.431714838082272</v>
      </c>
      <c r="AB234" s="199">
        <f t="shared" si="88"/>
        <v>43685</v>
      </c>
      <c r="AC234" s="428">
        <f>IF(OR(t&lt;Tnet,NoTnet),'2018'!Resal_s+('2018'!Salim-'2018'!Resal_s)*(1-EXP(('2018'!Tnet_s-t)/'2018'!Tau_j)),Resal_s+(Salim-Resal_s)*(1-EXP((Tnet_s-t)/Tau_j)))*Salcycl</f>
        <v>7.5210128553904076E-2</v>
      </c>
      <c r="AD234" s="233">
        <f>(INDEX(Models!$BJ234:$BT234,,AH234)*(1-AF234)+INDEX(Models!$BJ234:$BT234,,AH234+1)*AF234-ERP_i)*AE234*Ramure*Pc/MaxiM</f>
        <v>5.3984119980614428E-4</v>
      </c>
      <c r="AE234" s="307">
        <f t="shared" si="89"/>
        <v>0.9</v>
      </c>
      <c r="AF234" s="179">
        <f t="shared" si="90"/>
        <v>0.54299145753302724</v>
      </c>
      <c r="AG234" s="178">
        <f t="shared" si="91"/>
        <v>-2</v>
      </c>
      <c r="AH234" s="178">
        <f t="shared" si="92"/>
        <v>4</v>
      </c>
      <c r="AI234" s="227">
        <f t="shared" si="93"/>
        <v>-1.4570085424669728</v>
      </c>
      <c r="AJ234" s="267" t="b">
        <f t="shared" si="94"/>
        <v>0</v>
      </c>
      <c r="AK234" s="267" t="b">
        <f t="shared" si="95"/>
        <v>0</v>
      </c>
      <c r="AL234" s="267"/>
      <c r="AM234" s="267"/>
      <c r="AN234" s="75"/>
    </row>
    <row r="235" spans="1:40" s="6" customFormat="1" ht="11.25" customHeight="1" x14ac:dyDescent="0.2">
      <c r="A235" s="56">
        <f t="shared" si="96"/>
        <v>43686</v>
      </c>
      <c r="B235" s="620">
        <v>46.718000000000004</v>
      </c>
      <c r="C235" s="392"/>
      <c r="D235" s="395">
        <f t="shared" si="75"/>
        <v>47.125294039094832</v>
      </c>
      <c r="E235" s="387">
        <f t="shared" si="97"/>
        <v>50.96668377292562</v>
      </c>
      <c r="F235" s="387">
        <f t="shared" si="76"/>
        <v>50.99148308422668</v>
      </c>
      <c r="G235" s="110">
        <f t="shared" si="98"/>
        <v>0.88098857464184988</v>
      </c>
      <c r="H235" s="416" t="b">
        <f>Wh_hp&gt;='2018'!Maxi_hp</f>
        <v>1</v>
      </c>
      <c r="I235" s="392">
        <f>IF(H235,Wh_hp,'2018'!Maxi_hp)</f>
        <v>50.99148308422668</v>
      </c>
      <c r="J235" s="85">
        <f>IF(H235,An,'2018'!An_max)</f>
        <v>2019</v>
      </c>
      <c r="K235" s="199">
        <f t="shared" si="77"/>
        <v>43686</v>
      </c>
      <c r="L235" s="147">
        <f>IF(t&lt;Tvie,1-EXP((T0-t)*PertePVj)+'2018'!Pspv,1-EXP((T0-t)*PertePVj)+Pspv)</f>
        <v>8.642790403746714E-3</v>
      </c>
      <c r="M235" s="872"/>
      <c r="N235" s="872"/>
      <c r="O235" s="48">
        <f>IF(t&lt;Tnet,'2018'!Resal+('2018'!Salim-'2018'!Resal)*(1-EXP(('2018'!Tnet-t)/('2018'!Tau_j))),Resal+(Salim-Resal)*(1-EXP((Tnet-t)/(Tau_j))))*Salcycl</f>
        <v>7.5370603882048179E-2</v>
      </c>
      <c r="P235" s="171">
        <f>(INDEX(Models!$BJ235:$BT235,,T235)*(1-R235)+INDEX(Models!$BJ235:$BT235,,T235+1)*R235-ERP_i)*Q235*Ramure*Pc/MaxiM</f>
        <v>5.8587753086123816E-4</v>
      </c>
      <c r="Q235" s="307">
        <f t="shared" si="78"/>
        <v>0.9</v>
      </c>
      <c r="R235" s="179">
        <f t="shared" si="79"/>
        <v>0.54510736274910698</v>
      </c>
      <c r="S235" s="839">
        <f t="shared" si="80"/>
        <v>-2</v>
      </c>
      <c r="T235" s="178">
        <f t="shared" si="81"/>
        <v>4</v>
      </c>
      <c r="U235" s="253">
        <f t="shared" si="82"/>
        <v>-1.454892637250893</v>
      </c>
      <c r="V235" s="385">
        <f t="shared" si="83"/>
        <v>53.023783726026771</v>
      </c>
      <c r="W235" s="58"/>
      <c r="X235" s="157">
        <f t="shared" si="84"/>
        <v>43686</v>
      </c>
      <c r="Y235" s="387">
        <f t="shared" si="85"/>
        <v>46.718000000000004</v>
      </c>
      <c r="Z235" s="387">
        <f t="shared" si="86"/>
        <v>47.125294039094832</v>
      </c>
      <c r="AA235" s="388">
        <f t="shared" si="87"/>
        <v>50.96668377292562</v>
      </c>
      <c r="AB235" s="199">
        <f t="shared" si="88"/>
        <v>43686</v>
      </c>
      <c r="AC235" s="428">
        <f>IF(OR(t&lt;Tnet,NoTnet),'2018'!Resal_s+('2018'!Salim-'2018'!Resal_s)*(1-EXP(('2018'!Tnet_s-t)/'2018'!Tau_j)),Resal_s+(Salim-Resal_s)*(1-EXP((Tnet_s-t)/Tau_j)))*Salcycl</f>
        <v>7.5370603882048179E-2</v>
      </c>
      <c r="AD235" s="233">
        <f>(INDEX(Models!$BJ235:$BT235,,AH235)*(1-AF235)+INDEX(Models!$BJ235:$BT235,,AH235+1)*AF235-ERP_i)*AE235*Ramure*Pc/MaxiM</f>
        <v>5.8587753086123816E-4</v>
      </c>
      <c r="AE235" s="307">
        <f t="shared" si="89"/>
        <v>0.9</v>
      </c>
      <c r="AF235" s="179">
        <f t="shared" si="90"/>
        <v>0.54510736274910698</v>
      </c>
      <c r="AG235" s="178">
        <f t="shared" si="91"/>
        <v>-2</v>
      </c>
      <c r="AH235" s="178">
        <f t="shared" si="92"/>
        <v>4</v>
      </c>
      <c r="AI235" s="227">
        <f t="shared" si="93"/>
        <v>-1.454892637250893</v>
      </c>
      <c r="AJ235" s="267" t="b">
        <f t="shared" si="94"/>
        <v>0</v>
      </c>
      <c r="AK235" s="267" t="b">
        <f t="shared" si="95"/>
        <v>0</v>
      </c>
      <c r="AL235" s="267"/>
      <c r="AM235" s="267"/>
      <c r="AN235" s="75"/>
    </row>
    <row r="236" spans="1:40" s="6" customFormat="1" ht="11.25" customHeight="1" x14ac:dyDescent="0.2">
      <c r="A236" s="56">
        <f t="shared" si="96"/>
        <v>43687</v>
      </c>
      <c r="B236" s="620">
        <v>39.625</v>
      </c>
      <c r="C236" s="392"/>
      <c r="D236" s="395">
        <f t="shared" si="75"/>
        <v>39.971386468492589</v>
      </c>
      <c r="E236" s="387">
        <f t="shared" si="97"/>
        <v>43.237113861984589</v>
      </c>
      <c r="F236" s="387">
        <f t="shared" si="76"/>
        <v>43.254776320132819</v>
      </c>
      <c r="G236" s="110">
        <f t="shared" si="98"/>
        <v>0.7499384272916636</v>
      </c>
      <c r="H236" s="416" t="b">
        <f>Wh_hp&gt;='2018'!Maxi_hp</f>
        <v>1</v>
      </c>
      <c r="I236" s="392">
        <f>IF(H236,Wh_hp,'2018'!Maxi_hp)</f>
        <v>43.254776320132819</v>
      </c>
      <c r="J236" s="85">
        <f>IF(H236,An,'2018'!An_max)</f>
        <v>2019</v>
      </c>
      <c r="K236" s="199">
        <f t="shared" si="77"/>
        <v>43687</v>
      </c>
      <c r="L236" s="147">
        <f>IF(t&lt;Tvie,1-EXP((T0-t)*PertePVj)+'2018'!Pspv,1-EXP((T0-t)*PertePVj)+Pspv)</f>
        <v>8.6658607342937621E-3</v>
      </c>
      <c r="M236" s="872"/>
      <c r="N236" s="872"/>
      <c r="O236" s="48">
        <f>IF(t&lt;Tnet,'2018'!Resal+('2018'!Salim-'2018'!Resal)*(1-EXP(('2018'!Tnet-t)/('2018'!Tau_j))),Resal+(Salim-Resal)*(1-EXP((Tnet-t)/(Tau_j))))*Salcycl</f>
        <v>7.5530651835744464E-2</v>
      </c>
      <c r="P236" s="171">
        <f>(INDEX(Models!$BJ236:$BT236,,T236)*(1-R236)+INDEX(Models!$BJ236:$BT236,,T236+1)*R236-ERP_i)*Q236*Ramure*Pc/MaxiM</f>
        <v>6.3503528388291289E-4</v>
      </c>
      <c r="Q236" s="307">
        <f t="shared" si="78"/>
        <v>0.9</v>
      </c>
      <c r="R236" s="179">
        <f t="shared" si="79"/>
        <v>0.5471511884013629</v>
      </c>
      <c r="S236" s="839">
        <f t="shared" si="80"/>
        <v>-2</v>
      </c>
      <c r="T236" s="178">
        <f t="shared" si="81"/>
        <v>4</v>
      </c>
      <c r="U236" s="253">
        <f t="shared" si="82"/>
        <v>-1.4528488115986371</v>
      </c>
      <c r="V236" s="385">
        <f t="shared" si="83"/>
        <v>52.825687959760891</v>
      </c>
      <c r="W236" s="58"/>
      <c r="X236" s="157">
        <f t="shared" si="84"/>
        <v>43687</v>
      </c>
      <c r="Y236" s="387">
        <f t="shared" si="85"/>
        <v>39.625</v>
      </c>
      <c r="Z236" s="387">
        <f t="shared" si="86"/>
        <v>39.971386468492589</v>
      </c>
      <c r="AA236" s="388">
        <f t="shared" si="87"/>
        <v>43.237113861984589</v>
      </c>
      <c r="AB236" s="199">
        <f t="shared" si="88"/>
        <v>43687</v>
      </c>
      <c r="AC236" s="428">
        <f>IF(OR(t&lt;Tnet,NoTnet),'2018'!Resal_s+('2018'!Salim-'2018'!Resal_s)*(1-EXP(('2018'!Tnet_s-t)/'2018'!Tau_j)),Resal_s+(Salim-Resal_s)*(1-EXP((Tnet_s-t)/Tau_j)))*Salcycl</f>
        <v>7.5530651835744464E-2</v>
      </c>
      <c r="AD236" s="233">
        <f>(INDEX(Models!$BJ236:$BT236,,AH236)*(1-AF236)+INDEX(Models!$BJ236:$BT236,,AH236+1)*AF236-ERP_i)*AE236*Ramure*Pc/MaxiM</f>
        <v>6.3503528388291289E-4</v>
      </c>
      <c r="AE236" s="307">
        <f t="shared" si="89"/>
        <v>0.9</v>
      </c>
      <c r="AF236" s="179">
        <f t="shared" si="90"/>
        <v>0.5471511884013629</v>
      </c>
      <c r="AG236" s="178">
        <f t="shared" si="91"/>
        <v>-2</v>
      </c>
      <c r="AH236" s="178">
        <f t="shared" si="92"/>
        <v>4</v>
      </c>
      <c r="AI236" s="227">
        <f t="shared" si="93"/>
        <v>-1.4528488115986371</v>
      </c>
      <c r="AJ236" s="267" t="b">
        <f t="shared" si="94"/>
        <v>0</v>
      </c>
      <c r="AK236" s="267" t="b">
        <f t="shared" si="95"/>
        <v>0</v>
      </c>
      <c r="AL236" s="267"/>
      <c r="AM236" s="267"/>
      <c r="AN236" s="75"/>
    </row>
    <row r="237" spans="1:40" s="6" customFormat="1" ht="11.25" customHeight="1" x14ac:dyDescent="0.2">
      <c r="A237" s="56">
        <f t="shared" si="96"/>
        <v>43688</v>
      </c>
      <c r="B237" s="620">
        <v>25.396999999999998</v>
      </c>
      <c r="C237" s="392"/>
      <c r="D237" s="395">
        <f t="shared" si="75"/>
        <v>25.61960698524847</v>
      </c>
      <c r="E237" s="387">
        <f t="shared" si="97"/>
        <v>27.717556294553173</v>
      </c>
      <c r="F237" s="387">
        <f t="shared" si="76"/>
        <v>27.722527299961111</v>
      </c>
      <c r="G237" s="110">
        <f t="shared" si="98"/>
        <v>0.48236298186147691</v>
      </c>
      <c r="H237" s="416" t="b">
        <f>Wh_hp&gt;='2018'!Maxi_hp</f>
        <v>1</v>
      </c>
      <c r="I237" s="392">
        <f>IF(H237,Wh_hp,'2018'!Maxi_hp)</f>
        <v>27.722527299961111</v>
      </c>
      <c r="J237" s="85">
        <f>IF(H237,An,'2018'!An_max)</f>
        <v>2019</v>
      </c>
      <c r="K237" s="199">
        <f t="shared" si="77"/>
        <v>43688</v>
      </c>
      <c r="L237" s="147">
        <f>IF(t&lt;Tvie,1-EXP((T0-t)*PertePVj)+'2018'!Pspv,1-EXP((T0-t)*PertePVj)+Pspv)</f>
        <v>8.6889305279603812E-3</v>
      </c>
      <c r="M237" s="872"/>
      <c r="N237" s="872"/>
      <c r="O237" s="48">
        <f>IF(t&lt;Tnet,'2018'!Resal+('2018'!Salim-'2018'!Resal)*(1-EXP(('2018'!Tnet-t)/('2018'!Tau_j))),Resal+(Salim-Resal)*(1-EXP((Tnet-t)/(Tau_j))))*Salcycl</f>
        <v>7.5690269625860673E-2</v>
      </c>
      <c r="P237" s="171">
        <f>(INDEX(Models!$BJ237:$BT237,,T237)*(1-R237)+INDEX(Models!$BJ237:$BT237,,T237+1)*R237-ERP_i)*Q237*Ramure*Pc/MaxiM</f>
        <v>6.8736772956483447E-4</v>
      </c>
      <c r="Q237" s="307">
        <f t="shared" si="78"/>
        <v>0.9</v>
      </c>
      <c r="R237" s="179">
        <f t="shared" si="79"/>
        <v>0.54912491695024257</v>
      </c>
      <c r="S237" s="839">
        <f t="shared" si="80"/>
        <v>-2</v>
      </c>
      <c r="T237" s="178">
        <f t="shared" si="81"/>
        <v>4</v>
      </c>
      <c r="U237" s="253">
        <f t="shared" si="82"/>
        <v>-1.4508750830497574</v>
      </c>
      <c r="V237" s="385">
        <f t="shared" si="83"/>
        <v>52.624466575336015</v>
      </c>
      <c r="W237" s="58"/>
      <c r="X237" s="157">
        <f t="shared" si="84"/>
        <v>43688</v>
      </c>
      <c r="Y237" s="387">
        <f t="shared" si="85"/>
        <v>25.396999999999998</v>
      </c>
      <c r="Z237" s="387">
        <f t="shared" si="86"/>
        <v>25.61960698524847</v>
      </c>
      <c r="AA237" s="388">
        <f t="shared" si="87"/>
        <v>27.717556294553173</v>
      </c>
      <c r="AB237" s="199">
        <f t="shared" si="88"/>
        <v>43688</v>
      </c>
      <c r="AC237" s="428">
        <f>IF(OR(t&lt;Tnet,NoTnet),'2018'!Resal_s+('2018'!Salim-'2018'!Resal_s)*(1-EXP(('2018'!Tnet_s-t)/'2018'!Tau_j)),Resal_s+(Salim-Resal_s)*(1-EXP((Tnet_s-t)/Tau_j)))*Salcycl</f>
        <v>7.5690269625860673E-2</v>
      </c>
      <c r="AD237" s="233">
        <f>(INDEX(Models!$BJ237:$BT237,,AH237)*(1-AF237)+INDEX(Models!$BJ237:$BT237,,AH237+1)*AF237-ERP_i)*AE237*Ramure*Pc/MaxiM</f>
        <v>6.8736772956483447E-4</v>
      </c>
      <c r="AE237" s="307">
        <f t="shared" si="89"/>
        <v>0.9</v>
      </c>
      <c r="AF237" s="179">
        <f t="shared" si="90"/>
        <v>0.54912491695024257</v>
      </c>
      <c r="AG237" s="178">
        <f t="shared" si="91"/>
        <v>-2</v>
      </c>
      <c r="AH237" s="178">
        <f t="shared" si="92"/>
        <v>4</v>
      </c>
      <c r="AI237" s="227">
        <f t="shared" si="93"/>
        <v>-1.4508750830497574</v>
      </c>
      <c r="AJ237" s="267" t="b">
        <f t="shared" si="94"/>
        <v>0</v>
      </c>
      <c r="AK237" s="267" t="b">
        <f t="shared" si="95"/>
        <v>0</v>
      </c>
      <c r="AL237" s="267"/>
      <c r="AM237" s="267"/>
      <c r="AN237" s="75"/>
    </row>
    <row r="238" spans="1:40" s="6" customFormat="1" ht="11.25" customHeight="1" x14ac:dyDescent="0.2">
      <c r="A238" s="56">
        <f t="shared" si="96"/>
        <v>43689</v>
      </c>
      <c r="B238" s="620">
        <v>28.548999999999999</v>
      </c>
      <c r="C238" s="392"/>
      <c r="D238" s="395">
        <f t="shared" si="75"/>
        <v>28.799904764105978</v>
      </c>
      <c r="E238" s="387">
        <f t="shared" si="97"/>
        <v>31.163650614040233</v>
      </c>
      <c r="F238" s="387">
        <f t="shared" si="76"/>
        <v>31.171743613400864</v>
      </c>
      <c r="G238" s="110">
        <f t="shared" si="98"/>
        <v>0.54436009072976199</v>
      </c>
      <c r="H238" s="416" t="b">
        <f>Wh_hp&gt;='2018'!Maxi_hp</f>
        <v>1</v>
      </c>
      <c r="I238" s="392">
        <f>IF(H238,Wh_hp,'2018'!Maxi_hp)</f>
        <v>31.171743613400864</v>
      </c>
      <c r="J238" s="85">
        <f>IF(H238,An,'2018'!An_max)</f>
        <v>2019</v>
      </c>
      <c r="K238" s="199">
        <f t="shared" si="77"/>
        <v>43689</v>
      </c>
      <c r="L238" s="147">
        <f>IF(t&lt;Tvie,1-EXP((T0-t)*PertePVj)+'2018'!Pspv,1-EXP((T0-t)*PertePVj)+Pspv)</f>
        <v>8.7119997847592279E-3</v>
      </c>
      <c r="M238" s="872"/>
      <c r="N238" s="872"/>
      <c r="O238" s="48">
        <f>IF(t&lt;Tnet,'2018'!Resal+('2018'!Salim-'2018'!Resal)*(1-EXP(('2018'!Tnet-t)/('2018'!Tau_j))),Resal+(Salim-Resal)*(1-EXP((Tnet-t)/(Tau_j))))*Salcycl</f>
        <v>7.5849452915805332E-2</v>
      </c>
      <c r="P238" s="171">
        <f>(INDEX(Models!$BJ238:$BT238,,T238)*(1-R238)+INDEX(Models!$BJ238:$BT238,,T238+1)*R238-ERP_i)*Q238*Ramure*Pc/MaxiM</f>
        <v>7.4293101841653463E-4</v>
      </c>
      <c r="Q238" s="307">
        <f t="shared" si="78"/>
        <v>0.9</v>
      </c>
      <c r="R238" s="179">
        <f t="shared" si="79"/>
        <v>0.55103051153283511</v>
      </c>
      <c r="S238" s="839">
        <f t="shared" si="80"/>
        <v>-2</v>
      </c>
      <c r="T238" s="178">
        <f t="shared" si="81"/>
        <v>4</v>
      </c>
      <c r="U238" s="253">
        <f t="shared" si="82"/>
        <v>-1.4489694884671649</v>
      </c>
      <c r="V238" s="385">
        <f t="shared" si="83"/>
        <v>52.419710834151083</v>
      </c>
      <c r="W238" s="58"/>
      <c r="X238" s="157">
        <f t="shared" si="84"/>
        <v>43689</v>
      </c>
      <c r="Y238" s="387">
        <f t="shared" si="85"/>
        <v>28.548999999999999</v>
      </c>
      <c r="Z238" s="387">
        <f t="shared" si="86"/>
        <v>28.799904764105978</v>
      </c>
      <c r="AA238" s="388">
        <f t="shared" si="87"/>
        <v>31.163650614040233</v>
      </c>
      <c r="AB238" s="199">
        <f t="shared" si="88"/>
        <v>43689</v>
      </c>
      <c r="AC238" s="428">
        <f>IF(OR(t&lt;Tnet,NoTnet),'2018'!Resal_s+('2018'!Salim-'2018'!Resal_s)*(1-EXP(('2018'!Tnet_s-t)/'2018'!Tau_j)),Resal_s+(Salim-Resal_s)*(1-EXP((Tnet_s-t)/Tau_j)))*Salcycl</f>
        <v>7.5849452915805332E-2</v>
      </c>
      <c r="AD238" s="233">
        <f>(INDEX(Models!$BJ238:$BT238,,AH238)*(1-AF238)+INDEX(Models!$BJ238:$BT238,,AH238+1)*AF238-ERP_i)*AE238*Ramure*Pc/MaxiM</f>
        <v>7.4293101841653463E-4</v>
      </c>
      <c r="AE238" s="307">
        <f t="shared" si="89"/>
        <v>0.9</v>
      </c>
      <c r="AF238" s="179">
        <f t="shared" si="90"/>
        <v>0.55103051153283511</v>
      </c>
      <c r="AG238" s="178">
        <f t="shared" si="91"/>
        <v>-2</v>
      </c>
      <c r="AH238" s="178">
        <f t="shared" si="92"/>
        <v>4</v>
      </c>
      <c r="AI238" s="227">
        <f t="shared" si="93"/>
        <v>-1.4489694884671649</v>
      </c>
      <c r="AJ238" s="267" t="b">
        <f t="shared" si="94"/>
        <v>0</v>
      </c>
      <c r="AK238" s="267" t="b">
        <f t="shared" si="95"/>
        <v>0</v>
      </c>
      <c r="AL238" s="267"/>
      <c r="AM238" s="267"/>
      <c r="AN238" s="75"/>
    </row>
    <row r="239" spans="1:40" s="6" customFormat="1" ht="11.25" customHeight="1" x14ac:dyDescent="0.2">
      <c r="A239" s="56">
        <f t="shared" si="96"/>
        <v>43690</v>
      </c>
      <c r="B239" s="620">
        <v>47.627000000000002</v>
      </c>
      <c r="C239" s="392"/>
      <c r="D239" s="395">
        <f t="shared" si="75"/>
        <v>48.046691138519265</v>
      </c>
      <c r="E239" s="387">
        <f t="shared" si="97"/>
        <v>51.9990447173844</v>
      </c>
      <c r="F239" s="387">
        <f t="shared" si="76"/>
        <v>52.03553309327885</v>
      </c>
      <c r="G239" s="110">
        <f t="shared" si="98"/>
        <v>0.91211039330719634</v>
      </c>
      <c r="H239" s="416" t="b">
        <f>Wh_hp&gt;='2018'!Maxi_hp</f>
        <v>1</v>
      </c>
      <c r="I239" s="392">
        <f>IF(H239,Wh_hp,'2018'!Maxi_hp)</f>
        <v>52.03553309327885</v>
      </c>
      <c r="J239" s="85">
        <f>IF(H239,An,'2018'!An_max)</f>
        <v>2019</v>
      </c>
      <c r="K239" s="199">
        <f t="shared" si="77"/>
        <v>43690</v>
      </c>
      <c r="L239" s="147">
        <f>IF(t&lt;Tvie,1-EXP((T0-t)*PertePVj)+'2018'!Pspv,1-EXP((T0-t)*PertePVj)+Pspv)</f>
        <v>8.7350685047028476E-3</v>
      </c>
      <c r="M239" s="872"/>
      <c r="N239" s="872"/>
      <c r="O239" s="48">
        <f>IF(t&lt;Tnet,'2018'!Resal+('2018'!Salim-'2018'!Resal)*(1-EXP(('2018'!Tnet-t)/('2018'!Tau_j))),Resal+(Salim-Resal)*(1-EXP((Tnet-t)/(Tau_j))))*Salcycl</f>
        <v>7.600819592641056E-2</v>
      </c>
      <c r="P239" s="171">
        <f>(INDEX(Models!$BJ239:$BT239,,T239)*(1-R239)+INDEX(Models!$BJ239:$BT239,,T239+1)*R239-ERP_i)*Q239*Ramure*Pc/MaxiM</f>
        <v>8.0178455201287654E-4</v>
      </c>
      <c r="Q239" s="307">
        <f t="shared" si="78"/>
        <v>0.9</v>
      </c>
      <c r="R239" s="179">
        <f t="shared" si="79"/>
        <v>0.55286991319167611</v>
      </c>
      <c r="S239" s="839">
        <f t="shared" si="80"/>
        <v>-2</v>
      </c>
      <c r="T239" s="178">
        <f t="shared" si="81"/>
        <v>4</v>
      </c>
      <c r="U239" s="253">
        <f t="shared" si="82"/>
        <v>-1.4471300868083239</v>
      </c>
      <c r="V239" s="385">
        <f t="shared" si="83"/>
        <v>52.21101241511488</v>
      </c>
      <c r="W239" s="58"/>
      <c r="X239" s="157">
        <f t="shared" si="84"/>
        <v>43690</v>
      </c>
      <c r="Y239" s="387">
        <f t="shared" si="85"/>
        <v>47.627000000000002</v>
      </c>
      <c r="Z239" s="387">
        <f t="shared" si="86"/>
        <v>48.046691138519265</v>
      </c>
      <c r="AA239" s="388">
        <f t="shared" si="87"/>
        <v>51.9990447173844</v>
      </c>
      <c r="AB239" s="199">
        <f t="shared" si="88"/>
        <v>43690</v>
      </c>
      <c r="AC239" s="428">
        <f>IF(OR(t&lt;Tnet,NoTnet),'2018'!Resal_s+('2018'!Salim-'2018'!Resal_s)*(1-EXP(('2018'!Tnet_s-t)/'2018'!Tau_j)),Resal_s+(Salim-Resal_s)*(1-EXP((Tnet_s-t)/Tau_j)))*Salcycl</f>
        <v>7.600819592641056E-2</v>
      </c>
      <c r="AD239" s="233">
        <f>(INDEX(Models!$BJ239:$BT239,,AH239)*(1-AF239)+INDEX(Models!$BJ239:$BT239,,AH239+1)*AF239-ERP_i)*AE239*Ramure*Pc/MaxiM</f>
        <v>8.0178455201287654E-4</v>
      </c>
      <c r="AE239" s="307">
        <f t="shared" si="89"/>
        <v>0.9</v>
      </c>
      <c r="AF239" s="179">
        <f t="shared" si="90"/>
        <v>0.55286991319167611</v>
      </c>
      <c r="AG239" s="178">
        <f t="shared" si="91"/>
        <v>-2</v>
      </c>
      <c r="AH239" s="178">
        <f t="shared" si="92"/>
        <v>4</v>
      </c>
      <c r="AI239" s="227">
        <f t="shared" si="93"/>
        <v>-1.4471300868083239</v>
      </c>
      <c r="AJ239" s="267" t="b">
        <f t="shared" si="94"/>
        <v>0</v>
      </c>
      <c r="AK239" s="267" t="b">
        <f t="shared" si="95"/>
        <v>0</v>
      </c>
      <c r="AL239" s="267"/>
      <c r="AM239" s="267"/>
      <c r="AN239" s="75"/>
    </row>
    <row r="240" spans="1:40" s="6" customFormat="1" ht="11.25" customHeight="1" x14ac:dyDescent="0.2">
      <c r="A240" s="56">
        <f t="shared" si="96"/>
        <v>43691</v>
      </c>
      <c r="B240" s="620">
        <v>51.588000000000001</v>
      </c>
      <c r="C240" s="392"/>
      <c r="D240" s="395">
        <f t="shared" si="75"/>
        <v>52.043806773475737</v>
      </c>
      <c r="E240" s="387">
        <f t="shared" si="97"/>
        <v>56.334616894565926</v>
      </c>
      <c r="F240" s="387">
        <f t="shared" si="76"/>
        <v>56.382758921997223</v>
      </c>
      <c r="G240" s="110">
        <f t="shared" si="98"/>
        <v>0.99210570265428222</v>
      </c>
      <c r="H240" s="416" t="b">
        <f>Wh_hp&gt;='2018'!Maxi_hp</f>
        <v>1</v>
      </c>
      <c r="I240" s="392">
        <f>IF(H240,Wh_hp,'2018'!Maxi_hp)</f>
        <v>56.382758921997223</v>
      </c>
      <c r="J240" s="85">
        <f>IF(H240,An,'2018'!An_max)</f>
        <v>2019</v>
      </c>
      <c r="K240" s="199">
        <f t="shared" si="77"/>
        <v>43691</v>
      </c>
      <c r="L240" s="147">
        <f>IF(t&lt;Tvie,1-EXP((T0-t)*PertePVj)+'2018'!Pspv,1-EXP((T0-t)*PertePVj)+Pspv)</f>
        <v>8.7581366878035638E-3</v>
      </c>
      <c r="M240" s="872"/>
      <c r="N240" s="872"/>
      <c r="O240" s="48">
        <f>IF(t&lt;Tnet,'2018'!Resal+('2018'!Salim-'2018'!Resal)*(1-EXP(('2018'!Tnet-t)/('2018'!Tau_j))),Resal+(Salim-Resal)*(1-EXP((Tnet-t)/(Tau_j))))*Salcycl</f>
        <v>7.6166491539664372E-2</v>
      </c>
      <c r="P240" s="171">
        <f>(INDEX(Models!$BJ240:$BT240,,T240)*(1-R240)+INDEX(Models!$BJ240:$BT240,,T240+1)*R240-ERP_i)*Q240*Ramure*Pc/MaxiM</f>
        <v>8.635701152258404E-4</v>
      </c>
      <c r="Q240" s="307">
        <f t="shared" si="78"/>
        <v>0.9</v>
      </c>
      <c r="R240" s="179">
        <f t="shared" si="79"/>
        <v>0.55464503837700452</v>
      </c>
      <c r="S240" s="839">
        <f t="shared" si="80"/>
        <v>-2</v>
      </c>
      <c r="T240" s="178">
        <f t="shared" si="81"/>
        <v>4</v>
      </c>
      <c r="U240" s="253">
        <f t="shared" si="82"/>
        <v>-1.4453549616229955</v>
      </c>
      <c r="V240" s="385">
        <f t="shared" si="83"/>
        <v>51.997985329440098</v>
      </c>
      <c r="W240" s="58"/>
      <c r="X240" s="157">
        <f t="shared" si="84"/>
        <v>43691</v>
      </c>
      <c r="Y240" s="387">
        <f t="shared" si="85"/>
        <v>51.588000000000001</v>
      </c>
      <c r="Z240" s="387">
        <f t="shared" si="86"/>
        <v>52.043806773475737</v>
      </c>
      <c r="AA240" s="388">
        <f t="shared" si="87"/>
        <v>56.334616894565926</v>
      </c>
      <c r="AB240" s="199">
        <f t="shared" si="88"/>
        <v>43691</v>
      </c>
      <c r="AC240" s="428">
        <f>IF(OR(t&lt;Tnet,NoTnet),'2018'!Resal_s+('2018'!Salim-'2018'!Resal_s)*(1-EXP(('2018'!Tnet_s-t)/'2018'!Tau_j)),Resal_s+(Salim-Resal_s)*(1-EXP((Tnet_s-t)/Tau_j)))*Salcycl</f>
        <v>7.6166491539664372E-2</v>
      </c>
      <c r="AD240" s="233">
        <f>(INDEX(Models!$BJ240:$BT240,,AH240)*(1-AF240)+INDEX(Models!$BJ240:$BT240,,AH240+1)*AF240-ERP_i)*AE240*Ramure*Pc/MaxiM</f>
        <v>8.635701152258404E-4</v>
      </c>
      <c r="AE240" s="307">
        <f t="shared" si="89"/>
        <v>0.9</v>
      </c>
      <c r="AF240" s="179">
        <f t="shared" si="90"/>
        <v>0.55464503837700452</v>
      </c>
      <c r="AG240" s="178">
        <f t="shared" si="91"/>
        <v>-2</v>
      </c>
      <c r="AH240" s="178">
        <f t="shared" si="92"/>
        <v>4</v>
      </c>
      <c r="AI240" s="227">
        <f t="shared" si="93"/>
        <v>-1.4453549616229955</v>
      </c>
      <c r="AJ240" s="267" t="b">
        <f t="shared" si="94"/>
        <v>0</v>
      </c>
      <c r="AK240" s="267" t="b">
        <f t="shared" si="95"/>
        <v>0</v>
      </c>
      <c r="AL240" s="267"/>
      <c r="AM240" s="267"/>
      <c r="AN240" s="75"/>
    </row>
    <row r="241" spans="1:40" s="6" customFormat="1" ht="11.25" customHeight="1" x14ac:dyDescent="0.2">
      <c r="A241" s="56">
        <f t="shared" si="96"/>
        <v>43692</v>
      </c>
      <c r="B241" s="620">
        <v>26.802</v>
      </c>
      <c r="C241" s="392"/>
      <c r="D241" s="395">
        <f t="shared" si="75"/>
        <v>27.039438837510879</v>
      </c>
      <c r="E241" s="387">
        <f t="shared" si="97"/>
        <v>29.27373726157191</v>
      </c>
      <c r="F241" s="387">
        <f t="shared" si="76"/>
        <v>29.282171154548486</v>
      </c>
      <c r="G241" s="110">
        <f t="shared" si="98"/>
        <v>0.51727922199568033</v>
      </c>
      <c r="H241" s="416" t="b">
        <f>Wh_hp&gt;='2018'!Maxi_hp</f>
        <v>1</v>
      </c>
      <c r="I241" s="392">
        <f>IF(H241,Wh_hp,'2018'!Maxi_hp)</f>
        <v>29.282171154548486</v>
      </c>
      <c r="J241" s="85">
        <f>IF(H241,An,'2018'!An_max)</f>
        <v>2019</v>
      </c>
      <c r="K241" s="199">
        <f t="shared" si="77"/>
        <v>43692</v>
      </c>
      <c r="L241" s="147">
        <f>IF(t&lt;Tvie,1-EXP((T0-t)*PertePVj)+'2018'!Pspv,1-EXP((T0-t)*PertePVj)+Pspv)</f>
        <v>8.7812043340740331E-3</v>
      </c>
      <c r="M241" s="872"/>
      <c r="N241" s="872"/>
      <c r="O241" s="48">
        <f>IF(t&lt;Tnet,'2018'!Resal+('2018'!Salim-'2018'!Resal)*(1-EXP(('2018'!Tnet-t)/('2018'!Tau_j))),Resal+(Salim-Resal)*(1-EXP((Tnet-t)/(Tau_j))))*Salcycl</f>
        <v>7.6324331399736572E-2</v>
      </c>
      <c r="P241" s="171">
        <f>(INDEX(Models!$BJ241:$BT241,,T241)*(1-R241)+INDEX(Models!$BJ241:$BT241,,T241+1)*R241-ERP_i)*Q241*Ramure*Pc/MaxiM</f>
        <v>9.2649782347536546E-4</v>
      </c>
      <c r="Q241" s="307">
        <f t="shared" si="78"/>
        <v>0.9</v>
      </c>
      <c r="R241" s="179">
        <f t="shared" si="79"/>
        <v>0.5563577767092609</v>
      </c>
      <c r="S241" s="839">
        <f t="shared" si="80"/>
        <v>-2</v>
      </c>
      <c r="T241" s="178">
        <f t="shared" si="81"/>
        <v>4</v>
      </c>
      <c r="U241" s="253">
        <f t="shared" si="82"/>
        <v>-1.4436422232907391</v>
      </c>
      <c r="V241" s="385">
        <f t="shared" si="83"/>
        <v>51.78031803084486</v>
      </c>
      <c r="W241" s="58"/>
      <c r="X241" s="157">
        <f t="shared" si="84"/>
        <v>43692</v>
      </c>
      <c r="Y241" s="387">
        <f t="shared" si="85"/>
        <v>26.802</v>
      </c>
      <c r="Z241" s="387">
        <f t="shared" si="86"/>
        <v>27.039438837510879</v>
      </c>
      <c r="AA241" s="388">
        <f t="shared" si="87"/>
        <v>29.27373726157191</v>
      </c>
      <c r="AB241" s="199">
        <f t="shared" si="88"/>
        <v>43692</v>
      </c>
      <c r="AC241" s="428">
        <f>IF(OR(t&lt;Tnet,NoTnet),'2018'!Resal_s+('2018'!Salim-'2018'!Resal_s)*(1-EXP(('2018'!Tnet_s-t)/'2018'!Tau_j)),Resal_s+(Salim-Resal_s)*(1-EXP((Tnet_s-t)/Tau_j)))*Salcycl</f>
        <v>7.6324331399736572E-2</v>
      </c>
      <c r="AD241" s="233">
        <f>(INDEX(Models!$BJ241:$BT241,,AH241)*(1-AF241)+INDEX(Models!$BJ241:$BT241,,AH241+1)*AF241-ERP_i)*AE241*Ramure*Pc/MaxiM</f>
        <v>9.2649782347536546E-4</v>
      </c>
      <c r="AE241" s="307">
        <f t="shared" si="89"/>
        <v>0.9</v>
      </c>
      <c r="AF241" s="179">
        <f t="shared" si="90"/>
        <v>0.5563577767092609</v>
      </c>
      <c r="AG241" s="178">
        <f t="shared" si="91"/>
        <v>-2</v>
      </c>
      <c r="AH241" s="178">
        <f t="shared" si="92"/>
        <v>4</v>
      </c>
      <c r="AI241" s="227">
        <f t="shared" si="93"/>
        <v>-1.4436422232907391</v>
      </c>
      <c r="AJ241" s="267" t="b">
        <f t="shared" si="94"/>
        <v>0</v>
      </c>
      <c r="AK241" s="267" t="b">
        <f t="shared" si="95"/>
        <v>0</v>
      </c>
      <c r="AL241" s="267"/>
      <c r="AM241" s="267"/>
      <c r="AN241" s="75"/>
    </row>
    <row r="242" spans="1:40" s="6" customFormat="1" ht="11.25" customHeight="1" x14ac:dyDescent="0.2">
      <c r="A242" s="56">
        <f t="shared" si="96"/>
        <v>43693</v>
      </c>
      <c r="B242" s="620">
        <v>50.661999999999999</v>
      </c>
      <c r="C242" s="392"/>
      <c r="D242" s="395">
        <f t="shared" si="75"/>
        <v>51.112003956858793</v>
      </c>
      <c r="E242" s="387">
        <f t="shared" si="97"/>
        <v>55.344874367375311</v>
      </c>
      <c r="F242" s="387">
        <f t="shared" si="76"/>
        <v>55.398390259601427</v>
      </c>
      <c r="G242" s="110">
        <f t="shared" si="98"/>
        <v>0.98260488527054324</v>
      </c>
      <c r="H242" s="416" t="b">
        <f>Wh_hp&gt;='2018'!Maxi_hp</f>
        <v>1</v>
      </c>
      <c r="I242" s="392">
        <f>IF(H242,Wh_hp,'2018'!Maxi_hp)</f>
        <v>55.398390259601427</v>
      </c>
      <c r="J242" s="85">
        <f>IF(H242,An,'2018'!An_max)</f>
        <v>2019</v>
      </c>
      <c r="K242" s="199">
        <f t="shared" si="77"/>
        <v>43693</v>
      </c>
      <c r="L242" s="147">
        <f>IF(t&lt;Tvie,1-EXP((T0-t)*PertePVj)+'2018'!Pspv,1-EXP((T0-t)*PertePVj)+Pspv)</f>
        <v>8.80427144352669E-3</v>
      </c>
      <c r="M242" s="872"/>
      <c r="N242" s="872"/>
      <c r="O242" s="48">
        <f>IF(t&lt;Tnet,'2018'!Resal+('2018'!Salim-'2018'!Resal)*(1-EXP(('2018'!Tnet-t)/('2018'!Tau_j))),Resal+(Salim-Resal)*(1-EXP((Tnet-t)/(Tau_j))))*Salcycl</f>
        <v>7.6481706009828912E-2</v>
      </c>
      <c r="P242" s="171">
        <f>(INDEX(Models!$BJ242:$BT242,,T242)*(1-R242)+INDEX(Models!$BJ242:$BT242,,T242+1)*R242-ERP_i)*Q242*Ramure*Pc/MaxiM</f>
        <v>9.9060129177766325E-4</v>
      </c>
      <c r="Q242" s="307">
        <f t="shared" si="78"/>
        <v>0.9</v>
      </c>
      <c r="R242" s="179">
        <f t="shared" si="79"/>
        <v>0.5580099889884873</v>
      </c>
      <c r="S242" s="839">
        <f t="shared" si="80"/>
        <v>-2</v>
      </c>
      <c r="T242" s="178">
        <f t="shared" si="81"/>
        <v>4</v>
      </c>
      <c r="U242" s="253">
        <f t="shared" si="82"/>
        <v>-1.4419900110115127</v>
      </c>
      <c r="V242" s="385">
        <f t="shared" si="83"/>
        <v>51.557603836735382</v>
      </c>
      <c r="W242" s="58"/>
      <c r="X242" s="157">
        <f t="shared" si="84"/>
        <v>43693</v>
      </c>
      <c r="Y242" s="387">
        <f t="shared" si="85"/>
        <v>50.661999999999999</v>
      </c>
      <c r="Z242" s="387">
        <f t="shared" si="86"/>
        <v>51.112003956858793</v>
      </c>
      <c r="AA242" s="388">
        <f t="shared" si="87"/>
        <v>55.344874367375311</v>
      </c>
      <c r="AB242" s="199">
        <f t="shared" si="88"/>
        <v>43693</v>
      </c>
      <c r="AC242" s="428">
        <f>IF(OR(t&lt;Tnet,NoTnet),'2018'!Resal_s+('2018'!Salim-'2018'!Resal_s)*(1-EXP(('2018'!Tnet_s-t)/'2018'!Tau_j)),Resal_s+(Salim-Resal_s)*(1-EXP((Tnet_s-t)/Tau_j)))*Salcycl</f>
        <v>7.6481706009828912E-2</v>
      </c>
      <c r="AD242" s="233">
        <f>(INDEX(Models!$BJ242:$BT242,,AH242)*(1-AF242)+INDEX(Models!$BJ242:$BT242,,AH242+1)*AF242-ERP_i)*AE242*Ramure*Pc/MaxiM</f>
        <v>9.9060129177766325E-4</v>
      </c>
      <c r="AE242" s="307">
        <f t="shared" si="89"/>
        <v>0.9</v>
      </c>
      <c r="AF242" s="179">
        <f t="shared" si="90"/>
        <v>0.5580099889884873</v>
      </c>
      <c r="AG242" s="178">
        <f t="shared" si="91"/>
        <v>-2</v>
      </c>
      <c r="AH242" s="178">
        <f t="shared" si="92"/>
        <v>4</v>
      </c>
      <c r="AI242" s="227">
        <f t="shared" si="93"/>
        <v>-1.4419900110115127</v>
      </c>
      <c r="AJ242" s="267" t="b">
        <f t="shared" si="94"/>
        <v>0</v>
      </c>
      <c r="AK242" s="267" t="b">
        <f t="shared" si="95"/>
        <v>0</v>
      </c>
      <c r="AL242" s="267"/>
      <c r="AM242" s="267"/>
      <c r="AN242" s="75"/>
    </row>
    <row r="243" spans="1:40" s="6" customFormat="1" ht="11.25" x14ac:dyDescent="0.2">
      <c r="A243" s="56">
        <f t="shared" si="96"/>
        <v>43694</v>
      </c>
      <c r="B243" s="620">
        <v>49.505000000000003</v>
      </c>
      <c r="C243" s="392"/>
      <c r="D243" s="395">
        <f t="shared" si="75"/>
        <v>49.945889246900784</v>
      </c>
      <c r="E243" s="387">
        <f t="shared" si="97"/>
        <v>54.09137690595422</v>
      </c>
      <c r="F243" s="387">
        <f t="shared" si="76"/>
        <v>54.145647175100791</v>
      </c>
      <c r="G243" s="110">
        <f t="shared" si="98"/>
        <v>0.96440457055603779</v>
      </c>
      <c r="H243" s="416" t="b">
        <f>Wh_hp&gt;='2018'!Maxi_hp</f>
        <v>1</v>
      </c>
      <c r="I243" s="392">
        <f>IF(H243,Wh_hp,'2018'!Maxi_hp)</f>
        <v>54.145647175100791</v>
      </c>
      <c r="J243" s="85">
        <f>IF(H243,An,'2018'!An_max)</f>
        <v>2019</v>
      </c>
      <c r="K243" s="199">
        <f t="shared" si="77"/>
        <v>43694</v>
      </c>
      <c r="L243" s="147">
        <f>IF(t&lt;Tvie,1-EXP((T0-t)*PertePVj)+'2018'!Pspv,1-EXP((T0-t)*PertePVj)+Pspv)</f>
        <v>8.827338016173969E-3</v>
      </c>
      <c r="M243" s="872"/>
      <c r="N243" s="872"/>
      <c r="O243" s="48">
        <f>IF(t&lt;Tnet,'2018'!Resal+('2018'!Salim-'2018'!Resal)*(1-EXP(('2018'!Tnet-t)/('2018'!Tau_j))),Resal+(Salim-Resal)*(1-EXP((Tnet-t)/(Tau_j))))*Salcycl</f>
        <v>7.6638604823481851E-2</v>
      </c>
      <c r="P243" s="171">
        <f>(INDEX(Models!$BJ243:$BT243,,T243)*(1-R243)+INDEX(Models!$BJ243:$BT243,,T243+1)*R243-ERP_i)*Q243*Ramure*Pc/MaxiM</f>
        <v>1.0559175825259621E-3</v>
      </c>
      <c r="Q243" s="307">
        <f t="shared" si="78"/>
        <v>0.9</v>
      </c>
      <c r="R243" s="179">
        <f t="shared" si="79"/>
        <v>0.55960350543728099</v>
      </c>
      <c r="S243" s="839">
        <f t="shared" si="80"/>
        <v>-2</v>
      </c>
      <c r="T243" s="178">
        <f t="shared" si="81"/>
        <v>4</v>
      </c>
      <c r="U243" s="253">
        <f t="shared" si="82"/>
        <v>-1.440396494562719</v>
      </c>
      <c r="V243" s="385">
        <f t="shared" si="83"/>
        <v>51.329436410205695</v>
      </c>
      <c r="W243" s="58"/>
      <c r="X243" s="157">
        <f t="shared" si="84"/>
        <v>43694</v>
      </c>
      <c r="Y243" s="387">
        <f t="shared" si="85"/>
        <v>49.505000000000003</v>
      </c>
      <c r="Z243" s="387">
        <f t="shared" si="86"/>
        <v>49.945889246900784</v>
      </c>
      <c r="AA243" s="388">
        <f t="shared" si="87"/>
        <v>54.09137690595422</v>
      </c>
      <c r="AB243" s="199">
        <f t="shared" si="88"/>
        <v>43694</v>
      </c>
      <c r="AC243" s="428">
        <f>IF(OR(t&lt;Tnet,NoTnet),'2018'!Resal_s+('2018'!Salim-'2018'!Resal_s)*(1-EXP(('2018'!Tnet_s-t)/'2018'!Tau_j)),Resal_s+(Salim-Resal_s)*(1-EXP((Tnet_s-t)/Tau_j)))*Salcycl</f>
        <v>7.6638604823481851E-2</v>
      </c>
      <c r="AD243" s="233">
        <f>(INDEX(Models!$BJ243:$BT243,,AH243)*(1-AF243)+INDEX(Models!$BJ243:$BT243,,AH243+1)*AF243-ERP_i)*AE243*Ramure*Pc/MaxiM</f>
        <v>1.0559175825259621E-3</v>
      </c>
      <c r="AE243" s="307">
        <f t="shared" si="89"/>
        <v>0.9</v>
      </c>
      <c r="AF243" s="179">
        <f t="shared" si="90"/>
        <v>0.55960350543728099</v>
      </c>
      <c r="AG243" s="178">
        <f t="shared" si="91"/>
        <v>-2</v>
      </c>
      <c r="AH243" s="178">
        <f t="shared" si="92"/>
        <v>4</v>
      </c>
      <c r="AI243" s="227">
        <f t="shared" si="93"/>
        <v>-1.440396494562719</v>
      </c>
      <c r="AJ243" s="267" t="b">
        <f t="shared" si="94"/>
        <v>0</v>
      </c>
      <c r="AK243" s="267" t="b">
        <f t="shared" si="95"/>
        <v>0</v>
      </c>
      <c r="AL243" s="267"/>
      <c r="AM243" s="267"/>
      <c r="AN243" s="75"/>
    </row>
    <row r="244" spans="1:40" s="6" customFormat="1" ht="11.25" x14ac:dyDescent="0.2">
      <c r="A244" s="56">
        <f t="shared" si="96"/>
        <v>43695</v>
      </c>
      <c r="B244" s="620">
        <v>34.524999999999999</v>
      </c>
      <c r="C244" s="392"/>
      <c r="D244" s="395">
        <f t="shared" si="75"/>
        <v>34.833288679272506</v>
      </c>
      <c r="E244" s="387">
        <f t="shared" si="97"/>
        <v>37.730828250911387</v>
      </c>
      <c r="F244" s="387">
        <f t="shared" si="76"/>
        <v>37.753572881164686</v>
      </c>
      <c r="G244" s="110">
        <f t="shared" si="98"/>
        <v>0.67534510533668235</v>
      </c>
      <c r="H244" s="416" t="b">
        <f>Wh_hp&gt;='2018'!Maxi_hp</f>
        <v>1</v>
      </c>
      <c r="I244" s="392">
        <f>IF(H244,Wh_hp,'2018'!Maxi_hp)</f>
        <v>37.753572881164686</v>
      </c>
      <c r="J244" s="85">
        <f>IF(H244,An,'2018'!An_max)</f>
        <v>2019</v>
      </c>
      <c r="K244" s="199">
        <f t="shared" si="77"/>
        <v>43695</v>
      </c>
      <c r="L244" s="147">
        <f>IF(t&lt;Tvie,1-EXP((T0-t)*PertePVj)+'2018'!Pspv,1-EXP((T0-t)*PertePVj)+Pspv)</f>
        <v>8.8504040520283045E-3</v>
      </c>
      <c r="M244" s="872"/>
      <c r="N244" s="872"/>
      <c r="O244" s="48">
        <f>IF(t&lt;Tnet,'2018'!Resal+('2018'!Salim-'2018'!Resal)*(1-EXP(('2018'!Tnet-t)/('2018'!Tau_j))),Resal+(Salim-Resal)*(1-EXP((Tnet-t)/(Tau_j))))*Salcycl</f>
        <v>7.6795016329091303E-2</v>
      </c>
      <c r="P244" s="171">
        <f>(INDEX(Models!$BJ244:$BT244,,T244)*(1-R244)+INDEX(Models!$BJ244:$BT244,,T244+1)*R244-ERP_i)*Q244*Ramure*Pc/MaxiM</f>
        <v>1.122487405718143E-3</v>
      </c>
      <c r="Q244" s="307">
        <f t="shared" si="78"/>
        <v>0.9</v>
      </c>
      <c r="R244" s="179">
        <f t="shared" si="79"/>
        <v>0.56114012416401993</v>
      </c>
      <c r="S244" s="839">
        <f t="shared" si="80"/>
        <v>-2</v>
      </c>
      <c r="T244" s="178">
        <f t="shared" si="81"/>
        <v>4</v>
      </c>
      <c r="U244" s="253">
        <f t="shared" si="82"/>
        <v>-1.4388598758359801</v>
      </c>
      <c r="V244" s="385">
        <f t="shared" si="83"/>
        <v>51.095409745190523</v>
      </c>
      <c r="W244" s="58"/>
      <c r="X244" s="157">
        <f t="shared" si="84"/>
        <v>43695</v>
      </c>
      <c r="Y244" s="387">
        <f t="shared" si="85"/>
        <v>34.524999999999999</v>
      </c>
      <c r="Z244" s="387">
        <f t="shared" si="86"/>
        <v>34.833288679272506</v>
      </c>
      <c r="AA244" s="388">
        <f t="shared" si="87"/>
        <v>37.730828250911387</v>
      </c>
      <c r="AB244" s="199">
        <f t="shared" si="88"/>
        <v>43695</v>
      </c>
      <c r="AC244" s="428">
        <f>IF(OR(t&lt;Tnet,NoTnet),'2018'!Resal_s+('2018'!Salim-'2018'!Resal_s)*(1-EXP(('2018'!Tnet_s-t)/'2018'!Tau_j)),Resal_s+(Salim-Resal_s)*(1-EXP((Tnet_s-t)/Tau_j)))*Salcycl</f>
        <v>7.6795016329091303E-2</v>
      </c>
      <c r="AD244" s="233">
        <f>(INDEX(Models!$BJ244:$BT244,,AH244)*(1-AF244)+INDEX(Models!$BJ244:$BT244,,AH244+1)*AF244-ERP_i)*AE244*Ramure*Pc/MaxiM</f>
        <v>1.122487405718143E-3</v>
      </c>
      <c r="AE244" s="307">
        <f t="shared" si="89"/>
        <v>0.9</v>
      </c>
      <c r="AF244" s="179">
        <f t="shared" si="90"/>
        <v>0.56114012416401993</v>
      </c>
      <c r="AG244" s="178">
        <f t="shared" si="91"/>
        <v>-2</v>
      </c>
      <c r="AH244" s="178">
        <f t="shared" si="92"/>
        <v>4</v>
      </c>
      <c r="AI244" s="227">
        <f t="shared" si="93"/>
        <v>-1.4388598758359801</v>
      </c>
      <c r="AJ244" s="267" t="b">
        <f t="shared" si="94"/>
        <v>0</v>
      </c>
      <c r="AK244" s="267" t="b">
        <f t="shared" si="95"/>
        <v>0</v>
      </c>
      <c r="AL244" s="267"/>
      <c r="AM244" s="267"/>
      <c r="AN244" s="75"/>
    </row>
    <row r="245" spans="1:40" s="6" customFormat="1" ht="11.25" customHeight="1" x14ac:dyDescent="0.2">
      <c r="A245" s="56">
        <f t="shared" si="96"/>
        <v>43696</v>
      </c>
      <c r="B245" s="620">
        <v>32.798000000000002</v>
      </c>
      <c r="C245" s="392"/>
      <c r="D245" s="395">
        <f t="shared" si="75"/>
        <v>33.091637638985659</v>
      </c>
      <c r="E245" s="387">
        <f t="shared" si="97"/>
        <v>35.850355790749973</v>
      </c>
      <c r="F245" s="387">
        <f t="shared" si="76"/>
        <v>35.871396387274366</v>
      </c>
      <c r="G245" s="110">
        <f t="shared" si="98"/>
        <v>0.64454053321382443</v>
      </c>
      <c r="H245" s="416" t="b">
        <f>Wh_hp&gt;='2018'!Maxi_hp</f>
        <v>1</v>
      </c>
      <c r="I245" s="392">
        <f>IF(H245,Wh_hp,'2018'!Maxi_hp)</f>
        <v>35.871396387274366</v>
      </c>
      <c r="J245" s="85">
        <f>IF(H245,An,'2018'!An_max)</f>
        <v>2019</v>
      </c>
      <c r="K245" s="199">
        <f t="shared" si="77"/>
        <v>43696</v>
      </c>
      <c r="L245" s="147">
        <f>IF(t&lt;Tvie,1-EXP((T0-t)*PertePVj)+'2018'!Pspv,1-EXP((T0-t)*PertePVj)+Pspv)</f>
        <v>8.8734695511024642E-3</v>
      </c>
      <c r="M245" s="872"/>
      <c r="N245" s="872"/>
      <c r="O245" s="48">
        <f>IF(t&lt;Tnet,'2018'!Resal+('2018'!Salim-'2018'!Resal)*(1-EXP(('2018'!Tnet-t)/('2018'!Tau_j))),Resal+(Salim-Resal)*(1-EXP((Tnet-t)/(Tau_j))))*Salcycl</f>
        <v>7.695092812652396E-2</v>
      </c>
      <c r="P245" s="171">
        <f>(INDEX(Models!$BJ245:$BT245,,T245)*(1-R245)+INDEX(Models!$BJ245:$BT245,,T245+1)*R245-ERP_i)*Q245*Ramure*Pc/MaxiM</f>
        <v>1.1903553357475096E-3</v>
      </c>
      <c r="Q245" s="307">
        <f t="shared" si="78"/>
        <v>0.9</v>
      </c>
      <c r="R245" s="179">
        <f t="shared" si="79"/>
        <v>0.56262160983323506</v>
      </c>
      <c r="S245" s="839">
        <f t="shared" si="80"/>
        <v>-2</v>
      </c>
      <c r="T245" s="178">
        <f t="shared" si="81"/>
        <v>4</v>
      </c>
      <c r="U245" s="253">
        <f t="shared" si="82"/>
        <v>-1.4373783901667649</v>
      </c>
      <c r="V245" s="385">
        <f t="shared" si="83"/>
        <v>50.855118165939523</v>
      </c>
      <c r="W245" s="58"/>
      <c r="X245" s="157">
        <f t="shared" si="84"/>
        <v>43696</v>
      </c>
      <c r="Y245" s="387">
        <f t="shared" si="85"/>
        <v>32.798000000000002</v>
      </c>
      <c r="Z245" s="387">
        <f t="shared" si="86"/>
        <v>33.091637638985659</v>
      </c>
      <c r="AA245" s="388">
        <f t="shared" si="87"/>
        <v>35.850355790749973</v>
      </c>
      <c r="AB245" s="199">
        <f t="shared" si="88"/>
        <v>43696</v>
      </c>
      <c r="AC245" s="428">
        <f>IF(OR(t&lt;Tnet,NoTnet),'2018'!Resal_s+('2018'!Salim-'2018'!Resal_s)*(1-EXP(('2018'!Tnet_s-t)/'2018'!Tau_j)),Resal_s+(Salim-Resal_s)*(1-EXP((Tnet_s-t)/Tau_j)))*Salcycl</f>
        <v>7.695092812652396E-2</v>
      </c>
      <c r="AD245" s="233">
        <f>(INDEX(Models!$BJ245:$BT245,,AH245)*(1-AF245)+INDEX(Models!$BJ245:$BT245,,AH245+1)*AF245-ERP_i)*AE245*Ramure*Pc/MaxiM</f>
        <v>1.1903553357475096E-3</v>
      </c>
      <c r="AE245" s="307">
        <f t="shared" si="89"/>
        <v>0.9</v>
      </c>
      <c r="AF245" s="179">
        <f t="shared" si="90"/>
        <v>0.56262160983323506</v>
      </c>
      <c r="AG245" s="178">
        <f t="shared" si="91"/>
        <v>-2</v>
      </c>
      <c r="AH245" s="178">
        <f t="shared" si="92"/>
        <v>4</v>
      </c>
      <c r="AI245" s="227">
        <f t="shared" si="93"/>
        <v>-1.4373783901667649</v>
      </c>
      <c r="AJ245" s="267" t="b">
        <f t="shared" si="94"/>
        <v>0</v>
      </c>
      <c r="AK245" s="267" t="b">
        <f t="shared" si="95"/>
        <v>0</v>
      </c>
      <c r="AL245" s="267"/>
      <c r="AM245" s="267"/>
      <c r="AN245" s="75"/>
    </row>
    <row r="246" spans="1:40" s="6" customFormat="1" ht="11.25" x14ac:dyDescent="0.2">
      <c r="A246" s="56">
        <f t="shared" si="96"/>
        <v>43697</v>
      </c>
      <c r="B246" s="620">
        <v>31.45</v>
      </c>
      <c r="C246" s="392"/>
      <c r="D246" s="395">
        <f t="shared" si="75"/>
        <v>31.732307569481996</v>
      </c>
      <c r="E246" s="387">
        <f t="shared" si="97"/>
        <v>34.383492375839054</v>
      </c>
      <c r="F246" s="387">
        <f t="shared" si="76"/>
        <v>34.403391192723817</v>
      </c>
      <c r="G246" s="110">
        <f t="shared" si="98"/>
        <v>0.62101777655828838</v>
      </c>
      <c r="H246" s="416" t="b">
        <f>Wh_hp&gt;='2018'!Maxi_hp</f>
        <v>1</v>
      </c>
      <c r="I246" s="392">
        <f>IF(H246,Wh_hp,'2018'!Maxi_hp)</f>
        <v>34.403391192723817</v>
      </c>
      <c r="J246" s="85">
        <f>IF(H246,An,'2018'!An_max)</f>
        <v>2019</v>
      </c>
      <c r="K246" s="199">
        <f t="shared" si="77"/>
        <v>43697</v>
      </c>
      <c r="L246" s="147">
        <f>IF(t&lt;Tvie,1-EXP((T0-t)*PertePVj)+'2018'!Pspv,1-EXP((T0-t)*PertePVj)+Pspv)</f>
        <v>8.8965345134086604E-3</v>
      </c>
      <c r="M246" s="872"/>
      <c r="N246" s="872"/>
      <c r="O246" s="48">
        <f>IF(t&lt;Tnet,'2018'!Resal+('2018'!Salim-'2018'!Resal)*(1-EXP(('2018'!Tnet-t)/('2018'!Tau_j))),Resal+(Salim-Resal)*(1-EXP((Tnet-t)/(Tau_j))))*Salcycl</f>
        <v>7.7106326994869773E-2</v>
      </c>
      <c r="P246" s="171">
        <f>(INDEX(Models!$BJ246:$BT246,,T246)*(1-R246)+INDEX(Models!$BJ246:$BT246,,T246+1)*R246-ERP_i)*Q246*Ramure*Pc/MaxiM</f>
        <v>1.2595700474683383E-3</v>
      </c>
      <c r="Q246" s="307">
        <f t="shared" si="78"/>
        <v>0.9</v>
      </c>
      <c r="R246" s="179">
        <f t="shared" si="79"/>
        <v>0.56404969253023429</v>
      </c>
      <c r="S246" s="839">
        <f t="shared" si="80"/>
        <v>-2</v>
      </c>
      <c r="T246" s="178">
        <f t="shared" si="81"/>
        <v>4</v>
      </c>
      <c r="U246" s="253">
        <f t="shared" si="82"/>
        <v>-1.4359503074697657</v>
      </c>
      <c r="V246" s="385">
        <f t="shared" si="83"/>
        <v>50.60815631152299</v>
      </c>
      <c r="W246" s="58"/>
      <c r="X246" s="157">
        <f t="shared" si="84"/>
        <v>43697</v>
      </c>
      <c r="Y246" s="387">
        <f t="shared" si="85"/>
        <v>31.45</v>
      </c>
      <c r="Z246" s="387">
        <f t="shared" si="86"/>
        <v>31.732307569481996</v>
      </c>
      <c r="AA246" s="388">
        <f t="shared" si="87"/>
        <v>34.383492375839054</v>
      </c>
      <c r="AB246" s="199">
        <f t="shared" si="88"/>
        <v>43697</v>
      </c>
      <c r="AC246" s="428">
        <f>IF(OR(t&lt;Tnet,NoTnet),'2018'!Resal_s+('2018'!Salim-'2018'!Resal_s)*(1-EXP(('2018'!Tnet_s-t)/'2018'!Tau_j)),Resal_s+(Salim-Resal_s)*(1-EXP((Tnet_s-t)/Tau_j)))*Salcycl</f>
        <v>7.7106326994869773E-2</v>
      </c>
      <c r="AD246" s="233">
        <f>(INDEX(Models!$BJ246:$BT246,,AH246)*(1-AF246)+INDEX(Models!$BJ246:$BT246,,AH246+1)*AF246-ERP_i)*AE246*Ramure*Pc/MaxiM</f>
        <v>1.2595700474683383E-3</v>
      </c>
      <c r="AE246" s="307">
        <f t="shared" si="89"/>
        <v>0.9</v>
      </c>
      <c r="AF246" s="179">
        <f t="shared" si="90"/>
        <v>0.56404969253023429</v>
      </c>
      <c r="AG246" s="178">
        <f t="shared" si="91"/>
        <v>-2</v>
      </c>
      <c r="AH246" s="178">
        <f t="shared" si="92"/>
        <v>4</v>
      </c>
      <c r="AI246" s="227">
        <f t="shared" si="93"/>
        <v>-1.4359503074697657</v>
      </c>
      <c r="AJ246" s="267" t="b">
        <f t="shared" si="94"/>
        <v>0</v>
      </c>
      <c r="AK246" s="267" t="b">
        <f t="shared" si="95"/>
        <v>0</v>
      </c>
      <c r="AL246" s="267"/>
      <c r="AM246" s="267"/>
      <c r="AN246" s="75"/>
    </row>
    <row r="247" spans="1:40" s="6" customFormat="1" ht="11.25" customHeight="1" x14ac:dyDescent="0.2">
      <c r="A247" s="56">
        <f t="shared" si="96"/>
        <v>43698</v>
      </c>
      <c r="B247" s="620">
        <v>46.508000000000003</v>
      </c>
      <c r="C247" s="392"/>
      <c r="D247" s="395">
        <f t="shared" si="75"/>
        <v>46.926566149637317</v>
      </c>
      <c r="E247" s="387">
        <f t="shared" si="97"/>
        <v>50.855741729150047</v>
      </c>
      <c r="F247" s="387">
        <f t="shared" si="76"/>
        <v>50.916074940866757</v>
      </c>
      <c r="G247" s="110">
        <f t="shared" si="98"/>
        <v>0.92345740637453022</v>
      </c>
      <c r="H247" s="416" t="b">
        <f>Wh_hp&gt;='2018'!Maxi_hp</f>
        <v>1</v>
      </c>
      <c r="I247" s="392">
        <f>IF(H247,Wh_hp,'2018'!Maxi_hp)</f>
        <v>50.916074940866757</v>
      </c>
      <c r="J247" s="85">
        <f>IF(H247,An,'2018'!An_max)</f>
        <v>2019</v>
      </c>
      <c r="K247" s="199">
        <f t="shared" si="77"/>
        <v>43698</v>
      </c>
      <c r="L247" s="147">
        <f>IF(t&lt;Tvie,1-EXP((T0-t)*PertePVj)+'2018'!Pspv,1-EXP((T0-t)*PertePVj)+Pspv)</f>
        <v>8.9195989389594388E-3</v>
      </c>
      <c r="M247" s="872"/>
      <c r="N247" s="872"/>
      <c r="O247" s="48">
        <f>IF(t&lt;Tnet,'2018'!Resal+('2018'!Salim-'2018'!Resal)*(1-EXP(('2018'!Tnet-t)/('2018'!Tau_j))),Resal+(Salim-Resal)*(1-EXP((Tnet-t)/(Tau_j))))*Salcycl</f>
        <v>7.7261198950531934E-2</v>
      </c>
      <c r="P247" s="171">
        <f>(INDEX(Models!$BJ247:$BT247,,T247)*(1-R247)+INDEX(Models!$BJ247:$BT247,,T247+1)*R247-ERP_i)*Q247*Ramure*Pc/MaxiM</f>
        <v>1.3301458601478085E-3</v>
      </c>
      <c r="Q247" s="307">
        <f t="shared" si="78"/>
        <v>0.9</v>
      </c>
      <c r="R247" s="179">
        <f t="shared" si="79"/>
        <v>0.56542606680736429</v>
      </c>
      <c r="S247" s="839">
        <f t="shared" si="80"/>
        <v>-2</v>
      </c>
      <c r="T247" s="178">
        <f t="shared" si="81"/>
        <v>4</v>
      </c>
      <c r="U247" s="253">
        <f t="shared" si="82"/>
        <v>-1.4345739331926357</v>
      </c>
      <c r="V247" s="385">
        <f t="shared" si="83"/>
        <v>50.35558661352524</v>
      </c>
      <c r="W247" s="58"/>
      <c r="X247" s="157">
        <f t="shared" si="84"/>
        <v>43698</v>
      </c>
      <c r="Y247" s="387">
        <f t="shared" si="85"/>
        <v>46.508000000000003</v>
      </c>
      <c r="Z247" s="387">
        <f t="shared" si="86"/>
        <v>46.926566149637317</v>
      </c>
      <c r="AA247" s="388">
        <f t="shared" si="87"/>
        <v>50.855741729150047</v>
      </c>
      <c r="AB247" s="199">
        <f t="shared" si="88"/>
        <v>43698</v>
      </c>
      <c r="AC247" s="428">
        <f>IF(OR(t&lt;Tnet,NoTnet),'2018'!Resal_s+('2018'!Salim-'2018'!Resal_s)*(1-EXP(('2018'!Tnet_s-t)/'2018'!Tau_j)),Resal_s+(Salim-Resal_s)*(1-EXP((Tnet_s-t)/Tau_j)))*Salcycl</f>
        <v>7.7261198950531934E-2</v>
      </c>
      <c r="AD247" s="233">
        <f>(INDEX(Models!$BJ247:$BT247,,AH247)*(1-AF247)+INDEX(Models!$BJ247:$BT247,,AH247+1)*AF247-ERP_i)*AE247*Ramure*Pc/MaxiM</f>
        <v>1.3301458601478085E-3</v>
      </c>
      <c r="AE247" s="307">
        <f t="shared" si="89"/>
        <v>0.9</v>
      </c>
      <c r="AF247" s="179">
        <f t="shared" si="90"/>
        <v>0.56542606680736429</v>
      </c>
      <c r="AG247" s="178">
        <f t="shared" si="91"/>
        <v>-2</v>
      </c>
      <c r="AH247" s="178">
        <f t="shared" si="92"/>
        <v>4</v>
      </c>
      <c r="AI247" s="227">
        <f t="shared" si="93"/>
        <v>-1.4345739331926357</v>
      </c>
      <c r="AJ247" s="267" t="b">
        <f t="shared" si="94"/>
        <v>0</v>
      </c>
      <c r="AK247" s="267" t="b">
        <f t="shared" si="95"/>
        <v>0</v>
      </c>
      <c r="AL247" s="267"/>
      <c r="AM247" s="267"/>
      <c r="AN247" s="75"/>
    </row>
    <row r="248" spans="1:40" s="6" customFormat="1" ht="11.25" customHeight="1" x14ac:dyDescent="0.2">
      <c r="A248" s="56">
        <f t="shared" si="96"/>
        <v>43699</v>
      </c>
      <c r="B248" s="620">
        <v>50.378</v>
      </c>
      <c r="C248" s="392"/>
      <c r="D248" s="395">
        <f t="shared" si="75"/>
        <v>50.832578611185816</v>
      </c>
      <c r="E248" s="387">
        <f t="shared" si="97"/>
        <v>55.098021075883956</v>
      </c>
      <c r="F248" s="387">
        <f t="shared" si="76"/>
        <v>55.17534928654144</v>
      </c>
      <c r="G248" s="110">
        <f t="shared" si="98"/>
        <v>1.0055762645499586</v>
      </c>
      <c r="H248" s="416" t="b">
        <f>Wh_hp&gt;='2018'!Maxi_hp</f>
        <v>1</v>
      </c>
      <c r="I248" s="392">
        <f>IF(H248,Wh_hp,'2018'!Maxi_hp)</f>
        <v>55.17534928654144</v>
      </c>
      <c r="J248" s="85">
        <f>IF(H248,An,'2018'!An_max)</f>
        <v>2019</v>
      </c>
      <c r="K248" s="199">
        <f t="shared" si="77"/>
        <v>43699</v>
      </c>
      <c r="L248" s="147">
        <f>IF(t&lt;Tvie,1-EXP((T0-t)*PertePVj)+'2018'!Pspv,1-EXP((T0-t)*PertePVj)+Pspv)</f>
        <v>8.9426628277674558E-3</v>
      </c>
      <c r="M248" s="872"/>
      <c r="N248" s="872"/>
      <c r="O248" s="48">
        <f>IF(t&lt;Tnet,'2018'!Resal+('2018'!Salim-'2018'!Resal)*(1-EXP(('2018'!Tnet-t)/('2018'!Tau_j))),Resal+(Salim-Resal)*(1-EXP((Tnet-t)/(Tau_j))))*Salcycl</f>
        <v>7.7415529295027541E-2</v>
      </c>
      <c r="P248" s="171">
        <f>(INDEX(Models!$BJ248:$BT248,,T248)*(1-R248)+INDEX(Models!$BJ248:$BT248,,T248+1)*R248-ERP_i)*Q248*Ramure*Pc/MaxiM</f>
        <v>1.401499250251998E-3</v>
      </c>
      <c r="Q248" s="307">
        <f t="shared" si="78"/>
        <v>0.9</v>
      </c>
      <c r="R248" s="179">
        <f t="shared" si="79"/>
        <v>0.56675239089963014</v>
      </c>
      <c r="S248" s="839">
        <f t="shared" si="80"/>
        <v>-2</v>
      </c>
      <c r="T248" s="178">
        <f t="shared" si="81"/>
        <v>4</v>
      </c>
      <c r="U248" s="253">
        <f t="shared" si="82"/>
        <v>-1.4332476091003699</v>
      </c>
      <c r="V248" s="385">
        <f t="shared" si="83"/>
        <v>50.098636747901423</v>
      </c>
      <c r="W248" s="58"/>
      <c r="X248" s="157">
        <f t="shared" si="84"/>
        <v>43699</v>
      </c>
      <c r="Y248" s="387">
        <f t="shared" si="85"/>
        <v>50.378</v>
      </c>
      <c r="Z248" s="387">
        <f t="shared" si="86"/>
        <v>50.832578611185816</v>
      </c>
      <c r="AA248" s="388">
        <f t="shared" si="87"/>
        <v>55.098021075883956</v>
      </c>
      <c r="AB248" s="199">
        <f t="shared" si="88"/>
        <v>43699</v>
      </c>
      <c r="AC248" s="428">
        <f>IF(OR(t&lt;Tnet,NoTnet),'2018'!Resal_s+('2018'!Salim-'2018'!Resal_s)*(1-EXP(('2018'!Tnet_s-t)/'2018'!Tau_j)),Resal_s+(Salim-Resal_s)*(1-EXP((Tnet_s-t)/Tau_j)))*Salcycl</f>
        <v>7.7415529295027541E-2</v>
      </c>
      <c r="AD248" s="233">
        <f>(INDEX(Models!$BJ248:$BT248,,AH248)*(1-AF248)+INDEX(Models!$BJ248:$BT248,,AH248+1)*AF248-ERP_i)*AE248*Ramure*Pc/MaxiM</f>
        <v>1.401499250251998E-3</v>
      </c>
      <c r="AE248" s="307">
        <f t="shared" si="89"/>
        <v>0.9</v>
      </c>
      <c r="AF248" s="179">
        <f t="shared" si="90"/>
        <v>0.56675239089963014</v>
      </c>
      <c r="AG248" s="178">
        <f t="shared" si="91"/>
        <v>-2</v>
      </c>
      <c r="AH248" s="178">
        <f t="shared" si="92"/>
        <v>4</v>
      </c>
      <c r="AI248" s="227">
        <f t="shared" si="93"/>
        <v>-1.4332476091003699</v>
      </c>
      <c r="AJ248" s="267" t="b">
        <f t="shared" si="94"/>
        <v>0</v>
      </c>
      <c r="AK248" s="267" t="b">
        <f t="shared" si="95"/>
        <v>0</v>
      </c>
      <c r="AL248" s="267"/>
      <c r="AM248" s="267"/>
      <c r="AN248" s="75"/>
    </row>
    <row r="249" spans="1:40" s="6" customFormat="1" ht="11.25" customHeight="1" x14ac:dyDescent="0.2">
      <c r="A249" s="56">
        <f t="shared" si="96"/>
        <v>43700</v>
      </c>
      <c r="B249" s="620">
        <v>47.805</v>
      </c>
      <c r="C249" s="392"/>
      <c r="D249" s="395">
        <f t="shared" si="75"/>
        <v>48.237484073810421</v>
      </c>
      <c r="E249" s="387">
        <f t="shared" si="97"/>
        <v>52.293884204522406</v>
      </c>
      <c r="F249" s="387">
        <f t="shared" si="76"/>
        <v>52.366514381661467</v>
      </c>
      <c r="G249" s="110">
        <f t="shared" si="98"/>
        <v>0.95914177098569153</v>
      </c>
      <c r="H249" s="416" t="b">
        <f>Wh_hp&gt;='2018'!Maxi_hp</f>
        <v>1</v>
      </c>
      <c r="I249" s="392">
        <f>IF(H249,Wh_hp,'2018'!Maxi_hp)</f>
        <v>52.366514381661467</v>
      </c>
      <c r="J249" s="85">
        <f>IF(H249,An,'2018'!An_max)</f>
        <v>2019</v>
      </c>
      <c r="K249" s="199">
        <f t="shared" si="77"/>
        <v>43700</v>
      </c>
      <c r="L249" s="147">
        <f>IF(t&lt;Tvie,1-EXP((T0-t)*PertePVj)+'2018'!Pspv,1-EXP((T0-t)*PertePVj)+Pspv)</f>
        <v>8.9657261798450349E-3</v>
      </c>
      <c r="M249" s="872"/>
      <c r="N249" s="872"/>
      <c r="O249" s="48">
        <f>IF(t&lt;Tnet,'2018'!Resal+('2018'!Salim-'2018'!Resal)*(1-EXP(('2018'!Tnet-t)/('2018'!Tau_j))),Resal+(Salim-Resal)*(1-EXP((Tnet-t)/(Tau_j))))*Salcycl</f>
        <v>7.756930265205253E-2</v>
      </c>
      <c r="P249" s="171">
        <f>(INDEX(Models!$BJ249:$BT249,,T249)*(1-R249)+INDEX(Models!$BJ249:$BT249,,T249+1)*R249-ERP_i)*Q249*Ramure*Pc/MaxiM</f>
        <v>1.4727476882048555E-3</v>
      </c>
      <c r="Q249" s="307">
        <f t="shared" si="78"/>
        <v>0.9</v>
      </c>
      <c r="R249" s="179">
        <f t="shared" si="79"/>
        <v>0.56803028609777084</v>
      </c>
      <c r="S249" s="839">
        <f t="shared" si="80"/>
        <v>-2</v>
      </c>
      <c r="T249" s="178">
        <f t="shared" si="81"/>
        <v>4</v>
      </c>
      <c r="U249" s="253">
        <f t="shared" si="82"/>
        <v>-1.4319697139022292</v>
      </c>
      <c r="V249" s="385">
        <f t="shared" si="83"/>
        <v>49.837150870872698</v>
      </c>
      <c r="W249" s="58"/>
      <c r="X249" s="157">
        <f t="shared" si="84"/>
        <v>43700</v>
      </c>
      <c r="Y249" s="387">
        <f t="shared" si="85"/>
        <v>47.805</v>
      </c>
      <c r="Z249" s="387">
        <f t="shared" si="86"/>
        <v>48.237484073810421</v>
      </c>
      <c r="AA249" s="388">
        <f t="shared" si="87"/>
        <v>52.293884204522406</v>
      </c>
      <c r="AB249" s="199">
        <f t="shared" si="88"/>
        <v>43700</v>
      </c>
      <c r="AC249" s="428">
        <f>IF(OR(t&lt;Tnet,NoTnet),'2018'!Resal_s+('2018'!Salim-'2018'!Resal_s)*(1-EXP(('2018'!Tnet_s-t)/'2018'!Tau_j)),Resal_s+(Salim-Resal_s)*(1-EXP((Tnet_s-t)/Tau_j)))*Salcycl</f>
        <v>7.756930265205253E-2</v>
      </c>
      <c r="AD249" s="233">
        <f>(INDEX(Models!$BJ249:$BT249,,AH249)*(1-AF249)+INDEX(Models!$BJ249:$BT249,,AH249+1)*AF249-ERP_i)*AE249*Ramure*Pc/MaxiM</f>
        <v>1.4727476882048555E-3</v>
      </c>
      <c r="AE249" s="307">
        <f t="shared" si="89"/>
        <v>0.9</v>
      </c>
      <c r="AF249" s="179">
        <f t="shared" si="90"/>
        <v>0.56803028609777084</v>
      </c>
      <c r="AG249" s="178">
        <f t="shared" si="91"/>
        <v>-2</v>
      </c>
      <c r="AH249" s="178">
        <f t="shared" si="92"/>
        <v>4</v>
      </c>
      <c r="AI249" s="227">
        <f t="shared" si="93"/>
        <v>-1.4319697139022292</v>
      </c>
      <c r="AJ249" s="267" t="b">
        <f t="shared" si="94"/>
        <v>0</v>
      </c>
      <c r="AK249" s="267" t="b">
        <f t="shared" si="95"/>
        <v>0</v>
      </c>
      <c r="AL249" s="267"/>
      <c r="AM249" s="267"/>
      <c r="AN249" s="75"/>
    </row>
    <row r="250" spans="1:40" s="6" customFormat="1" ht="11.25" x14ac:dyDescent="0.2">
      <c r="A250" s="56">
        <f t="shared" si="96"/>
        <v>43701</v>
      </c>
      <c r="B250" s="620">
        <v>47.677</v>
      </c>
      <c r="C250" s="392"/>
      <c r="D250" s="395">
        <f t="shared" si="75"/>
        <v>48.109445655675131</v>
      </c>
      <c r="E250" s="387">
        <f t="shared" si="97"/>
        <v>52.163742270444686</v>
      </c>
      <c r="F250" s="387">
        <f t="shared" si="76"/>
        <v>52.23999379446547</v>
      </c>
      <c r="G250" s="110">
        <f t="shared" si="98"/>
        <v>0.9617124097992662</v>
      </c>
      <c r="H250" s="416" t="b">
        <f>Wh_hp&gt;='2018'!Maxi_hp</f>
        <v>1</v>
      </c>
      <c r="I250" s="392">
        <f>IF(H250,Wh_hp,'2018'!Maxi_hp)</f>
        <v>52.23999379446547</v>
      </c>
      <c r="J250" s="85">
        <f>IF(H250,An,'2018'!An_max)</f>
        <v>2019</v>
      </c>
      <c r="K250" s="199">
        <f t="shared" si="77"/>
        <v>43701</v>
      </c>
      <c r="L250" s="147">
        <f>IF(t&lt;Tvie,1-EXP((T0-t)*PertePVj)+'2018'!Pspv,1-EXP((T0-t)*PertePVj)+Pspv)</f>
        <v>8.9887889952047217E-3</v>
      </c>
      <c r="M250" s="872"/>
      <c r="N250" s="872"/>
      <c r="O250" s="48">
        <f>IF(t&lt;Tnet,'2018'!Resal+('2018'!Salim-'2018'!Resal)*(1-EXP(('2018'!Tnet-t)/('2018'!Tau_j))),Resal+(Salim-Resal)*(1-EXP((Tnet-t)/(Tau_j))))*Salcycl</f>
        <v>7.7722502993552892E-2</v>
      </c>
      <c r="P250" s="171">
        <f>(INDEX(Models!$BJ250:$BT250,,T250)*(1-R250)+INDEX(Models!$BJ250:$BT250,,T250+1)*R250-ERP_i)*Q250*Ramure*Pc/MaxiM</f>
        <v>1.5439061755863467E-3</v>
      </c>
      <c r="Q250" s="307">
        <f t="shared" si="78"/>
        <v>0.9</v>
      </c>
      <c r="R250" s="179">
        <f t="shared" si="79"/>
        <v>0.56926133626730069</v>
      </c>
      <c r="S250" s="839">
        <f t="shared" si="80"/>
        <v>-2</v>
      </c>
      <c r="T250" s="178">
        <f t="shared" si="81"/>
        <v>4</v>
      </c>
      <c r="U250" s="253">
        <f t="shared" si="82"/>
        <v>-1.4307386637326993</v>
      </c>
      <c r="V250" s="385">
        <f t="shared" si="83"/>
        <v>49.570927886253322</v>
      </c>
      <c r="W250" s="58"/>
      <c r="X250" s="157">
        <f t="shared" si="84"/>
        <v>43701</v>
      </c>
      <c r="Y250" s="387">
        <f t="shared" si="85"/>
        <v>47.677</v>
      </c>
      <c r="Z250" s="387">
        <f t="shared" si="86"/>
        <v>48.109445655675131</v>
      </c>
      <c r="AA250" s="388">
        <f t="shared" si="87"/>
        <v>52.163742270444686</v>
      </c>
      <c r="AB250" s="199">
        <f t="shared" si="88"/>
        <v>43701</v>
      </c>
      <c r="AC250" s="428">
        <f>IF(OR(t&lt;Tnet,NoTnet),'2018'!Resal_s+('2018'!Salim-'2018'!Resal_s)*(1-EXP(('2018'!Tnet_s-t)/'2018'!Tau_j)),Resal_s+(Salim-Resal_s)*(1-EXP((Tnet_s-t)/Tau_j)))*Salcycl</f>
        <v>7.7722502993552892E-2</v>
      </c>
      <c r="AD250" s="233">
        <f>(INDEX(Models!$BJ250:$BT250,,AH250)*(1-AF250)+INDEX(Models!$BJ250:$BT250,,AH250+1)*AF250-ERP_i)*AE250*Ramure*Pc/MaxiM</f>
        <v>1.5439061755863467E-3</v>
      </c>
      <c r="AE250" s="307">
        <f t="shared" si="89"/>
        <v>0.9</v>
      </c>
      <c r="AF250" s="179">
        <f t="shared" si="90"/>
        <v>0.56926133626730069</v>
      </c>
      <c r="AG250" s="178">
        <f t="shared" si="91"/>
        <v>-2</v>
      </c>
      <c r="AH250" s="178">
        <f t="shared" si="92"/>
        <v>4</v>
      </c>
      <c r="AI250" s="227">
        <f t="shared" si="93"/>
        <v>-1.4307386637326993</v>
      </c>
      <c r="AJ250" s="267" t="b">
        <f t="shared" si="94"/>
        <v>0</v>
      </c>
      <c r="AK250" s="267" t="b">
        <f t="shared" si="95"/>
        <v>0</v>
      </c>
      <c r="AL250" s="267"/>
      <c r="AM250" s="267"/>
      <c r="AN250" s="75"/>
    </row>
    <row r="251" spans="1:40" s="6" customFormat="1" ht="11.25" x14ac:dyDescent="0.2">
      <c r="A251" s="56">
        <f t="shared" si="96"/>
        <v>43702</v>
      </c>
      <c r="B251" s="620">
        <v>43.116999999999997</v>
      </c>
      <c r="C251" s="392"/>
      <c r="D251" s="395">
        <f t="shared" si="75"/>
        <v>43.509097515872874</v>
      </c>
      <c r="E251" s="387">
        <f t="shared" si="97"/>
        <v>47.183519456150975</v>
      </c>
      <c r="F251" s="387">
        <f t="shared" si="76"/>
        <v>47.246151371724274</v>
      </c>
      <c r="G251" s="110">
        <f t="shared" si="98"/>
        <v>0.87433492531180645</v>
      </c>
      <c r="H251" s="416" t="b">
        <f>Wh_hp&gt;='2018'!Maxi_hp</f>
        <v>1</v>
      </c>
      <c r="I251" s="392">
        <f>IF(H251,Wh_hp,'2018'!Maxi_hp)</f>
        <v>47.246151371724274</v>
      </c>
      <c r="J251" s="85">
        <f>IF(H251,An,'2018'!An_max)</f>
        <v>2019</v>
      </c>
      <c r="K251" s="199">
        <f t="shared" si="77"/>
        <v>43702</v>
      </c>
      <c r="L251" s="147">
        <f>IF(t&lt;Tvie,1-EXP((T0-t)*PertePVj)+'2018'!Pspv,1-EXP((T0-t)*PertePVj)+Pspv)</f>
        <v>9.0118512738590617E-3</v>
      </c>
      <c r="M251" s="872"/>
      <c r="N251" s="872"/>
      <c r="O251" s="48">
        <f>IF(t&lt;Tnet,'2018'!Resal+('2018'!Salim-'2018'!Resal)*(1-EXP(('2018'!Tnet-t)/('2018'!Tau_j))),Resal+(Salim-Resal)*(1-EXP((Tnet-t)/(Tau_j))))*Salcycl</f>
        <v>7.7875113654733846E-2</v>
      </c>
      <c r="P251" s="171">
        <f>(INDEX(Models!$BJ251:$BT251,,T251)*(1-R251)+INDEX(Models!$BJ251:$BT251,,T251+1)*R251-ERP_i)*Q251*Ramure*Pc/MaxiM</f>
        <v>1.614992490335528E-3</v>
      </c>
      <c r="Q251" s="307">
        <f t="shared" si="78"/>
        <v>0.9</v>
      </c>
      <c r="R251" s="179">
        <f t="shared" si="79"/>
        <v>0.57044708750245121</v>
      </c>
      <c r="S251" s="839">
        <f t="shared" si="80"/>
        <v>-2</v>
      </c>
      <c r="T251" s="178">
        <f t="shared" si="81"/>
        <v>4</v>
      </c>
      <c r="U251" s="253">
        <f t="shared" si="82"/>
        <v>-1.4295529124975488</v>
      </c>
      <c r="V251" s="385">
        <f t="shared" si="83"/>
        <v>49.299766785043303</v>
      </c>
      <c r="W251" s="58"/>
      <c r="X251" s="157">
        <f t="shared" si="84"/>
        <v>43702</v>
      </c>
      <c r="Y251" s="387">
        <f t="shared" si="85"/>
        <v>43.116999999999997</v>
      </c>
      <c r="Z251" s="387">
        <f t="shared" si="86"/>
        <v>43.509097515872874</v>
      </c>
      <c r="AA251" s="388">
        <f t="shared" si="87"/>
        <v>47.183519456150975</v>
      </c>
      <c r="AB251" s="199">
        <f t="shared" si="88"/>
        <v>43702</v>
      </c>
      <c r="AC251" s="428">
        <f>IF(OR(t&lt;Tnet,NoTnet),'2018'!Resal_s+('2018'!Salim-'2018'!Resal_s)*(1-EXP(('2018'!Tnet_s-t)/'2018'!Tau_j)),Resal_s+(Salim-Resal_s)*(1-EXP((Tnet_s-t)/Tau_j)))*Salcycl</f>
        <v>7.7875113654733846E-2</v>
      </c>
      <c r="AD251" s="233">
        <f>(INDEX(Models!$BJ251:$BT251,,AH251)*(1-AF251)+INDEX(Models!$BJ251:$BT251,,AH251+1)*AF251-ERP_i)*AE251*Ramure*Pc/MaxiM</f>
        <v>1.614992490335528E-3</v>
      </c>
      <c r="AE251" s="307">
        <f t="shared" si="89"/>
        <v>0.9</v>
      </c>
      <c r="AF251" s="179">
        <f t="shared" si="90"/>
        <v>0.57044708750245121</v>
      </c>
      <c r="AG251" s="178">
        <f t="shared" si="91"/>
        <v>-2</v>
      </c>
      <c r="AH251" s="178">
        <f t="shared" si="92"/>
        <v>4</v>
      </c>
      <c r="AI251" s="227">
        <f t="shared" si="93"/>
        <v>-1.4295529124975488</v>
      </c>
      <c r="AJ251" s="267" t="b">
        <f t="shared" si="94"/>
        <v>0</v>
      </c>
      <c r="AK251" s="267" t="b">
        <f t="shared" si="95"/>
        <v>0</v>
      </c>
      <c r="AL251" s="267"/>
      <c r="AM251" s="267"/>
      <c r="AN251" s="75"/>
    </row>
    <row r="252" spans="1:40" s="6" customFormat="1" ht="11.25" customHeight="1" x14ac:dyDescent="0.2">
      <c r="A252" s="56">
        <f t="shared" si="96"/>
        <v>43703</v>
      </c>
      <c r="B252" s="620">
        <v>39.03</v>
      </c>
      <c r="C252" s="392"/>
      <c r="D252" s="395">
        <f t="shared" si="75"/>
        <v>39.385847708097003</v>
      </c>
      <c r="E252" s="387">
        <f t="shared" si="97"/>
        <v>42.719095592469586</v>
      </c>
      <c r="F252" s="387">
        <f t="shared" si="76"/>
        <v>42.77020724360451</v>
      </c>
      <c r="G252" s="110">
        <f t="shared" si="98"/>
        <v>0.79575795212257117</v>
      </c>
      <c r="H252" s="416" t="b">
        <f>Wh_hp&gt;='2018'!Maxi_hp</f>
        <v>1</v>
      </c>
      <c r="I252" s="392">
        <f>IF(H252,Wh_hp,'2018'!Maxi_hp)</f>
        <v>42.77020724360451</v>
      </c>
      <c r="J252" s="85">
        <f>IF(H252,An,'2018'!An_max)</f>
        <v>2019</v>
      </c>
      <c r="K252" s="199">
        <f t="shared" si="77"/>
        <v>43703</v>
      </c>
      <c r="L252" s="147">
        <f>IF(t&lt;Tvie,1-EXP((T0-t)*PertePVj)+'2018'!Pspv,1-EXP((T0-t)*PertePVj)+Pspv)</f>
        <v>9.0349130158203783E-3</v>
      </c>
      <c r="M252" s="872"/>
      <c r="N252" s="872"/>
      <c r="O252" s="48">
        <f>IF(t&lt;Tnet,'2018'!Resal+('2018'!Salim-'2018'!Resal)*(1-EXP(('2018'!Tnet-t)/('2018'!Tau_j))),Resal+(Salim-Resal)*(1-EXP((Tnet-t)/(Tau_j))))*Salcycl</f>
        <v>7.802711733813382E-2</v>
      </c>
      <c r="P252" s="171">
        <f>(INDEX(Models!$BJ252:$BT252,,T252)*(1-R252)+INDEX(Models!$BJ252:$BT252,,T252+1)*R252-ERP_i)*Q252*Ramure*Pc/MaxiM</f>
        <v>1.6860256999348614E-3</v>
      </c>
      <c r="Q252" s="307">
        <f t="shared" si="78"/>
        <v>0.9</v>
      </c>
      <c r="R252" s="179">
        <f t="shared" si="79"/>
        <v>0.57158904790441634</v>
      </c>
      <c r="S252" s="839">
        <f t="shared" si="80"/>
        <v>-2</v>
      </c>
      <c r="T252" s="178">
        <f t="shared" si="81"/>
        <v>4</v>
      </c>
      <c r="U252" s="253">
        <f t="shared" si="82"/>
        <v>-1.4284109520955837</v>
      </c>
      <c r="V252" s="385">
        <f t="shared" si="83"/>
        <v>49.02346671910513</v>
      </c>
      <c r="W252" s="58"/>
      <c r="X252" s="157">
        <f t="shared" si="84"/>
        <v>43703</v>
      </c>
      <c r="Y252" s="387">
        <f t="shared" si="85"/>
        <v>39.03</v>
      </c>
      <c r="Z252" s="387">
        <f t="shared" si="86"/>
        <v>39.385847708097003</v>
      </c>
      <c r="AA252" s="388">
        <f t="shared" si="87"/>
        <v>42.719095592469586</v>
      </c>
      <c r="AB252" s="199">
        <f t="shared" si="88"/>
        <v>43703</v>
      </c>
      <c r="AC252" s="428">
        <f>IF(OR(t&lt;Tnet,NoTnet),'2018'!Resal_s+('2018'!Salim-'2018'!Resal_s)*(1-EXP(('2018'!Tnet_s-t)/'2018'!Tau_j)),Resal_s+(Salim-Resal_s)*(1-EXP((Tnet_s-t)/Tau_j)))*Salcycl</f>
        <v>7.802711733813382E-2</v>
      </c>
      <c r="AD252" s="233">
        <f>(INDEX(Models!$BJ252:$BT252,,AH252)*(1-AF252)+INDEX(Models!$BJ252:$BT252,,AH252+1)*AF252-ERP_i)*AE252*Ramure*Pc/MaxiM</f>
        <v>1.6860256999348614E-3</v>
      </c>
      <c r="AE252" s="307">
        <f t="shared" si="89"/>
        <v>0.9</v>
      </c>
      <c r="AF252" s="179">
        <f t="shared" si="90"/>
        <v>0.57158904790441634</v>
      </c>
      <c r="AG252" s="178">
        <f t="shared" si="91"/>
        <v>-2</v>
      </c>
      <c r="AH252" s="178">
        <f t="shared" si="92"/>
        <v>4</v>
      </c>
      <c r="AI252" s="227">
        <f t="shared" si="93"/>
        <v>-1.4284109520955837</v>
      </c>
      <c r="AJ252" s="267" t="b">
        <f t="shared" si="94"/>
        <v>0</v>
      </c>
      <c r="AK252" s="267" t="b">
        <f t="shared" si="95"/>
        <v>0</v>
      </c>
      <c r="AL252" s="267"/>
      <c r="AM252" s="267"/>
      <c r="AN252" s="75"/>
    </row>
    <row r="253" spans="1:40" s="6" customFormat="1" ht="11.25" customHeight="1" x14ac:dyDescent="0.2">
      <c r="A253" s="56">
        <f t="shared" si="96"/>
        <v>43704</v>
      </c>
      <c r="B253" s="620">
        <v>32.933999999999997</v>
      </c>
      <c r="C253" s="392"/>
      <c r="D253" s="395">
        <f t="shared" si="75"/>
        <v>33.235042155077906</v>
      </c>
      <c r="E253" s="387">
        <f t="shared" si="97"/>
        <v>36.053663333654015</v>
      </c>
      <c r="F253" s="387">
        <f t="shared" si="76"/>
        <v>36.087693221728863</v>
      </c>
      <c r="G253" s="110">
        <f t="shared" si="98"/>
        <v>0.6751319523236855</v>
      </c>
      <c r="H253" s="416" t="b">
        <f>Wh_hp&gt;='2018'!Maxi_hp</f>
        <v>1</v>
      </c>
      <c r="I253" s="392">
        <f>IF(H253,Wh_hp,'2018'!Maxi_hp)</f>
        <v>36.087693221728863</v>
      </c>
      <c r="J253" s="85">
        <f>IF(H253,An,'2018'!An_max)</f>
        <v>2019</v>
      </c>
      <c r="K253" s="199">
        <f t="shared" si="77"/>
        <v>43704</v>
      </c>
      <c r="L253" s="147">
        <f>IF(t&lt;Tvie,1-EXP((T0-t)*PertePVj)+'2018'!Pspv,1-EXP((T0-t)*PertePVj)+Pspv)</f>
        <v>9.0579742211013281E-3</v>
      </c>
      <c r="M253" s="872"/>
      <c r="N253" s="872"/>
      <c r="O253" s="48">
        <f>IF(t&lt;Tnet,'2018'!Resal+('2018'!Salim-'2018'!Resal)*(1-EXP(('2018'!Tnet-t)/('2018'!Tau_j))),Resal+(Salim-Resal)*(1-EXP((Tnet-t)/(Tau_j))))*Salcycl</f>
        <v>7.8178496107081871E-2</v>
      </c>
      <c r="P253" s="171">
        <f>(INDEX(Models!$BJ253:$BT253,,T253)*(1-R253)+INDEX(Models!$BJ253:$BT253,,T253+1)*R253-ERP_i)*Q253*Ramure*Pc/MaxiM</f>
        <v>1.7570271044975679E-3</v>
      </c>
      <c r="Q253" s="307">
        <f t="shared" si="78"/>
        <v>0.9</v>
      </c>
      <c r="R253" s="179">
        <f t="shared" si="79"/>
        <v>0.57268868747376245</v>
      </c>
      <c r="S253" s="839">
        <f t="shared" si="80"/>
        <v>-2</v>
      </c>
      <c r="T253" s="178">
        <f t="shared" si="81"/>
        <v>4</v>
      </c>
      <c r="U253" s="253">
        <f t="shared" si="82"/>
        <v>-1.4273113125262376</v>
      </c>
      <c r="V253" s="385">
        <f t="shared" si="83"/>
        <v>48.741826952397936</v>
      </c>
      <c r="W253" s="58"/>
      <c r="X253" s="157">
        <f t="shared" si="84"/>
        <v>43704</v>
      </c>
      <c r="Y253" s="387">
        <f t="shared" si="85"/>
        <v>32.933999999999997</v>
      </c>
      <c r="Z253" s="387">
        <f t="shared" si="86"/>
        <v>33.235042155077906</v>
      </c>
      <c r="AA253" s="388">
        <f t="shared" si="87"/>
        <v>36.053663333654015</v>
      </c>
      <c r="AB253" s="199">
        <f t="shared" si="88"/>
        <v>43704</v>
      </c>
      <c r="AC253" s="428">
        <f>IF(OR(t&lt;Tnet,NoTnet),'2018'!Resal_s+('2018'!Salim-'2018'!Resal_s)*(1-EXP(('2018'!Tnet_s-t)/'2018'!Tau_j)),Resal_s+(Salim-Resal_s)*(1-EXP((Tnet_s-t)/Tau_j)))*Salcycl</f>
        <v>7.8178496107081871E-2</v>
      </c>
      <c r="AD253" s="233">
        <f>(INDEX(Models!$BJ253:$BT253,,AH253)*(1-AF253)+INDEX(Models!$BJ253:$BT253,,AH253+1)*AF253-ERP_i)*AE253*Ramure*Pc/MaxiM</f>
        <v>1.7570271044975679E-3</v>
      </c>
      <c r="AE253" s="307">
        <f t="shared" si="89"/>
        <v>0.9</v>
      </c>
      <c r="AF253" s="179">
        <f t="shared" si="90"/>
        <v>0.57268868747376245</v>
      </c>
      <c r="AG253" s="178">
        <f t="shared" si="91"/>
        <v>-2</v>
      </c>
      <c r="AH253" s="178">
        <f t="shared" si="92"/>
        <v>4</v>
      </c>
      <c r="AI253" s="227">
        <f t="shared" si="93"/>
        <v>-1.4273113125262376</v>
      </c>
      <c r="AJ253" s="267" t="b">
        <f t="shared" si="94"/>
        <v>0</v>
      </c>
      <c r="AK253" s="267" t="b">
        <f t="shared" si="95"/>
        <v>0</v>
      </c>
      <c r="AL253" s="267"/>
      <c r="AM253" s="267"/>
      <c r="AN253" s="75"/>
    </row>
    <row r="254" spans="1:40" s="6" customFormat="1" ht="11.25" x14ac:dyDescent="0.2">
      <c r="A254" s="56">
        <f t="shared" si="96"/>
        <v>43705</v>
      </c>
      <c r="B254" s="620">
        <v>39.173999999999999</v>
      </c>
      <c r="C254" s="392"/>
      <c r="D254" s="395">
        <f t="shared" si="75"/>
        <v>39.533000557356452</v>
      </c>
      <c r="E254" s="387">
        <f t="shared" si="97"/>
        <v>42.892757265242004</v>
      </c>
      <c r="F254" s="387">
        <f t="shared" si="76"/>
        <v>42.94975744398986</v>
      </c>
      <c r="G254" s="110">
        <f t="shared" si="98"/>
        <v>0.80806186459320173</v>
      </c>
      <c r="H254" s="416" t="b">
        <f>Wh_hp&gt;='2018'!Maxi_hp</f>
        <v>1</v>
      </c>
      <c r="I254" s="392">
        <f>IF(H254,Wh_hp,'2018'!Maxi_hp)</f>
        <v>42.94975744398986</v>
      </c>
      <c r="J254" s="85">
        <f>IF(H254,An,'2018'!An_max)</f>
        <v>2019</v>
      </c>
      <c r="K254" s="199">
        <f t="shared" si="77"/>
        <v>43705</v>
      </c>
      <c r="L254" s="147">
        <f>IF(t&lt;Tvie,1-EXP((T0-t)*PertePVj)+'2018'!Pspv,1-EXP((T0-t)*PertePVj)+Pspv)</f>
        <v>9.0810348897143456E-3</v>
      </c>
      <c r="M254" s="872"/>
      <c r="N254" s="872"/>
      <c r="O254" s="48">
        <f>IF(t&lt;Tnet,'2018'!Resal+('2018'!Salim-'2018'!Resal)*(1-EXP(('2018'!Tnet-t)/('2018'!Tau_j))),Resal+(Salim-Resal)*(1-EXP((Tnet-t)/(Tau_j))))*Salcycl</f>
        <v>7.8329231369047916E-2</v>
      </c>
      <c r="P254" s="171">
        <f>(INDEX(Models!$BJ254:$BT254,,T254)*(1-R254)+INDEX(Models!$BJ254:$BT254,,T254+1)*R254-ERP_i)*Q254*Ramure*Pc/MaxiM</f>
        <v>1.8270529728566E-3</v>
      </c>
      <c r="Q254" s="307">
        <f t="shared" si="78"/>
        <v>0.9</v>
      </c>
      <c r="R254" s="179">
        <f t="shared" si="79"/>
        <v>0.57374743810734619</v>
      </c>
      <c r="S254" s="839">
        <f t="shared" si="80"/>
        <v>-2</v>
      </c>
      <c r="T254" s="178">
        <f t="shared" si="81"/>
        <v>4</v>
      </c>
      <c r="U254" s="253">
        <f t="shared" si="82"/>
        <v>-1.4262525618926538</v>
      </c>
      <c r="V254" s="385">
        <f t="shared" si="83"/>
        <v>48.454693819774064</v>
      </c>
      <c r="W254" s="58"/>
      <c r="X254" s="157">
        <f t="shared" si="84"/>
        <v>43705</v>
      </c>
      <c r="Y254" s="387">
        <f t="shared" si="85"/>
        <v>39.173999999999999</v>
      </c>
      <c r="Z254" s="387">
        <f t="shared" si="86"/>
        <v>39.533000557356452</v>
      </c>
      <c r="AA254" s="388">
        <f t="shared" si="87"/>
        <v>42.892757265242004</v>
      </c>
      <c r="AB254" s="199">
        <f t="shared" si="88"/>
        <v>43705</v>
      </c>
      <c r="AC254" s="428">
        <f>IF(OR(t&lt;Tnet,NoTnet),'2018'!Resal_s+('2018'!Salim-'2018'!Resal_s)*(1-EXP(('2018'!Tnet_s-t)/'2018'!Tau_j)),Resal_s+(Salim-Resal_s)*(1-EXP((Tnet_s-t)/Tau_j)))*Salcycl</f>
        <v>7.8329231369047916E-2</v>
      </c>
      <c r="AD254" s="233">
        <f>(INDEX(Models!$BJ254:$BT254,,AH254)*(1-AF254)+INDEX(Models!$BJ254:$BT254,,AH254+1)*AF254-ERP_i)*AE254*Ramure*Pc/MaxiM</f>
        <v>1.8270529728566E-3</v>
      </c>
      <c r="AE254" s="307">
        <f t="shared" si="89"/>
        <v>0.9</v>
      </c>
      <c r="AF254" s="179">
        <f t="shared" si="90"/>
        <v>0.57374743810734619</v>
      </c>
      <c r="AG254" s="178">
        <f t="shared" si="91"/>
        <v>-2</v>
      </c>
      <c r="AH254" s="178">
        <f t="shared" si="92"/>
        <v>4</v>
      </c>
      <c r="AI254" s="227">
        <f t="shared" si="93"/>
        <v>-1.4262525618926538</v>
      </c>
      <c r="AJ254" s="267" t="b">
        <f t="shared" si="94"/>
        <v>0</v>
      </c>
      <c r="AK254" s="267" t="b">
        <f t="shared" si="95"/>
        <v>0</v>
      </c>
      <c r="AL254" s="267"/>
      <c r="AM254" s="267"/>
      <c r="AN254" s="75"/>
    </row>
    <row r="255" spans="1:40" s="6" customFormat="1" ht="11.25" x14ac:dyDescent="0.2">
      <c r="A255" s="56">
        <f t="shared" si="96"/>
        <v>43706</v>
      </c>
      <c r="B255" s="620">
        <v>44.624000000000002</v>
      </c>
      <c r="C255" s="392"/>
      <c r="D255" s="395">
        <f t="shared" si="75"/>
        <v>45.033993758381683</v>
      </c>
      <c r="E255" s="387">
        <f t="shared" si="97"/>
        <v>48.869215793533073</v>
      </c>
      <c r="F255" s="387">
        <f t="shared" si="76"/>
        <v>48.95231466559823</v>
      </c>
      <c r="G255" s="110">
        <f t="shared" si="98"/>
        <v>0.92635786662416231</v>
      </c>
      <c r="H255" s="416" t="b">
        <f>Wh_hp&gt;='2018'!Maxi_hp</f>
        <v>1</v>
      </c>
      <c r="I255" s="392">
        <f>IF(H255,Wh_hp,'2018'!Maxi_hp)</f>
        <v>48.95231466559823</v>
      </c>
      <c r="J255" s="85">
        <f>IF(H255,An,'2018'!An_max)</f>
        <v>2019</v>
      </c>
      <c r="K255" s="199">
        <f t="shared" si="77"/>
        <v>43706</v>
      </c>
      <c r="L255" s="147">
        <f>IF(t&lt;Tvie,1-EXP((T0-t)*PertePVj)+'2018'!Pspv,1-EXP((T0-t)*PertePVj)+Pspv)</f>
        <v>9.1040950216718652E-3</v>
      </c>
      <c r="M255" s="872"/>
      <c r="N255" s="872"/>
      <c r="O255" s="48">
        <f>IF(t&lt;Tnet,'2018'!Resal+('2018'!Salim-'2018'!Resal)*(1-EXP(('2018'!Tnet-t)/('2018'!Tau_j))),Resal+(Salim-Resal)*(1-EXP((Tnet-t)/(Tau_j))))*Salcycl</f>
        <v>7.8479303849580212E-2</v>
      </c>
      <c r="P255" s="171">
        <f>(INDEX(Models!$BJ255:$BT255,,T255)*(1-R255)+INDEX(Models!$BJ255:$BT255,,T255+1)*R255-ERP_i)*Q255*Ramure*Pc/MaxiM</f>
        <v>1.8965720348146857E-3</v>
      </c>
      <c r="Q255" s="307">
        <f t="shared" si="78"/>
        <v>0.9</v>
      </c>
      <c r="R255" s="179">
        <f t="shared" si="79"/>
        <v>0.57476669369055866</v>
      </c>
      <c r="S255" s="839">
        <f t="shared" si="80"/>
        <v>-2</v>
      </c>
      <c r="T255" s="178">
        <f t="shared" si="81"/>
        <v>4</v>
      </c>
      <c r="U255" s="253">
        <f t="shared" si="82"/>
        <v>-1.4252333063094413</v>
      </c>
      <c r="V255" s="385">
        <f t="shared" si="83"/>
        <v>48.16184460445249</v>
      </c>
      <c r="W255" s="58"/>
      <c r="X255" s="157">
        <f t="shared" si="84"/>
        <v>43706</v>
      </c>
      <c r="Y255" s="387">
        <f t="shared" si="85"/>
        <v>44.624000000000002</v>
      </c>
      <c r="Z255" s="387">
        <f t="shared" si="86"/>
        <v>45.033993758381683</v>
      </c>
      <c r="AA255" s="388">
        <f t="shared" si="87"/>
        <v>48.869215793533073</v>
      </c>
      <c r="AB255" s="199">
        <f t="shared" si="88"/>
        <v>43706</v>
      </c>
      <c r="AC255" s="428">
        <f>IF(OR(t&lt;Tnet,NoTnet),'2018'!Resal_s+('2018'!Salim-'2018'!Resal_s)*(1-EXP(('2018'!Tnet_s-t)/'2018'!Tau_j)),Resal_s+(Salim-Resal_s)*(1-EXP((Tnet_s-t)/Tau_j)))*Salcycl</f>
        <v>7.8479303849580212E-2</v>
      </c>
      <c r="AD255" s="233">
        <f>(INDEX(Models!$BJ255:$BT255,,AH255)*(1-AF255)+INDEX(Models!$BJ255:$BT255,,AH255+1)*AF255-ERP_i)*AE255*Ramure*Pc/MaxiM</f>
        <v>1.8965720348146857E-3</v>
      </c>
      <c r="AE255" s="307">
        <f t="shared" si="89"/>
        <v>0.9</v>
      </c>
      <c r="AF255" s="179">
        <f t="shared" si="90"/>
        <v>0.57476669369055866</v>
      </c>
      <c r="AG255" s="178">
        <f t="shared" si="91"/>
        <v>-2</v>
      </c>
      <c r="AH255" s="178">
        <f t="shared" si="92"/>
        <v>4</v>
      </c>
      <c r="AI255" s="227">
        <f t="shared" si="93"/>
        <v>-1.4252333063094413</v>
      </c>
      <c r="AJ255" s="267" t="b">
        <f t="shared" si="94"/>
        <v>0</v>
      </c>
      <c r="AK255" s="267" t="b">
        <f t="shared" si="95"/>
        <v>0</v>
      </c>
      <c r="AL255" s="267"/>
      <c r="AM255" s="267"/>
      <c r="AN255" s="75"/>
    </row>
    <row r="256" spans="1:40" s="6" customFormat="1" ht="11.25" customHeight="1" x14ac:dyDescent="0.2">
      <c r="A256" s="56">
        <f t="shared" si="96"/>
        <v>43707</v>
      </c>
      <c r="B256" s="620">
        <v>44.198</v>
      </c>
      <c r="C256" s="392"/>
      <c r="D256" s="395">
        <f t="shared" si="75"/>
        <v>44.605117806932768</v>
      </c>
      <c r="E256" s="387">
        <f t="shared" si="97"/>
        <v>48.411663674623263</v>
      </c>
      <c r="F256" s="387">
        <f t="shared" si="76"/>
        <v>48.496560817379347</v>
      </c>
      <c r="G256" s="110">
        <f t="shared" si="98"/>
        <v>0.9232268547091057</v>
      </c>
      <c r="H256" s="416" t="b">
        <f>Wh_hp&gt;='2018'!Maxi_hp</f>
        <v>1</v>
      </c>
      <c r="I256" s="392">
        <f>IF(H256,Wh_hp,'2018'!Maxi_hp)</f>
        <v>48.496560817379347</v>
      </c>
      <c r="J256" s="85">
        <f>IF(H256,An,'2018'!An_max)</f>
        <v>2019</v>
      </c>
      <c r="K256" s="199">
        <f t="shared" si="77"/>
        <v>43707</v>
      </c>
      <c r="L256" s="147">
        <f>IF(t&lt;Tvie,1-EXP((T0-t)*PertePVj)+'2018'!Pspv,1-EXP((T0-t)*PertePVj)+Pspv)</f>
        <v>9.1271546169864326E-3</v>
      </c>
      <c r="M256" s="872"/>
      <c r="N256" s="872"/>
      <c r="O256" s="48">
        <f>IF(t&lt;Tnet,'2018'!Resal+('2018'!Salim-'2018'!Resal)*(1-EXP(('2018'!Tnet-t)/('2018'!Tau_j))),Resal+(Salim-Resal)*(1-EXP((Tnet-t)/(Tau_j))))*Salcycl</f>
        <v>7.8628693557702189E-2</v>
      </c>
      <c r="P256" s="171">
        <f>(INDEX(Models!$BJ256:$BT256,,T256)*(1-R256)+INDEX(Models!$BJ256:$BT256,,T256+1)*R256-ERP_i)*Q256*Ramure*Pc/MaxiM</f>
        <v>1.9656012994043854E-3</v>
      </c>
      <c r="Q256" s="307">
        <f t="shared" si="78"/>
        <v>0.9</v>
      </c>
      <c r="R256" s="179">
        <f t="shared" si="79"/>
        <v>0.57574781027620325</v>
      </c>
      <c r="S256" s="839">
        <f t="shared" si="80"/>
        <v>-2</v>
      </c>
      <c r="T256" s="178">
        <f t="shared" si="81"/>
        <v>4</v>
      </c>
      <c r="U256" s="253">
        <f t="shared" si="82"/>
        <v>-1.4242521897237967</v>
      </c>
      <c r="V256" s="385">
        <f t="shared" si="83"/>
        <v>47.863078968942986</v>
      </c>
      <c r="W256" s="58"/>
      <c r="X256" s="157">
        <f t="shared" si="84"/>
        <v>43707</v>
      </c>
      <c r="Y256" s="387">
        <f t="shared" si="85"/>
        <v>44.198</v>
      </c>
      <c r="Z256" s="387">
        <f t="shared" si="86"/>
        <v>44.605117806932768</v>
      </c>
      <c r="AA256" s="388">
        <f t="shared" si="87"/>
        <v>48.411663674623263</v>
      </c>
      <c r="AB256" s="199">
        <f t="shared" si="88"/>
        <v>43707</v>
      </c>
      <c r="AC256" s="428">
        <f>IF(OR(t&lt;Tnet,NoTnet),'2018'!Resal_s+('2018'!Salim-'2018'!Resal_s)*(1-EXP(('2018'!Tnet_s-t)/'2018'!Tau_j)),Resal_s+(Salim-Resal_s)*(1-EXP((Tnet_s-t)/Tau_j)))*Salcycl</f>
        <v>7.8628693557702189E-2</v>
      </c>
      <c r="AD256" s="233">
        <f>(INDEX(Models!$BJ256:$BT256,,AH256)*(1-AF256)+INDEX(Models!$BJ256:$BT256,,AH256+1)*AF256-ERP_i)*AE256*Ramure*Pc/MaxiM</f>
        <v>1.9656012994043854E-3</v>
      </c>
      <c r="AE256" s="307">
        <f t="shared" si="89"/>
        <v>0.9</v>
      </c>
      <c r="AF256" s="179">
        <f t="shared" si="90"/>
        <v>0.57574781027620325</v>
      </c>
      <c r="AG256" s="178">
        <f t="shared" si="91"/>
        <v>-2</v>
      </c>
      <c r="AH256" s="178">
        <f t="shared" si="92"/>
        <v>4</v>
      </c>
      <c r="AI256" s="227">
        <f t="shared" si="93"/>
        <v>-1.4242521897237967</v>
      </c>
      <c r="AJ256" s="267" t="b">
        <f t="shared" si="94"/>
        <v>0</v>
      </c>
      <c r="AK256" s="267" t="b">
        <f t="shared" si="95"/>
        <v>0</v>
      </c>
      <c r="AL256" s="267"/>
      <c r="AM256" s="267"/>
      <c r="AN256" s="75"/>
    </row>
    <row r="257" spans="1:40" s="6" customFormat="1" ht="11.25" x14ac:dyDescent="0.2">
      <c r="A257" s="56">
        <f t="shared" si="96"/>
        <v>43708</v>
      </c>
      <c r="B257" s="620">
        <v>42.758000000000003</v>
      </c>
      <c r="C257" s="392"/>
      <c r="D257" s="395">
        <f t="shared" si="75"/>
        <v>43.152857870228438</v>
      </c>
      <c r="E257" s="387">
        <f t="shared" si="97"/>
        <v>46.843028950187666</v>
      </c>
      <c r="F257" s="387">
        <f t="shared" si="76"/>
        <v>46.924718024987577</v>
      </c>
      <c r="G257" s="110">
        <f t="shared" si="98"/>
        <v>0.8988027288588355</v>
      </c>
      <c r="H257" s="416" t="b">
        <f>Wh_hp&gt;='2018'!Maxi_hp</f>
        <v>1</v>
      </c>
      <c r="I257" s="392">
        <f>IF(H257,Wh_hp,'2018'!Maxi_hp)</f>
        <v>46.924718024987577</v>
      </c>
      <c r="J257" s="85">
        <f>IF(H257,An,'2018'!An_max)</f>
        <v>2019</v>
      </c>
      <c r="K257" s="199">
        <f t="shared" si="77"/>
        <v>43708</v>
      </c>
      <c r="L257" s="147">
        <f>IF(t&lt;Tvie,1-EXP((T0-t)*PertePVj)+'2018'!Pspv,1-EXP((T0-t)*PertePVj)+Pspv)</f>
        <v>9.1502136756705932E-3</v>
      </c>
      <c r="M257" s="872"/>
      <c r="N257" s="872"/>
      <c r="O257" s="48">
        <f>IF(t&lt;Tnet,'2018'!Resal+('2018'!Salim-'2018'!Resal)*(1-EXP(('2018'!Tnet-t)/('2018'!Tau_j))),Resal+(Salim-Resal)*(1-EXP((Tnet-t)/(Tau_j))))*Salcycl</f>
        <v>7.8777379743810189E-2</v>
      </c>
      <c r="P257" s="171">
        <f>(INDEX(Models!$BJ257:$BT257,,T257)*(1-R257)+INDEX(Models!$BJ257:$BT257,,T257+1)*R257-ERP_i)*Q257*Ramure*Pc/MaxiM</f>
        <v>2.0341596179272348E-3</v>
      </c>
      <c r="Q257" s="307">
        <f t="shared" si="78"/>
        <v>0.9</v>
      </c>
      <c r="R257" s="179">
        <f t="shared" si="79"/>
        <v>0.57669210634178358</v>
      </c>
      <c r="S257" s="839">
        <f t="shared" si="80"/>
        <v>-2</v>
      </c>
      <c r="T257" s="178">
        <f t="shared" si="81"/>
        <v>4</v>
      </c>
      <c r="U257" s="253">
        <f t="shared" si="82"/>
        <v>-1.4233078936582164</v>
      </c>
      <c r="V257" s="385">
        <f t="shared" si="83"/>
        <v>47.558196685391422</v>
      </c>
      <c r="W257" s="58"/>
      <c r="X257" s="157">
        <f t="shared" si="84"/>
        <v>43708</v>
      </c>
      <c r="Y257" s="387">
        <f t="shared" si="85"/>
        <v>42.758000000000003</v>
      </c>
      <c r="Z257" s="387">
        <f t="shared" si="86"/>
        <v>43.152857870228438</v>
      </c>
      <c r="AA257" s="388">
        <f t="shared" si="87"/>
        <v>46.843028950187666</v>
      </c>
      <c r="AB257" s="199">
        <f t="shared" si="88"/>
        <v>43708</v>
      </c>
      <c r="AC257" s="428">
        <f>IF(OR(t&lt;Tnet,NoTnet),'2018'!Resal_s+('2018'!Salim-'2018'!Resal_s)*(1-EXP(('2018'!Tnet_s-t)/'2018'!Tau_j)),Resal_s+(Salim-Resal_s)*(1-EXP((Tnet_s-t)/Tau_j)))*Salcycl</f>
        <v>7.8777379743810189E-2</v>
      </c>
      <c r="AD257" s="233">
        <f>(INDEX(Models!$BJ257:$BT257,,AH257)*(1-AF257)+INDEX(Models!$BJ257:$BT257,,AH257+1)*AF257-ERP_i)*AE257*Ramure*Pc/MaxiM</f>
        <v>2.0341596179272348E-3</v>
      </c>
      <c r="AE257" s="307">
        <f t="shared" si="89"/>
        <v>0.9</v>
      </c>
      <c r="AF257" s="179">
        <f t="shared" si="90"/>
        <v>0.57669210634178358</v>
      </c>
      <c r="AG257" s="178">
        <f t="shared" si="91"/>
        <v>-2</v>
      </c>
      <c r="AH257" s="178">
        <f t="shared" si="92"/>
        <v>4</v>
      </c>
      <c r="AI257" s="227">
        <f t="shared" si="93"/>
        <v>-1.4233078936582164</v>
      </c>
      <c r="AJ257" s="267" t="b">
        <f t="shared" si="94"/>
        <v>0</v>
      </c>
      <c r="AK257" s="267" t="b">
        <f t="shared" si="95"/>
        <v>0</v>
      </c>
      <c r="AL257" s="267"/>
      <c r="AM257" s="267"/>
      <c r="AN257" s="75"/>
    </row>
    <row r="258" spans="1:40" s="6" customFormat="1" ht="11.25" customHeight="1" x14ac:dyDescent="0.2">
      <c r="A258" s="56">
        <f t="shared" si="96"/>
        <v>43709</v>
      </c>
      <c r="B258" s="620">
        <v>16.192</v>
      </c>
      <c r="C258" s="392"/>
      <c r="D258" s="395">
        <f t="shared" si="75"/>
        <v>16.341908777446097</v>
      </c>
      <c r="E258" s="387">
        <f t="shared" si="97"/>
        <v>17.74221949885094</v>
      </c>
      <c r="F258" s="387">
        <f t="shared" si="76"/>
        <v>17.744495535301265</v>
      </c>
      <c r="G258" s="110">
        <f t="shared" si="98"/>
        <v>0.34203301145419701</v>
      </c>
      <c r="H258" s="416" t="b">
        <f>Wh_hp&gt;='2018'!Maxi_hp</f>
        <v>1</v>
      </c>
      <c r="I258" s="392">
        <f>IF(H258,Wh_hp,'2018'!Maxi_hp)</f>
        <v>17.744495535301265</v>
      </c>
      <c r="J258" s="85">
        <f>IF(H258,An,'2018'!An_max)</f>
        <v>2019</v>
      </c>
      <c r="K258" s="199">
        <f t="shared" si="77"/>
        <v>43709</v>
      </c>
      <c r="L258" s="147">
        <f>IF(t&lt;Tvie,1-EXP((T0-t)*PertePVj)+'2018'!Pspv,1-EXP((T0-t)*PertePVj)+Pspv)</f>
        <v>9.1732721977367815E-3</v>
      </c>
      <c r="M258" s="872"/>
      <c r="N258" s="872"/>
      <c r="O258" s="48">
        <f>IF(t&lt;Tnet,'2018'!Resal+('2018'!Salim-'2018'!Resal)*(1-EXP(('2018'!Tnet-t)/('2018'!Tau_j))),Resal+(Salim-Resal)*(1-EXP((Tnet-t)/(Tau_j))))*Salcycl</f>
        <v>7.892534085126908E-2</v>
      </c>
      <c r="P258" s="171">
        <f>(INDEX(Models!$BJ258:$BT258,,T258)*(1-R258)+INDEX(Models!$BJ258:$BT258,,T258+1)*R258-ERP_i)*Q258*Ramure*Pc/MaxiM</f>
        <v>2.1022677049946361E-3</v>
      </c>
      <c r="Q258" s="307">
        <f t="shared" si="78"/>
        <v>0.9</v>
      </c>
      <c r="R258" s="179">
        <f t="shared" si="79"/>
        <v>0.57760086311745362</v>
      </c>
      <c r="S258" s="839">
        <f t="shared" si="80"/>
        <v>-2</v>
      </c>
      <c r="T258" s="178">
        <f t="shared" si="81"/>
        <v>4</v>
      </c>
      <c r="U258" s="253">
        <f t="shared" si="82"/>
        <v>-1.4223991368825464</v>
      </c>
      <c r="V258" s="385">
        <f t="shared" si="83"/>
        <v>47.246997634831118</v>
      </c>
      <c r="W258" s="58"/>
      <c r="X258" s="157">
        <f t="shared" si="84"/>
        <v>43709</v>
      </c>
      <c r="Y258" s="387">
        <f t="shared" si="85"/>
        <v>16.192</v>
      </c>
      <c r="Z258" s="387">
        <f t="shared" si="86"/>
        <v>16.341908777446097</v>
      </c>
      <c r="AA258" s="388">
        <f t="shared" si="87"/>
        <v>17.74221949885094</v>
      </c>
      <c r="AB258" s="199">
        <f t="shared" si="88"/>
        <v>43709</v>
      </c>
      <c r="AC258" s="428">
        <f>IF(OR(t&lt;Tnet,NoTnet),'2018'!Resal_s+('2018'!Salim-'2018'!Resal_s)*(1-EXP(('2018'!Tnet_s-t)/'2018'!Tau_j)),Resal_s+(Salim-Resal_s)*(1-EXP((Tnet_s-t)/Tau_j)))*Salcycl</f>
        <v>7.892534085126908E-2</v>
      </c>
      <c r="AD258" s="233">
        <f>(INDEX(Models!$BJ258:$BT258,,AH258)*(1-AF258)+INDEX(Models!$BJ258:$BT258,,AH258+1)*AF258-ERP_i)*AE258*Ramure*Pc/MaxiM</f>
        <v>2.1022677049946361E-3</v>
      </c>
      <c r="AE258" s="307">
        <f t="shared" si="89"/>
        <v>0.9</v>
      </c>
      <c r="AF258" s="179">
        <f t="shared" si="90"/>
        <v>0.57760086311745362</v>
      </c>
      <c r="AG258" s="178">
        <f t="shared" si="91"/>
        <v>-2</v>
      </c>
      <c r="AH258" s="178">
        <f t="shared" si="92"/>
        <v>4</v>
      </c>
      <c r="AI258" s="227">
        <f t="shared" si="93"/>
        <v>-1.4223991368825464</v>
      </c>
      <c r="AJ258" s="267" t="b">
        <f t="shared" si="94"/>
        <v>0</v>
      </c>
      <c r="AK258" s="267" t="b">
        <f t="shared" si="95"/>
        <v>0</v>
      </c>
      <c r="AL258" s="267"/>
      <c r="AM258" s="267"/>
      <c r="AN258" s="75"/>
    </row>
    <row r="259" spans="1:40" s="6" customFormat="1" ht="11.25" x14ac:dyDescent="0.2">
      <c r="A259" s="56">
        <f t="shared" si="96"/>
        <v>43710</v>
      </c>
      <c r="B259" s="620">
        <v>44.682000000000002</v>
      </c>
      <c r="C259" s="392"/>
      <c r="D259" s="395">
        <f t="shared" si="75"/>
        <v>45.096724367463842</v>
      </c>
      <c r="E259" s="387">
        <f t="shared" si="97"/>
        <v>48.96881354336216</v>
      </c>
      <c r="F259" s="387">
        <f t="shared" si="76"/>
        <v>49.068004680732784</v>
      </c>
      <c r="G259" s="110">
        <f t="shared" si="98"/>
        <v>0.95197181876001258</v>
      </c>
      <c r="H259" s="416" t="b">
        <f>Wh_hp&gt;='2018'!Maxi_hp</f>
        <v>1</v>
      </c>
      <c r="I259" s="392">
        <f>IF(H259,Wh_hp,'2018'!Maxi_hp)</f>
        <v>49.068004680732784</v>
      </c>
      <c r="J259" s="85">
        <f>IF(H259,An,'2018'!An_max)</f>
        <v>2019</v>
      </c>
      <c r="K259" s="199">
        <f t="shared" si="77"/>
        <v>43710</v>
      </c>
      <c r="L259" s="147">
        <f>IF(t&lt;Tvie,1-EXP((T0-t)*PertePVj)+'2018'!Pspv,1-EXP((T0-t)*PertePVj)+Pspv)</f>
        <v>9.196330183197432E-3</v>
      </c>
      <c r="M259" s="872"/>
      <c r="N259" s="872"/>
      <c r="O259" s="48">
        <f>IF(t&lt;Tnet,'2018'!Resal+('2018'!Salim-'2018'!Resal)*(1-EXP(('2018'!Tnet-t)/('2018'!Tau_j))),Resal+(Salim-Resal)*(1-EXP((Tnet-t)/(Tau_j))))*Salcycl</f>
        <v>7.9072554463047395E-2</v>
      </c>
      <c r="P259" s="171">
        <f>(INDEX(Models!$BJ259:$BT259,,T259)*(1-R259)+INDEX(Models!$BJ259:$BT259,,T259+1)*R259-ERP_i)*Q259*Ramure*Pc/MaxiM</f>
        <v>2.1699481672364999E-3</v>
      </c>
      <c r="Q259" s="307">
        <f t="shared" si="78"/>
        <v>0.9</v>
      </c>
      <c r="R259" s="179">
        <f t="shared" si="79"/>
        <v>0.57847532497734289</v>
      </c>
      <c r="S259" s="839">
        <f t="shared" si="80"/>
        <v>-2</v>
      </c>
      <c r="T259" s="178">
        <f t="shared" si="81"/>
        <v>4</v>
      </c>
      <c r="U259" s="253">
        <f t="shared" si="82"/>
        <v>-1.4215246750226571</v>
      </c>
      <c r="V259" s="385">
        <f t="shared" si="83"/>
        <v>46.929281806739219</v>
      </c>
      <c r="W259" s="58"/>
      <c r="X259" s="157">
        <f t="shared" si="84"/>
        <v>43710</v>
      </c>
      <c r="Y259" s="387">
        <f t="shared" si="85"/>
        <v>44.682000000000002</v>
      </c>
      <c r="Z259" s="387">
        <f t="shared" si="86"/>
        <v>45.096724367463842</v>
      </c>
      <c r="AA259" s="388">
        <f t="shared" si="87"/>
        <v>48.96881354336216</v>
      </c>
      <c r="AB259" s="199">
        <f t="shared" si="88"/>
        <v>43710</v>
      </c>
      <c r="AC259" s="428">
        <f>IF(OR(t&lt;Tnet,NoTnet),'2018'!Resal_s+('2018'!Salim-'2018'!Resal_s)*(1-EXP(('2018'!Tnet_s-t)/'2018'!Tau_j)),Resal_s+(Salim-Resal_s)*(1-EXP((Tnet_s-t)/Tau_j)))*Salcycl</f>
        <v>7.9072554463047395E-2</v>
      </c>
      <c r="AD259" s="233">
        <f>(INDEX(Models!$BJ259:$BT259,,AH259)*(1-AF259)+INDEX(Models!$BJ259:$BT259,,AH259+1)*AF259-ERP_i)*AE259*Ramure*Pc/MaxiM</f>
        <v>2.1699481672364999E-3</v>
      </c>
      <c r="AE259" s="307">
        <f t="shared" si="89"/>
        <v>0.9</v>
      </c>
      <c r="AF259" s="179">
        <f t="shared" si="90"/>
        <v>0.57847532497734289</v>
      </c>
      <c r="AG259" s="178">
        <f t="shared" si="91"/>
        <v>-2</v>
      </c>
      <c r="AH259" s="178">
        <f t="shared" si="92"/>
        <v>4</v>
      </c>
      <c r="AI259" s="227">
        <f t="shared" si="93"/>
        <v>-1.4215246750226571</v>
      </c>
      <c r="AJ259" s="267" t="b">
        <f t="shared" si="94"/>
        <v>0</v>
      </c>
      <c r="AK259" s="267" t="b">
        <f t="shared" si="95"/>
        <v>0</v>
      </c>
      <c r="AL259" s="267"/>
      <c r="AM259" s="267"/>
      <c r="AN259" s="75"/>
    </row>
    <row r="260" spans="1:40" s="6" customFormat="1" ht="11.25" x14ac:dyDescent="0.2">
      <c r="A260" s="56">
        <f t="shared" si="96"/>
        <v>43711</v>
      </c>
      <c r="B260" s="620">
        <v>46.456000000000003</v>
      </c>
      <c r="C260" s="392"/>
      <c r="D260" s="395">
        <f t="shared" si="75"/>
        <v>46.888281240154264</v>
      </c>
      <c r="E260" s="387">
        <f t="shared" si="97"/>
        <v>50.92229433476173</v>
      </c>
      <c r="F260" s="387">
        <f t="shared" si="76"/>
        <v>51.035952311623831</v>
      </c>
      <c r="G260" s="110">
        <f t="shared" si="98"/>
        <v>0.99679594354288714</v>
      </c>
      <c r="H260" s="416" t="b">
        <f>Wh_hp&gt;='2018'!Maxi_hp</f>
        <v>1</v>
      </c>
      <c r="I260" s="392">
        <f>IF(H260,Wh_hp,'2018'!Maxi_hp)</f>
        <v>51.035952311623831</v>
      </c>
      <c r="J260" s="85">
        <f>IF(H260,An,'2018'!An_max)</f>
        <v>2019</v>
      </c>
      <c r="K260" s="199">
        <f t="shared" si="77"/>
        <v>43711</v>
      </c>
      <c r="L260" s="147">
        <f>IF(t&lt;Tvie,1-EXP((T0-t)*PertePVj)+'2018'!Pspv,1-EXP((T0-t)*PertePVj)+Pspv)</f>
        <v>9.2193876320649792E-3</v>
      </c>
      <c r="M260" s="872"/>
      <c r="N260" s="872"/>
      <c r="O260" s="48">
        <f>IF(t&lt;Tnet,'2018'!Resal+('2018'!Salim-'2018'!Resal)*(1-EXP(('2018'!Tnet-t)/('2018'!Tau_j))),Resal+(Salim-Resal)*(1-EXP((Tnet-t)/(Tau_j))))*Salcycl</f>
        <v>7.9218997244860437E-2</v>
      </c>
      <c r="P260" s="171">
        <f>(INDEX(Models!$BJ260:$BT260,,T260)*(1-R260)+INDEX(Models!$BJ260:$BT260,,T260+1)*R260-ERP_i)*Q260*Ramure*Pc/MaxiM</f>
        <v>2.2372255402251236E-3</v>
      </c>
      <c r="Q260" s="307">
        <f t="shared" si="78"/>
        <v>0.9</v>
      </c>
      <c r="R260" s="179">
        <f t="shared" si="79"/>
        <v>0.57931669988741863</v>
      </c>
      <c r="S260" s="839">
        <f t="shared" si="80"/>
        <v>-2</v>
      </c>
      <c r="T260" s="178">
        <f t="shared" si="81"/>
        <v>4</v>
      </c>
      <c r="U260" s="253">
        <f t="shared" si="82"/>
        <v>-1.4206833001125814</v>
      </c>
      <c r="V260" s="385">
        <f t="shared" si="83"/>
        <v>46.604849301518392</v>
      </c>
      <c r="W260" s="58"/>
      <c r="X260" s="157">
        <f t="shared" si="84"/>
        <v>43711</v>
      </c>
      <c r="Y260" s="387">
        <f t="shared" si="85"/>
        <v>46.456000000000003</v>
      </c>
      <c r="Z260" s="387">
        <f t="shared" si="86"/>
        <v>46.888281240154264</v>
      </c>
      <c r="AA260" s="388">
        <f t="shared" si="87"/>
        <v>50.92229433476173</v>
      </c>
      <c r="AB260" s="199">
        <f t="shared" si="88"/>
        <v>43711</v>
      </c>
      <c r="AC260" s="428">
        <f>IF(OR(t&lt;Tnet,NoTnet),'2018'!Resal_s+('2018'!Salim-'2018'!Resal_s)*(1-EXP(('2018'!Tnet_s-t)/'2018'!Tau_j)),Resal_s+(Salim-Resal_s)*(1-EXP((Tnet_s-t)/Tau_j)))*Salcycl</f>
        <v>7.9218997244860437E-2</v>
      </c>
      <c r="AD260" s="233">
        <f>(INDEX(Models!$BJ260:$BT260,,AH260)*(1-AF260)+INDEX(Models!$BJ260:$BT260,,AH260+1)*AF260-ERP_i)*AE260*Ramure*Pc/MaxiM</f>
        <v>2.2372255402251236E-3</v>
      </c>
      <c r="AE260" s="307">
        <f t="shared" si="89"/>
        <v>0.9</v>
      </c>
      <c r="AF260" s="179">
        <f t="shared" si="90"/>
        <v>0.57931669988741863</v>
      </c>
      <c r="AG260" s="178">
        <f t="shared" si="91"/>
        <v>-2</v>
      </c>
      <c r="AH260" s="178">
        <f t="shared" si="92"/>
        <v>4</v>
      </c>
      <c r="AI260" s="227">
        <f t="shared" si="93"/>
        <v>-1.4206833001125814</v>
      </c>
      <c r="AJ260" s="267" t="b">
        <f t="shared" si="94"/>
        <v>0</v>
      </c>
      <c r="AK260" s="267" t="b">
        <f t="shared" si="95"/>
        <v>0</v>
      </c>
      <c r="AL260" s="267"/>
      <c r="AM260" s="267"/>
      <c r="AN260" s="75"/>
    </row>
    <row r="261" spans="1:40" s="6" customFormat="1" ht="11.25" customHeight="1" x14ac:dyDescent="0.2">
      <c r="A261" s="56">
        <f t="shared" si="96"/>
        <v>43712</v>
      </c>
      <c r="B261" s="620">
        <v>45.96</v>
      </c>
      <c r="C261" s="392"/>
      <c r="D261" s="395">
        <f t="shared" si="75"/>
        <v>46.388745406905393</v>
      </c>
      <c r="E261" s="387">
        <f t="shared" si="97"/>
        <v>50.387751403682955</v>
      </c>
      <c r="F261" s="387">
        <f t="shared" si="76"/>
        <v>50.502994047654042</v>
      </c>
      <c r="G261" s="110">
        <f t="shared" si="98"/>
        <v>0.99321568423326723</v>
      </c>
      <c r="H261" s="416" t="b">
        <f>Wh_hp&gt;='2018'!Maxi_hp</f>
        <v>1</v>
      </c>
      <c r="I261" s="392">
        <f>IF(H261,Wh_hp,'2018'!Maxi_hp)</f>
        <v>50.502994047654042</v>
      </c>
      <c r="J261" s="85">
        <f>IF(H261,An,'2018'!An_max)</f>
        <v>2019</v>
      </c>
      <c r="K261" s="199">
        <f t="shared" si="77"/>
        <v>43712</v>
      </c>
      <c r="L261" s="147">
        <f>IF(t&lt;Tvie,1-EXP((T0-t)*PertePVj)+'2018'!Pspv,1-EXP((T0-t)*PertePVj)+Pspv)</f>
        <v>9.2424445443521908E-3</v>
      </c>
      <c r="M261" s="872"/>
      <c r="N261" s="872"/>
      <c r="O261" s="48">
        <f>IF(t&lt;Tnet,'2018'!Resal+('2018'!Salim-'2018'!Resal)*(1-EXP(('2018'!Tnet-t)/('2018'!Tau_j))),Resal+(Salim-Resal)*(1-EXP((Tnet-t)/(Tau_j))))*Salcycl</f>
        <v>7.9364644886401312E-2</v>
      </c>
      <c r="P261" s="171">
        <f>(INDEX(Models!$BJ261:$BT261,,T261)*(1-R261)+INDEX(Models!$BJ261:$BT261,,T261+1)*R261-ERP_i)*Q261*Ramure*Pc/MaxiM</f>
        <v>2.3041559278297037E-3</v>
      </c>
      <c r="Q261" s="307">
        <f t="shared" si="78"/>
        <v>0.9</v>
      </c>
      <c r="R261" s="179">
        <f t="shared" si="79"/>
        <v>0.58012615990348859</v>
      </c>
      <c r="S261" s="839">
        <f t="shared" si="80"/>
        <v>-2</v>
      </c>
      <c r="T261" s="178">
        <f t="shared" si="81"/>
        <v>4</v>
      </c>
      <c r="U261" s="253">
        <f t="shared" si="82"/>
        <v>-1.4198738400965114</v>
      </c>
      <c r="V261" s="385">
        <f t="shared" si="83"/>
        <v>46.272904648679621</v>
      </c>
      <c r="W261" s="58"/>
      <c r="X261" s="157">
        <f t="shared" si="84"/>
        <v>43712</v>
      </c>
      <c r="Y261" s="387">
        <f t="shared" si="85"/>
        <v>45.96</v>
      </c>
      <c r="Z261" s="387">
        <f t="shared" si="86"/>
        <v>46.388745406905393</v>
      </c>
      <c r="AA261" s="388">
        <f t="shared" si="87"/>
        <v>50.387751403682955</v>
      </c>
      <c r="AB261" s="199">
        <f t="shared" si="88"/>
        <v>43712</v>
      </c>
      <c r="AC261" s="428">
        <f>IF(OR(t&lt;Tnet,NoTnet),'2018'!Resal_s+('2018'!Salim-'2018'!Resal_s)*(1-EXP(('2018'!Tnet_s-t)/'2018'!Tau_j)),Resal_s+(Salim-Resal_s)*(1-EXP((Tnet_s-t)/Tau_j)))*Salcycl</f>
        <v>7.9364644886401312E-2</v>
      </c>
      <c r="AD261" s="233">
        <f>(INDEX(Models!$BJ261:$BT261,,AH261)*(1-AF261)+INDEX(Models!$BJ261:$BT261,,AH261+1)*AF261-ERP_i)*AE261*Ramure*Pc/MaxiM</f>
        <v>2.3041559278297037E-3</v>
      </c>
      <c r="AE261" s="307">
        <f t="shared" si="89"/>
        <v>0.9</v>
      </c>
      <c r="AF261" s="179">
        <f t="shared" si="90"/>
        <v>0.58012615990348859</v>
      </c>
      <c r="AG261" s="178">
        <f t="shared" si="91"/>
        <v>-2</v>
      </c>
      <c r="AH261" s="178">
        <f t="shared" si="92"/>
        <v>4</v>
      </c>
      <c r="AI261" s="227">
        <f t="shared" si="93"/>
        <v>-1.4198738400965114</v>
      </c>
      <c r="AJ261" s="267" t="b">
        <f t="shared" si="94"/>
        <v>0</v>
      </c>
      <c r="AK261" s="267" t="b">
        <f t="shared" si="95"/>
        <v>0</v>
      </c>
      <c r="AL261" s="267"/>
      <c r="AM261" s="267"/>
      <c r="AN261" s="75"/>
    </row>
    <row r="262" spans="1:40" s="6" customFormat="1" ht="11.25" x14ac:dyDescent="0.2">
      <c r="A262" s="56">
        <f t="shared" si="96"/>
        <v>43713</v>
      </c>
      <c r="B262" s="620">
        <v>37.061</v>
      </c>
      <c r="C262" s="392"/>
      <c r="D262" s="395">
        <f t="shared" si="75"/>
        <v>37.407600153641219</v>
      </c>
      <c r="E262" s="387">
        <f t="shared" si="97"/>
        <v>40.638767067640579</v>
      </c>
      <c r="F262" s="387">
        <f t="shared" si="76"/>
        <v>40.708627689339536</v>
      </c>
      <c r="G262" s="110">
        <f t="shared" si="98"/>
        <v>0.80631771223343129</v>
      </c>
      <c r="H262" s="416" t="b">
        <f>Wh_hp&gt;='2018'!Maxi_hp</f>
        <v>1</v>
      </c>
      <c r="I262" s="392">
        <f>IF(H262,Wh_hp,'2018'!Maxi_hp)</f>
        <v>40.708627689339536</v>
      </c>
      <c r="J262" s="85">
        <f>IF(H262,An,'2018'!An_max)</f>
        <v>2019</v>
      </c>
      <c r="K262" s="199">
        <f t="shared" si="77"/>
        <v>43713</v>
      </c>
      <c r="L262" s="147">
        <f>IF(t&lt;Tvie,1-EXP((T0-t)*PertePVj)+'2018'!Pspv,1-EXP((T0-t)*PertePVj)+Pspv)</f>
        <v>9.265500920071168E-3</v>
      </c>
      <c r="M262" s="872"/>
      <c r="N262" s="872"/>
      <c r="O262" s="48">
        <f>IF(t&lt;Tnet,'2018'!Resal+('2018'!Salim-'2018'!Resal)*(1-EXP(('2018'!Tnet-t)/('2018'!Tau_j))),Resal+(Salim-Resal)*(1-EXP((Tnet-t)/(Tau_j))))*Salcycl</f>
        <v>7.9509472042330692E-2</v>
      </c>
      <c r="P262" s="171">
        <f>(INDEX(Models!$BJ262:$BT262,,T262)*(1-R262)+INDEX(Models!$BJ262:$BT262,,T262+1)*R262-ERP_i)*Q262*Ramure*Pc/MaxiM</f>
        <v>2.3701058995577247E-3</v>
      </c>
      <c r="Q262" s="307">
        <f t="shared" si="78"/>
        <v>0.9</v>
      </c>
      <c r="R262" s="179">
        <f t="shared" si="79"/>
        <v>0.58090484171336909</v>
      </c>
      <c r="S262" s="839">
        <f t="shared" si="80"/>
        <v>-2</v>
      </c>
      <c r="T262" s="178">
        <f t="shared" si="81"/>
        <v>4</v>
      </c>
      <c r="U262" s="253">
        <f t="shared" si="82"/>
        <v>-1.4190951582866309</v>
      </c>
      <c r="V262" s="385">
        <f t="shared" si="83"/>
        <v>45.933160286892097</v>
      </c>
      <c r="W262" s="58"/>
      <c r="X262" s="157">
        <f t="shared" si="84"/>
        <v>43713</v>
      </c>
      <c r="Y262" s="387">
        <f t="shared" si="85"/>
        <v>37.061</v>
      </c>
      <c r="Z262" s="387">
        <f t="shared" si="86"/>
        <v>37.407600153641219</v>
      </c>
      <c r="AA262" s="388">
        <f t="shared" si="87"/>
        <v>40.638767067640579</v>
      </c>
      <c r="AB262" s="199">
        <f t="shared" si="88"/>
        <v>43713</v>
      </c>
      <c r="AC262" s="428">
        <f>IF(OR(t&lt;Tnet,NoTnet),'2018'!Resal_s+('2018'!Salim-'2018'!Resal_s)*(1-EXP(('2018'!Tnet_s-t)/'2018'!Tau_j)),Resal_s+(Salim-Resal_s)*(1-EXP((Tnet_s-t)/Tau_j)))*Salcycl</f>
        <v>7.9509472042330692E-2</v>
      </c>
      <c r="AD262" s="233">
        <f>(INDEX(Models!$BJ262:$BT262,,AH262)*(1-AF262)+INDEX(Models!$BJ262:$BT262,,AH262+1)*AF262-ERP_i)*AE262*Ramure*Pc/MaxiM</f>
        <v>2.3701058995577247E-3</v>
      </c>
      <c r="AE262" s="307">
        <f t="shared" si="89"/>
        <v>0.9</v>
      </c>
      <c r="AF262" s="179">
        <f t="shared" si="90"/>
        <v>0.58090484171336909</v>
      </c>
      <c r="AG262" s="178">
        <f t="shared" si="91"/>
        <v>-2</v>
      </c>
      <c r="AH262" s="178">
        <f t="shared" si="92"/>
        <v>4</v>
      </c>
      <c r="AI262" s="227">
        <f t="shared" si="93"/>
        <v>-1.4190951582866309</v>
      </c>
      <c r="AJ262" s="267" t="b">
        <f t="shared" si="94"/>
        <v>0</v>
      </c>
      <c r="AK262" s="267" t="b">
        <f t="shared" si="95"/>
        <v>0</v>
      </c>
      <c r="AL262" s="267"/>
      <c r="AM262" s="267"/>
      <c r="AN262" s="75"/>
    </row>
    <row r="263" spans="1:40" s="6" customFormat="1" ht="11.25" x14ac:dyDescent="0.2">
      <c r="A263" s="56">
        <f t="shared" si="96"/>
        <v>43714</v>
      </c>
      <c r="B263" s="620">
        <v>47.158000000000001</v>
      </c>
      <c r="C263" s="392"/>
      <c r="D263" s="395">
        <f t="shared" si="75"/>
        <v>47.600136570280377</v>
      </c>
      <c r="E263" s="387">
        <f t="shared" si="97"/>
        <v>51.719796948150652</v>
      </c>
      <c r="F263" s="387">
        <f t="shared" si="76"/>
        <v>51.846079488865243</v>
      </c>
      <c r="G263" s="110">
        <f t="shared" si="98"/>
        <v>1.0344819736371553</v>
      </c>
      <c r="H263" s="416" t="b">
        <f>Wh_hp&gt;='2018'!Maxi_hp</f>
        <v>1</v>
      </c>
      <c r="I263" s="392">
        <f>IF(H263,Wh_hp,'2018'!Maxi_hp)</f>
        <v>51.846079488865243</v>
      </c>
      <c r="J263" s="85">
        <f>IF(H263,An,'2018'!An_max)</f>
        <v>2019</v>
      </c>
      <c r="K263" s="199">
        <f t="shared" si="77"/>
        <v>43714</v>
      </c>
      <c r="L263" s="147">
        <f>IF(t&lt;Tvie,1-EXP((T0-t)*PertePVj)+'2018'!Pspv,1-EXP((T0-t)*PertePVj)+Pspv)</f>
        <v>9.2885567592347895E-3</v>
      </c>
      <c r="M263" s="872"/>
      <c r="N263" s="872"/>
      <c r="O263" s="48">
        <f>IF(t&lt;Tnet,'2018'!Resal+('2018'!Salim-'2018'!Resal)*(1-EXP(('2018'!Tnet-t)/('2018'!Tau_j))),Resal+(Salim-Resal)*(1-EXP((Tnet-t)/(Tau_j))))*Salcycl</f>
        <v>7.9653452274769249E-2</v>
      </c>
      <c r="P263" s="171">
        <f>(INDEX(Models!$BJ263:$BT263,,T263)*(1-R263)+INDEX(Models!$BJ263:$BT263,,T263+1)*R263-ERP_i)*Q263*Ramure*Pc/MaxiM</f>
        <v>2.4357201539552632E-3</v>
      </c>
      <c r="Q263" s="307">
        <f t="shared" si="78"/>
        <v>0.9</v>
      </c>
      <c r="R263" s="179">
        <f t="shared" si="79"/>
        <v>0.58165384721765334</v>
      </c>
      <c r="S263" s="839">
        <f t="shared" si="80"/>
        <v>-2</v>
      </c>
      <c r="T263" s="178">
        <f t="shared" si="81"/>
        <v>4</v>
      </c>
      <c r="U263" s="253">
        <f t="shared" si="82"/>
        <v>-1.4183461527823467</v>
      </c>
      <c r="V263" s="385">
        <f t="shared" si="83"/>
        <v>45.586101258194248</v>
      </c>
      <c r="W263" s="58"/>
      <c r="X263" s="157">
        <f t="shared" si="84"/>
        <v>43714</v>
      </c>
      <c r="Y263" s="387">
        <f t="shared" si="85"/>
        <v>47.158000000000001</v>
      </c>
      <c r="Z263" s="387">
        <f t="shared" si="86"/>
        <v>47.600136570280377</v>
      </c>
      <c r="AA263" s="388">
        <f t="shared" si="87"/>
        <v>51.719796948150652</v>
      </c>
      <c r="AB263" s="199">
        <f t="shared" si="88"/>
        <v>43714</v>
      </c>
      <c r="AC263" s="428">
        <f>IF(OR(t&lt;Tnet,NoTnet),'2018'!Resal_s+('2018'!Salim-'2018'!Resal_s)*(1-EXP(('2018'!Tnet_s-t)/'2018'!Tau_j)),Resal_s+(Salim-Resal_s)*(1-EXP((Tnet_s-t)/Tau_j)))*Salcycl</f>
        <v>7.9653452274769249E-2</v>
      </c>
      <c r="AD263" s="233">
        <f>(INDEX(Models!$BJ263:$BT263,,AH263)*(1-AF263)+INDEX(Models!$BJ263:$BT263,,AH263+1)*AF263-ERP_i)*AE263*Ramure*Pc/MaxiM</f>
        <v>2.4357201539552632E-3</v>
      </c>
      <c r="AE263" s="307">
        <f t="shared" si="89"/>
        <v>0.9</v>
      </c>
      <c r="AF263" s="179">
        <f t="shared" si="90"/>
        <v>0.58165384721765334</v>
      </c>
      <c r="AG263" s="178">
        <f t="shared" si="91"/>
        <v>-2</v>
      </c>
      <c r="AH263" s="178">
        <f t="shared" si="92"/>
        <v>4</v>
      </c>
      <c r="AI263" s="227">
        <f t="shared" si="93"/>
        <v>-1.4183461527823467</v>
      </c>
      <c r="AJ263" s="267" t="b">
        <f t="shared" si="94"/>
        <v>0</v>
      </c>
      <c r="AK263" s="267" t="b">
        <f t="shared" si="95"/>
        <v>0</v>
      </c>
      <c r="AL263" s="267"/>
      <c r="AM263" s="267"/>
      <c r="AN263" s="75"/>
    </row>
    <row r="264" spans="1:40" s="6" customFormat="1" ht="11.25" x14ac:dyDescent="0.2">
      <c r="A264" s="56">
        <f t="shared" si="96"/>
        <v>43715</v>
      </c>
      <c r="B264" s="620">
        <v>46.018000000000001</v>
      </c>
      <c r="C264" s="392"/>
      <c r="D264" s="395">
        <f t="shared" si="75"/>
        <v>46.450529308993183</v>
      </c>
      <c r="E264" s="387">
        <f t="shared" si="97"/>
        <v>50.478543318627409</v>
      </c>
      <c r="F264" s="387">
        <f t="shared" si="76"/>
        <v>50.605106354797776</v>
      </c>
      <c r="G264" s="110">
        <f t="shared" si="98"/>
        <v>1.0173716256673471</v>
      </c>
      <c r="H264" s="416" t="b">
        <f>Wh_hp&gt;='2018'!Maxi_hp</f>
        <v>1</v>
      </c>
      <c r="I264" s="392">
        <f>IF(H264,Wh_hp,'2018'!Maxi_hp)</f>
        <v>50.605106354797776</v>
      </c>
      <c r="J264" s="85">
        <f>IF(H264,An,'2018'!An_max)</f>
        <v>2019</v>
      </c>
      <c r="K264" s="199">
        <f t="shared" si="77"/>
        <v>43715</v>
      </c>
      <c r="L264" s="147">
        <f>IF(t&lt;Tvie,1-EXP((T0-t)*PertePVj)+'2018'!Pspv,1-EXP((T0-t)*PertePVj)+Pspv)</f>
        <v>9.3116120618552678E-3</v>
      </c>
      <c r="M264" s="872"/>
      <c r="N264" s="872"/>
      <c r="O264" s="48">
        <f>IF(t&lt;Tnet,'2018'!Resal+('2018'!Salim-'2018'!Resal)*(1-EXP(('2018'!Tnet-t)/('2018'!Tau_j))),Resal+(Salim-Resal)*(1-EXP((Tnet-t)/(Tau_j))))*Salcycl</f>
        <v>7.9796557999086012E-2</v>
      </c>
      <c r="P264" s="171">
        <f>(INDEX(Models!$BJ264:$BT264,,T264)*(1-R264)+INDEX(Models!$BJ264:$BT264,,T264+1)*R264-ERP_i)*Q264*Ramure*Pc/MaxiM</f>
        <v>2.5009933836128038E-3</v>
      </c>
      <c r="Q264" s="307">
        <f t="shared" si="78"/>
        <v>0.9</v>
      </c>
      <c r="R264" s="179">
        <f t="shared" si="79"/>
        <v>0.58237424414390615</v>
      </c>
      <c r="S264" s="839">
        <f t="shared" si="80"/>
        <v>-2</v>
      </c>
      <c r="T264" s="178">
        <f t="shared" si="81"/>
        <v>4</v>
      </c>
      <c r="U264" s="253">
        <f t="shared" si="82"/>
        <v>-1.4176257558560938</v>
      </c>
      <c r="V264" s="385">
        <f t="shared" si="83"/>
        <v>45.232242416643366</v>
      </c>
      <c r="W264" s="58"/>
      <c r="X264" s="157">
        <f t="shared" si="84"/>
        <v>43715</v>
      </c>
      <c r="Y264" s="387">
        <f t="shared" si="85"/>
        <v>46.018000000000001</v>
      </c>
      <c r="Z264" s="387">
        <f t="shared" si="86"/>
        <v>46.450529308993183</v>
      </c>
      <c r="AA264" s="388">
        <f t="shared" si="87"/>
        <v>50.478543318627409</v>
      </c>
      <c r="AB264" s="199">
        <f t="shared" si="88"/>
        <v>43715</v>
      </c>
      <c r="AC264" s="428">
        <f>IF(OR(t&lt;Tnet,NoTnet),'2018'!Resal_s+('2018'!Salim-'2018'!Resal_s)*(1-EXP(('2018'!Tnet_s-t)/'2018'!Tau_j)),Resal_s+(Salim-Resal_s)*(1-EXP((Tnet_s-t)/Tau_j)))*Salcycl</f>
        <v>7.9796557999086012E-2</v>
      </c>
      <c r="AD264" s="233">
        <f>(INDEX(Models!$BJ264:$BT264,,AH264)*(1-AF264)+INDEX(Models!$BJ264:$BT264,,AH264+1)*AF264-ERP_i)*AE264*Ramure*Pc/MaxiM</f>
        <v>2.5009933836128038E-3</v>
      </c>
      <c r="AE264" s="307">
        <f t="shared" si="89"/>
        <v>0.9</v>
      </c>
      <c r="AF264" s="179">
        <f t="shared" si="90"/>
        <v>0.58237424414390615</v>
      </c>
      <c r="AG264" s="178">
        <f t="shared" si="91"/>
        <v>-2</v>
      </c>
      <c r="AH264" s="178">
        <f t="shared" si="92"/>
        <v>4</v>
      </c>
      <c r="AI264" s="227">
        <f t="shared" si="93"/>
        <v>-1.4176257558560938</v>
      </c>
      <c r="AJ264" s="267" t="b">
        <f t="shared" si="94"/>
        <v>0</v>
      </c>
      <c r="AK264" s="267" t="b">
        <f t="shared" si="95"/>
        <v>0</v>
      </c>
      <c r="AL264" s="267"/>
      <c r="AM264" s="267"/>
      <c r="AN264" s="75"/>
    </row>
    <row r="265" spans="1:40" s="6" customFormat="1" ht="11.25" x14ac:dyDescent="0.2">
      <c r="A265" s="56">
        <f t="shared" si="96"/>
        <v>43716</v>
      </c>
      <c r="B265" s="620">
        <v>40.435000000000002</v>
      </c>
      <c r="C265" s="392"/>
      <c r="D265" s="395">
        <f t="shared" si="75"/>
        <v>40.816003796690246</v>
      </c>
      <c r="E265" s="387">
        <f t="shared" si="97"/>
        <v>44.362268555057504</v>
      </c>
      <c r="F265" s="387">
        <f t="shared" si="76"/>
        <v>44.460234506845794</v>
      </c>
      <c r="G265" s="110">
        <f t="shared" si="98"/>
        <v>0.90078941981880689</v>
      </c>
      <c r="H265" s="416" t="b">
        <f>Wh_hp&gt;='2018'!Maxi_hp</f>
        <v>1</v>
      </c>
      <c r="I265" s="392">
        <f>IF(H265,Wh_hp,'2018'!Maxi_hp)</f>
        <v>44.460234506845794</v>
      </c>
      <c r="J265" s="85">
        <f>IF(H265,An,'2018'!An_max)</f>
        <v>2019</v>
      </c>
      <c r="K265" s="199">
        <f t="shared" si="77"/>
        <v>43716</v>
      </c>
      <c r="L265" s="147">
        <f>IF(t&lt;Tvie,1-EXP((T0-t)*PertePVj)+'2018'!Pspv,1-EXP((T0-t)*PertePVj)+Pspv)</f>
        <v>9.3346668279451483E-3</v>
      </c>
      <c r="M265" s="872"/>
      <c r="N265" s="872"/>
      <c r="O265" s="48">
        <f>IF(t&lt;Tnet,'2018'!Resal+('2018'!Salim-'2018'!Resal)*(1-EXP(('2018'!Tnet-t)/('2018'!Tau_j))),Resal+(Salim-Resal)*(1-EXP((Tnet-t)/(Tau_j))))*Salcycl</f>
        <v>7.9938760434805745E-2</v>
      </c>
      <c r="P265" s="171">
        <f>(INDEX(Models!$BJ265:$BT265,,T265)*(1-R265)+INDEX(Models!$BJ265:$BT265,,T265+1)*R265-ERP_i)*Q265*Ramure*Pc/MaxiM</f>
        <v>2.5659170494946038E-3</v>
      </c>
      <c r="Q265" s="307">
        <f t="shared" si="78"/>
        <v>0.9</v>
      </c>
      <c r="R265" s="179">
        <f t="shared" si="79"/>
        <v>0.58306706668949015</v>
      </c>
      <c r="S265" s="839">
        <f t="shared" si="80"/>
        <v>-2</v>
      </c>
      <c r="T265" s="178">
        <f t="shared" si="81"/>
        <v>4</v>
      </c>
      <c r="U265" s="253">
        <f t="shared" si="82"/>
        <v>-1.4169329333105098</v>
      </c>
      <c r="V265" s="385">
        <f t="shared" si="83"/>
        <v>44.872098221263713</v>
      </c>
      <c r="W265" s="58"/>
      <c r="X265" s="157">
        <f t="shared" si="84"/>
        <v>43716</v>
      </c>
      <c r="Y265" s="387">
        <f t="shared" si="85"/>
        <v>40.435000000000002</v>
      </c>
      <c r="Z265" s="387">
        <f t="shared" si="86"/>
        <v>40.816003796690246</v>
      </c>
      <c r="AA265" s="388">
        <f t="shared" si="87"/>
        <v>44.362268555057504</v>
      </c>
      <c r="AB265" s="199">
        <f t="shared" si="88"/>
        <v>43716</v>
      </c>
      <c r="AC265" s="428">
        <f>IF(OR(t&lt;Tnet,NoTnet),'2018'!Resal_s+('2018'!Salim-'2018'!Resal_s)*(1-EXP(('2018'!Tnet_s-t)/'2018'!Tau_j)),Resal_s+(Salim-Resal_s)*(1-EXP((Tnet_s-t)/Tau_j)))*Salcycl</f>
        <v>7.9938760434805745E-2</v>
      </c>
      <c r="AD265" s="233">
        <f>(INDEX(Models!$BJ265:$BT265,,AH265)*(1-AF265)+INDEX(Models!$BJ265:$BT265,,AH265+1)*AF265-ERP_i)*AE265*Ramure*Pc/MaxiM</f>
        <v>2.5659170494946038E-3</v>
      </c>
      <c r="AE265" s="307">
        <f t="shared" si="89"/>
        <v>0.9</v>
      </c>
      <c r="AF265" s="179">
        <f t="shared" si="90"/>
        <v>0.58306706668949015</v>
      </c>
      <c r="AG265" s="178">
        <f t="shared" si="91"/>
        <v>-2</v>
      </c>
      <c r="AH265" s="178">
        <f t="shared" si="92"/>
        <v>4</v>
      </c>
      <c r="AI265" s="227">
        <f t="shared" si="93"/>
        <v>-1.4169329333105098</v>
      </c>
      <c r="AJ265" s="267" t="b">
        <f t="shared" si="94"/>
        <v>0</v>
      </c>
      <c r="AK265" s="267" t="b">
        <f t="shared" si="95"/>
        <v>0</v>
      </c>
      <c r="AL265" s="267"/>
      <c r="AM265" s="267"/>
      <c r="AN265" s="75"/>
    </row>
    <row r="266" spans="1:40" s="6" customFormat="1" ht="11.25" x14ac:dyDescent="0.2">
      <c r="A266" s="56">
        <f t="shared" si="96"/>
        <v>43717</v>
      </c>
      <c r="B266" s="620">
        <v>35.384999999999998</v>
      </c>
      <c r="C266" s="392"/>
      <c r="D266" s="395">
        <f t="shared" si="75"/>
        <v>35.719250785231694</v>
      </c>
      <c r="E266" s="387">
        <f t="shared" si="97"/>
        <v>38.828650244739819</v>
      </c>
      <c r="F266" s="387">
        <f t="shared" si="76"/>
        <v>38.90101947859425</v>
      </c>
      <c r="G266" s="110">
        <f t="shared" si="98"/>
        <v>0.79444463132757259</v>
      </c>
      <c r="H266" s="416" t="b">
        <f>Wh_hp&gt;='2018'!Maxi_hp</f>
        <v>1</v>
      </c>
      <c r="I266" s="392">
        <f>IF(H266,Wh_hp,'2018'!Maxi_hp)</f>
        <v>38.90101947859425</v>
      </c>
      <c r="J266" s="85">
        <f>IF(H266,An,'2018'!An_max)</f>
        <v>2019</v>
      </c>
      <c r="K266" s="199">
        <f t="shared" si="77"/>
        <v>43717</v>
      </c>
      <c r="L266" s="147">
        <f>IF(t&lt;Tvie,1-EXP((T0-t)*PertePVj)+'2018'!Pspv,1-EXP((T0-t)*PertePVj)+Pspv)</f>
        <v>9.3577210575169767E-3</v>
      </c>
      <c r="M266" s="872"/>
      <c r="N266" s="872"/>
      <c r="O266" s="48">
        <f>IF(t&lt;Tnet,'2018'!Resal+('2018'!Salim-'2018'!Resal)*(1-EXP(('2018'!Tnet-t)/('2018'!Tau_j))),Resal+(Salim-Resal)*(1-EXP((Tnet-t)/(Tau_j))))*Salcycl</f>
        <v>8.0080029563462801E-2</v>
      </c>
      <c r="P266" s="171">
        <f>(INDEX(Models!$BJ266:$BT266,,T266)*(1-R266)+INDEX(Models!$BJ266:$BT266,,T266+1)*R266-ERP_i)*Q266*Ramure*Pc/MaxiM</f>
        <v>2.6304792634730349E-3</v>
      </c>
      <c r="Q266" s="307">
        <f t="shared" si="78"/>
        <v>0.9</v>
      </c>
      <c r="R266" s="179">
        <f t="shared" si="79"/>
        <v>0.58373331618858737</v>
      </c>
      <c r="S266" s="839">
        <f t="shared" si="80"/>
        <v>-2</v>
      </c>
      <c r="T266" s="178">
        <f t="shared" si="81"/>
        <v>4</v>
      </c>
      <c r="U266" s="253">
        <f t="shared" si="82"/>
        <v>-1.4162666838114126</v>
      </c>
      <c r="V266" s="385">
        <f t="shared" si="83"/>
        <v>44.506182731815812</v>
      </c>
      <c r="W266" s="58"/>
      <c r="X266" s="157">
        <f t="shared" si="84"/>
        <v>43717</v>
      </c>
      <c r="Y266" s="387">
        <f t="shared" si="85"/>
        <v>35.384999999999998</v>
      </c>
      <c r="Z266" s="387">
        <f t="shared" si="86"/>
        <v>35.719250785231694</v>
      </c>
      <c r="AA266" s="388">
        <f t="shared" si="87"/>
        <v>38.828650244739819</v>
      </c>
      <c r="AB266" s="199">
        <f t="shared" si="88"/>
        <v>43717</v>
      </c>
      <c r="AC266" s="428">
        <f>IF(OR(t&lt;Tnet,NoTnet),'2018'!Resal_s+('2018'!Salim-'2018'!Resal_s)*(1-EXP(('2018'!Tnet_s-t)/'2018'!Tau_j)),Resal_s+(Salim-Resal_s)*(1-EXP((Tnet_s-t)/Tau_j)))*Salcycl</f>
        <v>8.0080029563462801E-2</v>
      </c>
      <c r="AD266" s="233">
        <f>(INDEX(Models!$BJ266:$BT266,,AH266)*(1-AF266)+INDEX(Models!$BJ266:$BT266,,AH266+1)*AF266-ERP_i)*AE266*Ramure*Pc/MaxiM</f>
        <v>2.6304792634730349E-3</v>
      </c>
      <c r="AE266" s="307">
        <f t="shared" si="89"/>
        <v>0.9</v>
      </c>
      <c r="AF266" s="179">
        <f t="shared" si="90"/>
        <v>0.58373331618858737</v>
      </c>
      <c r="AG266" s="178">
        <f t="shared" si="91"/>
        <v>-2</v>
      </c>
      <c r="AH266" s="178">
        <f t="shared" si="92"/>
        <v>4</v>
      </c>
      <c r="AI266" s="227">
        <f t="shared" si="93"/>
        <v>-1.4162666838114126</v>
      </c>
      <c r="AJ266" s="267" t="b">
        <f t="shared" si="94"/>
        <v>0</v>
      </c>
      <c r="AK266" s="267" t="b">
        <f t="shared" si="95"/>
        <v>0</v>
      </c>
      <c r="AL266" s="267"/>
      <c r="AM266" s="267"/>
      <c r="AN266" s="75"/>
    </row>
    <row r="267" spans="1:40" s="6" customFormat="1" ht="11.25" x14ac:dyDescent="0.2">
      <c r="A267" s="56">
        <f t="shared" si="96"/>
        <v>43718</v>
      </c>
      <c r="B267" s="620">
        <v>13.108000000000001</v>
      </c>
      <c r="C267" s="392"/>
      <c r="D267" s="395">
        <f t="shared" si="75"/>
        <v>13.232127608566939</v>
      </c>
      <c r="E267" s="387">
        <f t="shared" si="97"/>
        <v>14.386192801458042</v>
      </c>
      <c r="F267" s="387">
        <f t="shared" si="76"/>
        <v>14.386192801458042</v>
      </c>
      <c r="G267" s="110">
        <f t="shared" si="98"/>
        <v>0.29619747334524454</v>
      </c>
      <c r="H267" s="416" t="b">
        <f>Wh_hp&gt;='2018'!Maxi_hp</f>
        <v>1</v>
      </c>
      <c r="I267" s="392">
        <f>IF(H267,Wh_hp,'2018'!Maxi_hp)</f>
        <v>14.386192801458042</v>
      </c>
      <c r="J267" s="85">
        <f>IF(H267,An,'2018'!An_max)</f>
        <v>2019</v>
      </c>
      <c r="K267" s="199">
        <f t="shared" si="77"/>
        <v>43718</v>
      </c>
      <c r="L267" s="147">
        <f>IF(t&lt;Tvie,1-EXP((T0-t)*PertePVj)+'2018'!Pspv,1-EXP((T0-t)*PertePVj)+Pspv)</f>
        <v>9.3807747505831873E-3</v>
      </c>
      <c r="M267" s="872"/>
      <c r="N267" s="872"/>
      <c r="O267" s="48">
        <f>IF(t&lt;Tnet,'2018'!Resal+('2018'!Salim-'2018'!Resal)*(1-EXP(('2018'!Tnet-t)/('2018'!Tau_j))),Resal+(Salim-Resal)*(1-EXP((Tnet-t)/(Tau_j))))*Salcycl</f>
        <v>8.0220334095212384E-2</v>
      </c>
      <c r="P267" s="171">
        <f>(INDEX(Models!$BJ267:$BT267,,T267)*(1-R267)+INDEX(Models!$BJ267:$BT267,,T267+1)*R267-ERP_i)*Q267*Ramure*Pc/MaxiM</f>
        <v>2.6946646600929909E-3</v>
      </c>
      <c r="Q267" s="307">
        <f t="shared" si="78"/>
        <v>0.9</v>
      </c>
      <c r="R267" s="179">
        <f t="shared" si="79"/>
        <v>0.58437396179931822</v>
      </c>
      <c r="S267" s="839">
        <f t="shared" si="80"/>
        <v>-2</v>
      </c>
      <c r="T267" s="178">
        <f t="shared" si="81"/>
        <v>4</v>
      </c>
      <c r="U267" s="253">
        <f t="shared" si="82"/>
        <v>-1.4156260382006818</v>
      </c>
      <c r="V267" s="385">
        <f t="shared" si="83"/>
        <v>44.135009620416753</v>
      </c>
      <c r="W267" s="58"/>
      <c r="X267" s="157">
        <f t="shared" si="84"/>
        <v>43718</v>
      </c>
      <c r="Y267" s="387">
        <f t="shared" si="85"/>
        <v>13.108000000000001</v>
      </c>
      <c r="Z267" s="387">
        <f t="shared" si="86"/>
        <v>13.232127608566939</v>
      </c>
      <c r="AA267" s="388">
        <f t="shared" si="87"/>
        <v>14.386192801458042</v>
      </c>
      <c r="AB267" s="199">
        <f t="shared" si="88"/>
        <v>43718</v>
      </c>
      <c r="AC267" s="428">
        <f>IF(OR(t&lt;Tnet,NoTnet),'2018'!Resal_s+('2018'!Salim-'2018'!Resal_s)*(1-EXP(('2018'!Tnet_s-t)/'2018'!Tau_j)),Resal_s+(Salim-Resal_s)*(1-EXP((Tnet_s-t)/Tau_j)))*Salcycl</f>
        <v>8.0220334095212384E-2</v>
      </c>
      <c r="AD267" s="233">
        <f>(INDEX(Models!$BJ267:$BT267,,AH267)*(1-AF267)+INDEX(Models!$BJ267:$BT267,,AH267+1)*AF267-ERP_i)*AE267*Ramure*Pc/MaxiM</f>
        <v>2.6946646600929909E-3</v>
      </c>
      <c r="AE267" s="307">
        <f t="shared" si="89"/>
        <v>0.9</v>
      </c>
      <c r="AF267" s="179">
        <f t="shared" si="90"/>
        <v>0.58437396179931822</v>
      </c>
      <c r="AG267" s="178">
        <f t="shared" si="91"/>
        <v>-2</v>
      </c>
      <c r="AH267" s="178">
        <f t="shared" si="92"/>
        <v>4</v>
      </c>
      <c r="AI267" s="227">
        <f t="shared" si="93"/>
        <v>-1.4156260382006818</v>
      </c>
      <c r="AJ267" s="267" t="b">
        <f t="shared" si="94"/>
        <v>0</v>
      </c>
      <c r="AK267" s="267" t="b">
        <f t="shared" si="95"/>
        <v>0</v>
      </c>
      <c r="AL267" s="267"/>
      <c r="AM267" s="267"/>
      <c r="AN267" s="75"/>
    </row>
    <row r="268" spans="1:40" s="6" customFormat="1" ht="11.25" x14ac:dyDescent="0.2">
      <c r="A268" s="56">
        <f t="shared" si="96"/>
        <v>43719</v>
      </c>
      <c r="B268" s="620">
        <v>37.722999999999999</v>
      </c>
      <c r="C268" s="392"/>
      <c r="D268" s="395">
        <f t="shared" si="75"/>
        <v>38.081108187912932</v>
      </c>
      <c r="E268" s="387">
        <f t="shared" si="97"/>
        <v>41.408696164431738</v>
      </c>
      <c r="F268" s="387">
        <f t="shared" si="76"/>
        <v>41.500569864252512</v>
      </c>
      <c r="G268" s="110">
        <f t="shared" si="98"/>
        <v>0.86159027334387761</v>
      </c>
      <c r="H268" s="416" t="b">
        <f>Wh_hp&gt;='2018'!Maxi_hp</f>
        <v>1</v>
      </c>
      <c r="I268" s="392">
        <f>IF(H268,Wh_hp,'2018'!Maxi_hp)</f>
        <v>41.500569864252512</v>
      </c>
      <c r="J268" s="85">
        <f>IF(H268,An,'2018'!An_max)</f>
        <v>2019</v>
      </c>
      <c r="K268" s="199">
        <f t="shared" si="77"/>
        <v>43719</v>
      </c>
      <c r="L268" s="147">
        <f>IF(t&lt;Tvie,1-EXP((T0-t)*PertePVj)+'2018'!Pspv,1-EXP((T0-t)*PertePVj)+Pspv)</f>
        <v>9.4038279071563258E-3</v>
      </c>
      <c r="M268" s="872"/>
      <c r="N268" s="872"/>
      <c r="O268" s="48">
        <f>IF(t&lt;Tnet,'2018'!Resal+('2018'!Salim-'2018'!Resal)*(1-EXP(('2018'!Tnet-t)/('2018'!Tau_j))),Resal+(Salim-Resal)*(1-EXP((Tnet-t)/(Tau_j))))*Salcycl</f>
        <v>8.0359641445969049E-2</v>
      </c>
      <c r="P268" s="171">
        <f>(INDEX(Models!$BJ268:$BT268,,T268)*(1-R268)+INDEX(Models!$BJ268:$BT268,,T268+1)*R268-ERP_i)*Q268*Ramure*Pc/MaxiM</f>
        <v>2.7571015152204038E-3</v>
      </c>
      <c r="Q268" s="307">
        <f t="shared" si="78"/>
        <v>0.9</v>
      </c>
      <c r="R268" s="179">
        <f t="shared" si="79"/>
        <v>0.58498994120718972</v>
      </c>
      <c r="S268" s="839">
        <f t="shared" si="80"/>
        <v>-2</v>
      </c>
      <c r="T268" s="178">
        <f t="shared" si="81"/>
        <v>4</v>
      </c>
      <c r="U268" s="253">
        <f t="shared" si="82"/>
        <v>-1.4150100587928103</v>
      </c>
      <c r="V268" s="385">
        <f t="shared" si="83"/>
        <v>43.75915152788631</v>
      </c>
      <c r="W268" s="58"/>
      <c r="X268" s="157">
        <f t="shared" si="84"/>
        <v>43719</v>
      </c>
      <c r="Y268" s="387">
        <f t="shared" si="85"/>
        <v>37.722999999999999</v>
      </c>
      <c r="Z268" s="387">
        <f t="shared" si="86"/>
        <v>38.081108187912932</v>
      </c>
      <c r="AA268" s="388">
        <f t="shared" si="87"/>
        <v>41.408696164431738</v>
      </c>
      <c r="AB268" s="199">
        <f t="shared" si="88"/>
        <v>43719</v>
      </c>
      <c r="AC268" s="428">
        <f>IF(OR(t&lt;Tnet,NoTnet),'2018'!Resal_s+('2018'!Salim-'2018'!Resal_s)*(1-EXP(('2018'!Tnet_s-t)/'2018'!Tau_j)),Resal_s+(Salim-Resal_s)*(1-EXP((Tnet_s-t)/Tau_j)))*Salcycl</f>
        <v>8.0359641445969049E-2</v>
      </c>
      <c r="AD268" s="233">
        <f>(INDEX(Models!$BJ268:$BT268,,AH268)*(1-AF268)+INDEX(Models!$BJ268:$BT268,,AH268+1)*AF268-ERP_i)*AE268*Ramure*Pc/MaxiM</f>
        <v>2.7571015152204038E-3</v>
      </c>
      <c r="AE268" s="307">
        <f t="shared" si="89"/>
        <v>0.9</v>
      </c>
      <c r="AF268" s="179">
        <f t="shared" si="90"/>
        <v>0.58498994120718972</v>
      </c>
      <c r="AG268" s="178">
        <f t="shared" si="91"/>
        <v>-2</v>
      </c>
      <c r="AH268" s="178">
        <f t="shared" si="92"/>
        <v>4</v>
      </c>
      <c r="AI268" s="227">
        <f t="shared" si="93"/>
        <v>-1.4150100587928103</v>
      </c>
      <c r="AJ268" s="267" t="b">
        <f t="shared" si="94"/>
        <v>0</v>
      </c>
      <c r="AK268" s="267" t="b">
        <f t="shared" si="95"/>
        <v>0</v>
      </c>
      <c r="AL268" s="267"/>
      <c r="AM268" s="267"/>
      <c r="AN268" s="75"/>
    </row>
    <row r="269" spans="1:40" s="6" customFormat="1" ht="11.25" x14ac:dyDescent="0.2">
      <c r="A269" s="56">
        <f t="shared" si="96"/>
        <v>43720</v>
      </c>
      <c r="B269" s="620">
        <v>42.883000000000003</v>
      </c>
      <c r="C269" s="392"/>
      <c r="D269" s="395">
        <f t="shared" si="75"/>
        <v>43.291100027855769</v>
      </c>
      <c r="E269" s="387">
        <f t="shared" si="97"/>
        <v>47.081024461445637</v>
      </c>
      <c r="F269" s="387">
        <f t="shared" si="76"/>
        <v>47.211932330727613</v>
      </c>
      <c r="G269" s="110">
        <f t="shared" si="98"/>
        <v>0.98851856026043095</v>
      </c>
      <c r="H269" s="416" t="b">
        <f>Wh_hp&gt;='2018'!Maxi_hp</f>
        <v>1</v>
      </c>
      <c r="I269" s="392">
        <f>IF(H269,Wh_hp,'2018'!Maxi_hp)</f>
        <v>47.211932330727613</v>
      </c>
      <c r="J269" s="85">
        <f>IF(H269,An,'2018'!An_max)</f>
        <v>2019</v>
      </c>
      <c r="K269" s="199">
        <f t="shared" si="77"/>
        <v>43720</v>
      </c>
      <c r="L269" s="147">
        <f>IF(t&lt;Tvie,1-EXP((T0-t)*PertePVj)+'2018'!Pspv,1-EXP((T0-t)*PertePVj)+Pspv)</f>
        <v>9.4268805272487155E-3</v>
      </c>
      <c r="M269" s="872"/>
      <c r="N269" s="872"/>
      <c r="O269" s="48">
        <f>IF(t&lt;Tnet,'2018'!Resal+('2018'!Salim-'2018'!Resal)*(1-EXP(('2018'!Tnet-t)/('2018'!Tau_j))),Resal+(Salim-Resal)*(1-EXP((Tnet-t)/(Tau_j))))*Salcycl</f>
        <v>8.0497917726777793E-2</v>
      </c>
      <c r="P269" s="171">
        <f>(INDEX(Models!$BJ269:$BT269,,T269)*(1-R269)+INDEX(Models!$BJ269:$BT269,,T269+1)*R269-ERP_i)*Q269*Ramure*Pc/MaxiM</f>
        <v>2.8188214804541413E-3</v>
      </c>
      <c r="Q269" s="307">
        <f t="shared" si="78"/>
        <v>0.9</v>
      </c>
      <c r="R269" s="179">
        <f t="shared" si="79"/>
        <v>0.58558216134141139</v>
      </c>
      <c r="S269" s="839">
        <f t="shared" si="80"/>
        <v>-2</v>
      </c>
      <c r="T269" s="178">
        <f t="shared" si="81"/>
        <v>4</v>
      </c>
      <c r="U269" s="253">
        <f t="shared" si="82"/>
        <v>-1.4144178386585886</v>
      </c>
      <c r="V269" s="385">
        <f t="shared" si="83"/>
        <v>43.379073942969882</v>
      </c>
      <c r="W269" s="58"/>
      <c r="X269" s="157">
        <f t="shared" si="84"/>
        <v>43720</v>
      </c>
      <c r="Y269" s="387">
        <f t="shared" si="85"/>
        <v>42.883000000000003</v>
      </c>
      <c r="Z269" s="387">
        <f t="shared" si="86"/>
        <v>43.291100027855769</v>
      </c>
      <c r="AA269" s="388">
        <f t="shared" si="87"/>
        <v>47.081024461445637</v>
      </c>
      <c r="AB269" s="199">
        <f t="shared" si="88"/>
        <v>43720</v>
      </c>
      <c r="AC269" s="428">
        <f>IF(OR(t&lt;Tnet,NoTnet),'2018'!Resal_s+('2018'!Salim-'2018'!Resal_s)*(1-EXP(('2018'!Tnet_s-t)/'2018'!Tau_j)),Resal_s+(Salim-Resal_s)*(1-EXP((Tnet_s-t)/Tau_j)))*Salcycl</f>
        <v>8.0497917726777793E-2</v>
      </c>
      <c r="AD269" s="233">
        <f>(INDEX(Models!$BJ269:$BT269,,AH269)*(1-AF269)+INDEX(Models!$BJ269:$BT269,,AH269+1)*AF269-ERP_i)*AE269*Ramure*Pc/MaxiM</f>
        <v>2.8188214804541413E-3</v>
      </c>
      <c r="AE269" s="307">
        <f t="shared" si="89"/>
        <v>0.9</v>
      </c>
      <c r="AF269" s="179">
        <f t="shared" si="90"/>
        <v>0.58558216134141139</v>
      </c>
      <c r="AG269" s="178">
        <f t="shared" si="91"/>
        <v>-2</v>
      </c>
      <c r="AH269" s="178">
        <f t="shared" si="92"/>
        <v>4</v>
      </c>
      <c r="AI269" s="227">
        <f t="shared" si="93"/>
        <v>-1.4144178386585886</v>
      </c>
      <c r="AJ269" s="267" t="b">
        <f t="shared" si="94"/>
        <v>0</v>
      </c>
      <c r="AK269" s="267" t="b">
        <f t="shared" si="95"/>
        <v>0</v>
      </c>
      <c r="AL269" s="267"/>
      <c r="AM269" s="267"/>
      <c r="AN269" s="75"/>
    </row>
    <row r="270" spans="1:40" s="6" customFormat="1" ht="11.25" x14ac:dyDescent="0.2">
      <c r="A270" s="56">
        <f t="shared" si="96"/>
        <v>43721</v>
      </c>
      <c r="B270" s="620">
        <v>32.469000000000001</v>
      </c>
      <c r="C270" s="392"/>
      <c r="D270" s="395">
        <f t="shared" si="75"/>
        <v>32.7787570451448</v>
      </c>
      <c r="E270" s="387">
        <f t="shared" si="97"/>
        <v>35.653697497510741</v>
      </c>
      <c r="F270" s="387">
        <f t="shared" si="76"/>
        <v>35.72058738284813</v>
      </c>
      <c r="G270" s="110">
        <f t="shared" si="98"/>
        <v>0.75441370980886635</v>
      </c>
      <c r="H270" s="416" t="b">
        <f>Wh_hp&gt;='2018'!Maxi_hp</f>
        <v>1</v>
      </c>
      <c r="I270" s="392">
        <f>IF(H270,Wh_hp,'2018'!Maxi_hp)</f>
        <v>35.72058738284813</v>
      </c>
      <c r="J270" s="85">
        <f>IF(H270,An,'2018'!An_max)</f>
        <v>2019</v>
      </c>
      <c r="K270" s="199">
        <f t="shared" si="77"/>
        <v>43721</v>
      </c>
      <c r="L270" s="147">
        <f>IF(t&lt;Tvie,1-EXP((T0-t)*PertePVj)+'2018'!Pspv,1-EXP((T0-t)*PertePVj)+Pspv)</f>
        <v>9.4499326108731241E-3</v>
      </c>
      <c r="M270" s="872"/>
      <c r="N270" s="872"/>
      <c r="O270" s="48">
        <f>IF(t&lt;Tnet,'2018'!Resal+('2018'!Salim-'2018'!Resal)*(1-EXP(('2018'!Tnet-t)/('2018'!Tau_j))),Resal+(Salim-Resal)*(1-EXP((Tnet-t)/(Tau_j))))*Salcycl</f>
        <v>8.0635127747035615E-2</v>
      </c>
      <c r="P270" s="171">
        <f>(INDEX(Models!$BJ270:$BT270,,T270)*(1-R270)+INDEX(Models!$BJ270:$BT270,,T270+1)*R270-ERP_i)*Q270*Ramure*Pc/MaxiM</f>
        <v>2.8797897462838136E-3</v>
      </c>
      <c r="Q270" s="307">
        <f t="shared" si="78"/>
        <v>0.9</v>
      </c>
      <c r="R270" s="179">
        <f t="shared" si="79"/>
        <v>0.58615149910090558</v>
      </c>
      <c r="S270" s="839">
        <f t="shared" si="80"/>
        <v>-2</v>
      </c>
      <c r="T270" s="178">
        <f t="shared" si="81"/>
        <v>4</v>
      </c>
      <c r="U270" s="253">
        <f t="shared" si="82"/>
        <v>-1.4138485008990944</v>
      </c>
      <c r="V270" s="385">
        <f t="shared" si="83"/>
        <v>42.995289372689776</v>
      </c>
      <c r="W270" s="58"/>
      <c r="X270" s="157">
        <f t="shared" si="84"/>
        <v>43721</v>
      </c>
      <c r="Y270" s="387">
        <f t="shared" si="85"/>
        <v>32.469000000000001</v>
      </c>
      <c r="Z270" s="387">
        <f t="shared" si="86"/>
        <v>32.7787570451448</v>
      </c>
      <c r="AA270" s="388">
        <f t="shared" si="87"/>
        <v>35.653697497510741</v>
      </c>
      <c r="AB270" s="199">
        <f t="shared" si="88"/>
        <v>43721</v>
      </c>
      <c r="AC270" s="428">
        <f>IF(OR(t&lt;Tnet,NoTnet),'2018'!Resal_s+('2018'!Salim-'2018'!Resal_s)*(1-EXP(('2018'!Tnet_s-t)/'2018'!Tau_j)),Resal_s+(Salim-Resal_s)*(1-EXP((Tnet_s-t)/Tau_j)))*Salcycl</f>
        <v>8.0635127747035615E-2</v>
      </c>
      <c r="AD270" s="233">
        <f>(INDEX(Models!$BJ270:$BT270,,AH270)*(1-AF270)+INDEX(Models!$BJ270:$BT270,,AH270+1)*AF270-ERP_i)*AE270*Ramure*Pc/MaxiM</f>
        <v>2.8797897462838136E-3</v>
      </c>
      <c r="AE270" s="307">
        <f t="shared" si="89"/>
        <v>0.9</v>
      </c>
      <c r="AF270" s="179">
        <f t="shared" si="90"/>
        <v>0.58615149910090558</v>
      </c>
      <c r="AG270" s="178">
        <f t="shared" si="91"/>
        <v>-2</v>
      </c>
      <c r="AH270" s="178">
        <f t="shared" si="92"/>
        <v>4</v>
      </c>
      <c r="AI270" s="227">
        <f t="shared" si="93"/>
        <v>-1.4138485008990944</v>
      </c>
      <c r="AJ270" s="267" t="b">
        <f t="shared" si="94"/>
        <v>0</v>
      </c>
      <c r="AK270" s="267" t="b">
        <f t="shared" si="95"/>
        <v>0</v>
      </c>
      <c r="AL270" s="267"/>
      <c r="AM270" s="267"/>
      <c r="AN270" s="75"/>
    </row>
    <row r="271" spans="1:40" s="6" customFormat="1" ht="11.25" x14ac:dyDescent="0.2">
      <c r="A271" s="56">
        <f t="shared" si="96"/>
        <v>43722</v>
      </c>
      <c r="B271" s="620">
        <v>37.926000000000002</v>
      </c>
      <c r="C271" s="392"/>
      <c r="D271" s="395">
        <f t="shared" ref="D271:D334" si="99">Wh/(1-Ppv)</f>
        <v>38.28870832741751</v>
      </c>
      <c r="E271" s="387">
        <f t="shared" si="97"/>
        <v>41.653078957766404</v>
      </c>
      <c r="F271" s="387">
        <f t="shared" ref="F271:F334" si="100">Wh_sa/(1-Pvg*MEDIAN((-Sdif+Wh/Env_an)/Csdif,0,1))</f>
        <v>41.756569527203453</v>
      </c>
      <c r="G271" s="110">
        <f t="shared" si="98"/>
        <v>0.88969621561301382</v>
      </c>
      <c r="H271" s="416" t="b">
        <f>Wh_hp&gt;='2018'!Maxi_hp</f>
        <v>1</v>
      </c>
      <c r="I271" s="392">
        <f>IF(H271,Wh_hp,'2018'!Maxi_hp)</f>
        <v>41.756569527203453</v>
      </c>
      <c r="J271" s="85">
        <f>IF(H271,An,'2018'!An_max)</f>
        <v>2019</v>
      </c>
      <c r="K271" s="199">
        <f t="shared" ref="K271:K334" si="101">t</f>
        <v>43722</v>
      </c>
      <c r="L271" s="147">
        <f>IF(t&lt;Tvie,1-EXP((T0-t)*PertePVj)+'2018'!Pspv,1-EXP((T0-t)*PertePVj)+Pspv)</f>
        <v>9.472984158041764E-3</v>
      </c>
      <c r="M271" s="872"/>
      <c r="N271" s="872"/>
      <c r="O271" s="48">
        <f>IF(t&lt;Tnet,'2018'!Resal+('2018'!Salim-'2018'!Resal)*(1-EXP(('2018'!Tnet-t)/('2018'!Tau_j))),Resal+(Salim-Resal)*(1-EXP((Tnet-t)/(Tau_j))))*Salcycl</f>
        <v>8.0771235033072888E-2</v>
      </c>
      <c r="P271" s="171">
        <f>(INDEX(Models!$BJ271:$BT271,,T271)*(1-R271)+INDEX(Models!$BJ271:$BT271,,T271+1)*R271-ERP_i)*Q271*Ramure*Pc/MaxiM</f>
        <v>2.9399670254223946E-3</v>
      </c>
      <c r="Q271" s="307">
        <f t="shared" ref="Q271:Q334" si="102">IF(OR(t&lt;Ttai,Notai),Dd+PousD*Croivg,Dens+PousD*(Croivg-Croi_tai))</f>
        <v>0.9</v>
      </c>
      <c r="R271" s="179">
        <f t="shared" ref="R271:R334" si="103">(Hp_vg-S271)/(INDEX(Echel_vg,T271+1)-S271)</f>
        <v>0.58669880208711556</v>
      </c>
      <c r="S271" s="839">
        <f t="shared" ref="S271:S334" si="104">INDEX(Echel_vg,T271)</f>
        <v>-2</v>
      </c>
      <c r="T271" s="178">
        <f t="shared" ref="T271:T334" si="105">MIN(MATCH(Hp_vg,Echel_vg),10)</f>
        <v>4</v>
      </c>
      <c r="U271" s="253">
        <f t="shared" ref="U271:U334" si="106">IF(OR(t&lt;Ttai,Notai),Hdd+PousH*Croivg,Hdtf+PousH*(Croivg-Croi_tai))</f>
        <v>-1.4133011979128844</v>
      </c>
      <c r="V271" s="385">
        <f t="shared" ref="V271:V334" si="107">MaxiM*(1-Ppv)*(1-Pvg)*(1-Psa)</f>
        <v>42.608309938097392</v>
      </c>
      <c r="W271" s="58"/>
      <c r="X271" s="157">
        <f t="shared" ref="X271:X334" si="108">t</f>
        <v>43722</v>
      </c>
      <c r="Y271" s="387">
        <f t="shared" ref="Y271:Y334" si="109">Wh_pvt_s*(1-Ppv)</f>
        <v>37.926000000000002</v>
      </c>
      <c r="Z271" s="387">
        <f t="shared" ref="Z271:Z334" si="110">Wh_sa_s*(1-Psa_s)</f>
        <v>38.28870832741751</v>
      </c>
      <c r="AA271" s="388">
        <f t="shared" ref="AA271:AA334" si="111">Wh_hp*(1-Pvg_s*MEDIAN((-Sdif+Wh/Env_an)/Csdif,0,1))</f>
        <v>41.653078957766404</v>
      </c>
      <c r="AB271" s="199">
        <f t="shared" ref="AB271:AB334" si="112">t</f>
        <v>43722</v>
      </c>
      <c r="AC271" s="428">
        <f>IF(OR(t&lt;Tnet,NoTnet),'2018'!Resal_s+('2018'!Salim-'2018'!Resal_s)*(1-EXP(('2018'!Tnet_s-t)/'2018'!Tau_j)),Resal_s+(Salim-Resal_s)*(1-EXP((Tnet_s-t)/Tau_j)))*Salcycl</f>
        <v>8.0771235033072888E-2</v>
      </c>
      <c r="AD271" s="233">
        <f>(INDEX(Models!$BJ271:$BT271,,AH271)*(1-AF271)+INDEX(Models!$BJ271:$BT271,,AH271+1)*AF271-ERP_i)*AE271*Ramure*Pc/MaxiM</f>
        <v>2.9399670254223946E-3</v>
      </c>
      <c r="AE271" s="307">
        <f t="shared" ref="AE271:AE334" si="113">IF(OR(t&lt;Ttai,Notai),Dd_s+PousD*Croivg,Dens_s+PousD*(Croivg-Croi_tai))</f>
        <v>0.9</v>
      </c>
      <c r="AF271" s="179">
        <f t="shared" ref="AF271:AF334" si="114">(Hp_vg_s-AG271)/(INDEX(Echel_vg,AH271+1)-AG271)</f>
        <v>0.58669880208711556</v>
      </c>
      <c r="AG271" s="178">
        <f t="shared" ref="AG271:AG334" si="115">INDEX(Echel_vg,AH271)</f>
        <v>-2</v>
      </c>
      <c r="AH271" s="178">
        <f t="shared" ref="AH271:AH334" si="116">MIN(MATCH(Hp_vg_s,Echel_vg),10)</f>
        <v>4</v>
      </c>
      <c r="AI271" s="227">
        <f t="shared" ref="AI271:AI334" si="117">IF(OR(t&lt;Ttai,Notai),Hdd_s+PousH*Croivg,Hdtai_s+PousH*(Croivg-Croi_tai))</f>
        <v>-1.4133011979128844</v>
      </c>
      <c r="AJ271" s="267" t="b">
        <f t="shared" ref="AJ271:AJ334" si="118">t&lt;Tnet</f>
        <v>0</v>
      </c>
      <c r="AK271" s="267" t="b">
        <f t="shared" ref="AK271:AK334" si="119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20">A271+1</f>
        <v>43723</v>
      </c>
      <c r="B272" s="620">
        <v>37.787999999999997</v>
      </c>
      <c r="C272" s="392"/>
      <c r="D272" s="395">
        <f t="shared" si="99"/>
        <v>38.150276366070386</v>
      </c>
      <c r="E272" s="387">
        <f t="shared" si="97"/>
        <v>41.508577735395917</v>
      </c>
      <c r="F272" s="387">
        <f t="shared" si="100"/>
        <v>41.614680500954847</v>
      </c>
      <c r="G272" s="110">
        <f t="shared" si="98"/>
        <v>0.89465122840432043</v>
      </c>
      <c r="H272" s="416" t="b">
        <f>Wh_hp&gt;='2018'!Maxi_hp</f>
        <v>1</v>
      </c>
      <c r="I272" s="392">
        <f>IF(H272,Wh_hp,'2018'!Maxi_hp)</f>
        <v>41.614680500954847</v>
      </c>
      <c r="J272" s="85">
        <f>IF(H272,An,'2018'!An_max)</f>
        <v>2019</v>
      </c>
      <c r="K272" s="199">
        <f t="shared" si="101"/>
        <v>43723</v>
      </c>
      <c r="L272" s="147">
        <f>IF(t&lt;Tvie,1-EXP((T0-t)*PertePVj)+'2018'!Pspv,1-EXP((T0-t)*PertePVj)+Pspv)</f>
        <v>9.4960351687671807E-3</v>
      </c>
      <c r="M272" s="872"/>
      <c r="N272" s="872"/>
      <c r="O272" s="48">
        <f>IF(t&lt;Tnet,'2018'!Resal+('2018'!Salim-'2018'!Resal)*(1-EXP(('2018'!Tnet-t)/('2018'!Tau_j))),Resal+(Salim-Resal)*(1-EXP((Tnet-t)/(Tau_j))))*Salcycl</f>
        <v>8.0906201863471278E-2</v>
      </c>
      <c r="P272" s="171">
        <f>(INDEX(Models!$BJ272:$BT272,,T272)*(1-R272)+INDEX(Models!$BJ272:$BT272,,T272+1)*R272-ERP_i)*Q272*Ramure*Pc/MaxiM</f>
        <v>2.9993093966854101E-3</v>
      </c>
      <c r="Q272" s="307">
        <f t="shared" si="102"/>
        <v>0.9</v>
      </c>
      <c r="R272" s="179">
        <f t="shared" si="103"/>
        <v>0.58722488934097283</v>
      </c>
      <c r="S272" s="839">
        <f t="shared" si="104"/>
        <v>-2</v>
      </c>
      <c r="T272" s="178">
        <f t="shared" si="105"/>
        <v>4</v>
      </c>
      <c r="U272" s="253">
        <f t="shared" si="106"/>
        <v>-1.4127751106590272</v>
      </c>
      <c r="V272" s="385">
        <f t="shared" si="107"/>
        <v>42.218647381973312</v>
      </c>
      <c r="W272" s="58"/>
      <c r="X272" s="157">
        <f t="shared" si="108"/>
        <v>43723</v>
      </c>
      <c r="Y272" s="387">
        <f t="shared" si="109"/>
        <v>37.787999999999997</v>
      </c>
      <c r="Z272" s="387">
        <f t="shared" si="110"/>
        <v>38.150276366070386</v>
      </c>
      <c r="AA272" s="388">
        <f t="shared" si="111"/>
        <v>41.508577735395917</v>
      </c>
      <c r="AB272" s="199">
        <f t="shared" si="112"/>
        <v>43723</v>
      </c>
      <c r="AC272" s="428">
        <f>IF(OR(t&lt;Tnet,NoTnet),'2018'!Resal_s+('2018'!Salim-'2018'!Resal_s)*(1-EXP(('2018'!Tnet_s-t)/'2018'!Tau_j)),Resal_s+(Salim-Resal_s)*(1-EXP((Tnet_s-t)/Tau_j)))*Salcycl</f>
        <v>8.0906201863471278E-2</v>
      </c>
      <c r="AD272" s="233">
        <f>(INDEX(Models!$BJ272:$BT272,,AH272)*(1-AF272)+INDEX(Models!$BJ272:$BT272,,AH272+1)*AF272-ERP_i)*AE272*Ramure*Pc/MaxiM</f>
        <v>2.9993093966854101E-3</v>
      </c>
      <c r="AE272" s="307">
        <f t="shared" si="113"/>
        <v>0.9</v>
      </c>
      <c r="AF272" s="179">
        <f t="shared" si="114"/>
        <v>0.58722488934097283</v>
      </c>
      <c r="AG272" s="178">
        <f t="shared" si="115"/>
        <v>-2</v>
      </c>
      <c r="AH272" s="178">
        <f t="shared" si="116"/>
        <v>4</v>
      </c>
      <c r="AI272" s="227">
        <f t="shared" si="117"/>
        <v>-1.4127751106590272</v>
      </c>
      <c r="AJ272" s="267" t="b">
        <f t="shared" si="118"/>
        <v>0</v>
      </c>
      <c r="AK272" s="267" t="b">
        <f t="shared" si="119"/>
        <v>0</v>
      </c>
      <c r="AL272" s="267"/>
      <c r="AM272" s="267"/>
      <c r="AN272" s="75"/>
    </row>
    <row r="273" spans="1:40" s="6" customFormat="1" ht="11.25" x14ac:dyDescent="0.2">
      <c r="A273" s="56">
        <f t="shared" si="120"/>
        <v>43724</v>
      </c>
      <c r="B273" s="620">
        <v>37.408999999999999</v>
      </c>
      <c r="C273" s="392"/>
      <c r="D273" s="395">
        <f t="shared" si="99"/>
        <v>37.768521793564794</v>
      </c>
      <c r="E273" s="387">
        <f t="shared" si="97"/>
        <v>41.099200568818773</v>
      </c>
      <c r="F273" s="387">
        <f t="shared" si="100"/>
        <v>41.206187812934779</v>
      </c>
      <c r="G273" s="110">
        <f t="shared" si="98"/>
        <v>0.89396472143884742</v>
      </c>
      <c r="H273" s="416" t="b">
        <f>Wh_hp&gt;='2018'!Maxi_hp</f>
        <v>1</v>
      </c>
      <c r="I273" s="392">
        <f>IF(H273,Wh_hp,'2018'!Maxi_hp)</f>
        <v>41.206187812934779</v>
      </c>
      <c r="J273" s="85">
        <f>IF(H273,An,'2018'!An_max)</f>
        <v>2019</v>
      </c>
      <c r="K273" s="199">
        <f t="shared" si="101"/>
        <v>43724</v>
      </c>
      <c r="L273" s="147">
        <f>IF(t&lt;Tvie,1-EXP((T0-t)*PertePVj)+'2018'!Pspv,1-EXP((T0-t)*PertePVj)+Pspv)</f>
        <v>9.5190856430620308E-3</v>
      </c>
      <c r="M273" s="872"/>
      <c r="N273" s="872"/>
      <c r="O273" s="48">
        <f>IF(t&lt;Tnet,'2018'!Resal+('2018'!Salim-'2018'!Resal)*(1-EXP(('2018'!Tnet-t)/('2018'!Tau_j))),Resal+(Salim-Resal)*(1-EXP((Tnet-t)/(Tau_j))))*Salcycl</f>
        <v>8.1039989322344852E-2</v>
      </c>
      <c r="P273" s="171">
        <f>(INDEX(Models!$BJ273:$BT273,,T273)*(1-R273)+INDEX(Models!$BJ273:$BT273,,T273+1)*R273-ERP_i)*Q273*Ramure*Pc/MaxiM</f>
        <v>3.057768146023954E-3</v>
      </c>
      <c r="Q273" s="307">
        <f t="shared" si="102"/>
        <v>0.9</v>
      </c>
      <c r="R273" s="179">
        <f t="shared" si="103"/>
        <v>0.58773055208162672</v>
      </c>
      <c r="S273" s="839">
        <f t="shared" si="104"/>
        <v>-2</v>
      </c>
      <c r="T273" s="178">
        <f t="shared" si="105"/>
        <v>4</v>
      </c>
      <c r="U273" s="253">
        <f t="shared" si="106"/>
        <v>-1.4122694479183733</v>
      </c>
      <c r="V273" s="385">
        <f t="shared" si="107"/>
        <v>41.826813068691536</v>
      </c>
      <c r="W273" s="58"/>
      <c r="X273" s="157">
        <f t="shared" si="108"/>
        <v>43724</v>
      </c>
      <c r="Y273" s="387">
        <f t="shared" si="109"/>
        <v>37.408999999999999</v>
      </c>
      <c r="Z273" s="387">
        <f t="shared" si="110"/>
        <v>37.768521793564794</v>
      </c>
      <c r="AA273" s="388">
        <f t="shared" si="111"/>
        <v>41.099200568818773</v>
      </c>
      <c r="AB273" s="199">
        <f t="shared" si="112"/>
        <v>43724</v>
      </c>
      <c r="AC273" s="428">
        <f>IF(OR(t&lt;Tnet,NoTnet),'2018'!Resal_s+('2018'!Salim-'2018'!Resal_s)*(1-EXP(('2018'!Tnet_s-t)/'2018'!Tau_j)),Resal_s+(Salim-Resal_s)*(1-EXP((Tnet_s-t)/Tau_j)))*Salcycl</f>
        <v>8.1039989322344852E-2</v>
      </c>
      <c r="AD273" s="233">
        <f>(INDEX(Models!$BJ273:$BT273,,AH273)*(1-AF273)+INDEX(Models!$BJ273:$BT273,,AH273+1)*AF273-ERP_i)*AE273*Ramure*Pc/MaxiM</f>
        <v>3.057768146023954E-3</v>
      </c>
      <c r="AE273" s="307">
        <f t="shared" si="113"/>
        <v>0.9</v>
      </c>
      <c r="AF273" s="179">
        <f t="shared" si="114"/>
        <v>0.58773055208162672</v>
      </c>
      <c r="AG273" s="178">
        <f t="shared" si="115"/>
        <v>-2</v>
      </c>
      <c r="AH273" s="178">
        <f t="shared" si="116"/>
        <v>4</v>
      </c>
      <c r="AI273" s="227">
        <f t="shared" si="117"/>
        <v>-1.4122694479183733</v>
      </c>
      <c r="AJ273" s="267" t="b">
        <f t="shared" si="118"/>
        <v>0</v>
      </c>
      <c r="AK273" s="267" t="b">
        <f t="shared" si="119"/>
        <v>0</v>
      </c>
      <c r="AL273" s="267"/>
      <c r="AM273" s="267"/>
      <c r="AN273" s="75"/>
    </row>
    <row r="274" spans="1:40" s="6" customFormat="1" ht="11.25" customHeight="1" x14ac:dyDescent="0.2">
      <c r="A274" s="56">
        <f t="shared" si="120"/>
        <v>43725</v>
      </c>
      <c r="B274" s="620">
        <v>36.277000000000001</v>
      </c>
      <c r="C274" s="392"/>
      <c r="D274" s="395">
        <f t="shared" si="99"/>
        <v>36.62649498096291</v>
      </c>
      <c r="E274" s="387">
        <f t="shared" si="97"/>
        <v>39.8622127308155</v>
      </c>
      <c r="F274" s="387">
        <f t="shared" si="100"/>
        <v>39.96457967955341</v>
      </c>
      <c r="G274" s="110">
        <f t="shared" si="98"/>
        <v>0.87506524310238731</v>
      </c>
      <c r="H274" s="416" t="b">
        <f>Wh_hp&gt;='2018'!Maxi_hp</f>
        <v>1</v>
      </c>
      <c r="I274" s="392">
        <f>IF(H274,Wh_hp,'2018'!Maxi_hp)</f>
        <v>39.96457967955341</v>
      </c>
      <c r="J274" s="85">
        <f>IF(H274,An,'2018'!An_max)</f>
        <v>2019</v>
      </c>
      <c r="K274" s="199">
        <f t="shared" si="101"/>
        <v>43725</v>
      </c>
      <c r="L274" s="147">
        <f>IF(t&lt;Tvie,1-EXP((T0-t)*PertePVj)+'2018'!Pspv,1-EXP((T0-t)*PertePVj)+Pspv)</f>
        <v>9.5421355809385267E-3</v>
      </c>
      <c r="M274" s="872"/>
      <c r="N274" s="872"/>
      <c r="O274" s="48">
        <f>IF(t&lt;Tnet,'2018'!Resal+('2018'!Salim-'2018'!Resal)*(1-EXP(('2018'!Tnet-t)/('2018'!Tau_j))),Resal+(Salim-Resal)*(1-EXP((Tnet-t)/(Tau_j))))*Salcycl</f>
        <v>8.1172557371638795E-2</v>
      </c>
      <c r="P274" s="171">
        <f>(INDEX(Models!$BJ274:$BT274,,T274)*(1-R274)+INDEX(Models!$BJ274:$BT274,,T274+1)*R274-ERP_i)*Q274*Ramure*Pc/MaxiM</f>
        <v>3.1152896061303358E-3</v>
      </c>
      <c r="Q274" s="307">
        <f t="shared" si="102"/>
        <v>0.9</v>
      </c>
      <c r="R274" s="179">
        <f t="shared" si="103"/>
        <v>0.58821655444476439</v>
      </c>
      <c r="S274" s="839">
        <f t="shared" si="104"/>
        <v>-2</v>
      </c>
      <c r="T274" s="178">
        <f t="shared" si="105"/>
        <v>4</v>
      </c>
      <c r="U274" s="253">
        <f t="shared" si="106"/>
        <v>-1.4117834455552356</v>
      </c>
      <c r="V274" s="385">
        <f t="shared" si="107"/>
        <v>41.433317979340138</v>
      </c>
      <c r="W274" s="58"/>
      <c r="X274" s="157">
        <f t="shared" si="108"/>
        <v>43725</v>
      </c>
      <c r="Y274" s="387">
        <f t="shared" si="109"/>
        <v>36.277000000000001</v>
      </c>
      <c r="Z274" s="387">
        <f t="shared" si="110"/>
        <v>36.62649498096291</v>
      </c>
      <c r="AA274" s="388">
        <f t="shared" si="111"/>
        <v>39.8622127308155</v>
      </c>
      <c r="AB274" s="199">
        <f t="shared" si="112"/>
        <v>43725</v>
      </c>
      <c r="AC274" s="428">
        <f>IF(OR(t&lt;Tnet,NoTnet),'2018'!Resal_s+('2018'!Salim-'2018'!Resal_s)*(1-EXP(('2018'!Tnet_s-t)/'2018'!Tau_j)),Resal_s+(Salim-Resal_s)*(1-EXP((Tnet_s-t)/Tau_j)))*Salcycl</f>
        <v>8.1172557371638795E-2</v>
      </c>
      <c r="AD274" s="233">
        <f>(INDEX(Models!$BJ274:$BT274,,AH274)*(1-AF274)+INDEX(Models!$BJ274:$BT274,,AH274+1)*AF274-ERP_i)*AE274*Ramure*Pc/MaxiM</f>
        <v>3.1152896061303358E-3</v>
      </c>
      <c r="AE274" s="307">
        <f t="shared" si="113"/>
        <v>0.9</v>
      </c>
      <c r="AF274" s="179">
        <f t="shared" si="114"/>
        <v>0.58821655444476439</v>
      </c>
      <c r="AG274" s="178">
        <f t="shared" si="115"/>
        <v>-2</v>
      </c>
      <c r="AH274" s="178">
        <f t="shared" si="116"/>
        <v>4</v>
      </c>
      <c r="AI274" s="227">
        <f t="shared" si="117"/>
        <v>-1.4117834455552356</v>
      </c>
      <c r="AJ274" s="267" t="b">
        <f t="shared" si="118"/>
        <v>0</v>
      </c>
      <c r="AK274" s="267" t="b">
        <f t="shared" si="119"/>
        <v>0</v>
      </c>
      <c r="AL274" s="267"/>
      <c r="AM274" s="267"/>
      <c r="AN274" s="75"/>
    </row>
    <row r="275" spans="1:40" s="6" customFormat="1" ht="11.25" x14ac:dyDescent="0.2">
      <c r="A275" s="56">
        <f t="shared" si="120"/>
        <v>43726</v>
      </c>
      <c r="B275" s="620">
        <v>25.167999999999999</v>
      </c>
      <c r="C275" s="392"/>
      <c r="D275" s="395">
        <f t="shared" si="99"/>
        <v>25.411061503884035</v>
      </c>
      <c r="E275" s="387">
        <f t="shared" si="97"/>
        <v>27.659919895402741</v>
      </c>
      <c r="F275" s="387">
        <f t="shared" si="100"/>
        <v>27.699248244748286</v>
      </c>
      <c r="G275" s="110">
        <f t="shared" si="98"/>
        <v>0.61224769819911529</v>
      </c>
      <c r="H275" s="416" t="b">
        <f>Wh_hp&gt;='2018'!Maxi_hp</f>
        <v>1</v>
      </c>
      <c r="I275" s="392">
        <f>IF(H275,Wh_hp,'2018'!Maxi_hp)</f>
        <v>27.699248244748286</v>
      </c>
      <c r="J275" s="85">
        <f>IF(H275,An,'2018'!An_max)</f>
        <v>2019</v>
      </c>
      <c r="K275" s="199">
        <f t="shared" si="101"/>
        <v>43726</v>
      </c>
      <c r="L275" s="147">
        <f>IF(t&lt;Tvie,1-EXP((T0-t)*PertePVj)+'2018'!Pspv,1-EXP((T0-t)*PertePVj)+Pspv)</f>
        <v>9.5651849824094359E-3</v>
      </c>
      <c r="M275" s="872"/>
      <c r="N275" s="872"/>
      <c r="O275" s="48">
        <f>IF(t&lt;Tnet,'2018'!Resal+('2018'!Salim-'2018'!Resal)*(1-EXP(('2018'!Tnet-t)/('2018'!Tau_j))),Resal+(Salim-Resal)*(1-EXP((Tnet-t)/(Tau_j))))*Salcycl</f>
        <v>8.1303864943313861E-2</v>
      </c>
      <c r="P275" s="171">
        <f>(INDEX(Models!$BJ275:$BT275,,T275)*(1-R275)+INDEX(Models!$BJ275:$BT275,,T275+1)*R275-ERP_i)*Q275*Ramure*Pc/MaxiM</f>
        <v>3.1720661572995548E-3</v>
      </c>
      <c r="Q275" s="307">
        <f t="shared" si="102"/>
        <v>0.9</v>
      </c>
      <c r="R275" s="179">
        <f t="shared" si="103"/>
        <v>0.58868363421856529</v>
      </c>
      <c r="S275" s="839">
        <f t="shared" si="104"/>
        <v>-2</v>
      </c>
      <c r="T275" s="178">
        <f t="shared" si="105"/>
        <v>4</v>
      </c>
      <c r="U275" s="253">
        <f t="shared" si="106"/>
        <v>-1.4113163657814347</v>
      </c>
      <c r="V275" s="385">
        <f t="shared" si="107"/>
        <v>41.035412962022249</v>
      </c>
      <c r="W275" s="58"/>
      <c r="X275" s="157">
        <f t="shared" si="108"/>
        <v>43726</v>
      </c>
      <c r="Y275" s="387">
        <f t="shared" si="109"/>
        <v>25.167999999999999</v>
      </c>
      <c r="Z275" s="387">
        <f t="shared" si="110"/>
        <v>25.411061503884035</v>
      </c>
      <c r="AA275" s="388">
        <f t="shared" si="111"/>
        <v>27.659919895402741</v>
      </c>
      <c r="AB275" s="199">
        <f t="shared" si="112"/>
        <v>43726</v>
      </c>
      <c r="AC275" s="428">
        <f>IF(OR(t&lt;Tnet,NoTnet),'2018'!Resal_s+('2018'!Salim-'2018'!Resal_s)*(1-EXP(('2018'!Tnet_s-t)/'2018'!Tau_j)),Resal_s+(Salim-Resal_s)*(1-EXP((Tnet_s-t)/Tau_j)))*Salcycl</f>
        <v>8.1303864943313861E-2</v>
      </c>
      <c r="AD275" s="233">
        <f>(INDEX(Models!$BJ275:$BT275,,AH275)*(1-AF275)+INDEX(Models!$BJ275:$BT275,,AH275+1)*AF275-ERP_i)*AE275*Ramure*Pc/MaxiM</f>
        <v>3.1720661572995548E-3</v>
      </c>
      <c r="AE275" s="307">
        <f t="shared" si="113"/>
        <v>0.9</v>
      </c>
      <c r="AF275" s="179">
        <f t="shared" si="114"/>
        <v>0.58868363421856529</v>
      </c>
      <c r="AG275" s="178">
        <f t="shared" si="115"/>
        <v>-2</v>
      </c>
      <c r="AH275" s="178">
        <f t="shared" si="116"/>
        <v>4</v>
      </c>
      <c r="AI275" s="227">
        <f t="shared" si="117"/>
        <v>-1.4113163657814347</v>
      </c>
      <c r="AJ275" s="267" t="b">
        <f t="shared" si="118"/>
        <v>0</v>
      </c>
      <c r="AK275" s="267" t="b">
        <f t="shared" si="119"/>
        <v>0</v>
      </c>
      <c r="AL275" s="267"/>
      <c r="AM275" s="267"/>
      <c r="AN275" s="75"/>
    </row>
    <row r="276" spans="1:40" s="6" customFormat="1" ht="11.25" x14ac:dyDescent="0.2">
      <c r="A276" s="56">
        <f t="shared" si="120"/>
        <v>43727</v>
      </c>
      <c r="B276" s="620">
        <v>36.893000000000001</v>
      </c>
      <c r="C276" s="392"/>
      <c r="D276" s="395">
        <f t="shared" si="99"/>
        <v>37.250163276350726</v>
      </c>
      <c r="E276" s="387">
        <f t="shared" si="97"/>
        <v>40.552511204024739</v>
      </c>
      <c r="F276" s="387">
        <f t="shared" si="100"/>
        <v>40.666457586366796</v>
      </c>
      <c r="G276" s="110">
        <f t="shared" si="98"/>
        <v>0.90762153489870501</v>
      </c>
      <c r="H276" s="416" t="b">
        <f>Wh_hp&gt;='2018'!Maxi_hp</f>
        <v>1</v>
      </c>
      <c r="I276" s="392">
        <f>IF(H276,Wh_hp,'2018'!Maxi_hp)</f>
        <v>40.666457586366796</v>
      </c>
      <c r="J276" s="85">
        <f>IF(H276,An,'2018'!An_max)</f>
        <v>2019</v>
      </c>
      <c r="K276" s="199">
        <f t="shared" si="101"/>
        <v>43727</v>
      </c>
      <c r="L276" s="147">
        <f>IF(t&lt;Tvie,1-EXP((T0-t)*PertePVj)+'2018'!Pspv,1-EXP((T0-t)*PertePVj)+Pspv)</f>
        <v>9.5882338474869711E-3</v>
      </c>
      <c r="M276" s="872"/>
      <c r="N276" s="872"/>
      <c r="O276" s="48">
        <f>IF(t&lt;Tnet,'2018'!Resal+('2018'!Salim-'2018'!Resal)*(1-EXP(('2018'!Tnet-t)/('2018'!Tau_j))),Resal+(Salim-Resal)*(1-EXP((Tnet-t)/(Tau_j))))*Salcycl</f>
        <v>8.1433870052078541E-2</v>
      </c>
      <c r="P276" s="171">
        <f>(INDEX(Models!$BJ276:$BT276,,T276)*(1-R276)+INDEX(Models!$BJ276:$BT276,,T276+1)*R276-ERP_i)*Q276*Ramure*Pc/MaxiM</f>
        <v>3.2259175190876856E-3</v>
      </c>
      <c r="Q276" s="307">
        <f t="shared" si="102"/>
        <v>0.9</v>
      </c>
      <c r="R276" s="179">
        <f t="shared" si="103"/>
        <v>0.58913250357553149</v>
      </c>
      <c r="S276" s="839">
        <f t="shared" si="104"/>
        <v>-2</v>
      </c>
      <c r="T276" s="178">
        <f t="shared" si="105"/>
        <v>4</v>
      </c>
      <c r="U276" s="253">
        <f t="shared" si="106"/>
        <v>-1.4108674964244685</v>
      </c>
      <c r="V276" s="385">
        <f t="shared" si="107"/>
        <v>40.630718983014567</v>
      </c>
      <c r="W276" s="58"/>
      <c r="X276" s="157">
        <f t="shared" si="108"/>
        <v>43727</v>
      </c>
      <c r="Y276" s="387">
        <f t="shared" si="109"/>
        <v>36.893000000000001</v>
      </c>
      <c r="Z276" s="387">
        <f t="shared" si="110"/>
        <v>37.250163276350726</v>
      </c>
      <c r="AA276" s="388">
        <f t="shared" si="111"/>
        <v>40.552511204024739</v>
      </c>
      <c r="AB276" s="199">
        <f t="shared" si="112"/>
        <v>43727</v>
      </c>
      <c r="AC276" s="428">
        <f>IF(OR(t&lt;Tnet,NoTnet),'2018'!Resal_s+('2018'!Salim-'2018'!Resal_s)*(1-EXP(('2018'!Tnet_s-t)/'2018'!Tau_j)),Resal_s+(Salim-Resal_s)*(1-EXP((Tnet_s-t)/Tau_j)))*Salcycl</f>
        <v>8.1433870052078541E-2</v>
      </c>
      <c r="AD276" s="233">
        <f>(INDEX(Models!$BJ276:$BT276,,AH276)*(1-AF276)+INDEX(Models!$BJ276:$BT276,,AH276+1)*AF276-ERP_i)*AE276*Ramure*Pc/MaxiM</f>
        <v>3.2259175190876856E-3</v>
      </c>
      <c r="AE276" s="307">
        <f t="shared" si="113"/>
        <v>0.9</v>
      </c>
      <c r="AF276" s="179">
        <f t="shared" si="114"/>
        <v>0.58913250357553149</v>
      </c>
      <c r="AG276" s="178">
        <f t="shared" si="115"/>
        <v>-2</v>
      </c>
      <c r="AH276" s="178">
        <f t="shared" si="116"/>
        <v>4</v>
      </c>
      <c r="AI276" s="227">
        <f t="shared" si="117"/>
        <v>-1.4108674964244685</v>
      </c>
      <c r="AJ276" s="267" t="b">
        <f t="shared" si="118"/>
        <v>0</v>
      </c>
      <c r="AK276" s="267" t="b">
        <f t="shared" si="119"/>
        <v>0</v>
      </c>
      <c r="AL276" s="267"/>
      <c r="AM276" s="267"/>
      <c r="AN276" s="75"/>
    </row>
    <row r="277" spans="1:40" s="6" customFormat="1" ht="11.25" customHeight="1" x14ac:dyDescent="0.2">
      <c r="A277" s="56">
        <f t="shared" si="120"/>
        <v>43728</v>
      </c>
      <c r="B277" s="620">
        <v>37.710999999999999</v>
      </c>
      <c r="C277" s="392"/>
      <c r="D277" s="395">
        <f t="shared" si="99"/>
        <v>38.076968488557178</v>
      </c>
      <c r="E277" s="387">
        <f t="shared" si="97"/>
        <v>41.458422298056313</v>
      </c>
      <c r="F277" s="387">
        <f t="shared" si="100"/>
        <v>41.582562140317762</v>
      </c>
      <c r="G277" s="110">
        <f t="shared" si="98"/>
        <v>0.93734048736584352</v>
      </c>
      <c r="H277" s="416" t="b">
        <f>Wh_hp&gt;='2018'!Maxi_hp</f>
        <v>1</v>
      </c>
      <c r="I277" s="392">
        <f>IF(H277,Wh_hp,'2018'!Maxi_hp)</f>
        <v>41.582562140317762</v>
      </c>
      <c r="J277" s="85">
        <f>IF(H277,An,'2018'!An_max)</f>
        <v>2019</v>
      </c>
      <c r="K277" s="199">
        <f t="shared" si="101"/>
        <v>43728</v>
      </c>
      <c r="L277" s="147">
        <f>IF(t&lt;Tvie,1-EXP((T0-t)*PertePVj)+'2018'!Pspv,1-EXP((T0-t)*PertePVj)+Pspv)</f>
        <v>9.6112821761837886E-3</v>
      </c>
      <c r="M277" s="872"/>
      <c r="N277" s="872"/>
      <c r="O277" s="48">
        <f>IF(t&lt;Tnet,'2018'!Resal+('2018'!Salim-'2018'!Resal)*(1-EXP(('2018'!Tnet-t)/('2018'!Tau_j))),Resal+(Salim-Resal)*(1-EXP((Tnet-t)/(Tau_j))))*Salcycl</f>
        <v>8.1562529929115626E-2</v>
      </c>
      <c r="P277" s="171">
        <f>(INDEX(Models!$BJ277:$BT277,,T277)*(1-R277)+INDEX(Models!$BJ277:$BT277,,T277+1)*R277-ERP_i)*Q277*Ramure*Pc/MaxiM</f>
        <v>3.277474622654479E-3</v>
      </c>
      <c r="Q277" s="307">
        <f t="shared" si="102"/>
        <v>0.9</v>
      </c>
      <c r="R277" s="179">
        <f t="shared" si="103"/>
        <v>0.58956384979861376</v>
      </c>
      <c r="S277" s="839">
        <f t="shared" si="104"/>
        <v>-2</v>
      </c>
      <c r="T277" s="178">
        <f t="shared" si="105"/>
        <v>4</v>
      </c>
      <c r="U277" s="253">
        <f t="shared" si="106"/>
        <v>-1.4104361502013862</v>
      </c>
      <c r="V277" s="385">
        <f t="shared" si="107"/>
        <v>40.220125375297279</v>
      </c>
      <c r="W277" s="58"/>
      <c r="X277" s="157">
        <f t="shared" si="108"/>
        <v>43728</v>
      </c>
      <c r="Y277" s="387">
        <f t="shared" si="109"/>
        <v>37.710999999999999</v>
      </c>
      <c r="Z277" s="387">
        <f t="shared" si="110"/>
        <v>38.076968488557178</v>
      </c>
      <c r="AA277" s="388">
        <f t="shared" si="111"/>
        <v>41.458422298056313</v>
      </c>
      <c r="AB277" s="199">
        <f t="shared" si="112"/>
        <v>43728</v>
      </c>
      <c r="AC277" s="428">
        <f>IF(OR(t&lt;Tnet,NoTnet),'2018'!Resal_s+('2018'!Salim-'2018'!Resal_s)*(1-EXP(('2018'!Tnet_s-t)/'2018'!Tau_j)),Resal_s+(Salim-Resal_s)*(1-EXP((Tnet_s-t)/Tau_j)))*Salcycl</f>
        <v>8.1562529929115626E-2</v>
      </c>
      <c r="AD277" s="233">
        <f>(INDEX(Models!$BJ277:$BT277,,AH277)*(1-AF277)+INDEX(Models!$BJ277:$BT277,,AH277+1)*AF277-ERP_i)*AE277*Ramure*Pc/MaxiM</f>
        <v>3.277474622654479E-3</v>
      </c>
      <c r="AE277" s="307">
        <f t="shared" si="113"/>
        <v>0.9</v>
      </c>
      <c r="AF277" s="179">
        <f t="shared" si="114"/>
        <v>0.58956384979861376</v>
      </c>
      <c r="AG277" s="178">
        <f t="shared" si="115"/>
        <v>-2</v>
      </c>
      <c r="AH277" s="178">
        <f t="shared" si="116"/>
        <v>4</v>
      </c>
      <c r="AI277" s="227">
        <f t="shared" si="117"/>
        <v>-1.4104361502013862</v>
      </c>
      <c r="AJ277" s="267" t="b">
        <f t="shared" si="118"/>
        <v>0</v>
      </c>
      <c r="AK277" s="267" t="b">
        <f t="shared" si="119"/>
        <v>0</v>
      </c>
      <c r="AL277" s="267"/>
      <c r="AM277" s="267"/>
      <c r="AN277" s="75"/>
    </row>
    <row r="278" spans="1:40" s="6" customFormat="1" ht="11.25" x14ac:dyDescent="0.2">
      <c r="A278" s="56">
        <f t="shared" si="120"/>
        <v>43729</v>
      </c>
      <c r="B278" s="620">
        <v>30.489000000000001</v>
      </c>
      <c r="C278" s="392"/>
      <c r="D278" s="395">
        <f t="shared" si="99"/>
        <v>30.785598615338351</v>
      </c>
      <c r="E278" s="387">
        <f t="shared" si="97"/>
        <v>33.52418241112526</v>
      </c>
      <c r="F278" s="387">
        <f t="shared" si="100"/>
        <v>33.598583746023721</v>
      </c>
      <c r="G278" s="110">
        <f t="shared" si="98"/>
        <v>0.76511388180940398</v>
      </c>
      <c r="H278" s="416" t="b">
        <f>Wh_hp&gt;='2018'!Maxi_hp</f>
        <v>1</v>
      </c>
      <c r="I278" s="392">
        <f>IF(H278,Wh_hp,'2018'!Maxi_hp)</f>
        <v>33.598583746023721</v>
      </c>
      <c r="J278" s="85">
        <f>IF(H278,An,'2018'!An_max)</f>
        <v>2019</v>
      </c>
      <c r="K278" s="199">
        <f t="shared" si="101"/>
        <v>43729</v>
      </c>
      <c r="L278" s="147">
        <f>IF(t&lt;Tvie,1-EXP((T0-t)*PertePVj)+'2018'!Pspv,1-EXP((T0-t)*PertePVj)+Pspv)</f>
        <v>9.634329968512434E-3</v>
      </c>
      <c r="M278" s="872"/>
      <c r="N278" s="872"/>
      <c r="O278" s="48">
        <f>IF(t&lt;Tnet,'2018'!Resal+('2018'!Salim-'2018'!Resal)*(1-EXP(('2018'!Tnet-t)/('2018'!Tau_j))),Resal+(Salim-Resal)*(1-EXP((Tnet-t)/(Tau_j))))*Salcycl</f>
        <v>8.1689801177018059E-2</v>
      </c>
      <c r="P278" s="171">
        <f>(INDEX(Models!$BJ278:$BT278,,T278)*(1-R278)+INDEX(Models!$BJ278:$BT278,,T278+1)*R278-ERP_i)*Q278*Ramure*Pc/MaxiM</f>
        <v>3.3266108967926456E-3</v>
      </c>
      <c r="Q278" s="307">
        <f t="shared" si="102"/>
        <v>0.9</v>
      </c>
      <c r="R278" s="179">
        <f t="shared" si="103"/>
        <v>0.58997833600023641</v>
      </c>
      <c r="S278" s="839">
        <f t="shared" si="104"/>
        <v>-2</v>
      </c>
      <c r="T278" s="178">
        <f t="shared" si="105"/>
        <v>4</v>
      </c>
      <c r="U278" s="253">
        <f t="shared" si="106"/>
        <v>-1.4100216639997636</v>
      </c>
      <c r="V278" s="385">
        <f t="shared" si="107"/>
        <v>39.804551769248597</v>
      </c>
      <c r="W278" s="58"/>
      <c r="X278" s="157">
        <f t="shared" si="108"/>
        <v>43729</v>
      </c>
      <c r="Y278" s="387">
        <f t="shared" si="109"/>
        <v>30.489000000000001</v>
      </c>
      <c r="Z278" s="387">
        <f t="shared" si="110"/>
        <v>30.785598615338351</v>
      </c>
      <c r="AA278" s="388">
        <f t="shared" si="111"/>
        <v>33.52418241112526</v>
      </c>
      <c r="AB278" s="199">
        <f t="shared" si="112"/>
        <v>43729</v>
      </c>
      <c r="AC278" s="428">
        <f>IF(OR(t&lt;Tnet,NoTnet),'2018'!Resal_s+('2018'!Salim-'2018'!Resal_s)*(1-EXP(('2018'!Tnet_s-t)/'2018'!Tau_j)),Resal_s+(Salim-Resal_s)*(1-EXP((Tnet_s-t)/Tau_j)))*Salcycl</f>
        <v>8.1689801177018059E-2</v>
      </c>
      <c r="AD278" s="233">
        <f>(INDEX(Models!$BJ278:$BT278,,AH278)*(1-AF278)+INDEX(Models!$BJ278:$BT278,,AH278+1)*AF278-ERP_i)*AE278*Ramure*Pc/MaxiM</f>
        <v>3.3266108967926456E-3</v>
      </c>
      <c r="AE278" s="307">
        <f t="shared" si="113"/>
        <v>0.9</v>
      </c>
      <c r="AF278" s="179">
        <f t="shared" si="114"/>
        <v>0.58997833600023641</v>
      </c>
      <c r="AG278" s="178">
        <f t="shared" si="115"/>
        <v>-2</v>
      </c>
      <c r="AH278" s="178">
        <f t="shared" si="116"/>
        <v>4</v>
      </c>
      <c r="AI278" s="227">
        <f t="shared" si="117"/>
        <v>-1.4100216639997636</v>
      </c>
      <c r="AJ278" s="267" t="b">
        <f t="shared" si="118"/>
        <v>0</v>
      </c>
      <c r="AK278" s="267" t="b">
        <f t="shared" si="119"/>
        <v>0</v>
      </c>
      <c r="AL278" s="267"/>
      <c r="AM278" s="267"/>
      <c r="AN278" s="75"/>
    </row>
    <row r="279" spans="1:40" s="6" customFormat="1" ht="11.25" x14ac:dyDescent="0.2">
      <c r="A279" s="56">
        <f t="shared" si="120"/>
        <v>43730</v>
      </c>
      <c r="B279" s="620">
        <v>11.411</v>
      </c>
      <c r="C279" s="392"/>
      <c r="D279" s="395">
        <f t="shared" si="99"/>
        <v>11.522274955731739</v>
      </c>
      <c r="E279" s="387">
        <f t="shared" si="97"/>
        <v>12.54897758773957</v>
      </c>
      <c r="F279" s="387">
        <f t="shared" si="100"/>
        <v>12.54897758773957</v>
      </c>
      <c r="G279" s="110">
        <f t="shared" si="98"/>
        <v>0.28875288790466697</v>
      </c>
      <c r="H279" s="416" t="b">
        <f>Wh_hp&gt;='2018'!Maxi_hp</f>
        <v>1</v>
      </c>
      <c r="I279" s="392">
        <f>IF(H279,Wh_hp,'2018'!Maxi_hp)</f>
        <v>12.54897758773957</v>
      </c>
      <c r="J279" s="85">
        <f>IF(H279,An,'2018'!An_max)</f>
        <v>2019</v>
      </c>
      <c r="K279" s="199">
        <f t="shared" si="101"/>
        <v>43730</v>
      </c>
      <c r="L279" s="147">
        <f>IF(t&lt;Tvie,1-EXP((T0-t)*PertePVj)+'2018'!Pspv,1-EXP((T0-t)*PertePVj)+Pspv)</f>
        <v>9.6573772244851197E-3</v>
      </c>
      <c r="M279" s="872"/>
      <c r="N279" s="872"/>
      <c r="O279" s="48">
        <f>IF(t&lt;Tnet,'2018'!Resal+('2018'!Salim-'2018'!Resal)*(1-EXP(('2018'!Tnet-t)/('2018'!Tau_j))),Resal+(Salim-Resal)*(1-EXP((Tnet-t)/(Tau_j))))*Salcycl</f>
        <v>8.1815639945912913E-2</v>
      </c>
      <c r="P279" s="171">
        <f>(INDEX(Models!$BJ279:$BT279,,T279)*(1-R279)+INDEX(Models!$BJ279:$BT279,,T279+1)*R279-ERP_i)*Q279*Ramure*Pc/MaxiM</f>
        <v>3.3731881189403784E-3</v>
      </c>
      <c r="Q279" s="307">
        <f t="shared" si="102"/>
        <v>0.9</v>
      </c>
      <c r="R279" s="179">
        <f t="shared" si="103"/>
        <v>0.59037660183297058</v>
      </c>
      <c r="S279" s="839">
        <f t="shared" si="104"/>
        <v>-2</v>
      </c>
      <c r="T279" s="178">
        <f t="shared" si="105"/>
        <v>4</v>
      </c>
      <c r="U279" s="253">
        <f t="shared" si="106"/>
        <v>-1.4096233981670294</v>
      </c>
      <c r="V279" s="385">
        <f t="shared" si="107"/>
        <v>39.384917092602223</v>
      </c>
      <c r="W279" s="58"/>
      <c r="X279" s="157">
        <f t="shared" si="108"/>
        <v>43730</v>
      </c>
      <c r="Y279" s="387">
        <f t="shared" si="109"/>
        <v>11.411</v>
      </c>
      <c r="Z279" s="387">
        <f t="shared" si="110"/>
        <v>11.522274955731739</v>
      </c>
      <c r="AA279" s="388">
        <f t="shared" si="111"/>
        <v>12.54897758773957</v>
      </c>
      <c r="AB279" s="199">
        <f t="shared" si="112"/>
        <v>43730</v>
      </c>
      <c r="AC279" s="428">
        <f>IF(OR(t&lt;Tnet,NoTnet),'2018'!Resal_s+('2018'!Salim-'2018'!Resal_s)*(1-EXP(('2018'!Tnet_s-t)/'2018'!Tau_j)),Resal_s+(Salim-Resal_s)*(1-EXP((Tnet_s-t)/Tau_j)))*Salcycl</f>
        <v>8.1815639945912913E-2</v>
      </c>
      <c r="AD279" s="233">
        <f>(INDEX(Models!$BJ279:$BT279,,AH279)*(1-AF279)+INDEX(Models!$BJ279:$BT279,,AH279+1)*AF279-ERP_i)*AE279*Ramure*Pc/MaxiM</f>
        <v>3.3731881189403784E-3</v>
      </c>
      <c r="AE279" s="307">
        <f t="shared" si="113"/>
        <v>0.9</v>
      </c>
      <c r="AF279" s="179">
        <f t="shared" si="114"/>
        <v>0.59037660183297058</v>
      </c>
      <c r="AG279" s="178">
        <f t="shared" si="115"/>
        <v>-2</v>
      </c>
      <c r="AH279" s="178">
        <f t="shared" si="116"/>
        <v>4</v>
      </c>
      <c r="AI279" s="227">
        <f t="shared" si="117"/>
        <v>-1.4096233981670294</v>
      </c>
      <c r="AJ279" s="267" t="b">
        <f t="shared" si="118"/>
        <v>0</v>
      </c>
      <c r="AK279" s="267" t="b">
        <f t="shared" si="119"/>
        <v>0</v>
      </c>
      <c r="AL279" s="267"/>
      <c r="AM279" s="267"/>
      <c r="AN279" s="75"/>
    </row>
    <row r="280" spans="1:40" s="6" customFormat="1" ht="11.25" x14ac:dyDescent="0.2">
      <c r="A280" s="56">
        <f t="shared" si="120"/>
        <v>43731</v>
      </c>
      <c r="B280" s="620">
        <v>35.387999999999998</v>
      </c>
      <c r="C280" s="392"/>
      <c r="D280" s="395">
        <f t="shared" si="99"/>
        <v>35.733919489846571</v>
      </c>
      <c r="E280" s="387">
        <f t="shared" si="97"/>
        <v>38.923294308403392</v>
      </c>
      <c r="F280" s="387">
        <f t="shared" si="100"/>
        <v>39.039212402737128</v>
      </c>
      <c r="G280" s="110">
        <f t="shared" si="98"/>
        <v>0.90785842524832006</v>
      </c>
      <c r="H280" s="416" t="b">
        <f>Wh_hp&gt;='2018'!Maxi_hp</f>
        <v>1</v>
      </c>
      <c r="I280" s="392">
        <f>IF(H280,Wh_hp,'2018'!Maxi_hp)</f>
        <v>39.039212402737128</v>
      </c>
      <c r="J280" s="85">
        <f>IF(H280,An,'2018'!An_max)</f>
        <v>2019</v>
      </c>
      <c r="K280" s="199">
        <f t="shared" si="101"/>
        <v>43731</v>
      </c>
      <c r="L280" s="147">
        <f>IF(t&lt;Tvie,1-EXP((T0-t)*PertePVj)+'2018'!Pspv,1-EXP((T0-t)*PertePVj)+Pspv)</f>
        <v>9.6804239441146134E-3</v>
      </c>
      <c r="M280" s="872"/>
      <c r="N280" s="872"/>
      <c r="O280" s="48">
        <f>IF(t&lt;Tnet,'2018'!Resal+('2018'!Salim-'2018'!Resal)*(1-EXP(('2018'!Tnet-t)/('2018'!Tau_j))),Resal+(Salim-Resal)*(1-EXP((Tnet-t)/(Tau_j))))*Salcycl</f>
        <v>8.1940002130504355E-2</v>
      </c>
      <c r="P280" s="171">
        <f>(INDEX(Models!$BJ280:$BT280,,T280)*(1-R280)+INDEX(Models!$BJ280:$BT280,,T280+1)*R280-ERP_i)*Q280*Ramure*Pc/MaxiM</f>
        <v>3.4170743426579333E-3</v>
      </c>
      <c r="Q280" s="307">
        <f t="shared" si="102"/>
        <v>0.9</v>
      </c>
      <c r="R280" s="179">
        <f t="shared" si="103"/>
        <v>0.59075926419076197</v>
      </c>
      <c r="S280" s="839">
        <f t="shared" si="104"/>
        <v>-2</v>
      </c>
      <c r="T280" s="178">
        <f t="shared" si="105"/>
        <v>4</v>
      </c>
      <c r="U280" s="253">
        <f t="shared" si="106"/>
        <v>-1.409240735809238</v>
      </c>
      <c r="V280" s="385">
        <f t="shared" si="107"/>
        <v>38.962138856021539</v>
      </c>
      <c r="W280" s="58"/>
      <c r="X280" s="157">
        <f t="shared" si="108"/>
        <v>43731</v>
      </c>
      <c r="Y280" s="387">
        <f t="shared" si="109"/>
        <v>35.387999999999998</v>
      </c>
      <c r="Z280" s="387">
        <f t="shared" si="110"/>
        <v>35.733919489846571</v>
      </c>
      <c r="AA280" s="388">
        <f t="shared" si="111"/>
        <v>38.923294308403392</v>
      </c>
      <c r="AB280" s="199">
        <f t="shared" si="112"/>
        <v>43731</v>
      </c>
      <c r="AC280" s="428">
        <f>IF(OR(t&lt;Tnet,NoTnet),'2018'!Resal_s+('2018'!Salim-'2018'!Resal_s)*(1-EXP(('2018'!Tnet_s-t)/'2018'!Tau_j)),Resal_s+(Salim-Resal_s)*(1-EXP((Tnet_s-t)/Tau_j)))*Salcycl</f>
        <v>8.1940002130504355E-2</v>
      </c>
      <c r="AD280" s="233">
        <f>(INDEX(Models!$BJ280:$BT280,,AH280)*(1-AF280)+INDEX(Models!$BJ280:$BT280,,AH280+1)*AF280-ERP_i)*AE280*Ramure*Pc/MaxiM</f>
        <v>3.4170743426579333E-3</v>
      </c>
      <c r="AE280" s="307">
        <f t="shared" si="113"/>
        <v>0.9</v>
      </c>
      <c r="AF280" s="179">
        <f t="shared" si="114"/>
        <v>0.59075926419076197</v>
      </c>
      <c r="AG280" s="178">
        <f t="shared" si="115"/>
        <v>-2</v>
      </c>
      <c r="AH280" s="178">
        <f t="shared" si="116"/>
        <v>4</v>
      </c>
      <c r="AI280" s="227">
        <f t="shared" si="117"/>
        <v>-1.409240735809238</v>
      </c>
      <c r="AJ280" s="267" t="b">
        <f t="shared" si="118"/>
        <v>0</v>
      </c>
      <c r="AK280" s="267" t="b">
        <f t="shared" si="119"/>
        <v>0</v>
      </c>
      <c r="AL280" s="267"/>
      <c r="AM280" s="267"/>
      <c r="AN280" s="75"/>
    </row>
    <row r="281" spans="1:40" s="6" customFormat="1" ht="11.25" x14ac:dyDescent="0.2">
      <c r="A281" s="56">
        <f t="shared" si="120"/>
        <v>43732</v>
      </c>
      <c r="B281" s="620">
        <v>26.093</v>
      </c>
      <c r="C281" s="392"/>
      <c r="D281" s="395">
        <f t="shared" si="99"/>
        <v>26.34867356685292</v>
      </c>
      <c r="E281" s="387">
        <f t="shared" si="97"/>
        <v>28.704223794393346</v>
      </c>
      <c r="F281" s="387">
        <f t="shared" si="100"/>
        <v>28.757795940396935</v>
      </c>
      <c r="G281" s="110">
        <f t="shared" si="98"/>
        <v>0.67600505727376958</v>
      </c>
      <c r="H281" s="416" t="b">
        <f>Wh_hp&gt;='2018'!Maxi_hp</f>
        <v>1</v>
      </c>
      <c r="I281" s="392">
        <f>IF(H281,Wh_hp,'2018'!Maxi_hp)</f>
        <v>28.757795940396935</v>
      </c>
      <c r="J281" s="85">
        <f>IF(H281,An,'2018'!An_max)</f>
        <v>2019</v>
      </c>
      <c r="K281" s="199">
        <f t="shared" si="101"/>
        <v>43732</v>
      </c>
      <c r="L281" s="147">
        <f>IF(t&lt;Tvie,1-EXP((T0-t)*PertePVj)+'2018'!Pspv,1-EXP((T0-t)*PertePVj)+Pspv)</f>
        <v>9.7034701274132384E-3</v>
      </c>
      <c r="M281" s="872"/>
      <c r="N281" s="872"/>
      <c r="O281" s="48">
        <f>IF(t&lt;Tnet,'2018'!Resal+('2018'!Salim-'2018'!Resal)*(1-EXP(('2018'!Tnet-t)/('2018'!Tau_j))),Resal+(Salim-Resal)*(1-EXP((Tnet-t)/(Tau_j))))*Salcycl</f>
        <v>8.2062843587518502E-2</v>
      </c>
      <c r="P281" s="171">
        <f>(INDEX(Models!$BJ281:$BT281,,T281)*(1-R281)+INDEX(Models!$BJ281:$BT281,,T281+1)*R281-ERP_i)*Q281*Ramure*Pc/MaxiM</f>
        <v>3.4581171724587982E-3</v>
      </c>
      <c r="Q281" s="307">
        <f t="shared" si="102"/>
        <v>0.9</v>
      </c>
      <c r="R281" s="179">
        <f t="shared" si="103"/>
        <v>0.59112691789975247</v>
      </c>
      <c r="S281" s="839">
        <f t="shared" si="104"/>
        <v>-2</v>
      </c>
      <c r="T281" s="178">
        <f t="shared" si="105"/>
        <v>4</v>
      </c>
      <c r="U281" s="253">
        <f t="shared" si="106"/>
        <v>-1.4088730821002475</v>
      </c>
      <c r="V281" s="385">
        <f t="shared" si="107"/>
        <v>38.537134226124245</v>
      </c>
      <c r="W281" s="58"/>
      <c r="X281" s="157">
        <f t="shared" si="108"/>
        <v>43732</v>
      </c>
      <c r="Y281" s="387">
        <f t="shared" si="109"/>
        <v>26.093</v>
      </c>
      <c r="Z281" s="387">
        <f t="shared" si="110"/>
        <v>26.34867356685292</v>
      </c>
      <c r="AA281" s="388">
        <f t="shared" si="111"/>
        <v>28.704223794393346</v>
      </c>
      <c r="AB281" s="199">
        <f t="shared" si="112"/>
        <v>43732</v>
      </c>
      <c r="AC281" s="428">
        <f>IF(OR(t&lt;Tnet,NoTnet),'2018'!Resal_s+('2018'!Salim-'2018'!Resal_s)*(1-EXP(('2018'!Tnet_s-t)/'2018'!Tau_j)),Resal_s+(Salim-Resal_s)*(1-EXP((Tnet_s-t)/Tau_j)))*Salcycl</f>
        <v>8.2062843587518502E-2</v>
      </c>
      <c r="AD281" s="233">
        <f>(INDEX(Models!$BJ281:$BT281,,AH281)*(1-AF281)+INDEX(Models!$BJ281:$BT281,,AH281+1)*AF281-ERP_i)*AE281*Ramure*Pc/MaxiM</f>
        <v>3.4581171724587982E-3</v>
      </c>
      <c r="AE281" s="307">
        <f t="shared" si="113"/>
        <v>0.9</v>
      </c>
      <c r="AF281" s="179">
        <f t="shared" si="114"/>
        <v>0.59112691789975247</v>
      </c>
      <c r="AG281" s="178">
        <f t="shared" si="115"/>
        <v>-2</v>
      </c>
      <c r="AH281" s="178">
        <f t="shared" si="116"/>
        <v>4</v>
      </c>
      <c r="AI281" s="227">
        <f t="shared" si="117"/>
        <v>-1.4088730821002475</v>
      </c>
      <c r="AJ281" s="267" t="b">
        <f t="shared" si="118"/>
        <v>0</v>
      </c>
      <c r="AK281" s="267" t="b">
        <f t="shared" si="119"/>
        <v>0</v>
      </c>
      <c r="AL281" s="267"/>
      <c r="AM281" s="267"/>
      <c r="AN281" s="75"/>
    </row>
    <row r="282" spans="1:40" s="6" customFormat="1" ht="11.25" x14ac:dyDescent="0.2">
      <c r="A282" s="56">
        <f t="shared" si="120"/>
        <v>43733</v>
      </c>
      <c r="B282" s="620">
        <v>26.585000000000001</v>
      </c>
      <c r="C282" s="392"/>
      <c r="D282" s="395">
        <f t="shared" si="99"/>
        <v>26.846119201898514</v>
      </c>
      <c r="E282" s="387">
        <f t="shared" si="97"/>
        <v>29.250005145696935</v>
      </c>
      <c r="F282" s="387">
        <f t="shared" si="100"/>
        <v>29.30817561776492</v>
      </c>
      <c r="G282" s="110">
        <f t="shared" si="98"/>
        <v>0.69651455034968501</v>
      </c>
      <c r="H282" s="416" t="b">
        <f>Wh_hp&gt;='2018'!Maxi_hp</f>
        <v>1</v>
      </c>
      <c r="I282" s="392">
        <f>IF(H282,Wh_hp,'2018'!Maxi_hp)</f>
        <v>29.30817561776492</v>
      </c>
      <c r="J282" s="85">
        <f>IF(H282,An,'2018'!An_max)</f>
        <v>2019</v>
      </c>
      <c r="K282" s="199">
        <f t="shared" si="101"/>
        <v>43733</v>
      </c>
      <c r="L282" s="147">
        <f>IF(t&lt;Tvie,1-EXP((T0-t)*PertePVj)+'2018'!Pspv,1-EXP((T0-t)*PertePVj)+Pspv)</f>
        <v>9.7265157743934294E-3</v>
      </c>
      <c r="M282" s="872"/>
      <c r="N282" s="872"/>
      <c r="O282" s="48">
        <f>IF(t&lt;Tnet,'2018'!Resal+('2018'!Salim-'2018'!Resal)*(1-EXP(('2018'!Tnet-t)/('2018'!Tau_j))),Resal+(Salim-Resal)*(1-EXP((Tnet-t)/(Tau_j))))*Salcycl</f>
        <v>8.2184120372781014E-2</v>
      </c>
      <c r="P282" s="171">
        <f>(INDEX(Models!$BJ282:$BT282,,T282)*(1-R282)+INDEX(Models!$BJ282:$BT282,,T282+1)*R282-ERP_i)*Q282*Ramure*Pc/MaxiM</f>
        <v>3.4946074673055418E-3</v>
      </c>
      <c r="Q282" s="307">
        <f t="shared" si="102"/>
        <v>0.9</v>
      </c>
      <c r="R282" s="179">
        <f t="shared" si="103"/>
        <v>0.59148013639785813</v>
      </c>
      <c r="S282" s="839">
        <f t="shared" si="104"/>
        <v>-2</v>
      </c>
      <c r="T282" s="178">
        <f t="shared" si="105"/>
        <v>4</v>
      </c>
      <c r="U282" s="253">
        <f t="shared" si="106"/>
        <v>-1.4085198636021419</v>
      </c>
      <c r="V282" s="385">
        <f t="shared" si="107"/>
        <v>38.110878763381464</v>
      </c>
      <c r="W282" s="58"/>
      <c r="X282" s="157">
        <f t="shared" si="108"/>
        <v>43733</v>
      </c>
      <c r="Y282" s="387">
        <f t="shared" si="109"/>
        <v>26.585000000000001</v>
      </c>
      <c r="Z282" s="387">
        <f t="shared" si="110"/>
        <v>26.846119201898514</v>
      </c>
      <c r="AA282" s="388">
        <f t="shared" si="111"/>
        <v>29.250005145696935</v>
      </c>
      <c r="AB282" s="199">
        <f t="shared" si="112"/>
        <v>43733</v>
      </c>
      <c r="AC282" s="428">
        <f>IF(OR(t&lt;Tnet,NoTnet),'2018'!Resal_s+('2018'!Salim-'2018'!Resal_s)*(1-EXP(('2018'!Tnet_s-t)/'2018'!Tau_j)),Resal_s+(Salim-Resal_s)*(1-EXP((Tnet_s-t)/Tau_j)))*Salcycl</f>
        <v>8.2184120372781014E-2</v>
      </c>
      <c r="AD282" s="233">
        <f>(INDEX(Models!$BJ282:$BT282,,AH282)*(1-AF282)+INDEX(Models!$BJ282:$BT282,,AH282+1)*AF282-ERP_i)*AE282*Ramure*Pc/MaxiM</f>
        <v>3.4946074673055418E-3</v>
      </c>
      <c r="AE282" s="307">
        <f t="shared" si="113"/>
        <v>0.9</v>
      </c>
      <c r="AF282" s="179">
        <f t="shared" si="114"/>
        <v>0.59148013639785813</v>
      </c>
      <c r="AG282" s="178">
        <f t="shared" si="115"/>
        <v>-2</v>
      </c>
      <c r="AH282" s="178">
        <f t="shared" si="116"/>
        <v>4</v>
      </c>
      <c r="AI282" s="227">
        <f t="shared" si="117"/>
        <v>-1.4085198636021419</v>
      </c>
      <c r="AJ282" s="267" t="b">
        <f t="shared" si="118"/>
        <v>0</v>
      </c>
      <c r="AK282" s="267" t="b">
        <f t="shared" si="119"/>
        <v>0</v>
      </c>
      <c r="AL282" s="267"/>
      <c r="AM282" s="267"/>
      <c r="AN282" s="75"/>
    </row>
    <row r="283" spans="1:40" s="6" customFormat="1" ht="11.25" x14ac:dyDescent="0.2">
      <c r="A283" s="56">
        <f t="shared" si="120"/>
        <v>43734</v>
      </c>
      <c r="B283" s="620">
        <v>28.027999999999999</v>
      </c>
      <c r="C283" s="392"/>
      <c r="D283" s="395">
        <f t="shared" si="99"/>
        <v>28.303951094483651</v>
      </c>
      <c r="E283" s="387">
        <f t="shared" si="97"/>
        <v>30.842397249898035</v>
      </c>
      <c r="F283" s="387">
        <f t="shared" si="100"/>
        <v>30.911530000256754</v>
      </c>
      <c r="G283" s="110">
        <f t="shared" si="98"/>
        <v>0.74279675889200414</v>
      </c>
      <c r="H283" s="416" t="b">
        <f>Wh_hp&gt;='2018'!Maxi_hp</f>
        <v>1</v>
      </c>
      <c r="I283" s="392">
        <f>IF(H283,Wh_hp,'2018'!Maxi_hp)</f>
        <v>30.911530000256754</v>
      </c>
      <c r="J283" s="85">
        <f>IF(H283,An,'2018'!An_max)</f>
        <v>2019</v>
      </c>
      <c r="K283" s="199">
        <f t="shared" si="101"/>
        <v>43734</v>
      </c>
      <c r="L283" s="147">
        <f>IF(t&lt;Tvie,1-EXP((T0-t)*PertePVj)+'2018'!Pspv,1-EXP((T0-t)*PertePVj)+Pspv)</f>
        <v>9.7495608850678428E-3</v>
      </c>
      <c r="M283" s="872"/>
      <c r="N283" s="872"/>
      <c r="O283" s="48">
        <f>IF(t&lt;Tnet,'2018'!Resal+('2018'!Salim-'2018'!Resal)*(1-EXP(('2018'!Tnet-t)/('2018'!Tau_j))),Resal+(Salim-Resal)*(1-EXP((Tnet-t)/(Tau_j))))*Salcycl</f>
        <v>8.2303788996906671E-2</v>
      </c>
      <c r="P283" s="171">
        <f>(INDEX(Models!$BJ283:$BT283,,T283)*(1-R283)+INDEX(Models!$BJ283:$BT283,,T283+1)*R283-ERP_i)*Q283*Ramure*Pc/MaxiM</f>
        <v>3.5278799569448201E-3</v>
      </c>
      <c r="Q283" s="307">
        <f t="shared" si="102"/>
        <v>0.9</v>
      </c>
      <c r="R283" s="179">
        <f t="shared" si="103"/>
        <v>0.59181947240238708</v>
      </c>
      <c r="S283" s="839">
        <f t="shared" si="104"/>
        <v>-2</v>
      </c>
      <c r="T283" s="178">
        <f t="shared" si="105"/>
        <v>4</v>
      </c>
      <c r="U283" s="253">
        <f t="shared" si="106"/>
        <v>-1.4081805275976129</v>
      </c>
      <c r="V283" s="385">
        <f t="shared" si="107"/>
        <v>37.684229140492036</v>
      </c>
      <c r="W283" s="58"/>
      <c r="X283" s="157">
        <f t="shared" si="108"/>
        <v>43734</v>
      </c>
      <c r="Y283" s="387">
        <f t="shared" si="109"/>
        <v>28.027999999999999</v>
      </c>
      <c r="Z283" s="387">
        <f t="shared" si="110"/>
        <v>28.303951094483651</v>
      </c>
      <c r="AA283" s="388">
        <f t="shared" si="111"/>
        <v>30.842397249898035</v>
      </c>
      <c r="AB283" s="199">
        <f t="shared" si="112"/>
        <v>43734</v>
      </c>
      <c r="AC283" s="428">
        <f>IF(OR(t&lt;Tnet,NoTnet),'2018'!Resal_s+('2018'!Salim-'2018'!Resal_s)*(1-EXP(('2018'!Tnet_s-t)/'2018'!Tau_j)),Resal_s+(Salim-Resal_s)*(1-EXP((Tnet_s-t)/Tau_j)))*Salcycl</f>
        <v>8.2303788996906671E-2</v>
      </c>
      <c r="AD283" s="233">
        <f>(INDEX(Models!$BJ283:$BT283,,AH283)*(1-AF283)+INDEX(Models!$BJ283:$BT283,,AH283+1)*AF283-ERP_i)*AE283*Ramure*Pc/MaxiM</f>
        <v>3.5278799569448201E-3</v>
      </c>
      <c r="AE283" s="307">
        <f t="shared" si="113"/>
        <v>0.9</v>
      </c>
      <c r="AF283" s="179">
        <f t="shared" si="114"/>
        <v>0.59181947240238708</v>
      </c>
      <c r="AG283" s="178">
        <f t="shared" si="115"/>
        <v>-2</v>
      </c>
      <c r="AH283" s="178">
        <f t="shared" si="116"/>
        <v>4</v>
      </c>
      <c r="AI283" s="227">
        <f t="shared" si="117"/>
        <v>-1.4081805275976129</v>
      </c>
      <c r="AJ283" s="267" t="b">
        <f t="shared" si="118"/>
        <v>0</v>
      </c>
      <c r="AK283" s="267" t="b">
        <f t="shared" si="119"/>
        <v>0</v>
      </c>
      <c r="AL283" s="267"/>
      <c r="AM283" s="267"/>
      <c r="AN283" s="75"/>
    </row>
    <row r="284" spans="1:40" s="6" customFormat="1" ht="11.25" x14ac:dyDescent="0.2">
      <c r="A284" s="56">
        <f t="shared" si="120"/>
        <v>43735</v>
      </c>
      <c r="B284" s="620">
        <v>29.395</v>
      </c>
      <c r="C284" s="392"/>
      <c r="D284" s="395">
        <f t="shared" si="99"/>
        <v>29.685100777926653</v>
      </c>
      <c r="E284" s="387">
        <f t="shared" si="97"/>
        <v>32.351576132288642</v>
      </c>
      <c r="F284" s="387">
        <f t="shared" si="100"/>
        <v>32.432173480535852</v>
      </c>
      <c r="G284" s="110">
        <f t="shared" si="98"/>
        <v>0.78810757413043642</v>
      </c>
      <c r="H284" s="416" t="b">
        <f>Wh_hp&gt;='2018'!Maxi_hp</f>
        <v>1</v>
      </c>
      <c r="I284" s="392">
        <f>IF(H284,Wh_hp,'2018'!Maxi_hp)</f>
        <v>32.432173480535852</v>
      </c>
      <c r="J284" s="85">
        <f>IF(H284,An,'2018'!An_max)</f>
        <v>2019</v>
      </c>
      <c r="K284" s="199">
        <f t="shared" si="101"/>
        <v>43735</v>
      </c>
      <c r="L284" s="147">
        <f>IF(t&lt;Tvie,1-EXP((T0-t)*PertePVj)+'2018'!Pspv,1-EXP((T0-t)*PertePVj)+Pspv)</f>
        <v>9.7726054594488021E-3</v>
      </c>
      <c r="M284" s="872"/>
      <c r="N284" s="872"/>
      <c r="O284" s="48">
        <f>IF(t&lt;Tnet,'2018'!Resal+('2018'!Salim-'2018'!Resal)*(1-EXP(('2018'!Tnet-t)/('2018'!Tau_j))),Resal+(Salim-Resal)*(1-EXP((Tnet-t)/(Tau_j))))*Salcycl</f>
        <v>8.2421806698335723E-2</v>
      </c>
      <c r="P284" s="171">
        <f>(INDEX(Models!$BJ284:$BT284,,T284)*(1-R284)+INDEX(Models!$BJ284:$BT284,,T284+1)*R284-ERP_i)*Q284*Ramure*Pc/MaxiM</f>
        <v>3.5577302410430985E-3</v>
      </c>
      <c r="Q284" s="307">
        <f t="shared" si="102"/>
        <v>0.9</v>
      </c>
      <c r="R284" s="179">
        <f t="shared" si="103"/>
        <v>0.59214545856508405</v>
      </c>
      <c r="S284" s="839">
        <f t="shared" si="104"/>
        <v>-2</v>
      </c>
      <c r="T284" s="178">
        <f t="shared" si="105"/>
        <v>4</v>
      </c>
      <c r="U284" s="253">
        <f t="shared" si="106"/>
        <v>-1.407854541434916</v>
      </c>
      <c r="V284" s="385">
        <f t="shared" si="107"/>
        <v>37.258101035067249</v>
      </c>
      <c r="W284" s="58"/>
      <c r="X284" s="157">
        <f t="shared" si="108"/>
        <v>43735</v>
      </c>
      <c r="Y284" s="387">
        <f t="shared" si="109"/>
        <v>29.395</v>
      </c>
      <c r="Z284" s="387">
        <f t="shared" si="110"/>
        <v>29.685100777926653</v>
      </c>
      <c r="AA284" s="388">
        <f t="shared" si="111"/>
        <v>32.351576132288642</v>
      </c>
      <c r="AB284" s="199">
        <f t="shared" si="112"/>
        <v>43735</v>
      </c>
      <c r="AC284" s="428">
        <f>IF(OR(t&lt;Tnet,NoTnet),'2018'!Resal_s+('2018'!Salim-'2018'!Resal_s)*(1-EXP(('2018'!Tnet_s-t)/'2018'!Tau_j)),Resal_s+(Salim-Resal_s)*(1-EXP((Tnet_s-t)/Tau_j)))*Salcycl</f>
        <v>8.2421806698335723E-2</v>
      </c>
      <c r="AD284" s="233">
        <f>(INDEX(Models!$BJ284:$BT284,,AH284)*(1-AF284)+INDEX(Models!$BJ284:$BT284,,AH284+1)*AF284-ERP_i)*AE284*Ramure*Pc/MaxiM</f>
        <v>3.5577302410430985E-3</v>
      </c>
      <c r="AE284" s="307">
        <f t="shared" si="113"/>
        <v>0.9</v>
      </c>
      <c r="AF284" s="179">
        <f t="shared" si="114"/>
        <v>0.59214545856508405</v>
      </c>
      <c r="AG284" s="178">
        <f t="shared" si="115"/>
        <v>-2</v>
      </c>
      <c r="AH284" s="178">
        <f t="shared" si="116"/>
        <v>4</v>
      </c>
      <c r="AI284" s="227">
        <f t="shared" si="117"/>
        <v>-1.407854541434916</v>
      </c>
      <c r="AJ284" s="267" t="b">
        <f t="shared" si="118"/>
        <v>0</v>
      </c>
      <c r="AK284" s="267" t="b">
        <f t="shared" si="119"/>
        <v>0</v>
      </c>
      <c r="AL284" s="267"/>
      <c r="AM284" s="267"/>
      <c r="AN284" s="75"/>
    </row>
    <row r="285" spans="1:40" s="6" customFormat="1" ht="11.25" x14ac:dyDescent="0.2">
      <c r="A285" s="56">
        <f t="shared" si="120"/>
        <v>43736</v>
      </c>
      <c r="B285" s="620">
        <v>25.867999999999999</v>
      </c>
      <c r="C285" s="392"/>
      <c r="D285" s="395">
        <f t="shared" si="99"/>
        <v>26.123900573527084</v>
      </c>
      <c r="E285" s="387">
        <f t="shared" si="97"/>
        <v>28.474099553423581</v>
      </c>
      <c r="F285" s="387">
        <f t="shared" si="100"/>
        <v>28.532869501688754</v>
      </c>
      <c r="G285" s="110">
        <f t="shared" si="98"/>
        <v>0.70122453085736192</v>
      </c>
      <c r="H285" s="416" t="b">
        <f>Wh_hp&gt;='2018'!Maxi_hp</f>
        <v>1</v>
      </c>
      <c r="I285" s="392">
        <f>IF(H285,Wh_hp,'2018'!Maxi_hp)</f>
        <v>28.532869501688754</v>
      </c>
      <c r="J285" s="85">
        <f>IF(H285,An,'2018'!An_max)</f>
        <v>2019</v>
      </c>
      <c r="K285" s="199">
        <f t="shared" si="101"/>
        <v>43736</v>
      </c>
      <c r="L285" s="147">
        <f>IF(t&lt;Tvie,1-EXP((T0-t)*PertePVj)+'2018'!Pspv,1-EXP((T0-t)*PertePVj)+Pspv)</f>
        <v>9.7956494975488528E-3</v>
      </c>
      <c r="M285" s="872"/>
      <c r="N285" s="872"/>
      <c r="O285" s="48">
        <f>IF(t&lt;Tnet,'2018'!Resal+('2018'!Salim-'2018'!Resal)*(1-EXP(('2018'!Tnet-t)/('2018'!Tau_j))),Resal+(Salim-Resal)*(1-EXP((Tnet-t)/(Tau_j))))*Salcycl</f>
        <v>8.2538131732208586E-2</v>
      </c>
      <c r="P285" s="171">
        <f>(INDEX(Models!$BJ285:$BT285,,T285)*(1-R285)+INDEX(Models!$BJ285:$BT285,,T285+1)*R285-ERP_i)*Q285*Ramure*Pc/MaxiM</f>
        <v>3.5839413839336151E-3</v>
      </c>
      <c r="Q285" s="307">
        <f t="shared" si="102"/>
        <v>0.9</v>
      </c>
      <c r="R285" s="179">
        <f t="shared" si="103"/>
        <v>0.59245860811408546</v>
      </c>
      <c r="S285" s="839">
        <f t="shared" si="104"/>
        <v>-2</v>
      </c>
      <c r="T285" s="178">
        <f t="shared" si="105"/>
        <v>4</v>
      </c>
      <c r="U285" s="253">
        <f t="shared" si="106"/>
        <v>-1.4075413918859145</v>
      </c>
      <c r="V285" s="385">
        <f t="shared" si="107"/>
        <v>36.833409458052508</v>
      </c>
      <c r="W285" s="58"/>
      <c r="X285" s="157">
        <f t="shared" si="108"/>
        <v>43736</v>
      </c>
      <c r="Y285" s="387">
        <f t="shared" si="109"/>
        <v>25.867999999999999</v>
      </c>
      <c r="Z285" s="387">
        <f t="shared" si="110"/>
        <v>26.123900573527084</v>
      </c>
      <c r="AA285" s="388">
        <f t="shared" si="111"/>
        <v>28.474099553423581</v>
      </c>
      <c r="AB285" s="199">
        <f t="shared" si="112"/>
        <v>43736</v>
      </c>
      <c r="AC285" s="428">
        <f>IF(OR(t&lt;Tnet,NoTnet),'2018'!Resal_s+('2018'!Salim-'2018'!Resal_s)*(1-EXP(('2018'!Tnet_s-t)/'2018'!Tau_j)),Resal_s+(Salim-Resal_s)*(1-EXP((Tnet_s-t)/Tau_j)))*Salcycl</f>
        <v>8.2538131732208586E-2</v>
      </c>
      <c r="AD285" s="233">
        <f>(INDEX(Models!$BJ285:$BT285,,AH285)*(1-AF285)+INDEX(Models!$BJ285:$BT285,,AH285+1)*AF285-ERP_i)*AE285*Ramure*Pc/MaxiM</f>
        <v>3.5839413839336151E-3</v>
      </c>
      <c r="AE285" s="307">
        <f t="shared" si="113"/>
        <v>0.9</v>
      </c>
      <c r="AF285" s="179">
        <f t="shared" si="114"/>
        <v>0.59245860811408546</v>
      </c>
      <c r="AG285" s="178">
        <f t="shared" si="115"/>
        <v>-2</v>
      </c>
      <c r="AH285" s="178">
        <f t="shared" si="116"/>
        <v>4</v>
      </c>
      <c r="AI285" s="227">
        <f t="shared" si="117"/>
        <v>-1.4075413918859145</v>
      </c>
      <c r="AJ285" s="267" t="b">
        <f t="shared" si="118"/>
        <v>0</v>
      </c>
      <c r="AK285" s="267" t="b">
        <f t="shared" si="119"/>
        <v>0</v>
      </c>
      <c r="AL285" s="267"/>
      <c r="AM285" s="267"/>
      <c r="AN285" s="75"/>
    </row>
    <row r="286" spans="1:40" s="6" customFormat="1" ht="11.25" x14ac:dyDescent="0.2">
      <c r="A286" s="56">
        <f t="shared" si="120"/>
        <v>43737</v>
      </c>
      <c r="B286" s="620">
        <v>35.793999999999997</v>
      </c>
      <c r="C286" s="392"/>
      <c r="D286" s="395">
        <f t="shared" si="99"/>
        <v>36.148935297944988</v>
      </c>
      <c r="E286" s="387">
        <f t="shared" si="97"/>
        <v>39.4059438893158</v>
      </c>
      <c r="F286" s="387">
        <f t="shared" si="100"/>
        <v>39.545102096867112</v>
      </c>
      <c r="G286" s="110">
        <f t="shared" si="98"/>
        <v>0.98296658195737363</v>
      </c>
      <c r="H286" s="416" t="b">
        <f>Wh_hp&gt;='2018'!Maxi_hp</f>
        <v>1</v>
      </c>
      <c r="I286" s="392">
        <f>IF(H286,Wh_hp,'2018'!Maxi_hp)</f>
        <v>39.545102096867112</v>
      </c>
      <c r="J286" s="85">
        <f>IF(H286,An,'2018'!An_max)</f>
        <v>2019</v>
      </c>
      <c r="K286" s="199">
        <f t="shared" si="101"/>
        <v>43737</v>
      </c>
      <c r="L286" s="147">
        <f>IF(t&lt;Tvie,1-EXP((T0-t)*PertePVj)+'2018'!Pspv,1-EXP((T0-t)*PertePVj)+Pspv)</f>
        <v>9.8186929993805405E-3</v>
      </c>
      <c r="M286" s="872"/>
      <c r="N286" s="872"/>
      <c r="O286" s="48">
        <f>IF(t&lt;Tnet,'2018'!Resal+('2018'!Salim-'2018'!Resal)*(1-EXP(('2018'!Tnet-t)/('2018'!Tau_j))),Resal+(Salim-Resal)*(1-EXP((Tnet-t)/(Tau_j))))*Salcycl</f>
        <v>8.2652723673341366E-2</v>
      </c>
      <c r="P286" s="171">
        <f>(INDEX(Models!$BJ286:$BT286,,T286)*(1-R286)+INDEX(Models!$BJ286:$BT286,,T286+1)*R286-ERP_i)*Q286*Ramure*Pc/MaxiM</f>
        <v>3.6062841498131853E-3</v>
      </c>
      <c r="Q286" s="307">
        <f t="shared" si="102"/>
        <v>0.9</v>
      </c>
      <c r="R286" s="179">
        <f t="shared" si="103"/>
        <v>0.59275941548235966</v>
      </c>
      <c r="S286" s="839">
        <f t="shared" si="104"/>
        <v>-2</v>
      </c>
      <c r="T286" s="178">
        <f t="shared" si="105"/>
        <v>4</v>
      </c>
      <c r="U286" s="253">
        <f t="shared" si="106"/>
        <v>-1.4072405845176403</v>
      </c>
      <c r="V286" s="385">
        <f t="shared" si="107"/>
        <v>36.411068759269014</v>
      </c>
      <c r="W286" s="58"/>
      <c r="X286" s="157">
        <f t="shared" si="108"/>
        <v>43737</v>
      </c>
      <c r="Y286" s="387">
        <f t="shared" si="109"/>
        <v>35.793999999999997</v>
      </c>
      <c r="Z286" s="387">
        <f t="shared" si="110"/>
        <v>36.148935297944988</v>
      </c>
      <c r="AA286" s="388">
        <f t="shared" si="111"/>
        <v>39.4059438893158</v>
      </c>
      <c r="AB286" s="199">
        <f t="shared" si="112"/>
        <v>43737</v>
      </c>
      <c r="AC286" s="428">
        <f>IF(OR(t&lt;Tnet,NoTnet),'2018'!Resal_s+('2018'!Salim-'2018'!Resal_s)*(1-EXP(('2018'!Tnet_s-t)/'2018'!Tau_j)),Resal_s+(Salim-Resal_s)*(1-EXP((Tnet_s-t)/Tau_j)))*Salcycl</f>
        <v>8.2652723673341366E-2</v>
      </c>
      <c r="AD286" s="233">
        <f>(INDEX(Models!$BJ286:$BT286,,AH286)*(1-AF286)+INDEX(Models!$BJ286:$BT286,,AH286+1)*AF286-ERP_i)*AE286*Ramure*Pc/MaxiM</f>
        <v>3.6062841498131853E-3</v>
      </c>
      <c r="AE286" s="307">
        <f t="shared" si="113"/>
        <v>0.9</v>
      </c>
      <c r="AF286" s="179">
        <f t="shared" si="114"/>
        <v>0.59275941548235966</v>
      </c>
      <c r="AG286" s="178">
        <f t="shared" si="115"/>
        <v>-2</v>
      </c>
      <c r="AH286" s="178">
        <f t="shared" si="116"/>
        <v>4</v>
      </c>
      <c r="AI286" s="227">
        <f t="shared" si="117"/>
        <v>-1.4072405845176403</v>
      </c>
      <c r="AJ286" s="267" t="b">
        <f t="shared" si="118"/>
        <v>0</v>
      </c>
      <c r="AK286" s="267" t="b">
        <f t="shared" si="119"/>
        <v>0</v>
      </c>
      <c r="AL286" s="267"/>
      <c r="AM286" s="267"/>
      <c r="AN286" s="75"/>
    </row>
    <row r="287" spans="1:40" s="6" customFormat="1" ht="11.25" x14ac:dyDescent="0.2">
      <c r="A287" s="56">
        <f t="shared" si="120"/>
        <v>43738</v>
      </c>
      <c r="B287" s="620">
        <v>24.041</v>
      </c>
      <c r="C287" s="392"/>
      <c r="D287" s="395">
        <f t="shared" si="99"/>
        <v>24.279956925299306</v>
      </c>
      <c r="E287" s="387">
        <f t="shared" si="97"/>
        <v>26.470829523861415</v>
      </c>
      <c r="F287" s="387">
        <f t="shared" si="100"/>
        <v>26.521358627228796</v>
      </c>
      <c r="G287" s="110">
        <f t="shared" si="98"/>
        <v>0.66680352458758052</v>
      </c>
      <c r="H287" s="416" t="b">
        <f>Wh_hp&gt;='2018'!Maxi_hp</f>
        <v>1</v>
      </c>
      <c r="I287" s="392">
        <f>IF(H287,Wh_hp,'2018'!Maxi_hp)</f>
        <v>26.521358627228796</v>
      </c>
      <c r="J287" s="85">
        <f>IF(H287,An,'2018'!An_max)</f>
        <v>2019</v>
      </c>
      <c r="K287" s="199">
        <f t="shared" si="101"/>
        <v>43738</v>
      </c>
      <c r="L287" s="147">
        <f>IF(t&lt;Tvie,1-EXP((T0-t)*PertePVj)+'2018'!Pspv,1-EXP((T0-t)*PertePVj)+Pspv)</f>
        <v>9.8417359649561886E-3</v>
      </c>
      <c r="M287" s="872"/>
      <c r="N287" s="872"/>
      <c r="O287" s="48">
        <f>IF(t&lt;Tnet,'2018'!Resal+('2018'!Salim-'2018'!Resal)*(1-EXP(('2018'!Tnet-t)/('2018'!Tau_j))),Resal+(Salim-Resal)*(1-EXP((Tnet-t)/(Tau_j))))*Salcycl</f>
        <v>8.2765543731344191E-2</v>
      </c>
      <c r="P287" s="171">
        <f>(INDEX(Models!$BJ287:$BT287,,T287)*(1-R287)+INDEX(Models!$BJ287:$BT287,,T287+1)*R287-ERP_i)*Q287*Ramure*Pc/MaxiM</f>
        <v>3.6245173739301233E-3</v>
      </c>
      <c r="Q287" s="307">
        <f t="shared" si="102"/>
        <v>0.9</v>
      </c>
      <c r="R287" s="179">
        <f t="shared" si="103"/>
        <v>0.59304835692229219</v>
      </c>
      <c r="S287" s="839">
        <f t="shared" si="104"/>
        <v>-2</v>
      </c>
      <c r="T287" s="178">
        <f t="shared" si="105"/>
        <v>4</v>
      </c>
      <c r="U287" s="253">
        <f t="shared" si="106"/>
        <v>-1.4069516430777078</v>
      </c>
      <c r="V287" s="385">
        <f t="shared" si="107"/>
        <v>35.991992633317544</v>
      </c>
      <c r="W287" s="58"/>
      <c r="X287" s="157">
        <f t="shared" si="108"/>
        <v>43738</v>
      </c>
      <c r="Y287" s="387">
        <f t="shared" si="109"/>
        <v>24.041</v>
      </c>
      <c r="Z287" s="387">
        <f t="shared" si="110"/>
        <v>24.279956925299306</v>
      </c>
      <c r="AA287" s="388">
        <f t="shared" si="111"/>
        <v>26.470829523861415</v>
      </c>
      <c r="AB287" s="199">
        <f t="shared" si="112"/>
        <v>43738</v>
      </c>
      <c r="AC287" s="428">
        <f>IF(OR(t&lt;Tnet,NoTnet),'2018'!Resal_s+('2018'!Salim-'2018'!Resal_s)*(1-EXP(('2018'!Tnet_s-t)/'2018'!Tau_j)),Resal_s+(Salim-Resal_s)*(1-EXP((Tnet_s-t)/Tau_j)))*Salcycl</f>
        <v>8.2765543731344191E-2</v>
      </c>
      <c r="AD287" s="233">
        <f>(INDEX(Models!$BJ287:$BT287,,AH287)*(1-AF287)+INDEX(Models!$BJ287:$BT287,,AH287+1)*AF287-ERP_i)*AE287*Ramure*Pc/MaxiM</f>
        <v>3.6245173739301233E-3</v>
      </c>
      <c r="AE287" s="307">
        <f t="shared" si="113"/>
        <v>0.9</v>
      </c>
      <c r="AF287" s="179">
        <f t="shared" si="114"/>
        <v>0.59304835692229219</v>
      </c>
      <c r="AG287" s="178">
        <f t="shared" si="115"/>
        <v>-2</v>
      </c>
      <c r="AH287" s="178">
        <f t="shared" si="116"/>
        <v>4</v>
      </c>
      <c r="AI287" s="227">
        <f t="shared" si="117"/>
        <v>-1.4069516430777078</v>
      </c>
      <c r="AJ287" s="267" t="b">
        <f t="shared" si="118"/>
        <v>0</v>
      </c>
      <c r="AK287" s="267" t="b">
        <f t="shared" si="119"/>
        <v>0</v>
      </c>
      <c r="AL287" s="267"/>
      <c r="AM287" s="267"/>
      <c r="AN287" s="75"/>
    </row>
    <row r="288" spans="1:40" s="6" customFormat="1" ht="11.25" x14ac:dyDescent="0.2">
      <c r="A288" s="56">
        <f t="shared" si="120"/>
        <v>43739</v>
      </c>
      <c r="B288" s="620">
        <v>27.218</v>
      </c>
      <c r="C288" s="392"/>
      <c r="D288" s="395">
        <f t="shared" si="99"/>
        <v>27.489174615827032</v>
      </c>
      <c r="E288" s="387">
        <f t="shared" si="97"/>
        <v>29.973254710653013</v>
      </c>
      <c r="F288" s="387">
        <f t="shared" si="100"/>
        <v>30.045880170043819</v>
      </c>
      <c r="G288" s="110">
        <f t="shared" si="98"/>
        <v>0.76410624618276857</v>
      </c>
      <c r="H288" s="416" t="b">
        <f>Wh_hp&gt;='2018'!Maxi_hp</f>
        <v>1</v>
      </c>
      <c r="I288" s="392">
        <f>IF(H288,Wh_hp,'2018'!Maxi_hp)</f>
        <v>30.045880170043819</v>
      </c>
      <c r="J288" s="85">
        <f>IF(H288,An,'2018'!An_max)</f>
        <v>2019</v>
      </c>
      <c r="K288" s="199">
        <f t="shared" si="101"/>
        <v>43739</v>
      </c>
      <c r="L288" s="147">
        <f>IF(t&lt;Tvie,1-EXP((T0-t)*PertePVj)+'2018'!Pspv,1-EXP((T0-t)*PertePVj)+Pspv)</f>
        <v>9.8647783942884537E-3</v>
      </c>
      <c r="M288" s="872"/>
      <c r="N288" s="872"/>
      <c r="O288" s="48">
        <f>IF(t&lt;Tnet,'2018'!Resal+('2018'!Salim-'2018'!Resal)*(1-EXP(('2018'!Tnet-t)/('2018'!Tau_j))),Resal+(Salim-Resal)*(1-EXP((Tnet-t)/(Tau_j))))*Salcycl</f>
        <v>8.2876555075718741E-2</v>
      </c>
      <c r="P288" s="171">
        <f>(INDEX(Models!$BJ288:$BT288,,T288)*(1-R288)+INDEX(Models!$BJ288:$BT288,,T288+1)*R288-ERP_i)*Q288*Ramure*Pc/MaxiM</f>
        <v>3.6383884908623731E-3</v>
      </c>
      <c r="Q288" s="307">
        <f t="shared" si="102"/>
        <v>0.9</v>
      </c>
      <c r="R288" s="179">
        <f t="shared" si="103"/>
        <v>0.59332589110613987</v>
      </c>
      <c r="S288" s="839">
        <f t="shared" si="104"/>
        <v>-2</v>
      </c>
      <c r="T288" s="178">
        <f t="shared" si="105"/>
        <v>4</v>
      </c>
      <c r="U288" s="253">
        <f t="shared" si="106"/>
        <v>-1.4066741088938601</v>
      </c>
      <c r="V288" s="385">
        <f t="shared" si="107"/>
        <v>35.577094129462893</v>
      </c>
      <c r="W288" s="58"/>
      <c r="X288" s="157">
        <f t="shared" si="108"/>
        <v>43739</v>
      </c>
      <c r="Y288" s="387">
        <f t="shared" si="109"/>
        <v>27.218</v>
      </c>
      <c r="Z288" s="387">
        <f t="shared" si="110"/>
        <v>27.489174615827032</v>
      </c>
      <c r="AA288" s="388">
        <f t="shared" si="111"/>
        <v>29.973254710653013</v>
      </c>
      <c r="AB288" s="199">
        <f t="shared" si="112"/>
        <v>43739</v>
      </c>
      <c r="AC288" s="428">
        <f>IF(OR(t&lt;Tnet,NoTnet),'2018'!Resal_s+('2018'!Salim-'2018'!Resal_s)*(1-EXP(('2018'!Tnet_s-t)/'2018'!Tau_j)),Resal_s+(Salim-Resal_s)*(1-EXP((Tnet_s-t)/Tau_j)))*Salcycl</f>
        <v>8.2876555075718741E-2</v>
      </c>
      <c r="AD288" s="233">
        <f>(INDEX(Models!$BJ288:$BT288,,AH288)*(1-AF288)+INDEX(Models!$BJ288:$BT288,,AH288+1)*AF288-ERP_i)*AE288*Ramure*Pc/MaxiM</f>
        <v>3.6383884908623731E-3</v>
      </c>
      <c r="AE288" s="307">
        <f t="shared" si="113"/>
        <v>0.9</v>
      </c>
      <c r="AF288" s="179">
        <f t="shared" si="114"/>
        <v>0.59332589110613987</v>
      </c>
      <c r="AG288" s="178">
        <f t="shared" si="115"/>
        <v>-2</v>
      </c>
      <c r="AH288" s="178">
        <f t="shared" si="116"/>
        <v>4</v>
      </c>
      <c r="AI288" s="227">
        <f t="shared" si="117"/>
        <v>-1.4066741088938601</v>
      </c>
      <c r="AJ288" s="267" t="b">
        <f t="shared" si="118"/>
        <v>0</v>
      </c>
      <c r="AK288" s="267" t="b">
        <f t="shared" si="119"/>
        <v>0</v>
      </c>
      <c r="AL288" s="267"/>
      <c r="AM288" s="267"/>
      <c r="AN288" s="75"/>
    </row>
    <row r="289" spans="1:40" s="6" customFormat="1" ht="11.25" customHeight="1" x14ac:dyDescent="0.2">
      <c r="A289" s="56">
        <f t="shared" si="120"/>
        <v>43740</v>
      </c>
      <c r="B289" s="620">
        <v>23.387</v>
      </c>
      <c r="C289" s="392"/>
      <c r="D289" s="395">
        <f t="shared" si="99"/>
        <v>23.6205558109469</v>
      </c>
      <c r="E289" s="387">
        <f t="shared" si="97"/>
        <v>25.758111305053635</v>
      </c>
      <c r="F289" s="387">
        <f t="shared" si="100"/>
        <v>25.807216684810221</v>
      </c>
      <c r="G289" s="110">
        <f t="shared" si="98"/>
        <v>0.66394333975572994</v>
      </c>
      <c r="H289" s="416" t="b">
        <f>Wh_hp&gt;='2018'!Maxi_hp</f>
        <v>0</v>
      </c>
      <c r="I289" s="392">
        <f>IF(H289,Wh_hp,'2018'!Maxi_hp)</f>
        <v>36.170348293737305</v>
      </c>
      <c r="J289" s="85">
        <f>IF(H289,An,'2018'!An_max)</f>
        <v>2018</v>
      </c>
      <c r="K289" s="199">
        <f t="shared" si="101"/>
        <v>43740</v>
      </c>
      <c r="L289" s="147">
        <f>IF(t&lt;Tvie,1-EXP((T0-t)*PertePVj)+'2018'!Pspv,1-EXP((T0-t)*PertePVj)+Pspv)</f>
        <v>9.8878202873896592E-3</v>
      </c>
      <c r="M289" s="872"/>
      <c r="N289" s="872"/>
      <c r="O289" s="48">
        <f>IF(t&lt;Tnet,'2018'!Resal+('2018'!Salim-'2018'!Resal)*(1-EXP(('2018'!Tnet-t)/('2018'!Tau_j))),Resal+(Salim-Resal)*(1-EXP((Tnet-t)/(Tau_j))))*Salcycl</f>
        <v>8.2985723168583186E-2</v>
      </c>
      <c r="P289" s="171">
        <f>(INDEX(Models!$BJ289:$BT289,,T289)*(1-R289)+INDEX(Models!$BJ289:$BT289,,T289+1)*R289-ERP_i)*Q289*Ramure*Pc/MaxiM</f>
        <v>3.6480982590529516E-3</v>
      </c>
      <c r="Q289" s="307">
        <f t="shared" si="102"/>
        <v>0.9</v>
      </c>
      <c r="R289" s="179">
        <f t="shared" si="103"/>
        <v>0.59359245971215868</v>
      </c>
      <c r="S289" s="839">
        <f t="shared" si="104"/>
        <v>-2</v>
      </c>
      <c r="T289" s="178">
        <f t="shared" si="105"/>
        <v>4</v>
      </c>
      <c r="U289" s="253">
        <f t="shared" si="106"/>
        <v>-1.4064075402878413</v>
      </c>
      <c r="V289" s="385">
        <f t="shared" si="107"/>
        <v>35.162796220376258</v>
      </c>
      <c r="W289" s="58"/>
      <c r="X289" s="157">
        <f t="shared" si="108"/>
        <v>43740</v>
      </c>
      <c r="Y289" s="387">
        <f t="shared" si="109"/>
        <v>23.387</v>
      </c>
      <c r="Z289" s="387">
        <f t="shared" si="110"/>
        <v>23.6205558109469</v>
      </c>
      <c r="AA289" s="388">
        <f t="shared" si="111"/>
        <v>25.758111305053635</v>
      </c>
      <c r="AB289" s="199">
        <f t="shared" si="112"/>
        <v>43740</v>
      </c>
      <c r="AC289" s="428">
        <f>IF(OR(t&lt;Tnet,NoTnet),'2018'!Resal_s+('2018'!Salim-'2018'!Resal_s)*(1-EXP(('2018'!Tnet_s-t)/'2018'!Tau_j)),Resal_s+(Salim-Resal_s)*(1-EXP((Tnet_s-t)/Tau_j)))*Salcycl</f>
        <v>8.2985723168583186E-2</v>
      </c>
      <c r="AD289" s="233">
        <f>(INDEX(Models!$BJ289:$BT289,,AH289)*(1-AF289)+INDEX(Models!$BJ289:$BT289,,AH289+1)*AF289-ERP_i)*AE289*Ramure*Pc/MaxiM</f>
        <v>3.6480982590529516E-3</v>
      </c>
      <c r="AE289" s="307">
        <f t="shared" si="113"/>
        <v>0.9</v>
      </c>
      <c r="AF289" s="179">
        <f t="shared" si="114"/>
        <v>0.59359245971215868</v>
      </c>
      <c r="AG289" s="178">
        <f t="shared" si="115"/>
        <v>-2</v>
      </c>
      <c r="AH289" s="178">
        <f t="shared" si="116"/>
        <v>4</v>
      </c>
      <c r="AI289" s="227">
        <f t="shared" si="117"/>
        <v>-1.4064075402878413</v>
      </c>
      <c r="AJ289" s="267" t="b">
        <f t="shared" si="118"/>
        <v>0</v>
      </c>
      <c r="AK289" s="267" t="b">
        <f t="shared" si="119"/>
        <v>0</v>
      </c>
      <c r="AL289" s="267"/>
      <c r="AM289" s="267"/>
      <c r="AN289" s="75"/>
    </row>
    <row r="290" spans="1:40" s="6" customFormat="1" ht="11.25" x14ac:dyDescent="0.2">
      <c r="A290" s="56">
        <f t="shared" si="120"/>
        <v>43741</v>
      </c>
      <c r="B290" s="620">
        <v>31.98</v>
      </c>
      <c r="C290" s="392"/>
      <c r="D290" s="395">
        <f t="shared" si="99"/>
        <v>32.300122040637874</v>
      </c>
      <c r="E290" s="387">
        <f t="shared" si="97"/>
        <v>35.227261442965272</v>
      </c>
      <c r="F290" s="387">
        <f t="shared" si="100"/>
        <v>35.341694873389024</v>
      </c>
      <c r="G290" s="110">
        <f t="shared" si="98"/>
        <v>0.92002045880722716</v>
      </c>
      <c r="H290" s="416" t="b">
        <f>Wh_hp&gt;='2018'!Maxi_hp</f>
        <v>0</v>
      </c>
      <c r="I290" s="392">
        <f>IF(H290,Wh_hp,'2018'!Maxi_hp)</f>
        <v>36.035375229537863</v>
      </c>
      <c r="J290" s="85">
        <f>IF(H290,An,'2018'!An_max)</f>
        <v>2018</v>
      </c>
      <c r="K290" s="199">
        <f t="shared" si="101"/>
        <v>43741</v>
      </c>
      <c r="L290" s="147">
        <f>IF(t&lt;Tvie,1-EXP((T0-t)*PertePVj)+'2018'!Pspv,1-EXP((T0-t)*PertePVj)+Pspv)</f>
        <v>9.9108616442723507E-3</v>
      </c>
      <c r="M290" s="872"/>
      <c r="N290" s="872"/>
      <c r="O290" s="48">
        <f>IF(t&lt;Tnet,'2018'!Resal+('2018'!Salim-'2018'!Resal)*(1-EXP(('2018'!Tnet-t)/('2018'!Tau_j))),Resal+(Salim-Resal)*(1-EXP((Tnet-t)/(Tau_j))))*Salcycl</f>
        <v>8.3093016102503067E-2</v>
      </c>
      <c r="P290" s="171">
        <f>(INDEX(Models!$BJ290:$BT290,,T290)*(1-R290)+INDEX(Models!$BJ290:$BT290,,T290+1)*R290-ERP_i)*Q290*Ramure*Pc/MaxiM</f>
        <v>3.653330476091645E-3</v>
      </c>
      <c r="Q290" s="307">
        <f t="shared" si="102"/>
        <v>0.9</v>
      </c>
      <c r="R290" s="179">
        <f t="shared" si="103"/>
        <v>0.593848487996262</v>
      </c>
      <c r="S290" s="839">
        <f t="shared" si="104"/>
        <v>-2</v>
      </c>
      <c r="T290" s="178">
        <f t="shared" si="105"/>
        <v>4</v>
      </c>
      <c r="U290" s="253">
        <f t="shared" si="106"/>
        <v>-1.406151512003738</v>
      </c>
      <c r="V290" s="385">
        <f t="shared" si="107"/>
        <v>34.745609813008102</v>
      </c>
      <c r="W290" s="58"/>
      <c r="X290" s="157">
        <f t="shared" si="108"/>
        <v>43741</v>
      </c>
      <c r="Y290" s="387">
        <f t="shared" si="109"/>
        <v>31.98</v>
      </c>
      <c r="Z290" s="387">
        <f t="shared" si="110"/>
        <v>32.300122040637874</v>
      </c>
      <c r="AA290" s="388">
        <f t="shared" si="111"/>
        <v>35.227261442965272</v>
      </c>
      <c r="AB290" s="199">
        <f t="shared" si="112"/>
        <v>43741</v>
      </c>
      <c r="AC290" s="428">
        <f>IF(OR(t&lt;Tnet,NoTnet),'2018'!Resal_s+('2018'!Salim-'2018'!Resal_s)*(1-EXP(('2018'!Tnet_s-t)/'2018'!Tau_j)),Resal_s+(Salim-Resal_s)*(1-EXP((Tnet_s-t)/Tau_j)))*Salcycl</f>
        <v>8.3093016102503067E-2</v>
      </c>
      <c r="AD290" s="233">
        <f>(INDEX(Models!$BJ290:$BT290,,AH290)*(1-AF290)+INDEX(Models!$BJ290:$BT290,,AH290+1)*AF290-ERP_i)*AE290*Ramure*Pc/MaxiM</f>
        <v>3.653330476091645E-3</v>
      </c>
      <c r="AE290" s="307">
        <f t="shared" si="113"/>
        <v>0.9</v>
      </c>
      <c r="AF290" s="179">
        <f t="shared" si="114"/>
        <v>0.593848487996262</v>
      </c>
      <c r="AG290" s="178">
        <f t="shared" si="115"/>
        <v>-2</v>
      </c>
      <c r="AH290" s="178">
        <f t="shared" si="116"/>
        <v>4</v>
      </c>
      <c r="AI290" s="227">
        <f t="shared" si="117"/>
        <v>-1.406151512003738</v>
      </c>
      <c r="AJ290" s="267" t="b">
        <f t="shared" si="118"/>
        <v>0</v>
      </c>
      <c r="AK290" s="267" t="b">
        <f t="shared" si="119"/>
        <v>0</v>
      </c>
      <c r="AL290" s="267"/>
      <c r="AM290" s="267"/>
      <c r="AN290" s="75"/>
    </row>
    <row r="291" spans="1:40" s="6" customFormat="1" ht="11.25" customHeight="1" x14ac:dyDescent="0.2">
      <c r="A291" s="56">
        <f t="shared" si="120"/>
        <v>43742</v>
      </c>
      <c r="B291" s="620">
        <v>10.919</v>
      </c>
      <c r="C291" s="392"/>
      <c r="D291" s="395">
        <f t="shared" si="99"/>
        <v>11.028556605649694</v>
      </c>
      <c r="E291" s="387">
        <f t="shared" si="97"/>
        <v>12.029382000515657</v>
      </c>
      <c r="F291" s="387">
        <f t="shared" si="100"/>
        <v>12.030519038875187</v>
      </c>
      <c r="G291" s="110">
        <f t="shared" si="98"/>
        <v>0.3169596705793411</v>
      </c>
      <c r="H291" s="416" t="b">
        <f>Wh_hp&gt;='2018'!Maxi_hp</f>
        <v>0</v>
      </c>
      <c r="I291" s="392">
        <f>IF(H291,Wh_hp,'2018'!Maxi_hp)</f>
        <v>35.9166178794583</v>
      </c>
      <c r="J291" s="85">
        <f>IF(H291,An,'2018'!An_max)</f>
        <v>2018</v>
      </c>
      <c r="K291" s="199">
        <f t="shared" si="101"/>
        <v>43742</v>
      </c>
      <c r="L291" s="147">
        <f>IF(t&lt;Tvie,1-EXP((T0-t)*PertePVj)+'2018'!Pspv,1-EXP((T0-t)*PertePVj)+Pspv)</f>
        <v>9.9339024649490737E-3</v>
      </c>
      <c r="M291" s="872"/>
      <c r="N291" s="872"/>
      <c r="O291" s="48">
        <f>IF(t&lt;Tnet,'2018'!Resal+('2018'!Salim-'2018'!Resal)*(1-EXP(('2018'!Tnet-t)/('2018'!Tau_j))),Resal+(Salim-Resal)*(1-EXP((Tnet-t)/(Tau_j))))*Salcycl</f>
        <v>8.3198404940757614E-2</v>
      </c>
      <c r="P291" s="171">
        <f>(INDEX(Models!$BJ291:$BT291,,T291)*(1-R291)+INDEX(Models!$BJ291:$BT291,,T291+1)*R291-ERP_i)*Q291*Ramure*Pc/MaxiM</f>
        <v>3.6566340305610148E-3</v>
      </c>
      <c r="Q291" s="307">
        <f t="shared" si="102"/>
        <v>0.9</v>
      </c>
      <c r="R291" s="179">
        <f t="shared" si="103"/>
        <v>0.59409438534912473</v>
      </c>
      <c r="S291" s="839">
        <f t="shared" si="104"/>
        <v>-2</v>
      </c>
      <c r="T291" s="178">
        <f t="shared" si="105"/>
        <v>4</v>
      </c>
      <c r="U291" s="253">
        <f t="shared" si="106"/>
        <v>-1.4059056146508753</v>
      </c>
      <c r="V291" s="385">
        <f t="shared" si="107"/>
        <v>34.3264539058924</v>
      </c>
      <c r="W291" s="58"/>
      <c r="X291" s="157">
        <f t="shared" si="108"/>
        <v>43742</v>
      </c>
      <c r="Y291" s="387">
        <f t="shared" si="109"/>
        <v>10.919</v>
      </c>
      <c r="Z291" s="387">
        <f t="shared" si="110"/>
        <v>11.028556605649694</v>
      </c>
      <c r="AA291" s="388">
        <f t="shared" si="111"/>
        <v>12.029382000515657</v>
      </c>
      <c r="AB291" s="199">
        <f t="shared" si="112"/>
        <v>43742</v>
      </c>
      <c r="AC291" s="428">
        <f>IF(OR(t&lt;Tnet,NoTnet),'2018'!Resal_s+('2018'!Salim-'2018'!Resal_s)*(1-EXP(('2018'!Tnet_s-t)/'2018'!Tau_j)),Resal_s+(Salim-Resal_s)*(1-EXP((Tnet_s-t)/Tau_j)))*Salcycl</f>
        <v>8.3198404940757614E-2</v>
      </c>
      <c r="AD291" s="233">
        <f>(INDEX(Models!$BJ291:$BT291,,AH291)*(1-AF291)+INDEX(Models!$BJ291:$BT291,,AH291+1)*AF291-ERP_i)*AE291*Ramure*Pc/MaxiM</f>
        <v>3.6566340305610148E-3</v>
      </c>
      <c r="AE291" s="307">
        <f t="shared" si="113"/>
        <v>0.9</v>
      </c>
      <c r="AF291" s="179">
        <f t="shared" si="114"/>
        <v>0.59409438534912473</v>
      </c>
      <c r="AG291" s="178">
        <f t="shared" si="115"/>
        <v>-2</v>
      </c>
      <c r="AH291" s="178">
        <f t="shared" si="116"/>
        <v>4</v>
      </c>
      <c r="AI291" s="227">
        <f t="shared" si="117"/>
        <v>-1.4059056146508753</v>
      </c>
      <c r="AJ291" s="267" t="b">
        <f t="shared" si="118"/>
        <v>0</v>
      </c>
      <c r="AK291" s="267" t="b">
        <f t="shared" si="119"/>
        <v>0</v>
      </c>
      <c r="AL291" s="267"/>
      <c r="AM291" s="267"/>
      <c r="AN291" s="75"/>
    </row>
    <row r="292" spans="1:40" s="6" customFormat="1" ht="11.25" x14ac:dyDescent="0.2">
      <c r="A292" s="56">
        <f t="shared" si="120"/>
        <v>43743</v>
      </c>
      <c r="B292" s="620">
        <v>30.827000000000002</v>
      </c>
      <c r="C292" s="392"/>
      <c r="D292" s="395">
        <f t="shared" si="99"/>
        <v>31.137029621326928</v>
      </c>
      <c r="E292" s="387">
        <f t="shared" si="97"/>
        <v>33.96650260372229</v>
      </c>
      <c r="F292" s="387">
        <f t="shared" si="100"/>
        <v>34.074971774308608</v>
      </c>
      <c r="G292" s="110">
        <f t="shared" si="98"/>
        <v>0.90874803865876719</v>
      </c>
      <c r="H292" s="416" t="b">
        <f>Wh_hp&gt;='2018'!Maxi_hp</f>
        <v>0</v>
      </c>
      <c r="I292" s="392">
        <f>IF(H292,Wh_hp,'2018'!Maxi_hp)</f>
        <v>35.362912438789422</v>
      </c>
      <c r="J292" s="85">
        <f>IF(H292,An,'2018'!An_max)</f>
        <v>2018</v>
      </c>
      <c r="K292" s="199">
        <f t="shared" si="101"/>
        <v>43743</v>
      </c>
      <c r="L292" s="147">
        <f>IF(t&lt;Tvie,1-EXP((T0-t)*PertePVj)+'2018'!Pspv,1-EXP((T0-t)*PertePVj)+Pspv)</f>
        <v>9.9569427494321516E-3</v>
      </c>
      <c r="M292" s="872"/>
      <c r="N292" s="872"/>
      <c r="O292" s="48">
        <f>IF(t&lt;Tnet,'2018'!Resal+('2018'!Salim-'2018'!Resal)*(1-EXP(('2018'!Tnet-t)/('2018'!Tau_j))),Resal+(Salim-Resal)*(1-EXP((Tnet-t)/(Tau_j))))*Salcycl</f>
        <v>8.3301864057245864E-2</v>
      </c>
      <c r="P292" s="171">
        <f>(INDEX(Models!$BJ292:$BT292,,T292)*(1-R292)+INDEX(Models!$BJ292:$BT292,,T292+1)*R292-ERP_i)*Q292*Ramure*Pc/MaxiM</f>
        <v>3.6578221455163991E-3</v>
      </c>
      <c r="Q292" s="307">
        <f t="shared" si="102"/>
        <v>0.9</v>
      </c>
      <c r="R292" s="179">
        <f t="shared" si="103"/>
        <v>0.59433054583869915</v>
      </c>
      <c r="S292" s="839">
        <f t="shared" si="104"/>
        <v>-2</v>
      </c>
      <c r="T292" s="178">
        <f t="shared" si="105"/>
        <v>4</v>
      </c>
      <c r="U292" s="253">
        <f t="shared" si="106"/>
        <v>-1.4056694541613008</v>
      </c>
      <c r="V292" s="385">
        <f t="shared" si="107"/>
        <v>33.90634405833633</v>
      </c>
      <c r="W292" s="58"/>
      <c r="X292" s="157">
        <f t="shared" si="108"/>
        <v>43743</v>
      </c>
      <c r="Y292" s="387">
        <f t="shared" si="109"/>
        <v>30.827000000000005</v>
      </c>
      <c r="Z292" s="387">
        <f t="shared" si="110"/>
        <v>31.137029621326931</v>
      </c>
      <c r="AA292" s="388">
        <f t="shared" si="111"/>
        <v>33.96650260372229</v>
      </c>
      <c r="AB292" s="199">
        <f t="shared" si="112"/>
        <v>43743</v>
      </c>
      <c r="AC292" s="428">
        <f>IF(OR(t&lt;Tnet,NoTnet),'2018'!Resal_s+('2018'!Salim-'2018'!Resal_s)*(1-EXP(('2018'!Tnet_s-t)/'2018'!Tau_j)),Resal_s+(Salim-Resal_s)*(1-EXP((Tnet_s-t)/Tau_j)))*Salcycl</f>
        <v>8.3301864057245864E-2</v>
      </c>
      <c r="AD292" s="233">
        <f>(INDEX(Models!$BJ292:$BT292,,AH292)*(1-AF292)+INDEX(Models!$BJ292:$BT292,,AH292+1)*AF292-ERP_i)*AE292*Ramure*Pc/MaxiM</f>
        <v>3.6578221455163991E-3</v>
      </c>
      <c r="AE292" s="307">
        <f t="shared" si="113"/>
        <v>0.9</v>
      </c>
      <c r="AF292" s="179">
        <f t="shared" si="114"/>
        <v>0.59433054583869915</v>
      </c>
      <c r="AG292" s="178">
        <f t="shared" si="115"/>
        <v>-2</v>
      </c>
      <c r="AH292" s="178">
        <f t="shared" si="116"/>
        <v>4</v>
      </c>
      <c r="AI292" s="227">
        <f t="shared" si="117"/>
        <v>-1.4056694541613008</v>
      </c>
      <c r="AJ292" s="267" t="b">
        <f t="shared" si="118"/>
        <v>0</v>
      </c>
      <c r="AK292" s="267" t="b">
        <f t="shared" si="119"/>
        <v>0</v>
      </c>
      <c r="AL292" s="267"/>
      <c r="AM292" s="267"/>
      <c r="AN292" s="75"/>
    </row>
    <row r="293" spans="1:40" s="6" customFormat="1" ht="11.25" x14ac:dyDescent="0.2">
      <c r="A293" s="56">
        <f t="shared" si="120"/>
        <v>43744</v>
      </c>
      <c r="B293" s="620">
        <v>17.52</v>
      </c>
      <c r="C293" s="392"/>
      <c r="D293" s="395">
        <f t="shared" si="99"/>
        <v>17.696611876799658</v>
      </c>
      <c r="E293" s="387">
        <f t="shared" si="97"/>
        <v>19.306869920786525</v>
      </c>
      <c r="F293" s="387">
        <f t="shared" si="100"/>
        <v>19.329407230834704</v>
      </c>
      <c r="G293" s="110">
        <f t="shared" si="98"/>
        <v>0.52189444317586708</v>
      </c>
      <c r="H293" s="416" t="b">
        <f>Wh_hp&gt;='2018'!Maxi_hp</f>
        <v>0</v>
      </c>
      <c r="I293" s="392">
        <f>IF(H293,Wh_hp,'2018'!Maxi_hp)</f>
        <v>33.977858149363783</v>
      </c>
      <c r="J293" s="85">
        <f>IF(H293,An,'2018'!An_max)</f>
        <v>2018</v>
      </c>
      <c r="K293" s="199">
        <f t="shared" si="101"/>
        <v>43744</v>
      </c>
      <c r="L293" s="147">
        <f>IF(t&lt;Tvie,1-EXP((T0-t)*PertePVj)+'2018'!Pspv,1-EXP((T0-t)*PertePVj)+Pspv)</f>
        <v>9.9799824977342411E-3</v>
      </c>
      <c r="M293" s="872"/>
      <c r="N293" s="872"/>
      <c r="O293" s="48">
        <f>IF(t&lt;Tnet,'2018'!Resal+('2018'!Salim-'2018'!Resal)*(1-EXP(('2018'!Tnet-t)/('2018'!Tau_j))),Resal+(Salim-Resal)*(1-EXP((Tnet-t)/(Tau_j))))*Salcycl</f>
        <v>8.3403371473135549E-2</v>
      </c>
      <c r="P293" s="171">
        <f>(INDEX(Models!$BJ293:$BT293,,T293)*(1-R293)+INDEX(Models!$BJ293:$BT293,,T293+1)*R293-ERP_i)*Q293*Ramure*Pc/MaxiM</f>
        <v>3.6566981521500789E-3</v>
      </c>
      <c r="Q293" s="307">
        <f t="shared" si="102"/>
        <v>0.9</v>
      </c>
      <c r="R293" s="179">
        <f t="shared" si="103"/>
        <v>0.59455734873815391</v>
      </c>
      <c r="S293" s="839">
        <f t="shared" si="104"/>
        <v>-2</v>
      </c>
      <c r="T293" s="178">
        <f t="shared" si="105"/>
        <v>4</v>
      </c>
      <c r="U293" s="253">
        <f t="shared" si="106"/>
        <v>-1.4054426512618461</v>
      </c>
      <c r="V293" s="385">
        <f t="shared" si="107"/>
        <v>33.486295077042016</v>
      </c>
      <c r="W293" s="58"/>
      <c r="X293" s="157">
        <f t="shared" si="108"/>
        <v>43744</v>
      </c>
      <c r="Y293" s="387">
        <f t="shared" si="109"/>
        <v>17.52</v>
      </c>
      <c r="Z293" s="387">
        <f t="shared" si="110"/>
        <v>17.696611876799658</v>
      </c>
      <c r="AA293" s="388">
        <f t="shared" si="111"/>
        <v>19.306869920786525</v>
      </c>
      <c r="AB293" s="199">
        <f t="shared" si="112"/>
        <v>43744</v>
      </c>
      <c r="AC293" s="428">
        <f>IF(OR(t&lt;Tnet,NoTnet),'2018'!Resal_s+('2018'!Salim-'2018'!Resal_s)*(1-EXP(('2018'!Tnet_s-t)/'2018'!Tau_j)),Resal_s+(Salim-Resal_s)*(1-EXP((Tnet_s-t)/Tau_j)))*Salcycl</f>
        <v>8.3403371473135549E-2</v>
      </c>
      <c r="AD293" s="233">
        <f>(INDEX(Models!$BJ293:$BT293,,AH293)*(1-AF293)+INDEX(Models!$BJ293:$BT293,,AH293+1)*AF293-ERP_i)*AE293*Ramure*Pc/MaxiM</f>
        <v>3.6566981521500789E-3</v>
      </c>
      <c r="AE293" s="307">
        <f t="shared" si="113"/>
        <v>0.9</v>
      </c>
      <c r="AF293" s="179">
        <f t="shared" si="114"/>
        <v>0.59455734873815391</v>
      </c>
      <c r="AG293" s="178">
        <f t="shared" si="115"/>
        <v>-2</v>
      </c>
      <c r="AH293" s="178">
        <f t="shared" si="116"/>
        <v>4</v>
      </c>
      <c r="AI293" s="227">
        <f t="shared" si="117"/>
        <v>-1.4054426512618461</v>
      </c>
      <c r="AJ293" s="267" t="b">
        <f t="shared" si="118"/>
        <v>0</v>
      </c>
      <c r="AK293" s="267" t="b">
        <f t="shared" si="119"/>
        <v>0</v>
      </c>
      <c r="AL293" s="267"/>
      <c r="AM293" s="267"/>
      <c r="AN293" s="75"/>
    </row>
    <row r="294" spans="1:40" s="6" customFormat="1" ht="11.25" customHeight="1" x14ac:dyDescent="0.2">
      <c r="A294" s="56">
        <f t="shared" si="120"/>
        <v>43745</v>
      </c>
      <c r="B294" s="620">
        <v>27.521000000000001</v>
      </c>
      <c r="C294" s="392"/>
      <c r="D294" s="395">
        <f t="shared" si="99"/>
        <v>27.799074748220686</v>
      </c>
      <c r="E294" s="387">
        <f t="shared" si="97"/>
        <v>30.331874510992154</v>
      </c>
      <c r="F294" s="387">
        <f t="shared" si="100"/>
        <v>30.416363284952951</v>
      </c>
      <c r="G294" s="110">
        <f t="shared" si="98"/>
        <v>0.8315413074482888</v>
      </c>
      <c r="H294" s="416" t="b">
        <f>Wh_hp&gt;='2018'!Maxi_hp</f>
        <v>1</v>
      </c>
      <c r="I294" s="392">
        <f>IF(H294,Wh_hp,'2018'!Maxi_hp)</f>
        <v>30.416363284952951</v>
      </c>
      <c r="J294" s="85">
        <f>IF(H294,An,'2018'!An_max)</f>
        <v>2019</v>
      </c>
      <c r="K294" s="199">
        <f t="shared" si="101"/>
        <v>43745</v>
      </c>
      <c r="L294" s="147">
        <f>IF(t&lt;Tvie,1-EXP((T0-t)*PertePVj)+'2018'!Pspv,1-EXP((T0-t)*PertePVj)+Pspv)</f>
        <v>1.0003021709867665E-2</v>
      </c>
      <c r="M294" s="872"/>
      <c r="N294" s="872"/>
      <c r="O294" s="48">
        <f>IF(t&lt;Tnet,'2018'!Resal+('2018'!Salim-'2018'!Resal)*(1-EXP(('2018'!Tnet-t)/('2018'!Tau_j))),Resal+(Salim-Resal)*(1-EXP((Tnet-t)/(Tau_j))))*Salcycl</f>
        <v>8.3502909187283855E-2</v>
      </c>
      <c r="P294" s="171">
        <f>(INDEX(Models!$BJ294:$BT294,,T294)*(1-R294)+INDEX(Models!$BJ294:$BT294,,T294+1)*R294-ERP_i)*Q294*Ramure*Pc/MaxiM</f>
        <v>3.6530555299467021E-3</v>
      </c>
      <c r="Q294" s="307">
        <f t="shared" si="102"/>
        <v>0.9</v>
      </c>
      <c r="R294" s="179">
        <f t="shared" si="103"/>
        <v>0.59477515903928602</v>
      </c>
      <c r="S294" s="839">
        <f t="shared" si="104"/>
        <v>-2</v>
      </c>
      <c r="T294" s="178">
        <f t="shared" si="105"/>
        <v>4</v>
      </c>
      <c r="U294" s="253">
        <f t="shared" si="106"/>
        <v>-1.405224840960714</v>
      </c>
      <c r="V294" s="385">
        <f t="shared" si="107"/>
        <v>33.067321029944949</v>
      </c>
      <c r="W294" s="58"/>
      <c r="X294" s="157">
        <f t="shared" si="108"/>
        <v>43745</v>
      </c>
      <c r="Y294" s="387">
        <f t="shared" si="109"/>
        <v>27.521000000000001</v>
      </c>
      <c r="Z294" s="387">
        <f t="shared" si="110"/>
        <v>27.799074748220686</v>
      </c>
      <c r="AA294" s="388">
        <f t="shared" si="111"/>
        <v>30.331874510992154</v>
      </c>
      <c r="AB294" s="199">
        <f t="shared" si="112"/>
        <v>43745</v>
      </c>
      <c r="AC294" s="428">
        <f>IF(OR(t&lt;Tnet,NoTnet),'2018'!Resal_s+('2018'!Salim-'2018'!Resal_s)*(1-EXP(('2018'!Tnet_s-t)/'2018'!Tau_j)),Resal_s+(Salim-Resal_s)*(1-EXP((Tnet_s-t)/Tau_j)))*Salcycl</f>
        <v>8.3502909187283855E-2</v>
      </c>
      <c r="AD294" s="233">
        <f>(INDEX(Models!$BJ294:$BT294,,AH294)*(1-AF294)+INDEX(Models!$BJ294:$BT294,,AH294+1)*AF294-ERP_i)*AE294*Ramure*Pc/MaxiM</f>
        <v>3.6530555299467021E-3</v>
      </c>
      <c r="AE294" s="307">
        <f t="shared" si="113"/>
        <v>0.9</v>
      </c>
      <c r="AF294" s="179">
        <f t="shared" si="114"/>
        <v>0.59477515903928602</v>
      </c>
      <c r="AG294" s="178">
        <f t="shared" si="115"/>
        <v>-2</v>
      </c>
      <c r="AH294" s="178">
        <f t="shared" si="116"/>
        <v>4</v>
      </c>
      <c r="AI294" s="227">
        <f t="shared" si="117"/>
        <v>-1.405224840960714</v>
      </c>
      <c r="AJ294" s="267" t="b">
        <f t="shared" si="118"/>
        <v>0</v>
      </c>
      <c r="AK294" s="267" t="b">
        <f t="shared" si="119"/>
        <v>0</v>
      </c>
      <c r="AL294" s="267"/>
      <c r="AM294" s="267"/>
      <c r="AN294" s="75"/>
    </row>
    <row r="295" spans="1:40" s="6" customFormat="1" ht="11.25" customHeight="1" x14ac:dyDescent="0.2">
      <c r="A295" s="56">
        <f t="shared" si="120"/>
        <v>43746</v>
      </c>
      <c r="B295" s="620">
        <v>31.085999999999999</v>
      </c>
      <c r="C295" s="392"/>
      <c r="D295" s="395">
        <f t="shared" si="99"/>
        <v>31.400826583491529</v>
      </c>
      <c r="E295" s="387">
        <f t="shared" si="97"/>
        <v>34.265432633599787</v>
      </c>
      <c r="F295" s="387">
        <f t="shared" si="100"/>
        <v>34.382231294704411</v>
      </c>
      <c r="G295" s="110">
        <f t="shared" si="98"/>
        <v>0.9518468532412222</v>
      </c>
      <c r="H295" s="416" t="b">
        <f>Wh_hp&gt;='2018'!Maxi_hp</f>
        <v>1</v>
      </c>
      <c r="I295" s="392">
        <f>IF(H295,Wh_hp,'2018'!Maxi_hp)</f>
        <v>34.382231294704411</v>
      </c>
      <c r="J295" s="85">
        <f>IF(H295,An,'2018'!An_max)</f>
        <v>2019</v>
      </c>
      <c r="K295" s="199">
        <f t="shared" si="101"/>
        <v>43746</v>
      </c>
      <c r="L295" s="147">
        <f>IF(t&lt;Tvie,1-EXP((T0-t)*PertePVj)+'2018'!Pspv,1-EXP((T0-t)*PertePVj)+Pspv)</f>
        <v>1.002606038584497E-2</v>
      </c>
      <c r="M295" s="872"/>
      <c r="N295" s="872"/>
      <c r="O295" s="48">
        <f>IF(t&lt;Tnet,'2018'!Resal+('2018'!Salim-'2018'!Resal)*(1-EXP(('2018'!Tnet-t)/('2018'!Tau_j))),Resal+(Salim-Resal)*(1-EXP((Tnet-t)/(Tau_j))))*Salcycl</f>
        <v>8.3600463497411168E-2</v>
      </c>
      <c r="P295" s="171">
        <f>(INDEX(Models!$BJ295:$BT295,,T295)*(1-R295)+INDEX(Models!$BJ295:$BT295,,T295+1)*R295-ERP_i)*Q295*Ramure*Pc/MaxiM</f>
        <v>3.6466780734788857E-3</v>
      </c>
      <c r="Q295" s="307">
        <f t="shared" si="102"/>
        <v>0.9</v>
      </c>
      <c r="R295" s="179">
        <f t="shared" si="103"/>
        <v>0.59498432795149148</v>
      </c>
      <c r="S295" s="839">
        <f t="shared" si="104"/>
        <v>-2</v>
      </c>
      <c r="T295" s="178">
        <f t="shared" si="105"/>
        <v>4</v>
      </c>
      <c r="U295" s="253">
        <f t="shared" si="106"/>
        <v>-1.4050156720485085</v>
      </c>
      <c r="V295" s="385">
        <f t="shared" si="107"/>
        <v>32.650435267703244</v>
      </c>
      <c r="W295" s="58"/>
      <c r="X295" s="157">
        <f t="shared" si="108"/>
        <v>43746</v>
      </c>
      <c r="Y295" s="387">
        <f t="shared" si="109"/>
        <v>31.085999999999999</v>
      </c>
      <c r="Z295" s="387">
        <f t="shared" si="110"/>
        <v>31.400826583491529</v>
      </c>
      <c r="AA295" s="388">
        <f t="shared" si="111"/>
        <v>34.265432633599787</v>
      </c>
      <c r="AB295" s="199">
        <f t="shared" si="112"/>
        <v>43746</v>
      </c>
      <c r="AC295" s="428">
        <f>IF(OR(t&lt;Tnet,NoTnet),'2018'!Resal_s+('2018'!Salim-'2018'!Resal_s)*(1-EXP(('2018'!Tnet_s-t)/'2018'!Tau_j)),Resal_s+(Salim-Resal_s)*(1-EXP((Tnet_s-t)/Tau_j)))*Salcycl</f>
        <v>8.3600463497411168E-2</v>
      </c>
      <c r="AD295" s="233">
        <f>(INDEX(Models!$BJ295:$BT295,,AH295)*(1-AF295)+INDEX(Models!$BJ295:$BT295,,AH295+1)*AF295-ERP_i)*AE295*Ramure*Pc/MaxiM</f>
        <v>3.6466780734788857E-3</v>
      </c>
      <c r="AE295" s="307">
        <f t="shared" si="113"/>
        <v>0.9</v>
      </c>
      <c r="AF295" s="179">
        <f t="shared" si="114"/>
        <v>0.59498432795149148</v>
      </c>
      <c r="AG295" s="178">
        <f t="shared" si="115"/>
        <v>-2</v>
      </c>
      <c r="AH295" s="178">
        <f t="shared" si="116"/>
        <v>4</v>
      </c>
      <c r="AI295" s="227">
        <f t="shared" si="117"/>
        <v>-1.4050156720485085</v>
      </c>
      <c r="AJ295" s="267" t="b">
        <f t="shared" si="118"/>
        <v>0</v>
      </c>
      <c r="AK295" s="267" t="b">
        <f t="shared" si="119"/>
        <v>0</v>
      </c>
      <c r="AL295" s="267"/>
      <c r="AM295" s="267"/>
      <c r="AN295" s="75"/>
    </row>
    <row r="296" spans="1:40" s="6" customFormat="1" ht="11.25" customHeight="1" x14ac:dyDescent="0.2">
      <c r="A296" s="56">
        <f t="shared" si="120"/>
        <v>43747</v>
      </c>
      <c r="B296" s="620">
        <v>8.9670000000000005</v>
      </c>
      <c r="C296" s="392"/>
      <c r="D296" s="395">
        <f t="shared" si="99"/>
        <v>9.0580249855276271</v>
      </c>
      <c r="E296" s="387">
        <f t="shared" si="97"/>
        <v>9.8853930963053163</v>
      </c>
      <c r="F296" s="387">
        <f t="shared" si="100"/>
        <v>9.8853930963053163</v>
      </c>
      <c r="G296" s="110">
        <f t="shared" si="98"/>
        <v>0.27714988524866424</v>
      </c>
      <c r="H296" s="416" t="b">
        <f>Wh_hp&gt;='2018'!Maxi_hp</f>
        <v>0</v>
      </c>
      <c r="I296" s="392">
        <f>IF(H296,Wh_hp,'2018'!Maxi_hp)</f>
        <v>31.87290957206617</v>
      </c>
      <c r="J296" s="85">
        <f>IF(H296,An,'2018'!An_max)</f>
        <v>2018</v>
      </c>
      <c r="K296" s="199">
        <f t="shared" si="101"/>
        <v>43747</v>
      </c>
      <c r="L296" s="147">
        <f>IF(t&lt;Tvie,1-EXP((T0-t)*PertePVj)+'2018'!Pspv,1-EXP((T0-t)*PertePVj)+Pspv)</f>
        <v>1.0049098525678701E-2</v>
      </c>
      <c r="M296" s="872"/>
      <c r="N296" s="872"/>
      <c r="O296" s="48">
        <f>IF(t&lt;Tnet,'2018'!Resal+('2018'!Salim-'2018'!Resal)*(1-EXP(('2018'!Tnet-t)/('2018'!Tau_j))),Resal+(Salim-Resal)*(1-EXP((Tnet-t)/(Tau_j))))*Salcycl</f>
        <v>8.3696025308990493E-2</v>
      </c>
      <c r="P296" s="171">
        <f>(INDEX(Models!$BJ296:$BT296,,T296)*(1-R296)+INDEX(Models!$BJ296:$BT296,,T296+1)*R296-ERP_i)*Q296*Ramure*Pc/MaxiM</f>
        <v>3.6476650080432978E-3</v>
      </c>
      <c r="Q296" s="307">
        <f t="shared" si="102"/>
        <v>0.9</v>
      </c>
      <c r="R296" s="179">
        <f t="shared" si="103"/>
        <v>0.59518519338641918</v>
      </c>
      <c r="S296" s="839">
        <f t="shared" si="104"/>
        <v>-2</v>
      </c>
      <c r="T296" s="178">
        <f t="shared" si="105"/>
        <v>4</v>
      </c>
      <c r="U296" s="253">
        <f t="shared" si="106"/>
        <v>-1.4048148066135808</v>
      </c>
      <c r="V296" s="385">
        <f t="shared" si="107"/>
        <v>32.236316388357366</v>
      </c>
      <c r="W296" s="58"/>
      <c r="X296" s="157">
        <f t="shared" si="108"/>
        <v>43747</v>
      </c>
      <c r="Y296" s="387">
        <f t="shared" si="109"/>
        <v>8.9670000000000005</v>
      </c>
      <c r="Z296" s="387">
        <f t="shared" si="110"/>
        <v>9.0580249855276271</v>
      </c>
      <c r="AA296" s="388">
        <f t="shared" si="111"/>
        <v>9.8853930963053163</v>
      </c>
      <c r="AB296" s="199">
        <f t="shared" si="112"/>
        <v>43747</v>
      </c>
      <c r="AC296" s="428">
        <f>IF(OR(t&lt;Tnet,NoTnet),'2018'!Resal_s+('2018'!Salim-'2018'!Resal_s)*(1-EXP(('2018'!Tnet_s-t)/'2018'!Tau_j)),Resal_s+(Salim-Resal_s)*(1-EXP((Tnet_s-t)/Tau_j)))*Salcycl</f>
        <v>8.3696025308990493E-2</v>
      </c>
      <c r="AD296" s="233">
        <f>(INDEX(Models!$BJ296:$BT296,,AH296)*(1-AF296)+INDEX(Models!$BJ296:$BT296,,AH296+1)*AF296-ERP_i)*AE296*Ramure*Pc/MaxiM</f>
        <v>3.6476650080432978E-3</v>
      </c>
      <c r="AE296" s="307">
        <f t="shared" si="113"/>
        <v>0.9</v>
      </c>
      <c r="AF296" s="179">
        <f t="shared" si="114"/>
        <v>0.59518519338641918</v>
      </c>
      <c r="AG296" s="178">
        <f t="shared" si="115"/>
        <v>-2</v>
      </c>
      <c r="AH296" s="178">
        <f t="shared" si="116"/>
        <v>4</v>
      </c>
      <c r="AI296" s="227">
        <f t="shared" si="117"/>
        <v>-1.4048148066135808</v>
      </c>
      <c r="AJ296" s="267" t="b">
        <f t="shared" si="118"/>
        <v>0</v>
      </c>
      <c r="AK296" s="267" t="b">
        <f t="shared" si="119"/>
        <v>0</v>
      </c>
      <c r="AL296" s="267"/>
      <c r="AM296" s="267"/>
      <c r="AN296" s="75"/>
    </row>
    <row r="297" spans="1:40" s="6" customFormat="1" ht="11.25" customHeight="1" x14ac:dyDescent="0.2">
      <c r="A297" s="56">
        <f t="shared" si="120"/>
        <v>43748</v>
      </c>
      <c r="B297" s="620">
        <v>23.169</v>
      </c>
      <c r="C297" s="392"/>
      <c r="D297" s="395">
        <f t="shared" si="99"/>
        <v>23.404735683880226</v>
      </c>
      <c r="E297" s="387">
        <f t="shared" ref="E297:E360" si="121">Wh_pvt/(1-Psa)</f>
        <v>25.545153645257802</v>
      </c>
      <c r="F297" s="387">
        <f t="shared" si="100"/>
        <v>25.602415817400519</v>
      </c>
      <c r="G297" s="110">
        <f t="shared" ref="G297:G360" si="122">+Wh_hp/MaxiM</f>
        <v>0.72695447145497705</v>
      </c>
      <c r="H297" s="416" t="b">
        <f>Wh_hp&gt;='2018'!Maxi_hp</f>
        <v>1</v>
      </c>
      <c r="I297" s="392">
        <f>IF(H297,Wh_hp,'2018'!Maxi_hp)</f>
        <v>25.602415817400519</v>
      </c>
      <c r="J297" s="85">
        <f>IF(H297,An,'2018'!An_max)</f>
        <v>2019</v>
      </c>
      <c r="K297" s="199">
        <f t="shared" si="101"/>
        <v>43748</v>
      </c>
      <c r="L297" s="147">
        <f>IF(t&lt;Tvie,1-EXP((T0-t)*PertePVj)+'2018'!Pspv,1-EXP((T0-t)*PertePVj)+Pspv)</f>
        <v>1.0072136129381182E-2</v>
      </c>
      <c r="M297" s="872"/>
      <c r="N297" s="872"/>
      <c r="O297" s="48">
        <f>IF(t&lt;Tnet,'2018'!Resal+('2018'!Salim-'2018'!Resal)*(1-EXP(('2018'!Tnet-t)/('2018'!Tau_j))),Resal+(Salim-Resal)*(1-EXP((Tnet-t)/(Tau_j))))*Salcycl</f>
        <v>8.3789590428825778E-2</v>
      </c>
      <c r="P297" s="171">
        <f>(INDEX(Models!$BJ297:$BT297,,T297)*(1-R297)+INDEX(Models!$BJ297:$BT297,,T297+1)*R297-ERP_i)*Q297*Ramure*Pc/MaxiM</f>
        <v>3.6580502385904329E-3</v>
      </c>
      <c r="Q297" s="307">
        <f t="shared" si="102"/>
        <v>0.9</v>
      </c>
      <c r="R297" s="179">
        <f t="shared" si="103"/>
        <v>0.59537808042844675</v>
      </c>
      <c r="S297" s="839">
        <f t="shared" si="104"/>
        <v>-2</v>
      </c>
      <c r="T297" s="178">
        <f t="shared" si="105"/>
        <v>4</v>
      </c>
      <c r="U297" s="253">
        <f t="shared" si="106"/>
        <v>-1.4046219195715532</v>
      </c>
      <c r="V297" s="385">
        <f t="shared" si="107"/>
        <v>31.825916657063772</v>
      </c>
      <c r="W297" s="58"/>
      <c r="X297" s="157">
        <f t="shared" si="108"/>
        <v>43748</v>
      </c>
      <c r="Y297" s="387">
        <f t="shared" si="109"/>
        <v>23.169</v>
      </c>
      <c r="Z297" s="387">
        <f t="shared" si="110"/>
        <v>23.404735683880226</v>
      </c>
      <c r="AA297" s="388">
        <f t="shared" si="111"/>
        <v>25.545153645257802</v>
      </c>
      <c r="AB297" s="199">
        <f t="shared" si="112"/>
        <v>43748</v>
      </c>
      <c r="AC297" s="428">
        <f>IF(OR(t&lt;Tnet,NoTnet),'2018'!Resal_s+('2018'!Salim-'2018'!Resal_s)*(1-EXP(('2018'!Tnet_s-t)/'2018'!Tau_j)),Resal_s+(Salim-Resal_s)*(1-EXP((Tnet_s-t)/Tau_j)))*Salcycl</f>
        <v>8.3789590428825778E-2</v>
      </c>
      <c r="AD297" s="233">
        <f>(INDEX(Models!$BJ297:$BT297,,AH297)*(1-AF297)+INDEX(Models!$BJ297:$BT297,,AH297+1)*AF297-ERP_i)*AE297*Ramure*Pc/MaxiM</f>
        <v>3.6580502385904329E-3</v>
      </c>
      <c r="AE297" s="307">
        <f t="shared" si="113"/>
        <v>0.9</v>
      </c>
      <c r="AF297" s="179">
        <f t="shared" si="114"/>
        <v>0.59537808042844675</v>
      </c>
      <c r="AG297" s="178">
        <f t="shared" si="115"/>
        <v>-2</v>
      </c>
      <c r="AH297" s="178">
        <f t="shared" si="116"/>
        <v>4</v>
      </c>
      <c r="AI297" s="227">
        <f t="shared" si="117"/>
        <v>-1.4046219195715532</v>
      </c>
      <c r="AJ297" s="267" t="b">
        <f t="shared" si="118"/>
        <v>0</v>
      </c>
      <c r="AK297" s="267" t="b">
        <f t="shared" si="119"/>
        <v>0</v>
      </c>
      <c r="AL297" s="267"/>
      <c r="AM297" s="267"/>
      <c r="AN297" s="75"/>
    </row>
    <row r="298" spans="1:40" s="6" customFormat="1" ht="11.25" customHeight="1" x14ac:dyDescent="0.2">
      <c r="A298" s="56">
        <f t="shared" si="120"/>
        <v>43749</v>
      </c>
      <c r="B298" s="620">
        <v>31.757000000000001</v>
      </c>
      <c r="C298" s="392"/>
      <c r="D298" s="395">
        <f t="shared" si="99"/>
        <v>32.080861856751817</v>
      </c>
      <c r="E298" s="387">
        <f t="shared" si="121"/>
        <v>35.018231751636648</v>
      </c>
      <c r="F298" s="387">
        <f t="shared" si="100"/>
        <v>35.147507739823403</v>
      </c>
      <c r="G298" s="110">
        <f t="shared" si="122"/>
        <v>1.010717719775998</v>
      </c>
      <c r="H298" s="416" t="b">
        <f>Wh_hp&gt;='2018'!Maxi_hp</f>
        <v>1</v>
      </c>
      <c r="I298" s="392">
        <f>IF(H298,Wh_hp,'2018'!Maxi_hp)</f>
        <v>35.147507739823403</v>
      </c>
      <c r="J298" s="85">
        <f>IF(H298,An,'2018'!An_max)</f>
        <v>2019</v>
      </c>
      <c r="K298" s="199">
        <f t="shared" si="101"/>
        <v>43749</v>
      </c>
      <c r="L298" s="147">
        <f>IF(t&lt;Tvie,1-EXP((T0-t)*PertePVj)+'2018'!Pspv,1-EXP((T0-t)*PertePVj)+Pspv)</f>
        <v>1.0095173196964957E-2</v>
      </c>
      <c r="M298" s="872"/>
      <c r="N298" s="872"/>
      <c r="O298" s="48">
        <f>IF(t&lt;Tnet,'2018'!Resal+('2018'!Salim-'2018'!Resal)*(1-EXP(('2018'!Tnet-t)/('2018'!Tau_j))),Resal+(Salim-Resal)*(1-EXP((Tnet-t)/(Tau_j))))*Salcycl</f>
        <v>8.3881159840332328E-2</v>
      </c>
      <c r="P298" s="171">
        <f>(INDEX(Models!$BJ298:$BT298,,T298)*(1-R298)+INDEX(Models!$BJ298:$BT298,,T298+1)*R298-ERP_i)*Q298*Ramure*Pc/MaxiM</f>
        <v>3.678098292024225E-3</v>
      </c>
      <c r="Q298" s="307">
        <f t="shared" si="102"/>
        <v>0.9</v>
      </c>
      <c r="R298" s="179">
        <f t="shared" si="103"/>
        <v>0.59556330179115946</v>
      </c>
      <c r="S298" s="839">
        <f t="shared" si="104"/>
        <v>-2</v>
      </c>
      <c r="T298" s="178">
        <f t="shared" si="105"/>
        <v>4</v>
      </c>
      <c r="U298" s="253">
        <f t="shared" si="106"/>
        <v>-1.4044366982088405</v>
      </c>
      <c r="V298" s="385">
        <f t="shared" si="107"/>
        <v>31.420246601630961</v>
      </c>
      <c r="W298" s="58"/>
      <c r="X298" s="157">
        <f t="shared" si="108"/>
        <v>43749</v>
      </c>
      <c r="Y298" s="387">
        <f t="shared" si="109"/>
        <v>31.757000000000001</v>
      </c>
      <c r="Z298" s="387">
        <f t="shared" si="110"/>
        <v>32.080861856751817</v>
      </c>
      <c r="AA298" s="388">
        <f t="shared" si="111"/>
        <v>35.018231751636648</v>
      </c>
      <c r="AB298" s="199">
        <f t="shared" si="112"/>
        <v>43749</v>
      </c>
      <c r="AC298" s="428">
        <f>IF(OR(t&lt;Tnet,NoTnet),'2018'!Resal_s+('2018'!Salim-'2018'!Resal_s)*(1-EXP(('2018'!Tnet_s-t)/'2018'!Tau_j)),Resal_s+(Salim-Resal_s)*(1-EXP((Tnet_s-t)/Tau_j)))*Salcycl</f>
        <v>8.3881159840332328E-2</v>
      </c>
      <c r="AD298" s="233">
        <f>(INDEX(Models!$BJ298:$BT298,,AH298)*(1-AF298)+INDEX(Models!$BJ298:$BT298,,AH298+1)*AF298-ERP_i)*AE298*Ramure*Pc/MaxiM</f>
        <v>3.678098292024225E-3</v>
      </c>
      <c r="AE298" s="307">
        <f t="shared" si="113"/>
        <v>0.9</v>
      </c>
      <c r="AF298" s="179">
        <f t="shared" si="114"/>
        <v>0.59556330179115946</v>
      </c>
      <c r="AG298" s="178">
        <f t="shared" si="115"/>
        <v>-2</v>
      </c>
      <c r="AH298" s="178">
        <f t="shared" si="116"/>
        <v>4</v>
      </c>
      <c r="AI298" s="227">
        <f t="shared" si="117"/>
        <v>-1.4044366982088405</v>
      </c>
      <c r="AJ298" s="267" t="b">
        <f t="shared" si="118"/>
        <v>0</v>
      </c>
      <c r="AK298" s="267" t="b">
        <f t="shared" si="119"/>
        <v>0</v>
      </c>
      <c r="AL298" s="267"/>
      <c r="AM298" s="267"/>
      <c r="AN298" s="75"/>
    </row>
    <row r="299" spans="1:40" s="6" customFormat="1" ht="11.25" customHeight="1" x14ac:dyDescent="0.2">
      <c r="A299" s="56">
        <f t="shared" si="120"/>
        <v>43750</v>
      </c>
      <c r="B299" s="620">
        <v>15.401</v>
      </c>
      <c r="C299" s="392"/>
      <c r="D299" s="395">
        <f t="shared" si="99"/>
        <v>15.558423390913166</v>
      </c>
      <c r="E299" s="387">
        <f t="shared" si="121"/>
        <v>16.984635829419947</v>
      </c>
      <c r="F299" s="387">
        <f t="shared" si="100"/>
        <v>17.002332020058478</v>
      </c>
      <c r="G299" s="110">
        <f t="shared" si="122"/>
        <v>0.49515545109860754</v>
      </c>
      <c r="H299" s="416" t="b">
        <f>Wh_hp&gt;='2018'!Maxi_hp</f>
        <v>0</v>
      </c>
      <c r="I299" s="392">
        <f>IF(H299,Wh_hp,'2018'!Maxi_hp)</f>
        <v>31.017695504453624</v>
      </c>
      <c r="J299" s="85">
        <f>IF(H299,An,'2018'!An_max)</f>
        <v>2018</v>
      </c>
      <c r="K299" s="199">
        <f t="shared" si="101"/>
        <v>43750</v>
      </c>
      <c r="L299" s="147">
        <f>IF(t&lt;Tvie,1-EXP((T0-t)*PertePVj)+'2018'!Pspv,1-EXP((T0-t)*PertePVj)+Pspv)</f>
        <v>1.0118209728442573E-2</v>
      </c>
      <c r="M299" s="872"/>
      <c r="N299" s="872"/>
      <c r="O299" s="48">
        <f>IF(t&lt;Tnet,'2018'!Resal+('2018'!Salim-'2018'!Resal)*(1-EXP(('2018'!Tnet-t)/('2018'!Tau_j))),Resal+(Salim-Resal)*(1-EXP((Tnet-t)/(Tau_j))))*Salcycl</f>
        <v>8.3970739957601348E-2</v>
      </c>
      <c r="P299" s="171">
        <f>(INDEX(Models!$BJ299:$BT299,,T299)*(1-R299)+INDEX(Models!$BJ299:$BT299,,T299+1)*R299-ERP_i)*Q299*Ramure*Pc/MaxiM</f>
        <v>3.7080757986588989E-3</v>
      </c>
      <c r="Q299" s="307">
        <f t="shared" si="102"/>
        <v>0.9</v>
      </c>
      <c r="R299" s="179">
        <f t="shared" si="103"/>
        <v>0.59574115826002161</v>
      </c>
      <c r="S299" s="839">
        <f t="shared" si="104"/>
        <v>-2</v>
      </c>
      <c r="T299" s="178">
        <f t="shared" si="105"/>
        <v>4</v>
      </c>
      <c r="U299" s="253">
        <f t="shared" si="106"/>
        <v>-1.4042588417399784</v>
      </c>
      <c r="V299" s="385">
        <f t="shared" si="107"/>
        <v>31.020316144976974</v>
      </c>
      <c r="W299" s="58"/>
      <c r="X299" s="157">
        <f t="shared" si="108"/>
        <v>43750</v>
      </c>
      <c r="Y299" s="387">
        <f t="shared" si="109"/>
        <v>15.401</v>
      </c>
      <c r="Z299" s="387">
        <f t="shared" si="110"/>
        <v>15.558423390913166</v>
      </c>
      <c r="AA299" s="388">
        <f t="shared" si="111"/>
        <v>16.984635829419947</v>
      </c>
      <c r="AB299" s="199">
        <f t="shared" si="112"/>
        <v>43750</v>
      </c>
      <c r="AC299" s="428">
        <f>IF(OR(t&lt;Tnet,NoTnet),'2018'!Resal_s+('2018'!Salim-'2018'!Resal_s)*(1-EXP(('2018'!Tnet_s-t)/'2018'!Tau_j)),Resal_s+(Salim-Resal_s)*(1-EXP((Tnet_s-t)/Tau_j)))*Salcycl</f>
        <v>8.3970739957601348E-2</v>
      </c>
      <c r="AD299" s="233">
        <f>(INDEX(Models!$BJ299:$BT299,,AH299)*(1-AF299)+INDEX(Models!$BJ299:$BT299,,AH299+1)*AF299-ERP_i)*AE299*Ramure*Pc/MaxiM</f>
        <v>3.7080757986588989E-3</v>
      </c>
      <c r="AE299" s="307">
        <f t="shared" si="113"/>
        <v>0.9</v>
      </c>
      <c r="AF299" s="179">
        <f t="shared" si="114"/>
        <v>0.59574115826002161</v>
      </c>
      <c r="AG299" s="178">
        <f t="shared" si="115"/>
        <v>-2</v>
      </c>
      <c r="AH299" s="178">
        <f t="shared" si="116"/>
        <v>4</v>
      </c>
      <c r="AI299" s="227">
        <f t="shared" si="117"/>
        <v>-1.4042588417399784</v>
      </c>
      <c r="AJ299" s="267" t="b">
        <f t="shared" si="118"/>
        <v>0</v>
      </c>
      <c r="AK299" s="267" t="b">
        <f t="shared" si="119"/>
        <v>0</v>
      </c>
      <c r="AL299" s="267"/>
      <c r="AM299" s="267"/>
      <c r="AN299" s="75"/>
    </row>
    <row r="300" spans="1:40" s="6" customFormat="1" ht="11.25" customHeight="1" x14ac:dyDescent="0.2">
      <c r="A300" s="56">
        <f t="shared" si="120"/>
        <v>43751</v>
      </c>
      <c r="B300" s="620">
        <v>28.559000000000001</v>
      </c>
      <c r="C300" s="392"/>
      <c r="D300" s="395">
        <f t="shared" si="99"/>
        <v>28.851591074610987</v>
      </c>
      <c r="E300" s="387">
        <f t="shared" si="121"/>
        <v>31.499376460893021</v>
      </c>
      <c r="F300" s="387">
        <f t="shared" si="100"/>
        <v>31.606416942346012</v>
      </c>
      <c r="G300" s="110">
        <f t="shared" si="122"/>
        <v>0.93213547196233226</v>
      </c>
      <c r="H300" s="416" t="b">
        <f>Wh_hp&gt;='2018'!Maxi_hp</f>
        <v>1</v>
      </c>
      <c r="I300" s="392">
        <f>IF(H300,Wh_hp,'2018'!Maxi_hp)</f>
        <v>31.606416942346012</v>
      </c>
      <c r="J300" s="85">
        <f>IF(H300,An,'2018'!An_max)</f>
        <v>2019</v>
      </c>
      <c r="K300" s="199">
        <f t="shared" si="101"/>
        <v>43751</v>
      </c>
      <c r="L300" s="147">
        <f>IF(t&lt;Tvie,1-EXP((T0-t)*PertePVj)+'2018'!Pspv,1-EXP((T0-t)*PertePVj)+Pspv)</f>
        <v>1.0141245723826353E-2</v>
      </c>
      <c r="M300" s="872"/>
      <c r="N300" s="872"/>
      <c r="O300" s="48">
        <f>IF(t&lt;Tnet,'2018'!Resal+('2018'!Salim-'2018'!Resal)*(1-EXP(('2018'!Tnet-t)/('2018'!Tau_j))),Resal+(Salim-Resal)*(1-EXP((Tnet-t)/(Tau_j))))*Salcycl</f>
        <v>8.4058342855430873E-2</v>
      </c>
      <c r="P300" s="171">
        <f>(INDEX(Models!$BJ300:$BT300,,T300)*(1-R300)+INDEX(Models!$BJ300:$BT300,,T300+1)*R300-ERP_i)*Q300*Ramure*Pc/MaxiM</f>
        <v>3.748247869246438E-3</v>
      </c>
      <c r="Q300" s="307">
        <f t="shared" si="102"/>
        <v>0.9</v>
      </c>
      <c r="R300" s="179">
        <f t="shared" si="103"/>
        <v>0.59591193912145335</v>
      </c>
      <c r="S300" s="839">
        <f t="shared" si="104"/>
        <v>-2</v>
      </c>
      <c r="T300" s="178">
        <f t="shared" si="105"/>
        <v>4</v>
      </c>
      <c r="U300" s="253">
        <f t="shared" si="106"/>
        <v>-1.4040880608785467</v>
      </c>
      <c r="V300" s="385">
        <f t="shared" si="107"/>
        <v>30.627134622843993</v>
      </c>
      <c r="W300" s="58"/>
      <c r="X300" s="157">
        <f t="shared" si="108"/>
        <v>43751</v>
      </c>
      <c r="Y300" s="387">
        <f t="shared" si="109"/>
        <v>28.559000000000001</v>
      </c>
      <c r="Z300" s="387">
        <f t="shared" si="110"/>
        <v>28.851591074610987</v>
      </c>
      <c r="AA300" s="388">
        <f t="shared" si="111"/>
        <v>31.499376460893021</v>
      </c>
      <c r="AB300" s="199">
        <f t="shared" si="112"/>
        <v>43751</v>
      </c>
      <c r="AC300" s="428">
        <f>IF(OR(t&lt;Tnet,NoTnet),'2018'!Resal_s+('2018'!Salim-'2018'!Resal_s)*(1-EXP(('2018'!Tnet_s-t)/'2018'!Tau_j)),Resal_s+(Salim-Resal_s)*(1-EXP((Tnet_s-t)/Tau_j)))*Salcycl</f>
        <v>8.4058342855430873E-2</v>
      </c>
      <c r="AD300" s="233">
        <f>(INDEX(Models!$BJ300:$BT300,,AH300)*(1-AF300)+INDEX(Models!$BJ300:$BT300,,AH300+1)*AF300-ERP_i)*AE300*Ramure*Pc/MaxiM</f>
        <v>3.748247869246438E-3</v>
      </c>
      <c r="AE300" s="307">
        <f t="shared" si="113"/>
        <v>0.9</v>
      </c>
      <c r="AF300" s="179">
        <f t="shared" si="114"/>
        <v>0.59591193912145335</v>
      </c>
      <c r="AG300" s="178">
        <f t="shared" si="115"/>
        <v>-2</v>
      </c>
      <c r="AH300" s="178">
        <f t="shared" si="116"/>
        <v>4</v>
      </c>
      <c r="AI300" s="227">
        <f t="shared" si="117"/>
        <v>-1.4040880608785467</v>
      </c>
      <c r="AJ300" s="267" t="b">
        <f t="shared" si="118"/>
        <v>0</v>
      </c>
      <c r="AK300" s="267" t="b">
        <f t="shared" si="119"/>
        <v>0</v>
      </c>
      <c r="AL300" s="267"/>
      <c r="AM300" s="267"/>
      <c r="AN300" s="75"/>
    </row>
    <row r="301" spans="1:40" s="6" customFormat="1" ht="11.25" customHeight="1" x14ac:dyDescent="0.2">
      <c r="A301" s="56">
        <f t="shared" si="120"/>
        <v>43752</v>
      </c>
      <c r="B301" s="620">
        <v>9.3800000000000008</v>
      </c>
      <c r="C301" s="392"/>
      <c r="D301" s="395">
        <f t="shared" si="99"/>
        <v>9.476319980866835</v>
      </c>
      <c r="E301" s="387">
        <f t="shared" si="121"/>
        <v>10.346953932604892</v>
      </c>
      <c r="F301" s="387">
        <f t="shared" si="100"/>
        <v>10.347524902728789</v>
      </c>
      <c r="G301" s="110">
        <f t="shared" si="122"/>
        <v>0.3090064005023529</v>
      </c>
      <c r="H301" s="416" t="b">
        <f>Wh_hp&gt;='2018'!Maxi_hp</f>
        <v>0</v>
      </c>
      <c r="I301" s="392">
        <f>IF(H301,Wh_hp,'2018'!Maxi_hp)</f>
        <v>30.847485648694672</v>
      </c>
      <c r="J301" s="85">
        <f>IF(H301,An,'2018'!An_max)</f>
        <v>2018</v>
      </c>
      <c r="K301" s="199">
        <f t="shared" si="101"/>
        <v>43752</v>
      </c>
      <c r="L301" s="147">
        <f>IF(t&lt;Tvie,1-EXP((T0-t)*PertePVj)+'2018'!Pspv,1-EXP((T0-t)*PertePVj)+Pspv)</f>
        <v>1.0164281183128954E-2</v>
      </c>
      <c r="M301" s="872"/>
      <c r="N301" s="872"/>
      <c r="O301" s="48">
        <f>IF(t&lt;Tnet,'2018'!Resal+('2018'!Salim-'2018'!Resal)*(1-EXP(('2018'!Tnet-t)/('2018'!Tau_j))),Resal+(Salim-Resal)*(1-EXP((Tnet-t)/(Tau_j))))*Salcycl</f>
        <v>8.4143986472632396E-2</v>
      </c>
      <c r="P301" s="171">
        <f>(INDEX(Models!$BJ301:$BT301,,T301)*(1-R301)+INDEX(Models!$BJ301:$BT301,,T301+1)*R301-ERP_i)*Q301*Ramure*Pc/MaxiM</f>
        <v>3.7988740078482531E-3</v>
      </c>
      <c r="Q301" s="307">
        <f t="shared" si="102"/>
        <v>0.9</v>
      </c>
      <c r="R301" s="179">
        <f t="shared" si="103"/>
        <v>0.59607592257854636</v>
      </c>
      <c r="S301" s="839">
        <f t="shared" si="104"/>
        <v>-2</v>
      </c>
      <c r="T301" s="178">
        <f t="shared" si="105"/>
        <v>4</v>
      </c>
      <c r="U301" s="253">
        <f t="shared" si="106"/>
        <v>-1.4039240774214536</v>
      </c>
      <c r="V301" s="385">
        <f t="shared" si="107"/>
        <v>30.241710823868949</v>
      </c>
      <c r="W301" s="58"/>
      <c r="X301" s="157">
        <f t="shared" si="108"/>
        <v>43752</v>
      </c>
      <c r="Y301" s="387">
        <f t="shared" si="109"/>
        <v>9.3800000000000008</v>
      </c>
      <c r="Z301" s="387">
        <f t="shared" si="110"/>
        <v>9.476319980866835</v>
      </c>
      <c r="AA301" s="388">
        <f t="shared" si="111"/>
        <v>10.346953932604892</v>
      </c>
      <c r="AB301" s="199">
        <f t="shared" si="112"/>
        <v>43752</v>
      </c>
      <c r="AC301" s="428">
        <f>IF(OR(t&lt;Tnet,NoTnet),'2018'!Resal_s+('2018'!Salim-'2018'!Resal_s)*(1-EXP(('2018'!Tnet_s-t)/'2018'!Tau_j)),Resal_s+(Salim-Resal_s)*(1-EXP((Tnet_s-t)/Tau_j)))*Salcycl</f>
        <v>8.4143986472632396E-2</v>
      </c>
      <c r="AD301" s="233">
        <f>(INDEX(Models!$BJ301:$BT301,,AH301)*(1-AF301)+INDEX(Models!$BJ301:$BT301,,AH301+1)*AF301-ERP_i)*AE301*Ramure*Pc/MaxiM</f>
        <v>3.7988740078482531E-3</v>
      </c>
      <c r="AE301" s="307">
        <f t="shared" si="113"/>
        <v>0.9</v>
      </c>
      <c r="AF301" s="179">
        <f t="shared" si="114"/>
        <v>0.59607592257854636</v>
      </c>
      <c r="AG301" s="178">
        <f t="shared" si="115"/>
        <v>-2</v>
      </c>
      <c r="AH301" s="178">
        <f t="shared" si="116"/>
        <v>4</v>
      </c>
      <c r="AI301" s="227">
        <f t="shared" si="117"/>
        <v>-1.4039240774214536</v>
      </c>
      <c r="AJ301" s="267" t="b">
        <f t="shared" si="118"/>
        <v>0</v>
      </c>
      <c r="AK301" s="267" t="b">
        <f t="shared" si="119"/>
        <v>0</v>
      </c>
      <c r="AL301" s="267"/>
      <c r="AM301" s="267"/>
      <c r="AN301" s="75"/>
    </row>
    <row r="302" spans="1:40" s="6" customFormat="1" ht="11.25" customHeight="1" x14ac:dyDescent="0.2">
      <c r="A302" s="56">
        <f t="shared" si="120"/>
        <v>43753</v>
      </c>
      <c r="B302" s="620">
        <v>25.155000000000001</v>
      </c>
      <c r="C302" s="392"/>
      <c r="D302" s="395">
        <f t="shared" si="99"/>
        <v>25.41389942695773</v>
      </c>
      <c r="E302" s="387">
        <f t="shared" si="121"/>
        <v>27.751329978275724</v>
      </c>
      <c r="F302" s="387">
        <f t="shared" si="100"/>
        <v>27.834569065864574</v>
      </c>
      <c r="G302" s="110">
        <f t="shared" si="122"/>
        <v>0.84155406661998933</v>
      </c>
      <c r="H302" s="416" t="b">
        <f>Wh_hp&gt;='2018'!Maxi_hp</f>
        <v>1</v>
      </c>
      <c r="I302" s="392">
        <f>IF(H302,Wh_hp,'2018'!Maxi_hp)</f>
        <v>27.834569065864574</v>
      </c>
      <c r="J302" s="85">
        <f>IF(H302,An,'2018'!An_max)</f>
        <v>2019</v>
      </c>
      <c r="K302" s="199">
        <f t="shared" si="101"/>
        <v>43753</v>
      </c>
      <c r="L302" s="147">
        <f>IF(t&lt;Tvie,1-EXP((T0-t)*PertePVj)+'2018'!Pspv,1-EXP((T0-t)*PertePVj)+Pspv)</f>
        <v>1.0187316106362698E-2</v>
      </c>
      <c r="M302" s="872"/>
      <c r="N302" s="872"/>
      <c r="O302" s="48">
        <f>IF(t&lt;Tnet,'2018'!Resal+('2018'!Salim-'2018'!Resal)*(1-EXP(('2018'!Tnet-t)/('2018'!Tau_j))),Resal+(Salim-Resal)*(1-EXP((Tnet-t)/(Tau_j))))*Salcycl</f>
        <v>8.4227694786079693E-2</v>
      </c>
      <c r="P302" s="171">
        <f>(INDEX(Models!$BJ302:$BT302,,T302)*(1-R302)+INDEX(Models!$BJ302:$BT302,,T302+1)*R302-ERP_i)*Q302*Ramure*Pc/MaxiM</f>
        <v>3.860203545075434E-3</v>
      </c>
      <c r="Q302" s="307">
        <f t="shared" si="102"/>
        <v>0.9</v>
      </c>
      <c r="R302" s="179">
        <f t="shared" si="103"/>
        <v>0.5962333761536589</v>
      </c>
      <c r="S302" s="839">
        <f t="shared" si="104"/>
        <v>-2</v>
      </c>
      <c r="T302" s="178">
        <f t="shared" si="105"/>
        <v>4</v>
      </c>
      <c r="U302" s="253">
        <f t="shared" si="106"/>
        <v>-1.4037666238463411</v>
      </c>
      <c r="V302" s="385">
        <f t="shared" si="107"/>
        <v>29.865053013793371</v>
      </c>
      <c r="W302" s="58"/>
      <c r="X302" s="157">
        <f t="shared" si="108"/>
        <v>43753</v>
      </c>
      <c r="Y302" s="387">
        <f t="shared" si="109"/>
        <v>25.155000000000001</v>
      </c>
      <c r="Z302" s="387">
        <f t="shared" si="110"/>
        <v>25.41389942695773</v>
      </c>
      <c r="AA302" s="388">
        <f t="shared" si="111"/>
        <v>27.751329978275724</v>
      </c>
      <c r="AB302" s="199">
        <f t="shared" si="112"/>
        <v>43753</v>
      </c>
      <c r="AC302" s="428">
        <f>IF(OR(t&lt;Tnet,NoTnet),'2018'!Resal_s+('2018'!Salim-'2018'!Resal_s)*(1-EXP(('2018'!Tnet_s-t)/'2018'!Tau_j)),Resal_s+(Salim-Resal_s)*(1-EXP((Tnet_s-t)/Tau_j)))*Salcycl</f>
        <v>8.4227694786079693E-2</v>
      </c>
      <c r="AD302" s="233">
        <f>(INDEX(Models!$BJ302:$BT302,,AH302)*(1-AF302)+INDEX(Models!$BJ302:$BT302,,AH302+1)*AF302-ERP_i)*AE302*Ramure*Pc/MaxiM</f>
        <v>3.860203545075434E-3</v>
      </c>
      <c r="AE302" s="307">
        <f t="shared" si="113"/>
        <v>0.9</v>
      </c>
      <c r="AF302" s="179">
        <f t="shared" si="114"/>
        <v>0.5962333761536589</v>
      </c>
      <c r="AG302" s="178">
        <f t="shared" si="115"/>
        <v>-2</v>
      </c>
      <c r="AH302" s="178">
        <f t="shared" si="116"/>
        <v>4</v>
      </c>
      <c r="AI302" s="227">
        <f t="shared" si="117"/>
        <v>-1.4037666238463411</v>
      </c>
      <c r="AJ302" s="267" t="b">
        <f t="shared" si="118"/>
        <v>0</v>
      </c>
      <c r="AK302" s="267" t="b">
        <f t="shared" si="119"/>
        <v>0</v>
      </c>
      <c r="AL302" s="267"/>
      <c r="AM302" s="267"/>
      <c r="AN302" s="75"/>
    </row>
    <row r="303" spans="1:40" s="6" customFormat="1" ht="11.25" customHeight="1" x14ac:dyDescent="0.2">
      <c r="A303" s="56">
        <f t="shared" si="120"/>
        <v>43754</v>
      </c>
      <c r="B303" s="620">
        <v>26.942</v>
      </c>
      <c r="C303" s="392"/>
      <c r="D303" s="395">
        <f t="shared" si="99"/>
        <v>27.219924974396456</v>
      </c>
      <c r="E303" s="387">
        <f t="shared" si="121"/>
        <v>29.726119156583486</v>
      </c>
      <c r="F303" s="387">
        <f t="shared" si="100"/>
        <v>29.828915649649929</v>
      </c>
      <c r="G303" s="110">
        <f t="shared" si="122"/>
        <v>0.91295702892848563</v>
      </c>
      <c r="H303" s="416" t="b">
        <f>Wh_hp&gt;='2018'!Maxi_hp</f>
        <v>1</v>
      </c>
      <c r="I303" s="392">
        <f>IF(H303,Wh_hp,'2018'!Maxi_hp)</f>
        <v>29.828915649649929</v>
      </c>
      <c r="J303" s="85">
        <f>IF(H303,An,'2018'!An_max)</f>
        <v>2019</v>
      </c>
      <c r="K303" s="199">
        <f t="shared" si="101"/>
        <v>43754</v>
      </c>
      <c r="L303" s="147">
        <f>IF(t&lt;Tvie,1-EXP((T0-t)*PertePVj)+'2018'!Pspv,1-EXP((T0-t)*PertePVj)+Pspv)</f>
        <v>1.0210350493540243E-2</v>
      </c>
      <c r="M303" s="872"/>
      <c r="N303" s="872"/>
      <c r="O303" s="48">
        <f>IF(t&lt;Tnet,'2018'!Resal+('2018'!Salim-'2018'!Resal)*(1-EXP(('2018'!Tnet-t)/('2018'!Tau_j))),Resal+(Salim-Resal)*(1-EXP((Tnet-t)/(Tau_j))))*Salcycl</f>
        <v>8.4309497953148668E-2</v>
      </c>
      <c r="P303" s="171">
        <f>(INDEX(Models!$BJ303:$BT303,,T303)*(1-R303)+INDEX(Models!$BJ303:$BT303,,T303+1)*R303-ERP_i)*Q303*Ramure*Pc/MaxiM</f>
        <v>3.9327198592716463E-3</v>
      </c>
      <c r="Q303" s="307">
        <f t="shared" si="102"/>
        <v>0.9</v>
      </c>
      <c r="R303" s="179">
        <f t="shared" si="103"/>
        <v>0.59638455707814497</v>
      </c>
      <c r="S303" s="839">
        <f t="shared" si="104"/>
        <v>-2</v>
      </c>
      <c r="T303" s="178">
        <f t="shared" si="105"/>
        <v>4</v>
      </c>
      <c r="U303" s="253">
        <f t="shared" si="106"/>
        <v>-1.403615442921855</v>
      </c>
      <c r="V303" s="385">
        <f t="shared" si="107"/>
        <v>29.496291803830427</v>
      </c>
      <c r="W303" s="58"/>
      <c r="X303" s="157">
        <f t="shared" si="108"/>
        <v>43754</v>
      </c>
      <c r="Y303" s="387">
        <f t="shared" si="109"/>
        <v>26.942</v>
      </c>
      <c r="Z303" s="387">
        <f t="shared" si="110"/>
        <v>27.219924974396456</v>
      </c>
      <c r="AA303" s="388">
        <f t="shared" si="111"/>
        <v>29.726119156583486</v>
      </c>
      <c r="AB303" s="199">
        <f t="shared" si="112"/>
        <v>43754</v>
      </c>
      <c r="AC303" s="428">
        <f>IF(OR(t&lt;Tnet,NoTnet),'2018'!Resal_s+('2018'!Salim-'2018'!Resal_s)*(1-EXP(('2018'!Tnet_s-t)/'2018'!Tau_j)),Resal_s+(Salim-Resal_s)*(1-EXP((Tnet_s-t)/Tau_j)))*Salcycl</f>
        <v>8.4309497953148668E-2</v>
      </c>
      <c r="AD303" s="233">
        <f>(INDEX(Models!$BJ303:$BT303,,AH303)*(1-AF303)+INDEX(Models!$BJ303:$BT303,,AH303+1)*AF303-ERP_i)*AE303*Ramure*Pc/MaxiM</f>
        <v>3.9327198592716463E-3</v>
      </c>
      <c r="AE303" s="307">
        <f t="shared" si="113"/>
        <v>0.9</v>
      </c>
      <c r="AF303" s="179">
        <f t="shared" si="114"/>
        <v>0.59638455707814497</v>
      </c>
      <c r="AG303" s="178">
        <f t="shared" si="115"/>
        <v>-2</v>
      </c>
      <c r="AH303" s="178">
        <f t="shared" si="116"/>
        <v>4</v>
      </c>
      <c r="AI303" s="227">
        <f t="shared" si="117"/>
        <v>-1.403615442921855</v>
      </c>
      <c r="AJ303" s="267" t="b">
        <f t="shared" si="118"/>
        <v>0</v>
      </c>
      <c r="AK303" s="267" t="b">
        <f t="shared" si="119"/>
        <v>0</v>
      </c>
      <c r="AL303" s="267"/>
      <c r="AM303" s="267"/>
      <c r="AN303" s="75"/>
    </row>
    <row r="304" spans="1:40" s="6" customFormat="1" ht="11.25" customHeight="1" x14ac:dyDescent="0.2">
      <c r="A304" s="56">
        <f t="shared" si="120"/>
        <v>43755</v>
      </c>
      <c r="B304" s="620">
        <v>17.187999999999999</v>
      </c>
      <c r="C304" s="392"/>
      <c r="D304" s="395">
        <f t="shared" si="99"/>
        <v>17.365709984691485</v>
      </c>
      <c r="E304" s="387">
        <f t="shared" si="121"/>
        <v>18.966262076460708</v>
      </c>
      <c r="F304" s="387">
        <f t="shared" si="100"/>
        <v>18.998063281994607</v>
      </c>
      <c r="G304" s="110">
        <f t="shared" si="122"/>
        <v>0.58858542945546077</v>
      </c>
      <c r="H304" s="416" t="b">
        <f>Wh_hp&gt;='2018'!Maxi_hp</f>
        <v>0</v>
      </c>
      <c r="I304" s="392">
        <f>IF(H304,Wh_hp,'2018'!Maxi_hp)</f>
        <v>21.536971558944416</v>
      </c>
      <c r="J304" s="85">
        <f>IF(H304,An,'2018'!An_max)</f>
        <v>2018</v>
      </c>
      <c r="K304" s="199">
        <f t="shared" si="101"/>
        <v>43755</v>
      </c>
      <c r="L304" s="147">
        <f>IF(t&lt;Tvie,1-EXP((T0-t)*PertePVj)+'2018'!Pspv,1-EXP((T0-t)*PertePVj)+Pspv)</f>
        <v>1.0233384344673802E-2</v>
      </c>
      <c r="M304" s="872"/>
      <c r="N304" s="872"/>
      <c r="O304" s="48">
        <f>IF(t&lt;Tnet,'2018'!Resal+('2018'!Salim-'2018'!Resal)*(1-EXP(('2018'!Tnet-t)/('2018'!Tau_j))),Resal+(Salim-Resal)*(1-EXP((Tnet-t)/(Tau_j))))*Salcycl</f>
        <v>8.4389432420407792E-2</v>
      </c>
      <c r="P304" s="171">
        <f>(INDEX(Models!$BJ304:$BT304,,T304)*(1-R304)+INDEX(Models!$BJ304:$BT304,,T304+1)*R304-ERP_i)*Q304*Ramure*Pc/MaxiM</f>
        <v>4.0407133678836624E-3</v>
      </c>
      <c r="Q304" s="307">
        <f t="shared" si="102"/>
        <v>0.9</v>
      </c>
      <c r="R304" s="179">
        <f t="shared" si="103"/>
        <v>0.59652971266948773</v>
      </c>
      <c r="S304" s="839">
        <f t="shared" si="104"/>
        <v>-2</v>
      </c>
      <c r="T304" s="178">
        <f t="shared" si="105"/>
        <v>4</v>
      </c>
      <c r="U304" s="253">
        <f t="shared" si="106"/>
        <v>-1.4034702873305123</v>
      </c>
      <c r="V304" s="385">
        <f t="shared" si="107"/>
        <v>29.132986407829513</v>
      </c>
      <c r="W304" s="58"/>
      <c r="X304" s="157">
        <f t="shared" si="108"/>
        <v>43755</v>
      </c>
      <c r="Y304" s="387">
        <f t="shared" si="109"/>
        <v>17.187999999999999</v>
      </c>
      <c r="Z304" s="387">
        <f t="shared" si="110"/>
        <v>17.365709984691485</v>
      </c>
      <c r="AA304" s="388">
        <f t="shared" si="111"/>
        <v>18.966262076460708</v>
      </c>
      <c r="AB304" s="199">
        <f t="shared" si="112"/>
        <v>43755</v>
      </c>
      <c r="AC304" s="428">
        <f>IF(OR(t&lt;Tnet,NoTnet),'2018'!Resal_s+('2018'!Salim-'2018'!Resal_s)*(1-EXP(('2018'!Tnet_s-t)/'2018'!Tau_j)),Resal_s+(Salim-Resal_s)*(1-EXP((Tnet_s-t)/Tau_j)))*Salcycl</f>
        <v>8.4389432420407792E-2</v>
      </c>
      <c r="AD304" s="233">
        <f>(INDEX(Models!$BJ304:$BT304,,AH304)*(1-AF304)+INDEX(Models!$BJ304:$BT304,,AH304+1)*AF304-ERP_i)*AE304*Ramure*Pc/MaxiM</f>
        <v>4.0407133678836624E-3</v>
      </c>
      <c r="AE304" s="307">
        <f t="shared" si="113"/>
        <v>0.9</v>
      </c>
      <c r="AF304" s="179">
        <f t="shared" si="114"/>
        <v>0.59652971266948773</v>
      </c>
      <c r="AG304" s="178">
        <f t="shared" si="115"/>
        <v>-2</v>
      </c>
      <c r="AH304" s="178">
        <f t="shared" si="116"/>
        <v>4</v>
      </c>
      <c r="AI304" s="227">
        <f t="shared" si="117"/>
        <v>-1.4034702873305123</v>
      </c>
      <c r="AJ304" s="267" t="b">
        <f t="shared" si="118"/>
        <v>0</v>
      </c>
      <c r="AK304" s="267" t="b">
        <f t="shared" si="119"/>
        <v>0</v>
      </c>
      <c r="AL304" s="267"/>
      <c r="AM304" s="267"/>
      <c r="AN304" s="75"/>
    </row>
    <row r="305" spans="1:40" s="6" customFormat="1" ht="11.25" customHeight="1" x14ac:dyDescent="0.2">
      <c r="A305" s="56">
        <f t="shared" si="120"/>
        <v>43756</v>
      </c>
      <c r="B305" s="620">
        <v>13.368</v>
      </c>
      <c r="C305" s="392"/>
      <c r="D305" s="395">
        <f t="shared" si="99"/>
        <v>13.506528598439305</v>
      </c>
      <c r="E305" s="387">
        <f t="shared" si="121"/>
        <v>14.75264854415161</v>
      </c>
      <c r="F305" s="387">
        <f t="shared" si="100"/>
        <v>14.767182254690445</v>
      </c>
      <c r="G305" s="110">
        <f t="shared" si="122"/>
        <v>0.46308403375236634</v>
      </c>
      <c r="H305" s="416" t="b">
        <f>Wh_hp&gt;='2018'!Maxi_hp</f>
        <v>1</v>
      </c>
      <c r="I305" s="392">
        <f>IF(H305,Wh_hp,'2018'!Maxi_hp)</f>
        <v>14.767182254690445</v>
      </c>
      <c r="J305" s="85">
        <f>IF(H305,An,'2018'!An_max)</f>
        <v>2019</v>
      </c>
      <c r="K305" s="199">
        <f t="shared" si="101"/>
        <v>43756</v>
      </c>
      <c r="L305" s="147">
        <f>IF(t&lt;Tvie,1-EXP((T0-t)*PertePVj)+'2018'!Pspv,1-EXP((T0-t)*PertePVj)+Pspv)</f>
        <v>1.025641765977614E-2</v>
      </c>
      <c r="M305" s="872"/>
      <c r="N305" s="872"/>
      <c r="O305" s="48">
        <f>IF(t&lt;Tnet,'2018'!Resal+('2018'!Salim-'2018'!Resal)*(1-EXP(('2018'!Tnet-t)/('2018'!Tau_j))),Resal+(Salim-Resal)*(1-EXP((Tnet-t)/(Tau_j))))*Salcycl</f>
        <v>8.4467540996650659E-2</v>
      </c>
      <c r="P305" s="171">
        <f>(INDEX(Models!$BJ305:$BT305,,T305)*(1-R305)+INDEX(Models!$BJ305:$BT305,,T305+1)*R305-ERP_i)*Q305*Ramure*Pc/MaxiM</f>
        <v>4.1861826192747479E-3</v>
      </c>
      <c r="Q305" s="307">
        <f t="shared" si="102"/>
        <v>0.9</v>
      </c>
      <c r="R305" s="179">
        <f t="shared" si="103"/>
        <v>0.59666908069610458</v>
      </c>
      <c r="S305" s="839">
        <f t="shared" si="104"/>
        <v>-2</v>
      </c>
      <c r="T305" s="178">
        <f t="shared" si="105"/>
        <v>4</v>
      </c>
      <c r="U305" s="253">
        <f t="shared" si="106"/>
        <v>-1.4033309193038954</v>
      </c>
      <c r="V305" s="385">
        <f t="shared" si="107"/>
        <v>28.774806773990871</v>
      </c>
      <c r="W305" s="58"/>
      <c r="X305" s="157">
        <f t="shared" si="108"/>
        <v>43756</v>
      </c>
      <c r="Y305" s="387">
        <f t="shared" si="109"/>
        <v>13.368</v>
      </c>
      <c r="Z305" s="387">
        <f t="shared" si="110"/>
        <v>13.506528598439305</v>
      </c>
      <c r="AA305" s="388">
        <f t="shared" si="111"/>
        <v>14.75264854415161</v>
      </c>
      <c r="AB305" s="199">
        <f t="shared" si="112"/>
        <v>43756</v>
      </c>
      <c r="AC305" s="428">
        <f>IF(OR(t&lt;Tnet,NoTnet),'2018'!Resal_s+('2018'!Salim-'2018'!Resal_s)*(1-EXP(('2018'!Tnet_s-t)/'2018'!Tau_j)),Resal_s+(Salim-Resal_s)*(1-EXP((Tnet_s-t)/Tau_j)))*Salcycl</f>
        <v>8.4467540996650659E-2</v>
      </c>
      <c r="AD305" s="233">
        <f>(INDEX(Models!$BJ305:$BT305,,AH305)*(1-AF305)+INDEX(Models!$BJ305:$BT305,,AH305+1)*AF305-ERP_i)*AE305*Ramure*Pc/MaxiM</f>
        <v>4.1861826192747479E-3</v>
      </c>
      <c r="AE305" s="307">
        <f t="shared" si="113"/>
        <v>0.9</v>
      </c>
      <c r="AF305" s="179">
        <f t="shared" si="114"/>
        <v>0.59666908069610458</v>
      </c>
      <c r="AG305" s="178">
        <f t="shared" si="115"/>
        <v>-2</v>
      </c>
      <c r="AH305" s="178">
        <f t="shared" si="116"/>
        <v>4</v>
      </c>
      <c r="AI305" s="227">
        <f t="shared" si="117"/>
        <v>-1.4033309193038954</v>
      </c>
      <c r="AJ305" s="267" t="b">
        <f t="shared" si="118"/>
        <v>0</v>
      </c>
      <c r="AK305" s="267" t="b">
        <f t="shared" si="119"/>
        <v>0</v>
      </c>
      <c r="AL305" s="267"/>
      <c r="AM305" s="267"/>
      <c r="AN305" s="75"/>
    </row>
    <row r="306" spans="1:40" s="6" customFormat="1" ht="11.25" customHeight="1" x14ac:dyDescent="0.2">
      <c r="A306" s="56">
        <f t="shared" si="120"/>
        <v>43757</v>
      </c>
      <c r="B306" s="620">
        <v>23.94</v>
      </c>
      <c r="C306" s="392"/>
      <c r="D306" s="395">
        <f t="shared" si="99"/>
        <v>24.188645987612784</v>
      </c>
      <c r="E306" s="387">
        <f t="shared" si="121"/>
        <v>26.422507066436204</v>
      </c>
      <c r="F306" s="387">
        <f t="shared" si="100"/>
        <v>26.512279044782819</v>
      </c>
      <c r="G306" s="110">
        <f t="shared" si="122"/>
        <v>0.84148974206759564</v>
      </c>
      <c r="H306" s="416" t="b">
        <f>Wh_hp&gt;='2018'!Maxi_hp</f>
        <v>1</v>
      </c>
      <c r="I306" s="392">
        <f>IF(H306,Wh_hp,'2018'!Maxi_hp)</f>
        <v>26.512279044782819</v>
      </c>
      <c r="J306" s="85">
        <f>IF(H306,An,'2018'!An_max)</f>
        <v>2019</v>
      </c>
      <c r="K306" s="199">
        <f t="shared" si="101"/>
        <v>43757</v>
      </c>
      <c r="L306" s="147">
        <f>IF(t&lt;Tvie,1-EXP((T0-t)*PertePVj)+'2018'!Pspv,1-EXP((T0-t)*PertePVj)+Pspv)</f>
        <v>1.0279450438859472E-2</v>
      </c>
      <c r="M306" s="872"/>
      <c r="N306" s="872"/>
      <c r="O306" s="48">
        <f>IF(t&lt;Tnet,'2018'!Resal+('2018'!Salim-'2018'!Resal)*(1-EXP(('2018'!Tnet-t)/('2018'!Tau_j))),Resal+(Salim-Resal)*(1-EXP((Tnet-t)/(Tau_j))))*Salcycl</f>
        <v>8.4543872888618948E-2</v>
      </c>
      <c r="P306" s="171">
        <f>(INDEX(Models!$BJ306:$BT306,,T306)*(1-R306)+INDEX(Models!$BJ306:$BT306,,T306+1)*R306-ERP_i)*Q306*Ramure*Pc/MaxiM</f>
        <v>4.3705360083568139E-3</v>
      </c>
      <c r="Q306" s="307">
        <f t="shared" si="102"/>
        <v>0.9</v>
      </c>
      <c r="R306" s="179">
        <f t="shared" si="103"/>
        <v>0.59680288973010676</v>
      </c>
      <c r="S306" s="839">
        <f t="shared" si="104"/>
        <v>-2</v>
      </c>
      <c r="T306" s="178">
        <f t="shared" si="105"/>
        <v>4</v>
      </c>
      <c r="U306" s="253">
        <f t="shared" si="106"/>
        <v>-1.4031971102698932</v>
      </c>
      <c r="V306" s="385">
        <f t="shared" si="107"/>
        <v>28.421441406170839</v>
      </c>
      <c r="W306" s="58"/>
      <c r="X306" s="157">
        <f t="shared" si="108"/>
        <v>43757</v>
      </c>
      <c r="Y306" s="387">
        <f t="shared" si="109"/>
        <v>23.94</v>
      </c>
      <c r="Z306" s="387">
        <f t="shared" si="110"/>
        <v>24.188645987612784</v>
      </c>
      <c r="AA306" s="388">
        <f t="shared" si="111"/>
        <v>26.422507066436204</v>
      </c>
      <c r="AB306" s="199">
        <f t="shared" si="112"/>
        <v>43757</v>
      </c>
      <c r="AC306" s="428">
        <f>IF(OR(t&lt;Tnet,NoTnet),'2018'!Resal_s+('2018'!Salim-'2018'!Resal_s)*(1-EXP(('2018'!Tnet_s-t)/'2018'!Tau_j)),Resal_s+(Salim-Resal_s)*(1-EXP((Tnet_s-t)/Tau_j)))*Salcycl</f>
        <v>8.4543872888618948E-2</v>
      </c>
      <c r="AD306" s="233">
        <f>(INDEX(Models!$BJ306:$BT306,,AH306)*(1-AF306)+INDEX(Models!$BJ306:$BT306,,AH306+1)*AF306-ERP_i)*AE306*Ramure*Pc/MaxiM</f>
        <v>4.3705360083568139E-3</v>
      </c>
      <c r="AE306" s="307">
        <f t="shared" si="113"/>
        <v>0.9</v>
      </c>
      <c r="AF306" s="179">
        <f t="shared" si="114"/>
        <v>0.59680288973010676</v>
      </c>
      <c r="AG306" s="178">
        <f t="shared" si="115"/>
        <v>-2</v>
      </c>
      <c r="AH306" s="178">
        <f t="shared" si="116"/>
        <v>4</v>
      </c>
      <c r="AI306" s="227">
        <f t="shared" si="117"/>
        <v>-1.4031971102698932</v>
      </c>
      <c r="AJ306" s="267" t="b">
        <f t="shared" si="118"/>
        <v>0</v>
      </c>
      <c r="AK306" s="267" t="b">
        <f t="shared" si="119"/>
        <v>0</v>
      </c>
      <c r="AL306" s="267"/>
      <c r="AM306" s="267"/>
      <c r="AN306" s="75"/>
    </row>
    <row r="307" spans="1:40" s="6" customFormat="1" ht="11.25" customHeight="1" x14ac:dyDescent="0.2">
      <c r="A307" s="56">
        <f t="shared" si="120"/>
        <v>43758</v>
      </c>
      <c r="B307" s="620">
        <v>10.217000000000001</v>
      </c>
      <c r="C307" s="392"/>
      <c r="D307" s="395">
        <f t="shared" si="99"/>
        <v>10.323356198454034</v>
      </c>
      <c r="E307" s="387">
        <f t="shared" si="121"/>
        <v>11.277654196207989</v>
      </c>
      <c r="F307" s="387">
        <f t="shared" si="100"/>
        <v>11.2823905610393</v>
      </c>
      <c r="G307" s="110">
        <f t="shared" si="122"/>
        <v>0.36242918630480553</v>
      </c>
      <c r="H307" s="416" t="b">
        <f>Wh_hp&gt;='2018'!Maxi_hp</f>
        <v>0</v>
      </c>
      <c r="I307" s="392">
        <f>IF(H307,Wh_hp,'2018'!Maxi_hp)</f>
        <v>12.639587748296352</v>
      </c>
      <c r="J307" s="85">
        <f>IF(H307,An,'2018'!An_max)</f>
        <v>2018</v>
      </c>
      <c r="K307" s="199">
        <f t="shared" si="101"/>
        <v>43758</v>
      </c>
      <c r="L307" s="147">
        <f>IF(t&lt;Tvie,1-EXP((T0-t)*PertePVj)+'2018'!Pspv,1-EXP((T0-t)*PertePVj)+Pspv)</f>
        <v>1.0302482681936453E-2</v>
      </c>
      <c r="M307" s="872"/>
      <c r="N307" s="872"/>
      <c r="O307" s="48">
        <f>IF(t&lt;Tnet,'2018'!Resal+('2018'!Salim-'2018'!Resal)*(1-EXP(('2018'!Tnet-t)/('2018'!Tau_j))),Resal+(Salim-Resal)*(1-EXP((Tnet-t)/(Tau_j))))*Salcycl</f>
        <v>8.4618483698039662E-2</v>
      </c>
      <c r="P307" s="171">
        <f>(INDEX(Models!$BJ307:$BT307,,T307)*(1-R307)+INDEX(Models!$BJ307:$BT307,,T307+1)*R307-ERP_i)*Q307*Ramure*Pc/MaxiM</f>
        <v>4.595207921634448E-3</v>
      </c>
      <c r="Q307" s="307">
        <f t="shared" si="102"/>
        <v>0.9</v>
      </c>
      <c r="R307" s="179">
        <f t="shared" si="103"/>
        <v>0.59693135948829745</v>
      </c>
      <c r="S307" s="839">
        <f t="shared" si="104"/>
        <v>-2</v>
      </c>
      <c r="T307" s="178">
        <f t="shared" si="105"/>
        <v>4</v>
      </c>
      <c r="U307" s="253">
        <f t="shared" si="106"/>
        <v>-1.4030686405117025</v>
      </c>
      <c r="V307" s="385">
        <f t="shared" si="107"/>
        <v>28.072578978346002</v>
      </c>
      <c r="W307" s="58"/>
      <c r="X307" s="157">
        <f t="shared" si="108"/>
        <v>43758</v>
      </c>
      <c r="Y307" s="387">
        <f t="shared" si="109"/>
        <v>10.217000000000001</v>
      </c>
      <c r="Z307" s="387">
        <f t="shared" si="110"/>
        <v>10.323356198454034</v>
      </c>
      <c r="AA307" s="388">
        <f t="shared" si="111"/>
        <v>11.277654196207989</v>
      </c>
      <c r="AB307" s="199">
        <f t="shared" si="112"/>
        <v>43758</v>
      </c>
      <c r="AC307" s="428">
        <f>IF(OR(t&lt;Tnet,NoTnet),'2018'!Resal_s+('2018'!Salim-'2018'!Resal_s)*(1-EXP(('2018'!Tnet_s-t)/'2018'!Tau_j)),Resal_s+(Salim-Resal_s)*(1-EXP((Tnet_s-t)/Tau_j)))*Salcycl</f>
        <v>8.4618483698039662E-2</v>
      </c>
      <c r="AD307" s="233">
        <f>(INDEX(Models!$BJ307:$BT307,,AH307)*(1-AF307)+INDEX(Models!$BJ307:$BT307,,AH307+1)*AF307-ERP_i)*AE307*Ramure*Pc/MaxiM</f>
        <v>4.595207921634448E-3</v>
      </c>
      <c r="AE307" s="307">
        <f t="shared" si="113"/>
        <v>0.9</v>
      </c>
      <c r="AF307" s="179">
        <f t="shared" si="114"/>
        <v>0.59693135948829745</v>
      </c>
      <c r="AG307" s="178">
        <f t="shared" si="115"/>
        <v>-2</v>
      </c>
      <c r="AH307" s="178">
        <f t="shared" si="116"/>
        <v>4</v>
      </c>
      <c r="AI307" s="227">
        <f t="shared" si="117"/>
        <v>-1.4030686405117025</v>
      </c>
      <c r="AJ307" s="267" t="b">
        <f t="shared" si="118"/>
        <v>0</v>
      </c>
      <c r="AK307" s="267" t="b">
        <f t="shared" si="119"/>
        <v>0</v>
      </c>
      <c r="AL307" s="267"/>
      <c r="AM307" s="267"/>
      <c r="AN307" s="75"/>
    </row>
    <row r="308" spans="1:40" s="6" customFormat="1" ht="11.25" customHeight="1" x14ac:dyDescent="0.2">
      <c r="A308" s="56">
        <f t="shared" si="120"/>
        <v>43759</v>
      </c>
      <c r="B308" s="620">
        <v>20.259</v>
      </c>
      <c r="C308" s="392"/>
      <c r="D308" s="395">
        <f t="shared" si="99"/>
        <v>20.470367069726976</v>
      </c>
      <c r="E308" s="387">
        <f t="shared" si="121"/>
        <v>22.36444392738828</v>
      </c>
      <c r="F308" s="387">
        <f t="shared" si="100"/>
        <v>22.431533601951021</v>
      </c>
      <c r="G308" s="110">
        <f t="shared" si="122"/>
        <v>0.72926473825509519</v>
      </c>
      <c r="H308" s="416" t="b">
        <f>Wh_hp&gt;='2018'!Maxi_hp</f>
        <v>1</v>
      </c>
      <c r="I308" s="392">
        <f>IF(H308,Wh_hp,'2018'!Maxi_hp)</f>
        <v>22.431533601951021</v>
      </c>
      <c r="J308" s="85">
        <f>IF(H308,An,'2018'!An_max)</f>
        <v>2019</v>
      </c>
      <c r="K308" s="199">
        <f t="shared" si="101"/>
        <v>43759</v>
      </c>
      <c r="L308" s="147">
        <f>IF(t&lt;Tvie,1-EXP((T0-t)*PertePVj)+'2018'!Pspv,1-EXP((T0-t)*PertePVj)+Pspv)</f>
        <v>1.0325514389019408E-2</v>
      </c>
      <c r="M308" s="872"/>
      <c r="N308" s="872"/>
      <c r="O308" s="48">
        <f>IF(t&lt;Tnet,'2018'!Resal+('2018'!Salim-'2018'!Resal)*(1-EXP(('2018'!Tnet-t)/('2018'!Tau_j))),Resal+(Salim-Resal)*(1-EXP((Tnet-t)/(Tau_j))))*Salcycl</f>
        <v>8.4691435378894023E-2</v>
      </c>
      <c r="P308" s="171">
        <f>(INDEX(Models!$BJ308:$BT308,,T308)*(1-R308)+INDEX(Models!$BJ308:$BT308,,T308+1)*R308-ERP_i)*Q308*Ramure*Pc/MaxiM</f>
        <v>4.8616615146234096E-3</v>
      </c>
      <c r="Q308" s="307">
        <f t="shared" si="102"/>
        <v>0.9</v>
      </c>
      <c r="R308" s="179">
        <f t="shared" si="103"/>
        <v>0.5970547011616969</v>
      </c>
      <c r="S308" s="839">
        <f t="shared" si="104"/>
        <v>-2</v>
      </c>
      <c r="T308" s="178">
        <f t="shared" si="105"/>
        <v>4</v>
      </c>
      <c r="U308" s="253">
        <f t="shared" si="106"/>
        <v>-1.4029452988383031</v>
      </c>
      <c r="V308" s="385">
        <f t="shared" si="107"/>
        <v>27.727908350186329</v>
      </c>
      <c r="W308" s="58"/>
      <c r="X308" s="157">
        <f t="shared" si="108"/>
        <v>43759</v>
      </c>
      <c r="Y308" s="387">
        <f t="shared" si="109"/>
        <v>20.259</v>
      </c>
      <c r="Z308" s="387">
        <f t="shared" si="110"/>
        <v>20.470367069726976</v>
      </c>
      <c r="AA308" s="388">
        <f t="shared" si="111"/>
        <v>22.36444392738828</v>
      </c>
      <c r="AB308" s="199">
        <f t="shared" si="112"/>
        <v>43759</v>
      </c>
      <c r="AC308" s="428">
        <f>IF(OR(t&lt;Tnet,NoTnet),'2018'!Resal_s+('2018'!Salim-'2018'!Resal_s)*(1-EXP(('2018'!Tnet_s-t)/'2018'!Tau_j)),Resal_s+(Salim-Resal_s)*(1-EXP((Tnet_s-t)/Tau_j)))*Salcycl</f>
        <v>8.4691435378894023E-2</v>
      </c>
      <c r="AD308" s="233">
        <f>(INDEX(Models!$BJ308:$BT308,,AH308)*(1-AF308)+INDEX(Models!$BJ308:$BT308,,AH308+1)*AF308-ERP_i)*AE308*Ramure*Pc/MaxiM</f>
        <v>4.8616615146234096E-3</v>
      </c>
      <c r="AE308" s="307">
        <f t="shared" si="113"/>
        <v>0.9</v>
      </c>
      <c r="AF308" s="179">
        <f t="shared" si="114"/>
        <v>0.5970547011616969</v>
      </c>
      <c r="AG308" s="178">
        <f t="shared" si="115"/>
        <v>-2</v>
      </c>
      <c r="AH308" s="178">
        <f t="shared" si="116"/>
        <v>4</v>
      </c>
      <c r="AI308" s="227">
        <f t="shared" si="117"/>
        <v>-1.4029452988383031</v>
      </c>
      <c r="AJ308" s="267" t="b">
        <f t="shared" si="118"/>
        <v>0</v>
      </c>
      <c r="AK308" s="267" t="b">
        <f t="shared" si="119"/>
        <v>0</v>
      </c>
      <c r="AL308" s="267"/>
      <c r="AM308" s="267"/>
      <c r="AN308" s="75"/>
    </row>
    <row r="309" spans="1:40" s="6" customFormat="1" ht="11.25" customHeight="1" x14ac:dyDescent="0.2">
      <c r="A309" s="56">
        <f t="shared" si="120"/>
        <v>43760</v>
      </c>
      <c r="B309" s="620">
        <v>3.931</v>
      </c>
      <c r="C309" s="392"/>
      <c r="D309" s="395">
        <f t="shared" si="99"/>
        <v>3.9721055148904516</v>
      </c>
      <c r="E309" s="387">
        <f t="shared" si="121"/>
        <v>4.3399738321383134</v>
      </c>
      <c r="F309" s="387">
        <f t="shared" si="100"/>
        <v>4.3399738321383134</v>
      </c>
      <c r="G309" s="110">
        <f t="shared" si="122"/>
        <v>0.14279235865518192</v>
      </c>
      <c r="H309" s="416" t="b">
        <f>Wh_hp&gt;='2018'!Maxi_hp</f>
        <v>0</v>
      </c>
      <c r="I309" s="392">
        <f>IF(H309,Wh_hp,'2018'!Maxi_hp)</f>
        <v>20.501782248503702</v>
      </c>
      <c r="J309" s="85">
        <f>IF(H309,An,'2018'!An_max)</f>
        <v>2018</v>
      </c>
      <c r="K309" s="199">
        <f t="shared" si="101"/>
        <v>43760</v>
      </c>
      <c r="L309" s="147">
        <f>IF(t&lt;Tvie,1-EXP((T0-t)*PertePVj)+'2018'!Pspv,1-EXP((T0-t)*PertePVj)+Pspv)</f>
        <v>1.0348545560120992E-2</v>
      </c>
      <c r="M309" s="872"/>
      <c r="N309" s="872"/>
      <c r="O309" s="48">
        <f>IF(t&lt;Tnet,'2018'!Resal+('2018'!Salim-'2018'!Resal)*(1-EXP(('2018'!Tnet-t)/('2018'!Tau_j))),Resal+(Salim-Resal)*(1-EXP((Tnet-t)/(Tau_j))))*Salcycl</f>
        <v>8.4762796154144684E-2</v>
      </c>
      <c r="P309" s="171">
        <f>(INDEX(Models!$BJ309:$BT309,,T309)*(1-R309)+INDEX(Models!$BJ309:$BT309,,T309+1)*R309-ERP_i)*Q309*Ramure*Pc/MaxiM</f>
        <v>5.1713919278691053E-3</v>
      </c>
      <c r="Q309" s="307">
        <f t="shared" si="102"/>
        <v>0.9</v>
      </c>
      <c r="R309" s="179">
        <f t="shared" si="103"/>
        <v>0.59717311773388104</v>
      </c>
      <c r="S309" s="839">
        <f t="shared" si="104"/>
        <v>-2</v>
      </c>
      <c r="T309" s="178">
        <f t="shared" si="105"/>
        <v>4</v>
      </c>
      <c r="U309" s="253">
        <f t="shared" si="106"/>
        <v>-1.402826882266119</v>
      </c>
      <c r="V309" s="385">
        <f t="shared" si="107"/>
        <v>27.387118576667813</v>
      </c>
      <c r="W309" s="58"/>
      <c r="X309" s="157">
        <f t="shared" si="108"/>
        <v>43760</v>
      </c>
      <c r="Y309" s="387">
        <f t="shared" si="109"/>
        <v>3.9309999999999996</v>
      </c>
      <c r="Z309" s="387">
        <f t="shared" si="110"/>
        <v>3.9721055148904512</v>
      </c>
      <c r="AA309" s="388">
        <f t="shared" si="111"/>
        <v>4.3399738321383134</v>
      </c>
      <c r="AB309" s="199">
        <f t="shared" si="112"/>
        <v>43760</v>
      </c>
      <c r="AC309" s="428">
        <f>IF(OR(t&lt;Tnet,NoTnet),'2018'!Resal_s+('2018'!Salim-'2018'!Resal_s)*(1-EXP(('2018'!Tnet_s-t)/'2018'!Tau_j)),Resal_s+(Salim-Resal_s)*(1-EXP((Tnet_s-t)/Tau_j)))*Salcycl</f>
        <v>8.4762796154144684E-2</v>
      </c>
      <c r="AD309" s="233">
        <f>(INDEX(Models!$BJ309:$BT309,,AH309)*(1-AF309)+INDEX(Models!$BJ309:$BT309,,AH309+1)*AF309-ERP_i)*AE309*Ramure*Pc/MaxiM</f>
        <v>5.1713919278691053E-3</v>
      </c>
      <c r="AE309" s="307">
        <f t="shared" si="113"/>
        <v>0.9</v>
      </c>
      <c r="AF309" s="179">
        <f t="shared" si="114"/>
        <v>0.59717311773388104</v>
      </c>
      <c r="AG309" s="178">
        <f t="shared" si="115"/>
        <v>-2</v>
      </c>
      <c r="AH309" s="178">
        <f t="shared" si="116"/>
        <v>4</v>
      </c>
      <c r="AI309" s="227">
        <f t="shared" si="117"/>
        <v>-1.402826882266119</v>
      </c>
      <c r="AJ309" s="267" t="b">
        <f t="shared" si="118"/>
        <v>0</v>
      </c>
      <c r="AK309" s="267" t="b">
        <f t="shared" si="119"/>
        <v>0</v>
      </c>
      <c r="AL309" s="267"/>
      <c r="AM309" s="267"/>
      <c r="AN309" s="75"/>
    </row>
    <row r="310" spans="1:40" s="6" customFormat="1" ht="11.25" customHeight="1" x14ac:dyDescent="0.2">
      <c r="A310" s="56">
        <f t="shared" si="120"/>
        <v>43761</v>
      </c>
      <c r="B310" s="620">
        <v>16.448</v>
      </c>
      <c r="C310" s="392"/>
      <c r="D310" s="395">
        <f t="shared" si="99"/>
        <v>16.620379532717614</v>
      </c>
      <c r="E310" s="387">
        <f t="shared" si="121"/>
        <v>18.161027442922691</v>
      </c>
      <c r="F310" s="387">
        <f t="shared" si="100"/>
        <v>18.205366583045571</v>
      </c>
      <c r="G310" s="110">
        <f t="shared" si="122"/>
        <v>0.60617766162829234</v>
      </c>
      <c r="H310" s="416" t="b">
        <f>Wh_hp&gt;='2018'!Maxi_hp</f>
        <v>0</v>
      </c>
      <c r="I310" s="392">
        <f>IF(H310,Wh_hp,'2018'!Maxi_hp)</f>
        <v>29.496433962734809</v>
      </c>
      <c r="J310" s="85">
        <f>IF(H310,An,'2018'!An_max)</f>
        <v>2018</v>
      </c>
      <c r="K310" s="199">
        <f t="shared" si="101"/>
        <v>43761</v>
      </c>
      <c r="L310" s="147">
        <f>IF(t&lt;Tvie,1-EXP((T0-t)*PertePVj)+'2018'!Pspv,1-EXP((T0-t)*PertePVj)+Pspv)</f>
        <v>1.0371576195253529E-2</v>
      </c>
      <c r="M310" s="872"/>
      <c r="N310" s="872"/>
      <c r="O310" s="48">
        <f>IF(t&lt;Tnet,'2018'!Resal+('2018'!Salim-'2018'!Resal)*(1-EXP(('2018'!Tnet-t)/('2018'!Tau_j))),Resal+(Salim-Resal)*(1-EXP((Tnet-t)/(Tau_j))))*Salcycl</f>
        <v>8.4832640391469871E-2</v>
      </c>
      <c r="P310" s="171">
        <f>(INDEX(Models!$BJ310:$BT310,,T310)*(1-R310)+INDEX(Models!$BJ310:$BT310,,T310+1)*R310-ERP_i)*Q310*Ramure*Pc/MaxiM</f>
        <v>5.5340309013491625E-3</v>
      </c>
      <c r="Q310" s="307">
        <f t="shared" si="102"/>
        <v>0.9</v>
      </c>
      <c r="R310" s="179">
        <f t="shared" si="103"/>
        <v>0.59728680428843162</v>
      </c>
      <c r="S310" s="839">
        <f t="shared" si="104"/>
        <v>-2</v>
      </c>
      <c r="T310" s="178">
        <f t="shared" si="105"/>
        <v>4</v>
      </c>
      <c r="U310" s="253">
        <f t="shared" si="106"/>
        <v>-1.4027131957115684</v>
      </c>
      <c r="V310" s="385">
        <f t="shared" si="107"/>
        <v>27.049678579408052</v>
      </c>
      <c r="W310" s="58"/>
      <c r="X310" s="157">
        <f t="shared" si="108"/>
        <v>43761</v>
      </c>
      <c r="Y310" s="387">
        <f t="shared" si="109"/>
        <v>16.448</v>
      </c>
      <c r="Z310" s="387">
        <f t="shared" si="110"/>
        <v>16.620379532717614</v>
      </c>
      <c r="AA310" s="388">
        <f t="shared" si="111"/>
        <v>18.161027442922691</v>
      </c>
      <c r="AB310" s="199">
        <f t="shared" si="112"/>
        <v>43761</v>
      </c>
      <c r="AC310" s="428">
        <f>IF(OR(t&lt;Tnet,NoTnet),'2018'!Resal_s+('2018'!Salim-'2018'!Resal_s)*(1-EXP(('2018'!Tnet_s-t)/'2018'!Tau_j)),Resal_s+(Salim-Resal_s)*(1-EXP((Tnet_s-t)/Tau_j)))*Salcycl</f>
        <v>8.4832640391469871E-2</v>
      </c>
      <c r="AD310" s="233">
        <f>(INDEX(Models!$BJ310:$BT310,,AH310)*(1-AF310)+INDEX(Models!$BJ310:$BT310,,AH310+1)*AF310-ERP_i)*AE310*Ramure*Pc/MaxiM</f>
        <v>5.5340309013491625E-3</v>
      </c>
      <c r="AE310" s="307">
        <f t="shared" si="113"/>
        <v>0.9</v>
      </c>
      <c r="AF310" s="179">
        <f t="shared" si="114"/>
        <v>0.59728680428843162</v>
      </c>
      <c r="AG310" s="178">
        <f t="shared" si="115"/>
        <v>-2</v>
      </c>
      <c r="AH310" s="178">
        <f t="shared" si="116"/>
        <v>4</v>
      </c>
      <c r="AI310" s="227">
        <f t="shared" si="117"/>
        <v>-1.4027131957115684</v>
      </c>
      <c r="AJ310" s="267" t="b">
        <f t="shared" si="118"/>
        <v>0</v>
      </c>
      <c r="AK310" s="267" t="b">
        <f t="shared" si="119"/>
        <v>0</v>
      </c>
      <c r="AL310" s="267"/>
      <c r="AM310" s="267"/>
      <c r="AN310" s="75"/>
    </row>
    <row r="311" spans="1:40" s="6" customFormat="1" ht="11.25" customHeight="1" x14ac:dyDescent="0.2">
      <c r="A311" s="56">
        <f t="shared" si="120"/>
        <v>43762</v>
      </c>
      <c r="B311" s="620">
        <v>16.774000000000001</v>
      </c>
      <c r="C311" s="392"/>
      <c r="D311" s="395">
        <f t="shared" si="99"/>
        <v>16.95019055746036</v>
      </c>
      <c r="E311" s="387">
        <f t="shared" si="121"/>
        <v>18.522795298285043</v>
      </c>
      <c r="F311" s="387">
        <f t="shared" si="100"/>
        <v>18.574464846413669</v>
      </c>
      <c r="G311" s="110">
        <f t="shared" si="122"/>
        <v>0.62588468557841426</v>
      </c>
      <c r="H311" s="416" t="b">
        <f>Wh_hp&gt;='2018'!Maxi_hp</f>
        <v>0</v>
      </c>
      <c r="I311" s="392">
        <f>IF(H311,Wh_hp,'2018'!Maxi_hp)</f>
        <v>29.156685241838929</v>
      </c>
      <c r="J311" s="85">
        <f>IF(H311,An,'2018'!An_max)</f>
        <v>2018</v>
      </c>
      <c r="K311" s="199">
        <f t="shared" si="101"/>
        <v>43762</v>
      </c>
      <c r="L311" s="147">
        <f>IF(t&lt;Tvie,1-EXP((T0-t)*PertePVj)+'2018'!Pspv,1-EXP((T0-t)*PertePVj)+Pspv)</f>
        <v>1.0394606294429565E-2</v>
      </c>
      <c r="M311" s="872"/>
      <c r="N311" s="872"/>
      <c r="O311" s="48">
        <f>IF(t&lt;Tnet,'2018'!Resal+('2018'!Salim-'2018'!Resal)*(1-EXP(('2018'!Tnet-t)/('2018'!Tau_j))),Resal+(Salim-Resal)*(1-EXP((Tnet-t)/(Tau_j))))*Salcycl</f>
        <v>8.4901048437882584E-2</v>
      </c>
      <c r="P311" s="171">
        <f>(INDEX(Models!$BJ311:$BT311,,T311)*(1-R311)+INDEX(Models!$BJ311:$BT311,,T311+1)*R311-ERP_i)*Q311*Ramure*Pc/MaxiM</f>
        <v>5.9389728232594769E-3</v>
      </c>
      <c r="Q311" s="307">
        <f t="shared" si="102"/>
        <v>0.9</v>
      </c>
      <c r="R311" s="179">
        <f t="shared" si="103"/>
        <v>0.59739594830578135</v>
      </c>
      <c r="S311" s="839">
        <f t="shared" si="104"/>
        <v>-2</v>
      </c>
      <c r="T311" s="178">
        <f t="shared" si="105"/>
        <v>4</v>
      </c>
      <c r="U311" s="253">
        <f t="shared" si="106"/>
        <v>-1.4026040516942186</v>
      </c>
      <c r="V311" s="385">
        <f t="shared" si="107"/>
        <v>26.715612998459342</v>
      </c>
      <c r="W311" s="58"/>
      <c r="X311" s="157">
        <f t="shared" si="108"/>
        <v>43762</v>
      </c>
      <c r="Y311" s="387">
        <f t="shared" si="109"/>
        <v>16.774000000000001</v>
      </c>
      <c r="Z311" s="387">
        <f t="shared" si="110"/>
        <v>16.95019055746036</v>
      </c>
      <c r="AA311" s="388">
        <f t="shared" si="111"/>
        <v>18.522795298285043</v>
      </c>
      <c r="AB311" s="199">
        <f t="shared" si="112"/>
        <v>43762</v>
      </c>
      <c r="AC311" s="428">
        <f>IF(OR(t&lt;Tnet,NoTnet),'2018'!Resal_s+('2018'!Salim-'2018'!Resal_s)*(1-EXP(('2018'!Tnet_s-t)/'2018'!Tau_j)),Resal_s+(Salim-Resal_s)*(1-EXP((Tnet_s-t)/Tau_j)))*Salcycl</f>
        <v>8.4901048437882584E-2</v>
      </c>
      <c r="AD311" s="233">
        <f>(INDEX(Models!$BJ311:$BT311,,AH311)*(1-AF311)+INDEX(Models!$BJ311:$BT311,,AH311+1)*AF311-ERP_i)*AE311*Ramure*Pc/MaxiM</f>
        <v>5.9389728232594769E-3</v>
      </c>
      <c r="AE311" s="307">
        <f t="shared" si="113"/>
        <v>0.9</v>
      </c>
      <c r="AF311" s="179">
        <f t="shared" si="114"/>
        <v>0.59739594830578135</v>
      </c>
      <c r="AG311" s="178">
        <f t="shared" si="115"/>
        <v>-2</v>
      </c>
      <c r="AH311" s="178">
        <f t="shared" si="116"/>
        <v>4</v>
      </c>
      <c r="AI311" s="227">
        <f t="shared" si="117"/>
        <v>-1.4026040516942186</v>
      </c>
      <c r="AJ311" s="267" t="b">
        <f t="shared" si="118"/>
        <v>0</v>
      </c>
      <c r="AK311" s="267" t="b">
        <f t="shared" si="119"/>
        <v>0</v>
      </c>
      <c r="AL311" s="267"/>
      <c r="AM311" s="267"/>
      <c r="AN311" s="75"/>
    </row>
    <row r="312" spans="1:40" s="6" customFormat="1" ht="11.25" customHeight="1" x14ac:dyDescent="0.2">
      <c r="A312" s="56">
        <f t="shared" si="120"/>
        <v>43763</v>
      </c>
      <c r="B312" s="620">
        <v>23.324000000000002</v>
      </c>
      <c r="C312" s="392"/>
      <c r="D312" s="395">
        <f t="shared" si="99"/>
        <v>23.569538873315196</v>
      </c>
      <c r="E312" s="387">
        <f t="shared" si="121"/>
        <v>25.758161041723206</v>
      </c>
      <c r="F312" s="387">
        <f t="shared" si="100"/>
        <v>25.896166830085726</v>
      </c>
      <c r="G312" s="110">
        <f t="shared" si="122"/>
        <v>0.88305941414241762</v>
      </c>
      <c r="H312" s="416" t="b">
        <f>Wh_hp&gt;='2018'!Maxi_hp</f>
        <v>0</v>
      </c>
      <c r="I312" s="392">
        <f>IF(H312,Wh_hp,'2018'!Maxi_hp)</f>
        <v>28.486867574069969</v>
      </c>
      <c r="J312" s="85">
        <f>IF(H312,An,'2018'!An_max)</f>
        <v>2018</v>
      </c>
      <c r="K312" s="199">
        <f t="shared" si="101"/>
        <v>43763</v>
      </c>
      <c r="L312" s="147">
        <f>IF(t&lt;Tvie,1-EXP((T0-t)*PertePVj)+'2018'!Pspv,1-EXP((T0-t)*PertePVj)+Pspv)</f>
        <v>1.0417635857661423E-2</v>
      </c>
      <c r="M312" s="872"/>
      <c r="N312" s="872"/>
      <c r="O312" s="48">
        <f>IF(t&lt;Tnet,'2018'!Resal+('2018'!Salim-'2018'!Resal)*(1-EXP(('2018'!Tnet-t)/('2018'!Tau_j))),Resal+(Salim-Resal)*(1-EXP((Tnet-t)/(Tau_j))))*Salcycl</f>
        <v>8.4968106413453551E-2</v>
      </c>
      <c r="P312" s="171">
        <f>(INDEX(Models!$BJ312:$BT312,,T312)*(1-R312)+INDEX(Models!$BJ312:$BT312,,T312+1)*R312-ERP_i)*Q312*Ramure*Pc/MaxiM</f>
        <v>6.387734855788225E-3</v>
      </c>
      <c r="Q312" s="307">
        <f t="shared" si="102"/>
        <v>0.9</v>
      </c>
      <c r="R312" s="179">
        <f t="shared" si="103"/>
        <v>0.59750072994975278</v>
      </c>
      <c r="S312" s="839">
        <f t="shared" si="104"/>
        <v>-2</v>
      </c>
      <c r="T312" s="178">
        <f t="shared" si="105"/>
        <v>4</v>
      </c>
      <c r="U312" s="253">
        <f t="shared" si="106"/>
        <v>-1.4024992700502472</v>
      </c>
      <c r="V312" s="385">
        <f t="shared" si="107"/>
        <v>26.384610166758076</v>
      </c>
      <c r="W312" s="58"/>
      <c r="X312" s="157">
        <f t="shared" si="108"/>
        <v>43763</v>
      </c>
      <c r="Y312" s="387">
        <f t="shared" si="109"/>
        <v>23.324000000000002</v>
      </c>
      <c r="Z312" s="387">
        <f t="shared" si="110"/>
        <v>23.569538873315196</v>
      </c>
      <c r="AA312" s="388">
        <f t="shared" si="111"/>
        <v>25.758161041723206</v>
      </c>
      <c r="AB312" s="199">
        <f t="shared" si="112"/>
        <v>43763</v>
      </c>
      <c r="AC312" s="428">
        <f>IF(OR(t&lt;Tnet,NoTnet),'2018'!Resal_s+('2018'!Salim-'2018'!Resal_s)*(1-EXP(('2018'!Tnet_s-t)/'2018'!Tau_j)),Resal_s+(Salim-Resal_s)*(1-EXP((Tnet_s-t)/Tau_j)))*Salcycl</f>
        <v>8.4968106413453551E-2</v>
      </c>
      <c r="AD312" s="233">
        <f>(INDEX(Models!$BJ312:$BT312,,AH312)*(1-AF312)+INDEX(Models!$BJ312:$BT312,,AH312+1)*AF312-ERP_i)*AE312*Ramure*Pc/MaxiM</f>
        <v>6.387734855788225E-3</v>
      </c>
      <c r="AE312" s="307">
        <f t="shared" si="113"/>
        <v>0.9</v>
      </c>
      <c r="AF312" s="179">
        <f t="shared" si="114"/>
        <v>0.59750072994975278</v>
      </c>
      <c r="AG312" s="178">
        <f t="shared" si="115"/>
        <v>-2</v>
      </c>
      <c r="AH312" s="178">
        <f t="shared" si="116"/>
        <v>4</v>
      </c>
      <c r="AI312" s="227">
        <f t="shared" si="117"/>
        <v>-1.4024992700502472</v>
      </c>
      <c r="AJ312" s="267" t="b">
        <f t="shared" si="118"/>
        <v>0</v>
      </c>
      <c r="AK312" s="267" t="b">
        <f t="shared" si="119"/>
        <v>0</v>
      </c>
      <c r="AL312" s="267"/>
      <c r="AM312" s="267"/>
      <c r="AN312" s="75"/>
    </row>
    <row r="313" spans="1:40" s="6" customFormat="1" ht="11.25" customHeight="1" x14ac:dyDescent="0.2">
      <c r="A313" s="56">
        <f t="shared" si="120"/>
        <v>43764</v>
      </c>
      <c r="B313" s="620">
        <v>26.256</v>
      </c>
      <c r="C313" s="392"/>
      <c r="D313" s="395">
        <f t="shared" si="99"/>
        <v>26.533022395213614</v>
      </c>
      <c r="E313" s="387">
        <f t="shared" si="121"/>
        <v>28.998913258298089</v>
      </c>
      <c r="F313" s="387">
        <f t="shared" si="100"/>
        <v>29.199862154592079</v>
      </c>
      <c r="G313" s="110">
        <f t="shared" si="122"/>
        <v>1.0076618640134307</v>
      </c>
      <c r="H313" s="416" t="b">
        <f>Wh_hp&gt;='2018'!Maxi_hp</f>
        <v>1</v>
      </c>
      <c r="I313" s="392">
        <f>IF(H313,Wh_hp,'2018'!Maxi_hp)</f>
        <v>29.199862154592079</v>
      </c>
      <c r="J313" s="85">
        <f>IF(H313,An,'2018'!An_max)</f>
        <v>2019</v>
      </c>
      <c r="K313" s="199">
        <f t="shared" si="101"/>
        <v>43764</v>
      </c>
      <c r="L313" s="147">
        <f>IF(t&lt;Tvie,1-EXP((T0-t)*PertePVj)+'2018'!Pspv,1-EXP((T0-t)*PertePVj)+Pspv)</f>
        <v>1.044066488496187E-2</v>
      </c>
      <c r="M313" s="872"/>
      <c r="N313" s="872"/>
      <c r="O313" s="48">
        <f>IF(t&lt;Tnet,'2018'!Resal+('2018'!Salim-'2018'!Resal)*(1-EXP(('2018'!Tnet-t)/('2018'!Tau_j))),Resal+(Salim-Resal)*(1-EXP((Tnet-t)/(Tau_j))))*Salcycl</f>
        <v>8.5033905964695303E-2</v>
      </c>
      <c r="P313" s="171">
        <f>(INDEX(Models!$BJ313:$BT313,,T313)*(1-R313)+INDEX(Models!$BJ313:$BT313,,T313+1)*R313-ERP_i)*Q313*Ramure*Pc/MaxiM</f>
        <v>6.8818440042666381E-3</v>
      </c>
      <c r="Q313" s="307">
        <f t="shared" si="102"/>
        <v>0.9</v>
      </c>
      <c r="R313" s="179">
        <f t="shared" si="103"/>
        <v>0.59760132234407415</v>
      </c>
      <c r="S313" s="839">
        <f t="shared" si="104"/>
        <v>-2</v>
      </c>
      <c r="T313" s="178">
        <f t="shared" si="105"/>
        <v>4</v>
      </c>
      <c r="U313" s="253">
        <f t="shared" si="106"/>
        <v>-1.4023986776559259</v>
      </c>
      <c r="V313" s="385">
        <f t="shared" si="107"/>
        <v>26.056359715177273</v>
      </c>
      <c r="W313" s="58"/>
      <c r="X313" s="157">
        <f t="shared" si="108"/>
        <v>43764</v>
      </c>
      <c r="Y313" s="387">
        <f t="shared" si="109"/>
        <v>26.256</v>
      </c>
      <c r="Z313" s="387">
        <f t="shared" si="110"/>
        <v>26.533022395213614</v>
      </c>
      <c r="AA313" s="388">
        <f t="shared" si="111"/>
        <v>28.998913258298089</v>
      </c>
      <c r="AB313" s="199">
        <f t="shared" si="112"/>
        <v>43764</v>
      </c>
      <c r="AC313" s="428">
        <f>IF(OR(t&lt;Tnet,NoTnet),'2018'!Resal_s+('2018'!Salim-'2018'!Resal_s)*(1-EXP(('2018'!Tnet_s-t)/'2018'!Tau_j)),Resal_s+(Salim-Resal_s)*(1-EXP((Tnet_s-t)/Tau_j)))*Salcycl</f>
        <v>8.5033905964695303E-2</v>
      </c>
      <c r="AD313" s="233">
        <f>(INDEX(Models!$BJ313:$BT313,,AH313)*(1-AF313)+INDEX(Models!$BJ313:$BT313,,AH313+1)*AF313-ERP_i)*AE313*Ramure*Pc/MaxiM</f>
        <v>6.8818440042666381E-3</v>
      </c>
      <c r="AE313" s="307">
        <f t="shared" si="113"/>
        <v>0.9</v>
      </c>
      <c r="AF313" s="179">
        <f t="shared" si="114"/>
        <v>0.59760132234407415</v>
      </c>
      <c r="AG313" s="178">
        <f t="shared" si="115"/>
        <v>-2</v>
      </c>
      <c r="AH313" s="178">
        <f t="shared" si="116"/>
        <v>4</v>
      </c>
      <c r="AI313" s="227">
        <f t="shared" si="117"/>
        <v>-1.4023986776559259</v>
      </c>
      <c r="AJ313" s="267" t="b">
        <f t="shared" si="118"/>
        <v>0</v>
      </c>
      <c r="AK313" s="267" t="b">
        <f t="shared" si="119"/>
        <v>0</v>
      </c>
      <c r="AL313" s="267"/>
      <c r="AM313" s="267"/>
      <c r="AN313" s="75"/>
    </row>
    <row r="314" spans="1:40" s="6" customFormat="1" ht="11.25" customHeight="1" x14ac:dyDescent="0.2">
      <c r="A314" s="56">
        <f t="shared" si="120"/>
        <v>43765</v>
      </c>
      <c r="B314" s="620">
        <v>19.54</v>
      </c>
      <c r="C314" s="392"/>
      <c r="D314" s="395">
        <f t="shared" si="99"/>
        <v>19.746622604148172</v>
      </c>
      <c r="E314" s="387">
        <f t="shared" si="121"/>
        <v>21.583332799597503</v>
      </c>
      <c r="F314" s="387">
        <f t="shared" si="100"/>
        <v>21.688993427503206</v>
      </c>
      <c r="G314" s="110">
        <f t="shared" si="122"/>
        <v>0.75746158687332088</v>
      </c>
      <c r="H314" s="416" t="b">
        <f>Wh_hp&gt;='2018'!Maxi_hp</f>
        <v>1</v>
      </c>
      <c r="I314" s="392">
        <f>IF(H314,Wh_hp,'2018'!Maxi_hp)</f>
        <v>21.688993427503206</v>
      </c>
      <c r="J314" s="85">
        <f>IF(H314,An,'2018'!An_max)</f>
        <v>2019</v>
      </c>
      <c r="K314" s="199">
        <f t="shared" si="101"/>
        <v>43765</v>
      </c>
      <c r="L314" s="147">
        <f>IF(t&lt;Tvie,1-EXP((T0-t)*PertePVj)+'2018'!Pspv,1-EXP((T0-t)*PertePVj)+Pspv)</f>
        <v>1.0463693376343119E-2</v>
      </c>
      <c r="M314" s="872"/>
      <c r="N314" s="872"/>
      <c r="O314" s="48">
        <f>IF(t&lt;Tnet,'2018'!Resal+('2018'!Salim-'2018'!Resal)*(1-EXP(('2018'!Tnet-t)/('2018'!Tau_j))),Resal+(Salim-Resal)*(1-EXP((Tnet-t)/(Tau_j))))*Salcycl</f>
        <v>8.5098543978508509E-2</v>
      </c>
      <c r="P314" s="171">
        <f>(INDEX(Models!$BJ314:$BT314,,T314)*(1-R314)+INDEX(Models!$BJ314:$BT314,,T314+1)*R314-ERP_i)*Q314*Ramure*Pc/MaxiM</f>
        <v>7.4228858780408255E-3</v>
      </c>
      <c r="Q314" s="307">
        <f t="shared" si="102"/>
        <v>0.9</v>
      </c>
      <c r="R314" s="179">
        <f t="shared" si="103"/>
        <v>0.59769789183916244</v>
      </c>
      <c r="S314" s="839">
        <f t="shared" si="104"/>
        <v>-2</v>
      </c>
      <c r="T314" s="178">
        <f t="shared" si="105"/>
        <v>4</v>
      </c>
      <c r="U314" s="253">
        <f t="shared" si="106"/>
        <v>-1.4023021081608376</v>
      </c>
      <c r="V314" s="385">
        <f t="shared" si="107"/>
        <v>25.730551409515513</v>
      </c>
      <c r="W314" s="58"/>
      <c r="X314" s="157">
        <f t="shared" si="108"/>
        <v>43765</v>
      </c>
      <c r="Y314" s="387">
        <f t="shared" si="109"/>
        <v>19.54</v>
      </c>
      <c r="Z314" s="387">
        <f t="shared" si="110"/>
        <v>19.746622604148172</v>
      </c>
      <c r="AA314" s="388">
        <f t="shared" si="111"/>
        <v>21.583332799597503</v>
      </c>
      <c r="AB314" s="199">
        <f t="shared" si="112"/>
        <v>43765</v>
      </c>
      <c r="AC314" s="428">
        <f>IF(OR(t&lt;Tnet,NoTnet),'2018'!Resal_s+('2018'!Salim-'2018'!Resal_s)*(1-EXP(('2018'!Tnet_s-t)/'2018'!Tau_j)),Resal_s+(Salim-Resal_s)*(1-EXP((Tnet_s-t)/Tau_j)))*Salcycl</f>
        <v>8.5098543978508509E-2</v>
      </c>
      <c r="AD314" s="233">
        <f>(INDEX(Models!$BJ314:$BT314,,AH314)*(1-AF314)+INDEX(Models!$BJ314:$BT314,,AH314+1)*AF314-ERP_i)*AE314*Ramure*Pc/MaxiM</f>
        <v>7.4228858780408255E-3</v>
      </c>
      <c r="AE314" s="307">
        <f t="shared" si="113"/>
        <v>0.9</v>
      </c>
      <c r="AF314" s="179">
        <f t="shared" si="114"/>
        <v>0.59769789183916244</v>
      </c>
      <c r="AG314" s="178">
        <f t="shared" si="115"/>
        <v>-2</v>
      </c>
      <c r="AH314" s="178">
        <f t="shared" si="116"/>
        <v>4</v>
      </c>
      <c r="AI314" s="227">
        <f t="shared" si="117"/>
        <v>-1.4023021081608376</v>
      </c>
      <c r="AJ314" s="267" t="b">
        <f t="shared" si="118"/>
        <v>0</v>
      </c>
      <c r="AK314" s="267" t="b">
        <f t="shared" si="119"/>
        <v>0</v>
      </c>
      <c r="AL314" s="267"/>
      <c r="AM314" s="267"/>
      <c r="AN314" s="75"/>
    </row>
    <row r="315" spans="1:40" s="6" customFormat="1" ht="11.25" customHeight="1" x14ac:dyDescent="0.2">
      <c r="A315" s="56">
        <f t="shared" si="120"/>
        <v>43766</v>
      </c>
      <c r="B315" s="620">
        <v>9.4990000000000006</v>
      </c>
      <c r="C315" s="392"/>
      <c r="D315" s="395">
        <f t="shared" si="99"/>
        <v>9.5996690542495902</v>
      </c>
      <c r="E315" s="387">
        <f t="shared" si="121"/>
        <v>10.49330082171797</v>
      </c>
      <c r="F315" s="387">
        <f t="shared" si="100"/>
        <v>10.502181552078556</v>
      </c>
      <c r="G315" s="110">
        <f t="shared" si="122"/>
        <v>0.37119338386296913</v>
      </c>
      <c r="H315" s="416" t="b">
        <f>Wh_hp&gt;='2018'!Maxi_hp</f>
        <v>1</v>
      </c>
      <c r="I315" s="392">
        <f>IF(H315,Wh_hp,'2018'!Maxi_hp)</f>
        <v>10.502181552078556</v>
      </c>
      <c r="J315" s="85">
        <f>IF(H315,An,'2018'!An_max)</f>
        <v>2019</v>
      </c>
      <c r="K315" s="199">
        <f t="shared" si="101"/>
        <v>43766</v>
      </c>
      <c r="L315" s="147">
        <f>IF(t&lt;Tvie,1-EXP((T0-t)*PertePVj)+'2018'!Pspv,1-EXP((T0-t)*PertePVj)+Pspv)</f>
        <v>1.0486721331817717E-2</v>
      </c>
      <c r="M315" s="872"/>
      <c r="N315" s="872"/>
      <c r="O315" s="48">
        <f>IF(t&lt;Tnet,'2018'!Resal+('2018'!Salim-'2018'!Resal)*(1-EXP(('2018'!Tnet-t)/('2018'!Tau_j))),Resal+(Salim-Resal)*(1-EXP((Tnet-t)/(Tau_j))))*Salcycl</f>
        <v>8.5162122257929615E-2</v>
      </c>
      <c r="P315" s="171">
        <f>(INDEX(Models!$BJ315:$BT315,,T315)*(1-R315)+INDEX(Models!$BJ315:$BT315,,T315+1)*R315-ERP_i)*Q315*Ramure*Pc/MaxiM</f>
        <v>8.0125113414521842E-3</v>
      </c>
      <c r="Q315" s="307">
        <f t="shared" si="102"/>
        <v>0.9</v>
      </c>
      <c r="R315" s="179">
        <f t="shared" si="103"/>
        <v>0.59779059826945735</v>
      </c>
      <c r="S315" s="839">
        <f t="shared" si="104"/>
        <v>-2</v>
      </c>
      <c r="T315" s="178">
        <f t="shared" si="105"/>
        <v>4</v>
      </c>
      <c r="U315" s="253">
        <f t="shared" si="106"/>
        <v>-1.4022094017305426</v>
      </c>
      <c r="V315" s="385">
        <f t="shared" si="107"/>
        <v>25.406875176757971</v>
      </c>
      <c r="W315" s="58"/>
      <c r="X315" s="157">
        <f t="shared" si="108"/>
        <v>43766</v>
      </c>
      <c r="Y315" s="387">
        <f t="shared" si="109"/>
        <v>9.4990000000000006</v>
      </c>
      <c r="Z315" s="387">
        <f t="shared" si="110"/>
        <v>9.5996690542495902</v>
      </c>
      <c r="AA315" s="388">
        <f t="shared" si="111"/>
        <v>10.49330082171797</v>
      </c>
      <c r="AB315" s="199">
        <f t="shared" si="112"/>
        <v>43766</v>
      </c>
      <c r="AC315" s="428">
        <f>IF(OR(t&lt;Tnet,NoTnet),'2018'!Resal_s+('2018'!Salim-'2018'!Resal_s)*(1-EXP(('2018'!Tnet_s-t)/'2018'!Tau_j)),Resal_s+(Salim-Resal_s)*(1-EXP((Tnet_s-t)/Tau_j)))*Salcycl</f>
        <v>8.5162122257929615E-2</v>
      </c>
      <c r="AD315" s="233">
        <f>(INDEX(Models!$BJ315:$BT315,,AH315)*(1-AF315)+INDEX(Models!$BJ315:$BT315,,AH315+1)*AF315-ERP_i)*AE315*Ramure*Pc/MaxiM</f>
        <v>8.0125113414521842E-3</v>
      </c>
      <c r="AE315" s="307">
        <f t="shared" si="113"/>
        <v>0.9</v>
      </c>
      <c r="AF315" s="179">
        <f t="shared" si="114"/>
        <v>0.59779059826945735</v>
      </c>
      <c r="AG315" s="178">
        <f t="shared" si="115"/>
        <v>-2</v>
      </c>
      <c r="AH315" s="178">
        <f t="shared" si="116"/>
        <v>4</v>
      </c>
      <c r="AI315" s="227">
        <f t="shared" si="117"/>
        <v>-1.4022094017305426</v>
      </c>
      <c r="AJ315" s="267" t="b">
        <f t="shared" si="118"/>
        <v>0</v>
      </c>
      <c r="AK315" s="267" t="b">
        <f t="shared" si="119"/>
        <v>0</v>
      </c>
      <c r="AL315" s="267"/>
      <c r="AM315" s="267"/>
      <c r="AN315" s="75"/>
    </row>
    <row r="316" spans="1:40" s="6" customFormat="1" ht="11.25" customHeight="1" x14ac:dyDescent="0.2">
      <c r="A316" s="56">
        <f t="shared" si="120"/>
        <v>43767</v>
      </c>
      <c r="B316" s="620">
        <v>22.603999999999999</v>
      </c>
      <c r="C316" s="392"/>
      <c r="D316" s="395">
        <f t="shared" si="99"/>
        <v>22.844085600112617</v>
      </c>
      <c r="E316" s="387">
        <f t="shared" si="121"/>
        <v>24.97234761130936</v>
      </c>
      <c r="F316" s="387">
        <f t="shared" si="100"/>
        <v>25.15927908632538</v>
      </c>
      <c r="G316" s="110">
        <f t="shared" si="122"/>
        <v>0.89998565870495728</v>
      </c>
      <c r="H316" s="416" t="b">
        <f>Wh_hp&gt;='2018'!Maxi_hp</f>
        <v>1</v>
      </c>
      <c r="I316" s="392">
        <f>IF(H316,Wh_hp,'2018'!Maxi_hp)</f>
        <v>25.15927908632538</v>
      </c>
      <c r="J316" s="85">
        <f>IF(H316,An,'2018'!An_max)</f>
        <v>2019</v>
      </c>
      <c r="K316" s="199">
        <f t="shared" si="101"/>
        <v>43767</v>
      </c>
      <c r="L316" s="147">
        <f>IF(t&lt;Tvie,1-EXP((T0-t)*PertePVj)+'2018'!Pspv,1-EXP((T0-t)*PertePVj)+Pspv)</f>
        <v>1.0509748751398207E-2</v>
      </c>
      <c r="M316" s="872"/>
      <c r="N316" s="872"/>
      <c r="O316" s="48">
        <f>IF(t&lt;Tnet,'2018'!Resal+('2018'!Salim-'2018'!Resal)*(1-EXP(('2018'!Tnet-t)/('2018'!Tau_j))),Resal+(Salim-Resal)*(1-EXP((Tnet-t)/(Tau_j))))*Salcycl</f>
        <v>8.5224747161252265E-2</v>
      </c>
      <c r="P316" s="171">
        <f>(INDEX(Models!$BJ316:$BT316,,T316)*(1-R316)+INDEX(Models!$BJ316:$BT316,,T316+1)*R316-ERP_i)*Q316*Ramure*Pc/MaxiM</f>
        <v>8.6524439234908039E-3</v>
      </c>
      <c r="Q316" s="307">
        <f t="shared" si="102"/>
        <v>0.9</v>
      </c>
      <c r="R316" s="179">
        <f t="shared" si="103"/>
        <v>0.59787959520158784</v>
      </c>
      <c r="S316" s="839">
        <f t="shared" si="104"/>
        <v>-2</v>
      </c>
      <c r="T316" s="178">
        <f t="shared" si="105"/>
        <v>4</v>
      </c>
      <c r="U316" s="253">
        <f t="shared" si="106"/>
        <v>-1.4021204047984122</v>
      </c>
      <c r="V316" s="385">
        <f t="shared" si="107"/>
        <v>25.085021117804153</v>
      </c>
      <c r="W316" s="58"/>
      <c r="X316" s="157">
        <f t="shared" si="108"/>
        <v>43767</v>
      </c>
      <c r="Y316" s="387">
        <f t="shared" si="109"/>
        <v>22.603999999999999</v>
      </c>
      <c r="Z316" s="387">
        <f t="shared" si="110"/>
        <v>22.844085600112617</v>
      </c>
      <c r="AA316" s="388">
        <f t="shared" si="111"/>
        <v>24.97234761130936</v>
      </c>
      <c r="AB316" s="199">
        <f t="shared" si="112"/>
        <v>43767</v>
      </c>
      <c r="AC316" s="428">
        <f>IF(OR(t&lt;Tnet,NoTnet),'2018'!Resal_s+('2018'!Salim-'2018'!Resal_s)*(1-EXP(('2018'!Tnet_s-t)/'2018'!Tau_j)),Resal_s+(Salim-Resal_s)*(1-EXP((Tnet_s-t)/Tau_j)))*Salcycl</f>
        <v>8.5224747161252265E-2</v>
      </c>
      <c r="AD316" s="233">
        <f>(INDEX(Models!$BJ316:$BT316,,AH316)*(1-AF316)+INDEX(Models!$BJ316:$BT316,,AH316+1)*AF316-ERP_i)*AE316*Ramure*Pc/MaxiM</f>
        <v>8.6524439234908039E-3</v>
      </c>
      <c r="AE316" s="307">
        <f t="shared" si="113"/>
        <v>0.9</v>
      </c>
      <c r="AF316" s="179">
        <f t="shared" si="114"/>
        <v>0.59787959520158784</v>
      </c>
      <c r="AG316" s="178">
        <f t="shared" si="115"/>
        <v>-2</v>
      </c>
      <c r="AH316" s="178">
        <f t="shared" si="116"/>
        <v>4</v>
      </c>
      <c r="AI316" s="227">
        <f t="shared" si="117"/>
        <v>-1.4021204047984122</v>
      </c>
      <c r="AJ316" s="267" t="b">
        <f t="shared" si="118"/>
        <v>0</v>
      </c>
      <c r="AK316" s="267" t="b">
        <f t="shared" si="119"/>
        <v>0</v>
      </c>
      <c r="AL316" s="267"/>
      <c r="AM316" s="267"/>
      <c r="AN316" s="75"/>
    </row>
    <row r="317" spans="1:40" s="6" customFormat="1" ht="11.25" customHeight="1" x14ac:dyDescent="0.2">
      <c r="A317" s="56">
        <f t="shared" si="120"/>
        <v>43768</v>
      </c>
      <c r="B317" s="620">
        <v>18.943000000000001</v>
      </c>
      <c r="C317" s="392"/>
      <c r="D317" s="395">
        <f t="shared" si="99"/>
        <v>19.144646263708946</v>
      </c>
      <c r="E317" s="387">
        <f t="shared" si="121"/>
        <v>20.929664725610255</v>
      </c>
      <c r="F317" s="387">
        <f t="shared" si="100"/>
        <v>21.060374270366076</v>
      </c>
      <c r="G317" s="110">
        <f t="shared" si="122"/>
        <v>0.76250829829607281</v>
      </c>
      <c r="H317" s="416" t="b">
        <f>Wh_hp&gt;='2018'!Maxi_hp</f>
        <v>0</v>
      </c>
      <c r="I317" s="392">
        <f>IF(H317,Wh_hp,'2018'!Maxi_hp)</f>
        <v>24.748747432326997</v>
      </c>
      <c r="J317" s="85">
        <f>IF(H317,An,'2018'!An_max)</f>
        <v>2018</v>
      </c>
      <c r="K317" s="199">
        <f t="shared" si="101"/>
        <v>43768</v>
      </c>
      <c r="L317" s="147">
        <f>IF(t&lt;Tvie,1-EXP((T0-t)*PertePVj)+'2018'!Pspv,1-EXP((T0-t)*PertePVj)+Pspv)</f>
        <v>1.0532775635097025E-2</v>
      </c>
      <c r="M317" s="872"/>
      <c r="N317" s="872"/>
      <c r="O317" s="48">
        <f>IF(t&lt;Tnet,'2018'!Resal+('2018'!Salim-'2018'!Resal)*(1-EXP(('2018'!Tnet-t)/('2018'!Tau_j))),Resal+(Salim-Resal)*(1-EXP((Tnet-t)/(Tau_j))))*Salcycl</f>
        <v>8.5286529206418632E-2</v>
      </c>
      <c r="P317" s="171">
        <f>(INDEX(Models!$BJ317:$BT317,,T317)*(1-R317)+INDEX(Models!$BJ317:$BT317,,T317+1)*R317-ERP_i)*Q317*Ramure*Pc/MaxiM</f>
        <v>9.344532244778242E-3</v>
      </c>
      <c r="Q317" s="307">
        <f t="shared" si="102"/>
        <v>0.9</v>
      </c>
      <c r="R317" s="179">
        <f t="shared" si="103"/>
        <v>0.59796503017364788</v>
      </c>
      <c r="S317" s="839">
        <f t="shared" si="104"/>
        <v>-2</v>
      </c>
      <c r="T317" s="178">
        <f t="shared" si="105"/>
        <v>4</v>
      </c>
      <c r="U317" s="253">
        <f t="shared" si="106"/>
        <v>-1.4020349698263521</v>
      </c>
      <c r="V317" s="385">
        <f t="shared" si="107"/>
        <v>24.76456131772898</v>
      </c>
      <c r="W317" s="58"/>
      <c r="X317" s="157">
        <f t="shared" si="108"/>
        <v>43768</v>
      </c>
      <c r="Y317" s="387">
        <f t="shared" si="109"/>
        <v>18.943000000000001</v>
      </c>
      <c r="Z317" s="387">
        <f t="shared" si="110"/>
        <v>19.144646263708946</v>
      </c>
      <c r="AA317" s="388">
        <f t="shared" si="111"/>
        <v>20.929664725610255</v>
      </c>
      <c r="AB317" s="199">
        <f t="shared" si="112"/>
        <v>43768</v>
      </c>
      <c r="AC317" s="428">
        <f>IF(OR(t&lt;Tnet,NoTnet),'2018'!Resal_s+('2018'!Salim-'2018'!Resal_s)*(1-EXP(('2018'!Tnet_s-t)/'2018'!Tau_j)),Resal_s+(Salim-Resal_s)*(1-EXP((Tnet_s-t)/Tau_j)))*Salcycl</f>
        <v>8.5286529206418632E-2</v>
      </c>
      <c r="AD317" s="233">
        <f>(INDEX(Models!$BJ317:$BT317,,AH317)*(1-AF317)+INDEX(Models!$BJ317:$BT317,,AH317+1)*AF317-ERP_i)*AE317*Ramure*Pc/MaxiM</f>
        <v>9.344532244778242E-3</v>
      </c>
      <c r="AE317" s="307">
        <f t="shared" si="113"/>
        <v>0.9</v>
      </c>
      <c r="AF317" s="179">
        <f t="shared" si="114"/>
        <v>0.59796503017364788</v>
      </c>
      <c r="AG317" s="178">
        <f t="shared" si="115"/>
        <v>-2</v>
      </c>
      <c r="AH317" s="178">
        <f t="shared" si="116"/>
        <v>4</v>
      </c>
      <c r="AI317" s="227">
        <f t="shared" si="117"/>
        <v>-1.4020349698263521</v>
      </c>
      <c r="AJ317" s="267" t="b">
        <f t="shared" si="118"/>
        <v>0</v>
      </c>
      <c r="AK317" s="267" t="b">
        <f t="shared" si="119"/>
        <v>0</v>
      </c>
      <c r="AL317" s="267"/>
      <c r="AM317" s="267"/>
      <c r="AN317" s="75"/>
    </row>
    <row r="318" spans="1:40" s="6" customFormat="1" ht="11.25" customHeight="1" x14ac:dyDescent="0.2">
      <c r="A318" s="56">
        <f t="shared" si="120"/>
        <v>43769</v>
      </c>
      <c r="B318" s="620">
        <v>16.504999999999999</v>
      </c>
      <c r="C318" s="392"/>
      <c r="D318" s="395">
        <f t="shared" si="99"/>
        <v>16.681082200570138</v>
      </c>
      <c r="E318" s="387">
        <f t="shared" si="121"/>
        <v>18.237618885620105</v>
      </c>
      <c r="F318" s="387">
        <f t="shared" si="100"/>
        <v>18.336614989307414</v>
      </c>
      <c r="G318" s="110">
        <f t="shared" si="122"/>
        <v>0.67198933791626814</v>
      </c>
      <c r="H318" s="416" t="b">
        <f>Wh_hp&gt;='2018'!Maxi_hp</f>
        <v>1</v>
      </c>
      <c r="I318" s="392">
        <f>IF(H318,Wh_hp,'2018'!Maxi_hp)</f>
        <v>18.336614989307414</v>
      </c>
      <c r="J318" s="85">
        <f>IF(H318,An,'2018'!An_max)</f>
        <v>2019</v>
      </c>
      <c r="K318" s="199">
        <f t="shared" si="101"/>
        <v>43769</v>
      </c>
      <c r="L318" s="147">
        <f>IF(t&lt;Tvie,1-EXP((T0-t)*PertePVj)+'2018'!Pspv,1-EXP((T0-t)*PertePVj)+Pspv)</f>
        <v>1.0555801982926605E-2</v>
      </c>
      <c r="M318" s="872"/>
      <c r="N318" s="872"/>
      <c r="O318" s="48">
        <f>IF(t&lt;Tnet,'2018'!Resal+('2018'!Salim-'2018'!Resal)*(1-EXP(('2018'!Tnet-t)/('2018'!Tau_j))),Resal+(Salim-Resal)*(1-EXP((Tnet-t)/(Tau_j))))*Salcycl</f>
        <v>8.5347582642888498E-2</v>
      </c>
      <c r="P318" s="171">
        <f>(INDEX(Models!$BJ318:$BT318,,T318)*(1-R318)+INDEX(Models!$BJ318:$BT318,,T318+1)*R318-ERP_i)*Q318*Ramure*Pc/MaxiM</f>
        <v>1.0073431739450044E-2</v>
      </c>
      <c r="Q318" s="307">
        <f t="shared" si="102"/>
        <v>0.9</v>
      </c>
      <c r="R318" s="179">
        <f t="shared" si="103"/>
        <v>0.59804704492585303</v>
      </c>
      <c r="S318" s="839">
        <f t="shared" si="104"/>
        <v>-2</v>
      </c>
      <c r="T318" s="178">
        <f t="shared" si="105"/>
        <v>4</v>
      </c>
      <c r="U318" s="253">
        <f t="shared" si="106"/>
        <v>-1.401952955074147</v>
      </c>
      <c r="V318" s="385">
        <f t="shared" si="107"/>
        <v>24.445963380942011</v>
      </c>
      <c r="W318" s="58"/>
      <c r="X318" s="157">
        <f t="shared" si="108"/>
        <v>43769</v>
      </c>
      <c r="Y318" s="387">
        <f t="shared" si="109"/>
        <v>16.504999999999999</v>
      </c>
      <c r="Z318" s="387">
        <f t="shared" si="110"/>
        <v>16.681082200570138</v>
      </c>
      <c r="AA318" s="388">
        <f t="shared" si="111"/>
        <v>18.237618885620105</v>
      </c>
      <c r="AB318" s="199">
        <f t="shared" si="112"/>
        <v>43769</v>
      </c>
      <c r="AC318" s="428">
        <f>IF(OR(t&lt;Tnet,NoTnet),'2018'!Resal_s+('2018'!Salim-'2018'!Resal_s)*(1-EXP(('2018'!Tnet_s-t)/'2018'!Tau_j)),Resal_s+(Salim-Resal_s)*(1-EXP((Tnet_s-t)/Tau_j)))*Salcycl</f>
        <v>8.5347582642888498E-2</v>
      </c>
      <c r="AD318" s="233">
        <f>(INDEX(Models!$BJ318:$BT318,,AH318)*(1-AF318)+INDEX(Models!$BJ318:$BT318,,AH318+1)*AF318-ERP_i)*AE318*Ramure*Pc/MaxiM</f>
        <v>1.0073431739450044E-2</v>
      </c>
      <c r="AE318" s="307">
        <f t="shared" si="113"/>
        <v>0.9</v>
      </c>
      <c r="AF318" s="179">
        <f t="shared" si="114"/>
        <v>0.59804704492585303</v>
      </c>
      <c r="AG318" s="178">
        <f t="shared" si="115"/>
        <v>-2</v>
      </c>
      <c r="AH318" s="178">
        <f t="shared" si="116"/>
        <v>4</v>
      </c>
      <c r="AI318" s="227">
        <f t="shared" si="117"/>
        <v>-1.401952955074147</v>
      </c>
      <c r="AJ318" s="267" t="b">
        <f t="shared" si="118"/>
        <v>0</v>
      </c>
      <c r="AK318" s="267" t="b">
        <f t="shared" si="119"/>
        <v>0</v>
      </c>
      <c r="AL318" s="267"/>
      <c r="AM318" s="267"/>
      <c r="AN318" s="75"/>
    </row>
    <row r="319" spans="1:40" s="6" customFormat="1" ht="11.25" customHeight="1" x14ac:dyDescent="0.2">
      <c r="A319" s="56">
        <f t="shared" si="120"/>
        <v>43770</v>
      </c>
      <c r="B319" s="620">
        <v>7.3150000000000004</v>
      </c>
      <c r="C319" s="392"/>
      <c r="D319" s="395">
        <f t="shared" si="99"/>
        <v>7.3932115114306933</v>
      </c>
      <c r="E319" s="387">
        <f t="shared" si="121"/>
        <v>8.083617299810733</v>
      </c>
      <c r="F319" s="387">
        <f t="shared" si="100"/>
        <v>8.0840100416985301</v>
      </c>
      <c r="G319" s="110">
        <f t="shared" si="122"/>
        <v>0.29988261776581127</v>
      </c>
      <c r="H319" s="416" t="b">
        <f>Wh_hp&gt;='2018'!Maxi_hp</f>
        <v>0</v>
      </c>
      <c r="I319" s="392">
        <f>IF(H319,Wh_hp,'2018'!Maxi_hp)</f>
        <v>19.62863773202201</v>
      </c>
      <c r="J319" s="85">
        <f>IF(H319,An,'2018'!An_max)</f>
        <v>2018</v>
      </c>
      <c r="K319" s="199">
        <f t="shared" si="101"/>
        <v>43770</v>
      </c>
      <c r="L319" s="147">
        <f>IF(t&lt;Tvie,1-EXP((T0-t)*PertePVj)+'2018'!Pspv,1-EXP((T0-t)*PertePVj)+Pspv)</f>
        <v>1.0578827794899381E-2</v>
      </c>
      <c r="M319" s="872"/>
      <c r="N319" s="872"/>
      <c r="O319" s="48">
        <f>IF(t&lt;Tnet,'2018'!Resal+('2018'!Salim-'2018'!Resal)*(1-EXP(('2018'!Tnet-t)/('2018'!Tau_j))),Resal+(Salim-Resal)*(1-EXP((Tnet-t)/(Tau_j))))*Salcycl</f>
        <v>8.5408024993489706E-2</v>
      </c>
      <c r="P319" s="171">
        <f>(INDEX(Models!$BJ319:$BT319,,T319)*(1-R319)+INDEX(Models!$BJ319:$BT319,,T319+1)*R319-ERP_i)*Q319*Ramure*Pc/MaxiM</f>
        <v>1.0811523048644961E-2</v>
      </c>
      <c r="Q319" s="307">
        <f t="shared" si="102"/>
        <v>0.9</v>
      </c>
      <c r="R319" s="179">
        <f t="shared" si="103"/>
        <v>0.5981257756228513</v>
      </c>
      <c r="S319" s="839">
        <f t="shared" si="104"/>
        <v>-2</v>
      </c>
      <c r="T319" s="178">
        <f t="shared" si="105"/>
        <v>4</v>
      </c>
      <c r="U319" s="253">
        <f t="shared" si="106"/>
        <v>-1.4018742243771487</v>
      </c>
      <c r="V319" s="385">
        <f t="shared" si="107"/>
        <v>24.130325789099658</v>
      </c>
      <c r="W319" s="58"/>
      <c r="X319" s="157">
        <f t="shared" si="108"/>
        <v>43770</v>
      </c>
      <c r="Y319" s="387">
        <f t="shared" si="109"/>
        <v>7.3149999999999995</v>
      </c>
      <c r="Z319" s="387">
        <f t="shared" si="110"/>
        <v>7.3932115114306924</v>
      </c>
      <c r="AA319" s="388">
        <f t="shared" si="111"/>
        <v>8.083617299810733</v>
      </c>
      <c r="AB319" s="199">
        <f t="shared" si="112"/>
        <v>43770</v>
      </c>
      <c r="AC319" s="428">
        <f>IF(OR(t&lt;Tnet,NoTnet),'2018'!Resal_s+('2018'!Salim-'2018'!Resal_s)*(1-EXP(('2018'!Tnet_s-t)/'2018'!Tau_j)),Resal_s+(Salim-Resal_s)*(1-EXP((Tnet_s-t)/Tau_j)))*Salcycl</f>
        <v>8.5408024993489706E-2</v>
      </c>
      <c r="AD319" s="233">
        <f>(INDEX(Models!$BJ319:$BT319,,AH319)*(1-AF319)+INDEX(Models!$BJ319:$BT319,,AH319+1)*AF319-ERP_i)*AE319*Ramure*Pc/MaxiM</f>
        <v>1.0811523048644961E-2</v>
      </c>
      <c r="AE319" s="307">
        <f t="shared" si="113"/>
        <v>0.9</v>
      </c>
      <c r="AF319" s="179">
        <f t="shared" si="114"/>
        <v>0.5981257756228513</v>
      </c>
      <c r="AG319" s="178">
        <f t="shared" si="115"/>
        <v>-2</v>
      </c>
      <c r="AH319" s="178">
        <f t="shared" si="116"/>
        <v>4</v>
      </c>
      <c r="AI319" s="227">
        <f t="shared" si="117"/>
        <v>-1.4018742243771487</v>
      </c>
      <c r="AJ319" s="267" t="b">
        <f t="shared" si="118"/>
        <v>0</v>
      </c>
      <c r="AK319" s="267" t="b">
        <f t="shared" si="119"/>
        <v>0</v>
      </c>
      <c r="AL319" s="267"/>
      <c r="AM319" s="267"/>
      <c r="AN319" s="75"/>
    </row>
    <row r="320" spans="1:40" s="6" customFormat="1" ht="11.25" customHeight="1" x14ac:dyDescent="0.2">
      <c r="A320" s="56">
        <f t="shared" si="120"/>
        <v>43771</v>
      </c>
      <c r="B320" s="620">
        <v>5.3070000000000004</v>
      </c>
      <c r="C320" s="392"/>
      <c r="D320" s="395">
        <f t="shared" si="99"/>
        <v>5.3638669290745948</v>
      </c>
      <c r="E320" s="387">
        <f t="shared" si="121"/>
        <v>5.8651493787516094</v>
      </c>
      <c r="F320" s="387">
        <f t="shared" si="100"/>
        <v>5.8651493787516094</v>
      </c>
      <c r="G320" s="110">
        <f t="shared" si="122"/>
        <v>0.22023877386750476</v>
      </c>
      <c r="H320" s="416" t="b">
        <f>Wh_hp&gt;='2018'!Maxi_hp</f>
        <v>0</v>
      </c>
      <c r="I320" s="392">
        <f>IF(H320,Wh_hp,'2018'!Maxi_hp)</f>
        <v>8.3411945841665727</v>
      </c>
      <c r="J320" s="85">
        <f>IF(H320,An,'2018'!An_max)</f>
        <v>2018</v>
      </c>
      <c r="K320" s="199">
        <f t="shared" si="101"/>
        <v>43771</v>
      </c>
      <c r="L320" s="147">
        <f>IF(t&lt;Tvie,1-EXP((T0-t)*PertePVj)+'2018'!Pspv,1-EXP((T0-t)*PertePVj)+Pspv)</f>
        <v>1.06018530710279E-2</v>
      </c>
      <c r="M320" s="872"/>
      <c r="N320" s="872"/>
      <c r="O320" s="48">
        <f>IF(t&lt;Tnet,'2018'!Resal+('2018'!Salim-'2018'!Resal)*(1-EXP(('2018'!Tnet-t)/('2018'!Tau_j))),Resal+(Salim-Resal)*(1-EXP((Tnet-t)/(Tau_j))))*Salcycl</f>
        <v>8.5467976569031892E-2</v>
      </c>
      <c r="P320" s="171">
        <f>(INDEX(Models!$BJ320:$BT320,,T320)*(1-R320)+INDEX(Models!$BJ320:$BT320,,T320+1)*R320-ERP_i)*Q320*Ramure*Pc/MaxiM</f>
        <v>1.1558664767392359E-2</v>
      </c>
      <c r="Q320" s="307">
        <f t="shared" si="102"/>
        <v>0.9</v>
      </c>
      <c r="R320" s="179">
        <f t="shared" si="103"/>
        <v>0.59820135306794708</v>
      </c>
      <c r="S320" s="839">
        <f t="shared" si="104"/>
        <v>-2</v>
      </c>
      <c r="T320" s="178">
        <f t="shared" si="105"/>
        <v>4</v>
      </c>
      <c r="U320" s="253">
        <f t="shared" si="106"/>
        <v>-1.4017986469320529</v>
      </c>
      <c r="V320" s="385">
        <f t="shared" si="107"/>
        <v>23.818050173287048</v>
      </c>
      <c r="W320" s="58"/>
      <c r="X320" s="157">
        <f t="shared" si="108"/>
        <v>43771</v>
      </c>
      <c r="Y320" s="387">
        <f t="shared" si="109"/>
        <v>5.3070000000000004</v>
      </c>
      <c r="Z320" s="387">
        <f t="shared" si="110"/>
        <v>5.3638669290745948</v>
      </c>
      <c r="AA320" s="388">
        <f t="shared" si="111"/>
        <v>5.8651493787516094</v>
      </c>
      <c r="AB320" s="199">
        <f t="shared" si="112"/>
        <v>43771</v>
      </c>
      <c r="AC320" s="428">
        <f>IF(OR(t&lt;Tnet,NoTnet),'2018'!Resal_s+('2018'!Salim-'2018'!Resal_s)*(1-EXP(('2018'!Tnet_s-t)/'2018'!Tau_j)),Resal_s+(Salim-Resal_s)*(1-EXP((Tnet_s-t)/Tau_j)))*Salcycl</f>
        <v>8.5467976569031892E-2</v>
      </c>
      <c r="AD320" s="233">
        <f>(INDEX(Models!$BJ320:$BT320,,AH320)*(1-AF320)+INDEX(Models!$BJ320:$BT320,,AH320+1)*AF320-ERP_i)*AE320*Ramure*Pc/MaxiM</f>
        <v>1.1558664767392359E-2</v>
      </c>
      <c r="AE320" s="307">
        <f t="shared" si="113"/>
        <v>0.9</v>
      </c>
      <c r="AF320" s="179">
        <f t="shared" si="114"/>
        <v>0.59820135306794708</v>
      </c>
      <c r="AG320" s="178">
        <f t="shared" si="115"/>
        <v>-2</v>
      </c>
      <c r="AH320" s="178">
        <f t="shared" si="116"/>
        <v>4</v>
      </c>
      <c r="AI320" s="227">
        <f t="shared" si="117"/>
        <v>-1.4017986469320529</v>
      </c>
      <c r="AJ320" s="267" t="b">
        <f t="shared" si="118"/>
        <v>0</v>
      </c>
      <c r="AK320" s="267" t="b">
        <f t="shared" si="119"/>
        <v>0</v>
      </c>
      <c r="AL320" s="267"/>
      <c r="AM320" s="267"/>
      <c r="AN320" s="75"/>
    </row>
    <row r="321" spans="1:40" s="6" customFormat="1" ht="11.25" customHeight="1" x14ac:dyDescent="0.2">
      <c r="A321" s="56">
        <f t="shared" si="120"/>
        <v>43772</v>
      </c>
      <c r="B321" s="620">
        <v>12.545999999999999</v>
      </c>
      <c r="C321" s="392"/>
      <c r="D321" s="395">
        <f t="shared" si="99"/>
        <v>12.680731219768287</v>
      </c>
      <c r="E321" s="387">
        <f t="shared" si="121"/>
        <v>13.866717753895244</v>
      </c>
      <c r="F321" s="387">
        <f t="shared" si="100"/>
        <v>13.923952930997924</v>
      </c>
      <c r="G321" s="110">
        <f t="shared" si="122"/>
        <v>0.52925950761371432</v>
      </c>
      <c r="H321" s="416" t="b">
        <f>Wh_hp&gt;='2018'!Maxi_hp</f>
        <v>0</v>
      </c>
      <c r="I321" s="392">
        <f>IF(H321,Wh_hp,'2018'!Maxi_hp)</f>
        <v>23.185689837564855</v>
      </c>
      <c r="J321" s="85">
        <f>IF(H321,An,'2018'!An_max)</f>
        <v>2018</v>
      </c>
      <c r="K321" s="199">
        <f t="shared" si="101"/>
        <v>43772</v>
      </c>
      <c r="L321" s="147">
        <f>IF(t&lt;Tvie,1-EXP((T0-t)*PertePVj)+'2018'!Pspv,1-EXP((T0-t)*PertePVj)+Pspv)</f>
        <v>1.0624877811324596E-2</v>
      </c>
      <c r="M321" s="872"/>
      <c r="N321" s="872"/>
      <c r="O321" s="48">
        <f>IF(t&lt;Tnet,'2018'!Resal+('2018'!Salim-'2018'!Resal)*(1-EXP(('2018'!Tnet-t)/('2018'!Tau_j))),Resal+(Salim-Resal)*(1-EXP((Tnet-t)/(Tau_j))))*Salcycl</f>
        <v>8.5527559958722507E-2</v>
      </c>
      <c r="P321" s="171">
        <f>(INDEX(Models!$BJ321:$BT321,,T321)*(1-R321)+INDEX(Models!$BJ321:$BT321,,T321+1)*R321-ERP_i)*Q321*Ramure*Pc/MaxiM</f>
        <v>1.2314649873749353E-2</v>
      </c>
      <c r="Q321" s="307">
        <f t="shared" si="102"/>
        <v>0.9</v>
      </c>
      <c r="R321" s="179">
        <f t="shared" si="103"/>
        <v>0.59827390290949767</v>
      </c>
      <c r="S321" s="839">
        <f t="shared" si="104"/>
        <v>-2</v>
      </c>
      <c r="T321" s="178">
        <f t="shared" si="105"/>
        <v>4</v>
      </c>
      <c r="U321" s="253">
        <f t="shared" si="106"/>
        <v>-1.4017260970905023</v>
      </c>
      <c r="V321" s="385">
        <f t="shared" si="107"/>
        <v>23.509538155298717</v>
      </c>
      <c r="W321" s="58"/>
      <c r="X321" s="157">
        <f t="shared" si="108"/>
        <v>43772</v>
      </c>
      <c r="Y321" s="387">
        <f t="shared" si="109"/>
        <v>12.545999999999999</v>
      </c>
      <c r="Z321" s="387">
        <f t="shared" si="110"/>
        <v>12.680731219768287</v>
      </c>
      <c r="AA321" s="388">
        <f t="shared" si="111"/>
        <v>13.866717753895244</v>
      </c>
      <c r="AB321" s="199">
        <f t="shared" si="112"/>
        <v>43772</v>
      </c>
      <c r="AC321" s="428">
        <f>IF(OR(t&lt;Tnet,NoTnet),'2018'!Resal_s+('2018'!Salim-'2018'!Resal_s)*(1-EXP(('2018'!Tnet_s-t)/'2018'!Tau_j)),Resal_s+(Salim-Resal_s)*(1-EXP((Tnet_s-t)/Tau_j)))*Salcycl</f>
        <v>8.5527559958722507E-2</v>
      </c>
      <c r="AD321" s="233">
        <f>(INDEX(Models!$BJ321:$BT321,,AH321)*(1-AF321)+INDEX(Models!$BJ321:$BT321,,AH321+1)*AF321-ERP_i)*AE321*Ramure*Pc/MaxiM</f>
        <v>1.2314649873749353E-2</v>
      </c>
      <c r="AE321" s="307">
        <f t="shared" si="113"/>
        <v>0.9</v>
      </c>
      <c r="AF321" s="179">
        <f t="shared" si="114"/>
        <v>0.59827390290949767</v>
      </c>
      <c r="AG321" s="178">
        <f t="shared" si="115"/>
        <v>-2</v>
      </c>
      <c r="AH321" s="178">
        <f t="shared" si="116"/>
        <v>4</v>
      </c>
      <c r="AI321" s="227">
        <f t="shared" si="117"/>
        <v>-1.4017260970905023</v>
      </c>
      <c r="AJ321" s="267" t="b">
        <f t="shared" si="118"/>
        <v>0</v>
      </c>
      <c r="AK321" s="267" t="b">
        <f t="shared" si="119"/>
        <v>0</v>
      </c>
      <c r="AL321" s="267"/>
      <c r="AM321" s="267"/>
      <c r="AN321" s="75"/>
    </row>
    <row r="322" spans="1:40" s="6" customFormat="1" ht="11.25" customHeight="1" x14ac:dyDescent="0.2">
      <c r="A322" s="56">
        <f t="shared" si="120"/>
        <v>43773</v>
      </c>
      <c r="B322" s="620">
        <v>9.5739999999999998</v>
      </c>
      <c r="C322" s="392"/>
      <c r="D322" s="395">
        <f t="shared" si="99"/>
        <v>9.6770401755926887</v>
      </c>
      <c r="E322" s="387">
        <f t="shared" si="121"/>
        <v>10.582788206225027</v>
      </c>
      <c r="F322" s="387">
        <f t="shared" si="100"/>
        <v>10.605096140890431</v>
      </c>
      <c r="G322" s="110">
        <f t="shared" si="122"/>
        <v>0.40804219600024461</v>
      </c>
      <c r="H322" s="416" t="b">
        <f>Wh_hp&gt;='2018'!Maxi_hp</f>
        <v>0</v>
      </c>
      <c r="I322" s="392">
        <f>IF(H322,Wh_hp,'2018'!Maxi_hp)</f>
        <v>18.873766608269342</v>
      </c>
      <c r="J322" s="85">
        <f>IF(H322,An,'2018'!An_max)</f>
        <v>2018</v>
      </c>
      <c r="K322" s="199">
        <f t="shared" si="101"/>
        <v>43773</v>
      </c>
      <c r="L322" s="147">
        <f>IF(t&lt;Tvie,1-EXP((T0-t)*PertePVj)+'2018'!Pspv,1-EXP((T0-t)*PertePVj)+Pspv)</f>
        <v>1.0647902015801902E-2</v>
      </c>
      <c r="M322" s="872"/>
      <c r="N322" s="872"/>
      <c r="O322" s="48">
        <f>IF(t&lt;Tnet,'2018'!Resal+('2018'!Salim-'2018'!Resal)*(1-EXP(('2018'!Tnet-t)/('2018'!Tau_j))),Resal+(Salim-Resal)*(1-EXP((Tnet-t)/(Tau_j))))*Salcycl</f>
        <v>8.5586899499657115E-2</v>
      </c>
      <c r="P322" s="171">
        <f>(INDEX(Models!$BJ322:$BT322,,T322)*(1-R322)+INDEX(Models!$BJ322:$BT322,,T322+1)*R322-ERP_i)*Q322*Ramure*Pc/MaxiM</f>
        <v>1.3079200357811141E-2</v>
      </c>
      <c r="Q322" s="307">
        <f t="shared" si="102"/>
        <v>0.9</v>
      </c>
      <c r="R322" s="179">
        <f t="shared" si="103"/>
        <v>0.59834354583973903</v>
      </c>
      <c r="S322" s="839">
        <f t="shared" si="104"/>
        <v>-2</v>
      </c>
      <c r="T322" s="178">
        <f t="shared" si="105"/>
        <v>4</v>
      </c>
      <c r="U322" s="253">
        <f t="shared" si="106"/>
        <v>-1.401656454160261</v>
      </c>
      <c r="V322" s="385">
        <f t="shared" si="107"/>
        <v>23.205191364661374</v>
      </c>
      <c r="W322" s="58"/>
      <c r="X322" s="157">
        <f t="shared" si="108"/>
        <v>43773</v>
      </c>
      <c r="Y322" s="387">
        <f t="shared" si="109"/>
        <v>9.5739999999999998</v>
      </c>
      <c r="Z322" s="387">
        <f t="shared" si="110"/>
        <v>9.6770401755926887</v>
      </c>
      <c r="AA322" s="388">
        <f t="shared" si="111"/>
        <v>10.582788206225027</v>
      </c>
      <c r="AB322" s="199">
        <f t="shared" si="112"/>
        <v>43773</v>
      </c>
      <c r="AC322" s="428">
        <f>IF(OR(t&lt;Tnet,NoTnet),'2018'!Resal_s+('2018'!Salim-'2018'!Resal_s)*(1-EXP(('2018'!Tnet_s-t)/'2018'!Tau_j)),Resal_s+(Salim-Resal_s)*(1-EXP((Tnet_s-t)/Tau_j)))*Salcycl</f>
        <v>8.5586899499657115E-2</v>
      </c>
      <c r="AD322" s="233">
        <f>(INDEX(Models!$BJ322:$BT322,,AH322)*(1-AF322)+INDEX(Models!$BJ322:$BT322,,AH322+1)*AF322-ERP_i)*AE322*Ramure*Pc/MaxiM</f>
        <v>1.3079200357811141E-2</v>
      </c>
      <c r="AE322" s="307">
        <f t="shared" si="113"/>
        <v>0.9</v>
      </c>
      <c r="AF322" s="179">
        <f t="shared" si="114"/>
        <v>0.59834354583973903</v>
      </c>
      <c r="AG322" s="178">
        <f t="shared" si="115"/>
        <v>-2</v>
      </c>
      <c r="AH322" s="178">
        <f t="shared" si="116"/>
        <v>4</v>
      </c>
      <c r="AI322" s="227">
        <f t="shared" si="117"/>
        <v>-1.401656454160261</v>
      </c>
      <c r="AJ322" s="267" t="b">
        <f t="shared" si="118"/>
        <v>0</v>
      </c>
      <c r="AK322" s="267" t="b">
        <f t="shared" si="119"/>
        <v>0</v>
      </c>
      <c r="AL322" s="267"/>
      <c r="AM322" s="267"/>
      <c r="AN322" s="75"/>
    </row>
    <row r="323" spans="1:40" s="6" customFormat="1" ht="11.25" customHeight="1" x14ac:dyDescent="0.2">
      <c r="A323" s="56">
        <f t="shared" si="120"/>
        <v>43774</v>
      </c>
      <c r="B323" s="620">
        <v>11.484999999999999</v>
      </c>
      <c r="C323" s="392"/>
      <c r="D323" s="395">
        <f t="shared" si="99"/>
        <v>11.608877468749167</v>
      </c>
      <c r="E323" s="387">
        <f t="shared" si="121"/>
        <v>12.696263155795892</v>
      </c>
      <c r="F323" s="387">
        <f t="shared" si="100"/>
        <v>12.747067909329978</v>
      </c>
      <c r="G323" s="110">
        <f t="shared" si="122"/>
        <v>0.49644301118337897</v>
      </c>
      <c r="H323" s="416" t="b">
        <f>Wh_hp&gt;='2018'!Maxi_hp</f>
        <v>1</v>
      </c>
      <c r="I323" s="392">
        <f>IF(H323,Wh_hp,'2018'!Maxi_hp)</f>
        <v>12.747067909329978</v>
      </c>
      <c r="J323" s="85">
        <f>IF(H323,An,'2018'!An_max)</f>
        <v>2019</v>
      </c>
      <c r="K323" s="199">
        <f t="shared" si="101"/>
        <v>43774</v>
      </c>
      <c r="L323" s="147">
        <f>IF(t&lt;Tvie,1-EXP((T0-t)*PertePVj)+'2018'!Pspv,1-EXP((T0-t)*PertePVj)+Pspv)</f>
        <v>1.0670925684472365E-2</v>
      </c>
      <c r="M323" s="872"/>
      <c r="N323" s="872"/>
      <c r="O323" s="48">
        <f>IF(t&lt;Tnet,'2018'!Resal+('2018'!Salim-'2018'!Resal)*(1-EXP(('2018'!Tnet-t)/('2018'!Tau_j))),Resal+(Salim-Resal)*(1-EXP((Tnet-t)/(Tau_j))))*Salcycl</f>
        <v>8.5646120728864072E-2</v>
      </c>
      <c r="P323" s="171">
        <f>(INDEX(Models!$BJ323:$BT323,,T323)*(1-R323)+INDEX(Models!$BJ323:$BT323,,T323+1)*R323-ERP_i)*Q323*Ramure*Pc/MaxiM</f>
        <v>1.3851961693286565E-2</v>
      </c>
      <c r="Q323" s="307">
        <f t="shared" si="102"/>
        <v>0.9</v>
      </c>
      <c r="R323" s="179">
        <f t="shared" si="103"/>
        <v>0.59841039778628424</v>
      </c>
      <c r="S323" s="839">
        <f t="shared" si="104"/>
        <v>-2</v>
      </c>
      <c r="T323" s="178">
        <f t="shared" si="105"/>
        <v>4</v>
      </c>
      <c r="U323" s="253">
        <f t="shared" si="106"/>
        <v>-1.4015896022137158</v>
      </c>
      <c r="V323" s="385">
        <f t="shared" si="107"/>
        <v>22.905411455482071</v>
      </c>
      <c r="W323" s="58"/>
      <c r="X323" s="157">
        <f t="shared" si="108"/>
        <v>43774</v>
      </c>
      <c r="Y323" s="387">
        <f t="shared" si="109"/>
        <v>11.484999999999999</v>
      </c>
      <c r="Z323" s="387">
        <f t="shared" si="110"/>
        <v>11.608877468749167</v>
      </c>
      <c r="AA323" s="388">
        <f t="shared" si="111"/>
        <v>12.696263155795892</v>
      </c>
      <c r="AB323" s="199">
        <f t="shared" si="112"/>
        <v>43774</v>
      </c>
      <c r="AC323" s="428">
        <f>IF(OR(t&lt;Tnet,NoTnet),'2018'!Resal_s+('2018'!Salim-'2018'!Resal_s)*(1-EXP(('2018'!Tnet_s-t)/'2018'!Tau_j)),Resal_s+(Salim-Resal_s)*(1-EXP((Tnet_s-t)/Tau_j)))*Salcycl</f>
        <v>8.5646120728864072E-2</v>
      </c>
      <c r="AD323" s="233">
        <f>(INDEX(Models!$BJ323:$BT323,,AH323)*(1-AF323)+INDEX(Models!$BJ323:$BT323,,AH323+1)*AF323-ERP_i)*AE323*Ramure*Pc/MaxiM</f>
        <v>1.3851961693286565E-2</v>
      </c>
      <c r="AE323" s="307">
        <f t="shared" si="113"/>
        <v>0.9</v>
      </c>
      <c r="AF323" s="179">
        <f t="shared" si="114"/>
        <v>0.59841039778628424</v>
      </c>
      <c r="AG323" s="178">
        <f t="shared" si="115"/>
        <v>-2</v>
      </c>
      <c r="AH323" s="178">
        <f t="shared" si="116"/>
        <v>4</v>
      </c>
      <c r="AI323" s="227">
        <f t="shared" si="117"/>
        <v>-1.4015896022137158</v>
      </c>
      <c r="AJ323" s="267" t="b">
        <f t="shared" si="118"/>
        <v>0</v>
      </c>
      <c r="AK323" s="267" t="b">
        <f t="shared" si="119"/>
        <v>0</v>
      </c>
      <c r="AL323" s="267"/>
      <c r="AM323" s="267"/>
      <c r="AN323" s="75"/>
    </row>
    <row r="324" spans="1:40" s="6" customFormat="1" ht="11.25" customHeight="1" x14ac:dyDescent="0.2">
      <c r="A324" s="56">
        <f t="shared" si="120"/>
        <v>43775</v>
      </c>
      <c r="B324" s="620">
        <v>12.484</v>
      </c>
      <c r="C324" s="392"/>
      <c r="D324" s="395">
        <f t="shared" si="99"/>
        <v>12.618946366572997</v>
      </c>
      <c r="E324" s="387">
        <f t="shared" si="121"/>
        <v>13.801837694347482</v>
      </c>
      <c r="F324" s="387">
        <f t="shared" si="100"/>
        <v>13.874857368080006</v>
      </c>
      <c r="G324" s="110">
        <f t="shared" si="122"/>
        <v>0.54692971245780031</v>
      </c>
      <c r="H324" s="416" t="b">
        <f>Wh_hp&gt;='2018'!Maxi_hp</f>
        <v>0</v>
      </c>
      <c r="I324" s="392">
        <f>IF(H324,Wh_hp,'2018'!Maxi_hp)</f>
        <v>19.252689495986012</v>
      </c>
      <c r="J324" s="85">
        <f>IF(H324,An,'2018'!An_max)</f>
        <v>2018</v>
      </c>
      <c r="K324" s="199">
        <f t="shared" si="101"/>
        <v>43775</v>
      </c>
      <c r="L324" s="147">
        <f>IF(t&lt;Tvie,1-EXP((T0-t)*PertePVj)+'2018'!Pspv,1-EXP((T0-t)*PertePVj)+Pspv)</f>
        <v>1.0693948817348531E-2</v>
      </c>
      <c r="M324" s="872"/>
      <c r="N324" s="872"/>
      <c r="O324" s="48">
        <f>IF(t&lt;Tnet,'2018'!Resal+('2018'!Salim-'2018'!Resal)*(1-EXP(('2018'!Tnet-t)/('2018'!Tau_j))),Resal+(Salim-Resal)*(1-EXP((Tnet-t)/(Tau_j))))*Salcycl</f>
        <v>8.5705349821562943E-2</v>
      </c>
      <c r="P324" s="171">
        <f>(INDEX(Models!$BJ324:$BT324,,T324)*(1-R324)+INDEX(Models!$BJ324:$BT324,,T324+1)*R324-ERP_i)*Q324*Ramure*Pc/MaxiM</f>
        <v>1.4611813719836124E-2</v>
      </c>
      <c r="Q324" s="307">
        <f t="shared" si="102"/>
        <v>0.9</v>
      </c>
      <c r="R324" s="179">
        <f t="shared" si="103"/>
        <v>0.59847457009654104</v>
      </c>
      <c r="S324" s="839">
        <f t="shared" si="104"/>
        <v>-2</v>
      </c>
      <c r="T324" s="178">
        <f t="shared" si="105"/>
        <v>4</v>
      </c>
      <c r="U324" s="253">
        <f t="shared" si="106"/>
        <v>-1.401525429903459</v>
      </c>
      <c r="V324" s="385">
        <f t="shared" si="107"/>
        <v>22.61107472187912</v>
      </c>
      <c r="W324" s="58"/>
      <c r="X324" s="157">
        <f t="shared" si="108"/>
        <v>43775</v>
      </c>
      <c r="Y324" s="387">
        <f t="shared" si="109"/>
        <v>12.484</v>
      </c>
      <c r="Z324" s="387">
        <f t="shared" si="110"/>
        <v>12.618946366572997</v>
      </c>
      <c r="AA324" s="388">
        <f t="shared" si="111"/>
        <v>13.801837694347482</v>
      </c>
      <c r="AB324" s="199">
        <f t="shared" si="112"/>
        <v>43775</v>
      </c>
      <c r="AC324" s="428">
        <f>IF(OR(t&lt;Tnet,NoTnet),'2018'!Resal_s+('2018'!Salim-'2018'!Resal_s)*(1-EXP(('2018'!Tnet_s-t)/'2018'!Tau_j)),Resal_s+(Salim-Resal_s)*(1-EXP((Tnet_s-t)/Tau_j)))*Salcycl</f>
        <v>8.5705349821562943E-2</v>
      </c>
      <c r="AD324" s="233">
        <f>(INDEX(Models!$BJ324:$BT324,,AH324)*(1-AF324)+INDEX(Models!$BJ324:$BT324,,AH324+1)*AF324-ERP_i)*AE324*Ramure*Pc/MaxiM</f>
        <v>1.4611813719836124E-2</v>
      </c>
      <c r="AE324" s="307">
        <f t="shared" si="113"/>
        <v>0.9</v>
      </c>
      <c r="AF324" s="179">
        <f t="shared" si="114"/>
        <v>0.59847457009654104</v>
      </c>
      <c r="AG324" s="178">
        <f t="shared" si="115"/>
        <v>-2</v>
      </c>
      <c r="AH324" s="178">
        <f t="shared" si="116"/>
        <v>4</v>
      </c>
      <c r="AI324" s="227">
        <f t="shared" si="117"/>
        <v>-1.401525429903459</v>
      </c>
      <c r="AJ324" s="267" t="b">
        <f t="shared" si="118"/>
        <v>0</v>
      </c>
      <c r="AK324" s="267" t="b">
        <f t="shared" si="119"/>
        <v>0</v>
      </c>
      <c r="AL324" s="267"/>
      <c r="AM324" s="267"/>
      <c r="AN324" s="75"/>
    </row>
    <row r="325" spans="1:40" s="6" customFormat="1" ht="11.25" customHeight="1" x14ac:dyDescent="0.2">
      <c r="A325" s="56">
        <f t="shared" si="120"/>
        <v>43776</v>
      </c>
      <c r="B325" s="620">
        <v>4.407</v>
      </c>
      <c r="C325" s="392"/>
      <c r="D325" s="395">
        <f t="shared" si="99"/>
        <v>4.4547413355518453</v>
      </c>
      <c r="E325" s="387">
        <f t="shared" si="121"/>
        <v>4.8726420856763504</v>
      </c>
      <c r="F325" s="387">
        <f t="shared" si="100"/>
        <v>4.8726420856763504</v>
      </c>
      <c r="G325" s="110">
        <f t="shared" si="122"/>
        <v>0.194391465298689</v>
      </c>
      <c r="H325" s="416" t="b">
        <f>Wh_hp&gt;='2018'!Maxi_hp</f>
        <v>0</v>
      </c>
      <c r="I325" s="392">
        <f>IF(H325,Wh_hp,'2018'!Maxi_hp)</f>
        <v>11.087483197731522</v>
      </c>
      <c r="J325" s="85">
        <f>IF(H325,An,'2018'!An_max)</f>
        <v>2018</v>
      </c>
      <c r="K325" s="199">
        <f t="shared" si="101"/>
        <v>43776</v>
      </c>
      <c r="L325" s="147">
        <f>IF(t&lt;Tvie,1-EXP((T0-t)*PertePVj)+'2018'!Pspv,1-EXP((T0-t)*PertePVj)+Pspv)</f>
        <v>1.0716971414442611E-2</v>
      </c>
      <c r="M325" s="872"/>
      <c r="N325" s="872"/>
      <c r="O325" s="48">
        <f>IF(t&lt;Tnet,'2018'!Resal+('2018'!Salim-'2018'!Resal)*(1-EXP(('2018'!Tnet-t)/('2018'!Tau_j))),Resal+(Salim-Resal)*(1-EXP((Tnet-t)/(Tau_j))))*Salcycl</f>
        <v>8.5764713019445687E-2</v>
      </c>
      <c r="P325" s="171">
        <f>(INDEX(Models!$BJ325:$BT325,,T325)*(1-R325)+INDEX(Models!$BJ325:$BT325,,T325+1)*R325-ERP_i)*Q325*Ramure*Pc/MaxiM</f>
        <v>1.5347693361797771E-2</v>
      </c>
      <c r="Q325" s="307">
        <f t="shared" si="102"/>
        <v>0.9</v>
      </c>
      <c r="R325" s="179">
        <f t="shared" si="103"/>
        <v>0.59853616971528045</v>
      </c>
      <c r="S325" s="839">
        <f t="shared" si="104"/>
        <v>-2</v>
      </c>
      <c r="T325" s="178">
        <f t="shared" si="105"/>
        <v>4</v>
      </c>
      <c r="U325" s="253">
        <f t="shared" si="106"/>
        <v>-1.4014638302847195</v>
      </c>
      <c r="V325" s="385">
        <f t="shared" si="107"/>
        <v>22.322804700746413</v>
      </c>
      <c r="W325" s="58"/>
      <c r="X325" s="157">
        <f t="shared" si="108"/>
        <v>43776</v>
      </c>
      <c r="Y325" s="387">
        <f t="shared" si="109"/>
        <v>4.407</v>
      </c>
      <c r="Z325" s="387">
        <f t="shared" si="110"/>
        <v>4.4547413355518453</v>
      </c>
      <c r="AA325" s="388">
        <f t="shared" si="111"/>
        <v>4.8726420856763504</v>
      </c>
      <c r="AB325" s="199">
        <f t="shared" si="112"/>
        <v>43776</v>
      </c>
      <c r="AC325" s="428">
        <f>IF(OR(t&lt;Tnet,NoTnet),'2018'!Resal_s+('2018'!Salim-'2018'!Resal_s)*(1-EXP(('2018'!Tnet_s-t)/'2018'!Tau_j)),Resal_s+(Salim-Resal_s)*(1-EXP((Tnet_s-t)/Tau_j)))*Salcycl</f>
        <v>8.5764713019445687E-2</v>
      </c>
      <c r="AD325" s="233">
        <f>(INDEX(Models!$BJ325:$BT325,,AH325)*(1-AF325)+INDEX(Models!$BJ325:$BT325,,AH325+1)*AF325-ERP_i)*AE325*Ramure*Pc/MaxiM</f>
        <v>1.5347693361797771E-2</v>
      </c>
      <c r="AE325" s="307">
        <f t="shared" si="113"/>
        <v>0.9</v>
      </c>
      <c r="AF325" s="179">
        <f t="shared" si="114"/>
        <v>0.59853616971528045</v>
      </c>
      <c r="AG325" s="178">
        <f t="shared" si="115"/>
        <v>-2</v>
      </c>
      <c r="AH325" s="178">
        <f t="shared" si="116"/>
        <v>4</v>
      </c>
      <c r="AI325" s="227">
        <f t="shared" si="117"/>
        <v>-1.4014638302847195</v>
      </c>
      <c r="AJ325" s="267" t="b">
        <f t="shared" si="118"/>
        <v>0</v>
      </c>
      <c r="AK325" s="267" t="b">
        <f t="shared" si="119"/>
        <v>0</v>
      </c>
      <c r="AL325" s="267"/>
      <c r="AM325" s="267"/>
      <c r="AN325" s="75"/>
    </row>
    <row r="326" spans="1:40" s="6" customFormat="1" ht="11.25" customHeight="1" x14ac:dyDescent="0.2">
      <c r="A326" s="56">
        <f t="shared" si="120"/>
        <v>43777</v>
      </c>
      <c r="B326" s="620">
        <v>12.961</v>
      </c>
      <c r="C326" s="392"/>
      <c r="D326" s="395">
        <f t="shared" si="99"/>
        <v>13.101712304673574</v>
      </c>
      <c r="E326" s="387">
        <f t="shared" si="121"/>
        <v>14.331722907723167</v>
      </c>
      <c r="F326" s="387">
        <f t="shared" si="100"/>
        <v>14.427050775609501</v>
      </c>
      <c r="G326" s="110">
        <f t="shared" si="122"/>
        <v>0.58244626947990641</v>
      </c>
      <c r="H326" s="416" t="b">
        <f>Wh_hp&gt;='2018'!Maxi_hp</f>
        <v>1</v>
      </c>
      <c r="I326" s="392">
        <f>IF(H326,Wh_hp,'2018'!Maxi_hp)</f>
        <v>14.427050775609501</v>
      </c>
      <c r="J326" s="85">
        <f>IF(H326,An,'2018'!An_max)</f>
        <v>2019</v>
      </c>
      <c r="K326" s="199">
        <f t="shared" si="101"/>
        <v>43777</v>
      </c>
      <c r="L326" s="147">
        <f>IF(t&lt;Tvie,1-EXP((T0-t)*PertePVj)+'2018'!Pspv,1-EXP((T0-t)*PertePVj)+Pspv)</f>
        <v>1.0739993475767262E-2</v>
      </c>
      <c r="M326" s="872"/>
      <c r="N326" s="872"/>
      <c r="O326" s="48">
        <f>IF(t&lt;Tnet,'2018'!Resal+('2018'!Salim-'2018'!Resal)*(1-EXP(('2018'!Tnet-t)/('2018'!Tau_j))),Resal+(Salim-Resal)*(1-EXP((Tnet-t)/(Tau_j))))*Salcycl</f>
        <v>8.5824336052907943E-2</v>
      </c>
      <c r="P326" s="171">
        <f>(INDEX(Models!$BJ326:$BT326,,T326)*(1-R326)+INDEX(Models!$BJ326:$BT326,,T326+1)*R326-ERP_i)*Q326*Ramure*Pc/MaxiM</f>
        <v>1.6057835546832457E-2</v>
      </c>
      <c r="Q326" s="307">
        <f t="shared" si="102"/>
        <v>0.9</v>
      </c>
      <c r="R326" s="179">
        <f t="shared" si="103"/>
        <v>0.59859529935559297</v>
      </c>
      <c r="S326" s="839">
        <f t="shared" si="104"/>
        <v>-2</v>
      </c>
      <c r="T326" s="178">
        <f t="shared" si="105"/>
        <v>4</v>
      </c>
      <c r="U326" s="253">
        <f t="shared" si="106"/>
        <v>-1.401404700644407</v>
      </c>
      <c r="V326" s="385">
        <f t="shared" si="107"/>
        <v>22.041003913443429</v>
      </c>
      <c r="W326" s="58"/>
      <c r="X326" s="157">
        <f t="shared" si="108"/>
        <v>43777</v>
      </c>
      <c r="Y326" s="387">
        <f t="shared" si="109"/>
        <v>12.961</v>
      </c>
      <c r="Z326" s="387">
        <f t="shared" si="110"/>
        <v>13.101712304673574</v>
      </c>
      <c r="AA326" s="388">
        <f t="shared" si="111"/>
        <v>14.331722907723167</v>
      </c>
      <c r="AB326" s="199">
        <f t="shared" si="112"/>
        <v>43777</v>
      </c>
      <c r="AC326" s="428">
        <f>IF(OR(t&lt;Tnet,NoTnet),'2018'!Resal_s+('2018'!Salim-'2018'!Resal_s)*(1-EXP(('2018'!Tnet_s-t)/'2018'!Tau_j)),Resal_s+(Salim-Resal_s)*(1-EXP((Tnet_s-t)/Tau_j)))*Salcycl</f>
        <v>8.5824336052907943E-2</v>
      </c>
      <c r="AD326" s="233">
        <f>(INDEX(Models!$BJ326:$BT326,,AH326)*(1-AF326)+INDEX(Models!$BJ326:$BT326,,AH326+1)*AF326-ERP_i)*AE326*Ramure*Pc/MaxiM</f>
        <v>1.6057835546832457E-2</v>
      </c>
      <c r="AE326" s="307">
        <f t="shared" si="113"/>
        <v>0.9</v>
      </c>
      <c r="AF326" s="179">
        <f t="shared" si="114"/>
        <v>0.59859529935559297</v>
      </c>
      <c r="AG326" s="178">
        <f t="shared" si="115"/>
        <v>-2</v>
      </c>
      <c r="AH326" s="178">
        <f t="shared" si="116"/>
        <v>4</v>
      </c>
      <c r="AI326" s="227">
        <f t="shared" si="117"/>
        <v>-1.401404700644407</v>
      </c>
      <c r="AJ326" s="267" t="b">
        <f t="shared" si="118"/>
        <v>0</v>
      </c>
      <c r="AK326" s="267" t="b">
        <f t="shared" si="119"/>
        <v>0</v>
      </c>
      <c r="AL326" s="267"/>
      <c r="AM326" s="267"/>
      <c r="AN326" s="75"/>
    </row>
    <row r="327" spans="1:40" s="6" customFormat="1" ht="11.25" customHeight="1" x14ac:dyDescent="0.2">
      <c r="A327" s="56">
        <f t="shared" si="120"/>
        <v>43778</v>
      </c>
      <c r="B327" s="620">
        <v>15.875999999999999</v>
      </c>
      <c r="C327" s="392"/>
      <c r="D327" s="395">
        <f t="shared" si="99"/>
        <v>16.048732751355253</v>
      </c>
      <c r="E327" s="387">
        <f t="shared" si="121"/>
        <v>17.556566981773894</v>
      </c>
      <c r="F327" s="387">
        <f t="shared" si="100"/>
        <v>17.738722948649169</v>
      </c>
      <c r="G327" s="110">
        <f t="shared" si="122"/>
        <v>0.72462269242547872</v>
      </c>
      <c r="H327" s="416" t="b">
        <f>Wh_hp&gt;='2018'!Maxi_hp</f>
        <v>1</v>
      </c>
      <c r="I327" s="392">
        <f>IF(H327,Wh_hp,'2018'!Maxi_hp)</f>
        <v>17.738722948649169</v>
      </c>
      <c r="J327" s="85">
        <f>IF(H327,An,'2018'!An_max)</f>
        <v>2019</v>
      </c>
      <c r="K327" s="199">
        <f t="shared" si="101"/>
        <v>43778</v>
      </c>
      <c r="L327" s="147">
        <f>IF(t&lt;Tvie,1-EXP((T0-t)*PertePVj)+'2018'!Pspv,1-EXP((T0-t)*PertePVj)+Pspv)</f>
        <v>1.076301500133503E-2</v>
      </c>
      <c r="M327" s="872"/>
      <c r="N327" s="872"/>
      <c r="O327" s="48">
        <f>IF(t&lt;Tnet,'2018'!Resal+('2018'!Salim-'2018'!Resal)*(1-EXP(('2018'!Tnet-t)/('2018'!Tau_j))),Resal+(Salim-Resal)*(1-EXP((Tnet-t)/(Tau_j))))*Salcycl</f>
        <v>8.5884343561242804E-2</v>
      </c>
      <c r="P327" s="171">
        <f>(INDEX(Models!$BJ327:$BT327,,T327)*(1-R327)+INDEX(Models!$BJ327:$BT327,,T327+1)*R327-ERP_i)*Q327*Ramure*Pc/MaxiM</f>
        <v>1.6740375070913194E-2</v>
      </c>
      <c r="Q327" s="307">
        <f t="shared" si="102"/>
        <v>0.9</v>
      </c>
      <c r="R327" s="179">
        <f t="shared" si="103"/>
        <v>0.5986520576634502</v>
      </c>
      <c r="S327" s="839">
        <f t="shared" si="104"/>
        <v>-2</v>
      </c>
      <c r="T327" s="178">
        <f t="shared" si="105"/>
        <v>4</v>
      </c>
      <c r="U327" s="253">
        <f t="shared" si="106"/>
        <v>-1.4013479423365498</v>
      </c>
      <c r="V327" s="385">
        <f t="shared" si="107"/>
        <v>21.76607489519014</v>
      </c>
      <c r="W327" s="58"/>
      <c r="X327" s="157">
        <f t="shared" si="108"/>
        <v>43778</v>
      </c>
      <c r="Y327" s="387">
        <f t="shared" si="109"/>
        <v>15.875999999999999</v>
      </c>
      <c r="Z327" s="387">
        <f t="shared" si="110"/>
        <v>16.048732751355253</v>
      </c>
      <c r="AA327" s="388">
        <f t="shared" si="111"/>
        <v>17.556566981773894</v>
      </c>
      <c r="AB327" s="199">
        <f t="shared" si="112"/>
        <v>43778</v>
      </c>
      <c r="AC327" s="428">
        <f>IF(OR(t&lt;Tnet,NoTnet),'2018'!Resal_s+('2018'!Salim-'2018'!Resal_s)*(1-EXP(('2018'!Tnet_s-t)/'2018'!Tau_j)),Resal_s+(Salim-Resal_s)*(1-EXP((Tnet_s-t)/Tau_j)))*Salcycl</f>
        <v>8.5884343561242804E-2</v>
      </c>
      <c r="AD327" s="233">
        <f>(INDEX(Models!$BJ327:$BT327,,AH327)*(1-AF327)+INDEX(Models!$BJ327:$BT327,,AH327+1)*AF327-ERP_i)*AE327*Ramure*Pc/MaxiM</f>
        <v>1.6740375070913194E-2</v>
      </c>
      <c r="AE327" s="307">
        <f t="shared" si="113"/>
        <v>0.9</v>
      </c>
      <c r="AF327" s="179">
        <f t="shared" si="114"/>
        <v>0.5986520576634502</v>
      </c>
      <c r="AG327" s="178">
        <f t="shared" si="115"/>
        <v>-2</v>
      </c>
      <c r="AH327" s="178">
        <f t="shared" si="116"/>
        <v>4</v>
      </c>
      <c r="AI327" s="227">
        <f t="shared" si="117"/>
        <v>-1.4013479423365498</v>
      </c>
      <c r="AJ327" s="267" t="b">
        <f t="shared" si="118"/>
        <v>0</v>
      </c>
      <c r="AK327" s="267" t="b">
        <f t="shared" si="119"/>
        <v>0</v>
      </c>
      <c r="AL327" s="267"/>
      <c r="AM327" s="267"/>
      <c r="AN327" s="75"/>
    </row>
    <row r="328" spans="1:40" s="6" customFormat="1" ht="11.25" customHeight="1" x14ac:dyDescent="0.2">
      <c r="A328" s="56">
        <f t="shared" si="120"/>
        <v>43779</v>
      </c>
      <c r="B328" s="620">
        <v>16.672999999999998</v>
      </c>
      <c r="C328" s="392"/>
      <c r="D328" s="395">
        <f t="shared" si="99"/>
        <v>16.854796441036665</v>
      </c>
      <c r="E328" s="387">
        <f t="shared" si="121"/>
        <v>18.439583867611454</v>
      </c>
      <c r="F328" s="387">
        <f t="shared" si="100"/>
        <v>18.660074699922738</v>
      </c>
      <c r="G328" s="110">
        <f t="shared" si="122"/>
        <v>0.77116829099613382</v>
      </c>
      <c r="H328" s="416" t="b">
        <f>Wh_hp&gt;='2018'!Maxi_hp</f>
        <v>1</v>
      </c>
      <c r="I328" s="392">
        <f>IF(H328,Wh_hp,'2018'!Maxi_hp)</f>
        <v>18.660074699922738</v>
      </c>
      <c r="J328" s="85">
        <f>IF(H328,An,'2018'!An_max)</f>
        <v>2019</v>
      </c>
      <c r="K328" s="199">
        <f t="shared" si="101"/>
        <v>43779</v>
      </c>
      <c r="L328" s="147">
        <f>IF(t&lt;Tvie,1-EXP((T0-t)*PertePVj)+'2018'!Pspv,1-EXP((T0-t)*PertePVj)+Pspv)</f>
        <v>1.0786035991158127E-2</v>
      </c>
      <c r="M328" s="872"/>
      <c r="N328" s="872"/>
      <c r="O328" s="48">
        <f>IF(t&lt;Tnet,'2018'!Resal+('2018'!Salim-'2018'!Resal)*(1-EXP(('2018'!Tnet-t)/('2018'!Tau_j))),Resal+(Salim-Resal)*(1-EXP((Tnet-t)/(Tau_j))))*Salcycl</f>
        <v>8.594485851486143E-2</v>
      </c>
      <c r="P328" s="171">
        <f>(INDEX(Models!$BJ328:$BT328,,T328)*(1-R328)+INDEX(Models!$BJ328:$BT328,,T328+1)*R328-ERP_i)*Q328*Ramure*Pc/MaxiM</f>
        <v>1.7393350613709082E-2</v>
      </c>
      <c r="Q328" s="307">
        <f t="shared" si="102"/>
        <v>0.9</v>
      </c>
      <c r="R328" s="179">
        <f t="shared" si="103"/>
        <v>0.59870653937609952</v>
      </c>
      <c r="S328" s="839">
        <f t="shared" si="104"/>
        <v>-2</v>
      </c>
      <c r="T328" s="178">
        <f t="shared" si="105"/>
        <v>4</v>
      </c>
      <c r="U328" s="253">
        <f t="shared" si="106"/>
        <v>-1.4012934606239005</v>
      </c>
      <c r="V328" s="385">
        <f t="shared" si="107"/>
        <v>21.498420192199916</v>
      </c>
      <c r="W328" s="58"/>
      <c r="X328" s="157">
        <f t="shared" si="108"/>
        <v>43779</v>
      </c>
      <c r="Y328" s="387">
        <f t="shared" si="109"/>
        <v>16.672999999999998</v>
      </c>
      <c r="Z328" s="387">
        <f t="shared" si="110"/>
        <v>16.854796441036665</v>
      </c>
      <c r="AA328" s="388">
        <f t="shared" si="111"/>
        <v>18.439583867611454</v>
      </c>
      <c r="AB328" s="199">
        <f t="shared" si="112"/>
        <v>43779</v>
      </c>
      <c r="AC328" s="428">
        <f>IF(OR(t&lt;Tnet,NoTnet),'2018'!Resal_s+('2018'!Salim-'2018'!Resal_s)*(1-EXP(('2018'!Tnet_s-t)/'2018'!Tau_j)),Resal_s+(Salim-Resal_s)*(1-EXP((Tnet_s-t)/Tau_j)))*Salcycl</f>
        <v>8.594485851486143E-2</v>
      </c>
      <c r="AD328" s="233">
        <f>(INDEX(Models!$BJ328:$BT328,,AH328)*(1-AF328)+INDEX(Models!$BJ328:$BT328,,AH328+1)*AF328-ERP_i)*AE328*Ramure*Pc/MaxiM</f>
        <v>1.7393350613709082E-2</v>
      </c>
      <c r="AE328" s="307">
        <f t="shared" si="113"/>
        <v>0.9</v>
      </c>
      <c r="AF328" s="179">
        <f t="shared" si="114"/>
        <v>0.59870653937609952</v>
      </c>
      <c r="AG328" s="178">
        <f t="shared" si="115"/>
        <v>-2</v>
      </c>
      <c r="AH328" s="178">
        <f t="shared" si="116"/>
        <v>4</v>
      </c>
      <c r="AI328" s="227">
        <f t="shared" si="117"/>
        <v>-1.4012934606239005</v>
      </c>
      <c r="AJ328" s="267" t="b">
        <f t="shared" si="118"/>
        <v>0</v>
      </c>
      <c r="AK328" s="267" t="b">
        <f t="shared" si="119"/>
        <v>0</v>
      </c>
      <c r="AL328" s="267"/>
      <c r="AM328" s="267"/>
      <c r="AN328" s="75"/>
    </row>
    <row r="329" spans="1:40" s="6" customFormat="1" ht="11.25" customHeight="1" x14ac:dyDescent="0.2">
      <c r="A329" s="56">
        <f t="shared" si="120"/>
        <v>43780</v>
      </c>
      <c r="B329" s="620">
        <v>18.63</v>
      </c>
      <c r="C329" s="392"/>
      <c r="D329" s="395">
        <f t="shared" si="99"/>
        <v>18.833573155301384</v>
      </c>
      <c r="E329" s="387">
        <f t="shared" si="121"/>
        <v>20.605795212189026</v>
      </c>
      <c r="F329" s="387">
        <f t="shared" si="100"/>
        <v>20.916488249439194</v>
      </c>
      <c r="G329" s="110">
        <f t="shared" si="122"/>
        <v>0.87436862713785424</v>
      </c>
      <c r="H329" s="416" t="b">
        <f>Wh_hp&gt;='2018'!Maxi_hp</f>
        <v>1</v>
      </c>
      <c r="I329" s="392">
        <f>IF(H329,Wh_hp,'2018'!Maxi_hp)</f>
        <v>20.916488249439194</v>
      </c>
      <c r="J329" s="85">
        <f>IF(H329,An,'2018'!An_max)</f>
        <v>2019</v>
      </c>
      <c r="K329" s="199">
        <f t="shared" si="101"/>
        <v>43780</v>
      </c>
      <c r="L329" s="147">
        <f>IF(t&lt;Tvie,1-EXP((T0-t)*PertePVj)+'2018'!Pspv,1-EXP((T0-t)*PertePVj)+Pspv)</f>
        <v>1.080905644524921E-2</v>
      </c>
      <c r="M329" s="872"/>
      <c r="N329" s="872"/>
      <c r="O329" s="48">
        <f>IF(t&lt;Tnet,'2018'!Resal+('2018'!Salim-'2018'!Resal)*(1-EXP(('2018'!Tnet-t)/('2018'!Tau_j))),Resal+(Salim-Resal)*(1-EXP((Tnet-t)/(Tau_j))))*Salcycl</f>
        <v>8.6006001643620683E-2</v>
      </c>
      <c r="P329" s="171">
        <f>(INDEX(Models!$BJ329:$BT329,,T329)*(1-R329)+INDEX(Models!$BJ329:$BT329,,T329+1)*R329-ERP_i)*Q329*Ramure*Pc/MaxiM</f>
        <v>1.8014710163609223E-2</v>
      </c>
      <c r="Q329" s="307">
        <f t="shared" si="102"/>
        <v>0.9</v>
      </c>
      <c r="R329" s="179">
        <f t="shared" si="103"/>
        <v>0.59875883547449549</v>
      </c>
      <c r="S329" s="839">
        <f t="shared" si="104"/>
        <v>-2</v>
      </c>
      <c r="T329" s="178">
        <f t="shared" si="105"/>
        <v>4</v>
      </c>
      <c r="U329" s="253">
        <f t="shared" si="106"/>
        <v>-1.4012411645255045</v>
      </c>
      <c r="V329" s="385">
        <f t="shared" si="107"/>
        <v>21.23844235701597</v>
      </c>
      <c r="W329" s="58"/>
      <c r="X329" s="157">
        <f t="shared" si="108"/>
        <v>43780</v>
      </c>
      <c r="Y329" s="387">
        <f t="shared" si="109"/>
        <v>18.63</v>
      </c>
      <c r="Z329" s="387">
        <f t="shared" si="110"/>
        <v>18.833573155301384</v>
      </c>
      <c r="AA329" s="388">
        <f t="shared" si="111"/>
        <v>20.605795212189026</v>
      </c>
      <c r="AB329" s="199">
        <f t="shared" si="112"/>
        <v>43780</v>
      </c>
      <c r="AC329" s="428">
        <f>IF(OR(t&lt;Tnet,NoTnet),'2018'!Resal_s+('2018'!Salim-'2018'!Resal_s)*(1-EXP(('2018'!Tnet_s-t)/'2018'!Tau_j)),Resal_s+(Salim-Resal_s)*(1-EXP((Tnet_s-t)/Tau_j)))*Salcycl</f>
        <v>8.6006001643620683E-2</v>
      </c>
      <c r="AD329" s="233">
        <f>(INDEX(Models!$BJ329:$BT329,,AH329)*(1-AF329)+INDEX(Models!$BJ329:$BT329,,AH329+1)*AF329-ERP_i)*AE329*Ramure*Pc/MaxiM</f>
        <v>1.8014710163609223E-2</v>
      </c>
      <c r="AE329" s="307">
        <f t="shared" si="113"/>
        <v>0.9</v>
      </c>
      <c r="AF329" s="179">
        <f t="shared" si="114"/>
        <v>0.59875883547449549</v>
      </c>
      <c r="AG329" s="178">
        <f t="shared" si="115"/>
        <v>-2</v>
      </c>
      <c r="AH329" s="178">
        <f t="shared" si="116"/>
        <v>4</v>
      </c>
      <c r="AI329" s="227">
        <f t="shared" si="117"/>
        <v>-1.4012411645255045</v>
      </c>
      <c r="AJ329" s="267" t="b">
        <f t="shared" si="118"/>
        <v>0</v>
      </c>
      <c r="AK329" s="267" t="b">
        <f t="shared" si="119"/>
        <v>0</v>
      </c>
      <c r="AL329" s="267"/>
      <c r="AM329" s="267"/>
      <c r="AN329" s="75"/>
    </row>
    <row r="330" spans="1:40" s="6" customFormat="1" ht="11.25" customHeight="1" x14ac:dyDescent="0.2">
      <c r="A330" s="56">
        <f t="shared" si="120"/>
        <v>43781</v>
      </c>
      <c r="B330" s="620">
        <v>14.215999999999999</v>
      </c>
      <c r="C330" s="392"/>
      <c r="D330" s="395">
        <f t="shared" si="99"/>
        <v>14.371675081960944</v>
      </c>
      <c r="E330" s="387">
        <f t="shared" si="121"/>
        <v>15.725101392624742</v>
      </c>
      <c r="F330" s="387">
        <f t="shared" si="100"/>
        <v>15.88440523767536</v>
      </c>
      <c r="G330" s="110">
        <f t="shared" si="122"/>
        <v>0.67152010778930649</v>
      </c>
      <c r="H330" s="416" t="b">
        <f>Wh_hp&gt;='2018'!Maxi_hp</f>
        <v>0</v>
      </c>
      <c r="I330" s="392">
        <f>IF(H330,Wh_hp,'2018'!Maxi_hp)</f>
        <v>21.417505226128377</v>
      </c>
      <c r="J330" s="85">
        <f>IF(H330,An,'2018'!An_max)</f>
        <v>2018</v>
      </c>
      <c r="K330" s="199">
        <f t="shared" si="101"/>
        <v>43781</v>
      </c>
      <c r="L330" s="147">
        <f>IF(t&lt;Tvie,1-EXP((T0-t)*PertePVj)+'2018'!Pspv,1-EXP((T0-t)*PertePVj)+Pspv)</f>
        <v>1.0832076363620713E-2</v>
      </c>
      <c r="M330" s="872"/>
      <c r="N330" s="872"/>
      <c r="O330" s="48">
        <f>IF(t&lt;Tnet,'2018'!Resal+('2018'!Salim-'2018'!Resal)*(1-EXP(('2018'!Tnet-t)/('2018'!Tau_j))),Resal+(Salim-Resal)*(1-EXP((Tnet-t)/(Tau_j))))*Salcycl</f>
        <v>8.6067890875321851E-2</v>
      </c>
      <c r="P330" s="171">
        <f>(INDEX(Models!$BJ330:$BT330,,T330)*(1-R330)+INDEX(Models!$BJ330:$BT330,,T330+1)*R330-ERP_i)*Q330*Ramure*Pc/MaxiM</f>
        <v>1.8602318009269363E-2</v>
      </c>
      <c r="Q330" s="307">
        <f t="shared" si="102"/>
        <v>0.9</v>
      </c>
      <c r="R330" s="179">
        <f t="shared" si="103"/>
        <v>0.59880903332998381</v>
      </c>
      <c r="S330" s="839">
        <f t="shared" si="104"/>
        <v>-2</v>
      </c>
      <c r="T330" s="178">
        <f t="shared" si="105"/>
        <v>4</v>
      </c>
      <c r="U330" s="253">
        <f t="shared" si="106"/>
        <v>-1.4011909666700162</v>
      </c>
      <c r="V330" s="385">
        <f t="shared" si="107"/>
        <v>20.986543934007855</v>
      </c>
      <c r="W330" s="58"/>
      <c r="X330" s="157">
        <f t="shared" si="108"/>
        <v>43781</v>
      </c>
      <c r="Y330" s="387">
        <f t="shared" si="109"/>
        <v>14.215999999999999</v>
      </c>
      <c r="Z330" s="387">
        <f t="shared" si="110"/>
        <v>14.371675081960944</v>
      </c>
      <c r="AA330" s="388">
        <f t="shared" si="111"/>
        <v>15.725101392624742</v>
      </c>
      <c r="AB330" s="199">
        <f t="shared" si="112"/>
        <v>43781</v>
      </c>
      <c r="AC330" s="428">
        <f>IF(OR(t&lt;Tnet,NoTnet),'2018'!Resal_s+('2018'!Salim-'2018'!Resal_s)*(1-EXP(('2018'!Tnet_s-t)/'2018'!Tau_j)),Resal_s+(Salim-Resal_s)*(1-EXP((Tnet_s-t)/Tau_j)))*Salcycl</f>
        <v>8.6067890875321851E-2</v>
      </c>
      <c r="AD330" s="233">
        <f>(INDEX(Models!$BJ330:$BT330,,AH330)*(1-AF330)+INDEX(Models!$BJ330:$BT330,,AH330+1)*AF330-ERP_i)*AE330*Ramure*Pc/MaxiM</f>
        <v>1.8602318009269363E-2</v>
      </c>
      <c r="AE330" s="307">
        <f t="shared" si="113"/>
        <v>0.9</v>
      </c>
      <c r="AF330" s="179">
        <f t="shared" si="114"/>
        <v>0.59880903332998381</v>
      </c>
      <c r="AG330" s="178">
        <f t="shared" si="115"/>
        <v>-2</v>
      </c>
      <c r="AH330" s="178">
        <f t="shared" si="116"/>
        <v>4</v>
      </c>
      <c r="AI330" s="227">
        <f t="shared" si="117"/>
        <v>-1.4011909666700162</v>
      </c>
      <c r="AJ330" s="267" t="b">
        <f t="shared" si="118"/>
        <v>0</v>
      </c>
      <c r="AK330" s="267" t="b">
        <f t="shared" si="119"/>
        <v>0</v>
      </c>
      <c r="AL330" s="267"/>
      <c r="AM330" s="267"/>
      <c r="AN330" s="75"/>
    </row>
    <row r="331" spans="1:40" s="6" customFormat="1" ht="11.25" customHeight="1" x14ac:dyDescent="0.2">
      <c r="A331" s="56">
        <f t="shared" si="120"/>
        <v>43782</v>
      </c>
      <c r="B331" s="620">
        <v>17.053999999999998</v>
      </c>
      <c r="C331" s="392"/>
      <c r="D331" s="395">
        <f t="shared" si="99"/>
        <v>17.241154381588625</v>
      </c>
      <c r="E331" s="387">
        <f t="shared" si="121"/>
        <v>18.866104009070249</v>
      </c>
      <c r="F331" s="387">
        <f t="shared" si="100"/>
        <v>19.139573330454638</v>
      </c>
      <c r="G331" s="110">
        <f t="shared" si="122"/>
        <v>0.81810710776582052</v>
      </c>
      <c r="H331" s="416" t="b">
        <f>Wh_hp&gt;='2018'!Maxi_hp</f>
        <v>1</v>
      </c>
      <c r="I331" s="392">
        <f>IF(H331,Wh_hp,'2018'!Maxi_hp)</f>
        <v>19.139573330454638</v>
      </c>
      <c r="J331" s="85">
        <f>IF(H331,An,'2018'!An_max)</f>
        <v>2019</v>
      </c>
      <c r="K331" s="199">
        <f t="shared" si="101"/>
        <v>43782</v>
      </c>
      <c r="L331" s="147">
        <f>IF(t&lt;Tvie,1-EXP((T0-t)*PertePVj)+'2018'!Pspv,1-EXP((T0-t)*PertePVj)+Pspv)</f>
        <v>1.0855095746285071E-2</v>
      </c>
      <c r="M331" s="872"/>
      <c r="N331" s="872"/>
      <c r="O331" s="48">
        <f>IF(t&lt;Tnet,'2018'!Resal+('2018'!Salim-'2018'!Resal)*(1-EXP(('2018'!Tnet-t)/('2018'!Tau_j))),Resal+(Salim-Resal)*(1-EXP((Tnet-t)/(Tau_j))))*Salcycl</f>
        <v>8.6130640788389515E-2</v>
      </c>
      <c r="P331" s="171">
        <f>(INDEX(Models!$BJ331:$BT331,,T331)*(1-R331)+INDEX(Models!$BJ331:$BT331,,T331+1)*R331-ERP_i)*Q331*Ramure*Pc/MaxiM</f>
        <v>1.9154284233808806E-2</v>
      </c>
      <c r="Q331" s="307">
        <f t="shared" si="102"/>
        <v>0.9</v>
      </c>
      <c r="R331" s="179">
        <f t="shared" si="103"/>
        <v>0.59885721684543491</v>
      </c>
      <c r="S331" s="839">
        <f t="shared" si="104"/>
        <v>-2</v>
      </c>
      <c r="T331" s="178">
        <f t="shared" si="105"/>
        <v>4</v>
      </c>
      <c r="U331" s="253">
        <f t="shared" si="106"/>
        <v>-1.4011427831545651</v>
      </c>
      <c r="V331" s="385">
        <f t="shared" si="107"/>
        <v>20.742773251396116</v>
      </c>
      <c r="W331" s="58"/>
      <c r="X331" s="157">
        <f t="shared" si="108"/>
        <v>43782</v>
      </c>
      <c r="Y331" s="387">
        <f t="shared" si="109"/>
        <v>17.053999999999998</v>
      </c>
      <c r="Z331" s="387">
        <f t="shared" si="110"/>
        <v>17.241154381588625</v>
      </c>
      <c r="AA331" s="388">
        <f t="shared" si="111"/>
        <v>18.866104009070249</v>
      </c>
      <c r="AB331" s="199">
        <f t="shared" si="112"/>
        <v>43782</v>
      </c>
      <c r="AC331" s="428">
        <f>IF(OR(t&lt;Tnet,NoTnet),'2018'!Resal_s+('2018'!Salim-'2018'!Resal_s)*(1-EXP(('2018'!Tnet_s-t)/'2018'!Tau_j)),Resal_s+(Salim-Resal_s)*(1-EXP((Tnet_s-t)/Tau_j)))*Salcycl</f>
        <v>8.6130640788389515E-2</v>
      </c>
      <c r="AD331" s="233">
        <f>(INDEX(Models!$BJ331:$BT331,,AH331)*(1-AF331)+INDEX(Models!$BJ331:$BT331,,AH331+1)*AF331-ERP_i)*AE331*Ramure*Pc/MaxiM</f>
        <v>1.9154284233808806E-2</v>
      </c>
      <c r="AE331" s="307">
        <f t="shared" si="113"/>
        <v>0.9</v>
      </c>
      <c r="AF331" s="179">
        <f t="shared" si="114"/>
        <v>0.59885721684543491</v>
      </c>
      <c r="AG331" s="178">
        <f t="shared" si="115"/>
        <v>-2</v>
      </c>
      <c r="AH331" s="178">
        <f t="shared" si="116"/>
        <v>4</v>
      </c>
      <c r="AI331" s="227">
        <f t="shared" si="117"/>
        <v>-1.4011427831545651</v>
      </c>
      <c r="AJ331" s="267" t="b">
        <f t="shared" si="118"/>
        <v>0</v>
      </c>
      <c r="AK331" s="267" t="b">
        <f t="shared" si="119"/>
        <v>0</v>
      </c>
      <c r="AL331" s="267"/>
      <c r="AM331" s="267"/>
      <c r="AN331" s="75"/>
    </row>
    <row r="332" spans="1:40" s="6" customFormat="1" ht="11.25" customHeight="1" x14ac:dyDescent="0.2">
      <c r="A332" s="56">
        <f t="shared" si="120"/>
        <v>43783</v>
      </c>
      <c r="B332" s="620">
        <v>5.399</v>
      </c>
      <c r="C332" s="392"/>
      <c r="D332" s="395">
        <f t="shared" si="99"/>
        <v>5.4583768488550133</v>
      </c>
      <c r="E332" s="387">
        <f t="shared" si="121"/>
        <v>5.9732361263333793</v>
      </c>
      <c r="F332" s="387">
        <f t="shared" si="100"/>
        <v>5.9732361263333793</v>
      </c>
      <c r="G332" s="110">
        <f t="shared" si="122"/>
        <v>0.25810123487933961</v>
      </c>
      <c r="H332" s="416" t="b">
        <f>Wh_hp&gt;='2018'!Maxi_hp</f>
        <v>0</v>
      </c>
      <c r="I332" s="392">
        <f>IF(H332,Wh_hp,'2018'!Maxi_hp)</f>
        <v>16.409856272908318</v>
      </c>
      <c r="J332" s="85">
        <f>IF(H332,An,'2018'!An_max)</f>
        <v>2018</v>
      </c>
      <c r="K332" s="199">
        <f t="shared" si="101"/>
        <v>43783</v>
      </c>
      <c r="L332" s="147">
        <f>IF(t&lt;Tvie,1-EXP((T0-t)*PertePVj)+'2018'!Pspv,1-EXP((T0-t)*PertePVj)+Pspv)</f>
        <v>1.0878114593254717E-2</v>
      </c>
      <c r="M332" s="872"/>
      <c r="N332" s="872"/>
      <c r="O332" s="48">
        <f>IF(t&lt;Tnet,'2018'!Resal+('2018'!Salim-'2018'!Resal)*(1-EXP(('2018'!Tnet-t)/('2018'!Tau_j))),Resal+(Salim-Resal)*(1-EXP((Tnet-t)/(Tau_j))))*Salcycl</f>
        <v>8.6194362082653464E-2</v>
      </c>
      <c r="P332" s="171">
        <f>(INDEX(Models!$BJ332:$BT332,,T332)*(1-R332)+INDEX(Models!$BJ332:$BT332,,T332+1)*R332-ERP_i)*Q332*Ramure*Pc/MaxiM</f>
        <v>1.9661600188317207E-2</v>
      </c>
      <c r="Q332" s="307">
        <f t="shared" si="102"/>
        <v>0.9</v>
      </c>
      <c r="R332" s="179">
        <f t="shared" si="103"/>
        <v>0.59890346659102134</v>
      </c>
      <c r="S332" s="839">
        <f t="shared" si="104"/>
        <v>-2</v>
      </c>
      <c r="T332" s="178">
        <f t="shared" si="105"/>
        <v>4</v>
      </c>
      <c r="U332" s="253">
        <f t="shared" si="106"/>
        <v>-1.4010965334089787</v>
      </c>
      <c r="V332" s="385">
        <f t="shared" si="107"/>
        <v>20.506864382332928</v>
      </c>
      <c r="W332" s="58"/>
      <c r="X332" s="157">
        <f t="shared" si="108"/>
        <v>43783</v>
      </c>
      <c r="Y332" s="387">
        <f t="shared" si="109"/>
        <v>5.399</v>
      </c>
      <c r="Z332" s="387">
        <f t="shared" si="110"/>
        <v>5.4583768488550133</v>
      </c>
      <c r="AA332" s="388">
        <f t="shared" si="111"/>
        <v>5.9732361263333793</v>
      </c>
      <c r="AB332" s="199">
        <f t="shared" si="112"/>
        <v>43783</v>
      </c>
      <c r="AC332" s="428">
        <f>IF(OR(t&lt;Tnet,NoTnet),'2018'!Resal_s+('2018'!Salim-'2018'!Resal_s)*(1-EXP(('2018'!Tnet_s-t)/'2018'!Tau_j)),Resal_s+(Salim-Resal_s)*(1-EXP((Tnet_s-t)/Tau_j)))*Salcycl</f>
        <v>8.6194362082653464E-2</v>
      </c>
      <c r="AD332" s="233">
        <f>(INDEX(Models!$BJ332:$BT332,,AH332)*(1-AF332)+INDEX(Models!$BJ332:$BT332,,AH332+1)*AF332-ERP_i)*AE332*Ramure*Pc/MaxiM</f>
        <v>1.9661600188317207E-2</v>
      </c>
      <c r="AE332" s="307">
        <f t="shared" si="113"/>
        <v>0.9</v>
      </c>
      <c r="AF332" s="179">
        <f t="shared" si="114"/>
        <v>0.59890346659102134</v>
      </c>
      <c r="AG332" s="178">
        <f t="shared" si="115"/>
        <v>-2</v>
      </c>
      <c r="AH332" s="178">
        <f t="shared" si="116"/>
        <v>4</v>
      </c>
      <c r="AI332" s="227">
        <f t="shared" si="117"/>
        <v>-1.4010965334089787</v>
      </c>
      <c r="AJ332" s="267" t="b">
        <f t="shared" si="118"/>
        <v>0</v>
      </c>
      <c r="AK332" s="267" t="b">
        <f t="shared" si="119"/>
        <v>0</v>
      </c>
      <c r="AL332" s="267"/>
      <c r="AM332" s="267"/>
      <c r="AN332" s="75"/>
    </row>
    <row r="333" spans="1:40" s="6" customFormat="1" ht="11.25" customHeight="1" x14ac:dyDescent="0.2">
      <c r="A333" s="56">
        <f t="shared" si="120"/>
        <v>43784</v>
      </c>
      <c r="B333" s="620">
        <v>13.058</v>
      </c>
      <c r="C333" s="392"/>
      <c r="D333" s="395">
        <f t="shared" si="99"/>
        <v>13.201915839157234</v>
      </c>
      <c r="E333" s="387">
        <f t="shared" si="121"/>
        <v>14.44820596466522</v>
      </c>
      <c r="F333" s="387">
        <f t="shared" si="100"/>
        <v>14.592634148132941</v>
      </c>
      <c r="G333" s="110">
        <f t="shared" si="122"/>
        <v>0.63728271602251818</v>
      </c>
      <c r="H333" s="416" t="b">
        <f>Wh_hp&gt;='2018'!Maxi_hp</f>
        <v>0</v>
      </c>
      <c r="I333" s="392">
        <f>IF(H333,Wh_hp,'2018'!Maxi_hp)</f>
        <v>14.861118956229259</v>
      </c>
      <c r="J333" s="85">
        <f>IF(H333,An,'2018'!An_max)</f>
        <v>2018</v>
      </c>
      <c r="K333" s="199">
        <f t="shared" si="101"/>
        <v>43784</v>
      </c>
      <c r="L333" s="147">
        <f>IF(t&lt;Tvie,1-EXP((T0-t)*PertePVj)+'2018'!Pspv,1-EXP((T0-t)*PertePVj)+Pspv)</f>
        <v>1.0901132904542199E-2</v>
      </c>
      <c r="M333" s="872"/>
      <c r="N333" s="872"/>
      <c r="O333" s="48">
        <f>IF(t&lt;Tnet,'2018'!Resal+('2018'!Salim-'2018'!Resal)*(1-EXP(('2018'!Tnet-t)/('2018'!Tau_j))),Resal+(Salim-Resal)*(1-EXP((Tnet-t)/(Tau_j))))*Salcycl</f>
        <v>8.6259161072034421E-2</v>
      </c>
      <c r="P333" s="171">
        <f>(INDEX(Models!$BJ333:$BT333,,T333)*(1-R333)+INDEX(Models!$BJ333:$BT333,,T333+1)*R333-ERP_i)*Q333*Ramure*Pc/MaxiM</f>
        <v>2.0143065492679604E-2</v>
      </c>
      <c r="Q333" s="307">
        <f t="shared" si="102"/>
        <v>0.9</v>
      </c>
      <c r="R333" s="179">
        <f t="shared" si="103"/>
        <v>0.59894785993483435</v>
      </c>
      <c r="S333" s="839">
        <f t="shared" si="104"/>
        <v>-2</v>
      </c>
      <c r="T333" s="178">
        <f t="shared" si="105"/>
        <v>4</v>
      </c>
      <c r="U333" s="253">
        <f t="shared" si="106"/>
        <v>-1.4010521400651657</v>
      </c>
      <c r="V333" s="385">
        <f t="shared" si="107"/>
        <v>20.278086213535186</v>
      </c>
      <c r="W333" s="58"/>
      <c r="X333" s="157">
        <f t="shared" si="108"/>
        <v>43784</v>
      </c>
      <c r="Y333" s="387">
        <f t="shared" si="109"/>
        <v>13.058</v>
      </c>
      <c r="Z333" s="387">
        <f t="shared" si="110"/>
        <v>13.201915839157234</v>
      </c>
      <c r="AA333" s="388">
        <f t="shared" si="111"/>
        <v>14.44820596466522</v>
      </c>
      <c r="AB333" s="199">
        <f t="shared" si="112"/>
        <v>43784</v>
      </c>
      <c r="AC333" s="428">
        <f>IF(OR(t&lt;Tnet,NoTnet),'2018'!Resal_s+('2018'!Salim-'2018'!Resal_s)*(1-EXP(('2018'!Tnet_s-t)/'2018'!Tau_j)),Resal_s+(Salim-Resal_s)*(1-EXP((Tnet_s-t)/Tau_j)))*Salcycl</f>
        <v>8.6259161072034421E-2</v>
      </c>
      <c r="AD333" s="233">
        <f>(INDEX(Models!$BJ333:$BT333,,AH333)*(1-AF333)+INDEX(Models!$BJ333:$BT333,,AH333+1)*AF333-ERP_i)*AE333*Ramure*Pc/MaxiM</f>
        <v>2.0143065492679604E-2</v>
      </c>
      <c r="AE333" s="307">
        <f t="shared" si="113"/>
        <v>0.9</v>
      </c>
      <c r="AF333" s="179">
        <f t="shared" si="114"/>
        <v>0.59894785993483435</v>
      </c>
      <c r="AG333" s="178">
        <f t="shared" si="115"/>
        <v>-2</v>
      </c>
      <c r="AH333" s="178">
        <f t="shared" si="116"/>
        <v>4</v>
      </c>
      <c r="AI333" s="227">
        <f t="shared" si="117"/>
        <v>-1.4010521400651657</v>
      </c>
      <c r="AJ333" s="267" t="b">
        <f t="shared" si="118"/>
        <v>0</v>
      </c>
      <c r="AK333" s="267" t="b">
        <f t="shared" si="119"/>
        <v>0</v>
      </c>
      <c r="AL333" s="267"/>
      <c r="AM333" s="267"/>
      <c r="AN333" s="75"/>
    </row>
    <row r="334" spans="1:40" s="6" customFormat="1" ht="11.25" customHeight="1" x14ac:dyDescent="0.2">
      <c r="A334" s="56">
        <f t="shared" si="120"/>
        <v>43785</v>
      </c>
      <c r="B334" s="620">
        <v>13.372</v>
      </c>
      <c r="C334" s="392"/>
      <c r="D334" s="395">
        <f t="shared" si="99"/>
        <v>13.519691143197514</v>
      </c>
      <c r="E334" s="387">
        <f t="shared" si="121"/>
        <v>14.797048406695795</v>
      </c>
      <c r="F334" s="387">
        <f t="shared" si="100"/>
        <v>14.958466124192878</v>
      </c>
      <c r="G334" s="110">
        <f t="shared" si="122"/>
        <v>0.66011907783386126</v>
      </c>
      <c r="H334" s="416" t="b">
        <f>Wh_hp&gt;='2018'!Maxi_hp</f>
        <v>0</v>
      </c>
      <c r="I334" s="392">
        <f>IF(H334,Wh_hp,'2018'!Maxi_hp)</f>
        <v>20.767692594543572</v>
      </c>
      <c r="J334" s="85">
        <f>IF(H334,An,'2018'!An_max)</f>
        <v>2018</v>
      </c>
      <c r="K334" s="199">
        <f t="shared" si="101"/>
        <v>43785</v>
      </c>
      <c r="L334" s="147">
        <f>IF(t&lt;Tvie,1-EXP((T0-t)*PertePVj)+'2018'!Pspv,1-EXP((T0-t)*PertePVj)+Pspv)</f>
        <v>1.092415068015995E-2</v>
      </c>
      <c r="M334" s="872"/>
      <c r="N334" s="872"/>
      <c r="O334" s="48">
        <f>IF(t&lt;Tnet,'2018'!Resal+('2018'!Salim-'2018'!Resal)*(1-EXP(('2018'!Tnet-t)/('2018'!Tau_j))),Resal+(Salim-Resal)*(1-EXP((Tnet-t)/(Tau_j))))*Salcycl</f>
        <v>8.6325139202779511E-2</v>
      </c>
      <c r="P334" s="171">
        <f>(INDEX(Models!$BJ334:$BT334,,T334)*(1-R334)+INDEX(Models!$BJ334:$BT334,,T334+1)*R334-ERP_i)*Q334*Ramure*Pc/MaxiM</f>
        <v>2.0597629973904977E-2</v>
      </c>
      <c r="Q334" s="307">
        <f t="shared" si="102"/>
        <v>0.9</v>
      </c>
      <c r="R334" s="179">
        <f t="shared" si="103"/>
        <v>0.59899047116851989</v>
      </c>
      <c r="S334" s="839">
        <f t="shared" si="104"/>
        <v>-2</v>
      </c>
      <c r="T334" s="178">
        <f t="shared" si="105"/>
        <v>4</v>
      </c>
      <c r="U334" s="253">
        <f t="shared" si="106"/>
        <v>-1.4010095288314801</v>
      </c>
      <c r="V334" s="385">
        <f t="shared" si="107"/>
        <v>20.056133046312777</v>
      </c>
      <c r="W334" s="58"/>
      <c r="X334" s="157">
        <f t="shared" si="108"/>
        <v>43785</v>
      </c>
      <c r="Y334" s="387">
        <f t="shared" si="109"/>
        <v>13.372</v>
      </c>
      <c r="Z334" s="387">
        <f t="shared" si="110"/>
        <v>13.519691143197514</v>
      </c>
      <c r="AA334" s="388">
        <f t="shared" si="111"/>
        <v>14.797048406695795</v>
      </c>
      <c r="AB334" s="199">
        <f t="shared" si="112"/>
        <v>43785</v>
      </c>
      <c r="AC334" s="428">
        <f>IF(OR(t&lt;Tnet,NoTnet),'2018'!Resal_s+('2018'!Salim-'2018'!Resal_s)*(1-EXP(('2018'!Tnet_s-t)/'2018'!Tau_j)),Resal_s+(Salim-Resal_s)*(1-EXP((Tnet_s-t)/Tau_j)))*Salcycl</f>
        <v>8.6325139202779511E-2</v>
      </c>
      <c r="AD334" s="233">
        <f>(INDEX(Models!$BJ334:$BT334,,AH334)*(1-AF334)+INDEX(Models!$BJ334:$BT334,,AH334+1)*AF334-ERP_i)*AE334*Ramure*Pc/MaxiM</f>
        <v>2.0597629973904977E-2</v>
      </c>
      <c r="AE334" s="307">
        <f t="shared" si="113"/>
        <v>0.9</v>
      </c>
      <c r="AF334" s="179">
        <f t="shared" si="114"/>
        <v>0.59899047116851989</v>
      </c>
      <c r="AG334" s="178">
        <f t="shared" si="115"/>
        <v>-2</v>
      </c>
      <c r="AH334" s="178">
        <f t="shared" si="116"/>
        <v>4</v>
      </c>
      <c r="AI334" s="227">
        <f t="shared" si="117"/>
        <v>-1.4010095288314801</v>
      </c>
      <c r="AJ334" s="267" t="b">
        <f t="shared" si="118"/>
        <v>0</v>
      </c>
      <c r="AK334" s="267" t="b">
        <f t="shared" si="119"/>
        <v>0</v>
      </c>
      <c r="AL334" s="267"/>
      <c r="AM334" s="267"/>
      <c r="AN334" s="75"/>
    </row>
    <row r="335" spans="1:40" s="6" customFormat="1" ht="11.25" customHeight="1" x14ac:dyDescent="0.2">
      <c r="A335" s="56">
        <f t="shared" si="120"/>
        <v>43786</v>
      </c>
      <c r="B335" s="620">
        <v>8.6129999999999995</v>
      </c>
      <c r="C335" s="392"/>
      <c r="D335" s="395">
        <f t="shared" ref="D335:D379" si="123">Wh/(1-Ppv)</f>
        <v>8.7083315679787479</v>
      </c>
      <c r="E335" s="387">
        <f t="shared" si="121"/>
        <v>9.5318071975869181</v>
      </c>
      <c r="F335" s="387">
        <f t="shared" ref="F335:F379" si="124">Wh_sa/(1-Pvg*MEDIAN((-Sdif+Wh/Env_an)/Csdif,0,1))</f>
        <v>9.570355454421442</v>
      </c>
      <c r="G335" s="110">
        <f t="shared" si="122"/>
        <v>0.426699575338363</v>
      </c>
      <c r="H335" s="416" t="b">
        <f>Wh_hp&gt;='2018'!Maxi_hp</f>
        <v>0</v>
      </c>
      <c r="I335" s="392">
        <f>IF(H335,Wh_hp,'2018'!Maxi_hp)</f>
        <v>21.918634591687038</v>
      </c>
      <c r="J335" s="85">
        <f>IF(H335,An,'2018'!An_max)</f>
        <v>2018</v>
      </c>
      <c r="K335" s="199">
        <f t="shared" ref="K335:K379" si="125">t</f>
        <v>43786</v>
      </c>
      <c r="L335" s="147">
        <f>IF(t&lt;Tvie,1-EXP((T0-t)*PertePVj)+'2018'!Pspv,1-EXP((T0-t)*PertePVj)+Pspv)</f>
        <v>1.0947167920120404E-2</v>
      </c>
      <c r="M335" s="872"/>
      <c r="N335" s="872"/>
      <c r="O335" s="48">
        <f>IF(t&lt;Tnet,'2018'!Resal+('2018'!Salim-'2018'!Resal)*(1-EXP(('2018'!Tnet-t)/('2018'!Tau_j))),Resal+(Salim-Resal)*(1-EXP((Tnet-t)/(Tau_j))))*Salcycl</f>
        <v>8.6392392600706663E-2</v>
      </c>
      <c r="P335" s="171">
        <f>(INDEX(Models!$BJ335:$BT335,,T335)*(1-R335)+INDEX(Models!$BJ335:$BT335,,T335+1)*R335-ERP_i)*Q335*Ramure*Pc/MaxiM</f>
        <v>2.1024276806707015E-2</v>
      </c>
      <c r="Q335" s="307">
        <f t="shared" ref="Q335:Q379" si="126">IF(OR(t&lt;Ttai,Notai),Dd+PousD*Croivg,Dens+PousD*(Croivg-Croi_tai))</f>
        <v>0.9</v>
      </c>
      <c r="R335" s="179">
        <f t="shared" ref="R335:R379" si="127">(Hp_vg-S335)/(INDEX(Echel_vg,T335+1)-S335)</f>
        <v>0.59903137162811193</v>
      </c>
      <c r="S335" s="839">
        <f t="shared" ref="S335:S379" si="128">INDEX(Echel_vg,T335)</f>
        <v>-2</v>
      </c>
      <c r="T335" s="178">
        <f t="shared" ref="T335:T379" si="129">MIN(MATCH(Hp_vg,Echel_vg),10)</f>
        <v>4</v>
      </c>
      <c r="U335" s="253">
        <f t="shared" ref="U335:U379" si="130">IF(OR(t&lt;Ttai,Notai),Hdd+PousH*Croivg,Hdtf+PousH*(Croivg-Croi_tai))</f>
        <v>-1.4009686283718881</v>
      </c>
      <c r="V335" s="385">
        <f t="shared" ref="V335:V379" si="131">MaxiM*(1-Ppv)*(1-Pvg)*(1-Psa)</f>
        <v>19.84069942831087</v>
      </c>
      <c r="W335" s="58"/>
      <c r="X335" s="157">
        <f t="shared" ref="X335:X379" si="132">t</f>
        <v>43786</v>
      </c>
      <c r="Y335" s="387">
        <f t="shared" ref="Y335:Y379" si="133">Wh_pvt_s*(1-Ppv)</f>
        <v>8.6129999999999995</v>
      </c>
      <c r="Z335" s="387">
        <f t="shared" ref="Z335:Z379" si="134">Wh_sa_s*(1-Psa_s)</f>
        <v>8.7083315679787479</v>
      </c>
      <c r="AA335" s="388">
        <f t="shared" ref="AA335:AA379" si="135">Wh_hp*(1-Pvg_s*MEDIAN((-Sdif+Wh/Env_an)/Csdif,0,1))</f>
        <v>9.5318071975869181</v>
      </c>
      <c r="AB335" s="199">
        <f t="shared" ref="AB335:AB379" si="136">t</f>
        <v>43786</v>
      </c>
      <c r="AC335" s="428">
        <f>IF(OR(t&lt;Tnet,NoTnet),'2018'!Resal_s+('2018'!Salim-'2018'!Resal_s)*(1-EXP(('2018'!Tnet_s-t)/'2018'!Tau_j)),Resal_s+(Salim-Resal_s)*(1-EXP((Tnet_s-t)/Tau_j)))*Salcycl</f>
        <v>8.6392392600706663E-2</v>
      </c>
      <c r="AD335" s="233">
        <f>(INDEX(Models!$BJ335:$BT335,,AH335)*(1-AF335)+INDEX(Models!$BJ335:$BT335,,AH335+1)*AF335-ERP_i)*AE335*Ramure*Pc/MaxiM</f>
        <v>2.1024276806707015E-2</v>
      </c>
      <c r="AE335" s="307">
        <f t="shared" ref="AE335:AE379" si="137">IF(OR(t&lt;Ttai,Notai),Dd_s+PousD*Croivg,Dens_s+PousD*(Croivg-Croi_tai))</f>
        <v>0.9</v>
      </c>
      <c r="AF335" s="179">
        <f t="shared" ref="AF335:AF379" si="138">(Hp_vg_s-AG335)/(INDEX(Echel_vg,AH335+1)-AG335)</f>
        <v>0.59903137162811193</v>
      </c>
      <c r="AG335" s="178">
        <f t="shared" ref="AG335:AG379" si="139">INDEX(Echel_vg,AH335)</f>
        <v>-2</v>
      </c>
      <c r="AH335" s="178">
        <f t="shared" ref="AH335:AH379" si="140">MIN(MATCH(Hp_vg_s,Echel_vg),10)</f>
        <v>4</v>
      </c>
      <c r="AI335" s="227">
        <f t="shared" ref="AI335:AI379" si="141">IF(OR(t&lt;Ttai,Notai),Hdd_s+PousH*Croivg,Hdtai_s+PousH*(Croivg-Croi_tai))</f>
        <v>-1.4009686283718881</v>
      </c>
      <c r="AJ335" s="267" t="b">
        <f t="shared" ref="AJ335:AJ380" si="142">t&lt;Tnet</f>
        <v>0</v>
      </c>
      <c r="AK335" s="267" t="b">
        <f t="shared" ref="AK335:AK380" si="143">t&lt;Ttai</f>
        <v>0</v>
      </c>
      <c r="AL335" s="267"/>
      <c r="AM335" s="267"/>
      <c r="AN335" s="75"/>
    </row>
    <row r="336" spans="1:40" s="6" customFormat="1" ht="11.25" customHeight="1" x14ac:dyDescent="0.2">
      <c r="A336" s="56">
        <f t="shared" ref="A336:A379" si="144">A335+1</f>
        <v>43787</v>
      </c>
      <c r="B336" s="620">
        <v>8.9930000000000003</v>
      </c>
      <c r="C336" s="392"/>
      <c r="D336" s="395">
        <f t="shared" si="123"/>
        <v>9.0927491367740938</v>
      </c>
      <c r="E336" s="387">
        <f t="shared" si="121"/>
        <v>9.953323561158621</v>
      </c>
      <c r="F336" s="387">
        <f t="shared" si="124"/>
        <v>10.001712192577175</v>
      </c>
      <c r="G336" s="110">
        <f t="shared" si="122"/>
        <v>0.45045687178839922</v>
      </c>
      <c r="H336" s="416" t="b">
        <f>Wh_hp&gt;='2018'!Maxi_hp</f>
        <v>0</v>
      </c>
      <c r="I336" s="392">
        <f>IF(H336,Wh_hp,'2018'!Maxi_hp)</f>
        <v>19.381642993463856</v>
      </c>
      <c r="J336" s="85">
        <f>IF(H336,An,'2018'!An_max)</f>
        <v>2018</v>
      </c>
      <c r="K336" s="199">
        <f t="shared" si="125"/>
        <v>43787</v>
      </c>
      <c r="L336" s="147">
        <f>IF(t&lt;Tvie,1-EXP((T0-t)*PertePVj)+'2018'!Pspv,1-EXP((T0-t)*PertePVj)+Pspv)</f>
        <v>1.0970184624436108E-2</v>
      </c>
      <c r="M336" s="872"/>
      <c r="N336" s="872"/>
      <c r="O336" s="48">
        <f>IF(t&lt;Tnet,'2018'!Resal+('2018'!Salim-'2018'!Resal)*(1-EXP(('2018'!Tnet-t)/('2018'!Tau_j))),Resal+(Salim-Resal)*(1-EXP((Tnet-t)/(Tau_j))))*Salcycl</f>
        <v>8.6461011650700401E-2</v>
      </c>
      <c r="P336" s="171">
        <f>(INDEX(Models!$BJ336:$BT336,,T336)*(1-R336)+INDEX(Models!$BJ336:$BT336,,T336+1)*R336-ERP_i)*Q336*Ramure*Pc/MaxiM</f>
        <v>2.1422023501825024E-2</v>
      </c>
      <c r="Q336" s="307">
        <f t="shared" si="126"/>
        <v>0.9</v>
      </c>
      <c r="R336" s="179">
        <f t="shared" si="127"/>
        <v>0.59907062981024062</v>
      </c>
      <c r="S336" s="839">
        <f t="shared" si="128"/>
        <v>-2</v>
      </c>
      <c r="T336" s="178">
        <f t="shared" si="129"/>
        <v>4</v>
      </c>
      <c r="U336" s="253">
        <f t="shared" si="130"/>
        <v>-1.4009293701897594</v>
      </c>
      <c r="V336" s="385">
        <f t="shared" si="131"/>
        <v>19.631480152307621</v>
      </c>
      <c r="W336" s="58"/>
      <c r="X336" s="157">
        <f t="shared" si="132"/>
        <v>43787</v>
      </c>
      <c r="Y336" s="387">
        <f t="shared" si="133"/>
        <v>8.9930000000000003</v>
      </c>
      <c r="Z336" s="387">
        <f t="shared" si="134"/>
        <v>9.0927491367740938</v>
      </c>
      <c r="AA336" s="388">
        <f t="shared" si="135"/>
        <v>9.953323561158621</v>
      </c>
      <c r="AB336" s="199">
        <f t="shared" si="136"/>
        <v>43787</v>
      </c>
      <c r="AC336" s="428">
        <f>IF(OR(t&lt;Tnet,NoTnet),'2018'!Resal_s+('2018'!Salim-'2018'!Resal_s)*(1-EXP(('2018'!Tnet_s-t)/'2018'!Tau_j)),Resal_s+(Salim-Resal_s)*(1-EXP((Tnet_s-t)/Tau_j)))*Salcycl</f>
        <v>8.6461011650700401E-2</v>
      </c>
      <c r="AD336" s="233">
        <f>(INDEX(Models!$BJ336:$BT336,,AH336)*(1-AF336)+INDEX(Models!$BJ336:$BT336,,AH336+1)*AF336-ERP_i)*AE336*Ramure*Pc/MaxiM</f>
        <v>2.1422023501825024E-2</v>
      </c>
      <c r="AE336" s="307">
        <f t="shared" si="137"/>
        <v>0.9</v>
      </c>
      <c r="AF336" s="179">
        <f t="shared" si="138"/>
        <v>0.59907062981024062</v>
      </c>
      <c r="AG336" s="178">
        <f t="shared" si="139"/>
        <v>-2</v>
      </c>
      <c r="AH336" s="178">
        <f t="shared" si="140"/>
        <v>4</v>
      </c>
      <c r="AI336" s="227">
        <f t="shared" si="141"/>
        <v>-1.4009293701897594</v>
      </c>
      <c r="AJ336" s="267" t="b">
        <f t="shared" si="142"/>
        <v>0</v>
      </c>
      <c r="AK336" s="267" t="b">
        <f t="shared" si="143"/>
        <v>0</v>
      </c>
      <c r="AL336" s="267"/>
      <c r="AM336" s="267"/>
      <c r="AN336" s="75"/>
    </row>
    <row r="337" spans="1:40" s="6" customFormat="1" ht="11.25" customHeight="1" x14ac:dyDescent="0.2">
      <c r="A337" s="56">
        <f t="shared" si="144"/>
        <v>43788</v>
      </c>
      <c r="B337" s="620">
        <v>14.788</v>
      </c>
      <c r="C337" s="392"/>
      <c r="D337" s="395">
        <f t="shared" si="123"/>
        <v>14.952374454714588</v>
      </c>
      <c r="E337" s="387">
        <f t="shared" si="121"/>
        <v>16.368782929936341</v>
      </c>
      <c r="F337" s="387">
        <f t="shared" si="124"/>
        <v>16.607183826200266</v>
      </c>
      <c r="G337" s="110">
        <f t="shared" si="122"/>
        <v>0.75542138948748805</v>
      </c>
      <c r="H337" s="416" t="b">
        <f>Wh_hp&gt;='2018'!Maxi_hp</f>
        <v>1</v>
      </c>
      <c r="I337" s="392">
        <f>IF(H337,Wh_hp,'2018'!Maxi_hp)</f>
        <v>16.607183826200266</v>
      </c>
      <c r="J337" s="85">
        <f>IF(H337,An,'2018'!An_max)</f>
        <v>2019</v>
      </c>
      <c r="K337" s="199">
        <f t="shared" si="125"/>
        <v>43788</v>
      </c>
      <c r="L337" s="147">
        <f>IF(t&lt;Tvie,1-EXP((T0-t)*PertePVj)+'2018'!Pspv,1-EXP((T0-t)*PertePVj)+Pspv)</f>
        <v>1.0993200793119495E-2</v>
      </c>
      <c r="M337" s="872"/>
      <c r="N337" s="872"/>
      <c r="O337" s="48">
        <f>IF(t&lt;Tnet,'2018'!Resal+('2018'!Salim-'2018'!Resal)*(1-EXP(('2018'!Tnet-t)/('2018'!Tau_j))),Resal+(Salim-Resal)*(1-EXP((Tnet-t)/(Tau_j))))*Salcycl</f>
        <v>8.6531080611456451E-2</v>
      </c>
      <c r="P337" s="171">
        <f>(INDEX(Models!$BJ337:$BT337,,T337)*(1-R337)+INDEX(Models!$BJ337:$BT337,,T337+1)*R337-ERP_i)*Q337*Ramure*Pc/MaxiM</f>
        <v>2.1789922512123562E-2</v>
      </c>
      <c r="Q337" s="307">
        <f t="shared" si="126"/>
        <v>0.9</v>
      </c>
      <c r="R337" s="179">
        <f t="shared" si="127"/>
        <v>0.59910831148387933</v>
      </c>
      <c r="S337" s="839">
        <f t="shared" si="128"/>
        <v>-2</v>
      </c>
      <c r="T337" s="178">
        <f t="shared" si="129"/>
        <v>4</v>
      </c>
      <c r="U337" s="253">
        <f t="shared" si="130"/>
        <v>-1.4008916885161207</v>
      </c>
      <c r="V337" s="385">
        <f t="shared" si="131"/>
        <v>19.428170243028191</v>
      </c>
      <c r="W337" s="58"/>
      <c r="X337" s="157">
        <f t="shared" si="132"/>
        <v>43788</v>
      </c>
      <c r="Y337" s="387">
        <f t="shared" si="133"/>
        <v>14.787999999999998</v>
      </c>
      <c r="Z337" s="387">
        <f t="shared" si="134"/>
        <v>14.952374454714587</v>
      </c>
      <c r="AA337" s="388">
        <f t="shared" si="135"/>
        <v>16.368782929936341</v>
      </c>
      <c r="AB337" s="199">
        <f t="shared" si="136"/>
        <v>43788</v>
      </c>
      <c r="AC337" s="428">
        <f>IF(OR(t&lt;Tnet,NoTnet),'2018'!Resal_s+('2018'!Salim-'2018'!Resal_s)*(1-EXP(('2018'!Tnet_s-t)/'2018'!Tau_j)),Resal_s+(Salim-Resal_s)*(1-EXP((Tnet_s-t)/Tau_j)))*Salcycl</f>
        <v>8.6531080611456451E-2</v>
      </c>
      <c r="AD337" s="233">
        <f>(INDEX(Models!$BJ337:$BT337,,AH337)*(1-AF337)+INDEX(Models!$BJ337:$BT337,,AH337+1)*AF337-ERP_i)*AE337*Ramure*Pc/MaxiM</f>
        <v>2.1789922512123562E-2</v>
      </c>
      <c r="AE337" s="307">
        <f t="shared" si="137"/>
        <v>0.9</v>
      </c>
      <c r="AF337" s="179">
        <f t="shared" si="138"/>
        <v>0.59910831148387933</v>
      </c>
      <c r="AG337" s="178">
        <f t="shared" si="139"/>
        <v>-2</v>
      </c>
      <c r="AH337" s="178">
        <f t="shared" si="140"/>
        <v>4</v>
      </c>
      <c r="AI337" s="227">
        <f t="shared" si="141"/>
        <v>-1.4008916885161207</v>
      </c>
      <c r="AJ337" s="267" t="b">
        <f t="shared" si="142"/>
        <v>0</v>
      </c>
      <c r="AK337" s="267" t="b">
        <f t="shared" si="143"/>
        <v>0</v>
      </c>
      <c r="AL337" s="267"/>
      <c r="AM337" s="267"/>
      <c r="AN337" s="75"/>
    </row>
    <row r="338" spans="1:40" s="6" customFormat="1" ht="11.25" customHeight="1" x14ac:dyDescent="0.2">
      <c r="A338" s="56">
        <f t="shared" si="144"/>
        <v>43789</v>
      </c>
      <c r="B338" s="620">
        <v>19.847000000000001</v>
      </c>
      <c r="C338" s="392"/>
      <c r="D338" s="395">
        <f t="shared" si="123"/>
        <v>20.068074249185742</v>
      </c>
      <c r="E338" s="387">
        <f t="shared" si="121"/>
        <v>21.970804763436231</v>
      </c>
      <c r="F338" s="387">
        <f t="shared" si="124"/>
        <v>22.468091458324675</v>
      </c>
      <c r="G338" s="110">
        <f t="shared" si="122"/>
        <v>1.0320666171006661</v>
      </c>
      <c r="H338" s="416" t="b">
        <f>Wh_hp&gt;='2018'!Maxi_hp</f>
        <v>1</v>
      </c>
      <c r="I338" s="392">
        <f>IF(H338,Wh_hp,'2018'!Maxi_hp)</f>
        <v>22.468091458324675</v>
      </c>
      <c r="J338" s="85">
        <f>IF(H338,An,'2018'!An_max)</f>
        <v>2019</v>
      </c>
      <c r="K338" s="199">
        <f t="shared" si="125"/>
        <v>43789</v>
      </c>
      <c r="L338" s="147">
        <f>IF(t&lt;Tvie,1-EXP((T0-t)*PertePVj)+'2018'!Pspv,1-EXP((T0-t)*PertePVj)+Pspv)</f>
        <v>1.1016216426183001E-2</v>
      </c>
      <c r="M338" s="872"/>
      <c r="N338" s="872"/>
      <c r="O338" s="48">
        <f>IF(t&lt;Tnet,'2018'!Resal+('2018'!Salim-'2018'!Resal)*(1-EXP(('2018'!Tnet-t)/('2018'!Tau_j))),Resal+(Salim-Resal)*(1-EXP((Tnet-t)/(Tau_j))))*Salcycl</f>
        <v>8.6602677268199438E-2</v>
      </c>
      <c r="P338" s="171">
        <f>(INDEX(Models!$BJ338:$BT338,,T338)*(1-R338)+INDEX(Models!$BJ338:$BT338,,T338+1)*R338-ERP_i)*Q338*Ramure*Pc/MaxiM</f>
        <v>2.2133018988766597E-2</v>
      </c>
      <c r="Q338" s="307">
        <f t="shared" si="126"/>
        <v>0.9</v>
      </c>
      <c r="R338" s="179">
        <f t="shared" si="127"/>
        <v>0.59914447979779384</v>
      </c>
      <c r="S338" s="839">
        <f t="shared" si="128"/>
        <v>-2</v>
      </c>
      <c r="T338" s="178">
        <f t="shared" si="129"/>
        <v>4</v>
      </c>
      <c r="U338" s="253">
        <f t="shared" si="130"/>
        <v>-1.4008555202022062</v>
      </c>
      <c r="V338" s="385">
        <f t="shared" si="131"/>
        <v>19.230347800372812</v>
      </c>
      <c r="W338" s="58"/>
      <c r="X338" s="157">
        <f t="shared" si="132"/>
        <v>43789</v>
      </c>
      <c r="Y338" s="387">
        <f t="shared" si="133"/>
        <v>19.847000000000001</v>
      </c>
      <c r="Z338" s="387">
        <f t="shared" si="134"/>
        <v>20.068074249185742</v>
      </c>
      <c r="AA338" s="388">
        <f t="shared" si="135"/>
        <v>21.970804763436231</v>
      </c>
      <c r="AB338" s="199">
        <f t="shared" si="136"/>
        <v>43789</v>
      </c>
      <c r="AC338" s="428">
        <f>IF(OR(t&lt;Tnet,NoTnet),'2018'!Resal_s+('2018'!Salim-'2018'!Resal_s)*(1-EXP(('2018'!Tnet_s-t)/'2018'!Tau_j)),Resal_s+(Salim-Resal_s)*(1-EXP((Tnet_s-t)/Tau_j)))*Salcycl</f>
        <v>8.6602677268199438E-2</v>
      </c>
      <c r="AD338" s="233">
        <f>(INDEX(Models!$BJ338:$BT338,,AH338)*(1-AF338)+INDEX(Models!$BJ338:$BT338,,AH338+1)*AF338-ERP_i)*AE338*Ramure*Pc/MaxiM</f>
        <v>2.2133018988766597E-2</v>
      </c>
      <c r="AE338" s="307">
        <f t="shared" si="137"/>
        <v>0.9</v>
      </c>
      <c r="AF338" s="179">
        <f t="shared" si="138"/>
        <v>0.59914447979779384</v>
      </c>
      <c r="AG338" s="178">
        <f t="shared" si="139"/>
        <v>-2</v>
      </c>
      <c r="AH338" s="178">
        <f t="shared" si="140"/>
        <v>4</v>
      </c>
      <c r="AI338" s="227">
        <f t="shared" si="141"/>
        <v>-1.4008555202022062</v>
      </c>
      <c r="AJ338" s="267" t="b">
        <f t="shared" si="142"/>
        <v>0</v>
      </c>
      <c r="AK338" s="267" t="b">
        <f t="shared" si="143"/>
        <v>0</v>
      </c>
      <c r="AL338" s="267"/>
      <c r="AM338" s="267"/>
      <c r="AN338" s="75"/>
    </row>
    <row r="339" spans="1:40" s="6" customFormat="1" ht="11.25" customHeight="1" x14ac:dyDescent="0.2">
      <c r="A339" s="56">
        <f t="shared" si="144"/>
        <v>43790</v>
      </c>
      <c r="B339" s="620">
        <v>19.119</v>
      </c>
      <c r="C339" s="392"/>
      <c r="D339" s="395">
        <f t="shared" si="123"/>
        <v>19.332415005152956</v>
      </c>
      <c r="E339" s="387">
        <f t="shared" si="121"/>
        <v>21.167091096929184</v>
      </c>
      <c r="F339" s="387">
        <f t="shared" si="124"/>
        <v>21.653761632843604</v>
      </c>
      <c r="G339" s="110">
        <f t="shared" si="122"/>
        <v>1.0042951992934734</v>
      </c>
      <c r="H339" s="416" t="b">
        <f>Wh_hp&gt;='2018'!Maxi_hp</f>
        <v>1</v>
      </c>
      <c r="I339" s="392">
        <f>IF(H339,Wh_hp,'2018'!Maxi_hp)</f>
        <v>21.653761632843604</v>
      </c>
      <c r="J339" s="85">
        <f>IF(H339,An,'2018'!An_max)</f>
        <v>2019</v>
      </c>
      <c r="K339" s="199">
        <f t="shared" si="125"/>
        <v>43790</v>
      </c>
      <c r="L339" s="147">
        <f>IF(t&lt;Tvie,1-EXP((T0-t)*PertePVj)+'2018'!Pspv,1-EXP((T0-t)*PertePVj)+Pspv)</f>
        <v>1.1039231523639059E-2</v>
      </c>
      <c r="M339" s="872"/>
      <c r="N339" s="872"/>
      <c r="O339" s="48">
        <f>IF(t&lt;Tnet,'2018'!Resal+('2018'!Salim-'2018'!Resal)*(1-EXP(('2018'!Tnet-t)/('2018'!Tau_j))),Resal+(Salim-Resal)*(1-EXP((Tnet-t)/(Tau_j))))*Salcycl</f>
        <v>8.6675872625804132E-2</v>
      </c>
      <c r="P339" s="171">
        <f>(INDEX(Models!$BJ339:$BT339,,T339)*(1-R339)+INDEX(Models!$BJ339:$BT339,,T339+1)*R339-ERP_i)*Q339*Ramure*Pc/MaxiM</f>
        <v>2.2475103594760914E-2</v>
      </c>
      <c r="Q339" s="307">
        <f t="shared" si="126"/>
        <v>0.9</v>
      </c>
      <c r="R339" s="179">
        <f t="shared" si="127"/>
        <v>0.599179195383853</v>
      </c>
      <c r="S339" s="839">
        <f t="shared" si="128"/>
        <v>-2</v>
      </c>
      <c r="T339" s="178">
        <f t="shared" si="129"/>
        <v>4</v>
      </c>
      <c r="U339" s="253">
        <f t="shared" si="130"/>
        <v>-1.400820804616147</v>
      </c>
      <c r="V339" s="385">
        <f t="shared" si="131"/>
        <v>19.037231297580941</v>
      </c>
      <c r="W339" s="58"/>
      <c r="X339" s="157">
        <f t="shared" si="132"/>
        <v>43790</v>
      </c>
      <c r="Y339" s="387">
        <f t="shared" si="133"/>
        <v>19.119</v>
      </c>
      <c r="Z339" s="387">
        <f t="shared" si="134"/>
        <v>19.332415005152956</v>
      </c>
      <c r="AA339" s="388">
        <f t="shared" si="135"/>
        <v>21.167091096929184</v>
      </c>
      <c r="AB339" s="199">
        <f t="shared" si="136"/>
        <v>43790</v>
      </c>
      <c r="AC339" s="428">
        <f>IF(OR(t&lt;Tnet,NoTnet),'2018'!Resal_s+('2018'!Salim-'2018'!Resal_s)*(1-EXP(('2018'!Tnet_s-t)/'2018'!Tau_j)),Resal_s+(Salim-Resal_s)*(1-EXP((Tnet_s-t)/Tau_j)))*Salcycl</f>
        <v>8.6675872625804132E-2</v>
      </c>
      <c r="AD339" s="233">
        <f>(INDEX(Models!$BJ339:$BT339,,AH339)*(1-AF339)+INDEX(Models!$BJ339:$BT339,,AH339+1)*AF339-ERP_i)*AE339*Ramure*Pc/MaxiM</f>
        <v>2.2475103594760914E-2</v>
      </c>
      <c r="AE339" s="307">
        <f t="shared" si="137"/>
        <v>0.9</v>
      </c>
      <c r="AF339" s="179">
        <f t="shared" si="138"/>
        <v>0.599179195383853</v>
      </c>
      <c r="AG339" s="178">
        <f t="shared" si="139"/>
        <v>-2</v>
      </c>
      <c r="AH339" s="178">
        <f t="shared" si="140"/>
        <v>4</v>
      </c>
      <c r="AI339" s="227">
        <f t="shared" si="141"/>
        <v>-1.400820804616147</v>
      </c>
      <c r="AJ339" s="267" t="b">
        <f t="shared" si="142"/>
        <v>0</v>
      </c>
      <c r="AK339" s="267" t="b">
        <f t="shared" si="143"/>
        <v>0</v>
      </c>
      <c r="AL339" s="267"/>
      <c r="AM339" s="267"/>
      <c r="AN339" s="75"/>
    </row>
    <row r="340" spans="1:40" s="6" customFormat="1" ht="11.25" customHeight="1" x14ac:dyDescent="0.2">
      <c r="A340" s="56">
        <f t="shared" si="144"/>
        <v>43791</v>
      </c>
      <c r="B340" s="620">
        <v>8.9770000000000003</v>
      </c>
      <c r="C340" s="392"/>
      <c r="D340" s="395">
        <f t="shared" si="123"/>
        <v>9.0774166164315755</v>
      </c>
      <c r="E340" s="387">
        <f t="shared" si="121"/>
        <v>9.9396921749929614</v>
      </c>
      <c r="F340" s="387">
        <f t="shared" si="124"/>
        <v>9.997130521563717</v>
      </c>
      <c r="G340" s="110">
        <f t="shared" si="122"/>
        <v>0.46809363021911826</v>
      </c>
      <c r="H340" s="416" t="b">
        <f>Wh_hp&gt;='2018'!Maxi_hp</f>
        <v>0</v>
      </c>
      <c r="I340" s="392">
        <f>IF(H340,Wh_hp,'2018'!Maxi_hp)</f>
        <v>19.447409540817393</v>
      </c>
      <c r="J340" s="85">
        <f>IF(H340,An,'2018'!An_max)</f>
        <v>2018</v>
      </c>
      <c r="K340" s="199">
        <f t="shared" si="125"/>
        <v>43791</v>
      </c>
      <c r="L340" s="147">
        <f>IF(t&lt;Tvie,1-EXP((T0-t)*PertePVj)+'2018'!Pspv,1-EXP((T0-t)*PertePVj)+Pspv)</f>
        <v>1.1062246085500216E-2</v>
      </c>
      <c r="M340" s="872"/>
      <c r="N340" s="872"/>
      <c r="O340" s="48">
        <f>IF(t&lt;Tnet,'2018'!Resal+('2018'!Salim-'2018'!Resal)*(1-EXP(('2018'!Tnet-t)/('2018'!Tau_j))),Resal+(Salim-Resal)*(1-EXP((Tnet-t)/(Tau_j))))*Salcycl</f>
        <v>8.6750730644432325E-2</v>
      </c>
      <c r="P340" s="171">
        <f>(INDEX(Models!$BJ340:$BT340,,T340)*(1-R340)+INDEX(Models!$BJ340:$BT340,,T340+1)*R340-ERP_i)*Q340*Ramure*Pc/MaxiM</f>
        <v>2.2816233360837331E-2</v>
      </c>
      <c r="Q340" s="307">
        <f t="shared" si="126"/>
        <v>0.9</v>
      </c>
      <c r="R340" s="179">
        <f t="shared" si="127"/>
        <v>0.5992125164563491</v>
      </c>
      <c r="S340" s="839">
        <f t="shared" si="128"/>
        <v>-2</v>
      </c>
      <c r="T340" s="178">
        <f t="shared" si="129"/>
        <v>4</v>
      </c>
      <c r="U340" s="253">
        <f t="shared" si="130"/>
        <v>-1.4007874835436509</v>
      </c>
      <c r="V340" s="385">
        <f t="shared" si="131"/>
        <v>18.848516103950498</v>
      </c>
      <c r="W340" s="58"/>
      <c r="X340" s="157">
        <f t="shared" si="132"/>
        <v>43791</v>
      </c>
      <c r="Y340" s="387">
        <f t="shared" si="133"/>
        <v>8.9770000000000003</v>
      </c>
      <c r="Z340" s="387">
        <f t="shared" si="134"/>
        <v>9.0774166164315755</v>
      </c>
      <c r="AA340" s="388">
        <f t="shared" si="135"/>
        <v>9.9396921749929614</v>
      </c>
      <c r="AB340" s="199">
        <f t="shared" si="136"/>
        <v>43791</v>
      </c>
      <c r="AC340" s="428">
        <f>IF(OR(t&lt;Tnet,NoTnet),'2018'!Resal_s+('2018'!Salim-'2018'!Resal_s)*(1-EXP(('2018'!Tnet_s-t)/'2018'!Tau_j)),Resal_s+(Salim-Resal_s)*(1-EXP((Tnet_s-t)/Tau_j)))*Salcycl</f>
        <v>8.6750730644432325E-2</v>
      </c>
      <c r="AD340" s="233">
        <f>(INDEX(Models!$BJ340:$BT340,,AH340)*(1-AF340)+INDEX(Models!$BJ340:$BT340,,AH340+1)*AF340-ERP_i)*AE340*Ramure*Pc/MaxiM</f>
        <v>2.2816233360837331E-2</v>
      </c>
      <c r="AE340" s="307">
        <f t="shared" si="137"/>
        <v>0.9</v>
      </c>
      <c r="AF340" s="179">
        <f t="shared" si="138"/>
        <v>0.5992125164563491</v>
      </c>
      <c r="AG340" s="178">
        <f t="shared" si="139"/>
        <v>-2</v>
      </c>
      <c r="AH340" s="178">
        <f t="shared" si="140"/>
        <v>4</v>
      </c>
      <c r="AI340" s="227">
        <f t="shared" si="141"/>
        <v>-1.4007874835436509</v>
      </c>
      <c r="AJ340" s="267" t="b">
        <f t="shared" si="142"/>
        <v>0</v>
      </c>
      <c r="AK340" s="267" t="b">
        <f t="shared" si="143"/>
        <v>0</v>
      </c>
      <c r="AL340" s="267"/>
      <c r="AM340" s="267"/>
      <c r="AN340" s="75"/>
    </row>
    <row r="341" spans="1:40" s="6" customFormat="1" ht="11.25" customHeight="1" x14ac:dyDescent="0.2">
      <c r="A341" s="56">
        <f t="shared" si="144"/>
        <v>43792</v>
      </c>
      <c r="B341" s="620">
        <v>5.2949999999999999</v>
      </c>
      <c r="C341" s="392"/>
      <c r="D341" s="395">
        <f t="shared" si="123"/>
        <v>5.3543544113808066</v>
      </c>
      <c r="E341" s="387">
        <f t="shared" si="121"/>
        <v>5.8634631306899871</v>
      </c>
      <c r="F341" s="387">
        <f t="shared" si="124"/>
        <v>5.8634631306899871</v>
      </c>
      <c r="G341" s="110">
        <f t="shared" si="122"/>
        <v>0.27713323434641651</v>
      </c>
      <c r="H341" s="416" t="b">
        <f>Wh_hp&gt;='2018'!Maxi_hp</f>
        <v>0</v>
      </c>
      <c r="I341" s="392">
        <f>IF(H341,Wh_hp,'2018'!Maxi_hp)</f>
        <v>13.768878969214754</v>
      </c>
      <c r="J341" s="85">
        <f>IF(H341,An,'2018'!An_max)</f>
        <v>2018</v>
      </c>
      <c r="K341" s="199">
        <f t="shared" si="125"/>
        <v>43792</v>
      </c>
      <c r="L341" s="147">
        <f>IF(t&lt;Tvie,1-EXP((T0-t)*PertePVj)+'2018'!Pspv,1-EXP((T0-t)*PertePVj)+Pspv)</f>
        <v>1.1085260111778905E-2</v>
      </c>
      <c r="M341" s="872"/>
      <c r="N341" s="872"/>
      <c r="O341" s="48">
        <f>IF(t&lt;Tnet,'2018'!Resal+('2018'!Salim-'2018'!Resal)*(1-EXP(('2018'!Tnet-t)/('2018'!Tau_j))),Resal+(Salim-Resal)*(1-EXP((Tnet-t)/(Tau_j))))*Salcycl</f>
        <v>8.682730801946241E-2</v>
      </c>
      <c r="P341" s="171">
        <f>(INDEX(Models!$BJ341:$BT341,,T341)*(1-R341)+INDEX(Models!$BJ341:$BT341,,T341+1)*R341-ERP_i)*Q341*Ramure*Pc/MaxiM</f>
        <v>2.3156345854962377E-2</v>
      </c>
      <c r="Q341" s="307">
        <f t="shared" si="126"/>
        <v>0.9</v>
      </c>
      <c r="R341" s="179">
        <f t="shared" si="127"/>
        <v>0.59924449890747855</v>
      </c>
      <c r="S341" s="839">
        <f t="shared" si="128"/>
        <v>-2</v>
      </c>
      <c r="T341" s="178">
        <f t="shared" si="129"/>
        <v>4</v>
      </c>
      <c r="U341" s="253">
        <f t="shared" si="130"/>
        <v>-1.4007555010925214</v>
      </c>
      <c r="V341" s="385">
        <f t="shared" si="131"/>
        <v>18.663900635722705</v>
      </c>
      <c r="W341" s="58"/>
      <c r="X341" s="157">
        <f t="shared" si="132"/>
        <v>43792</v>
      </c>
      <c r="Y341" s="387">
        <f t="shared" si="133"/>
        <v>5.2949999999999999</v>
      </c>
      <c r="Z341" s="387">
        <f t="shared" si="134"/>
        <v>5.3543544113808066</v>
      </c>
      <c r="AA341" s="388">
        <f t="shared" si="135"/>
        <v>5.8634631306899871</v>
      </c>
      <c r="AB341" s="199">
        <f t="shared" si="136"/>
        <v>43792</v>
      </c>
      <c r="AC341" s="428">
        <f>IF(OR(t&lt;Tnet,NoTnet),'2018'!Resal_s+('2018'!Salim-'2018'!Resal_s)*(1-EXP(('2018'!Tnet_s-t)/'2018'!Tau_j)),Resal_s+(Salim-Resal_s)*(1-EXP((Tnet_s-t)/Tau_j)))*Salcycl</f>
        <v>8.682730801946241E-2</v>
      </c>
      <c r="AD341" s="233">
        <f>(INDEX(Models!$BJ341:$BT341,,AH341)*(1-AF341)+INDEX(Models!$BJ341:$BT341,,AH341+1)*AF341-ERP_i)*AE341*Ramure*Pc/MaxiM</f>
        <v>2.3156345854962377E-2</v>
      </c>
      <c r="AE341" s="307">
        <f t="shared" si="137"/>
        <v>0.9</v>
      </c>
      <c r="AF341" s="179">
        <f t="shared" si="138"/>
        <v>0.59924449890747855</v>
      </c>
      <c r="AG341" s="178">
        <f t="shared" si="139"/>
        <v>-2</v>
      </c>
      <c r="AH341" s="178">
        <f t="shared" si="140"/>
        <v>4</v>
      </c>
      <c r="AI341" s="227">
        <f t="shared" si="141"/>
        <v>-1.4007555010925214</v>
      </c>
      <c r="AJ341" s="267" t="b">
        <f t="shared" si="142"/>
        <v>0</v>
      </c>
      <c r="AK341" s="267" t="b">
        <f t="shared" si="143"/>
        <v>0</v>
      </c>
      <c r="AL341" s="267"/>
      <c r="AM341" s="267"/>
      <c r="AN341" s="75"/>
    </row>
    <row r="342" spans="1:40" s="6" customFormat="1" ht="11.25" x14ac:dyDescent="0.2">
      <c r="A342" s="56">
        <f t="shared" si="144"/>
        <v>43793</v>
      </c>
      <c r="B342" s="620">
        <v>9.9819999999999993</v>
      </c>
      <c r="C342" s="392"/>
      <c r="D342" s="395">
        <f t="shared" si="123"/>
        <v>10.094128339372372</v>
      </c>
      <c r="E342" s="387">
        <f t="shared" si="121"/>
        <v>11.054858004181831</v>
      </c>
      <c r="F342" s="387">
        <f t="shared" si="124"/>
        <v>11.14465787138699</v>
      </c>
      <c r="G342" s="110">
        <f t="shared" si="122"/>
        <v>0.53165634814389573</v>
      </c>
      <c r="H342" s="416" t="b">
        <f>Wh_hp&gt;='2018'!Maxi_hp</f>
        <v>0</v>
      </c>
      <c r="I342" s="392">
        <f>IF(H342,Wh_hp,'2018'!Maxi_hp)</f>
        <v>16.958692332833007</v>
      </c>
      <c r="J342" s="85">
        <f>IF(H342,An,'2018'!An_max)</f>
        <v>2018</v>
      </c>
      <c r="K342" s="199">
        <f t="shared" si="125"/>
        <v>43793</v>
      </c>
      <c r="L342" s="147">
        <f>IF(t&lt;Tvie,1-EXP((T0-t)*PertePVj)+'2018'!Pspv,1-EXP((T0-t)*PertePVj)+Pspv)</f>
        <v>1.1108273602487562E-2</v>
      </c>
      <c r="M342" s="872"/>
      <c r="N342" s="872"/>
      <c r="O342" s="48">
        <f>IF(t&lt;Tnet,'2018'!Resal+('2018'!Salim-'2018'!Resal)*(1-EXP(('2018'!Tnet-t)/('2018'!Tau_j))),Resal+(Salim-Resal)*(1-EXP((Tnet-t)/(Tau_j))))*Salcycl</f>
        <v>8.6905654007137442E-2</v>
      </c>
      <c r="P342" s="171">
        <f>(INDEX(Models!$BJ342:$BT342,,T342)*(1-R342)+INDEX(Models!$BJ342:$BT342,,T342+1)*R342-ERP_i)*Q342*Ramure*Pc/MaxiM</f>
        <v>2.3495493160784062E-2</v>
      </c>
      <c r="Q342" s="307">
        <f t="shared" si="126"/>
        <v>0.9</v>
      </c>
      <c r="R342" s="179">
        <f t="shared" si="127"/>
        <v>0.59927519639912585</v>
      </c>
      <c r="S342" s="839">
        <f t="shared" si="128"/>
        <v>-2</v>
      </c>
      <c r="T342" s="178">
        <f t="shared" si="129"/>
        <v>4</v>
      </c>
      <c r="U342" s="253">
        <f t="shared" si="130"/>
        <v>-1.4007248036008741</v>
      </c>
      <c r="V342" s="385">
        <f t="shared" si="131"/>
        <v>18.483081808722631</v>
      </c>
      <c r="W342" s="58"/>
      <c r="X342" s="157">
        <f t="shared" si="132"/>
        <v>43793</v>
      </c>
      <c r="Y342" s="387">
        <f t="shared" si="133"/>
        <v>9.9819999999999993</v>
      </c>
      <c r="Z342" s="387">
        <f t="shared" si="134"/>
        <v>10.094128339372372</v>
      </c>
      <c r="AA342" s="388">
        <f t="shared" si="135"/>
        <v>11.054858004181831</v>
      </c>
      <c r="AB342" s="199">
        <f t="shared" si="136"/>
        <v>43793</v>
      </c>
      <c r="AC342" s="428">
        <f>IF(OR(t&lt;Tnet,NoTnet),'2018'!Resal_s+('2018'!Salim-'2018'!Resal_s)*(1-EXP(('2018'!Tnet_s-t)/'2018'!Tau_j)),Resal_s+(Salim-Resal_s)*(1-EXP((Tnet_s-t)/Tau_j)))*Salcycl</f>
        <v>8.6905654007137442E-2</v>
      </c>
      <c r="AD342" s="233">
        <f>(INDEX(Models!$BJ342:$BT342,,AH342)*(1-AF342)+INDEX(Models!$BJ342:$BT342,,AH342+1)*AF342-ERP_i)*AE342*Ramure*Pc/MaxiM</f>
        <v>2.3495493160784062E-2</v>
      </c>
      <c r="AE342" s="307">
        <f t="shared" si="137"/>
        <v>0.9</v>
      </c>
      <c r="AF342" s="179">
        <f t="shared" si="138"/>
        <v>0.59927519639912585</v>
      </c>
      <c r="AG342" s="178">
        <f t="shared" si="139"/>
        <v>-2</v>
      </c>
      <c r="AH342" s="178">
        <f t="shared" si="140"/>
        <v>4</v>
      </c>
      <c r="AI342" s="227">
        <f t="shared" si="141"/>
        <v>-1.4007248036008741</v>
      </c>
      <c r="AJ342" s="267" t="b">
        <f t="shared" si="142"/>
        <v>0</v>
      </c>
      <c r="AK342" s="267" t="b">
        <f t="shared" si="143"/>
        <v>0</v>
      </c>
      <c r="AL342" s="267"/>
      <c r="AM342" s="267"/>
      <c r="AN342" s="75"/>
    </row>
    <row r="343" spans="1:40" s="6" customFormat="1" ht="11.25" customHeight="1" x14ac:dyDescent="0.2">
      <c r="A343" s="56">
        <f t="shared" si="144"/>
        <v>43794</v>
      </c>
      <c r="B343" s="620">
        <v>10.207000000000001</v>
      </c>
      <c r="C343" s="392"/>
      <c r="D343" s="395">
        <f t="shared" si="123"/>
        <v>10.321895981993711</v>
      </c>
      <c r="E343" s="387">
        <f t="shared" si="121"/>
        <v>11.305296345231307</v>
      </c>
      <c r="F343" s="387">
        <f t="shared" si="124"/>
        <v>11.405324787785146</v>
      </c>
      <c r="G343" s="110">
        <f t="shared" si="122"/>
        <v>0.5491107164490675</v>
      </c>
      <c r="H343" s="416" t="b">
        <f>Wh_hp&gt;='2018'!Maxi_hp</f>
        <v>1</v>
      </c>
      <c r="I343" s="392">
        <f>IF(H343,Wh_hp,'2018'!Maxi_hp)</f>
        <v>11.405324787785146</v>
      </c>
      <c r="J343" s="85">
        <f>IF(H343,An,'2018'!An_max)</f>
        <v>2019</v>
      </c>
      <c r="K343" s="199">
        <f t="shared" si="125"/>
        <v>43794</v>
      </c>
      <c r="L343" s="147">
        <f>IF(t&lt;Tvie,1-EXP((T0-t)*PertePVj)+'2018'!Pspv,1-EXP((T0-t)*PertePVj)+Pspv)</f>
        <v>1.113128655763862E-2</v>
      </c>
      <c r="M343" s="872"/>
      <c r="N343" s="872"/>
      <c r="O343" s="48">
        <f>IF(t&lt;Tnet,'2018'!Resal+('2018'!Salim-'2018'!Resal)*(1-EXP(('2018'!Tnet-t)/('2018'!Tau_j))),Resal+(Salim-Resal)*(1-EXP((Tnet-t)/(Tau_j))))*Salcycl</f>
        <v>8.6985810296994467E-2</v>
      </c>
      <c r="P343" s="171">
        <f>(INDEX(Models!$BJ343:$BT343,,T343)*(1-R343)+INDEX(Models!$BJ343:$BT343,,T343+1)*R343-ERP_i)*Q343*Ramure*Pc/MaxiM</f>
        <v>2.38338731767479E-2</v>
      </c>
      <c r="Q343" s="307">
        <f t="shared" si="126"/>
        <v>0.9</v>
      </c>
      <c r="R343" s="179">
        <f t="shared" si="127"/>
        <v>0.59930466045108211</v>
      </c>
      <c r="S343" s="839">
        <f t="shared" si="128"/>
        <v>-2</v>
      </c>
      <c r="T343" s="178">
        <f t="shared" si="129"/>
        <v>4</v>
      </c>
      <c r="U343" s="253">
        <f t="shared" si="130"/>
        <v>-1.4006953395489179</v>
      </c>
      <c r="V343" s="385">
        <f t="shared" si="131"/>
        <v>18.30575455079827</v>
      </c>
      <c r="W343" s="58"/>
      <c r="X343" s="157">
        <f t="shared" si="132"/>
        <v>43794</v>
      </c>
      <c r="Y343" s="387">
        <f t="shared" si="133"/>
        <v>10.207000000000001</v>
      </c>
      <c r="Z343" s="387">
        <f t="shared" si="134"/>
        <v>10.321895981993711</v>
      </c>
      <c r="AA343" s="388">
        <f t="shared" si="135"/>
        <v>11.305296345231307</v>
      </c>
      <c r="AB343" s="199">
        <f t="shared" si="136"/>
        <v>43794</v>
      </c>
      <c r="AC343" s="428">
        <f>IF(OR(t&lt;Tnet,NoTnet),'2018'!Resal_s+('2018'!Salim-'2018'!Resal_s)*(1-EXP(('2018'!Tnet_s-t)/'2018'!Tau_j)),Resal_s+(Salim-Resal_s)*(1-EXP((Tnet_s-t)/Tau_j)))*Salcycl</f>
        <v>8.6985810296994467E-2</v>
      </c>
      <c r="AD343" s="233">
        <f>(INDEX(Models!$BJ343:$BT343,,AH343)*(1-AF343)+INDEX(Models!$BJ343:$BT343,,AH343+1)*AF343-ERP_i)*AE343*Ramure*Pc/MaxiM</f>
        <v>2.38338731767479E-2</v>
      </c>
      <c r="AE343" s="307">
        <f t="shared" si="137"/>
        <v>0.9</v>
      </c>
      <c r="AF343" s="179">
        <f t="shared" si="138"/>
        <v>0.59930466045108211</v>
      </c>
      <c r="AG343" s="178">
        <f t="shared" si="139"/>
        <v>-2</v>
      </c>
      <c r="AH343" s="178">
        <f t="shared" si="140"/>
        <v>4</v>
      </c>
      <c r="AI343" s="227">
        <f t="shared" si="141"/>
        <v>-1.4006953395489179</v>
      </c>
      <c r="AJ343" s="267" t="b">
        <f t="shared" si="142"/>
        <v>0</v>
      </c>
      <c r="AK343" s="267" t="b">
        <f t="shared" si="143"/>
        <v>0</v>
      </c>
      <c r="AL343" s="267"/>
      <c r="AM343" s="267"/>
      <c r="AN343" s="75"/>
    </row>
    <row r="344" spans="1:40" s="6" customFormat="1" ht="11.25" x14ac:dyDescent="0.2">
      <c r="A344" s="56">
        <f t="shared" si="144"/>
        <v>43795</v>
      </c>
      <c r="B344" s="620">
        <v>15.327999999999999</v>
      </c>
      <c r="C344" s="392"/>
      <c r="D344" s="395">
        <f t="shared" si="123"/>
        <v>15.500901691888197</v>
      </c>
      <c r="E344" s="387">
        <f t="shared" si="121"/>
        <v>16.979247612803377</v>
      </c>
      <c r="F344" s="387">
        <f t="shared" si="124"/>
        <v>17.305143804902567</v>
      </c>
      <c r="G344" s="110">
        <f t="shared" si="122"/>
        <v>0.84077385553657291</v>
      </c>
      <c r="H344" s="416" t="b">
        <f>Wh_hp&gt;='2018'!Maxi_hp</f>
        <v>1</v>
      </c>
      <c r="I344" s="392">
        <f>IF(H344,Wh_hp,'2018'!Maxi_hp)</f>
        <v>17.305143804902567</v>
      </c>
      <c r="J344" s="85">
        <f>IF(H344,An,'2018'!An_max)</f>
        <v>2019</v>
      </c>
      <c r="K344" s="199">
        <f t="shared" si="125"/>
        <v>43795</v>
      </c>
      <c r="L344" s="147">
        <f>IF(t&lt;Tvie,1-EXP((T0-t)*PertePVj)+'2018'!Pspv,1-EXP((T0-t)*PertePVj)+Pspv)</f>
        <v>1.1154298977244625E-2</v>
      </c>
      <c r="M344" s="872"/>
      <c r="N344" s="872"/>
      <c r="O344" s="48">
        <f>IF(t&lt;Tnet,'2018'!Resal+('2018'!Salim-'2018'!Resal)*(1-EXP(('2018'!Tnet-t)/('2018'!Tau_j))),Resal+(Salim-Resal)*(1-EXP((Tnet-t)/(Tau_j))))*Salcycl</f>
        <v>8.7067810931764605E-2</v>
      </c>
      <c r="P344" s="171">
        <f>(INDEX(Models!$BJ344:$BT344,,T344)*(1-R344)+INDEX(Models!$BJ344:$BT344,,T344+1)*R344-ERP_i)*Q344*Ramure*Pc/MaxiM</f>
        <v>2.4171715196257656E-2</v>
      </c>
      <c r="Q344" s="307">
        <f t="shared" si="126"/>
        <v>0.9</v>
      </c>
      <c r="R344" s="179">
        <f t="shared" si="127"/>
        <v>0.59933294052583985</v>
      </c>
      <c r="S344" s="839">
        <f t="shared" si="128"/>
        <v>-2</v>
      </c>
      <c r="T344" s="178">
        <f t="shared" si="129"/>
        <v>4</v>
      </c>
      <c r="U344" s="253">
        <f t="shared" si="130"/>
        <v>-1.4006670594741601</v>
      </c>
      <c r="V344" s="385">
        <f t="shared" si="131"/>
        <v>18.131614054019234</v>
      </c>
      <c r="W344" s="58"/>
      <c r="X344" s="157">
        <f t="shared" si="132"/>
        <v>43795</v>
      </c>
      <c r="Y344" s="387">
        <f t="shared" si="133"/>
        <v>15.327999999999999</v>
      </c>
      <c r="Z344" s="387">
        <f t="shared" si="134"/>
        <v>15.500901691888197</v>
      </c>
      <c r="AA344" s="388">
        <f t="shared" si="135"/>
        <v>16.979247612803377</v>
      </c>
      <c r="AB344" s="199">
        <f t="shared" si="136"/>
        <v>43795</v>
      </c>
      <c r="AC344" s="428">
        <f>IF(OR(t&lt;Tnet,NoTnet),'2018'!Resal_s+('2018'!Salim-'2018'!Resal_s)*(1-EXP(('2018'!Tnet_s-t)/'2018'!Tau_j)),Resal_s+(Salim-Resal_s)*(1-EXP((Tnet_s-t)/Tau_j)))*Salcycl</f>
        <v>8.7067810931764605E-2</v>
      </c>
      <c r="AD344" s="233">
        <f>(INDEX(Models!$BJ344:$BT344,,AH344)*(1-AF344)+INDEX(Models!$BJ344:$BT344,,AH344+1)*AF344-ERP_i)*AE344*Ramure*Pc/MaxiM</f>
        <v>2.4171715196257656E-2</v>
      </c>
      <c r="AE344" s="307">
        <f t="shared" si="137"/>
        <v>0.9</v>
      </c>
      <c r="AF344" s="179">
        <f t="shared" si="138"/>
        <v>0.59933294052583985</v>
      </c>
      <c r="AG344" s="178">
        <f t="shared" si="139"/>
        <v>-2</v>
      </c>
      <c r="AH344" s="178">
        <f t="shared" si="140"/>
        <v>4</v>
      </c>
      <c r="AI344" s="227">
        <f t="shared" si="141"/>
        <v>-1.4006670594741601</v>
      </c>
      <c r="AJ344" s="267" t="b">
        <f t="shared" si="142"/>
        <v>0</v>
      </c>
      <c r="AK344" s="267" t="b">
        <f t="shared" si="143"/>
        <v>0</v>
      </c>
      <c r="AL344" s="267"/>
      <c r="AM344" s="267"/>
      <c r="AN344" s="75"/>
    </row>
    <row r="345" spans="1:40" s="6" customFormat="1" ht="11.25" customHeight="1" x14ac:dyDescent="0.2">
      <c r="A345" s="56">
        <f t="shared" si="144"/>
        <v>43796</v>
      </c>
      <c r="B345" s="620">
        <v>13.792999999999999</v>
      </c>
      <c r="C345" s="392"/>
      <c r="D345" s="395">
        <f t="shared" si="123"/>
        <v>13.948911317977997</v>
      </c>
      <c r="E345" s="387">
        <f t="shared" si="121"/>
        <v>15.280645258505068</v>
      </c>
      <c r="F345" s="387">
        <f t="shared" si="124"/>
        <v>15.535237056038611</v>
      </c>
      <c r="G345" s="110">
        <f t="shared" si="122"/>
        <v>0.76167857400943895</v>
      </c>
      <c r="H345" s="416" t="b">
        <f>Wh_hp&gt;='2018'!Maxi_hp</f>
        <v>0</v>
      </c>
      <c r="I345" s="392">
        <f>IF(H345,Wh_hp,'2018'!Maxi_hp)</f>
        <v>18.707105113619761</v>
      </c>
      <c r="J345" s="85">
        <f>IF(H345,An,'2018'!An_max)</f>
        <v>2018</v>
      </c>
      <c r="K345" s="199">
        <f t="shared" si="125"/>
        <v>43796</v>
      </c>
      <c r="L345" s="147">
        <f>IF(t&lt;Tvie,1-EXP((T0-t)*PertePVj)+'2018'!Pspv,1-EXP((T0-t)*PertePVj)+Pspv)</f>
        <v>1.1177310861318013E-2</v>
      </c>
      <c r="M345" s="872"/>
      <c r="N345" s="872"/>
      <c r="O345" s="48">
        <f>IF(t&lt;Tnet,'2018'!Resal+('2018'!Salim-'2018'!Resal)*(1-EXP(('2018'!Tnet-t)/('2018'!Tau_j))),Resal+(Salim-Resal)*(1-EXP((Tnet-t)/(Tau_j))))*Salcycl</f>
        <v>8.7151682275055792E-2</v>
      </c>
      <c r="P345" s="171">
        <f>(INDEX(Models!$BJ345:$BT345,,T345)*(1-R345)+INDEX(Models!$BJ345:$BT345,,T345+1)*R345-ERP_i)*Q345*Ramure*Pc/MaxiM</f>
        <v>2.451089522779018E-2</v>
      </c>
      <c r="Q345" s="307">
        <f t="shared" si="126"/>
        <v>0.9</v>
      </c>
      <c r="R345" s="179">
        <f t="shared" si="127"/>
        <v>0.59936008411008457</v>
      </c>
      <c r="S345" s="839">
        <f t="shared" si="128"/>
        <v>-2</v>
      </c>
      <c r="T345" s="178">
        <f t="shared" si="129"/>
        <v>4</v>
      </c>
      <c r="U345" s="253">
        <f t="shared" si="130"/>
        <v>-1.4006399158899154</v>
      </c>
      <c r="V345" s="385">
        <f t="shared" si="131"/>
        <v>17.959143111979429</v>
      </c>
      <c r="W345" s="58"/>
      <c r="X345" s="157">
        <f t="shared" si="132"/>
        <v>43796</v>
      </c>
      <c r="Y345" s="387">
        <f t="shared" si="133"/>
        <v>13.792999999999999</v>
      </c>
      <c r="Z345" s="387">
        <f t="shared" si="134"/>
        <v>13.948911317977997</v>
      </c>
      <c r="AA345" s="388">
        <f t="shared" si="135"/>
        <v>15.280645258505068</v>
      </c>
      <c r="AB345" s="199">
        <f t="shared" si="136"/>
        <v>43796</v>
      </c>
      <c r="AC345" s="428">
        <f>IF(OR(t&lt;Tnet,NoTnet),'2018'!Resal_s+('2018'!Salim-'2018'!Resal_s)*(1-EXP(('2018'!Tnet_s-t)/'2018'!Tau_j)),Resal_s+(Salim-Resal_s)*(1-EXP((Tnet_s-t)/Tau_j)))*Salcycl</f>
        <v>8.7151682275055792E-2</v>
      </c>
      <c r="AD345" s="233">
        <f>(INDEX(Models!$BJ345:$BT345,,AH345)*(1-AF345)+INDEX(Models!$BJ345:$BT345,,AH345+1)*AF345-ERP_i)*AE345*Ramure*Pc/MaxiM</f>
        <v>2.451089522779018E-2</v>
      </c>
      <c r="AE345" s="307">
        <f t="shared" si="137"/>
        <v>0.9</v>
      </c>
      <c r="AF345" s="179">
        <f t="shared" si="138"/>
        <v>0.59936008411008457</v>
      </c>
      <c r="AG345" s="178">
        <f t="shared" si="139"/>
        <v>-2</v>
      </c>
      <c r="AH345" s="178">
        <f t="shared" si="140"/>
        <v>4</v>
      </c>
      <c r="AI345" s="227">
        <f t="shared" si="141"/>
        <v>-1.4006399158899154</v>
      </c>
      <c r="AJ345" s="267" t="b">
        <f t="shared" si="142"/>
        <v>0</v>
      </c>
      <c r="AK345" s="267" t="b">
        <f t="shared" si="143"/>
        <v>0</v>
      </c>
      <c r="AL345" s="267"/>
      <c r="AM345" s="267"/>
      <c r="AN345" s="75"/>
    </row>
    <row r="346" spans="1:40" s="6" customFormat="1" ht="11.25" customHeight="1" x14ac:dyDescent="0.2">
      <c r="A346" s="56">
        <f t="shared" si="144"/>
        <v>43797</v>
      </c>
      <c r="B346" s="620">
        <v>8.3460000000000001</v>
      </c>
      <c r="C346" s="392"/>
      <c r="D346" s="395">
        <f t="shared" si="123"/>
        <v>8.4405367310115835</v>
      </c>
      <c r="E346" s="387">
        <f t="shared" si="121"/>
        <v>9.247242523839569</v>
      </c>
      <c r="F346" s="387">
        <f t="shared" si="124"/>
        <v>9.30313236629142</v>
      </c>
      <c r="G346" s="110">
        <f t="shared" si="122"/>
        <v>0.46030694247051546</v>
      </c>
      <c r="H346" s="416" t="b">
        <f>Wh_hp&gt;='2018'!Maxi_hp</f>
        <v>0</v>
      </c>
      <c r="I346" s="392">
        <f>IF(H346,Wh_hp,'2018'!Maxi_hp)</f>
        <v>15.033904025861062</v>
      </c>
      <c r="J346" s="85">
        <f>IF(H346,An,'2018'!An_max)</f>
        <v>2018</v>
      </c>
      <c r="K346" s="199">
        <f t="shared" si="125"/>
        <v>43797</v>
      </c>
      <c r="L346" s="147">
        <f>IF(t&lt;Tvie,1-EXP((T0-t)*PertePVj)+'2018'!Pspv,1-EXP((T0-t)*PertePVj)+Pspv)</f>
        <v>1.1200322209871327E-2</v>
      </c>
      <c r="M346" s="872"/>
      <c r="N346" s="872"/>
      <c r="O346" s="48">
        <f>IF(t&lt;Tnet,'2018'!Resal+('2018'!Salim-'2018'!Resal)*(1-EXP(('2018'!Tnet-t)/('2018'!Tau_j))),Resal+(Salim-Resal)*(1-EXP((Tnet-t)/(Tau_j))))*Salcycl</f>
        <v>8.7237443026749115E-2</v>
      </c>
      <c r="P346" s="171">
        <f>(INDEX(Models!$BJ346:$BT346,,T346)*(1-R346)+INDEX(Models!$BJ346:$BT346,,T346+1)*R346-ERP_i)*Q346*Ramure*Pc/MaxiM</f>
        <v>2.4853837487806358E-2</v>
      </c>
      <c r="Q346" s="307">
        <f t="shared" si="126"/>
        <v>0.9</v>
      </c>
      <c r="R346" s="179">
        <f t="shared" si="127"/>
        <v>0.59938613679301334</v>
      </c>
      <c r="S346" s="839">
        <f t="shared" si="128"/>
        <v>-2</v>
      </c>
      <c r="T346" s="178">
        <f t="shared" si="129"/>
        <v>4</v>
      </c>
      <c r="U346" s="253">
        <f t="shared" si="130"/>
        <v>-1.4006138632069867</v>
      </c>
      <c r="V346" s="385">
        <f t="shared" si="131"/>
        <v>17.78760692210906</v>
      </c>
      <c r="W346" s="58"/>
      <c r="X346" s="157">
        <f t="shared" si="132"/>
        <v>43797</v>
      </c>
      <c r="Y346" s="387">
        <f t="shared" si="133"/>
        <v>8.3460000000000001</v>
      </c>
      <c r="Z346" s="387">
        <f t="shared" si="134"/>
        <v>8.4405367310115835</v>
      </c>
      <c r="AA346" s="388">
        <f t="shared" si="135"/>
        <v>9.247242523839569</v>
      </c>
      <c r="AB346" s="199">
        <f t="shared" si="136"/>
        <v>43797</v>
      </c>
      <c r="AC346" s="428">
        <f>IF(OR(t&lt;Tnet,NoTnet),'2018'!Resal_s+('2018'!Salim-'2018'!Resal_s)*(1-EXP(('2018'!Tnet_s-t)/'2018'!Tau_j)),Resal_s+(Salim-Resal_s)*(1-EXP((Tnet_s-t)/Tau_j)))*Salcycl</f>
        <v>8.7237443026749115E-2</v>
      </c>
      <c r="AD346" s="233">
        <f>(INDEX(Models!$BJ346:$BT346,,AH346)*(1-AF346)+INDEX(Models!$BJ346:$BT346,,AH346+1)*AF346-ERP_i)*AE346*Ramure*Pc/MaxiM</f>
        <v>2.4853837487806358E-2</v>
      </c>
      <c r="AE346" s="307">
        <f t="shared" si="137"/>
        <v>0.9</v>
      </c>
      <c r="AF346" s="179">
        <f t="shared" si="138"/>
        <v>0.59938613679301334</v>
      </c>
      <c r="AG346" s="178">
        <f t="shared" si="139"/>
        <v>-2</v>
      </c>
      <c r="AH346" s="178">
        <f t="shared" si="140"/>
        <v>4</v>
      </c>
      <c r="AI346" s="227">
        <f t="shared" si="141"/>
        <v>-1.4006138632069867</v>
      </c>
      <c r="AJ346" s="267" t="b">
        <f t="shared" si="142"/>
        <v>0</v>
      </c>
      <c r="AK346" s="267" t="b">
        <f t="shared" si="143"/>
        <v>0</v>
      </c>
      <c r="AL346" s="267"/>
      <c r="AM346" s="267"/>
      <c r="AN346" s="75"/>
    </row>
    <row r="347" spans="1:40" s="6" customFormat="1" ht="11.25" customHeight="1" x14ac:dyDescent="0.2">
      <c r="A347" s="56">
        <f t="shared" si="144"/>
        <v>43798</v>
      </c>
      <c r="B347" s="620">
        <v>13.379</v>
      </c>
      <c r="C347" s="392"/>
      <c r="D347" s="395">
        <f t="shared" si="123"/>
        <v>13.530861363165727</v>
      </c>
      <c r="E347" s="387">
        <f t="shared" si="121"/>
        <v>14.825499667737962</v>
      </c>
      <c r="F347" s="387">
        <f t="shared" si="124"/>
        <v>15.074896965805687</v>
      </c>
      <c r="G347" s="110">
        <f t="shared" si="122"/>
        <v>0.75271395931392471</v>
      </c>
      <c r="H347" s="416" t="b">
        <f>Wh_hp&gt;='2018'!Maxi_hp</f>
        <v>0</v>
      </c>
      <c r="I347" s="392">
        <f>IF(H347,Wh_hp,'2018'!Maxi_hp)</f>
        <v>19.928845702990856</v>
      </c>
      <c r="J347" s="85">
        <f>IF(H347,An,'2018'!An_max)</f>
        <v>2018</v>
      </c>
      <c r="K347" s="199">
        <f t="shared" si="125"/>
        <v>43798</v>
      </c>
      <c r="L347" s="147">
        <f>IF(t&lt;Tvie,1-EXP((T0-t)*PertePVj)+'2018'!Pspv,1-EXP((T0-t)*PertePVj)+Pspv)</f>
        <v>1.1223333022916782E-2</v>
      </c>
      <c r="M347" s="872"/>
      <c r="N347" s="872"/>
      <c r="O347" s="48">
        <f>IF(t&lt;Tnet,'2018'!Resal+('2018'!Salim-'2018'!Resal)*(1-EXP(('2018'!Tnet-t)/('2018'!Tau_j))),Resal+(Salim-Resal)*(1-EXP((Tnet-t)/(Tau_j))))*Salcycl</f>
        <v>8.732510428566001E-2</v>
      </c>
      <c r="P347" s="171">
        <f>(INDEX(Models!$BJ347:$BT347,,T347)*(1-R347)+INDEX(Models!$BJ347:$BT347,,T347+1)*R347-ERP_i)*Q347*Ramure*Pc/MaxiM</f>
        <v>2.5208115227512082E-2</v>
      </c>
      <c r="Q347" s="307">
        <f t="shared" si="126"/>
        <v>0.9</v>
      </c>
      <c r="R347" s="179">
        <f t="shared" si="127"/>
        <v>0.59941114234159398</v>
      </c>
      <c r="S347" s="839">
        <f t="shared" si="128"/>
        <v>-2</v>
      </c>
      <c r="T347" s="178">
        <f t="shared" si="129"/>
        <v>4</v>
      </c>
      <c r="U347" s="253">
        <f t="shared" si="130"/>
        <v>-1.400588857658406</v>
      </c>
      <c r="V347" s="385">
        <f t="shared" si="131"/>
        <v>17.617756434255476</v>
      </c>
      <c r="W347" s="58"/>
      <c r="X347" s="157">
        <f t="shared" si="132"/>
        <v>43798</v>
      </c>
      <c r="Y347" s="387">
        <f t="shared" si="133"/>
        <v>13.379</v>
      </c>
      <c r="Z347" s="387">
        <f t="shared" si="134"/>
        <v>13.530861363165727</v>
      </c>
      <c r="AA347" s="388">
        <f t="shared" si="135"/>
        <v>14.825499667737962</v>
      </c>
      <c r="AB347" s="199">
        <f t="shared" si="136"/>
        <v>43798</v>
      </c>
      <c r="AC347" s="428">
        <f>IF(OR(t&lt;Tnet,NoTnet),'2018'!Resal_s+('2018'!Salim-'2018'!Resal_s)*(1-EXP(('2018'!Tnet_s-t)/'2018'!Tau_j)),Resal_s+(Salim-Resal_s)*(1-EXP((Tnet_s-t)/Tau_j)))*Salcycl</f>
        <v>8.732510428566001E-2</v>
      </c>
      <c r="AD347" s="233">
        <f>(INDEX(Models!$BJ347:$BT347,,AH347)*(1-AF347)+INDEX(Models!$BJ347:$BT347,,AH347+1)*AF347-ERP_i)*AE347*Ramure*Pc/MaxiM</f>
        <v>2.5208115227512082E-2</v>
      </c>
      <c r="AE347" s="307">
        <f t="shared" si="137"/>
        <v>0.9</v>
      </c>
      <c r="AF347" s="179">
        <f t="shared" si="138"/>
        <v>0.59941114234159398</v>
      </c>
      <c r="AG347" s="178">
        <f t="shared" si="139"/>
        <v>-2</v>
      </c>
      <c r="AH347" s="178">
        <f t="shared" si="140"/>
        <v>4</v>
      </c>
      <c r="AI347" s="227">
        <f t="shared" si="141"/>
        <v>-1.400588857658406</v>
      </c>
      <c r="AJ347" s="267" t="b">
        <f t="shared" si="142"/>
        <v>0</v>
      </c>
      <c r="AK347" s="267" t="b">
        <f t="shared" si="143"/>
        <v>0</v>
      </c>
      <c r="AL347" s="267"/>
      <c r="AM347" s="267"/>
      <c r="AN347" s="75"/>
    </row>
    <row r="348" spans="1:40" s="6" customFormat="1" ht="11.25" customHeight="1" x14ac:dyDescent="0.2">
      <c r="A348" s="56">
        <f t="shared" si="144"/>
        <v>43799</v>
      </c>
      <c r="B348" s="620">
        <v>11.948</v>
      </c>
      <c r="C348" s="392"/>
      <c r="D348" s="395">
        <f t="shared" si="123"/>
        <v>12.083899684257567</v>
      </c>
      <c r="E348" s="387">
        <f t="shared" si="121"/>
        <v>13.241391552653495</v>
      </c>
      <c r="F348" s="387">
        <f t="shared" si="124"/>
        <v>13.430128765971432</v>
      </c>
      <c r="G348" s="110">
        <f t="shared" si="122"/>
        <v>0.67667998222050307</v>
      </c>
      <c r="H348" s="416" t="b">
        <f>Wh_hp&gt;='2018'!Maxi_hp</f>
        <v>1</v>
      </c>
      <c r="I348" s="392">
        <f>IF(H348,Wh_hp,'2018'!Maxi_hp)</f>
        <v>13.430128765971432</v>
      </c>
      <c r="J348" s="85">
        <f>IF(H348,An,'2018'!An_max)</f>
        <v>2019</v>
      </c>
      <c r="K348" s="199">
        <f t="shared" si="125"/>
        <v>43799</v>
      </c>
      <c r="L348" s="147">
        <f>IF(t&lt;Tvie,1-EXP((T0-t)*PertePVj)+'2018'!Pspv,1-EXP((T0-t)*PertePVj)+Pspv)</f>
        <v>1.1246343300467143E-2</v>
      </c>
      <c r="M348" s="872"/>
      <c r="N348" s="872"/>
      <c r="O348" s="48">
        <f>IF(t&lt;Tnet,'2018'!Resal+('2018'!Salim-'2018'!Resal)*(1-EXP(('2018'!Tnet-t)/('2018'!Tau_j))),Resal+(Salim-Resal)*(1-EXP((Tnet-t)/(Tau_j))))*Salcycl</f>
        <v>8.7414669658641211E-2</v>
      </c>
      <c r="P348" s="171">
        <f>(INDEX(Models!$BJ348:$BT348,,T348)*(1-R348)+INDEX(Models!$BJ348:$BT348,,T348+1)*R348-ERP_i)*Q348*Ramure*Pc/MaxiM</f>
        <v>2.557268605793097E-2</v>
      </c>
      <c r="Q348" s="307">
        <f t="shared" si="126"/>
        <v>0.9</v>
      </c>
      <c r="R348" s="179">
        <f t="shared" si="127"/>
        <v>0.59943514277288679</v>
      </c>
      <c r="S348" s="839">
        <f t="shared" si="128"/>
        <v>-2</v>
      </c>
      <c r="T348" s="178">
        <f t="shared" si="129"/>
        <v>4</v>
      </c>
      <c r="U348" s="253">
        <f t="shared" si="130"/>
        <v>-1.4005648572271132</v>
      </c>
      <c r="V348" s="385">
        <f t="shared" si="131"/>
        <v>17.450500294479557</v>
      </c>
      <c r="W348" s="58"/>
      <c r="X348" s="157">
        <f t="shared" si="132"/>
        <v>43799</v>
      </c>
      <c r="Y348" s="387">
        <f t="shared" si="133"/>
        <v>11.948</v>
      </c>
      <c r="Z348" s="387">
        <f t="shared" si="134"/>
        <v>12.083899684257567</v>
      </c>
      <c r="AA348" s="388">
        <f t="shared" si="135"/>
        <v>13.241391552653495</v>
      </c>
      <c r="AB348" s="199">
        <f t="shared" si="136"/>
        <v>43799</v>
      </c>
      <c r="AC348" s="428">
        <f>IF(OR(t&lt;Tnet,NoTnet),'2018'!Resal_s+('2018'!Salim-'2018'!Resal_s)*(1-EXP(('2018'!Tnet_s-t)/'2018'!Tau_j)),Resal_s+(Salim-Resal_s)*(1-EXP((Tnet_s-t)/Tau_j)))*Salcycl</f>
        <v>8.7414669658641211E-2</v>
      </c>
      <c r="AD348" s="233">
        <f>(INDEX(Models!$BJ348:$BT348,,AH348)*(1-AF348)+INDEX(Models!$BJ348:$BT348,,AH348+1)*AF348-ERP_i)*AE348*Ramure*Pc/MaxiM</f>
        <v>2.557268605793097E-2</v>
      </c>
      <c r="AE348" s="307">
        <f t="shared" si="137"/>
        <v>0.9</v>
      </c>
      <c r="AF348" s="179">
        <f t="shared" si="138"/>
        <v>0.59943514277288679</v>
      </c>
      <c r="AG348" s="178">
        <f t="shared" si="139"/>
        <v>-2</v>
      </c>
      <c r="AH348" s="178">
        <f t="shared" si="140"/>
        <v>4</v>
      </c>
      <c r="AI348" s="227">
        <f t="shared" si="141"/>
        <v>-1.4005648572271132</v>
      </c>
      <c r="AJ348" s="267" t="b">
        <f t="shared" si="142"/>
        <v>0</v>
      </c>
      <c r="AK348" s="267" t="b">
        <f t="shared" si="143"/>
        <v>0</v>
      </c>
      <c r="AL348" s="267"/>
      <c r="AM348" s="267"/>
      <c r="AN348" s="75"/>
    </row>
    <row r="349" spans="1:40" s="6" customFormat="1" ht="11.25" customHeight="1" x14ac:dyDescent="0.2">
      <c r="A349" s="56">
        <f t="shared" si="144"/>
        <v>43800</v>
      </c>
      <c r="B349" s="620">
        <v>7.734</v>
      </c>
      <c r="C349" s="392"/>
      <c r="D349" s="395">
        <f t="shared" si="123"/>
        <v>7.8221505763972869</v>
      </c>
      <c r="E349" s="387">
        <f t="shared" si="121"/>
        <v>8.5722774475357575</v>
      </c>
      <c r="F349" s="387">
        <f t="shared" si="124"/>
        <v>8.6193682758047494</v>
      </c>
      <c r="G349" s="110">
        <f t="shared" si="122"/>
        <v>0.43818042930113588</v>
      </c>
      <c r="H349" s="416" t="b">
        <f>Wh_hp&gt;='2018'!Maxi_hp</f>
        <v>0</v>
      </c>
      <c r="I349" s="392">
        <f>IF(H349,Wh_hp,'2018'!Maxi_hp)</f>
        <v>15.918830982377084</v>
      </c>
      <c r="J349" s="85">
        <f>IF(H349,An,'2018'!An_max)</f>
        <v>2018</v>
      </c>
      <c r="K349" s="199">
        <f t="shared" si="125"/>
        <v>43800</v>
      </c>
      <c r="L349" s="147">
        <f>IF(t&lt;Tvie,1-EXP((T0-t)*PertePVj)+'2018'!Pspv,1-EXP((T0-t)*PertePVj)+Pspv)</f>
        <v>1.1269353042534624E-2</v>
      </c>
      <c r="M349" s="872"/>
      <c r="N349" s="872"/>
      <c r="O349" s="48">
        <f>IF(t&lt;Tnet,'2018'!Resal+('2018'!Salim-'2018'!Resal)*(1-EXP(('2018'!Tnet-t)/('2018'!Tau_j))),Resal+(Salim-Resal)*(1-EXP((Tnet-t)/(Tau_j))))*Salcycl</f>
        <v>8.7506135414936459E-2</v>
      </c>
      <c r="P349" s="171">
        <f>(INDEX(Models!$BJ349:$BT349,,T349)*(1-R349)+INDEX(Models!$BJ349:$BT349,,T349+1)*R349-ERP_i)*Q349*Ramure*Pc/MaxiM</f>
        <v>2.5946386212970532E-2</v>
      </c>
      <c r="Q349" s="307">
        <f t="shared" si="126"/>
        <v>0.9</v>
      </c>
      <c r="R349" s="179">
        <f t="shared" si="127"/>
        <v>0.59945817842353266</v>
      </c>
      <c r="S349" s="839">
        <f t="shared" si="128"/>
        <v>-2</v>
      </c>
      <c r="T349" s="178">
        <f t="shared" si="129"/>
        <v>4</v>
      </c>
      <c r="U349" s="253">
        <f t="shared" si="130"/>
        <v>-1.4005418215764673</v>
      </c>
      <c r="V349" s="385">
        <f t="shared" si="131"/>
        <v>17.286746817195858</v>
      </c>
      <c r="W349" s="58"/>
      <c r="X349" s="157">
        <f t="shared" si="132"/>
        <v>43800</v>
      </c>
      <c r="Y349" s="387">
        <f t="shared" si="133"/>
        <v>7.7340000000000009</v>
      </c>
      <c r="Z349" s="387">
        <f t="shared" si="134"/>
        <v>7.8221505763972878</v>
      </c>
      <c r="AA349" s="388">
        <f t="shared" si="135"/>
        <v>8.5722774475357575</v>
      </c>
      <c r="AB349" s="199">
        <f t="shared" si="136"/>
        <v>43800</v>
      </c>
      <c r="AC349" s="428">
        <f>IF(OR(t&lt;Tnet,NoTnet),'2018'!Resal_s+('2018'!Salim-'2018'!Resal_s)*(1-EXP(('2018'!Tnet_s-t)/'2018'!Tau_j)),Resal_s+(Salim-Resal_s)*(1-EXP((Tnet_s-t)/Tau_j)))*Salcycl</f>
        <v>8.7506135414936459E-2</v>
      </c>
      <c r="AD349" s="233">
        <f>(INDEX(Models!$BJ349:$BT349,,AH349)*(1-AF349)+INDEX(Models!$BJ349:$BT349,,AH349+1)*AF349-ERP_i)*AE349*Ramure*Pc/MaxiM</f>
        <v>2.5946386212970532E-2</v>
      </c>
      <c r="AE349" s="307">
        <f t="shared" si="137"/>
        <v>0.9</v>
      </c>
      <c r="AF349" s="179">
        <f t="shared" si="138"/>
        <v>0.59945817842353266</v>
      </c>
      <c r="AG349" s="178">
        <f t="shared" si="139"/>
        <v>-2</v>
      </c>
      <c r="AH349" s="178">
        <f t="shared" si="140"/>
        <v>4</v>
      </c>
      <c r="AI349" s="227">
        <f t="shared" si="141"/>
        <v>-1.4005418215764673</v>
      </c>
      <c r="AJ349" s="267" t="b">
        <f t="shared" si="142"/>
        <v>0</v>
      </c>
      <c r="AK349" s="267" t="b">
        <f t="shared" si="143"/>
        <v>0</v>
      </c>
      <c r="AL349" s="267"/>
      <c r="AM349" s="267"/>
      <c r="AN349" s="75"/>
    </row>
    <row r="350" spans="1:40" s="6" customFormat="1" ht="11.25" customHeight="1" x14ac:dyDescent="0.2">
      <c r="A350" s="56">
        <f t="shared" si="144"/>
        <v>43801</v>
      </c>
      <c r="B350" s="620">
        <v>3.5619999999999998</v>
      </c>
      <c r="C350" s="392"/>
      <c r="D350" s="395">
        <f t="shared" si="123"/>
        <v>3.6026827992377086</v>
      </c>
      <c r="E350" s="387">
        <f t="shared" si="121"/>
        <v>3.9485760501596809</v>
      </c>
      <c r="F350" s="387">
        <f t="shared" si="124"/>
        <v>3.9485760501596809</v>
      </c>
      <c r="G350" s="110">
        <f t="shared" si="122"/>
        <v>0.20249536645226046</v>
      </c>
      <c r="H350" s="416" t="b">
        <f>Wh_hp&gt;='2018'!Maxi_hp</f>
        <v>0</v>
      </c>
      <c r="I350" s="392">
        <f>IF(H350,Wh_hp,'2018'!Maxi_hp)</f>
        <v>7.5259107174273945</v>
      </c>
      <c r="J350" s="85">
        <f>IF(H350,An,'2018'!An_max)</f>
        <v>2018</v>
      </c>
      <c r="K350" s="199">
        <f t="shared" si="125"/>
        <v>43801</v>
      </c>
      <c r="L350" s="147">
        <f>IF(t&lt;Tvie,1-EXP((T0-t)*PertePVj)+'2018'!Pspv,1-EXP((T0-t)*PertePVj)+Pspv)</f>
        <v>1.1292362249131882E-2</v>
      </c>
      <c r="M350" s="872"/>
      <c r="N350" s="872"/>
      <c r="O350" s="48">
        <f>IF(t&lt;Tnet,'2018'!Resal+('2018'!Salim-'2018'!Resal)*(1-EXP(('2018'!Tnet-t)/('2018'!Tau_j))),Resal+(Salim-Resal)*(1-EXP((Tnet-t)/(Tau_j))))*Salcycl</f>
        <v>8.7599490684239056E-2</v>
      </c>
      <c r="P350" s="171">
        <f>(INDEX(Models!$BJ350:$BT350,,T350)*(1-R350)+INDEX(Models!$BJ350:$BT350,,T350+1)*R350-ERP_i)*Q350*Ramure*Pc/MaxiM</f>
        <v>2.6327922223468154E-2</v>
      </c>
      <c r="Q350" s="307">
        <f t="shared" si="126"/>
        <v>0.9</v>
      </c>
      <c r="R350" s="179">
        <f t="shared" si="127"/>
        <v>0.59948028801652331</v>
      </c>
      <c r="S350" s="839">
        <f t="shared" si="128"/>
        <v>-2</v>
      </c>
      <c r="T350" s="178">
        <f t="shared" si="129"/>
        <v>4</v>
      </c>
      <c r="U350" s="253">
        <f t="shared" si="130"/>
        <v>-1.4005197119834767</v>
      </c>
      <c r="V350" s="385">
        <f t="shared" si="131"/>
        <v>17.127403958932859</v>
      </c>
      <c r="W350" s="58"/>
      <c r="X350" s="157">
        <f t="shared" si="132"/>
        <v>43801</v>
      </c>
      <c r="Y350" s="387">
        <f t="shared" si="133"/>
        <v>3.5619999999999998</v>
      </c>
      <c r="Z350" s="387">
        <f t="shared" si="134"/>
        <v>3.6026827992377086</v>
      </c>
      <c r="AA350" s="388">
        <f t="shared" si="135"/>
        <v>3.9485760501596809</v>
      </c>
      <c r="AB350" s="199">
        <f t="shared" si="136"/>
        <v>43801</v>
      </c>
      <c r="AC350" s="428">
        <f>IF(OR(t&lt;Tnet,NoTnet),'2018'!Resal_s+('2018'!Salim-'2018'!Resal_s)*(1-EXP(('2018'!Tnet_s-t)/'2018'!Tau_j)),Resal_s+(Salim-Resal_s)*(1-EXP((Tnet_s-t)/Tau_j)))*Salcycl</f>
        <v>8.7599490684239056E-2</v>
      </c>
      <c r="AD350" s="233">
        <f>(INDEX(Models!$BJ350:$BT350,,AH350)*(1-AF350)+INDEX(Models!$BJ350:$BT350,,AH350+1)*AF350-ERP_i)*AE350*Ramure*Pc/MaxiM</f>
        <v>2.6327922223468154E-2</v>
      </c>
      <c r="AE350" s="307">
        <f t="shared" si="137"/>
        <v>0.9</v>
      </c>
      <c r="AF350" s="179">
        <f t="shared" si="138"/>
        <v>0.59948028801652331</v>
      </c>
      <c r="AG350" s="178">
        <f t="shared" si="139"/>
        <v>-2</v>
      </c>
      <c r="AH350" s="178">
        <f t="shared" si="140"/>
        <v>4</v>
      </c>
      <c r="AI350" s="227">
        <f t="shared" si="141"/>
        <v>-1.4005197119834767</v>
      </c>
      <c r="AJ350" s="267" t="b">
        <f t="shared" si="142"/>
        <v>0</v>
      </c>
      <c r="AK350" s="267" t="b">
        <f t="shared" si="143"/>
        <v>0</v>
      </c>
      <c r="AL350" s="267"/>
      <c r="AM350" s="267"/>
      <c r="AN350" s="75"/>
    </row>
    <row r="351" spans="1:40" s="6" customFormat="1" ht="11.25" customHeight="1" x14ac:dyDescent="0.2">
      <c r="A351" s="56">
        <f t="shared" si="144"/>
        <v>43802</v>
      </c>
      <c r="B351" s="620">
        <v>3.9740000000000002</v>
      </c>
      <c r="C351" s="392"/>
      <c r="D351" s="395">
        <f t="shared" si="123"/>
        <v>4.0194819289332067</v>
      </c>
      <c r="E351" s="387">
        <f t="shared" si="121"/>
        <v>4.4058518643941449</v>
      </c>
      <c r="F351" s="387">
        <f t="shared" si="124"/>
        <v>4.4058518643941449</v>
      </c>
      <c r="G351" s="110">
        <f t="shared" si="122"/>
        <v>0.22787631705935435</v>
      </c>
      <c r="H351" s="416" t="b">
        <f>Wh_hp&gt;='2018'!Maxi_hp</f>
        <v>0</v>
      </c>
      <c r="I351" s="392">
        <f>IF(H351,Wh_hp,'2018'!Maxi_hp)</f>
        <v>8.9551570217184668</v>
      </c>
      <c r="J351" s="85">
        <f>IF(H351,An,'2018'!An_max)</f>
        <v>2018</v>
      </c>
      <c r="K351" s="199">
        <f t="shared" si="125"/>
        <v>43802</v>
      </c>
      <c r="L351" s="147">
        <f>IF(t&lt;Tvie,1-EXP((T0-t)*PertePVj)+'2018'!Pspv,1-EXP((T0-t)*PertePVj)+Pspv)</f>
        <v>1.1315370920271239E-2</v>
      </c>
      <c r="M351" s="872"/>
      <c r="N351" s="872"/>
      <c r="O351" s="48">
        <f>IF(t&lt;Tnet,'2018'!Resal+('2018'!Salim-'2018'!Resal)*(1-EXP(('2018'!Tnet-t)/('2018'!Tau_j))),Resal+(Salim-Resal)*(1-EXP((Tnet-t)/(Tau_j))))*Salcycl</f>
        <v>8.7694717696567073E-2</v>
      </c>
      <c r="P351" s="171">
        <f>(INDEX(Models!$BJ351:$BT351,,T351)*(1-R351)+INDEX(Models!$BJ351:$BT351,,T351+1)*R351-ERP_i)*Q351*Ramure*Pc/MaxiM</f>
        <v>2.6715863845996442E-2</v>
      </c>
      <c r="Q351" s="307">
        <f t="shared" si="126"/>
        <v>0.9</v>
      </c>
      <c r="R351" s="179">
        <f t="shared" si="127"/>
        <v>0.5995015087253508</v>
      </c>
      <c r="S351" s="839">
        <f t="shared" si="128"/>
        <v>-2</v>
      </c>
      <c r="T351" s="178">
        <f t="shared" si="129"/>
        <v>4</v>
      </c>
      <c r="U351" s="253">
        <f t="shared" si="130"/>
        <v>-1.4004984912746492</v>
      </c>
      <c r="V351" s="385">
        <f t="shared" si="131"/>
        <v>16.973379274286614</v>
      </c>
      <c r="W351" s="58"/>
      <c r="X351" s="157">
        <f t="shared" si="132"/>
        <v>43802</v>
      </c>
      <c r="Y351" s="387">
        <f t="shared" si="133"/>
        <v>3.9740000000000002</v>
      </c>
      <c r="Z351" s="387">
        <f t="shared" si="134"/>
        <v>4.0194819289332067</v>
      </c>
      <c r="AA351" s="388">
        <f t="shared" si="135"/>
        <v>4.4058518643941449</v>
      </c>
      <c r="AB351" s="199">
        <f t="shared" si="136"/>
        <v>43802</v>
      </c>
      <c r="AC351" s="428">
        <f>IF(OR(t&lt;Tnet,NoTnet),'2018'!Resal_s+('2018'!Salim-'2018'!Resal_s)*(1-EXP(('2018'!Tnet_s-t)/'2018'!Tau_j)),Resal_s+(Salim-Resal_s)*(1-EXP((Tnet_s-t)/Tau_j)))*Salcycl</f>
        <v>8.7694717696567073E-2</v>
      </c>
      <c r="AD351" s="233">
        <f>(INDEX(Models!$BJ351:$BT351,,AH351)*(1-AF351)+INDEX(Models!$BJ351:$BT351,,AH351+1)*AF351-ERP_i)*AE351*Ramure*Pc/MaxiM</f>
        <v>2.6715863845996442E-2</v>
      </c>
      <c r="AE351" s="307">
        <f t="shared" si="137"/>
        <v>0.9</v>
      </c>
      <c r="AF351" s="179">
        <f t="shared" si="138"/>
        <v>0.5995015087253508</v>
      </c>
      <c r="AG351" s="178">
        <f t="shared" si="139"/>
        <v>-2</v>
      </c>
      <c r="AH351" s="178">
        <f t="shared" si="140"/>
        <v>4</v>
      </c>
      <c r="AI351" s="227">
        <f t="shared" si="141"/>
        <v>-1.4004984912746492</v>
      </c>
      <c r="AJ351" s="267" t="b">
        <f t="shared" si="142"/>
        <v>0</v>
      </c>
      <c r="AK351" s="267" t="b">
        <f t="shared" si="143"/>
        <v>0</v>
      </c>
      <c r="AL351" s="267"/>
      <c r="AM351" s="267"/>
      <c r="AN351" s="75"/>
    </row>
    <row r="352" spans="1:40" s="6" customFormat="1" ht="11.25" customHeight="1" x14ac:dyDescent="0.2">
      <c r="A352" s="56">
        <f t="shared" si="144"/>
        <v>43803</v>
      </c>
      <c r="B352" s="620">
        <v>6.3410000000000002</v>
      </c>
      <c r="C352" s="392"/>
      <c r="D352" s="395">
        <f t="shared" si="123"/>
        <v>6.4137212021492491</v>
      </c>
      <c r="E352" s="387">
        <f t="shared" si="121"/>
        <v>7.0309838766363884</v>
      </c>
      <c r="F352" s="387">
        <f t="shared" si="124"/>
        <v>7.0519708962351118</v>
      </c>
      <c r="G352" s="110">
        <f t="shared" si="122"/>
        <v>0.36774473906424521</v>
      </c>
      <c r="H352" s="416" t="b">
        <f>Wh_hp&gt;='2018'!Maxi_hp</f>
        <v>1</v>
      </c>
      <c r="I352" s="392">
        <f>IF(H352,Wh_hp,'2018'!Maxi_hp)</f>
        <v>7.0519708962351118</v>
      </c>
      <c r="J352" s="85">
        <f>IF(H352,An,'2018'!An_max)</f>
        <v>2019</v>
      </c>
      <c r="K352" s="199">
        <f t="shared" si="125"/>
        <v>43803</v>
      </c>
      <c r="L352" s="147">
        <f>IF(t&lt;Tvie,1-EXP((T0-t)*PertePVj)+'2018'!Pspv,1-EXP((T0-t)*PertePVj)+Pspv)</f>
        <v>1.1338379055965131E-2</v>
      </c>
      <c r="M352" s="872"/>
      <c r="N352" s="872"/>
      <c r="O352" s="48">
        <f>IF(t&lt;Tnet,'2018'!Resal+('2018'!Salim-'2018'!Resal)*(1-EXP(('2018'!Tnet-t)/('2018'!Tau_j))),Resal+(Salim-Resal)*(1-EXP((Tnet-t)/(Tau_j))))*Salcycl</f>
        <v>8.7791792061744325E-2</v>
      </c>
      <c r="P352" s="171">
        <f>(INDEX(Models!$BJ352:$BT352,,T352)*(1-R352)+INDEX(Models!$BJ352:$BT352,,T352+1)*R352-ERP_i)*Q352*Ramure*Pc/MaxiM</f>
        <v>2.7102741655841957E-2</v>
      </c>
      <c r="Q352" s="307">
        <f t="shared" si="126"/>
        <v>0.9</v>
      </c>
      <c r="R352" s="179">
        <f t="shared" si="127"/>
        <v>0.59952187623563979</v>
      </c>
      <c r="S352" s="839">
        <f t="shared" si="128"/>
        <v>-2</v>
      </c>
      <c r="T352" s="178">
        <f t="shared" si="129"/>
        <v>4</v>
      </c>
      <c r="U352" s="253">
        <f t="shared" si="130"/>
        <v>-1.4004781237643602</v>
      </c>
      <c r="V352" s="385">
        <f t="shared" si="131"/>
        <v>16.825681880132468</v>
      </c>
      <c r="W352" s="58"/>
      <c r="X352" s="157">
        <f t="shared" si="132"/>
        <v>43803</v>
      </c>
      <c r="Y352" s="387">
        <f t="shared" si="133"/>
        <v>6.3410000000000002</v>
      </c>
      <c r="Z352" s="387">
        <f t="shared" si="134"/>
        <v>6.4137212021492491</v>
      </c>
      <c r="AA352" s="388">
        <f t="shared" si="135"/>
        <v>7.0309838766363884</v>
      </c>
      <c r="AB352" s="199">
        <f t="shared" si="136"/>
        <v>43803</v>
      </c>
      <c r="AC352" s="428">
        <f>IF(OR(t&lt;Tnet,NoTnet),'2018'!Resal_s+('2018'!Salim-'2018'!Resal_s)*(1-EXP(('2018'!Tnet_s-t)/'2018'!Tau_j)),Resal_s+(Salim-Resal_s)*(1-EXP((Tnet_s-t)/Tau_j)))*Salcycl</f>
        <v>8.7791792061744325E-2</v>
      </c>
      <c r="AD352" s="233">
        <f>(INDEX(Models!$BJ352:$BT352,,AH352)*(1-AF352)+INDEX(Models!$BJ352:$BT352,,AH352+1)*AF352-ERP_i)*AE352*Ramure*Pc/MaxiM</f>
        <v>2.7102741655841957E-2</v>
      </c>
      <c r="AE352" s="307">
        <f t="shared" si="137"/>
        <v>0.9</v>
      </c>
      <c r="AF352" s="179">
        <f t="shared" si="138"/>
        <v>0.59952187623563979</v>
      </c>
      <c r="AG352" s="178">
        <f t="shared" si="139"/>
        <v>-2</v>
      </c>
      <c r="AH352" s="178">
        <f t="shared" si="140"/>
        <v>4</v>
      </c>
      <c r="AI352" s="227">
        <f t="shared" si="141"/>
        <v>-1.4004781237643602</v>
      </c>
      <c r="AJ352" s="267" t="b">
        <f t="shared" si="142"/>
        <v>0</v>
      </c>
      <c r="AK352" s="267" t="b">
        <f t="shared" si="143"/>
        <v>0</v>
      </c>
      <c r="AL352" s="267"/>
      <c r="AM352" s="267"/>
      <c r="AN352" s="75"/>
    </row>
    <row r="353" spans="1:40" s="6" customFormat="1" ht="11.25" customHeight="1" x14ac:dyDescent="0.2">
      <c r="A353" s="56">
        <f t="shared" si="144"/>
        <v>43804</v>
      </c>
      <c r="B353" s="620">
        <v>7.97</v>
      </c>
      <c r="C353" s="392"/>
      <c r="D353" s="395">
        <f t="shared" si="123"/>
        <v>8.0615908507193179</v>
      </c>
      <c r="E353" s="387">
        <f t="shared" si="121"/>
        <v>8.8384042364509341</v>
      </c>
      <c r="F353" s="387">
        <f t="shared" si="124"/>
        <v>8.9004813709017707</v>
      </c>
      <c r="G353" s="110">
        <f t="shared" si="122"/>
        <v>0.46780150089746553</v>
      </c>
      <c r="H353" s="416" t="b">
        <f>Wh_hp&gt;='2018'!Maxi_hp</f>
        <v>0</v>
      </c>
      <c r="I353" s="392">
        <f>IF(H353,Wh_hp,'2018'!Maxi_hp)</f>
        <v>15.930713554791836</v>
      </c>
      <c r="J353" s="85">
        <f>IF(H353,An,'2018'!An_max)</f>
        <v>2018</v>
      </c>
      <c r="K353" s="199">
        <f t="shared" si="125"/>
        <v>43804</v>
      </c>
      <c r="L353" s="147">
        <f>IF(t&lt;Tvie,1-EXP((T0-t)*PertePVj)+'2018'!Pspv,1-EXP((T0-t)*PertePVj)+Pspv)</f>
        <v>1.1361386656226213E-2</v>
      </c>
      <c r="M353" s="872"/>
      <c r="N353" s="872"/>
      <c r="O353" s="48">
        <f>IF(t&lt;Tnet,'2018'!Resal+('2018'!Salim-'2018'!Resal)*(1-EXP(('2018'!Tnet-t)/('2018'!Tau_j))),Resal+(Salim-Resal)*(1-EXP((Tnet-t)/(Tau_j))))*Salcycl</f>
        <v>8.7890683085971366E-2</v>
      </c>
      <c r="P353" s="171">
        <f>(INDEX(Models!$BJ353:$BT353,,T353)*(1-R353)+INDEX(Models!$BJ353:$BT353,,T353+1)*R353-ERP_i)*Q353*Ramure*Pc/MaxiM</f>
        <v>2.7479856426536182E-2</v>
      </c>
      <c r="Q353" s="307">
        <f t="shared" si="126"/>
        <v>0.9</v>
      </c>
      <c r="R353" s="179">
        <f t="shared" si="127"/>
        <v>0.59954142480435646</v>
      </c>
      <c r="S353" s="839">
        <f t="shared" si="128"/>
        <v>-2</v>
      </c>
      <c r="T353" s="178">
        <f t="shared" si="129"/>
        <v>4</v>
      </c>
      <c r="U353" s="253">
        <f t="shared" si="130"/>
        <v>-1.4004585751956435</v>
      </c>
      <c r="V353" s="385">
        <f t="shared" si="131"/>
        <v>16.685335776969179</v>
      </c>
      <c r="W353" s="58"/>
      <c r="X353" s="157">
        <f t="shared" si="132"/>
        <v>43804</v>
      </c>
      <c r="Y353" s="387">
        <f t="shared" si="133"/>
        <v>7.97</v>
      </c>
      <c r="Z353" s="387">
        <f t="shared" si="134"/>
        <v>8.0615908507193179</v>
      </c>
      <c r="AA353" s="388">
        <f t="shared" si="135"/>
        <v>8.8384042364509341</v>
      </c>
      <c r="AB353" s="199">
        <f t="shared" si="136"/>
        <v>43804</v>
      </c>
      <c r="AC353" s="428">
        <f>IF(OR(t&lt;Tnet,NoTnet),'2018'!Resal_s+('2018'!Salim-'2018'!Resal_s)*(1-EXP(('2018'!Tnet_s-t)/'2018'!Tau_j)),Resal_s+(Salim-Resal_s)*(1-EXP((Tnet_s-t)/Tau_j)))*Salcycl</f>
        <v>8.7890683085971366E-2</v>
      </c>
      <c r="AD353" s="233">
        <f>(INDEX(Models!$BJ353:$BT353,,AH353)*(1-AF353)+INDEX(Models!$BJ353:$BT353,,AH353+1)*AF353-ERP_i)*AE353*Ramure*Pc/MaxiM</f>
        <v>2.7479856426536182E-2</v>
      </c>
      <c r="AE353" s="307">
        <f t="shared" si="137"/>
        <v>0.9</v>
      </c>
      <c r="AF353" s="179">
        <f t="shared" si="138"/>
        <v>0.59954142480435646</v>
      </c>
      <c r="AG353" s="178">
        <f t="shared" si="139"/>
        <v>-2</v>
      </c>
      <c r="AH353" s="178">
        <f t="shared" si="140"/>
        <v>4</v>
      </c>
      <c r="AI353" s="227">
        <f t="shared" si="141"/>
        <v>-1.4004585751956435</v>
      </c>
      <c r="AJ353" s="267" t="b">
        <f t="shared" si="142"/>
        <v>0</v>
      </c>
      <c r="AK353" s="267" t="b">
        <f t="shared" si="143"/>
        <v>0</v>
      </c>
      <c r="AL353" s="267"/>
      <c r="AM353" s="267"/>
      <c r="AN353" s="75"/>
    </row>
    <row r="354" spans="1:40" s="6" customFormat="1" ht="11.25" x14ac:dyDescent="0.2">
      <c r="A354" s="56">
        <f t="shared" si="144"/>
        <v>43805</v>
      </c>
      <c r="B354" s="620">
        <v>11.013999999999999</v>
      </c>
      <c r="C354" s="392"/>
      <c r="D354" s="395">
        <f t="shared" si="123"/>
        <v>11.140831613467824</v>
      </c>
      <c r="E354" s="387">
        <f t="shared" si="121"/>
        <v>12.21570833108812</v>
      </c>
      <c r="F354" s="387">
        <f t="shared" si="124"/>
        <v>12.395867968296638</v>
      </c>
      <c r="G354" s="110">
        <f t="shared" si="122"/>
        <v>0.65638046661832838</v>
      </c>
      <c r="H354" s="416" t="b">
        <f>Wh_hp&gt;='2018'!Maxi_hp</f>
        <v>0</v>
      </c>
      <c r="I354" s="392">
        <f>IF(H354,Wh_hp,'2018'!Maxi_hp)</f>
        <v>13.266284725107106</v>
      </c>
      <c r="J354" s="85">
        <f>IF(H354,An,'2018'!An_max)</f>
        <v>2018</v>
      </c>
      <c r="K354" s="199">
        <f t="shared" si="125"/>
        <v>43805</v>
      </c>
      <c r="L354" s="147">
        <f>IF(t&lt;Tvie,1-EXP((T0-t)*PertePVj)+'2018'!Pspv,1-EXP((T0-t)*PertePVj)+Pspv)</f>
        <v>1.138439372106681E-2</v>
      </c>
      <c r="M354" s="872"/>
      <c r="N354" s="872"/>
      <c r="O354" s="48">
        <f>IF(t&lt;Tnet,'2018'!Resal+('2018'!Salim-'2018'!Resal)*(1-EXP(('2018'!Tnet-t)/('2018'!Tau_j))),Resal+(Salim-Resal)*(1-EXP((Tnet-t)/(Tau_j))))*Salcycl</f>
        <v>8.7991354122692114E-2</v>
      </c>
      <c r="P354" s="171">
        <f>(INDEX(Models!$BJ354:$BT354,,T354)*(1-R354)+INDEX(Models!$BJ354:$BT354,,T354+1)*R354-ERP_i)*Q354*Ramure*Pc/MaxiM</f>
        <v>2.7845059825782139E-2</v>
      </c>
      <c r="Q354" s="307">
        <f t="shared" si="126"/>
        <v>0.9</v>
      </c>
      <c r="R354" s="179">
        <f t="shared" si="127"/>
        <v>0.59956018731668848</v>
      </c>
      <c r="S354" s="839">
        <f t="shared" si="128"/>
        <v>-2</v>
      </c>
      <c r="T354" s="178">
        <f t="shared" si="129"/>
        <v>4</v>
      </c>
      <c r="U354" s="253">
        <f t="shared" si="130"/>
        <v>-1.4004398126833115</v>
      </c>
      <c r="V354" s="385">
        <f t="shared" si="131"/>
        <v>16.553247112103566</v>
      </c>
      <c r="W354" s="58"/>
      <c r="X354" s="157">
        <f t="shared" si="132"/>
        <v>43805</v>
      </c>
      <c r="Y354" s="387">
        <f t="shared" si="133"/>
        <v>11.013999999999999</v>
      </c>
      <c r="Z354" s="387">
        <f t="shared" si="134"/>
        <v>11.140831613467824</v>
      </c>
      <c r="AA354" s="388">
        <f t="shared" si="135"/>
        <v>12.21570833108812</v>
      </c>
      <c r="AB354" s="199">
        <f t="shared" si="136"/>
        <v>43805</v>
      </c>
      <c r="AC354" s="428">
        <f>IF(OR(t&lt;Tnet,NoTnet),'2018'!Resal_s+('2018'!Salim-'2018'!Resal_s)*(1-EXP(('2018'!Tnet_s-t)/'2018'!Tau_j)),Resal_s+(Salim-Resal_s)*(1-EXP((Tnet_s-t)/Tau_j)))*Salcycl</f>
        <v>8.7991354122692114E-2</v>
      </c>
      <c r="AD354" s="233">
        <f>(INDEX(Models!$BJ354:$BT354,,AH354)*(1-AF354)+INDEX(Models!$BJ354:$BT354,,AH354+1)*AF354-ERP_i)*AE354*Ramure*Pc/MaxiM</f>
        <v>2.7845059825782139E-2</v>
      </c>
      <c r="AE354" s="307">
        <f t="shared" si="137"/>
        <v>0.9</v>
      </c>
      <c r="AF354" s="179">
        <f t="shared" si="138"/>
        <v>0.59956018731668848</v>
      </c>
      <c r="AG354" s="178">
        <f t="shared" si="139"/>
        <v>-2</v>
      </c>
      <c r="AH354" s="178">
        <f t="shared" si="140"/>
        <v>4</v>
      </c>
      <c r="AI354" s="227">
        <f t="shared" si="141"/>
        <v>-1.4004398126833115</v>
      </c>
      <c r="AJ354" s="267" t="b">
        <f t="shared" si="142"/>
        <v>0</v>
      </c>
      <c r="AK354" s="267" t="b">
        <f t="shared" si="143"/>
        <v>0</v>
      </c>
      <c r="AL354" s="267"/>
      <c r="AM354" s="267"/>
      <c r="AN354" s="75"/>
    </row>
    <row r="355" spans="1:40" s="6" customFormat="1" ht="11.25" x14ac:dyDescent="0.2">
      <c r="A355" s="56">
        <f t="shared" si="144"/>
        <v>43806</v>
      </c>
      <c r="B355" s="620">
        <v>11.79</v>
      </c>
      <c r="C355" s="392"/>
      <c r="D355" s="395">
        <f t="shared" si="123"/>
        <v>11.926045170667336</v>
      </c>
      <c r="E355" s="387">
        <f t="shared" si="121"/>
        <v>13.078148483016642</v>
      </c>
      <c r="F355" s="387">
        <f t="shared" si="124"/>
        <v>13.301886293902642</v>
      </c>
      <c r="G355" s="110">
        <f t="shared" si="122"/>
        <v>0.70927287489708424</v>
      </c>
      <c r="H355" s="416" t="b">
        <f>Wh_hp&gt;='2018'!Maxi_hp</f>
        <v>0</v>
      </c>
      <c r="I355" s="392">
        <f>IF(H355,Wh_hp,'2018'!Maxi_hp)</f>
        <v>16.577783659150011</v>
      </c>
      <c r="J355" s="85">
        <f>IF(H355,An,'2018'!An_max)</f>
        <v>2018</v>
      </c>
      <c r="K355" s="199">
        <f t="shared" si="125"/>
        <v>43806</v>
      </c>
      <c r="L355" s="147">
        <f>IF(t&lt;Tvie,1-EXP((T0-t)*PertePVj)+'2018'!Pspv,1-EXP((T0-t)*PertePVj)+Pspv)</f>
        <v>1.1407400250499355E-2</v>
      </c>
      <c r="M355" s="872"/>
      <c r="N355" s="872"/>
      <c r="O355" s="48">
        <f>IF(t&lt;Tnet,'2018'!Resal+('2018'!Salim-'2018'!Resal)*(1-EXP(('2018'!Tnet-t)/('2018'!Tau_j))),Resal+(Salim-Resal)*(1-EXP((Tnet-t)/(Tau_j))))*Salcycl</f>
        <v>8.8093762954705196E-2</v>
      </c>
      <c r="P355" s="171">
        <f>(INDEX(Models!$BJ355:$BT355,,T355)*(1-R355)+INDEX(Models!$BJ355:$BT355,,T355+1)*R355-ERP_i)*Q355*Ramure*Pc/MaxiM</f>
        <v>2.8196093441987435E-2</v>
      </c>
      <c r="Q355" s="307">
        <f t="shared" si="126"/>
        <v>0.9</v>
      </c>
      <c r="R355" s="179">
        <f t="shared" si="127"/>
        <v>0.59957819534068757</v>
      </c>
      <c r="S355" s="839">
        <f t="shared" si="128"/>
        <v>-2</v>
      </c>
      <c r="T355" s="178">
        <f t="shared" si="129"/>
        <v>4</v>
      </c>
      <c r="U355" s="253">
        <f t="shared" si="130"/>
        <v>-1.4004218046593124</v>
      </c>
      <c r="V355" s="385">
        <f t="shared" si="131"/>
        <v>16.430321506006223</v>
      </c>
      <c r="W355" s="58"/>
      <c r="X355" s="157">
        <f t="shared" si="132"/>
        <v>43806</v>
      </c>
      <c r="Y355" s="387">
        <f t="shared" si="133"/>
        <v>11.79</v>
      </c>
      <c r="Z355" s="387">
        <f t="shared" si="134"/>
        <v>11.926045170667336</v>
      </c>
      <c r="AA355" s="388">
        <f t="shared" si="135"/>
        <v>13.078148483016642</v>
      </c>
      <c r="AB355" s="199">
        <f t="shared" si="136"/>
        <v>43806</v>
      </c>
      <c r="AC355" s="428">
        <f>IF(OR(t&lt;Tnet,NoTnet),'2018'!Resal_s+('2018'!Salim-'2018'!Resal_s)*(1-EXP(('2018'!Tnet_s-t)/'2018'!Tau_j)),Resal_s+(Salim-Resal_s)*(1-EXP((Tnet_s-t)/Tau_j)))*Salcycl</f>
        <v>8.8093762954705196E-2</v>
      </c>
      <c r="AD355" s="233">
        <f>(INDEX(Models!$BJ355:$BT355,,AH355)*(1-AF355)+INDEX(Models!$BJ355:$BT355,,AH355+1)*AF355-ERP_i)*AE355*Ramure*Pc/MaxiM</f>
        <v>2.8196093441987435E-2</v>
      </c>
      <c r="AE355" s="307">
        <f t="shared" si="137"/>
        <v>0.9</v>
      </c>
      <c r="AF355" s="179">
        <f t="shared" si="138"/>
        <v>0.59957819534068757</v>
      </c>
      <c r="AG355" s="178">
        <f t="shared" si="139"/>
        <v>-2</v>
      </c>
      <c r="AH355" s="178">
        <f t="shared" si="140"/>
        <v>4</v>
      </c>
      <c r="AI355" s="227">
        <f t="shared" si="141"/>
        <v>-1.4004218046593124</v>
      </c>
      <c r="AJ355" s="267" t="b">
        <f t="shared" si="142"/>
        <v>0</v>
      </c>
      <c r="AK355" s="267" t="b">
        <f t="shared" si="143"/>
        <v>0</v>
      </c>
      <c r="AL355" s="267"/>
      <c r="AM355" s="267"/>
      <c r="AN355" s="75"/>
    </row>
    <row r="356" spans="1:40" s="6" customFormat="1" ht="11.25" customHeight="1" x14ac:dyDescent="0.2">
      <c r="A356" s="56">
        <f t="shared" si="144"/>
        <v>43807</v>
      </c>
      <c r="B356" s="620">
        <v>13.38</v>
      </c>
      <c r="C356" s="392"/>
      <c r="D356" s="395">
        <f t="shared" si="123"/>
        <v>13.53470720171647</v>
      </c>
      <c r="E356" s="387">
        <f t="shared" si="121"/>
        <v>14.843908168976299</v>
      </c>
      <c r="F356" s="387">
        <f t="shared" si="124"/>
        <v>15.165312115790208</v>
      </c>
      <c r="G356" s="110">
        <f t="shared" si="122"/>
        <v>0.81383369603114808</v>
      </c>
      <c r="H356" s="416" t="b">
        <f>Wh_hp&gt;='2018'!Maxi_hp</f>
        <v>1</v>
      </c>
      <c r="I356" s="392">
        <f>IF(H356,Wh_hp,'2018'!Maxi_hp)</f>
        <v>15.165312115790208</v>
      </c>
      <c r="J356" s="85">
        <f>IF(H356,An,'2018'!An_max)</f>
        <v>2019</v>
      </c>
      <c r="K356" s="199">
        <f t="shared" si="125"/>
        <v>43807</v>
      </c>
      <c r="L356" s="147">
        <f>IF(t&lt;Tvie,1-EXP((T0-t)*PertePVj)+'2018'!Pspv,1-EXP((T0-t)*PertePVj)+Pspv)</f>
        <v>1.1430406244536284E-2</v>
      </c>
      <c r="M356" s="872"/>
      <c r="N356" s="872"/>
      <c r="O356" s="48">
        <f>IF(t&lt;Tnet,'2018'!Resal+('2018'!Salim-'2018'!Resal)*(1-EXP(('2018'!Tnet-t)/('2018'!Tau_j))),Resal+(Salim-Resal)*(1-EXP((Tnet-t)/(Tau_j))))*Salcycl</f>
        <v>8.8197862204244276E-2</v>
      </c>
      <c r="P356" s="171">
        <f>(INDEX(Models!$BJ356:$BT356,,T356)*(1-R356)+INDEX(Models!$BJ356:$BT356,,T356+1)*R356-ERP_i)*Q356*Ramure*Pc/MaxiM</f>
        <v>2.8530603202714895E-2</v>
      </c>
      <c r="Q356" s="307">
        <f t="shared" si="126"/>
        <v>0.9</v>
      </c>
      <c r="R356" s="179">
        <f t="shared" si="127"/>
        <v>0.59959547917975531</v>
      </c>
      <c r="S356" s="839">
        <f t="shared" si="128"/>
        <v>-2</v>
      </c>
      <c r="T356" s="178">
        <f t="shared" si="129"/>
        <v>4</v>
      </c>
      <c r="U356" s="253">
        <f t="shared" si="130"/>
        <v>-1.4004045208202447</v>
      </c>
      <c r="V356" s="385">
        <f t="shared" si="131"/>
        <v>16.317464028033132</v>
      </c>
      <c r="W356" s="58"/>
      <c r="X356" s="157">
        <f t="shared" si="132"/>
        <v>43807</v>
      </c>
      <c r="Y356" s="387">
        <f t="shared" si="133"/>
        <v>13.38</v>
      </c>
      <c r="Z356" s="387">
        <f t="shared" si="134"/>
        <v>13.53470720171647</v>
      </c>
      <c r="AA356" s="388">
        <f t="shared" si="135"/>
        <v>14.843908168976299</v>
      </c>
      <c r="AB356" s="199">
        <f t="shared" si="136"/>
        <v>43807</v>
      </c>
      <c r="AC356" s="428">
        <f>IF(OR(t&lt;Tnet,NoTnet),'2018'!Resal_s+('2018'!Salim-'2018'!Resal_s)*(1-EXP(('2018'!Tnet_s-t)/'2018'!Tau_j)),Resal_s+(Salim-Resal_s)*(1-EXP((Tnet_s-t)/Tau_j)))*Salcycl</f>
        <v>8.8197862204244276E-2</v>
      </c>
      <c r="AD356" s="233">
        <f>(INDEX(Models!$BJ356:$BT356,,AH356)*(1-AF356)+INDEX(Models!$BJ356:$BT356,,AH356+1)*AF356-ERP_i)*AE356*Ramure*Pc/MaxiM</f>
        <v>2.8530603202714895E-2</v>
      </c>
      <c r="AE356" s="307">
        <f t="shared" si="137"/>
        <v>0.9</v>
      </c>
      <c r="AF356" s="179">
        <f t="shared" si="138"/>
        <v>0.59959547917975531</v>
      </c>
      <c r="AG356" s="178">
        <f t="shared" si="139"/>
        <v>-2</v>
      </c>
      <c r="AH356" s="178">
        <f t="shared" si="140"/>
        <v>4</v>
      </c>
      <c r="AI356" s="227">
        <f t="shared" si="141"/>
        <v>-1.4004045208202447</v>
      </c>
      <c r="AJ356" s="267" t="b">
        <f t="shared" si="142"/>
        <v>0</v>
      </c>
      <c r="AK356" s="267" t="b">
        <f t="shared" si="143"/>
        <v>0</v>
      </c>
      <c r="AL356" s="267"/>
      <c r="AM356" s="267"/>
      <c r="AN356" s="75"/>
    </row>
    <row r="357" spans="1:40" s="6" customFormat="1" ht="11.25" x14ac:dyDescent="0.2">
      <c r="A357" s="56">
        <f t="shared" si="144"/>
        <v>43808</v>
      </c>
      <c r="B357" s="620">
        <v>8.0920000000000005</v>
      </c>
      <c r="C357" s="392"/>
      <c r="D357" s="395">
        <f t="shared" si="123"/>
        <v>8.1857548200554699</v>
      </c>
      <c r="E357" s="387">
        <f t="shared" si="121"/>
        <v>8.9785972808145473</v>
      </c>
      <c r="F357" s="387">
        <f t="shared" si="124"/>
        <v>9.0528453974233827</v>
      </c>
      <c r="G357" s="110">
        <f t="shared" si="122"/>
        <v>0.48863891699691986</v>
      </c>
      <c r="H357" s="416" t="b">
        <f>Wh_hp&gt;='2018'!Maxi_hp</f>
        <v>1</v>
      </c>
      <c r="I357" s="392">
        <f>IF(H357,Wh_hp,'2018'!Maxi_hp)</f>
        <v>9.0528453974233827</v>
      </c>
      <c r="J357" s="85">
        <f>IF(H357,An,'2018'!An_max)</f>
        <v>2019</v>
      </c>
      <c r="K357" s="199">
        <f t="shared" si="125"/>
        <v>43808</v>
      </c>
      <c r="L357" s="147">
        <f>IF(t&lt;Tvie,1-EXP((T0-t)*PertePVj)+'2018'!Pspv,1-EXP((T0-t)*PertePVj)+Pspv)</f>
        <v>1.1453411703190253E-2</v>
      </c>
      <c r="M357" s="872"/>
      <c r="N357" s="872"/>
      <c r="O357" s="48">
        <f>IF(t&lt;Tnet,'2018'!Resal+('2018'!Salim-'2018'!Resal)*(1-EXP(('2018'!Tnet-t)/('2018'!Tau_j))),Resal+(Salim-Resal)*(1-EXP((Tnet-t)/(Tau_j))))*Salcycl</f>
        <v>8.8303599767551921E-2</v>
      </c>
      <c r="P357" s="171">
        <f>(INDEX(Models!$BJ357:$BT357,,T357)*(1-R357)+INDEX(Models!$BJ357:$BT357,,T357+1)*R357-ERP_i)*Q357*Ramure*Pc/MaxiM</f>
        <v>2.8846157700335249E-2</v>
      </c>
      <c r="Q357" s="307">
        <f t="shared" si="126"/>
        <v>0.9</v>
      </c>
      <c r="R357" s="179">
        <f t="shared" si="127"/>
        <v>0.59961206792305921</v>
      </c>
      <c r="S357" s="839">
        <f t="shared" si="128"/>
        <v>-2</v>
      </c>
      <c r="T357" s="178">
        <f t="shared" si="129"/>
        <v>4</v>
      </c>
      <c r="U357" s="253">
        <f t="shared" si="130"/>
        <v>-1.4003879320769408</v>
      </c>
      <c r="V357" s="385">
        <f t="shared" si="131"/>
        <v>16.215579179996094</v>
      </c>
      <c r="W357" s="58"/>
      <c r="X357" s="157">
        <f t="shared" si="132"/>
        <v>43808</v>
      </c>
      <c r="Y357" s="387">
        <f t="shared" si="133"/>
        <v>8.0920000000000005</v>
      </c>
      <c r="Z357" s="387">
        <f t="shared" si="134"/>
        <v>8.1857548200554699</v>
      </c>
      <c r="AA357" s="388">
        <f t="shared" si="135"/>
        <v>8.9785972808145473</v>
      </c>
      <c r="AB357" s="199">
        <f t="shared" si="136"/>
        <v>43808</v>
      </c>
      <c r="AC357" s="428">
        <f>IF(OR(t&lt;Tnet,NoTnet),'2018'!Resal_s+('2018'!Salim-'2018'!Resal_s)*(1-EXP(('2018'!Tnet_s-t)/'2018'!Tau_j)),Resal_s+(Salim-Resal_s)*(1-EXP((Tnet_s-t)/Tau_j)))*Salcycl</f>
        <v>8.8303599767551921E-2</v>
      </c>
      <c r="AD357" s="233">
        <f>(INDEX(Models!$BJ357:$BT357,,AH357)*(1-AF357)+INDEX(Models!$BJ357:$BT357,,AH357+1)*AF357-ERP_i)*AE357*Ramure*Pc/MaxiM</f>
        <v>2.8846157700335249E-2</v>
      </c>
      <c r="AE357" s="307">
        <f t="shared" si="137"/>
        <v>0.9</v>
      </c>
      <c r="AF357" s="179">
        <f t="shared" si="138"/>
        <v>0.59961206792305921</v>
      </c>
      <c r="AG357" s="178">
        <f t="shared" si="139"/>
        <v>-2</v>
      </c>
      <c r="AH357" s="178">
        <f t="shared" si="140"/>
        <v>4</v>
      </c>
      <c r="AI357" s="227">
        <f t="shared" si="141"/>
        <v>-1.4003879320769408</v>
      </c>
      <c r="AJ357" s="267" t="b">
        <f t="shared" si="142"/>
        <v>0</v>
      </c>
      <c r="AK357" s="267" t="b">
        <f t="shared" si="143"/>
        <v>0</v>
      </c>
      <c r="AL357" s="267"/>
      <c r="AM357" s="267"/>
      <c r="AN357" s="75"/>
    </row>
    <row r="358" spans="1:40" s="6" customFormat="1" ht="11.25" customHeight="1" x14ac:dyDescent="0.2">
      <c r="A358" s="56">
        <f t="shared" si="144"/>
        <v>43809</v>
      </c>
      <c r="B358" s="620">
        <v>14.64</v>
      </c>
      <c r="C358" s="392"/>
      <c r="D358" s="395">
        <f t="shared" si="123"/>
        <v>14.809965332378001</v>
      </c>
      <c r="E358" s="387">
        <f t="shared" si="121"/>
        <v>16.246317167953801</v>
      </c>
      <c r="F358" s="387">
        <f t="shared" si="124"/>
        <v>16.668106879337483</v>
      </c>
      <c r="G358" s="110">
        <f t="shared" si="122"/>
        <v>0.90430267353715144</v>
      </c>
      <c r="H358" s="416" t="b">
        <f>Wh_hp&gt;='2018'!Maxi_hp</f>
        <v>1</v>
      </c>
      <c r="I358" s="392">
        <f>IF(H358,Wh_hp,'2018'!Maxi_hp)</f>
        <v>16.668106879337483</v>
      </c>
      <c r="J358" s="85">
        <f>IF(H358,An,'2018'!An_max)</f>
        <v>2019</v>
      </c>
      <c r="K358" s="199">
        <f t="shared" si="125"/>
        <v>43809</v>
      </c>
      <c r="L358" s="147">
        <f>IF(t&lt;Tvie,1-EXP((T0-t)*PertePVj)+'2018'!Pspv,1-EXP((T0-t)*PertePVj)+Pspv)</f>
        <v>1.1476416626473585E-2</v>
      </c>
      <c r="M358" s="872"/>
      <c r="N358" s="872"/>
      <c r="O358" s="48">
        <f>IF(t&lt;Tnet,'2018'!Resal+('2018'!Salim-'2018'!Resal)*(1-EXP(('2018'!Tnet-t)/('2018'!Tau_j))),Resal+(Salim-Resal)*(1-EXP((Tnet-t)/(Tau_j))))*Salcycl</f>
        <v>8.8410919270309127E-2</v>
      </c>
      <c r="P358" s="171">
        <f>(INDEX(Models!$BJ358:$BT358,,T358)*(1-R358)+INDEX(Models!$BJ358:$BT358,,T358+1)*R358-ERP_i)*Q358*Ramure*Pc/MaxiM</f>
        <v>2.9140270593181829E-2</v>
      </c>
      <c r="Q358" s="307">
        <f t="shared" si="126"/>
        <v>0.9</v>
      </c>
      <c r="R358" s="179">
        <f t="shared" si="127"/>
        <v>0.59962798949396179</v>
      </c>
      <c r="S358" s="839">
        <f t="shared" si="128"/>
        <v>-2</v>
      </c>
      <c r="T358" s="178">
        <f t="shared" si="129"/>
        <v>4</v>
      </c>
      <c r="U358" s="253">
        <f t="shared" si="130"/>
        <v>-1.4003720105060382</v>
      </c>
      <c r="V358" s="385">
        <f t="shared" si="131"/>
        <v>16.125570868608932</v>
      </c>
      <c r="W358" s="58"/>
      <c r="X358" s="157">
        <f t="shared" si="132"/>
        <v>43809</v>
      </c>
      <c r="Y358" s="387">
        <f t="shared" si="133"/>
        <v>14.64</v>
      </c>
      <c r="Z358" s="387">
        <f t="shared" si="134"/>
        <v>14.809965332378001</v>
      </c>
      <c r="AA358" s="388">
        <f t="shared" si="135"/>
        <v>16.246317167953801</v>
      </c>
      <c r="AB358" s="199">
        <f t="shared" si="136"/>
        <v>43809</v>
      </c>
      <c r="AC358" s="428">
        <f>IF(OR(t&lt;Tnet,NoTnet),'2018'!Resal_s+('2018'!Salim-'2018'!Resal_s)*(1-EXP(('2018'!Tnet_s-t)/'2018'!Tau_j)),Resal_s+(Salim-Resal_s)*(1-EXP((Tnet_s-t)/Tau_j)))*Salcycl</f>
        <v>8.8410919270309127E-2</v>
      </c>
      <c r="AD358" s="233">
        <f>(INDEX(Models!$BJ358:$BT358,,AH358)*(1-AF358)+INDEX(Models!$BJ358:$BT358,,AH358+1)*AF358-ERP_i)*AE358*Ramure*Pc/MaxiM</f>
        <v>2.9140270593181829E-2</v>
      </c>
      <c r="AE358" s="307">
        <f t="shared" si="137"/>
        <v>0.9</v>
      </c>
      <c r="AF358" s="179">
        <f t="shared" si="138"/>
        <v>0.59962798949396179</v>
      </c>
      <c r="AG358" s="178">
        <f t="shared" si="139"/>
        <v>-2</v>
      </c>
      <c r="AH358" s="178">
        <f t="shared" si="140"/>
        <v>4</v>
      </c>
      <c r="AI358" s="227">
        <f t="shared" si="141"/>
        <v>-1.4003720105060382</v>
      </c>
      <c r="AJ358" s="267" t="b">
        <f t="shared" si="142"/>
        <v>0</v>
      </c>
      <c r="AK358" s="267" t="b">
        <f t="shared" si="143"/>
        <v>0</v>
      </c>
      <c r="AL358" s="267"/>
      <c r="AM358" s="267"/>
      <c r="AN358" s="75"/>
    </row>
    <row r="359" spans="1:40" s="6" customFormat="1" ht="11.25" customHeight="1" x14ac:dyDescent="0.2">
      <c r="A359" s="56">
        <f t="shared" si="144"/>
        <v>43810</v>
      </c>
      <c r="B359" s="620">
        <v>1.768</v>
      </c>
      <c r="C359" s="392"/>
      <c r="D359" s="395">
        <f t="shared" si="123"/>
        <v>1.7885674905869255</v>
      </c>
      <c r="E359" s="387">
        <f t="shared" si="121"/>
        <v>1.9622668853982372</v>
      </c>
      <c r="F359" s="387">
        <f t="shared" si="124"/>
        <v>1.9622668853982372</v>
      </c>
      <c r="G359" s="110">
        <f t="shared" si="122"/>
        <v>0.1069433368606789</v>
      </c>
      <c r="H359" s="416" t="b">
        <f>Wh_hp&gt;='2018'!Maxi_hp</f>
        <v>0</v>
      </c>
      <c r="I359" s="392">
        <f>IF(H359,Wh_hp,'2018'!Maxi_hp)</f>
        <v>15.154011286324524</v>
      </c>
      <c r="J359" s="85">
        <f>IF(H359,An,'2018'!An_max)</f>
        <v>2018</v>
      </c>
      <c r="K359" s="199">
        <f t="shared" si="125"/>
        <v>43810</v>
      </c>
      <c r="L359" s="147">
        <f>IF(t&lt;Tvie,1-EXP((T0-t)*PertePVj)+'2018'!Pspv,1-EXP((T0-t)*PertePVj)+Pspv)</f>
        <v>1.1499421014398603E-2</v>
      </c>
      <c r="M359" s="872"/>
      <c r="N359" s="872"/>
      <c r="O359" s="48">
        <f>IF(t&lt;Tnet,'2018'!Resal+('2018'!Salim-'2018'!Resal)*(1-EXP(('2018'!Tnet-t)/('2018'!Tau_j))),Resal+(Salim-Resal)*(1-EXP((Tnet-t)/(Tau_j))))*Salcycl</f>
        <v>8.8519760540146875E-2</v>
      </c>
      <c r="P359" s="171">
        <f>(INDEX(Models!$BJ359:$BT359,,T359)*(1-R359)+INDEX(Models!$BJ359:$BT359,,T359+1)*R359-ERP_i)*Q359*Ramure*Pc/MaxiM</f>
        <v>2.9414898966178018E-2</v>
      </c>
      <c r="Q359" s="307">
        <f t="shared" si="126"/>
        <v>0.9</v>
      </c>
      <c r="R359" s="179">
        <f t="shared" si="127"/>
        <v>0.59964327069652956</v>
      </c>
      <c r="S359" s="839">
        <f t="shared" si="128"/>
        <v>-2</v>
      </c>
      <c r="T359" s="178">
        <f t="shared" si="129"/>
        <v>4</v>
      </c>
      <c r="U359" s="253">
        <f t="shared" si="130"/>
        <v>-1.4003567293034704</v>
      </c>
      <c r="V359" s="385">
        <f t="shared" si="131"/>
        <v>16.045828650954849</v>
      </c>
      <c r="W359" s="58"/>
      <c r="X359" s="157">
        <f t="shared" si="132"/>
        <v>43810</v>
      </c>
      <c r="Y359" s="387">
        <f t="shared" si="133"/>
        <v>1.768</v>
      </c>
      <c r="Z359" s="387">
        <f t="shared" si="134"/>
        <v>1.7885674905869255</v>
      </c>
      <c r="AA359" s="388">
        <f t="shared" si="135"/>
        <v>1.9622668853982372</v>
      </c>
      <c r="AB359" s="199">
        <f t="shared" si="136"/>
        <v>43810</v>
      </c>
      <c r="AC359" s="428">
        <f>IF(OR(t&lt;Tnet,NoTnet),'2018'!Resal_s+('2018'!Salim-'2018'!Resal_s)*(1-EXP(('2018'!Tnet_s-t)/'2018'!Tau_j)),Resal_s+(Salim-Resal_s)*(1-EXP((Tnet_s-t)/Tau_j)))*Salcycl</f>
        <v>8.8519760540146875E-2</v>
      </c>
      <c r="AD359" s="233">
        <f>(INDEX(Models!$BJ359:$BT359,,AH359)*(1-AF359)+INDEX(Models!$BJ359:$BT359,,AH359+1)*AF359-ERP_i)*AE359*Ramure*Pc/MaxiM</f>
        <v>2.9414898966178018E-2</v>
      </c>
      <c r="AE359" s="307">
        <f t="shared" si="137"/>
        <v>0.9</v>
      </c>
      <c r="AF359" s="179">
        <f t="shared" si="138"/>
        <v>0.59964327069652956</v>
      </c>
      <c r="AG359" s="178">
        <f t="shared" si="139"/>
        <v>-2</v>
      </c>
      <c r="AH359" s="178">
        <f t="shared" si="140"/>
        <v>4</v>
      </c>
      <c r="AI359" s="227">
        <f t="shared" si="141"/>
        <v>-1.4003567293034704</v>
      </c>
      <c r="AJ359" s="267" t="b">
        <f t="shared" si="142"/>
        <v>0</v>
      </c>
      <c r="AK359" s="267" t="b">
        <f t="shared" si="143"/>
        <v>0</v>
      </c>
      <c r="AL359" s="267"/>
      <c r="AM359" s="267"/>
      <c r="AN359" s="75"/>
    </row>
    <row r="360" spans="1:40" s="6" customFormat="1" ht="11.25" customHeight="1" x14ac:dyDescent="0.2">
      <c r="A360" s="56">
        <f t="shared" si="144"/>
        <v>43811</v>
      </c>
      <c r="B360" s="620">
        <v>5.657</v>
      </c>
      <c r="C360" s="392"/>
      <c r="D360" s="395">
        <f t="shared" si="123"/>
        <v>5.7229421711855455</v>
      </c>
      <c r="E360" s="387">
        <f t="shared" si="121"/>
        <v>6.2794941116508367</v>
      </c>
      <c r="F360" s="387">
        <f t="shared" si="124"/>
        <v>6.2939369499421547</v>
      </c>
      <c r="G360" s="110">
        <f t="shared" si="122"/>
        <v>0.34441533283335291</v>
      </c>
      <c r="H360" s="416" t="b">
        <f>Wh_hp&gt;='2018'!Maxi_hp</f>
        <v>1</v>
      </c>
      <c r="I360" s="392">
        <f>IF(H360,Wh_hp,'2018'!Maxi_hp)</f>
        <v>6.2939369499421547</v>
      </c>
      <c r="J360" s="85">
        <f>IF(H360,An,'2018'!An_max)</f>
        <v>2019</v>
      </c>
      <c r="K360" s="199">
        <f t="shared" si="125"/>
        <v>43811</v>
      </c>
      <c r="L360" s="147">
        <f>IF(t&lt;Tvie,1-EXP((T0-t)*PertePVj)+'2018'!Pspv,1-EXP((T0-t)*PertePVj)+Pspv)</f>
        <v>1.1522424866978076E-2</v>
      </c>
      <c r="M360" s="872"/>
      <c r="N360" s="872"/>
      <c r="O360" s="48">
        <f>IF(t&lt;Tnet,'2018'!Resal+('2018'!Salim-'2018'!Resal)*(1-EXP(('2018'!Tnet-t)/('2018'!Tau_j))),Resal+(Salim-Resal)*(1-EXP((Tnet-t)/(Tau_j))))*Salcycl</f>
        <v>8.8630060092369012E-2</v>
      </c>
      <c r="P360" s="171">
        <f>(INDEX(Models!$BJ360:$BT360,,T360)*(1-R360)+INDEX(Models!$BJ360:$BT360,,T360+1)*R360-ERP_i)*Q360*Ramure*Pc/MaxiM</f>
        <v>2.9673178143200311E-2</v>
      </c>
      <c r="Q360" s="307">
        <f t="shared" si="126"/>
        <v>0.9</v>
      </c>
      <c r="R360" s="179">
        <f t="shared" si="127"/>
        <v>0.59965793726020999</v>
      </c>
      <c r="S360" s="839">
        <f t="shared" si="128"/>
        <v>-2</v>
      </c>
      <c r="T360" s="178">
        <f t="shared" si="129"/>
        <v>4</v>
      </c>
      <c r="U360" s="253">
        <f t="shared" si="130"/>
        <v>-1.40034206273979</v>
      </c>
      <c r="V360" s="385">
        <f t="shared" si="131"/>
        <v>15.974212898417781</v>
      </c>
      <c r="W360" s="58"/>
      <c r="X360" s="157">
        <f t="shared" si="132"/>
        <v>43811</v>
      </c>
      <c r="Y360" s="387">
        <f t="shared" si="133"/>
        <v>5.657</v>
      </c>
      <c r="Z360" s="387">
        <f t="shared" si="134"/>
        <v>5.7229421711855455</v>
      </c>
      <c r="AA360" s="388">
        <f t="shared" si="135"/>
        <v>6.2794941116508367</v>
      </c>
      <c r="AB360" s="199">
        <f t="shared" si="136"/>
        <v>43811</v>
      </c>
      <c r="AC360" s="428">
        <f>IF(OR(t&lt;Tnet,NoTnet),'2018'!Resal_s+('2018'!Salim-'2018'!Resal_s)*(1-EXP(('2018'!Tnet_s-t)/'2018'!Tau_j)),Resal_s+(Salim-Resal_s)*(1-EXP((Tnet_s-t)/Tau_j)))*Salcycl</f>
        <v>8.8630060092369012E-2</v>
      </c>
      <c r="AD360" s="233">
        <f>(INDEX(Models!$BJ360:$BT360,,AH360)*(1-AF360)+INDEX(Models!$BJ360:$BT360,,AH360+1)*AF360-ERP_i)*AE360*Ramure*Pc/MaxiM</f>
        <v>2.9673178143200311E-2</v>
      </c>
      <c r="AE360" s="307">
        <f t="shared" si="137"/>
        <v>0.9</v>
      </c>
      <c r="AF360" s="179">
        <f t="shared" si="138"/>
        <v>0.59965793726020999</v>
      </c>
      <c r="AG360" s="178">
        <f t="shared" si="139"/>
        <v>-2</v>
      </c>
      <c r="AH360" s="178">
        <f t="shared" si="140"/>
        <v>4</v>
      </c>
      <c r="AI360" s="227">
        <f t="shared" si="141"/>
        <v>-1.40034206273979</v>
      </c>
      <c r="AJ360" s="267" t="b">
        <f t="shared" si="142"/>
        <v>0</v>
      </c>
      <c r="AK360" s="267" t="b">
        <f t="shared" si="143"/>
        <v>0</v>
      </c>
      <c r="AL360" s="267"/>
      <c r="AM360" s="267"/>
      <c r="AN360" s="75"/>
    </row>
    <row r="361" spans="1:40" s="6" customFormat="1" ht="11.25" customHeight="1" x14ac:dyDescent="0.2">
      <c r="A361" s="56">
        <f t="shared" si="144"/>
        <v>43812</v>
      </c>
      <c r="B361" s="620">
        <v>1.976</v>
      </c>
      <c r="C361" s="392"/>
      <c r="D361" s="395">
        <f t="shared" si="123"/>
        <v>1.9990802373144154</v>
      </c>
      <c r="E361" s="387">
        <f t="shared" ref="E361:E379" si="145">Wh_pvt/(1-Psa)</f>
        <v>2.1937581809318774</v>
      </c>
      <c r="F361" s="387">
        <f t="shared" si="124"/>
        <v>2.1937581809318774</v>
      </c>
      <c r="G361" s="110">
        <f t="shared" ref="G361:G379" si="146">+Wh_hp/MaxiM</f>
        <v>0.12047698258370285</v>
      </c>
      <c r="H361" s="416" t="b">
        <f>Wh_hp&gt;='2018'!Maxi_hp</f>
        <v>1</v>
      </c>
      <c r="I361" s="392">
        <f>IF(H361,Wh_hp,'2018'!Maxi_hp)</f>
        <v>2.1937581809318774</v>
      </c>
      <c r="J361" s="85">
        <f>IF(H361,An,'2018'!An_max)</f>
        <v>2019</v>
      </c>
      <c r="K361" s="199">
        <f t="shared" si="125"/>
        <v>43812</v>
      </c>
      <c r="L361" s="147">
        <f>IF(t&lt;Tvie,1-EXP((T0-t)*PertePVj)+'2018'!Pspv,1-EXP((T0-t)*PertePVj)+Pspv)</f>
        <v>1.1545428184224216E-2</v>
      </c>
      <c r="M361" s="872"/>
      <c r="N361" s="872"/>
      <c r="O361" s="48">
        <f>IF(t&lt;Tnet,'2018'!Resal+('2018'!Salim-'2018'!Resal)*(1-EXP(('2018'!Tnet-t)/('2018'!Tau_j))),Resal+(Salim-Resal)*(1-EXP((Tnet-t)/(Tau_j))))*Salcycl</f>
        <v>8.8741751624951376E-2</v>
      </c>
      <c r="P361" s="171">
        <f>(INDEX(Models!$BJ361:$BT361,,T361)*(1-R361)+INDEX(Models!$BJ361:$BT361,,T361+1)*R361-ERP_i)*Q361*Ramure*Pc/MaxiM</f>
        <v>2.9906090233457638E-2</v>
      </c>
      <c r="Q361" s="307">
        <f t="shared" si="126"/>
        <v>0.9</v>
      </c>
      <c r="R361" s="179">
        <f t="shared" si="127"/>
        <v>0.59967201388273628</v>
      </c>
      <c r="S361" s="839">
        <f t="shared" si="128"/>
        <v>-2</v>
      </c>
      <c r="T361" s="178">
        <f t="shared" si="129"/>
        <v>4</v>
      </c>
      <c r="U361" s="253">
        <f t="shared" si="130"/>
        <v>-1.4003279861172637</v>
      </c>
      <c r="V361" s="385">
        <f t="shared" si="131"/>
        <v>15.910969253955995</v>
      </c>
      <c r="W361" s="58"/>
      <c r="X361" s="157">
        <f t="shared" si="132"/>
        <v>43812</v>
      </c>
      <c r="Y361" s="387">
        <f t="shared" si="133"/>
        <v>1.9760000000000002</v>
      </c>
      <c r="Z361" s="387">
        <f t="shared" si="134"/>
        <v>1.9990802373144156</v>
      </c>
      <c r="AA361" s="388">
        <f t="shared" si="135"/>
        <v>2.1937581809318774</v>
      </c>
      <c r="AB361" s="199">
        <f t="shared" si="136"/>
        <v>43812</v>
      </c>
      <c r="AC361" s="428">
        <f>IF(OR(t&lt;Tnet,NoTnet),'2018'!Resal_s+('2018'!Salim-'2018'!Resal_s)*(1-EXP(('2018'!Tnet_s-t)/'2018'!Tau_j)),Resal_s+(Salim-Resal_s)*(1-EXP((Tnet_s-t)/Tau_j)))*Salcycl</f>
        <v>8.8741751624951376E-2</v>
      </c>
      <c r="AD361" s="233">
        <f>(INDEX(Models!$BJ361:$BT361,,AH361)*(1-AF361)+INDEX(Models!$BJ361:$BT361,,AH361+1)*AF361-ERP_i)*AE361*Ramure*Pc/MaxiM</f>
        <v>2.9906090233457638E-2</v>
      </c>
      <c r="AE361" s="307">
        <f t="shared" si="137"/>
        <v>0.9</v>
      </c>
      <c r="AF361" s="179">
        <f t="shared" si="138"/>
        <v>0.59967201388273628</v>
      </c>
      <c r="AG361" s="178">
        <f t="shared" si="139"/>
        <v>-2</v>
      </c>
      <c r="AH361" s="178">
        <f t="shared" si="140"/>
        <v>4</v>
      </c>
      <c r="AI361" s="227">
        <f t="shared" si="141"/>
        <v>-1.4003279861172637</v>
      </c>
      <c r="AJ361" s="267" t="b">
        <f t="shared" si="142"/>
        <v>0</v>
      </c>
      <c r="AK361" s="267" t="b">
        <f t="shared" si="143"/>
        <v>0</v>
      </c>
      <c r="AL361" s="267"/>
      <c r="AM361" s="267"/>
      <c r="AN361" s="75"/>
    </row>
    <row r="362" spans="1:40" s="6" customFormat="1" ht="11.25" customHeight="1" x14ac:dyDescent="0.2">
      <c r="A362" s="56">
        <f t="shared" si="144"/>
        <v>43813</v>
      </c>
      <c r="B362" s="620">
        <v>12.411</v>
      </c>
      <c r="C362" s="392"/>
      <c r="D362" s="395">
        <f t="shared" si="123"/>
        <v>12.556256182844525</v>
      </c>
      <c r="E362" s="387">
        <f t="shared" si="145"/>
        <v>13.780740678268964</v>
      </c>
      <c r="F362" s="387">
        <f t="shared" si="124"/>
        <v>14.072978947428247</v>
      </c>
      <c r="G362" s="110">
        <f t="shared" si="146"/>
        <v>0.77525065169351337</v>
      </c>
      <c r="H362" s="416" t="b">
        <f>Wh_hp&gt;='2018'!Maxi_hp</f>
        <v>1</v>
      </c>
      <c r="I362" s="392">
        <f>IF(H362,Wh_hp,'2018'!Maxi_hp)</f>
        <v>14.072978947428247</v>
      </c>
      <c r="J362" s="85">
        <f>IF(H362,An,'2018'!An_max)</f>
        <v>2019</v>
      </c>
      <c r="K362" s="199">
        <f t="shared" si="125"/>
        <v>43813</v>
      </c>
      <c r="L362" s="147">
        <f>IF(t&lt;Tvie,1-EXP((T0-t)*PertePVj)+'2018'!Pspv,1-EXP((T0-t)*PertePVj)+Pspv)</f>
        <v>1.1568430966149568E-2</v>
      </c>
      <c r="M362" s="872"/>
      <c r="N362" s="872"/>
      <c r="O362" s="48">
        <f>IF(t&lt;Tnet,'2018'!Resal+('2018'!Salim-'2018'!Resal)*(1-EXP(('2018'!Tnet-t)/('2018'!Tau_j))),Resal+(Salim-Resal)*(1-EXP((Tnet-t)/(Tau_j))))*Salcycl</f>
        <v>8.8854766518852324E-2</v>
      </c>
      <c r="P362" s="171">
        <f>(INDEX(Models!$BJ362:$BT362,,T362)*(1-R362)+INDEX(Models!$BJ362:$BT362,,T362+1)*R362-ERP_i)*Q362*Ramure*Pc/MaxiM</f>
        <v>3.0112867946196671E-2</v>
      </c>
      <c r="Q362" s="307">
        <f t="shared" si="126"/>
        <v>0.9</v>
      </c>
      <c r="R362" s="179">
        <f t="shared" si="127"/>
        <v>0.59968552427133348</v>
      </c>
      <c r="S362" s="839">
        <f t="shared" si="128"/>
        <v>-2</v>
      </c>
      <c r="T362" s="178">
        <f t="shared" si="129"/>
        <v>4</v>
      </c>
      <c r="U362" s="253">
        <f t="shared" si="130"/>
        <v>-1.4003144757286665</v>
      </c>
      <c r="V362" s="385">
        <f t="shared" si="131"/>
        <v>15.856207138681672</v>
      </c>
      <c r="W362" s="58"/>
      <c r="X362" s="157">
        <f t="shared" si="132"/>
        <v>43813</v>
      </c>
      <c r="Y362" s="387">
        <f t="shared" si="133"/>
        <v>12.411</v>
      </c>
      <c r="Z362" s="387">
        <f t="shared" si="134"/>
        <v>12.556256182844525</v>
      </c>
      <c r="AA362" s="388">
        <f t="shared" si="135"/>
        <v>13.780740678268964</v>
      </c>
      <c r="AB362" s="199">
        <f t="shared" si="136"/>
        <v>43813</v>
      </c>
      <c r="AC362" s="428">
        <f>IF(OR(t&lt;Tnet,NoTnet),'2018'!Resal_s+('2018'!Salim-'2018'!Resal_s)*(1-EXP(('2018'!Tnet_s-t)/'2018'!Tau_j)),Resal_s+(Salim-Resal_s)*(1-EXP((Tnet_s-t)/Tau_j)))*Salcycl</f>
        <v>8.8854766518852324E-2</v>
      </c>
      <c r="AD362" s="233">
        <f>(INDEX(Models!$BJ362:$BT362,,AH362)*(1-AF362)+INDEX(Models!$BJ362:$BT362,,AH362+1)*AF362-ERP_i)*AE362*Ramure*Pc/MaxiM</f>
        <v>3.0112867946196671E-2</v>
      </c>
      <c r="AE362" s="307">
        <f t="shared" si="137"/>
        <v>0.9</v>
      </c>
      <c r="AF362" s="179">
        <f t="shared" si="138"/>
        <v>0.59968552427133348</v>
      </c>
      <c r="AG362" s="178">
        <f t="shared" si="139"/>
        <v>-2</v>
      </c>
      <c r="AH362" s="178">
        <f t="shared" si="140"/>
        <v>4</v>
      </c>
      <c r="AI362" s="227">
        <f t="shared" si="141"/>
        <v>-1.4003144757286665</v>
      </c>
      <c r="AJ362" s="267" t="b">
        <f t="shared" si="142"/>
        <v>0</v>
      </c>
      <c r="AK362" s="267" t="b">
        <f t="shared" si="143"/>
        <v>0</v>
      </c>
      <c r="AL362" s="267"/>
      <c r="AM362" s="267"/>
      <c r="AN362" s="75"/>
    </row>
    <row r="363" spans="1:40" s="6" customFormat="1" ht="11.25" x14ac:dyDescent="0.2">
      <c r="A363" s="56">
        <f t="shared" si="144"/>
        <v>43814</v>
      </c>
      <c r="B363" s="620">
        <v>15.532999999999999</v>
      </c>
      <c r="C363" s="392"/>
      <c r="D363" s="395">
        <f t="shared" si="123"/>
        <v>15.715161241964084</v>
      </c>
      <c r="E363" s="387">
        <f t="shared" si="145"/>
        <v>17.249865080682063</v>
      </c>
      <c r="F363" s="387">
        <f t="shared" si="124"/>
        <v>17.774835996132822</v>
      </c>
      <c r="G363" s="110">
        <f t="shared" si="146"/>
        <v>0.98170952386227217</v>
      </c>
      <c r="H363" s="416" t="b">
        <f>Wh_hp&gt;='2018'!Maxi_hp</f>
        <v>1</v>
      </c>
      <c r="I363" s="392">
        <f>IF(H363,Wh_hp,'2018'!Maxi_hp)</f>
        <v>17.774835996132822</v>
      </c>
      <c r="J363" s="85">
        <f>IF(H363,An,'2018'!An_max)</f>
        <v>2019</v>
      </c>
      <c r="K363" s="199">
        <f t="shared" si="125"/>
        <v>43814</v>
      </c>
      <c r="L363" s="147">
        <f>IF(t&lt;Tvie,1-EXP((T0-t)*PertePVj)+'2018'!Pspv,1-EXP((T0-t)*PertePVj)+Pspv)</f>
        <v>1.1591433212766566E-2</v>
      </c>
      <c r="M363" s="872"/>
      <c r="N363" s="872"/>
      <c r="O363" s="48">
        <f>IF(t&lt;Tnet,'2018'!Resal+('2018'!Salim-'2018'!Resal)*(1-EXP(('2018'!Tnet-t)/('2018'!Tau_j))),Resal+(Salim-Resal)*(1-EXP((Tnet-t)/(Tau_j))))*Salcycl</f>
        <v>8.8969034339675901E-2</v>
      </c>
      <c r="P363" s="171">
        <f>(INDEX(Models!$BJ363:$BT363,,T363)*(1-R363)+INDEX(Models!$BJ363:$BT363,,T363+1)*R363-ERP_i)*Q363*Ramure*Pc/MaxiM</f>
        <v>3.0292807403181216E-2</v>
      </c>
      <c r="Q363" s="307">
        <f t="shared" si="126"/>
        <v>0.9</v>
      </c>
      <c r="R363" s="179">
        <f t="shared" si="127"/>
        <v>0.59969849118229268</v>
      </c>
      <c r="S363" s="839">
        <f t="shared" si="128"/>
        <v>-2</v>
      </c>
      <c r="T363" s="178">
        <f t="shared" si="129"/>
        <v>4</v>
      </c>
      <c r="U363" s="253">
        <f t="shared" si="130"/>
        <v>-1.4003015088177073</v>
      </c>
      <c r="V363" s="385">
        <f t="shared" si="131"/>
        <v>15.810035846225968</v>
      </c>
      <c r="W363" s="58"/>
      <c r="X363" s="157">
        <f t="shared" si="132"/>
        <v>43814</v>
      </c>
      <c r="Y363" s="387">
        <f t="shared" si="133"/>
        <v>15.533000000000001</v>
      </c>
      <c r="Z363" s="387">
        <f t="shared" si="134"/>
        <v>15.715161241964086</v>
      </c>
      <c r="AA363" s="388">
        <f t="shared" si="135"/>
        <v>17.249865080682063</v>
      </c>
      <c r="AB363" s="199">
        <f t="shared" si="136"/>
        <v>43814</v>
      </c>
      <c r="AC363" s="428">
        <f>IF(OR(t&lt;Tnet,NoTnet),'2018'!Resal_s+('2018'!Salim-'2018'!Resal_s)*(1-EXP(('2018'!Tnet_s-t)/'2018'!Tau_j)),Resal_s+(Salim-Resal_s)*(1-EXP((Tnet_s-t)/Tau_j)))*Salcycl</f>
        <v>8.8969034339675901E-2</v>
      </c>
      <c r="AD363" s="233">
        <f>(INDEX(Models!$BJ363:$BT363,,AH363)*(1-AF363)+INDEX(Models!$BJ363:$BT363,,AH363+1)*AF363-ERP_i)*AE363*Ramure*Pc/MaxiM</f>
        <v>3.0292807403181216E-2</v>
      </c>
      <c r="AE363" s="307">
        <f t="shared" si="137"/>
        <v>0.9</v>
      </c>
      <c r="AF363" s="179">
        <f t="shared" si="138"/>
        <v>0.59969849118229268</v>
      </c>
      <c r="AG363" s="178">
        <f t="shared" si="139"/>
        <v>-2</v>
      </c>
      <c r="AH363" s="178">
        <f t="shared" si="140"/>
        <v>4</v>
      </c>
      <c r="AI363" s="227">
        <f t="shared" si="141"/>
        <v>-1.4003015088177073</v>
      </c>
      <c r="AJ363" s="267" t="b">
        <f t="shared" si="142"/>
        <v>0</v>
      </c>
      <c r="AK363" s="267" t="b">
        <f t="shared" si="143"/>
        <v>0</v>
      </c>
      <c r="AL363" s="267"/>
      <c r="AM363" s="267"/>
      <c r="AN363" s="75"/>
    </row>
    <row r="364" spans="1:40" s="6" customFormat="1" ht="11.25" customHeight="1" x14ac:dyDescent="0.2">
      <c r="A364" s="56">
        <f t="shared" si="144"/>
        <v>43815</v>
      </c>
      <c r="B364" s="620">
        <v>10.952999999999999</v>
      </c>
      <c r="C364" s="392"/>
      <c r="D364" s="395">
        <f t="shared" si="123"/>
        <v>11.081707773786398</v>
      </c>
      <c r="E364" s="387">
        <f t="shared" si="145"/>
        <v>12.165461638396236</v>
      </c>
      <c r="F364" s="387">
        <f t="shared" si="124"/>
        <v>12.377805391841733</v>
      </c>
      <c r="G364" s="110">
        <f t="shared" si="146"/>
        <v>0.68504351356137316</v>
      </c>
      <c r="H364" s="416" t="b">
        <f>Wh_hp&gt;='2018'!Maxi_hp</f>
        <v>1</v>
      </c>
      <c r="I364" s="392">
        <f>IF(H364,Wh_hp,'2018'!Maxi_hp)</f>
        <v>12.377805391841733</v>
      </c>
      <c r="J364" s="85">
        <f>IF(H364,An,'2018'!An_max)</f>
        <v>2019</v>
      </c>
      <c r="K364" s="199">
        <f t="shared" si="125"/>
        <v>43815</v>
      </c>
      <c r="L364" s="147">
        <f>IF(t&lt;Tvie,1-EXP((T0-t)*PertePVj)+'2018'!Pspv,1-EXP((T0-t)*PertePVj)+Pspv)</f>
        <v>1.1614434924087647E-2</v>
      </c>
      <c r="M364" s="872"/>
      <c r="N364" s="872"/>
      <c r="O364" s="48">
        <f>IF(t&lt;Tnet,'2018'!Resal+('2018'!Salim-'2018'!Resal)*(1-EXP(('2018'!Tnet-t)/('2018'!Tau_j))),Resal+(Salim-Resal)*(1-EXP((Tnet-t)/(Tau_j))))*Salcycl</f>
        <v>8.9084483336771075E-2</v>
      </c>
      <c r="P364" s="171">
        <f>(INDEX(Models!$BJ364:$BT364,,T364)*(1-R364)+INDEX(Models!$BJ364:$BT364,,T364+1)*R364-ERP_i)*Q364*Ramure*Pc/MaxiM</f>
        <v>3.0445274276950859E-2</v>
      </c>
      <c r="Q364" s="307">
        <f t="shared" si="126"/>
        <v>0.9</v>
      </c>
      <c r="R364" s="179">
        <f t="shared" si="127"/>
        <v>0.59971093645897589</v>
      </c>
      <c r="S364" s="839">
        <f t="shared" si="128"/>
        <v>-2</v>
      </c>
      <c r="T364" s="178">
        <f t="shared" si="129"/>
        <v>4</v>
      </c>
      <c r="U364" s="253">
        <f t="shared" si="130"/>
        <v>-1.4002890635410241</v>
      </c>
      <c r="V364" s="385">
        <f t="shared" si="131"/>
        <v>15.772564546591461</v>
      </c>
      <c r="W364" s="58"/>
      <c r="X364" s="157">
        <f t="shared" si="132"/>
        <v>43815</v>
      </c>
      <c r="Y364" s="387">
        <f t="shared" si="133"/>
        <v>10.952999999999999</v>
      </c>
      <c r="Z364" s="387">
        <f t="shared" si="134"/>
        <v>11.081707773786398</v>
      </c>
      <c r="AA364" s="388">
        <f t="shared" si="135"/>
        <v>12.165461638396236</v>
      </c>
      <c r="AB364" s="199">
        <f t="shared" si="136"/>
        <v>43815</v>
      </c>
      <c r="AC364" s="428">
        <f>IF(OR(t&lt;Tnet,NoTnet),'2018'!Resal_s+('2018'!Salim-'2018'!Resal_s)*(1-EXP(('2018'!Tnet_s-t)/'2018'!Tau_j)),Resal_s+(Salim-Resal_s)*(1-EXP((Tnet_s-t)/Tau_j)))*Salcycl</f>
        <v>8.9084483336771075E-2</v>
      </c>
      <c r="AD364" s="233">
        <f>(INDEX(Models!$BJ364:$BT364,,AH364)*(1-AF364)+INDEX(Models!$BJ364:$BT364,,AH364+1)*AF364-ERP_i)*AE364*Ramure*Pc/MaxiM</f>
        <v>3.0445274276950859E-2</v>
      </c>
      <c r="AE364" s="307">
        <f t="shared" si="137"/>
        <v>0.9</v>
      </c>
      <c r="AF364" s="179">
        <f t="shared" si="138"/>
        <v>0.59971093645897589</v>
      </c>
      <c r="AG364" s="178">
        <f t="shared" si="139"/>
        <v>-2</v>
      </c>
      <c r="AH364" s="178">
        <f t="shared" si="140"/>
        <v>4</v>
      </c>
      <c r="AI364" s="227">
        <f t="shared" si="141"/>
        <v>-1.4002890635410241</v>
      </c>
      <c r="AJ364" s="267" t="b">
        <f t="shared" si="142"/>
        <v>0</v>
      </c>
      <c r="AK364" s="267" t="b">
        <f t="shared" si="143"/>
        <v>0</v>
      </c>
      <c r="AL364" s="267"/>
      <c r="AM364" s="267"/>
      <c r="AN364" s="75"/>
    </row>
    <row r="365" spans="1:40" s="6" customFormat="1" ht="11.25" customHeight="1" x14ac:dyDescent="0.2">
      <c r="A365" s="56">
        <f t="shared" si="144"/>
        <v>43816</v>
      </c>
      <c r="B365" s="620">
        <v>9.4710000000000001</v>
      </c>
      <c r="C365" s="392"/>
      <c r="D365" s="395">
        <f t="shared" si="123"/>
        <v>9.5825159166585472</v>
      </c>
      <c r="E365" s="387">
        <f t="shared" si="145"/>
        <v>10.521000075038948</v>
      </c>
      <c r="F365" s="387">
        <f t="shared" si="124"/>
        <v>10.661407648660472</v>
      </c>
      <c r="G365" s="110">
        <f t="shared" si="146"/>
        <v>0.59095928692877486</v>
      </c>
      <c r="H365" s="416" t="b">
        <f>Wh_hp&gt;='2018'!Maxi_hp</f>
        <v>0</v>
      </c>
      <c r="I365" s="392">
        <f>IF(H365,Wh_hp,'2018'!Maxi_hp)</f>
        <v>15.247771221141807</v>
      </c>
      <c r="J365" s="85">
        <f>IF(H365,An,'2018'!An_max)</f>
        <v>2018</v>
      </c>
      <c r="K365" s="199">
        <f t="shared" si="125"/>
        <v>43816</v>
      </c>
      <c r="L365" s="147">
        <f>IF(t&lt;Tvie,1-EXP((T0-t)*PertePVj)+'2018'!Pspv,1-EXP((T0-t)*PertePVj)+Pspv)</f>
        <v>1.1637436100125353E-2</v>
      </c>
      <c r="M365" s="872"/>
      <c r="N365" s="872"/>
      <c r="O365" s="48">
        <f>IF(t&lt;Tnet,'2018'!Resal+('2018'!Salim-'2018'!Resal)*(1-EXP(('2018'!Tnet-t)/('2018'!Tau_j))),Resal+(Salim-Resal)*(1-EXP((Tnet-t)/(Tau_j))))*Salcycl</f>
        <v>8.9201040935923306E-2</v>
      </c>
      <c r="P365" s="171">
        <f>(INDEX(Models!$BJ365:$BT365,,T365)*(1-R365)+INDEX(Models!$BJ365:$BT365,,T365+1)*R365-ERP_i)*Q365*Ramure*Pc/MaxiM</f>
        <v>3.0569709599755732E-2</v>
      </c>
      <c r="Q365" s="307">
        <f t="shared" si="126"/>
        <v>0.9</v>
      </c>
      <c r="R365" s="179">
        <f t="shared" si="127"/>
        <v>0.59972288106831328</v>
      </c>
      <c r="S365" s="839">
        <f t="shared" si="128"/>
        <v>-2</v>
      </c>
      <c r="T365" s="178">
        <f t="shared" si="129"/>
        <v>4</v>
      </c>
      <c r="U365" s="253">
        <f t="shared" si="130"/>
        <v>-1.4002771189316867</v>
      </c>
      <c r="V365" s="385">
        <f t="shared" si="131"/>
        <v>15.74390228466776</v>
      </c>
      <c r="W365" s="58"/>
      <c r="X365" s="157">
        <f t="shared" si="132"/>
        <v>43816</v>
      </c>
      <c r="Y365" s="387">
        <f t="shared" si="133"/>
        <v>9.4710000000000001</v>
      </c>
      <c r="Z365" s="387">
        <f t="shared" si="134"/>
        <v>9.5825159166585472</v>
      </c>
      <c r="AA365" s="388">
        <f t="shared" si="135"/>
        <v>10.521000075038948</v>
      </c>
      <c r="AB365" s="199">
        <f t="shared" si="136"/>
        <v>43816</v>
      </c>
      <c r="AC365" s="428">
        <f>IF(OR(t&lt;Tnet,NoTnet),'2018'!Resal_s+('2018'!Salim-'2018'!Resal_s)*(1-EXP(('2018'!Tnet_s-t)/'2018'!Tau_j)),Resal_s+(Salim-Resal_s)*(1-EXP((Tnet_s-t)/Tau_j)))*Salcycl</f>
        <v>8.9201040935923306E-2</v>
      </c>
      <c r="AD365" s="233">
        <f>(INDEX(Models!$BJ365:$BT365,,AH365)*(1-AF365)+INDEX(Models!$BJ365:$BT365,,AH365+1)*AF365-ERP_i)*AE365*Ramure*Pc/MaxiM</f>
        <v>3.0569709599755732E-2</v>
      </c>
      <c r="AE365" s="307">
        <f t="shared" si="137"/>
        <v>0.9</v>
      </c>
      <c r="AF365" s="179">
        <f t="shared" si="138"/>
        <v>0.59972288106831328</v>
      </c>
      <c r="AG365" s="178">
        <f t="shared" si="139"/>
        <v>-2</v>
      </c>
      <c r="AH365" s="178">
        <f t="shared" si="140"/>
        <v>4</v>
      </c>
      <c r="AI365" s="227">
        <f t="shared" si="141"/>
        <v>-1.4002771189316867</v>
      </c>
      <c r="AJ365" s="267" t="b">
        <f t="shared" si="142"/>
        <v>0</v>
      </c>
      <c r="AK365" s="267" t="b">
        <f t="shared" si="143"/>
        <v>0</v>
      </c>
      <c r="AL365" s="267"/>
      <c r="AM365" s="267"/>
      <c r="AN365" s="75"/>
    </row>
    <row r="366" spans="1:40" s="6" customFormat="1" ht="11.25" customHeight="1" x14ac:dyDescent="0.2">
      <c r="A366" s="56">
        <f t="shared" si="144"/>
        <v>43817</v>
      </c>
      <c r="B366" s="620">
        <v>13.004</v>
      </c>
      <c r="C366" s="392"/>
      <c r="D366" s="395">
        <f t="shared" si="123"/>
        <v>13.157421278491114</v>
      </c>
      <c r="E366" s="387">
        <f t="shared" si="145"/>
        <v>14.447886794355666</v>
      </c>
      <c r="F366" s="387">
        <f t="shared" si="124"/>
        <v>14.789250103882571</v>
      </c>
      <c r="G366" s="110">
        <f t="shared" si="146"/>
        <v>0.82058768559207473</v>
      </c>
      <c r="H366" s="416" t="b">
        <f>Wh_hp&gt;='2018'!Maxi_hp</f>
        <v>1</v>
      </c>
      <c r="I366" s="392">
        <f>IF(H366,Wh_hp,'2018'!Maxi_hp)</f>
        <v>14.789250103882571</v>
      </c>
      <c r="J366" s="85">
        <f>IF(H366,An,'2018'!An_max)</f>
        <v>2019</v>
      </c>
      <c r="K366" s="199">
        <f t="shared" si="125"/>
        <v>43817</v>
      </c>
      <c r="L366" s="147">
        <f>IF(t&lt;Tvie,1-EXP((T0-t)*PertePVj)+'2018'!Pspv,1-EXP((T0-t)*PertePVj)+Pspv)</f>
        <v>1.1660436740892122E-2</v>
      </c>
      <c r="M366" s="872"/>
      <c r="N366" s="872"/>
      <c r="O366" s="48">
        <f>IF(t&lt;Tnet,'2018'!Resal+('2018'!Salim-'2018'!Resal)*(1-EXP(('2018'!Tnet-t)/('2018'!Tau_j))),Resal+(Salim-Resal)*(1-EXP((Tnet-t)/(Tau_j))))*Salcycl</f>
        <v>8.9318634221905502E-2</v>
      </c>
      <c r="P366" s="171">
        <f>(INDEX(Models!$BJ366:$BT366,,T366)*(1-R366)+INDEX(Models!$BJ366:$BT366,,T366+1)*R366-ERP_i)*Q366*Ramure*Pc/MaxiM</f>
        <v>3.0658894505987321E-2</v>
      </c>
      <c r="Q366" s="307">
        <f t="shared" si="126"/>
        <v>0.9</v>
      </c>
      <c r="R366" s="179">
        <f t="shared" si="127"/>
        <v>0.59973434513585033</v>
      </c>
      <c r="S366" s="839">
        <f t="shared" si="128"/>
        <v>-2</v>
      </c>
      <c r="T366" s="178">
        <f t="shared" si="129"/>
        <v>4</v>
      </c>
      <c r="U366" s="253">
        <f t="shared" si="130"/>
        <v>-1.4002656548641497</v>
      </c>
      <c r="V366" s="385">
        <f t="shared" si="131"/>
        <v>15.724267323489169</v>
      </c>
      <c r="W366" s="58"/>
      <c r="X366" s="157">
        <f t="shared" si="132"/>
        <v>43817</v>
      </c>
      <c r="Y366" s="387">
        <f t="shared" si="133"/>
        <v>13.004</v>
      </c>
      <c r="Z366" s="387">
        <f t="shared" si="134"/>
        <v>13.157421278491114</v>
      </c>
      <c r="AA366" s="388">
        <f t="shared" si="135"/>
        <v>14.447886794355666</v>
      </c>
      <c r="AB366" s="199">
        <f t="shared" si="136"/>
        <v>43817</v>
      </c>
      <c r="AC366" s="428">
        <f>IF(OR(t&lt;Tnet,NoTnet),'2018'!Resal_s+('2018'!Salim-'2018'!Resal_s)*(1-EXP(('2018'!Tnet_s-t)/'2018'!Tau_j)),Resal_s+(Salim-Resal_s)*(1-EXP((Tnet_s-t)/Tau_j)))*Salcycl</f>
        <v>8.9318634221905502E-2</v>
      </c>
      <c r="AD366" s="233">
        <f>(INDEX(Models!$BJ366:$BT366,,AH366)*(1-AF366)+INDEX(Models!$BJ366:$BT366,,AH366+1)*AF366-ERP_i)*AE366*Ramure*Pc/MaxiM</f>
        <v>3.0658894505987321E-2</v>
      </c>
      <c r="AE366" s="307">
        <f t="shared" si="137"/>
        <v>0.9</v>
      </c>
      <c r="AF366" s="179">
        <f t="shared" si="138"/>
        <v>0.59973434513585033</v>
      </c>
      <c r="AG366" s="178">
        <f t="shared" si="139"/>
        <v>-2</v>
      </c>
      <c r="AH366" s="178">
        <f t="shared" si="140"/>
        <v>4</v>
      </c>
      <c r="AI366" s="227">
        <f t="shared" si="141"/>
        <v>-1.4002656548641497</v>
      </c>
      <c r="AJ366" s="267" t="b">
        <f t="shared" si="142"/>
        <v>0</v>
      </c>
      <c r="AK366" s="267" t="b">
        <f t="shared" si="143"/>
        <v>0</v>
      </c>
      <c r="AL366" s="267"/>
      <c r="AM366" s="267"/>
      <c r="AN366" s="75"/>
    </row>
    <row r="367" spans="1:40" s="6" customFormat="1" ht="11.25" customHeight="1" x14ac:dyDescent="0.2">
      <c r="A367" s="56">
        <f t="shared" si="144"/>
        <v>43818</v>
      </c>
      <c r="B367" s="620">
        <v>8.4760000000000009</v>
      </c>
      <c r="C367" s="392"/>
      <c r="D367" s="395">
        <f t="shared" si="123"/>
        <v>8.5761994850658994</v>
      </c>
      <c r="E367" s="387">
        <f t="shared" si="145"/>
        <v>9.4185699160083587</v>
      </c>
      <c r="F367" s="387">
        <f t="shared" si="124"/>
        <v>9.5185713956634803</v>
      </c>
      <c r="G367" s="110">
        <f t="shared" si="146"/>
        <v>0.5283844770443652</v>
      </c>
      <c r="H367" s="416" t="b">
        <f>Wh_hp&gt;='2018'!Maxi_hp</f>
        <v>0</v>
      </c>
      <c r="I367" s="392">
        <f>IF(H367,Wh_hp,'2018'!Maxi_hp)</f>
        <v>16.369930523819825</v>
      </c>
      <c r="J367" s="85">
        <f>IF(H367,An,'2018'!An_max)</f>
        <v>2018</v>
      </c>
      <c r="K367" s="199">
        <f t="shared" si="125"/>
        <v>43818</v>
      </c>
      <c r="L367" s="147">
        <f>IF(t&lt;Tvie,1-EXP((T0-t)*PertePVj)+'2018'!Pspv,1-EXP((T0-t)*PertePVj)+Pspv)</f>
        <v>1.1683436846400275E-2</v>
      </c>
      <c r="M367" s="872"/>
      <c r="N367" s="872"/>
      <c r="O367" s="48">
        <f>IF(t&lt;Tnet,'2018'!Resal+('2018'!Salim-'2018'!Resal)*(1-EXP(('2018'!Tnet-t)/('2018'!Tau_j))),Resal+(Salim-Resal)*(1-EXP((Tnet-t)/(Tau_j))))*Salcycl</f>
        <v>8.9437190407294892E-2</v>
      </c>
      <c r="P367" s="171">
        <f>(INDEX(Models!$BJ367:$BT367,,T367)*(1-R367)+INDEX(Models!$BJ367:$BT367,,T367+1)*R367-ERP_i)*Q367*Ramure*Pc/MaxiM</f>
        <v>3.0718710172117851E-2</v>
      </c>
      <c r="Q367" s="307">
        <f t="shared" si="126"/>
        <v>0.9</v>
      </c>
      <c r="R367" s="179">
        <f t="shared" si="127"/>
        <v>0.59974534797940304</v>
      </c>
      <c r="S367" s="839">
        <f t="shared" si="128"/>
        <v>-2</v>
      </c>
      <c r="T367" s="178">
        <f t="shared" si="129"/>
        <v>4</v>
      </c>
      <c r="U367" s="253">
        <f t="shared" si="130"/>
        <v>-1.400254652020597</v>
      </c>
      <c r="V367" s="385">
        <f t="shared" si="131"/>
        <v>15.713666550074688</v>
      </c>
      <c r="W367" s="58"/>
      <c r="X367" s="157">
        <f t="shared" si="132"/>
        <v>43818</v>
      </c>
      <c r="Y367" s="387">
        <f t="shared" si="133"/>
        <v>8.4760000000000009</v>
      </c>
      <c r="Z367" s="387">
        <f t="shared" si="134"/>
        <v>8.5761994850658994</v>
      </c>
      <c r="AA367" s="388">
        <f t="shared" si="135"/>
        <v>9.4185699160083587</v>
      </c>
      <c r="AB367" s="199">
        <f t="shared" si="136"/>
        <v>43818</v>
      </c>
      <c r="AC367" s="428">
        <f>IF(OR(t&lt;Tnet,NoTnet),'2018'!Resal_s+('2018'!Salim-'2018'!Resal_s)*(1-EXP(('2018'!Tnet_s-t)/'2018'!Tau_j)),Resal_s+(Salim-Resal_s)*(1-EXP((Tnet_s-t)/Tau_j)))*Salcycl</f>
        <v>8.9437190407294892E-2</v>
      </c>
      <c r="AD367" s="233">
        <f>(INDEX(Models!$BJ367:$BT367,,AH367)*(1-AF367)+INDEX(Models!$BJ367:$BT367,,AH367+1)*AF367-ERP_i)*AE367*Ramure*Pc/MaxiM</f>
        <v>3.0718710172117851E-2</v>
      </c>
      <c r="AE367" s="307">
        <f t="shared" si="137"/>
        <v>0.9</v>
      </c>
      <c r="AF367" s="179">
        <f t="shared" si="138"/>
        <v>0.59974534797940304</v>
      </c>
      <c r="AG367" s="178">
        <f t="shared" si="139"/>
        <v>-2</v>
      </c>
      <c r="AH367" s="178">
        <f t="shared" si="140"/>
        <v>4</v>
      </c>
      <c r="AI367" s="227">
        <f t="shared" si="141"/>
        <v>-1.400254652020597</v>
      </c>
      <c r="AJ367" s="267" t="b">
        <f t="shared" si="142"/>
        <v>0</v>
      </c>
      <c r="AK367" s="267" t="b">
        <f t="shared" si="143"/>
        <v>0</v>
      </c>
      <c r="AL367" s="267"/>
      <c r="AM367" s="267"/>
      <c r="AN367" s="75"/>
    </row>
    <row r="368" spans="1:40" s="6" customFormat="1" ht="11.25" customHeight="1" x14ac:dyDescent="0.2">
      <c r="A368" s="56">
        <f t="shared" si="144"/>
        <v>43819</v>
      </c>
      <c r="B368" s="620">
        <v>6.6340000000000003</v>
      </c>
      <c r="C368" s="392"/>
      <c r="D368" s="395">
        <f t="shared" si="123"/>
        <v>6.7125803955927417</v>
      </c>
      <c r="E368" s="387">
        <f t="shared" si="145"/>
        <v>7.3728698241799595</v>
      </c>
      <c r="F368" s="387">
        <f t="shared" si="124"/>
        <v>7.4126664086970342</v>
      </c>
      <c r="G368" s="110">
        <f t="shared" si="146"/>
        <v>0.41144561485541464</v>
      </c>
      <c r="H368" s="416" t="b">
        <f>Wh_hp&gt;='2018'!Maxi_hp</f>
        <v>0</v>
      </c>
      <c r="I368" s="392">
        <f>IF(H368,Wh_hp,'2018'!Maxi_hp)</f>
        <v>11.005244476597516</v>
      </c>
      <c r="J368" s="85">
        <f>IF(H368,An,'2018'!An_max)</f>
        <v>2018</v>
      </c>
      <c r="K368" s="199">
        <f t="shared" si="125"/>
        <v>43819</v>
      </c>
      <c r="L368" s="147">
        <f>IF(t&lt;Tvie,1-EXP((T0-t)*PertePVj)+'2018'!Pspv,1-EXP((T0-t)*PertePVj)+Pspv)</f>
        <v>1.1706436416662469E-2</v>
      </c>
      <c r="M368" s="872"/>
      <c r="N368" s="872"/>
      <c r="O368" s="48">
        <f>IF(t&lt;Tnet,'2018'!Resal+('2018'!Salim-'2018'!Resal)*(1-EXP(('2018'!Tnet-t)/('2018'!Tau_j))),Resal+(Salim-Resal)*(1-EXP((Tnet-t)/(Tau_j))))*Salcycl</f>
        <v>8.9556637284133545E-2</v>
      </c>
      <c r="P368" s="171">
        <f>(INDEX(Models!$BJ368:$BT368,,T368)*(1-R368)+INDEX(Models!$BJ368:$BT368,,T368+1)*R368-ERP_i)*Q368*Ramure*Pc/MaxiM</f>
        <v>3.0748864402071644E-2</v>
      </c>
      <c r="Q368" s="307">
        <f t="shared" si="126"/>
        <v>0.9</v>
      </c>
      <c r="R368" s="179">
        <f t="shared" si="127"/>
        <v>0.5997559081413768</v>
      </c>
      <c r="S368" s="839">
        <f t="shared" si="128"/>
        <v>-2</v>
      </c>
      <c r="T368" s="178">
        <f t="shared" si="129"/>
        <v>4</v>
      </c>
      <c r="U368" s="253">
        <f t="shared" si="130"/>
        <v>-1.4002440918586232</v>
      </c>
      <c r="V368" s="385">
        <f t="shared" si="131"/>
        <v>15.712208650190053</v>
      </c>
      <c r="W368" s="58"/>
      <c r="X368" s="157">
        <f t="shared" si="132"/>
        <v>43819</v>
      </c>
      <c r="Y368" s="387">
        <f t="shared" si="133"/>
        <v>6.6340000000000003</v>
      </c>
      <c r="Z368" s="387">
        <f t="shared" si="134"/>
        <v>6.7125803955927417</v>
      </c>
      <c r="AA368" s="388">
        <f t="shared" si="135"/>
        <v>7.3728698241799595</v>
      </c>
      <c r="AB368" s="199">
        <f t="shared" si="136"/>
        <v>43819</v>
      </c>
      <c r="AC368" s="428">
        <f>IF(OR(t&lt;Tnet,NoTnet),'2018'!Resal_s+('2018'!Salim-'2018'!Resal_s)*(1-EXP(('2018'!Tnet_s-t)/'2018'!Tau_j)),Resal_s+(Salim-Resal_s)*(1-EXP((Tnet_s-t)/Tau_j)))*Salcycl</f>
        <v>8.9556637284133545E-2</v>
      </c>
      <c r="AD368" s="233">
        <f>(INDEX(Models!$BJ368:$BT368,,AH368)*(1-AF368)+INDEX(Models!$BJ368:$BT368,,AH368+1)*AF368-ERP_i)*AE368*Ramure*Pc/MaxiM</f>
        <v>3.0748864402071644E-2</v>
      </c>
      <c r="AE368" s="307">
        <f t="shared" si="137"/>
        <v>0.9</v>
      </c>
      <c r="AF368" s="179">
        <f t="shared" si="138"/>
        <v>0.5997559081413768</v>
      </c>
      <c r="AG368" s="178">
        <f t="shared" si="139"/>
        <v>-2</v>
      </c>
      <c r="AH368" s="178">
        <f t="shared" si="140"/>
        <v>4</v>
      </c>
      <c r="AI368" s="227">
        <f t="shared" si="141"/>
        <v>-1.4002440918586232</v>
      </c>
      <c r="AJ368" s="267" t="b">
        <f t="shared" si="142"/>
        <v>0</v>
      </c>
      <c r="AK368" s="267" t="b">
        <f t="shared" si="143"/>
        <v>0</v>
      </c>
      <c r="AL368" s="267"/>
      <c r="AM368" s="267"/>
      <c r="AN368" s="75"/>
    </row>
    <row r="369" spans="1:40" s="18" customFormat="1" ht="11.25" customHeight="1" x14ac:dyDescent="0.2">
      <c r="A369" s="56">
        <f t="shared" si="144"/>
        <v>43820</v>
      </c>
      <c r="B369" s="620">
        <v>13.78</v>
      </c>
      <c r="C369" s="392"/>
      <c r="D369" s="395">
        <f t="shared" si="123"/>
        <v>13.943549969332716</v>
      </c>
      <c r="E369" s="387">
        <f t="shared" si="145"/>
        <v>15.317144017679121</v>
      </c>
      <c r="F369" s="387">
        <f t="shared" si="124"/>
        <v>15.715179535002797</v>
      </c>
      <c r="G369" s="110">
        <f t="shared" si="146"/>
        <v>0.87171466485893612</v>
      </c>
      <c r="H369" s="416" t="b">
        <f>Wh_hp&gt;='2018'!Maxi_hp</f>
        <v>1</v>
      </c>
      <c r="I369" s="392">
        <f>IF(H369,Wh_hp,'2018'!Maxi_hp)</f>
        <v>15.715179535002797</v>
      </c>
      <c r="J369" s="85">
        <f>IF(H369,An,'2018'!An_max)</f>
        <v>2019</v>
      </c>
      <c r="K369" s="199">
        <f t="shared" si="125"/>
        <v>43820</v>
      </c>
      <c r="L369" s="147">
        <f>IF(t&lt;Tvie,1-EXP((T0-t)*PertePVj)+'2018'!Pspv,1-EXP((T0-t)*PertePVj)+Pspv)</f>
        <v>1.1729435451691028E-2</v>
      </c>
      <c r="M369" s="872"/>
      <c r="N369" s="872"/>
      <c r="O369" s="48">
        <f>IF(t&lt;Tnet,'2018'!Resal+('2018'!Salim-'2018'!Resal)*(1-EXP(('2018'!Tnet-t)/('2018'!Tau_j))),Resal+(Salim-Resal)*(1-EXP((Tnet-t)/(Tau_j))))*Salcycl</f>
        <v>8.9676903655211165E-2</v>
      </c>
      <c r="P369" s="171">
        <f>(INDEX(Models!$BJ369:$BT369,,T369)*(1-R369)+INDEX(Models!$BJ369:$BT369,,T369+1)*R369-ERP_i)*Q369*Ramure*Pc/MaxiM</f>
        <v>3.0749160051644658E-2</v>
      </c>
      <c r="Q369" s="307">
        <f t="shared" si="126"/>
        <v>0.9</v>
      </c>
      <c r="R369" s="179">
        <f t="shared" si="127"/>
        <v>0.59976604341979822</v>
      </c>
      <c r="S369" s="839">
        <f t="shared" si="128"/>
        <v>-2</v>
      </c>
      <c r="T369" s="178">
        <f t="shared" si="129"/>
        <v>4</v>
      </c>
      <c r="U369" s="253">
        <f t="shared" si="130"/>
        <v>-1.4002339565802018</v>
      </c>
      <c r="V369" s="385">
        <f t="shared" si="131"/>
        <v>15.720002202012994</v>
      </c>
      <c r="W369" s="58"/>
      <c r="X369" s="157">
        <f t="shared" si="132"/>
        <v>43820</v>
      </c>
      <c r="Y369" s="387">
        <f t="shared" si="133"/>
        <v>13.78</v>
      </c>
      <c r="Z369" s="387">
        <f t="shared" si="134"/>
        <v>13.943549969332716</v>
      </c>
      <c r="AA369" s="388">
        <f t="shared" si="135"/>
        <v>15.317144017679121</v>
      </c>
      <c r="AB369" s="199">
        <f t="shared" si="136"/>
        <v>43820</v>
      </c>
      <c r="AC369" s="428">
        <f>IF(OR(t&lt;Tnet,NoTnet),'2018'!Resal_s+('2018'!Salim-'2018'!Resal_s)*(1-EXP(('2018'!Tnet_s-t)/'2018'!Tau_j)),Resal_s+(Salim-Resal_s)*(1-EXP((Tnet_s-t)/Tau_j)))*Salcycl</f>
        <v>8.9676903655211165E-2</v>
      </c>
      <c r="AD369" s="233">
        <f>(INDEX(Models!$BJ369:$BT369,,AH369)*(1-AF369)+INDEX(Models!$BJ369:$BT369,,AH369+1)*AF369-ERP_i)*AE369*Ramure*Pc/MaxiM</f>
        <v>3.0749160051644658E-2</v>
      </c>
      <c r="AE369" s="307">
        <f t="shared" si="137"/>
        <v>0.9</v>
      </c>
      <c r="AF369" s="179">
        <f t="shared" si="138"/>
        <v>0.59976604341979822</v>
      </c>
      <c r="AG369" s="178">
        <f t="shared" si="139"/>
        <v>-2</v>
      </c>
      <c r="AH369" s="178">
        <f t="shared" si="140"/>
        <v>4</v>
      </c>
      <c r="AI369" s="227">
        <f t="shared" si="141"/>
        <v>-1.4002339565802018</v>
      </c>
      <c r="AJ369" s="267" t="b">
        <f t="shared" si="142"/>
        <v>0</v>
      </c>
      <c r="AK369" s="267" t="b">
        <f t="shared" si="143"/>
        <v>0</v>
      </c>
      <c r="AL369" s="267"/>
      <c r="AM369" s="267"/>
      <c r="AN369" s="267"/>
    </row>
    <row r="370" spans="1:40" s="18" customFormat="1" ht="11.25" customHeight="1" x14ac:dyDescent="0.2">
      <c r="A370" s="56">
        <f t="shared" si="144"/>
        <v>43821</v>
      </c>
      <c r="B370" s="620">
        <v>5.4459999999999997</v>
      </c>
      <c r="C370" s="392"/>
      <c r="D370" s="395">
        <f t="shared" si="123"/>
        <v>5.5107649005155439</v>
      </c>
      <c r="E370" s="387">
        <f t="shared" si="145"/>
        <v>6.0544411181232913</v>
      </c>
      <c r="F370" s="387">
        <f t="shared" si="124"/>
        <v>6.0667040060720527</v>
      </c>
      <c r="G370" s="110">
        <f t="shared" si="146"/>
        <v>0.33610859580019109</v>
      </c>
      <c r="H370" s="416" t="b">
        <f>Wh_hp&gt;='2018'!Maxi_hp</f>
        <v>0</v>
      </c>
      <c r="I370" s="392">
        <f>IF(H370,Wh_hp,'2018'!Maxi_hp)</f>
        <v>7.0974500155152409</v>
      </c>
      <c r="J370" s="85">
        <f>IF(H370,An,'2018'!An_max)</f>
        <v>2018</v>
      </c>
      <c r="K370" s="199">
        <f t="shared" si="125"/>
        <v>43821</v>
      </c>
      <c r="L370" s="147">
        <f>IF(t&lt;Tvie,1-EXP((T0-t)*PertePVj)+'2018'!Pspv,1-EXP((T0-t)*PertePVj)+Pspv)</f>
        <v>1.1752433951498387E-2</v>
      </c>
      <c r="M370" s="872"/>
      <c r="N370" s="872"/>
      <c r="O370" s="48">
        <f>IF(t&lt;Tnet,'2018'!Resal+('2018'!Salim-'2018'!Resal)*(1-EXP(('2018'!Tnet-t)/('2018'!Tau_j))),Resal+(Salim-Resal)*(1-EXP((Tnet-t)/(Tau_j))))*Salcycl</f>
        <v>8.9797919741974819E-2</v>
      </c>
      <c r="P370" s="171">
        <f>(INDEX(Models!$BJ370:$BT370,,T370)*(1-R370)+INDEX(Models!$BJ370:$BT370,,T370+1)*R370-ERP_i)*Q370*Ramure*Pc/MaxiM</f>
        <v>3.0719497885619337E-2</v>
      </c>
      <c r="Q370" s="307">
        <f t="shared" si="126"/>
        <v>0.9</v>
      </c>
      <c r="R370" s="179">
        <f t="shared" si="127"/>
        <v>0.5997757708981144</v>
      </c>
      <c r="S370" s="839">
        <f t="shared" si="128"/>
        <v>-2</v>
      </c>
      <c r="T370" s="178">
        <f t="shared" si="129"/>
        <v>4</v>
      </c>
      <c r="U370" s="253">
        <f t="shared" si="130"/>
        <v>-1.4002242291018856</v>
      </c>
      <c r="V370" s="385">
        <f t="shared" si="131"/>
        <v>15.737155661013999</v>
      </c>
      <c r="W370" s="58"/>
      <c r="X370" s="157">
        <f t="shared" si="132"/>
        <v>43821</v>
      </c>
      <c r="Y370" s="387">
        <f t="shared" si="133"/>
        <v>5.4459999999999997</v>
      </c>
      <c r="Z370" s="387">
        <f t="shared" si="134"/>
        <v>5.5107649005155439</v>
      </c>
      <c r="AA370" s="388">
        <f t="shared" si="135"/>
        <v>6.0544411181232913</v>
      </c>
      <c r="AB370" s="199">
        <f t="shared" si="136"/>
        <v>43821</v>
      </c>
      <c r="AC370" s="428">
        <f>IF(OR(t&lt;Tnet,NoTnet),'2018'!Resal_s+('2018'!Salim-'2018'!Resal_s)*(1-EXP(('2018'!Tnet_s-t)/'2018'!Tau_j)),Resal_s+(Salim-Resal_s)*(1-EXP((Tnet_s-t)/Tau_j)))*Salcycl</f>
        <v>8.9797919741974819E-2</v>
      </c>
      <c r="AD370" s="233">
        <f>(INDEX(Models!$BJ370:$BT370,,AH370)*(1-AF370)+INDEX(Models!$BJ370:$BT370,,AH370+1)*AF370-ERP_i)*AE370*Ramure*Pc/MaxiM</f>
        <v>3.0719497885619337E-2</v>
      </c>
      <c r="AE370" s="307">
        <f t="shared" si="137"/>
        <v>0.9</v>
      </c>
      <c r="AF370" s="179">
        <f t="shared" si="138"/>
        <v>0.5997757708981144</v>
      </c>
      <c r="AG370" s="178">
        <f t="shared" si="139"/>
        <v>-2</v>
      </c>
      <c r="AH370" s="178">
        <f t="shared" si="140"/>
        <v>4</v>
      </c>
      <c r="AI370" s="227">
        <f t="shared" si="141"/>
        <v>-1.4002242291018856</v>
      </c>
      <c r="AJ370" s="267" t="b">
        <f t="shared" si="142"/>
        <v>0</v>
      </c>
      <c r="AK370" s="267" t="b">
        <f t="shared" si="143"/>
        <v>0</v>
      </c>
      <c r="AL370" s="267"/>
      <c r="AM370" s="267"/>
      <c r="AN370" s="267"/>
    </row>
    <row r="371" spans="1:40" s="6" customFormat="1" ht="11.25" customHeight="1" x14ac:dyDescent="0.2">
      <c r="A371" s="56">
        <f t="shared" si="144"/>
        <v>43822</v>
      </c>
      <c r="B371" s="620">
        <v>6.7320000000000002</v>
      </c>
      <c r="C371" s="392"/>
      <c r="D371" s="395">
        <f t="shared" si="123"/>
        <v>6.812216795068017</v>
      </c>
      <c r="E371" s="387">
        <f t="shared" si="145"/>
        <v>7.4852913287189287</v>
      </c>
      <c r="F371" s="387">
        <f t="shared" si="124"/>
        <v>7.5271795534391357</v>
      </c>
      <c r="G371" s="110">
        <f t="shared" si="146"/>
        <v>0.41627810676655885</v>
      </c>
      <c r="H371" s="416" t="b">
        <f>Wh_hp&gt;='2018'!Maxi_hp</f>
        <v>1</v>
      </c>
      <c r="I371" s="392">
        <f>IF(H371,Wh_hp,'2018'!Maxi_hp)</f>
        <v>7.5271795534391357</v>
      </c>
      <c r="J371" s="85">
        <f>IF(H371,An,'2018'!An_max)</f>
        <v>2019</v>
      </c>
      <c r="K371" s="199">
        <f t="shared" si="125"/>
        <v>43822</v>
      </c>
      <c r="L371" s="147">
        <f>IF(t&lt;Tvie,1-EXP((T0-t)*PertePVj)+'2018'!Pspv,1-EXP((T0-t)*PertePVj)+Pspv)</f>
        <v>1.177543191609709E-2</v>
      </c>
      <c r="M371" s="872"/>
      <c r="N371" s="872"/>
      <c r="O371" s="48">
        <f>IF(t&lt;Tnet,'2018'!Resal+('2018'!Salim-'2018'!Resal)*(1-EXP(('2018'!Tnet-t)/('2018'!Tau_j))),Resal+(Salim-Resal)*(1-EXP((Tnet-t)/(Tau_j))))*Salcycl</f>
        <v>8.9919617566321955E-2</v>
      </c>
      <c r="P371" s="171">
        <f>(INDEX(Models!$BJ371:$BT371,,T371)*(1-R371)+INDEX(Models!$BJ371:$BT371,,T371+1)*R371-ERP_i)*Q371*Ramure*Pc/MaxiM</f>
        <v>3.0659592560404146E-2</v>
      </c>
      <c r="Q371" s="307">
        <f t="shared" si="126"/>
        <v>0.9</v>
      </c>
      <c r="R371" s="179">
        <f t="shared" si="127"/>
        <v>0.5997757708981144</v>
      </c>
      <c r="S371" s="839">
        <f t="shared" si="128"/>
        <v>-2</v>
      </c>
      <c r="T371" s="178">
        <f t="shared" si="129"/>
        <v>4</v>
      </c>
      <c r="U371" s="253">
        <f t="shared" si="130"/>
        <v>-1.4002242291018856</v>
      </c>
      <c r="V371" s="385">
        <f t="shared" si="131"/>
        <v>15.763782042893482</v>
      </c>
      <c r="W371" s="58"/>
      <c r="X371" s="157">
        <f t="shared" si="132"/>
        <v>43822</v>
      </c>
      <c r="Y371" s="387">
        <f t="shared" si="133"/>
        <v>6.7320000000000002</v>
      </c>
      <c r="Z371" s="387">
        <f t="shared" si="134"/>
        <v>6.812216795068017</v>
      </c>
      <c r="AA371" s="388">
        <f t="shared" si="135"/>
        <v>7.4852913287189287</v>
      </c>
      <c r="AB371" s="199">
        <f t="shared" si="136"/>
        <v>43822</v>
      </c>
      <c r="AC371" s="428">
        <f>IF(OR(t&lt;Tnet,NoTnet),'2018'!Resal_s+('2018'!Salim-'2018'!Resal_s)*(1-EXP(('2018'!Tnet_s-t)/'2018'!Tau_j)),Resal_s+(Salim-Resal_s)*(1-EXP((Tnet_s-t)/Tau_j)))*Salcycl</f>
        <v>8.9919617566321955E-2</v>
      </c>
      <c r="AD371" s="233">
        <f>(INDEX(Models!$BJ371:$BT371,,AH371)*(1-AF371)+INDEX(Models!$BJ371:$BT371,,AH371+1)*AF371-ERP_i)*AE371*Ramure*Pc/MaxiM</f>
        <v>3.0659592560404146E-2</v>
      </c>
      <c r="AE371" s="307">
        <f t="shared" si="137"/>
        <v>0.9</v>
      </c>
      <c r="AF371" s="179">
        <f t="shared" si="138"/>
        <v>0.5997757708981144</v>
      </c>
      <c r="AG371" s="178">
        <f t="shared" si="139"/>
        <v>-2</v>
      </c>
      <c r="AH371" s="178">
        <f t="shared" si="140"/>
        <v>4</v>
      </c>
      <c r="AI371" s="227">
        <f t="shared" si="141"/>
        <v>-1.4002242291018856</v>
      </c>
      <c r="AJ371" s="267" t="b">
        <f t="shared" si="142"/>
        <v>0</v>
      </c>
      <c r="AK371" s="267" t="b">
        <f t="shared" si="143"/>
        <v>0</v>
      </c>
      <c r="AL371" s="267"/>
      <c r="AM371" s="267"/>
      <c r="AN371" s="75"/>
    </row>
    <row r="372" spans="1:40" s="6" customFormat="1" ht="11.25" customHeight="1" x14ac:dyDescent="0.2">
      <c r="A372" s="56">
        <f t="shared" si="144"/>
        <v>43823</v>
      </c>
      <c r="B372" s="620">
        <v>12.176</v>
      </c>
      <c r="C372" s="392"/>
      <c r="D372" s="395">
        <f t="shared" si="123"/>
        <v>12.321372846974587</v>
      </c>
      <c r="E372" s="387">
        <f t="shared" si="145"/>
        <v>13.540594089823164</v>
      </c>
      <c r="F372" s="387">
        <f t="shared" si="124"/>
        <v>13.824735363965539</v>
      </c>
      <c r="G372" s="110">
        <f t="shared" si="146"/>
        <v>0.7627524364883983</v>
      </c>
      <c r="H372" s="416" t="b">
        <f>Wh_hp&gt;='2018'!Maxi_hp</f>
        <v>1</v>
      </c>
      <c r="I372" s="392">
        <f>IF(H372,Wh_hp,'2018'!Maxi_hp)</f>
        <v>13.824735363965539</v>
      </c>
      <c r="J372" s="85">
        <f>IF(H372,An,'2018'!An_max)</f>
        <v>2019</v>
      </c>
      <c r="K372" s="199">
        <f t="shared" si="125"/>
        <v>43823</v>
      </c>
      <c r="L372" s="147">
        <f>IF(t&lt;Tvie,1-EXP((T0-t)*PertePVj)+'2018'!Pspv,1-EXP((T0-t)*PertePVj)+Pspv)</f>
        <v>1.1798429345499573E-2</v>
      </c>
      <c r="M372" s="872"/>
      <c r="N372" s="872"/>
      <c r="O372" s="48">
        <f>IF(t&lt;Tnet,'2018'!Resal+('2018'!Salim-'2018'!Resal)*(1-EXP(('2018'!Tnet-t)/('2018'!Tau_j))),Resal+(Salim-Resal)*(1-EXP((Tnet-t)/(Tau_j))))*Salcycl</f>
        <v>9.0041931303805917E-2</v>
      </c>
      <c r="P372" s="171">
        <f>(INDEX(Models!$BJ372:$BT372,,T372)*(1-R372)+INDEX(Models!$BJ372:$BT372,,T372+1)*R372-ERP_i)*Q372*Ramure*Pc/MaxiM</f>
        <v>3.0569799479892953E-2</v>
      </c>
      <c r="Q372" s="307">
        <f t="shared" si="126"/>
        <v>0.9</v>
      </c>
      <c r="R372" s="179">
        <f t="shared" si="127"/>
        <v>0.5997757708981144</v>
      </c>
      <c r="S372" s="839">
        <f t="shared" si="128"/>
        <v>-2</v>
      </c>
      <c r="T372" s="178">
        <f t="shared" si="129"/>
        <v>4</v>
      </c>
      <c r="U372" s="253">
        <f t="shared" si="130"/>
        <v>-1.4002242291018856</v>
      </c>
      <c r="V372" s="385">
        <f t="shared" si="131"/>
        <v>15.79998549732281</v>
      </c>
      <c r="W372" s="58"/>
      <c r="X372" s="157">
        <f t="shared" si="132"/>
        <v>43823</v>
      </c>
      <c r="Y372" s="387">
        <f t="shared" si="133"/>
        <v>12.176</v>
      </c>
      <c r="Z372" s="387">
        <f t="shared" si="134"/>
        <v>12.321372846974587</v>
      </c>
      <c r="AA372" s="388">
        <f t="shared" si="135"/>
        <v>13.540594089823164</v>
      </c>
      <c r="AB372" s="199">
        <f t="shared" si="136"/>
        <v>43823</v>
      </c>
      <c r="AC372" s="428">
        <f>IF(OR(t&lt;Tnet,NoTnet),'2018'!Resal_s+('2018'!Salim-'2018'!Resal_s)*(1-EXP(('2018'!Tnet_s-t)/'2018'!Tau_j)),Resal_s+(Salim-Resal_s)*(1-EXP((Tnet_s-t)/Tau_j)))*Salcycl</f>
        <v>9.0041931303805917E-2</v>
      </c>
      <c r="AD372" s="233">
        <f>(INDEX(Models!$BJ372:$BT372,,AH372)*(1-AF372)+INDEX(Models!$BJ372:$BT372,,AH372+1)*AF372-ERP_i)*AE372*Ramure*Pc/MaxiM</f>
        <v>3.0569799479892953E-2</v>
      </c>
      <c r="AE372" s="307">
        <f t="shared" si="137"/>
        <v>0.9</v>
      </c>
      <c r="AF372" s="179">
        <f t="shared" si="138"/>
        <v>0.5997757708981144</v>
      </c>
      <c r="AG372" s="178">
        <f t="shared" si="139"/>
        <v>-2</v>
      </c>
      <c r="AH372" s="178">
        <f t="shared" si="140"/>
        <v>4</v>
      </c>
      <c r="AI372" s="227">
        <f t="shared" si="141"/>
        <v>-1.4002242291018856</v>
      </c>
      <c r="AJ372" s="267" t="b">
        <f t="shared" si="142"/>
        <v>0</v>
      </c>
      <c r="AK372" s="267" t="b">
        <f t="shared" si="143"/>
        <v>0</v>
      </c>
      <c r="AL372" s="267"/>
      <c r="AM372" s="267"/>
      <c r="AN372" s="75"/>
    </row>
    <row r="373" spans="1:40" s="6" customFormat="1" ht="11.25" customHeight="1" x14ac:dyDescent="0.2">
      <c r="A373" s="56">
        <f t="shared" si="144"/>
        <v>43824</v>
      </c>
      <c r="B373" s="620">
        <v>9.0990000000000002</v>
      </c>
      <c r="C373" s="392"/>
      <c r="D373" s="395">
        <f t="shared" si="123"/>
        <v>9.2078499186395959</v>
      </c>
      <c r="E373" s="387">
        <f t="shared" si="145"/>
        <v>10.120349151596072</v>
      </c>
      <c r="F373" s="387">
        <f t="shared" si="124"/>
        <v>10.242521620590912</v>
      </c>
      <c r="G373" s="110">
        <f t="shared" si="146"/>
        <v>0.56344531211747595</v>
      </c>
      <c r="H373" s="416" t="b">
        <f>Wh_hp&gt;='2018'!Maxi_hp</f>
        <v>0</v>
      </c>
      <c r="I373" s="392">
        <f>IF(H373,Wh_hp,'2018'!Maxi_hp)</f>
        <v>13.899256266993024</v>
      </c>
      <c r="J373" s="85">
        <f>IF(H373,An,'2018'!An_max)</f>
        <v>2018</v>
      </c>
      <c r="K373" s="199">
        <f t="shared" si="125"/>
        <v>43824</v>
      </c>
      <c r="L373" s="147">
        <f>IF(t&lt;Tvie,1-EXP((T0-t)*PertePVj)+'2018'!Pspv,1-EXP((T0-t)*PertePVj)+Pspv)</f>
        <v>1.182142623971838E-2</v>
      </c>
      <c r="M373" s="872"/>
      <c r="N373" s="872"/>
      <c r="O373" s="48">
        <f>IF(t&lt;Tnet,'2018'!Resal+('2018'!Salim-'2018'!Resal)*(1-EXP(('2018'!Tnet-t)/('2018'!Tau_j))),Resal+(Salim-Resal)*(1-EXP((Tnet-t)/(Tau_j))))*Salcycl</f>
        <v>9.0164797606075334E-2</v>
      </c>
      <c r="P373" s="171">
        <f>(INDEX(Models!$BJ373:$BT373,,T373)*(1-R373)+INDEX(Models!$BJ373:$BT373,,T373+1)*R373-ERP_i)*Q373*Ramure*Pc/MaxiM</f>
        <v>3.0449680429228004E-2</v>
      </c>
      <c r="Q373" s="307">
        <f t="shared" si="126"/>
        <v>0.9</v>
      </c>
      <c r="R373" s="179">
        <f t="shared" si="127"/>
        <v>0.5997757708981144</v>
      </c>
      <c r="S373" s="839">
        <f t="shared" si="128"/>
        <v>-2</v>
      </c>
      <c r="T373" s="178">
        <f t="shared" si="129"/>
        <v>4</v>
      </c>
      <c r="U373" s="253">
        <f t="shared" si="130"/>
        <v>-1.4002242291018856</v>
      </c>
      <c r="V373" s="385">
        <f t="shared" si="131"/>
        <v>15.846145613724934</v>
      </c>
      <c r="W373" s="58"/>
      <c r="X373" s="157">
        <f t="shared" si="132"/>
        <v>43824</v>
      </c>
      <c r="Y373" s="387">
        <f t="shared" si="133"/>
        <v>9.0990000000000002</v>
      </c>
      <c r="Z373" s="387">
        <f t="shared" si="134"/>
        <v>9.2078499186395959</v>
      </c>
      <c r="AA373" s="388">
        <f t="shared" si="135"/>
        <v>10.120349151596072</v>
      </c>
      <c r="AB373" s="199">
        <f t="shared" si="136"/>
        <v>43824</v>
      </c>
      <c r="AC373" s="428">
        <f>IF(OR(t&lt;Tnet,NoTnet),'2018'!Resal_s+('2018'!Salim-'2018'!Resal_s)*(1-EXP(('2018'!Tnet_s-t)/'2018'!Tau_j)),Resal_s+(Salim-Resal_s)*(1-EXP((Tnet_s-t)/Tau_j)))*Salcycl</f>
        <v>9.0164797606075334E-2</v>
      </c>
      <c r="AD373" s="233">
        <f>(INDEX(Models!$BJ373:$BT373,,AH373)*(1-AF373)+INDEX(Models!$BJ373:$BT373,,AH373+1)*AF373-ERP_i)*AE373*Ramure*Pc/MaxiM</f>
        <v>3.0449680429228004E-2</v>
      </c>
      <c r="AE373" s="307">
        <f t="shared" si="137"/>
        <v>0.9</v>
      </c>
      <c r="AF373" s="179">
        <f t="shared" si="138"/>
        <v>0.5997757708981144</v>
      </c>
      <c r="AG373" s="178">
        <f t="shared" si="139"/>
        <v>-2</v>
      </c>
      <c r="AH373" s="178">
        <f t="shared" si="140"/>
        <v>4</v>
      </c>
      <c r="AI373" s="227">
        <f t="shared" si="141"/>
        <v>-1.4002242291018856</v>
      </c>
      <c r="AJ373" s="267" t="b">
        <f t="shared" si="142"/>
        <v>0</v>
      </c>
      <c r="AK373" s="267" t="b">
        <f t="shared" si="143"/>
        <v>0</v>
      </c>
      <c r="AL373" s="267"/>
      <c r="AM373" s="267"/>
      <c r="AN373" s="75"/>
    </row>
    <row r="374" spans="1:40" s="6" customFormat="1" ht="11.25" customHeight="1" x14ac:dyDescent="0.2">
      <c r="A374" s="56">
        <f t="shared" si="144"/>
        <v>43825</v>
      </c>
      <c r="B374" s="620">
        <v>5.6849999999999996</v>
      </c>
      <c r="C374" s="392"/>
      <c r="D374" s="395">
        <f t="shared" si="123"/>
        <v>5.7531426528513556</v>
      </c>
      <c r="E374" s="387">
        <f t="shared" si="145"/>
        <v>6.3241373519590951</v>
      </c>
      <c r="F374" s="387">
        <f t="shared" si="124"/>
        <v>6.3399146839684182</v>
      </c>
      <c r="G374" s="110">
        <f t="shared" si="146"/>
        <v>0.3475260328660551</v>
      </c>
      <c r="H374" s="416" t="b">
        <f>Wh_hp&gt;='2018'!Maxi_hp</f>
        <v>0</v>
      </c>
      <c r="I374" s="392">
        <f>IF(H374,Wh_hp,'2018'!Maxi_hp)</f>
        <v>17.569018811526597</v>
      </c>
      <c r="J374" s="85">
        <f>IF(H374,An,'2018'!An_max)</f>
        <v>2018</v>
      </c>
      <c r="K374" s="199">
        <f t="shared" si="125"/>
        <v>43825</v>
      </c>
      <c r="L374" s="147">
        <f>IF(t&lt;Tvie,1-EXP((T0-t)*PertePVj)+'2018'!Pspv,1-EXP((T0-t)*PertePVj)+Pspv)</f>
        <v>1.1844422598765725E-2</v>
      </c>
      <c r="M374" s="872"/>
      <c r="N374" s="872"/>
      <c r="O374" s="48">
        <f>IF(t&lt;Tnet,'2018'!Resal+('2018'!Salim-'2018'!Resal)*(1-EXP(('2018'!Tnet-t)/('2018'!Tau_j))),Resal+(Salim-Resal)*(1-EXP((Tnet-t)/(Tau_j))))*Salcycl</f>
        <v>9.0288155890677471E-2</v>
      </c>
      <c r="P374" s="171">
        <f>(INDEX(Models!$BJ374:$BT374,,T374)*(1-R374)+INDEX(Models!$BJ374:$BT374,,T374+1)*R374-ERP_i)*Q374*Ramure*Pc/MaxiM</f>
        <v>3.0299346940958295E-2</v>
      </c>
      <c r="Q374" s="307">
        <f t="shared" si="126"/>
        <v>0.9</v>
      </c>
      <c r="R374" s="179">
        <f t="shared" si="127"/>
        <v>0.5997757708981144</v>
      </c>
      <c r="S374" s="839">
        <f t="shared" si="128"/>
        <v>-2</v>
      </c>
      <c r="T374" s="178">
        <f t="shared" si="129"/>
        <v>4</v>
      </c>
      <c r="U374" s="253">
        <f t="shared" si="130"/>
        <v>-1.4002242291018856</v>
      </c>
      <c r="V374" s="385">
        <f t="shared" si="131"/>
        <v>15.902409559351387</v>
      </c>
      <c r="W374" s="58"/>
      <c r="X374" s="157">
        <f t="shared" si="132"/>
        <v>43825</v>
      </c>
      <c r="Y374" s="387">
        <f t="shared" si="133"/>
        <v>5.6849999999999996</v>
      </c>
      <c r="Z374" s="387">
        <f t="shared" si="134"/>
        <v>5.7531426528513556</v>
      </c>
      <c r="AA374" s="388">
        <f t="shared" si="135"/>
        <v>6.3241373519590951</v>
      </c>
      <c r="AB374" s="199">
        <f t="shared" si="136"/>
        <v>43825</v>
      </c>
      <c r="AC374" s="428">
        <f>IF(OR(t&lt;Tnet,NoTnet),'2018'!Resal_s+('2018'!Salim-'2018'!Resal_s)*(1-EXP(('2018'!Tnet_s-t)/'2018'!Tau_j)),Resal_s+(Salim-Resal_s)*(1-EXP((Tnet_s-t)/Tau_j)))*Salcycl</f>
        <v>9.0288155890677471E-2</v>
      </c>
      <c r="AD374" s="233">
        <f>(INDEX(Models!$BJ374:$BT374,,AH374)*(1-AF374)+INDEX(Models!$BJ374:$BT374,,AH374+1)*AF374-ERP_i)*AE374*Ramure*Pc/MaxiM</f>
        <v>3.0299346940958295E-2</v>
      </c>
      <c r="AE374" s="307">
        <f t="shared" si="137"/>
        <v>0.9</v>
      </c>
      <c r="AF374" s="179">
        <f t="shared" si="138"/>
        <v>0.5997757708981144</v>
      </c>
      <c r="AG374" s="178">
        <f t="shared" si="139"/>
        <v>-2</v>
      </c>
      <c r="AH374" s="178">
        <f t="shared" si="140"/>
        <v>4</v>
      </c>
      <c r="AI374" s="227">
        <f t="shared" si="141"/>
        <v>-1.4002242291018856</v>
      </c>
      <c r="AJ374" s="267" t="b">
        <f t="shared" si="142"/>
        <v>0</v>
      </c>
      <c r="AK374" s="267" t="b">
        <f t="shared" si="143"/>
        <v>0</v>
      </c>
      <c r="AL374" s="267"/>
      <c r="AM374" s="267"/>
      <c r="AN374" s="75"/>
    </row>
    <row r="375" spans="1:40" s="6" customFormat="1" ht="11.25" customHeight="1" x14ac:dyDescent="0.2">
      <c r="A375" s="56">
        <f t="shared" si="144"/>
        <v>43826</v>
      </c>
      <c r="B375" s="620">
        <v>13.814</v>
      </c>
      <c r="C375" s="392"/>
      <c r="D375" s="395">
        <f t="shared" si="123"/>
        <v>13.979905386733485</v>
      </c>
      <c r="E375" s="387">
        <f t="shared" si="145"/>
        <v>15.369491018670621</v>
      </c>
      <c r="F375" s="387">
        <f t="shared" si="124"/>
        <v>15.752415725295361</v>
      </c>
      <c r="G375" s="110">
        <f t="shared" si="146"/>
        <v>0.85992399550593712</v>
      </c>
      <c r="H375" s="416" t="b">
        <f>Wh_hp&gt;='2018'!Maxi_hp</f>
        <v>0</v>
      </c>
      <c r="I375" s="392">
        <f>IF(H375,Wh_hp,'2018'!Maxi_hp)</f>
        <v>17.805021501401317</v>
      </c>
      <c r="J375" s="85">
        <f>IF(H375,An,'2018'!An_max)</f>
        <v>2018</v>
      </c>
      <c r="K375" s="199">
        <f t="shared" si="125"/>
        <v>43826</v>
      </c>
      <c r="L375" s="147">
        <f>IF(t&lt;Tvie,1-EXP((T0-t)*PertePVj)+'2018'!Pspv,1-EXP((T0-t)*PertePVj)+Pspv)</f>
        <v>1.1867418422654263E-2</v>
      </c>
      <c r="M375" s="872"/>
      <c r="N375" s="872"/>
      <c r="O375" s="48">
        <f>IF(t&lt;Tnet,'2018'!Resal+('2018'!Salim-'2018'!Resal)*(1-EXP(('2018'!Tnet-t)/('2018'!Tau_j))),Resal+(Salim-Resal)*(1-EXP((Tnet-t)/(Tau_j))))*Salcycl</f>
        <v>9.0411948596676853E-2</v>
      </c>
      <c r="P375" s="171">
        <f>(INDEX(Models!$BJ375:$BT375,,T375)*(1-R375)+INDEX(Models!$BJ375:$BT375,,T375+1)*R375-ERP_i)*Q375*Ramure*Pc/MaxiM</f>
        <v>3.0113528882621136E-2</v>
      </c>
      <c r="Q375" s="307">
        <f t="shared" si="126"/>
        <v>0.9</v>
      </c>
      <c r="R375" s="179">
        <f t="shared" si="127"/>
        <v>0.5997757708981144</v>
      </c>
      <c r="S375" s="839">
        <f t="shared" si="128"/>
        <v>-2</v>
      </c>
      <c r="T375" s="178">
        <f t="shared" si="129"/>
        <v>4</v>
      </c>
      <c r="U375" s="253">
        <f t="shared" si="130"/>
        <v>-1.4002242291018856</v>
      </c>
      <c r="V375" s="385">
        <f t="shared" si="131"/>
        <v>15.968641268188993</v>
      </c>
      <c r="W375" s="58"/>
      <c r="X375" s="157">
        <f t="shared" si="132"/>
        <v>43826</v>
      </c>
      <c r="Y375" s="387">
        <f t="shared" si="133"/>
        <v>13.814</v>
      </c>
      <c r="Z375" s="387">
        <f t="shared" si="134"/>
        <v>13.979905386733485</v>
      </c>
      <c r="AA375" s="388">
        <f t="shared" si="135"/>
        <v>15.369491018670621</v>
      </c>
      <c r="AB375" s="199">
        <f t="shared" si="136"/>
        <v>43826</v>
      </c>
      <c r="AC375" s="428">
        <f>IF(OR(t&lt;Tnet,NoTnet),'2018'!Resal_s+('2018'!Salim-'2018'!Resal_s)*(1-EXP(('2018'!Tnet_s-t)/'2018'!Tau_j)),Resal_s+(Salim-Resal_s)*(1-EXP((Tnet_s-t)/Tau_j)))*Salcycl</f>
        <v>9.0411948596676853E-2</v>
      </c>
      <c r="AD375" s="233">
        <f>(INDEX(Models!$BJ375:$BT375,,AH375)*(1-AF375)+INDEX(Models!$BJ375:$BT375,,AH375+1)*AF375-ERP_i)*AE375*Ramure*Pc/MaxiM</f>
        <v>3.0113528882621136E-2</v>
      </c>
      <c r="AE375" s="307">
        <f t="shared" si="137"/>
        <v>0.9</v>
      </c>
      <c r="AF375" s="179">
        <f t="shared" si="138"/>
        <v>0.5997757708981144</v>
      </c>
      <c r="AG375" s="178">
        <f t="shared" si="139"/>
        <v>-2</v>
      </c>
      <c r="AH375" s="178">
        <f t="shared" si="140"/>
        <v>4</v>
      </c>
      <c r="AI375" s="227">
        <f t="shared" si="141"/>
        <v>-1.4002242291018856</v>
      </c>
      <c r="AJ375" s="267" t="b">
        <f t="shared" si="142"/>
        <v>0</v>
      </c>
      <c r="AK375" s="267" t="b">
        <f t="shared" si="143"/>
        <v>0</v>
      </c>
      <c r="AL375" s="267"/>
      <c r="AM375" s="267"/>
      <c r="AN375" s="75"/>
    </row>
    <row r="376" spans="1:40" s="6" customFormat="1" ht="11.25" customHeight="1" x14ac:dyDescent="0.2">
      <c r="A376" s="56">
        <f t="shared" si="144"/>
        <v>43827</v>
      </c>
      <c r="B376" s="620">
        <v>3.395</v>
      </c>
      <c r="C376" s="392"/>
      <c r="D376" s="395">
        <f t="shared" si="123"/>
        <v>3.4358537222089049</v>
      </c>
      <c r="E376" s="387">
        <f t="shared" si="145"/>
        <v>3.7778891532408703</v>
      </c>
      <c r="F376" s="387">
        <f t="shared" si="124"/>
        <v>3.7778891532408703</v>
      </c>
      <c r="G376" s="110">
        <f t="shared" si="146"/>
        <v>0.20527228039851872</v>
      </c>
      <c r="H376" s="416" t="b">
        <f>Wh_hp&gt;='2018'!Maxi_hp</f>
        <v>1</v>
      </c>
      <c r="I376" s="392">
        <f>IF(H376,Wh_hp,'2018'!Maxi_hp)</f>
        <v>3.7778891532408703</v>
      </c>
      <c r="J376" s="85">
        <f>IF(H376,An,'2018'!An_max)</f>
        <v>2019</v>
      </c>
      <c r="K376" s="199">
        <f t="shared" si="125"/>
        <v>43827</v>
      </c>
      <c r="L376" s="147">
        <f>IF(t&lt;Tvie,1-EXP((T0-t)*PertePVj)+'2018'!Pspv,1-EXP((T0-t)*PertePVj)+Pspv)</f>
        <v>1.1890413711396319E-2</v>
      </c>
      <c r="M376" s="872"/>
      <c r="N376" s="872"/>
      <c r="O376" s="48">
        <f>IF(t&lt;Tnet,'2018'!Resal+('2018'!Salim-'2018'!Resal)*(1-EXP(('2018'!Tnet-t)/('2018'!Tau_j))),Resal+(Salim-Resal)*(1-EXP((Tnet-t)/(Tau_j))))*Salcycl</f>
        <v>9.0536121404872189E-2</v>
      </c>
      <c r="P376" s="171">
        <f>(INDEX(Models!$BJ376:$BT376,,T376)*(1-R376)+INDEX(Models!$BJ376:$BT376,,T376+1)*R376-ERP_i)*Q376*Ramure*Pc/MaxiM</f>
        <v>2.989993117861391E-2</v>
      </c>
      <c r="Q376" s="307">
        <f t="shared" si="126"/>
        <v>0.9</v>
      </c>
      <c r="R376" s="179">
        <f t="shared" si="127"/>
        <v>0.5997757708981144</v>
      </c>
      <c r="S376" s="839">
        <f t="shared" si="128"/>
        <v>-2</v>
      </c>
      <c r="T376" s="178">
        <f t="shared" si="129"/>
        <v>4</v>
      </c>
      <c r="U376" s="253">
        <f t="shared" si="130"/>
        <v>-1.4002242291018856</v>
      </c>
      <c r="V376" s="385">
        <f t="shared" si="131"/>
        <v>16.044493329808464</v>
      </c>
      <c r="W376" s="58"/>
      <c r="X376" s="157">
        <f t="shared" si="132"/>
        <v>43827</v>
      </c>
      <c r="Y376" s="387">
        <f t="shared" si="133"/>
        <v>3.395</v>
      </c>
      <c r="Z376" s="387">
        <f t="shared" si="134"/>
        <v>3.4358537222089049</v>
      </c>
      <c r="AA376" s="388">
        <f t="shared" si="135"/>
        <v>3.7778891532408703</v>
      </c>
      <c r="AB376" s="199">
        <f t="shared" si="136"/>
        <v>43827</v>
      </c>
      <c r="AC376" s="428">
        <f>IF(OR(t&lt;Tnet,NoTnet),'2018'!Resal_s+('2018'!Salim-'2018'!Resal_s)*(1-EXP(('2018'!Tnet_s-t)/'2018'!Tau_j)),Resal_s+(Salim-Resal_s)*(1-EXP((Tnet_s-t)/Tau_j)))*Salcycl</f>
        <v>9.0536121404872189E-2</v>
      </c>
      <c r="AD376" s="233">
        <f>(INDEX(Models!$BJ376:$BT376,,AH376)*(1-AF376)+INDEX(Models!$BJ376:$BT376,,AH376+1)*AF376-ERP_i)*AE376*Ramure*Pc/MaxiM</f>
        <v>2.989993117861391E-2</v>
      </c>
      <c r="AE376" s="307">
        <f t="shared" si="137"/>
        <v>0.9</v>
      </c>
      <c r="AF376" s="179">
        <f t="shared" si="138"/>
        <v>0.5997757708981144</v>
      </c>
      <c r="AG376" s="178">
        <f t="shared" si="139"/>
        <v>-2</v>
      </c>
      <c r="AH376" s="178">
        <f t="shared" si="140"/>
        <v>4</v>
      </c>
      <c r="AI376" s="227">
        <f t="shared" si="141"/>
        <v>-1.4002242291018856</v>
      </c>
      <c r="AJ376" s="267" t="b">
        <f t="shared" si="142"/>
        <v>0</v>
      </c>
      <c r="AK376" s="267" t="b">
        <f t="shared" si="143"/>
        <v>0</v>
      </c>
      <c r="AL376" s="267"/>
      <c r="AM376" s="267"/>
      <c r="AN376" s="75"/>
    </row>
    <row r="377" spans="1:40" s="6" customFormat="1" ht="11.25" x14ac:dyDescent="0.2">
      <c r="A377" s="56">
        <f t="shared" si="144"/>
        <v>43828</v>
      </c>
      <c r="B377" s="620">
        <v>16.550999999999998</v>
      </c>
      <c r="C377" s="392"/>
      <c r="D377" s="395">
        <f t="shared" si="123"/>
        <v>16.750556218243958</v>
      </c>
      <c r="E377" s="387">
        <f t="shared" si="145"/>
        <v>18.420577234073232</v>
      </c>
      <c r="F377" s="387">
        <f t="shared" si="124"/>
        <v>18.983624487934243</v>
      </c>
      <c r="G377" s="110">
        <f t="shared" si="146"/>
        <v>1.0261177469841685</v>
      </c>
      <c r="H377" s="416" t="b">
        <f>Wh_hp&gt;='2018'!Maxi_hp</f>
        <v>1</v>
      </c>
      <c r="I377" s="392">
        <f>IF(H377,Wh_hp,'2018'!Maxi_hp)</f>
        <v>18.983624487934243</v>
      </c>
      <c r="J377" s="85">
        <f>IF(H377,An,'2018'!An_max)</f>
        <v>2019</v>
      </c>
      <c r="K377" s="199">
        <f t="shared" si="125"/>
        <v>43828</v>
      </c>
      <c r="L377" s="147">
        <f>IF(t&lt;Tvie,1-EXP((T0-t)*PertePVj)+'2018'!Pspv,1-EXP((T0-t)*PertePVj)+Pspv)</f>
        <v>1.1913408465004438E-2</v>
      </c>
      <c r="M377" s="872"/>
      <c r="N377" s="872"/>
      <c r="O377" s="48">
        <f>IF(t&lt;Tnet,'2018'!Resal+('2018'!Salim-'2018'!Resal)*(1-EXP(('2018'!Tnet-t)/('2018'!Tau_j))),Resal+(Salim-Resal)*(1-EXP((Tnet-t)/(Tau_j))))*Salcycl</f>
        <v>9.0660623421733727E-2</v>
      </c>
      <c r="P377" s="171">
        <f>(INDEX(Models!$BJ377:$BT377,,T377)*(1-R377)+INDEX(Models!$BJ377:$BT377,,T377+1)*R377-ERP_i)*Q377*Ramure*Pc/MaxiM</f>
        <v>2.9659628708884247E-2</v>
      </c>
      <c r="Q377" s="307">
        <f t="shared" si="126"/>
        <v>0.9</v>
      </c>
      <c r="R377" s="179">
        <f t="shared" si="127"/>
        <v>0.5997757708981144</v>
      </c>
      <c r="S377" s="839">
        <f t="shared" si="128"/>
        <v>-2</v>
      </c>
      <c r="T377" s="178">
        <f t="shared" si="129"/>
        <v>4</v>
      </c>
      <c r="U377" s="253">
        <f t="shared" si="130"/>
        <v>-1.4002242291018856</v>
      </c>
      <c r="V377" s="385">
        <f t="shared" si="131"/>
        <v>16.129727849113355</v>
      </c>
      <c r="W377" s="58"/>
      <c r="X377" s="157">
        <f t="shared" si="132"/>
        <v>43828</v>
      </c>
      <c r="Y377" s="387">
        <f t="shared" si="133"/>
        <v>16.550999999999998</v>
      </c>
      <c r="Z377" s="387">
        <f t="shared" si="134"/>
        <v>16.750556218243958</v>
      </c>
      <c r="AA377" s="388">
        <f t="shared" si="135"/>
        <v>18.420577234073232</v>
      </c>
      <c r="AB377" s="199">
        <f t="shared" si="136"/>
        <v>43828</v>
      </c>
      <c r="AC377" s="428">
        <f>IF(OR(t&lt;Tnet,NoTnet),'2018'!Resal_s+('2018'!Salim-'2018'!Resal_s)*(1-EXP(('2018'!Tnet_s-t)/'2018'!Tau_j)),Resal_s+(Salim-Resal_s)*(1-EXP((Tnet_s-t)/Tau_j)))*Salcycl</f>
        <v>9.0660623421733727E-2</v>
      </c>
      <c r="AD377" s="233">
        <f>(INDEX(Models!$BJ377:$BT377,,AH377)*(1-AF377)+INDEX(Models!$BJ377:$BT377,,AH377+1)*AF377-ERP_i)*AE377*Ramure*Pc/MaxiM</f>
        <v>2.9659628708884247E-2</v>
      </c>
      <c r="AE377" s="307">
        <f t="shared" si="137"/>
        <v>0.9</v>
      </c>
      <c r="AF377" s="179">
        <f t="shared" si="138"/>
        <v>0.5997757708981144</v>
      </c>
      <c r="AG377" s="178">
        <f t="shared" si="139"/>
        <v>-2</v>
      </c>
      <c r="AH377" s="178">
        <f t="shared" si="140"/>
        <v>4</v>
      </c>
      <c r="AI377" s="227">
        <f t="shared" si="141"/>
        <v>-1.4002242291018856</v>
      </c>
      <c r="AJ377" s="267" t="b">
        <f t="shared" si="142"/>
        <v>0</v>
      </c>
      <c r="AK377" s="267" t="b">
        <f t="shared" si="143"/>
        <v>0</v>
      </c>
      <c r="AL377" s="267"/>
      <c r="AM377" s="267"/>
      <c r="AN377" s="75"/>
    </row>
    <row r="378" spans="1:40" s="6" customFormat="1" ht="11.25" customHeight="1" x14ac:dyDescent="0.2">
      <c r="A378" s="56">
        <f t="shared" si="144"/>
        <v>43829</v>
      </c>
      <c r="B378" s="620">
        <v>15.805</v>
      </c>
      <c r="C378" s="392"/>
      <c r="D378" s="395">
        <f t="shared" si="123"/>
        <v>15.995933908429523</v>
      </c>
      <c r="E378" s="387">
        <f t="shared" si="145"/>
        <v>17.593133719284797</v>
      </c>
      <c r="F378" s="387">
        <f t="shared" si="124"/>
        <v>18.10568803478461</v>
      </c>
      <c r="G378" s="110">
        <f t="shared" si="146"/>
        <v>0.97308014350073924</v>
      </c>
      <c r="H378" s="416" t="b">
        <f>Wh_hp&gt;='2018'!Maxi_hp</f>
        <v>1</v>
      </c>
      <c r="I378" s="392">
        <f>IF(H378,Wh_hp,'2018'!Maxi_hp)</f>
        <v>18.10568803478461</v>
      </c>
      <c r="J378" s="85">
        <f>IF(H378,An,'2018'!An_max)</f>
        <v>2019</v>
      </c>
      <c r="K378" s="199">
        <f t="shared" si="125"/>
        <v>43829</v>
      </c>
      <c r="L378" s="147">
        <f>IF(t&lt;Tvie,1-EXP((T0-t)*PertePVj)+'2018'!Pspv,1-EXP((T0-t)*PertePVj)+Pspv)</f>
        <v>1.1936402683491054E-2</v>
      </c>
      <c r="M378" s="872"/>
      <c r="N378" s="872"/>
      <c r="O378" s="48">
        <f>IF(t&lt;Tnet,'2018'!Resal+('2018'!Salim-'2018'!Resal)*(1-EXP(('2018'!Tnet-t)/('2018'!Tau_j))),Resal+(Salim-Resal)*(1-EXP((Tnet-t)/(Tau_j))))*Salcycl</f>
        <v>9.0785407326523931E-2</v>
      </c>
      <c r="P378" s="171">
        <f>(INDEX(Models!$BJ378:$BT378,,T378)*(1-R378)+INDEX(Models!$BJ378:$BT378,,T378+1)*R378-ERP_i)*Q378*Ramure*Pc/MaxiM</f>
        <v>2.9393750317999852E-2</v>
      </c>
      <c r="Q378" s="307">
        <f t="shared" si="126"/>
        <v>0.9</v>
      </c>
      <c r="R378" s="179">
        <f t="shared" si="127"/>
        <v>0.5997757708981144</v>
      </c>
      <c r="S378" s="839">
        <f t="shared" si="128"/>
        <v>-2</v>
      </c>
      <c r="T378" s="178">
        <f t="shared" si="129"/>
        <v>4</v>
      </c>
      <c r="U378" s="253">
        <f t="shared" si="130"/>
        <v>-1.4002242291018856</v>
      </c>
      <c r="V378" s="385">
        <f t="shared" si="131"/>
        <v>16.224107023815424</v>
      </c>
      <c r="W378" s="58"/>
      <c r="X378" s="157">
        <f t="shared" si="132"/>
        <v>43829</v>
      </c>
      <c r="Y378" s="387">
        <f t="shared" si="133"/>
        <v>15.805</v>
      </c>
      <c r="Z378" s="387">
        <f t="shared" si="134"/>
        <v>15.995933908429523</v>
      </c>
      <c r="AA378" s="388">
        <f t="shared" si="135"/>
        <v>17.593133719284797</v>
      </c>
      <c r="AB378" s="199">
        <f t="shared" si="136"/>
        <v>43829</v>
      </c>
      <c r="AC378" s="428">
        <f>IF(OR(t&lt;Tnet,NoTnet),'2018'!Resal_s+('2018'!Salim-'2018'!Resal_s)*(1-EXP(('2018'!Tnet_s-t)/'2018'!Tau_j)),Resal_s+(Salim-Resal_s)*(1-EXP((Tnet_s-t)/Tau_j)))*Salcycl</f>
        <v>9.0785407326523931E-2</v>
      </c>
      <c r="AD378" s="233">
        <f>(INDEX(Models!$BJ378:$BT378,,AH378)*(1-AF378)+INDEX(Models!$BJ378:$BT378,,AH378+1)*AF378-ERP_i)*AE378*Ramure*Pc/MaxiM</f>
        <v>2.9393750317999852E-2</v>
      </c>
      <c r="AE378" s="307">
        <f t="shared" si="137"/>
        <v>0.9</v>
      </c>
      <c r="AF378" s="179">
        <f t="shared" si="138"/>
        <v>0.5997757708981144</v>
      </c>
      <c r="AG378" s="178">
        <f t="shared" si="139"/>
        <v>-2</v>
      </c>
      <c r="AH378" s="178">
        <f t="shared" si="140"/>
        <v>4</v>
      </c>
      <c r="AI378" s="227">
        <f t="shared" si="141"/>
        <v>-1.4002242291018856</v>
      </c>
      <c r="AJ378" s="267" t="b">
        <f t="shared" si="142"/>
        <v>0</v>
      </c>
      <c r="AK378" s="267" t="b">
        <f t="shared" si="143"/>
        <v>0</v>
      </c>
      <c r="AL378" s="267"/>
      <c r="AM378" s="267"/>
      <c r="AN378" s="75"/>
    </row>
    <row r="379" spans="1:40" s="18" customFormat="1" ht="12.75" x14ac:dyDescent="0.2">
      <c r="A379" s="56">
        <f t="shared" si="144"/>
        <v>43830</v>
      </c>
      <c r="B379" s="620">
        <v>12.005000000000001</v>
      </c>
      <c r="C379" s="392"/>
      <c r="D379" s="395">
        <f t="shared" si="123"/>
        <v>12.15031037778845</v>
      </c>
      <c r="E379" s="387">
        <f t="shared" si="145"/>
        <v>13.3653610951199</v>
      </c>
      <c r="F379" s="387">
        <f t="shared" si="124"/>
        <v>13.611689724873006</v>
      </c>
      <c r="G379" s="110">
        <f t="shared" si="146"/>
        <v>0.72702544073746367</v>
      </c>
      <c r="H379" s="416" t="b">
        <f>Wh_hp&gt;='2018'!Maxi_hp</f>
        <v>1</v>
      </c>
      <c r="I379" s="392">
        <f>IF(H379,Wh_hp,'2018'!Maxi_hp)</f>
        <v>13.611689724873006</v>
      </c>
      <c r="J379" s="85">
        <f>IF(H379,An,'2018'!An_max)</f>
        <v>2019</v>
      </c>
      <c r="K379" s="199">
        <f t="shared" si="125"/>
        <v>43830</v>
      </c>
      <c r="L379" s="147">
        <f>IF(t&lt;Tvie,1-EXP((T0-t)*PertePVj)+'2018'!Pspv,1-EXP((T0-t)*PertePVj)+Pspv)</f>
        <v>1.1959396366868713E-2</v>
      </c>
      <c r="M379" s="872"/>
      <c r="N379" s="872"/>
      <c r="O379" s="48">
        <f>IF(t&lt;Tnet,'2018'!Resal+('2018'!Salim-'2018'!Resal)*(1-EXP(('2018'!Tnet-t)/('2018'!Tau_j))),Resal+(Salim-Resal)*(1-EXP((Tnet-t)/(Tau_j))))*Salcycl</f>
        <v>9.0910429481407803E-2</v>
      </c>
      <c r="P379" s="171">
        <f>(INDEX(Models!$BJ379:$BT379,,T379)*(1-R379)+INDEX(Models!$BJ379:$BT379,,T379+1)*R379-ERP_i)*Q379*Ramure*Pc/MaxiM</f>
        <v>2.9103467993190385E-2</v>
      </c>
      <c r="Q379" s="308">
        <f t="shared" si="126"/>
        <v>0.9</v>
      </c>
      <c r="R379" s="179">
        <f t="shared" si="127"/>
        <v>0.5997757708981144</v>
      </c>
      <c r="S379" s="839">
        <f t="shared" si="128"/>
        <v>-2</v>
      </c>
      <c r="T379" s="178">
        <f t="shared" si="129"/>
        <v>4</v>
      </c>
      <c r="U379" s="309">
        <f t="shared" si="130"/>
        <v>-1.4002242291018856</v>
      </c>
      <c r="V379" s="385">
        <f t="shared" si="131"/>
        <v>16.327393140214102</v>
      </c>
      <c r="W379" s="58"/>
      <c r="X379" s="157">
        <f t="shared" si="132"/>
        <v>43830</v>
      </c>
      <c r="Y379" s="387">
        <f t="shared" si="133"/>
        <v>12.005000000000001</v>
      </c>
      <c r="Z379" s="387">
        <f t="shared" si="134"/>
        <v>12.15031037778845</v>
      </c>
      <c r="AA379" s="388">
        <f t="shared" si="135"/>
        <v>13.3653610951199</v>
      </c>
      <c r="AB379" s="199">
        <f t="shared" si="136"/>
        <v>43830</v>
      </c>
      <c r="AC379" s="428">
        <f>IF(OR(t&lt;Tnet,NoTnet),'2018'!Resal_s+('2018'!Salim-'2018'!Resal_s)*(1-EXP(('2018'!Tnet_s-t)/'2018'!Tau_j)),Resal_s+(Salim-Resal_s)*(1-EXP((Tnet_s-t)/Tau_j)))*Salcycl</f>
        <v>9.0910429481407803E-2</v>
      </c>
      <c r="AD379" s="233">
        <f>(INDEX(Models!$BJ379:$BT379,,AH379)*(1-AF379)+INDEX(Models!$BJ379:$BT379,,AH379+1)*AF379-ERP_i)*AE379*Ramure*Pc/MaxiM</f>
        <v>2.9103467993190385E-2</v>
      </c>
      <c r="AE379" s="308">
        <f t="shared" si="137"/>
        <v>0.9</v>
      </c>
      <c r="AF379" s="179">
        <f t="shared" si="138"/>
        <v>0.5997757708981144</v>
      </c>
      <c r="AG379" s="178">
        <f t="shared" si="139"/>
        <v>-2</v>
      </c>
      <c r="AH379" s="178">
        <f t="shared" si="140"/>
        <v>4</v>
      </c>
      <c r="AI379" s="224">
        <f t="shared" si="141"/>
        <v>-1.4002242291018856</v>
      </c>
      <c r="AJ379" s="267" t="b">
        <f t="shared" si="142"/>
        <v>0</v>
      </c>
      <c r="AK379" s="267" t="b">
        <f t="shared" si="143"/>
        <v>0</v>
      </c>
      <c r="AL379" s="267"/>
      <c r="AM379" s="267"/>
      <c r="AN379" s="267"/>
    </row>
    <row r="380" spans="1:40" s="18" customFormat="1" ht="12" thickBot="1" x14ac:dyDescent="0.25">
      <c r="A380" s="103"/>
      <c r="B380" s="622"/>
      <c r="C380" s="880"/>
      <c r="D380" s="396"/>
      <c r="E380" s="397"/>
      <c r="F380" s="397"/>
      <c r="G380" s="97"/>
      <c r="H380" s="416" t="b">
        <f>Wh_hp&gt;='2018'!Maxi_hp</f>
        <v>1</v>
      </c>
      <c r="I380" s="392">
        <f>IF(H380,Wh_hp,'2018'!Maxi_hp)</f>
        <v>0</v>
      </c>
      <c r="J380" s="85">
        <f>IF(H380,An,'2018'!An_max)</f>
        <v>2019</v>
      </c>
      <c r="K380" s="201"/>
      <c r="L380" s="216"/>
      <c r="M380" s="877"/>
      <c r="N380" s="877"/>
      <c r="O380" s="217"/>
      <c r="P380" s="324"/>
      <c r="Q380" s="231"/>
      <c r="R380" s="231"/>
      <c r="S380" s="231"/>
      <c r="T380" s="231"/>
      <c r="U380" s="325"/>
      <c r="V380" s="385">
        <f>(V379+V15)/2</f>
        <v>17.162942162396011</v>
      </c>
      <c r="W380" s="58"/>
      <c r="X380" s="121"/>
      <c r="Y380" s="389"/>
      <c r="Z380" s="389"/>
      <c r="AA380" s="390"/>
      <c r="AB380" s="201"/>
      <c r="AC380" s="152"/>
      <c r="AD380" s="152"/>
      <c r="AE380" s="231"/>
      <c r="AF380" s="231"/>
      <c r="AG380" s="231"/>
      <c r="AH380" s="231"/>
      <c r="AI380" s="311"/>
      <c r="AJ380" s="267" t="b">
        <f t="shared" si="142"/>
        <v>1</v>
      </c>
      <c r="AK380" s="267" t="b">
        <f t="shared" si="143"/>
        <v>1</v>
      </c>
      <c r="AL380" s="267"/>
      <c r="AM380" s="267"/>
      <c r="AN380" s="267"/>
    </row>
    <row r="381" spans="1:40" s="104" customFormat="1" ht="11.25" customHeight="1" x14ac:dyDescent="0.2">
      <c r="A381" s="111" t="s">
        <v>7</v>
      </c>
      <c r="B381" s="377">
        <f>MIN(B15:B380)</f>
        <v>1.768</v>
      </c>
      <c r="C381" s="377"/>
      <c r="D381" s="375">
        <f>MIN(D15:D380)</f>
        <v>1.7885674905869255</v>
      </c>
      <c r="E381" s="375">
        <f>MIN(E15:E380)</f>
        <v>1.9622668853982372</v>
      </c>
      <c r="F381" s="376">
        <f>MIN(F15:F380)</f>
        <v>1.9622668853982372</v>
      </c>
      <c r="G381" s="125">
        <f>+MIN(G15:G380)</f>
        <v>0.1069433368606789</v>
      </c>
      <c r="H381" s="339"/>
      <c r="I381" s="376">
        <f>MIN(I15:I380)</f>
        <v>0</v>
      </c>
      <c r="J381" s="57">
        <f>MIN(J15:J380)</f>
        <v>2018</v>
      </c>
      <c r="K381" s="202" t="s">
        <v>7</v>
      </c>
      <c r="L381" s="146">
        <f t="shared" ref="L381:T381" si="147">MIN(L15:L380)</f>
        <v>3.5542436183039205E-3</v>
      </c>
      <c r="M381" s="874"/>
      <c r="N381" s="874"/>
      <c r="O381" s="47">
        <f t="shared" si="147"/>
        <v>3.2443293801260369E-2</v>
      </c>
      <c r="P381" s="170">
        <f t="shared" si="147"/>
        <v>4.0480045278146045E-5</v>
      </c>
      <c r="Q381" s="312">
        <f t="shared" si="147"/>
        <v>0.9</v>
      </c>
      <c r="R381" s="313">
        <f t="shared" si="147"/>
        <v>1.1075429588793817E-3</v>
      </c>
      <c r="S381" s="839">
        <f t="shared" si="147"/>
        <v>-3</v>
      </c>
      <c r="T381" s="178">
        <f t="shared" si="147"/>
        <v>3</v>
      </c>
      <c r="U381" s="254">
        <f>+MIN(U15:U380)</f>
        <v>-2.1002224468512463</v>
      </c>
      <c r="V381" s="375">
        <f>MIN(V15:V380)</f>
        <v>15.712208650190053</v>
      </c>
      <c r="W381" s="58"/>
      <c r="X381" s="112" t="s">
        <v>7</v>
      </c>
      <c r="Y381" s="375">
        <f>MIN(Y15:Y380)</f>
        <v>1.768</v>
      </c>
      <c r="Z381" s="375">
        <f>MIN(Z15:Z380)</f>
        <v>1.7885674905869255</v>
      </c>
      <c r="AA381" s="375">
        <f>MIN(AA15:AA380)</f>
        <v>1.9622668853982372</v>
      </c>
      <c r="AB381" s="202" t="s">
        <v>7</v>
      </c>
      <c r="AC381" s="47">
        <f t="shared" ref="AC381:AH381" si="148">MIN(AC15:AC380)</f>
        <v>3.2443293801260369E-2</v>
      </c>
      <c r="AD381" s="170">
        <f t="shared" si="148"/>
        <v>4.0480045278146045E-5</v>
      </c>
      <c r="AE381" s="312">
        <f t="shared" si="148"/>
        <v>0.9</v>
      </c>
      <c r="AF381" s="313">
        <f t="shared" si="148"/>
        <v>1.1075429588793817E-3</v>
      </c>
      <c r="AG381" s="839">
        <f t="shared" si="148"/>
        <v>-3</v>
      </c>
      <c r="AH381" s="178">
        <f t="shared" si="148"/>
        <v>3</v>
      </c>
      <c r="AI381" s="228">
        <f>MIN(AI15:AI380)</f>
        <v>-2.1002224468512463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29.497515068493147</v>
      </c>
      <c r="C382" s="377"/>
      <c r="D382" s="377">
        <f>AVERAGE(D15:D380)</f>
        <v>29.722004639586473</v>
      </c>
      <c r="E382" s="377">
        <f>AVERAGE(E15:E380)</f>
        <v>31.800276462523534</v>
      </c>
      <c r="F382" s="378">
        <f>AVERAGE(F15:F380)</f>
        <v>31.857127471656888</v>
      </c>
      <c r="G382" s="126">
        <f>AVERAGE(G15:G380)</f>
        <v>0.70516513626310762</v>
      </c>
      <c r="H382" s="339"/>
      <c r="I382" s="378">
        <f>AVERAGE(I15:I380)</f>
        <v>32.732468696754367</v>
      </c>
      <c r="J382" s="59">
        <f>AVERAGE(J15:J380)</f>
        <v>2018.8715846994535</v>
      </c>
      <c r="K382" s="202" t="s">
        <v>8</v>
      </c>
      <c r="L382" s="147">
        <f t="shared" ref="L382:V382" si="149">AVERAGE(L15:L380)</f>
        <v>7.7627369599123216E-3</v>
      </c>
      <c r="M382" s="872"/>
      <c r="N382" s="872"/>
      <c r="O382" s="48">
        <f t="shared" si="149"/>
        <v>6.5713391322690481E-2</v>
      </c>
      <c r="P382" s="171">
        <f t="shared" si="149"/>
        <v>6.010537698238505E-3</v>
      </c>
      <c r="Q382" s="314">
        <f t="shared" si="149"/>
        <v>0.89999999999999813</v>
      </c>
      <c r="R382" s="179">
        <f t="shared" si="149"/>
        <v>0.61216253415303445</v>
      </c>
      <c r="S382" s="839">
        <f t="shared" si="149"/>
        <v>-2.3205479452054796</v>
      </c>
      <c r="T382" s="178">
        <f t="shared" si="149"/>
        <v>3.6794520547945204</v>
      </c>
      <c r="U382" s="253">
        <f t="shared" si="149"/>
        <v>-1.7083854110524463</v>
      </c>
      <c r="V382" s="377">
        <f t="shared" si="149"/>
        <v>40.09355343078682</v>
      </c>
      <c r="X382" s="112" t="s">
        <v>8</v>
      </c>
      <c r="Y382" s="377">
        <f>AVERAGE(Y15:Y380)</f>
        <v>29.497515068493147</v>
      </c>
      <c r="Z382" s="377">
        <f>AVERAGE(Z15:Z380)</f>
        <v>29.722004639586473</v>
      </c>
      <c r="AA382" s="377">
        <f>AVERAGE(AA15:AA380)</f>
        <v>31.800276462523534</v>
      </c>
      <c r="AB382" s="202" t="s">
        <v>8</v>
      </c>
      <c r="AC382" s="48">
        <f t="shared" ref="AC382:AH382" si="150">AVERAGE(AC15:AC380)</f>
        <v>6.5713391322690481E-2</v>
      </c>
      <c r="AD382" s="171">
        <f t="shared" si="150"/>
        <v>6.010537698238505E-3</v>
      </c>
      <c r="AE382" s="314">
        <f t="shared" si="150"/>
        <v>0.89999999999999813</v>
      </c>
      <c r="AF382" s="179">
        <f t="shared" si="150"/>
        <v>0.61216253415303445</v>
      </c>
      <c r="AG382" s="839">
        <f t="shared" si="150"/>
        <v>-2.3205479452054796</v>
      </c>
      <c r="AH382" s="178">
        <f t="shared" si="150"/>
        <v>3.6794520547945204</v>
      </c>
      <c r="AI382" s="227">
        <f>AVERAGE(AI15:AI380)</f>
        <v>-1.7083854110524463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61.329000000000001</v>
      </c>
      <c r="C383" s="379"/>
      <c r="D383" s="379">
        <f>MAX(D15:D380)</f>
        <v>61.774479297759896</v>
      </c>
      <c r="E383" s="379">
        <f>MAX(E15:E380)</f>
        <v>65.982728462302774</v>
      </c>
      <c r="F383" s="380">
        <f>MAX(F15:F380)</f>
        <v>65.985446784364868</v>
      </c>
      <c r="G383" s="127">
        <f>+MAX(G15:G380)</f>
        <v>1.0345433807523221</v>
      </c>
      <c r="H383" s="339"/>
      <c r="I383" s="380">
        <f>MAX(I15:I380)</f>
        <v>65.985446784364868</v>
      </c>
      <c r="J383" s="60">
        <f>MAX(J15:J380)</f>
        <v>2019</v>
      </c>
      <c r="K383" s="202" t="s">
        <v>9</v>
      </c>
      <c r="L383" s="148">
        <f t="shared" ref="L383:T383" si="151">MAX(L15:L380)</f>
        <v>1.1959396366868713E-2</v>
      </c>
      <c r="M383" s="875"/>
      <c r="N383" s="875"/>
      <c r="O383" s="49">
        <f t="shared" si="151"/>
        <v>9.0910429481407803E-2</v>
      </c>
      <c r="P383" s="172">
        <f t="shared" si="151"/>
        <v>3.0749160051644658E-2</v>
      </c>
      <c r="Q383" s="315">
        <f t="shared" si="151"/>
        <v>0.9</v>
      </c>
      <c r="R383" s="316">
        <f t="shared" si="151"/>
        <v>0.99756858929885128</v>
      </c>
      <c r="S383" s="840">
        <f t="shared" si="151"/>
        <v>-2</v>
      </c>
      <c r="T383" s="235">
        <f t="shared" si="151"/>
        <v>4</v>
      </c>
      <c r="U383" s="255">
        <f>+MAX(U15:U380)</f>
        <v>-1.4002242291018856</v>
      </c>
      <c r="V383" s="379">
        <f>MAX(V15:V380)</f>
        <v>59.989673248943667</v>
      </c>
      <c r="X383" s="112" t="s">
        <v>9</v>
      </c>
      <c r="Y383" s="379">
        <f>MAX(Y15:Y380)</f>
        <v>61.329000000000001</v>
      </c>
      <c r="Z383" s="379">
        <f>MAX(Z15:Z380)</f>
        <v>61.774479297759896</v>
      </c>
      <c r="AA383" s="379">
        <f>MAX(AA15:AA380)</f>
        <v>65.982728462302774</v>
      </c>
      <c r="AB383" s="202" t="s">
        <v>9</v>
      </c>
      <c r="AC383" s="49">
        <f t="shared" ref="AC383:AH383" si="152">MAX(AC15:AC380)</f>
        <v>9.0910429481407803E-2</v>
      </c>
      <c r="AD383" s="172">
        <f t="shared" si="152"/>
        <v>3.0749160051644658E-2</v>
      </c>
      <c r="AE383" s="315">
        <f t="shared" si="152"/>
        <v>0.9</v>
      </c>
      <c r="AF383" s="316">
        <f t="shared" si="152"/>
        <v>0.99756858929885128</v>
      </c>
      <c r="AG383" s="840">
        <f t="shared" si="152"/>
        <v>-2</v>
      </c>
      <c r="AH383" s="235">
        <f t="shared" si="152"/>
        <v>4</v>
      </c>
      <c r="AI383" s="229">
        <f>MAX(AI15:AI380)</f>
        <v>-1.4002242291018856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7"/>
      <c r="AK384" s="857"/>
      <c r="AL384" s="857"/>
      <c r="AM384" s="857"/>
      <c r="AN384" s="406"/>
    </row>
  </sheetData>
  <sheetProtection sheet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7" priority="3" stopIfTrue="1" operator="lessThan">
      <formula>0.01</formula>
    </cfRule>
    <cfRule type="cellIs" dxfId="16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7"/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B378" sqref="AB378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6">
        <f>'2019'!An+1</f>
        <v>2020</v>
      </c>
      <c r="K1" s="1267"/>
      <c r="L1" s="113" t="str">
        <f>"Calcul pertes et enveloppes en "&amp;TEXT(An,0)</f>
        <v>Calcul pertes et enveloppes en 2020</v>
      </c>
      <c r="M1" s="245"/>
      <c r="N1" s="245"/>
      <c r="V1" s="460"/>
      <c r="W1" s="458"/>
      <c r="X1" s="489" t="str">
        <f>"Prévision sans nettoyage ni taille végétation en "&amp;TEXT(An,0)</f>
        <v>Prévision sans nettoyage ni taille végétation en 2020</v>
      </c>
      <c r="Y1" s="490"/>
      <c r="Z1" s="491"/>
      <c r="AA1" s="492"/>
      <c r="AB1" s="493"/>
      <c r="AC1" s="494"/>
      <c r="AD1" s="494"/>
      <c r="AE1" s="494"/>
      <c r="AF1" s="494"/>
      <c r="AG1" s="494"/>
      <c r="AH1" s="494"/>
      <c r="AI1" s="494"/>
      <c r="AL1" s="856" t="s">
        <v>270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6" t="s">
        <v>24</v>
      </c>
      <c r="P2" s="18"/>
      <c r="Q2" s="812"/>
      <c r="R2" s="18"/>
      <c r="S2" s="497"/>
      <c r="T2" s="497"/>
      <c r="U2" s="296" t="s">
        <v>79</v>
      </c>
      <c r="V2" s="498">
        <f>PertePVan</f>
        <v>8.5000000000000006E-3</v>
      </c>
      <c r="W2" s="452" t="s">
        <v>14</v>
      </c>
      <c r="X2" s="499"/>
      <c r="Y2" s="500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862" t="s">
        <v>262</v>
      </c>
      <c r="AK2" s="862" t="s">
        <v>264</v>
      </c>
      <c r="AL2" s="862" t="s">
        <v>263</v>
      </c>
      <c r="AM2" s="862" t="s">
        <v>265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6">
        <f>Tmaj</f>
        <v>44926</v>
      </c>
      <c r="F3" s="1276"/>
      <c r="G3" s="474"/>
      <c r="H3" s="26"/>
      <c r="I3" s="6"/>
      <c r="J3" s="34"/>
      <c r="K3" s="193"/>
      <c r="L3" s="54"/>
      <c r="M3" s="34"/>
      <c r="N3" s="34"/>
      <c r="O3" s="503"/>
      <c r="P3" s="34"/>
      <c r="Q3" s="503"/>
      <c r="R3" s="34"/>
      <c r="S3" s="515"/>
      <c r="T3" s="452"/>
      <c r="U3" s="211" t="s">
        <v>165</v>
      </c>
      <c r="V3" s="637">
        <f>Salim_i</f>
        <v>0.21</v>
      </c>
      <c r="W3" s="452"/>
      <c r="X3" s="504"/>
      <c r="Y3" s="505"/>
      <c r="Z3" s="506"/>
      <c r="AA3" s="500"/>
      <c r="AB3" s="500"/>
      <c r="AC3" s="430"/>
      <c r="AD3" s="430"/>
      <c r="AE3" s="430"/>
      <c r="AF3" s="430"/>
      <c r="AG3" s="430"/>
      <c r="AH3" s="430"/>
      <c r="AI3" s="430"/>
      <c r="AJ3" s="860">
        <f>AL11-AJ11</f>
        <v>0</v>
      </c>
      <c r="AK3" s="861">
        <f>AM11-AK11</f>
        <v>0</v>
      </c>
      <c r="AL3" s="860"/>
      <c r="AM3" s="861"/>
      <c r="AN3" s="859" t="s">
        <v>271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6" t="str">
        <f>Station</f>
        <v>Crèche Ayguesvives</v>
      </c>
      <c r="F4" s="1217"/>
      <c r="G4" s="1217"/>
      <c r="H4" s="1217"/>
      <c r="I4" s="1218"/>
      <c r="J4" s="158"/>
      <c r="K4" s="193"/>
      <c r="L4" s="508"/>
      <c r="M4" s="507"/>
      <c r="N4" s="507"/>
      <c r="O4" s="430"/>
      <c r="P4" s="34"/>
      <c r="Q4" s="507"/>
      <c r="R4" s="34"/>
      <c r="S4" s="497"/>
      <c r="T4" s="411"/>
      <c r="U4" s="297" t="s">
        <v>82</v>
      </c>
      <c r="V4" s="636">
        <f>Persistant</f>
        <v>1</v>
      </c>
      <c r="W4" s="510" t="s">
        <v>54</v>
      </c>
      <c r="X4" s="511"/>
      <c r="Y4" s="512"/>
      <c r="Z4" s="513" t="s">
        <v>27</v>
      </c>
      <c r="AA4" s="514" t="s">
        <v>28</v>
      </c>
      <c r="AB4" s="507"/>
      <c r="AC4" s="430"/>
      <c r="AD4" s="430"/>
      <c r="AE4" s="430"/>
      <c r="AF4" s="430"/>
      <c r="AG4" s="430"/>
      <c r="AH4" s="430"/>
      <c r="AI4" s="430"/>
      <c r="AJ4" s="860">
        <f>AL12-AJ12</f>
        <v>0</v>
      </c>
      <c r="AK4" s="861">
        <f>AM12-AK12</f>
        <v>0</v>
      </c>
      <c r="AL4" s="860"/>
      <c r="AM4" s="861"/>
      <c r="AN4" s="859" t="s">
        <v>272</v>
      </c>
    </row>
    <row r="5" spans="1:40" s="35" customFormat="1" ht="16.5" customHeight="1" x14ac:dyDescent="0.25">
      <c r="D5" s="161" t="s">
        <v>20</v>
      </c>
      <c r="E5" s="1277">
        <f>T0</f>
        <v>43313</v>
      </c>
      <c r="F5" s="1277"/>
      <c r="G5" s="34"/>
      <c r="H5" s="158"/>
      <c r="I5" s="158"/>
      <c r="K5" s="194"/>
      <c r="L5" s="508"/>
      <c r="M5" s="507"/>
      <c r="N5" s="507"/>
      <c r="O5" s="19"/>
      <c r="R5" s="39"/>
      <c r="S5" s="180"/>
      <c r="T5" s="180"/>
      <c r="U5" s="41"/>
      <c r="V5" s="509"/>
      <c r="W5" s="510"/>
      <c r="X5" s="511"/>
      <c r="Y5" s="512"/>
      <c r="Z5" s="238">
        <f>Wh_Psa_s-Wh_Psa</f>
        <v>0</v>
      </c>
      <c r="AA5" s="239">
        <f>Wh_Pvg_s-Wh_Pvg</f>
        <v>0</v>
      </c>
      <c r="AB5" s="516" t="s">
        <v>6</v>
      </c>
      <c r="AC5" s="510"/>
      <c r="AD5" s="510"/>
      <c r="AE5" s="510"/>
      <c r="AF5" s="510"/>
      <c r="AG5" s="510"/>
      <c r="AH5" s="510"/>
      <c r="AI5" s="510"/>
      <c r="AJ5" s="518">
        <f>SUMIF(AJ15:AJ380,"VRAI",Wh)</f>
        <v>0</v>
      </c>
      <c r="AK5" s="518">
        <f>SUMIF(AK15:AK380,"VRAI",Wh)</f>
        <v>0</v>
      </c>
      <c r="AL5" s="518">
        <f>SUMIF(AJ15:AJ380,"VRAI",Wh_s)</f>
        <v>0</v>
      </c>
      <c r="AM5" s="518">
        <f>SUMIF(AK15:AK380,"VRAI",Wh_s)</f>
        <v>0</v>
      </c>
      <c r="AN5" s="859" t="s">
        <v>268</v>
      </c>
    </row>
    <row r="6" spans="1:40" s="6" customFormat="1" ht="16.5" customHeight="1" x14ac:dyDescent="0.2">
      <c r="B6" s="8"/>
      <c r="C6" s="8"/>
      <c r="D6" s="161" t="s">
        <v>11</v>
      </c>
      <c r="E6" s="1278">
        <f>Tservice</f>
        <v>43354</v>
      </c>
      <c r="F6" s="1278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2"/>
      <c r="W6" s="464"/>
      <c r="X6" s="499"/>
      <c r="Y6" s="500"/>
      <c r="Z6" s="464"/>
      <c r="AA6" s="464"/>
      <c r="AB6" s="518"/>
      <c r="AC6" s="464"/>
      <c r="AD6" s="464"/>
      <c r="AE6" s="464"/>
      <c r="AF6" s="464"/>
      <c r="AG6" s="464"/>
      <c r="AH6" s="464"/>
      <c r="AI6" s="464"/>
      <c r="AJ6" s="518">
        <f>SUMIF(AJ15:AJ380,"FAUX",Wh)</f>
        <v>9848.9630000000052</v>
      </c>
      <c r="AK6" s="518">
        <f>SUMIF(AK15:AK380,"FAUX",Wh)</f>
        <v>9848.9630000000052</v>
      </c>
      <c r="AL6" s="518">
        <f>SUMIF(AJ15:AJ380,"FAUX",Wh_s)</f>
        <v>9848.9630000000052</v>
      </c>
      <c r="AM6" s="518">
        <f>SUMIF(AK15:AK380,"FAUX",Wh_s)</f>
        <v>9848.9630000000052</v>
      </c>
      <c r="AN6" s="859" t="s">
        <v>269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AND(YEAR(Tnet)=An,Resal_2020="I")</f>
        <v>1</v>
      </c>
      <c r="F7" s="322" t="b">
        <f>YEAR(Tnet)=An</f>
        <v>1</v>
      </c>
      <c r="J7" s="180"/>
      <c r="K7" s="193"/>
      <c r="L7" s="191" t="s">
        <v>81</v>
      </c>
      <c r="M7" s="870"/>
      <c r="N7" s="870"/>
      <c r="O7" s="18"/>
      <c r="P7" s="118"/>
      <c r="Q7" s="118"/>
      <c r="R7" s="141"/>
      <c r="S7" s="141"/>
      <c r="T7" s="141"/>
      <c r="U7" s="141"/>
      <c r="V7" s="430"/>
      <c r="W7" s="520"/>
      <c r="X7" s="521"/>
      <c r="Y7" s="250"/>
      <c r="Z7" s="520"/>
      <c r="AA7" s="520"/>
      <c r="AB7" s="520"/>
      <c r="AC7" s="520"/>
      <c r="AD7" s="250"/>
      <c r="AE7" s="250"/>
      <c r="AF7" s="495"/>
      <c r="AG7" s="495"/>
      <c r="AH7" s="495"/>
      <c r="AI7" s="520"/>
      <c r="AJ7" s="518">
        <f>SUMIF(AJ15:AJ380,"VRAI",Wh_pvt)</f>
        <v>0</v>
      </c>
      <c r="AK7" s="518">
        <f>SUMIF(AK15:AK380,"VRAI",Wh_sa)</f>
        <v>0</v>
      </c>
      <c r="AL7" s="518">
        <f>SUMIF(AJ15:AJ380,"VRAI",Wh_pvt_s)</f>
        <v>0</v>
      </c>
      <c r="AM7" s="518">
        <f>SUMIF(AK15:AK380,"VRAI",Wh_sa_s)</f>
        <v>0</v>
      </c>
      <c r="AN7" s="859" t="s">
        <v>260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AND(YEAR(Tnet)=An,Resal_2020&lt;&gt;"I")</f>
        <v>0</v>
      </c>
      <c r="F8" s="323" t="b">
        <f>YEAR(Ttai)=An</f>
        <v>0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20"/>
      <c r="W8" s="406"/>
      <c r="X8" s="1264" t="s">
        <v>102</v>
      </c>
      <c r="Y8" s="1265"/>
      <c r="Z8" s="500"/>
      <c r="AA8" s="500"/>
      <c r="AB8" s="464"/>
      <c r="AC8" s="522" t="s">
        <v>61</v>
      </c>
      <c r="AD8" s="464"/>
      <c r="AE8" s="464"/>
      <c r="AF8" s="464"/>
      <c r="AG8" s="464"/>
      <c r="AH8" s="464"/>
      <c r="AI8" s="464"/>
      <c r="AJ8" s="518">
        <f>SUMIF(AJ15:AJ380,"FAUX",Wh_pvt)</f>
        <v>10008.421430530121</v>
      </c>
      <c r="AK8" s="518">
        <f>SUMIF(AK15:AK380,"FAUX",Wh_sa)</f>
        <v>11283.595110436403</v>
      </c>
      <c r="AL8" s="518">
        <f>SUMIF(AJ15:AJ380,"FAUX",Wh_pvt_s)</f>
        <v>10008.421430530121</v>
      </c>
      <c r="AM8" s="518">
        <f>SUMIF(AK15:AK380,"FAUX",Wh_sa_s)</f>
        <v>11283.595110436403</v>
      </c>
      <c r="AN8" s="859" t="s">
        <v>261</v>
      </c>
    </row>
    <row r="9" spans="1:40" s="19" customFormat="1" ht="15" customHeight="1" x14ac:dyDescent="0.25">
      <c r="A9" s="34"/>
      <c r="B9" s="212"/>
      <c r="C9" s="212"/>
      <c r="D9" s="186">
        <f>SUM(D$15:D$380)</f>
        <v>10008.421430530121</v>
      </c>
      <c r="E9" s="186">
        <f>SUM(E$15:E$380)</f>
        <v>11283.595110436403</v>
      </c>
      <c r="F9" s="186">
        <f>SUM(F$15:F$380)</f>
        <v>11328.42975204785</v>
      </c>
      <c r="H9" s="1268">
        <f>+SUM(Wh)</f>
        <v>9848.9630000000052</v>
      </c>
      <c r="I9" s="1269"/>
      <c r="J9" s="1270"/>
      <c r="K9" s="193"/>
      <c r="L9" s="234"/>
      <c r="M9" s="234"/>
      <c r="N9" s="234"/>
      <c r="O9" s="225">
        <f>Tnet_2020</f>
        <v>43831</v>
      </c>
      <c r="P9" s="246" t="s">
        <v>91</v>
      </c>
      <c r="Q9" s="247"/>
      <c r="R9" s="247"/>
      <c r="S9" s="247"/>
      <c r="T9" s="247"/>
      <c r="U9" s="248"/>
      <c r="V9" s="464"/>
      <c r="W9" s="523"/>
      <c r="X9" s="1262">
        <f>+SUM(Wh_s)</f>
        <v>9848.9630000000052</v>
      </c>
      <c r="Y9" s="1263"/>
      <c r="Z9" s="518">
        <f>SUM(Z$15:Z$380)</f>
        <v>10008.421430530121</v>
      </c>
      <c r="AA9" s="518">
        <f>SUM(AA$15:AA$380)</f>
        <v>11283.595110436403</v>
      </c>
      <c r="AB9" s="518">
        <f>F9</f>
        <v>11328.42975204785</v>
      </c>
      <c r="AC9" s="327">
        <f>IF(An_Tnet,Tnet,'2019'!Tnet_s)</f>
        <v>43831</v>
      </c>
      <c r="AD9" s="318" t="s">
        <v>91</v>
      </c>
      <c r="AE9" s="318"/>
      <c r="AF9" s="318"/>
      <c r="AG9" s="318"/>
      <c r="AH9" s="318"/>
      <c r="AI9" s="319"/>
      <c r="AJ9" s="518">
        <f>SUMIF(AJ15:AJ380,"VRAI",Wh_sa)</f>
        <v>0</v>
      </c>
      <c r="AK9" s="518">
        <f>SUMIF(AK15:AK380,"VRAI",Wh_hp)</f>
        <v>0</v>
      </c>
      <c r="AL9" s="518">
        <f>SUMIF(AJ15:AJ380,"VRAI",Wh_sa_s)</f>
        <v>0</v>
      </c>
      <c r="AM9" s="518">
        <f>SUMIF(AK15:AK380,"VRAI",Wh_hp)</f>
        <v>0</v>
      </c>
      <c r="AN9" s="859" t="s">
        <v>266</v>
      </c>
    </row>
    <row r="10" spans="1:40" s="19" customFormat="1" ht="15" customHeight="1" x14ac:dyDescent="0.25">
      <c r="A10" s="208"/>
      <c r="B10" s="209"/>
      <c r="C10" s="866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IF(Inflex,'2019'!Resal+('2019'!Salim-'2019'!Resal)*(1-EXP(-(Tnet-'2019'!Tnet)/('2019'!Tau_j))),IF(An_Tnet,Resal_2020,'2019'!Resal))</f>
        <v>9.0962770414730373E-2</v>
      </c>
      <c r="P10" s="423" t="b">
        <f>NOT(Acti_tai)</f>
        <v>1</v>
      </c>
      <c r="Q10" s="259">
        <f>IF(Acti_tai,'2019'!PousD,Dens-Dd)</f>
        <v>0</v>
      </c>
      <c r="R10" s="276"/>
      <c r="S10" s="277"/>
      <c r="T10" s="278"/>
      <c r="U10" s="268">
        <f>IF(Acti_tai,'2019'!PousH,Hdtf-Hdd)</f>
        <v>0.70000000000000018</v>
      </c>
      <c r="V10" s="430"/>
      <c r="W10" s="507"/>
      <c r="X10" s="508"/>
      <c r="Y10" s="524" t="s">
        <v>26</v>
      </c>
      <c r="Z10" s="514" t="s">
        <v>27</v>
      </c>
      <c r="AA10" s="514" t="s">
        <v>28</v>
      </c>
      <c r="AB10" s="430"/>
      <c r="AC10" s="320">
        <f>IF(OR(Inflex,GainD),'2019'!Resal_s+('2019'!Salim-'2019'!Resal_s)*(1-EXP(('2019'!Tnet_s-Tnet)/('2019'!Tau_j))),IF(Acti_net,'2019'!Resal+('2019'!Salim-'2019'!Resal)*(1-EXP(('2019'!Tnet-Tnet)/'2019'!Tau_j)),'2019'!Resal_s))</f>
        <v>9.0962770414730373E-2</v>
      </c>
      <c r="AD10" s="430"/>
      <c r="AE10" s="430"/>
      <c r="AF10" s="262"/>
      <c r="AG10" s="263"/>
      <c r="AH10" s="264"/>
      <c r="AI10" s="525"/>
      <c r="AJ10" s="518">
        <f>SUMIF(AJ15:AJ380,"FAUX",Wh_sa)</f>
        <v>11283.595110436403</v>
      </c>
      <c r="AK10" s="518">
        <f>SUMIF(AK15:AK380,"FAUX",Wh_hp)</f>
        <v>11328.42975204785</v>
      </c>
      <c r="AL10" s="518">
        <f>SUMIF(AJ15:AJ380,"FAUX",Wh_sa_s)</f>
        <v>11283.595110436403</v>
      </c>
      <c r="AM10" s="518">
        <f>SUMIF(AK15:AK380,"FAUX",Wh_hp)</f>
        <v>11328.42975204785</v>
      </c>
      <c r="AN10" s="859" t="s">
        <v>267</v>
      </c>
    </row>
    <row r="11" spans="1:40" s="40" customFormat="1" ht="15" customHeight="1" x14ac:dyDescent="0.25">
      <c r="A11" s="218"/>
      <c r="B11" s="219" t="s">
        <v>43</v>
      </c>
      <c r="C11" s="867"/>
      <c r="D11" s="50">
        <f>D$9-Prod_an</f>
        <v>159.45843053011595</v>
      </c>
      <c r="E11" s="51">
        <f>(E$9-D$9)*Prod_an/D$9</f>
        <v>1254.8570700330306</v>
      </c>
      <c r="F11" s="188">
        <f>(F$9-E$9)*Prod_an/E$9</f>
        <v>39.134222916327836</v>
      </c>
      <c r="G11" s="187" t="s">
        <v>6</v>
      </c>
      <c r="K11" s="196"/>
      <c r="L11" s="213">
        <f>Tvie_2020</f>
        <v>43313</v>
      </c>
      <c r="M11" s="871"/>
      <c r="N11" s="871"/>
      <c r="O11" s="204">
        <f>IF(An_Tnet,Salim_2020,'2019'!Salim)</f>
        <v>0.14000000000000001</v>
      </c>
      <c r="P11" s="258">
        <f>Ttai_2020</f>
        <v>43101</v>
      </c>
      <c r="Q11" s="274">
        <f>Dens_2020</f>
        <v>0.9</v>
      </c>
      <c r="R11" s="279"/>
      <c r="S11" s="232"/>
      <c r="T11" s="232"/>
      <c r="U11" s="268">
        <f>Htf_2020</f>
        <v>-0.70022422910188542</v>
      </c>
      <c r="V11" s="430"/>
      <c r="W11" s="521"/>
      <c r="X11" s="528" t="s">
        <v>43</v>
      </c>
      <c r="Y11" s="50">
        <f>Z$9-Prod_an_s</f>
        <v>159.45843053011595</v>
      </c>
      <c r="Z11" s="51">
        <f>(AA$9-Z$9)*Prod_an_s/Z$9</f>
        <v>1254.8570700330306</v>
      </c>
      <c r="AA11" s="188">
        <f>(AB$9-AA$9)*Prod_an_s/AA$9</f>
        <v>39.134222916327836</v>
      </c>
      <c r="AB11" s="529" t="s">
        <v>6</v>
      </c>
      <c r="AC11" s="327"/>
      <c r="AD11" s="430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60">
        <f>IF($AJ7=0,0,($AJ9-$AJ7)*$AJ5/$AJ7)</f>
        <v>0</v>
      </c>
      <c r="AK11" s="861">
        <f>IF($AK7=0,0,($AK9-$AK7)*$AK5/$AK7)</f>
        <v>0</v>
      </c>
      <c r="AL11" s="860">
        <f>IF($AL7=0,0,($AL9-$AL7)*$AL5/$AL7)</f>
        <v>0</v>
      </c>
      <c r="AM11" s="861">
        <f>IF($AM7=0,0,($AM9-$AM7)*$AM5/$AM7)</f>
        <v>0</v>
      </c>
      <c r="AN11" s="859" t="s">
        <v>273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3.7457577834161038E-2</v>
      </c>
      <c r="K12" s="193"/>
      <c r="L12" s="214">
        <f>Pspv_2020</f>
        <v>0</v>
      </c>
      <c r="M12" s="214"/>
      <c r="N12" s="214"/>
      <c r="O12" s="207">
        <f>IF(An_Tnet,Tau_2020*365,'2019'!Tau_j)</f>
        <v>365</v>
      </c>
      <c r="P12" s="459">
        <f>INDEX(Croivg,MIN(MAX(Ttai-$A$15,0)+1,366))</f>
        <v>2.3909964587625958E-6</v>
      </c>
      <c r="Q12" s="282">
        <f>'2019'!Df</f>
        <v>0.9</v>
      </c>
      <c r="R12" s="280"/>
      <c r="S12" s="281"/>
      <c r="T12" s="281"/>
      <c r="U12" s="269">
        <f>'2019'!Hdf</f>
        <v>-1.4002242291018856</v>
      </c>
      <c r="V12" s="520"/>
      <c r="W12" s="507"/>
      <c r="X12" s="508"/>
      <c r="Y12" s="507"/>
      <c r="Z12" s="430"/>
      <c r="AA12" s="430"/>
      <c r="AB12" s="534" t="s">
        <v>106</v>
      </c>
      <c r="AC12" s="320" t="b">
        <f>NOT(An_Tnet)</f>
        <v>0</v>
      </c>
      <c r="AD12" s="430"/>
      <c r="AE12" s="298">
        <f>'2019'!Df_s</f>
        <v>0.9</v>
      </c>
      <c r="AF12" s="205"/>
      <c r="AG12" s="205"/>
      <c r="AH12" s="205"/>
      <c r="AI12" s="299">
        <f>'2019'!Hdf_s</f>
        <v>-1.4002242291018856</v>
      </c>
      <c r="AJ12" s="860">
        <f>IF($AJ8=0,0,($AJ10-$AJ8)*$AJ6/$AJ8)</f>
        <v>1254.8570700330306</v>
      </c>
      <c r="AK12" s="861">
        <f>IF($AK8=0,0,($AK10-$AK8)*$AK6/$AK8)</f>
        <v>39.134222916327836</v>
      </c>
      <c r="AL12" s="860">
        <f>IF($AL8=0,0,($AL10-$AL8)*$AL6/$AL8)</f>
        <v>1254.8570700330306</v>
      </c>
      <c r="AM12" s="861">
        <f>IF($AM8=0,0,($AM10-$AM8)*$AM6/$AM8)</f>
        <v>39.134222916327836</v>
      </c>
      <c r="AN12" s="859" t="s">
        <v>274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205</v>
      </c>
      <c r="V13" s="266" t="s">
        <v>41</v>
      </c>
      <c r="W13" s="879" t="s">
        <v>46</v>
      </c>
      <c r="X13" s="535"/>
      <c r="Y13" s="266" t="s">
        <v>100</v>
      </c>
      <c r="Z13" s="266" t="s">
        <v>101</v>
      </c>
      <c r="AA13" s="266" t="s">
        <v>74</v>
      </c>
      <c r="AB13" s="506"/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209</v>
      </c>
      <c r="AJ13" s="73">
        <f>+AJ11+AJ12</f>
        <v>1254.8570700330306</v>
      </c>
      <c r="AK13" s="73">
        <f>+AK11+AK12</f>
        <v>39.134222916327836</v>
      </c>
      <c r="AL13" s="73">
        <f>+AL11+AL12</f>
        <v>1254.8570700330306</v>
      </c>
      <c r="AM13" s="73">
        <f>+AM11+AM12</f>
        <v>39.134222916327836</v>
      </c>
      <c r="AN13" s="858" t="s">
        <v>275</v>
      </c>
    </row>
    <row r="14" spans="1:40" s="46" customFormat="1" ht="40.5" customHeight="1" thickBot="1" x14ac:dyDescent="0.25">
      <c r="A14" s="45" t="s">
        <v>2</v>
      </c>
      <c r="B14" s="391" t="s">
        <v>190</v>
      </c>
      <c r="C14" s="391"/>
      <c r="D14" s="53" t="s">
        <v>30</v>
      </c>
      <c r="E14" s="162" t="s">
        <v>29</v>
      </c>
      <c r="F14" s="162" t="str">
        <f>"Hors pertes "&amp; TEXT(An,0)</f>
        <v>Hors pertes 2020</v>
      </c>
      <c r="G14" s="107" t="s">
        <v>42</v>
      </c>
      <c r="H14" s="415" t="s">
        <v>117</v>
      </c>
      <c r="I14" s="79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206</v>
      </c>
      <c r="S14" s="174" t="s">
        <v>207</v>
      </c>
      <c r="T14" s="174" t="s">
        <v>208</v>
      </c>
      <c r="U14" s="108" t="s">
        <v>204</v>
      </c>
      <c r="V14" s="45" t="str">
        <f>"Enveloppe "&amp; TEXT(An,0)</f>
        <v>Enveloppe 2020</v>
      </c>
      <c r="W14" s="865"/>
      <c r="X14" s="260" t="s">
        <v>2</v>
      </c>
      <c r="Y14" s="107" t="str">
        <f>"Wh / Jour "&amp; TEXT(An,0)</f>
        <v>Wh / Jour 2020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206</v>
      </c>
      <c r="AG14" s="174" t="s">
        <v>207</v>
      </c>
      <c r="AH14" s="174" t="s">
        <v>208</v>
      </c>
      <c r="AI14" s="108" t="s">
        <v>211</v>
      </c>
      <c r="AJ14" s="705" t="s">
        <v>258</v>
      </c>
      <c r="AK14" s="705" t="s">
        <v>259</v>
      </c>
      <c r="AL14" s="267"/>
      <c r="AM14" s="267"/>
      <c r="AN14" s="75"/>
    </row>
    <row r="15" spans="1:40" s="6" customFormat="1" ht="11.25" x14ac:dyDescent="0.2">
      <c r="A15" s="129">
        <f>DATE(An,1,1)</f>
        <v>43831</v>
      </c>
      <c r="B15" s="619">
        <v>12.096</v>
      </c>
      <c r="C15" s="392"/>
      <c r="D15" s="395">
        <f t="shared" ref="D15:D78" si="0">Wh/(1-Ppv)</f>
        <v>12.242696761309876</v>
      </c>
      <c r="E15" s="387">
        <f>Wh_pvt/(1-Psa)</f>
        <v>13.468841502280208</v>
      </c>
      <c r="F15" s="387">
        <f t="shared" ref="F15:F78" si="1">Wh_sa/(1-Pvg*MEDIAN((-Sdif+Wh/Env_an)/Csdif,0,1))</f>
        <v>13.71465856827926</v>
      </c>
      <c r="G15" s="110">
        <f>+Wh_hp/MaxiM</f>
        <v>0.72765427193745968</v>
      </c>
      <c r="H15" s="416" t="b">
        <f>Wh_hp&gt;='2019'!Maxi_hp</f>
        <v>1</v>
      </c>
      <c r="I15" s="381">
        <f>IF(H15,Wh_hp,'2019'!Maxi_hp)</f>
        <v>13.71465856827926</v>
      </c>
      <c r="J15" s="84">
        <f>IF(H15,An,'2019'!An_max)</f>
        <v>2020</v>
      </c>
      <c r="K15" s="199">
        <f>t</f>
        <v>43831</v>
      </c>
      <c r="L15" s="146">
        <f>IF(t&lt;Tvie,1-EXP((T0-t)*PertePVj)+'2019'!Pspv,1-EXP((T0-t)*PertePVj)+Pspv)</f>
        <v>1.1982389515149627E-2</v>
      </c>
      <c r="M15" s="874"/>
      <c r="N15" s="874"/>
      <c r="O15" s="47">
        <f>IF(t&lt;Tnet,'2019'!Resal+('2019'!Salim-'2019'!Resal)*(1-EXP(('2019'!Tnet-t)/('2019'!Tau_j))),Resal+(Salim-Resal)*(1-EXP((Tnet-t)/(Tau_j))))*Salcycl</f>
        <v>9.1035650004697988E-2</v>
      </c>
      <c r="P15" s="304">
        <f>(INDEX(Models!$BJ15:$BT15,,T15)*(1-R15)+INDEX(Models!$BJ15:$BT15,,T15+1)*R15-ERP_i)*Q15*Ramure*Pc/MaxiM</f>
        <v>2.8790036329469297E-2</v>
      </c>
      <c r="Q15" s="305">
        <f t="shared" ref="Q15:Q78" si="2">IF(OR(t&lt;Ttai,Notai),Dd+PousD*Croivg,Dens+PousD*(Croivg-Croi_tai))</f>
        <v>0.9</v>
      </c>
      <c r="R15" s="306">
        <f t="shared" ref="R15:R78" si="3">(Hp_vg-S15)/(INDEX(Echel_vg,T15+1)-S15)</f>
        <v>0.59977744459563564</v>
      </c>
      <c r="S15" s="838">
        <f t="shared" ref="S15:S78" si="4">INDEX(Echel_vg,T15)</f>
        <v>-2</v>
      </c>
      <c r="T15" s="251">
        <f t="shared" ref="T15:T78" si="5">MIN(MATCH(Hp_vg,Echel_vg),10)</f>
        <v>4</v>
      </c>
      <c r="U15" s="252">
        <f>IF(OR(t&lt;Ttai,Notai),Hdd+PousH*Croivg,Hdtf+PousH*(Croivg-Croi_tai))</f>
        <v>-1.4002225554043644</v>
      </c>
      <c r="V15" s="384">
        <f t="shared" ref="V15:V78" si="6">MaxiM*(1-Ppv)*(1-Pvg)*(1-Psa)</f>
        <v>16.439347728720879</v>
      </c>
      <c r="W15" s="404"/>
      <c r="X15" s="156">
        <f t="shared" ref="X15:X78" si="7">t</f>
        <v>43831</v>
      </c>
      <c r="Y15" s="387">
        <f t="shared" ref="Y15:Y78" si="8">Wh_pvt_s*(1-Ppv)</f>
        <v>12.096</v>
      </c>
      <c r="Z15" s="387">
        <f t="shared" ref="Z15:Z78" si="9">Wh_sa_s*(1-Psa_s)</f>
        <v>12.242696761309876</v>
      </c>
      <c r="AA15" s="388">
        <f t="shared" ref="AA15:AA78" si="10">Wh_hp*(1-Pvg_s*MEDIAN((-Sdif+Wh/Env_an)/Csdif,0,1))</f>
        <v>13.468841502280208</v>
      </c>
      <c r="AB15" s="199">
        <f t="shared" ref="AB15:AB78" si="11">t</f>
        <v>43831</v>
      </c>
      <c r="AC15" s="119">
        <f>IF(OR(t&lt;Tnet,NoTnet),'2019'!Resal_s+('2019'!Salim-'2019'!Resal_s)*(1-EXP(('2019'!Tnet_s-t)/'2019'!Tau_j)),Resal_s+(Salim-Resal_s)*(1-EXP((Tnet_s-t)/Tau_j)))*Salcycl</f>
        <v>9.1035650004697988E-2</v>
      </c>
      <c r="AD15" s="233">
        <f>(INDEX(Models!$BJ15:$BT15,,AH15)*(1-AF15)+INDEX(Models!$BJ15:$BT15,,AH15+1)*AF15-ERP_i)*AE15*Ramure*Pc/MaxiM</f>
        <v>2.8790036329469297E-2</v>
      </c>
      <c r="AE15" s="305">
        <f t="shared" ref="AE15:AE78" si="12">IF(OR(t&lt;Ttai,Notai),Dd_s+PousD*Croivg,Dens_s+PousD*(Croivg-Croi_tai))</f>
        <v>0.9</v>
      </c>
      <c r="AF15" s="306">
        <f>(Hp_vg_s-AG15)/(INDEX(Echel_vg,AH15+1)-AG15)</f>
        <v>0.59977744459563564</v>
      </c>
      <c r="AG15" s="838">
        <f>INDEX(Echel_vg,AH15)</f>
        <v>-2</v>
      </c>
      <c r="AH15" s="251">
        <f t="shared" ref="AH15:AH78" si="13">MIN(MATCH(Hp_vg_s,Echel_vg),10)</f>
        <v>4</v>
      </c>
      <c r="AI15" s="226">
        <f>IF(OR(t&lt;Ttai,Notai),Hdd_s+PousH*Croivg,Hdtai_s+PousH*(Croivg-Croi_tai))</f>
        <v>-1.4002225554043644</v>
      </c>
      <c r="AJ15" s="267" t="b">
        <f t="shared" ref="AJ15:AJ78" si="14">t&lt;Tnet</f>
        <v>0</v>
      </c>
      <c r="AK15" s="267" t="b">
        <f t="shared" ref="AK15:AK78" si="15">t&lt;Ttai</f>
        <v>0</v>
      </c>
      <c r="AL15" s="267"/>
      <c r="AM15" s="267"/>
      <c r="AN15" s="75"/>
    </row>
    <row r="16" spans="1:40" s="6" customFormat="1" ht="11.25" customHeight="1" x14ac:dyDescent="0.2">
      <c r="A16" s="56">
        <f t="shared" ref="A16:A79" si="16">A15+1</f>
        <v>43832</v>
      </c>
      <c r="B16" s="620">
        <v>15.554</v>
      </c>
      <c r="C16" s="392"/>
      <c r="D16" s="395">
        <f t="shared" si="0"/>
        <v>15.743000739727266</v>
      </c>
      <c r="E16" s="387">
        <f t="shared" ref="E16:E79" si="17">Wh_pvt/(1-Psa)</f>
        <v>17.322173576280246</v>
      </c>
      <c r="F16" s="387">
        <f t="shared" si="1"/>
        <v>17.78447596879985</v>
      </c>
      <c r="G16" s="110">
        <f t="shared" ref="G16:G79" si="18">+Wh_hp/MaxiM</f>
        <v>0.93689801362241099</v>
      </c>
      <c r="H16" s="416" t="b">
        <f>Wh_hp&gt;='2019'!Maxi_hp</f>
        <v>1</v>
      </c>
      <c r="I16" s="382">
        <f>IF(H16,Wh_hp,'2019'!Maxi_hp)</f>
        <v>17.78447596879985</v>
      </c>
      <c r="J16" s="85">
        <f>IF(H16,An,'2019'!An_max)</f>
        <v>2020</v>
      </c>
      <c r="K16" s="199">
        <f t="shared" ref="K16:K78" si="19">t</f>
        <v>43832</v>
      </c>
      <c r="L16" s="147">
        <f>IF(t&lt;Tvie,1-EXP((T0-t)*PertePVj)+'2019'!Pspv,1-EXP((T0-t)*PertePVj)+Pspv)</f>
        <v>1.2005382128346453E-2</v>
      </c>
      <c r="M16" s="872"/>
      <c r="N16" s="872"/>
      <c r="O16" s="48">
        <f>IF(t&lt;Tnet,'2019'!Resal+('2019'!Salim-'2019'!Resal)*(1-EXP(('2019'!Tnet-t)/('2019'!Tau_j))),Resal+(Salim-Resal)*(1-EXP((Tnet-t)/(Tau_j))))*Salcycl</f>
        <v>9.1164820026707727E-2</v>
      </c>
      <c r="P16" s="171">
        <f>(INDEX(Models!$BJ16:$BT16,,T16)*(1-R16)+INDEX(Models!$BJ16:$BT16,,T16+1)*R16-ERP_i)*Q16*Ramure*Pc/MaxiM</f>
        <v>2.8463783944337656E-2</v>
      </c>
      <c r="Q16" s="307">
        <f t="shared" si="2"/>
        <v>0.9</v>
      </c>
      <c r="R16" s="179">
        <f t="shared" si="3"/>
        <v>0.59981834505522746</v>
      </c>
      <c r="S16" s="839">
        <f t="shared" si="4"/>
        <v>-2</v>
      </c>
      <c r="T16" s="178">
        <f t="shared" si="5"/>
        <v>4</v>
      </c>
      <c r="U16" s="253">
        <f t="shared" ref="U16:U78" si="20">IF(OR(t&lt;Ttai,Notai),Hdd+PousH*Croivg,Hdtf+PousH*(Croivg-Croi_tai))</f>
        <v>-1.4001816549447725</v>
      </c>
      <c r="V16" s="385">
        <f t="shared" si="6"/>
        <v>16.55950908426232</v>
      </c>
      <c r="W16" s="404"/>
      <c r="X16" s="157">
        <f t="shared" si="7"/>
        <v>43832</v>
      </c>
      <c r="Y16" s="387">
        <f t="shared" si="8"/>
        <v>15.554</v>
      </c>
      <c r="Z16" s="387">
        <f t="shared" si="9"/>
        <v>15.743000739727266</v>
      </c>
      <c r="AA16" s="388">
        <f t="shared" si="10"/>
        <v>17.322173576280246</v>
      </c>
      <c r="AB16" s="199">
        <f t="shared" si="11"/>
        <v>43832</v>
      </c>
      <c r="AC16" s="119">
        <f>IF(OR(t&lt;Tnet,NoTnet),'2019'!Resal_s+('2019'!Salim-'2019'!Resal_s)*(1-EXP(('2019'!Tnet_s-t)/'2019'!Tau_j)),Resal_s+(Salim-Resal_s)*(1-EXP((Tnet_s-t)/Tau_j)))*Salcycl</f>
        <v>9.1164820026707727E-2</v>
      </c>
      <c r="AD16" s="233">
        <f>(INDEX(Models!$BJ16:$BT16,,AH16)*(1-AF16)+INDEX(Models!$BJ16:$BT16,,AH16+1)*AF16-ERP_i)*AE16*Ramure*Pc/MaxiM</f>
        <v>2.8463783944337656E-2</v>
      </c>
      <c r="AE16" s="307">
        <f t="shared" si="12"/>
        <v>0.9</v>
      </c>
      <c r="AF16" s="179">
        <f t="shared" ref="AF16:AF78" si="21">(Hp_vg_s-AG16)/(INDEX(Echel_vg,AH16+1)-AG16)</f>
        <v>0.59981834505522746</v>
      </c>
      <c r="AG16" s="839">
        <f t="shared" ref="AG16:AG79" si="22">INDEX(Echel_vg,AH16)</f>
        <v>-2</v>
      </c>
      <c r="AH16" s="178">
        <f t="shared" si="13"/>
        <v>4</v>
      </c>
      <c r="AI16" s="227">
        <f t="shared" ref="AI16:AI78" si="23">IF(OR(t&lt;Ttai,Notai),Hdd_s+PousH*Croivg,Hdtai_s+PousH*(Croivg-Croi_tai))</f>
        <v>-1.4001816549447725</v>
      </c>
      <c r="AJ16" s="267" t="b">
        <f t="shared" si="14"/>
        <v>0</v>
      </c>
      <c r="AK16" s="267" t="b">
        <f t="shared" si="15"/>
        <v>0</v>
      </c>
      <c r="AL16" s="267"/>
      <c r="AM16" s="267"/>
      <c r="AN16" s="75"/>
    </row>
    <row r="17" spans="1:40" s="6" customFormat="1" ht="11.25" customHeight="1" x14ac:dyDescent="0.2">
      <c r="A17" s="56">
        <f t="shared" si="16"/>
        <v>43833</v>
      </c>
      <c r="B17" s="620">
        <v>8.1</v>
      </c>
      <c r="C17" s="392"/>
      <c r="D17" s="395">
        <f t="shared" si="0"/>
        <v>8.198616021481552</v>
      </c>
      <c r="E17" s="387">
        <f t="shared" si="17"/>
        <v>9.0222966240442215</v>
      </c>
      <c r="F17" s="387">
        <f t="shared" si="1"/>
        <v>9.0900032421323242</v>
      </c>
      <c r="G17" s="110">
        <f t="shared" si="18"/>
        <v>0.47527529591357115</v>
      </c>
      <c r="H17" s="416" t="b">
        <f>Wh_hp&gt;='2019'!Maxi_hp</f>
        <v>0</v>
      </c>
      <c r="I17" s="382">
        <f>IF(H17,Wh_hp,'2019'!Maxi_hp)</f>
        <v>19.408966249247889</v>
      </c>
      <c r="J17" s="85">
        <f>IF(H17,An,'2019'!An_max)</f>
        <v>2019</v>
      </c>
      <c r="K17" s="199">
        <f t="shared" si="19"/>
        <v>43833</v>
      </c>
      <c r="L17" s="147">
        <f>IF(t&lt;Tvie,1-EXP((T0-t)*PertePVj)+'2019'!Pspv,1-EXP((T0-t)*PertePVj)+Pspv)</f>
        <v>1.2028374206471515E-2</v>
      </c>
      <c r="M17" s="872"/>
      <c r="N17" s="872"/>
      <c r="O17" s="48">
        <f>IF(t&lt;Tnet,'2019'!Resal+('2019'!Salim-'2019'!Resal)*(1-EXP(('2019'!Tnet-t)/('2019'!Tau_j))),Resal+(Salim-Resal)*(1-EXP((Tnet-t)/(Tau_j))))*Salcycl</f>
        <v>9.1293895211511808E-2</v>
      </c>
      <c r="P17" s="171">
        <f>(INDEX(Models!$BJ17:$BT17,,T17)*(1-R17)+INDEX(Models!$BJ17:$BT17,,T17+1)*R17-ERP_i)*Q17*Ramure*Pc/MaxiM</f>
        <v>2.812463658818052E-2</v>
      </c>
      <c r="Q17" s="307">
        <f t="shared" si="2"/>
        <v>0.9</v>
      </c>
      <c r="R17" s="179">
        <f t="shared" si="3"/>
        <v>0.59986095628891278</v>
      </c>
      <c r="S17" s="839">
        <f t="shared" si="4"/>
        <v>-2</v>
      </c>
      <c r="T17" s="178">
        <f t="shared" si="5"/>
        <v>4</v>
      </c>
      <c r="U17" s="253">
        <f t="shared" si="20"/>
        <v>-1.4001390437110872</v>
      </c>
      <c r="V17" s="385">
        <f t="shared" si="6"/>
        <v>16.687730904462594</v>
      </c>
      <c r="W17" s="404"/>
      <c r="X17" s="157">
        <f t="shared" si="7"/>
        <v>43833</v>
      </c>
      <c r="Y17" s="387">
        <f t="shared" si="8"/>
        <v>8.1</v>
      </c>
      <c r="Z17" s="387">
        <f t="shared" si="9"/>
        <v>8.198616021481552</v>
      </c>
      <c r="AA17" s="388">
        <f t="shared" si="10"/>
        <v>9.0222966240442215</v>
      </c>
      <c r="AB17" s="199">
        <f t="shared" si="11"/>
        <v>43833</v>
      </c>
      <c r="AC17" s="119">
        <f>IF(OR(t&lt;Tnet,NoTnet),'2019'!Resal_s+('2019'!Salim-'2019'!Resal_s)*(1-EXP(('2019'!Tnet_s-t)/'2019'!Tau_j)),Resal_s+(Salim-Resal_s)*(1-EXP((Tnet_s-t)/Tau_j)))*Salcycl</f>
        <v>9.1293895211511808E-2</v>
      </c>
      <c r="AD17" s="233">
        <f>(INDEX(Models!$BJ17:$BT17,,AH17)*(1-AF17)+INDEX(Models!$BJ17:$BT17,,AH17+1)*AF17-ERP_i)*AE17*Ramure*Pc/MaxiM</f>
        <v>2.812463658818052E-2</v>
      </c>
      <c r="AE17" s="307">
        <f t="shared" si="12"/>
        <v>0.9</v>
      </c>
      <c r="AF17" s="179">
        <f>(Hp_vg_s-AG17)/(INDEX(Echel_vg,AH17+1)-AG17)</f>
        <v>0.59986095628891278</v>
      </c>
      <c r="AG17" s="839">
        <f>INDEX(Echel_vg,AH17)</f>
        <v>-2</v>
      </c>
      <c r="AH17" s="178">
        <f t="shared" si="13"/>
        <v>4</v>
      </c>
      <c r="AI17" s="227">
        <f t="shared" si="23"/>
        <v>-1.4001390437110872</v>
      </c>
      <c r="AJ17" s="267" t="b">
        <f t="shared" si="14"/>
        <v>0</v>
      </c>
      <c r="AK17" s="267" t="b">
        <f t="shared" si="15"/>
        <v>0</v>
      </c>
      <c r="AL17" s="267"/>
      <c r="AM17" s="267"/>
      <c r="AN17" s="75"/>
    </row>
    <row r="18" spans="1:40" s="6" customFormat="1" ht="11.25" customHeight="1" x14ac:dyDescent="0.2">
      <c r="A18" s="56">
        <f t="shared" si="16"/>
        <v>43834</v>
      </c>
      <c r="B18" s="620">
        <v>5.1870000000000003</v>
      </c>
      <c r="C18" s="392"/>
      <c r="D18" s="395">
        <f t="shared" si="0"/>
        <v>5.2502729597225226</v>
      </c>
      <c r="E18" s="387">
        <f t="shared" si="17"/>
        <v>5.7785659124471236</v>
      </c>
      <c r="F18" s="387">
        <f t="shared" si="1"/>
        <v>5.7804726502350254</v>
      </c>
      <c r="G18" s="110">
        <f t="shared" si="18"/>
        <v>0.29984958056796635</v>
      </c>
      <c r="H18" s="416" t="b">
        <f>Wh_hp&gt;='2019'!Maxi_hp</f>
        <v>0</v>
      </c>
      <c r="I18" s="382">
        <f>IF(H18,Wh_hp,'2019'!Maxi_hp)</f>
        <v>19.187961348193991</v>
      </c>
      <c r="J18" s="85">
        <f>IF(H18,An,'2019'!An_max)</f>
        <v>2019</v>
      </c>
      <c r="K18" s="199">
        <f t="shared" si="19"/>
        <v>43834</v>
      </c>
      <c r="L18" s="147">
        <f>IF(t&lt;Tvie,1-EXP((T0-t)*PertePVj)+'2019'!Pspv,1-EXP((T0-t)*PertePVj)+Pspv)</f>
        <v>1.2051365749537468E-2</v>
      </c>
      <c r="M18" s="872"/>
      <c r="N18" s="872"/>
      <c r="O18" s="48">
        <f>IF(t&lt;Tnet,'2019'!Resal+('2019'!Salim-'2019'!Resal)*(1-EXP(('2019'!Tnet-t)/('2019'!Tau_j))),Resal+(Salim-Resal)*(1-EXP((Tnet-t)/(Tau_j))))*Salcycl</f>
        <v>9.1422847939944735E-2</v>
      </c>
      <c r="P18" s="171">
        <f>(INDEX(Models!$BJ18:$BT18,,T18)*(1-R18)+INDEX(Models!$BJ18:$BT18,,T18+1)*R18-ERP_i)*Q18*Ramure*Pc/MaxiM</f>
        <v>2.7773649923839981E-2</v>
      </c>
      <c r="Q18" s="307">
        <f t="shared" si="2"/>
        <v>0.9</v>
      </c>
      <c r="R18" s="179">
        <f t="shared" si="3"/>
        <v>0.59990534963272601</v>
      </c>
      <c r="S18" s="839">
        <f t="shared" si="4"/>
        <v>-2</v>
      </c>
      <c r="T18" s="178">
        <f t="shared" si="5"/>
        <v>4</v>
      </c>
      <c r="U18" s="253">
        <f t="shared" si="20"/>
        <v>-1.400094650367274</v>
      </c>
      <c r="V18" s="385">
        <f t="shared" si="6"/>
        <v>16.823775684287231</v>
      </c>
      <c r="W18" s="404"/>
      <c r="X18" s="157">
        <f t="shared" si="7"/>
        <v>43834</v>
      </c>
      <c r="Y18" s="387">
        <f t="shared" si="8"/>
        <v>5.1870000000000003</v>
      </c>
      <c r="Z18" s="387">
        <f>Wh_sa_s*(1-Psa_s)</f>
        <v>5.2502729597225226</v>
      </c>
      <c r="AA18" s="388">
        <f t="shared" si="10"/>
        <v>5.7785659124471236</v>
      </c>
      <c r="AB18" s="199">
        <f>t</f>
        <v>43834</v>
      </c>
      <c r="AC18" s="119">
        <f>IF(OR(t&lt;Tnet,NoTnet),'2019'!Resal_s+('2019'!Salim-'2019'!Resal_s)*(1-EXP(('2019'!Tnet_s-t)/'2019'!Tau_j)),Resal_s+(Salim-Resal_s)*(1-EXP((Tnet_s-t)/Tau_j)))*Salcycl</f>
        <v>9.1422847939944735E-2</v>
      </c>
      <c r="AD18" s="233">
        <f>(INDEX(Models!$BJ18:$BT18,,AH18)*(1-AF18)+INDEX(Models!$BJ18:$BT18,,AH18+1)*AF18-ERP_i)*AE18*Ramure*Pc/MaxiM</f>
        <v>2.7773649923839981E-2</v>
      </c>
      <c r="AE18" s="307">
        <f t="shared" si="12"/>
        <v>0.9</v>
      </c>
      <c r="AF18" s="179">
        <f t="shared" si="21"/>
        <v>0.59990534963272601</v>
      </c>
      <c r="AG18" s="839">
        <f t="shared" si="22"/>
        <v>-2</v>
      </c>
      <c r="AH18" s="178">
        <f t="shared" si="13"/>
        <v>4</v>
      </c>
      <c r="AI18" s="227">
        <f t="shared" si="23"/>
        <v>-1.400094650367274</v>
      </c>
      <c r="AJ18" s="267" t="b">
        <f t="shared" si="14"/>
        <v>0</v>
      </c>
      <c r="AK18" s="267" t="b">
        <f t="shared" si="15"/>
        <v>0</v>
      </c>
      <c r="AL18" s="267"/>
      <c r="AM18" s="267"/>
      <c r="AN18" s="75"/>
    </row>
    <row r="19" spans="1:40" s="6" customFormat="1" ht="11.25" customHeight="1" x14ac:dyDescent="0.2">
      <c r="A19" s="56">
        <f t="shared" si="16"/>
        <v>43835</v>
      </c>
      <c r="B19" s="620">
        <v>10.692</v>
      </c>
      <c r="C19" s="392"/>
      <c r="D19" s="395">
        <f t="shared" si="0"/>
        <v>10.822676861497472</v>
      </c>
      <c r="E19" s="387">
        <f t="shared" si="17"/>
        <v>11.913365148886255</v>
      </c>
      <c r="F19" s="387">
        <f t="shared" si="1"/>
        <v>12.069405466584019</v>
      </c>
      <c r="G19" s="110">
        <f t="shared" si="18"/>
        <v>0.6209031892724538</v>
      </c>
      <c r="H19" s="416" t="b">
        <f>Wh_hp&gt;='2019'!Maxi_hp</f>
        <v>0</v>
      </c>
      <c r="I19" s="382">
        <f>IF(H19,Wh_hp,'2019'!Maxi_hp)</f>
        <v>19.412334573306765</v>
      </c>
      <c r="J19" s="85">
        <f>IF(H19,An,'2019'!An_max)</f>
        <v>2019</v>
      </c>
      <c r="K19" s="199">
        <f t="shared" si="19"/>
        <v>43835</v>
      </c>
      <c r="L19" s="147">
        <f>IF(t&lt;Tvie,1-EXP((T0-t)*PertePVj)+'2019'!Pspv,1-EXP((T0-t)*PertePVj)+Pspv)</f>
        <v>1.2074356757556526E-2</v>
      </c>
      <c r="M19" s="872"/>
      <c r="N19" s="872"/>
      <c r="O19" s="48">
        <f>IF(t&lt;Tnet,'2019'!Resal+('2019'!Salim-'2019'!Resal)*(1-EXP(('2019'!Tnet-t)/('2019'!Tau_j))),Resal+(Salim-Resal)*(1-EXP((Tnet-t)/(Tau_j))))*Salcycl</f>
        <v>9.1551654277192029E-2</v>
      </c>
      <c r="P19" s="171">
        <f>(INDEX(Models!$BJ19:$BT19,,T19)*(1-R19)+INDEX(Models!$BJ19:$BT19,,T19+1)*R19-ERP_i)*Q19*Ramure*Pc/MaxiM</f>
        <v>2.7411861695584416E-2</v>
      </c>
      <c r="Q19" s="307">
        <f t="shared" si="2"/>
        <v>0.9</v>
      </c>
      <c r="R19" s="179">
        <f t="shared" si="3"/>
        <v>0.59995159937831244</v>
      </c>
      <c r="S19" s="839">
        <f t="shared" si="4"/>
        <v>-2</v>
      </c>
      <c r="T19" s="178">
        <f t="shared" si="5"/>
        <v>4</v>
      </c>
      <c r="U19" s="253">
        <f t="shared" si="20"/>
        <v>-1.4000484006216876</v>
      </c>
      <c r="V19" s="385">
        <f t="shared" si="6"/>
        <v>16.967406016593465</v>
      </c>
      <c r="W19" s="404"/>
      <c r="X19" s="157">
        <f t="shared" si="7"/>
        <v>43835</v>
      </c>
      <c r="Y19" s="387">
        <f t="shared" si="8"/>
        <v>10.692</v>
      </c>
      <c r="Z19" s="387">
        <f t="shared" si="9"/>
        <v>10.822676861497472</v>
      </c>
      <c r="AA19" s="388">
        <f t="shared" si="10"/>
        <v>11.913365148886255</v>
      </c>
      <c r="AB19" s="199">
        <f t="shared" si="11"/>
        <v>43835</v>
      </c>
      <c r="AC19" s="119">
        <f>IF(OR(t&lt;Tnet,NoTnet),'2019'!Resal_s+('2019'!Salim-'2019'!Resal_s)*(1-EXP(('2019'!Tnet_s-t)/'2019'!Tau_j)),Resal_s+(Salim-Resal_s)*(1-EXP((Tnet_s-t)/Tau_j)))*Salcycl</f>
        <v>9.1551654277192029E-2</v>
      </c>
      <c r="AD19" s="233">
        <f>(INDEX(Models!$BJ19:$BT19,,AH19)*(1-AF19)+INDEX(Models!$BJ19:$BT19,,AH19+1)*AF19-ERP_i)*AE19*Ramure*Pc/MaxiM</f>
        <v>2.7411861695584416E-2</v>
      </c>
      <c r="AE19" s="307">
        <f t="shared" si="12"/>
        <v>0.9</v>
      </c>
      <c r="AF19" s="179">
        <f t="shared" si="21"/>
        <v>0.59995159937831244</v>
      </c>
      <c r="AG19" s="839">
        <f t="shared" si="22"/>
        <v>-2</v>
      </c>
      <c r="AH19" s="178">
        <f t="shared" si="13"/>
        <v>4</v>
      </c>
      <c r="AI19" s="227">
        <f t="shared" si="23"/>
        <v>-1.4000484006216876</v>
      </c>
      <c r="AJ19" s="267" t="b">
        <f t="shared" si="14"/>
        <v>0</v>
      </c>
      <c r="AK19" s="267" t="b">
        <f t="shared" si="15"/>
        <v>0</v>
      </c>
      <c r="AL19" s="267"/>
      <c r="AM19" s="267"/>
      <c r="AN19" s="75"/>
    </row>
    <row r="20" spans="1:40" s="6" customFormat="1" ht="11.25" customHeight="1" x14ac:dyDescent="0.2">
      <c r="A20" s="56">
        <f t="shared" si="16"/>
        <v>43836</v>
      </c>
      <c r="B20" s="620">
        <v>16.457000000000001</v>
      </c>
      <c r="C20" s="392"/>
      <c r="D20" s="395">
        <f t="shared" si="0"/>
        <v>16.658523948553945</v>
      </c>
      <c r="E20" s="387">
        <f t="shared" si="17"/>
        <v>18.339934536539943</v>
      </c>
      <c r="F20" s="387">
        <f t="shared" si="1"/>
        <v>18.820764031307291</v>
      </c>
      <c r="G20" s="110">
        <f t="shared" si="18"/>
        <v>0.9598916563919323</v>
      </c>
      <c r="H20" s="416" t="b">
        <f>Wh_hp&gt;='2019'!Maxi_hp</f>
        <v>1</v>
      </c>
      <c r="I20" s="382">
        <f>IF(H20,Wh_hp,'2019'!Maxi_hp)</f>
        <v>18.820764031307291</v>
      </c>
      <c r="J20" s="85">
        <f>IF(H20,An,'2019'!An_max)</f>
        <v>2020</v>
      </c>
      <c r="K20" s="199">
        <f t="shared" si="19"/>
        <v>43836</v>
      </c>
      <c r="L20" s="147">
        <f>IF(t&lt;Tvie,1-EXP((T0-t)*PertePVj)+'2019'!Pspv,1-EXP((T0-t)*PertePVj)+Pspv)</f>
        <v>1.2097347230541233E-2</v>
      </c>
      <c r="M20" s="872"/>
      <c r="N20" s="872"/>
      <c r="O20" s="48">
        <f>IF(t&lt;Tnet,'2019'!Resal+('2019'!Salim-'2019'!Resal)*(1-EXP(('2019'!Tnet-t)/('2019'!Tau_j))),Resal+(Salim-Resal)*(1-EXP((Tnet-t)/(Tau_j))))*Salcycl</f>
        <v>9.1680293876513344E-2</v>
      </c>
      <c r="P20" s="171">
        <f>(INDEX(Models!$BJ20:$BT20,,T20)*(1-R20)+INDEX(Models!$BJ20:$BT20,,T20+1)*R20-ERP_i)*Q20*Ramure*Pc/MaxiM</f>
        <v>2.7040286483204012E-2</v>
      </c>
      <c r="Q20" s="307">
        <f t="shared" si="2"/>
        <v>0.9</v>
      </c>
      <c r="R20" s="179">
        <f t="shared" si="3"/>
        <v>0.59999978289376332</v>
      </c>
      <c r="S20" s="839">
        <f t="shared" si="4"/>
        <v>-2</v>
      </c>
      <c r="T20" s="178">
        <f t="shared" si="5"/>
        <v>4</v>
      </c>
      <c r="U20" s="253">
        <f t="shared" si="20"/>
        <v>-1.4000002171062367</v>
      </c>
      <c r="V20" s="385">
        <f t="shared" si="6"/>
        <v>17.118384588182781</v>
      </c>
      <c r="W20" s="404"/>
      <c r="X20" s="157">
        <f t="shared" si="7"/>
        <v>43836</v>
      </c>
      <c r="Y20" s="387">
        <f t="shared" si="8"/>
        <v>16.457000000000001</v>
      </c>
      <c r="Z20" s="387">
        <f t="shared" si="9"/>
        <v>16.658523948553945</v>
      </c>
      <c r="AA20" s="388">
        <f t="shared" si="10"/>
        <v>18.339934536539943</v>
      </c>
      <c r="AB20" s="199">
        <f t="shared" si="11"/>
        <v>43836</v>
      </c>
      <c r="AC20" s="119">
        <f>IF(OR(t&lt;Tnet,NoTnet),'2019'!Resal_s+('2019'!Salim-'2019'!Resal_s)*(1-EXP(('2019'!Tnet_s-t)/'2019'!Tau_j)),Resal_s+(Salim-Resal_s)*(1-EXP((Tnet_s-t)/Tau_j)))*Salcycl</f>
        <v>9.1680293876513344E-2</v>
      </c>
      <c r="AD20" s="233">
        <f>(INDEX(Models!$BJ20:$BT20,,AH20)*(1-AF20)+INDEX(Models!$BJ20:$BT20,,AH20+1)*AF20-ERP_i)*AE20*Ramure*Pc/MaxiM</f>
        <v>2.7040286483204012E-2</v>
      </c>
      <c r="AE20" s="307">
        <f t="shared" si="12"/>
        <v>0.9</v>
      </c>
      <c r="AF20" s="179">
        <f t="shared" si="21"/>
        <v>0.59999978289376332</v>
      </c>
      <c r="AG20" s="839">
        <f t="shared" si="22"/>
        <v>-2</v>
      </c>
      <c r="AH20" s="178">
        <f t="shared" si="13"/>
        <v>4</v>
      </c>
      <c r="AI20" s="227">
        <f t="shared" si="23"/>
        <v>-1.4000002171062367</v>
      </c>
      <c r="AJ20" s="267" t="b">
        <f t="shared" si="14"/>
        <v>0</v>
      </c>
      <c r="AK20" s="267" t="b">
        <f t="shared" si="15"/>
        <v>0</v>
      </c>
      <c r="AL20" s="267"/>
      <c r="AM20" s="267"/>
      <c r="AN20" s="75"/>
    </row>
    <row r="21" spans="1:40" s="6" customFormat="1" ht="11.25" customHeight="1" x14ac:dyDescent="0.2">
      <c r="A21" s="56">
        <f t="shared" si="16"/>
        <v>43837</v>
      </c>
      <c r="B21" s="620">
        <v>6.7</v>
      </c>
      <c r="C21" s="392"/>
      <c r="D21" s="395">
        <f t="shared" si="0"/>
        <v>6.7822025820394165</v>
      </c>
      <c r="E21" s="387">
        <f t="shared" si="17"/>
        <v>7.4678131736508195</v>
      </c>
      <c r="F21" s="387">
        <f t="shared" si="1"/>
        <v>7.4928717246201249</v>
      </c>
      <c r="G21" s="110">
        <f t="shared" si="18"/>
        <v>0.37873823586515648</v>
      </c>
      <c r="H21" s="416" t="b">
        <f>Wh_hp&gt;='2019'!Maxi_hp</f>
        <v>1</v>
      </c>
      <c r="I21" s="382">
        <f>IF(H21,Wh_hp,'2019'!Maxi_hp)</f>
        <v>7.4928717246201249</v>
      </c>
      <c r="J21" s="85">
        <f>IF(H21,An,'2019'!An_max)</f>
        <v>2020</v>
      </c>
      <c r="K21" s="199">
        <f t="shared" si="19"/>
        <v>43837</v>
      </c>
      <c r="L21" s="147">
        <f>IF(t&lt;Tvie,1-EXP((T0-t)*PertePVj)+'2019'!Pspv,1-EXP((T0-t)*PertePVj)+Pspv)</f>
        <v>1.2120337168504025E-2</v>
      </c>
      <c r="M21" s="872"/>
      <c r="N21" s="872"/>
      <c r="O21" s="48">
        <f>IF(t&lt;Tnet,'2019'!Resal+('2019'!Salim-'2019'!Resal)*(1-EXP(('2019'!Tnet-t)/('2019'!Tau_j))),Resal+(Salim-Resal)*(1-EXP((Tnet-t)/(Tau_j))))*Salcycl</f>
        <v>9.1808749853369162E-2</v>
      </c>
      <c r="P21" s="171">
        <f>(INDEX(Models!$BJ21:$BT21,,T21)*(1-R21)+INDEX(Models!$BJ21:$BT21,,T21+1)*R21-ERP_i)*Q21*Ramure*Pc/MaxiM</f>
        <v>2.665991114227086E-2</v>
      </c>
      <c r="Q21" s="307">
        <f t="shared" si="2"/>
        <v>0.9</v>
      </c>
      <c r="R21" s="179">
        <f t="shared" si="3"/>
        <v>0.60004998074925187</v>
      </c>
      <c r="S21" s="839">
        <f t="shared" si="4"/>
        <v>-2</v>
      </c>
      <c r="T21" s="178">
        <f t="shared" si="5"/>
        <v>4</v>
      </c>
      <c r="U21" s="253">
        <f t="shared" si="20"/>
        <v>-1.3999500192507481</v>
      </c>
      <c r="V21" s="385">
        <f t="shared" si="6"/>
        <v>17.276474163299991</v>
      </c>
      <c r="W21" s="404"/>
      <c r="X21" s="157">
        <f t="shared" si="7"/>
        <v>43837</v>
      </c>
      <c r="Y21" s="387">
        <f t="shared" si="8"/>
        <v>6.7</v>
      </c>
      <c r="Z21" s="387">
        <f t="shared" si="9"/>
        <v>6.7822025820394165</v>
      </c>
      <c r="AA21" s="388">
        <f t="shared" si="10"/>
        <v>7.4678131736508195</v>
      </c>
      <c r="AB21" s="199">
        <f t="shared" si="11"/>
        <v>43837</v>
      </c>
      <c r="AC21" s="119">
        <f>IF(OR(t&lt;Tnet,NoTnet),'2019'!Resal_s+('2019'!Salim-'2019'!Resal_s)*(1-EXP(('2019'!Tnet_s-t)/'2019'!Tau_j)),Resal_s+(Salim-Resal_s)*(1-EXP((Tnet_s-t)/Tau_j)))*Salcycl</f>
        <v>9.1808749853369162E-2</v>
      </c>
      <c r="AD21" s="233">
        <f>(INDEX(Models!$BJ21:$BT21,,AH21)*(1-AF21)+INDEX(Models!$BJ21:$BT21,,AH21+1)*AF21-ERP_i)*AE21*Ramure*Pc/MaxiM</f>
        <v>2.665991114227086E-2</v>
      </c>
      <c r="AE21" s="307">
        <f t="shared" si="12"/>
        <v>0.9</v>
      </c>
      <c r="AF21" s="179">
        <f t="shared" si="21"/>
        <v>0.60004998074925187</v>
      </c>
      <c r="AG21" s="839">
        <f t="shared" si="22"/>
        <v>-2</v>
      </c>
      <c r="AH21" s="178">
        <f t="shared" si="13"/>
        <v>4</v>
      </c>
      <c r="AI21" s="227">
        <f t="shared" si="23"/>
        <v>-1.3999500192507481</v>
      </c>
      <c r="AJ21" s="267" t="b">
        <f t="shared" si="14"/>
        <v>0</v>
      </c>
      <c r="AK21" s="267" t="b">
        <f t="shared" si="15"/>
        <v>0</v>
      </c>
      <c r="AL21" s="267"/>
      <c r="AM21" s="267"/>
      <c r="AN21" s="75"/>
    </row>
    <row r="22" spans="1:40" s="6" customFormat="1" ht="11.25" customHeight="1" x14ac:dyDescent="0.2">
      <c r="A22" s="56">
        <f t="shared" si="16"/>
        <v>43838</v>
      </c>
      <c r="B22" s="620">
        <v>10.481</v>
      </c>
      <c r="C22" s="392"/>
      <c r="D22" s="395">
        <f t="shared" si="0"/>
        <v>10.609838736649635</v>
      </c>
      <c r="E22" s="387">
        <f t="shared" si="17"/>
        <v>11.684033858342241</v>
      </c>
      <c r="F22" s="387">
        <f t="shared" si="1"/>
        <v>11.817500963349973</v>
      </c>
      <c r="G22" s="110">
        <f t="shared" si="18"/>
        <v>0.59182196328759351</v>
      </c>
      <c r="H22" s="416" t="b">
        <f>Wh_hp&gt;='2019'!Maxi_hp</f>
        <v>1</v>
      </c>
      <c r="I22" s="382">
        <f>IF(H22,Wh_hp,'2019'!Maxi_hp)</f>
        <v>11.817500963349973</v>
      </c>
      <c r="J22" s="85">
        <f>IF(H22,An,'2019'!An_max)</f>
        <v>2020</v>
      </c>
      <c r="K22" s="199">
        <f t="shared" si="19"/>
        <v>43838</v>
      </c>
      <c r="L22" s="147">
        <f>IF(t&lt;Tvie,1-EXP((T0-t)*PertePVj)+'2019'!Pspv,1-EXP((T0-t)*PertePVj)+Pspv)</f>
        <v>1.2143326571457447E-2</v>
      </c>
      <c r="M22" s="872"/>
      <c r="N22" s="872"/>
      <c r="O22" s="48">
        <f>IF(t&lt;Tnet,'2019'!Resal+('2019'!Salim-'2019'!Resal)*(1-EXP(('2019'!Tnet-t)/('2019'!Tau_j))),Resal+(Salim-Resal)*(1-EXP((Tnet-t)/(Tau_j))))*Salcycl</f>
        <v>9.1937008632138162E-2</v>
      </c>
      <c r="P22" s="171">
        <f>(INDEX(Models!$BJ22:$BT22,,T22)*(1-R22)+INDEX(Models!$BJ22:$BT22,,T22+1)*R22-ERP_i)*Q22*Ramure*Pc/MaxiM</f>
        <v>2.6271690846829874E-2</v>
      </c>
      <c r="Q22" s="307">
        <f t="shared" si="2"/>
        <v>0.9</v>
      </c>
      <c r="R22" s="179">
        <f t="shared" si="3"/>
        <v>0.60010227684764783</v>
      </c>
      <c r="S22" s="839">
        <f t="shared" si="4"/>
        <v>-2</v>
      </c>
      <c r="T22" s="178">
        <f t="shared" si="5"/>
        <v>4</v>
      </c>
      <c r="U22" s="253">
        <f t="shared" si="20"/>
        <v>-1.3998977231523522</v>
      </c>
      <c r="V22" s="385">
        <f t="shared" si="6"/>
        <v>17.441437602598437</v>
      </c>
      <c r="W22" s="404"/>
      <c r="X22" s="157">
        <f t="shared" si="7"/>
        <v>43838</v>
      </c>
      <c r="Y22" s="387">
        <f t="shared" si="8"/>
        <v>10.481</v>
      </c>
      <c r="Z22" s="387">
        <f t="shared" si="9"/>
        <v>10.609838736649635</v>
      </c>
      <c r="AA22" s="388">
        <f t="shared" si="10"/>
        <v>11.684033858342241</v>
      </c>
      <c r="AB22" s="199">
        <f t="shared" si="11"/>
        <v>43838</v>
      </c>
      <c r="AC22" s="119">
        <f>IF(OR(t&lt;Tnet,NoTnet),'2019'!Resal_s+('2019'!Salim-'2019'!Resal_s)*(1-EXP(('2019'!Tnet_s-t)/'2019'!Tau_j)),Resal_s+(Salim-Resal_s)*(1-EXP((Tnet_s-t)/Tau_j)))*Salcycl</f>
        <v>9.1937008632138162E-2</v>
      </c>
      <c r="AD22" s="233">
        <f>(INDEX(Models!$BJ22:$BT22,,AH22)*(1-AF22)+INDEX(Models!$BJ22:$BT22,,AH22+1)*AF22-ERP_i)*AE22*Ramure*Pc/MaxiM</f>
        <v>2.6271690846829874E-2</v>
      </c>
      <c r="AE22" s="307">
        <f t="shared" si="12"/>
        <v>0.9</v>
      </c>
      <c r="AF22" s="179">
        <f t="shared" si="21"/>
        <v>0.60010227684764783</v>
      </c>
      <c r="AG22" s="839">
        <f t="shared" si="22"/>
        <v>-2</v>
      </c>
      <c r="AH22" s="178">
        <f t="shared" si="13"/>
        <v>4</v>
      </c>
      <c r="AI22" s="227">
        <f t="shared" si="23"/>
        <v>-1.3998977231523522</v>
      </c>
      <c r="AJ22" s="267" t="b">
        <f t="shared" si="14"/>
        <v>0</v>
      </c>
      <c r="AK22" s="267" t="b">
        <f t="shared" si="15"/>
        <v>0</v>
      </c>
      <c r="AL22" s="267"/>
      <c r="AM22" s="267"/>
      <c r="AN22" s="75"/>
    </row>
    <row r="23" spans="1:40" s="6" customFormat="1" ht="11.25" customHeight="1" x14ac:dyDescent="0.2">
      <c r="A23" s="56">
        <f t="shared" si="16"/>
        <v>43839</v>
      </c>
      <c r="B23" s="620">
        <v>16.523</v>
      </c>
      <c r="C23" s="392"/>
      <c r="D23" s="395">
        <f t="shared" si="0"/>
        <v>16.726499873660266</v>
      </c>
      <c r="E23" s="387">
        <f t="shared" si="17"/>
        <v>18.422575376802893</v>
      </c>
      <c r="F23" s="387">
        <f t="shared" si="1"/>
        <v>18.867508996859197</v>
      </c>
      <c r="G23" s="110">
        <f t="shared" si="18"/>
        <v>0.93580048857254305</v>
      </c>
      <c r="H23" s="416" t="b">
        <f>Wh_hp&gt;='2019'!Maxi_hp</f>
        <v>1</v>
      </c>
      <c r="I23" s="382">
        <f>IF(H23,Wh_hp,'2019'!Maxi_hp)</f>
        <v>18.867508996859197</v>
      </c>
      <c r="J23" s="85">
        <f>IF(H23,An,'2019'!An_max)</f>
        <v>2020</v>
      </c>
      <c r="K23" s="199">
        <f t="shared" si="19"/>
        <v>43839</v>
      </c>
      <c r="L23" s="147">
        <f>IF(t&lt;Tvie,1-EXP((T0-t)*PertePVj)+'2019'!Pspv,1-EXP((T0-t)*PertePVj)+Pspv)</f>
        <v>1.2166315439413822E-2</v>
      </c>
      <c r="M23" s="872"/>
      <c r="N23" s="872"/>
      <c r="O23" s="48">
        <f>IF(t&lt;Tnet,'2019'!Resal+('2019'!Salim-'2019'!Resal)*(1-EXP(('2019'!Tnet-t)/('2019'!Tau_j))),Resal+(Salim-Resal)*(1-EXP((Tnet-t)/(Tau_j))))*Salcycl</f>
        <v>9.2065059767825363E-2</v>
      </c>
      <c r="P23" s="171">
        <f>(INDEX(Models!$BJ23:$BT23,,T23)*(1-R23)+INDEX(Models!$BJ23:$BT23,,T23+1)*R23-ERP_i)*Q23*Ramure*Pc/MaxiM</f>
        <v>2.5873591238088328E-2</v>
      </c>
      <c r="Q23" s="307">
        <f t="shared" si="2"/>
        <v>0.9</v>
      </c>
      <c r="R23" s="179">
        <f t="shared" si="3"/>
        <v>0.60015675856029693</v>
      </c>
      <c r="S23" s="839">
        <f t="shared" si="4"/>
        <v>-2</v>
      </c>
      <c r="T23" s="178">
        <f t="shared" si="5"/>
        <v>4</v>
      </c>
      <c r="U23" s="253">
        <f t="shared" si="20"/>
        <v>-1.3998432414397031</v>
      </c>
      <c r="V23" s="385">
        <f t="shared" si="6"/>
        <v>17.615102563737125</v>
      </c>
      <c r="W23" s="404"/>
      <c r="X23" s="157">
        <f t="shared" si="7"/>
        <v>43839</v>
      </c>
      <c r="Y23" s="387">
        <f t="shared" si="8"/>
        <v>16.523</v>
      </c>
      <c r="Z23" s="387">
        <f t="shared" si="9"/>
        <v>16.726499873660266</v>
      </c>
      <c r="AA23" s="388">
        <f t="shared" si="10"/>
        <v>18.422575376802893</v>
      </c>
      <c r="AB23" s="199">
        <f t="shared" si="11"/>
        <v>43839</v>
      </c>
      <c r="AC23" s="119">
        <f>IF(OR(t&lt;Tnet,NoTnet),'2019'!Resal_s+('2019'!Salim-'2019'!Resal_s)*(1-EXP(('2019'!Tnet_s-t)/'2019'!Tau_j)),Resal_s+(Salim-Resal_s)*(1-EXP((Tnet_s-t)/Tau_j)))*Salcycl</f>
        <v>9.2065059767825363E-2</v>
      </c>
      <c r="AD23" s="233">
        <f>(INDEX(Models!$BJ23:$BT23,,AH23)*(1-AF23)+INDEX(Models!$BJ23:$BT23,,AH23+1)*AF23-ERP_i)*AE23*Ramure*Pc/MaxiM</f>
        <v>2.5873591238088328E-2</v>
      </c>
      <c r="AE23" s="307">
        <f t="shared" si="12"/>
        <v>0.9</v>
      </c>
      <c r="AF23" s="179">
        <f t="shared" si="21"/>
        <v>0.60015675856029693</v>
      </c>
      <c r="AG23" s="839">
        <f t="shared" si="22"/>
        <v>-2</v>
      </c>
      <c r="AH23" s="178">
        <f t="shared" si="13"/>
        <v>4</v>
      </c>
      <c r="AI23" s="227">
        <f t="shared" si="23"/>
        <v>-1.3998432414397031</v>
      </c>
      <c r="AJ23" s="267" t="b">
        <f t="shared" si="14"/>
        <v>0</v>
      </c>
      <c r="AK23" s="267" t="b">
        <f t="shared" si="15"/>
        <v>0</v>
      </c>
      <c r="AL23" s="267"/>
      <c r="AM23" s="267"/>
      <c r="AN23" s="75"/>
    </row>
    <row r="24" spans="1:40" s="6" customFormat="1" ht="11.25" customHeight="1" x14ac:dyDescent="0.2">
      <c r="A24" s="56">
        <f t="shared" si="16"/>
        <v>43840</v>
      </c>
      <c r="B24" s="620">
        <v>9.1379999999999999</v>
      </c>
      <c r="C24" s="392"/>
      <c r="D24" s="395">
        <f t="shared" si="0"/>
        <v>9.2507603277606076</v>
      </c>
      <c r="E24" s="387">
        <f t="shared" si="17"/>
        <v>10.190226849299545</v>
      </c>
      <c r="F24" s="387">
        <f t="shared" si="1"/>
        <v>10.269973463788448</v>
      </c>
      <c r="G24" s="110">
        <f t="shared" si="18"/>
        <v>0.50424146378265566</v>
      </c>
      <c r="H24" s="416" t="b">
        <f>Wh_hp&gt;='2019'!Maxi_hp</f>
        <v>0</v>
      </c>
      <c r="I24" s="382">
        <f>IF(H24,Wh_hp,'2019'!Maxi_hp)</f>
        <v>10.733503548463755</v>
      </c>
      <c r="J24" s="85">
        <f>IF(H24,An,'2019'!An_max)</f>
        <v>2019</v>
      </c>
      <c r="K24" s="199">
        <f t="shared" si="19"/>
        <v>43840</v>
      </c>
      <c r="L24" s="147">
        <f>IF(t&lt;Tvie,1-EXP((T0-t)*PertePVj)+'2019'!Pspv,1-EXP((T0-t)*PertePVj)+Pspv)</f>
        <v>1.2189303772385696E-2</v>
      </c>
      <c r="M24" s="872"/>
      <c r="N24" s="872"/>
      <c r="O24" s="48">
        <f>IF(t&lt;Tnet,'2019'!Resal+('2019'!Salim-'2019'!Resal)*(1-EXP(('2019'!Tnet-t)/('2019'!Tau_j))),Resal+(Salim-Resal)*(1-EXP((Tnet-t)/(Tau_j))))*Salcycl</f>
        <v>9.2192895745349793E-2</v>
      </c>
      <c r="P24" s="171">
        <f>(INDEX(Models!$BJ24:$BT24,,T24)*(1-R24)+INDEX(Models!$BJ24:$BT24,,T24+1)*R24-ERP_i)*Q24*Ramure*Pc/MaxiM</f>
        <v>2.5470705289563848E-2</v>
      </c>
      <c r="Q24" s="307">
        <f t="shared" si="2"/>
        <v>0.9</v>
      </c>
      <c r="R24" s="179">
        <f t="shared" si="3"/>
        <v>0.60021351686815438</v>
      </c>
      <c r="S24" s="839">
        <f t="shared" si="4"/>
        <v>-2</v>
      </c>
      <c r="T24" s="178">
        <f t="shared" si="5"/>
        <v>4</v>
      </c>
      <c r="U24" s="253">
        <f t="shared" si="20"/>
        <v>-1.3997864831318456</v>
      </c>
      <c r="V24" s="385">
        <f t="shared" si="6"/>
        <v>17.798891959625699</v>
      </c>
      <c r="W24" s="404"/>
      <c r="X24" s="157">
        <f t="shared" si="7"/>
        <v>43840</v>
      </c>
      <c r="Y24" s="387">
        <f t="shared" si="8"/>
        <v>9.1379999999999999</v>
      </c>
      <c r="Z24" s="387">
        <f t="shared" si="9"/>
        <v>9.2507603277606076</v>
      </c>
      <c r="AA24" s="388">
        <f t="shared" si="10"/>
        <v>10.190226849299545</v>
      </c>
      <c r="AB24" s="199">
        <f t="shared" si="11"/>
        <v>43840</v>
      </c>
      <c r="AC24" s="119">
        <f>IF(OR(t&lt;Tnet,NoTnet),'2019'!Resal_s+('2019'!Salim-'2019'!Resal_s)*(1-EXP(('2019'!Tnet_s-t)/'2019'!Tau_j)),Resal_s+(Salim-Resal_s)*(1-EXP((Tnet_s-t)/Tau_j)))*Salcycl</f>
        <v>9.2192895745349793E-2</v>
      </c>
      <c r="AD24" s="233">
        <f>(INDEX(Models!$BJ24:$BT24,,AH24)*(1-AF24)+INDEX(Models!$BJ24:$BT24,,AH24+1)*AF24-ERP_i)*AE24*Ramure*Pc/MaxiM</f>
        <v>2.5470705289563848E-2</v>
      </c>
      <c r="AE24" s="307">
        <f t="shared" si="12"/>
        <v>0.9</v>
      </c>
      <c r="AF24" s="179">
        <f t="shared" si="21"/>
        <v>0.60021351686815438</v>
      </c>
      <c r="AG24" s="839">
        <f t="shared" si="22"/>
        <v>-2</v>
      </c>
      <c r="AH24" s="178">
        <f t="shared" si="13"/>
        <v>4</v>
      </c>
      <c r="AI24" s="227">
        <f t="shared" si="23"/>
        <v>-1.3997864831318456</v>
      </c>
      <c r="AJ24" s="267" t="b">
        <f t="shared" si="14"/>
        <v>0</v>
      </c>
      <c r="AK24" s="267" t="b">
        <f t="shared" si="15"/>
        <v>0</v>
      </c>
      <c r="AL24" s="267"/>
      <c r="AM24" s="267"/>
      <c r="AN24" s="75"/>
    </row>
    <row r="25" spans="1:40" s="6" customFormat="1" ht="11.25" customHeight="1" x14ac:dyDescent="0.2">
      <c r="A25" s="56">
        <f t="shared" si="16"/>
        <v>43841</v>
      </c>
      <c r="B25" s="620">
        <v>17.792000000000002</v>
      </c>
      <c r="C25" s="392"/>
      <c r="D25" s="395">
        <f t="shared" si="0"/>
        <v>18.011967397615965</v>
      </c>
      <c r="E25" s="387">
        <f t="shared" si="17"/>
        <v>19.843973154581978</v>
      </c>
      <c r="F25" s="387">
        <f t="shared" si="1"/>
        <v>20.345949688622873</v>
      </c>
      <c r="G25" s="110">
        <f t="shared" si="18"/>
        <v>0.98847823468128437</v>
      </c>
      <c r="H25" s="416" t="b">
        <f>Wh_hp&gt;='2019'!Maxi_hp</f>
        <v>1</v>
      </c>
      <c r="I25" s="382">
        <f>IF(H25,Wh_hp,'2019'!Maxi_hp)</f>
        <v>20.345949688622873</v>
      </c>
      <c r="J25" s="85">
        <f>IF(H25,An,'2019'!An_max)</f>
        <v>2020</v>
      </c>
      <c r="K25" s="199">
        <f t="shared" si="19"/>
        <v>43841</v>
      </c>
      <c r="L25" s="147">
        <f>IF(t&lt;Tvie,1-EXP((T0-t)*PertePVj)+'2019'!Pspv,1-EXP((T0-t)*PertePVj)+Pspv)</f>
        <v>1.2212291570385503E-2</v>
      </c>
      <c r="M25" s="872"/>
      <c r="N25" s="872"/>
      <c r="O25" s="48">
        <f>IF(t&lt;Tnet,'2019'!Resal+('2019'!Salim-'2019'!Resal)*(1-EXP(('2019'!Tnet-t)/('2019'!Tau_j))),Resal+(Salim-Resal)*(1-EXP((Tnet-t)/(Tau_j))))*Salcycl</f>
        <v>9.2320511759158591E-2</v>
      </c>
      <c r="P25" s="171">
        <f>(INDEX(Models!$BJ25:$BT25,,T25)*(1-R25)+INDEX(Models!$BJ25:$BT25,,T25+1)*R25-ERP_i)*Q25*Ramure*Pc/MaxiM</f>
        <v>2.5070250844263696E-2</v>
      </c>
      <c r="Q25" s="307">
        <f t="shared" si="2"/>
        <v>0.9</v>
      </c>
      <c r="R25" s="179">
        <f t="shared" si="3"/>
        <v>0.6002726465084669</v>
      </c>
      <c r="S25" s="839">
        <f t="shared" si="4"/>
        <v>-2</v>
      </c>
      <c r="T25" s="178">
        <f t="shared" si="5"/>
        <v>4</v>
      </c>
      <c r="U25" s="253">
        <f t="shared" si="20"/>
        <v>-1.3997273534915331</v>
      </c>
      <c r="V25" s="385">
        <f t="shared" si="6"/>
        <v>17.992036232194167</v>
      </c>
      <c r="W25" s="404"/>
      <c r="X25" s="157">
        <f t="shared" si="7"/>
        <v>43841</v>
      </c>
      <c r="Y25" s="387">
        <f t="shared" si="8"/>
        <v>17.792000000000002</v>
      </c>
      <c r="Z25" s="387">
        <f t="shared" si="9"/>
        <v>18.011967397615965</v>
      </c>
      <c r="AA25" s="388">
        <f t="shared" si="10"/>
        <v>19.843973154581978</v>
      </c>
      <c r="AB25" s="199">
        <f t="shared" si="11"/>
        <v>43841</v>
      </c>
      <c r="AC25" s="119">
        <f>IF(OR(t&lt;Tnet,NoTnet),'2019'!Resal_s+('2019'!Salim-'2019'!Resal_s)*(1-EXP(('2019'!Tnet_s-t)/'2019'!Tau_j)),Resal_s+(Salim-Resal_s)*(1-EXP((Tnet_s-t)/Tau_j)))*Salcycl</f>
        <v>9.2320511759158591E-2</v>
      </c>
      <c r="AD25" s="233">
        <f>(INDEX(Models!$BJ25:$BT25,,AH25)*(1-AF25)+INDEX(Models!$BJ25:$BT25,,AH25+1)*AF25-ERP_i)*AE25*Ramure*Pc/MaxiM</f>
        <v>2.5070250844263696E-2</v>
      </c>
      <c r="AE25" s="307">
        <f t="shared" si="12"/>
        <v>0.9</v>
      </c>
      <c r="AF25" s="179">
        <f t="shared" si="21"/>
        <v>0.6002726465084669</v>
      </c>
      <c r="AG25" s="839">
        <f t="shared" si="22"/>
        <v>-2</v>
      </c>
      <c r="AH25" s="178">
        <f t="shared" si="13"/>
        <v>4</v>
      </c>
      <c r="AI25" s="227">
        <f t="shared" si="23"/>
        <v>-1.3997273534915331</v>
      </c>
      <c r="AJ25" s="267" t="b">
        <f t="shared" si="14"/>
        <v>0</v>
      </c>
      <c r="AK25" s="267" t="b">
        <f t="shared" si="15"/>
        <v>0</v>
      </c>
      <c r="AL25" s="267"/>
      <c r="AM25" s="267"/>
      <c r="AN25" s="75"/>
    </row>
    <row r="26" spans="1:40" s="6" customFormat="1" ht="11.25" customHeight="1" x14ac:dyDescent="0.2">
      <c r="A26" s="56">
        <f t="shared" si="16"/>
        <v>43842</v>
      </c>
      <c r="B26" s="620">
        <v>18.099</v>
      </c>
      <c r="C26" s="392"/>
      <c r="D26" s="395">
        <f t="shared" si="0"/>
        <v>18.323189330577261</v>
      </c>
      <c r="E26" s="387">
        <f t="shared" si="17"/>
        <v>20.189683260208302</v>
      </c>
      <c r="F26" s="387">
        <f t="shared" si="1"/>
        <v>20.696537437632458</v>
      </c>
      <c r="G26" s="110">
        <f t="shared" si="18"/>
        <v>0.99459825127135648</v>
      </c>
      <c r="H26" s="416" t="b">
        <f>Wh_hp&gt;='2019'!Maxi_hp</f>
        <v>1</v>
      </c>
      <c r="I26" s="382">
        <f>IF(H26,Wh_hp,'2019'!Maxi_hp)</f>
        <v>20.696537437632458</v>
      </c>
      <c r="J26" s="85">
        <f>IF(H26,An,'2019'!An_max)</f>
        <v>2020</v>
      </c>
      <c r="K26" s="199">
        <f t="shared" si="19"/>
        <v>43842</v>
      </c>
      <c r="L26" s="147">
        <f>IF(t&lt;Tvie,1-EXP((T0-t)*PertePVj)+'2019'!Pspv,1-EXP((T0-t)*PertePVj)+Pspv)</f>
        <v>1.2235278833425567E-2</v>
      </c>
      <c r="M26" s="872"/>
      <c r="N26" s="872"/>
      <c r="O26" s="48">
        <f>IF(t&lt;Tnet,'2019'!Resal+('2019'!Salim-'2019'!Resal)*(1-EXP(('2019'!Tnet-t)/('2019'!Tau_j))),Resal+(Salim-Resal)*(1-EXP((Tnet-t)/(Tau_j))))*Salcycl</f>
        <v>9.2447905476045783E-2</v>
      </c>
      <c r="P26" s="171">
        <f>(INDEX(Models!$BJ26:$BT26,,T26)*(1-R26)+INDEX(Models!$BJ26:$BT26,,T26+1)*R26-ERP_i)*Q26*Ramure*Pc/MaxiM</f>
        <v>2.4673599994534608E-2</v>
      </c>
      <c r="Q26" s="307">
        <f t="shared" si="2"/>
        <v>0.9</v>
      </c>
      <c r="R26" s="179">
        <f t="shared" si="3"/>
        <v>0.60033424612720632</v>
      </c>
      <c r="S26" s="839">
        <f t="shared" si="4"/>
        <v>-2</v>
      </c>
      <c r="T26" s="178">
        <f t="shared" si="5"/>
        <v>4</v>
      </c>
      <c r="U26" s="253">
        <f t="shared" si="20"/>
        <v>-1.3996657538727937</v>
      </c>
      <c r="V26" s="385">
        <f t="shared" si="6"/>
        <v>18.19386870110527</v>
      </c>
      <c r="W26" s="404"/>
      <c r="X26" s="157">
        <f t="shared" si="7"/>
        <v>43842</v>
      </c>
      <c r="Y26" s="387">
        <f t="shared" si="8"/>
        <v>18.099</v>
      </c>
      <c r="Z26" s="387">
        <f t="shared" si="9"/>
        <v>18.323189330577261</v>
      </c>
      <c r="AA26" s="388">
        <f t="shared" si="10"/>
        <v>20.189683260208302</v>
      </c>
      <c r="AB26" s="199">
        <f t="shared" si="11"/>
        <v>43842</v>
      </c>
      <c r="AC26" s="119">
        <f>IF(OR(t&lt;Tnet,NoTnet),'2019'!Resal_s+('2019'!Salim-'2019'!Resal_s)*(1-EXP(('2019'!Tnet_s-t)/'2019'!Tau_j)),Resal_s+(Salim-Resal_s)*(1-EXP((Tnet_s-t)/Tau_j)))*Salcycl</f>
        <v>9.2447905476045783E-2</v>
      </c>
      <c r="AD26" s="233">
        <f>(INDEX(Models!$BJ26:$BT26,,AH26)*(1-AF26)+INDEX(Models!$BJ26:$BT26,,AH26+1)*AF26-ERP_i)*AE26*Ramure*Pc/MaxiM</f>
        <v>2.4673599994534608E-2</v>
      </c>
      <c r="AE26" s="307">
        <f t="shared" si="12"/>
        <v>0.9</v>
      </c>
      <c r="AF26" s="179">
        <f t="shared" si="21"/>
        <v>0.60033424612720632</v>
      </c>
      <c r="AG26" s="839">
        <f t="shared" si="22"/>
        <v>-2</v>
      </c>
      <c r="AH26" s="178">
        <f t="shared" si="13"/>
        <v>4</v>
      </c>
      <c r="AI26" s="227">
        <f t="shared" si="23"/>
        <v>-1.3996657538727937</v>
      </c>
      <c r="AJ26" s="267" t="b">
        <f t="shared" si="14"/>
        <v>0</v>
      </c>
      <c r="AK26" s="267" t="b">
        <f t="shared" si="15"/>
        <v>0</v>
      </c>
      <c r="AL26" s="267"/>
      <c r="AM26" s="267"/>
      <c r="AN26" s="75"/>
    </row>
    <row r="27" spans="1:40" s="6" customFormat="1" ht="11.25" customHeight="1" x14ac:dyDescent="0.2">
      <c r="A27" s="56">
        <f t="shared" si="16"/>
        <v>43843</v>
      </c>
      <c r="B27" s="620">
        <v>13.02</v>
      </c>
      <c r="C27" s="392"/>
      <c r="D27" s="395">
        <f t="shared" si="0"/>
        <v>13.18158334921598</v>
      </c>
      <c r="E27" s="387">
        <f t="shared" si="17"/>
        <v>14.526362470298292</v>
      </c>
      <c r="F27" s="387">
        <f t="shared" si="1"/>
        <v>14.73462756836317</v>
      </c>
      <c r="G27" s="110">
        <f t="shared" si="18"/>
        <v>0.70018354050287901</v>
      </c>
      <c r="H27" s="416" t="b">
        <f>Wh_hp&gt;='2019'!Maxi_hp</f>
        <v>1</v>
      </c>
      <c r="I27" s="382">
        <f>IF(H27,Wh_hp,'2019'!Maxi_hp)</f>
        <v>14.73462756836317</v>
      </c>
      <c r="J27" s="85">
        <f>IF(H27,An,'2019'!An_max)</f>
        <v>2020</v>
      </c>
      <c r="K27" s="199">
        <f t="shared" si="19"/>
        <v>43843</v>
      </c>
      <c r="L27" s="147">
        <f>IF(t&lt;Tvie,1-EXP((T0-t)*PertePVj)+'2019'!Pspv,1-EXP((T0-t)*PertePVj)+Pspv)</f>
        <v>1.2258265561518544E-2</v>
      </c>
      <c r="M27" s="872"/>
      <c r="N27" s="872"/>
      <c r="O27" s="48">
        <f>IF(t&lt;Tnet,'2019'!Resal+('2019'!Salim-'2019'!Resal)*(1-EXP(('2019'!Tnet-t)/('2019'!Tau_j))),Resal+(Salim-Resal)*(1-EXP((Tnet-t)/(Tau_j))))*Salcycl</f>
        <v>9.2575076784153554E-2</v>
      </c>
      <c r="P27" s="171">
        <f>(INDEX(Models!$BJ27:$BT27,,T27)*(1-R27)+INDEX(Models!$BJ27:$BT27,,T27+1)*R27-ERP_i)*Q27*Ramure*Pc/MaxiM</f>
        <v>2.4282001369696472E-2</v>
      </c>
      <c r="Q27" s="307">
        <f t="shared" si="2"/>
        <v>0.9</v>
      </c>
      <c r="R27" s="179">
        <f t="shared" si="3"/>
        <v>0.60039841843746311</v>
      </c>
      <c r="S27" s="839">
        <f t="shared" si="4"/>
        <v>-2</v>
      </c>
      <c r="T27" s="178">
        <f t="shared" si="5"/>
        <v>4</v>
      </c>
      <c r="U27" s="253">
        <f t="shared" si="20"/>
        <v>-1.3996015815625369</v>
      </c>
      <c r="V27" s="385">
        <f t="shared" si="6"/>
        <v>18.403723066254638</v>
      </c>
      <c r="W27" s="404"/>
      <c r="X27" s="157">
        <f t="shared" si="7"/>
        <v>43843</v>
      </c>
      <c r="Y27" s="387">
        <f t="shared" si="8"/>
        <v>13.02</v>
      </c>
      <c r="Z27" s="387">
        <f t="shared" si="9"/>
        <v>13.18158334921598</v>
      </c>
      <c r="AA27" s="388">
        <f t="shared" si="10"/>
        <v>14.526362470298292</v>
      </c>
      <c r="AB27" s="199">
        <f t="shared" si="11"/>
        <v>43843</v>
      </c>
      <c r="AC27" s="119">
        <f>IF(OR(t&lt;Tnet,NoTnet),'2019'!Resal_s+('2019'!Salim-'2019'!Resal_s)*(1-EXP(('2019'!Tnet_s-t)/'2019'!Tau_j)),Resal_s+(Salim-Resal_s)*(1-EXP((Tnet_s-t)/Tau_j)))*Salcycl</f>
        <v>9.2575076784153554E-2</v>
      </c>
      <c r="AD27" s="233">
        <f>(INDEX(Models!$BJ27:$BT27,,AH27)*(1-AF27)+INDEX(Models!$BJ27:$BT27,,AH27+1)*AF27-ERP_i)*AE27*Ramure*Pc/MaxiM</f>
        <v>2.4282001369696472E-2</v>
      </c>
      <c r="AE27" s="307">
        <f t="shared" si="12"/>
        <v>0.9</v>
      </c>
      <c r="AF27" s="179">
        <f t="shared" si="21"/>
        <v>0.60039841843746311</v>
      </c>
      <c r="AG27" s="839">
        <f t="shared" si="22"/>
        <v>-2</v>
      </c>
      <c r="AH27" s="178">
        <f t="shared" si="13"/>
        <v>4</v>
      </c>
      <c r="AI27" s="227">
        <f t="shared" si="23"/>
        <v>-1.3996015815625369</v>
      </c>
      <c r="AJ27" s="267" t="b">
        <f t="shared" si="14"/>
        <v>0</v>
      </c>
      <c r="AK27" s="267" t="b">
        <f t="shared" si="15"/>
        <v>0</v>
      </c>
      <c r="AL27" s="267"/>
      <c r="AM27" s="267"/>
      <c r="AN27" s="75"/>
    </row>
    <row r="28" spans="1:40" s="6" customFormat="1" ht="11.25" customHeight="1" x14ac:dyDescent="0.2">
      <c r="A28" s="56">
        <f t="shared" si="16"/>
        <v>43844</v>
      </c>
      <c r="B28" s="620">
        <v>17.902999999999999</v>
      </c>
      <c r="C28" s="392"/>
      <c r="D28" s="395">
        <f t="shared" si="0"/>
        <v>18.125605119680653</v>
      </c>
      <c r="E28" s="387">
        <f t="shared" si="17"/>
        <v>19.977565992305824</v>
      </c>
      <c r="F28" s="387">
        <f t="shared" si="1"/>
        <v>20.439088513905933</v>
      </c>
      <c r="G28" s="110">
        <f t="shared" si="18"/>
        <v>0.9601501365167816</v>
      </c>
      <c r="H28" s="416" t="b">
        <f>Wh_hp&gt;='2019'!Maxi_hp</f>
        <v>1</v>
      </c>
      <c r="I28" s="382">
        <f>IF(H28,Wh_hp,'2019'!Maxi_hp)</f>
        <v>20.439088513905933</v>
      </c>
      <c r="J28" s="85">
        <f>IF(H28,An,'2019'!An_max)</f>
        <v>2020</v>
      </c>
      <c r="K28" s="199">
        <f t="shared" si="19"/>
        <v>43844</v>
      </c>
      <c r="L28" s="147">
        <f>IF(t&lt;Tvie,1-EXP((T0-t)*PertePVj)+'2019'!Pspv,1-EXP((T0-t)*PertePVj)+Pspv)</f>
        <v>1.2281251754676759E-2</v>
      </c>
      <c r="M28" s="872"/>
      <c r="N28" s="872"/>
      <c r="O28" s="48">
        <f>IF(t&lt;Tnet,'2019'!Resal+('2019'!Salim-'2019'!Resal)*(1-EXP(('2019'!Tnet-t)/('2019'!Tau_j))),Resal+(Salim-Resal)*(1-EXP((Tnet-t)/(Tau_j))))*Salcycl</f>
        <v>9.2702027531203629E-2</v>
      </c>
      <c r="P28" s="171">
        <f>(INDEX(Models!$BJ28:$BT28,,T28)*(1-R28)+INDEX(Models!$BJ28:$BT28,,T28+1)*R28-ERP_i)*Q28*Ramure*Pc/MaxiM</f>
        <v>2.3896582405339754E-2</v>
      </c>
      <c r="Q28" s="307">
        <f t="shared" si="2"/>
        <v>0.9</v>
      </c>
      <c r="R28" s="179">
        <f t="shared" si="3"/>
        <v>0.60046527038400832</v>
      </c>
      <c r="S28" s="839">
        <f t="shared" si="4"/>
        <v>-2</v>
      </c>
      <c r="T28" s="178">
        <f t="shared" si="5"/>
        <v>4</v>
      </c>
      <c r="U28" s="253">
        <f t="shared" si="20"/>
        <v>-1.3995347296159917</v>
      </c>
      <c r="V28" s="385">
        <f t="shared" si="6"/>
        <v>18.620933429598139</v>
      </c>
      <c r="W28" s="404"/>
      <c r="X28" s="157">
        <f t="shared" si="7"/>
        <v>43844</v>
      </c>
      <c r="Y28" s="387">
        <f t="shared" si="8"/>
        <v>17.902999999999999</v>
      </c>
      <c r="Z28" s="387">
        <f t="shared" si="9"/>
        <v>18.125605119680653</v>
      </c>
      <c r="AA28" s="388">
        <f t="shared" si="10"/>
        <v>19.977565992305824</v>
      </c>
      <c r="AB28" s="199">
        <f t="shared" si="11"/>
        <v>43844</v>
      </c>
      <c r="AC28" s="119">
        <f>IF(OR(t&lt;Tnet,NoTnet),'2019'!Resal_s+('2019'!Salim-'2019'!Resal_s)*(1-EXP(('2019'!Tnet_s-t)/'2019'!Tau_j)),Resal_s+(Salim-Resal_s)*(1-EXP((Tnet_s-t)/Tau_j)))*Salcycl</f>
        <v>9.2702027531203629E-2</v>
      </c>
      <c r="AD28" s="233">
        <f>(INDEX(Models!$BJ28:$BT28,,AH28)*(1-AF28)+INDEX(Models!$BJ28:$BT28,,AH28+1)*AF28-ERP_i)*AE28*Ramure*Pc/MaxiM</f>
        <v>2.3896582405339754E-2</v>
      </c>
      <c r="AE28" s="307">
        <f t="shared" si="12"/>
        <v>0.9</v>
      </c>
      <c r="AF28" s="179">
        <f t="shared" si="21"/>
        <v>0.60046527038400832</v>
      </c>
      <c r="AG28" s="839">
        <f t="shared" si="22"/>
        <v>-2</v>
      </c>
      <c r="AH28" s="178">
        <f t="shared" si="13"/>
        <v>4</v>
      </c>
      <c r="AI28" s="227">
        <f t="shared" si="23"/>
        <v>-1.3995347296159917</v>
      </c>
      <c r="AJ28" s="267" t="b">
        <f t="shared" si="14"/>
        <v>0</v>
      </c>
      <c r="AK28" s="267" t="b">
        <f t="shared" si="15"/>
        <v>0</v>
      </c>
      <c r="AL28" s="267"/>
      <c r="AM28" s="267"/>
      <c r="AN28" s="75"/>
    </row>
    <row r="29" spans="1:40" s="6" customFormat="1" ht="11.25" customHeight="1" x14ac:dyDescent="0.2">
      <c r="A29" s="56">
        <f t="shared" si="16"/>
        <v>43845</v>
      </c>
      <c r="B29" s="620">
        <v>15.823</v>
      </c>
      <c r="C29" s="392"/>
      <c r="D29" s="395">
        <f t="shared" si="0"/>
        <v>16.020115302058766</v>
      </c>
      <c r="E29" s="387">
        <f t="shared" si="17"/>
        <v>17.659417117568825</v>
      </c>
      <c r="F29" s="387">
        <f t="shared" si="1"/>
        <v>17.985509774447369</v>
      </c>
      <c r="G29" s="110">
        <f t="shared" si="18"/>
        <v>0.83503941919036662</v>
      </c>
      <c r="H29" s="416" t="b">
        <f>Wh_hp&gt;='2019'!Maxi_hp</f>
        <v>0</v>
      </c>
      <c r="I29" s="382">
        <f>IF(H29,Wh_hp,'2019'!Maxi_hp)</f>
        <v>21.362516389344162</v>
      </c>
      <c r="J29" s="85">
        <f>IF(H29,An,'2019'!An_max)</f>
        <v>2019</v>
      </c>
      <c r="K29" s="199">
        <f t="shared" si="19"/>
        <v>43845</v>
      </c>
      <c r="L29" s="147">
        <f>IF(t&lt;Tvie,1-EXP((T0-t)*PertePVj)+'2019'!Pspv,1-EXP((T0-t)*PertePVj)+Pspv)</f>
        <v>1.2304237412912644E-2</v>
      </c>
      <c r="M29" s="872"/>
      <c r="N29" s="872"/>
      <c r="O29" s="48">
        <f>IF(t&lt;Tnet,'2019'!Resal+('2019'!Salim-'2019'!Resal)*(1-EXP(('2019'!Tnet-t)/('2019'!Tau_j))),Resal+(Salim-Resal)*(1-EXP((Tnet-t)/(Tau_j))))*Salcycl</f>
        <v>9.2828761255045467E-2</v>
      </c>
      <c r="P29" s="171">
        <f>(INDEX(Models!$BJ29:$BT29,,T29)*(1-R29)+INDEX(Models!$BJ29:$BT29,,T29+1)*R29-ERP_i)*Q29*Ramure*Pc/MaxiM</f>
        <v>2.3518353099373571E-2</v>
      </c>
      <c r="Q29" s="307">
        <f t="shared" si="2"/>
        <v>0.9</v>
      </c>
      <c r="R29" s="179">
        <f t="shared" si="3"/>
        <v>0.60053491331424969</v>
      </c>
      <c r="S29" s="839">
        <f t="shared" si="4"/>
        <v>-2</v>
      </c>
      <c r="T29" s="178">
        <f t="shared" si="5"/>
        <v>4</v>
      </c>
      <c r="U29" s="253">
        <f t="shared" si="20"/>
        <v>-1.3994650866857503</v>
      </c>
      <c r="V29" s="385">
        <f t="shared" si="6"/>
        <v>18.844834284797578</v>
      </c>
      <c r="W29" s="404"/>
      <c r="X29" s="157">
        <f t="shared" si="7"/>
        <v>43845</v>
      </c>
      <c r="Y29" s="387">
        <f t="shared" si="8"/>
        <v>15.823</v>
      </c>
      <c r="Z29" s="387">
        <f t="shared" si="9"/>
        <v>16.020115302058766</v>
      </c>
      <c r="AA29" s="388">
        <f t="shared" si="10"/>
        <v>17.659417117568825</v>
      </c>
      <c r="AB29" s="199">
        <f t="shared" si="11"/>
        <v>43845</v>
      </c>
      <c r="AC29" s="119">
        <f>IF(OR(t&lt;Tnet,NoTnet),'2019'!Resal_s+('2019'!Salim-'2019'!Resal_s)*(1-EXP(('2019'!Tnet_s-t)/'2019'!Tau_j)),Resal_s+(Salim-Resal_s)*(1-EXP((Tnet_s-t)/Tau_j)))*Salcycl</f>
        <v>9.2828761255045467E-2</v>
      </c>
      <c r="AD29" s="233">
        <f>(INDEX(Models!$BJ29:$BT29,,AH29)*(1-AF29)+INDEX(Models!$BJ29:$BT29,,AH29+1)*AF29-ERP_i)*AE29*Ramure*Pc/MaxiM</f>
        <v>2.3518353099373571E-2</v>
      </c>
      <c r="AE29" s="307">
        <f t="shared" si="12"/>
        <v>0.9</v>
      </c>
      <c r="AF29" s="179">
        <f t="shared" si="21"/>
        <v>0.60053491331424969</v>
      </c>
      <c r="AG29" s="839">
        <f t="shared" si="22"/>
        <v>-2</v>
      </c>
      <c r="AH29" s="178">
        <f t="shared" si="13"/>
        <v>4</v>
      </c>
      <c r="AI29" s="227">
        <f t="shared" si="23"/>
        <v>-1.3994650866857503</v>
      </c>
      <c r="AJ29" s="267" t="b">
        <f t="shared" si="14"/>
        <v>0</v>
      </c>
      <c r="AK29" s="267" t="b">
        <f t="shared" si="15"/>
        <v>0</v>
      </c>
      <c r="AL29" s="267"/>
      <c r="AM29" s="267"/>
      <c r="AN29" s="75"/>
    </row>
    <row r="30" spans="1:40" s="6" customFormat="1" ht="11.25" customHeight="1" x14ac:dyDescent="0.2">
      <c r="A30" s="56">
        <f t="shared" si="16"/>
        <v>43846</v>
      </c>
      <c r="B30" s="620">
        <v>17.809999999999999</v>
      </c>
      <c r="C30" s="392"/>
      <c r="D30" s="395">
        <f t="shared" si="0"/>
        <v>18.032288027350702</v>
      </c>
      <c r="E30" s="387">
        <f t="shared" si="17"/>
        <v>19.880263549954421</v>
      </c>
      <c r="F30" s="387">
        <f t="shared" si="1"/>
        <v>20.305625320074235</v>
      </c>
      <c r="G30" s="110">
        <f t="shared" si="18"/>
        <v>0.9315962507174157</v>
      </c>
      <c r="H30" s="416" t="b">
        <f>Wh_hp&gt;='2019'!Maxi_hp</f>
        <v>0</v>
      </c>
      <c r="I30" s="382">
        <f>IF(H30,Wh_hp,'2019'!Maxi_hp)</f>
        <v>21.195676431552432</v>
      </c>
      <c r="J30" s="85">
        <f>IF(H30,An,'2019'!An_max)</f>
        <v>2019</v>
      </c>
      <c r="K30" s="199">
        <f t="shared" si="19"/>
        <v>43846</v>
      </c>
      <c r="L30" s="147">
        <f>IF(t&lt;Tvie,1-EXP((T0-t)*PertePVj)+'2019'!Pspv,1-EXP((T0-t)*PertePVj)+Pspv)</f>
        <v>1.2327222536238636E-2</v>
      </c>
      <c r="M30" s="872"/>
      <c r="N30" s="872"/>
      <c r="O30" s="48">
        <f>IF(t&lt;Tnet,'2019'!Resal+('2019'!Salim-'2019'!Resal)*(1-EXP(('2019'!Tnet-t)/('2019'!Tau_j))),Resal+(Salim-Resal)*(1-EXP((Tnet-t)/(Tau_j))))*Salcycl</f>
        <v>9.295528290961487E-2</v>
      </c>
      <c r="P30" s="171">
        <f>(INDEX(Models!$BJ30:$BT30,,T30)*(1-R30)+INDEX(Models!$BJ30:$BT30,,T30+1)*R30-ERP_i)*Q30*Ramure*Pc/MaxiM</f>
        <v>2.3140112062812093E-2</v>
      </c>
      <c r="Q30" s="307">
        <f t="shared" si="2"/>
        <v>0.9</v>
      </c>
      <c r="R30" s="179">
        <f t="shared" si="3"/>
        <v>0.60060746315580027</v>
      </c>
      <c r="S30" s="839">
        <f t="shared" si="4"/>
        <v>-2</v>
      </c>
      <c r="T30" s="178">
        <f t="shared" si="5"/>
        <v>4</v>
      </c>
      <c r="U30" s="253">
        <f t="shared" si="20"/>
        <v>-1.3993925368441997</v>
      </c>
      <c r="V30" s="385">
        <f t="shared" si="6"/>
        <v>19.07491867941425</v>
      </c>
      <c r="W30" s="404"/>
      <c r="X30" s="157">
        <f t="shared" si="7"/>
        <v>43846</v>
      </c>
      <c r="Y30" s="387">
        <f t="shared" si="8"/>
        <v>17.809999999999999</v>
      </c>
      <c r="Z30" s="387">
        <f t="shared" si="9"/>
        <v>18.032288027350702</v>
      </c>
      <c r="AA30" s="388">
        <f t="shared" si="10"/>
        <v>19.880263549954421</v>
      </c>
      <c r="AB30" s="199">
        <f t="shared" si="11"/>
        <v>43846</v>
      </c>
      <c r="AC30" s="119">
        <f>IF(OR(t&lt;Tnet,NoTnet),'2019'!Resal_s+('2019'!Salim-'2019'!Resal_s)*(1-EXP(('2019'!Tnet_s-t)/'2019'!Tau_j)),Resal_s+(Salim-Resal_s)*(1-EXP((Tnet_s-t)/Tau_j)))*Salcycl</f>
        <v>9.295528290961487E-2</v>
      </c>
      <c r="AD30" s="233">
        <f>(INDEX(Models!$BJ30:$BT30,,AH30)*(1-AF30)+INDEX(Models!$BJ30:$BT30,,AH30+1)*AF30-ERP_i)*AE30*Ramure*Pc/MaxiM</f>
        <v>2.3140112062812093E-2</v>
      </c>
      <c r="AE30" s="307">
        <f t="shared" si="12"/>
        <v>0.9</v>
      </c>
      <c r="AF30" s="179">
        <f t="shared" si="21"/>
        <v>0.60060746315580027</v>
      </c>
      <c r="AG30" s="839">
        <f t="shared" si="22"/>
        <v>-2</v>
      </c>
      <c r="AH30" s="178">
        <f t="shared" si="13"/>
        <v>4</v>
      </c>
      <c r="AI30" s="227">
        <f t="shared" si="23"/>
        <v>-1.3993925368441997</v>
      </c>
      <c r="AJ30" s="267" t="b">
        <f t="shared" si="14"/>
        <v>0</v>
      </c>
      <c r="AK30" s="267" t="b">
        <f t="shared" si="15"/>
        <v>0</v>
      </c>
      <c r="AL30" s="267"/>
      <c r="AM30" s="267"/>
      <c r="AN30" s="75"/>
    </row>
    <row r="31" spans="1:40" s="6" customFormat="1" ht="11.25" x14ac:dyDescent="0.2">
      <c r="A31" s="56">
        <f t="shared" si="16"/>
        <v>43847</v>
      </c>
      <c r="B31" s="620">
        <v>3.9079999999999999</v>
      </c>
      <c r="C31" s="392"/>
      <c r="D31" s="395">
        <f t="shared" si="0"/>
        <v>3.9568681411076767</v>
      </c>
      <c r="E31" s="387">
        <f t="shared" si="17"/>
        <v>4.3629814269433123</v>
      </c>
      <c r="F31" s="387">
        <f t="shared" si="1"/>
        <v>4.3629814269433123</v>
      </c>
      <c r="G31" s="110">
        <f t="shared" si="18"/>
        <v>0.19777002702182195</v>
      </c>
      <c r="H31" s="416" t="b">
        <f>Wh_hp&gt;='2019'!Maxi_hp</f>
        <v>0</v>
      </c>
      <c r="I31" s="382">
        <f>IF(H31,Wh_hp,'2019'!Maxi_hp)</f>
        <v>9.8292033914160033</v>
      </c>
      <c r="J31" s="85">
        <f>IF(H31,An,'2019'!An_max)</f>
        <v>2019</v>
      </c>
      <c r="K31" s="199">
        <f t="shared" si="19"/>
        <v>43847</v>
      </c>
      <c r="L31" s="147">
        <f>IF(t&lt;Tvie,1-EXP((T0-t)*PertePVj)+'2019'!Pspv,1-EXP((T0-t)*PertePVj)+Pspv)</f>
        <v>1.2350207124667278E-2</v>
      </c>
      <c r="M31" s="872"/>
      <c r="N31" s="872"/>
      <c r="O31" s="48">
        <f>IF(t&lt;Tnet,'2019'!Resal+('2019'!Salim-'2019'!Resal)*(1-EXP(('2019'!Tnet-t)/('2019'!Tau_j))),Resal+(Salim-Resal)*(1-EXP((Tnet-t)/(Tau_j))))*Salcycl</f>
        <v>9.3081598589374925E-2</v>
      </c>
      <c r="P31" s="171">
        <f>(INDEX(Models!$BJ31:$BT31,,T31)*(1-R31)+INDEX(Models!$BJ31:$BT31,,T31+1)*R31-ERP_i)*Q31*Ramure*Pc/MaxiM</f>
        <v>2.2761582939402593E-2</v>
      </c>
      <c r="Q31" s="307">
        <f t="shared" si="2"/>
        <v>0.9</v>
      </c>
      <c r="R31" s="179">
        <f t="shared" si="3"/>
        <v>0.60068304060089606</v>
      </c>
      <c r="S31" s="839">
        <f t="shared" si="4"/>
        <v>-2</v>
      </c>
      <c r="T31" s="178">
        <f t="shared" si="5"/>
        <v>4</v>
      </c>
      <c r="U31" s="253">
        <f t="shared" si="20"/>
        <v>-1.3993169593991039</v>
      </c>
      <c r="V31" s="385">
        <f t="shared" si="6"/>
        <v>19.310548678093777</v>
      </c>
      <c r="W31" s="404"/>
      <c r="X31" s="157">
        <f t="shared" si="7"/>
        <v>43847</v>
      </c>
      <c r="Y31" s="387">
        <f t="shared" si="8"/>
        <v>3.9079999999999999</v>
      </c>
      <c r="Z31" s="387">
        <f t="shared" si="9"/>
        <v>3.9568681411076767</v>
      </c>
      <c r="AA31" s="388">
        <f t="shared" si="10"/>
        <v>4.3629814269433123</v>
      </c>
      <c r="AB31" s="199">
        <f t="shared" si="11"/>
        <v>43847</v>
      </c>
      <c r="AC31" s="119">
        <f>IF(OR(t&lt;Tnet,NoTnet),'2019'!Resal_s+('2019'!Salim-'2019'!Resal_s)*(1-EXP(('2019'!Tnet_s-t)/'2019'!Tau_j)),Resal_s+(Salim-Resal_s)*(1-EXP((Tnet_s-t)/Tau_j)))*Salcycl</f>
        <v>9.3081598589374925E-2</v>
      </c>
      <c r="AD31" s="233">
        <f>(INDEX(Models!$BJ31:$BT31,,AH31)*(1-AF31)+INDEX(Models!$BJ31:$BT31,,AH31+1)*AF31-ERP_i)*AE31*Ramure*Pc/MaxiM</f>
        <v>2.2761582939402593E-2</v>
      </c>
      <c r="AE31" s="307">
        <f t="shared" si="12"/>
        <v>0.9</v>
      </c>
      <c r="AF31" s="179">
        <f t="shared" si="21"/>
        <v>0.60068304060089606</v>
      </c>
      <c r="AG31" s="839">
        <f t="shared" si="22"/>
        <v>-2</v>
      </c>
      <c r="AH31" s="178">
        <f t="shared" si="13"/>
        <v>4</v>
      </c>
      <c r="AI31" s="227">
        <f t="shared" si="23"/>
        <v>-1.3993169593991039</v>
      </c>
      <c r="AJ31" s="267" t="b">
        <f t="shared" si="14"/>
        <v>0</v>
      </c>
      <c r="AK31" s="267" t="b">
        <f t="shared" si="15"/>
        <v>0</v>
      </c>
      <c r="AL31" s="267"/>
      <c r="AM31" s="267"/>
      <c r="AN31" s="75"/>
    </row>
    <row r="32" spans="1:40" s="6" customFormat="1" ht="11.25" customHeight="1" x14ac:dyDescent="0.2">
      <c r="A32" s="56">
        <f t="shared" si="16"/>
        <v>43848</v>
      </c>
      <c r="B32" s="620">
        <v>16.012</v>
      </c>
      <c r="C32" s="392"/>
      <c r="D32" s="395">
        <f t="shared" si="0"/>
        <v>16.212601619332172</v>
      </c>
      <c r="E32" s="387">
        <f t="shared" si="17"/>
        <v>17.879068770303821</v>
      </c>
      <c r="F32" s="387">
        <f t="shared" si="1"/>
        <v>18.180787386044411</v>
      </c>
      <c r="G32" s="110">
        <f t="shared" si="18"/>
        <v>0.81416318432412838</v>
      </c>
      <c r="H32" s="416" t="b">
        <f>Wh_hp&gt;='2019'!Maxi_hp</f>
        <v>1</v>
      </c>
      <c r="I32" s="382">
        <f>IF(H32,Wh_hp,'2019'!Maxi_hp)</f>
        <v>18.180787386044411</v>
      </c>
      <c r="J32" s="85">
        <f>IF(H32,An,'2019'!An_max)</f>
        <v>2020</v>
      </c>
      <c r="K32" s="199">
        <f t="shared" si="19"/>
        <v>43848</v>
      </c>
      <c r="L32" s="147">
        <f>IF(t&lt;Tvie,1-EXP((T0-t)*PertePVj)+'2019'!Pspv,1-EXP((T0-t)*PertePVj)+Pspv)</f>
        <v>1.2373191178211007E-2</v>
      </c>
      <c r="M32" s="872"/>
      <c r="N32" s="872"/>
      <c r="O32" s="48">
        <f>IF(t&lt;Tnet,'2019'!Resal+('2019'!Salim-'2019'!Resal)*(1-EXP(('2019'!Tnet-t)/('2019'!Tau_j))),Resal+(Salim-Resal)*(1-EXP((Tnet-t)/(Tau_j))))*Salcycl</f>
        <v>9.320771525525777E-2</v>
      </c>
      <c r="P32" s="171">
        <f>(INDEX(Models!$BJ32:$BT32,,T32)*(1-R32)+INDEX(Models!$BJ32:$BT32,,T32+1)*R32-ERP_i)*Q32*Ramure*Pc/MaxiM</f>
        <v>2.2383794711473504E-2</v>
      </c>
      <c r="Q32" s="307">
        <f t="shared" si="2"/>
        <v>0.9</v>
      </c>
      <c r="R32" s="179">
        <f t="shared" si="3"/>
        <v>0.60076177129789432</v>
      </c>
      <c r="S32" s="839">
        <f t="shared" si="4"/>
        <v>-2</v>
      </c>
      <c r="T32" s="178">
        <f t="shared" si="5"/>
        <v>4</v>
      </c>
      <c r="U32" s="253">
        <f t="shared" si="20"/>
        <v>-1.3992382287021057</v>
      </c>
      <c r="V32" s="385">
        <f t="shared" si="6"/>
        <v>19.551059906833242</v>
      </c>
      <c r="W32" s="404"/>
      <c r="X32" s="157">
        <f t="shared" si="7"/>
        <v>43848</v>
      </c>
      <c r="Y32" s="387">
        <f t="shared" si="8"/>
        <v>16.012</v>
      </c>
      <c r="Z32" s="387">
        <f t="shared" si="9"/>
        <v>16.212601619332172</v>
      </c>
      <c r="AA32" s="388">
        <f t="shared" si="10"/>
        <v>17.879068770303821</v>
      </c>
      <c r="AB32" s="199">
        <f t="shared" si="11"/>
        <v>43848</v>
      </c>
      <c r="AC32" s="119">
        <f>IF(OR(t&lt;Tnet,NoTnet),'2019'!Resal_s+('2019'!Salim-'2019'!Resal_s)*(1-EXP(('2019'!Tnet_s-t)/'2019'!Tau_j)),Resal_s+(Salim-Resal_s)*(1-EXP((Tnet_s-t)/Tau_j)))*Salcycl</f>
        <v>9.320771525525777E-2</v>
      </c>
      <c r="AD32" s="233">
        <f>(INDEX(Models!$BJ32:$BT32,,AH32)*(1-AF32)+INDEX(Models!$BJ32:$BT32,,AH32+1)*AF32-ERP_i)*AE32*Ramure*Pc/MaxiM</f>
        <v>2.2383794711473504E-2</v>
      </c>
      <c r="AE32" s="307">
        <f t="shared" si="12"/>
        <v>0.9</v>
      </c>
      <c r="AF32" s="179">
        <f t="shared" si="21"/>
        <v>0.60076177129789432</v>
      </c>
      <c r="AG32" s="839">
        <f t="shared" si="22"/>
        <v>-2</v>
      </c>
      <c r="AH32" s="178">
        <f t="shared" si="13"/>
        <v>4</v>
      </c>
      <c r="AI32" s="227">
        <f t="shared" si="23"/>
        <v>-1.3992382287021057</v>
      </c>
      <c r="AJ32" s="267" t="b">
        <f t="shared" si="14"/>
        <v>0</v>
      </c>
      <c r="AK32" s="267" t="b">
        <f t="shared" si="15"/>
        <v>0</v>
      </c>
      <c r="AL32" s="267"/>
      <c r="AM32" s="267"/>
      <c r="AN32" s="75"/>
    </row>
    <row r="33" spans="1:40" s="6" customFormat="1" ht="11.25" customHeight="1" x14ac:dyDescent="0.2">
      <c r="A33" s="56">
        <f t="shared" si="16"/>
        <v>43849</v>
      </c>
      <c r="B33" s="620">
        <v>17.690000000000001</v>
      </c>
      <c r="C33" s="392"/>
      <c r="D33" s="395">
        <f t="shared" si="0"/>
        <v>17.912040786770486</v>
      </c>
      <c r="E33" s="387">
        <f t="shared" si="17"/>
        <v>19.755934030637111</v>
      </c>
      <c r="F33" s="387">
        <f t="shared" si="1"/>
        <v>20.131656781530094</v>
      </c>
      <c r="G33" s="110">
        <f t="shared" si="18"/>
        <v>0.8905789499267931</v>
      </c>
      <c r="H33" s="416" t="b">
        <f>Wh_hp&gt;='2019'!Maxi_hp</f>
        <v>1</v>
      </c>
      <c r="I33" s="382">
        <f>IF(H33,Wh_hp,'2019'!Maxi_hp)</f>
        <v>20.131656781530094</v>
      </c>
      <c r="J33" s="85">
        <f>IF(H33,An,'2019'!An_max)</f>
        <v>2020</v>
      </c>
      <c r="K33" s="199">
        <f t="shared" si="19"/>
        <v>43849</v>
      </c>
      <c r="L33" s="147">
        <f>IF(t&lt;Tvie,1-EXP((T0-t)*PertePVj)+'2019'!Pspv,1-EXP((T0-t)*PertePVj)+Pspv)</f>
        <v>1.2396174696882145E-2</v>
      </c>
      <c r="M33" s="872"/>
      <c r="N33" s="872"/>
      <c r="O33" s="48">
        <f>IF(t&lt;Tnet,'2019'!Resal+('2019'!Salim-'2019'!Resal)*(1-EXP(('2019'!Tnet-t)/('2019'!Tau_j))),Resal+(Salim-Resal)*(1-EXP((Tnet-t)/(Tau_j))))*Salcycl</f>
        <v>9.3333640465044609E-2</v>
      </c>
      <c r="P33" s="171">
        <f>(INDEX(Models!$BJ33:$BT33,,T33)*(1-R33)+INDEX(Models!$BJ33:$BT33,,T33+1)*R33-ERP_i)*Q33*Ramure*Pc/MaxiM</f>
        <v>2.2007679539655701E-2</v>
      </c>
      <c r="Q33" s="307">
        <f t="shared" si="2"/>
        <v>0.9</v>
      </c>
      <c r="R33" s="179">
        <f t="shared" si="3"/>
        <v>0.60084378605009969</v>
      </c>
      <c r="S33" s="839">
        <f t="shared" si="4"/>
        <v>-2</v>
      </c>
      <c r="T33" s="178">
        <f t="shared" si="5"/>
        <v>4</v>
      </c>
      <c r="U33" s="253">
        <f t="shared" si="20"/>
        <v>-1.3991562139499003</v>
      </c>
      <c r="V33" s="385">
        <f t="shared" si="6"/>
        <v>19.795788360502389</v>
      </c>
      <c r="W33" s="404"/>
      <c r="X33" s="157">
        <f t="shared" si="7"/>
        <v>43849</v>
      </c>
      <c r="Y33" s="387">
        <f t="shared" si="8"/>
        <v>17.690000000000001</v>
      </c>
      <c r="Z33" s="387">
        <f t="shared" si="9"/>
        <v>17.912040786770486</v>
      </c>
      <c r="AA33" s="388">
        <f t="shared" si="10"/>
        <v>19.755934030637111</v>
      </c>
      <c r="AB33" s="199">
        <f t="shared" si="11"/>
        <v>43849</v>
      </c>
      <c r="AC33" s="119">
        <f>IF(OR(t&lt;Tnet,NoTnet),'2019'!Resal_s+('2019'!Salim-'2019'!Resal_s)*(1-EXP(('2019'!Tnet_s-t)/'2019'!Tau_j)),Resal_s+(Salim-Resal_s)*(1-EXP((Tnet_s-t)/Tau_j)))*Salcycl</f>
        <v>9.3333640465044609E-2</v>
      </c>
      <c r="AD33" s="233">
        <f>(INDEX(Models!$BJ33:$BT33,,AH33)*(1-AF33)+INDEX(Models!$BJ33:$BT33,,AH33+1)*AF33-ERP_i)*AE33*Ramure*Pc/MaxiM</f>
        <v>2.2007679539655701E-2</v>
      </c>
      <c r="AE33" s="307">
        <f t="shared" si="12"/>
        <v>0.9</v>
      </c>
      <c r="AF33" s="179">
        <f t="shared" si="21"/>
        <v>0.60084378605009969</v>
      </c>
      <c r="AG33" s="839">
        <f t="shared" si="22"/>
        <v>-2</v>
      </c>
      <c r="AH33" s="178">
        <f t="shared" si="13"/>
        <v>4</v>
      </c>
      <c r="AI33" s="227">
        <f t="shared" si="23"/>
        <v>-1.3991562139499003</v>
      </c>
      <c r="AJ33" s="267" t="b">
        <f t="shared" si="14"/>
        <v>0</v>
      </c>
      <c r="AK33" s="267" t="b">
        <f t="shared" si="15"/>
        <v>0</v>
      </c>
      <c r="AL33" s="267"/>
      <c r="AM33" s="267"/>
      <c r="AN33" s="75"/>
    </row>
    <row r="34" spans="1:40" s="6" customFormat="1" ht="11.25" customHeight="1" x14ac:dyDescent="0.2">
      <c r="A34" s="56">
        <f t="shared" si="16"/>
        <v>43850</v>
      </c>
      <c r="B34" s="620">
        <v>8.7859999999999996</v>
      </c>
      <c r="C34" s="392"/>
      <c r="D34" s="395">
        <f t="shared" si="0"/>
        <v>8.8964868732835267</v>
      </c>
      <c r="E34" s="387">
        <f t="shared" si="17"/>
        <v>9.8136660373809761</v>
      </c>
      <c r="F34" s="387">
        <f t="shared" si="1"/>
        <v>9.8558030999389263</v>
      </c>
      <c r="G34" s="110">
        <f t="shared" si="18"/>
        <v>0.43069253154836801</v>
      </c>
      <c r="H34" s="416" t="b">
        <f>Wh_hp&gt;='2019'!Maxi_hp</f>
        <v>1</v>
      </c>
      <c r="I34" s="382">
        <f>IF(H34,Wh_hp,'2019'!Maxi_hp)</f>
        <v>9.8558030999389263</v>
      </c>
      <c r="J34" s="85">
        <f>IF(H34,An,'2019'!An_max)</f>
        <v>2020</v>
      </c>
      <c r="K34" s="199">
        <f t="shared" si="19"/>
        <v>43850</v>
      </c>
      <c r="L34" s="147">
        <f>IF(t&lt;Tvie,1-EXP((T0-t)*PertePVj)+'2019'!Pspv,1-EXP((T0-t)*PertePVj)+Pspv)</f>
        <v>1.2419157680693349E-2</v>
      </c>
      <c r="M34" s="872"/>
      <c r="N34" s="872"/>
      <c r="O34" s="48">
        <f>IF(t&lt;Tnet,'2019'!Resal+('2019'!Salim-'2019'!Resal)*(1-EXP(('2019'!Tnet-t)/('2019'!Tau_j))),Resal+(Salim-Resal)*(1-EXP((Tnet-t)/(Tau_j))))*Salcycl</f>
        <v>9.3459382111011971E-2</v>
      </c>
      <c r="P34" s="171">
        <f>(INDEX(Models!$BJ34:$BT34,,T34)*(1-R34)+INDEX(Models!$BJ34:$BT34,,T34+1)*R34-ERP_i)*Q34*Ramure*Pc/MaxiM</f>
        <v>2.1634197542556556E-2</v>
      </c>
      <c r="Q34" s="307">
        <f t="shared" si="2"/>
        <v>0.9</v>
      </c>
      <c r="R34" s="179">
        <f t="shared" si="3"/>
        <v>0.60092922102215929</v>
      </c>
      <c r="S34" s="839">
        <f t="shared" si="4"/>
        <v>-2</v>
      </c>
      <c r="T34" s="178">
        <f t="shared" si="5"/>
        <v>4</v>
      </c>
      <c r="U34" s="253">
        <f t="shared" si="20"/>
        <v>-1.3990707789778407</v>
      </c>
      <c r="V34" s="385">
        <f t="shared" si="6"/>
        <v>20.044067930807742</v>
      </c>
      <c r="W34" s="404"/>
      <c r="X34" s="157">
        <f t="shared" si="7"/>
        <v>43850</v>
      </c>
      <c r="Y34" s="387">
        <f t="shared" si="8"/>
        <v>8.7859999999999996</v>
      </c>
      <c r="Z34" s="387">
        <f t="shared" si="9"/>
        <v>8.8964868732835267</v>
      </c>
      <c r="AA34" s="388">
        <f t="shared" si="10"/>
        <v>9.8136660373809761</v>
      </c>
      <c r="AB34" s="199">
        <f t="shared" si="11"/>
        <v>43850</v>
      </c>
      <c r="AC34" s="119">
        <f>IF(OR(t&lt;Tnet,NoTnet),'2019'!Resal_s+('2019'!Salim-'2019'!Resal_s)*(1-EXP(('2019'!Tnet_s-t)/'2019'!Tau_j)),Resal_s+(Salim-Resal_s)*(1-EXP((Tnet_s-t)/Tau_j)))*Salcycl</f>
        <v>9.3459382111011971E-2</v>
      </c>
      <c r="AD34" s="233">
        <f>(INDEX(Models!$BJ34:$BT34,,AH34)*(1-AF34)+INDEX(Models!$BJ34:$BT34,,AH34+1)*AF34-ERP_i)*AE34*Ramure*Pc/MaxiM</f>
        <v>2.1634197542556556E-2</v>
      </c>
      <c r="AE34" s="307">
        <f t="shared" si="12"/>
        <v>0.9</v>
      </c>
      <c r="AF34" s="179">
        <f t="shared" si="21"/>
        <v>0.60092922102215929</v>
      </c>
      <c r="AG34" s="839">
        <f t="shared" si="22"/>
        <v>-2</v>
      </c>
      <c r="AH34" s="178">
        <f t="shared" si="13"/>
        <v>4</v>
      </c>
      <c r="AI34" s="227">
        <f t="shared" si="23"/>
        <v>-1.3990707789778407</v>
      </c>
      <c r="AJ34" s="267" t="b">
        <f t="shared" si="14"/>
        <v>0</v>
      </c>
      <c r="AK34" s="267" t="b">
        <f t="shared" si="15"/>
        <v>0</v>
      </c>
      <c r="AL34" s="267"/>
      <c r="AM34" s="267"/>
      <c r="AN34" s="75"/>
    </row>
    <row r="35" spans="1:40" s="6" customFormat="1" ht="11.25" customHeight="1" x14ac:dyDescent="0.2">
      <c r="A35" s="56">
        <f t="shared" si="16"/>
        <v>43851</v>
      </c>
      <c r="B35" s="620">
        <v>3.5750000000000002</v>
      </c>
      <c r="C35" s="392"/>
      <c r="D35" s="395">
        <f t="shared" si="0"/>
        <v>3.6200410581202433</v>
      </c>
      <c r="E35" s="387">
        <f t="shared" si="17"/>
        <v>3.9938006885496353</v>
      </c>
      <c r="F35" s="387">
        <f t="shared" si="1"/>
        <v>3.9938006885496353</v>
      </c>
      <c r="G35" s="110">
        <f t="shared" si="18"/>
        <v>0.17240405426757818</v>
      </c>
      <c r="H35" s="416" t="b">
        <f>Wh_hp&gt;='2019'!Maxi_hp</f>
        <v>0</v>
      </c>
      <c r="I35" s="382">
        <f>IF(H35,Wh_hp,'2019'!Maxi_hp)</f>
        <v>10.201329938802935</v>
      </c>
      <c r="J35" s="85">
        <f>IF(H35,An,'2019'!An_max)</f>
        <v>2019</v>
      </c>
      <c r="K35" s="199">
        <f t="shared" si="19"/>
        <v>43851</v>
      </c>
      <c r="L35" s="147">
        <f>IF(t&lt;Tvie,1-EXP((T0-t)*PertePVj)+'2019'!Pspv,1-EXP((T0-t)*PertePVj)+Pspv)</f>
        <v>1.2442140129656831E-2</v>
      </c>
      <c r="M35" s="872"/>
      <c r="N35" s="872"/>
      <c r="O35" s="48">
        <f>IF(t&lt;Tnet,'2019'!Resal+('2019'!Salim-'2019'!Resal)*(1-EXP(('2019'!Tnet-t)/('2019'!Tau_j))),Resal+(Salim-Resal)*(1-EXP((Tnet-t)/(Tau_j))))*Salcycl</f>
        <v>9.3584948167537166E-2</v>
      </c>
      <c r="P35" s="171">
        <f>(INDEX(Models!$BJ35:$BT35,,T35)*(1-R35)+INDEX(Models!$BJ35:$BT35,,T35+1)*R35-ERP_i)*Q35*Ramure*Pc/MaxiM</f>
        <v>2.1264266111843014E-2</v>
      </c>
      <c r="Q35" s="307">
        <f t="shared" si="2"/>
        <v>0.9</v>
      </c>
      <c r="R35" s="179">
        <f t="shared" si="3"/>
        <v>0.60101821795429</v>
      </c>
      <c r="S35" s="839">
        <f t="shared" si="4"/>
        <v>-2</v>
      </c>
      <c r="T35" s="178">
        <f t="shared" si="5"/>
        <v>4</v>
      </c>
      <c r="U35" s="253">
        <f t="shared" si="20"/>
        <v>-1.39898178204571</v>
      </c>
      <c r="V35" s="385">
        <f t="shared" si="6"/>
        <v>20.295231823374639</v>
      </c>
      <c r="W35" s="404"/>
      <c r="X35" s="157">
        <f t="shared" si="7"/>
        <v>43851</v>
      </c>
      <c r="Y35" s="387">
        <f t="shared" si="8"/>
        <v>3.5750000000000002</v>
      </c>
      <c r="Z35" s="387">
        <f t="shared" si="9"/>
        <v>3.6200410581202433</v>
      </c>
      <c r="AA35" s="388">
        <f t="shared" si="10"/>
        <v>3.9938006885496353</v>
      </c>
      <c r="AB35" s="199">
        <f t="shared" si="11"/>
        <v>43851</v>
      </c>
      <c r="AC35" s="119">
        <f>IF(OR(t&lt;Tnet,NoTnet),'2019'!Resal_s+('2019'!Salim-'2019'!Resal_s)*(1-EXP(('2019'!Tnet_s-t)/'2019'!Tau_j)),Resal_s+(Salim-Resal_s)*(1-EXP((Tnet_s-t)/Tau_j)))*Salcycl</f>
        <v>9.3584948167537166E-2</v>
      </c>
      <c r="AD35" s="233">
        <f>(INDEX(Models!$BJ35:$BT35,,AH35)*(1-AF35)+INDEX(Models!$BJ35:$BT35,,AH35+1)*AF35-ERP_i)*AE35*Ramure*Pc/MaxiM</f>
        <v>2.1264266111843014E-2</v>
      </c>
      <c r="AE35" s="307">
        <f t="shared" si="12"/>
        <v>0.9</v>
      </c>
      <c r="AF35" s="179">
        <f t="shared" si="21"/>
        <v>0.60101821795429</v>
      </c>
      <c r="AG35" s="839">
        <f t="shared" si="22"/>
        <v>-2</v>
      </c>
      <c r="AH35" s="178">
        <f t="shared" si="13"/>
        <v>4</v>
      </c>
      <c r="AI35" s="227">
        <f t="shared" si="23"/>
        <v>-1.39898178204571</v>
      </c>
      <c r="AJ35" s="267" t="b">
        <f t="shared" si="14"/>
        <v>0</v>
      </c>
      <c r="AK35" s="267" t="b">
        <f t="shared" si="15"/>
        <v>0</v>
      </c>
      <c r="AL35" s="267"/>
      <c r="AM35" s="267"/>
      <c r="AN35" s="75"/>
    </row>
    <row r="36" spans="1:40" s="6" customFormat="1" ht="11.25" customHeight="1" x14ac:dyDescent="0.2">
      <c r="A36" s="56">
        <f t="shared" si="16"/>
        <v>43852</v>
      </c>
      <c r="B36" s="620">
        <v>1.196</v>
      </c>
      <c r="C36" s="392"/>
      <c r="D36" s="395">
        <f t="shared" si="0"/>
        <v>1.2110964652460892</v>
      </c>
      <c r="E36" s="387">
        <f t="shared" si="17"/>
        <v>1.3363238347737243</v>
      </c>
      <c r="F36" s="387">
        <f t="shared" si="1"/>
        <v>1.3363238347737243</v>
      </c>
      <c r="G36" s="110">
        <f t="shared" si="18"/>
        <v>5.6987063096063925E-2</v>
      </c>
      <c r="H36" s="416" t="b">
        <f>Wh_hp&gt;='2019'!Maxi_hp</f>
        <v>0</v>
      </c>
      <c r="I36" s="382">
        <f>IF(H36,Wh_hp,'2019'!Maxi_hp)</f>
        <v>10.150009401127683</v>
      </c>
      <c r="J36" s="85">
        <f>IF(H36,An,'2019'!An_max)</f>
        <v>2019</v>
      </c>
      <c r="K36" s="199">
        <f t="shared" si="19"/>
        <v>43852</v>
      </c>
      <c r="L36" s="147">
        <f>IF(t&lt;Tvie,1-EXP((T0-t)*PertePVj)+'2019'!Pspv,1-EXP((T0-t)*PertePVj)+Pspv)</f>
        <v>1.2465122043785137E-2</v>
      </c>
      <c r="M36" s="872"/>
      <c r="N36" s="872"/>
      <c r="O36" s="48">
        <f>IF(t&lt;Tnet,'2019'!Resal+('2019'!Salim-'2019'!Resal)*(1-EXP(('2019'!Tnet-t)/('2019'!Tau_j))),Resal+(Salim-Resal)*(1-EXP((Tnet-t)/(Tau_j))))*Salcycl</f>
        <v>9.3710346451194956E-2</v>
      </c>
      <c r="P36" s="171">
        <f>(INDEX(Models!$BJ36:$BT36,,T36)*(1-R36)+INDEX(Models!$BJ36:$BT36,,T36+1)*R36-ERP_i)*Q36*Ramure*Pc/MaxiM</f>
        <v>2.0898617709569245E-2</v>
      </c>
      <c r="Q36" s="307">
        <f t="shared" si="2"/>
        <v>0.9</v>
      </c>
      <c r="R36" s="179">
        <f t="shared" si="3"/>
        <v>0.60111092438458491</v>
      </c>
      <c r="S36" s="839">
        <f t="shared" si="4"/>
        <v>-2</v>
      </c>
      <c r="T36" s="178">
        <f t="shared" si="5"/>
        <v>4</v>
      </c>
      <c r="U36" s="253">
        <f t="shared" si="20"/>
        <v>-1.3988890756154151</v>
      </c>
      <c r="V36" s="385">
        <f t="shared" si="6"/>
        <v>20.548615590969735</v>
      </c>
      <c r="W36" s="404"/>
      <c r="X36" s="157">
        <f t="shared" si="7"/>
        <v>43852</v>
      </c>
      <c r="Y36" s="387">
        <f t="shared" si="8"/>
        <v>1.196</v>
      </c>
      <c r="Z36" s="387">
        <f t="shared" si="9"/>
        <v>1.2110964652460892</v>
      </c>
      <c r="AA36" s="388">
        <f t="shared" si="10"/>
        <v>1.3363238347737243</v>
      </c>
      <c r="AB36" s="199">
        <f t="shared" si="11"/>
        <v>43852</v>
      </c>
      <c r="AC36" s="119">
        <f>IF(OR(t&lt;Tnet,NoTnet),'2019'!Resal_s+('2019'!Salim-'2019'!Resal_s)*(1-EXP(('2019'!Tnet_s-t)/'2019'!Tau_j)),Resal_s+(Salim-Resal_s)*(1-EXP((Tnet_s-t)/Tau_j)))*Salcycl</f>
        <v>9.3710346451194956E-2</v>
      </c>
      <c r="AD36" s="233">
        <f>(INDEX(Models!$BJ36:$BT36,,AH36)*(1-AF36)+INDEX(Models!$BJ36:$BT36,,AH36+1)*AF36-ERP_i)*AE36*Ramure*Pc/MaxiM</f>
        <v>2.0898617709569245E-2</v>
      </c>
      <c r="AE36" s="307">
        <f t="shared" si="12"/>
        <v>0.9</v>
      </c>
      <c r="AF36" s="179">
        <f t="shared" si="21"/>
        <v>0.60111092438458491</v>
      </c>
      <c r="AG36" s="839">
        <f t="shared" si="22"/>
        <v>-2</v>
      </c>
      <c r="AH36" s="178">
        <f t="shared" si="13"/>
        <v>4</v>
      </c>
      <c r="AI36" s="227">
        <f t="shared" si="23"/>
        <v>-1.3988890756154151</v>
      </c>
      <c r="AJ36" s="267" t="b">
        <f t="shared" si="14"/>
        <v>0</v>
      </c>
      <c r="AK36" s="267" t="b">
        <f t="shared" si="15"/>
        <v>0</v>
      </c>
      <c r="AL36" s="267"/>
      <c r="AM36" s="267"/>
      <c r="AN36" s="75"/>
    </row>
    <row r="37" spans="1:40" s="6" customFormat="1" ht="11.25" customHeight="1" x14ac:dyDescent="0.2">
      <c r="A37" s="56">
        <f t="shared" si="16"/>
        <v>43853</v>
      </c>
      <c r="B37" s="620">
        <v>12.441000000000001</v>
      </c>
      <c r="C37" s="392"/>
      <c r="D37" s="395">
        <f t="shared" si="0"/>
        <v>12.598329238488393</v>
      </c>
      <c r="E37" s="387">
        <f t="shared" si="17"/>
        <v>13.902917640047486</v>
      </c>
      <c r="F37" s="387">
        <f t="shared" si="1"/>
        <v>14.025515417174885</v>
      </c>
      <c r="G37" s="110">
        <f t="shared" si="18"/>
        <v>0.59084164511937909</v>
      </c>
      <c r="H37" s="416" t="b">
        <f>Wh_hp&gt;='2019'!Maxi_hp</f>
        <v>1</v>
      </c>
      <c r="I37" s="382">
        <f>IF(H37,Wh_hp,'2019'!Maxi_hp)</f>
        <v>14.025515417174885</v>
      </c>
      <c r="J37" s="85">
        <f>IF(H37,An,'2019'!An_max)</f>
        <v>2020</v>
      </c>
      <c r="K37" s="199">
        <f t="shared" si="19"/>
        <v>43853</v>
      </c>
      <c r="L37" s="147">
        <f>IF(t&lt;Tvie,1-EXP((T0-t)*PertePVj)+'2019'!Pspv,1-EXP((T0-t)*PertePVj)+Pspv)</f>
        <v>1.2488103423090813E-2</v>
      </c>
      <c r="M37" s="872"/>
      <c r="N37" s="872"/>
      <c r="O37" s="48">
        <f>IF(t&lt;Tnet,'2019'!Resal+('2019'!Salim-'2019'!Resal)*(1-EXP(('2019'!Tnet-t)/('2019'!Tau_j))),Resal+(Salim-Resal)*(1-EXP((Tnet-t)/(Tau_j))))*Salcycl</f>
        <v>9.383558439569642E-2</v>
      </c>
      <c r="P37" s="171">
        <f>(INDEX(Models!$BJ37:$BT37,,T37)*(1-R37)+INDEX(Models!$BJ37:$BT37,,T37+1)*R37-ERP_i)*Q37*Ramure*Pc/MaxiM</f>
        <v>2.0535672670096285E-2</v>
      </c>
      <c r="Q37" s="307">
        <f t="shared" si="2"/>
        <v>0.9</v>
      </c>
      <c r="R37" s="179">
        <f t="shared" si="3"/>
        <v>0.6012074938796732</v>
      </c>
      <c r="S37" s="839">
        <f t="shared" si="4"/>
        <v>-2</v>
      </c>
      <c r="T37" s="178">
        <f t="shared" si="5"/>
        <v>4</v>
      </c>
      <c r="U37" s="253">
        <f t="shared" si="20"/>
        <v>-1.3987925061203268</v>
      </c>
      <c r="V37" s="385">
        <f t="shared" si="6"/>
        <v>20.805861090182418</v>
      </c>
      <c r="W37" s="404"/>
      <c r="X37" s="157">
        <f t="shared" si="7"/>
        <v>43853</v>
      </c>
      <c r="Y37" s="387">
        <f t="shared" si="8"/>
        <v>12.441000000000001</v>
      </c>
      <c r="Z37" s="387">
        <f t="shared" si="9"/>
        <v>12.598329238488393</v>
      </c>
      <c r="AA37" s="388">
        <f t="shared" si="10"/>
        <v>13.902917640047486</v>
      </c>
      <c r="AB37" s="199">
        <f t="shared" si="11"/>
        <v>43853</v>
      </c>
      <c r="AC37" s="119">
        <f>IF(OR(t&lt;Tnet,NoTnet),'2019'!Resal_s+('2019'!Salim-'2019'!Resal_s)*(1-EXP(('2019'!Tnet_s-t)/'2019'!Tau_j)),Resal_s+(Salim-Resal_s)*(1-EXP((Tnet_s-t)/Tau_j)))*Salcycl</f>
        <v>9.383558439569642E-2</v>
      </c>
      <c r="AD37" s="233">
        <f>(INDEX(Models!$BJ37:$BT37,,AH37)*(1-AF37)+INDEX(Models!$BJ37:$BT37,,AH37+1)*AF37-ERP_i)*AE37*Ramure*Pc/MaxiM</f>
        <v>2.0535672670096285E-2</v>
      </c>
      <c r="AE37" s="307">
        <f t="shared" si="12"/>
        <v>0.9</v>
      </c>
      <c r="AF37" s="179">
        <f t="shared" si="21"/>
        <v>0.6012074938796732</v>
      </c>
      <c r="AG37" s="839">
        <f t="shared" si="22"/>
        <v>-2</v>
      </c>
      <c r="AH37" s="178">
        <f t="shared" si="13"/>
        <v>4</v>
      </c>
      <c r="AI37" s="227">
        <f t="shared" si="23"/>
        <v>-1.3987925061203268</v>
      </c>
      <c r="AJ37" s="267" t="b">
        <f t="shared" si="14"/>
        <v>0</v>
      </c>
      <c r="AK37" s="267" t="b">
        <f t="shared" si="15"/>
        <v>0</v>
      </c>
      <c r="AL37" s="267"/>
      <c r="AM37" s="267"/>
      <c r="AN37" s="75"/>
    </row>
    <row r="38" spans="1:40" s="6" customFormat="1" ht="11.25" customHeight="1" x14ac:dyDescent="0.2">
      <c r="A38" s="56">
        <f t="shared" si="16"/>
        <v>43854</v>
      </c>
      <c r="B38" s="620">
        <v>11.632999999999999</v>
      </c>
      <c r="C38" s="392"/>
      <c r="D38" s="395">
        <f t="shared" si="0"/>
        <v>11.780385394373649</v>
      </c>
      <c r="E38" s="387">
        <f t="shared" si="17"/>
        <v>13.002068441489051</v>
      </c>
      <c r="F38" s="387">
        <f t="shared" si="1"/>
        <v>13.097130843631399</v>
      </c>
      <c r="G38" s="110">
        <f t="shared" si="18"/>
        <v>0.54495878689031807</v>
      </c>
      <c r="H38" s="416" t="b">
        <f>Wh_hp&gt;='2019'!Maxi_hp</f>
        <v>1</v>
      </c>
      <c r="I38" s="382">
        <f>IF(H38,Wh_hp,'2019'!Maxi_hp)</f>
        <v>13.097130843631399</v>
      </c>
      <c r="J38" s="85">
        <f>IF(H38,An,'2019'!An_max)</f>
        <v>2020</v>
      </c>
      <c r="K38" s="199">
        <f t="shared" si="19"/>
        <v>43854</v>
      </c>
      <c r="L38" s="147">
        <f>IF(t&lt;Tvie,1-EXP((T0-t)*PertePVj)+'2019'!Pspv,1-EXP((T0-t)*PertePVj)+Pspv)</f>
        <v>1.2511084267586181E-2</v>
      </c>
      <c r="M38" s="872"/>
      <c r="N38" s="872"/>
      <c r="O38" s="48">
        <f>IF(t&lt;Tnet,'2019'!Resal+('2019'!Salim-'2019'!Resal)*(1-EXP(('2019'!Tnet-t)/('2019'!Tau_j))),Resal+(Salim-Resal)*(1-EXP((Tnet-t)/(Tau_j))))*Salcycl</f>
        <v>9.3960668843817402E-2</v>
      </c>
      <c r="P38" s="171">
        <f>(INDEX(Models!$BJ38:$BT38,,T38)*(1-R38)+INDEX(Models!$BJ38:$BT38,,T38+1)*R38-ERP_i)*Q38*Ramure*Pc/MaxiM</f>
        <v>2.0151477432149286E-2</v>
      </c>
      <c r="Q38" s="307">
        <f t="shared" si="2"/>
        <v>0.9</v>
      </c>
      <c r="R38" s="179">
        <f t="shared" si="3"/>
        <v>0.60130808627399435</v>
      </c>
      <c r="S38" s="839">
        <f t="shared" si="4"/>
        <v>-2</v>
      </c>
      <c r="T38" s="178">
        <f t="shared" si="5"/>
        <v>4</v>
      </c>
      <c r="U38" s="253">
        <f t="shared" si="20"/>
        <v>-1.3986919137260057</v>
      </c>
      <c r="V38" s="385">
        <f t="shared" si="6"/>
        <v>21.069330184156307</v>
      </c>
      <c r="W38" s="404"/>
      <c r="X38" s="157">
        <f t="shared" si="7"/>
        <v>43854</v>
      </c>
      <c r="Y38" s="387">
        <f t="shared" si="8"/>
        <v>11.632999999999999</v>
      </c>
      <c r="Z38" s="387">
        <f t="shared" si="9"/>
        <v>11.780385394373649</v>
      </c>
      <c r="AA38" s="388">
        <f t="shared" si="10"/>
        <v>13.002068441489051</v>
      </c>
      <c r="AB38" s="199">
        <f t="shared" si="11"/>
        <v>43854</v>
      </c>
      <c r="AC38" s="119">
        <f>IF(OR(t&lt;Tnet,NoTnet),'2019'!Resal_s+('2019'!Salim-'2019'!Resal_s)*(1-EXP(('2019'!Tnet_s-t)/'2019'!Tau_j)),Resal_s+(Salim-Resal_s)*(1-EXP((Tnet_s-t)/Tau_j)))*Salcycl</f>
        <v>9.3960668843817402E-2</v>
      </c>
      <c r="AD38" s="233">
        <f>(INDEX(Models!$BJ38:$BT38,,AH38)*(1-AF38)+INDEX(Models!$BJ38:$BT38,,AH38+1)*AF38-ERP_i)*AE38*Ramure*Pc/MaxiM</f>
        <v>2.0151477432149286E-2</v>
      </c>
      <c r="AE38" s="307">
        <f t="shared" si="12"/>
        <v>0.9</v>
      </c>
      <c r="AF38" s="179">
        <f t="shared" si="21"/>
        <v>0.60130808627399435</v>
      </c>
      <c r="AG38" s="839">
        <f t="shared" si="22"/>
        <v>-2</v>
      </c>
      <c r="AH38" s="178">
        <f t="shared" si="13"/>
        <v>4</v>
      </c>
      <c r="AI38" s="227">
        <f t="shared" si="23"/>
        <v>-1.3986919137260057</v>
      </c>
      <c r="AJ38" s="267" t="b">
        <f t="shared" si="14"/>
        <v>0</v>
      </c>
      <c r="AK38" s="267" t="b">
        <f t="shared" si="15"/>
        <v>0</v>
      </c>
      <c r="AL38" s="267"/>
      <c r="AM38" s="267"/>
      <c r="AN38" s="75"/>
    </row>
    <row r="39" spans="1:40" s="6" customFormat="1" ht="11.25" customHeight="1" x14ac:dyDescent="0.2">
      <c r="A39" s="56">
        <f t="shared" si="16"/>
        <v>43855</v>
      </c>
      <c r="B39" s="620">
        <v>12.215999999999999</v>
      </c>
      <c r="C39" s="392"/>
      <c r="D39" s="395">
        <f t="shared" si="0"/>
        <v>12.371059660676346</v>
      </c>
      <c r="E39" s="387">
        <f t="shared" si="17"/>
        <v>13.655881549819521</v>
      </c>
      <c r="F39" s="387">
        <f t="shared" si="1"/>
        <v>13.761634555494489</v>
      </c>
      <c r="G39" s="110">
        <f t="shared" si="18"/>
        <v>0.56552129355501823</v>
      </c>
      <c r="H39" s="416" t="b">
        <f>Wh_hp&gt;='2019'!Maxi_hp</f>
        <v>1</v>
      </c>
      <c r="I39" s="382">
        <f>IF(H39,Wh_hp,'2019'!Maxi_hp)</f>
        <v>13.761634555494489</v>
      </c>
      <c r="J39" s="85">
        <f>IF(H39,An,'2019'!An_max)</f>
        <v>2020</v>
      </c>
      <c r="K39" s="199">
        <f t="shared" si="19"/>
        <v>43855</v>
      </c>
      <c r="L39" s="147">
        <f>IF(t&lt;Tvie,1-EXP((T0-t)*PertePVj)+'2019'!Pspv,1-EXP((T0-t)*PertePVj)+Pspv)</f>
        <v>1.2534064577283788E-2</v>
      </c>
      <c r="M39" s="872"/>
      <c r="N39" s="872"/>
      <c r="O39" s="48">
        <f>IF(t&lt;Tnet,'2019'!Resal+('2019'!Salim-'2019'!Resal)*(1-EXP(('2019'!Tnet-t)/('2019'!Tau_j))),Resal+(Salim-Resal)*(1-EXP((Tnet-t)/(Tau_j))))*Salcycl</f>
        <v>9.408560585824316E-2</v>
      </c>
      <c r="P39" s="171">
        <f>(INDEX(Models!$BJ39:$BT39,,T39)*(1-R39)+INDEX(Models!$BJ39:$BT39,,T39+1)*R39-ERP_i)*Q39*Ramure*Pc/MaxiM</f>
        <v>1.9741966402402195E-2</v>
      </c>
      <c r="Q39" s="307">
        <f t="shared" si="2"/>
        <v>0.9</v>
      </c>
      <c r="R39" s="179">
        <f t="shared" si="3"/>
        <v>0.601412867917966</v>
      </c>
      <c r="S39" s="839">
        <f t="shared" si="4"/>
        <v>-2</v>
      </c>
      <c r="T39" s="178">
        <f t="shared" si="5"/>
        <v>4</v>
      </c>
      <c r="U39" s="253">
        <f t="shared" si="20"/>
        <v>-1.398587132082034</v>
      </c>
      <c r="V39" s="385">
        <f t="shared" si="6"/>
        <v>21.338837292514491</v>
      </c>
      <c r="W39" s="404"/>
      <c r="X39" s="157">
        <f t="shared" si="7"/>
        <v>43855</v>
      </c>
      <c r="Y39" s="387">
        <f t="shared" si="8"/>
        <v>12.215999999999999</v>
      </c>
      <c r="Z39" s="387">
        <f t="shared" si="9"/>
        <v>12.371059660676346</v>
      </c>
      <c r="AA39" s="388">
        <f t="shared" si="10"/>
        <v>13.655881549819521</v>
      </c>
      <c r="AB39" s="199">
        <f t="shared" si="11"/>
        <v>43855</v>
      </c>
      <c r="AC39" s="119">
        <f>IF(OR(t&lt;Tnet,NoTnet),'2019'!Resal_s+('2019'!Salim-'2019'!Resal_s)*(1-EXP(('2019'!Tnet_s-t)/'2019'!Tau_j)),Resal_s+(Salim-Resal_s)*(1-EXP((Tnet_s-t)/Tau_j)))*Salcycl</f>
        <v>9.408560585824316E-2</v>
      </c>
      <c r="AD39" s="233">
        <f>(INDEX(Models!$BJ39:$BT39,,AH39)*(1-AF39)+INDEX(Models!$BJ39:$BT39,,AH39+1)*AF39-ERP_i)*AE39*Ramure*Pc/MaxiM</f>
        <v>1.9741966402402195E-2</v>
      </c>
      <c r="AE39" s="307">
        <f t="shared" si="12"/>
        <v>0.9</v>
      </c>
      <c r="AF39" s="179">
        <f t="shared" si="21"/>
        <v>0.601412867917966</v>
      </c>
      <c r="AG39" s="839">
        <f t="shared" si="22"/>
        <v>-2</v>
      </c>
      <c r="AH39" s="178">
        <f t="shared" si="13"/>
        <v>4</v>
      </c>
      <c r="AI39" s="227">
        <f t="shared" si="23"/>
        <v>-1.398587132082034</v>
      </c>
      <c r="AJ39" s="267" t="b">
        <f t="shared" si="14"/>
        <v>0</v>
      </c>
      <c r="AK39" s="267" t="b">
        <f t="shared" si="15"/>
        <v>0</v>
      </c>
      <c r="AL39" s="267"/>
      <c r="AM39" s="267"/>
      <c r="AN39" s="75"/>
    </row>
    <row r="40" spans="1:40" s="6" customFormat="1" ht="11.25" x14ac:dyDescent="0.2">
      <c r="A40" s="56">
        <f t="shared" si="16"/>
        <v>43856</v>
      </c>
      <c r="B40" s="620">
        <v>5.9580000000000002</v>
      </c>
      <c r="C40" s="392"/>
      <c r="D40" s="395">
        <f t="shared" si="0"/>
        <v>6.0337662706716078</v>
      </c>
      <c r="E40" s="387">
        <f t="shared" si="17"/>
        <v>6.6613331333849084</v>
      </c>
      <c r="F40" s="387">
        <f t="shared" si="1"/>
        <v>6.6613331333849084</v>
      </c>
      <c r="G40" s="110">
        <f t="shared" si="18"/>
        <v>0.27033116362472231</v>
      </c>
      <c r="H40" s="416" t="b">
        <f>Wh_hp&gt;='2019'!Maxi_hp</f>
        <v>0</v>
      </c>
      <c r="I40" s="382">
        <f>IF(H40,Wh_hp,'2019'!Maxi_hp)</f>
        <v>13.718368418779884</v>
      </c>
      <c r="J40" s="85">
        <f>IF(H40,An,'2019'!An_max)</f>
        <v>2019</v>
      </c>
      <c r="K40" s="199">
        <f t="shared" si="19"/>
        <v>43856</v>
      </c>
      <c r="L40" s="147">
        <f>IF(t&lt;Tvie,1-EXP((T0-t)*PertePVj)+'2019'!Pspv,1-EXP((T0-t)*PertePVj)+Pspv)</f>
        <v>1.2557044352195956E-2</v>
      </c>
      <c r="M40" s="872"/>
      <c r="N40" s="872"/>
      <c r="O40" s="48">
        <f>IF(t&lt;Tnet,'2019'!Resal+('2019'!Salim-'2019'!Resal)*(1-EXP(('2019'!Tnet-t)/('2019'!Tau_j))),Resal+(Salim-Resal)*(1-EXP((Tnet-t)/(Tau_j))))*Salcycl</f>
        <v>9.4210400553020615E-2</v>
      </c>
      <c r="P40" s="171">
        <f>(INDEX(Models!$BJ40:$BT40,,T40)*(1-R40)+INDEX(Models!$BJ40:$BT40,,T40+1)*R40-ERP_i)*Q40*Ramure*Pc/MaxiM</f>
        <v>1.9308670548834939E-2</v>
      </c>
      <c r="Q40" s="307">
        <f t="shared" si="2"/>
        <v>0.9</v>
      </c>
      <c r="R40" s="179">
        <f t="shared" si="3"/>
        <v>0.60152201193531574</v>
      </c>
      <c r="S40" s="839">
        <f t="shared" si="4"/>
        <v>-2</v>
      </c>
      <c r="T40" s="178">
        <f t="shared" si="5"/>
        <v>4</v>
      </c>
      <c r="U40" s="253">
        <f t="shared" si="20"/>
        <v>-1.3984779880646843</v>
      </c>
      <c r="V40" s="385">
        <f t="shared" si="6"/>
        <v>21.614078312411376</v>
      </c>
      <c r="W40" s="404"/>
      <c r="X40" s="157">
        <f t="shared" si="7"/>
        <v>43856</v>
      </c>
      <c r="Y40" s="387">
        <f t="shared" si="8"/>
        <v>5.9580000000000002</v>
      </c>
      <c r="Z40" s="387">
        <f t="shared" si="9"/>
        <v>6.0337662706716078</v>
      </c>
      <c r="AA40" s="388">
        <f t="shared" si="10"/>
        <v>6.6613331333849084</v>
      </c>
      <c r="AB40" s="199">
        <f t="shared" si="11"/>
        <v>43856</v>
      </c>
      <c r="AC40" s="119">
        <f>IF(OR(t&lt;Tnet,NoTnet),'2019'!Resal_s+('2019'!Salim-'2019'!Resal_s)*(1-EXP(('2019'!Tnet_s-t)/'2019'!Tau_j)),Resal_s+(Salim-Resal_s)*(1-EXP((Tnet_s-t)/Tau_j)))*Salcycl</f>
        <v>9.4210400553020615E-2</v>
      </c>
      <c r="AD40" s="233">
        <f>(INDEX(Models!$BJ40:$BT40,,AH40)*(1-AF40)+INDEX(Models!$BJ40:$BT40,,AH40+1)*AF40-ERP_i)*AE40*Ramure*Pc/MaxiM</f>
        <v>1.9308670548834939E-2</v>
      </c>
      <c r="AE40" s="307">
        <f t="shared" si="12"/>
        <v>0.9</v>
      </c>
      <c r="AF40" s="179">
        <f t="shared" si="21"/>
        <v>0.60152201193531574</v>
      </c>
      <c r="AG40" s="839">
        <f t="shared" si="22"/>
        <v>-2</v>
      </c>
      <c r="AH40" s="178">
        <f t="shared" si="13"/>
        <v>4</v>
      </c>
      <c r="AI40" s="227">
        <f t="shared" si="23"/>
        <v>-1.3984779880646843</v>
      </c>
      <c r="AJ40" s="267" t="b">
        <f t="shared" si="14"/>
        <v>0</v>
      </c>
      <c r="AK40" s="267" t="b">
        <f t="shared" si="15"/>
        <v>0</v>
      </c>
      <c r="AL40" s="267"/>
      <c r="AM40" s="267"/>
      <c r="AN40" s="75"/>
    </row>
    <row r="41" spans="1:40" s="6" customFormat="1" ht="11.25" customHeight="1" x14ac:dyDescent="0.2">
      <c r="A41" s="56">
        <f t="shared" si="16"/>
        <v>43857</v>
      </c>
      <c r="B41" s="620">
        <v>10.026</v>
      </c>
      <c r="C41" s="392"/>
      <c r="D41" s="395">
        <f t="shared" si="0"/>
        <v>10.153734215987422</v>
      </c>
      <c r="E41" s="387">
        <f t="shared" si="17"/>
        <v>11.211358343804067</v>
      </c>
      <c r="F41" s="387">
        <f t="shared" si="1"/>
        <v>11.259246131266623</v>
      </c>
      <c r="G41" s="110">
        <f t="shared" si="18"/>
        <v>0.45120391213770633</v>
      </c>
      <c r="H41" s="416" t="b">
        <f>Wh_hp&gt;='2019'!Maxi_hp</f>
        <v>0</v>
      </c>
      <c r="I41" s="382">
        <f>IF(H41,Wh_hp,'2019'!Maxi_hp)</f>
        <v>13.04455621767182</v>
      </c>
      <c r="J41" s="85">
        <f>IF(H41,An,'2019'!An_max)</f>
        <v>2019</v>
      </c>
      <c r="K41" s="199">
        <f t="shared" si="19"/>
        <v>43857</v>
      </c>
      <c r="L41" s="147">
        <f>IF(t&lt;Tvie,1-EXP((T0-t)*PertePVj)+'2019'!Pspv,1-EXP((T0-t)*PertePVj)+Pspv)</f>
        <v>1.2580023592335121E-2</v>
      </c>
      <c r="M41" s="872"/>
      <c r="N41" s="872"/>
      <c r="O41" s="48">
        <f>IF(t&lt;Tnet,'2019'!Resal+('2019'!Salim-'2019'!Resal)*(1-EXP(('2019'!Tnet-t)/('2019'!Tau_j))),Resal+(Salim-Resal)*(1-EXP((Tnet-t)/(Tau_j))))*Salcycl</f>
        <v>9.4335056947059293E-2</v>
      </c>
      <c r="P41" s="171">
        <f>(INDEX(Models!$BJ41:$BT41,,T41)*(1-R41)+INDEX(Models!$BJ41:$BT41,,T41+1)*R41-ERP_i)*Q41*Ramure*Pc/MaxiM</f>
        <v>1.8853059577292199E-2</v>
      </c>
      <c r="Q41" s="307">
        <f t="shared" si="2"/>
        <v>0.9</v>
      </c>
      <c r="R41" s="179">
        <f t="shared" si="3"/>
        <v>0.60163569848986609</v>
      </c>
      <c r="S41" s="839">
        <f t="shared" si="4"/>
        <v>-2</v>
      </c>
      <c r="T41" s="178">
        <f t="shared" si="5"/>
        <v>4</v>
      </c>
      <c r="U41" s="253">
        <f t="shared" si="20"/>
        <v>-1.3983643015101339</v>
      </c>
      <c r="V41" s="385">
        <f t="shared" si="6"/>
        <v>21.894749299606289</v>
      </c>
      <c r="W41" s="404"/>
      <c r="X41" s="157">
        <f t="shared" si="7"/>
        <v>43857</v>
      </c>
      <c r="Y41" s="387">
        <f t="shared" si="8"/>
        <v>10.026</v>
      </c>
      <c r="Z41" s="387">
        <f t="shared" si="9"/>
        <v>10.153734215987422</v>
      </c>
      <c r="AA41" s="388">
        <f t="shared" si="10"/>
        <v>11.211358343804067</v>
      </c>
      <c r="AB41" s="199">
        <f t="shared" si="11"/>
        <v>43857</v>
      </c>
      <c r="AC41" s="119">
        <f>IF(OR(t&lt;Tnet,NoTnet),'2019'!Resal_s+('2019'!Salim-'2019'!Resal_s)*(1-EXP(('2019'!Tnet_s-t)/'2019'!Tau_j)),Resal_s+(Salim-Resal_s)*(1-EXP((Tnet_s-t)/Tau_j)))*Salcycl</f>
        <v>9.4335056947059293E-2</v>
      </c>
      <c r="AD41" s="233">
        <f>(INDEX(Models!$BJ41:$BT41,,AH41)*(1-AF41)+INDEX(Models!$BJ41:$BT41,,AH41+1)*AF41-ERP_i)*AE41*Ramure*Pc/MaxiM</f>
        <v>1.8853059577292199E-2</v>
      </c>
      <c r="AE41" s="307">
        <f t="shared" si="12"/>
        <v>0.9</v>
      </c>
      <c r="AF41" s="179">
        <f t="shared" si="21"/>
        <v>0.60163569848986609</v>
      </c>
      <c r="AG41" s="839">
        <f t="shared" si="22"/>
        <v>-2</v>
      </c>
      <c r="AH41" s="178">
        <f t="shared" si="13"/>
        <v>4</v>
      </c>
      <c r="AI41" s="227">
        <f t="shared" si="23"/>
        <v>-1.3983643015101339</v>
      </c>
      <c r="AJ41" s="267" t="b">
        <f t="shared" si="14"/>
        <v>0</v>
      </c>
      <c r="AK41" s="267" t="b">
        <f t="shared" si="15"/>
        <v>0</v>
      </c>
      <c r="AL41" s="267"/>
      <c r="AM41" s="267"/>
      <c r="AN41" s="75"/>
    </row>
    <row r="42" spans="1:40" s="6" customFormat="1" ht="11.25" x14ac:dyDescent="0.2">
      <c r="A42" s="56">
        <f t="shared" si="16"/>
        <v>43858</v>
      </c>
      <c r="B42" s="620">
        <v>15.209</v>
      </c>
      <c r="C42" s="392"/>
      <c r="D42" s="395">
        <f t="shared" si="0"/>
        <v>15.403125627677596</v>
      </c>
      <c r="E42" s="387">
        <f t="shared" si="17"/>
        <v>17.009870847014188</v>
      </c>
      <c r="F42" s="387">
        <f t="shared" si="1"/>
        <v>17.183861490086507</v>
      </c>
      <c r="G42" s="110">
        <f t="shared" si="18"/>
        <v>0.67997523358553369</v>
      </c>
      <c r="H42" s="416" t="b">
        <f>Wh_hp&gt;='2019'!Maxi_hp</f>
        <v>1</v>
      </c>
      <c r="I42" s="382">
        <f>IF(H42,Wh_hp,'2019'!Maxi_hp)</f>
        <v>17.183861490086507</v>
      </c>
      <c r="J42" s="85">
        <f>IF(H42,An,'2019'!An_max)</f>
        <v>2020</v>
      </c>
      <c r="K42" s="199">
        <f t="shared" si="19"/>
        <v>43858</v>
      </c>
      <c r="L42" s="147">
        <f>IF(t&lt;Tvie,1-EXP((T0-t)*PertePVj)+'2019'!Pspv,1-EXP((T0-t)*PertePVj)+Pspv)</f>
        <v>1.2603002297713939E-2</v>
      </c>
      <c r="M42" s="872"/>
      <c r="N42" s="872"/>
      <c r="O42" s="48">
        <f>IF(t&lt;Tnet,'2019'!Resal+('2019'!Salim-'2019'!Resal)*(1-EXP(('2019'!Tnet-t)/('2019'!Tau_j))),Resal+(Salim-Resal)*(1-EXP((Tnet-t)/(Tau_j))))*Salcycl</f>
        <v>9.4459577840864659E-2</v>
      </c>
      <c r="P42" s="171">
        <f>(INDEX(Models!$BJ42:$BT42,,T42)*(1-R42)+INDEX(Models!$BJ42:$BT42,,T42+1)*R42-ERP_i)*Q42*Ramure*Pc/MaxiM</f>
        <v>1.8376538994584041E-2</v>
      </c>
      <c r="Q42" s="307">
        <f t="shared" si="2"/>
        <v>0.9</v>
      </c>
      <c r="R42" s="179">
        <f t="shared" si="3"/>
        <v>0.60175411506205045</v>
      </c>
      <c r="S42" s="839">
        <f t="shared" si="4"/>
        <v>-2</v>
      </c>
      <c r="T42" s="178">
        <f t="shared" si="5"/>
        <v>4</v>
      </c>
      <c r="U42" s="253">
        <f t="shared" si="20"/>
        <v>-1.3982458849379495</v>
      </c>
      <c r="V42" s="385">
        <f t="shared" si="6"/>
        <v>22.180546473865046</v>
      </c>
      <c r="W42" s="404"/>
      <c r="X42" s="157">
        <f t="shared" si="7"/>
        <v>43858</v>
      </c>
      <c r="Y42" s="387">
        <f t="shared" si="8"/>
        <v>15.209</v>
      </c>
      <c r="Z42" s="387">
        <f t="shared" si="9"/>
        <v>15.403125627677596</v>
      </c>
      <c r="AA42" s="388">
        <f t="shared" si="10"/>
        <v>17.009870847014188</v>
      </c>
      <c r="AB42" s="199">
        <f t="shared" si="11"/>
        <v>43858</v>
      </c>
      <c r="AC42" s="119">
        <f>IF(OR(t&lt;Tnet,NoTnet),'2019'!Resal_s+('2019'!Salim-'2019'!Resal_s)*(1-EXP(('2019'!Tnet_s-t)/'2019'!Tau_j)),Resal_s+(Salim-Resal_s)*(1-EXP((Tnet_s-t)/Tau_j)))*Salcycl</f>
        <v>9.4459577840864659E-2</v>
      </c>
      <c r="AD42" s="233">
        <f>(INDEX(Models!$BJ42:$BT42,,AH42)*(1-AF42)+INDEX(Models!$BJ42:$BT42,,AH42+1)*AF42-ERP_i)*AE42*Ramure*Pc/MaxiM</f>
        <v>1.8376538994584041E-2</v>
      </c>
      <c r="AE42" s="307">
        <f t="shared" si="12"/>
        <v>0.9</v>
      </c>
      <c r="AF42" s="179">
        <f t="shared" si="21"/>
        <v>0.60175411506205045</v>
      </c>
      <c r="AG42" s="839">
        <f t="shared" si="22"/>
        <v>-2</v>
      </c>
      <c r="AH42" s="178">
        <f t="shared" si="13"/>
        <v>4</v>
      </c>
      <c r="AI42" s="227">
        <f t="shared" si="23"/>
        <v>-1.3982458849379495</v>
      </c>
      <c r="AJ42" s="267" t="b">
        <f t="shared" si="14"/>
        <v>0</v>
      </c>
      <c r="AK42" s="267" t="b">
        <f t="shared" si="15"/>
        <v>0</v>
      </c>
      <c r="AL42" s="267"/>
      <c r="AM42" s="267"/>
      <c r="AN42" s="75"/>
    </row>
    <row r="43" spans="1:40" s="6" customFormat="1" ht="11.25" customHeight="1" x14ac:dyDescent="0.2">
      <c r="A43" s="56">
        <f t="shared" si="16"/>
        <v>43859</v>
      </c>
      <c r="B43" s="620">
        <v>17.646000000000001</v>
      </c>
      <c r="C43" s="392"/>
      <c r="D43" s="395">
        <f t="shared" si="0"/>
        <v>17.871647066802598</v>
      </c>
      <c r="E43" s="387">
        <f t="shared" si="17"/>
        <v>19.738602333484028</v>
      </c>
      <c r="F43" s="387">
        <f t="shared" si="1"/>
        <v>19.986344451656461</v>
      </c>
      <c r="G43" s="110">
        <f t="shared" si="18"/>
        <v>0.78091180812686256</v>
      </c>
      <c r="H43" s="416" t="b">
        <f>Wh_hp&gt;='2019'!Maxi_hp</f>
        <v>1</v>
      </c>
      <c r="I43" s="382">
        <f>IF(H43,Wh_hp,'2019'!Maxi_hp)</f>
        <v>19.986344451656461</v>
      </c>
      <c r="J43" s="85">
        <f>IF(H43,An,'2019'!An_max)</f>
        <v>2020</v>
      </c>
      <c r="K43" s="199">
        <f t="shared" si="19"/>
        <v>43859</v>
      </c>
      <c r="L43" s="147">
        <f>IF(t&lt;Tvie,1-EXP((T0-t)*PertePVj)+'2019'!Pspv,1-EXP((T0-t)*PertePVj)+Pspv)</f>
        <v>1.2625980468344622E-2</v>
      </c>
      <c r="M43" s="872"/>
      <c r="N43" s="872"/>
      <c r="O43" s="48">
        <f>IF(t&lt;Tnet,'2019'!Resal+('2019'!Salim-'2019'!Resal)*(1-EXP(('2019'!Tnet-t)/('2019'!Tau_j))),Resal+(Salim-Resal)*(1-EXP((Tnet-t)/(Tau_j))))*Salcycl</f>
        <v>9.4583964717419589E-2</v>
      </c>
      <c r="P43" s="171">
        <f>(INDEX(Models!$BJ43:$BT43,,T43)*(1-R43)+INDEX(Models!$BJ43:$BT43,,T43+1)*R43-ERP_i)*Q43*Ramure*Pc/MaxiM</f>
        <v>1.7880447960557516E-2</v>
      </c>
      <c r="Q43" s="307">
        <f t="shared" si="2"/>
        <v>0.9</v>
      </c>
      <c r="R43" s="179">
        <f t="shared" si="3"/>
        <v>0.6018774567354499</v>
      </c>
      <c r="S43" s="839">
        <f t="shared" si="4"/>
        <v>-2</v>
      </c>
      <c r="T43" s="178">
        <f t="shared" si="5"/>
        <v>4</v>
      </c>
      <c r="U43" s="253">
        <f t="shared" si="20"/>
        <v>-1.3981225432645501</v>
      </c>
      <c r="V43" s="385">
        <f t="shared" si="6"/>
        <v>22.471166233407999</v>
      </c>
      <c r="W43" s="404"/>
      <c r="X43" s="157">
        <f t="shared" si="7"/>
        <v>43859</v>
      </c>
      <c r="Y43" s="387">
        <f t="shared" si="8"/>
        <v>17.646000000000001</v>
      </c>
      <c r="Z43" s="387">
        <f t="shared" si="9"/>
        <v>17.871647066802598</v>
      </c>
      <c r="AA43" s="388">
        <f t="shared" si="10"/>
        <v>19.738602333484028</v>
      </c>
      <c r="AB43" s="199">
        <f t="shared" si="11"/>
        <v>43859</v>
      </c>
      <c r="AC43" s="119">
        <f>IF(OR(t&lt;Tnet,NoTnet),'2019'!Resal_s+('2019'!Salim-'2019'!Resal_s)*(1-EXP(('2019'!Tnet_s-t)/'2019'!Tau_j)),Resal_s+(Salim-Resal_s)*(1-EXP((Tnet_s-t)/Tau_j)))*Salcycl</f>
        <v>9.4583964717419589E-2</v>
      </c>
      <c r="AD43" s="233">
        <f>(INDEX(Models!$BJ43:$BT43,,AH43)*(1-AF43)+INDEX(Models!$BJ43:$BT43,,AH43+1)*AF43-ERP_i)*AE43*Ramure*Pc/MaxiM</f>
        <v>1.7880447960557516E-2</v>
      </c>
      <c r="AE43" s="307">
        <f t="shared" si="12"/>
        <v>0.9</v>
      </c>
      <c r="AF43" s="179">
        <f t="shared" si="21"/>
        <v>0.6018774567354499</v>
      </c>
      <c r="AG43" s="839">
        <f t="shared" si="22"/>
        <v>-2</v>
      </c>
      <c r="AH43" s="178">
        <f t="shared" si="13"/>
        <v>4</v>
      </c>
      <c r="AI43" s="227">
        <f t="shared" si="23"/>
        <v>-1.3981225432645501</v>
      </c>
      <c r="AJ43" s="267" t="b">
        <f t="shared" si="14"/>
        <v>0</v>
      </c>
      <c r="AK43" s="267" t="b">
        <f t="shared" si="15"/>
        <v>0</v>
      </c>
      <c r="AL43" s="267"/>
      <c r="AM43" s="267"/>
      <c r="AN43" s="75"/>
    </row>
    <row r="44" spans="1:40" s="6" customFormat="1" ht="11.25" x14ac:dyDescent="0.2">
      <c r="A44" s="56">
        <f t="shared" si="16"/>
        <v>43860</v>
      </c>
      <c r="B44" s="620">
        <v>9.7620000000000005</v>
      </c>
      <c r="C44" s="392"/>
      <c r="D44" s="395">
        <f t="shared" si="0"/>
        <v>9.8870610206239338</v>
      </c>
      <c r="E44" s="387">
        <f t="shared" si="17"/>
        <v>10.92140811789287</v>
      </c>
      <c r="F44" s="387">
        <f t="shared" si="1"/>
        <v>10.95637555418933</v>
      </c>
      <c r="G44" s="110">
        <f t="shared" si="18"/>
        <v>0.42269419708076966</v>
      </c>
      <c r="H44" s="416" t="b">
        <f>Wh_hp&gt;='2019'!Maxi_hp</f>
        <v>1</v>
      </c>
      <c r="I44" s="382">
        <f>IF(H44,Wh_hp,'2019'!Maxi_hp)</f>
        <v>10.95637555418933</v>
      </c>
      <c r="J44" s="85">
        <f>IF(H44,An,'2019'!An_max)</f>
        <v>2020</v>
      </c>
      <c r="K44" s="199">
        <f t="shared" si="19"/>
        <v>43860</v>
      </c>
      <c r="L44" s="147">
        <f>IF(t&lt;Tvie,1-EXP((T0-t)*PertePVj)+'2019'!Pspv,1-EXP((T0-t)*PertePVj)+Pspv)</f>
        <v>1.2648958104239716E-2</v>
      </c>
      <c r="M44" s="872"/>
      <c r="N44" s="872"/>
      <c r="O44" s="48">
        <f>IF(t&lt;Tnet,'2019'!Resal+('2019'!Salim-'2019'!Resal)*(1-EXP(('2019'!Tnet-t)/('2019'!Tau_j))),Resal+(Salim-Resal)*(1-EXP((Tnet-t)/(Tau_j))))*Salcycl</f>
        <v>9.4708217667860375E-2</v>
      </c>
      <c r="P44" s="171">
        <f>(INDEX(Models!$BJ44:$BT44,,T44)*(1-R44)+INDEX(Models!$BJ44:$BT44,,T44+1)*R44-ERP_i)*Q44*Ramure*Pc/MaxiM</f>
        <v>1.7347419150484732E-2</v>
      </c>
      <c r="Q44" s="307">
        <f t="shared" si="2"/>
        <v>0.9</v>
      </c>
      <c r="R44" s="179">
        <f t="shared" si="3"/>
        <v>0.6020059264936406</v>
      </c>
      <c r="S44" s="839">
        <f t="shared" si="4"/>
        <v>-2</v>
      </c>
      <c r="T44" s="178">
        <f t="shared" si="5"/>
        <v>4</v>
      </c>
      <c r="U44" s="253">
        <f t="shared" si="20"/>
        <v>-1.3979940735063594</v>
      </c>
      <c r="V44" s="385">
        <f t="shared" si="6"/>
        <v>22.766736998655219</v>
      </c>
      <c r="W44" s="404"/>
      <c r="X44" s="157">
        <f t="shared" si="7"/>
        <v>43860</v>
      </c>
      <c r="Y44" s="387">
        <f t="shared" si="8"/>
        <v>9.7620000000000005</v>
      </c>
      <c r="Z44" s="387">
        <f t="shared" si="9"/>
        <v>9.8870610206239338</v>
      </c>
      <c r="AA44" s="388">
        <f t="shared" si="10"/>
        <v>10.92140811789287</v>
      </c>
      <c r="AB44" s="199">
        <f t="shared" si="11"/>
        <v>43860</v>
      </c>
      <c r="AC44" s="119">
        <f>IF(OR(t&lt;Tnet,NoTnet),'2019'!Resal_s+('2019'!Salim-'2019'!Resal_s)*(1-EXP(('2019'!Tnet_s-t)/'2019'!Tau_j)),Resal_s+(Salim-Resal_s)*(1-EXP((Tnet_s-t)/Tau_j)))*Salcycl</f>
        <v>9.4708217667860375E-2</v>
      </c>
      <c r="AD44" s="233">
        <f>(INDEX(Models!$BJ44:$BT44,,AH44)*(1-AF44)+INDEX(Models!$BJ44:$BT44,,AH44+1)*AF44-ERP_i)*AE44*Ramure*Pc/MaxiM</f>
        <v>1.7347419150484732E-2</v>
      </c>
      <c r="AE44" s="307">
        <f t="shared" si="12"/>
        <v>0.9</v>
      </c>
      <c r="AF44" s="179">
        <f t="shared" si="21"/>
        <v>0.6020059264936406</v>
      </c>
      <c r="AG44" s="839">
        <f t="shared" si="22"/>
        <v>-2</v>
      </c>
      <c r="AH44" s="178">
        <f t="shared" si="13"/>
        <v>4</v>
      </c>
      <c r="AI44" s="227">
        <f t="shared" si="23"/>
        <v>-1.3979940735063594</v>
      </c>
      <c r="AJ44" s="267" t="b">
        <f t="shared" si="14"/>
        <v>0</v>
      </c>
      <c r="AK44" s="267" t="b">
        <f t="shared" si="15"/>
        <v>0</v>
      </c>
      <c r="AL44" s="267"/>
      <c r="AM44" s="267"/>
      <c r="AN44" s="75"/>
    </row>
    <row r="45" spans="1:40" s="6" customFormat="1" ht="11.25" x14ac:dyDescent="0.2">
      <c r="A45" s="56">
        <f t="shared" si="16"/>
        <v>43861</v>
      </c>
      <c r="B45" s="620">
        <v>17.120999999999999</v>
      </c>
      <c r="C45" s="392"/>
      <c r="D45" s="395">
        <f t="shared" si="0"/>
        <v>17.340740743110537</v>
      </c>
      <c r="E45" s="387">
        <f t="shared" si="17"/>
        <v>19.157490286253815</v>
      </c>
      <c r="F45" s="387">
        <f t="shared" si="1"/>
        <v>19.362829984004698</v>
      </c>
      <c r="G45" s="110">
        <f t="shared" si="18"/>
        <v>0.73759855503123561</v>
      </c>
      <c r="H45" s="416" t="b">
        <f>Wh_hp&gt;='2019'!Maxi_hp</f>
        <v>1</v>
      </c>
      <c r="I45" s="382">
        <f>IF(H45,Wh_hp,'2019'!Maxi_hp)</f>
        <v>19.362829984004698</v>
      </c>
      <c r="J45" s="85">
        <f>IF(H45,An,'2019'!An_max)</f>
        <v>2020</v>
      </c>
      <c r="K45" s="199">
        <f t="shared" si="19"/>
        <v>43861</v>
      </c>
      <c r="L45" s="147">
        <f>IF(t&lt;Tvie,1-EXP((T0-t)*PertePVj)+'2019'!Pspv,1-EXP((T0-t)*PertePVj)+Pspv)</f>
        <v>1.2671935205411655E-2</v>
      </c>
      <c r="M45" s="872"/>
      <c r="N45" s="872"/>
      <c r="O45" s="48">
        <f>IF(t&lt;Tnet,'2019'!Resal+('2019'!Salim-'2019'!Resal)*(1-EXP(('2019'!Tnet-t)/('2019'!Tau_j))),Resal+(Salim-Resal)*(1-EXP((Tnet-t)/(Tau_j))))*Salcycl</f>
        <v>9.4832335342320925E-2</v>
      </c>
      <c r="P45" s="171">
        <f>(INDEX(Models!$BJ45:$BT45,,T45)*(1-R45)+INDEX(Models!$BJ45:$BT45,,T45+1)*R45-ERP_i)*Q45*Ramure*Pc/MaxiM</f>
        <v>1.6786045066198085E-2</v>
      </c>
      <c r="Q45" s="307">
        <f t="shared" si="2"/>
        <v>0.9</v>
      </c>
      <c r="R45" s="179">
        <f t="shared" si="3"/>
        <v>0.60213973552764277</v>
      </c>
      <c r="S45" s="839">
        <f t="shared" si="4"/>
        <v>-2</v>
      </c>
      <c r="T45" s="178">
        <f t="shared" si="5"/>
        <v>4</v>
      </c>
      <c r="U45" s="253">
        <f t="shared" si="20"/>
        <v>-1.3978602644723572</v>
      </c>
      <c r="V45" s="385">
        <f t="shared" si="6"/>
        <v>23.066798511132806</v>
      </c>
      <c r="W45" s="404"/>
      <c r="X45" s="157">
        <f t="shared" si="7"/>
        <v>43861</v>
      </c>
      <c r="Y45" s="387">
        <f t="shared" si="8"/>
        <v>17.120999999999999</v>
      </c>
      <c r="Z45" s="387">
        <f t="shared" si="9"/>
        <v>17.340740743110537</v>
      </c>
      <c r="AA45" s="388">
        <f t="shared" si="10"/>
        <v>19.157490286253815</v>
      </c>
      <c r="AB45" s="199">
        <f t="shared" si="11"/>
        <v>43861</v>
      </c>
      <c r="AC45" s="119">
        <f>IF(OR(t&lt;Tnet,NoTnet),'2019'!Resal_s+('2019'!Salim-'2019'!Resal_s)*(1-EXP(('2019'!Tnet_s-t)/'2019'!Tau_j)),Resal_s+(Salim-Resal_s)*(1-EXP((Tnet_s-t)/Tau_j)))*Salcycl</f>
        <v>9.4832335342320925E-2</v>
      </c>
      <c r="AD45" s="233">
        <f>(INDEX(Models!$BJ45:$BT45,,AH45)*(1-AF45)+INDEX(Models!$BJ45:$BT45,,AH45+1)*AF45-ERP_i)*AE45*Ramure*Pc/MaxiM</f>
        <v>1.6786045066198085E-2</v>
      </c>
      <c r="AE45" s="307">
        <f t="shared" si="12"/>
        <v>0.9</v>
      </c>
      <c r="AF45" s="179">
        <f t="shared" si="21"/>
        <v>0.60213973552764277</v>
      </c>
      <c r="AG45" s="839">
        <f t="shared" si="22"/>
        <v>-2</v>
      </c>
      <c r="AH45" s="178">
        <f t="shared" si="13"/>
        <v>4</v>
      </c>
      <c r="AI45" s="227">
        <f t="shared" si="23"/>
        <v>-1.3978602644723572</v>
      </c>
      <c r="AJ45" s="267" t="b">
        <f t="shared" si="14"/>
        <v>0</v>
      </c>
      <c r="AK45" s="267" t="b">
        <f t="shared" si="15"/>
        <v>0</v>
      </c>
      <c r="AL45" s="267"/>
      <c r="AM45" s="267"/>
      <c r="AN45" s="75"/>
    </row>
    <row r="46" spans="1:40" s="6" customFormat="1" ht="11.25" x14ac:dyDescent="0.2">
      <c r="A46" s="56">
        <f t="shared" si="16"/>
        <v>43862</v>
      </c>
      <c r="B46" s="620">
        <v>10.69</v>
      </c>
      <c r="C46" s="392"/>
      <c r="D46" s="395">
        <f t="shared" si="0"/>
        <v>10.827453567756722</v>
      </c>
      <c r="E46" s="387">
        <f t="shared" si="17"/>
        <v>11.963459605678583</v>
      </c>
      <c r="F46" s="387">
        <f t="shared" si="1"/>
        <v>12.007193252774615</v>
      </c>
      <c r="G46" s="110">
        <f t="shared" si="18"/>
        <v>0.45163957111868341</v>
      </c>
      <c r="H46" s="416" t="b">
        <f>Wh_hp&gt;='2019'!Maxi_hp</f>
        <v>0</v>
      </c>
      <c r="I46" s="382">
        <f>IF(H46,Wh_hp,'2019'!Maxi_hp)</f>
        <v>21.665220022404377</v>
      </c>
      <c r="J46" s="85">
        <f>IF(H46,An,'2019'!An_max)</f>
        <v>2019</v>
      </c>
      <c r="K46" s="199">
        <f t="shared" si="19"/>
        <v>43862</v>
      </c>
      <c r="L46" s="147">
        <f>IF(t&lt;Tvie,1-EXP((T0-t)*PertePVj)+'2019'!Pspv,1-EXP((T0-t)*PertePVj)+Pspv)</f>
        <v>1.2694911771872874E-2</v>
      </c>
      <c r="M46" s="872"/>
      <c r="N46" s="872"/>
      <c r="O46" s="48">
        <f>IF(t&lt;Tnet,'2019'!Resal+('2019'!Salim-'2019'!Resal)*(1-EXP(('2019'!Tnet-t)/('2019'!Tau_j))),Resal+(Salim-Resal)*(1-EXP((Tnet-t)/(Tau_j))))*Salcycl</f>
        <v>9.4956314926047225E-2</v>
      </c>
      <c r="P46" s="171">
        <f>(INDEX(Models!$BJ46:$BT46,,T46)*(1-R46)+INDEX(Models!$BJ46:$BT46,,T46+1)*R46-ERP_i)*Q46*Ramure*Pc/MaxiM</f>
        <v>1.6197864672816652E-2</v>
      </c>
      <c r="Q46" s="307">
        <f t="shared" si="2"/>
        <v>0.9</v>
      </c>
      <c r="R46" s="179">
        <f t="shared" si="3"/>
        <v>0.6022791035542594</v>
      </c>
      <c r="S46" s="839">
        <f t="shared" si="4"/>
        <v>-2</v>
      </c>
      <c r="T46" s="178">
        <f t="shared" si="5"/>
        <v>4</v>
      </c>
      <c r="U46" s="253">
        <f t="shared" si="20"/>
        <v>-1.3977208964457406</v>
      </c>
      <c r="V46" s="385">
        <f t="shared" si="6"/>
        <v>23.371048288995127</v>
      </c>
      <c r="W46" s="404"/>
      <c r="X46" s="157">
        <f t="shared" si="7"/>
        <v>43862</v>
      </c>
      <c r="Y46" s="387">
        <f t="shared" si="8"/>
        <v>10.69</v>
      </c>
      <c r="Z46" s="387">
        <f t="shared" si="9"/>
        <v>10.827453567756722</v>
      </c>
      <c r="AA46" s="388">
        <f t="shared" si="10"/>
        <v>11.963459605678583</v>
      </c>
      <c r="AB46" s="199">
        <f t="shared" si="11"/>
        <v>43862</v>
      </c>
      <c r="AC46" s="119">
        <f>IF(OR(t&lt;Tnet,NoTnet),'2019'!Resal_s+('2019'!Salim-'2019'!Resal_s)*(1-EXP(('2019'!Tnet_s-t)/'2019'!Tau_j)),Resal_s+(Salim-Resal_s)*(1-EXP((Tnet_s-t)/Tau_j)))*Salcycl</f>
        <v>9.4956314926047225E-2</v>
      </c>
      <c r="AD46" s="233">
        <f>(INDEX(Models!$BJ46:$BT46,,AH46)*(1-AF46)+INDEX(Models!$BJ46:$BT46,,AH46+1)*AF46-ERP_i)*AE46*Ramure*Pc/MaxiM</f>
        <v>1.6197864672816652E-2</v>
      </c>
      <c r="AE46" s="307">
        <f t="shared" si="12"/>
        <v>0.9</v>
      </c>
      <c r="AF46" s="179">
        <f t="shared" si="21"/>
        <v>0.6022791035542594</v>
      </c>
      <c r="AG46" s="839">
        <f t="shared" si="22"/>
        <v>-2</v>
      </c>
      <c r="AH46" s="178">
        <f t="shared" si="13"/>
        <v>4</v>
      </c>
      <c r="AI46" s="227">
        <f t="shared" si="23"/>
        <v>-1.3977208964457406</v>
      </c>
      <c r="AJ46" s="267" t="b">
        <f t="shared" si="14"/>
        <v>0</v>
      </c>
      <c r="AK46" s="267" t="b">
        <f t="shared" si="15"/>
        <v>0</v>
      </c>
      <c r="AL46" s="267"/>
      <c r="AM46" s="267"/>
      <c r="AN46" s="75"/>
    </row>
    <row r="47" spans="1:40" s="6" customFormat="1" ht="11.25" x14ac:dyDescent="0.2">
      <c r="A47" s="56">
        <f t="shared" si="16"/>
        <v>43863</v>
      </c>
      <c r="B47" s="620">
        <v>20.349</v>
      </c>
      <c r="C47" s="392"/>
      <c r="D47" s="395">
        <f t="shared" si="0"/>
        <v>20.611130039346559</v>
      </c>
      <c r="E47" s="387">
        <f t="shared" si="17"/>
        <v>22.776746568331856</v>
      </c>
      <c r="F47" s="387">
        <f t="shared" si="1"/>
        <v>23.063968430236599</v>
      </c>
      <c r="G47" s="110">
        <f t="shared" si="18"/>
        <v>0.85663773155094036</v>
      </c>
      <c r="H47" s="416" t="b">
        <f>Wh_hp&gt;='2019'!Maxi_hp</f>
        <v>1</v>
      </c>
      <c r="I47" s="382">
        <f>IF(H47,Wh_hp,'2019'!Maxi_hp)</f>
        <v>23.063968430236599</v>
      </c>
      <c r="J47" s="85">
        <f>IF(H47,An,'2019'!An_max)</f>
        <v>2020</v>
      </c>
      <c r="K47" s="199">
        <f t="shared" si="19"/>
        <v>43863</v>
      </c>
      <c r="L47" s="147">
        <f>IF(t&lt;Tvie,1-EXP((T0-t)*PertePVj)+'2019'!Pspv,1-EXP((T0-t)*PertePVj)+Pspv)</f>
        <v>1.2717887803635919E-2</v>
      </c>
      <c r="M47" s="872"/>
      <c r="N47" s="872"/>
      <c r="O47" s="48">
        <f>IF(t&lt;Tnet,'2019'!Resal+('2019'!Salim-'2019'!Resal)*(1-EXP(('2019'!Tnet-t)/('2019'!Tau_j))),Resal+(Salim-Resal)*(1-EXP((Tnet-t)/(Tau_j))))*Salcycl</f>
        <v>9.5080152140618157E-2</v>
      </c>
      <c r="P47" s="171">
        <f>(INDEX(Models!$BJ47:$BT47,,T47)*(1-R47)+INDEX(Models!$BJ47:$BT47,,T47+1)*R47-ERP_i)*Q47*Ramure*Pc/MaxiM</f>
        <v>1.5584333886210078E-2</v>
      </c>
      <c r="Q47" s="307">
        <f t="shared" si="2"/>
        <v>0.9</v>
      </c>
      <c r="R47" s="179">
        <f t="shared" si="3"/>
        <v>0.60242425914560216</v>
      </c>
      <c r="S47" s="839">
        <f t="shared" si="4"/>
        <v>-2</v>
      </c>
      <c r="T47" s="178">
        <f t="shared" si="5"/>
        <v>4</v>
      </c>
      <c r="U47" s="253">
        <f t="shared" si="20"/>
        <v>-1.3975757408543978</v>
      </c>
      <c r="V47" s="385">
        <f t="shared" si="6"/>
        <v>23.679184108090581</v>
      </c>
      <c r="W47" s="404"/>
      <c r="X47" s="157">
        <f t="shared" si="7"/>
        <v>43863</v>
      </c>
      <c r="Y47" s="387">
        <f t="shared" si="8"/>
        <v>20.349</v>
      </c>
      <c r="Z47" s="387">
        <f t="shared" si="9"/>
        <v>20.611130039346559</v>
      </c>
      <c r="AA47" s="388">
        <f t="shared" si="10"/>
        <v>22.776746568331856</v>
      </c>
      <c r="AB47" s="199">
        <f t="shared" si="11"/>
        <v>43863</v>
      </c>
      <c r="AC47" s="119">
        <f>IF(OR(t&lt;Tnet,NoTnet),'2019'!Resal_s+('2019'!Salim-'2019'!Resal_s)*(1-EXP(('2019'!Tnet_s-t)/'2019'!Tau_j)),Resal_s+(Salim-Resal_s)*(1-EXP((Tnet_s-t)/Tau_j)))*Salcycl</f>
        <v>9.5080152140618157E-2</v>
      </c>
      <c r="AD47" s="233">
        <f>(INDEX(Models!$BJ47:$BT47,,AH47)*(1-AF47)+INDEX(Models!$BJ47:$BT47,,AH47+1)*AF47-ERP_i)*AE47*Ramure*Pc/MaxiM</f>
        <v>1.5584333886210078E-2</v>
      </c>
      <c r="AE47" s="307">
        <f t="shared" si="12"/>
        <v>0.9</v>
      </c>
      <c r="AF47" s="179">
        <f t="shared" si="21"/>
        <v>0.60242425914560216</v>
      </c>
      <c r="AG47" s="839">
        <f t="shared" si="22"/>
        <v>-2</v>
      </c>
      <c r="AH47" s="178">
        <f t="shared" si="13"/>
        <v>4</v>
      </c>
      <c r="AI47" s="227">
        <f t="shared" si="23"/>
        <v>-1.3975757408543978</v>
      </c>
      <c r="AJ47" s="267" t="b">
        <f t="shared" si="14"/>
        <v>0</v>
      </c>
      <c r="AK47" s="267" t="b">
        <f t="shared" si="15"/>
        <v>0</v>
      </c>
      <c r="AL47" s="267"/>
      <c r="AM47" s="267"/>
      <c r="AN47" s="75"/>
    </row>
    <row r="48" spans="1:40" s="6" customFormat="1" ht="11.25" x14ac:dyDescent="0.2">
      <c r="A48" s="56">
        <f t="shared" si="16"/>
        <v>43864</v>
      </c>
      <c r="B48" s="620">
        <v>19.754000000000001</v>
      </c>
      <c r="C48" s="392"/>
      <c r="D48" s="395">
        <f t="shared" si="0"/>
        <v>20.00893105536986</v>
      </c>
      <c r="E48" s="387">
        <f t="shared" si="17"/>
        <v>22.114297084828095</v>
      </c>
      <c r="F48" s="387">
        <f t="shared" si="1"/>
        <v>22.364236578915285</v>
      </c>
      <c r="G48" s="110">
        <f t="shared" si="18"/>
        <v>0.82025530797379353</v>
      </c>
      <c r="H48" s="416" t="b">
        <f>Wh_hp&gt;='2019'!Maxi_hp</f>
        <v>1</v>
      </c>
      <c r="I48" s="382">
        <f>IF(H48,Wh_hp,'2019'!Maxi_hp)</f>
        <v>22.364236578915285</v>
      </c>
      <c r="J48" s="85">
        <f>IF(H48,An,'2019'!An_max)</f>
        <v>2020</v>
      </c>
      <c r="K48" s="199">
        <f t="shared" si="19"/>
        <v>43864</v>
      </c>
      <c r="L48" s="147">
        <f>IF(t&lt;Tvie,1-EXP((T0-t)*PertePVj)+'2019'!Pspv,1-EXP((T0-t)*PertePVj)+Pspv)</f>
        <v>1.2740863300713001E-2</v>
      </c>
      <c r="M48" s="872"/>
      <c r="N48" s="872"/>
      <c r="O48" s="48">
        <f>IF(t&lt;Tnet,'2019'!Resal+('2019'!Salim-'2019'!Resal)*(1-EXP(('2019'!Tnet-t)/('2019'!Tau_j))),Resal+(Salim-Resal)*(1-EXP((Tnet-t)/(Tau_j))))*Salcycl</f>
        <v>9.5203841269847975E-2</v>
      </c>
      <c r="P48" s="171">
        <f>(INDEX(Models!$BJ48:$BT48,,T48)*(1-R48)+INDEX(Models!$BJ48:$BT48,,T48+1)*R48-ERP_i)*Q48*Ramure*Pc/MaxiM</f>
        <v>1.4946824930460581E-2</v>
      </c>
      <c r="Q48" s="307">
        <f t="shared" si="2"/>
        <v>0.9</v>
      </c>
      <c r="R48" s="179">
        <f t="shared" si="3"/>
        <v>0.60257544007008845</v>
      </c>
      <c r="S48" s="839">
        <f t="shared" si="4"/>
        <v>-2</v>
      </c>
      <c r="T48" s="178">
        <f t="shared" si="5"/>
        <v>4</v>
      </c>
      <c r="U48" s="253">
        <f t="shared" si="20"/>
        <v>-1.3974245599299115</v>
      </c>
      <c r="V48" s="385">
        <f t="shared" si="6"/>
        <v>23.990904022649129</v>
      </c>
      <c r="W48" s="404"/>
      <c r="X48" s="157">
        <f t="shared" si="7"/>
        <v>43864</v>
      </c>
      <c r="Y48" s="387">
        <f t="shared" si="8"/>
        <v>19.754000000000001</v>
      </c>
      <c r="Z48" s="387">
        <f t="shared" si="9"/>
        <v>20.00893105536986</v>
      </c>
      <c r="AA48" s="388">
        <f t="shared" si="10"/>
        <v>22.114297084828095</v>
      </c>
      <c r="AB48" s="199">
        <f t="shared" si="11"/>
        <v>43864</v>
      </c>
      <c r="AC48" s="119">
        <f>IF(OR(t&lt;Tnet,NoTnet),'2019'!Resal_s+('2019'!Salim-'2019'!Resal_s)*(1-EXP(('2019'!Tnet_s-t)/'2019'!Tau_j)),Resal_s+(Salim-Resal_s)*(1-EXP((Tnet_s-t)/Tau_j)))*Salcycl</f>
        <v>9.5203841269847975E-2</v>
      </c>
      <c r="AD48" s="233">
        <f>(INDEX(Models!$BJ48:$BT48,,AH48)*(1-AF48)+INDEX(Models!$BJ48:$BT48,,AH48+1)*AF48-ERP_i)*AE48*Ramure*Pc/MaxiM</f>
        <v>1.4946824930460581E-2</v>
      </c>
      <c r="AE48" s="307">
        <f t="shared" si="12"/>
        <v>0.9</v>
      </c>
      <c r="AF48" s="179">
        <f t="shared" si="21"/>
        <v>0.60257544007008845</v>
      </c>
      <c r="AG48" s="839">
        <f t="shared" si="22"/>
        <v>-2</v>
      </c>
      <c r="AH48" s="178">
        <f t="shared" si="13"/>
        <v>4</v>
      </c>
      <c r="AI48" s="227">
        <f t="shared" si="23"/>
        <v>-1.3974245599299115</v>
      </c>
      <c r="AJ48" s="267" t="b">
        <f t="shared" si="14"/>
        <v>0</v>
      </c>
      <c r="AK48" s="267" t="b">
        <f t="shared" si="15"/>
        <v>0</v>
      </c>
      <c r="AL48" s="267"/>
      <c r="AM48" s="267"/>
      <c r="AN48" s="75"/>
    </row>
    <row r="49" spans="1:40" s="6" customFormat="1" ht="11.25" x14ac:dyDescent="0.2">
      <c r="A49" s="56">
        <f t="shared" si="16"/>
        <v>43865</v>
      </c>
      <c r="B49" s="620">
        <v>14.896000000000001</v>
      </c>
      <c r="C49" s="392"/>
      <c r="D49" s="395">
        <f t="shared" si="0"/>
        <v>15.088588300688748</v>
      </c>
      <c r="E49" s="387">
        <f t="shared" si="17"/>
        <v>16.678506552783265</v>
      </c>
      <c r="F49" s="387">
        <f t="shared" si="1"/>
        <v>16.785686630703751</v>
      </c>
      <c r="G49" s="110">
        <f t="shared" si="18"/>
        <v>0.6079816099100126</v>
      </c>
      <c r="H49" s="416" t="b">
        <f>Wh_hp&gt;='2019'!Maxi_hp</f>
        <v>0</v>
      </c>
      <c r="I49" s="382">
        <f>IF(H49,Wh_hp,'2019'!Maxi_hp)</f>
        <v>23.372565339149336</v>
      </c>
      <c r="J49" s="85">
        <f>IF(H49,An,'2019'!An_max)</f>
        <v>2019</v>
      </c>
      <c r="K49" s="199">
        <f t="shared" si="19"/>
        <v>43865</v>
      </c>
      <c r="L49" s="147">
        <f>IF(t&lt;Tvie,1-EXP((T0-t)*PertePVj)+'2019'!Pspv,1-EXP((T0-t)*PertePVj)+Pspv)</f>
        <v>1.2763838263116778E-2</v>
      </c>
      <c r="M49" s="872"/>
      <c r="N49" s="872"/>
      <c r="O49" s="48">
        <f>IF(t&lt;Tnet,'2019'!Resal+('2019'!Salim-'2019'!Resal)*(1-EXP(('2019'!Tnet-t)/('2019'!Tau_j))),Resal+(Salim-Resal)*(1-EXP((Tnet-t)/(Tau_j))))*Salcycl</f>
        <v>9.5327375209694518E-2</v>
      </c>
      <c r="P49" s="171">
        <f>(INDEX(Models!$BJ49:$BT49,,T49)*(1-R49)+INDEX(Models!$BJ49:$BT49,,T49+1)*R49-ERP_i)*Q49*Ramure*Pc/MaxiM</f>
        <v>1.4286626240982767E-2</v>
      </c>
      <c r="Q49" s="307">
        <f t="shared" si="2"/>
        <v>0.9</v>
      </c>
      <c r="R49" s="179">
        <f t="shared" si="3"/>
        <v>0.60273289364520077</v>
      </c>
      <c r="S49" s="839">
        <f t="shared" si="4"/>
        <v>-2</v>
      </c>
      <c r="T49" s="178">
        <f t="shared" si="5"/>
        <v>4</v>
      </c>
      <c r="U49" s="253">
        <f t="shared" si="20"/>
        <v>-1.3972671063547992</v>
      </c>
      <c r="V49" s="385">
        <f t="shared" si="6"/>
        <v>24.305906375200532</v>
      </c>
      <c r="W49" s="404"/>
      <c r="X49" s="157">
        <f t="shared" si="7"/>
        <v>43865</v>
      </c>
      <c r="Y49" s="387">
        <f t="shared" si="8"/>
        <v>14.895999999999999</v>
      </c>
      <c r="Z49" s="387">
        <f t="shared" si="9"/>
        <v>15.088588300688746</v>
      </c>
      <c r="AA49" s="388">
        <f t="shared" si="10"/>
        <v>16.678506552783265</v>
      </c>
      <c r="AB49" s="199">
        <f t="shared" si="11"/>
        <v>43865</v>
      </c>
      <c r="AC49" s="119">
        <f>IF(OR(t&lt;Tnet,NoTnet),'2019'!Resal_s+('2019'!Salim-'2019'!Resal_s)*(1-EXP(('2019'!Tnet_s-t)/'2019'!Tau_j)),Resal_s+(Salim-Resal_s)*(1-EXP((Tnet_s-t)/Tau_j)))*Salcycl</f>
        <v>9.5327375209694518E-2</v>
      </c>
      <c r="AD49" s="233">
        <f>(INDEX(Models!$BJ49:$BT49,,AH49)*(1-AF49)+INDEX(Models!$BJ49:$BT49,,AH49+1)*AF49-ERP_i)*AE49*Ramure*Pc/MaxiM</f>
        <v>1.4286626240982767E-2</v>
      </c>
      <c r="AE49" s="307">
        <f t="shared" si="12"/>
        <v>0.9</v>
      </c>
      <c r="AF49" s="179">
        <f t="shared" si="21"/>
        <v>0.60273289364520077</v>
      </c>
      <c r="AG49" s="839">
        <f t="shared" si="22"/>
        <v>-2</v>
      </c>
      <c r="AH49" s="178">
        <f t="shared" si="13"/>
        <v>4</v>
      </c>
      <c r="AI49" s="227">
        <f t="shared" si="23"/>
        <v>-1.3972671063547992</v>
      </c>
      <c r="AJ49" s="267" t="b">
        <f t="shared" si="14"/>
        <v>0</v>
      </c>
      <c r="AK49" s="267" t="b">
        <f t="shared" si="15"/>
        <v>0</v>
      </c>
      <c r="AL49" s="267"/>
      <c r="AM49" s="267"/>
      <c r="AN49" s="75"/>
    </row>
    <row r="50" spans="1:40" s="6" customFormat="1" ht="11.25" x14ac:dyDescent="0.2">
      <c r="A50" s="56">
        <f t="shared" si="16"/>
        <v>43866</v>
      </c>
      <c r="B50" s="620">
        <v>24.451000000000001</v>
      </c>
      <c r="C50" s="392"/>
      <c r="D50" s="395">
        <f t="shared" si="0"/>
        <v>24.767699939915111</v>
      </c>
      <c r="E50" s="387">
        <f t="shared" si="17"/>
        <v>27.381261791803105</v>
      </c>
      <c r="F50" s="387">
        <f t="shared" si="1"/>
        <v>27.755080564710749</v>
      </c>
      <c r="G50" s="110">
        <f t="shared" si="18"/>
        <v>0.99284142361149108</v>
      </c>
      <c r="H50" s="416" t="b">
        <f>Wh_hp&gt;='2019'!Maxi_hp</f>
        <v>1</v>
      </c>
      <c r="I50" s="382">
        <f>IF(H50,Wh_hp,'2019'!Maxi_hp)</f>
        <v>27.755080564710749</v>
      </c>
      <c r="J50" s="85">
        <f>IF(H50,An,'2019'!An_max)</f>
        <v>2020</v>
      </c>
      <c r="K50" s="199">
        <f t="shared" si="19"/>
        <v>43866</v>
      </c>
      <c r="L50" s="147">
        <f>IF(t&lt;Tvie,1-EXP((T0-t)*PertePVj)+'2019'!Pspv,1-EXP((T0-t)*PertePVj)+Pspv)</f>
        <v>1.2786812690859684E-2</v>
      </c>
      <c r="M50" s="872"/>
      <c r="N50" s="872"/>
      <c r="O50" s="48">
        <f>IF(t&lt;Tnet,'2019'!Resal+('2019'!Salim-'2019'!Resal)*(1-EXP(('2019'!Tnet-t)/('2019'!Tau_j))),Resal+(Salim-Resal)*(1-EXP((Tnet-t)/(Tau_j))))*Salcycl</f>
        <v>9.5450745541258833E-2</v>
      </c>
      <c r="P50" s="171">
        <f>(INDEX(Models!$BJ50:$BT50,,T50)*(1-R50)+INDEX(Models!$BJ50:$BT50,,T50+1)*R50-ERP_i)*Q50*Ramure*Pc/MaxiM</f>
        <v>1.3604942820168124E-2</v>
      </c>
      <c r="Q50" s="307">
        <f t="shared" si="2"/>
        <v>0.9</v>
      </c>
      <c r="R50" s="179">
        <f t="shared" si="3"/>
        <v>0.602896877102294</v>
      </c>
      <c r="S50" s="839">
        <f t="shared" si="4"/>
        <v>-2</v>
      </c>
      <c r="T50" s="178">
        <f t="shared" si="5"/>
        <v>4</v>
      </c>
      <c r="U50" s="253">
        <f t="shared" si="20"/>
        <v>-1.397103122897706</v>
      </c>
      <c r="V50" s="385">
        <f t="shared" si="6"/>
        <v>24.623889813326294</v>
      </c>
      <c r="W50" s="404"/>
      <c r="X50" s="157">
        <f t="shared" si="7"/>
        <v>43866</v>
      </c>
      <c r="Y50" s="387">
        <f t="shared" si="8"/>
        <v>24.451000000000001</v>
      </c>
      <c r="Z50" s="387">
        <f t="shared" si="9"/>
        <v>24.767699939915111</v>
      </c>
      <c r="AA50" s="388">
        <f t="shared" si="10"/>
        <v>27.381261791803105</v>
      </c>
      <c r="AB50" s="199">
        <f t="shared" si="11"/>
        <v>43866</v>
      </c>
      <c r="AC50" s="119">
        <f>IF(OR(t&lt;Tnet,NoTnet),'2019'!Resal_s+('2019'!Salim-'2019'!Resal_s)*(1-EXP(('2019'!Tnet_s-t)/'2019'!Tau_j)),Resal_s+(Salim-Resal_s)*(1-EXP((Tnet_s-t)/Tau_j)))*Salcycl</f>
        <v>9.5450745541258833E-2</v>
      </c>
      <c r="AD50" s="233">
        <f>(INDEX(Models!$BJ50:$BT50,,AH50)*(1-AF50)+INDEX(Models!$BJ50:$BT50,,AH50+1)*AF50-ERP_i)*AE50*Ramure*Pc/MaxiM</f>
        <v>1.3604942820168124E-2</v>
      </c>
      <c r="AE50" s="307">
        <f t="shared" si="12"/>
        <v>0.9</v>
      </c>
      <c r="AF50" s="179">
        <f t="shared" si="21"/>
        <v>0.602896877102294</v>
      </c>
      <c r="AG50" s="839">
        <f t="shared" si="22"/>
        <v>-2</v>
      </c>
      <c r="AH50" s="178">
        <f t="shared" si="13"/>
        <v>4</v>
      </c>
      <c r="AI50" s="227">
        <f t="shared" si="23"/>
        <v>-1.397103122897706</v>
      </c>
      <c r="AJ50" s="267" t="b">
        <f t="shared" si="14"/>
        <v>0</v>
      </c>
      <c r="AK50" s="267" t="b">
        <f t="shared" si="15"/>
        <v>0</v>
      </c>
      <c r="AL50" s="267"/>
      <c r="AM50" s="267"/>
      <c r="AN50" s="75"/>
    </row>
    <row r="51" spans="1:40" s="6" customFormat="1" ht="11.25" x14ac:dyDescent="0.2">
      <c r="A51" s="56">
        <f t="shared" si="16"/>
        <v>43867</v>
      </c>
      <c r="B51" s="620">
        <v>25.385999999999999</v>
      </c>
      <c r="C51" s="392"/>
      <c r="D51" s="395">
        <f t="shared" si="0"/>
        <v>25.715408899927176</v>
      </c>
      <c r="E51" s="387">
        <f t="shared" si="17"/>
        <v>28.432848313309691</v>
      </c>
      <c r="F51" s="387">
        <f t="shared" si="1"/>
        <v>28.804501994668065</v>
      </c>
      <c r="G51" s="110">
        <f t="shared" si="18"/>
        <v>1.0176753683087625</v>
      </c>
      <c r="H51" s="416" t="b">
        <f>Wh_hp&gt;='2019'!Maxi_hp</f>
        <v>1</v>
      </c>
      <c r="I51" s="382">
        <f>IF(H51,Wh_hp,'2019'!Maxi_hp)</f>
        <v>28.804501994668065</v>
      </c>
      <c r="J51" s="85">
        <f>IF(H51,An,'2019'!An_max)</f>
        <v>2020</v>
      </c>
      <c r="K51" s="199">
        <f t="shared" si="19"/>
        <v>43867</v>
      </c>
      <c r="L51" s="147">
        <f>IF(t&lt;Tvie,1-EXP((T0-t)*PertePVj)+'2019'!Pspv,1-EXP((T0-t)*PertePVj)+Pspv)</f>
        <v>1.280978658395393E-2</v>
      </c>
      <c r="M51" s="872"/>
      <c r="N51" s="872"/>
      <c r="O51" s="48">
        <f>IF(t&lt;Tnet,'2019'!Resal+('2019'!Salim-'2019'!Resal)*(1-EXP(('2019'!Tnet-t)/('2019'!Tau_j))),Resal+(Salim-Resal)*(1-EXP((Tnet-t)/(Tau_j))))*Salcycl</f>
        <v>9.5573942625736097E-2</v>
      </c>
      <c r="P51" s="171">
        <f>(INDEX(Models!$BJ51:$BT51,,T51)*(1-R51)+INDEX(Models!$BJ51:$BT51,,T51+1)*R51-ERP_i)*Q51*Ramure*Pc/MaxiM</f>
        <v>1.2902624785082882E-2</v>
      </c>
      <c r="Q51" s="307">
        <f t="shared" si="2"/>
        <v>0.9</v>
      </c>
      <c r="R51" s="179">
        <f t="shared" si="3"/>
        <v>0.60306765796372575</v>
      </c>
      <c r="S51" s="839">
        <f t="shared" si="4"/>
        <v>-2</v>
      </c>
      <c r="T51" s="178">
        <f t="shared" si="5"/>
        <v>4</v>
      </c>
      <c r="U51" s="253">
        <f t="shared" si="20"/>
        <v>-1.3969323420362743</v>
      </c>
      <c r="V51" s="385">
        <f t="shared" si="6"/>
        <v>24.945086410205711</v>
      </c>
      <c r="W51" s="404"/>
      <c r="X51" s="157">
        <f t="shared" si="7"/>
        <v>43867</v>
      </c>
      <c r="Y51" s="387">
        <f t="shared" si="8"/>
        <v>25.385999999999999</v>
      </c>
      <c r="Z51" s="387">
        <f t="shared" si="9"/>
        <v>25.715408899927176</v>
      </c>
      <c r="AA51" s="388">
        <f t="shared" si="10"/>
        <v>28.432848313309691</v>
      </c>
      <c r="AB51" s="199">
        <f t="shared" si="11"/>
        <v>43867</v>
      </c>
      <c r="AC51" s="119">
        <f>IF(OR(t&lt;Tnet,NoTnet),'2019'!Resal_s+('2019'!Salim-'2019'!Resal_s)*(1-EXP(('2019'!Tnet_s-t)/'2019'!Tau_j)),Resal_s+(Salim-Resal_s)*(1-EXP((Tnet_s-t)/Tau_j)))*Salcycl</f>
        <v>9.5573942625736097E-2</v>
      </c>
      <c r="AD51" s="233">
        <f>(INDEX(Models!$BJ51:$BT51,,AH51)*(1-AF51)+INDEX(Models!$BJ51:$BT51,,AH51+1)*AF51-ERP_i)*AE51*Ramure*Pc/MaxiM</f>
        <v>1.2902624785082882E-2</v>
      </c>
      <c r="AE51" s="307">
        <f t="shared" si="12"/>
        <v>0.9</v>
      </c>
      <c r="AF51" s="179">
        <f t="shared" si="21"/>
        <v>0.60306765796372575</v>
      </c>
      <c r="AG51" s="839">
        <f t="shared" si="22"/>
        <v>-2</v>
      </c>
      <c r="AH51" s="178">
        <f t="shared" si="13"/>
        <v>4</v>
      </c>
      <c r="AI51" s="227">
        <f t="shared" si="23"/>
        <v>-1.3969323420362743</v>
      </c>
      <c r="AJ51" s="267" t="b">
        <f t="shared" si="14"/>
        <v>0</v>
      </c>
      <c r="AK51" s="267" t="b">
        <f t="shared" si="15"/>
        <v>0</v>
      </c>
      <c r="AL51" s="267"/>
      <c r="AM51" s="267"/>
      <c r="AN51" s="75"/>
    </row>
    <row r="52" spans="1:40" s="6" customFormat="1" ht="11.25" x14ac:dyDescent="0.2">
      <c r="A52" s="56">
        <f t="shared" si="16"/>
        <v>43868</v>
      </c>
      <c r="B52" s="620">
        <v>17.393000000000001</v>
      </c>
      <c r="C52" s="392"/>
      <c r="D52" s="395">
        <f t="shared" si="0"/>
        <v>17.619101702549766</v>
      </c>
      <c r="E52" s="387">
        <f t="shared" si="17"/>
        <v>19.483625333338754</v>
      </c>
      <c r="F52" s="387">
        <f t="shared" si="1"/>
        <v>19.616256942729038</v>
      </c>
      <c r="G52" s="110">
        <f t="shared" si="18"/>
        <v>0.68453138056819507</v>
      </c>
      <c r="H52" s="416" t="b">
        <f>Wh_hp&gt;='2019'!Maxi_hp</f>
        <v>1</v>
      </c>
      <c r="I52" s="382">
        <f>IF(H52,Wh_hp,'2019'!Maxi_hp)</f>
        <v>19.616256942729038</v>
      </c>
      <c r="J52" s="85">
        <f>IF(H52,An,'2019'!An_max)</f>
        <v>2020</v>
      </c>
      <c r="K52" s="199">
        <f t="shared" si="19"/>
        <v>43868</v>
      </c>
      <c r="L52" s="147">
        <f>IF(t&lt;Tvie,1-EXP((T0-t)*PertePVj)+'2019'!Pspv,1-EXP((T0-t)*PertePVj)+Pspv)</f>
        <v>1.2832759942412175E-2</v>
      </c>
      <c r="M52" s="872"/>
      <c r="N52" s="872"/>
      <c r="O52" s="48">
        <f>IF(t&lt;Tnet,'2019'!Resal+('2019'!Salim-'2019'!Resal)*(1-EXP(('2019'!Tnet-t)/('2019'!Tau_j))),Resal+(Salim-Resal)*(1-EXP((Tnet-t)/(Tau_j))))*Salcycl</f>
        <v>9.5696955719969057E-2</v>
      </c>
      <c r="P52" s="171">
        <f>(INDEX(Models!$BJ52:$BT52,,T52)*(1-R52)+INDEX(Models!$BJ52:$BT52,,T52+1)*R52-ERP_i)*Q52*Ramure*Pc/MaxiM</f>
        <v>1.218904643989099E-2</v>
      </c>
      <c r="Q52" s="307">
        <f t="shared" si="2"/>
        <v>0.9</v>
      </c>
      <c r="R52" s="179">
        <f t="shared" si="3"/>
        <v>0.60324551443258789</v>
      </c>
      <c r="S52" s="839">
        <f t="shared" si="4"/>
        <v>-2</v>
      </c>
      <c r="T52" s="178">
        <f t="shared" si="5"/>
        <v>4</v>
      </c>
      <c r="U52" s="253">
        <f t="shared" si="20"/>
        <v>-1.3967544855674121</v>
      </c>
      <c r="V52" s="385">
        <f t="shared" si="6"/>
        <v>25.269773220895928</v>
      </c>
      <c r="W52" s="404"/>
      <c r="X52" s="157">
        <f t="shared" si="7"/>
        <v>43868</v>
      </c>
      <c r="Y52" s="387">
        <f t="shared" si="8"/>
        <v>17.393000000000001</v>
      </c>
      <c r="Z52" s="387">
        <f t="shared" si="9"/>
        <v>17.619101702549766</v>
      </c>
      <c r="AA52" s="388">
        <f t="shared" si="10"/>
        <v>19.483625333338754</v>
      </c>
      <c r="AB52" s="199">
        <f t="shared" si="11"/>
        <v>43868</v>
      </c>
      <c r="AC52" s="119">
        <f>IF(OR(t&lt;Tnet,NoTnet),'2019'!Resal_s+('2019'!Salim-'2019'!Resal_s)*(1-EXP(('2019'!Tnet_s-t)/'2019'!Tau_j)),Resal_s+(Salim-Resal_s)*(1-EXP((Tnet_s-t)/Tau_j)))*Salcycl</f>
        <v>9.5696955719969057E-2</v>
      </c>
      <c r="AD52" s="233">
        <f>(INDEX(Models!$BJ52:$BT52,,AH52)*(1-AF52)+INDEX(Models!$BJ52:$BT52,,AH52+1)*AF52-ERP_i)*AE52*Ramure*Pc/MaxiM</f>
        <v>1.218904643989099E-2</v>
      </c>
      <c r="AE52" s="307">
        <f t="shared" si="12"/>
        <v>0.9</v>
      </c>
      <c r="AF52" s="179">
        <f t="shared" si="21"/>
        <v>0.60324551443258789</v>
      </c>
      <c r="AG52" s="839">
        <f t="shared" si="22"/>
        <v>-2</v>
      </c>
      <c r="AH52" s="178">
        <f t="shared" si="13"/>
        <v>4</v>
      </c>
      <c r="AI52" s="227">
        <f t="shared" si="23"/>
        <v>-1.3967544855674121</v>
      </c>
      <c r="AJ52" s="267" t="b">
        <f t="shared" si="14"/>
        <v>0</v>
      </c>
      <c r="AK52" s="267" t="b">
        <f t="shared" si="15"/>
        <v>0</v>
      </c>
      <c r="AL52" s="267"/>
      <c r="AM52" s="267"/>
      <c r="AN52" s="75"/>
    </row>
    <row r="53" spans="1:40" s="6" customFormat="1" ht="11.25" x14ac:dyDescent="0.2">
      <c r="A53" s="56">
        <f t="shared" si="16"/>
        <v>43869</v>
      </c>
      <c r="B53" s="620">
        <v>22.145</v>
      </c>
      <c r="C53" s="392"/>
      <c r="D53" s="395">
        <f t="shared" si="0"/>
        <v>22.433397766727975</v>
      </c>
      <c r="E53" s="387">
        <f t="shared" si="17"/>
        <v>24.810759071690658</v>
      </c>
      <c r="F53" s="387">
        <f t="shared" si="1"/>
        <v>25.0429236886139</v>
      </c>
      <c r="G53" s="110">
        <f t="shared" si="18"/>
        <v>0.86318906470230106</v>
      </c>
      <c r="H53" s="416" t="b">
        <f>Wh_hp&gt;='2019'!Maxi_hp</f>
        <v>1</v>
      </c>
      <c r="I53" s="382">
        <f>IF(H53,Wh_hp,'2019'!Maxi_hp)</f>
        <v>25.0429236886139</v>
      </c>
      <c r="J53" s="85">
        <f>IF(H53,An,'2019'!An_max)</f>
        <v>2020</v>
      </c>
      <c r="K53" s="199">
        <f t="shared" si="19"/>
        <v>43869</v>
      </c>
      <c r="L53" s="147">
        <f>IF(t&lt;Tvie,1-EXP((T0-t)*PertePVj)+'2019'!Pspv,1-EXP((T0-t)*PertePVj)+Pspv)</f>
        <v>1.2855732766246852E-2</v>
      </c>
      <c r="M53" s="872"/>
      <c r="N53" s="872"/>
      <c r="O53" s="48">
        <f>IF(t&lt;Tnet,'2019'!Resal+('2019'!Salim-'2019'!Resal)*(1-EXP(('2019'!Tnet-t)/('2019'!Tau_j))),Resal+(Salim-Resal)*(1-EXP((Tnet-t)/(Tau_j))))*Salcycl</f>
        <v>9.5819773111064516E-2</v>
      </c>
      <c r="P53" s="171">
        <f>(INDEX(Models!$BJ53:$BT53,,T53)*(1-R53)+INDEX(Models!$BJ53:$BT53,,T53+1)*R53-ERP_i)*Q53*Ramure*Pc/MaxiM</f>
        <v>1.1483319551894982E-2</v>
      </c>
      <c r="Q53" s="307">
        <f t="shared" si="2"/>
        <v>0.9</v>
      </c>
      <c r="R53" s="179">
        <f t="shared" si="3"/>
        <v>0.6034307357953006</v>
      </c>
      <c r="S53" s="839">
        <f t="shared" si="4"/>
        <v>-2</v>
      </c>
      <c r="T53" s="178">
        <f t="shared" si="5"/>
        <v>4</v>
      </c>
      <c r="U53" s="253">
        <f t="shared" si="20"/>
        <v>-1.3965692642046994</v>
      </c>
      <c r="V53" s="385">
        <f t="shared" si="6"/>
        <v>25.597569775228401</v>
      </c>
      <c r="W53" s="404"/>
      <c r="X53" s="157">
        <f t="shared" si="7"/>
        <v>43869</v>
      </c>
      <c r="Y53" s="387">
        <f t="shared" si="8"/>
        <v>22.145</v>
      </c>
      <c r="Z53" s="387">
        <f t="shared" si="9"/>
        <v>22.433397766727975</v>
      </c>
      <c r="AA53" s="388">
        <f t="shared" si="10"/>
        <v>24.810759071690658</v>
      </c>
      <c r="AB53" s="199">
        <f t="shared" si="11"/>
        <v>43869</v>
      </c>
      <c r="AC53" s="119">
        <f>IF(OR(t&lt;Tnet,NoTnet),'2019'!Resal_s+('2019'!Salim-'2019'!Resal_s)*(1-EXP(('2019'!Tnet_s-t)/'2019'!Tau_j)),Resal_s+(Salim-Resal_s)*(1-EXP((Tnet_s-t)/Tau_j)))*Salcycl</f>
        <v>9.5819773111064516E-2</v>
      </c>
      <c r="AD53" s="233">
        <f>(INDEX(Models!$BJ53:$BT53,,AH53)*(1-AF53)+INDEX(Models!$BJ53:$BT53,,AH53+1)*AF53-ERP_i)*AE53*Ramure*Pc/MaxiM</f>
        <v>1.1483319551894982E-2</v>
      </c>
      <c r="AE53" s="307">
        <f t="shared" si="12"/>
        <v>0.9</v>
      </c>
      <c r="AF53" s="179">
        <f t="shared" si="21"/>
        <v>0.6034307357953006</v>
      </c>
      <c r="AG53" s="839">
        <f t="shared" si="22"/>
        <v>-2</v>
      </c>
      <c r="AH53" s="178">
        <f t="shared" si="13"/>
        <v>4</v>
      </c>
      <c r="AI53" s="227">
        <f t="shared" si="23"/>
        <v>-1.3965692642046994</v>
      </c>
      <c r="AJ53" s="267" t="b">
        <f t="shared" si="14"/>
        <v>0</v>
      </c>
      <c r="AK53" s="267" t="b">
        <f t="shared" si="15"/>
        <v>0</v>
      </c>
      <c r="AL53" s="267"/>
      <c r="AM53" s="267"/>
      <c r="AN53" s="75"/>
    </row>
    <row r="54" spans="1:40" s="6" customFormat="1" ht="11.25" x14ac:dyDescent="0.2">
      <c r="A54" s="56">
        <f t="shared" si="16"/>
        <v>43870</v>
      </c>
      <c r="B54" s="620">
        <v>22.788</v>
      </c>
      <c r="C54" s="392"/>
      <c r="D54" s="395">
        <f t="shared" si="0"/>
        <v>23.085308884234486</v>
      </c>
      <c r="E54" s="387">
        <f t="shared" si="17"/>
        <v>25.535218587237402</v>
      </c>
      <c r="F54" s="387">
        <f t="shared" si="1"/>
        <v>25.76501960943742</v>
      </c>
      <c r="G54" s="110">
        <f t="shared" si="18"/>
        <v>0.87722094724651611</v>
      </c>
      <c r="H54" s="416" t="b">
        <f>Wh_hp&gt;='2019'!Maxi_hp</f>
        <v>0</v>
      </c>
      <c r="I54" s="382">
        <f>IF(H54,Wh_hp,'2019'!Maxi_hp)</f>
        <v>25.896841805449608</v>
      </c>
      <c r="J54" s="85">
        <f>IF(H54,An,'2019'!An_max)</f>
        <v>2019</v>
      </c>
      <c r="K54" s="199">
        <f t="shared" si="19"/>
        <v>43870</v>
      </c>
      <c r="L54" s="147">
        <f>IF(t&lt;Tvie,1-EXP((T0-t)*PertePVj)+'2019'!Pspv,1-EXP((T0-t)*PertePVj)+Pspv)</f>
        <v>1.2878705055470396E-2</v>
      </c>
      <c r="M54" s="872"/>
      <c r="N54" s="872"/>
      <c r="O54" s="48">
        <f>IF(t&lt;Tnet,'2019'!Resal+('2019'!Salim-'2019'!Resal)*(1-EXP(('2019'!Tnet-t)/('2019'!Tau_j))),Resal+(Salim-Resal)*(1-EXP((Tnet-t)/(Tau_j))))*Salcycl</f>
        <v>9.5942382268362061E-2</v>
      </c>
      <c r="P54" s="171">
        <f>(INDEX(Models!$BJ54:$BT54,,T54)*(1-R54)+INDEX(Models!$BJ54:$BT54,,T54+1)*R54-ERP_i)*Q54*Ramure*Pc/MaxiM</f>
        <v>1.0785345234874788E-2</v>
      </c>
      <c r="Q54" s="307">
        <f t="shared" si="2"/>
        <v>0.9</v>
      </c>
      <c r="R54" s="179">
        <f t="shared" si="3"/>
        <v>0.60362362283732818</v>
      </c>
      <c r="S54" s="839">
        <f t="shared" si="4"/>
        <v>-2</v>
      </c>
      <c r="T54" s="178">
        <f t="shared" si="5"/>
        <v>4</v>
      </c>
      <c r="U54" s="253">
        <f t="shared" si="20"/>
        <v>-1.3963763771626718</v>
      </c>
      <c r="V54" s="385">
        <f t="shared" si="6"/>
        <v>25.928575417632832</v>
      </c>
      <c r="W54" s="404"/>
      <c r="X54" s="157">
        <f t="shared" si="7"/>
        <v>43870</v>
      </c>
      <c r="Y54" s="387">
        <f t="shared" si="8"/>
        <v>22.788</v>
      </c>
      <c r="Z54" s="387">
        <f t="shared" si="9"/>
        <v>23.085308884234486</v>
      </c>
      <c r="AA54" s="388">
        <f t="shared" si="10"/>
        <v>25.535218587237402</v>
      </c>
      <c r="AB54" s="199">
        <f t="shared" si="11"/>
        <v>43870</v>
      </c>
      <c r="AC54" s="119">
        <f>IF(OR(t&lt;Tnet,NoTnet),'2019'!Resal_s+('2019'!Salim-'2019'!Resal_s)*(1-EXP(('2019'!Tnet_s-t)/'2019'!Tau_j)),Resal_s+(Salim-Resal_s)*(1-EXP((Tnet_s-t)/Tau_j)))*Salcycl</f>
        <v>9.5942382268362061E-2</v>
      </c>
      <c r="AD54" s="233">
        <f>(INDEX(Models!$BJ54:$BT54,,AH54)*(1-AF54)+INDEX(Models!$BJ54:$BT54,,AH54+1)*AF54-ERP_i)*AE54*Ramure*Pc/MaxiM</f>
        <v>1.0785345234874788E-2</v>
      </c>
      <c r="AE54" s="307">
        <f t="shared" si="12"/>
        <v>0.9</v>
      </c>
      <c r="AF54" s="179">
        <f t="shared" si="21"/>
        <v>0.60362362283732818</v>
      </c>
      <c r="AG54" s="839">
        <f t="shared" si="22"/>
        <v>-2</v>
      </c>
      <c r="AH54" s="178">
        <f t="shared" si="13"/>
        <v>4</v>
      </c>
      <c r="AI54" s="227">
        <f t="shared" si="23"/>
        <v>-1.3963763771626718</v>
      </c>
      <c r="AJ54" s="267" t="b">
        <f t="shared" si="14"/>
        <v>0</v>
      </c>
      <c r="AK54" s="267" t="b">
        <f t="shared" si="15"/>
        <v>0</v>
      </c>
      <c r="AL54" s="267"/>
      <c r="AM54" s="267"/>
      <c r="AN54" s="75"/>
    </row>
    <row r="55" spans="1:40" s="6" customFormat="1" ht="11.25" customHeight="1" x14ac:dyDescent="0.2">
      <c r="A55" s="56">
        <f t="shared" si="16"/>
        <v>43871</v>
      </c>
      <c r="B55" s="620">
        <v>12.839</v>
      </c>
      <c r="C55" s="392"/>
      <c r="D55" s="395">
        <f t="shared" si="0"/>
        <v>13.00680965449269</v>
      </c>
      <c r="E55" s="387">
        <f t="shared" si="17"/>
        <v>14.389094730437101</v>
      </c>
      <c r="F55" s="387">
        <f t="shared" si="1"/>
        <v>14.428393443814791</v>
      </c>
      <c r="G55" s="110">
        <f t="shared" si="18"/>
        <v>0.48525129203177464</v>
      </c>
      <c r="H55" s="416" t="b">
        <f>Wh_hp&gt;='2019'!Maxi_hp</f>
        <v>1</v>
      </c>
      <c r="I55" s="382">
        <f>IF(H55,Wh_hp,'2019'!Maxi_hp)</f>
        <v>14.428393443814791</v>
      </c>
      <c r="J55" s="85">
        <f>IF(H55,An,'2019'!An_max)</f>
        <v>2020</v>
      </c>
      <c r="K55" s="199">
        <f t="shared" si="19"/>
        <v>43871</v>
      </c>
      <c r="L55" s="147">
        <f>IF(t&lt;Tvie,1-EXP((T0-t)*PertePVj)+'2019'!Pspv,1-EXP((T0-t)*PertePVj)+Pspv)</f>
        <v>1.2901676810095131E-2</v>
      </c>
      <c r="M55" s="872"/>
      <c r="N55" s="872"/>
      <c r="O55" s="48">
        <f>IF(t&lt;Tnet,'2019'!Resal+('2019'!Salim-'2019'!Resal)*(1-EXP(('2019'!Tnet-t)/('2019'!Tau_j))),Resal+(Salim-Resal)*(1-EXP((Tnet-t)/(Tau_j))))*Salcycl</f>
        <v>9.6064770010894335E-2</v>
      </c>
      <c r="P55" s="171">
        <f>(INDEX(Models!$BJ55:$BT55,,T55)*(1-R55)+INDEX(Models!$BJ55:$BT55,,T55+1)*R55-ERP_i)*Q55*Ramure*Pc/MaxiM</f>
        <v>1.009502902450236E-2</v>
      </c>
      <c r="Q55" s="307">
        <f t="shared" si="2"/>
        <v>0.9</v>
      </c>
      <c r="R55" s="179">
        <f t="shared" si="3"/>
        <v>0.60382448827225566</v>
      </c>
      <c r="S55" s="839">
        <f t="shared" si="4"/>
        <v>-2</v>
      </c>
      <c r="T55" s="178">
        <f t="shared" si="5"/>
        <v>4</v>
      </c>
      <c r="U55" s="253">
        <f t="shared" si="20"/>
        <v>-1.3961755117277443</v>
      </c>
      <c r="V55" s="385">
        <f t="shared" si="6"/>
        <v>26.262889613140342</v>
      </c>
      <c r="W55" s="404"/>
      <c r="X55" s="157">
        <f t="shared" si="7"/>
        <v>43871</v>
      </c>
      <c r="Y55" s="387">
        <f t="shared" si="8"/>
        <v>12.839</v>
      </c>
      <c r="Z55" s="387">
        <f t="shared" si="9"/>
        <v>13.00680965449269</v>
      </c>
      <c r="AA55" s="388">
        <f t="shared" si="10"/>
        <v>14.389094730437101</v>
      </c>
      <c r="AB55" s="199">
        <f t="shared" si="11"/>
        <v>43871</v>
      </c>
      <c r="AC55" s="119">
        <f>IF(OR(t&lt;Tnet,NoTnet),'2019'!Resal_s+('2019'!Salim-'2019'!Resal_s)*(1-EXP(('2019'!Tnet_s-t)/'2019'!Tau_j)),Resal_s+(Salim-Resal_s)*(1-EXP((Tnet_s-t)/Tau_j)))*Salcycl</f>
        <v>9.6064770010894335E-2</v>
      </c>
      <c r="AD55" s="233">
        <f>(INDEX(Models!$BJ55:$BT55,,AH55)*(1-AF55)+INDEX(Models!$BJ55:$BT55,,AH55+1)*AF55-ERP_i)*AE55*Ramure*Pc/MaxiM</f>
        <v>1.009502902450236E-2</v>
      </c>
      <c r="AE55" s="307">
        <f t="shared" si="12"/>
        <v>0.9</v>
      </c>
      <c r="AF55" s="179">
        <f t="shared" si="21"/>
        <v>0.60382448827225566</v>
      </c>
      <c r="AG55" s="839">
        <f t="shared" si="22"/>
        <v>-2</v>
      </c>
      <c r="AH55" s="178">
        <f t="shared" si="13"/>
        <v>4</v>
      </c>
      <c r="AI55" s="227">
        <f t="shared" si="23"/>
        <v>-1.3961755117277443</v>
      </c>
      <c r="AJ55" s="267" t="b">
        <f t="shared" si="14"/>
        <v>0</v>
      </c>
      <c r="AK55" s="267" t="b">
        <f t="shared" si="15"/>
        <v>0</v>
      </c>
      <c r="AL55" s="267"/>
      <c r="AM55" s="267"/>
      <c r="AN55" s="75"/>
    </row>
    <row r="56" spans="1:40" s="6" customFormat="1" ht="11.25" customHeight="1" x14ac:dyDescent="0.2">
      <c r="A56" s="56">
        <f t="shared" si="16"/>
        <v>43872</v>
      </c>
      <c r="B56" s="620">
        <v>8.6460000000000008</v>
      </c>
      <c r="C56" s="392"/>
      <c r="D56" s="395">
        <f t="shared" si="0"/>
        <v>8.7592097024259878</v>
      </c>
      <c r="E56" s="387">
        <f t="shared" si="17"/>
        <v>9.6913951814902486</v>
      </c>
      <c r="F56" s="387">
        <f t="shared" si="1"/>
        <v>9.6946579943573283</v>
      </c>
      <c r="G56" s="110">
        <f t="shared" si="18"/>
        <v>0.32207924012209471</v>
      </c>
      <c r="H56" s="416" t="b">
        <f>Wh_hp&gt;='2019'!Maxi_hp</f>
        <v>0</v>
      </c>
      <c r="I56" s="382">
        <f>IF(H56,Wh_hp,'2019'!Maxi_hp)</f>
        <v>20.759010198902395</v>
      </c>
      <c r="J56" s="85">
        <f>IF(H56,An,'2019'!An_max)</f>
        <v>2019</v>
      </c>
      <c r="K56" s="199">
        <f t="shared" si="19"/>
        <v>43872</v>
      </c>
      <c r="L56" s="147">
        <f>IF(t&lt;Tvie,1-EXP((T0-t)*PertePVj)+'2019'!Pspv,1-EXP((T0-t)*PertePVj)+Pspv)</f>
        <v>1.2924648030133601E-2</v>
      </c>
      <c r="M56" s="872"/>
      <c r="N56" s="872"/>
      <c r="O56" s="48">
        <f>IF(t&lt;Tnet,'2019'!Resal+('2019'!Salim-'2019'!Resal)*(1-EXP(('2019'!Tnet-t)/('2019'!Tau_j))),Resal+(Salim-Resal)*(1-EXP((Tnet-t)/(Tau_j))))*Salcycl</f>
        <v>9.6186922688351092E-2</v>
      </c>
      <c r="P56" s="171">
        <f>(INDEX(Models!$BJ56:$BT56,,T56)*(1-R56)+INDEX(Models!$BJ56:$BT56,,T56+1)*R56-ERP_i)*Q56*Ramure*Pc/MaxiM</f>
        <v>9.4122801498554079E-3</v>
      </c>
      <c r="Q56" s="307">
        <f t="shared" si="2"/>
        <v>0.9</v>
      </c>
      <c r="R56" s="179">
        <f t="shared" si="3"/>
        <v>0.60403365718446134</v>
      </c>
      <c r="S56" s="839">
        <f t="shared" si="4"/>
        <v>-2</v>
      </c>
      <c r="T56" s="178">
        <f t="shared" si="5"/>
        <v>4</v>
      </c>
      <c r="U56" s="253">
        <f t="shared" si="20"/>
        <v>-1.3959663428155387</v>
      </c>
      <c r="V56" s="385">
        <f t="shared" si="6"/>
        <v>26.600611958913223</v>
      </c>
      <c r="W56" s="404"/>
      <c r="X56" s="157">
        <f t="shared" si="7"/>
        <v>43872</v>
      </c>
      <c r="Y56" s="387">
        <f t="shared" si="8"/>
        <v>8.6460000000000008</v>
      </c>
      <c r="Z56" s="387">
        <f t="shared" si="9"/>
        <v>8.7592097024259878</v>
      </c>
      <c r="AA56" s="388">
        <f t="shared" si="10"/>
        <v>9.6913951814902486</v>
      </c>
      <c r="AB56" s="199">
        <f t="shared" si="11"/>
        <v>43872</v>
      </c>
      <c r="AC56" s="119">
        <f>IF(OR(t&lt;Tnet,NoTnet),'2019'!Resal_s+('2019'!Salim-'2019'!Resal_s)*(1-EXP(('2019'!Tnet_s-t)/'2019'!Tau_j)),Resal_s+(Salim-Resal_s)*(1-EXP((Tnet_s-t)/Tau_j)))*Salcycl</f>
        <v>9.6186922688351092E-2</v>
      </c>
      <c r="AD56" s="233">
        <f>(INDEX(Models!$BJ56:$BT56,,AH56)*(1-AF56)+INDEX(Models!$BJ56:$BT56,,AH56+1)*AF56-ERP_i)*AE56*Ramure*Pc/MaxiM</f>
        <v>9.4122801498554079E-3</v>
      </c>
      <c r="AE56" s="307">
        <f t="shared" si="12"/>
        <v>0.9</v>
      </c>
      <c r="AF56" s="179">
        <f t="shared" si="21"/>
        <v>0.60403365718446134</v>
      </c>
      <c r="AG56" s="839">
        <f t="shared" si="22"/>
        <v>-2</v>
      </c>
      <c r="AH56" s="178">
        <f t="shared" si="13"/>
        <v>4</v>
      </c>
      <c r="AI56" s="227">
        <f t="shared" si="23"/>
        <v>-1.3959663428155387</v>
      </c>
      <c r="AJ56" s="267" t="b">
        <f t="shared" si="14"/>
        <v>0</v>
      </c>
      <c r="AK56" s="267" t="b">
        <f t="shared" si="15"/>
        <v>0</v>
      </c>
      <c r="AL56" s="267"/>
      <c r="AM56" s="267"/>
      <c r="AN56" s="75"/>
    </row>
    <row r="57" spans="1:40" s="6" customFormat="1" ht="11.25" customHeight="1" x14ac:dyDescent="0.2">
      <c r="A57" s="56">
        <f t="shared" si="16"/>
        <v>43873</v>
      </c>
      <c r="B57" s="620">
        <v>17.713000000000001</v>
      </c>
      <c r="C57" s="392"/>
      <c r="D57" s="395">
        <f t="shared" si="0"/>
        <v>17.945349543608781</v>
      </c>
      <c r="E57" s="387">
        <f t="shared" si="17"/>
        <v>19.857834255029235</v>
      </c>
      <c r="F57" s="387">
        <f t="shared" si="1"/>
        <v>19.946827664167628</v>
      </c>
      <c r="G57" s="110">
        <f t="shared" si="18"/>
        <v>0.65462966238254894</v>
      </c>
      <c r="H57" s="416" t="b">
        <f>Wh_hp&gt;='2019'!Maxi_hp</f>
        <v>0</v>
      </c>
      <c r="I57" s="382">
        <f>IF(H57,Wh_hp,'2019'!Maxi_hp)</f>
        <v>30.627768501609644</v>
      </c>
      <c r="J57" s="85">
        <f>IF(H57,An,'2019'!An_max)</f>
        <v>2019</v>
      </c>
      <c r="K57" s="199">
        <f t="shared" si="19"/>
        <v>43873</v>
      </c>
      <c r="L57" s="147">
        <f>IF(t&lt;Tvie,1-EXP((T0-t)*PertePVj)+'2019'!Pspv,1-EXP((T0-t)*PertePVj)+Pspv)</f>
        <v>1.2947618715598241E-2</v>
      </c>
      <c r="M57" s="872"/>
      <c r="N57" s="872"/>
      <c r="O57" s="48">
        <f>IF(t&lt;Tnet,'2019'!Resal+('2019'!Salim-'2019'!Resal)*(1-EXP(('2019'!Tnet-t)/('2019'!Tau_j))),Resal+(Salim-Resal)*(1-EXP((Tnet-t)/(Tau_j))))*Salcycl</f>
        <v>9.6308826373454823E-2</v>
      </c>
      <c r="P57" s="171">
        <f>(INDEX(Models!$BJ57:$BT57,,T57)*(1-R57)+INDEX(Models!$BJ57:$BT57,,T57+1)*R57-ERP_i)*Q57*Ramure*Pc/MaxiM</f>
        <v>8.7370108517462342E-3</v>
      </c>
      <c r="Q57" s="307">
        <f t="shared" si="2"/>
        <v>0.9</v>
      </c>
      <c r="R57" s="179">
        <f t="shared" si="3"/>
        <v>0.60425146748559344</v>
      </c>
      <c r="S57" s="839">
        <f t="shared" si="4"/>
        <v>-2</v>
      </c>
      <c r="T57" s="178">
        <f t="shared" si="5"/>
        <v>4</v>
      </c>
      <c r="U57" s="253">
        <f t="shared" si="20"/>
        <v>-1.3957485325144066</v>
      </c>
      <c r="V57" s="385">
        <f t="shared" si="6"/>
        <v>26.941842178729711</v>
      </c>
      <c r="W57" s="404"/>
      <c r="X57" s="157">
        <f t="shared" si="7"/>
        <v>43873</v>
      </c>
      <c r="Y57" s="387">
        <f t="shared" si="8"/>
        <v>17.713000000000001</v>
      </c>
      <c r="Z57" s="387">
        <f t="shared" si="9"/>
        <v>17.945349543608781</v>
      </c>
      <c r="AA57" s="388">
        <f t="shared" si="10"/>
        <v>19.857834255029235</v>
      </c>
      <c r="AB57" s="199">
        <f t="shared" si="11"/>
        <v>43873</v>
      </c>
      <c r="AC57" s="119">
        <f>IF(OR(t&lt;Tnet,NoTnet),'2019'!Resal_s+('2019'!Salim-'2019'!Resal_s)*(1-EXP(('2019'!Tnet_s-t)/'2019'!Tau_j)),Resal_s+(Salim-Resal_s)*(1-EXP((Tnet_s-t)/Tau_j)))*Salcycl</f>
        <v>9.6308826373454823E-2</v>
      </c>
      <c r="AD57" s="233">
        <f>(INDEX(Models!$BJ57:$BT57,,AH57)*(1-AF57)+INDEX(Models!$BJ57:$BT57,,AH57+1)*AF57-ERP_i)*AE57*Ramure*Pc/MaxiM</f>
        <v>8.7370108517462342E-3</v>
      </c>
      <c r="AE57" s="307">
        <f t="shared" si="12"/>
        <v>0.9</v>
      </c>
      <c r="AF57" s="179">
        <f t="shared" si="21"/>
        <v>0.60425146748559344</v>
      </c>
      <c r="AG57" s="839">
        <f t="shared" si="22"/>
        <v>-2</v>
      </c>
      <c r="AH57" s="178">
        <f t="shared" si="13"/>
        <v>4</v>
      </c>
      <c r="AI57" s="227">
        <f t="shared" si="23"/>
        <v>-1.3957485325144066</v>
      </c>
      <c r="AJ57" s="267" t="b">
        <f t="shared" si="14"/>
        <v>0</v>
      </c>
      <c r="AK57" s="267" t="b">
        <f t="shared" si="15"/>
        <v>0</v>
      </c>
      <c r="AL57" s="267"/>
      <c r="AM57" s="267"/>
      <c r="AN57" s="75"/>
    </row>
    <row r="58" spans="1:40" s="6" customFormat="1" ht="11.25" customHeight="1" x14ac:dyDescent="0.2">
      <c r="A58" s="56">
        <f t="shared" si="16"/>
        <v>43874</v>
      </c>
      <c r="B58" s="620">
        <v>16.271999999999998</v>
      </c>
      <c r="C58" s="392"/>
      <c r="D58" s="395">
        <f t="shared" si="0"/>
        <v>16.485830935182907</v>
      </c>
      <c r="E58" s="387">
        <f t="shared" si="17"/>
        <v>18.245226664081049</v>
      </c>
      <c r="F58" s="387">
        <f t="shared" si="1"/>
        <v>18.307968976654102</v>
      </c>
      <c r="G58" s="110">
        <f t="shared" si="18"/>
        <v>0.59355715441283152</v>
      </c>
      <c r="H58" s="416" t="b">
        <f>Wh_hp&gt;='2019'!Maxi_hp</f>
        <v>0</v>
      </c>
      <c r="I58" s="382">
        <f>IF(H58,Wh_hp,'2019'!Maxi_hp)</f>
        <v>31.571868913069107</v>
      </c>
      <c r="J58" s="85">
        <f>IF(H58,An,'2019'!An_max)</f>
        <v>2019</v>
      </c>
      <c r="K58" s="199">
        <f t="shared" si="19"/>
        <v>43874</v>
      </c>
      <c r="L58" s="147">
        <f>IF(t&lt;Tvie,1-EXP((T0-t)*PertePVj)+'2019'!Pspv,1-EXP((T0-t)*PertePVj)+Pspv)</f>
        <v>1.2970588866501487E-2</v>
      </c>
      <c r="M58" s="872"/>
      <c r="N58" s="872"/>
      <c r="O58" s="48">
        <f>IF(t&lt;Tnet,'2019'!Resal+('2019'!Salim-'2019'!Resal)*(1-EXP(('2019'!Tnet-t)/('2019'!Tau_j))),Resal+(Salim-Resal)*(1-EXP((Tnet-t)/(Tau_j))))*Salcycl</f>
        <v>9.6430467063575748E-2</v>
      </c>
      <c r="P58" s="171">
        <f>(INDEX(Models!$BJ58:$BT58,,T58)*(1-R58)+INDEX(Models!$BJ58:$BT58,,T58+1)*R58-ERP_i)*Q58*Ramure*Pc/MaxiM</f>
        <v>8.0949254152851684E-3</v>
      </c>
      <c r="Q58" s="307">
        <f t="shared" si="2"/>
        <v>0.9</v>
      </c>
      <c r="R58" s="179">
        <f t="shared" si="3"/>
        <v>0.6044782703850482</v>
      </c>
      <c r="S58" s="839">
        <f t="shared" si="4"/>
        <v>-2</v>
      </c>
      <c r="T58" s="178">
        <f t="shared" si="5"/>
        <v>4</v>
      </c>
      <c r="U58" s="253">
        <f t="shared" si="20"/>
        <v>-1.3955217296149518</v>
      </c>
      <c r="V58" s="385">
        <f t="shared" si="6"/>
        <v>27.285970695010633</v>
      </c>
      <c r="W58" s="404"/>
      <c r="X58" s="157">
        <f t="shared" si="7"/>
        <v>43874</v>
      </c>
      <c r="Y58" s="387">
        <f t="shared" si="8"/>
        <v>16.271999999999998</v>
      </c>
      <c r="Z58" s="387">
        <f t="shared" si="9"/>
        <v>16.485830935182907</v>
      </c>
      <c r="AA58" s="388">
        <f t="shared" si="10"/>
        <v>18.245226664081049</v>
      </c>
      <c r="AB58" s="199">
        <f t="shared" si="11"/>
        <v>43874</v>
      </c>
      <c r="AC58" s="119">
        <f>IF(OR(t&lt;Tnet,NoTnet),'2019'!Resal_s+('2019'!Salim-'2019'!Resal_s)*(1-EXP(('2019'!Tnet_s-t)/'2019'!Tau_j)),Resal_s+(Salim-Resal_s)*(1-EXP((Tnet_s-t)/Tau_j)))*Salcycl</f>
        <v>9.6430467063575748E-2</v>
      </c>
      <c r="AD58" s="233">
        <f>(INDEX(Models!$BJ58:$BT58,,AH58)*(1-AF58)+INDEX(Models!$BJ58:$BT58,,AH58+1)*AF58-ERP_i)*AE58*Ramure*Pc/MaxiM</f>
        <v>8.0949254152851684E-3</v>
      </c>
      <c r="AE58" s="307">
        <f t="shared" si="12"/>
        <v>0.9</v>
      </c>
      <c r="AF58" s="179">
        <f t="shared" si="21"/>
        <v>0.6044782703850482</v>
      </c>
      <c r="AG58" s="839">
        <f t="shared" si="22"/>
        <v>-2</v>
      </c>
      <c r="AH58" s="178">
        <f t="shared" si="13"/>
        <v>4</v>
      </c>
      <c r="AI58" s="227">
        <f t="shared" si="23"/>
        <v>-1.3955217296149518</v>
      </c>
      <c r="AJ58" s="267" t="b">
        <f t="shared" si="14"/>
        <v>0</v>
      </c>
      <c r="AK58" s="267" t="b">
        <f t="shared" si="15"/>
        <v>0</v>
      </c>
      <c r="AL58" s="267"/>
      <c r="AM58" s="267"/>
      <c r="AN58" s="75"/>
    </row>
    <row r="59" spans="1:40" s="6" customFormat="1" ht="11.25" x14ac:dyDescent="0.2">
      <c r="A59" s="56">
        <f t="shared" si="16"/>
        <v>43875</v>
      </c>
      <c r="B59" s="620">
        <v>21.663</v>
      </c>
      <c r="C59" s="392"/>
      <c r="D59" s="395">
        <f t="shared" si="0"/>
        <v>21.948185025724285</v>
      </c>
      <c r="E59" s="387">
        <f t="shared" si="17"/>
        <v>24.293795456279671</v>
      </c>
      <c r="F59" s="387">
        <f t="shared" si="1"/>
        <v>24.420433225163357</v>
      </c>
      <c r="G59" s="110">
        <f t="shared" si="18"/>
        <v>0.78213927810209571</v>
      </c>
      <c r="H59" s="416" t="b">
        <f>Wh_hp&gt;='2019'!Maxi_hp</f>
        <v>0</v>
      </c>
      <c r="I59" s="382">
        <f>IF(H59,Wh_hp,'2019'!Maxi_hp)</f>
        <v>31.764389384281085</v>
      </c>
      <c r="J59" s="85">
        <f>IF(H59,An,'2019'!An_max)</f>
        <v>2019</v>
      </c>
      <c r="K59" s="199">
        <f t="shared" si="19"/>
        <v>43875</v>
      </c>
      <c r="L59" s="147">
        <f>IF(t&lt;Tvie,1-EXP((T0-t)*PertePVj)+'2019'!Pspv,1-EXP((T0-t)*PertePVj)+Pspv)</f>
        <v>1.2993558482855661E-2</v>
      </c>
      <c r="M59" s="872"/>
      <c r="N59" s="872"/>
      <c r="O59" s="48">
        <f>IF(t&lt;Tnet,'2019'!Resal+('2019'!Salim-'2019'!Resal)*(1-EXP(('2019'!Tnet-t)/('2019'!Tau_j))),Resal+(Salim-Resal)*(1-EXP((Tnet-t)/(Tau_j))))*Salcycl</f>
        <v>9.6551830889358675E-2</v>
      </c>
      <c r="P59" s="171">
        <f>(INDEX(Models!$BJ59:$BT59,,T59)*(1-R59)+INDEX(Models!$BJ59:$BT59,,T59+1)*R59-ERP_i)*Q59*Ramure*Pc/MaxiM</f>
        <v>7.5005880783074142E-3</v>
      </c>
      <c r="Q59" s="307">
        <f t="shared" si="2"/>
        <v>0.9</v>
      </c>
      <c r="R59" s="179">
        <f t="shared" si="3"/>
        <v>0.60471443087462262</v>
      </c>
      <c r="S59" s="839">
        <f t="shared" si="4"/>
        <v>-2</v>
      </c>
      <c r="T59" s="178">
        <f t="shared" si="5"/>
        <v>4</v>
      </c>
      <c r="U59" s="253">
        <f t="shared" si="20"/>
        <v>-1.3952855691253774</v>
      </c>
      <c r="V59" s="385">
        <f t="shared" si="6"/>
        <v>27.632663935360867</v>
      </c>
      <c r="W59" s="404"/>
      <c r="X59" s="157">
        <f t="shared" si="7"/>
        <v>43875</v>
      </c>
      <c r="Y59" s="387">
        <f t="shared" si="8"/>
        <v>21.663</v>
      </c>
      <c r="Z59" s="387">
        <f t="shared" si="9"/>
        <v>21.948185025724285</v>
      </c>
      <c r="AA59" s="388">
        <f t="shared" si="10"/>
        <v>24.293795456279671</v>
      </c>
      <c r="AB59" s="199">
        <f t="shared" si="11"/>
        <v>43875</v>
      </c>
      <c r="AC59" s="119">
        <f>IF(OR(t&lt;Tnet,NoTnet),'2019'!Resal_s+('2019'!Salim-'2019'!Resal_s)*(1-EXP(('2019'!Tnet_s-t)/'2019'!Tau_j)),Resal_s+(Salim-Resal_s)*(1-EXP((Tnet_s-t)/Tau_j)))*Salcycl</f>
        <v>9.6551830889358675E-2</v>
      </c>
      <c r="AD59" s="233">
        <f>(INDEX(Models!$BJ59:$BT59,,AH59)*(1-AF59)+INDEX(Models!$BJ59:$BT59,,AH59+1)*AF59-ERP_i)*AE59*Ramure*Pc/MaxiM</f>
        <v>7.5005880783074142E-3</v>
      </c>
      <c r="AE59" s="307">
        <f t="shared" si="12"/>
        <v>0.9</v>
      </c>
      <c r="AF59" s="179">
        <f t="shared" si="21"/>
        <v>0.60471443087462262</v>
      </c>
      <c r="AG59" s="839">
        <f t="shared" si="22"/>
        <v>-2</v>
      </c>
      <c r="AH59" s="178">
        <f t="shared" si="13"/>
        <v>4</v>
      </c>
      <c r="AI59" s="227">
        <f t="shared" si="23"/>
        <v>-1.3952855691253774</v>
      </c>
      <c r="AJ59" s="267" t="b">
        <f t="shared" si="14"/>
        <v>0</v>
      </c>
      <c r="AK59" s="267" t="b">
        <f t="shared" si="15"/>
        <v>0</v>
      </c>
      <c r="AL59" s="267"/>
      <c r="AM59" s="267"/>
      <c r="AN59" s="75"/>
    </row>
    <row r="60" spans="1:40" s="6" customFormat="1" ht="11.25" x14ac:dyDescent="0.2">
      <c r="A60" s="56">
        <f t="shared" si="16"/>
        <v>43876</v>
      </c>
      <c r="B60" s="620">
        <v>28.164000000000001</v>
      </c>
      <c r="C60" s="392"/>
      <c r="D60" s="395">
        <f t="shared" si="0"/>
        <v>28.535432240326077</v>
      </c>
      <c r="E60" s="387">
        <f t="shared" si="17"/>
        <v>31.589257509320415</v>
      </c>
      <c r="F60" s="387">
        <f t="shared" si="1"/>
        <v>31.810418985491996</v>
      </c>
      <c r="G60" s="110">
        <f t="shared" si="18"/>
        <v>1.0065034162534963</v>
      </c>
      <c r="H60" s="416" t="b">
        <f>Wh_hp&gt;='2019'!Maxi_hp</f>
        <v>0</v>
      </c>
      <c r="I60" s="382">
        <f>IF(H60,Wh_hp,'2019'!Maxi_hp)</f>
        <v>31.923977618483878</v>
      </c>
      <c r="J60" s="85">
        <f>IF(H60,An,'2019'!An_max)</f>
        <v>2019</v>
      </c>
      <c r="K60" s="199">
        <f t="shared" si="19"/>
        <v>43876</v>
      </c>
      <c r="L60" s="147">
        <f>IF(t&lt;Tvie,1-EXP((T0-t)*PertePVj)+'2019'!Pspv,1-EXP((T0-t)*PertePVj)+Pspv)</f>
        <v>1.3016527564673419E-2</v>
      </c>
      <c r="M60" s="872"/>
      <c r="N60" s="872"/>
      <c r="O60" s="48">
        <f>IF(t&lt;Tnet,'2019'!Resal+('2019'!Salim-'2019'!Resal)*(1-EXP(('2019'!Tnet-t)/('2019'!Tau_j))),Resal+(Salim-Resal)*(1-EXP((Tnet-t)/(Tau_j))))*Salcycl</f>
        <v>9.6672904328102785E-2</v>
      </c>
      <c r="P60" s="171">
        <f>(INDEX(Models!$BJ60:$BT60,,T60)*(1-R60)+INDEX(Models!$BJ60:$BT60,,T60+1)*R60-ERP_i)*Q60*Ramure*Pc/MaxiM</f>
        <v>6.9524854819564058E-3</v>
      </c>
      <c r="Q60" s="307">
        <f t="shared" si="2"/>
        <v>0.9</v>
      </c>
      <c r="R60" s="179">
        <f t="shared" si="3"/>
        <v>0.60496032822748513</v>
      </c>
      <c r="S60" s="839">
        <f t="shared" si="4"/>
        <v>-2</v>
      </c>
      <c r="T60" s="178">
        <f t="shared" si="5"/>
        <v>4</v>
      </c>
      <c r="U60" s="253">
        <f t="shared" si="20"/>
        <v>-1.3950396717725149</v>
      </c>
      <c r="V60" s="385">
        <f t="shared" si="6"/>
        <v>27.982021268079496</v>
      </c>
      <c r="W60" s="404"/>
      <c r="X60" s="157">
        <f t="shared" si="7"/>
        <v>43876</v>
      </c>
      <c r="Y60" s="387">
        <f t="shared" si="8"/>
        <v>28.164000000000001</v>
      </c>
      <c r="Z60" s="387">
        <f t="shared" si="9"/>
        <v>28.535432240326077</v>
      </c>
      <c r="AA60" s="388">
        <f t="shared" si="10"/>
        <v>31.589257509320415</v>
      </c>
      <c r="AB60" s="199">
        <f t="shared" si="11"/>
        <v>43876</v>
      </c>
      <c r="AC60" s="119">
        <f>IF(OR(t&lt;Tnet,NoTnet),'2019'!Resal_s+('2019'!Salim-'2019'!Resal_s)*(1-EXP(('2019'!Tnet_s-t)/'2019'!Tau_j)),Resal_s+(Salim-Resal_s)*(1-EXP((Tnet_s-t)/Tau_j)))*Salcycl</f>
        <v>9.6672904328102785E-2</v>
      </c>
      <c r="AD60" s="233">
        <f>(INDEX(Models!$BJ60:$BT60,,AH60)*(1-AF60)+INDEX(Models!$BJ60:$BT60,,AH60+1)*AF60-ERP_i)*AE60*Ramure*Pc/MaxiM</f>
        <v>6.9524854819564058E-3</v>
      </c>
      <c r="AE60" s="307">
        <f t="shared" si="12"/>
        <v>0.9</v>
      </c>
      <c r="AF60" s="179">
        <f t="shared" si="21"/>
        <v>0.60496032822748513</v>
      </c>
      <c r="AG60" s="839">
        <f t="shared" si="22"/>
        <v>-2</v>
      </c>
      <c r="AH60" s="178">
        <f t="shared" si="13"/>
        <v>4</v>
      </c>
      <c r="AI60" s="227">
        <f t="shared" si="23"/>
        <v>-1.3950396717725149</v>
      </c>
      <c r="AJ60" s="267" t="b">
        <f t="shared" si="14"/>
        <v>0</v>
      </c>
      <c r="AK60" s="267" t="b">
        <f t="shared" si="15"/>
        <v>0</v>
      </c>
      <c r="AL60" s="267"/>
      <c r="AM60" s="267"/>
      <c r="AN60" s="75"/>
    </row>
    <row r="61" spans="1:40" s="6" customFormat="1" ht="11.25" customHeight="1" x14ac:dyDescent="0.2">
      <c r="A61" s="56">
        <f t="shared" si="16"/>
        <v>43877</v>
      </c>
      <c r="B61" s="620">
        <v>19.600000000000001</v>
      </c>
      <c r="C61" s="392"/>
      <c r="D61" s="395">
        <f t="shared" si="0"/>
        <v>19.858950710578331</v>
      </c>
      <c r="E61" s="387">
        <f t="shared" si="17"/>
        <v>21.987169651206354</v>
      </c>
      <c r="F61" s="387">
        <f t="shared" si="1"/>
        <v>22.066812594524787</v>
      </c>
      <c r="G61" s="110">
        <f t="shared" si="18"/>
        <v>0.68977330788671498</v>
      </c>
      <c r="H61" s="416" t="b">
        <f>Wh_hp&gt;='2019'!Maxi_hp</f>
        <v>0</v>
      </c>
      <c r="I61" s="382">
        <f>IF(H61,Wh_hp,'2019'!Maxi_hp)</f>
        <v>32.585872870752389</v>
      </c>
      <c r="J61" s="85">
        <f>IF(H61,An,'2019'!An_max)</f>
        <v>2019</v>
      </c>
      <c r="K61" s="199">
        <f t="shared" si="19"/>
        <v>43877</v>
      </c>
      <c r="L61" s="147">
        <f>IF(t&lt;Tvie,1-EXP((T0-t)*PertePVj)+'2019'!Pspv,1-EXP((T0-t)*PertePVj)+Pspv)</f>
        <v>1.3039496111966975E-2</v>
      </c>
      <c r="M61" s="872"/>
      <c r="N61" s="872"/>
      <c r="O61" s="48">
        <f>IF(t&lt;Tnet,'2019'!Resal+('2019'!Salim-'2019'!Resal)*(1-EXP(('2019'!Tnet-t)/('2019'!Tau_j))),Resal+(Salim-Resal)*(1-EXP((Tnet-t)/(Tau_j))))*Salcycl</f>
        <v>9.6793674419629383E-2</v>
      </c>
      <c r="P61" s="171">
        <f>(INDEX(Models!$BJ61:$BT61,,T61)*(1-R61)+INDEX(Models!$BJ61:$BT61,,T61+1)*R61-ERP_i)*Q61*Ramure*Pc/MaxiM</f>
        <v>6.4491475738840112E-3</v>
      </c>
      <c r="Q61" s="307">
        <f t="shared" si="2"/>
        <v>0.9</v>
      </c>
      <c r="R61" s="179">
        <f t="shared" si="3"/>
        <v>0.60521635651158845</v>
      </c>
      <c r="S61" s="839">
        <f t="shared" si="4"/>
        <v>-2</v>
      </c>
      <c r="T61" s="178">
        <f t="shared" si="5"/>
        <v>4</v>
      </c>
      <c r="U61" s="253">
        <f t="shared" si="20"/>
        <v>-1.3947836434884116</v>
      </c>
      <c r="V61" s="385">
        <f t="shared" si="6"/>
        <v>28.334142024894913</v>
      </c>
      <c r="W61" s="404"/>
      <c r="X61" s="157">
        <f t="shared" si="7"/>
        <v>43877</v>
      </c>
      <c r="Y61" s="387">
        <f t="shared" si="8"/>
        <v>19.600000000000001</v>
      </c>
      <c r="Z61" s="387">
        <f t="shared" si="9"/>
        <v>19.858950710578331</v>
      </c>
      <c r="AA61" s="388">
        <f t="shared" si="10"/>
        <v>21.987169651206354</v>
      </c>
      <c r="AB61" s="199">
        <f t="shared" si="11"/>
        <v>43877</v>
      </c>
      <c r="AC61" s="119">
        <f>IF(OR(t&lt;Tnet,NoTnet),'2019'!Resal_s+('2019'!Salim-'2019'!Resal_s)*(1-EXP(('2019'!Tnet_s-t)/'2019'!Tau_j)),Resal_s+(Salim-Resal_s)*(1-EXP((Tnet_s-t)/Tau_j)))*Salcycl</f>
        <v>9.6793674419629383E-2</v>
      </c>
      <c r="AD61" s="233">
        <f>(INDEX(Models!$BJ61:$BT61,,AH61)*(1-AF61)+INDEX(Models!$BJ61:$BT61,,AH61+1)*AF61-ERP_i)*AE61*Ramure*Pc/MaxiM</f>
        <v>6.4491475738840112E-3</v>
      </c>
      <c r="AE61" s="307">
        <f t="shared" si="12"/>
        <v>0.9</v>
      </c>
      <c r="AF61" s="179">
        <f t="shared" si="21"/>
        <v>0.60521635651158845</v>
      </c>
      <c r="AG61" s="839">
        <f t="shared" si="22"/>
        <v>-2</v>
      </c>
      <c r="AH61" s="178">
        <f t="shared" si="13"/>
        <v>4</v>
      </c>
      <c r="AI61" s="227">
        <f t="shared" si="23"/>
        <v>-1.3947836434884116</v>
      </c>
      <c r="AJ61" s="267" t="b">
        <f t="shared" si="14"/>
        <v>0</v>
      </c>
      <c r="AK61" s="267" t="b">
        <f t="shared" si="15"/>
        <v>0</v>
      </c>
      <c r="AL61" s="267"/>
      <c r="AM61" s="267"/>
      <c r="AN61" s="75"/>
    </row>
    <row r="62" spans="1:40" s="6" customFormat="1" ht="11.25" x14ac:dyDescent="0.2">
      <c r="A62" s="56">
        <f t="shared" si="16"/>
        <v>43878</v>
      </c>
      <c r="B62" s="620">
        <v>5.57</v>
      </c>
      <c r="C62" s="392"/>
      <c r="D62" s="395">
        <f t="shared" si="0"/>
        <v>5.6437209018099894</v>
      </c>
      <c r="E62" s="387">
        <f t="shared" si="17"/>
        <v>6.2493734903089111</v>
      </c>
      <c r="F62" s="387">
        <f t="shared" si="1"/>
        <v>6.2493734903089111</v>
      </c>
      <c r="G62" s="110">
        <f t="shared" si="18"/>
        <v>0.19298742515185782</v>
      </c>
      <c r="H62" s="416" t="b">
        <f>Wh_hp&gt;='2019'!Maxi_hp</f>
        <v>0</v>
      </c>
      <c r="I62" s="382">
        <f>IF(H62,Wh_hp,'2019'!Maxi_hp)</f>
        <v>33.205489118694373</v>
      </c>
      <c r="J62" s="85">
        <f>IF(H62,An,'2019'!An_max)</f>
        <v>2019</v>
      </c>
      <c r="K62" s="199">
        <f t="shared" si="19"/>
        <v>43878</v>
      </c>
      <c r="L62" s="147">
        <f>IF(t&lt;Tvie,1-EXP((T0-t)*PertePVj)+'2019'!Pspv,1-EXP((T0-t)*PertePVj)+Pspv)</f>
        <v>1.3062464124748985E-2</v>
      </c>
      <c r="M62" s="872"/>
      <c r="N62" s="872"/>
      <c r="O62" s="48">
        <f>IF(t&lt;Tnet,'2019'!Resal+('2019'!Salim-'2019'!Resal)*(1-EXP(('2019'!Tnet-t)/('2019'!Tau_j))),Resal+(Salim-Resal)*(1-EXP((Tnet-t)/(Tau_j))))*Salcycl</f>
        <v>9.6914128982389131E-2</v>
      </c>
      <c r="P62" s="171">
        <f>(INDEX(Models!$BJ62:$BT62,,T62)*(1-R62)+INDEX(Models!$BJ62:$BT62,,T62+1)*R62-ERP_i)*Q62*Ramure*Pc/MaxiM</f>
        <v>5.9891458360646051E-3</v>
      </c>
      <c r="Q62" s="307">
        <f t="shared" si="2"/>
        <v>0.9</v>
      </c>
      <c r="R62" s="179">
        <f t="shared" si="3"/>
        <v>0.60548292511760748</v>
      </c>
      <c r="S62" s="839">
        <f t="shared" si="4"/>
        <v>-2</v>
      </c>
      <c r="T62" s="178">
        <f t="shared" si="5"/>
        <v>4</v>
      </c>
      <c r="U62" s="253">
        <f t="shared" si="20"/>
        <v>-1.3945170748823925</v>
      </c>
      <c r="V62" s="385">
        <f t="shared" si="6"/>
        <v>28.689125487510147</v>
      </c>
      <c r="W62" s="404"/>
      <c r="X62" s="157">
        <f t="shared" si="7"/>
        <v>43878</v>
      </c>
      <c r="Y62" s="387">
        <f t="shared" si="8"/>
        <v>5.57</v>
      </c>
      <c r="Z62" s="387">
        <f t="shared" si="9"/>
        <v>5.6437209018099894</v>
      </c>
      <c r="AA62" s="388">
        <f t="shared" si="10"/>
        <v>6.2493734903089111</v>
      </c>
      <c r="AB62" s="199">
        <f t="shared" si="11"/>
        <v>43878</v>
      </c>
      <c r="AC62" s="119">
        <f>IF(OR(t&lt;Tnet,NoTnet),'2019'!Resal_s+('2019'!Salim-'2019'!Resal_s)*(1-EXP(('2019'!Tnet_s-t)/'2019'!Tau_j)),Resal_s+(Salim-Resal_s)*(1-EXP((Tnet_s-t)/Tau_j)))*Salcycl</f>
        <v>9.6914128982389131E-2</v>
      </c>
      <c r="AD62" s="233">
        <f>(INDEX(Models!$BJ62:$BT62,,AH62)*(1-AF62)+INDEX(Models!$BJ62:$BT62,,AH62+1)*AF62-ERP_i)*AE62*Ramure*Pc/MaxiM</f>
        <v>5.9891458360646051E-3</v>
      </c>
      <c r="AE62" s="307">
        <f t="shared" si="12"/>
        <v>0.9</v>
      </c>
      <c r="AF62" s="179">
        <f t="shared" si="21"/>
        <v>0.60548292511760748</v>
      </c>
      <c r="AG62" s="839">
        <f t="shared" si="22"/>
        <v>-2</v>
      </c>
      <c r="AH62" s="178">
        <f t="shared" si="13"/>
        <v>4</v>
      </c>
      <c r="AI62" s="227">
        <f t="shared" si="23"/>
        <v>-1.3945170748823925</v>
      </c>
      <c r="AJ62" s="267" t="b">
        <f t="shared" si="14"/>
        <v>0</v>
      </c>
      <c r="AK62" s="267" t="b">
        <f t="shared" si="15"/>
        <v>0</v>
      </c>
      <c r="AL62" s="267"/>
      <c r="AM62" s="267"/>
      <c r="AN62" s="75"/>
    </row>
    <row r="63" spans="1:40" s="6" customFormat="1" ht="11.25" customHeight="1" x14ac:dyDescent="0.2">
      <c r="A63" s="56">
        <f t="shared" si="16"/>
        <v>43879</v>
      </c>
      <c r="B63" s="620">
        <v>24.835000000000001</v>
      </c>
      <c r="C63" s="392"/>
      <c r="D63" s="395">
        <f t="shared" si="0"/>
        <v>25.164285537236672</v>
      </c>
      <c r="E63" s="387">
        <f t="shared" si="17"/>
        <v>27.868483082012357</v>
      </c>
      <c r="F63" s="387">
        <f t="shared" si="1"/>
        <v>27.992124647317294</v>
      </c>
      <c r="G63" s="110">
        <f t="shared" si="18"/>
        <v>0.8540004396798323</v>
      </c>
      <c r="H63" s="416" t="b">
        <f>Wh_hp&gt;='2019'!Maxi_hp</f>
        <v>0</v>
      </c>
      <c r="I63" s="382">
        <f>IF(H63,Wh_hp,'2019'!Maxi_hp)</f>
        <v>33.121421529464264</v>
      </c>
      <c r="J63" s="85">
        <f>IF(H63,An,'2019'!An_max)</f>
        <v>2019</v>
      </c>
      <c r="K63" s="199">
        <f t="shared" si="19"/>
        <v>43879</v>
      </c>
      <c r="L63" s="147">
        <f>IF(t&lt;Tvie,1-EXP((T0-t)*PertePVj)+'2019'!Pspv,1-EXP((T0-t)*PertePVj)+Pspv)</f>
        <v>1.3085431603031772E-2</v>
      </c>
      <c r="M63" s="872"/>
      <c r="N63" s="872"/>
      <c r="O63" s="48">
        <f>IF(t&lt;Tnet,'2019'!Resal+('2019'!Salim-'2019'!Resal)*(1-EXP(('2019'!Tnet-t)/('2019'!Tau_j))),Resal+(Salim-Resal)*(1-EXP((Tnet-t)/(Tau_j))))*Salcycl</f>
        <v>9.7034256827602638E-2</v>
      </c>
      <c r="P63" s="171">
        <f>(INDEX(Models!$BJ63:$BT63,,T63)*(1-R63)+INDEX(Models!$BJ63:$BT63,,T63+1)*R63-ERP_i)*Q63*Ramure*Pc/MaxiM</f>
        <v>5.5710916626671757E-3</v>
      </c>
      <c r="Q63" s="307">
        <f t="shared" si="2"/>
        <v>0.9</v>
      </c>
      <c r="R63" s="179">
        <f t="shared" si="3"/>
        <v>0.60576045930145495</v>
      </c>
      <c r="S63" s="839">
        <f t="shared" si="4"/>
        <v>-2</v>
      </c>
      <c r="T63" s="178">
        <f t="shared" si="5"/>
        <v>4</v>
      </c>
      <c r="U63" s="253">
        <f t="shared" si="20"/>
        <v>-1.3942395406985451</v>
      </c>
      <c r="V63" s="385">
        <f t="shared" si="6"/>
        <v>29.047070858558818</v>
      </c>
      <c r="W63" s="404"/>
      <c r="X63" s="157">
        <f t="shared" si="7"/>
        <v>43879</v>
      </c>
      <c r="Y63" s="387">
        <f t="shared" si="8"/>
        <v>24.835000000000001</v>
      </c>
      <c r="Z63" s="387">
        <f t="shared" si="9"/>
        <v>25.164285537236672</v>
      </c>
      <c r="AA63" s="388">
        <f t="shared" si="10"/>
        <v>27.868483082012357</v>
      </c>
      <c r="AB63" s="199">
        <f t="shared" si="11"/>
        <v>43879</v>
      </c>
      <c r="AC63" s="119">
        <f>IF(OR(t&lt;Tnet,NoTnet),'2019'!Resal_s+('2019'!Salim-'2019'!Resal_s)*(1-EXP(('2019'!Tnet_s-t)/'2019'!Tau_j)),Resal_s+(Salim-Resal_s)*(1-EXP((Tnet_s-t)/Tau_j)))*Salcycl</f>
        <v>9.7034256827602638E-2</v>
      </c>
      <c r="AD63" s="233">
        <f>(INDEX(Models!$BJ63:$BT63,,AH63)*(1-AF63)+INDEX(Models!$BJ63:$BT63,,AH63+1)*AF63-ERP_i)*AE63*Ramure*Pc/MaxiM</f>
        <v>5.5710916626671757E-3</v>
      </c>
      <c r="AE63" s="307">
        <f t="shared" si="12"/>
        <v>0.9</v>
      </c>
      <c r="AF63" s="179">
        <f t="shared" si="21"/>
        <v>0.60576045930145495</v>
      </c>
      <c r="AG63" s="839">
        <f t="shared" si="22"/>
        <v>-2</v>
      </c>
      <c r="AH63" s="178">
        <f t="shared" si="13"/>
        <v>4</v>
      </c>
      <c r="AI63" s="227">
        <f t="shared" si="23"/>
        <v>-1.3942395406985451</v>
      </c>
      <c r="AJ63" s="267" t="b">
        <f t="shared" si="14"/>
        <v>0</v>
      </c>
      <c r="AK63" s="267" t="b">
        <f t="shared" si="15"/>
        <v>0</v>
      </c>
      <c r="AL63" s="267"/>
      <c r="AM63" s="267"/>
      <c r="AN63" s="75"/>
    </row>
    <row r="64" spans="1:40" s="6" customFormat="1" ht="11.25" x14ac:dyDescent="0.2">
      <c r="A64" s="56">
        <f t="shared" si="16"/>
        <v>43880</v>
      </c>
      <c r="B64" s="620">
        <v>23.946000000000002</v>
      </c>
      <c r="C64" s="392"/>
      <c r="D64" s="395">
        <f t="shared" si="0"/>
        <v>24.264063008277848</v>
      </c>
      <c r="E64" s="387">
        <f t="shared" si="17"/>
        <v>26.875086446034715</v>
      </c>
      <c r="F64" s="387">
        <f t="shared" si="1"/>
        <v>26.978023417698708</v>
      </c>
      <c r="G64" s="110">
        <f t="shared" si="18"/>
        <v>0.81313969116678386</v>
      </c>
      <c r="H64" s="416" t="b">
        <f>Wh_hp&gt;='2019'!Maxi_hp</f>
        <v>1</v>
      </c>
      <c r="I64" s="382">
        <f>IF(H64,Wh_hp,'2019'!Maxi_hp)</f>
        <v>26.978023417698708</v>
      </c>
      <c r="J64" s="85">
        <f>IF(H64,An,'2019'!An_max)</f>
        <v>2020</v>
      </c>
      <c r="K64" s="199">
        <f t="shared" si="19"/>
        <v>43880</v>
      </c>
      <c r="L64" s="147">
        <f>IF(t&lt;Tvie,1-EXP((T0-t)*PertePVj)+'2019'!Pspv,1-EXP((T0-t)*PertePVj)+Pspv)</f>
        <v>1.3108398546827771E-2</v>
      </c>
      <c r="M64" s="872"/>
      <c r="N64" s="872"/>
      <c r="O64" s="48">
        <f>IF(t&lt;Tnet,'2019'!Resal+('2019'!Salim-'2019'!Resal)*(1-EXP(('2019'!Tnet-t)/('2019'!Tau_j))),Resal+(Salim-Resal)*(1-EXP((Tnet-t)/(Tau_j))))*Salcycl</f>
        <v>9.7154047969289781E-2</v>
      </c>
      <c r="P64" s="171">
        <f>(INDEX(Models!$BJ64:$BT64,,T64)*(1-R64)+INDEX(Models!$BJ64:$BT64,,T64+1)*R64-ERP_i)*Q64*Ramure*Pc/MaxiM</f>
        <v>5.1936348684234086E-3</v>
      </c>
      <c r="Q64" s="307">
        <f t="shared" si="2"/>
        <v>0.9</v>
      </c>
      <c r="R64" s="179">
        <f t="shared" si="3"/>
        <v>0.60604940074138747</v>
      </c>
      <c r="S64" s="839">
        <f t="shared" si="4"/>
        <v>-2</v>
      </c>
      <c r="T64" s="178">
        <f t="shared" si="5"/>
        <v>4</v>
      </c>
      <c r="U64" s="253">
        <f t="shared" si="20"/>
        <v>-1.3939505992586125</v>
      </c>
      <c r="V64" s="385">
        <f t="shared" si="6"/>
        <v>29.408077249894991</v>
      </c>
      <c r="W64" s="404"/>
      <c r="X64" s="157">
        <f t="shared" si="7"/>
        <v>43880</v>
      </c>
      <c r="Y64" s="387">
        <f t="shared" si="8"/>
        <v>23.946000000000002</v>
      </c>
      <c r="Z64" s="387">
        <f t="shared" si="9"/>
        <v>24.264063008277848</v>
      </c>
      <c r="AA64" s="388">
        <f t="shared" si="10"/>
        <v>26.875086446034715</v>
      </c>
      <c r="AB64" s="199">
        <f t="shared" si="11"/>
        <v>43880</v>
      </c>
      <c r="AC64" s="119">
        <f>IF(OR(t&lt;Tnet,NoTnet),'2019'!Resal_s+('2019'!Salim-'2019'!Resal_s)*(1-EXP(('2019'!Tnet_s-t)/'2019'!Tau_j)),Resal_s+(Salim-Resal_s)*(1-EXP((Tnet_s-t)/Tau_j)))*Salcycl</f>
        <v>9.7154047969289781E-2</v>
      </c>
      <c r="AD64" s="233">
        <f>(INDEX(Models!$BJ64:$BT64,,AH64)*(1-AF64)+INDEX(Models!$BJ64:$BT64,,AH64+1)*AF64-ERP_i)*AE64*Ramure*Pc/MaxiM</f>
        <v>5.1936348684234086E-3</v>
      </c>
      <c r="AE64" s="307">
        <f t="shared" si="12"/>
        <v>0.9</v>
      </c>
      <c r="AF64" s="179">
        <f t="shared" si="21"/>
        <v>0.60604940074138747</v>
      </c>
      <c r="AG64" s="839">
        <f t="shared" si="22"/>
        <v>-2</v>
      </c>
      <c r="AH64" s="178">
        <f t="shared" si="13"/>
        <v>4</v>
      </c>
      <c r="AI64" s="227">
        <f t="shared" si="23"/>
        <v>-1.3939505992586125</v>
      </c>
      <c r="AJ64" s="267" t="b">
        <f t="shared" si="14"/>
        <v>0</v>
      </c>
      <c r="AK64" s="267" t="b">
        <f t="shared" si="15"/>
        <v>0</v>
      </c>
      <c r="AL64" s="267"/>
      <c r="AM64" s="267"/>
      <c r="AN64" s="75"/>
    </row>
    <row r="65" spans="1:40" s="6" customFormat="1" ht="11.25" customHeight="1" x14ac:dyDescent="0.2">
      <c r="A65" s="56">
        <f t="shared" si="16"/>
        <v>43881</v>
      </c>
      <c r="B65" s="620">
        <v>29.771000000000001</v>
      </c>
      <c r="C65" s="392"/>
      <c r="D65" s="395">
        <f t="shared" si="0"/>
        <v>30.16713566814002</v>
      </c>
      <c r="E65" s="387">
        <f t="shared" si="17"/>
        <v>33.417802027402168</v>
      </c>
      <c r="F65" s="387">
        <f t="shared" si="1"/>
        <v>33.58083461156118</v>
      </c>
      <c r="G65" s="110">
        <f t="shared" si="18"/>
        <v>0.99993713594607803</v>
      </c>
      <c r="H65" s="416" t="b">
        <f>Wh_hp&gt;='2019'!Maxi_hp</f>
        <v>1</v>
      </c>
      <c r="I65" s="382">
        <f>IF(H65,Wh_hp,'2019'!Maxi_hp)</f>
        <v>33.58083461156118</v>
      </c>
      <c r="J65" s="85">
        <f>IF(H65,An,'2019'!An_max)</f>
        <v>2020</v>
      </c>
      <c r="K65" s="199">
        <f t="shared" si="19"/>
        <v>43881</v>
      </c>
      <c r="L65" s="147">
        <f>IF(t&lt;Tvie,1-EXP((T0-t)*PertePVj)+'2019'!Pspv,1-EXP((T0-t)*PertePVj)+Pspv)</f>
        <v>1.3131364956149416E-2</v>
      </c>
      <c r="M65" s="872"/>
      <c r="N65" s="872"/>
      <c r="O65" s="48">
        <f>IF(t&lt;Tnet,'2019'!Resal+('2019'!Salim-'2019'!Resal)*(1-EXP(('2019'!Tnet-t)/('2019'!Tau_j))),Resal+(Salim-Resal)*(1-EXP((Tnet-t)/(Tau_j))))*Salcycl</f>
        <v>9.7273493828129221E-2</v>
      </c>
      <c r="P65" s="171">
        <f>(INDEX(Models!$BJ65:$BT65,,T65)*(1-R65)+INDEX(Models!$BJ65:$BT65,,T65+1)*R65-ERP_i)*Q65*Ramure*Pc/MaxiM</f>
        <v>4.8553625088258142E-3</v>
      </c>
      <c r="Q65" s="307">
        <f t="shared" si="2"/>
        <v>0.9</v>
      </c>
      <c r="R65" s="179">
        <f t="shared" si="3"/>
        <v>0.60635020810966189</v>
      </c>
      <c r="S65" s="839">
        <f t="shared" si="4"/>
        <v>-2</v>
      </c>
      <c r="T65" s="178">
        <f t="shared" si="5"/>
        <v>4</v>
      </c>
      <c r="U65" s="253">
        <f t="shared" si="20"/>
        <v>-1.3936497918903381</v>
      </c>
      <c r="V65" s="385">
        <f t="shared" si="6"/>
        <v>29.772858688213283</v>
      </c>
      <c r="W65" s="404"/>
      <c r="X65" s="157">
        <f t="shared" si="7"/>
        <v>43881</v>
      </c>
      <c r="Y65" s="387">
        <f t="shared" si="8"/>
        <v>29.771000000000001</v>
      </c>
      <c r="Z65" s="387">
        <f t="shared" si="9"/>
        <v>30.16713566814002</v>
      </c>
      <c r="AA65" s="388">
        <f t="shared" si="10"/>
        <v>33.417802027402168</v>
      </c>
      <c r="AB65" s="199">
        <f t="shared" si="11"/>
        <v>43881</v>
      </c>
      <c r="AC65" s="119">
        <f>IF(OR(t&lt;Tnet,NoTnet),'2019'!Resal_s+('2019'!Salim-'2019'!Resal_s)*(1-EXP(('2019'!Tnet_s-t)/'2019'!Tau_j)),Resal_s+(Salim-Resal_s)*(1-EXP((Tnet_s-t)/Tau_j)))*Salcycl</f>
        <v>9.7273493828129221E-2</v>
      </c>
      <c r="AD65" s="233">
        <f>(INDEX(Models!$BJ65:$BT65,,AH65)*(1-AF65)+INDEX(Models!$BJ65:$BT65,,AH65+1)*AF65-ERP_i)*AE65*Ramure*Pc/MaxiM</f>
        <v>4.8553625088258142E-3</v>
      </c>
      <c r="AE65" s="307">
        <f t="shared" si="12"/>
        <v>0.9</v>
      </c>
      <c r="AF65" s="179">
        <f t="shared" si="21"/>
        <v>0.60635020810966189</v>
      </c>
      <c r="AG65" s="839">
        <f t="shared" si="22"/>
        <v>-2</v>
      </c>
      <c r="AH65" s="178">
        <f t="shared" si="13"/>
        <v>4</v>
      </c>
      <c r="AI65" s="227">
        <f t="shared" si="23"/>
        <v>-1.3936497918903381</v>
      </c>
      <c r="AJ65" s="267" t="b">
        <f t="shared" si="14"/>
        <v>0</v>
      </c>
      <c r="AK65" s="267" t="b">
        <f t="shared" si="15"/>
        <v>0</v>
      </c>
      <c r="AL65" s="267"/>
      <c r="AM65" s="267"/>
      <c r="AN65" s="75"/>
    </row>
    <row r="66" spans="1:40" s="6" customFormat="1" ht="11.25" customHeight="1" x14ac:dyDescent="0.2">
      <c r="A66" s="56">
        <f t="shared" si="16"/>
        <v>43882</v>
      </c>
      <c r="B66" s="620">
        <v>14.137</v>
      </c>
      <c r="C66" s="392"/>
      <c r="D66" s="395">
        <f t="shared" si="0"/>
        <v>14.325441598081465</v>
      </c>
      <c r="E66" s="387">
        <f t="shared" si="17"/>
        <v>15.871176547562355</v>
      </c>
      <c r="F66" s="387">
        <f t="shared" si="1"/>
        <v>15.888695411590986</v>
      </c>
      <c r="G66" s="110">
        <f t="shared" si="18"/>
        <v>0.46739549744895609</v>
      </c>
      <c r="H66" s="416" t="b">
        <f>Wh_hp&gt;='2019'!Maxi_hp</f>
        <v>0</v>
      </c>
      <c r="I66" s="382">
        <f>IF(H66,Wh_hp,'2019'!Maxi_hp)</f>
        <v>33.349979242504801</v>
      </c>
      <c r="J66" s="85">
        <f>IF(H66,An,'2019'!An_max)</f>
        <v>2019</v>
      </c>
      <c r="K66" s="199">
        <f t="shared" si="19"/>
        <v>43882</v>
      </c>
      <c r="L66" s="147">
        <f>IF(t&lt;Tvie,1-EXP((T0-t)*PertePVj)+'2019'!Pspv,1-EXP((T0-t)*PertePVj)+Pspv)</f>
        <v>1.3154330831009142E-2</v>
      </c>
      <c r="M66" s="872"/>
      <c r="N66" s="872"/>
      <c r="O66" s="48">
        <f>IF(t&lt;Tnet,'2019'!Resal+('2019'!Salim-'2019'!Resal)*(1-EXP(('2019'!Tnet-t)/('2019'!Tau_j))),Resal+(Salim-Resal)*(1-EXP((Tnet-t)/(Tau_j))))*Salcycl</f>
        <v>9.7392587427193533E-2</v>
      </c>
      <c r="P66" s="171">
        <f>(INDEX(Models!$BJ66:$BT66,,T66)*(1-R66)+INDEX(Models!$BJ66:$BT66,,T66+1)*R66-ERP_i)*Q66*Ramure*Pc/MaxiM</f>
        <v>4.566387951969066E-3</v>
      </c>
      <c r="Q66" s="307">
        <f t="shared" si="2"/>
        <v>0.9</v>
      </c>
      <c r="R66" s="179">
        <f t="shared" si="3"/>
        <v>0.6066633576586633</v>
      </c>
      <c r="S66" s="839">
        <f t="shared" si="4"/>
        <v>-2</v>
      </c>
      <c r="T66" s="178">
        <f t="shared" si="5"/>
        <v>4</v>
      </c>
      <c r="U66" s="253">
        <f t="shared" si="20"/>
        <v>-1.3933366423413367</v>
      </c>
      <c r="V66" s="385">
        <f t="shared" si="6"/>
        <v>30.141450752390213</v>
      </c>
      <c r="W66" s="404"/>
      <c r="X66" s="157">
        <f t="shared" si="7"/>
        <v>43882</v>
      </c>
      <c r="Y66" s="387">
        <f t="shared" si="8"/>
        <v>14.137</v>
      </c>
      <c r="Z66" s="387">
        <f t="shared" si="9"/>
        <v>14.325441598081465</v>
      </c>
      <c r="AA66" s="388">
        <f t="shared" si="10"/>
        <v>15.871176547562355</v>
      </c>
      <c r="AB66" s="199">
        <f t="shared" si="11"/>
        <v>43882</v>
      </c>
      <c r="AC66" s="119">
        <f>IF(OR(t&lt;Tnet,NoTnet),'2019'!Resal_s+('2019'!Salim-'2019'!Resal_s)*(1-EXP(('2019'!Tnet_s-t)/'2019'!Tau_j)),Resal_s+(Salim-Resal_s)*(1-EXP((Tnet_s-t)/Tau_j)))*Salcycl</f>
        <v>9.7392587427193533E-2</v>
      </c>
      <c r="AD66" s="233">
        <f>(INDEX(Models!$BJ66:$BT66,,AH66)*(1-AF66)+INDEX(Models!$BJ66:$BT66,,AH66+1)*AF66-ERP_i)*AE66*Ramure*Pc/MaxiM</f>
        <v>4.566387951969066E-3</v>
      </c>
      <c r="AE66" s="307">
        <f t="shared" si="12"/>
        <v>0.9</v>
      </c>
      <c r="AF66" s="179">
        <f t="shared" si="21"/>
        <v>0.6066633576586633</v>
      </c>
      <c r="AG66" s="839">
        <f t="shared" si="22"/>
        <v>-2</v>
      </c>
      <c r="AH66" s="178">
        <f t="shared" si="13"/>
        <v>4</v>
      </c>
      <c r="AI66" s="227">
        <f t="shared" si="23"/>
        <v>-1.3933366423413367</v>
      </c>
      <c r="AJ66" s="267" t="b">
        <f t="shared" si="14"/>
        <v>0</v>
      </c>
      <c r="AK66" s="267" t="b">
        <f t="shared" si="15"/>
        <v>0</v>
      </c>
      <c r="AL66" s="267"/>
      <c r="AM66" s="267"/>
      <c r="AN66" s="75"/>
    </row>
    <row r="67" spans="1:40" s="6" customFormat="1" ht="11.25" customHeight="1" x14ac:dyDescent="0.2">
      <c r="A67" s="56">
        <f t="shared" si="16"/>
        <v>43883</v>
      </c>
      <c r="B67" s="620">
        <v>29.655999999999999</v>
      </c>
      <c r="C67" s="392"/>
      <c r="D67" s="395">
        <f t="shared" si="0"/>
        <v>30.052004159352514</v>
      </c>
      <c r="E67" s="387">
        <f t="shared" si="17"/>
        <v>33.299037366859174</v>
      </c>
      <c r="F67" s="387">
        <f t="shared" si="1"/>
        <v>33.437622553718462</v>
      </c>
      <c r="G67" s="110">
        <f t="shared" si="18"/>
        <v>0.97172295341437176</v>
      </c>
      <c r="H67" s="416" t="b">
        <f>Wh_hp&gt;='2019'!Maxi_hp</f>
        <v>1</v>
      </c>
      <c r="I67" s="382">
        <f>IF(H67,Wh_hp,'2019'!Maxi_hp)</f>
        <v>33.437622553718462</v>
      </c>
      <c r="J67" s="85">
        <f>IF(H67,An,'2019'!An_max)</f>
        <v>2020</v>
      </c>
      <c r="K67" s="199">
        <f t="shared" si="19"/>
        <v>43883</v>
      </c>
      <c r="L67" s="147">
        <f>IF(t&lt;Tvie,1-EXP((T0-t)*PertePVj)+'2019'!Pspv,1-EXP((T0-t)*PertePVj)+Pspv)</f>
        <v>1.3177296171419384E-2</v>
      </c>
      <c r="M67" s="872"/>
      <c r="N67" s="872"/>
      <c r="O67" s="48">
        <f>IF(t&lt;Tnet,'2019'!Resal+('2019'!Salim-'2019'!Resal)*(1-EXP(('2019'!Tnet-t)/('2019'!Tau_j))),Resal+(Salim-Resal)*(1-EXP((Tnet-t)/(Tau_j))))*Salcycl</f>
        <v>9.7511323577727932E-2</v>
      </c>
      <c r="P67" s="171">
        <f>(INDEX(Models!$BJ67:$BT67,,T67)*(1-R67)+INDEX(Models!$BJ67:$BT67,,T67+1)*R67-ERP_i)*Q67*Ramure*Pc/MaxiM</f>
        <v>4.3179726146106582E-3</v>
      </c>
      <c r="Q67" s="307">
        <f t="shared" si="2"/>
        <v>0.9</v>
      </c>
      <c r="R67" s="179">
        <f t="shared" si="3"/>
        <v>0.60698934382136027</v>
      </c>
      <c r="S67" s="839">
        <f t="shared" si="4"/>
        <v>-2</v>
      </c>
      <c r="T67" s="178">
        <f t="shared" si="5"/>
        <v>4</v>
      </c>
      <c r="U67" s="253">
        <f t="shared" si="20"/>
        <v>-1.3930106561786397</v>
      </c>
      <c r="V67" s="385">
        <f t="shared" si="6"/>
        <v>30.513673282797871</v>
      </c>
      <c r="W67" s="404"/>
      <c r="X67" s="157">
        <f t="shared" si="7"/>
        <v>43883</v>
      </c>
      <c r="Y67" s="387">
        <f t="shared" si="8"/>
        <v>29.655999999999999</v>
      </c>
      <c r="Z67" s="387">
        <f t="shared" si="9"/>
        <v>30.052004159352514</v>
      </c>
      <c r="AA67" s="388">
        <f t="shared" si="10"/>
        <v>33.299037366859174</v>
      </c>
      <c r="AB67" s="199">
        <f t="shared" si="11"/>
        <v>43883</v>
      </c>
      <c r="AC67" s="119">
        <f>IF(OR(t&lt;Tnet,NoTnet),'2019'!Resal_s+('2019'!Salim-'2019'!Resal_s)*(1-EXP(('2019'!Tnet_s-t)/'2019'!Tau_j)),Resal_s+(Salim-Resal_s)*(1-EXP((Tnet_s-t)/Tau_j)))*Salcycl</f>
        <v>9.7511323577727932E-2</v>
      </c>
      <c r="AD67" s="233">
        <f>(INDEX(Models!$BJ67:$BT67,,AH67)*(1-AF67)+INDEX(Models!$BJ67:$BT67,,AH67+1)*AF67-ERP_i)*AE67*Ramure*Pc/MaxiM</f>
        <v>4.3179726146106582E-3</v>
      </c>
      <c r="AE67" s="307">
        <f t="shared" si="12"/>
        <v>0.9</v>
      </c>
      <c r="AF67" s="179">
        <f t="shared" si="21"/>
        <v>0.60698934382136027</v>
      </c>
      <c r="AG67" s="839">
        <f t="shared" si="22"/>
        <v>-2</v>
      </c>
      <c r="AH67" s="178">
        <f t="shared" si="13"/>
        <v>4</v>
      </c>
      <c r="AI67" s="227">
        <f t="shared" si="23"/>
        <v>-1.3930106561786397</v>
      </c>
      <c r="AJ67" s="267" t="b">
        <f t="shared" si="14"/>
        <v>0</v>
      </c>
      <c r="AK67" s="267" t="b">
        <f t="shared" si="15"/>
        <v>0</v>
      </c>
      <c r="AL67" s="267"/>
      <c r="AM67" s="267"/>
      <c r="AN67" s="75"/>
    </row>
    <row r="68" spans="1:40" s="6" customFormat="1" ht="11.25" customHeight="1" x14ac:dyDescent="0.2">
      <c r="A68" s="56">
        <f t="shared" si="16"/>
        <v>43884</v>
      </c>
      <c r="B68" s="620">
        <v>30.271999999999998</v>
      </c>
      <c r="C68" s="392"/>
      <c r="D68" s="395">
        <f t="shared" si="0"/>
        <v>30.676943662331549</v>
      </c>
      <c r="E68" s="387">
        <f t="shared" si="17"/>
        <v>33.995958898632779</v>
      </c>
      <c r="F68" s="387">
        <f t="shared" si="1"/>
        <v>34.132199878754932</v>
      </c>
      <c r="G68" s="110">
        <f t="shared" si="18"/>
        <v>0.97990586338509589</v>
      </c>
      <c r="H68" s="416" t="b">
        <f>Wh_hp&gt;='2019'!Maxi_hp</f>
        <v>1</v>
      </c>
      <c r="I68" s="382">
        <f>IF(H68,Wh_hp,'2019'!Maxi_hp)</f>
        <v>34.132199878754932</v>
      </c>
      <c r="J68" s="85">
        <f>IF(H68,An,'2019'!An_max)</f>
        <v>2020</v>
      </c>
      <c r="K68" s="199">
        <f t="shared" si="19"/>
        <v>43884</v>
      </c>
      <c r="L68" s="147">
        <f>IF(t&lt;Tvie,1-EXP((T0-t)*PertePVj)+'2019'!Pspv,1-EXP((T0-t)*PertePVj)+Pspv)</f>
        <v>1.3200260977392686E-2</v>
      </c>
      <c r="M68" s="872"/>
      <c r="N68" s="872"/>
      <c r="O68" s="48">
        <f>IF(t&lt;Tnet,'2019'!Resal+('2019'!Salim-'2019'!Resal)*(1-EXP(('2019'!Tnet-t)/('2019'!Tau_j))),Resal+(Salim-Resal)*(1-EXP((Tnet-t)/(Tau_j))))*Salcycl</f>
        <v>9.762969905328113E-2</v>
      </c>
      <c r="P68" s="171">
        <f>(INDEX(Models!$BJ68:$BT68,,T68)*(1-R68)+INDEX(Models!$BJ68:$BT68,,T68+1)*R68-ERP_i)*Q68*Ramure*Pc/MaxiM</f>
        <v>4.1088381443264389E-3</v>
      </c>
      <c r="Q68" s="307">
        <f t="shared" si="2"/>
        <v>0.9</v>
      </c>
      <c r="R68" s="179">
        <f t="shared" si="3"/>
        <v>0.60732867982588923</v>
      </c>
      <c r="S68" s="839">
        <f t="shared" si="4"/>
        <v>-2</v>
      </c>
      <c r="T68" s="178">
        <f t="shared" si="5"/>
        <v>4</v>
      </c>
      <c r="U68" s="253">
        <f t="shared" si="20"/>
        <v>-1.3926713201741108</v>
      </c>
      <c r="V68" s="385">
        <f t="shared" si="6"/>
        <v>30.889126075756892</v>
      </c>
      <c r="W68" s="404"/>
      <c r="X68" s="157">
        <f t="shared" si="7"/>
        <v>43884</v>
      </c>
      <c r="Y68" s="387">
        <f t="shared" si="8"/>
        <v>30.271999999999998</v>
      </c>
      <c r="Z68" s="387">
        <f t="shared" si="9"/>
        <v>30.676943662331546</v>
      </c>
      <c r="AA68" s="388">
        <f t="shared" si="10"/>
        <v>33.995958898632779</v>
      </c>
      <c r="AB68" s="199">
        <f t="shared" si="11"/>
        <v>43884</v>
      </c>
      <c r="AC68" s="119">
        <f>IF(OR(t&lt;Tnet,NoTnet),'2019'!Resal_s+('2019'!Salim-'2019'!Resal_s)*(1-EXP(('2019'!Tnet_s-t)/'2019'!Tau_j)),Resal_s+(Salim-Resal_s)*(1-EXP((Tnet_s-t)/Tau_j)))*Salcycl</f>
        <v>9.762969905328113E-2</v>
      </c>
      <c r="AD68" s="233">
        <f>(INDEX(Models!$BJ68:$BT68,,AH68)*(1-AF68)+INDEX(Models!$BJ68:$BT68,,AH68+1)*AF68-ERP_i)*AE68*Ramure*Pc/MaxiM</f>
        <v>4.1088381443264389E-3</v>
      </c>
      <c r="AE68" s="307">
        <f t="shared" si="12"/>
        <v>0.9</v>
      </c>
      <c r="AF68" s="179">
        <f t="shared" si="21"/>
        <v>0.60732867982588923</v>
      </c>
      <c r="AG68" s="839">
        <f t="shared" si="22"/>
        <v>-2</v>
      </c>
      <c r="AH68" s="178">
        <f t="shared" si="13"/>
        <v>4</v>
      </c>
      <c r="AI68" s="227">
        <f t="shared" si="23"/>
        <v>-1.3926713201741108</v>
      </c>
      <c r="AJ68" s="267" t="b">
        <f t="shared" si="14"/>
        <v>0</v>
      </c>
      <c r="AK68" s="267" t="b">
        <f t="shared" si="15"/>
        <v>0</v>
      </c>
      <c r="AL68" s="267"/>
      <c r="AM68" s="267"/>
      <c r="AN68" s="75"/>
    </row>
    <row r="69" spans="1:40" s="6" customFormat="1" ht="11.25" customHeight="1" x14ac:dyDescent="0.2">
      <c r="A69" s="56">
        <f t="shared" si="16"/>
        <v>43885</v>
      </c>
      <c r="B69" s="620">
        <v>31.338000000000001</v>
      </c>
      <c r="C69" s="392"/>
      <c r="D69" s="395">
        <f t="shared" si="0"/>
        <v>31.757942426143813</v>
      </c>
      <c r="E69" s="387">
        <f t="shared" si="17"/>
        <v>35.198516950245292</v>
      </c>
      <c r="F69" s="387">
        <f t="shared" si="1"/>
        <v>35.33766783326174</v>
      </c>
      <c r="G69" s="110">
        <f t="shared" si="18"/>
        <v>1.0022576780276078</v>
      </c>
      <c r="H69" s="416" t="b">
        <f>Wh_hp&gt;='2019'!Maxi_hp</f>
        <v>1</v>
      </c>
      <c r="I69" s="382">
        <f>IF(H69,Wh_hp,'2019'!Maxi_hp)</f>
        <v>35.33766783326174</v>
      </c>
      <c r="J69" s="85">
        <f>IF(H69,An,'2019'!An_max)</f>
        <v>2020</v>
      </c>
      <c r="K69" s="199">
        <f t="shared" si="19"/>
        <v>43885</v>
      </c>
      <c r="L69" s="147">
        <f>IF(t&lt;Tvie,1-EXP((T0-t)*PertePVj)+'2019'!Pspv,1-EXP((T0-t)*PertePVj)+Pspv)</f>
        <v>1.3223225248941373E-2</v>
      </c>
      <c r="M69" s="872"/>
      <c r="N69" s="872"/>
      <c r="O69" s="48">
        <f>IF(t&lt;Tnet,'2019'!Resal+('2019'!Salim-'2019'!Resal)*(1-EXP(('2019'!Tnet-t)/('2019'!Tau_j))),Resal+(Salim-Resal)*(1-EXP((Tnet-t)/(Tau_j))))*Salcycl</f>
        <v>9.7747712750650473E-2</v>
      </c>
      <c r="P69" s="171">
        <f>(INDEX(Models!$BJ69:$BT69,,T69)*(1-R69)+INDEX(Models!$BJ69:$BT69,,T69+1)*R69-ERP_i)*Q69*Ramure*Pc/MaxiM</f>
        <v>3.9377494766496641E-3</v>
      </c>
      <c r="Q69" s="307">
        <f t="shared" si="2"/>
        <v>0.9</v>
      </c>
      <c r="R69" s="179">
        <f t="shared" si="3"/>
        <v>0.60768189832399488</v>
      </c>
      <c r="S69" s="839">
        <f t="shared" si="4"/>
        <v>-2</v>
      </c>
      <c r="T69" s="178">
        <f t="shared" si="5"/>
        <v>4</v>
      </c>
      <c r="U69" s="253">
        <f t="shared" si="20"/>
        <v>-1.3923181016760051</v>
      </c>
      <c r="V69" s="385">
        <f t="shared" si="6"/>
        <v>31.267408259392525</v>
      </c>
      <c r="W69" s="404"/>
      <c r="X69" s="157">
        <f t="shared" si="7"/>
        <v>43885</v>
      </c>
      <c r="Y69" s="387">
        <f t="shared" si="8"/>
        <v>31.337999999999997</v>
      </c>
      <c r="Z69" s="387">
        <f t="shared" si="9"/>
        <v>31.75794242614381</v>
      </c>
      <c r="AA69" s="388">
        <f t="shared" si="10"/>
        <v>35.198516950245292</v>
      </c>
      <c r="AB69" s="199">
        <f t="shared" si="11"/>
        <v>43885</v>
      </c>
      <c r="AC69" s="119">
        <f>IF(OR(t&lt;Tnet,NoTnet),'2019'!Resal_s+('2019'!Salim-'2019'!Resal_s)*(1-EXP(('2019'!Tnet_s-t)/'2019'!Tau_j)),Resal_s+(Salim-Resal_s)*(1-EXP((Tnet_s-t)/Tau_j)))*Salcycl</f>
        <v>9.7747712750650473E-2</v>
      </c>
      <c r="AD69" s="233">
        <f>(INDEX(Models!$BJ69:$BT69,,AH69)*(1-AF69)+INDEX(Models!$BJ69:$BT69,,AH69+1)*AF69-ERP_i)*AE69*Ramure*Pc/MaxiM</f>
        <v>3.9377494766496641E-3</v>
      </c>
      <c r="AE69" s="307">
        <f t="shared" si="12"/>
        <v>0.9</v>
      </c>
      <c r="AF69" s="179">
        <f t="shared" si="21"/>
        <v>0.60768189832399488</v>
      </c>
      <c r="AG69" s="839">
        <f t="shared" si="22"/>
        <v>-2</v>
      </c>
      <c r="AH69" s="178">
        <f t="shared" si="13"/>
        <v>4</v>
      </c>
      <c r="AI69" s="227">
        <f t="shared" si="23"/>
        <v>-1.3923181016760051</v>
      </c>
      <c r="AJ69" s="267" t="b">
        <f t="shared" si="14"/>
        <v>0</v>
      </c>
      <c r="AK69" s="267" t="b">
        <f t="shared" si="15"/>
        <v>0</v>
      </c>
      <c r="AL69" s="267"/>
      <c r="AM69" s="267"/>
      <c r="AN69" s="75"/>
    </row>
    <row r="70" spans="1:40" s="6" customFormat="1" ht="11.25" customHeight="1" x14ac:dyDescent="0.2">
      <c r="A70" s="56">
        <f t="shared" si="16"/>
        <v>43886</v>
      </c>
      <c r="B70" s="620">
        <v>17.584</v>
      </c>
      <c r="C70" s="392"/>
      <c r="D70" s="395">
        <f t="shared" si="0"/>
        <v>17.820047719837902</v>
      </c>
      <c r="E70" s="387">
        <f t="shared" si="17"/>
        <v>19.7532020665152</v>
      </c>
      <c r="F70" s="387">
        <f t="shared" si="1"/>
        <v>19.780674889137394</v>
      </c>
      <c r="G70" s="110">
        <f t="shared" si="18"/>
        <v>0.55426618526554006</v>
      </c>
      <c r="H70" s="416" t="b">
        <f>Wh_hp&gt;='2019'!Maxi_hp</f>
        <v>0</v>
      </c>
      <c r="I70" s="382">
        <f>IF(H70,Wh_hp,'2019'!Maxi_hp)</f>
        <v>35.142931851813223</v>
      </c>
      <c r="J70" s="85">
        <f>IF(H70,An,'2019'!An_max)</f>
        <v>2019</v>
      </c>
      <c r="K70" s="199">
        <f t="shared" si="19"/>
        <v>43886</v>
      </c>
      <c r="L70" s="147">
        <f>IF(t&lt;Tvie,1-EXP((T0-t)*PertePVj)+'2019'!Pspv,1-EXP((T0-t)*PertePVj)+Pspv)</f>
        <v>1.3246188986077989E-2</v>
      </c>
      <c r="M70" s="872"/>
      <c r="N70" s="872"/>
      <c r="O70" s="48">
        <f>IF(t&lt;Tnet,'2019'!Resal+('2019'!Salim-'2019'!Resal)*(1-EXP(('2019'!Tnet-t)/('2019'!Tau_j))),Resal+(Salim-Resal)*(1-EXP((Tnet-t)/(Tau_j))))*Salcycl</f>
        <v>9.7865365836271132E-2</v>
      </c>
      <c r="P70" s="171">
        <f>(INDEX(Models!$BJ70:$BT70,,T70)*(1-R70)+INDEX(Models!$BJ70:$BT70,,T70+1)*R70-ERP_i)*Q70*Ramure*Pc/MaxiM</f>
        <v>3.8034962194549173E-3</v>
      </c>
      <c r="Q70" s="307">
        <f t="shared" si="2"/>
        <v>0.9</v>
      </c>
      <c r="R70" s="179">
        <f t="shared" si="3"/>
        <v>0.60804955203298539</v>
      </c>
      <c r="S70" s="839">
        <f t="shared" si="4"/>
        <v>-2</v>
      </c>
      <c r="T70" s="178">
        <f t="shared" si="5"/>
        <v>4</v>
      </c>
      <c r="U70" s="253">
        <f t="shared" si="20"/>
        <v>-1.3919504479670146</v>
      </c>
      <c r="V70" s="385">
        <f t="shared" si="6"/>
        <v>31.648119007986907</v>
      </c>
      <c r="W70" s="404"/>
      <c r="X70" s="157">
        <f t="shared" si="7"/>
        <v>43886</v>
      </c>
      <c r="Y70" s="387">
        <f t="shared" si="8"/>
        <v>17.584</v>
      </c>
      <c r="Z70" s="387">
        <f t="shared" si="9"/>
        <v>17.820047719837902</v>
      </c>
      <c r="AA70" s="388">
        <f t="shared" si="10"/>
        <v>19.7532020665152</v>
      </c>
      <c r="AB70" s="199">
        <f t="shared" si="11"/>
        <v>43886</v>
      </c>
      <c r="AC70" s="119">
        <f>IF(OR(t&lt;Tnet,NoTnet),'2019'!Resal_s+('2019'!Salim-'2019'!Resal_s)*(1-EXP(('2019'!Tnet_s-t)/'2019'!Tau_j)),Resal_s+(Salim-Resal_s)*(1-EXP((Tnet_s-t)/Tau_j)))*Salcycl</f>
        <v>9.7865365836271132E-2</v>
      </c>
      <c r="AD70" s="233">
        <f>(INDEX(Models!$BJ70:$BT70,,AH70)*(1-AF70)+INDEX(Models!$BJ70:$BT70,,AH70+1)*AF70-ERP_i)*AE70*Ramure*Pc/MaxiM</f>
        <v>3.8034962194549173E-3</v>
      </c>
      <c r="AE70" s="307">
        <f t="shared" si="12"/>
        <v>0.9</v>
      </c>
      <c r="AF70" s="179">
        <f t="shared" si="21"/>
        <v>0.60804955203298539</v>
      </c>
      <c r="AG70" s="839">
        <f t="shared" si="22"/>
        <v>-2</v>
      </c>
      <c r="AH70" s="178">
        <f t="shared" si="13"/>
        <v>4</v>
      </c>
      <c r="AI70" s="227">
        <f t="shared" si="23"/>
        <v>-1.3919504479670146</v>
      </c>
      <c r="AJ70" s="267" t="b">
        <f t="shared" si="14"/>
        <v>0</v>
      </c>
      <c r="AK70" s="267" t="b">
        <f t="shared" si="15"/>
        <v>0</v>
      </c>
      <c r="AL70" s="267"/>
      <c r="AM70" s="267"/>
      <c r="AN70" s="75"/>
    </row>
    <row r="71" spans="1:40" s="6" customFormat="1" ht="11.25" x14ac:dyDescent="0.2">
      <c r="A71" s="56">
        <f t="shared" si="16"/>
        <v>43887</v>
      </c>
      <c r="B71" s="620">
        <v>16.673999999999999</v>
      </c>
      <c r="C71" s="392"/>
      <c r="D71" s="395">
        <f t="shared" si="0"/>
        <v>16.898225120849403</v>
      </c>
      <c r="E71" s="387">
        <f t="shared" si="17"/>
        <v>18.733814092764636</v>
      </c>
      <c r="F71" s="387">
        <f t="shared" si="1"/>
        <v>18.755708813586434</v>
      </c>
      <c r="G71" s="110">
        <f t="shared" si="18"/>
        <v>0.51923804077566815</v>
      </c>
      <c r="H71" s="416" t="b">
        <f>Wh_hp&gt;='2019'!Maxi_hp</f>
        <v>0</v>
      </c>
      <c r="I71" s="382">
        <f>IF(H71,Wh_hp,'2019'!Maxi_hp)</f>
        <v>33.525359587323479</v>
      </c>
      <c r="J71" s="85">
        <f>IF(H71,An,'2019'!An_max)</f>
        <v>2019</v>
      </c>
      <c r="K71" s="199">
        <f t="shared" si="19"/>
        <v>43887</v>
      </c>
      <c r="L71" s="147">
        <f>IF(t&lt;Tvie,1-EXP((T0-t)*PertePVj)+'2019'!Pspv,1-EXP((T0-t)*PertePVj)+Pspv)</f>
        <v>1.3269152188814748E-2</v>
      </c>
      <c r="M71" s="872"/>
      <c r="N71" s="872"/>
      <c r="O71" s="48">
        <f>IF(t&lt;Tnet,'2019'!Resal+('2019'!Salim-'2019'!Resal)*(1-EXP(('2019'!Tnet-t)/('2019'!Tau_j))),Resal+(Salim-Resal)*(1-EXP((Tnet-t)/(Tau_j))))*Salcycl</f>
        <v>9.7982661876855767E-2</v>
      </c>
      <c r="P71" s="171">
        <f>(INDEX(Models!$BJ71:$BT71,,T71)*(1-R71)+INDEX(Models!$BJ71:$BT71,,T71+1)*R71-ERP_i)*Q71*Ramure*Pc/MaxiM</f>
        <v>3.7048973854118179E-3</v>
      </c>
      <c r="Q71" s="307">
        <f t="shared" si="2"/>
        <v>0.9</v>
      </c>
      <c r="R71" s="179">
        <f t="shared" si="3"/>
        <v>0.60843221439077677</v>
      </c>
      <c r="S71" s="839">
        <f t="shared" si="4"/>
        <v>-2</v>
      </c>
      <c r="T71" s="178">
        <f t="shared" si="5"/>
        <v>4</v>
      </c>
      <c r="U71" s="253">
        <f t="shared" si="20"/>
        <v>-1.3915677856092232</v>
      </c>
      <c r="V71" s="385">
        <f t="shared" si="6"/>
        <v>32.030857518155557</v>
      </c>
      <c r="W71" s="404"/>
      <c r="X71" s="157">
        <f t="shared" si="7"/>
        <v>43887</v>
      </c>
      <c r="Y71" s="387">
        <f t="shared" si="8"/>
        <v>16.673999999999999</v>
      </c>
      <c r="Z71" s="387">
        <f t="shared" si="9"/>
        <v>16.898225120849403</v>
      </c>
      <c r="AA71" s="388">
        <f t="shared" si="10"/>
        <v>18.733814092764636</v>
      </c>
      <c r="AB71" s="199">
        <f t="shared" si="11"/>
        <v>43887</v>
      </c>
      <c r="AC71" s="119">
        <f>IF(OR(t&lt;Tnet,NoTnet),'2019'!Resal_s+('2019'!Salim-'2019'!Resal_s)*(1-EXP(('2019'!Tnet_s-t)/'2019'!Tau_j)),Resal_s+(Salim-Resal_s)*(1-EXP((Tnet_s-t)/Tau_j)))*Salcycl</f>
        <v>9.7982661876855767E-2</v>
      </c>
      <c r="AD71" s="233">
        <f>(INDEX(Models!$BJ71:$BT71,,AH71)*(1-AF71)+INDEX(Models!$BJ71:$BT71,,AH71+1)*AF71-ERP_i)*AE71*Ramure*Pc/MaxiM</f>
        <v>3.7048973854118179E-3</v>
      </c>
      <c r="AE71" s="307">
        <f t="shared" si="12"/>
        <v>0.9</v>
      </c>
      <c r="AF71" s="179">
        <f t="shared" si="21"/>
        <v>0.60843221439077677</v>
      </c>
      <c r="AG71" s="839">
        <f t="shared" si="22"/>
        <v>-2</v>
      </c>
      <c r="AH71" s="178">
        <f t="shared" si="13"/>
        <v>4</v>
      </c>
      <c r="AI71" s="227">
        <f t="shared" si="23"/>
        <v>-1.3915677856092232</v>
      </c>
      <c r="AJ71" s="267" t="b">
        <f t="shared" si="14"/>
        <v>0</v>
      </c>
      <c r="AK71" s="267" t="b">
        <f t="shared" si="15"/>
        <v>0</v>
      </c>
      <c r="AL71" s="267"/>
      <c r="AM71" s="267"/>
      <c r="AN71" s="75"/>
    </row>
    <row r="72" spans="1:40" s="6" customFormat="1" ht="11.25" customHeight="1" x14ac:dyDescent="0.2">
      <c r="A72" s="56">
        <f t="shared" si="16"/>
        <v>43888</v>
      </c>
      <c r="B72" s="620">
        <v>8.4190000000000005</v>
      </c>
      <c r="C72" s="392"/>
      <c r="D72" s="395">
        <f t="shared" si="0"/>
        <v>8.5324138245649745</v>
      </c>
      <c r="E72" s="387">
        <f t="shared" si="17"/>
        <v>9.4604835415821498</v>
      </c>
      <c r="F72" s="387">
        <f t="shared" si="1"/>
        <v>9.4604835415821498</v>
      </c>
      <c r="G72" s="110">
        <f t="shared" si="18"/>
        <v>0.25877804569337121</v>
      </c>
      <c r="H72" s="416" t="b">
        <f>Wh_hp&gt;='2019'!Maxi_hp</f>
        <v>0</v>
      </c>
      <c r="I72" s="382">
        <f>IF(H72,Wh_hp,'2019'!Maxi_hp)</f>
        <v>35.739850450809598</v>
      </c>
      <c r="J72" s="85">
        <f>IF(H72,An,'2019'!An_max)</f>
        <v>2019</v>
      </c>
      <c r="K72" s="199">
        <f t="shared" si="19"/>
        <v>43888</v>
      </c>
      <c r="L72" s="147">
        <f>IF(t&lt;Tvie,1-EXP((T0-t)*PertePVj)+'2019'!Pspv,1-EXP((T0-t)*PertePVj)+Pspv)</f>
        <v>1.3292114857164306E-2</v>
      </c>
      <c r="M72" s="872"/>
      <c r="N72" s="872"/>
      <c r="O72" s="48">
        <f>IF(t&lt;Tnet,'2019'!Resal+('2019'!Salim-'2019'!Resal)*(1-EXP(('2019'!Tnet-t)/('2019'!Tau_j))),Resal+(Salim-Resal)*(1-EXP((Tnet-t)/(Tau_j))))*Salcycl</f>
        <v>9.8099606953279073E-2</v>
      </c>
      <c r="P72" s="171">
        <f>(INDEX(Models!$BJ72:$BT72,,T72)*(1-R72)+INDEX(Models!$BJ72:$BT72,,T72+1)*R72-ERP_i)*Q72*Ramure*Pc/MaxiM</f>
        <v>3.6402281048382073E-3</v>
      </c>
      <c r="Q72" s="307">
        <f t="shared" si="2"/>
        <v>0.9</v>
      </c>
      <c r="R72" s="179">
        <f t="shared" si="3"/>
        <v>0.60883048022351094</v>
      </c>
      <c r="S72" s="839">
        <f t="shared" si="4"/>
        <v>-2</v>
      </c>
      <c r="T72" s="178">
        <f t="shared" si="5"/>
        <v>4</v>
      </c>
      <c r="U72" s="253">
        <f t="shared" si="20"/>
        <v>-1.3911695197764891</v>
      </c>
      <c r="V72" s="385">
        <f t="shared" si="6"/>
        <v>32.415241784169027</v>
      </c>
      <c r="W72" s="404"/>
      <c r="X72" s="157">
        <f t="shared" si="7"/>
        <v>43888</v>
      </c>
      <c r="Y72" s="387">
        <f t="shared" si="8"/>
        <v>8.4190000000000005</v>
      </c>
      <c r="Z72" s="387">
        <f t="shared" si="9"/>
        <v>8.5324138245649745</v>
      </c>
      <c r="AA72" s="388">
        <f t="shared" si="10"/>
        <v>9.4604835415821498</v>
      </c>
      <c r="AB72" s="199">
        <f t="shared" si="11"/>
        <v>43888</v>
      </c>
      <c r="AC72" s="119">
        <f>IF(OR(t&lt;Tnet,NoTnet),'2019'!Resal_s+('2019'!Salim-'2019'!Resal_s)*(1-EXP(('2019'!Tnet_s-t)/'2019'!Tau_j)),Resal_s+(Salim-Resal_s)*(1-EXP((Tnet_s-t)/Tau_j)))*Salcycl</f>
        <v>9.8099606953279073E-2</v>
      </c>
      <c r="AD72" s="233">
        <f>(INDEX(Models!$BJ72:$BT72,,AH72)*(1-AF72)+INDEX(Models!$BJ72:$BT72,,AH72+1)*AF72-ERP_i)*AE72*Ramure*Pc/MaxiM</f>
        <v>3.6402281048382073E-3</v>
      </c>
      <c r="AE72" s="307">
        <f t="shared" si="12"/>
        <v>0.9</v>
      </c>
      <c r="AF72" s="179">
        <f t="shared" si="21"/>
        <v>0.60883048022351094</v>
      </c>
      <c r="AG72" s="839">
        <f t="shared" si="22"/>
        <v>-2</v>
      </c>
      <c r="AH72" s="178">
        <f t="shared" si="13"/>
        <v>4</v>
      </c>
      <c r="AI72" s="227">
        <f t="shared" si="23"/>
        <v>-1.3911695197764891</v>
      </c>
      <c r="AJ72" s="267" t="b">
        <f t="shared" si="14"/>
        <v>0</v>
      </c>
      <c r="AK72" s="267" t="b">
        <f t="shared" si="15"/>
        <v>0</v>
      </c>
      <c r="AL72" s="267"/>
      <c r="AM72" s="267"/>
      <c r="AN72" s="75"/>
    </row>
    <row r="73" spans="1:40" s="6" customFormat="1" ht="11.25" customHeight="1" x14ac:dyDescent="0.2">
      <c r="A73" s="56">
        <f t="shared" si="16"/>
        <v>43889</v>
      </c>
      <c r="B73" s="620">
        <v>16.963000000000001</v>
      </c>
      <c r="C73" s="392"/>
      <c r="D73" s="395">
        <f t="shared" si="0"/>
        <v>17.191911626937532</v>
      </c>
      <c r="E73" s="387">
        <f t="shared" si="17"/>
        <v>19.064338717269269</v>
      </c>
      <c r="F73" s="387">
        <f t="shared" si="1"/>
        <v>19.085573601497245</v>
      </c>
      <c r="G73" s="110">
        <f t="shared" si="18"/>
        <v>0.5158587666032769</v>
      </c>
      <c r="H73" s="416" t="b">
        <f>Wh_hp&gt;='2019'!Maxi_hp</f>
        <v>0</v>
      </c>
      <c r="I73" s="382">
        <f>IF(H73,Wh_hp,'2019'!Maxi_hp)</f>
        <v>31.138574306786101</v>
      </c>
      <c r="J73" s="85">
        <f>IF(H73,An,'2019'!An_max)</f>
        <v>2019</v>
      </c>
      <c r="K73" s="199">
        <f t="shared" si="19"/>
        <v>43889</v>
      </c>
      <c r="L73" s="147">
        <f>IF(t&lt;Tvie,1-EXP((T0-t)*PertePVj)+'2019'!Pspv,1-EXP((T0-t)*PertePVj)+Pspv)</f>
        <v>1.3315076991139096E-2</v>
      </c>
      <c r="M73" s="872"/>
      <c r="N73" s="872"/>
      <c r="O73" s="48">
        <f>IF(t&lt;Tnet,'2019'!Resal+('2019'!Salim-'2019'!Resal)*(1-EXP(('2019'!Tnet-t)/('2019'!Tau_j))),Resal+(Salim-Resal)*(1-EXP((Tnet-t)/(Tau_j))))*Salcycl</f>
        <v>9.8216209756890965E-2</v>
      </c>
      <c r="P73" s="171">
        <f>(INDEX(Models!$BJ73:$BT73,,T73)*(1-R73)+INDEX(Models!$BJ73:$BT73,,T73+1)*R73-ERP_i)*Q73*Ramure*Pc/MaxiM</f>
        <v>3.5867700579061139E-3</v>
      </c>
      <c r="Q73" s="307">
        <f t="shared" si="2"/>
        <v>0.9</v>
      </c>
      <c r="R73" s="179">
        <f t="shared" si="3"/>
        <v>0.60924496642513359</v>
      </c>
      <c r="S73" s="839">
        <f t="shared" si="4"/>
        <v>-2</v>
      </c>
      <c r="T73" s="178">
        <f t="shared" si="5"/>
        <v>4</v>
      </c>
      <c r="U73" s="253">
        <f t="shared" si="20"/>
        <v>-1.3907550335748664</v>
      </c>
      <c r="V73" s="385">
        <f t="shared" si="6"/>
        <v>32.801583002527408</v>
      </c>
      <c r="W73" s="404"/>
      <c r="X73" s="157">
        <f t="shared" si="7"/>
        <v>43889</v>
      </c>
      <c r="Y73" s="387">
        <f t="shared" si="8"/>
        <v>16.963000000000001</v>
      </c>
      <c r="Z73" s="387">
        <f t="shared" si="9"/>
        <v>17.191911626937532</v>
      </c>
      <c r="AA73" s="388">
        <f t="shared" si="10"/>
        <v>19.064338717269269</v>
      </c>
      <c r="AB73" s="199">
        <f t="shared" si="11"/>
        <v>43889</v>
      </c>
      <c r="AC73" s="119">
        <f>IF(OR(t&lt;Tnet,NoTnet),'2019'!Resal_s+('2019'!Salim-'2019'!Resal_s)*(1-EXP(('2019'!Tnet_s-t)/'2019'!Tau_j)),Resal_s+(Salim-Resal_s)*(1-EXP((Tnet_s-t)/Tau_j)))*Salcycl</f>
        <v>9.8216209756890965E-2</v>
      </c>
      <c r="AD73" s="233">
        <f>(INDEX(Models!$BJ73:$BT73,,AH73)*(1-AF73)+INDEX(Models!$BJ73:$BT73,,AH73+1)*AF73-ERP_i)*AE73*Ramure*Pc/MaxiM</f>
        <v>3.5867700579061139E-3</v>
      </c>
      <c r="AE73" s="307">
        <f t="shared" si="12"/>
        <v>0.9</v>
      </c>
      <c r="AF73" s="179">
        <f t="shared" si="21"/>
        <v>0.60924496642513359</v>
      </c>
      <c r="AG73" s="839">
        <f t="shared" si="22"/>
        <v>-2</v>
      </c>
      <c r="AH73" s="178">
        <f t="shared" si="13"/>
        <v>4</v>
      </c>
      <c r="AI73" s="227">
        <f t="shared" si="23"/>
        <v>-1.3907550335748664</v>
      </c>
      <c r="AJ73" s="267" t="b">
        <f t="shared" si="14"/>
        <v>0</v>
      </c>
      <c r="AK73" s="267" t="b">
        <f t="shared" si="15"/>
        <v>0</v>
      </c>
      <c r="AL73" s="267"/>
      <c r="AM73" s="267"/>
      <c r="AN73" s="75"/>
    </row>
    <row r="74" spans="1:40" s="6" customFormat="1" ht="11.25" customHeight="1" x14ac:dyDescent="0.2">
      <c r="A74" s="56">
        <f t="shared" si="16"/>
        <v>43890</v>
      </c>
      <c r="B74" s="620">
        <v>13.920999999999999</v>
      </c>
      <c r="C74" s="392"/>
      <c r="D74" s="395">
        <f t="shared" si="0"/>
        <v>14.109188906113948</v>
      </c>
      <c r="E74" s="387">
        <f t="shared" si="17"/>
        <v>15.647884191513288</v>
      </c>
      <c r="F74" s="387">
        <f t="shared" si="1"/>
        <v>15.657352856839065</v>
      </c>
      <c r="G74" s="110">
        <f t="shared" si="18"/>
        <v>0.41820644715080912</v>
      </c>
      <c r="H74" s="416" t="b">
        <f>Wh_hp&gt;='2019'!Maxi_hp</f>
        <v>0</v>
      </c>
      <c r="I74" s="382">
        <f>IF(H74,Wh_hp,'2019'!Maxi_hp)</f>
        <v>15.754269381742652</v>
      </c>
      <c r="J74" s="85">
        <f>IF(H74,An,'2019'!An_max)</f>
        <v>2019</v>
      </c>
      <c r="K74" s="199">
        <f t="shared" si="19"/>
        <v>43890</v>
      </c>
      <c r="L74" s="147">
        <f>IF(t&lt;Tvie,1-EXP((T0-t)*PertePVj)+'2019'!Pspv,1-EXP((T0-t)*PertePVj)+Pspv)</f>
        <v>1.3338038590751333E-2</v>
      </c>
      <c r="M74" s="872"/>
      <c r="N74" s="872"/>
      <c r="O74" s="48">
        <f>IF(t&lt;Tnet,'2019'!Resal+('2019'!Salim-'2019'!Resal)*(1-EXP(('2019'!Tnet-t)/('2019'!Tau_j))),Resal+(Salim-Resal)*(1-EXP((Tnet-t)/(Tau_j))))*Salcycl</f>
        <v>9.8332481667640415E-2</v>
      </c>
      <c r="P74" s="171">
        <f>(INDEX(Models!$BJ74:$BT74,,T74)*(1-R74)+INDEX(Models!$BJ74:$BT74,,T74+1)*R74-ERP_i)*Q74*Ramure*Pc/MaxiM</f>
        <v>3.5442001327951646E-3</v>
      </c>
      <c r="Q74" s="307">
        <f t="shared" si="2"/>
        <v>0.9</v>
      </c>
      <c r="R74" s="179">
        <f t="shared" si="3"/>
        <v>0.60967631264821587</v>
      </c>
      <c r="S74" s="839">
        <f t="shared" si="4"/>
        <v>-2</v>
      </c>
      <c r="T74" s="178">
        <f t="shared" si="5"/>
        <v>4</v>
      </c>
      <c r="U74" s="253">
        <f t="shared" si="20"/>
        <v>-1.3903236873517841</v>
      </c>
      <c r="V74" s="385">
        <f t="shared" si="6"/>
        <v>33.189481277673302</v>
      </c>
      <c r="W74" s="404"/>
      <c r="X74" s="157">
        <f t="shared" si="7"/>
        <v>43890</v>
      </c>
      <c r="Y74" s="387">
        <f t="shared" si="8"/>
        <v>13.920999999999999</v>
      </c>
      <c r="Z74" s="387">
        <f t="shared" si="9"/>
        <v>14.109188906113948</v>
      </c>
      <c r="AA74" s="388">
        <f t="shared" si="10"/>
        <v>15.647884191513288</v>
      </c>
      <c r="AB74" s="199">
        <f t="shared" si="11"/>
        <v>43890</v>
      </c>
      <c r="AC74" s="119">
        <f>IF(OR(t&lt;Tnet,NoTnet),'2019'!Resal_s+('2019'!Salim-'2019'!Resal_s)*(1-EXP(('2019'!Tnet_s-t)/'2019'!Tau_j)),Resal_s+(Salim-Resal_s)*(1-EXP((Tnet_s-t)/Tau_j)))*Salcycl</f>
        <v>9.8332481667640415E-2</v>
      </c>
      <c r="AD74" s="233">
        <f>(INDEX(Models!$BJ74:$BT74,,AH74)*(1-AF74)+INDEX(Models!$BJ74:$BT74,,AH74+1)*AF74-ERP_i)*AE74*Ramure*Pc/MaxiM</f>
        <v>3.5442001327951646E-3</v>
      </c>
      <c r="AE74" s="307">
        <f t="shared" si="12"/>
        <v>0.9</v>
      </c>
      <c r="AF74" s="179">
        <f t="shared" si="21"/>
        <v>0.60967631264821587</v>
      </c>
      <c r="AG74" s="839">
        <f t="shared" si="22"/>
        <v>-2</v>
      </c>
      <c r="AH74" s="178">
        <f t="shared" si="13"/>
        <v>4</v>
      </c>
      <c r="AI74" s="227">
        <f t="shared" si="23"/>
        <v>-1.3903236873517841</v>
      </c>
      <c r="AJ74" s="267" t="b">
        <f t="shared" si="14"/>
        <v>0</v>
      </c>
      <c r="AK74" s="267" t="b">
        <f t="shared" si="15"/>
        <v>0</v>
      </c>
      <c r="AL74" s="267"/>
      <c r="AM74" s="267"/>
      <c r="AN74" s="75"/>
    </row>
    <row r="75" spans="1:40" s="6" customFormat="1" ht="11.25" customHeight="1" x14ac:dyDescent="0.2">
      <c r="A75" s="56">
        <f t="shared" si="16"/>
        <v>43891</v>
      </c>
      <c r="B75" s="620">
        <v>23.280999999999999</v>
      </c>
      <c r="C75" s="392"/>
      <c r="D75" s="395">
        <f t="shared" si="0"/>
        <v>23.596269752040214</v>
      </c>
      <c r="E75" s="387">
        <f t="shared" si="17"/>
        <v>26.172956396018407</v>
      </c>
      <c r="F75" s="387">
        <f t="shared" si="1"/>
        <v>26.224711056387971</v>
      </c>
      <c r="G75" s="110">
        <f t="shared" si="18"/>
        <v>0.69226085920604719</v>
      </c>
      <c r="H75" s="416" t="b">
        <f>Wh_hp&gt;='2019'!Maxi_hp</f>
        <v>1</v>
      </c>
      <c r="I75" s="382">
        <f>IF(H75,Wh_hp,'2019'!Maxi_hp)</f>
        <v>26.224711056387971</v>
      </c>
      <c r="J75" s="85">
        <f>IF(H75,An,'2019'!An_max)</f>
        <v>2020</v>
      </c>
      <c r="K75" s="199">
        <f t="shared" si="19"/>
        <v>43891</v>
      </c>
      <c r="L75" s="147">
        <f>IF(t&lt;Tvie,1-EXP((T0-t)*PertePVj)+'2019'!Pspv,1-EXP((T0-t)*PertePVj)+Pspv)</f>
        <v>1.3360999656013672E-2</v>
      </c>
      <c r="M75" s="872"/>
      <c r="N75" s="872"/>
      <c r="O75" s="48">
        <f>IF(t&lt;Tnet,'2019'!Resal+('2019'!Salim-'2019'!Resal)*(1-EXP(('2019'!Tnet-t)/('2019'!Tau_j))),Resal+(Salim-Resal)*(1-EXP((Tnet-t)/(Tau_j))))*Salcycl</f>
        <v>9.8448436813587267E-2</v>
      </c>
      <c r="P75" s="171">
        <f>(INDEX(Models!$BJ75:$BT75,,T75)*(1-R75)+INDEX(Models!$BJ75:$BT75,,T75+1)*R75-ERP_i)*Q75*Ramure*Pc/MaxiM</f>
        <v>3.5122057234252602E-3</v>
      </c>
      <c r="Q75" s="307">
        <f t="shared" si="2"/>
        <v>0.9</v>
      </c>
      <c r="R75" s="179">
        <f t="shared" si="3"/>
        <v>0.61012518200518207</v>
      </c>
      <c r="S75" s="839">
        <f t="shared" si="4"/>
        <v>-2</v>
      </c>
      <c r="T75" s="178">
        <f t="shared" si="5"/>
        <v>4</v>
      </c>
      <c r="U75" s="253">
        <f t="shared" si="20"/>
        <v>-1.3898748179948179</v>
      </c>
      <c r="V75" s="385">
        <f t="shared" si="6"/>
        <v>33.578536788141164</v>
      </c>
      <c r="W75" s="404"/>
      <c r="X75" s="157">
        <f t="shared" si="7"/>
        <v>43891</v>
      </c>
      <c r="Y75" s="387">
        <f t="shared" si="8"/>
        <v>23.280999999999999</v>
      </c>
      <c r="Z75" s="387">
        <f t="shared" si="9"/>
        <v>23.596269752040214</v>
      </c>
      <c r="AA75" s="388">
        <f t="shared" si="10"/>
        <v>26.172956396018407</v>
      </c>
      <c r="AB75" s="199">
        <f t="shared" si="11"/>
        <v>43891</v>
      </c>
      <c r="AC75" s="119">
        <f>IF(OR(t&lt;Tnet,NoTnet),'2019'!Resal_s+('2019'!Salim-'2019'!Resal_s)*(1-EXP(('2019'!Tnet_s-t)/'2019'!Tau_j)),Resal_s+(Salim-Resal_s)*(1-EXP((Tnet_s-t)/Tau_j)))*Salcycl</f>
        <v>9.8448436813587267E-2</v>
      </c>
      <c r="AD75" s="233">
        <f>(INDEX(Models!$BJ75:$BT75,,AH75)*(1-AF75)+INDEX(Models!$BJ75:$BT75,,AH75+1)*AF75-ERP_i)*AE75*Ramure*Pc/MaxiM</f>
        <v>3.5122057234252602E-3</v>
      </c>
      <c r="AE75" s="307">
        <f t="shared" si="12"/>
        <v>0.9</v>
      </c>
      <c r="AF75" s="179">
        <f t="shared" si="21"/>
        <v>0.61012518200518207</v>
      </c>
      <c r="AG75" s="839">
        <f t="shared" si="22"/>
        <v>-2</v>
      </c>
      <c r="AH75" s="178">
        <f t="shared" si="13"/>
        <v>4</v>
      </c>
      <c r="AI75" s="227">
        <f t="shared" si="23"/>
        <v>-1.3898748179948179</v>
      </c>
      <c r="AJ75" s="267" t="b">
        <f t="shared" si="14"/>
        <v>0</v>
      </c>
      <c r="AK75" s="267" t="b">
        <f t="shared" si="15"/>
        <v>0</v>
      </c>
      <c r="AL75" s="267"/>
      <c r="AM75" s="267"/>
      <c r="AN75" s="75"/>
    </row>
    <row r="76" spans="1:40" s="6" customFormat="1" ht="11.25" customHeight="1" x14ac:dyDescent="0.2">
      <c r="A76" s="56">
        <f t="shared" si="16"/>
        <v>43892</v>
      </c>
      <c r="B76" s="620">
        <v>19.745999999999999</v>
      </c>
      <c r="C76" s="392"/>
      <c r="D76" s="395">
        <f t="shared" si="0"/>
        <v>20.013864769258525</v>
      </c>
      <c r="E76" s="387">
        <f t="shared" si="17"/>
        <v>22.20220494226837</v>
      </c>
      <c r="F76" s="387">
        <f t="shared" si="1"/>
        <v>22.23339184732334</v>
      </c>
      <c r="G76" s="110">
        <f t="shared" si="18"/>
        <v>0.58009049375933031</v>
      </c>
      <c r="H76" s="416" t="b">
        <f>Wh_hp&gt;='2019'!Maxi_hp</f>
        <v>0</v>
      </c>
      <c r="I76" s="382">
        <f>IF(H76,Wh_hp,'2019'!Maxi_hp)</f>
        <v>33.302992587893023</v>
      </c>
      <c r="J76" s="85">
        <f>IF(H76,An,'2019'!An_max)</f>
        <v>2019</v>
      </c>
      <c r="K76" s="199">
        <f t="shared" si="19"/>
        <v>43892</v>
      </c>
      <c r="L76" s="147">
        <f>IF(t&lt;Tvie,1-EXP((T0-t)*PertePVj)+'2019'!Pspv,1-EXP((T0-t)*PertePVj)+Pspv)</f>
        <v>1.3383960186938548E-2</v>
      </c>
      <c r="M76" s="872"/>
      <c r="N76" s="872"/>
      <c r="O76" s="48">
        <f>IF(t&lt;Tnet,'2019'!Resal+('2019'!Salim-'2019'!Resal)*(1-EXP(('2019'!Tnet-t)/('2019'!Tau_j))),Resal+(Salim-Resal)*(1-EXP((Tnet-t)/(Tau_j))))*Salcycl</f>
        <v>9.8564092111576837E-2</v>
      </c>
      <c r="P76" s="171">
        <f>(INDEX(Models!$BJ76:$BT76,,T76)*(1-R76)+INDEX(Models!$BJ76:$BT76,,T76+1)*R76-ERP_i)*Q76*Ramure*Pc/MaxiM</f>
        <v>3.4904856102675034E-3</v>
      </c>
      <c r="Q76" s="307">
        <f t="shared" si="2"/>
        <v>0.9</v>
      </c>
      <c r="R76" s="179">
        <f t="shared" si="3"/>
        <v>0.61059226177898318</v>
      </c>
      <c r="S76" s="839">
        <f t="shared" si="4"/>
        <v>-2</v>
      </c>
      <c r="T76" s="178">
        <f t="shared" si="5"/>
        <v>4</v>
      </c>
      <c r="U76" s="253">
        <f t="shared" si="20"/>
        <v>-1.3894077382210168</v>
      </c>
      <c r="V76" s="385">
        <f t="shared" si="6"/>
        <v>33.96834976837286</v>
      </c>
      <c r="W76" s="404"/>
      <c r="X76" s="157">
        <f t="shared" si="7"/>
        <v>43892</v>
      </c>
      <c r="Y76" s="387">
        <f t="shared" si="8"/>
        <v>19.745999999999999</v>
      </c>
      <c r="Z76" s="387">
        <f t="shared" si="9"/>
        <v>20.013864769258525</v>
      </c>
      <c r="AA76" s="388">
        <f t="shared" si="10"/>
        <v>22.20220494226837</v>
      </c>
      <c r="AB76" s="199">
        <f t="shared" si="11"/>
        <v>43892</v>
      </c>
      <c r="AC76" s="119">
        <f>IF(OR(t&lt;Tnet,NoTnet),'2019'!Resal_s+('2019'!Salim-'2019'!Resal_s)*(1-EXP(('2019'!Tnet_s-t)/'2019'!Tau_j)),Resal_s+(Salim-Resal_s)*(1-EXP((Tnet_s-t)/Tau_j)))*Salcycl</f>
        <v>9.8564092111576837E-2</v>
      </c>
      <c r="AD76" s="233">
        <f>(INDEX(Models!$BJ76:$BT76,,AH76)*(1-AF76)+INDEX(Models!$BJ76:$BT76,,AH76+1)*AF76-ERP_i)*AE76*Ramure*Pc/MaxiM</f>
        <v>3.4904856102675034E-3</v>
      </c>
      <c r="AE76" s="307">
        <f t="shared" si="12"/>
        <v>0.9</v>
      </c>
      <c r="AF76" s="179">
        <f t="shared" si="21"/>
        <v>0.61059226177898318</v>
      </c>
      <c r="AG76" s="839">
        <f t="shared" si="22"/>
        <v>-2</v>
      </c>
      <c r="AH76" s="178">
        <f t="shared" si="13"/>
        <v>4</v>
      </c>
      <c r="AI76" s="227">
        <f t="shared" si="23"/>
        <v>-1.3894077382210168</v>
      </c>
      <c r="AJ76" s="267" t="b">
        <f t="shared" si="14"/>
        <v>0</v>
      </c>
      <c r="AK76" s="267" t="b">
        <f t="shared" si="15"/>
        <v>0</v>
      </c>
      <c r="AL76" s="267"/>
      <c r="AM76" s="267"/>
      <c r="AN76" s="75"/>
    </row>
    <row r="77" spans="1:40" s="6" customFormat="1" ht="11.25" x14ac:dyDescent="0.2">
      <c r="A77" s="56">
        <f t="shared" si="16"/>
        <v>43893</v>
      </c>
      <c r="B77" s="620">
        <v>4.9800000000000004</v>
      </c>
      <c r="C77" s="392"/>
      <c r="D77" s="395">
        <f t="shared" si="0"/>
        <v>5.0476737592021648</v>
      </c>
      <c r="E77" s="387">
        <f t="shared" si="17"/>
        <v>5.600309297315099</v>
      </c>
      <c r="F77" s="387">
        <f t="shared" si="1"/>
        <v>5.600309297315099</v>
      </c>
      <c r="G77" s="110">
        <f t="shared" si="18"/>
        <v>0.14443799526282272</v>
      </c>
      <c r="H77" s="416" t="b">
        <f>Wh_hp&gt;='2019'!Maxi_hp</f>
        <v>0</v>
      </c>
      <c r="I77" s="382">
        <f>IF(H77,Wh_hp,'2019'!Maxi_hp)</f>
        <v>9.950356555120246</v>
      </c>
      <c r="J77" s="85">
        <f>IF(H77,An,'2019'!An_max)</f>
        <v>2019</v>
      </c>
      <c r="K77" s="199">
        <f t="shared" si="19"/>
        <v>43893</v>
      </c>
      <c r="L77" s="147">
        <f>IF(t&lt;Tvie,1-EXP((T0-t)*PertePVj)+'2019'!Pspv,1-EXP((T0-t)*PertePVj)+Pspv)</f>
        <v>1.3406920183538285E-2</v>
      </c>
      <c r="M77" s="872"/>
      <c r="N77" s="872"/>
      <c r="O77" s="48">
        <f>IF(t&lt;Tnet,'2019'!Resal+('2019'!Salim-'2019'!Resal)*(1-EXP(('2019'!Tnet-t)/('2019'!Tau_j))),Resal+(Salim-Resal)*(1-EXP((Tnet-t)/(Tau_j))))*Salcycl</f>
        <v>9.8679467289043962E-2</v>
      </c>
      <c r="P77" s="171">
        <f>(INDEX(Models!$BJ77:$BT77,,T77)*(1-R77)+INDEX(Models!$BJ77:$BT77,,T77+1)*R77-ERP_i)*Q77*Ramure*Pc/MaxiM</f>
        <v>3.4787507064403199E-3</v>
      </c>
      <c r="Q77" s="307">
        <f t="shared" si="2"/>
        <v>0.9</v>
      </c>
      <c r="R77" s="179">
        <f t="shared" si="3"/>
        <v>0.61107826414212063</v>
      </c>
      <c r="S77" s="839">
        <f t="shared" si="4"/>
        <v>-2</v>
      </c>
      <c r="T77" s="178">
        <f t="shared" si="5"/>
        <v>4</v>
      </c>
      <c r="U77" s="253">
        <f t="shared" si="20"/>
        <v>-1.3889217358578794</v>
      </c>
      <c r="V77" s="385">
        <f t="shared" si="6"/>
        <v>34.358520501836985</v>
      </c>
      <c r="W77" s="404"/>
      <c r="X77" s="157">
        <f t="shared" si="7"/>
        <v>43893</v>
      </c>
      <c r="Y77" s="387">
        <f t="shared" si="8"/>
        <v>4.9800000000000004</v>
      </c>
      <c r="Z77" s="387">
        <f t="shared" si="9"/>
        <v>5.0476737592021648</v>
      </c>
      <c r="AA77" s="388">
        <f t="shared" si="10"/>
        <v>5.600309297315099</v>
      </c>
      <c r="AB77" s="199">
        <f t="shared" si="11"/>
        <v>43893</v>
      </c>
      <c r="AC77" s="119">
        <f>IF(OR(t&lt;Tnet,NoTnet),'2019'!Resal_s+('2019'!Salim-'2019'!Resal_s)*(1-EXP(('2019'!Tnet_s-t)/'2019'!Tau_j)),Resal_s+(Salim-Resal_s)*(1-EXP((Tnet_s-t)/Tau_j)))*Salcycl</f>
        <v>9.8679467289043962E-2</v>
      </c>
      <c r="AD77" s="233">
        <f>(INDEX(Models!$BJ77:$BT77,,AH77)*(1-AF77)+INDEX(Models!$BJ77:$BT77,,AH77+1)*AF77-ERP_i)*AE77*Ramure*Pc/MaxiM</f>
        <v>3.4787507064403199E-3</v>
      </c>
      <c r="AE77" s="307">
        <f t="shared" si="12"/>
        <v>0.9</v>
      </c>
      <c r="AF77" s="179">
        <f t="shared" si="21"/>
        <v>0.61107826414212063</v>
      </c>
      <c r="AG77" s="839">
        <f t="shared" si="22"/>
        <v>-2</v>
      </c>
      <c r="AH77" s="178">
        <f t="shared" si="13"/>
        <v>4</v>
      </c>
      <c r="AI77" s="227">
        <f t="shared" si="23"/>
        <v>-1.3889217358578794</v>
      </c>
      <c r="AJ77" s="267" t="b">
        <f t="shared" si="14"/>
        <v>0</v>
      </c>
      <c r="AK77" s="267" t="b">
        <f t="shared" si="15"/>
        <v>0</v>
      </c>
      <c r="AL77" s="267"/>
      <c r="AM77" s="267"/>
      <c r="AN77" s="75"/>
    </row>
    <row r="78" spans="1:40" s="6" customFormat="1" ht="11.25" customHeight="1" x14ac:dyDescent="0.2">
      <c r="A78" s="56">
        <f t="shared" si="16"/>
        <v>43894</v>
      </c>
      <c r="B78" s="620">
        <v>7.944</v>
      </c>
      <c r="C78" s="392"/>
      <c r="D78" s="395">
        <f t="shared" si="0"/>
        <v>8.0521392611689233</v>
      </c>
      <c r="E78" s="387">
        <f t="shared" si="17"/>
        <v>8.9348545027996735</v>
      </c>
      <c r="F78" s="387">
        <f t="shared" si="1"/>
        <v>8.9348545027996735</v>
      </c>
      <c r="G78" s="110">
        <f t="shared" si="18"/>
        <v>0.2278183772938166</v>
      </c>
      <c r="H78" s="416" t="b">
        <f>Wh_hp&gt;='2019'!Maxi_hp</f>
        <v>0</v>
      </c>
      <c r="I78" s="382">
        <f>IF(H78,Wh_hp,'2019'!Maxi_hp)</f>
        <v>38.591105820273576</v>
      </c>
      <c r="J78" s="85">
        <f>IF(H78,An,'2019'!An_max)</f>
        <v>2019</v>
      </c>
      <c r="K78" s="199">
        <f t="shared" si="19"/>
        <v>43894</v>
      </c>
      <c r="L78" s="147">
        <f>IF(t&lt;Tvie,1-EXP((T0-t)*PertePVj)+'2019'!Pspv,1-EXP((T0-t)*PertePVj)+Pspv)</f>
        <v>1.3429879645825316E-2</v>
      </c>
      <c r="M78" s="872"/>
      <c r="N78" s="872"/>
      <c r="O78" s="48">
        <f>IF(t&lt;Tnet,'2019'!Resal+('2019'!Salim-'2019'!Resal)*(1-EXP(('2019'!Tnet-t)/('2019'!Tau_j))),Resal+(Salim-Resal)*(1-EXP((Tnet-t)/(Tau_j))))*Salcycl</f>
        <v>9.8794584887102285E-2</v>
      </c>
      <c r="P78" s="171">
        <f>(INDEX(Models!$BJ78:$BT78,,T78)*(1-R78)+INDEX(Models!$BJ78:$BT78,,T78+1)*R78-ERP_i)*Q78*Ramure*Pc/MaxiM</f>
        <v>3.4767246855605294E-3</v>
      </c>
      <c r="Q78" s="307">
        <f t="shared" si="2"/>
        <v>0.9</v>
      </c>
      <c r="R78" s="179">
        <f t="shared" si="3"/>
        <v>0.61158392688277452</v>
      </c>
      <c r="S78" s="839">
        <f t="shared" si="4"/>
        <v>-2</v>
      </c>
      <c r="T78" s="178">
        <f t="shared" si="5"/>
        <v>4</v>
      </c>
      <c r="U78" s="253">
        <f t="shared" si="20"/>
        <v>-1.3884160731172255</v>
      </c>
      <c r="V78" s="385">
        <f t="shared" si="6"/>
        <v>34.748649310622454</v>
      </c>
      <c r="W78" s="404"/>
      <c r="X78" s="157">
        <f t="shared" si="7"/>
        <v>43894</v>
      </c>
      <c r="Y78" s="387">
        <f t="shared" si="8"/>
        <v>7.944</v>
      </c>
      <c r="Z78" s="387">
        <f t="shared" si="9"/>
        <v>8.0521392611689233</v>
      </c>
      <c r="AA78" s="388">
        <f t="shared" si="10"/>
        <v>8.9348545027996735</v>
      </c>
      <c r="AB78" s="199">
        <f t="shared" si="11"/>
        <v>43894</v>
      </c>
      <c r="AC78" s="119">
        <f>IF(OR(t&lt;Tnet,NoTnet),'2019'!Resal_s+('2019'!Salim-'2019'!Resal_s)*(1-EXP(('2019'!Tnet_s-t)/'2019'!Tau_j)),Resal_s+(Salim-Resal_s)*(1-EXP((Tnet_s-t)/Tau_j)))*Salcycl</f>
        <v>9.8794584887102285E-2</v>
      </c>
      <c r="AD78" s="233">
        <f>(INDEX(Models!$BJ78:$BT78,,AH78)*(1-AF78)+INDEX(Models!$BJ78:$BT78,,AH78+1)*AF78-ERP_i)*AE78*Ramure*Pc/MaxiM</f>
        <v>3.4767246855605294E-3</v>
      </c>
      <c r="AE78" s="307">
        <f t="shared" si="12"/>
        <v>0.9</v>
      </c>
      <c r="AF78" s="179">
        <f t="shared" si="21"/>
        <v>0.61158392688277452</v>
      </c>
      <c r="AG78" s="839">
        <f t="shared" si="22"/>
        <v>-2</v>
      </c>
      <c r="AH78" s="178">
        <f t="shared" si="13"/>
        <v>4</v>
      </c>
      <c r="AI78" s="227">
        <f t="shared" si="23"/>
        <v>-1.3884160731172255</v>
      </c>
      <c r="AJ78" s="267" t="b">
        <f t="shared" si="14"/>
        <v>0</v>
      </c>
      <c r="AK78" s="267" t="b">
        <f t="shared" si="15"/>
        <v>0</v>
      </c>
      <c r="AL78" s="267"/>
      <c r="AM78" s="267"/>
      <c r="AN78" s="75"/>
    </row>
    <row r="79" spans="1:40" s="6" customFormat="1" ht="11.25" x14ac:dyDescent="0.2">
      <c r="A79" s="56">
        <f t="shared" si="16"/>
        <v>43895</v>
      </c>
      <c r="B79" s="620">
        <v>10.907</v>
      </c>
      <c r="C79" s="392"/>
      <c r="D79" s="395">
        <f t="shared" ref="D79:D142" si="24">Wh/(1-Ppv)</f>
        <v>11.055730963973836</v>
      </c>
      <c r="E79" s="387">
        <f t="shared" si="17"/>
        <v>12.269278833707105</v>
      </c>
      <c r="F79" s="387">
        <f t="shared" ref="F79:F142" si="25">Wh_sa/(1-Pvg*MEDIAN((-Sdif+Wh/Env_an)/Csdif,0,1))</f>
        <v>12.269912807669776</v>
      </c>
      <c r="G79" s="110">
        <f t="shared" si="18"/>
        <v>0.30931613609988423</v>
      </c>
      <c r="H79" s="416" t="b">
        <f>Wh_hp&gt;='2019'!Maxi_hp</f>
        <v>0</v>
      </c>
      <c r="I79" s="382">
        <f>IF(H79,Wh_hp,'2019'!Maxi_hp)</f>
        <v>24.167812123505598</v>
      </c>
      <c r="J79" s="85">
        <f>IF(H79,An,'2019'!An_max)</f>
        <v>2019</v>
      </c>
      <c r="K79" s="199">
        <f t="shared" ref="K79:K142" si="26">t</f>
        <v>43895</v>
      </c>
      <c r="L79" s="147">
        <f>IF(t&lt;Tvie,1-EXP((T0-t)*PertePVj)+'2019'!Pspv,1-EXP((T0-t)*PertePVj)+Pspv)</f>
        <v>1.3452838573812187E-2</v>
      </c>
      <c r="M79" s="872"/>
      <c r="N79" s="872"/>
      <c r="O79" s="48">
        <f>IF(t&lt;Tnet,'2019'!Resal+('2019'!Salim-'2019'!Resal)*(1-EXP(('2019'!Tnet-t)/('2019'!Tau_j))),Resal+(Salim-Resal)*(1-EXP((Tnet-t)/(Tau_j))))*Salcycl</f>
        <v>9.8909470245253261E-2</v>
      </c>
      <c r="P79" s="171">
        <f>(INDEX(Models!$BJ79:$BT79,,T79)*(1-R79)+INDEX(Models!$BJ79:$BT79,,T79+1)*R79-ERP_i)*Q79*Ramure*Pc/MaxiM</f>
        <v>3.4839183418539105E-3</v>
      </c>
      <c r="Q79" s="307">
        <f t="shared" ref="Q79:Q142" si="27">IF(OR(t&lt;Ttai,Notai),Dd+PousD*Croivg,Dens+PousD*(Croivg-Croi_tai))</f>
        <v>0.9</v>
      </c>
      <c r="R79" s="179">
        <f t="shared" ref="R79:R142" si="28">(Hp_vg-S79)/(INDEX(Echel_vg,T79+1)-S79)</f>
        <v>0.61211001413663202</v>
      </c>
      <c r="S79" s="839">
        <f t="shared" ref="S79:S142" si="29">INDEX(Echel_vg,T79)</f>
        <v>-2</v>
      </c>
      <c r="T79" s="178">
        <f t="shared" ref="T79:T142" si="30">MIN(MATCH(Hp_vg,Echel_vg),10)</f>
        <v>4</v>
      </c>
      <c r="U79" s="253">
        <f t="shared" ref="U79:U142" si="31">IF(OR(t&lt;Ttai,Notai),Hdd+PousH*Croivg,Hdtf+PousH*(Croivg-Croi_tai))</f>
        <v>-1.387889985863368</v>
      </c>
      <c r="V79" s="385">
        <f t="shared" ref="V79:V142" si="32">MaxiM*(1-Ppv)*(1-Pvg)*(1-Psa)</f>
        <v>35.140625571559809</v>
      </c>
      <c r="W79" s="404"/>
      <c r="X79" s="157">
        <f t="shared" ref="X79:X142" si="33">t</f>
        <v>43895</v>
      </c>
      <c r="Y79" s="387">
        <f t="shared" ref="Y79:Y142" si="34">Wh_pvt_s*(1-Ppv)</f>
        <v>10.907</v>
      </c>
      <c r="Z79" s="387">
        <f t="shared" ref="Z79:Z142" si="35">Wh_sa_s*(1-Psa_s)</f>
        <v>11.055730963973836</v>
      </c>
      <c r="AA79" s="388">
        <f t="shared" ref="AA79:AA142" si="36">Wh_hp*(1-Pvg_s*MEDIAN((-Sdif+Wh/Env_an)/Csdif,0,1))</f>
        <v>12.269278833707105</v>
      </c>
      <c r="AB79" s="199">
        <f t="shared" ref="AB79:AB142" si="37">t</f>
        <v>43895</v>
      </c>
      <c r="AC79" s="119">
        <f>IF(OR(t&lt;Tnet,NoTnet),'2019'!Resal_s+('2019'!Salim-'2019'!Resal_s)*(1-EXP(('2019'!Tnet_s-t)/'2019'!Tau_j)),Resal_s+(Salim-Resal_s)*(1-EXP((Tnet_s-t)/Tau_j)))*Salcycl</f>
        <v>9.8909470245253261E-2</v>
      </c>
      <c r="AD79" s="233">
        <f>(INDEX(Models!$BJ79:$BT79,,AH79)*(1-AF79)+INDEX(Models!$BJ79:$BT79,,AH79+1)*AF79-ERP_i)*AE79*Ramure*Pc/MaxiM</f>
        <v>3.4839183418539105E-3</v>
      </c>
      <c r="AE79" s="307">
        <f t="shared" ref="AE79:AE142" si="38">IF(OR(t&lt;Ttai,Notai),Dd_s+PousD*Croivg,Dens_s+PousD*(Croivg-Croi_tai))</f>
        <v>0.9</v>
      </c>
      <c r="AF79" s="179">
        <f t="shared" ref="AF79:AF142" si="39">(Hp_vg_s-AG79)/(INDEX(Echel_vg,AH79+1)-AG79)</f>
        <v>0.61211001413663202</v>
      </c>
      <c r="AG79" s="839">
        <f t="shared" si="22"/>
        <v>-2</v>
      </c>
      <c r="AH79" s="178">
        <f t="shared" ref="AH79:AH142" si="40">MIN(MATCH(Hp_vg_s,Echel_vg),10)</f>
        <v>4</v>
      </c>
      <c r="AI79" s="227">
        <f t="shared" ref="AI79:AI142" si="41">IF(OR(t&lt;Ttai,Notai),Hdd_s+PousH*Croivg,Hdtai_s+PousH*(Croivg-Croi_tai))</f>
        <v>-1.387889985863368</v>
      </c>
      <c r="AJ79" s="267" t="b">
        <f t="shared" ref="AJ79:AJ142" si="42">t&lt;Tnet</f>
        <v>0</v>
      </c>
      <c r="AK79" s="267" t="b">
        <f t="shared" ref="AK79:AK142" si="43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4">A79+1</f>
        <v>43896</v>
      </c>
      <c r="B80" s="620">
        <v>20.673999999999999</v>
      </c>
      <c r="C80" s="392"/>
      <c r="D80" s="395">
        <f t="shared" si="24"/>
        <v>20.956404248826271</v>
      </c>
      <c r="E80" s="387">
        <f t="shared" ref="E80:E143" si="45">Wh_pvt/(1-Psa)</f>
        <v>23.259673700440054</v>
      </c>
      <c r="F80" s="387">
        <f t="shared" si="25"/>
        <v>23.292472443359575</v>
      </c>
      <c r="G80" s="110">
        <f t="shared" ref="G80:G143" si="46">+Wh_hp/MaxiM</f>
        <v>0.58055423813946427</v>
      </c>
      <c r="H80" s="416" t="b">
        <f>Wh_hp&gt;='2019'!Maxi_hp</f>
        <v>0</v>
      </c>
      <c r="I80" s="382">
        <f>IF(H80,Wh_hp,'2019'!Maxi_hp)</f>
        <v>36.40417096783824</v>
      </c>
      <c r="J80" s="85">
        <f>IF(H80,An,'2019'!An_max)</f>
        <v>2019</v>
      </c>
      <c r="K80" s="199">
        <f t="shared" si="26"/>
        <v>43896</v>
      </c>
      <c r="L80" s="147">
        <f>IF(t&lt;Tvie,1-EXP((T0-t)*PertePVj)+'2019'!Pspv,1-EXP((T0-t)*PertePVj)+Pspv)</f>
        <v>1.3475796967511111E-2</v>
      </c>
      <c r="M80" s="872"/>
      <c r="N80" s="872"/>
      <c r="O80" s="48">
        <f>IF(t&lt;Tnet,'2019'!Resal+('2019'!Salim-'2019'!Resal)*(1-EXP(('2019'!Tnet-t)/('2019'!Tau_j))),Resal+(Salim-Resal)*(1-EXP((Tnet-t)/(Tau_j))))*Salcycl</f>
        <v>9.9024151468221425E-2</v>
      </c>
      <c r="P80" s="171">
        <f>(INDEX(Models!$BJ80:$BT80,,T80)*(1-R80)+INDEX(Models!$BJ80:$BT80,,T80+1)*R80-ERP_i)*Q80*Ramure*Pc/MaxiM</f>
        <v>3.4981786819468529E-3</v>
      </c>
      <c r="Q80" s="307">
        <f t="shared" si="27"/>
        <v>0.9</v>
      </c>
      <c r="R80" s="179">
        <f t="shared" si="28"/>
        <v>0.61265731712284177</v>
      </c>
      <c r="S80" s="839">
        <f t="shared" si="29"/>
        <v>-2</v>
      </c>
      <c r="T80" s="178">
        <f t="shared" si="30"/>
        <v>4</v>
      </c>
      <c r="U80" s="253">
        <f t="shared" si="31"/>
        <v>-1.3873426828771582</v>
      </c>
      <c r="V80" s="385">
        <f t="shared" si="32"/>
        <v>35.536265125705206</v>
      </c>
      <c r="W80" s="404"/>
      <c r="X80" s="157">
        <f t="shared" si="33"/>
        <v>43896</v>
      </c>
      <c r="Y80" s="387">
        <f t="shared" si="34"/>
        <v>20.673999999999999</v>
      </c>
      <c r="Z80" s="387">
        <f t="shared" si="35"/>
        <v>20.956404248826271</v>
      </c>
      <c r="AA80" s="388">
        <f t="shared" si="36"/>
        <v>23.259673700440054</v>
      </c>
      <c r="AB80" s="199">
        <f t="shared" si="37"/>
        <v>43896</v>
      </c>
      <c r="AC80" s="119">
        <f>IF(OR(t&lt;Tnet,NoTnet),'2019'!Resal_s+('2019'!Salim-'2019'!Resal_s)*(1-EXP(('2019'!Tnet_s-t)/'2019'!Tau_j)),Resal_s+(Salim-Resal_s)*(1-EXP((Tnet_s-t)/Tau_j)))*Salcycl</f>
        <v>9.9024151468221425E-2</v>
      </c>
      <c r="AD80" s="233">
        <f>(INDEX(Models!$BJ80:$BT80,,AH80)*(1-AF80)+INDEX(Models!$BJ80:$BT80,,AH80+1)*AF80-ERP_i)*AE80*Ramure*Pc/MaxiM</f>
        <v>3.4981786819468529E-3</v>
      </c>
      <c r="AE80" s="307">
        <f t="shared" si="38"/>
        <v>0.9</v>
      </c>
      <c r="AF80" s="179">
        <f t="shared" si="39"/>
        <v>0.61265731712284177</v>
      </c>
      <c r="AG80" s="839">
        <f t="shared" ref="AG80:AG143" si="47">INDEX(Echel_vg,AH80)</f>
        <v>-2</v>
      </c>
      <c r="AH80" s="178">
        <f t="shared" si="40"/>
        <v>4</v>
      </c>
      <c r="AI80" s="227">
        <f t="shared" si="41"/>
        <v>-1.3873426828771582</v>
      </c>
      <c r="AJ80" s="267" t="b">
        <f t="shared" si="42"/>
        <v>0</v>
      </c>
      <c r="AK80" s="267" t="b">
        <f t="shared" si="43"/>
        <v>0</v>
      </c>
      <c r="AL80" s="267"/>
      <c r="AM80" s="267"/>
      <c r="AN80" s="75"/>
    </row>
    <row r="81" spans="1:40" s="6" customFormat="1" ht="11.25" x14ac:dyDescent="0.2">
      <c r="A81" s="56">
        <f t="shared" si="44"/>
        <v>43897</v>
      </c>
      <c r="B81" s="620">
        <v>26.672000000000001</v>
      </c>
      <c r="C81" s="392"/>
      <c r="D81" s="395">
        <f t="shared" si="24"/>
        <v>27.036965366750088</v>
      </c>
      <c r="E81" s="387">
        <f t="shared" si="45"/>
        <v>30.012349456587653</v>
      </c>
      <c r="F81" s="387">
        <f t="shared" si="25"/>
        <v>30.079041680931038</v>
      </c>
      <c r="G81" s="110">
        <f t="shared" si="46"/>
        <v>0.7412610806826716</v>
      </c>
      <c r="H81" s="416" t="b">
        <f>Wh_hp&gt;='2019'!Maxi_hp</f>
        <v>1</v>
      </c>
      <c r="I81" s="382">
        <f>IF(H81,Wh_hp,'2019'!Maxi_hp)</f>
        <v>30.079041680931038</v>
      </c>
      <c r="J81" s="85">
        <f>IF(H81,An,'2019'!An_max)</f>
        <v>2020</v>
      </c>
      <c r="K81" s="199">
        <f t="shared" si="26"/>
        <v>43897</v>
      </c>
      <c r="L81" s="147">
        <f>IF(t&lt;Tvie,1-EXP((T0-t)*PertePVj)+'2019'!Pspv,1-EXP((T0-t)*PertePVj)+Pspv)</f>
        <v>1.3498754826934856E-2</v>
      </c>
      <c r="M81" s="872"/>
      <c r="N81" s="872"/>
      <c r="O81" s="48">
        <f>IF(t&lt;Tnet,'2019'!Resal+('2019'!Salim-'2019'!Resal)*(1-EXP(('2019'!Tnet-t)/('2019'!Tau_j))),Resal+(Salim-Resal)*(1-EXP((Tnet-t)/(Tau_j))))*Salcycl</f>
        <v>9.9138659375581653E-2</v>
      </c>
      <c r="P81" s="171">
        <f>(INDEX(Models!$BJ81:$BT81,,T81)*(1-R81)+INDEX(Models!$BJ81:$BT81,,T81+1)*R81-ERP_i)*Q81*Ramure*Pc/MaxiM</f>
        <v>3.5096871860298595E-3</v>
      </c>
      <c r="Q81" s="307">
        <f t="shared" si="27"/>
        <v>0.9</v>
      </c>
      <c r="R81" s="179">
        <f t="shared" si="28"/>
        <v>0.61322665488233596</v>
      </c>
      <c r="S81" s="839">
        <f t="shared" si="29"/>
        <v>-2</v>
      </c>
      <c r="T81" s="178">
        <f t="shared" si="30"/>
        <v>4</v>
      </c>
      <c r="U81" s="253">
        <f t="shared" si="31"/>
        <v>-1.386773345117664</v>
      </c>
      <c r="V81" s="385">
        <f t="shared" si="32"/>
        <v>35.935315822970821</v>
      </c>
      <c r="W81" s="404"/>
      <c r="X81" s="157">
        <f t="shared" si="33"/>
        <v>43897</v>
      </c>
      <c r="Y81" s="387">
        <f t="shared" si="34"/>
        <v>26.672000000000001</v>
      </c>
      <c r="Z81" s="387">
        <f t="shared" si="35"/>
        <v>27.036965366750088</v>
      </c>
      <c r="AA81" s="388">
        <f t="shared" si="36"/>
        <v>30.012349456587653</v>
      </c>
      <c r="AB81" s="199">
        <f t="shared" si="37"/>
        <v>43897</v>
      </c>
      <c r="AC81" s="119">
        <f>IF(OR(t&lt;Tnet,NoTnet),'2019'!Resal_s+('2019'!Salim-'2019'!Resal_s)*(1-EXP(('2019'!Tnet_s-t)/'2019'!Tau_j)),Resal_s+(Salim-Resal_s)*(1-EXP((Tnet_s-t)/Tau_j)))*Salcycl</f>
        <v>9.9138659375581653E-2</v>
      </c>
      <c r="AD81" s="233">
        <f>(INDEX(Models!$BJ81:$BT81,,AH81)*(1-AF81)+INDEX(Models!$BJ81:$BT81,,AH81+1)*AF81-ERP_i)*AE81*Ramure*Pc/MaxiM</f>
        <v>3.5096871860298595E-3</v>
      </c>
      <c r="AE81" s="307">
        <f t="shared" si="38"/>
        <v>0.9</v>
      </c>
      <c r="AF81" s="179">
        <f t="shared" si="39"/>
        <v>0.61322665488233596</v>
      </c>
      <c r="AG81" s="839">
        <f t="shared" si="47"/>
        <v>-2</v>
      </c>
      <c r="AH81" s="178">
        <f t="shared" si="40"/>
        <v>4</v>
      </c>
      <c r="AI81" s="227">
        <f t="shared" si="41"/>
        <v>-1.386773345117664</v>
      </c>
      <c r="AJ81" s="267" t="b">
        <f t="shared" si="42"/>
        <v>0</v>
      </c>
      <c r="AK81" s="267" t="b">
        <f t="shared" si="43"/>
        <v>0</v>
      </c>
      <c r="AL81" s="267"/>
      <c r="AM81" s="267"/>
      <c r="AN81" s="75"/>
    </row>
    <row r="82" spans="1:40" s="6" customFormat="1" ht="11.25" x14ac:dyDescent="0.2">
      <c r="A82" s="56">
        <f t="shared" si="44"/>
        <v>43898</v>
      </c>
      <c r="B82" s="620">
        <v>29.3</v>
      </c>
      <c r="C82" s="392"/>
      <c r="D82" s="395">
        <f t="shared" si="24"/>
        <v>29.701616711626485</v>
      </c>
      <c r="E82" s="387">
        <f t="shared" si="45"/>
        <v>32.974428575703968</v>
      </c>
      <c r="F82" s="387">
        <f t="shared" si="25"/>
        <v>33.05856695793107</v>
      </c>
      <c r="G82" s="110">
        <f t="shared" si="46"/>
        <v>0.80554975379976435</v>
      </c>
      <c r="H82" s="416" t="b">
        <f>Wh_hp&gt;='2019'!Maxi_hp</f>
        <v>1</v>
      </c>
      <c r="I82" s="382">
        <f>IF(H82,Wh_hp,'2019'!Maxi_hp)</f>
        <v>33.05856695793107</v>
      </c>
      <c r="J82" s="85">
        <f>IF(H82,An,'2019'!An_max)</f>
        <v>2020</v>
      </c>
      <c r="K82" s="199">
        <f t="shared" si="26"/>
        <v>43898</v>
      </c>
      <c r="L82" s="147">
        <f>IF(t&lt;Tvie,1-EXP((T0-t)*PertePVj)+'2019'!Pspv,1-EXP((T0-t)*PertePVj)+Pspv)</f>
        <v>1.3521712152095522E-2</v>
      </c>
      <c r="M82" s="872"/>
      <c r="N82" s="872"/>
      <c r="O82" s="48">
        <f>IF(t&lt;Tnet,'2019'!Resal+('2019'!Salim-'2019'!Resal)*(1-EXP(('2019'!Tnet-t)/('2019'!Tau_j))),Resal+(Salim-Resal)*(1-EXP((Tnet-t)/(Tau_j))))*Salcycl</f>
        <v>9.9253027434990676E-2</v>
      </c>
      <c r="P82" s="171">
        <f>(INDEX(Models!$BJ82:$BT82,,T82)*(1-R82)+INDEX(Models!$BJ82:$BT82,,T82+1)*R82-ERP_i)*Q82*Ramure*Pc/MaxiM</f>
        <v>3.5185908814497715E-3</v>
      </c>
      <c r="Q82" s="307">
        <f t="shared" si="27"/>
        <v>0.9</v>
      </c>
      <c r="R82" s="179">
        <f t="shared" si="28"/>
        <v>0.61381887501655763</v>
      </c>
      <c r="S82" s="839">
        <f t="shared" si="29"/>
        <v>-2</v>
      </c>
      <c r="T82" s="178">
        <f t="shared" si="30"/>
        <v>4</v>
      </c>
      <c r="U82" s="253">
        <f t="shared" si="31"/>
        <v>-1.3861811249834424</v>
      </c>
      <c r="V82" s="385">
        <f t="shared" si="32"/>
        <v>36.337178067263338</v>
      </c>
      <c r="W82" s="404"/>
      <c r="X82" s="157">
        <f t="shared" si="33"/>
        <v>43898</v>
      </c>
      <c r="Y82" s="387">
        <f t="shared" si="34"/>
        <v>29.299999999999997</v>
      </c>
      <c r="Z82" s="387">
        <f t="shared" si="35"/>
        <v>29.701616711626482</v>
      </c>
      <c r="AA82" s="388">
        <f t="shared" si="36"/>
        <v>32.974428575703968</v>
      </c>
      <c r="AB82" s="199">
        <f t="shared" si="37"/>
        <v>43898</v>
      </c>
      <c r="AC82" s="119">
        <f>IF(OR(t&lt;Tnet,NoTnet),'2019'!Resal_s+('2019'!Salim-'2019'!Resal_s)*(1-EXP(('2019'!Tnet_s-t)/'2019'!Tau_j)),Resal_s+(Salim-Resal_s)*(1-EXP((Tnet_s-t)/Tau_j)))*Salcycl</f>
        <v>9.9253027434990676E-2</v>
      </c>
      <c r="AD82" s="233">
        <f>(INDEX(Models!$BJ82:$BT82,,AH82)*(1-AF82)+INDEX(Models!$BJ82:$BT82,,AH82+1)*AF82-ERP_i)*AE82*Ramure*Pc/MaxiM</f>
        <v>3.5185908814497715E-3</v>
      </c>
      <c r="AE82" s="307">
        <f t="shared" si="38"/>
        <v>0.9</v>
      </c>
      <c r="AF82" s="179">
        <f t="shared" si="39"/>
        <v>0.61381887501655763</v>
      </c>
      <c r="AG82" s="839">
        <f t="shared" si="47"/>
        <v>-2</v>
      </c>
      <c r="AH82" s="178">
        <f t="shared" si="40"/>
        <v>4</v>
      </c>
      <c r="AI82" s="227">
        <f t="shared" si="41"/>
        <v>-1.3861811249834424</v>
      </c>
      <c r="AJ82" s="267" t="b">
        <f t="shared" si="42"/>
        <v>0</v>
      </c>
      <c r="AK82" s="267" t="b">
        <f t="shared" si="43"/>
        <v>0</v>
      </c>
      <c r="AL82" s="267"/>
      <c r="AM82" s="267"/>
      <c r="AN82" s="75"/>
    </row>
    <row r="83" spans="1:40" s="6" customFormat="1" ht="11.25" customHeight="1" x14ac:dyDescent="0.2">
      <c r="A83" s="56">
        <f t="shared" si="44"/>
        <v>43899</v>
      </c>
      <c r="B83" s="620">
        <v>26.603999999999999</v>
      </c>
      <c r="C83" s="392"/>
      <c r="D83" s="395">
        <f t="shared" si="24"/>
        <v>26.96929010611521</v>
      </c>
      <c r="E83" s="387">
        <f t="shared" si="45"/>
        <v>29.944826405895878</v>
      </c>
      <c r="F83" s="387">
        <f t="shared" si="25"/>
        <v>30.008914017740892</v>
      </c>
      <c r="G83" s="110">
        <f t="shared" si="46"/>
        <v>0.72308250718449529</v>
      </c>
      <c r="H83" s="416" t="b">
        <f>Wh_hp&gt;='2019'!Maxi_hp</f>
        <v>1</v>
      </c>
      <c r="I83" s="382">
        <f>IF(H83,Wh_hp,'2019'!Maxi_hp)</f>
        <v>30.008914017740892</v>
      </c>
      <c r="J83" s="85">
        <f>IF(H83,An,'2019'!An_max)</f>
        <v>2020</v>
      </c>
      <c r="K83" s="199">
        <f t="shared" si="26"/>
        <v>43899</v>
      </c>
      <c r="L83" s="147">
        <f>IF(t&lt;Tvie,1-EXP((T0-t)*PertePVj)+'2019'!Pspv,1-EXP((T0-t)*PertePVj)+Pspv)</f>
        <v>1.3544668943005767E-2</v>
      </c>
      <c r="M83" s="872"/>
      <c r="N83" s="872"/>
      <c r="O83" s="48">
        <f>IF(t&lt;Tnet,'2019'!Resal+('2019'!Salim-'2019'!Resal)*(1-EXP(('2019'!Tnet-t)/('2019'!Tau_j))),Resal+(Salim-Resal)*(1-EXP((Tnet-t)/(Tau_j))))*Salcycl</f>
        <v>9.9367291679968106E-2</v>
      </c>
      <c r="P83" s="171">
        <f>(INDEX(Models!$BJ83:$BT83,,T83)*(1-R83)+INDEX(Models!$BJ83:$BT83,,T83+1)*R83-ERP_i)*Q83*Ramure*Pc/MaxiM</f>
        <v>3.5250321191550404E-3</v>
      </c>
      <c r="Q83" s="307">
        <f t="shared" si="27"/>
        <v>0.9</v>
      </c>
      <c r="R83" s="179">
        <f t="shared" si="28"/>
        <v>0.61443485442442913</v>
      </c>
      <c r="S83" s="839">
        <f t="shared" si="29"/>
        <v>-2</v>
      </c>
      <c r="T83" s="178">
        <f t="shared" si="30"/>
        <v>4</v>
      </c>
      <c r="U83" s="253">
        <f t="shared" si="31"/>
        <v>-1.3855651455755709</v>
      </c>
      <c r="V83" s="385">
        <f t="shared" si="32"/>
        <v>36.741252462757849</v>
      </c>
      <c r="W83" s="404"/>
      <c r="X83" s="157">
        <f t="shared" si="33"/>
        <v>43899</v>
      </c>
      <c r="Y83" s="387">
        <f t="shared" si="34"/>
        <v>26.603999999999999</v>
      </c>
      <c r="Z83" s="387">
        <f t="shared" si="35"/>
        <v>26.96929010611521</v>
      </c>
      <c r="AA83" s="388">
        <f t="shared" si="36"/>
        <v>29.944826405895878</v>
      </c>
      <c r="AB83" s="199">
        <f t="shared" si="37"/>
        <v>43899</v>
      </c>
      <c r="AC83" s="119">
        <f>IF(OR(t&lt;Tnet,NoTnet),'2019'!Resal_s+('2019'!Salim-'2019'!Resal_s)*(1-EXP(('2019'!Tnet_s-t)/'2019'!Tau_j)),Resal_s+(Salim-Resal_s)*(1-EXP((Tnet_s-t)/Tau_j)))*Salcycl</f>
        <v>9.9367291679968106E-2</v>
      </c>
      <c r="AD83" s="233">
        <f>(INDEX(Models!$BJ83:$BT83,,AH83)*(1-AF83)+INDEX(Models!$BJ83:$BT83,,AH83+1)*AF83-ERP_i)*AE83*Ramure*Pc/MaxiM</f>
        <v>3.5250321191550404E-3</v>
      </c>
      <c r="AE83" s="307">
        <f t="shared" si="38"/>
        <v>0.9</v>
      </c>
      <c r="AF83" s="179">
        <f t="shared" si="39"/>
        <v>0.61443485442442913</v>
      </c>
      <c r="AG83" s="839">
        <f t="shared" si="47"/>
        <v>-2</v>
      </c>
      <c r="AH83" s="178">
        <f t="shared" si="40"/>
        <v>4</v>
      </c>
      <c r="AI83" s="227">
        <f t="shared" si="41"/>
        <v>-1.3855651455755709</v>
      </c>
      <c r="AJ83" s="267" t="b">
        <f t="shared" si="42"/>
        <v>0</v>
      </c>
      <c r="AK83" s="267" t="b">
        <f t="shared" si="43"/>
        <v>0</v>
      </c>
      <c r="AL83" s="267"/>
      <c r="AM83" s="267"/>
      <c r="AN83" s="75"/>
    </row>
    <row r="84" spans="1:40" s="6" customFormat="1" ht="11.25" customHeight="1" x14ac:dyDescent="0.2">
      <c r="A84" s="56">
        <f t="shared" si="44"/>
        <v>43900</v>
      </c>
      <c r="B84" s="620">
        <v>28.751000000000001</v>
      </c>
      <c r="C84" s="392"/>
      <c r="D84" s="395">
        <f t="shared" si="24"/>
        <v>29.146448083498786</v>
      </c>
      <c r="E84" s="387">
        <f t="shared" si="45"/>
        <v>32.366295395025993</v>
      </c>
      <c r="F84" s="387">
        <f t="shared" si="25"/>
        <v>32.443824400874902</v>
      </c>
      <c r="G84" s="110">
        <f t="shared" si="46"/>
        <v>0.77309623941565608</v>
      </c>
      <c r="H84" s="416" t="b">
        <f>Wh_hp&gt;='2019'!Maxi_hp</f>
        <v>0</v>
      </c>
      <c r="I84" s="382">
        <f>IF(H84,Wh_hp,'2019'!Maxi_hp)</f>
        <v>33.079373904008349</v>
      </c>
      <c r="J84" s="85">
        <f>IF(H84,An,'2019'!An_max)</f>
        <v>2019</v>
      </c>
      <c r="K84" s="199">
        <f t="shared" si="26"/>
        <v>43900</v>
      </c>
      <c r="L84" s="147">
        <f>IF(t&lt;Tvie,1-EXP((T0-t)*PertePVj)+'2019'!Pspv,1-EXP((T0-t)*PertePVj)+Pspv)</f>
        <v>1.3567625199678024E-2</v>
      </c>
      <c r="M84" s="872"/>
      <c r="N84" s="872"/>
      <c r="O84" s="48">
        <f>IF(t&lt;Tnet,'2019'!Resal+('2019'!Salim-'2019'!Resal)*(1-EXP(('2019'!Tnet-t)/('2019'!Tau_j))),Resal+(Salim-Resal)*(1-EXP((Tnet-t)/(Tau_j))))*Salcycl</f>
        <v>9.9481490613288578E-2</v>
      </c>
      <c r="P84" s="171">
        <f>(INDEX(Models!$BJ84:$BT84,,T84)*(1-R84)+INDEX(Models!$BJ84:$BT84,,T84+1)*R84-ERP_i)*Q84*Ramure*Pc/MaxiM</f>
        <v>3.5291483284840101E-3</v>
      </c>
      <c r="Q84" s="307">
        <f t="shared" si="27"/>
        <v>0.9</v>
      </c>
      <c r="R84" s="179">
        <f t="shared" si="28"/>
        <v>0.61507550003515976</v>
      </c>
      <c r="S84" s="839">
        <f t="shared" si="29"/>
        <v>-2</v>
      </c>
      <c r="T84" s="178">
        <f t="shared" si="30"/>
        <v>4</v>
      </c>
      <c r="U84" s="253">
        <f t="shared" si="31"/>
        <v>-1.3849244999648402</v>
      </c>
      <c r="V84" s="385">
        <f t="shared" si="32"/>
        <v>37.146939807002319</v>
      </c>
      <c r="W84" s="404"/>
      <c r="X84" s="157">
        <f t="shared" si="33"/>
        <v>43900</v>
      </c>
      <c r="Y84" s="387">
        <f t="shared" si="34"/>
        <v>28.751000000000005</v>
      </c>
      <c r="Z84" s="387">
        <f t="shared" si="35"/>
        <v>29.14644808349879</v>
      </c>
      <c r="AA84" s="388">
        <f t="shared" si="36"/>
        <v>32.366295395025993</v>
      </c>
      <c r="AB84" s="199">
        <f t="shared" si="37"/>
        <v>43900</v>
      </c>
      <c r="AC84" s="119">
        <f>IF(OR(t&lt;Tnet,NoTnet),'2019'!Resal_s+('2019'!Salim-'2019'!Resal_s)*(1-EXP(('2019'!Tnet_s-t)/'2019'!Tau_j)),Resal_s+(Salim-Resal_s)*(1-EXP((Tnet_s-t)/Tau_j)))*Salcycl</f>
        <v>9.9481490613288578E-2</v>
      </c>
      <c r="AD84" s="233">
        <f>(INDEX(Models!$BJ84:$BT84,,AH84)*(1-AF84)+INDEX(Models!$BJ84:$BT84,,AH84+1)*AF84-ERP_i)*AE84*Ramure*Pc/MaxiM</f>
        <v>3.5291483284840101E-3</v>
      </c>
      <c r="AE84" s="307">
        <f t="shared" si="38"/>
        <v>0.9</v>
      </c>
      <c r="AF84" s="179">
        <f t="shared" si="39"/>
        <v>0.61507550003515976</v>
      </c>
      <c r="AG84" s="839">
        <f t="shared" si="47"/>
        <v>-2</v>
      </c>
      <c r="AH84" s="178">
        <f t="shared" si="40"/>
        <v>4</v>
      </c>
      <c r="AI84" s="227">
        <f t="shared" si="41"/>
        <v>-1.3849244999648402</v>
      </c>
      <c r="AJ84" s="267" t="b">
        <f t="shared" si="42"/>
        <v>0</v>
      </c>
      <c r="AK84" s="267" t="b">
        <f t="shared" si="43"/>
        <v>0</v>
      </c>
      <c r="AL84" s="267"/>
      <c r="AM84" s="267"/>
      <c r="AN84" s="75"/>
    </row>
    <row r="85" spans="1:40" s="6" customFormat="1" ht="11.25" customHeight="1" x14ac:dyDescent="0.2">
      <c r="A85" s="56">
        <f t="shared" si="44"/>
        <v>43901</v>
      </c>
      <c r="B85" s="620">
        <v>35.399000000000001</v>
      </c>
      <c r="C85" s="392"/>
      <c r="D85" s="395">
        <f t="shared" si="24"/>
        <v>35.886721391095421</v>
      </c>
      <c r="E85" s="387">
        <f t="shared" si="45"/>
        <v>39.85622902955852</v>
      </c>
      <c r="F85" s="387">
        <f t="shared" si="25"/>
        <v>39.985849154638863</v>
      </c>
      <c r="G85" s="110">
        <f t="shared" si="46"/>
        <v>0.94235127155474119</v>
      </c>
      <c r="H85" s="416" t="b">
        <f>Wh_hp&gt;='2019'!Maxi_hp</f>
        <v>1</v>
      </c>
      <c r="I85" s="382">
        <f>IF(H85,Wh_hp,'2019'!Maxi_hp)</f>
        <v>39.985849154638863</v>
      </c>
      <c r="J85" s="85">
        <f>IF(H85,An,'2019'!An_max)</f>
        <v>2020</v>
      </c>
      <c r="K85" s="199">
        <f t="shared" si="26"/>
        <v>43901</v>
      </c>
      <c r="L85" s="147">
        <f>IF(t&lt;Tvie,1-EXP((T0-t)*PertePVj)+'2019'!Pspv,1-EXP((T0-t)*PertePVj)+Pspv)</f>
        <v>1.3590580922124507E-2</v>
      </c>
      <c r="M85" s="872"/>
      <c r="N85" s="872"/>
      <c r="O85" s="48">
        <f>IF(t&lt;Tnet,'2019'!Resal+('2019'!Salim-'2019'!Resal)*(1-EXP(('2019'!Tnet-t)/('2019'!Tau_j))),Resal+(Salim-Resal)*(1-EXP((Tnet-t)/(Tau_j))))*Salcycl</f>
        <v>9.959566509714704E-2</v>
      </c>
      <c r="P85" s="171">
        <f>(INDEX(Models!$BJ85:$BT85,,T85)*(1-R85)+INDEX(Models!$BJ85:$BT85,,T85+1)*R85-ERP_i)*Q85*Ramure*Pc/MaxiM</f>
        <v>3.5310718354687486E-3</v>
      </c>
      <c r="Q85" s="307">
        <f t="shared" si="27"/>
        <v>0.9</v>
      </c>
      <c r="R85" s="179">
        <f t="shared" si="28"/>
        <v>0.6157417495342572</v>
      </c>
      <c r="S85" s="839">
        <f t="shared" si="29"/>
        <v>-2</v>
      </c>
      <c r="T85" s="178">
        <f t="shared" si="30"/>
        <v>4</v>
      </c>
      <c r="U85" s="253">
        <f t="shared" si="31"/>
        <v>-1.3842582504657428</v>
      </c>
      <c r="V85" s="385">
        <f t="shared" si="32"/>
        <v>37.55364109186349</v>
      </c>
      <c r="W85" s="404"/>
      <c r="X85" s="157">
        <f t="shared" si="33"/>
        <v>43901</v>
      </c>
      <c r="Y85" s="387">
        <f t="shared" si="34"/>
        <v>35.399000000000001</v>
      </c>
      <c r="Z85" s="387">
        <f t="shared" si="35"/>
        <v>35.886721391095421</v>
      </c>
      <c r="AA85" s="388">
        <f t="shared" si="36"/>
        <v>39.85622902955852</v>
      </c>
      <c r="AB85" s="199">
        <f t="shared" si="37"/>
        <v>43901</v>
      </c>
      <c r="AC85" s="119">
        <f>IF(OR(t&lt;Tnet,NoTnet),'2019'!Resal_s+('2019'!Salim-'2019'!Resal_s)*(1-EXP(('2019'!Tnet_s-t)/'2019'!Tau_j)),Resal_s+(Salim-Resal_s)*(1-EXP((Tnet_s-t)/Tau_j)))*Salcycl</f>
        <v>9.959566509714704E-2</v>
      </c>
      <c r="AD85" s="233">
        <f>(INDEX(Models!$BJ85:$BT85,,AH85)*(1-AF85)+INDEX(Models!$BJ85:$BT85,,AH85+1)*AF85-ERP_i)*AE85*Ramure*Pc/MaxiM</f>
        <v>3.5310718354687486E-3</v>
      </c>
      <c r="AE85" s="307">
        <f t="shared" si="38"/>
        <v>0.9</v>
      </c>
      <c r="AF85" s="179">
        <f t="shared" si="39"/>
        <v>0.6157417495342572</v>
      </c>
      <c r="AG85" s="839">
        <f t="shared" si="47"/>
        <v>-2</v>
      </c>
      <c r="AH85" s="178">
        <f t="shared" si="40"/>
        <v>4</v>
      </c>
      <c r="AI85" s="227">
        <f t="shared" si="41"/>
        <v>-1.3842582504657428</v>
      </c>
      <c r="AJ85" s="267" t="b">
        <f t="shared" si="42"/>
        <v>0</v>
      </c>
      <c r="AK85" s="267" t="b">
        <f t="shared" si="43"/>
        <v>0</v>
      </c>
      <c r="AL85" s="267"/>
      <c r="AM85" s="267"/>
      <c r="AN85" s="75"/>
    </row>
    <row r="86" spans="1:40" s="6" customFormat="1" ht="11.25" customHeight="1" x14ac:dyDescent="0.2">
      <c r="A86" s="56">
        <f t="shared" si="44"/>
        <v>43902</v>
      </c>
      <c r="B86" s="620">
        <v>15.085000000000001</v>
      </c>
      <c r="C86" s="392"/>
      <c r="D86" s="395">
        <f t="shared" si="24"/>
        <v>15.293194454955259</v>
      </c>
      <c r="E86" s="387">
        <f t="shared" si="45"/>
        <v>16.986962030830558</v>
      </c>
      <c r="F86" s="387">
        <f t="shared" si="25"/>
        <v>16.995304184302736</v>
      </c>
      <c r="G86" s="110">
        <f t="shared" si="46"/>
        <v>0.39617538938220331</v>
      </c>
      <c r="H86" s="416" t="b">
        <f>Wh_hp&gt;='2019'!Maxi_hp</f>
        <v>0</v>
      </c>
      <c r="I86" s="382">
        <f>IF(H86,Wh_hp,'2019'!Maxi_hp)</f>
        <v>21.479391592834855</v>
      </c>
      <c r="J86" s="85">
        <f>IF(H86,An,'2019'!An_max)</f>
        <v>2019</v>
      </c>
      <c r="K86" s="199">
        <f t="shared" si="26"/>
        <v>43902</v>
      </c>
      <c r="L86" s="147">
        <f>IF(t&lt;Tvie,1-EXP((T0-t)*PertePVj)+'2019'!Pspv,1-EXP((T0-t)*PertePVj)+Pspv)</f>
        <v>1.3613536110357871E-2</v>
      </c>
      <c r="M86" s="872"/>
      <c r="N86" s="872"/>
      <c r="O86" s="48">
        <f>IF(t&lt;Tnet,'2019'!Resal+('2019'!Salim-'2019'!Resal)*(1-EXP(('2019'!Tnet-t)/('2019'!Tau_j))),Resal+(Salim-Resal)*(1-EXP((Tnet-t)/(Tau_j))))*Salcycl</f>
        <v>9.9709858231341569E-2</v>
      </c>
      <c r="P86" s="171">
        <f>(INDEX(Models!$BJ86:$BT86,,T86)*(1-R86)+INDEX(Models!$BJ86:$BT86,,T86+1)*R86-ERP_i)*Q86*Ramure*Pc/MaxiM</f>
        <v>3.5282884788583949E-3</v>
      </c>
      <c r="Q86" s="307">
        <f t="shared" si="27"/>
        <v>0.9</v>
      </c>
      <c r="R86" s="179">
        <f t="shared" si="28"/>
        <v>0.6164345720798412</v>
      </c>
      <c r="S86" s="839">
        <f t="shared" si="29"/>
        <v>-2</v>
      </c>
      <c r="T86" s="178">
        <f t="shared" si="30"/>
        <v>4</v>
      </c>
      <c r="U86" s="253">
        <f t="shared" si="31"/>
        <v>-1.3835654279201588</v>
      </c>
      <c r="V86" s="385">
        <f t="shared" si="32"/>
        <v>37.960858118353201</v>
      </c>
      <c r="W86" s="404"/>
      <c r="X86" s="157">
        <f t="shared" si="33"/>
        <v>43902</v>
      </c>
      <c r="Y86" s="387">
        <f t="shared" si="34"/>
        <v>15.085000000000003</v>
      </c>
      <c r="Z86" s="387">
        <f t="shared" si="35"/>
        <v>15.293194454955261</v>
      </c>
      <c r="AA86" s="388">
        <f t="shared" si="36"/>
        <v>16.986962030830558</v>
      </c>
      <c r="AB86" s="199">
        <f t="shared" si="37"/>
        <v>43902</v>
      </c>
      <c r="AC86" s="119">
        <f>IF(OR(t&lt;Tnet,NoTnet),'2019'!Resal_s+('2019'!Salim-'2019'!Resal_s)*(1-EXP(('2019'!Tnet_s-t)/'2019'!Tau_j)),Resal_s+(Salim-Resal_s)*(1-EXP((Tnet_s-t)/Tau_j)))*Salcycl</f>
        <v>9.9709858231341569E-2</v>
      </c>
      <c r="AD86" s="233">
        <f>(INDEX(Models!$BJ86:$BT86,,AH86)*(1-AF86)+INDEX(Models!$BJ86:$BT86,,AH86+1)*AF86-ERP_i)*AE86*Ramure*Pc/MaxiM</f>
        <v>3.5282884788583949E-3</v>
      </c>
      <c r="AE86" s="307">
        <f t="shared" si="38"/>
        <v>0.9</v>
      </c>
      <c r="AF86" s="179">
        <f t="shared" si="39"/>
        <v>0.6164345720798412</v>
      </c>
      <c r="AG86" s="839">
        <f t="shared" si="47"/>
        <v>-2</v>
      </c>
      <c r="AH86" s="178">
        <f t="shared" si="40"/>
        <v>4</v>
      </c>
      <c r="AI86" s="227">
        <f t="shared" si="41"/>
        <v>-1.3835654279201588</v>
      </c>
      <c r="AJ86" s="267" t="b">
        <f t="shared" si="42"/>
        <v>0</v>
      </c>
      <c r="AK86" s="267" t="b">
        <f t="shared" si="43"/>
        <v>0</v>
      </c>
      <c r="AL86" s="267"/>
      <c r="AM86" s="267"/>
      <c r="AN86" s="75"/>
    </row>
    <row r="87" spans="1:40" s="6" customFormat="1" ht="11.25" customHeight="1" x14ac:dyDescent="0.2">
      <c r="A87" s="56">
        <f t="shared" si="44"/>
        <v>43903</v>
      </c>
      <c r="B87" s="620">
        <v>33.51</v>
      </c>
      <c r="C87" s="392"/>
      <c r="D87" s="395">
        <f t="shared" si="24"/>
        <v>33.973276268065561</v>
      </c>
      <c r="E87" s="387">
        <f t="shared" si="45"/>
        <v>37.74070916862884</v>
      </c>
      <c r="F87" s="387">
        <f t="shared" si="25"/>
        <v>37.84988818165337</v>
      </c>
      <c r="G87" s="110">
        <f t="shared" si="46"/>
        <v>0.87282674881733913</v>
      </c>
      <c r="H87" s="416" t="b">
        <f>Wh_hp&gt;='2019'!Maxi_hp</f>
        <v>1</v>
      </c>
      <c r="I87" s="382">
        <f>IF(H87,Wh_hp,'2019'!Maxi_hp)</f>
        <v>37.84988818165337</v>
      </c>
      <c r="J87" s="85">
        <f>IF(H87,An,'2019'!An_max)</f>
        <v>2020</v>
      </c>
      <c r="K87" s="199">
        <f t="shared" si="26"/>
        <v>43903</v>
      </c>
      <c r="L87" s="147">
        <f>IF(t&lt;Tvie,1-EXP((T0-t)*PertePVj)+'2019'!Pspv,1-EXP((T0-t)*PertePVj)+Pspv)</f>
        <v>1.3636490764390552E-2</v>
      </c>
      <c r="M87" s="872"/>
      <c r="N87" s="872"/>
      <c r="O87" s="48">
        <f>IF(t&lt;Tnet,'2019'!Resal+('2019'!Salim-'2019'!Resal)*(1-EXP(('2019'!Tnet-t)/('2019'!Tau_j))),Resal+(Salim-Resal)*(1-EXP((Tnet-t)/(Tau_j))))*Salcycl</f>
        <v>9.9824115220783355E-2</v>
      </c>
      <c r="P87" s="171">
        <f>(INDEX(Models!$BJ87:$BT87,,T87)*(1-R87)+INDEX(Models!$BJ87:$BT87,,T87+1)*R87-ERP_i)*Q87*Ramure*Pc/MaxiM</f>
        <v>3.5214905210631479E-3</v>
      </c>
      <c r="Q87" s="307">
        <f t="shared" si="27"/>
        <v>0.9</v>
      </c>
      <c r="R87" s="179">
        <f t="shared" si="28"/>
        <v>0.61715496900609401</v>
      </c>
      <c r="S87" s="839">
        <f t="shared" si="29"/>
        <v>-2</v>
      </c>
      <c r="T87" s="178">
        <f t="shared" si="30"/>
        <v>4</v>
      </c>
      <c r="U87" s="253">
        <f t="shared" si="31"/>
        <v>-1.382845030993906</v>
      </c>
      <c r="V87" s="385">
        <f t="shared" si="32"/>
        <v>38.367973530097878</v>
      </c>
      <c r="W87" s="404"/>
      <c r="X87" s="157">
        <f t="shared" si="33"/>
        <v>43903</v>
      </c>
      <c r="Y87" s="387">
        <f t="shared" si="34"/>
        <v>33.51</v>
      </c>
      <c r="Z87" s="387">
        <f t="shared" si="35"/>
        <v>33.973276268065561</v>
      </c>
      <c r="AA87" s="388">
        <f t="shared" si="36"/>
        <v>37.74070916862884</v>
      </c>
      <c r="AB87" s="199">
        <f t="shared" si="37"/>
        <v>43903</v>
      </c>
      <c r="AC87" s="119">
        <f>IF(OR(t&lt;Tnet,NoTnet),'2019'!Resal_s+('2019'!Salim-'2019'!Resal_s)*(1-EXP(('2019'!Tnet_s-t)/'2019'!Tau_j)),Resal_s+(Salim-Resal_s)*(1-EXP((Tnet_s-t)/Tau_j)))*Salcycl</f>
        <v>9.9824115220783355E-2</v>
      </c>
      <c r="AD87" s="233">
        <f>(INDEX(Models!$BJ87:$BT87,,AH87)*(1-AF87)+INDEX(Models!$BJ87:$BT87,,AH87+1)*AF87-ERP_i)*AE87*Ramure*Pc/MaxiM</f>
        <v>3.5214905210631479E-3</v>
      </c>
      <c r="AE87" s="307">
        <f t="shared" si="38"/>
        <v>0.9</v>
      </c>
      <c r="AF87" s="179">
        <f t="shared" si="39"/>
        <v>0.61715496900609401</v>
      </c>
      <c r="AG87" s="839">
        <f t="shared" si="47"/>
        <v>-2</v>
      </c>
      <c r="AH87" s="178">
        <f t="shared" si="40"/>
        <v>4</v>
      </c>
      <c r="AI87" s="227">
        <f t="shared" si="41"/>
        <v>-1.382845030993906</v>
      </c>
      <c r="AJ87" s="267" t="b">
        <f t="shared" si="42"/>
        <v>0</v>
      </c>
      <c r="AK87" s="267" t="b">
        <f t="shared" si="43"/>
        <v>0</v>
      </c>
      <c r="AL87" s="267"/>
      <c r="AM87" s="267"/>
      <c r="AN87" s="75"/>
    </row>
    <row r="88" spans="1:40" s="6" customFormat="1" ht="11.25" x14ac:dyDescent="0.2">
      <c r="A88" s="56">
        <f t="shared" si="44"/>
        <v>43904</v>
      </c>
      <c r="B88" s="620">
        <v>28.385999999999999</v>
      </c>
      <c r="C88" s="392"/>
      <c r="D88" s="395">
        <f t="shared" si="24"/>
        <v>28.779106620703008</v>
      </c>
      <c r="E88" s="387">
        <f t="shared" si="45"/>
        <v>31.974599607478932</v>
      </c>
      <c r="F88" s="387">
        <f t="shared" si="25"/>
        <v>32.044042478479284</v>
      </c>
      <c r="G88" s="110">
        <f t="shared" si="46"/>
        <v>0.73109529812446672</v>
      </c>
      <c r="H88" s="416" t="b">
        <f>Wh_hp&gt;='2019'!Maxi_hp</f>
        <v>1</v>
      </c>
      <c r="I88" s="382">
        <f>IF(H88,Wh_hp,'2019'!Maxi_hp)</f>
        <v>32.044042478479284</v>
      </c>
      <c r="J88" s="85">
        <f>IF(H88,An,'2019'!An_max)</f>
        <v>2020</v>
      </c>
      <c r="K88" s="199">
        <f t="shared" si="26"/>
        <v>43904</v>
      </c>
      <c r="L88" s="147">
        <f>IF(t&lt;Tvie,1-EXP((T0-t)*PertePVj)+'2019'!Pspv,1-EXP((T0-t)*PertePVj)+Pspv)</f>
        <v>1.3659444884234762E-2</v>
      </c>
      <c r="M88" s="872"/>
      <c r="N88" s="872"/>
      <c r="O88" s="48">
        <f>IF(t&lt;Tnet,'2019'!Resal+('2019'!Salim-'2019'!Resal)*(1-EXP(('2019'!Tnet-t)/('2019'!Tau_j))),Resal+(Salim-Resal)*(1-EXP((Tnet-t)/(Tau_j))))*Salcycl</f>
        <v>9.9938483233688119E-2</v>
      </c>
      <c r="P88" s="171">
        <f>(INDEX(Models!$BJ88:$BT88,,T88)*(1-R88)+INDEX(Models!$BJ88:$BT88,,T88+1)*R88-ERP_i)*Q88*Ramure*Pc/MaxiM</f>
        <v>3.5108564326854037E-3</v>
      </c>
      <c r="Q88" s="307">
        <f t="shared" si="27"/>
        <v>0.9</v>
      </c>
      <c r="R88" s="179">
        <f t="shared" si="28"/>
        <v>0.61790397451037826</v>
      </c>
      <c r="S88" s="839">
        <f t="shared" si="29"/>
        <v>-2</v>
      </c>
      <c r="T88" s="178">
        <f t="shared" si="30"/>
        <v>4</v>
      </c>
      <c r="U88" s="253">
        <f t="shared" si="31"/>
        <v>-1.3820960254896217</v>
      </c>
      <c r="V88" s="385">
        <f t="shared" si="32"/>
        <v>38.77438900560184</v>
      </c>
      <c r="W88" s="404"/>
      <c r="X88" s="157">
        <f t="shared" si="33"/>
        <v>43904</v>
      </c>
      <c r="Y88" s="387">
        <f t="shared" si="34"/>
        <v>28.385999999999999</v>
      </c>
      <c r="Z88" s="387">
        <f t="shared" si="35"/>
        <v>28.779106620703008</v>
      </c>
      <c r="AA88" s="388">
        <f t="shared" si="36"/>
        <v>31.974599607478932</v>
      </c>
      <c r="AB88" s="199">
        <f t="shared" si="37"/>
        <v>43904</v>
      </c>
      <c r="AC88" s="119">
        <f>IF(OR(t&lt;Tnet,NoTnet),'2019'!Resal_s+('2019'!Salim-'2019'!Resal_s)*(1-EXP(('2019'!Tnet_s-t)/'2019'!Tau_j)),Resal_s+(Salim-Resal_s)*(1-EXP((Tnet_s-t)/Tau_j)))*Salcycl</f>
        <v>9.9938483233688119E-2</v>
      </c>
      <c r="AD88" s="233">
        <f>(INDEX(Models!$BJ88:$BT88,,AH88)*(1-AF88)+INDEX(Models!$BJ88:$BT88,,AH88+1)*AF88-ERP_i)*AE88*Ramure*Pc/MaxiM</f>
        <v>3.5108564326854037E-3</v>
      </c>
      <c r="AE88" s="307">
        <f t="shared" si="38"/>
        <v>0.9</v>
      </c>
      <c r="AF88" s="179">
        <f t="shared" si="39"/>
        <v>0.61790397451037826</v>
      </c>
      <c r="AG88" s="839">
        <f t="shared" si="47"/>
        <v>-2</v>
      </c>
      <c r="AH88" s="178">
        <f t="shared" si="40"/>
        <v>4</v>
      </c>
      <c r="AI88" s="227">
        <f t="shared" si="41"/>
        <v>-1.3820960254896217</v>
      </c>
      <c r="AJ88" s="267" t="b">
        <f t="shared" si="42"/>
        <v>0</v>
      </c>
      <c r="AK88" s="267" t="b">
        <f t="shared" si="43"/>
        <v>0</v>
      </c>
      <c r="AL88" s="267"/>
      <c r="AM88" s="267"/>
      <c r="AN88" s="75"/>
    </row>
    <row r="89" spans="1:40" s="6" customFormat="1" ht="11.25" customHeight="1" x14ac:dyDescent="0.2">
      <c r="A89" s="56">
        <f t="shared" si="44"/>
        <v>43905</v>
      </c>
      <c r="B89" s="620">
        <v>40.573</v>
      </c>
      <c r="C89" s="392"/>
      <c r="D89" s="395">
        <f t="shared" si="24"/>
        <v>41.135836912023251</v>
      </c>
      <c r="E89" s="387">
        <f t="shared" si="45"/>
        <v>45.709177791953586</v>
      </c>
      <c r="F89" s="387">
        <f t="shared" si="25"/>
        <v>45.869563285625219</v>
      </c>
      <c r="G89" s="110">
        <f t="shared" si="46"/>
        <v>1.0355668996172493</v>
      </c>
      <c r="H89" s="416" t="b">
        <f>Wh_hp&gt;='2019'!Maxi_hp</f>
        <v>1</v>
      </c>
      <c r="I89" s="382">
        <f>IF(H89,Wh_hp,'2019'!Maxi_hp)</f>
        <v>45.869563285625219</v>
      </c>
      <c r="J89" s="85">
        <f>IF(H89,An,'2019'!An_max)</f>
        <v>2020</v>
      </c>
      <c r="K89" s="199">
        <f t="shared" si="26"/>
        <v>43905</v>
      </c>
      <c r="L89" s="147">
        <f>IF(t&lt;Tvie,1-EXP((T0-t)*PertePVj)+'2019'!Pspv,1-EXP((T0-t)*PertePVj)+Pspv)</f>
        <v>1.3682398469903156E-2</v>
      </c>
      <c r="M89" s="872"/>
      <c r="N89" s="872"/>
      <c r="O89" s="48">
        <f>IF(t&lt;Tnet,'2019'!Resal+('2019'!Salim-'2019'!Resal)*(1-EXP(('2019'!Tnet-t)/('2019'!Tau_j))),Resal+(Salim-Resal)*(1-EXP((Tnet-t)/(Tau_j))))*Salcycl</f>
        <v>0.10005301125183227</v>
      </c>
      <c r="P89" s="171">
        <f>(INDEX(Models!$BJ89:$BT89,,T89)*(1-R89)+INDEX(Models!$BJ89:$BT89,,T89+1)*R89-ERP_i)*Q89*Ramure*Pc/MaxiM</f>
        <v>3.4965559334613231E-3</v>
      </c>
      <c r="Q89" s="307">
        <f t="shared" si="27"/>
        <v>0.9</v>
      </c>
      <c r="R89" s="179">
        <f t="shared" si="28"/>
        <v>0.61868265632025898</v>
      </c>
      <c r="S89" s="839">
        <f t="shared" si="29"/>
        <v>-2</v>
      </c>
      <c r="T89" s="178">
        <f t="shared" si="30"/>
        <v>4</v>
      </c>
      <c r="U89" s="253">
        <f t="shared" si="31"/>
        <v>-1.381317343679741</v>
      </c>
      <c r="V89" s="385">
        <f t="shared" si="32"/>
        <v>39.179506427828066</v>
      </c>
      <c r="W89" s="404"/>
      <c r="X89" s="157">
        <f t="shared" si="33"/>
        <v>43905</v>
      </c>
      <c r="Y89" s="387">
        <f t="shared" si="34"/>
        <v>40.573</v>
      </c>
      <c r="Z89" s="387">
        <f t="shared" si="35"/>
        <v>41.135836912023251</v>
      </c>
      <c r="AA89" s="388">
        <f t="shared" si="36"/>
        <v>45.709177791953586</v>
      </c>
      <c r="AB89" s="199">
        <f t="shared" si="37"/>
        <v>43905</v>
      </c>
      <c r="AC89" s="119">
        <f>IF(OR(t&lt;Tnet,NoTnet),'2019'!Resal_s+('2019'!Salim-'2019'!Resal_s)*(1-EXP(('2019'!Tnet_s-t)/'2019'!Tau_j)),Resal_s+(Salim-Resal_s)*(1-EXP((Tnet_s-t)/Tau_j)))*Salcycl</f>
        <v>0.10005301125183227</v>
      </c>
      <c r="AD89" s="233">
        <f>(INDEX(Models!$BJ89:$BT89,,AH89)*(1-AF89)+INDEX(Models!$BJ89:$BT89,,AH89+1)*AF89-ERP_i)*AE89*Ramure*Pc/MaxiM</f>
        <v>3.4965559334613231E-3</v>
      </c>
      <c r="AE89" s="307">
        <f t="shared" si="38"/>
        <v>0.9</v>
      </c>
      <c r="AF89" s="179">
        <f t="shared" si="39"/>
        <v>0.61868265632025898</v>
      </c>
      <c r="AG89" s="839">
        <f t="shared" si="47"/>
        <v>-2</v>
      </c>
      <c r="AH89" s="178">
        <f t="shared" si="40"/>
        <v>4</v>
      </c>
      <c r="AI89" s="227">
        <f t="shared" si="41"/>
        <v>-1.381317343679741</v>
      </c>
      <c r="AJ89" s="267" t="b">
        <f t="shared" si="42"/>
        <v>0</v>
      </c>
      <c r="AK89" s="267" t="b">
        <f t="shared" si="43"/>
        <v>0</v>
      </c>
      <c r="AL89" s="267"/>
      <c r="AM89" s="267"/>
      <c r="AN89" s="75"/>
    </row>
    <row r="90" spans="1:40" s="6" customFormat="1" ht="11.25" customHeight="1" x14ac:dyDescent="0.2">
      <c r="A90" s="56">
        <f t="shared" si="44"/>
        <v>43906</v>
      </c>
      <c r="B90" s="620">
        <v>8.57</v>
      </c>
      <c r="C90" s="392"/>
      <c r="D90" s="395">
        <f t="shared" si="24"/>
        <v>8.6890869916202487</v>
      </c>
      <c r="E90" s="387">
        <f t="shared" si="45"/>
        <v>9.6563409355381022</v>
      </c>
      <c r="F90" s="387">
        <f t="shared" si="25"/>
        <v>9.6563409355381022</v>
      </c>
      <c r="G90" s="110">
        <f t="shared" si="46"/>
        <v>0.21575539556294943</v>
      </c>
      <c r="H90" s="416" t="b">
        <f>Wh_hp&gt;='2019'!Maxi_hp</f>
        <v>0</v>
      </c>
      <c r="I90" s="382">
        <f>IF(H90,Wh_hp,'2019'!Maxi_hp)</f>
        <v>16.462516493535823</v>
      </c>
      <c r="J90" s="85">
        <f>IF(H90,An,'2019'!An_max)</f>
        <v>2019</v>
      </c>
      <c r="K90" s="199">
        <f t="shared" si="26"/>
        <v>43906</v>
      </c>
      <c r="L90" s="147">
        <f>IF(t&lt;Tvie,1-EXP((T0-t)*PertePVj)+'2019'!Pspv,1-EXP((T0-t)*PertePVj)+Pspv)</f>
        <v>1.3705351521407949E-2</v>
      </c>
      <c r="M90" s="872"/>
      <c r="N90" s="872"/>
      <c r="O90" s="48">
        <f>IF(t&lt;Tnet,'2019'!Resal+('2019'!Salim-'2019'!Resal)*(1-EXP(('2019'!Tnet-t)/('2019'!Tau_j))),Resal+(Salim-Resal)*(1-EXP((Tnet-t)/(Tau_j))))*Salcycl</f>
        <v>0.10016774991426441</v>
      </c>
      <c r="P90" s="171">
        <f>(INDEX(Models!$BJ90:$BT90,,T90)*(1-R90)+INDEX(Models!$BJ90:$BT90,,T90+1)*R90-ERP_i)*Q90*Ramure*Pc/MaxiM</f>
        <v>3.4787499144288631E-3</v>
      </c>
      <c r="Q90" s="307">
        <f t="shared" si="27"/>
        <v>0.9</v>
      </c>
      <c r="R90" s="179">
        <f t="shared" si="28"/>
        <v>0.61949211633632895</v>
      </c>
      <c r="S90" s="839">
        <f t="shared" si="29"/>
        <v>-2</v>
      </c>
      <c r="T90" s="178">
        <f t="shared" si="30"/>
        <v>4</v>
      </c>
      <c r="U90" s="253">
        <f t="shared" si="31"/>
        <v>-1.3805078836636711</v>
      </c>
      <c r="V90" s="385">
        <f t="shared" si="32"/>
        <v>39.582727889378013</v>
      </c>
      <c r="W90" s="404"/>
      <c r="X90" s="157">
        <f t="shared" si="33"/>
        <v>43906</v>
      </c>
      <c r="Y90" s="387">
        <f t="shared" si="34"/>
        <v>8.57</v>
      </c>
      <c r="Z90" s="387">
        <f t="shared" si="35"/>
        <v>8.6890869916202487</v>
      </c>
      <c r="AA90" s="388">
        <f t="shared" si="36"/>
        <v>9.6563409355381022</v>
      </c>
      <c r="AB90" s="199">
        <f t="shared" si="37"/>
        <v>43906</v>
      </c>
      <c r="AC90" s="119">
        <f>IF(OR(t&lt;Tnet,NoTnet),'2019'!Resal_s+('2019'!Salim-'2019'!Resal_s)*(1-EXP(('2019'!Tnet_s-t)/'2019'!Tau_j)),Resal_s+(Salim-Resal_s)*(1-EXP((Tnet_s-t)/Tau_j)))*Salcycl</f>
        <v>0.10016774991426441</v>
      </c>
      <c r="AD90" s="233">
        <f>(INDEX(Models!$BJ90:$BT90,,AH90)*(1-AF90)+INDEX(Models!$BJ90:$BT90,,AH90+1)*AF90-ERP_i)*AE90*Ramure*Pc/MaxiM</f>
        <v>3.4787499144288631E-3</v>
      </c>
      <c r="AE90" s="307">
        <f t="shared" si="38"/>
        <v>0.9</v>
      </c>
      <c r="AF90" s="179">
        <f t="shared" si="39"/>
        <v>0.61949211633632895</v>
      </c>
      <c r="AG90" s="839">
        <f t="shared" si="47"/>
        <v>-2</v>
      </c>
      <c r="AH90" s="178">
        <f t="shared" si="40"/>
        <v>4</v>
      </c>
      <c r="AI90" s="227">
        <f t="shared" si="41"/>
        <v>-1.3805078836636711</v>
      </c>
      <c r="AJ90" s="267" t="b">
        <f t="shared" si="42"/>
        <v>0</v>
      </c>
      <c r="AK90" s="267" t="b">
        <f t="shared" si="43"/>
        <v>0</v>
      </c>
      <c r="AL90" s="267"/>
      <c r="AM90" s="267"/>
      <c r="AN90" s="75"/>
    </row>
    <row r="91" spans="1:40" s="6" customFormat="1" ht="11.25" customHeight="1" x14ac:dyDescent="0.2">
      <c r="A91" s="56">
        <f t="shared" si="44"/>
        <v>43907</v>
      </c>
      <c r="B91" s="620">
        <v>9.9510000000000005</v>
      </c>
      <c r="C91" s="392"/>
      <c r="D91" s="395">
        <f t="shared" si="24"/>
        <v>10.089511886784479</v>
      </c>
      <c r="E91" s="387">
        <f t="shared" si="45"/>
        <v>11.21409187385165</v>
      </c>
      <c r="F91" s="387">
        <f t="shared" si="25"/>
        <v>11.21409187385165</v>
      </c>
      <c r="G91" s="110">
        <f t="shared" si="46"/>
        <v>0.24801741981711076</v>
      </c>
      <c r="H91" s="416" t="b">
        <f>Wh_hp&gt;='2019'!Maxi_hp</f>
        <v>0</v>
      </c>
      <c r="I91" s="382">
        <f>IF(H91,Wh_hp,'2019'!Maxi_hp)</f>
        <v>30.155899568656967</v>
      </c>
      <c r="J91" s="85">
        <f>IF(H91,An,'2019'!An_max)</f>
        <v>2019</v>
      </c>
      <c r="K91" s="199">
        <f t="shared" si="26"/>
        <v>43907</v>
      </c>
      <c r="L91" s="147">
        <f>IF(t&lt;Tvie,1-EXP((T0-t)*PertePVj)+'2019'!Pspv,1-EXP((T0-t)*PertePVj)+Pspv)</f>
        <v>1.3728304038761796E-2</v>
      </c>
      <c r="M91" s="872"/>
      <c r="N91" s="872"/>
      <c r="O91" s="48">
        <f>IF(t&lt;Tnet,'2019'!Resal+('2019'!Salim-'2019'!Resal)*(1-EXP(('2019'!Tnet-t)/('2019'!Tau_j))),Resal+(Salim-Resal)*(1-EXP((Tnet-t)/(Tau_j))))*Salcycl</f>
        <v>0.10028275135585431</v>
      </c>
      <c r="P91" s="171">
        <f>(INDEX(Models!$BJ91:$BT91,,T91)*(1-R91)+INDEX(Models!$BJ91:$BT91,,T91+1)*R91-ERP_i)*Q91*Ramure*Pc/MaxiM</f>
        <v>3.4575904080951657E-3</v>
      </c>
      <c r="Q91" s="307">
        <f t="shared" si="27"/>
        <v>0.9</v>
      </c>
      <c r="R91" s="179">
        <f t="shared" si="28"/>
        <v>0.62033349124640447</v>
      </c>
      <c r="S91" s="839">
        <f t="shared" si="29"/>
        <v>-2</v>
      </c>
      <c r="T91" s="178">
        <f t="shared" si="30"/>
        <v>4</v>
      </c>
      <c r="U91" s="253">
        <f t="shared" si="31"/>
        <v>-1.3796665087535955</v>
      </c>
      <c r="V91" s="385">
        <f t="shared" si="32"/>
        <v>39.983455699045621</v>
      </c>
      <c r="W91" s="404"/>
      <c r="X91" s="157">
        <f t="shared" si="33"/>
        <v>43907</v>
      </c>
      <c r="Y91" s="387">
        <f t="shared" si="34"/>
        <v>9.9510000000000005</v>
      </c>
      <c r="Z91" s="387">
        <f t="shared" si="35"/>
        <v>10.089511886784479</v>
      </c>
      <c r="AA91" s="388">
        <f t="shared" si="36"/>
        <v>11.21409187385165</v>
      </c>
      <c r="AB91" s="199">
        <f t="shared" si="37"/>
        <v>43907</v>
      </c>
      <c r="AC91" s="119">
        <f>IF(OR(t&lt;Tnet,NoTnet),'2019'!Resal_s+('2019'!Salim-'2019'!Resal_s)*(1-EXP(('2019'!Tnet_s-t)/'2019'!Tau_j)),Resal_s+(Salim-Resal_s)*(1-EXP((Tnet_s-t)/Tau_j)))*Salcycl</f>
        <v>0.10028275135585431</v>
      </c>
      <c r="AD91" s="233">
        <f>(INDEX(Models!$BJ91:$BT91,,AH91)*(1-AF91)+INDEX(Models!$BJ91:$BT91,,AH91+1)*AF91-ERP_i)*AE91*Ramure*Pc/MaxiM</f>
        <v>3.4575904080951657E-3</v>
      </c>
      <c r="AE91" s="307">
        <f t="shared" si="38"/>
        <v>0.9</v>
      </c>
      <c r="AF91" s="179">
        <f t="shared" si="39"/>
        <v>0.62033349124640447</v>
      </c>
      <c r="AG91" s="839">
        <f t="shared" si="47"/>
        <v>-2</v>
      </c>
      <c r="AH91" s="178">
        <f t="shared" si="40"/>
        <v>4</v>
      </c>
      <c r="AI91" s="227">
        <f t="shared" si="41"/>
        <v>-1.3796665087535955</v>
      </c>
      <c r="AJ91" s="267" t="b">
        <f t="shared" si="42"/>
        <v>0</v>
      </c>
      <c r="AK91" s="267" t="b">
        <f t="shared" si="43"/>
        <v>0</v>
      </c>
      <c r="AL91" s="267"/>
      <c r="AM91" s="267"/>
      <c r="AN91" s="75"/>
    </row>
    <row r="92" spans="1:40" s="6" customFormat="1" ht="11.25" customHeight="1" x14ac:dyDescent="0.2">
      <c r="A92" s="56">
        <f t="shared" si="44"/>
        <v>43908</v>
      </c>
      <c r="B92" s="620">
        <v>37.679000000000002</v>
      </c>
      <c r="C92" s="392"/>
      <c r="D92" s="395">
        <f t="shared" si="24"/>
        <v>38.204357906730699</v>
      </c>
      <c r="E92" s="387">
        <f t="shared" si="45"/>
        <v>42.468070145256064</v>
      </c>
      <c r="F92" s="387">
        <f t="shared" si="25"/>
        <v>42.600345506877346</v>
      </c>
      <c r="G92" s="110">
        <f t="shared" si="46"/>
        <v>0.93277802486699668</v>
      </c>
      <c r="H92" s="416" t="b">
        <f>Wh_hp&gt;='2019'!Maxi_hp</f>
        <v>1</v>
      </c>
      <c r="I92" s="382">
        <f>IF(H92,Wh_hp,'2019'!Maxi_hp)</f>
        <v>42.600345506877346</v>
      </c>
      <c r="J92" s="85">
        <f>IF(H92,An,'2019'!An_max)</f>
        <v>2020</v>
      </c>
      <c r="K92" s="199">
        <f t="shared" si="26"/>
        <v>43908</v>
      </c>
      <c r="L92" s="147">
        <f>IF(t&lt;Tvie,1-EXP((T0-t)*PertePVj)+'2019'!Pspv,1-EXP((T0-t)*PertePVj)+Pspv)</f>
        <v>1.3751256021977132E-2</v>
      </c>
      <c r="M92" s="872"/>
      <c r="N92" s="872"/>
      <c r="O92" s="48">
        <f>IF(t&lt;Tnet,'2019'!Resal+('2019'!Salim-'2019'!Resal)*(1-EXP(('2019'!Tnet-t)/('2019'!Tau_j))),Resal+(Salim-Resal)*(1-EXP((Tnet-t)/(Tau_j))))*Salcycl</f>
        <v>0.10039806904203404</v>
      </c>
      <c r="P92" s="171">
        <f>(INDEX(Models!$BJ92:$BT92,,T92)*(1-R92)+INDEX(Models!$BJ92:$BT92,,T92+1)*R92-ERP_i)*Q92*Ramure*Pc/MaxiM</f>
        <v>3.4332205987159551E-3</v>
      </c>
      <c r="Q92" s="307">
        <f t="shared" si="27"/>
        <v>0.9</v>
      </c>
      <c r="R92" s="179">
        <f t="shared" si="28"/>
        <v>0.62120795310629373</v>
      </c>
      <c r="S92" s="839">
        <f t="shared" si="29"/>
        <v>-2</v>
      </c>
      <c r="T92" s="178">
        <f t="shared" si="30"/>
        <v>4</v>
      </c>
      <c r="U92" s="253">
        <f t="shared" si="31"/>
        <v>-1.3787920468937063</v>
      </c>
      <c r="V92" s="385">
        <f t="shared" si="32"/>
        <v>40.381092388328298</v>
      </c>
      <c r="W92" s="404"/>
      <c r="X92" s="157">
        <f t="shared" si="33"/>
        <v>43908</v>
      </c>
      <c r="Y92" s="387">
        <f t="shared" si="34"/>
        <v>37.679000000000002</v>
      </c>
      <c r="Z92" s="387">
        <f t="shared" si="35"/>
        <v>38.204357906730699</v>
      </c>
      <c r="AA92" s="388">
        <f t="shared" si="36"/>
        <v>42.468070145256064</v>
      </c>
      <c r="AB92" s="199">
        <f t="shared" si="37"/>
        <v>43908</v>
      </c>
      <c r="AC92" s="119">
        <f>IF(OR(t&lt;Tnet,NoTnet),'2019'!Resal_s+('2019'!Salim-'2019'!Resal_s)*(1-EXP(('2019'!Tnet_s-t)/'2019'!Tau_j)),Resal_s+(Salim-Resal_s)*(1-EXP((Tnet_s-t)/Tau_j)))*Salcycl</f>
        <v>0.10039806904203404</v>
      </c>
      <c r="AD92" s="233">
        <f>(INDEX(Models!$BJ92:$BT92,,AH92)*(1-AF92)+INDEX(Models!$BJ92:$BT92,,AH92+1)*AF92-ERP_i)*AE92*Ramure*Pc/MaxiM</f>
        <v>3.4332205987159551E-3</v>
      </c>
      <c r="AE92" s="307">
        <f t="shared" si="38"/>
        <v>0.9</v>
      </c>
      <c r="AF92" s="179">
        <f t="shared" si="39"/>
        <v>0.62120795310629373</v>
      </c>
      <c r="AG92" s="839">
        <f t="shared" si="47"/>
        <v>-2</v>
      </c>
      <c r="AH92" s="178">
        <f t="shared" si="40"/>
        <v>4</v>
      </c>
      <c r="AI92" s="227">
        <f t="shared" si="41"/>
        <v>-1.3787920468937063</v>
      </c>
      <c r="AJ92" s="267" t="b">
        <f t="shared" si="42"/>
        <v>0</v>
      </c>
      <c r="AK92" s="267" t="b">
        <f t="shared" si="43"/>
        <v>0</v>
      </c>
      <c r="AL92" s="267"/>
      <c r="AM92" s="267"/>
      <c r="AN92" s="75"/>
    </row>
    <row r="93" spans="1:40" s="6" customFormat="1" ht="11.25" x14ac:dyDescent="0.2">
      <c r="A93" s="56">
        <f t="shared" si="44"/>
        <v>43909</v>
      </c>
      <c r="B93" s="620">
        <v>39.304000000000002</v>
      </c>
      <c r="C93" s="392"/>
      <c r="D93" s="395">
        <f t="shared" si="24"/>
        <v>39.852942701097433</v>
      </c>
      <c r="E93" s="387">
        <f t="shared" si="45"/>
        <v>44.306339355239473</v>
      </c>
      <c r="F93" s="387">
        <f t="shared" si="25"/>
        <v>44.449895781822626</v>
      </c>
      <c r="G93" s="110">
        <f t="shared" si="46"/>
        <v>0.96367703037244334</v>
      </c>
      <c r="H93" s="416" t="b">
        <f>Wh_hp&gt;='2019'!Maxi_hp</f>
        <v>0</v>
      </c>
      <c r="I93" s="382">
        <f>IF(H93,Wh_hp,'2019'!Maxi_hp)</f>
        <v>46.71339553405334</v>
      </c>
      <c r="J93" s="85">
        <f>IF(H93,An,'2019'!An_max)</f>
        <v>2019</v>
      </c>
      <c r="K93" s="199">
        <f t="shared" si="26"/>
        <v>43909</v>
      </c>
      <c r="L93" s="147">
        <f>IF(t&lt;Tvie,1-EXP((T0-t)*PertePVj)+'2019'!Pspv,1-EXP((T0-t)*PertePVj)+Pspv)</f>
        <v>1.3774207471066169E-2</v>
      </c>
      <c r="M93" s="872"/>
      <c r="N93" s="872"/>
      <c r="O93" s="48">
        <f>IF(t&lt;Tnet,'2019'!Resal+('2019'!Salim-'2019'!Resal)*(1-EXP(('2019'!Tnet-t)/('2019'!Tau_j))),Resal+(Salim-Resal)*(1-EXP((Tnet-t)/(Tau_j))))*Salcycl</f>
        <v>0.10051375760104178</v>
      </c>
      <c r="P93" s="171">
        <f>(INDEX(Models!$BJ93:$BT93,,T93)*(1-R93)+INDEX(Models!$BJ93:$BT93,,T93+1)*R93-ERP_i)*Q93*Ramure*Pc/MaxiM</f>
        <v>3.4055076994242875E-3</v>
      </c>
      <c r="Q93" s="307">
        <f t="shared" si="27"/>
        <v>0.9</v>
      </c>
      <c r="R93" s="179">
        <f t="shared" si="28"/>
        <v>0.62211670988196377</v>
      </c>
      <c r="S93" s="839">
        <f t="shared" si="29"/>
        <v>-2</v>
      </c>
      <c r="T93" s="178">
        <f t="shared" si="30"/>
        <v>4</v>
      </c>
      <c r="U93" s="253">
        <f t="shared" si="31"/>
        <v>-1.3778832901180362</v>
      </c>
      <c r="V93" s="385">
        <f t="shared" si="32"/>
        <v>40.77825185105619</v>
      </c>
      <c r="W93" s="404"/>
      <c r="X93" s="157">
        <f t="shared" si="33"/>
        <v>43909</v>
      </c>
      <c r="Y93" s="387">
        <f t="shared" si="34"/>
        <v>39.304000000000002</v>
      </c>
      <c r="Z93" s="387">
        <f t="shared" si="35"/>
        <v>39.852942701097433</v>
      </c>
      <c r="AA93" s="388">
        <f t="shared" si="36"/>
        <v>44.306339355239473</v>
      </c>
      <c r="AB93" s="199">
        <f t="shared" si="37"/>
        <v>43909</v>
      </c>
      <c r="AC93" s="119">
        <f>IF(OR(t&lt;Tnet,NoTnet),'2019'!Resal_s+('2019'!Salim-'2019'!Resal_s)*(1-EXP(('2019'!Tnet_s-t)/'2019'!Tau_j)),Resal_s+(Salim-Resal_s)*(1-EXP((Tnet_s-t)/Tau_j)))*Salcycl</f>
        <v>0.10051375760104178</v>
      </c>
      <c r="AD93" s="233">
        <f>(INDEX(Models!$BJ93:$BT93,,AH93)*(1-AF93)+INDEX(Models!$BJ93:$BT93,,AH93+1)*AF93-ERP_i)*AE93*Ramure*Pc/MaxiM</f>
        <v>3.4055076994242875E-3</v>
      </c>
      <c r="AE93" s="307">
        <f t="shared" si="38"/>
        <v>0.9</v>
      </c>
      <c r="AF93" s="179">
        <f t="shared" si="39"/>
        <v>0.62211670988196377</v>
      </c>
      <c r="AG93" s="839">
        <f t="shared" si="47"/>
        <v>-2</v>
      </c>
      <c r="AH93" s="178">
        <f t="shared" si="40"/>
        <v>4</v>
      </c>
      <c r="AI93" s="227">
        <f t="shared" si="41"/>
        <v>-1.3778832901180362</v>
      </c>
      <c r="AJ93" s="267" t="b">
        <f t="shared" si="42"/>
        <v>0</v>
      </c>
      <c r="AK93" s="267" t="b">
        <f t="shared" si="43"/>
        <v>0</v>
      </c>
      <c r="AL93" s="267"/>
      <c r="AM93" s="267"/>
      <c r="AN93" s="75"/>
    </row>
    <row r="94" spans="1:40" s="6" customFormat="1" ht="11.25" customHeight="1" x14ac:dyDescent="0.2">
      <c r="A94" s="56">
        <f t="shared" si="44"/>
        <v>43910</v>
      </c>
      <c r="B94" s="620">
        <v>41.612000000000002</v>
      </c>
      <c r="C94" s="392"/>
      <c r="D94" s="395">
        <f t="shared" si="24"/>
        <v>42.194159501609604</v>
      </c>
      <c r="E94" s="387">
        <f t="shared" si="45"/>
        <v>46.915233471413771</v>
      </c>
      <c r="F94" s="387">
        <f t="shared" si="25"/>
        <v>47.074007170656884</v>
      </c>
      <c r="G94" s="110">
        <f t="shared" si="46"/>
        <v>1.0105524840028377</v>
      </c>
      <c r="H94" s="416" t="b">
        <f>Wh_hp&gt;='2019'!Maxi_hp</f>
        <v>1</v>
      </c>
      <c r="I94" s="382">
        <f>IF(H94,Wh_hp,'2019'!Maxi_hp)</f>
        <v>47.074007170656884</v>
      </c>
      <c r="J94" s="85">
        <f>IF(H94,An,'2019'!An_max)</f>
        <v>2020</v>
      </c>
      <c r="K94" s="199">
        <f t="shared" si="26"/>
        <v>43910</v>
      </c>
      <c r="L94" s="147">
        <f>IF(t&lt;Tvie,1-EXP((T0-t)*PertePVj)+'2019'!Pspv,1-EXP((T0-t)*PertePVj)+Pspv)</f>
        <v>1.3797158386041453E-2</v>
      </c>
      <c r="M94" s="872"/>
      <c r="N94" s="872"/>
      <c r="O94" s="48">
        <f>IF(t&lt;Tnet,'2019'!Resal+('2019'!Salim-'2019'!Resal)*(1-EXP(('2019'!Tnet-t)/('2019'!Tau_j))),Resal+(Salim-Resal)*(1-EXP((Tnet-t)/(Tau_j))))*Salcycl</f>
        <v>0.10062987265491913</v>
      </c>
      <c r="P94" s="171">
        <f>(INDEX(Models!$BJ94:$BT94,,T94)*(1-R94)+INDEX(Models!$BJ94:$BT94,,T94+1)*R94-ERP_i)*Q94*Ramure*Pc/MaxiM</f>
        <v>3.3728528499286825E-3</v>
      </c>
      <c r="Q94" s="307">
        <f t="shared" si="27"/>
        <v>0.9</v>
      </c>
      <c r="R94" s="179">
        <f t="shared" si="28"/>
        <v>0.6230610059475441</v>
      </c>
      <c r="S94" s="839">
        <f t="shared" si="29"/>
        <v>-2</v>
      </c>
      <c r="T94" s="178">
        <f t="shared" si="30"/>
        <v>4</v>
      </c>
      <c r="U94" s="253">
        <f t="shared" si="31"/>
        <v>-1.3769389940524559</v>
      </c>
      <c r="V94" s="385">
        <f t="shared" si="32"/>
        <v>41.177475350090923</v>
      </c>
      <c r="W94" s="404"/>
      <c r="X94" s="157">
        <f t="shared" si="33"/>
        <v>43910</v>
      </c>
      <c r="Y94" s="387">
        <f t="shared" si="34"/>
        <v>41.612000000000002</v>
      </c>
      <c r="Z94" s="387">
        <f t="shared" si="35"/>
        <v>42.194159501609604</v>
      </c>
      <c r="AA94" s="388">
        <f t="shared" si="36"/>
        <v>46.915233471413771</v>
      </c>
      <c r="AB94" s="199">
        <f t="shared" si="37"/>
        <v>43910</v>
      </c>
      <c r="AC94" s="119">
        <f>IF(OR(t&lt;Tnet,NoTnet),'2019'!Resal_s+('2019'!Salim-'2019'!Resal_s)*(1-EXP(('2019'!Tnet_s-t)/'2019'!Tau_j)),Resal_s+(Salim-Resal_s)*(1-EXP((Tnet_s-t)/Tau_j)))*Salcycl</f>
        <v>0.10062987265491913</v>
      </c>
      <c r="AD94" s="233">
        <f>(INDEX(Models!$BJ94:$BT94,,AH94)*(1-AF94)+INDEX(Models!$BJ94:$BT94,,AH94+1)*AF94-ERP_i)*AE94*Ramure*Pc/MaxiM</f>
        <v>3.3728528499286825E-3</v>
      </c>
      <c r="AE94" s="307">
        <f t="shared" si="38"/>
        <v>0.9</v>
      </c>
      <c r="AF94" s="179">
        <f t="shared" si="39"/>
        <v>0.6230610059475441</v>
      </c>
      <c r="AG94" s="839">
        <f t="shared" si="47"/>
        <v>-2</v>
      </c>
      <c r="AH94" s="178">
        <f t="shared" si="40"/>
        <v>4</v>
      </c>
      <c r="AI94" s="227">
        <f t="shared" si="41"/>
        <v>-1.3769389940524559</v>
      </c>
      <c r="AJ94" s="267" t="b">
        <f t="shared" si="42"/>
        <v>0</v>
      </c>
      <c r="AK94" s="267" t="b">
        <f t="shared" si="43"/>
        <v>0</v>
      </c>
      <c r="AL94" s="267"/>
      <c r="AM94" s="267"/>
      <c r="AN94" s="75"/>
    </row>
    <row r="95" spans="1:40" s="6" customFormat="1" ht="11.25" customHeight="1" x14ac:dyDescent="0.2">
      <c r="A95" s="56">
        <f t="shared" si="44"/>
        <v>43911</v>
      </c>
      <c r="B95" s="620">
        <v>41.134</v>
      </c>
      <c r="C95" s="392"/>
      <c r="D95" s="395">
        <f t="shared" si="24"/>
        <v>41.710442856999947</v>
      </c>
      <c r="E95" s="387">
        <f t="shared" si="45"/>
        <v>46.383407454813629</v>
      </c>
      <c r="F95" s="387">
        <f t="shared" si="25"/>
        <v>46.536327342743263</v>
      </c>
      <c r="G95" s="110">
        <f t="shared" si="46"/>
        <v>0.9892730528421626</v>
      </c>
      <c r="H95" s="416" t="b">
        <f>Wh_hp&gt;='2019'!Maxi_hp</f>
        <v>1</v>
      </c>
      <c r="I95" s="382">
        <f>IF(H95,Wh_hp,'2019'!Maxi_hp)</f>
        <v>46.536327342743263</v>
      </c>
      <c r="J95" s="85">
        <f>IF(H95,An,'2019'!An_max)</f>
        <v>2020</v>
      </c>
      <c r="K95" s="199">
        <f t="shared" si="26"/>
        <v>43911</v>
      </c>
      <c r="L95" s="147">
        <f>IF(t&lt;Tvie,1-EXP((T0-t)*PertePVj)+'2019'!Pspv,1-EXP((T0-t)*PertePVj)+Pspv)</f>
        <v>1.3820108766915418E-2</v>
      </c>
      <c r="M95" s="872"/>
      <c r="N95" s="872"/>
      <c r="O95" s="48">
        <f>IF(t&lt;Tnet,'2019'!Resal+('2019'!Salim-'2019'!Resal)*(1-EXP(('2019'!Tnet-t)/('2019'!Tau_j))),Resal+(Salim-Resal)*(1-EXP((Tnet-t)/(Tau_j))))*Salcycl</f>
        <v>0.10074647065043787</v>
      </c>
      <c r="P95" s="171">
        <f>(INDEX(Models!$BJ95:$BT95,,T95)*(1-R95)+INDEX(Models!$BJ95:$BT95,,T95+1)*R95-ERP_i)*Q95*Ramure*Pc/MaxiM</f>
        <v>3.3369275425977197E-3</v>
      </c>
      <c r="Q95" s="307">
        <f t="shared" si="27"/>
        <v>0.9</v>
      </c>
      <c r="R95" s="179">
        <f t="shared" si="28"/>
        <v>0.62404212253318869</v>
      </c>
      <c r="S95" s="839">
        <f t="shared" si="29"/>
        <v>-2</v>
      </c>
      <c r="T95" s="178">
        <f t="shared" si="30"/>
        <v>4</v>
      </c>
      <c r="U95" s="253">
        <f t="shared" si="31"/>
        <v>-1.3759578774668113</v>
      </c>
      <c r="V95" s="385">
        <f t="shared" si="32"/>
        <v>41.577903559100477</v>
      </c>
      <c r="W95" s="404"/>
      <c r="X95" s="157">
        <f t="shared" si="33"/>
        <v>43911</v>
      </c>
      <c r="Y95" s="387">
        <f t="shared" si="34"/>
        <v>41.134</v>
      </c>
      <c r="Z95" s="387">
        <f t="shared" si="35"/>
        <v>41.710442856999947</v>
      </c>
      <c r="AA95" s="388">
        <f t="shared" si="36"/>
        <v>46.383407454813629</v>
      </c>
      <c r="AB95" s="199">
        <f t="shared" si="37"/>
        <v>43911</v>
      </c>
      <c r="AC95" s="119">
        <f>IF(OR(t&lt;Tnet,NoTnet),'2019'!Resal_s+('2019'!Salim-'2019'!Resal_s)*(1-EXP(('2019'!Tnet_s-t)/'2019'!Tau_j)),Resal_s+(Salim-Resal_s)*(1-EXP((Tnet_s-t)/Tau_j)))*Salcycl</f>
        <v>0.10074647065043787</v>
      </c>
      <c r="AD95" s="233">
        <f>(INDEX(Models!$BJ95:$BT95,,AH95)*(1-AF95)+INDEX(Models!$BJ95:$BT95,,AH95+1)*AF95-ERP_i)*AE95*Ramure*Pc/MaxiM</f>
        <v>3.3369275425977197E-3</v>
      </c>
      <c r="AE95" s="307">
        <f t="shared" si="38"/>
        <v>0.9</v>
      </c>
      <c r="AF95" s="179">
        <f t="shared" si="39"/>
        <v>0.62404212253318869</v>
      </c>
      <c r="AG95" s="839">
        <f t="shared" si="47"/>
        <v>-2</v>
      </c>
      <c r="AH95" s="178">
        <f t="shared" si="40"/>
        <v>4</v>
      </c>
      <c r="AI95" s="227">
        <f t="shared" si="41"/>
        <v>-1.3759578774668113</v>
      </c>
      <c r="AJ95" s="267" t="b">
        <f t="shared" si="42"/>
        <v>0</v>
      </c>
      <c r="AK95" s="267" t="b">
        <f t="shared" si="43"/>
        <v>0</v>
      </c>
      <c r="AL95" s="267"/>
      <c r="AM95" s="267"/>
      <c r="AN95" s="75"/>
    </row>
    <row r="96" spans="1:40" s="6" customFormat="1" ht="11.25" x14ac:dyDescent="0.2">
      <c r="A96" s="56">
        <f t="shared" si="44"/>
        <v>43912</v>
      </c>
      <c r="B96" s="620">
        <v>38.982999999999997</v>
      </c>
      <c r="C96" s="392"/>
      <c r="D96" s="395">
        <f t="shared" si="24"/>
        <v>39.530219140575404</v>
      </c>
      <c r="E96" s="387">
        <f t="shared" si="45"/>
        <v>43.964652663015464</v>
      </c>
      <c r="F96" s="387">
        <f t="shared" si="25"/>
        <v>44.095248445866936</v>
      </c>
      <c r="G96" s="110">
        <f t="shared" si="46"/>
        <v>0.92832361813525355</v>
      </c>
      <c r="H96" s="416" t="b">
        <f>Wh_hp&gt;='2019'!Maxi_hp</f>
        <v>1</v>
      </c>
      <c r="I96" s="382">
        <f>IF(H96,Wh_hp,'2019'!Maxi_hp)</f>
        <v>44.095248445866936</v>
      </c>
      <c r="J96" s="85">
        <f>IF(H96,An,'2019'!An_max)</f>
        <v>2020</v>
      </c>
      <c r="K96" s="199">
        <f t="shared" si="26"/>
        <v>43912</v>
      </c>
      <c r="L96" s="147">
        <f>IF(t&lt;Tvie,1-EXP((T0-t)*PertePVj)+'2019'!Pspv,1-EXP((T0-t)*PertePVj)+Pspv)</f>
        <v>1.3843058613700499E-2</v>
      </c>
      <c r="M96" s="872"/>
      <c r="N96" s="872"/>
      <c r="O96" s="48">
        <f>IF(t&lt;Tnet,'2019'!Resal+('2019'!Salim-'2019'!Resal)*(1-EXP(('2019'!Tnet-t)/('2019'!Tau_j))),Resal+(Salim-Resal)*(1-EXP((Tnet-t)/(Tau_j))))*Salcycl</f>
        <v>0.10086360869104408</v>
      </c>
      <c r="P96" s="171">
        <f>(INDEX(Models!$BJ96:$BT96,,T96)*(1-R96)+INDEX(Models!$BJ96:$BT96,,T96+1)*R96-ERP_i)*Q96*Ramure*Pc/MaxiM</f>
        <v>3.2978858827393555E-3</v>
      </c>
      <c r="Q96" s="307">
        <f t="shared" si="27"/>
        <v>0.9</v>
      </c>
      <c r="R96" s="179">
        <f t="shared" si="28"/>
        <v>0.62506137811640117</v>
      </c>
      <c r="S96" s="839">
        <f t="shared" si="29"/>
        <v>-2</v>
      </c>
      <c r="T96" s="178">
        <f t="shared" si="30"/>
        <v>4</v>
      </c>
      <c r="U96" s="253">
        <f t="shared" si="31"/>
        <v>-1.3749386218835988</v>
      </c>
      <c r="V96" s="385">
        <f t="shared" si="32"/>
        <v>41.978738649563645</v>
      </c>
      <c r="W96" s="404"/>
      <c r="X96" s="157">
        <f t="shared" si="33"/>
        <v>43912</v>
      </c>
      <c r="Y96" s="387">
        <f t="shared" si="34"/>
        <v>38.982999999999997</v>
      </c>
      <c r="Z96" s="387">
        <f t="shared" si="35"/>
        <v>39.530219140575404</v>
      </c>
      <c r="AA96" s="388">
        <f t="shared" si="36"/>
        <v>43.964652663015464</v>
      </c>
      <c r="AB96" s="199">
        <f t="shared" si="37"/>
        <v>43912</v>
      </c>
      <c r="AC96" s="119">
        <f>IF(OR(t&lt;Tnet,NoTnet),'2019'!Resal_s+('2019'!Salim-'2019'!Resal_s)*(1-EXP(('2019'!Tnet_s-t)/'2019'!Tau_j)),Resal_s+(Salim-Resal_s)*(1-EXP((Tnet_s-t)/Tau_j)))*Salcycl</f>
        <v>0.10086360869104408</v>
      </c>
      <c r="AD96" s="233">
        <f>(INDEX(Models!$BJ96:$BT96,,AH96)*(1-AF96)+INDEX(Models!$BJ96:$BT96,,AH96+1)*AF96-ERP_i)*AE96*Ramure*Pc/MaxiM</f>
        <v>3.2978858827393555E-3</v>
      </c>
      <c r="AE96" s="307">
        <f t="shared" si="38"/>
        <v>0.9</v>
      </c>
      <c r="AF96" s="179">
        <f t="shared" si="39"/>
        <v>0.62506137811640117</v>
      </c>
      <c r="AG96" s="839">
        <f t="shared" si="47"/>
        <v>-2</v>
      </c>
      <c r="AH96" s="178">
        <f t="shared" si="40"/>
        <v>4</v>
      </c>
      <c r="AI96" s="227">
        <f t="shared" si="41"/>
        <v>-1.3749386218835988</v>
      </c>
      <c r="AJ96" s="267" t="b">
        <f t="shared" si="42"/>
        <v>0</v>
      </c>
      <c r="AK96" s="267" t="b">
        <f t="shared" si="43"/>
        <v>0</v>
      </c>
      <c r="AL96" s="267"/>
      <c r="AM96" s="267"/>
      <c r="AN96" s="75"/>
    </row>
    <row r="97" spans="1:40" s="6" customFormat="1" ht="11.25" customHeight="1" x14ac:dyDescent="0.2">
      <c r="A97" s="56">
        <f t="shared" si="44"/>
        <v>43913</v>
      </c>
      <c r="B97" s="620">
        <v>35.676000000000002</v>
      </c>
      <c r="C97" s="392"/>
      <c r="D97" s="395">
        <f t="shared" si="24"/>
        <v>36.177639435166796</v>
      </c>
      <c r="E97" s="387">
        <f t="shared" si="45"/>
        <v>40.241255516380022</v>
      </c>
      <c r="F97" s="387">
        <f t="shared" si="25"/>
        <v>40.342926861838663</v>
      </c>
      <c r="G97" s="110">
        <f t="shared" si="46"/>
        <v>0.84120750694555368</v>
      </c>
      <c r="H97" s="416" t="b">
        <f>Wh_hp&gt;='2019'!Maxi_hp</f>
        <v>0</v>
      </c>
      <c r="I97" s="382">
        <f>IF(H97,Wh_hp,'2019'!Maxi_hp)</f>
        <v>46.461913490405209</v>
      </c>
      <c r="J97" s="85">
        <f>IF(H97,An,'2019'!An_max)</f>
        <v>2019</v>
      </c>
      <c r="K97" s="199">
        <f t="shared" si="26"/>
        <v>43913</v>
      </c>
      <c r="L97" s="147">
        <f>IF(t&lt;Tvie,1-EXP((T0-t)*PertePVj)+'2019'!Pspv,1-EXP((T0-t)*PertePVj)+Pspv)</f>
        <v>1.386600792640913E-2</v>
      </c>
      <c r="M97" s="872"/>
      <c r="N97" s="872"/>
      <c r="O97" s="48">
        <f>IF(t&lt;Tnet,'2019'!Resal+('2019'!Salim-'2019'!Resal)*(1-EXP(('2019'!Tnet-t)/('2019'!Tau_j))),Resal+(Salim-Resal)*(1-EXP((Tnet-t)/(Tau_j))))*Salcycl</f>
        <v>0.10098134437080744</v>
      </c>
      <c r="P97" s="171">
        <f>(INDEX(Models!$BJ97:$BT97,,T97)*(1-R97)+INDEX(Models!$BJ97:$BT97,,T97+1)*R97-ERP_i)*Q97*Ramure*Pc/MaxiM</f>
        <v>3.2558728958653202E-3</v>
      </c>
      <c r="Q97" s="307">
        <f t="shared" si="27"/>
        <v>0.9</v>
      </c>
      <c r="R97" s="179">
        <f t="shared" si="28"/>
        <v>0.62612012874998491</v>
      </c>
      <c r="S97" s="839">
        <f t="shared" si="29"/>
        <v>-2</v>
      </c>
      <c r="T97" s="178">
        <f t="shared" si="30"/>
        <v>4</v>
      </c>
      <c r="U97" s="253">
        <f t="shared" si="31"/>
        <v>-1.3738798712500151</v>
      </c>
      <c r="V97" s="385">
        <f t="shared" si="32"/>
        <v>42.379183175621108</v>
      </c>
      <c r="W97" s="404"/>
      <c r="X97" s="157">
        <f t="shared" si="33"/>
        <v>43913</v>
      </c>
      <c r="Y97" s="387">
        <f t="shared" si="34"/>
        <v>35.676000000000002</v>
      </c>
      <c r="Z97" s="387">
        <f t="shared" si="35"/>
        <v>36.177639435166796</v>
      </c>
      <c r="AA97" s="388">
        <f t="shared" si="36"/>
        <v>40.241255516380022</v>
      </c>
      <c r="AB97" s="199">
        <f t="shared" si="37"/>
        <v>43913</v>
      </c>
      <c r="AC97" s="119">
        <f>IF(OR(t&lt;Tnet,NoTnet),'2019'!Resal_s+('2019'!Salim-'2019'!Resal_s)*(1-EXP(('2019'!Tnet_s-t)/'2019'!Tau_j)),Resal_s+(Salim-Resal_s)*(1-EXP((Tnet_s-t)/Tau_j)))*Salcycl</f>
        <v>0.10098134437080744</v>
      </c>
      <c r="AD97" s="233">
        <f>(INDEX(Models!$BJ97:$BT97,,AH97)*(1-AF97)+INDEX(Models!$BJ97:$BT97,,AH97+1)*AF97-ERP_i)*AE97*Ramure*Pc/MaxiM</f>
        <v>3.2558728958653202E-3</v>
      </c>
      <c r="AE97" s="307">
        <f t="shared" si="38"/>
        <v>0.9</v>
      </c>
      <c r="AF97" s="179">
        <f t="shared" si="39"/>
        <v>0.62612012874998491</v>
      </c>
      <c r="AG97" s="839">
        <f t="shared" si="47"/>
        <v>-2</v>
      </c>
      <c r="AH97" s="178">
        <f t="shared" si="40"/>
        <v>4</v>
      </c>
      <c r="AI97" s="227">
        <f t="shared" si="41"/>
        <v>-1.3738798712500151</v>
      </c>
      <c r="AJ97" s="267" t="b">
        <f t="shared" si="42"/>
        <v>0</v>
      </c>
      <c r="AK97" s="267" t="b">
        <f t="shared" si="43"/>
        <v>0</v>
      </c>
      <c r="AL97" s="267"/>
      <c r="AM97" s="267"/>
      <c r="AN97" s="75"/>
    </row>
    <row r="98" spans="1:40" s="6" customFormat="1" ht="11.25" x14ac:dyDescent="0.2">
      <c r="A98" s="56">
        <f t="shared" si="44"/>
        <v>43914</v>
      </c>
      <c r="B98" s="620">
        <v>41.228999999999999</v>
      </c>
      <c r="C98" s="392"/>
      <c r="D98" s="395">
        <f t="shared" si="24"/>
        <v>41.809693016152934</v>
      </c>
      <c r="E98" s="387">
        <f t="shared" si="45"/>
        <v>46.512048858483283</v>
      </c>
      <c r="F98" s="387">
        <f t="shared" si="25"/>
        <v>46.654104834621393</v>
      </c>
      <c r="G98" s="110">
        <f t="shared" si="46"/>
        <v>0.9636192642070629</v>
      </c>
      <c r="H98" s="416" t="b">
        <f>Wh_hp&gt;='2019'!Maxi_hp</f>
        <v>1</v>
      </c>
      <c r="I98" s="382">
        <f>IF(H98,Wh_hp,'2019'!Maxi_hp)</f>
        <v>46.654104834621393</v>
      </c>
      <c r="J98" s="85">
        <f>IF(H98,An,'2019'!An_max)</f>
        <v>2020</v>
      </c>
      <c r="K98" s="199">
        <f t="shared" si="26"/>
        <v>43914</v>
      </c>
      <c r="L98" s="147">
        <f>IF(t&lt;Tvie,1-EXP((T0-t)*PertePVj)+'2019'!Pspv,1-EXP((T0-t)*PertePVj)+Pspv)</f>
        <v>1.3888956705053745E-2</v>
      </c>
      <c r="M98" s="872"/>
      <c r="N98" s="872"/>
      <c r="O98" s="48">
        <f>IF(t&lt;Tnet,'2019'!Resal+('2019'!Salim-'2019'!Resal)*(1-EXP(('2019'!Tnet-t)/('2019'!Tau_j))),Resal+(Salim-Resal)*(1-EXP((Tnet-t)/(Tau_j))))*Salcycl</f>
        <v>0.1010997356112532</v>
      </c>
      <c r="P98" s="171">
        <f>(INDEX(Models!$BJ98:$BT98,,T98)*(1-R98)+INDEX(Models!$BJ98:$BT98,,T98+1)*R98-ERP_i)*Q98*Ramure*Pc/MaxiM</f>
        <v>3.2110243673912219E-3</v>
      </c>
      <c r="Q98" s="307">
        <f t="shared" si="27"/>
        <v>0.9</v>
      </c>
      <c r="R98" s="179">
        <f t="shared" si="28"/>
        <v>0.62721976831933102</v>
      </c>
      <c r="S98" s="839">
        <f t="shared" si="29"/>
        <v>-2</v>
      </c>
      <c r="T98" s="178">
        <f t="shared" si="30"/>
        <v>4</v>
      </c>
      <c r="U98" s="253">
        <f t="shared" si="31"/>
        <v>-1.372780231680669</v>
      </c>
      <c r="V98" s="385">
        <f t="shared" si="32"/>
        <v>42.778440084462652</v>
      </c>
      <c r="W98" s="404"/>
      <c r="X98" s="157">
        <f t="shared" si="33"/>
        <v>43914</v>
      </c>
      <c r="Y98" s="387">
        <f t="shared" si="34"/>
        <v>41.228999999999999</v>
      </c>
      <c r="Z98" s="387">
        <f t="shared" si="35"/>
        <v>41.809693016152934</v>
      </c>
      <c r="AA98" s="388">
        <f t="shared" si="36"/>
        <v>46.512048858483283</v>
      </c>
      <c r="AB98" s="199">
        <f t="shared" si="37"/>
        <v>43914</v>
      </c>
      <c r="AC98" s="119">
        <f>IF(OR(t&lt;Tnet,NoTnet),'2019'!Resal_s+('2019'!Salim-'2019'!Resal_s)*(1-EXP(('2019'!Tnet_s-t)/'2019'!Tau_j)),Resal_s+(Salim-Resal_s)*(1-EXP((Tnet_s-t)/Tau_j)))*Salcycl</f>
        <v>0.1010997356112532</v>
      </c>
      <c r="AD98" s="233">
        <f>(INDEX(Models!$BJ98:$BT98,,AH98)*(1-AF98)+INDEX(Models!$BJ98:$BT98,,AH98+1)*AF98-ERP_i)*AE98*Ramure*Pc/MaxiM</f>
        <v>3.2110243673912219E-3</v>
      </c>
      <c r="AE98" s="307">
        <f t="shared" si="38"/>
        <v>0.9</v>
      </c>
      <c r="AF98" s="179">
        <f t="shared" si="39"/>
        <v>0.62721976831933102</v>
      </c>
      <c r="AG98" s="839">
        <f t="shared" si="47"/>
        <v>-2</v>
      </c>
      <c r="AH98" s="178">
        <f t="shared" si="40"/>
        <v>4</v>
      </c>
      <c r="AI98" s="227">
        <f t="shared" si="41"/>
        <v>-1.372780231680669</v>
      </c>
      <c r="AJ98" s="267" t="b">
        <f t="shared" si="42"/>
        <v>0</v>
      </c>
      <c r="AK98" s="267" t="b">
        <f t="shared" si="43"/>
        <v>0</v>
      </c>
      <c r="AL98" s="267"/>
      <c r="AM98" s="267"/>
      <c r="AN98" s="75"/>
    </row>
    <row r="99" spans="1:40" s="6" customFormat="1" ht="11.25" x14ac:dyDescent="0.2">
      <c r="A99" s="56">
        <f t="shared" si="44"/>
        <v>43915</v>
      </c>
      <c r="B99" s="620">
        <v>43.838999999999999</v>
      </c>
      <c r="C99" s="392"/>
      <c r="D99" s="395">
        <f t="shared" si="24"/>
        <v>44.457488352256618</v>
      </c>
      <c r="E99" s="387">
        <f t="shared" si="45"/>
        <v>49.464197021085226</v>
      </c>
      <c r="F99" s="387">
        <f t="shared" si="25"/>
        <v>49.621171948106095</v>
      </c>
      <c r="G99" s="110">
        <f t="shared" si="46"/>
        <v>1.0153625087544094</v>
      </c>
      <c r="H99" s="416" t="b">
        <f>Wh_hp&gt;='2019'!Maxi_hp</f>
        <v>0</v>
      </c>
      <c r="I99" s="382">
        <f>IF(H99,Wh_hp,'2019'!Maxi_hp)</f>
        <v>49.888240917785708</v>
      </c>
      <c r="J99" s="85">
        <f>IF(H99,An,'2019'!An_max)</f>
        <v>2019</v>
      </c>
      <c r="K99" s="199">
        <f t="shared" si="26"/>
        <v>43915</v>
      </c>
      <c r="L99" s="147">
        <f>IF(t&lt;Tvie,1-EXP((T0-t)*PertePVj)+'2019'!Pspv,1-EXP((T0-t)*PertePVj)+Pspv)</f>
        <v>1.391190494964667E-2</v>
      </c>
      <c r="M99" s="872"/>
      <c r="N99" s="872"/>
      <c r="O99" s="48">
        <f>IF(t&lt;Tnet,'2019'!Resal+('2019'!Salim-'2019'!Resal)*(1-EXP(('2019'!Tnet-t)/('2019'!Tau_j))),Resal+(Salim-Resal)*(1-EXP((Tnet-t)/(Tau_j))))*Salcycl</f>
        <v>0.10121884050183584</v>
      </c>
      <c r="P99" s="171">
        <f>(INDEX(Models!$BJ99:$BT99,,T99)*(1-R99)+INDEX(Models!$BJ99:$BT99,,T99+1)*R99-ERP_i)*Q99*Ramure*Pc/MaxiM</f>
        <v>3.163466739258589E-3</v>
      </c>
      <c r="Q99" s="307">
        <f t="shared" si="27"/>
        <v>0.9</v>
      </c>
      <c r="R99" s="179">
        <f t="shared" si="28"/>
        <v>0.62836172872129614</v>
      </c>
      <c r="S99" s="839">
        <f t="shared" si="29"/>
        <v>-2</v>
      </c>
      <c r="T99" s="178">
        <f t="shared" si="30"/>
        <v>4</v>
      </c>
      <c r="U99" s="253">
        <f t="shared" si="31"/>
        <v>-1.3716382712787039</v>
      </c>
      <c r="V99" s="385">
        <f t="shared" si="32"/>
        <v>43.175712735128734</v>
      </c>
      <c r="W99" s="404"/>
      <c r="X99" s="157">
        <f t="shared" si="33"/>
        <v>43915</v>
      </c>
      <c r="Y99" s="387">
        <f t="shared" si="34"/>
        <v>43.838999999999999</v>
      </c>
      <c r="Z99" s="387">
        <f t="shared" si="35"/>
        <v>44.457488352256618</v>
      </c>
      <c r="AA99" s="388">
        <f t="shared" si="36"/>
        <v>49.464197021085226</v>
      </c>
      <c r="AB99" s="199">
        <f t="shared" si="37"/>
        <v>43915</v>
      </c>
      <c r="AC99" s="119">
        <f>IF(OR(t&lt;Tnet,NoTnet),'2019'!Resal_s+('2019'!Salim-'2019'!Resal_s)*(1-EXP(('2019'!Tnet_s-t)/'2019'!Tau_j)),Resal_s+(Salim-Resal_s)*(1-EXP((Tnet_s-t)/Tau_j)))*Salcycl</f>
        <v>0.10121884050183584</v>
      </c>
      <c r="AD99" s="233">
        <f>(INDEX(Models!$BJ99:$BT99,,AH99)*(1-AF99)+INDEX(Models!$BJ99:$BT99,,AH99+1)*AF99-ERP_i)*AE99*Ramure*Pc/MaxiM</f>
        <v>3.163466739258589E-3</v>
      </c>
      <c r="AE99" s="307">
        <f t="shared" si="38"/>
        <v>0.9</v>
      </c>
      <c r="AF99" s="179">
        <f t="shared" si="39"/>
        <v>0.62836172872129614</v>
      </c>
      <c r="AG99" s="839">
        <f t="shared" si="47"/>
        <v>-2</v>
      </c>
      <c r="AH99" s="178">
        <f t="shared" si="40"/>
        <v>4</v>
      </c>
      <c r="AI99" s="227">
        <f t="shared" si="41"/>
        <v>-1.3716382712787039</v>
      </c>
      <c r="AJ99" s="267" t="b">
        <f t="shared" si="42"/>
        <v>0</v>
      </c>
      <c r="AK99" s="267" t="b">
        <f t="shared" si="43"/>
        <v>0</v>
      </c>
      <c r="AL99" s="267"/>
      <c r="AM99" s="267"/>
      <c r="AN99" s="75"/>
    </row>
    <row r="100" spans="1:40" s="6" customFormat="1" ht="11.25" x14ac:dyDescent="0.2">
      <c r="A100" s="56">
        <f t="shared" si="44"/>
        <v>43916</v>
      </c>
      <c r="B100" s="620">
        <v>26.766999999999999</v>
      </c>
      <c r="C100" s="392"/>
      <c r="D100" s="395">
        <f t="shared" si="24"/>
        <v>27.145265271987199</v>
      </c>
      <c r="E100" s="387">
        <f t="shared" si="45"/>
        <v>30.206336680866755</v>
      </c>
      <c r="F100" s="387">
        <f t="shared" si="25"/>
        <v>30.248616235764214</v>
      </c>
      <c r="G100" s="110">
        <f t="shared" si="46"/>
        <v>0.61328641440515719</v>
      </c>
      <c r="H100" s="416" t="b">
        <f>Wh_hp&gt;='2019'!Maxi_hp</f>
        <v>0</v>
      </c>
      <c r="I100" s="382">
        <f>IF(H100,Wh_hp,'2019'!Maxi_hp)</f>
        <v>49.214148253624103</v>
      </c>
      <c r="J100" s="85">
        <f>IF(H100,An,'2019'!An_max)</f>
        <v>2019</v>
      </c>
      <c r="K100" s="199">
        <f t="shared" si="26"/>
        <v>43916</v>
      </c>
      <c r="L100" s="147">
        <f>IF(t&lt;Tvie,1-EXP((T0-t)*PertePVj)+'2019'!Pspv,1-EXP((T0-t)*PertePVj)+Pspv)</f>
        <v>1.3934852660200558E-2</v>
      </c>
      <c r="M100" s="872"/>
      <c r="N100" s="872"/>
      <c r="O100" s="48">
        <f>IF(t&lt;Tnet,'2019'!Resal+('2019'!Salim-'2019'!Resal)*(1-EXP(('2019'!Tnet-t)/('2019'!Tau_j))),Resal+(Salim-Resal)*(1-EXP((Tnet-t)/(Tau_j))))*Salcycl</f>
        <v>0.10133871714468755</v>
      </c>
      <c r="P100" s="171">
        <f>(INDEX(Models!$BJ100:$BT100,,T100)*(1-R100)+INDEX(Models!$BJ100:$BT100,,T100+1)*R100-ERP_i)*Q100*Ramure*Pc/MaxiM</f>
        <v>3.1125860117530851E-3</v>
      </c>
      <c r="Q100" s="307">
        <f t="shared" si="27"/>
        <v>0.9</v>
      </c>
      <c r="R100" s="179">
        <f t="shared" si="28"/>
        <v>0.62954747995644644</v>
      </c>
      <c r="S100" s="839">
        <f t="shared" si="29"/>
        <v>-2</v>
      </c>
      <c r="T100" s="178">
        <f t="shared" si="30"/>
        <v>4</v>
      </c>
      <c r="U100" s="253">
        <f t="shared" si="31"/>
        <v>-1.3704525200435536</v>
      </c>
      <c r="V100" s="385">
        <f t="shared" si="32"/>
        <v>43.570236861908739</v>
      </c>
      <c r="W100" s="404"/>
      <c r="X100" s="157">
        <f t="shared" si="33"/>
        <v>43916</v>
      </c>
      <c r="Y100" s="387">
        <f t="shared" si="34"/>
        <v>26.766999999999999</v>
      </c>
      <c r="Z100" s="387">
        <f t="shared" si="35"/>
        <v>27.145265271987199</v>
      </c>
      <c r="AA100" s="388">
        <f t="shared" si="36"/>
        <v>30.206336680866755</v>
      </c>
      <c r="AB100" s="199">
        <f t="shared" si="37"/>
        <v>43916</v>
      </c>
      <c r="AC100" s="119">
        <f>IF(OR(t&lt;Tnet,NoTnet),'2019'!Resal_s+('2019'!Salim-'2019'!Resal_s)*(1-EXP(('2019'!Tnet_s-t)/'2019'!Tau_j)),Resal_s+(Salim-Resal_s)*(1-EXP((Tnet_s-t)/Tau_j)))*Salcycl</f>
        <v>0.10133871714468755</v>
      </c>
      <c r="AD100" s="233">
        <f>(INDEX(Models!$BJ100:$BT100,,AH100)*(1-AF100)+INDEX(Models!$BJ100:$BT100,,AH100+1)*AF100-ERP_i)*AE100*Ramure*Pc/MaxiM</f>
        <v>3.1125860117530851E-3</v>
      </c>
      <c r="AE100" s="307">
        <f t="shared" si="38"/>
        <v>0.9</v>
      </c>
      <c r="AF100" s="179">
        <f t="shared" si="39"/>
        <v>0.62954747995644644</v>
      </c>
      <c r="AG100" s="839">
        <f t="shared" si="47"/>
        <v>-2</v>
      </c>
      <c r="AH100" s="178">
        <f t="shared" si="40"/>
        <v>4</v>
      </c>
      <c r="AI100" s="227">
        <f t="shared" si="41"/>
        <v>-1.3704525200435536</v>
      </c>
      <c r="AJ100" s="267" t="b">
        <f t="shared" si="42"/>
        <v>0</v>
      </c>
      <c r="AK100" s="267" t="b">
        <f t="shared" si="43"/>
        <v>0</v>
      </c>
      <c r="AL100" s="267"/>
      <c r="AM100" s="267"/>
      <c r="AN100" s="75"/>
    </row>
    <row r="101" spans="1:40" s="6" customFormat="1" ht="11.25" x14ac:dyDescent="0.2">
      <c r="A101" s="56">
        <f t="shared" si="44"/>
        <v>43917</v>
      </c>
      <c r="B101" s="620">
        <v>41.347999999999999</v>
      </c>
      <c r="C101" s="392"/>
      <c r="D101" s="395">
        <f t="shared" si="24"/>
        <v>41.933296559876901</v>
      </c>
      <c r="E101" s="387">
        <f t="shared" si="45"/>
        <v>46.668228076476126</v>
      </c>
      <c r="F101" s="387">
        <f t="shared" si="25"/>
        <v>46.79930809049722</v>
      </c>
      <c r="G101" s="110">
        <f t="shared" si="46"/>
        <v>0.94031333572463804</v>
      </c>
      <c r="H101" s="416" t="b">
        <f>Wh_hp&gt;='2019'!Maxi_hp</f>
        <v>0</v>
      </c>
      <c r="I101" s="382">
        <f>IF(H101,Wh_hp,'2019'!Maxi_hp)</f>
        <v>48.315231329996209</v>
      </c>
      <c r="J101" s="85">
        <f>IF(H101,An,'2019'!An_max)</f>
        <v>2019</v>
      </c>
      <c r="K101" s="199">
        <f t="shared" si="26"/>
        <v>43917</v>
      </c>
      <c r="L101" s="147">
        <f>IF(t&lt;Tvie,1-EXP((T0-t)*PertePVj)+'2019'!Pspv,1-EXP((T0-t)*PertePVj)+Pspv)</f>
        <v>1.3957799836727625E-2</v>
      </c>
      <c r="M101" s="872"/>
      <c r="N101" s="872"/>
      <c r="O101" s="48">
        <f>IF(t&lt;Tnet,'2019'!Resal+('2019'!Salim-'2019'!Resal)*(1-EXP(('2019'!Tnet-t)/('2019'!Tau_j))),Resal+(Salim-Resal)*(1-EXP((Tnet-t)/(Tau_j))))*Salcycl</f>
        <v>0.10145942350414505</v>
      </c>
      <c r="P101" s="171">
        <f>(INDEX(Models!$BJ101:$BT101,,T101)*(1-R101)+INDEX(Models!$BJ101:$BT101,,T101+1)*R101-ERP_i)*Q101*Ramure*Pc/MaxiM</f>
        <v>3.0608094817762992E-3</v>
      </c>
      <c r="Q101" s="307">
        <f t="shared" si="27"/>
        <v>0.9</v>
      </c>
      <c r="R101" s="179">
        <f t="shared" si="28"/>
        <v>0.63077853012597651</v>
      </c>
      <c r="S101" s="839">
        <f t="shared" si="29"/>
        <v>-2</v>
      </c>
      <c r="T101" s="178">
        <f t="shared" si="30"/>
        <v>4</v>
      </c>
      <c r="U101" s="253">
        <f t="shared" si="31"/>
        <v>-1.3692214698740235</v>
      </c>
      <c r="V101" s="385">
        <f t="shared" si="32"/>
        <v>43.961115256322877</v>
      </c>
      <c r="W101" s="404"/>
      <c r="X101" s="157">
        <f t="shared" si="33"/>
        <v>43917</v>
      </c>
      <c r="Y101" s="387">
        <f t="shared" si="34"/>
        <v>41.347999999999999</v>
      </c>
      <c r="Z101" s="387">
        <f t="shared" si="35"/>
        <v>41.933296559876901</v>
      </c>
      <c r="AA101" s="388">
        <f t="shared" si="36"/>
        <v>46.668228076476126</v>
      </c>
      <c r="AB101" s="199">
        <f t="shared" si="37"/>
        <v>43917</v>
      </c>
      <c r="AC101" s="119">
        <f>IF(OR(t&lt;Tnet,NoTnet),'2019'!Resal_s+('2019'!Salim-'2019'!Resal_s)*(1-EXP(('2019'!Tnet_s-t)/'2019'!Tau_j)),Resal_s+(Salim-Resal_s)*(1-EXP((Tnet_s-t)/Tau_j)))*Salcycl</f>
        <v>0.10145942350414505</v>
      </c>
      <c r="AD101" s="233">
        <f>(INDEX(Models!$BJ101:$BT101,,AH101)*(1-AF101)+INDEX(Models!$BJ101:$BT101,,AH101+1)*AF101-ERP_i)*AE101*Ramure*Pc/MaxiM</f>
        <v>3.0608094817762992E-3</v>
      </c>
      <c r="AE101" s="307">
        <f t="shared" si="38"/>
        <v>0.9</v>
      </c>
      <c r="AF101" s="179">
        <f t="shared" si="39"/>
        <v>0.63077853012597651</v>
      </c>
      <c r="AG101" s="839">
        <f t="shared" si="47"/>
        <v>-2</v>
      </c>
      <c r="AH101" s="178">
        <f t="shared" si="40"/>
        <v>4</v>
      </c>
      <c r="AI101" s="227">
        <f t="shared" si="41"/>
        <v>-1.3692214698740235</v>
      </c>
      <c r="AJ101" s="267" t="b">
        <f t="shared" si="42"/>
        <v>0</v>
      </c>
      <c r="AK101" s="267" t="b">
        <f t="shared" si="43"/>
        <v>0</v>
      </c>
      <c r="AL101" s="267"/>
      <c r="AM101" s="267"/>
      <c r="AN101" s="75"/>
    </row>
    <row r="102" spans="1:40" s="6" customFormat="1" ht="11.25" x14ac:dyDescent="0.2">
      <c r="A102" s="56">
        <f t="shared" si="44"/>
        <v>43918</v>
      </c>
      <c r="B102" s="620">
        <v>40.4</v>
      </c>
      <c r="C102" s="392"/>
      <c r="D102" s="395">
        <f t="shared" si="24"/>
        <v>40.972830759383761</v>
      </c>
      <c r="E102" s="387">
        <f t="shared" si="45"/>
        <v>45.605482015183767</v>
      </c>
      <c r="F102" s="387">
        <f t="shared" si="25"/>
        <v>45.725542087158566</v>
      </c>
      <c r="G102" s="110">
        <f t="shared" si="46"/>
        <v>0.91063661656533779</v>
      </c>
      <c r="H102" s="416" t="b">
        <f>Wh_hp&gt;='2019'!Maxi_hp</f>
        <v>0</v>
      </c>
      <c r="I102" s="382">
        <f>IF(H102,Wh_hp,'2019'!Maxi_hp)</f>
        <v>49.314198135031042</v>
      </c>
      <c r="J102" s="85">
        <f>IF(H102,An,'2019'!An_max)</f>
        <v>2019</v>
      </c>
      <c r="K102" s="199">
        <f t="shared" si="26"/>
        <v>43918</v>
      </c>
      <c r="L102" s="147">
        <f>IF(t&lt;Tvie,1-EXP((T0-t)*PertePVj)+'2019'!Pspv,1-EXP((T0-t)*PertePVj)+Pspv)</f>
        <v>1.3980746479240302E-2</v>
      </c>
      <c r="M102" s="872"/>
      <c r="N102" s="872"/>
      <c r="O102" s="48">
        <f>IF(t&lt;Tnet,'2019'!Resal+('2019'!Salim-'2019'!Resal)*(1-EXP(('2019'!Tnet-t)/('2019'!Tau_j))),Resal+(Salim-Resal)*(1-EXP((Tnet-t)/(Tau_j))))*Salcycl</f>
        <v>0.10158101726142528</v>
      </c>
      <c r="P102" s="171">
        <f>(INDEX(Models!$BJ102:$BT102,,T102)*(1-R102)+INDEX(Models!$BJ102:$BT102,,T102+1)*R102-ERP_i)*Q102*Ramure*Pc/MaxiM</f>
        <v>3.0081986170618666E-3</v>
      </c>
      <c r="Q102" s="307">
        <f t="shared" si="27"/>
        <v>0.9</v>
      </c>
      <c r="R102" s="179">
        <f t="shared" si="28"/>
        <v>0.63205642532411743</v>
      </c>
      <c r="S102" s="839">
        <f t="shared" si="29"/>
        <v>-2</v>
      </c>
      <c r="T102" s="178">
        <f t="shared" si="30"/>
        <v>4</v>
      </c>
      <c r="U102" s="253">
        <f t="shared" si="31"/>
        <v>-1.3679435746758826</v>
      </c>
      <c r="V102" s="385">
        <f t="shared" si="32"/>
        <v>44.347552388756256</v>
      </c>
      <c r="W102" s="404"/>
      <c r="X102" s="157">
        <f t="shared" si="33"/>
        <v>43918</v>
      </c>
      <c r="Y102" s="387">
        <f t="shared" si="34"/>
        <v>40.4</v>
      </c>
      <c r="Z102" s="387">
        <f t="shared" si="35"/>
        <v>40.972830759383761</v>
      </c>
      <c r="AA102" s="388">
        <f t="shared" si="36"/>
        <v>45.605482015183767</v>
      </c>
      <c r="AB102" s="199">
        <f t="shared" si="37"/>
        <v>43918</v>
      </c>
      <c r="AC102" s="119">
        <f>IF(OR(t&lt;Tnet,NoTnet),'2019'!Resal_s+('2019'!Salim-'2019'!Resal_s)*(1-EXP(('2019'!Tnet_s-t)/'2019'!Tau_j)),Resal_s+(Salim-Resal_s)*(1-EXP((Tnet_s-t)/Tau_j)))*Salcycl</f>
        <v>0.10158101726142528</v>
      </c>
      <c r="AD102" s="233">
        <f>(INDEX(Models!$BJ102:$BT102,,AH102)*(1-AF102)+INDEX(Models!$BJ102:$BT102,,AH102+1)*AF102-ERP_i)*AE102*Ramure*Pc/MaxiM</f>
        <v>3.0081986170618666E-3</v>
      </c>
      <c r="AE102" s="307">
        <f t="shared" si="38"/>
        <v>0.9</v>
      </c>
      <c r="AF102" s="179">
        <f t="shared" si="39"/>
        <v>0.63205642532411743</v>
      </c>
      <c r="AG102" s="839">
        <f t="shared" si="47"/>
        <v>-2</v>
      </c>
      <c r="AH102" s="178">
        <f t="shared" si="40"/>
        <v>4</v>
      </c>
      <c r="AI102" s="227">
        <f t="shared" si="41"/>
        <v>-1.3679435746758826</v>
      </c>
      <c r="AJ102" s="267" t="b">
        <f t="shared" si="42"/>
        <v>0</v>
      </c>
      <c r="AK102" s="267" t="b">
        <f t="shared" si="43"/>
        <v>0</v>
      </c>
      <c r="AL102" s="267"/>
      <c r="AM102" s="267"/>
      <c r="AN102" s="75"/>
    </row>
    <row r="103" spans="1:40" s="6" customFormat="1" ht="11.25" x14ac:dyDescent="0.2">
      <c r="A103" s="56">
        <f t="shared" si="44"/>
        <v>43919</v>
      </c>
      <c r="B103" s="620">
        <v>25.625</v>
      </c>
      <c r="C103" s="392"/>
      <c r="D103" s="395">
        <f t="shared" si="24"/>
        <v>25.988941142439884</v>
      </c>
      <c r="E103" s="387">
        <f t="shared" si="45"/>
        <v>28.931363701388687</v>
      </c>
      <c r="F103" s="387">
        <f t="shared" si="25"/>
        <v>28.964729430464196</v>
      </c>
      <c r="G103" s="110">
        <f t="shared" si="46"/>
        <v>0.57186365554783813</v>
      </c>
      <c r="H103" s="416" t="b">
        <f>Wh_hp&gt;='2019'!Maxi_hp</f>
        <v>0</v>
      </c>
      <c r="I103" s="382">
        <f>IF(H103,Wh_hp,'2019'!Maxi_hp)</f>
        <v>50.446118707020261</v>
      </c>
      <c r="J103" s="85">
        <f>IF(H103,An,'2019'!An_max)</f>
        <v>2019</v>
      </c>
      <c r="K103" s="199">
        <f t="shared" si="26"/>
        <v>43919</v>
      </c>
      <c r="L103" s="147">
        <f>IF(t&lt;Tvie,1-EXP((T0-t)*PertePVj)+'2019'!Pspv,1-EXP((T0-t)*PertePVj)+Pspv)</f>
        <v>1.4003692587751138E-2</v>
      </c>
      <c r="M103" s="872"/>
      <c r="N103" s="872"/>
      <c r="O103" s="48">
        <f>IF(t&lt;Tnet,'2019'!Resal+('2019'!Salim-'2019'!Resal)*(1-EXP(('2019'!Tnet-t)/('2019'!Tau_j))),Resal+(Salim-Resal)*(1-EXP((Tnet-t)/(Tau_j))))*Salcycl</f>
        <v>0.10170355567468706</v>
      </c>
      <c r="P103" s="171">
        <f>(INDEX(Models!$BJ103:$BT103,,T103)*(1-R103)+INDEX(Models!$BJ103:$BT103,,T103+1)*R103-ERP_i)*Q103*Ramure*Pc/MaxiM</f>
        <v>2.9548082409575987E-3</v>
      </c>
      <c r="Q103" s="307">
        <f t="shared" si="27"/>
        <v>0.9</v>
      </c>
      <c r="R103" s="179">
        <f t="shared" si="28"/>
        <v>0.63338274941638306</v>
      </c>
      <c r="S103" s="839">
        <f t="shared" si="29"/>
        <v>-2</v>
      </c>
      <c r="T103" s="178">
        <f t="shared" si="30"/>
        <v>4</v>
      </c>
      <c r="U103" s="253">
        <f t="shared" si="31"/>
        <v>-1.3666172505836169</v>
      </c>
      <c r="V103" s="385">
        <f t="shared" si="32"/>
        <v>44.728753193401111</v>
      </c>
      <c r="W103" s="404"/>
      <c r="X103" s="157">
        <f t="shared" si="33"/>
        <v>43919</v>
      </c>
      <c r="Y103" s="387">
        <f t="shared" si="34"/>
        <v>25.625</v>
      </c>
      <c r="Z103" s="387">
        <f t="shared" si="35"/>
        <v>25.988941142439884</v>
      </c>
      <c r="AA103" s="388">
        <f t="shared" si="36"/>
        <v>28.931363701388687</v>
      </c>
      <c r="AB103" s="199">
        <f t="shared" si="37"/>
        <v>43919</v>
      </c>
      <c r="AC103" s="119">
        <f>IF(OR(t&lt;Tnet,NoTnet),'2019'!Resal_s+('2019'!Salim-'2019'!Resal_s)*(1-EXP(('2019'!Tnet_s-t)/'2019'!Tau_j)),Resal_s+(Salim-Resal_s)*(1-EXP((Tnet_s-t)/Tau_j)))*Salcycl</f>
        <v>0.10170355567468706</v>
      </c>
      <c r="AD103" s="233">
        <f>(INDEX(Models!$BJ103:$BT103,,AH103)*(1-AF103)+INDEX(Models!$BJ103:$BT103,,AH103+1)*AF103-ERP_i)*AE103*Ramure*Pc/MaxiM</f>
        <v>2.9548082409575987E-3</v>
      </c>
      <c r="AE103" s="307">
        <f t="shared" si="38"/>
        <v>0.9</v>
      </c>
      <c r="AF103" s="179">
        <f t="shared" si="39"/>
        <v>0.63338274941638306</v>
      </c>
      <c r="AG103" s="839">
        <f t="shared" si="47"/>
        <v>-2</v>
      </c>
      <c r="AH103" s="178">
        <f t="shared" si="40"/>
        <v>4</v>
      </c>
      <c r="AI103" s="227">
        <f t="shared" si="41"/>
        <v>-1.3666172505836169</v>
      </c>
      <c r="AJ103" s="267" t="b">
        <f t="shared" si="42"/>
        <v>0</v>
      </c>
      <c r="AK103" s="267" t="b">
        <f t="shared" si="43"/>
        <v>0</v>
      </c>
      <c r="AL103" s="267"/>
      <c r="AM103" s="267"/>
      <c r="AN103" s="75"/>
    </row>
    <row r="104" spans="1:40" s="6" customFormat="1" ht="11.25" x14ac:dyDescent="0.2">
      <c r="A104" s="56">
        <f t="shared" si="44"/>
        <v>43920</v>
      </c>
      <c r="B104" s="620">
        <v>21.478999999999999</v>
      </c>
      <c r="C104" s="392"/>
      <c r="D104" s="395">
        <f t="shared" si="24"/>
        <v>21.784564199549884</v>
      </c>
      <c r="E104" s="387">
        <f t="shared" si="45"/>
        <v>24.254310154605424</v>
      </c>
      <c r="F104" s="387">
        <f t="shared" si="25"/>
        <v>24.27203338242898</v>
      </c>
      <c r="G104" s="110">
        <f t="shared" si="46"/>
        <v>0.47517697790451469</v>
      </c>
      <c r="H104" s="416" t="b">
        <f>Wh_hp&gt;='2019'!Maxi_hp</f>
        <v>0</v>
      </c>
      <c r="I104" s="382">
        <f>IF(H104,Wh_hp,'2019'!Maxi_hp)</f>
        <v>42.863108141425833</v>
      </c>
      <c r="J104" s="85">
        <f>IF(H104,An,'2019'!An_max)</f>
        <v>2019</v>
      </c>
      <c r="K104" s="199">
        <f t="shared" si="26"/>
        <v>43920</v>
      </c>
      <c r="L104" s="147">
        <f>IF(t&lt;Tvie,1-EXP((T0-t)*PertePVj)+'2019'!Pspv,1-EXP((T0-t)*PertePVj)+Pspv)</f>
        <v>1.4026638162272564E-2</v>
      </c>
      <c r="M104" s="872"/>
      <c r="N104" s="872"/>
      <c r="O104" s="48">
        <f>IF(t&lt;Tnet,'2019'!Resal+('2019'!Salim-'2019'!Resal)*(1-EXP(('2019'!Tnet-t)/('2019'!Tau_j))),Resal+(Salim-Resal)*(1-EXP((Tnet-t)/(Tau_j))))*Salcycl</f>
        <v>0.1018270954445836</v>
      </c>
      <c r="P104" s="171">
        <f>(INDEX(Models!$BJ104:$BT104,,T104)*(1-R104)+INDEX(Models!$BJ104:$BT104,,T104+1)*R104-ERP_i)*Q104*Ramure*Pc/MaxiM</f>
        <v>2.9006867193696355E-3</v>
      </c>
      <c r="Q104" s="307">
        <f t="shared" si="27"/>
        <v>0.9</v>
      </c>
      <c r="R104" s="179">
        <f t="shared" si="28"/>
        <v>0.63475912369351306</v>
      </c>
      <c r="S104" s="839">
        <f t="shared" si="29"/>
        <v>-2</v>
      </c>
      <c r="T104" s="178">
        <f t="shared" si="30"/>
        <v>4</v>
      </c>
      <c r="U104" s="253">
        <f t="shared" si="31"/>
        <v>-1.3652408763064869</v>
      </c>
      <c r="V104" s="385">
        <f t="shared" si="32"/>
        <v>45.103923083870917</v>
      </c>
      <c r="W104" s="404"/>
      <c r="X104" s="157">
        <f t="shared" si="33"/>
        <v>43920</v>
      </c>
      <c r="Y104" s="387">
        <f t="shared" si="34"/>
        <v>21.478999999999999</v>
      </c>
      <c r="Z104" s="387">
        <f t="shared" si="35"/>
        <v>21.784564199549884</v>
      </c>
      <c r="AA104" s="388">
        <f t="shared" si="36"/>
        <v>24.254310154605424</v>
      </c>
      <c r="AB104" s="199">
        <f t="shared" si="37"/>
        <v>43920</v>
      </c>
      <c r="AC104" s="119">
        <f>IF(OR(t&lt;Tnet,NoTnet),'2019'!Resal_s+('2019'!Salim-'2019'!Resal_s)*(1-EXP(('2019'!Tnet_s-t)/'2019'!Tau_j)),Resal_s+(Salim-Resal_s)*(1-EXP((Tnet_s-t)/Tau_j)))*Salcycl</f>
        <v>0.1018270954445836</v>
      </c>
      <c r="AD104" s="233">
        <f>(INDEX(Models!$BJ104:$BT104,,AH104)*(1-AF104)+INDEX(Models!$BJ104:$BT104,,AH104+1)*AF104-ERP_i)*AE104*Ramure*Pc/MaxiM</f>
        <v>2.9006867193696355E-3</v>
      </c>
      <c r="AE104" s="307">
        <f t="shared" si="38"/>
        <v>0.9</v>
      </c>
      <c r="AF104" s="179">
        <f t="shared" si="39"/>
        <v>0.63475912369351306</v>
      </c>
      <c r="AG104" s="839">
        <f t="shared" si="47"/>
        <v>-2</v>
      </c>
      <c r="AH104" s="178">
        <f t="shared" si="40"/>
        <v>4</v>
      </c>
      <c r="AI104" s="227">
        <f t="shared" si="41"/>
        <v>-1.3652408763064869</v>
      </c>
      <c r="AJ104" s="267" t="b">
        <f t="shared" si="42"/>
        <v>0</v>
      </c>
      <c r="AK104" s="267" t="b">
        <f t="shared" si="43"/>
        <v>0</v>
      </c>
      <c r="AL104" s="267"/>
      <c r="AM104" s="267"/>
      <c r="AN104" s="75"/>
    </row>
    <row r="105" spans="1:40" s="6" customFormat="1" ht="11.25" customHeight="1" x14ac:dyDescent="0.2">
      <c r="A105" s="56">
        <f t="shared" si="44"/>
        <v>43921</v>
      </c>
      <c r="B105" s="620">
        <v>42.192</v>
      </c>
      <c r="C105" s="392"/>
      <c r="D105" s="395">
        <f t="shared" si="24"/>
        <v>42.79322700329989</v>
      </c>
      <c r="E105" s="387">
        <f t="shared" si="45"/>
        <v>47.651364241743408</v>
      </c>
      <c r="F105" s="387">
        <f t="shared" si="25"/>
        <v>47.773310266895436</v>
      </c>
      <c r="G105" s="110">
        <f t="shared" si="46"/>
        <v>0.92758941210123591</v>
      </c>
      <c r="H105" s="416" t="b">
        <f>Wh_hp&gt;='2019'!Maxi_hp</f>
        <v>1</v>
      </c>
      <c r="I105" s="382">
        <f>IF(H105,Wh_hp,'2019'!Maxi_hp)</f>
        <v>47.773310266895436</v>
      </c>
      <c r="J105" s="85">
        <f>IF(H105,An,'2019'!An_max)</f>
        <v>2020</v>
      </c>
      <c r="K105" s="199">
        <f t="shared" si="26"/>
        <v>43921</v>
      </c>
      <c r="L105" s="147">
        <f>IF(t&lt;Tvie,1-EXP((T0-t)*PertePVj)+'2019'!Pspv,1-EXP((T0-t)*PertePVj)+Pspv)</f>
        <v>1.4049583202816907E-2</v>
      </c>
      <c r="M105" s="872"/>
      <c r="N105" s="872"/>
      <c r="O105" s="48">
        <f>IF(t&lt;Tnet,'2019'!Resal+('2019'!Salim-'2019'!Resal)*(1-EXP(('2019'!Tnet-t)/('2019'!Tau_j))),Resal+(Salim-Resal)*(1-EXP((Tnet-t)/(Tau_j))))*Salcycl</f>
        <v>0.10195169258528186</v>
      </c>
      <c r="P105" s="171">
        <f>(INDEX(Models!$BJ105:$BT105,,T105)*(1-R105)+INDEX(Models!$BJ105:$BT105,,T105+1)*R105-ERP_i)*Q105*Ramure*Pc/MaxiM</f>
        <v>2.8458761441264168E-3</v>
      </c>
      <c r="Q105" s="307">
        <f t="shared" si="27"/>
        <v>0.9</v>
      </c>
      <c r="R105" s="179">
        <f t="shared" si="28"/>
        <v>0.63618720639051229</v>
      </c>
      <c r="S105" s="839">
        <f t="shared" si="29"/>
        <v>-2</v>
      </c>
      <c r="T105" s="178">
        <f t="shared" si="30"/>
        <v>4</v>
      </c>
      <c r="U105" s="253">
        <f t="shared" si="31"/>
        <v>-1.3638127936094877</v>
      </c>
      <c r="V105" s="385">
        <f t="shared" si="32"/>
        <v>45.472267971254873</v>
      </c>
      <c r="W105" s="404"/>
      <c r="X105" s="157">
        <f t="shared" si="33"/>
        <v>43921</v>
      </c>
      <c r="Y105" s="387">
        <f t="shared" si="34"/>
        <v>42.192</v>
      </c>
      <c r="Z105" s="387">
        <f t="shared" si="35"/>
        <v>42.79322700329989</v>
      </c>
      <c r="AA105" s="388">
        <f t="shared" si="36"/>
        <v>47.651364241743408</v>
      </c>
      <c r="AB105" s="199">
        <f t="shared" si="37"/>
        <v>43921</v>
      </c>
      <c r="AC105" s="119">
        <f>IF(OR(t&lt;Tnet,NoTnet),'2019'!Resal_s+('2019'!Salim-'2019'!Resal_s)*(1-EXP(('2019'!Tnet_s-t)/'2019'!Tau_j)),Resal_s+(Salim-Resal_s)*(1-EXP((Tnet_s-t)/Tau_j)))*Salcycl</f>
        <v>0.10195169258528186</v>
      </c>
      <c r="AD105" s="233">
        <f>(INDEX(Models!$BJ105:$BT105,,AH105)*(1-AF105)+INDEX(Models!$BJ105:$BT105,,AH105+1)*AF105-ERP_i)*AE105*Ramure*Pc/MaxiM</f>
        <v>2.8458761441264168E-3</v>
      </c>
      <c r="AE105" s="307">
        <f t="shared" si="38"/>
        <v>0.9</v>
      </c>
      <c r="AF105" s="179">
        <f t="shared" si="39"/>
        <v>0.63618720639051229</v>
      </c>
      <c r="AG105" s="839">
        <f t="shared" si="47"/>
        <v>-2</v>
      </c>
      <c r="AH105" s="178">
        <f t="shared" si="40"/>
        <v>4</v>
      </c>
      <c r="AI105" s="227">
        <f t="shared" si="41"/>
        <v>-1.3638127936094877</v>
      </c>
      <c r="AJ105" s="267" t="b">
        <f t="shared" si="42"/>
        <v>0</v>
      </c>
      <c r="AK105" s="267" t="b">
        <f t="shared" si="43"/>
        <v>0</v>
      </c>
      <c r="AL105" s="267"/>
      <c r="AM105" s="267"/>
      <c r="AN105" s="75"/>
    </row>
    <row r="106" spans="1:40" s="6" customFormat="1" ht="11.25" customHeight="1" x14ac:dyDescent="0.2">
      <c r="A106" s="56">
        <f t="shared" si="44"/>
        <v>43922</v>
      </c>
      <c r="B106" s="620">
        <v>37.417000000000002</v>
      </c>
      <c r="C106" s="392"/>
      <c r="D106" s="395">
        <f t="shared" si="24"/>
        <v>37.951067448266919</v>
      </c>
      <c r="E106" s="387">
        <f t="shared" si="45"/>
        <v>42.265410788759766</v>
      </c>
      <c r="F106" s="387">
        <f t="shared" si="25"/>
        <v>42.352590855929826</v>
      </c>
      <c r="G106" s="110">
        <f t="shared" si="46"/>
        <v>0.81577814610120025</v>
      </c>
      <c r="H106" s="416" t="b">
        <f>Wh_hp&gt;='2019'!Maxi_hp</f>
        <v>1</v>
      </c>
      <c r="I106" s="382">
        <f>IF(H106,Wh_hp,'2019'!Maxi_hp)</f>
        <v>42.352590855929826</v>
      </c>
      <c r="J106" s="85">
        <f>IF(H106,An,'2019'!An_max)</f>
        <v>2020</v>
      </c>
      <c r="K106" s="199">
        <f t="shared" si="26"/>
        <v>43922</v>
      </c>
      <c r="L106" s="147">
        <f>IF(t&lt;Tvie,1-EXP((T0-t)*PertePVj)+'2019'!Pspv,1-EXP((T0-t)*PertePVj)+Pspv)</f>
        <v>1.4072527709396598E-2</v>
      </c>
      <c r="M106" s="872"/>
      <c r="N106" s="872"/>
      <c r="O106" s="48">
        <f>IF(t&lt;Tnet,'2019'!Resal+('2019'!Salim-'2019'!Resal)*(1-EXP(('2019'!Tnet-t)/('2019'!Tau_j))),Resal+(Salim-Resal)*(1-EXP((Tnet-t)/(Tau_j))))*Salcycl</f>
        <v>0.10207740230080108</v>
      </c>
      <c r="P106" s="171">
        <f>(INDEX(Models!$BJ106:$BT106,,T106)*(1-R106)+INDEX(Models!$BJ106:$BT106,,T106+1)*R106-ERP_i)*Q106*Ramure*Pc/MaxiM</f>
        <v>2.7904125091320732E-3</v>
      </c>
      <c r="Q106" s="307">
        <f t="shared" si="27"/>
        <v>0.9</v>
      </c>
      <c r="R106" s="179">
        <f t="shared" si="28"/>
        <v>0.63766869205972743</v>
      </c>
      <c r="S106" s="839">
        <f t="shared" si="29"/>
        <v>-2</v>
      </c>
      <c r="T106" s="178">
        <f t="shared" si="30"/>
        <v>4</v>
      </c>
      <c r="U106" s="253">
        <f t="shared" si="31"/>
        <v>-1.3623313079402726</v>
      </c>
      <c r="V106" s="385">
        <f t="shared" si="32"/>
        <v>45.832994292809765</v>
      </c>
      <c r="W106" s="404"/>
      <c r="X106" s="157">
        <f t="shared" si="33"/>
        <v>43922</v>
      </c>
      <c r="Y106" s="387">
        <f t="shared" si="34"/>
        <v>37.417000000000002</v>
      </c>
      <c r="Z106" s="387">
        <f t="shared" si="35"/>
        <v>37.951067448266919</v>
      </c>
      <c r="AA106" s="388">
        <f t="shared" si="36"/>
        <v>42.265410788759766</v>
      </c>
      <c r="AB106" s="199">
        <f t="shared" si="37"/>
        <v>43922</v>
      </c>
      <c r="AC106" s="119">
        <f>IF(OR(t&lt;Tnet,NoTnet),'2019'!Resal_s+('2019'!Salim-'2019'!Resal_s)*(1-EXP(('2019'!Tnet_s-t)/'2019'!Tau_j)),Resal_s+(Salim-Resal_s)*(1-EXP((Tnet_s-t)/Tau_j)))*Salcycl</f>
        <v>0.10207740230080108</v>
      </c>
      <c r="AD106" s="233">
        <f>(INDEX(Models!$BJ106:$BT106,,AH106)*(1-AF106)+INDEX(Models!$BJ106:$BT106,,AH106+1)*AF106-ERP_i)*AE106*Ramure*Pc/MaxiM</f>
        <v>2.7904125091320732E-3</v>
      </c>
      <c r="AE106" s="307">
        <f t="shared" si="38"/>
        <v>0.9</v>
      </c>
      <c r="AF106" s="179">
        <f t="shared" si="39"/>
        <v>0.63766869205972743</v>
      </c>
      <c r="AG106" s="839">
        <f t="shared" si="47"/>
        <v>-2</v>
      </c>
      <c r="AH106" s="178">
        <f t="shared" si="40"/>
        <v>4</v>
      </c>
      <c r="AI106" s="227">
        <f t="shared" si="41"/>
        <v>-1.3623313079402726</v>
      </c>
      <c r="AJ106" s="267" t="b">
        <f t="shared" si="42"/>
        <v>0</v>
      </c>
      <c r="AK106" s="267" t="b">
        <f t="shared" si="43"/>
        <v>0</v>
      </c>
      <c r="AL106" s="267"/>
      <c r="AM106" s="267"/>
      <c r="AN106" s="75"/>
    </row>
    <row r="107" spans="1:40" s="6" customFormat="1" ht="11.25" x14ac:dyDescent="0.2">
      <c r="A107" s="56">
        <f t="shared" si="44"/>
        <v>43923</v>
      </c>
      <c r="B107" s="620">
        <v>23.757000000000001</v>
      </c>
      <c r="C107" s="392"/>
      <c r="D107" s="395">
        <f t="shared" si="24"/>
        <v>24.096653699857892</v>
      </c>
      <c r="E107" s="387">
        <f t="shared" si="45"/>
        <v>26.839795660233786</v>
      </c>
      <c r="F107" s="387">
        <f t="shared" si="25"/>
        <v>26.862286434507805</v>
      </c>
      <c r="G107" s="110">
        <f t="shared" si="46"/>
        <v>0.51337859896774718</v>
      </c>
      <c r="H107" s="416" t="b">
        <f>Wh_hp&gt;='2019'!Maxi_hp</f>
        <v>1</v>
      </c>
      <c r="I107" s="382">
        <f>IF(H107,Wh_hp,'2019'!Maxi_hp)</f>
        <v>26.862286434507805</v>
      </c>
      <c r="J107" s="85">
        <f>IF(H107,An,'2019'!An_max)</f>
        <v>2020</v>
      </c>
      <c r="K107" s="199">
        <f t="shared" si="26"/>
        <v>43923</v>
      </c>
      <c r="L107" s="147">
        <f>IF(t&lt;Tvie,1-EXP((T0-t)*PertePVj)+'2019'!Pspv,1-EXP((T0-t)*PertePVj)+Pspv)</f>
        <v>1.4095471682024185E-2</v>
      </c>
      <c r="M107" s="872"/>
      <c r="N107" s="872"/>
      <c r="O107" s="48">
        <f>IF(t&lt;Tnet,'2019'!Resal+('2019'!Salim-'2019'!Resal)*(1-EXP(('2019'!Tnet-t)/('2019'!Tau_j))),Resal+(Salim-Resal)*(1-EXP((Tnet-t)/(Tau_j))))*Salcycl</f>
        <v>0.10220427886640623</v>
      </c>
      <c r="P107" s="171">
        <f>(INDEX(Models!$BJ107:$BT107,,T107)*(1-R107)+INDEX(Models!$BJ107:$BT107,,T107+1)*R107-ERP_i)*Q107*Ramure*Pc/MaxiM</f>
        <v>2.7341708435544201E-3</v>
      </c>
      <c r="Q107" s="307">
        <f t="shared" si="27"/>
        <v>0.9</v>
      </c>
      <c r="R107" s="179">
        <f t="shared" si="28"/>
        <v>0.63920531078646636</v>
      </c>
      <c r="S107" s="839">
        <f t="shared" si="29"/>
        <v>-2</v>
      </c>
      <c r="T107" s="178">
        <f t="shared" si="30"/>
        <v>4</v>
      </c>
      <c r="U107" s="253">
        <f t="shared" si="31"/>
        <v>-1.3607946892135336</v>
      </c>
      <c r="V107" s="385">
        <f t="shared" si="32"/>
        <v>46.187935032491744</v>
      </c>
      <c r="W107" s="404"/>
      <c r="X107" s="157">
        <f t="shared" si="33"/>
        <v>43923</v>
      </c>
      <c r="Y107" s="387">
        <f t="shared" si="34"/>
        <v>23.757000000000001</v>
      </c>
      <c r="Z107" s="387">
        <f t="shared" si="35"/>
        <v>24.096653699857892</v>
      </c>
      <c r="AA107" s="388">
        <f t="shared" si="36"/>
        <v>26.839795660233786</v>
      </c>
      <c r="AB107" s="199">
        <f t="shared" si="37"/>
        <v>43923</v>
      </c>
      <c r="AC107" s="119">
        <f>IF(OR(t&lt;Tnet,NoTnet),'2019'!Resal_s+('2019'!Salim-'2019'!Resal_s)*(1-EXP(('2019'!Tnet_s-t)/'2019'!Tau_j)),Resal_s+(Salim-Resal_s)*(1-EXP((Tnet_s-t)/Tau_j)))*Salcycl</f>
        <v>0.10220427886640623</v>
      </c>
      <c r="AD107" s="233">
        <f>(INDEX(Models!$BJ107:$BT107,,AH107)*(1-AF107)+INDEX(Models!$BJ107:$BT107,,AH107+1)*AF107-ERP_i)*AE107*Ramure*Pc/MaxiM</f>
        <v>2.7341708435544201E-3</v>
      </c>
      <c r="AE107" s="307">
        <f t="shared" si="38"/>
        <v>0.9</v>
      </c>
      <c r="AF107" s="179">
        <f t="shared" si="39"/>
        <v>0.63920531078646636</v>
      </c>
      <c r="AG107" s="839">
        <f t="shared" si="47"/>
        <v>-2</v>
      </c>
      <c r="AH107" s="178">
        <f t="shared" si="40"/>
        <v>4</v>
      </c>
      <c r="AI107" s="227">
        <f t="shared" si="41"/>
        <v>-1.3607946892135336</v>
      </c>
      <c r="AJ107" s="267" t="b">
        <f t="shared" si="42"/>
        <v>0</v>
      </c>
      <c r="AK107" s="267" t="b">
        <f t="shared" si="43"/>
        <v>0</v>
      </c>
      <c r="AL107" s="267"/>
      <c r="AM107" s="267"/>
      <c r="AN107" s="75"/>
    </row>
    <row r="108" spans="1:40" s="6" customFormat="1" ht="11.25" x14ac:dyDescent="0.2">
      <c r="A108" s="56">
        <f t="shared" si="44"/>
        <v>43924</v>
      </c>
      <c r="B108" s="620">
        <v>46.972999999999999</v>
      </c>
      <c r="C108" s="392"/>
      <c r="D108" s="395">
        <f t="shared" si="24"/>
        <v>47.645681510271238</v>
      </c>
      <c r="E108" s="387">
        <f t="shared" si="45"/>
        <v>53.077197183745177</v>
      </c>
      <c r="F108" s="387">
        <f t="shared" si="25"/>
        <v>53.219609194847415</v>
      </c>
      <c r="G108" s="110">
        <f t="shared" si="46"/>
        <v>1.0093189401418345</v>
      </c>
      <c r="H108" s="416" t="b">
        <f>Wh_hp&gt;='2019'!Maxi_hp</f>
        <v>1</v>
      </c>
      <c r="I108" s="382">
        <f>IF(H108,Wh_hp,'2019'!Maxi_hp)</f>
        <v>53.219609194847415</v>
      </c>
      <c r="J108" s="85">
        <f>IF(H108,An,'2019'!An_max)</f>
        <v>2020</v>
      </c>
      <c r="K108" s="199">
        <f t="shared" si="26"/>
        <v>43924</v>
      </c>
      <c r="L108" s="147">
        <f>IF(t&lt;Tvie,1-EXP((T0-t)*PertePVj)+'2019'!Pspv,1-EXP((T0-t)*PertePVj)+Pspv)</f>
        <v>1.4118415120711991E-2</v>
      </c>
      <c r="M108" s="872"/>
      <c r="N108" s="872"/>
      <c r="O108" s="48">
        <f>IF(t&lt;Tnet,'2019'!Resal+('2019'!Salim-'2019'!Resal)*(1-EXP(('2019'!Tnet-t)/('2019'!Tau_j))),Resal+(Salim-Resal)*(1-EXP((Tnet-t)/(Tau_j))))*Salcycl</f>
        <v>0.10233237551468399</v>
      </c>
      <c r="P108" s="171">
        <f>(INDEX(Models!$BJ108:$BT108,,T108)*(1-R108)+INDEX(Models!$BJ108:$BT108,,T108+1)*R108-ERP_i)*Q108*Ramure*Pc/MaxiM</f>
        <v>2.6759311700475233E-3</v>
      </c>
      <c r="Q108" s="307">
        <f t="shared" si="27"/>
        <v>0.9</v>
      </c>
      <c r="R108" s="179">
        <f t="shared" si="28"/>
        <v>0.64079882723526027</v>
      </c>
      <c r="S108" s="839">
        <f t="shared" si="29"/>
        <v>-2</v>
      </c>
      <c r="T108" s="178">
        <f t="shared" si="30"/>
        <v>4</v>
      </c>
      <c r="U108" s="253">
        <f t="shared" si="31"/>
        <v>-1.3592011727647397</v>
      </c>
      <c r="V108" s="385">
        <f t="shared" si="32"/>
        <v>46.539303020905471</v>
      </c>
      <c r="W108" s="404"/>
      <c r="X108" s="157">
        <f t="shared" si="33"/>
        <v>43924</v>
      </c>
      <c r="Y108" s="387">
        <f t="shared" si="34"/>
        <v>46.972999999999999</v>
      </c>
      <c r="Z108" s="387">
        <f t="shared" si="35"/>
        <v>47.645681510271238</v>
      </c>
      <c r="AA108" s="388">
        <f t="shared" si="36"/>
        <v>53.077197183745177</v>
      </c>
      <c r="AB108" s="199">
        <f t="shared" si="37"/>
        <v>43924</v>
      </c>
      <c r="AC108" s="119">
        <f>IF(OR(t&lt;Tnet,NoTnet),'2019'!Resal_s+('2019'!Salim-'2019'!Resal_s)*(1-EXP(('2019'!Tnet_s-t)/'2019'!Tau_j)),Resal_s+(Salim-Resal_s)*(1-EXP((Tnet_s-t)/Tau_j)))*Salcycl</f>
        <v>0.10233237551468399</v>
      </c>
      <c r="AD108" s="233">
        <f>(INDEX(Models!$BJ108:$BT108,,AH108)*(1-AF108)+INDEX(Models!$BJ108:$BT108,,AH108+1)*AF108-ERP_i)*AE108*Ramure*Pc/MaxiM</f>
        <v>2.6759311700475233E-3</v>
      </c>
      <c r="AE108" s="307">
        <f t="shared" si="38"/>
        <v>0.9</v>
      </c>
      <c r="AF108" s="179">
        <f t="shared" si="39"/>
        <v>0.64079882723526027</v>
      </c>
      <c r="AG108" s="839">
        <f t="shared" si="47"/>
        <v>-2</v>
      </c>
      <c r="AH108" s="178">
        <f t="shared" si="40"/>
        <v>4</v>
      </c>
      <c r="AI108" s="227">
        <f t="shared" si="41"/>
        <v>-1.3592011727647397</v>
      </c>
      <c r="AJ108" s="267" t="b">
        <f t="shared" si="42"/>
        <v>0</v>
      </c>
      <c r="AK108" s="267" t="b">
        <f t="shared" si="43"/>
        <v>0</v>
      </c>
      <c r="AL108" s="267"/>
      <c r="AM108" s="267"/>
      <c r="AN108" s="75"/>
    </row>
    <row r="109" spans="1:40" s="6" customFormat="1" ht="11.25" x14ac:dyDescent="0.2">
      <c r="A109" s="56">
        <f t="shared" si="44"/>
        <v>43925</v>
      </c>
      <c r="B109" s="620">
        <v>48.643000000000001</v>
      </c>
      <c r="C109" s="392"/>
      <c r="D109" s="395">
        <f t="shared" si="24"/>
        <v>49.340745142300861</v>
      </c>
      <c r="E109" s="387">
        <f t="shared" si="45"/>
        <v>54.973417378448694</v>
      </c>
      <c r="F109" s="387">
        <f t="shared" si="25"/>
        <v>55.117663879347624</v>
      </c>
      <c r="G109" s="110">
        <f t="shared" si="46"/>
        <v>1.037457577834161</v>
      </c>
      <c r="H109" s="416" t="b">
        <f>Wh_hp&gt;='2019'!Maxi_hp</f>
        <v>1</v>
      </c>
      <c r="I109" s="382">
        <f>IF(H109,Wh_hp,'2019'!Maxi_hp)</f>
        <v>55.117663879347624</v>
      </c>
      <c r="J109" s="85">
        <f>IF(H109,An,'2019'!An_max)</f>
        <v>2020</v>
      </c>
      <c r="K109" s="199">
        <f t="shared" si="26"/>
        <v>43925</v>
      </c>
      <c r="L109" s="147">
        <f>IF(t&lt;Tvie,1-EXP((T0-t)*PertePVj)+'2019'!Pspv,1-EXP((T0-t)*PertePVj)+Pspv)</f>
        <v>1.4141358025472339E-2</v>
      </c>
      <c r="M109" s="872"/>
      <c r="N109" s="872"/>
      <c r="O109" s="48">
        <f>IF(t&lt;Tnet,'2019'!Resal+('2019'!Salim-'2019'!Resal)*(1-EXP(('2019'!Tnet-t)/('2019'!Tau_j))),Resal+(Salim-Resal)*(1-EXP((Tnet-t)/(Tau_j))))*Salcycl</f>
        <v>0.10246174432583161</v>
      </c>
      <c r="P109" s="171">
        <f>(INDEX(Models!$BJ109:$BT109,,T109)*(1-R109)+INDEX(Models!$BJ109:$BT109,,T109+1)*R109-ERP_i)*Q109*Ramure*Pc/MaxiM</f>
        <v>2.6170648526519639E-3</v>
      </c>
      <c r="Q109" s="307">
        <f t="shared" si="27"/>
        <v>0.9</v>
      </c>
      <c r="R109" s="179">
        <f t="shared" si="28"/>
        <v>0.64245103951448645</v>
      </c>
      <c r="S109" s="839">
        <f t="shared" si="29"/>
        <v>-2</v>
      </c>
      <c r="T109" s="178">
        <f t="shared" si="30"/>
        <v>4</v>
      </c>
      <c r="U109" s="253">
        <f t="shared" si="31"/>
        <v>-1.3575489604855135</v>
      </c>
      <c r="V109" s="385">
        <f t="shared" si="32"/>
        <v>46.88673642111624</v>
      </c>
      <c r="W109" s="404"/>
      <c r="X109" s="157">
        <f t="shared" si="33"/>
        <v>43925</v>
      </c>
      <c r="Y109" s="387">
        <f t="shared" si="34"/>
        <v>48.643000000000001</v>
      </c>
      <c r="Z109" s="387">
        <f t="shared" si="35"/>
        <v>49.340745142300861</v>
      </c>
      <c r="AA109" s="388">
        <f t="shared" si="36"/>
        <v>54.973417378448694</v>
      </c>
      <c r="AB109" s="199">
        <f t="shared" si="37"/>
        <v>43925</v>
      </c>
      <c r="AC109" s="119">
        <f>IF(OR(t&lt;Tnet,NoTnet),'2019'!Resal_s+('2019'!Salim-'2019'!Resal_s)*(1-EXP(('2019'!Tnet_s-t)/'2019'!Tau_j)),Resal_s+(Salim-Resal_s)*(1-EXP((Tnet_s-t)/Tau_j)))*Salcycl</f>
        <v>0.10246174432583161</v>
      </c>
      <c r="AD109" s="233">
        <f>(INDEX(Models!$BJ109:$BT109,,AH109)*(1-AF109)+INDEX(Models!$BJ109:$BT109,,AH109+1)*AF109-ERP_i)*AE109*Ramure*Pc/MaxiM</f>
        <v>2.6170648526519639E-3</v>
      </c>
      <c r="AE109" s="307">
        <f t="shared" si="38"/>
        <v>0.9</v>
      </c>
      <c r="AF109" s="179">
        <f t="shared" si="39"/>
        <v>0.64245103951448645</v>
      </c>
      <c r="AG109" s="839">
        <f t="shared" si="47"/>
        <v>-2</v>
      </c>
      <c r="AH109" s="178">
        <f t="shared" si="40"/>
        <v>4</v>
      </c>
      <c r="AI109" s="227">
        <f t="shared" si="41"/>
        <v>-1.3575489604855135</v>
      </c>
      <c r="AJ109" s="267" t="b">
        <f t="shared" si="42"/>
        <v>0</v>
      </c>
      <c r="AK109" s="267" t="b">
        <f t="shared" si="43"/>
        <v>0</v>
      </c>
      <c r="AL109" s="267"/>
      <c r="AM109" s="267"/>
      <c r="AN109" s="75"/>
    </row>
    <row r="110" spans="1:40" s="6" customFormat="1" ht="11.25" customHeight="1" x14ac:dyDescent="0.2">
      <c r="A110" s="56">
        <f t="shared" si="44"/>
        <v>43926</v>
      </c>
      <c r="B110" s="620">
        <v>48.781999999999996</v>
      </c>
      <c r="C110" s="392"/>
      <c r="D110" s="395">
        <f t="shared" si="24"/>
        <v>49.482890525886766</v>
      </c>
      <c r="E110" s="387">
        <f t="shared" si="45"/>
        <v>55.13981887118566</v>
      </c>
      <c r="F110" s="387">
        <f t="shared" si="25"/>
        <v>55.281205017406521</v>
      </c>
      <c r="G110" s="110">
        <f t="shared" si="46"/>
        <v>1.0328618666360487</v>
      </c>
      <c r="H110" s="416" t="b">
        <f>Wh_hp&gt;='2019'!Maxi_hp</f>
        <v>1</v>
      </c>
      <c r="I110" s="382">
        <f>IF(H110,Wh_hp,'2019'!Maxi_hp)</f>
        <v>55.281205017406521</v>
      </c>
      <c r="J110" s="85">
        <f>IF(H110,An,'2019'!An_max)</f>
        <v>2020</v>
      </c>
      <c r="K110" s="199">
        <f t="shared" si="26"/>
        <v>43926</v>
      </c>
      <c r="L110" s="147">
        <f>IF(t&lt;Tvie,1-EXP((T0-t)*PertePVj)+'2019'!Pspv,1-EXP((T0-t)*PertePVj)+Pspv)</f>
        <v>1.4164300396317886E-2</v>
      </c>
      <c r="M110" s="872"/>
      <c r="N110" s="872"/>
      <c r="O110" s="48">
        <f>IF(t&lt;Tnet,'2019'!Resal+('2019'!Salim-'2019'!Resal)*(1-EXP(('2019'!Tnet-t)/('2019'!Tau_j))),Resal+(Salim-Resal)*(1-EXP((Tnet-t)/(Tau_j))))*Salcycl</f>
        <v>0.10259243612160342</v>
      </c>
      <c r="P110" s="171">
        <f>(INDEX(Models!$BJ110:$BT110,,T110)*(1-R110)+INDEX(Models!$BJ110:$BT110,,T110+1)*R110-ERP_i)*Q110*Ramure*Pc/MaxiM</f>
        <v>2.5575807578062551E-3</v>
      </c>
      <c r="Q110" s="307">
        <f t="shared" si="27"/>
        <v>0.9</v>
      </c>
      <c r="R110" s="179">
        <f t="shared" si="28"/>
        <v>0.64416377784674261</v>
      </c>
      <c r="S110" s="839">
        <f t="shared" si="29"/>
        <v>-2</v>
      </c>
      <c r="T110" s="178">
        <f t="shared" si="30"/>
        <v>4</v>
      </c>
      <c r="U110" s="253">
        <f t="shared" si="31"/>
        <v>-1.3558362221532574</v>
      </c>
      <c r="V110" s="385">
        <f t="shared" si="32"/>
        <v>47.229936137422904</v>
      </c>
      <c r="W110" s="404"/>
      <c r="X110" s="157">
        <f t="shared" si="33"/>
        <v>43926</v>
      </c>
      <c r="Y110" s="387">
        <f t="shared" si="34"/>
        <v>48.781999999999996</v>
      </c>
      <c r="Z110" s="387">
        <f t="shared" si="35"/>
        <v>49.482890525886766</v>
      </c>
      <c r="AA110" s="388">
        <f t="shared" si="36"/>
        <v>55.13981887118566</v>
      </c>
      <c r="AB110" s="199">
        <f t="shared" si="37"/>
        <v>43926</v>
      </c>
      <c r="AC110" s="119">
        <f>IF(OR(t&lt;Tnet,NoTnet),'2019'!Resal_s+('2019'!Salim-'2019'!Resal_s)*(1-EXP(('2019'!Tnet_s-t)/'2019'!Tau_j)),Resal_s+(Salim-Resal_s)*(1-EXP((Tnet_s-t)/Tau_j)))*Salcycl</f>
        <v>0.10259243612160342</v>
      </c>
      <c r="AD110" s="233">
        <f>(INDEX(Models!$BJ110:$BT110,,AH110)*(1-AF110)+INDEX(Models!$BJ110:$BT110,,AH110+1)*AF110-ERP_i)*AE110*Ramure*Pc/MaxiM</f>
        <v>2.5575807578062551E-3</v>
      </c>
      <c r="AE110" s="307">
        <f t="shared" si="38"/>
        <v>0.9</v>
      </c>
      <c r="AF110" s="179">
        <f t="shared" si="39"/>
        <v>0.64416377784674261</v>
      </c>
      <c r="AG110" s="839">
        <f t="shared" si="47"/>
        <v>-2</v>
      </c>
      <c r="AH110" s="178">
        <f t="shared" si="40"/>
        <v>4</v>
      </c>
      <c r="AI110" s="227">
        <f t="shared" si="41"/>
        <v>-1.3558362221532574</v>
      </c>
      <c r="AJ110" s="267" t="b">
        <f t="shared" si="42"/>
        <v>0</v>
      </c>
      <c r="AK110" s="267" t="b">
        <f t="shared" si="43"/>
        <v>0</v>
      </c>
      <c r="AL110" s="267"/>
      <c r="AM110" s="267"/>
      <c r="AN110" s="75"/>
    </row>
    <row r="111" spans="1:40" s="6" customFormat="1" ht="11.25" x14ac:dyDescent="0.2">
      <c r="A111" s="56">
        <f t="shared" si="44"/>
        <v>43927</v>
      </c>
      <c r="B111" s="620">
        <v>28.818000000000001</v>
      </c>
      <c r="C111" s="392"/>
      <c r="D111" s="395">
        <f t="shared" si="24"/>
        <v>29.232731847865633</v>
      </c>
      <c r="E111" s="387">
        <f t="shared" si="45"/>
        <v>32.579438377252856</v>
      </c>
      <c r="F111" s="387">
        <f t="shared" si="25"/>
        <v>32.615025112737108</v>
      </c>
      <c r="G111" s="110">
        <f t="shared" si="46"/>
        <v>0.60496682545978231</v>
      </c>
      <c r="H111" s="416" t="b">
        <f>Wh_hp&gt;='2019'!Maxi_hp</f>
        <v>0</v>
      </c>
      <c r="I111" s="382">
        <f>IF(H111,Wh_hp,'2019'!Maxi_hp)</f>
        <v>35.985977724500167</v>
      </c>
      <c r="J111" s="85">
        <f>IF(H111,An,'2019'!An_max)</f>
        <v>2019</v>
      </c>
      <c r="K111" s="199">
        <f t="shared" si="26"/>
        <v>43927</v>
      </c>
      <c r="L111" s="147">
        <f>IF(t&lt;Tvie,1-EXP((T0-t)*PertePVj)+'2019'!Pspv,1-EXP((T0-t)*PertePVj)+Pspv)</f>
        <v>1.4187242233260955E-2</v>
      </c>
      <c r="M111" s="872"/>
      <c r="N111" s="872"/>
      <c r="O111" s="48">
        <f>IF(t&lt;Tnet,'2019'!Resal+('2019'!Salim-'2019'!Resal)*(1-EXP(('2019'!Tnet-t)/('2019'!Tau_j))),Resal+(Salim-Resal)*(1-EXP((Tnet-t)/(Tau_j))))*Salcycl</f>
        <v>0.10272450036228706</v>
      </c>
      <c r="P111" s="171">
        <f>(INDEX(Models!$BJ111:$BT111,,T111)*(1-R111)+INDEX(Models!$BJ111:$BT111,,T111+1)*R111-ERP_i)*Q111*Ramure*Pc/MaxiM</f>
        <v>2.4974852121747754E-3</v>
      </c>
      <c r="Q111" s="307">
        <f t="shared" si="27"/>
        <v>0.9</v>
      </c>
      <c r="R111" s="179">
        <f t="shared" si="28"/>
        <v>0.64593890303207124</v>
      </c>
      <c r="S111" s="839">
        <f t="shared" si="29"/>
        <v>-2</v>
      </c>
      <c r="T111" s="178">
        <f t="shared" si="30"/>
        <v>4</v>
      </c>
      <c r="U111" s="253">
        <f t="shared" si="31"/>
        <v>-1.3540610969679288</v>
      </c>
      <c r="V111" s="385">
        <f t="shared" si="32"/>
        <v>47.56860332753736</v>
      </c>
      <c r="W111" s="404"/>
      <c r="X111" s="157">
        <f t="shared" si="33"/>
        <v>43927</v>
      </c>
      <c r="Y111" s="387">
        <f t="shared" si="34"/>
        <v>28.818000000000005</v>
      </c>
      <c r="Z111" s="387">
        <f t="shared" si="35"/>
        <v>29.232731847865637</v>
      </c>
      <c r="AA111" s="388">
        <f t="shared" si="36"/>
        <v>32.579438377252856</v>
      </c>
      <c r="AB111" s="199">
        <f t="shared" si="37"/>
        <v>43927</v>
      </c>
      <c r="AC111" s="119">
        <f>IF(OR(t&lt;Tnet,NoTnet),'2019'!Resal_s+('2019'!Salim-'2019'!Resal_s)*(1-EXP(('2019'!Tnet_s-t)/'2019'!Tau_j)),Resal_s+(Salim-Resal_s)*(1-EXP((Tnet_s-t)/Tau_j)))*Salcycl</f>
        <v>0.10272450036228706</v>
      </c>
      <c r="AD111" s="233">
        <f>(INDEX(Models!$BJ111:$BT111,,AH111)*(1-AF111)+INDEX(Models!$BJ111:$BT111,,AH111+1)*AF111-ERP_i)*AE111*Ramure*Pc/MaxiM</f>
        <v>2.4974852121747754E-3</v>
      </c>
      <c r="AE111" s="307">
        <f t="shared" si="38"/>
        <v>0.9</v>
      </c>
      <c r="AF111" s="179">
        <f t="shared" si="39"/>
        <v>0.64593890303207124</v>
      </c>
      <c r="AG111" s="839">
        <f t="shared" si="47"/>
        <v>-2</v>
      </c>
      <c r="AH111" s="178">
        <f t="shared" si="40"/>
        <v>4</v>
      </c>
      <c r="AI111" s="227">
        <f t="shared" si="41"/>
        <v>-1.3540610969679288</v>
      </c>
      <c r="AJ111" s="267" t="b">
        <f t="shared" si="42"/>
        <v>0</v>
      </c>
      <c r="AK111" s="267" t="b">
        <f t="shared" si="43"/>
        <v>0</v>
      </c>
      <c r="AL111" s="267"/>
      <c r="AM111" s="267"/>
      <c r="AN111" s="75"/>
    </row>
    <row r="112" spans="1:40" s="6" customFormat="1" ht="11.25" customHeight="1" x14ac:dyDescent="0.2">
      <c r="A112" s="56">
        <f t="shared" si="44"/>
        <v>43928</v>
      </c>
      <c r="B112" s="620">
        <v>29.382000000000001</v>
      </c>
      <c r="C112" s="392"/>
      <c r="D112" s="395">
        <f t="shared" si="24"/>
        <v>29.805542225422613</v>
      </c>
      <c r="E112" s="387">
        <f t="shared" si="45"/>
        <v>33.222769337083889</v>
      </c>
      <c r="F112" s="387">
        <f t="shared" si="25"/>
        <v>33.259051089261007</v>
      </c>
      <c r="G112" s="110">
        <f t="shared" si="46"/>
        <v>0.61254524793179854</v>
      </c>
      <c r="H112" s="416" t="b">
        <f>Wh_hp&gt;='2019'!Maxi_hp</f>
        <v>0</v>
      </c>
      <c r="I112" s="382">
        <f>IF(H112,Wh_hp,'2019'!Maxi_hp)</f>
        <v>35.378890224759623</v>
      </c>
      <c r="J112" s="85">
        <f>IF(H112,An,'2019'!An_max)</f>
        <v>2019</v>
      </c>
      <c r="K112" s="199">
        <f t="shared" si="26"/>
        <v>43928</v>
      </c>
      <c r="L112" s="147">
        <f>IF(t&lt;Tvie,1-EXP((T0-t)*PertePVj)+'2019'!Pspv,1-EXP((T0-t)*PertePVj)+Pspv)</f>
        <v>1.4210183536313981E-2</v>
      </c>
      <c r="M112" s="872"/>
      <c r="N112" s="872"/>
      <c r="O112" s="48">
        <f>IF(t&lt;Tnet,'2019'!Resal+('2019'!Salim-'2019'!Resal)*(1-EXP(('2019'!Tnet-t)/('2019'!Tau_j))),Resal+(Salim-Resal)*(1-EXP((Tnet-t)/(Tau_j))))*Salcycl</f>
        <v>0.10285798504602385</v>
      </c>
      <c r="P112" s="171">
        <f>(INDEX(Models!$BJ112:$BT112,,T112)*(1-R112)+INDEX(Models!$BJ112:$BT112,,T112+1)*R112-ERP_i)*Q112*Ramure*Pc/MaxiM</f>
        <v>2.4367820384768603E-3</v>
      </c>
      <c r="Q112" s="307">
        <f t="shared" si="27"/>
        <v>0.9</v>
      </c>
      <c r="R112" s="179">
        <f t="shared" si="28"/>
        <v>0.64777830469091224</v>
      </c>
      <c r="S112" s="839">
        <f t="shared" si="29"/>
        <v>-2</v>
      </c>
      <c r="T112" s="178">
        <f t="shared" si="30"/>
        <v>4</v>
      </c>
      <c r="U112" s="253">
        <f t="shared" si="31"/>
        <v>-1.3522216953090878</v>
      </c>
      <c r="V112" s="385">
        <f t="shared" si="32"/>
        <v>47.902439409623561</v>
      </c>
      <c r="W112" s="404"/>
      <c r="X112" s="157">
        <f t="shared" si="33"/>
        <v>43928</v>
      </c>
      <c r="Y112" s="387">
        <f t="shared" si="34"/>
        <v>29.382000000000005</v>
      </c>
      <c r="Z112" s="387">
        <f t="shared" si="35"/>
        <v>29.805542225422617</v>
      </c>
      <c r="AA112" s="388">
        <f t="shared" si="36"/>
        <v>33.222769337083889</v>
      </c>
      <c r="AB112" s="199">
        <f t="shared" si="37"/>
        <v>43928</v>
      </c>
      <c r="AC112" s="119">
        <f>IF(OR(t&lt;Tnet,NoTnet),'2019'!Resal_s+('2019'!Salim-'2019'!Resal_s)*(1-EXP(('2019'!Tnet_s-t)/'2019'!Tau_j)),Resal_s+(Salim-Resal_s)*(1-EXP((Tnet_s-t)/Tau_j)))*Salcycl</f>
        <v>0.10285798504602385</v>
      </c>
      <c r="AD112" s="233">
        <f>(INDEX(Models!$BJ112:$BT112,,AH112)*(1-AF112)+INDEX(Models!$BJ112:$BT112,,AH112+1)*AF112-ERP_i)*AE112*Ramure*Pc/MaxiM</f>
        <v>2.4367820384768603E-3</v>
      </c>
      <c r="AE112" s="307">
        <f t="shared" si="38"/>
        <v>0.9</v>
      </c>
      <c r="AF112" s="179">
        <f t="shared" si="39"/>
        <v>0.64777830469091224</v>
      </c>
      <c r="AG112" s="839">
        <f t="shared" si="47"/>
        <v>-2</v>
      </c>
      <c r="AH112" s="178">
        <f t="shared" si="40"/>
        <v>4</v>
      </c>
      <c r="AI112" s="227">
        <f t="shared" si="41"/>
        <v>-1.3522216953090878</v>
      </c>
      <c r="AJ112" s="267" t="b">
        <f t="shared" si="42"/>
        <v>0</v>
      </c>
      <c r="AK112" s="267" t="b">
        <f t="shared" si="43"/>
        <v>0</v>
      </c>
      <c r="AL112" s="267"/>
      <c r="AM112" s="267"/>
      <c r="AN112" s="75"/>
    </row>
    <row r="113" spans="1:40" s="6" customFormat="1" ht="11.25" x14ac:dyDescent="0.2">
      <c r="A113" s="56">
        <f t="shared" si="44"/>
        <v>43929</v>
      </c>
      <c r="B113" s="620">
        <v>45.326999999999998</v>
      </c>
      <c r="C113" s="392"/>
      <c r="D113" s="395">
        <f t="shared" si="24"/>
        <v>45.981459833558908</v>
      </c>
      <c r="E113" s="387">
        <f t="shared" si="45"/>
        <v>51.260978547672842</v>
      </c>
      <c r="F113" s="387">
        <f t="shared" si="25"/>
        <v>51.372515344218137</v>
      </c>
      <c r="G113" s="110">
        <f t="shared" si="46"/>
        <v>0.93959446594045082</v>
      </c>
      <c r="H113" s="416" t="b">
        <f>Wh_hp&gt;='2019'!Maxi_hp</f>
        <v>1</v>
      </c>
      <c r="I113" s="382">
        <f>IF(H113,Wh_hp,'2019'!Maxi_hp)</f>
        <v>51.372515344218137</v>
      </c>
      <c r="J113" s="85">
        <f>IF(H113,An,'2019'!An_max)</f>
        <v>2020</v>
      </c>
      <c r="K113" s="199">
        <f t="shared" si="26"/>
        <v>43929</v>
      </c>
      <c r="L113" s="147">
        <f>IF(t&lt;Tvie,1-EXP((T0-t)*PertePVj)+'2019'!Pspv,1-EXP((T0-t)*PertePVj)+Pspv)</f>
        <v>1.4233124305489286E-2</v>
      </c>
      <c r="M113" s="872"/>
      <c r="N113" s="872"/>
      <c r="O113" s="48">
        <f>IF(t&lt;Tnet,'2019'!Resal+('2019'!Salim-'2019'!Resal)*(1-EXP(('2019'!Tnet-t)/('2019'!Tau_j))),Resal+(Salim-Resal)*(1-EXP((Tnet-t)/(Tau_j))))*Salcycl</f>
        <v>0.1029929366097443</v>
      </c>
      <c r="P113" s="171">
        <f>(INDEX(Models!$BJ113:$BT113,,T113)*(1-R113)+INDEX(Models!$BJ113:$BT113,,T113+1)*R113-ERP_i)*Q113*Ramure*Pc/MaxiM</f>
        <v>2.3754725852702724E-3</v>
      </c>
      <c r="Q113" s="307">
        <f t="shared" si="27"/>
        <v>0.9</v>
      </c>
      <c r="R113" s="179">
        <f t="shared" si="28"/>
        <v>0.64968389927350478</v>
      </c>
      <c r="S113" s="839">
        <f t="shared" si="29"/>
        <v>-2</v>
      </c>
      <c r="T113" s="178">
        <f t="shared" si="30"/>
        <v>4</v>
      </c>
      <c r="U113" s="253">
        <f t="shared" si="31"/>
        <v>-1.3503161007264952</v>
      </c>
      <c r="V113" s="385">
        <f t="shared" si="32"/>
        <v>48.231146090675509</v>
      </c>
      <c r="W113" s="404"/>
      <c r="X113" s="157">
        <f t="shared" si="33"/>
        <v>43929</v>
      </c>
      <c r="Y113" s="387">
        <f t="shared" si="34"/>
        <v>45.326999999999998</v>
      </c>
      <c r="Z113" s="387">
        <f t="shared" si="35"/>
        <v>45.981459833558908</v>
      </c>
      <c r="AA113" s="388">
        <f t="shared" si="36"/>
        <v>51.260978547672842</v>
      </c>
      <c r="AB113" s="199">
        <f t="shared" si="37"/>
        <v>43929</v>
      </c>
      <c r="AC113" s="119">
        <f>IF(OR(t&lt;Tnet,NoTnet),'2019'!Resal_s+('2019'!Salim-'2019'!Resal_s)*(1-EXP(('2019'!Tnet_s-t)/'2019'!Tau_j)),Resal_s+(Salim-Resal_s)*(1-EXP((Tnet_s-t)/Tau_j)))*Salcycl</f>
        <v>0.1029929366097443</v>
      </c>
      <c r="AD113" s="233">
        <f>(INDEX(Models!$BJ113:$BT113,,AH113)*(1-AF113)+INDEX(Models!$BJ113:$BT113,,AH113+1)*AF113-ERP_i)*AE113*Ramure*Pc/MaxiM</f>
        <v>2.3754725852702724E-3</v>
      </c>
      <c r="AE113" s="307">
        <f t="shared" si="38"/>
        <v>0.9</v>
      </c>
      <c r="AF113" s="179">
        <f t="shared" si="39"/>
        <v>0.64968389927350478</v>
      </c>
      <c r="AG113" s="839">
        <f t="shared" si="47"/>
        <v>-2</v>
      </c>
      <c r="AH113" s="178">
        <f t="shared" si="40"/>
        <v>4</v>
      </c>
      <c r="AI113" s="227">
        <f t="shared" si="41"/>
        <v>-1.3503161007264952</v>
      </c>
      <c r="AJ113" s="267" t="b">
        <f t="shared" si="42"/>
        <v>0</v>
      </c>
      <c r="AK113" s="267" t="b">
        <f t="shared" si="43"/>
        <v>0</v>
      </c>
      <c r="AL113" s="267"/>
      <c r="AM113" s="267"/>
      <c r="AN113" s="75"/>
    </row>
    <row r="114" spans="1:40" s="6" customFormat="1" ht="11.25" x14ac:dyDescent="0.2">
      <c r="A114" s="56">
        <f t="shared" si="44"/>
        <v>43930</v>
      </c>
      <c r="B114" s="620">
        <v>47.77</v>
      </c>
      <c r="C114" s="392"/>
      <c r="D114" s="395">
        <f t="shared" si="24"/>
        <v>48.46086116446331</v>
      </c>
      <c r="E114" s="387">
        <f t="shared" si="45"/>
        <v>54.033281005453539</v>
      </c>
      <c r="F114" s="387">
        <f t="shared" si="25"/>
        <v>54.155643775849079</v>
      </c>
      <c r="G114" s="110">
        <f t="shared" si="46"/>
        <v>0.98379107267874899</v>
      </c>
      <c r="H114" s="416" t="b">
        <f>Wh_hp&gt;='2019'!Maxi_hp</f>
        <v>1</v>
      </c>
      <c r="I114" s="382">
        <f>IF(H114,Wh_hp,'2019'!Maxi_hp)</f>
        <v>54.155643775849079</v>
      </c>
      <c r="J114" s="85">
        <f>IF(H114,An,'2019'!An_max)</f>
        <v>2020</v>
      </c>
      <c r="K114" s="199">
        <f t="shared" si="26"/>
        <v>43930</v>
      </c>
      <c r="L114" s="147">
        <f>IF(t&lt;Tvie,1-EXP((T0-t)*PertePVj)+'2019'!Pspv,1-EXP((T0-t)*PertePVj)+Pspv)</f>
        <v>1.4256064540799418E-2</v>
      </c>
      <c r="M114" s="872"/>
      <c r="N114" s="872"/>
      <c r="O114" s="48">
        <f>IF(t&lt;Tnet,'2019'!Resal+('2019'!Salim-'2019'!Resal)*(1-EXP(('2019'!Tnet-t)/('2019'!Tau_j))),Resal+(Salim-Resal)*(1-EXP((Tnet-t)/(Tau_j))))*Salcycl</f>
        <v>0.10312939983096357</v>
      </c>
      <c r="P114" s="171">
        <f>(INDEX(Models!$BJ114:$BT114,,T114)*(1-R114)+INDEX(Models!$BJ114:$BT114,,T114+1)*R114-ERP_i)*Q114*Ramure*Pc/MaxiM</f>
        <v>2.3128462392791064E-3</v>
      </c>
      <c r="Q114" s="307">
        <f t="shared" si="27"/>
        <v>0.9</v>
      </c>
      <c r="R114" s="179">
        <f t="shared" si="28"/>
        <v>0.65165762782238423</v>
      </c>
      <c r="S114" s="839">
        <f t="shared" si="29"/>
        <v>-2</v>
      </c>
      <c r="T114" s="178">
        <f t="shared" si="30"/>
        <v>4</v>
      </c>
      <c r="U114" s="253">
        <f t="shared" si="31"/>
        <v>-1.3483423721776158</v>
      </c>
      <c r="V114" s="385">
        <f t="shared" si="32"/>
        <v>48.554459905231582</v>
      </c>
      <c r="W114" s="404"/>
      <c r="X114" s="157">
        <f t="shared" si="33"/>
        <v>43930</v>
      </c>
      <c r="Y114" s="387">
        <f t="shared" si="34"/>
        <v>47.77</v>
      </c>
      <c r="Z114" s="387">
        <f t="shared" si="35"/>
        <v>48.46086116446331</v>
      </c>
      <c r="AA114" s="388">
        <f t="shared" si="36"/>
        <v>54.033281005453539</v>
      </c>
      <c r="AB114" s="199">
        <f t="shared" si="37"/>
        <v>43930</v>
      </c>
      <c r="AC114" s="119">
        <f>IF(OR(t&lt;Tnet,NoTnet),'2019'!Resal_s+('2019'!Salim-'2019'!Resal_s)*(1-EXP(('2019'!Tnet_s-t)/'2019'!Tau_j)),Resal_s+(Salim-Resal_s)*(1-EXP((Tnet_s-t)/Tau_j)))*Salcycl</f>
        <v>0.10312939983096357</v>
      </c>
      <c r="AD114" s="233">
        <f>(INDEX(Models!$BJ114:$BT114,,AH114)*(1-AF114)+INDEX(Models!$BJ114:$BT114,,AH114+1)*AF114-ERP_i)*AE114*Ramure*Pc/MaxiM</f>
        <v>2.3128462392791064E-3</v>
      </c>
      <c r="AE114" s="307">
        <f t="shared" si="38"/>
        <v>0.9</v>
      </c>
      <c r="AF114" s="179">
        <f t="shared" si="39"/>
        <v>0.65165762782238423</v>
      </c>
      <c r="AG114" s="839">
        <f t="shared" si="47"/>
        <v>-2</v>
      </c>
      <c r="AH114" s="178">
        <f t="shared" si="40"/>
        <v>4</v>
      </c>
      <c r="AI114" s="227">
        <f t="shared" si="41"/>
        <v>-1.3483423721776158</v>
      </c>
      <c r="AJ114" s="267" t="b">
        <f t="shared" si="42"/>
        <v>0</v>
      </c>
      <c r="AK114" s="267" t="b">
        <f t="shared" si="43"/>
        <v>0</v>
      </c>
      <c r="AL114" s="267"/>
      <c r="AM114" s="267"/>
      <c r="AN114" s="75"/>
    </row>
    <row r="115" spans="1:40" s="6" customFormat="1" ht="11.25" x14ac:dyDescent="0.2">
      <c r="A115" s="56">
        <f t="shared" si="44"/>
        <v>43931</v>
      </c>
      <c r="B115" s="620">
        <v>48.581000000000003</v>
      </c>
      <c r="C115" s="392"/>
      <c r="D115" s="395">
        <f t="shared" si="24"/>
        <v>49.284736968248126</v>
      </c>
      <c r="E115" s="387">
        <f t="shared" si="45"/>
        <v>54.96035043521006</v>
      </c>
      <c r="F115" s="387">
        <f t="shared" si="25"/>
        <v>55.083209342837009</v>
      </c>
      <c r="G115" s="110">
        <f t="shared" si="46"/>
        <v>0.99402555835871897</v>
      </c>
      <c r="H115" s="416" t="b">
        <f>Wh_hp&gt;='2019'!Maxi_hp</f>
        <v>1</v>
      </c>
      <c r="I115" s="382">
        <f>IF(H115,Wh_hp,'2019'!Maxi_hp)</f>
        <v>55.083209342837009</v>
      </c>
      <c r="J115" s="85">
        <f>IF(H115,An,'2019'!An_max)</f>
        <v>2020</v>
      </c>
      <c r="K115" s="199">
        <f t="shared" si="26"/>
        <v>43931</v>
      </c>
      <c r="L115" s="147">
        <f>IF(t&lt;Tvie,1-EXP((T0-t)*PertePVj)+'2019'!Pspv,1-EXP((T0-t)*PertePVj)+Pspv)</f>
        <v>1.4279004242256699E-2</v>
      </c>
      <c r="M115" s="872"/>
      <c r="N115" s="872"/>
      <c r="O115" s="48">
        <f>IF(t&lt;Tnet,'2019'!Resal+('2019'!Salim-'2019'!Resal)*(1-EXP(('2019'!Tnet-t)/('2019'!Tau_j))),Resal+(Salim-Resal)*(1-EXP((Tnet-t)/(Tau_j))))*Salcycl</f>
        <v>0.10326741772967084</v>
      </c>
      <c r="P115" s="171">
        <f>(INDEX(Models!$BJ115:$BT115,,T115)*(1-R115)+INDEX(Models!$BJ115:$BT115,,T115+1)*R115-ERP_i)*Q115*Ramure*Pc/MaxiM</f>
        <v>2.2495624714655598E-3</v>
      </c>
      <c r="Q115" s="307">
        <f t="shared" si="27"/>
        <v>0.9</v>
      </c>
      <c r="R115" s="179">
        <f t="shared" si="28"/>
        <v>0.65370145347464015</v>
      </c>
      <c r="S115" s="839">
        <f t="shared" si="29"/>
        <v>-2</v>
      </c>
      <c r="T115" s="178">
        <f t="shared" si="30"/>
        <v>4</v>
      </c>
      <c r="U115" s="253">
        <f t="shared" si="31"/>
        <v>-1.3462985465253599</v>
      </c>
      <c r="V115" s="385">
        <f t="shared" si="32"/>
        <v>48.872051370343932</v>
      </c>
      <c r="W115" s="404"/>
      <c r="X115" s="157">
        <f t="shared" si="33"/>
        <v>43931</v>
      </c>
      <c r="Y115" s="387">
        <f t="shared" si="34"/>
        <v>48.581000000000003</v>
      </c>
      <c r="Z115" s="387">
        <f t="shared" si="35"/>
        <v>49.284736968248126</v>
      </c>
      <c r="AA115" s="388">
        <f t="shared" si="36"/>
        <v>54.96035043521006</v>
      </c>
      <c r="AB115" s="199">
        <f t="shared" si="37"/>
        <v>43931</v>
      </c>
      <c r="AC115" s="119">
        <f>IF(OR(t&lt;Tnet,NoTnet),'2019'!Resal_s+('2019'!Salim-'2019'!Resal_s)*(1-EXP(('2019'!Tnet_s-t)/'2019'!Tau_j)),Resal_s+(Salim-Resal_s)*(1-EXP((Tnet_s-t)/Tau_j)))*Salcycl</f>
        <v>0.10326741772967084</v>
      </c>
      <c r="AD115" s="233">
        <f>(INDEX(Models!$BJ115:$BT115,,AH115)*(1-AF115)+INDEX(Models!$BJ115:$BT115,,AH115+1)*AF115-ERP_i)*AE115*Ramure*Pc/MaxiM</f>
        <v>2.2495624714655598E-3</v>
      </c>
      <c r="AE115" s="307">
        <f t="shared" si="38"/>
        <v>0.9</v>
      </c>
      <c r="AF115" s="179">
        <f t="shared" si="39"/>
        <v>0.65370145347464015</v>
      </c>
      <c r="AG115" s="839">
        <f t="shared" si="47"/>
        <v>-2</v>
      </c>
      <c r="AH115" s="178">
        <f t="shared" si="40"/>
        <v>4</v>
      </c>
      <c r="AI115" s="227">
        <f t="shared" si="41"/>
        <v>-1.3462985465253599</v>
      </c>
      <c r="AJ115" s="267" t="b">
        <f t="shared" si="42"/>
        <v>0</v>
      </c>
      <c r="AK115" s="267" t="b">
        <f t="shared" si="43"/>
        <v>0</v>
      </c>
      <c r="AL115" s="267"/>
      <c r="AM115" s="267"/>
      <c r="AN115" s="75"/>
    </row>
    <row r="116" spans="1:40" s="6" customFormat="1" ht="11.25" x14ac:dyDescent="0.2">
      <c r="A116" s="56">
        <f t="shared" si="44"/>
        <v>43932</v>
      </c>
      <c r="B116" s="620">
        <v>47.975000000000001</v>
      </c>
      <c r="C116" s="392"/>
      <c r="D116" s="395">
        <f t="shared" si="24"/>
        <v>48.671091191923693</v>
      </c>
      <c r="E116" s="387">
        <f t="shared" si="45"/>
        <v>54.284489060512762</v>
      </c>
      <c r="F116" s="387">
        <f t="shared" si="25"/>
        <v>54.399210672796045</v>
      </c>
      <c r="G116" s="110">
        <f t="shared" si="46"/>
        <v>0.97535130451898522</v>
      </c>
      <c r="H116" s="416" t="b">
        <f>Wh_hp&gt;='2019'!Maxi_hp</f>
        <v>0</v>
      </c>
      <c r="I116" s="382">
        <f>IF(H116,Wh_hp,'2019'!Maxi_hp)</f>
        <v>55.421173257782392</v>
      </c>
      <c r="J116" s="85">
        <f>IF(H116,An,'2019'!An_max)</f>
        <v>2019</v>
      </c>
      <c r="K116" s="199">
        <f t="shared" si="26"/>
        <v>43932</v>
      </c>
      <c r="L116" s="147">
        <f>IF(t&lt;Tvie,1-EXP((T0-t)*PertePVj)+'2019'!Pspv,1-EXP((T0-t)*PertePVj)+Pspv)</f>
        <v>1.4301943409873674E-2</v>
      </c>
      <c r="M116" s="872"/>
      <c r="N116" s="872"/>
      <c r="O116" s="48">
        <f>IF(t&lt;Tnet,'2019'!Resal+('2019'!Salim-'2019'!Resal)*(1-EXP(('2019'!Tnet-t)/('2019'!Tau_j))),Resal+(Salim-Resal)*(1-EXP((Tnet-t)/(Tau_j))))*Salcycl</f>
        <v>0.10340703146955332</v>
      </c>
      <c r="P116" s="171">
        <f>(INDEX(Models!$BJ116:$BT116,,T116)*(1-R116)+INDEX(Models!$BJ116:$BT116,,T116+1)*R116-ERP_i)*Q116*Ramure*Pc/MaxiM</f>
        <v>2.1856102261499605E-3</v>
      </c>
      <c r="Q116" s="307">
        <f t="shared" si="27"/>
        <v>0.9</v>
      </c>
      <c r="R116" s="179">
        <f t="shared" si="28"/>
        <v>0.65581735869071989</v>
      </c>
      <c r="S116" s="839">
        <f t="shared" si="29"/>
        <v>-2</v>
      </c>
      <c r="T116" s="178">
        <f t="shared" si="30"/>
        <v>4</v>
      </c>
      <c r="U116" s="253">
        <f t="shared" si="31"/>
        <v>-1.3441826413092801</v>
      </c>
      <c r="V116" s="385">
        <f t="shared" si="32"/>
        <v>49.183623425446854</v>
      </c>
      <c r="W116" s="404"/>
      <c r="X116" s="157">
        <f t="shared" si="33"/>
        <v>43932</v>
      </c>
      <c r="Y116" s="387">
        <f t="shared" si="34"/>
        <v>47.975000000000001</v>
      </c>
      <c r="Z116" s="387">
        <f t="shared" si="35"/>
        <v>48.671091191923693</v>
      </c>
      <c r="AA116" s="388">
        <f t="shared" si="36"/>
        <v>54.284489060512762</v>
      </c>
      <c r="AB116" s="199">
        <f t="shared" si="37"/>
        <v>43932</v>
      </c>
      <c r="AC116" s="119">
        <f>IF(OR(t&lt;Tnet,NoTnet),'2019'!Resal_s+('2019'!Salim-'2019'!Resal_s)*(1-EXP(('2019'!Tnet_s-t)/'2019'!Tau_j)),Resal_s+(Salim-Resal_s)*(1-EXP((Tnet_s-t)/Tau_j)))*Salcycl</f>
        <v>0.10340703146955332</v>
      </c>
      <c r="AD116" s="233">
        <f>(INDEX(Models!$BJ116:$BT116,,AH116)*(1-AF116)+INDEX(Models!$BJ116:$BT116,,AH116+1)*AF116-ERP_i)*AE116*Ramure*Pc/MaxiM</f>
        <v>2.1856102261499605E-3</v>
      </c>
      <c r="AE116" s="307">
        <f t="shared" si="38"/>
        <v>0.9</v>
      </c>
      <c r="AF116" s="179">
        <f t="shared" si="39"/>
        <v>0.65581735869071989</v>
      </c>
      <c r="AG116" s="839">
        <f t="shared" si="47"/>
        <v>-2</v>
      </c>
      <c r="AH116" s="178">
        <f t="shared" si="40"/>
        <v>4</v>
      </c>
      <c r="AI116" s="227">
        <f t="shared" si="41"/>
        <v>-1.3441826413092801</v>
      </c>
      <c r="AJ116" s="267" t="b">
        <f t="shared" si="42"/>
        <v>0</v>
      </c>
      <c r="AK116" s="267" t="b">
        <f t="shared" si="43"/>
        <v>0</v>
      </c>
      <c r="AL116" s="267"/>
      <c r="AM116" s="267"/>
      <c r="AN116" s="75"/>
    </row>
    <row r="117" spans="1:40" s="6" customFormat="1" ht="11.25" x14ac:dyDescent="0.2">
      <c r="A117" s="56">
        <f t="shared" si="44"/>
        <v>43933</v>
      </c>
      <c r="B117" s="620">
        <v>39.351999999999997</v>
      </c>
      <c r="C117" s="392"/>
      <c r="D117" s="395">
        <f t="shared" si="24"/>
        <v>39.923905233187782</v>
      </c>
      <c r="E117" s="387">
        <f t="shared" si="45"/>
        <v>44.535477320150449</v>
      </c>
      <c r="F117" s="387">
        <f t="shared" si="25"/>
        <v>44.602396235933924</v>
      </c>
      <c r="G117" s="110">
        <f t="shared" si="46"/>
        <v>0.79467429199326101</v>
      </c>
      <c r="H117" s="416" t="b">
        <f>Wh_hp&gt;='2019'!Maxi_hp</f>
        <v>0</v>
      </c>
      <c r="I117" s="382">
        <f>IF(H117,Wh_hp,'2019'!Maxi_hp)</f>
        <v>56.406019342238785</v>
      </c>
      <c r="J117" s="85">
        <f>IF(H117,An,'2019'!An_max)</f>
        <v>2019</v>
      </c>
      <c r="K117" s="199">
        <f t="shared" si="26"/>
        <v>43933</v>
      </c>
      <c r="L117" s="147">
        <f>IF(t&lt;Tvie,1-EXP((T0-t)*PertePVj)+'2019'!Pspv,1-EXP((T0-t)*PertePVj)+Pspv)</f>
        <v>1.4324882043662779E-2</v>
      </c>
      <c r="M117" s="872"/>
      <c r="N117" s="872"/>
      <c r="O117" s="48">
        <f>IF(t&lt;Tnet,'2019'!Resal+('2019'!Salim-'2019'!Resal)*(1-EXP(('2019'!Tnet-t)/('2019'!Tau_j))),Resal+(Salim-Resal)*(1-EXP((Tnet-t)/(Tau_j))))*Salcycl</f>
        <v>0.10354828025781872</v>
      </c>
      <c r="P117" s="171">
        <f>(INDEX(Models!$BJ117:$BT117,,T117)*(1-R117)+INDEX(Models!$BJ117:$BT117,,T117+1)*R117-ERP_i)*Q117*Ramure*Pc/MaxiM</f>
        <v>2.120975731518386E-3</v>
      </c>
      <c r="Q117" s="307">
        <f t="shared" si="27"/>
        <v>0.9</v>
      </c>
      <c r="R117" s="179">
        <f t="shared" si="28"/>
        <v>0.65800734219681001</v>
      </c>
      <c r="S117" s="839">
        <f t="shared" si="29"/>
        <v>-2</v>
      </c>
      <c r="T117" s="178">
        <f t="shared" si="30"/>
        <v>4</v>
      </c>
      <c r="U117" s="253">
        <f t="shared" si="31"/>
        <v>-1.34199265780319</v>
      </c>
      <c r="V117" s="385">
        <f t="shared" si="32"/>
        <v>49.488879379877474</v>
      </c>
      <c r="W117" s="404"/>
      <c r="X117" s="157">
        <f t="shared" si="33"/>
        <v>43933</v>
      </c>
      <c r="Y117" s="387">
        <f t="shared" si="34"/>
        <v>39.351999999999997</v>
      </c>
      <c r="Z117" s="387">
        <f t="shared" si="35"/>
        <v>39.923905233187782</v>
      </c>
      <c r="AA117" s="388">
        <f t="shared" si="36"/>
        <v>44.535477320150449</v>
      </c>
      <c r="AB117" s="199">
        <f t="shared" si="37"/>
        <v>43933</v>
      </c>
      <c r="AC117" s="119">
        <f>IF(OR(t&lt;Tnet,NoTnet),'2019'!Resal_s+('2019'!Salim-'2019'!Resal_s)*(1-EXP(('2019'!Tnet_s-t)/'2019'!Tau_j)),Resal_s+(Salim-Resal_s)*(1-EXP((Tnet_s-t)/Tau_j)))*Salcycl</f>
        <v>0.10354828025781872</v>
      </c>
      <c r="AD117" s="233">
        <f>(INDEX(Models!$BJ117:$BT117,,AH117)*(1-AF117)+INDEX(Models!$BJ117:$BT117,,AH117+1)*AF117-ERP_i)*AE117*Ramure*Pc/MaxiM</f>
        <v>2.120975731518386E-3</v>
      </c>
      <c r="AE117" s="307">
        <f t="shared" si="38"/>
        <v>0.9</v>
      </c>
      <c r="AF117" s="179">
        <f t="shared" si="39"/>
        <v>0.65800734219681001</v>
      </c>
      <c r="AG117" s="839">
        <f t="shared" si="47"/>
        <v>-2</v>
      </c>
      <c r="AH117" s="178">
        <f t="shared" si="40"/>
        <v>4</v>
      </c>
      <c r="AI117" s="227">
        <f t="shared" si="41"/>
        <v>-1.34199265780319</v>
      </c>
      <c r="AJ117" s="267" t="b">
        <f t="shared" si="42"/>
        <v>0</v>
      </c>
      <c r="AK117" s="267" t="b">
        <f t="shared" si="43"/>
        <v>0</v>
      </c>
      <c r="AL117" s="267"/>
      <c r="AM117" s="267"/>
      <c r="AN117" s="75"/>
    </row>
    <row r="118" spans="1:40" s="6" customFormat="1" ht="11.25" x14ac:dyDescent="0.2">
      <c r="A118" s="56">
        <f t="shared" si="44"/>
        <v>43934</v>
      </c>
      <c r="B118" s="620">
        <v>14.061</v>
      </c>
      <c r="C118" s="392"/>
      <c r="D118" s="395">
        <f t="shared" si="24"/>
        <v>14.265681431404198</v>
      </c>
      <c r="E118" s="387">
        <f t="shared" si="45"/>
        <v>15.916034129294015</v>
      </c>
      <c r="F118" s="387">
        <f t="shared" si="25"/>
        <v>15.916034129294015</v>
      </c>
      <c r="G118" s="110">
        <f t="shared" si="46"/>
        <v>0.28183960124942553</v>
      </c>
      <c r="H118" s="416" t="b">
        <f>Wh_hp&gt;='2019'!Maxi_hp</f>
        <v>0</v>
      </c>
      <c r="I118" s="382">
        <f>IF(H118,Wh_hp,'2019'!Maxi_hp)</f>
        <v>28.10506140040971</v>
      </c>
      <c r="J118" s="85">
        <f>IF(H118,An,'2019'!An_max)</f>
        <v>2019</v>
      </c>
      <c r="K118" s="199">
        <f t="shared" si="26"/>
        <v>43934</v>
      </c>
      <c r="L118" s="147">
        <f>IF(t&lt;Tvie,1-EXP((T0-t)*PertePVj)+'2019'!Pspv,1-EXP((T0-t)*PertePVj)+Pspv)</f>
        <v>1.4347820143636225E-2</v>
      </c>
      <c r="M118" s="872"/>
      <c r="N118" s="872"/>
      <c r="O118" s="48">
        <f>IF(t&lt;Tnet,'2019'!Resal+('2019'!Salim-'2019'!Resal)*(1-EXP(('2019'!Tnet-t)/('2019'!Tau_j))),Resal+(Salim-Resal)*(1-EXP((Tnet-t)/(Tau_j))))*Salcycl</f>
        <v>0.10369120124292049</v>
      </c>
      <c r="P118" s="171">
        <f>(INDEX(Models!$BJ118:$BT118,,T118)*(1-R118)+INDEX(Models!$BJ118:$BT118,,T118+1)*R118-ERP_i)*Q118*Ramure*Pc/MaxiM</f>
        <v>2.0556424870192425E-3</v>
      </c>
      <c r="Q118" s="307">
        <f t="shared" si="27"/>
        <v>0.9</v>
      </c>
      <c r="R118" s="179">
        <f t="shared" si="28"/>
        <v>0.66027341562819908</v>
      </c>
      <c r="S118" s="839">
        <f t="shared" si="29"/>
        <v>-2</v>
      </c>
      <c r="T118" s="178">
        <f t="shared" si="30"/>
        <v>4</v>
      </c>
      <c r="U118" s="253">
        <f t="shared" si="31"/>
        <v>-1.3397265843718009</v>
      </c>
      <c r="V118" s="385">
        <f t="shared" si="32"/>
        <v>49.787522934265517</v>
      </c>
      <c r="W118" s="404"/>
      <c r="X118" s="157">
        <f t="shared" si="33"/>
        <v>43934</v>
      </c>
      <c r="Y118" s="387">
        <f t="shared" si="34"/>
        <v>14.061</v>
      </c>
      <c r="Z118" s="387">
        <f t="shared" si="35"/>
        <v>14.265681431404198</v>
      </c>
      <c r="AA118" s="388">
        <f t="shared" si="36"/>
        <v>15.916034129294015</v>
      </c>
      <c r="AB118" s="199">
        <f t="shared" si="37"/>
        <v>43934</v>
      </c>
      <c r="AC118" s="119">
        <f>IF(OR(t&lt;Tnet,NoTnet),'2019'!Resal_s+('2019'!Salim-'2019'!Resal_s)*(1-EXP(('2019'!Tnet_s-t)/'2019'!Tau_j)),Resal_s+(Salim-Resal_s)*(1-EXP((Tnet_s-t)/Tau_j)))*Salcycl</f>
        <v>0.10369120124292049</v>
      </c>
      <c r="AD118" s="233">
        <f>(INDEX(Models!$BJ118:$BT118,,AH118)*(1-AF118)+INDEX(Models!$BJ118:$BT118,,AH118+1)*AF118-ERP_i)*AE118*Ramure*Pc/MaxiM</f>
        <v>2.0556424870192425E-3</v>
      </c>
      <c r="AE118" s="307">
        <f t="shared" si="38"/>
        <v>0.9</v>
      </c>
      <c r="AF118" s="179">
        <f t="shared" si="39"/>
        <v>0.66027341562819908</v>
      </c>
      <c r="AG118" s="839">
        <f t="shared" si="47"/>
        <v>-2</v>
      </c>
      <c r="AH118" s="178">
        <f t="shared" si="40"/>
        <v>4</v>
      </c>
      <c r="AI118" s="227">
        <f t="shared" si="41"/>
        <v>-1.3397265843718009</v>
      </c>
      <c r="AJ118" s="267" t="b">
        <f t="shared" si="42"/>
        <v>0</v>
      </c>
      <c r="AK118" s="267" t="b">
        <f t="shared" si="43"/>
        <v>0</v>
      </c>
      <c r="AL118" s="267"/>
      <c r="AM118" s="267"/>
      <c r="AN118" s="75"/>
    </row>
    <row r="119" spans="1:40" s="6" customFormat="1" ht="11.25" x14ac:dyDescent="0.2">
      <c r="A119" s="56">
        <f t="shared" si="44"/>
        <v>43935</v>
      </c>
      <c r="B119" s="620">
        <v>48.55</v>
      </c>
      <c r="C119" s="392"/>
      <c r="D119" s="395">
        <f t="shared" si="24"/>
        <v>49.257872957573724</v>
      </c>
      <c r="E119" s="387">
        <f t="shared" si="45"/>
        <v>54.965233574468023</v>
      </c>
      <c r="F119" s="387">
        <f t="shared" si="25"/>
        <v>55.070020668530084</v>
      </c>
      <c r="G119" s="110">
        <f t="shared" si="46"/>
        <v>0.96937893792002039</v>
      </c>
      <c r="H119" s="416" t="b">
        <f>Wh_hp&gt;='2019'!Maxi_hp</f>
        <v>1</v>
      </c>
      <c r="I119" s="382">
        <f>IF(H119,Wh_hp,'2019'!Maxi_hp)</f>
        <v>55.070020668530084</v>
      </c>
      <c r="J119" s="85">
        <f>IF(H119,An,'2019'!An_max)</f>
        <v>2020</v>
      </c>
      <c r="K119" s="199">
        <f t="shared" si="26"/>
        <v>43935</v>
      </c>
      <c r="L119" s="147">
        <f>IF(t&lt;Tvie,1-EXP((T0-t)*PertePVj)+'2019'!Pspv,1-EXP((T0-t)*PertePVj)+Pspv)</f>
        <v>1.437075770980667E-2</v>
      </c>
      <c r="M119" s="872"/>
      <c r="N119" s="872"/>
      <c r="O119" s="48">
        <f>IF(t&lt;Tnet,'2019'!Resal+('2019'!Salim-'2019'!Resal)*(1-EXP(('2019'!Tnet-t)/('2019'!Tau_j))),Resal+(Salim-Resal)*(1-EXP((Tnet-t)/(Tau_j))))*Salcycl</f>
        <v>0.10383582940954575</v>
      </c>
      <c r="P119" s="171">
        <f>(INDEX(Models!$BJ119:$BT119,,T119)*(1-R119)+INDEX(Models!$BJ119:$BT119,,T119+1)*R119-ERP_i)*Q119*Ramure*Pc/MaxiM</f>
        <v>1.9895912446071104E-3</v>
      </c>
      <c r="Q119" s="307">
        <f t="shared" si="27"/>
        <v>0.9</v>
      </c>
      <c r="R119" s="179">
        <f t="shared" si="28"/>
        <v>0.66261759986154312</v>
      </c>
      <c r="S119" s="839">
        <f t="shared" si="29"/>
        <v>-2</v>
      </c>
      <c r="T119" s="178">
        <f t="shared" si="30"/>
        <v>4</v>
      </c>
      <c r="U119" s="253">
        <f t="shared" si="31"/>
        <v>-1.3373824001384569</v>
      </c>
      <c r="V119" s="385">
        <f t="shared" si="32"/>
        <v>50.079258201471291</v>
      </c>
      <c r="W119" s="404"/>
      <c r="X119" s="157">
        <f t="shared" si="33"/>
        <v>43935</v>
      </c>
      <c r="Y119" s="387">
        <f t="shared" si="34"/>
        <v>48.55</v>
      </c>
      <c r="Z119" s="387">
        <f t="shared" si="35"/>
        <v>49.257872957573724</v>
      </c>
      <c r="AA119" s="388">
        <f t="shared" si="36"/>
        <v>54.965233574468023</v>
      </c>
      <c r="AB119" s="199">
        <f t="shared" si="37"/>
        <v>43935</v>
      </c>
      <c r="AC119" s="119">
        <f>IF(OR(t&lt;Tnet,NoTnet),'2019'!Resal_s+('2019'!Salim-'2019'!Resal_s)*(1-EXP(('2019'!Tnet_s-t)/'2019'!Tau_j)),Resal_s+(Salim-Resal_s)*(1-EXP((Tnet_s-t)/Tau_j)))*Salcycl</f>
        <v>0.10383582940954575</v>
      </c>
      <c r="AD119" s="233">
        <f>(INDEX(Models!$BJ119:$BT119,,AH119)*(1-AF119)+INDEX(Models!$BJ119:$BT119,,AH119+1)*AF119-ERP_i)*AE119*Ramure*Pc/MaxiM</f>
        <v>1.9895912446071104E-3</v>
      </c>
      <c r="AE119" s="307">
        <f t="shared" si="38"/>
        <v>0.9</v>
      </c>
      <c r="AF119" s="179">
        <f t="shared" si="39"/>
        <v>0.66261759986154312</v>
      </c>
      <c r="AG119" s="839">
        <f t="shared" si="47"/>
        <v>-2</v>
      </c>
      <c r="AH119" s="178">
        <f t="shared" si="40"/>
        <v>4</v>
      </c>
      <c r="AI119" s="227">
        <f t="shared" si="41"/>
        <v>-1.3373824001384569</v>
      </c>
      <c r="AJ119" s="267" t="b">
        <f t="shared" si="42"/>
        <v>0</v>
      </c>
      <c r="AK119" s="267" t="b">
        <f t="shared" si="43"/>
        <v>0</v>
      </c>
      <c r="AL119" s="267"/>
      <c r="AM119" s="267"/>
      <c r="AN119" s="75"/>
    </row>
    <row r="120" spans="1:40" s="6" customFormat="1" ht="11.25" x14ac:dyDescent="0.2">
      <c r="A120" s="56">
        <f t="shared" si="44"/>
        <v>43936</v>
      </c>
      <c r="B120" s="620">
        <v>42.822000000000003</v>
      </c>
      <c r="C120" s="392"/>
      <c r="D120" s="395">
        <f t="shared" si="24"/>
        <v>43.447368154568252</v>
      </c>
      <c r="E120" s="387">
        <f t="shared" si="45"/>
        <v>48.489402813096525</v>
      </c>
      <c r="F120" s="387">
        <f t="shared" si="25"/>
        <v>48.562803955350965</v>
      </c>
      <c r="G120" s="110">
        <f t="shared" si="46"/>
        <v>0.84990346304444342</v>
      </c>
      <c r="H120" s="416" t="b">
        <f>Wh_hp&gt;='2019'!Maxi_hp</f>
        <v>1</v>
      </c>
      <c r="I120" s="382">
        <f>IF(H120,Wh_hp,'2019'!Maxi_hp)</f>
        <v>48.562803955350965</v>
      </c>
      <c r="J120" s="85">
        <f>IF(H120,An,'2019'!An_max)</f>
        <v>2020</v>
      </c>
      <c r="K120" s="199">
        <f t="shared" si="26"/>
        <v>43936</v>
      </c>
      <c r="L120" s="147">
        <f>IF(t&lt;Tvie,1-EXP((T0-t)*PertePVj)+'2019'!Pspv,1-EXP((T0-t)*PertePVj)+Pspv)</f>
        <v>1.4393694742186436E-2</v>
      </c>
      <c r="M120" s="872"/>
      <c r="N120" s="872"/>
      <c r="O120" s="48">
        <f>IF(t&lt;Tnet,'2019'!Resal+('2019'!Salim-'2019'!Resal)*(1-EXP(('2019'!Tnet-t)/('2019'!Tau_j))),Resal+(Salim-Resal)*(1-EXP((Tnet-t)/(Tau_j))))*Salcycl</f>
        <v>0.10398219747029896</v>
      </c>
      <c r="P120" s="171">
        <f>(INDEX(Models!$BJ120:$BT120,,T120)*(1-R120)+INDEX(Models!$BJ120:$BT120,,T120+1)*R120-ERP_i)*Q120*Ramure*Pc/MaxiM</f>
        <v>1.9227999839259208E-3</v>
      </c>
      <c r="Q120" s="307">
        <f t="shared" si="27"/>
        <v>0.9</v>
      </c>
      <c r="R120" s="179">
        <f t="shared" si="28"/>
        <v>0.66504192102464255</v>
      </c>
      <c r="S120" s="839">
        <f t="shared" si="29"/>
        <v>-2</v>
      </c>
      <c r="T120" s="178">
        <f t="shared" si="30"/>
        <v>4</v>
      </c>
      <c r="U120" s="253">
        <f t="shared" si="31"/>
        <v>-1.3349580789753575</v>
      </c>
      <c r="V120" s="385">
        <f t="shared" si="32"/>
        <v>50.363789719168409</v>
      </c>
      <c r="W120" s="404"/>
      <c r="X120" s="157">
        <f t="shared" si="33"/>
        <v>43936</v>
      </c>
      <c r="Y120" s="387">
        <f t="shared" si="34"/>
        <v>42.822000000000003</v>
      </c>
      <c r="Z120" s="387">
        <f t="shared" si="35"/>
        <v>43.447368154568252</v>
      </c>
      <c r="AA120" s="388">
        <f t="shared" si="36"/>
        <v>48.489402813096525</v>
      </c>
      <c r="AB120" s="199">
        <f t="shared" si="37"/>
        <v>43936</v>
      </c>
      <c r="AC120" s="119">
        <f>IF(OR(t&lt;Tnet,NoTnet),'2019'!Resal_s+('2019'!Salim-'2019'!Resal_s)*(1-EXP(('2019'!Tnet_s-t)/'2019'!Tau_j)),Resal_s+(Salim-Resal_s)*(1-EXP((Tnet_s-t)/Tau_j)))*Salcycl</f>
        <v>0.10398219747029896</v>
      </c>
      <c r="AD120" s="233">
        <f>(INDEX(Models!$BJ120:$BT120,,AH120)*(1-AF120)+INDEX(Models!$BJ120:$BT120,,AH120+1)*AF120-ERP_i)*AE120*Ramure*Pc/MaxiM</f>
        <v>1.9227999839259208E-3</v>
      </c>
      <c r="AE120" s="307">
        <f t="shared" si="38"/>
        <v>0.9</v>
      </c>
      <c r="AF120" s="179">
        <f t="shared" si="39"/>
        <v>0.66504192102464255</v>
      </c>
      <c r="AG120" s="839">
        <f t="shared" si="47"/>
        <v>-2</v>
      </c>
      <c r="AH120" s="178">
        <f t="shared" si="40"/>
        <v>4</v>
      </c>
      <c r="AI120" s="227">
        <f t="shared" si="41"/>
        <v>-1.3349580789753575</v>
      </c>
      <c r="AJ120" s="267" t="b">
        <f t="shared" si="42"/>
        <v>0</v>
      </c>
      <c r="AK120" s="267" t="b">
        <f t="shared" si="43"/>
        <v>0</v>
      </c>
      <c r="AL120" s="267"/>
      <c r="AM120" s="267"/>
      <c r="AN120" s="75"/>
    </row>
    <row r="121" spans="1:40" s="6" customFormat="1" ht="11.25" x14ac:dyDescent="0.2">
      <c r="A121" s="56">
        <f t="shared" si="44"/>
        <v>43937</v>
      </c>
      <c r="B121" s="620">
        <v>37.445999999999998</v>
      </c>
      <c r="C121" s="392"/>
      <c r="D121" s="395">
        <f t="shared" si="24"/>
        <v>37.993741764476177</v>
      </c>
      <c r="E121" s="387">
        <f t="shared" si="45"/>
        <v>42.409898761820749</v>
      </c>
      <c r="F121" s="387">
        <f t="shared" si="25"/>
        <v>42.459346561949289</v>
      </c>
      <c r="G121" s="110">
        <f t="shared" si="46"/>
        <v>0.73891151781556996</v>
      </c>
      <c r="H121" s="416" t="b">
        <f>Wh_hp&gt;='2019'!Maxi_hp</f>
        <v>1</v>
      </c>
      <c r="I121" s="382">
        <f>IF(H121,Wh_hp,'2019'!Maxi_hp)</f>
        <v>42.459346561949289</v>
      </c>
      <c r="J121" s="85">
        <f>IF(H121,An,'2019'!An_max)</f>
        <v>2020</v>
      </c>
      <c r="K121" s="199">
        <f t="shared" si="26"/>
        <v>43937</v>
      </c>
      <c r="L121" s="147">
        <f>IF(t&lt;Tvie,1-EXP((T0-t)*PertePVj)+'2019'!Pspv,1-EXP((T0-t)*PertePVj)+Pspv)</f>
        <v>1.4416631240787958E-2</v>
      </c>
      <c r="M121" s="872"/>
      <c r="N121" s="872"/>
      <c r="O121" s="48">
        <f>IF(t&lt;Tnet,'2019'!Resal+('2019'!Salim-'2019'!Resal)*(1-EXP(('2019'!Tnet-t)/('2019'!Tau_j))),Resal+(Salim-Resal)*(1-EXP((Tnet-t)/(Tau_j))))*Salcycl</f>
        <v>0.10413033575359974</v>
      </c>
      <c r="P121" s="171">
        <f>(INDEX(Models!$BJ121:$BT121,,T121)*(1-R121)+INDEX(Models!$BJ121:$BT121,,T121+1)*R121-ERP_i)*Q121*Ramure*Pc/MaxiM</f>
        <v>1.8551932762629656E-3</v>
      </c>
      <c r="Q121" s="307">
        <f t="shared" si="27"/>
        <v>0.9</v>
      </c>
      <c r="R121" s="179">
        <f t="shared" si="28"/>
        <v>0.66754840617319</v>
      </c>
      <c r="S121" s="839">
        <f t="shared" si="29"/>
        <v>-2</v>
      </c>
      <c r="T121" s="178">
        <f t="shared" si="30"/>
        <v>4</v>
      </c>
      <c r="U121" s="253">
        <f t="shared" si="31"/>
        <v>-1.33245159382681</v>
      </c>
      <c r="V121" s="385">
        <f t="shared" si="32"/>
        <v>50.642206376831602</v>
      </c>
      <c r="W121" s="404"/>
      <c r="X121" s="157">
        <f t="shared" si="33"/>
        <v>43937</v>
      </c>
      <c r="Y121" s="387">
        <f t="shared" si="34"/>
        <v>37.445999999999998</v>
      </c>
      <c r="Z121" s="387">
        <f t="shared" si="35"/>
        <v>37.993741764476177</v>
      </c>
      <c r="AA121" s="388">
        <f t="shared" si="36"/>
        <v>42.409898761820749</v>
      </c>
      <c r="AB121" s="199">
        <f t="shared" si="37"/>
        <v>43937</v>
      </c>
      <c r="AC121" s="119">
        <f>IF(OR(t&lt;Tnet,NoTnet),'2019'!Resal_s+('2019'!Salim-'2019'!Resal_s)*(1-EXP(('2019'!Tnet_s-t)/'2019'!Tau_j)),Resal_s+(Salim-Resal_s)*(1-EXP((Tnet_s-t)/Tau_j)))*Salcycl</f>
        <v>0.10413033575359974</v>
      </c>
      <c r="AD121" s="233">
        <f>(INDEX(Models!$BJ121:$BT121,,AH121)*(1-AF121)+INDEX(Models!$BJ121:$BT121,,AH121+1)*AF121-ERP_i)*AE121*Ramure*Pc/MaxiM</f>
        <v>1.8551932762629656E-3</v>
      </c>
      <c r="AE121" s="307">
        <f t="shared" si="38"/>
        <v>0.9</v>
      </c>
      <c r="AF121" s="179">
        <f t="shared" si="39"/>
        <v>0.66754840617319</v>
      </c>
      <c r="AG121" s="839">
        <f t="shared" si="47"/>
        <v>-2</v>
      </c>
      <c r="AH121" s="178">
        <f t="shared" si="40"/>
        <v>4</v>
      </c>
      <c r="AI121" s="227">
        <f t="shared" si="41"/>
        <v>-1.33245159382681</v>
      </c>
      <c r="AJ121" s="267" t="b">
        <f t="shared" si="42"/>
        <v>0</v>
      </c>
      <c r="AK121" s="267" t="b">
        <f t="shared" si="43"/>
        <v>0</v>
      </c>
      <c r="AL121" s="267"/>
      <c r="AM121" s="267"/>
      <c r="AN121" s="75"/>
    </row>
    <row r="122" spans="1:40" s="18" customFormat="1" ht="11.25" x14ac:dyDescent="0.2">
      <c r="A122" s="56">
        <f t="shared" si="44"/>
        <v>43938</v>
      </c>
      <c r="B122" s="620">
        <v>28.231999999999999</v>
      </c>
      <c r="C122" s="392"/>
      <c r="D122" s="395">
        <f t="shared" si="24"/>
        <v>28.645630506851138</v>
      </c>
      <c r="E122" s="387">
        <f t="shared" si="45"/>
        <v>31.980573402807472</v>
      </c>
      <c r="F122" s="387">
        <f t="shared" si="25"/>
        <v>32.001354487582709</v>
      </c>
      <c r="G122" s="110">
        <f t="shared" si="46"/>
        <v>0.55385524809047193</v>
      </c>
      <c r="H122" s="416" t="b">
        <f>Wh_hp&gt;='2019'!Maxi_hp</f>
        <v>1</v>
      </c>
      <c r="I122" s="382">
        <f>IF(H122,Wh_hp,'2019'!Maxi_hp)</f>
        <v>32.001354487582709</v>
      </c>
      <c r="J122" s="85">
        <f>IF(H122,An,'2019'!An_max)</f>
        <v>2020</v>
      </c>
      <c r="K122" s="199">
        <f t="shared" si="26"/>
        <v>43938</v>
      </c>
      <c r="L122" s="147">
        <f>IF(t&lt;Tvie,1-EXP((T0-t)*PertePVj)+'2019'!Pspv,1-EXP((T0-t)*PertePVj)+Pspv)</f>
        <v>1.443956720562356E-2</v>
      </c>
      <c r="M122" s="872"/>
      <c r="N122" s="872"/>
      <c r="O122" s="48">
        <f>IF(t&lt;Tnet,'2019'!Resal+('2019'!Salim-'2019'!Resal)*(1-EXP(('2019'!Tnet-t)/('2019'!Tau_j))),Resal+(Salim-Resal)*(1-EXP((Tnet-t)/(Tau_j))))*Salcycl</f>
        <v>0.10428027208741572</v>
      </c>
      <c r="P122" s="171">
        <f>(INDEX(Models!$BJ122:$BT122,,T122)*(1-R122)+INDEX(Models!$BJ122:$BT122,,T122+1)*R122-ERP_i)*Q122*Ramure*Pc/MaxiM</f>
        <v>1.786215976794969E-3</v>
      </c>
      <c r="Q122" s="307">
        <f t="shared" si="27"/>
        <v>0.9</v>
      </c>
      <c r="R122" s="179">
        <f t="shared" si="28"/>
        <v>0.6701390786250021</v>
      </c>
      <c r="S122" s="839">
        <f t="shared" si="29"/>
        <v>-2</v>
      </c>
      <c r="T122" s="178">
        <f t="shared" si="30"/>
        <v>4</v>
      </c>
      <c r="U122" s="253">
        <f t="shared" si="31"/>
        <v>-1.3298609213749979</v>
      </c>
      <c r="V122" s="385">
        <f t="shared" si="32"/>
        <v>50.91562123549248</v>
      </c>
      <c r="W122" s="404"/>
      <c r="X122" s="157">
        <f t="shared" si="33"/>
        <v>43938</v>
      </c>
      <c r="Y122" s="387">
        <f t="shared" si="34"/>
        <v>28.232000000000003</v>
      </c>
      <c r="Z122" s="387">
        <f t="shared" si="35"/>
        <v>28.645630506851141</v>
      </c>
      <c r="AA122" s="388">
        <f t="shared" si="36"/>
        <v>31.980573402807476</v>
      </c>
      <c r="AB122" s="199">
        <f t="shared" si="37"/>
        <v>43938</v>
      </c>
      <c r="AC122" s="119">
        <f>IF(OR(t&lt;Tnet,NoTnet),'2019'!Resal_s+('2019'!Salim-'2019'!Resal_s)*(1-EXP(('2019'!Tnet_s-t)/'2019'!Tau_j)),Resal_s+(Salim-Resal_s)*(1-EXP((Tnet_s-t)/Tau_j)))*Salcycl</f>
        <v>0.10428027208741572</v>
      </c>
      <c r="AD122" s="233">
        <f>(INDEX(Models!$BJ122:$BT122,,AH122)*(1-AF122)+INDEX(Models!$BJ122:$BT122,,AH122+1)*AF122-ERP_i)*AE122*Ramure*Pc/MaxiM</f>
        <v>1.786215976794969E-3</v>
      </c>
      <c r="AE122" s="307">
        <f t="shared" si="38"/>
        <v>0.9</v>
      </c>
      <c r="AF122" s="179">
        <f t="shared" si="39"/>
        <v>0.6701390786250021</v>
      </c>
      <c r="AG122" s="839">
        <f t="shared" si="47"/>
        <v>-2</v>
      </c>
      <c r="AH122" s="178">
        <f t="shared" si="40"/>
        <v>4</v>
      </c>
      <c r="AI122" s="227">
        <f t="shared" si="41"/>
        <v>-1.3298609213749979</v>
      </c>
      <c r="AJ122" s="267" t="b">
        <f t="shared" si="42"/>
        <v>0</v>
      </c>
      <c r="AK122" s="267" t="b">
        <f t="shared" si="43"/>
        <v>0</v>
      </c>
      <c r="AL122" s="267"/>
      <c r="AM122" s="267"/>
      <c r="AN122" s="267"/>
    </row>
    <row r="123" spans="1:40" s="18" customFormat="1" ht="11.25" x14ac:dyDescent="0.2">
      <c r="A123" s="56">
        <f t="shared" si="44"/>
        <v>43939</v>
      </c>
      <c r="B123" s="620">
        <v>39.762</v>
      </c>
      <c r="C123" s="392"/>
      <c r="D123" s="395">
        <f t="shared" si="24"/>
        <v>40.345496854639428</v>
      </c>
      <c r="E123" s="387">
        <f t="shared" si="45"/>
        <v>45.050178525543942</v>
      </c>
      <c r="F123" s="387">
        <f t="shared" si="25"/>
        <v>45.102928831449695</v>
      </c>
      <c r="G123" s="110">
        <f t="shared" si="46"/>
        <v>0.77642340095668561</v>
      </c>
      <c r="H123" s="416" t="b">
        <f>Wh_hp&gt;='2019'!Maxi_hp</f>
        <v>0</v>
      </c>
      <c r="I123" s="382">
        <f>IF(H123,Wh_hp,'2019'!Maxi_hp)</f>
        <v>52.086591435879924</v>
      </c>
      <c r="J123" s="85">
        <f>IF(H123,An,'2019'!An_max)</f>
        <v>2019</v>
      </c>
      <c r="K123" s="199">
        <f t="shared" si="26"/>
        <v>43939</v>
      </c>
      <c r="L123" s="147">
        <f>IF(t&lt;Tvie,1-EXP((T0-t)*PertePVj)+'2019'!Pspv,1-EXP((T0-t)*PertePVj)+Pspv)</f>
        <v>1.4462502636705787E-2</v>
      </c>
      <c r="M123" s="872"/>
      <c r="N123" s="872"/>
      <c r="O123" s="48">
        <f>IF(t&lt;Tnet,'2019'!Resal+('2019'!Salim-'2019'!Resal)*(1-EXP(('2019'!Tnet-t)/('2019'!Tau_j))),Resal+(Salim-Resal)*(1-EXP((Tnet-t)/(Tau_j))))*Salcycl</f>
        <v>0.10443203167856278</v>
      </c>
      <c r="P123" s="171">
        <f>(INDEX(Models!$BJ123:$BT123,,T123)*(1-R123)+INDEX(Models!$BJ123:$BT123,,T123+1)*R123-ERP_i)*Q123*Ramure*Pc/MaxiM</f>
        <v>1.7168696700588868E-3</v>
      </c>
      <c r="Q123" s="307">
        <f t="shared" si="27"/>
        <v>0.9</v>
      </c>
      <c r="R123" s="179">
        <f t="shared" si="28"/>
        <v>0.67281595294349361</v>
      </c>
      <c r="S123" s="839">
        <f t="shared" si="29"/>
        <v>-2</v>
      </c>
      <c r="T123" s="178">
        <f t="shared" si="30"/>
        <v>4</v>
      </c>
      <c r="U123" s="253">
        <f t="shared" si="31"/>
        <v>-1.3271840470565064</v>
      </c>
      <c r="V123" s="385">
        <f t="shared" si="32"/>
        <v>51.183686760284623</v>
      </c>
      <c r="W123" s="404"/>
      <c r="X123" s="157">
        <f t="shared" si="33"/>
        <v>43939</v>
      </c>
      <c r="Y123" s="387">
        <f t="shared" si="34"/>
        <v>39.762</v>
      </c>
      <c r="Z123" s="387">
        <f t="shared" si="35"/>
        <v>40.345496854639428</v>
      </c>
      <c r="AA123" s="388">
        <f t="shared" si="36"/>
        <v>45.050178525543942</v>
      </c>
      <c r="AB123" s="199">
        <f t="shared" si="37"/>
        <v>43939</v>
      </c>
      <c r="AC123" s="119">
        <f>IF(OR(t&lt;Tnet,NoTnet),'2019'!Resal_s+('2019'!Salim-'2019'!Resal_s)*(1-EXP(('2019'!Tnet_s-t)/'2019'!Tau_j)),Resal_s+(Salim-Resal_s)*(1-EXP((Tnet_s-t)/Tau_j)))*Salcycl</f>
        <v>0.10443203167856278</v>
      </c>
      <c r="AD123" s="233">
        <f>(INDEX(Models!$BJ123:$BT123,,AH123)*(1-AF123)+INDEX(Models!$BJ123:$BT123,,AH123+1)*AF123-ERP_i)*AE123*Ramure*Pc/MaxiM</f>
        <v>1.7168696700588868E-3</v>
      </c>
      <c r="AE123" s="307">
        <f t="shared" si="38"/>
        <v>0.9</v>
      </c>
      <c r="AF123" s="179">
        <f t="shared" si="39"/>
        <v>0.67281595294349361</v>
      </c>
      <c r="AG123" s="839">
        <f t="shared" si="47"/>
        <v>-2</v>
      </c>
      <c r="AH123" s="178">
        <f t="shared" si="40"/>
        <v>4</v>
      </c>
      <c r="AI123" s="227">
        <f t="shared" si="41"/>
        <v>-1.3271840470565064</v>
      </c>
      <c r="AJ123" s="267" t="b">
        <f t="shared" si="42"/>
        <v>0</v>
      </c>
      <c r="AK123" s="267" t="b">
        <f t="shared" si="43"/>
        <v>0</v>
      </c>
      <c r="AL123" s="267"/>
      <c r="AM123" s="267"/>
      <c r="AN123" s="267"/>
    </row>
    <row r="124" spans="1:40" s="6" customFormat="1" ht="11.25" customHeight="1" x14ac:dyDescent="0.2">
      <c r="A124" s="56">
        <f t="shared" si="44"/>
        <v>43940</v>
      </c>
      <c r="B124" s="620">
        <v>18.486000000000001</v>
      </c>
      <c r="C124" s="392"/>
      <c r="D124" s="395">
        <f t="shared" si="24"/>
        <v>18.757713689937123</v>
      </c>
      <c r="E124" s="387">
        <f t="shared" si="45"/>
        <v>20.948640612406408</v>
      </c>
      <c r="F124" s="387">
        <f t="shared" si="25"/>
        <v>20.951565450208584</v>
      </c>
      <c r="G124" s="110">
        <f t="shared" si="46"/>
        <v>0.35878570397637666</v>
      </c>
      <c r="H124" s="416" t="b">
        <f>Wh_hp&gt;='2019'!Maxi_hp</f>
        <v>0</v>
      </c>
      <c r="I124" s="382">
        <f>IF(H124,Wh_hp,'2019'!Maxi_hp)</f>
        <v>48.589941916916572</v>
      </c>
      <c r="J124" s="85">
        <f>IF(H124,An,'2019'!An_max)</f>
        <v>2019</v>
      </c>
      <c r="K124" s="199">
        <f t="shared" si="26"/>
        <v>43940</v>
      </c>
      <c r="L124" s="147">
        <f>IF(t&lt;Tvie,1-EXP((T0-t)*PertePVj)+'2019'!Pspv,1-EXP((T0-t)*PertePVj)+Pspv)</f>
        <v>1.4485437534047074E-2</v>
      </c>
      <c r="M124" s="872"/>
      <c r="N124" s="872"/>
      <c r="O124" s="48">
        <f>IF(t&lt;Tnet,'2019'!Resal+('2019'!Salim-'2019'!Resal)*(1-EXP(('2019'!Tnet-t)/('2019'!Tau_j))),Resal+(Salim-Resal)*(1-EXP((Tnet-t)/(Tau_j))))*Salcycl</f>
        <v>0.10458563698743072</v>
      </c>
      <c r="P124" s="171">
        <f>(INDEX(Models!$BJ124:$BT124,,T124)*(1-R124)+INDEX(Models!$BJ124:$BT124,,T124+1)*R124-ERP_i)*Q124*Ramure*Pc/MaxiM</f>
        <v>1.6471284808087705E-3</v>
      </c>
      <c r="Q124" s="307">
        <f t="shared" si="27"/>
        <v>0.9</v>
      </c>
      <c r="R124" s="179">
        <f t="shared" si="28"/>
        <v>0.67558102956363064</v>
      </c>
      <c r="S124" s="839">
        <f t="shared" si="29"/>
        <v>-2</v>
      </c>
      <c r="T124" s="178">
        <f t="shared" si="30"/>
        <v>4</v>
      </c>
      <c r="U124" s="253">
        <f t="shared" si="31"/>
        <v>-1.3244189704363694</v>
      </c>
      <c r="V124" s="385">
        <f t="shared" si="32"/>
        <v>51.446107613395462</v>
      </c>
      <c r="W124" s="404"/>
      <c r="X124" s="157">
        <f t="shared" si="33"/>
        <v>43940</v>
      </c>
      <c r="Y124" s="387">
        <f t="shared" si="34"/>
        <v>18.486000000000001</v>
      </c>
      <c r="Z124" s="387">
        <f t="shared" si="35"/>
        <v>18.757713689937123</v>
      </c>
      <c r="AA124" s="388">
        <f t="shared" si="36"/>
        <v>20.948640612406408</v>
      </c>
      <c r="AB124" s="199">
        <f t="shared" si="37"/>
        <v>43940</v>
      </c>
      <c r="AC124" s="119">
        <f>IF(OR(t&lt;Tnet,NoTnet),'2019'!Resal_s+('2019'!Salim-'2019'!Resal_s)*(1-EXP(('2019'!Tnet_s-t)/'2019'!Tau_j)),Resal_s+(Salim-Resal_s)*(1-EXP((Tnet_s-t)/Tau_j)))*Salcycl</f>
        <v>0.10458563698743072</v>
      </c>
      <c r="AD124" s="233">
        <f>(INDEX(Models!$BJ124:$BT124,,AH124)*(1-AF124)+INDEX(Models!$BJ124:$BT124,,AH124+1)*AF124-ERP_i)*AE124*Ramure*Pc/MaxiM</f>
        <v>1.6471284808087705E-3</v>
      </c>
      <c r="AE124" s="307">
        <f t="shared" si="38"/>
        <v>0.9</v>
      </c>
      <c r="AF124" s="179">
        <f t="shared" si="39"/>
        <v>0.67558102956363064</v>
      </c>
      <c r="AG124" s="839">
        <f t="shared" si="47"/>
        <v>-2</v>
      </c>
      <c r="AH124" s="178">
        <f t="shared" si="40"/>
        <v>4</v>
      </c>
      <c r="AI124" s="227">
        <f t="shared" si="41"/>
        <v>-1.3244189704363694</v>
      </c>
      <c r="AJ124" s="267" t="b">
        <f t="shared" si="42"/>
        <v>0</v>
      </c>
      <c r="AK124" s="267" t="b">
        <f t="shared" si="43"/>
        <v>0</v>
      </c>
      <c r="AL124" s="267"/>
      <c r="AM124" s="267"/>
      <c r="AN124" s="75"/>
    </row>
    <row r="125" spans="1:40" s="6" customFormat="1" ht="11.25" x14ac:dyDescent="0.2">
      <c r="A125" s="56">
        <f t="shared" si="44"/>
        <v>43941</v>
      </c>
      <c r="B125" s="620">
        <v>11.686999999999999</v>
      </c>
      <c r="C125" s="392"/>
      <c r="D125" s="395">
        <f t="shared" si="24"/>
        <v>11.859055588837879</v>
      </c>
      <c r="E125" s="387">
        <f t="shared" si="45"/>
        <v>13.246509685060403</v>
      </c>
      <c r="F125" s="387">
        <f t="shared" si="25"/>
        <v>13.246509685060403</v>
      </c>
      <c r="G125" s="110">
        <f t="shared" si="46"/>
        <v>0.22568637773332423</v>
      </c>
      <c r="H125" s="416" t="b">
        <f>Wh_hp&gt;='2019'!Maxi_hp</f>
        <v>0</v>
      </c>
      <c r="I125" s="382">
        <f>IF(H125,Wh_hp,'2019'!Maxi_hp)</f>
        <v>20.586006431599987</v>
      </c>
      <c r="J125" s="85">
        <f>IF(H125,An,'2019'!An_max)</f>
        <v>2019</v>
      </c>
      <c r="K125" s="199">
        <f t="shared" si="26"/>
        <v>43941</v>
      </c>
      <c r="L125" s="147">
        <f>IF(t&lt;Tvie,1-EXP((T0-t)*PertePVj)+'2019'!Pspv,1-EXP((T0-t)*PertePVj)+Pspv)</f>
        <v>1.4508371897659744E-2</v>
      </c>
      <c r="M125" s="872"/>
      <c r="N125" s="872"/>
      <c r="O125" s="48">
        <f>IF(t&lt;Tnet,'2019'!Resal+('2019'!Salim-'2019'!Resal)*(1-EXP(('2019'!Tnet-t)/('2019'!Tau_j))),Resal+(Salim-Resal)*(1-EXP((Tnet-t)/(Tau_j))))*Salcycl</f>
        <v>0.10474110759812545</v>
      </c>
      <c r="P125" s="171">
        <f>(INDEX(Models!$BJ125:$BT125,,T125)*(1-R125)+INDEX(Models!$BJ125:$BT125,,T125+1)*R125-ERP_i)*Q125*Ramure*Pc/MaxiM</f>
        <v>1.576968674908163E-3</v>
      </c>
      <c r="Q125" s="307">
        <f t="shared" si="27"/>
        <v>0.9</v>
      </c>
      <c r="R125" s="179">
        <f t="shared" si="28"/>
        <v>0.67843628905529285</v>
      </c>
      <c r="S125" s="839">
        <f t="shared" si="29"/>
        <v>-2</v>
      </c>
      <c r="T125" s="178">
        <f t="shared" si="30"/>
        <v>4</v>
      </c>
      <c r="U125" s="253">
        <f t="shared" si="31"/>
        <v>-1.3215637109447071</v>
      </c>
      <c r="V125" s="385">
        <f t="shared" si="32"/>
        <v>51.702588717535164</v>
      </c>
      <c r="W125" s="404"/>
      <c r="X125" s="157">
        <f t="shared" si="33"/>
        <v>43941</v>
      </c>
      <c r="Y125" s="387">
        <f t="shared" si="34"/>
        <v>11.686999999999999</v>
      </c>
      <c r="Z125" s="387">
        <f t="shared" si="35"/>
        <v>11.859055588837879</v>
      </c>
      <c r="AA125" s="388">
        <f t="shared" si="36"/>
        <v>13.246509685060403</v>
      </c>
      <c r="AB125" s="199">
        <f t="shared" si="37"/>
        <v>43941</v>
      </c>
      <c r="AC125" s="119">
        <f>IF(OR(t&lt;Tnet,NoTnet),'2019'!Resal_s+('2019'!Salim-'2019'!Resal_s)*(1-EXP(('2019'!Tnet_s-t)/'2019'!Tau_j)),Resal_s+(Salim-Resal_s)*(1-EXP((Tnet_s-t)/Tau_j)))*Salcycl</f>
        <v>0.10474110759812545</v>
      </c>
      <c r="AD125" s="233">
        <f>(INDEX(Models!$BJ125:$BT125,,AH125)*(1-AF125)+INDEX(Models!$BJ125:$BT125,,AH125+1)*AF125-ERP_i)*AE125*Ramure*Pc/MaxiM</f>
        <v>1.576968674908163E-3</v>
      </c>
      <c r="AE125" s="307">
        <f t="shared" si="38"/>
        <v>0.9</v>
      </c>
      <c r="AF125" s="179">
        <f t="shared" si="39"/>
        <v>0.67843628905529285</v>
      </c>
      <c r="AG125" s="839">
        <f t="shared" si="47"/>
        <v>-2</v>
      </c>
      <c r="AH125" s="178">
        <f t="shared" si="40"/>
        <v>4</v>
      </c>
      <c r="AI125" s="227">
        <f t="shared" si="41"/>
        <v>-1.3215637109447071</v>
      </c>
      <c r="AJ125" s="267" t="b">
        <f t="shared" si="42"/>
        <v>0</v>
      </c>
      <c r="AK125" s="267" t="b">
        <f t="shared" si="43"/>
        <v>0</v>
      </c>
      <c r="AL125" s="267"/>
      <c r="AM125" s="267"/>
      <c r="AN125" s="75"/>
    </row>
    <row r="126" spans="1:40" s="6" customFormat="1" ht="11.25" customHeight="1" x14ac:dyDescent="0.2">
      <c r="A126" s="56">
        <f t="shared" si="44"/>
        <v>43942</v>
      </c>
      <c r="B126" s="620">
        <v>16.736999999999998</v>
      </c>
      <c r="C126" s="392"/>
      <c r="D126" s="395">
        <f t="shared" si="24"/>
        <v>16.983796742885545</v>
      </c>
      <c r="E126" s="387">
        <f t="shared" si="45"/>
        <v>18.974156545951669</v>
      </c>
      <c r="F126" s="387">
        <f t="shared" si="25"/>
        <v>18.975061314159529</v>
      </c>
      <c r="G126" s="110">
        <f t="shared" si="46"/>
        <v>0.32168763675156814</v>
      </c>
      <c r="H126" s="416" t="b">
        <f>Wh_hp&gt;='2019'!Maxi_hp</f>
        <v>0</v>
      </c>
      <c r="I126" s="382">
        <f>IF(H126,Wh_hp,'2019'!Maxi_hp)</f>
        <v>34.84388062532576</v>
      </c>
      <c r="J126" s="85">
        <f>IF(H126,An,'2019'!An_max)</f>
        <v>2019</v>
      </c>
      <c r="K126" s="199">
        <f t="shared" si="26"/>
        <v>43942</v>
      </c>
      <c r="L126" s="147">
        <f>IF(t&lt;Tvie,1-EXP((T0-t)*PertePVj)+'2019'!Pspv,1-EXP((T0-t)*PertePVj)+Pspv)</f>
        <v>1.4531305727556343E-2</v>
      </c>
      <c r="M126" s="872"/>
      <c r="N126" s="872"/>
      <c r="O126" s="48">
        <f>IF(t&lt;Tnet,'2019'!Resal+('2019'!Salim-'2019'!Resal)*(1-EXP(('2019'!Tnet-t)/('2019'!Tau_j))),Resal+(Salim-Resal)*(1-EXP((Tnet-t)/(Tau_j))))*Salcycl</f>
        <v>0.1048984600841605</v>
      </c>
      <c r="P126" s="171">
        <f>(INDEX(Models!$BJ126:$BT126,,T126)*(1-R126)+INDEX(Models!$BJ126:$BT126,,T126+1)*R126-ERP_i)*Q126*Ramure*Pc/MaxiM</f>
        <v>1.5063634528812164E-3</v>
      </c>
      <c r="Q126" s="307">
        <f t="shared" si="27"/>
        <v>0.9</v>
      </c>
      <c r="R126" s="179">
        <f t="shared" si="28"/>
        <v>0.68138368602092836</v>
      </c>
      <c r="S126" s="839">
        <f t="shared" si="29"/>
        <v>-2</v>
      </c>
      <c r="T126" s="178">
        <f t="shared" si="30"/>
        <v>4</v>
      </c>
      <c r="U126" s="253">
        <f t="shared" si="31"/>
        <v>-1.3186163139790716</v>
      </c>
      <c r="V126" s="385">
        <f t="shared" si="32"/>
        <v>51.952835528714921</v>
      </c>
      <c r="W126" s="404"/>
      <c r="X126" s="157">
        <f t="shared" si="33"/>
        <v>43942</v>
      </c>
      <c r="Y126" s="387">
        <f t="shared" si="34"/>
        <v>16.736999999999998</v>
      </c>
      <c r="Z126" s="387">
        <f t="shared" si="35"/>
        <v>16.983796742885545</v>
      </c>
      <c r="AA126" s="388">
        <f t="shared" si="36"/>
        <v>18.974156545951669</v>
      </c>
      <c r="AB126" s="199">
        <f t="shared" si="37"/>
        <v>43942</v>
      </c>
      <c r="AC126" s="119">
        <f>IF(OR(t&lt;Tnet,NoTnet),'2019'!Resal_s+('2019'!Salim-'2019'!Resal_s)*(1-EXP(('2019'!Tnet_s-t)/'2019'!Tau_j)),Resal_s+(Salim-Resal_s)*(1-EXP((Tnet_s-t)/Tau_j)))*Salcycl</f>
        <v>0.1048984600841605</v>
      </c>
      <c r="AD126" s="233">
        <f>(INDEX(Models!$BJ126:$BT126,,AH126)*(1-AF126)+INDEX(Models!$BJ126:$BT126,,AH126+1)*AF126-ERP_i)*AE126*Ramure*Pc/MaxiM</f>
        <v>1.5063634528812164E-3</v>
      </c>
      <c r="AE126" s="307">
        <f t="shared" si="38"/>
        <v>0.9</v>
      </c>
      <c r="AF126" s="179">
        <f t="shared" si="39"/>
        <v>0.68138368602092836</v>
      </c>
      <c r="AG126" s="839">
        <f t="shared" si="47"/>
        <v>-2</v>
      </c>
      <c r="AH126" s="178">
        <f t="shared" si="40"/>
        <v>4</v>
      </c>
      <c r="AI126" s="227">
        <f t="shared" si="41"/>
        <v>-1.3186163139790716</v>
      </c>
      <c r="AJ126" s="267" t="b">
        <f t="shared" si="42"/>
        <v>0</v>
      </c>
      <c r="AK126" s="267" t="b">
        <f t="shared" si="43"/>
        <v>0</v>
      </c>
      <c r="AL126" s="267"/>
      <c r="AM126" s="267"/>
      <c r="AN126" s="75"/>
    </row>
    <row r="127" spans="1:40" s="6" customFormat="1" ht="11.25" customHeight="1" x14ac:dyDescent="0.2">
      <c r="A127" s="56">
        <f t="shared" si="44"/>
        <v>43943</v>
      </c>
      <c r="B127" s="620">
        <v>8.6890000000000001</v>
      </c>
      <c r="C127" s="392"/>
      <c r="D127" s="395">
        <f t="shared" si="24"/>
        <v>8.8173295214056981</v>
      </c>
      <c r="E127" s="387">
        <f t="shared" si="45"/>
        <v>9.8524000920996517</v>
      </c>
      <c r="F127" s="387">
        <f t="shared" si="25"/>
        <v>9.8524000920996517</v>
      </c>
      <c r="G127" s="110">
        <f t="shared" si="46"/>
        <v>0.16622800069216653</v>
      </c>
      <c r="H127" s="416" t="b">
        <f>Wh_hp&gt;='2019'!Maxi_hp</f>
        <v>0</v>
      </c>
      <c r="I127" s="382">
        <f>IF(H127,Wh_hp,'2019'!Maxi_hp)</f>
        <v>38.460490699817321</v>
      </c>
      <c r="J127" s="85">
        <f>IF(H127,An,'2019'!An_max)</f>
        <v>2019</v>
      </c>
      <c r="K127" s="199">
        <f t="shared" si="26"/>
        <v>43943</v>
      </c>
      <c r="L127" s="147">
        <f>IF(t&lt;Tvie,1-EXP((T0-t)*PertePVj)+'2019'!Pspv,1-EXP((T0-t)*PertePVj)+Pspv)</f>
        <v>1.4554239023749194E-2</v>
      </c>
      <c r="M127" s="872"/>
      <c r="N127" s="872"/>
      <c r="O127" s="48">
        <f>IF(t&lt;Tnet,'2019'!Resal+('2019'!Salim-'2019'!Resal)*(1-EXP(('2019'!Tnet-t)/('2019'!Tau_j))),Resal+(Salim-Resal)*(1-EXP((Tnet-t)/(Tau_j))))*Salcycl</f>
        <v>0.1050577078699784</v>
      </c>
      <c r="P127" s="171">
        <f>(INDEX(Models!$BJ127:$BT127,,T127)*(1-R127)+INDEX(Models!$BJ127:$BT127,,T127+1)*R127-ERP_i)*Q127*Ramure*Pc/MaxiM</f>
        <v>1.4352787500009794E-3</v>
      </c>
      <c r="Q127" s="307">
        <f t="shared" si="27"/>
        <v>0.9</v>
      </c>
      <c r="R127" s="179">
        <f t="shared" si="28"/>
        <v>0.68442514262657506</v>
      </c>
      <c r="S127" s="839">
        <f t="shared" si="29"/>
        <v>-2</v>
      </c>
      <c r="T127" s="178">
        <f t="shared" si="30"/>
        <v>4</v>
      </c>
      <c r="U127" s="253">
        <f t="shared" si="31"/>
        <v>-1.3155748573734249</v>
      </c>
      <c r="V127" s="385">
        <f t="shared" si="32"/>
        <v>52.196554291771143</v>
      </c>
      <c r="W127" s="404"/>
      <c r="X127" s="157">
        <f t="shared" si="33"/>
        <v>43943</v>
      </c>
      <c r="Y127" s="387">
        <f t="shared" si="34"/>
        <v>8.6890000000000001</v>
      </c>
      <c r="Z127" s="387">
        <f t="shared" si="35"/>
        <v>8.8173295214056981</v>
      </c>
      <c r="AA127" s="388">
        <f t="shared" si="36"/>
        <v>9.8524000920996517</v>
      </c>
      <c r="AB127" s="199">
        <f t="shared" si="37"/>
        <v>43943</v>
      </c>
      <c r="AC127" s="119">
        <f>IF(OR(t&lt;Tnet,NoTnet),'2019'!Resal_s+('2019'!Salim-'2019'!Resal_s)*(1-EXP(('2019'!Tnet_s-t)/'2019'!Tau_j)),Resal_s+(Salim-Resal_s)*(1-EXP((Tnet_s-t)/Tau_j)))*Salcycl</f>
        <v>0.1050577078699784</v>
      </c>
      <c r="AD127" s="233">
        <f>(INDEX(Models!$BJ127:$BT127,,AH127)*(1-AF127)+INDEX(Models!$BJ127:$BT127,,AH127+1)*AF127-ERP_i)*AE127*Ramure*Pc/MaxiM</f>
        <v>1.4352787500009794E-3</v>
      </c>
      <c r="AE127" s="307">
        <f t="shared" si="38"/>
        <v>0.9</v>
      </c>
      <c r="AF127" s="179">
        <f t="shared" si="39"/>
        <v>0.68442514262657506</v>
      </c>
      <c r="AG127" s="839">
        <f t="shared" si="47"/>
        <v>-2</v>
      </c>
      <c r="AH127" s="178">
        <f t="shared" si="40"/>
        <v>4</v>
      </c>
      <c r="AI127" s="227">
        <f t="shared" si="41"/>
        <v>-1.3155748573734249</v>
      </c>
      <c r="AJ127" s="267" t="b">
        <f t="shared" si="42"/>
        <v>0</v>
      </c>
      <c r="AK127" s="267" t="b">
        <f t="shared" si="43"/>
        <v>0</v>
      </c>
      <c r="AL127" s="267"/>
      <c r="AM127" s="267"/>
      <c r="AN127" s="75"/>
    </row>
    <row r="128" spans="1:40" s="6" customFormat="1" ht="11.25" customHeight="1" x14ac:dyDescent="0.2">
      <c r="A128" s="56">
        <f t="shared" si="44"/>
        <v>43944</v>
      </c>
      <c r="B128" s="620">
        <v>15.19</v>
      </c>
      <c r="C128" s="392"/>
      <c r="D128" s="395">
        <f t="shared" si="24"/>
        <v>15.414702770316902</v>
      </c>
      <c r="E128" s="387">
        <f t="shared" si="45"/>
        <v>17.227344319162661</v>
      </c>
      <c r="F128" s="387">
        <f t="shared" si="25"/>
        <v>17.227344319162661</v>
      </c>
      <c r="G128" s="110">
        <f t="shared" si="46"/>
        <v>0.28930549502829955</v>
      </c>
      <c r="H128" s="416" t="b">
        <f>Wh_hp&gt;='2019'!Maxi_hp</f>
        <v>0</v>
      </c>
      <c r="I128" s="382">
        <f>IF(H128,Wh_hp,'2019'!Maxi_hp)</f>
        <v>53.723984951605644</v>
      </c>
      <c r="J128" s="85">
        <f>IF(H128,An,'2019'!An_max)</f>
        <v>2019</v>
      </c>
      <c r="K128" s="199">
        <f t="shared" si="26"/>
        <v>43944</v>
      </c>
      <c r="L128" s="147">
        <f>IF(t&lt;Tvie,1-EXP((T0-t)*PertePVj)+'2019'!Pspv,1-EXP((T0-t)*PertePVj)+Pspv)</f>
        <v>1.457717178625062E-2</v>
      </c>
      <c r="M128" s="872"/>
      <c r="N128" s="872"/>
      <c r="O128" s="48">
        <f>IF(t&lt;Tnet,'2019'!Resal+('2019'!Salim-'2019'!Resal)*(1-EXP(('2019'!Tnet-t)/('2019'!Tau_j))),Resal+(Salim-Resal)*(1-EXP((Tnet-t)/(Tau_j))))*Salcycl</f>
        <v>0.10521886108873353</v>
      </c>
      <c r="P128" s="171">
        <f>(INDEX(Models!$BJ128:$BT128,,T128)*(1-R128)+INDEX(Models!$BJ128:$BT128,,T128+1)*R128-ERP_i)*Q128*Ramure*Pc/MaxiM</f>
        <v>1.364648178041042E-3</v>
      </c>
      <c r="Q128" s="307">
        <f t="shared" si="27"/>
        <v>0.9</v>
      </c>
      <c r="R128" s="179">
        <f t="shared" si="28"/>
        <v>0.68756254176778908</v>
      </c>
      <c r="S128" s="839">
        <f t="shared" si="29"/>
        <v>-2</v>
      </c>
      <c r="T128" s="178">
        <f t="shared" si="30"/>
        <v>4</v>
      </c>
      <c r="U128" s="253">
        <f t="shared" si="31"/>
        <v>-1.3124374582322109</v>
      </c>
      <c r="V128" s="385">
        <f t="shared" si="32"/>
        <v>52.433400868143593</v>
      </c>
      <c r="W128" s="404"/>
      <c r="X128" s="157">
        <f t="shared" si="33"/>
        <v>43944</v>
      </c>
      <c r="Y128" s="387">
        <f t="shared" si="34"/>
        <v>15.19</v>
      </c>
      <c r="Z128" s="387">
        <f t="shared" si="35"/>
        <v>15.414702770316902</v>
      </c>
      <c r="AA128" s="388">
        <f t="shared" si="36"/>
        <v>17.227344319162661</v>
      </c>
      <c r="AB128" s="199">
        <f t="shared" si="37"/>
        <v>43944</v>
      </c>
      <c r="AC128" s="119">
        <f>IF(OR(t&lt;Tnet,NoTnet),'2019'!Resal_s+('2019'!Salim-'2019'!Resal_s)*(1-EXP(('2019'!Tnet_s-t)/'2019'!Tau_j)),Resal_s+(Salim-Resal_s)*(1-EXP((Tnet_s-t)/Tau_j)))*Salcycl</f>
        <v>0.10521886108873353</v>
      </c>
      <c r="AD128" s="233">
        <f>(INDEX(Models!$BJ128:$BT128,,AH128)*(1-AF128)+INDEX(Models!$BJ128:$BT128,,AH128+1)*AF128-ERP_i)*AE128*Ramure*Pc/MaxiM</f>
        <v>1.364648178041042E-3</v>
      </c>
      <c r="AE128" s="307">
        <f t="shared" si="38"/>
        <v>0.9</v>
      </c>
      <c r="AF128" s="179">
        <f t="shared" si="39"/>
        <v>0.68756254176778908</v>
      </c>
      <c r="AG128" s="839">
        <f t="shared" si="47"/>
        <v>-2</v>
      </c>
      <c r="AH128" s="178">
        <f t="shared" si="40"/>
        <v>4</v>
      </c>
      <c r="AI128" s="227">
        <f t="shared" si="41"/>
        <v>-1.3124374582322109</v>
      </c>
      <c r="AJ128" s="267" t="b">
        <f t="shared" si="42"/>
        <v>0</v>
      </c>
      <c r="AK128" s="267" t="b">
        <f t="shared" si="43"/>
        <v>0</v>
      </c>
      <c r="AL128" s="267"/>
      <c r="AM128" s="267"/>
      <c r="AN128" s="75"/>
    </row>
    <row r="129" spans="1:40" s="6" customFormat="1" ht="11.25" customHeight="1" x14ac:dyDescent="0.2">
      <c r="A129" s="56">
        <f t="shared" si="44"/>
        <v>43945</v>
      </c>
      <c r="B129" s="620">
        <v>49.570999999999998</v>
      </c>
      <c r="C129" s="392"/>
      <c r="D129" s="395">
        <f t="shared" si="24"/>
        <v>50.305465021845571</v>
      </c>
      <c r="E129" s="387">
        <f t="shared" si="45"/>
        <v>56.23121923022336</v>
      </c>
      <c r="F129" s="387">
        <f t="shared" si="25"/>
        <v>56.298016159754951</v>
      </c>
      <c r="G129" s="110">
        <f t="shared" si="46"/>
        <v>0.94118385909159585</v>
      </c>
      <c r="H129" s="416" t="b">
        <f>Wh_hp&gt;='2019'!Maxi_hp</f>
        <v>1</v>
      </c>
      <c r="I129" s="382">
        <f>IF(H129,Wh_hp,'2019'!Maxi_hp)</f>
        <v>56.298016159754951</v>
      </c>
      <c r="J129" s="85">
        <f>IF(H129,An,'2019'!An_max)</f>
        <v>2020</v>
      </c>
      <c r="K129" s="199">
        <f t="shared" si="26"/>
        <v>43945</v>
      </c>
      <c r="L129" s="147">
        <f>IF(t&lt;Tvie,1-EXP((T0-t)*PertePVj)+'2019'!Pspv,1-EXP((T0-t)*PertePVj)+Pspv)</f>
        <v>1.4600104015073279E-2</v>
      </c>
      <c r="M129" s="872"/>
      <c r="N129" s="872"/>
      <c r="O129" s="48">
        <f>IF(t&lt;Tnet,'2019'!Resal+('2019'!Salim-'2019'!Resal)*(1-EXP(('2019'!Tnet-t)/('2019'!Tau_j))),Resal+(Salim-Resal)*(1-EXP((Tnet-t)/(Tau_j))))*Salcycl</f>
        <v>0.10538192643692125</v>
      </c>
      <c r="P129" s="171">
        <f>(INDEX(Models!$BJ129:$BT129,,T129)*(1-R129)+INDEX(Models!$BJ129:$BT129,,T129+1)*R129-ERP_i)*Q129*Ramure*Pc/MaxiM</f>
        <v>1.2951185734469757E-3</v>
      </c>
      <c r="Q129" s="307">
        <f t="shared" si="27"/>
        <v>0.9</v>
      </c>
      <c r="R129" s="179">
        <f t="shared" si="28"/>
        <v>0.69079771987474148</v>
      </c>
      <c r="S129" s="839">
        <f t="shared" si="29"/>
        <v>-2</v>
      </c>
      <c r="T129" s="178">
        <f t="shared" si="30"/>
        <v>4</v>
      </c>
      <c r="U129" s="253">
        <f t="shared" si="31"/>
        <v>-1.3092022801252585</v>
      </c>
      <c r="V129" s="385">
        <f t="shared" si="32"/>
        <v>52.663045807880984</v>
      </c>
      <c r="W129" s="404"/>
      <c r="X129" s="157">
        <f t="shared" si="33"/>
        <v>43945</v>
      </c>
      <c r="Y129" s="387">
        <f t="shared" si="34"/>
        <v>49.570999999999998</v>
      </c>
      <c r="Z129" s="387">
        <f t="shared" si="35"/>
        <v>50.305465021845571</v>
      </c>
      <c r="AA129" s="388">
        <f t="shared" si="36"/>
        <v>56.23121923022336</v>
      </c>
      <c r="AB129" s="199">
        <f t="shared" si="37"/>
        <v>43945</v>
      </c>
      <c r="AC129" s="119">
        <f>IF(OR(t&lt;Tnet,NoTnet),'2019'!Resal_s+('2019'!Salim-'2019'!Resal_s)*(1-EXP(('2019'!Tnet_s-t)/'2019'!Tau_j)),Resal_s+(Salim-Resal_s)*(1-EXP((Tnet_s-t)/Tau_j)))*Salcycl</f>
        <v>0.10538192643692125</v>
      </c>
      <c r="AD129" s="233">
        <f>(INDEX(Models!$BJ129:$BT129,,AH129)*(1-AF129)+INDEX(Models!$BJ129:$BT129,,AH129+1)*AF129-ERP_i)*AE129*Ramure*Pc/MaxiM</f>
        <v>1.2951185734469757E-3</v>
      </c>
      <c r="AE129" s="307">
        <f t="shared" si="38"/>
        <v>0.9</v>
      </c>
      <c r="AF129" s="179">
        <f t="shared" si="39"/>
        <v>0.69079771987474148</v>
      </c>
      <c r="AG129" s="839">
        <f t="shared" si="47"/>
        <v>-2</v>
      </c>
      <c r="AH129" s="178">
        <f t="shared" si="40"/>
        <v>4</v>
      </c>
      <c r="AI129" s="227">
        <f t="shared" si="41"/>
        <v>-1.3092022801252585</v>
      </c>
      <c r="AJ129" s="267" t="b">
        <f t="shared" si="42"/>
        <v>0</v>
      </c>
      <c r="AK129" s="267" t="b">
        <f t="shared" si="43"/>
        <v>0</v>
      </c>
      <c r="AL129" s="267"/>
      <c r="AM129" s="267"/>
      <c r="AN129" s="75"/>
    </row>
    <row r="130" spans="1:40" s="6" customFormat="1" ht="11.25" customHeight="1" x14ac:dyDescent="0.2">
      <c r="A130" s="56">
        <f t="shared" si="44"/>
        <v>43946</v>
      </c>
      <c r="B130" s="620">
        <v>38.216999999999999</v>
      </c>
      <c r="C130" s="392"/>
      <c r="D130" s="395">
        <f t="shared" si="24"/>
        <v>38.7841418918755</v>
      </c>
      <c r="E130" s="387">
        <f t="shared" si="45"/>
        <v>43.360733163710471</v>
      </c>
      <c r="F130" s="387">
        <f t="shared" si="25"/>
        <v>43.392870551420849</v>
      </c>
      <c r="G130" s="110">
        <f t="shared" si="46"/>
        <v>0.72228930502668087</v>
      </c>
      <c r="H130" s="416" t="b">
        <f>Wh_hp&gt;='2019'!Maxi_hp</f>
        <v>1</v>
      </c>
      <c r="I130" s="382">
        <f>IF(H130,Wh_hp,'2019'!Maxi_hp)</f>
        <v>43.392870551420849</v>
      </c>
      <c r="J130" s="85">
        <f>IF(H130,An,'2019'!An_max)</f>
        <v>2020</v>
      </c>
      <c r="K130" s="199">
        <f t="shared" si="26"/>
        <v>43946</v>
      </c>
      <c r="L130" s="147">
        <f>IF(t&lt;Tvie,1-EXP((T0-t)*PertePVj)+'2019'!Pspv,1-EXP((T0-t)*PertePVj)+Pspv)</f>
        <v>1.4623035710229493E-2</v>
      </c>
      <c r="M130" s="872"/>
      <c r="N130" s="872"/>
      <c r="O130" s="48">
        <f>IF(t&lt;Tnet,'2019'!Resal+('2019'!Salim-'2019'!Resal)*(1-EXP(('2019'!Tnet-t)/('2019'!Tau_j))),Resal+(Salim-Resal)*(1-EXP((Tnet-t)/(Tau_j))))*Salcycl</f>
        <v>0.10554690702659106</v>
      </c>
      <c r="P130" s="171">
        <f>(INDEX(Models!$BJ130:$BT130,,T130)*(1-R130)+INDEX(Models!$BJ130:$BT130,,T130+1)*R130-ERP_i)*Q130*Ramure*Pc/MaxiM</f>
        <v>1.2266447976025476E-3</v>
      </c>
      <c r="Q130" s="307">
        <f t="shared" si="27"/>
        <v>0.9</v>
      </c>
      <c r="R130" s="179">
        <f t="shared" si="28"/>
        <v>0.6941324593637439</v>
      </c>
      <c r="S130" s="839">
        <f t="shared" si="29"/>
        <v>-2</v>
      </c>
      <c r="T130" s="178">
        <f t="shared" si="30"/>
        <v>4</v>
      </c>
      <c r="U130" s="253">
        <f t="shared" si="31"/>
        <v>-1.3058675406362561</v>
      </c>
      <c r="V130" s="385">
        <f t="shared" si="32"/>
        <v>52.885196203519577</v>
      </c>
      <c r="W130" s="404"/>
      <c r="X130" s="157">
        <f t="shared" si="33"/>
        <v>43946</v>
      </c>
      <c r="Y130" s="387">
        <f t="shared" si="34"/>
        <v>38.216999999999999</v>
      </c>
      <c r="Z130" s="387">
        <f t="shared" si="35"/>
        <v>38.7841418918755</v>
      </c>
      <c r="AA130" s="388">
        <f t="shared" si="36"/>
        <v>43.360733163710471</v>
      </c>
      <c r="AB130" s="199">
        <f t="shared" si="37"/>
        <v>43946</v>
      </c>
      <c r="AC130" s="119">
        <f>IF(OR(t&lt;Tnet,NoTnet),'2019'!Resal_s+('2019'!Salim-'2019'!Resal_s)*(1-EXP(('2019'!Tnet_s-t)/'2019'!Tau_j)),Resal_s+(Salim-Resal_s)*(1-EXP((Tnet_s-t)/Tau_j)))*Salcycl</f>
        <v>0.10554690702659106</v>
      </c>
      <c r="AD130" s="233">
        <f>(INDEX(Models!$BJ130:$BT130,,AH130)*(1-AF130)+INDEX(Models!$BJ130:$BT130,,AH130+1)*AF130-ERP_i)*AE130*Ramure*Pc/MaxiM</f>
        <v>1.2266447976025476E-3</v>
      </c>
      <c r="AE130" s="307">
        <f t="shared" si="38"/>
        <v>0.9</v>
      </c>
      <c r="AF130" s="179">
        <f t="shared" si="39"/>
        <v>0.6941324593637439</v>
      </c>
      <c r="AG130" s="839">
        <f t="shared" si="47"/>
        <v>-2</v>
      </c>
      <c r="AH130" s="178">
        <f t="shared" si="40"/>
        <v>4</v>
      </c>
      <c r="AI130" s="227">
        <f t="shared" si="41"/>
        <v>-1.3058675406362561</v>
      </c>
      <c r="AJ130" s="267" t="b">
        <f t="shared" si="42"/>
        <v>0</v>
      </c>
      <c r="AK130" s="267" t="b">
        <f t="shared" si="43"/>
        <v>0</v>
      </c>
      <c r="AL130" s="267"/>
      <c r="AM130" s="267"/>
      <c r="AN130" s="75"/>
    </row>
    <row r="131" spans="1:40" s="6" customFormat="1" ht="11.25" customHeight="1" x14ac:dyDescent="0.2">
      <c r="A131" s="56">
        <f t="shared" si="44"/>
        <v>43947</v>
      </c>
      <c r="B131" s="620">
        <v>24.212</v>
      </c>
      <c r="C131" s="392"/>
      <c r="D131" s="395">
        <f t="shared" si="24"/>
        <v>24.571878924707466</v>
      </c>
      <c r="E131" s="387">
        <f t="shared" si="45"/>
        <v>27.476527073934335</v>
      </c>
      <c r="F131" s="387">
        <f t="shared" si="25"/>
        <v>27.483625772350027</v>
      </c>
      <c r="G131" s="110">
        <f t="shared" si="46"/>
        <v>0.45556275912531169</v>
      </c>
      <c r="H131" s="416" t="b">
        <f>Wh_hp&gt;='2019'!Maxi_hp</f>
        <v>0</v>
      </c>
      <c r="I131" s="382">
        <f>IF(H131,Wh_hp,'2019'!Maxi_hp)</f>
        <v>33.87097653103303</v>
      </c>
      <c r="J131" s="85">
        <f>IF(H131,An,'2019'!An_max)</f>
        <v>2019</v>
      </c>
      <c r="K131" s="199">
        <f t="shared" si="26"/>
        <v>43947</v>
      </c>
      <c r="L131" s="147">
        <f>IF(t&lt;Tvie,1-EXP((T0-t)*PertePVj)+'2019'!Pspv,1-EXP((T0-t)*PertePVj)+Pspv)</f>
        <v>1.4645966871731586E-2</v>
      </c>
      <c r="M131" s="872"/>
      <c r="N131" s="872"/>
      <c r="O131" s="48">
        <f>IF(t&lt;Tnet,'2019'!Resal+('2019'!Salim-'2019'!Resal)*(1-EXP(('2019'!Tnet-t)/('2019'!Tau_j))),Resal+(Salim-Resal)*(1-EXP((Tnet-t)/(Tau_j))))*Salcycl</f>
        <v>0.10571380223603187</v>
      </c>
      <c r="P131" s="171">
        <f>(INDEX(Models!$BJ131:$BT131,,T131)*(1-R131)+INDEX(Models!$BJ131:$BT131,,T131+1)*R131-ERP_i)*Q131*Ramure*Pc/MaxiM</f>
        <v>1.1591816754685765E-3</v>
      </c>
      <c r="Q131" s="307">
        <f t="shared" si="27"/>
        <v>0.9</v>
      </c>
      <c r="R131" s="179">
        <f t="shared" si="28"/>
        <v>0.69756848074573274</v>
      </c>
      <c r="S131" s="839">
        <f t="shared" si="29"/>
        <v>-2</v>
      </c>
      <c r="T131" s="178">
        <f t="shared" si="30"/>
        <v>4</v>
      </c>
      <c r="U131" s="253">
        <f t="shared" si="31"/>
        <v>-1.3024315192542673</v>
      </c>
      <c r="V131" s="385">
        <f t="shared" si="32"/>
        <v>53.099559718603963</v>
      </c>
      <c r="W131" s="404"/>
      <c r="X131" s="157">
        <f t="shared" si="33"/>
        <v>43947</v>
      </c>
      <c r="Y131" s="387">
        <f t="shared" si="34"/>
        <v>24.212</v>
      </c>
      <c r="Z131" s="387">
        <f t="shared" si="35"/>
        <v>24.571878924707466</v>
      </c>
      <c r="AA131" s="388">
        <f t="shared" si="36"/>
        <v>27.476527073934335</v>
      </c>
      <c r="AB131" s="199">
        <f t="shared" si="37"/>
        <v>43947</v>
      </c>
      <c r="AC131" s="119">
        <f>IF(OR(t&lt;Tnet,NoTnet),'2019'!Resal_s+('2019'!Salim-'2019'!Resal_s)*(1-EXP(('2019'!Tnet_s-t)/'2019'!Tau_j)),Resal_s+(Salim-Resal_s)*(1-EXP((Tnet_s-t)/Tau_j)))*Salcycl</f>
        <v>0.10571380223603187</v>
      </c>
      <c r="AD131" s="233">
        <f>(INDEX(Models!$BJ131:$BT131,,AH131)*(1-AF131)+INDEX(Models!$BJ131:$BT131,,AH131+1)*AF131-ERP_i)*AE131*Ramure*Pc/MaxiM</f>
        <v>1.1591816754685765E-3</v>
      </c>
      <c r="AE131" s="307">
        <f t="shared" si="38"/>
        <v>0.9</v>
      </c>
      <c r="AF131" s="179">
        <f t="shared" si="39"/>
        <v>0.69756848074573274</v>
      </c>
      <c r="AG131" s="839">
        <f t="shared" si="47"/>
        <v>-2</v>
      </c>
      <c r="AH131" s="178">
        <f t="shared" si="40"/>
        <v>4</v>
      </c>
      <c r="AI131" s="227">
        <f t="shared" si="41"/>
        <v>-1.3024315192542673</v>
      </c>
      <c r="AJ131" s="267" t="b">
        <f t="shared" si="42"/>
        <v>0</v>
      </c>
      <c r="AK131" s="267" t="b">
        <f t="shared" si="43"/>
        <v>0</v>
      </c>
      <c r="AL131" s="267"/>
      <c r="AM131" s="267"/>
      <c r="AN131" s="75"/>
    </row>
    <row r="132" spans="1:40" s="6" customFormat="1" ht="11.25" customHeight="1" x14ac:dyDescent="0.2">
      <c r="A132" s="56">
        <f t="shared" si="44"/>
        <v>43948</v>
      </c>
      <c r="B132" s="620">
        <v>20.178000000000001</v>
      </c>
      <c r="C132" s="392"/>
      <c r="D132" s="395">
        <f t="shared" si="24"/>
        <v>20.478395484315534</v>
      </c>
      <c r="E132" s="387">
        <f t="shared" si="45"/>
        <v>22.903475156019734</v>
      </c>
      <c r="F132" s="387">
        <f t="shared" si="25"/>
        <v>22.906283182202731</v>
      </c>
      <c r="G132" s="110">
        <f t="shared" si="46"/>
        <v>0.37816534277748975</v>
      </c>
      <c r="H132" s="416" t="b">
        <f>Wh_hp&gt;='2019'!Maxi_hp</f>
        <v>0</v>
      </c>
      <c r="I132" s="382">
        <f>IF(H132,Wh_hp,'2019'!Maxi_hp)</f>
        <v>48.054004151723234</v>
      </c>
      <c r="J132" s="85">
        <f>IF(H132,An,'2019'!An_max)</f>
        <v>2019</v>
      </c>
      <c r="K132" s="199">
        <f t="shared" si="26"/>
        <v>43948</v>
      </c>
      <c r="L132" s="147">
        <f>IF(t&lt;Tvie,1-EXP((T0-t)*PertePVj)+'2019'!Pspv,1-EXP((T0-t)*PertePVj)+Pspv)</f>
        <v>1.4668897499592104E-2</v>
      </c>
      <c r="M132" s="872"/>
      <c r="N132" s="872"/>
      <c r="O132" s="48">
        <f>IF(t&lt;Tnet,'2019'!Resal+('2019'!Salim-'2019'!Resal)*(1-EXP(('2019'!Tnet-t)/('2019'!Tau_j))),Resal+(Salim-Resal)*(1-EXP((Tnet-t)/(Tau_j))))*Salcycl</f>
        <v>0.10588260755996298</v>
      </c>
      <c r="P132" s="171">
        <f>(INDEX(Models!$BJ132:$BT132,,T132)*(1-R132)+INDEX(Models!$BJ132:$BT132,,T132+1)*R132-ERP_i)*Q132*Ramure*Pc/MaxiM</f>
        <v>1.0926840067361204E-3</v>
      </c>
      <c r="Q132" s="307">
        <f t="shared" si="27"/>
        <v>0.9</v>
      </c>
      <c r="R132" s="179">
        <f t="shared" si="28"/>
        <v>0.70110743440576107</v>
      </c>
      <c r="S132" s="839">
        <f t="shared" si="29"/>
        <v>-2</v>
      </c>
      <c r="T132" s="178">
        <f t="shared" si="30"/>
        <v>4</v>
      </c>
      <c r="U132" s="253">
        <f t="shared" si="31"/>
        <v>-1.2988925655942389</v>
      </c>
      <c r="V132" s="385">
        <f t="shared" si="32"/>
        <v>53.305844598727063</v>
      </c>
      <c r="W132" s="404"/>
      <c r="X132" s="157">
        <f t="shared" si="33"/>
        <v>43948</v>
      </c>
      <c r="Y132" s="387">
        <f t="shared" si="34"/>
        <v>20.178000000000001</v>
      </c>
      <c r="Z132" s="387">
        <f t="shared" si="35"/>
        <v>20.478395484315534</v>
      </c>
      <c r="AA132" s="388">
        <f t="shared" si="36"/>
        <v>22.903475156019734</v>
      </c>
      <c r="AB132" s="199">
        <f t="shared" si="37"/>
        <v>43948</v>
      </c>
      <c r="AC132" s="119">
        <f>IF(OR(t&lt;Tnet,NoTnet),'2019'!Resal_s+('2019'!Salim-'2019'!Resal_s)*(1-EXP(('2019'!Tnet_s-t)/'2019'!Tau_j)),Resal_s+(Salim-Resal_s)*(1-EXP((Tnet_s-t)/Tau_j)))*Salcycl</f>
        <v>0.10588260755996298</v>
      </c>
      <c r="AD132" s="233">
        <f>(INDEX(Models!$BJ132:$BT132,,AH132)*(1-AF132)+INDEX(Models!$BJ132:$BT132,,AH132+1)*AF132-ERP_i)*AE132*Ramure*Pc/MaxiM</f>
        <v>1.0926840067361204E-3</v>
      </c>
      <c r="AE132" s="307">
        <f t="shared" si="38"/>
        <v>0.9</v>
      </c>
      <c r="AF132" s="179">
        <f t="shared" si="39"/>
        <v>0.70110743440576107</v>
      </c>
      <c r="AG132" s="839">
        <f t="shared" si="47"/>
        <v>-2</v>
      </c>
      <c r="AH132" s="178">
        <f t="shared" si="40"/>
        <v>4</v>
      </c>
      <c r="AI132" s="227">
        <f t="shared" si="41"/>
        <v>-1.2988925655942389</v>
      </c>
      <c r="AJ132" s="267" t="b">
        <f t="shared" si="42"/>
        <v>0</v>
      </c>
      <c r="AK132" s="267" t="b">
        <f t="shared" si="43"/>
        <v>0</v>
      </c>
      <c r="AL132" s="267"/>
      <c r="AM132" s="267"/>
      <c r="AN132" s="75"/>
    </row>
    <row r="133" spans="1:40" s="6" customFormat="1" ht="11.25" customHeight="1" x14ac:dyDescent="0.2">
      <c r="A133" s="56">
        <f t="shared" si="44"/>
        <v>43949</v>
      </c>
      <c r="B133" s="620">
        <v>31.747</v>
      </c>
      <c r="C133" s="392"/>
      <c r="D133" s="395">
        <f t="shared" si="24"/>
        <v>32.220376212319529</v>
      </c>
      <c r="E133" s="387">
        <f t="shared" si="45"/>
        <v>36.042838721272233</v>
      </c>
      <c r="F133" s="387">
        <f t="shared" si="25"/>
        <v>36.058359896000468</v>
      </c>
      <c r="G133" s="110">
        <f t="shared" si="46"/>
        <v>0.59300598395307158</v>
      </c>
      <c r="H133" s="416" t="b">
        <f>Wh_hp&gt;='2019'!Maxi_hp</f>
        <v>0</v>
      </c>
      <c r="I133" s="382">
        <f>IF(H133,Wh_hp,'2019'!Maxi_hp)</f>
        <v>54.78185076677125</v>
      </c>
      <c r="J133" s="85">
        <f>IF(H133,An,'2019'!An_max)</f>
        <v>2019</v>
      </c>
      <c r="K133" s="199">
        <f t="shared" si="26"/>
        <v>43949</v>
      </c>
      <c r="L133" s="147">
        <f>IF(t&lt;Tvie,1-EXP((T0-t)*PertePVj)+'2019'!Pspv,1-EXP((T0-t)*PertePVj)+Pspv)</f>
        <v>1.469182759382337E-2</v>
      </c>
      <c r="M133" s="872"/>
      <c r="N133" s="872"/>
      <c r="O133" s="48">
        <f>IF(t&lt;Tnet,'2019'!Resal+('2019'!Salim-'2019'!Resal)*(1-EXP(('2019'!Tnet-t)/('2019'!Tau_j))),Resal+(Salim-Resal)*(1-EXP((Tnet-t)/(Tau_j))))*Salcycl</f>
        <v>0.10605331446040384</v>
      </c>
      <c r="P133" s="171">
        <f>(INDEX(Models!$BJ133:$BT133,,T133)*(1-R133)+INDEX(Models!$BJ133:$BT133,,T133+1)*R133-ERP_i)*Q133*Ramure*Pc/MaxiM</f>
        <v>1.0271065734701196E-3</v>
      </c>
      <c r="Q133" s="307">
        <f t="shared" si="27"/>
        <v>0.9</v>
      </c>
      <c r="R133" s="179">
        <f t="shared" si="28"/>
        <v>0.70475089207134589</v>
      </c>
      <c r="S133" s="839">
        <f t="shared" si="29"/>
        <v>-2</v>
      </c>
      <c r="T133" s="178">
        <f t="shared" si="30"/>
        <v>4</v>
      </c>
      <c r="U133" s="253">
        <f t="shared" si="31"/>
        <v>-1.2952491079286541</v>
      </c>
      <c r="V133" s="385">
        <f t="shared" si="32"/>
        <v>53.50375968613703</v>
      </c>
      <c r="W133" s="404"/>
      <c r="X133" s="157">
        <f t="shared" si="33"/>
        <v>43949</v>
      </c>
      <c r="Y133" s="387">
        <f t="shared" si="34"/>
        <v>31.747000000000003</v>
      </c>
      <c r="Z133" s="387">
        <f t="shared" si="35"/>
        <v>32.220376212319529</v>
      </c>
      <c r="AA133" s="388">
        <f t="shared" si="36"/>
        <v>36.042838721272233</v>
      </c>
      <c r="AB133" s="199">
        <f t="shared" si="37"/>
        <v>43949</v>
      </c>
      <c r="AC133" s="119">
        <f>IF(OR(t&lt;Tnet,NoTnet),'2019'!Resal_s+('2019'!Salim-'2019'!Resal_s)*(1-EXP(('2019'!Tnet_s-t)/'2019'!Tau_j)),Resal_s+(Salim-Resal_s)*(1-EXP((Tnet_s-t)/Tau_j)))*Salcycl</f>
        <v>0.10605331446040384</v>
      </c>
      <c r="AD133" s="233">
        <f>(INDEX(Models!$BJ133:$BT133,,AH133)*(1-AF133)+INDEX(Models!$BJ133:$BT133,,AH133+1)*AF133-ERP_i)*AE133*Ramure*Pc/MaxiM</f>
        <v>1.0271065734701196E-3</v>
      </c>
      <c r="AE133" s="307">
        <f t="shared" si="38"/>
        <v>0.9</v>
      </c>
      <c r="AF133" s="179">
        <f t="shared" si="39"/>
        <v>0.70475089207134589</v>
      </c>
      <c r="AG133" s="839">
        <f t="shared" si="47"/>
        <v>-2</v>
      </c>
      <c r="AH133" s="178">
        <f t="shared" si="40"/>
        <v>4</v>
      </c>
      <c r="AI133" s="227">
        <f t="shared" si="41"/>
        <v>-1.2952491079286541</v>
      </c>
      <c r="AJ133" s="267" t="b">
        <f t="shared" si="42"/>
        <v>0</v>
      </c>
      <c r="AK133" s="267" t="b">
        <f t="shared" si="43"/>
        <v>0</v>
      </c>
      <c r="AL133" s="267"/>
      <c r="AM133" s="267"/>
      <c r="AN133" s="75"/>
    </row>
    <row r="134" spans="1:40" s="6" customFormat="1" ht="11.25" customHeight="1" x14ac:dyDescent="0.2">
      <c r="A134" s="56">
        <f t="shared" si="44"/>
        <v>43950</v>
      </c>
      <c r="B134" s="620">
        <v>47.56</v>
      </c>
      <c r="C134" s="392"/>
      <c r="D134" s="395">
        <f t="shared" si="24"/>
        <v>48.27028552933961</v>
      </c>
      <c r="E134" s="387">
        <f t="shared" si="45"/>
        <v>54.007255391790935</v>
      </c>
      <c r="F134" s="387">
        <f t="shared" si="25"/>
        <v>54.05078585195038</v>
      </c>
      <c r="G134" s="110">
        <f t="shared" si="46"/>
        <v>0.88563708992266321</v>
      </c>
      <c r="H134" s="416" t="b">
        <f>Wh_hp&gt;='2019'!Maxi_hp</f>
        <v>0</v>
      </c>
      <c r="I134" s="382">
        <f>IF(H134,Wh_hp,'2019'!Maxi_hp)</f>
        <v>60.84592314154898</v>
      </c>
      <c r="J134" s="85">
        <f>IF(H134,An,'2019'!An_max)</f>
        <v>2019</v>
      </c>
      <c r="K134" s="199">
        <f t="shared" si="26"/>
        <v>43950</v>
      </c>
      <c r="L134" s="147">
        <f>IF(t&lt;Tvie,1-EXP((T0-t)*PertePVj)+'2019'!Pspv,1-EXP((T0-t)*PertePVj)+Pspv)</f>
        <v>1.4714757154437819E-2</v>
      </c>
      <c r="M134" s="872"/>
      <c r="N134" s="872"/>
      <c r="O134" s="48">
        <f>IF(t&lt;Tnet,'2019'!Resal+('2019'!Salim-'2019'!Resal)*(1-EXP(('2019'!Tnet-t)/('2019'!Tau_j))),Resal+(Salim-Resal)*(1-EXP((Tnet-t)/(Tau_j))))*Salcycl</f>
        <v>0.10622591021952471</v>
      </c>
      <c r="P134" s="171">
        <f>(INDEX(Models!$BJ134:$BT134,,T134)*(1-R134)+INDEX(Models!$BJ134:$BT134,,T134+1)*R134-ERP_i)*Q134*Ramure*Pc/MaxiM</f>
        <v>9.6240414428353579E-4</v>
      </c>
      <c r="Q134" s="307">
        <f t="shared" si="27"/>
        <v>0.9</v>
      </c>
      <c r="R134" s="179">
        <f t="shared" si="28"/>
        <v>0.70850033799153689</v>
      </c>
      <c r="S134" s="839">
        <f t="shared" si="29"/>
        <v>-2</v>
      </c>
      <c r="T134" s="178">
        <f t="shared" si="30"/>
        <v>4</v>
      </c>
      <c r="U134" s="253">
        <f t="shared" si="31"/>
        <v>-1.2914996620084631</v>
      </c>
      <c r="V134" s="385">
        <f t="shared" si="32"/>
        <v>53.693014448575084</v>
      </c>
      <c r="W134" s="404"/>
      <c r="X134" s="157">
        <f t="shared" si="33"/>
        <v>43950</v>
      </c>
      <c r="Y134" s="387">
        <f t="shared" si="34"/>
        <v>47.56</v>
      </c>
      <c r="Z134" s="387">
        <f t="shared" si="35"/>
        <v>48.27028552933961</v>
      </c>
      <c r="AA134" s="388">
        <f t="shared" si="36"/>
        <v>54.007255391790935</v>
      </c>
      <c r="AB134" s="199">
        <f t="shared" si="37"/>
        <v>43950</v>
      </c>
      <c r="AC134" s="119">
        <f>IF(OR(t&lt;Tnet,NoTnet),'2019'!Resal_s+('2019'!Salim-'2019'!Resal_s)*(1-EXP(('2019'!Tnet_s-t)/'2019'!Tau_j)),Resal_s+(Salim-Resal_s)*(1-EXP((Tnet_s-t)/Tau_j)))*Salcycl</f>
        <v>0.10622591021952471</v>
      </c>
      <c r="AD134" s="233">
        <f>(INDEX(Models!$BJ134:$BT134,,AH134)*(1-AF134)+INDEX(Models!$BJ134:$BT134,,AH134+1)*AF134-ERP_i)*AE134*Ramure*Pc/MaxiM</f>
        <v>9.6240414428353579E-4</v>
      </c>
      <c r="AE134" s="307">
        <f t="shared" si="38"/>
        <v>0.9</v>
      </c>
      <c r="AF134" s="179">
        <f t="shared" si="39"/>
        <v>0.70850033799153689</v>
      </c>
      <c r="AG134" s="839">
        <f t="shared" si="47"/>
        <v>-2</v>
      </c>
      <c r="AH134" s="178">
        <f t="shared" si="40"/>
        <v>4</v>
      </c>
      <c r="AI134" s="227">
        <f t="shared" si="41"/>
        <v>-1.2914996620084631</v>
      </c>
      <c r="AJ134" s="267" t="b">
        <f t="shared" si="42"/>
        <v>0</v>
      </c>
      <c r="AK134" s="267" t="b">
        <f t="shared" si="43"/>
        <v>0</v>
      </c>
      <c r="AL134" s="267"/>
      <c r="AM134" s="267"/>
      <c r="AN134" s="75"/>
    </row>
    <row r="135" spans="1:40" s="6" customFormat="1" ht="11.25" customHeight="1" x14ac:dyDescent="0.2">
      <c r="A135" s="56">
        <f t="shared" si="44"/>
        <v>43951</v>
      </c>
      <c r="B135" s="620">
        <v>40.942</v>
      </c>
      <c r="C135" s="392"/>
      <c r="D135" s="395">
        <f t="shared" si="24"/>
        <v>41.554415941600674</v>
      </c>
      <c r="E135" s="387">
        <f t="shared" si="45"/>
        <v>46.502275637835481</v>
      </c>
      <c r="F135" s="387">
        <f t="shared" si="25"/>
        <v>46.52974800352105</v>
      </c>
      <c r="G135" s="110">
        <f t="shared" si="46"/>
        <v>0.75973535950706839</v>
      </c>
      <c r="H135" s="416" t="b">
        <f>Wh_hp&gt;='2019'!Maxi_hp</f>
        <v>0</v>
      </c>
      <c r="I135" s="382">
        <f>IF(H135,Wh_hp,'2019'!Maxi_hp)</f>
        <v>56.845620095734738</v>
      </c>
      <c r="J135" s="85">
        <f>IF(H135,An,'2019'!An_max)</f>
        <v>2019</v>
      </c>
      <c r="K135" s="199">
        <f t="shared" si="26"/>
        <v>43951</v>
      </c>
      <c r="L135" s="147">
        <f>IF(t&lt;Tvie,1-EXP((T0-t)*PertePVj)+'2019'!Pspv,1-EXP((T0-t)*PertePVj)+Pspv)</f>
        <v>1.4737686181447995E-2</v>
      </c>
      <c r="M135" s="872"/>
      <c r="N135" s="872"/>
      <c r="O135" s="48">
        <f>IF(t&lt;Tnet,'2019'!Resal+('2019'!Salim-'2019'!Resal)*(1-EXP(('2019'!Tnet-t)/('2019'!Tau_j))),Resal+(Salim-Resal)*(1-EXP((Tnet-t)/(Tau_j))))*Salcycl</f>
        <v>0.10640037779590074</v>
      </c>
      <c r="P135" s="171">
        <f>(INDEX(Models!$BJ135:$BT135,,T135)*(1-R135)+INDEX(Models!$BJ135:$BT135,,T135+1)*R135-ERP_i)*Q135*Ramure*Pc/MaxiM</f>
        <v>8.9853339201438035E-4</v>
      </c>
      <c r="Q135" s="307">
        <f t="shared" si="27"/>
        <v>0.9</v>
      </c>
      <c r="R135" s="179">
        <f t="shared" si="28"/>
        <v>0.71235715985282066</v>
      </c>
      <c r="S135" s="839">
        <f t="shared" si="29"/>
        <v>-2</v>
      </c>
      <c r="T135" s="178">
        <f t="shared" si="30"/>
        <v>4</v>
      </c>
      <c r="U135" s="253">
        <f t="shared" si="31"/>
        <v>-1.2876428401471793</v>
      </c>
      <c r="V135" s="385">
        <f t="shared" si="32"/>
        <v>53.873203999522303</v>
      </c>
      <c r="W135" s="404"/>
      <c r="X135" s="157">
        <f t="shared" si="33"/>
        <v>43951</v>
      </c>
      <c r="Y135" s="387">
        <f t="shared" si="34"/>
        <v>40.942</v>
      </c>
      <c r="Z135" s="387">
        <f t="shared" si="35"/>
        <v>41.554415941600674</v>
      </c>
      <c r="AA135" s="388">
        <f t="shared" si="36"/>
        <v>46.502275637835481</v>
      </c>
      <c r="AB135" s="199">
        <f t="shared" si="37"/>
        <v>43951</v>
      </c>
      <c r="AC135" s="119">
        <f>IF(OR(t&lt;Tnet,NoTnet),'2019'!Resal_s+('2019'!Salim-'2019'!Resal_s)*(1-EXP(('2019'!Tnet_s-t)/'2019'!Tau_j)),Resal_s+(Salim-Resal_s)*(1-EXP((Tnet_s-t)/Tau_j)))*Salcycl</f>
        <v>0.10640037779590074</v>
      </c>
      <c r="AD135" s="233">
        <f>(INDEX(Models!$BJ135:$BT135,,AH135)*(1-AF135)+INDEX(Models!$BJ135:$BT135,,AH135+1)*AF135-ERP_i)*AE135*Ramure*Pc/MaxiM</f>
        <v>8.9853339201438035E-4</v>
      </c>
      <c r="AE135" s="307">
        <f t="shared" si="38"/>
        <v>0.9</v>
      </c>
      <c r="AF135" s="179">
        <f t="shared" si="39"/>
        <v>0.71235715985282066</v>
      </c>
      <c r="AG135" s="839">
        <f t="shared" si="47"/>
        <v>-2</v>
      </c>
      <c r="AH135" s="178">
        <f t="shared" si="40"/>
        <v>4</v>
      </c>
      <c r="AI135" s="227">
        <f t="shared" si="41"/>
        <v>-1.2876428401471793</v>
      </c>
      <c r="AJ135" s="267" t="b">
        <f t="shared" si="42"/>
        <v>0</v>
      </c>
      <c r="AK135" s="267" t="b">
        <f t="shared" si="43"/>
        <v>0</v>
      </c>
      <c r="AL135" s="267"/>
      <c r="AM135" s="267"/>
      <c r="AN135" s="75"/>
    </row>
    <row r="136" spans="1:40" s="6" customFormat="1" ht="11.25" customHeight="1" x14ac:dyDescent="0.2">
      <c r="A136" s="56">
        <f t="shared" si="44"/>
        <v>43952</v>
      </c>
      <c r="B136" s="620">
        <v>22.507000000000001</v>
      </c>
      <c r="C136" s="392"/>
      <c r="D136" s="395">
        <f t="shared" si="24"/>
        <v>22.84419435036347</v>
      </c>
      <c r="E136" s="387">
        <f t="shared" si="45"/>
        <v>25.569284168041989</v>
      </c>
      <c r="F136" s="387">
        <f t="shared" si="25"/>
        <v>25.572847067857985</v>
      </c>
      <c r="G136" s="110">
        <f t="shared" si="46"/>
        <v>0.41616405909156728</v>
      </c>
      <c r="H136" s="416" t="b">
        <f>Wh_hp&gt;='2019'!Maxi_hp</f>
        <v>0</v>
      </c>
      <c r="I136" s="382">
        <f>IF(H136,Wh_hp,'2019'!Maxi_hp)</f>
        <v>37.03828245610211</v>
      </c>
      <c r="J136" s="85">
        <f>IF(H136,An,'2019'!An_max)</f>
        <v>2019</v>
      </c>
      <c r="K136" s="199">
        <f t="shared" si="26"/>
        <v>43952</v>
      </c>
      <c r="L136" s="147">
        <f>IF(t&lt;Tvie,1-EXP((T0-t)*PertePVj)+'2019'!Pspv,1-EXP((T0-t)*PertePVj)+Pspv)</f>
        <v>1.4760614674866113E-2</v>
      </c>
      <c r="M136" s="872"/>
      <c r="N136" s="872"/>
      <c r="O136" s="48">
        <f>IF(t&lt;Tnet,'2019'!Resal+('2019'!Salim-'2019'!Resal)*(1-EXP(('2019'!Tnet-t)/('2019'!Tau_j))),Resal+(Salim-Resal)*(1-EXP((Tnet-t)/(Tau_j))))*Salcycl</f>
        <v>0.10657669568569696</v>
      </c>
      <c r="P136" s="171">
        <f>(INDEX(Models!$BJ136:$BT136,,T136)*(1-R136)+INDEX(Models!$BJ136:$BT136,,T136+1)*R136-ERP_i)*Q136*Ramure*Pc/MaxiM</f>
        <v>8.3746181943038635E-4</v>
      </c>
      <c r="Q136" s="307">
        <f t="shared" si="27"/>
        <v>0.9</v>
      </c>
      <c r="R136" s="179">
        <f t="shared" si="28"/>
        <v>0.7163226394624298</v>
      </c>
      <c r="S136" s="839">
        <f t="shared" si="29"/>
        <v>-2</v>
      </c>
      <c r="T136" s="178">
        <f t="shared" si="30"/>
        <v>4</v>
      </c>
      <c r="U136" s="253">
        <f t="shared" si="31"/>
        <v>-1.2836773605375702</v>
      </c>
      <c r="V136" s="385">
        <f t="shared" si="32"/>
        <v>54.044274898585051</v>
      </c>
      <c r="W136" s="404"/>
      <c r="X136" s="157">
        <f t="shared" si="33"/>
        <v>43952</v>
      </c>
      <c r="Y136" s="387">
        <f t="shared" si="34"/>
        <v>22.507000000000001</v>
      </c>
      <c r="Z136" s="387">
        <f t="shared" si="35"/>
        <v>22.84419435036347</v>
      </c>
      <c r="AA136" s="388">
        <f t="shared" si="36"/>
        <v>25.569284168041989</v>
      </c>
      <c r="AB136" s="199">
        <f t="shared" si="37"/>
        <v>43952</v>
      </c>
      <c r="AC136" s="119">
        <f>IF(OR(t&lt;Tnet,NoTnet),'2019'!Resal_s+('2019'!Salim-'2019'!Resal_s)*(1-EXP(('2019'!Tnet_s-t)/'2019'!Tau_j)),Resal_s+(Salim-Resal_s)*(1-EXP((Tnet_s-t)/Tau_j)))*Salcycl</f>
        <v>0.10657669568569696</v>
      </c>
      <c r="AD136" s="233">
        <f>(INDEX(Models!$BJ136:$BT136,,AH136)*(1-AF136)+INDEX(Models!$BJ136:$BT136,,AH136+1)*AF136-ERP_i)*AE136*Ramure*Pc/MaxiM</f>
        <v>8.3746181943038635E-4</v>
      </c>
      <c r="AE136" s="307">
        <f t="shared" si="38"/>
        <v>0.9</v>
      </c>
      <c r="AF136" s="179">
        <f t="shared" si="39"/>
        <v>0.7163226394624298</v>
      </c>
      <c r="AG136" s="839">
        <f t="shared" si="47"/>
        <v>-2</v>
      </c>
      <c r="AH136" s="178">
        <f t="shared" si="40"/>
        <v>4</v>
      </c>
      <c r="AI136" s="227">
        <f t="shared" si="41"/>
        <v>-1.2836773605375702</v>
      </c>
      <c r="AJ136" s="267" t="b">
        <f t="shared" si="42"/>
        <v>0</v>
      </c>
      <c r="AK136" s="267" t="b">
        <f t="shared" si="43"/>
        <v>0</v>
      </c>
      <c r="AL136" s="267"/>
      <c r="AM136" s="267"/>
      <c r="AN136" s="75"/>
    </row>
    <row r="137" spans="1:40" s="6" customFormat="1" ht="11.25" customHeight="1" x14ac:dyDescent="0.2">
      <c r="A137" s="56">
        <f t="shared" si="44"/>
        <v>43953</v>
      </c>
      <c r="B137" s="620">
        <v>35.35</v>
      </c>
      <c r="C137" s="392"/>
      <c r="D137" s="395">
        <f t="shared" si="24"/>
        <v>35.880440014709421</v>
      </c>
      <c r="E137" s="387">
        <f t="shared" si="45"/>
        <v>40.168636263254939</v>
      </c>
      <c r="F137" s="387">
        <f t="shared" si="25"/>
        <v>40.1843958315362</v>
      </c>
      <c r="G137" s="110">
        <f t="shared" si="46"/>
        <v>0.65188183976526881</v>
      </c>
      <c r="H137" s="416" t="b">
        <f>Wh_hp&gt;='2019'!Maxi_hp</f>
        <v>1</v>
      </c>
      <c r="I137" s="382">
        <f>IF(H137,Wh_hp,'2019'!Maxi_hp)</f>
        <v>40.1843958315362</v>
      </c>
      <c r="J137" s="85">
        <f>IF(H137,An,'2019'!An_max)</f>
        <v>2020</v>
      </c>
      <c r="K137" s="199">
        <f t="shared" si="26"/>
        <v>43953</v>
      </c>
      <c r="L137" s="147">
        <f>IF(t&lt;Tvie,1-EXP((T0-t)*PertePVj)+'2019'!Pspv,1-EXP((T0-t)*PertePVj)+Pspv)</f>
        <v>1.4783542634704716E-2</v>
      </c>
      <c r="M137" s="872"/>
      <c r="N137" s="872"/>
      <c r="O137" s="48">
        <f>IF(t&lt;Tnet,'2019'!Resal+('2019'!Salim-'2019'!Resal)*(1-EXP(('2019'!Tnet-t)/('2019'!Tau_j))),Resal+(Salim-Resal)*(1-EXP((Tnet-t)/(Tau_j))))*Salcycl</f>
        <v>0.10675483779040387</v>
      </c>
      <c r="P137" s="171">
        <f>(INDEX(Models!$BJ137:$BT137,,T137)*(1-R137)+INDEX(Models!$BJ137:$BT137,,T137+1)*R137-ERP_i)*Q137*Ramure*Pc/MaxiM</f>
        <v>7.7960788239556393E-4</v>
      </c>
      <c r="Q137" s="307">
        <f t="shared" si="27"/>
        <v>0.9</v>
      </c>
      <c r="R137" s="179">
        <f t="shared" si="28"/>
        <v>0.72039794323421913</v>
      </c>
      <c r="S137" s="839">
        <f t="shared" si="29"/>
        <v>-2</v>
      </c>
      <c r="T137" s="178">
        <f t="shared" si="30"/>
        <v>4</v>
      </c>
      <c r="U137" s="253">
        <f t="shared" si="31"/>
        <v>-1.2796020567657809</v>
      </c>
      <c r="V137" s="385">
        <f t="shared" si="32"/>
        <v>54.206601474771389</v>
      </c>
      <c r="W137" s="404"/>
      <c r="X137" s="157">
        <f t="shared" si="33"/>
        <v>43953</v>
      </c>
      <c r="Y137" s="387">
        <f t="shared" si="34"/>
        <v>35.35</v>
      </c>
      <c r="Z137" s="387">
        <f t="shared" si="35"/>
        <v>35.880440014709421</v>
      </c>
      <c r="AA137" s="388">
        <f t="shared" si="36"/>
        <v>40.168636263254939</v>
      </c>
      <c r="AB137" s="199">
        <f t="shared" si="37"/>
        <v>43953</v>
      </c>
      <c r="AC137" s="119">
        <f>IF(OR(t&lt;Tnet,NoTnet),'2019'!Resal_s+('2019'!Salim-'2019'!Resal_s)*(1-EXP(('2019'!Tnet_s-t)/'2019'!Tau_j)),Resal_s+(Salim-Resal_s)*(1-EXP((Tnet_s-t)/Tau_j)))*Salcycl</f>
        <v>0.10675483779040387</v>
      </c>
      <c r="AD137" s="233">
        <f>(INDEX(Models!$BJ137:$BT137,,AH137)*(1-AF137)+INDEX(Models!$BJ137:$BT137,,AH137+1)*AF137-ERP_i)*AE137*Ramure*Pc/MaxiM</f>
        <v>7.7960788239556393E-4</v>
      </c>
      <c r="AE137" s="307">
        <f t="shared" si="38"/>
        <v>0.9</v>
      </c>
      <c r="AF137" s="179">
        <f t="shared" si="39"/>
        <v>0.72039794323421913</v>
      </c>
      <c r="AG137" s="839">
        <f t="shared" si="47"/>
        <v>-2</v>
      </c>
      <c r="AH137" s="178">
        <f t="shared" si="40"/>
        <v>4</v>
      </c>
      <c r="AI137" s="227">
        <f t="shared" si="41"/>
        <v>-1.2796020567657809</v>
      </c>
      <c r="AJ137" s="267" t="b">
        <f t="shared" si="42"/>
        <v>0</v>
      </c>
      <c r="AK137" s="267" t="b">
        <f t="shared" si="43"/>
        <v>0</v>
      </c>
      <c r="AL137" s="267"/>
      <c r="AM137" s="267"/>
      <c r="AN137" s="75"/>
    </row>
    <row r="138" spans="1:40" s="6" customFormat="1" ht="11.25" customHeight="1" x14ac:dyDescent="0.2">
      <c r="A138" s="56">
        <f t="shared" si="44"/>
        <v>43954</v>
      </c>
      <c r="B138" s="620">
        <v>49.81</v>
      </c>
      <c r="C138" s="392"/>
      <c r="D138" s="395">
        <f t="shared" si="24"/>
        <v>50.558594313020791</v>
      </c>
      <c r="E138" s="387">
        <f t="shared" si="45"/>
        <v>56.612431881862967</v>
      </c>
      <c r="F138" s="387">
        <f t="shared" si="25"/>
        <v>56.648586728820725</v>
      </c>
      <c r="G138" s="110">
        <f t="shared" si="46"/>
        <v>0.91620942707518538</v>
      </c>
      <c r="H138" s="416" t="b">
        <f>Wh_hp&gt;='2019'!Maxi_hp</f>
        <v>1</v>
      </c>
      <c r="I138" s="382">
        <f>IF(H138,Wh_hp,'2019'!Maxi_hp)</f>
        <v>56.648586728820725</v>
      </c>
      <c r="J138" s="85">
        <f>IF(H138,An,'2019'!An_max)</f>
        <v>2020</v>
      </c>
      <c r="K138" s="199">
        <f t="shared" si="26"/>
        <v>43954</v>
      </c>
      <c r="L138" s="147">
        <f>IF(t&lt;Tvie,1-EXP((T0-t)*PertePVj)+'2019'!Pspv,1-EXP((T0-t)*PertePVj)+Pspv)</f>
        <v>1.480647006097624E-2</v>
      </c>
      <c r="M138" s="872"/>
      <c r="N138" s="872"/>
      <c r="O138" s="48">
        <f>IF(t&lt;Tnet,'2019'!Resal+('2019'!Salim-'2019'!Resal)*(1-EXP(('2019'!Tnet-t)/('2019'!Tau_j))),Resal+(Salim-Resal)*(1-EXP((Tnet-t)/(Tau_j))))*Salcycl</f>
        <v>0.10693477329281902</v>
      </c>
      <c r="P138" s="171">
        <f>(INDEX(Models!$BJ138:$BT138,,T138)*(1-R138)+INDEX(Models!$BJ138:$BT138,,T138+1)*R138-ERP_i)*Q138*Ramure*Pc/MaxiM</f>
        <v>7.2492175586143432E-4</v>
      </c>
      <c r="Q138" s="307">
        <f t="shared" si="27"/>
        <v>0.9</v>
      </c>
      <c r="R138" s="179">
        <f t="shared" si="28"/>
        <v>0.72458411251702581</v>
      </c>
      <c r="S138" s="839">
        <f t="shared" si="29"/>
        <v>-2</v>
      </c>
      <c r="T138" s="178">
        <f t="shared" si="30"/>
        <v>4</v>
      </c>
      <c r="U138" s="253">
        <f t="shared" si="31"/>
        <v>-1.2754158874829742</v>
      </c>
      <c r="V138" s="385">
        <f t="shared" si="32"/>
        <v>54.360583586260411</v>
      </c>
      <c r="W138" s="404"/>
      <c r="X138" s="157">
        <f t="shared" si="33"/>
        <v>43954</v>
      </c>
      <c r="Y138" s="387">
        <f t="shared" si="34"/>
        <v>49.81</v>
      </c>
      <c r="Z138" s="387">
        <f t="shared" si="35"/>
        <v>50.558594313020791</v>
      </c>
      <c r="AA138" s="388">
        <f t="shared" si="36"/>
        <v>56.612431881862967</v>
      </c>
      <c r="AB138" s="199">
        <f t="shared" si="37"/>
        <v>43954</v>
      </c>
      <c r="AC138" s="119">
        <f>IF(OR(t&lt;Tnet,NoTnet),'2019'!Resal_s+('2019'!Salim-'2019'!Resal_s)*(1-EXP(('2019'!Tnet_s-t)/'2019'!Tau_j)),Resal_s+(Salim-Resal_s)*(1-EXP((Tnet_s-t)/Tau_j)))*Salcycl</f>
        <v>0.10693477329281902</v>
      </c>
      <c r="AD138" s="233">
        <f>(INDEX(Models!$BJ138:$BT138,,AH138)*(1-AF138)+INDEX(Models!$BJ138:$BT138,,AH138+1)*AF138-ERP_i)*AE138*Ramure*Pc/MaxiM</f>
        <v>7.2492175586143432E-4</v>
      </c>
      <c r="AE138" s="307">
        <f t="shared" si="38"/>
        <v>0.9</v>
      </c>
      <c r="AF138" s="179">
        <f t="shared" si="39"/>
        <v>0.72458411251702581</v>
      </c>
      <c r="AG138" s="839">
        <f t="shared" si="47"/>
        <v>-2</v>
      </c>
      <c r="AH138" s="178">
        <f t="shared" si="40"/>
        <v>4</v>
      </c>
      <c r="AI138" s="227">
        <f t="shared" si="41"/>
        <v>-1.2754158874829742</v>
      </c>
      <c r="AJ138" s="267" t="b">
        <f t="shared" si="42"/>
        <v>0</v>
      </c>
      <c r="AK138" s="267" t="b">
        <f t="shared" si="43"/>
        <v>0</v>
      </c>
      <c r="AL138" s="267"/>
      <c r="AM138" s="267"/>
      <c r="AN138" s="75"/>
    </row>
    <row r="139" spans="1:40" s="6" customFormat="1" ht="11.25" customHeight="1" x14ac:dyDescent="0.2">
      <c r="A139" s="56">
        <f t="shared" si="44"/>
        <v>43955</v>
      </c>
      <c r="B139" s="620">
        <v>51.856999999999999</v>
      </c>
      <c r="C139" s="392"/>
      <c r="D139" s="395">
        <f t="shared" si="24"/>
        <v>52.637583622217065</v>
      </c>
      <c r="E139" s="387">
        <f t="shared" si="45"/>
        <v>58.952351174425075</v>
      </c>
      <c r="F139" s="387">
        <f t="shared" si="25"/>
        <v>58.989313810464012</v>
      </c>
      <c r="G139" s="110">
        <f t="shared" si="46"/>
        <v>0.95134448932105375</v>
      </c>
      <c r="H139" s="416" t="b">
        <f>Wh_hp&gt;='2019'!Maxi_hp</f>
        <v>1</v>
      </c>
      <c r="I139" s="382">
        <f>IF(H139,Wh_hp,'2019'!Maxi_hp)</f>
        <v>58.989313810464012</v>
      </c>
      <c r="J139" s="85">
        <f>IF(H139,An,'2019'!An_max)</f>
        <v>2020</v>
      </c>
      <c r="K139" s="199">
        <f t="shared" si="26"/>
        <v>43955</v>
      </c>
      <c r="L139" s="147">
        <f>IF(t&lt;Tvie,1-EXP((T0-t)*PertePVj)+'2019'!Pspv,1-EXP((T0-t)*PertePVj)+Pspv)</f>
        <v>1.4829396953693008E-2</v>
      </c>
      <c r="M139" s="872"/>
      <c r="N139" s="872"/>
      <c r="O139" s="48">
        <f>IF(t&lt;Tnet,'2019'!Resal+('2019'!Salim-'2019'!Resal)*(1-EXP(('2019'!Tnet-t)/('2019'!Tau_j))),Resal+(Salim-Resal)*(1-EXP((Tnet-t)/(Tau_j))))*Salcycl</f>
        <v>0.10711646654302572</v>
      </c>
      <c r="P139" s="171">
        <f>(INDEX(Models!$BJ139:$BT139,,T139)*(1-R139)+INDEX(Models!$BJ139:$BT139,,T139+1)*R139-ERP_i)*Q139*Ramure*Pc/MaxiM</f>
        <v>6.7335983521377943E-4</v>
      </c>
      <c r="Q139" s="307">
        <f t="shared" si="27"/>
        <v>0.9</v>
      </c>
      <c r="R139" s="179">
        <f t="shared" si="28"/>
        <v>0.72888205381023274</v>
      </c>
      <c r="S139" s="839">
        <f t="shared" si="29"/>
        <v>-2</v>
      </c>
      <c r="T139" s="178">
        <f t="shared" si="30"/>
        <v>4</v>
      </c>
      <c r="U139" s="253">
        <f t="shared" si="31"/>
        <v>-1.2711179461897673</v>
      </c>
      <c r="V139" s="385">
        <f t="shared" si="32"/>
        <v>54.50662107905444</v>
      </c>
      <c r="W139" s="404"/>
      <c r="X139" s="157">
        <f t="shared" si="33"/>
        <v>43955</v>
      </c>
      <c r="Y139" s="387">
        <f t="shared" si="34"/>
        <v>51.856999999999999</v>
      </c>
      <c r="Z139" s="387">
        <f t="shared" si="35"/>
        <v>52.637583622217065</v>
      </c>
      <c r="AA139" s="388">
        <f t="shared" si="36"/>
        <v>58.952351174425075</v>
      </c>
      <c r="AB139" s="199">
        <f t="shared" si="37"/>
        <v>43955</v>
      </c>
      <c r="AC139" s="119">
        <f>IF(OR(t&lt;Tnet,NoTnet),'2019'!Resal_s+('2019'!Salim-'2019'!Resal_s)*(1-EXP(('2019'!Tnet_s-t)/'2019'!Tau_j)),Resal_s+(Salim-Resal_s)*(1-EXP((Tnet_s-t)/Tau_j)))*Salcycl</f>
        <v>0.10711646654302572</v>
      </c>
      <c r="AD139" s="233">
        <f>(INDEX(Models!$BJ139:$BT139,,AH139)*(1-AF139)+INDEX(Models!$BJ139:$BT139,,AH139+1)*AF139-ERP_i)*AE139*Ramure*Pc/MaxiM</f>
        <v>6.7335983521377943E-4</v>
      </c>
      <c r="AE139" s="307">
        <f t="shared" si="38"/>
        <v>0.9</v>
      </c>
      <c r="AF139" s="179">
        <f t="shared" si="39"/>
        <v>0.72888205381023274</v>
      </c>
      <c r="AG139" s="839">
        <f t="shared" si="47"/>
        <v>-2</v>
      </c>
      <c r="AH139" s="178">
        <f t="shared" si="40"/>
        <v>4</v>
      </c>
      <c r="AI139" s="227">
        <f t="shared" si="41"/>
        <v>-1.2711179461897673</v>
      </c>
      <c r="AJ139" s="267" t="b">
        <f t="shared" si="42"/>
        <v>0</v>
      </c>
      <c r="AK139" s="267" t="b">
        <f t="shared" si="43"/>
        <v>0</v>
      </c>
      <c r="AL139" s="267"/>
      <c r="AM139" s="267"/>
      <c r="AN139" s="75"/>
    </row>
    <row r="140" spans="1:40" s="6" customFormat="1" ht="11.25" customHeight="1" x14ac:dyDescent="0.2">
      <c r="A140" s="56">
        <f t="shared" si="44"/>
        <v>43956</v>
      </c>
      <c r="B140" s="620">
        <v>47.206000000000003</v>
      </c>
      <c r="C140" s="392"/>
      <c r="D140" s="395">
        <f t="shared" si="24"/>
        <v>47.91768900957566</v>
      </c>
      <c r="E140" s="387">
        <f t="shared" si="45"/>
        <v>53.677251489773205</v>
      </c>
      <c r="F140" s="387">
        <f t="shared" si="25"/>
        <v>53.704283957122257</v>
      </c>
      <c r="G140" s="110">
        <f t="shared" si="46"/>
        <v>0.86375994188922733</v>
      </c>
      <c r="H140" s="416" t="b">
        <f>Wh_hp&gt;='2019'!Maxi_hp</f>
        <v>0</v>
      </c>
      <c r="I140" s="382">
        <f>IF(H140,Wh_hp,'2019'!Maxi_hp)</f>
        <v>64.322746160656237</v>
      </c>
      <c r="J140" s="85">
        <f>IF(H140,An,'2019'!An_max)</f>
        <v>2019</v>
      </c>
      <c r="K140" s="199">
        <f t="shared" si="26"/>
        <v>43956</v>
      </c>
      <c r="L140" s="147">
        <f>IF(t&lt;Tvie,1-EXP((T0-t)*PertePVj)+'2019'!Pspv,1-EXP((T0-t)*PertePVj)+Pspv)</f>
        <v>1.4852323312867566E-2</v>
      </c>
      <c r="M140" s="872"/>
      <c r="N140" s="872"/>
      <c r="O140" s="48">
        <f>IF(t&lt;Tnet,'2019'!Resal+('2019'!Salim-'2019'!Resal)*(1-EXP(('2019'!Tnet-t)/('2019'!Tau_j))),Resal+(Salim-Resal)*(1-EXP((Tnet-t)/(Tau_j))))*Salcycl</f>
        <v>0.10729987695616038</v>
      </c>
      <c r="P140" s="171">
        <f>(INDEX(Models!$BJ140:$BT140,,T140)*(1-R140)+INDEX(Models!$BJ140:$BT140,,T140+1)*R140-ERP_i)*Q140*Ramure*Pc/MaxiM</f>
        <v>6.2488439019536498E-4</v>
      </c>
      <c r="Q140" s="307">
        <f t="shared" si="27"/>
        <v>0.9</v>
      </c>
      <c r="R140" s="179">
        <f t="shared" si="28"/>
        <v>0.73329252891611052</v>
      </c>
      <c r="S140" s="839">
        <f t="shared" si="29"/>
        <v>-2</v>
      </c>
      <c r="T140" s="178">
        <f t="shared" si="30"/>
        <v>4</v>
      </c>
      <c r="U140" s="253">
        <f t="shared" si="31"/>
        <v>-1.2667074710838895</v>
      </c>
      <c r="V140" s="385">
        <f t="shared" si="32"/>
        <v>54.645113804316388</v>
      </c>
      <c r="W140" s="404"/>
      <c r="X140" s="157">
        <f t="shared" si="33"/>
        <v>43956</v>
      </c>
      <c r="Y140" s="387">
        <f t="shared" si="34"/>
        <v>47.206000000000003</v>
      </c>
      <c r="Z140" s="387">
        <f t="shared" si="35"/>
        <v>47.91768900957566</v>
      </c>
      <c r="AA140" s="388">
        <f t="shared" si="36"/>
        <v>53.677251489773205</v>
      </c>
      <c r="AB140" s="199">
        <f t="shared" si="37"/>
        <v>43956</v>
      </c>
      <c r="AC140" s="119">
        <f>IF(OR(t&lt;Tnet,NoTnet),'2019'!Resal_s+('2019'!Salim-'2019'!Resal_s)*(1-EXP(('2019'!Tnet_s-t)/'2019'!Tau_j)),Resal_s+(Salim-Resal_s)*(1-EXP((Tnet_s-t)/Tau_j)))*Salcycl</f>
        <v>0.10729987695616038</v>
      </c>
      <c r="AD140" s="233">
        <f>(INDEX(Models!$BJ140:$BT140,,AH140)*(1-AF140)+INDEX(Models!$BJ140:$BT140,,AH140+1)*AF140-ERP_i)*AE140*Ramure*Pc/MaxiM</f>
        <v>6.2488439019536498E-4</v>
      </c>
      <c r="AE140" s="307">
        <f t="shared" si="38"/>
        <v>0.9</v>
      </c>
      <c r="AF140" s="179">
        <f t="shared" si="39"/>
        <v>0.73329252891611052</v>
      </c>
      <c r="AG140" s="839">
        <f t="shared" si="47"/>
        <v>-2</v>
      </c>
      <c r="AH140" s="178">
        <f t="shared" si="40"/>
        <v>4</v>
      </c>
      <c r="AI140" s="227">
        <f t="shared" si="41"/>
        <v>-1.2667074710838895</v>
      </c>
      <c r="AJ140" s="267" t="b">
        <f t="shared" si="42"/>
        <v>0</v>
      </c>
      <c r="AK140" s="267" t="b">
        <f t="shared" si="43"/>
        <v>0</v>
      </c>
      <c r="AL140" s="267"/>
      <c r="AM140" s="267"/>
      <c r="AN140" s="75"/>
    </row>
    <row r="141" spans="1:40" s="6" customFormat="1" ht="11.25" customHeight="1" x14ac:dyDescent="0.2">
      <c r="A141" s="56">
        <f t="shared" si="44"/>
        <v>43957</v>
      </c>
      <c r="B141" s="620">
        <v>52.371000000000002</v>
      </c>
      <c r="C141" s="392"/>
      <c r="D141" s="395">
        <f t="shared" si="24"/>
        <v>53.161794944449184</v>
      </c>
      <c r="E141" s="387">
        <f t="shared" si="45"/>
        <v>59.564032534785035</v>
      </c>
      <c r="F141" s="387">
        <f t="shared" si="25"/>
        <v>59.596399989587596</v>
      </c>
      <c r="G141" s="110">
        <f t="shared" si="46"/>
        <v>0.95605107784548427</v>
      </c>
      <c r="H141" s="416" t="b">
        <f>Wh_hp&gt;='2019'!Maxi_hp</f>
        <v>1</v>
      </c>
      <c r="I141" s="382">
        <f>IF(H141,Wh_hp,'2019'!Maxi_hp)</f>
        <v>59.596399989587596</v>
      </c>
      <c r="J141" s="85">
        <f>IF(H141,An,'2019'!An_max)</f>
        <v>2020</v>
      </c>
      <c r="K141" s="199">
        <f t="shared" si="26"/>
        <v>43957</v>
      </c>
      <c r="L141" s="147">
        <f>IF(t&lt;Tvie,1-EXP((T0-t)*PertePVj)+'2019'!Pspv,1-EXP((T0-t)*PertePVj)+Pspv)</f>
        <v>1.4875249138512237E-2</v>
      </c>
      <c r="M141" s="872"/>
      <c r="N141" s="872"/>
      <c r="O141" s="48">
        <f>IF(t&lt;Tnet,'2019'!Resal+('2019'!Salim-'2019'!Resal)*(1-EXP(('2019'!Tnet-t)/('2019'!Tau_j))),Resal+(Salim-Resal)*(1-EXP((Tnet-t)/(Tau_j))))*Salcycl</f>
        <v>0.10748495892377637</v>
      </c>
      <c r="P141" s="171">
        <f>(INDEX(Models!$BJ141:$BT141,,T141)*(1-R141)+INDEX(Models!$BJ141:$BT141,,T141+1)*R141-ERP_i)*Q141*Ramure*Pc/MaxiM</f>
        <v>5.7946324061142424E-4</v>
      </c>
      <c r="Q141" s="307">
        <f t="shared" si="27"/>
        <v>0.9</v>
      </c>
      <c r="R141" s="179">
        <f t="shared" si="28"/>
        <v>0.73781614508332383</v>
      </c>
      <c r="S141" s="839">
        <f t="shared" si="29"/>
        <v>-2</v>
      </c>
      <c r="T141" s="178">
        <f t="shared" si="30"/>
        <v>4</v>
      </c>
      <c r="U141" s="253">
        <f t="shared" si="31"/>
        <v>-1.2621838549166762</v>
      </c>
      <c r="V141" s="385">
        <f t="shared" si="32"/>
        <v>54.776461604299094</v>
      </c>
      <c r="W141" s="404"/>
      <c r="X141" s="157">
        <f t="shared" si="33"/>
        <v>43957</v>
      </c>
      <c r="Y141" s="387">
        <f t="shared" si="34"/>
        <v>52.371000000000002</v>
      </c>
      <c r="Z141" s="387">
        <f t="shared" si="35"/>
        <v>53.161794944449184</v>
      </c>
      <c r="AA141" s="388">
        <f t="shared" si="36"/>
        <v>59.564032534785035</v>
      </c>
      <c r="AB141" s="199">
        <f t="shared" si="37"/>
        <v>43957</v>
      </c>
      <c r="AC141" s="119">
        <f>IF(OR(t&lt;Tnet,NoTnet),'2019'!Resal_s+('2019'!Salim-'2019'!Resal_s)*(1-EXP(('2019'!Tnet_s-t)/'2019'!Tau_j)),Resal_s+(Salim-Resal_s)*(1-EXP((Tnet_s-t)/Tau_j)))*Salcycl</f>
        <v>0.10748495892377637</v>
      </c>
      <c r="AD141" s="233">
        <f>(INDEX(Models!$BJ141:$BT141,,AH141)*(1-AF141)+INDEX(Models!$BJ141:$BT141,,AH141+1)*AF141-ERP_i)*AE141*Ramure*Pc/MaxiM</f>
        <v>5.7946324061142424E-4</v>
      </c>
      <c r="AE141" s="307">
        <f t="shared" si="38"/>
        <v>0.9</v>
      </c>
      <c r="AF141" s="179">
        <f t="shared" si="39"/>
        <v>0.73781614508332383</v>
      </c>
      <c r="AG141" s="839">
        <f t="shared" si="47"/>
        <v>-2</v>
      </c>
      <c r="AH141" s="178">
        <f t="shared" si="40"/>
        <v>4</v>
      </c>
      <c r="AI141" s="227">
        <f t="shared" si="41"/>
        <v>-1.2621838549166762</v>
      </c>
      <c r="AJ141" s="267" t="b">
        <f t="shared" si="42"/>
        <v>0</v>
      </c>
      <c r="AK141" s="267" t="b">
        <f t="shared" si="43"/>
        <v>0</v>
      </c>
      <c r="AL141" s="267"/>
      <c r="AM141" s="267"/>
      <c r="AN141" s="75"/>
    </row>
    <row r="142" spans="1:40" s="6" customFormat="1" ht="11.25" customHeight="1" x14ac:dyDescent="0.2">
      <c r="A142" s="56">
        <f t="shared" si="44"/>
        <v>43958</v>
      </c>
      <c r="B142" s="620">
        <v>44.311999999999998</v>
      </c>
      <c r="C142" s="392"/>
      <c r="D142" s="395">
        <f t="shared" si="24"/>
        <v>44.982151945956382</v>
      </c>
      <c r="E142" s="387">
        <f t="shared" si="45"/>
        <v>50.40986598464449</v>
      </c>
      <c r="F142" s="387">
        <f t="shared" si="25"/>
        <v>50.429516918888304</v>
      </c>
      <c r="G142" s="110">
        <f t="shared" si="46"/>
        <v>0.80700559272231109</v>
      </c>
      <c r="H142" s="416" t="b">
        <f>Wh_hp&gt;='2019'!Maxi_hp</f>
        <v>1</v>
      </c>
      <c r="I142" s="382">
        <f>IF(H142,Wh_hp,'2019'!Maxi_hp)</f>
        <v>50.429516918888304</v>
      </c>
      <c r="J142" s="85">
        <f>IF(H142,An,'2019'!An_max)</f>
        <v>2020</v>
      </c>
      <c r="K142" s="199">
        <f t="shared" si="26"/>
        <v>43958</v>
      </c>
      <c r="L142" s="147">
        <f>IF(t&lt;Tvie,1-EXP((T0-t)*PertePVj)+'2019'!Pspv,1-EXP((T0-t)*PertePVj)+Pspv)</f>
        <v>1.4898174430639344E-2</v>
      </c>
      <c r="M142" s="872"/>
      <c r="N142" s="872"/>
      <c r="O142" s="48">
        <f>IF(t&lt;Tnet,'2019'!Resal+('2019'!Salim-'2019'!Resal)*(1-EXP(('2019'!Tnet-t)/('2019'!Tau_j))),Resal+(Salim-Resal)*(1-EXP((Tnet-t)/(Tau_j))))*Salcycl</f>
        <v>0.10767166174060966</v>
      </c>
      <c r="P142" s="171">
        <f>(INDEX(Models!$BJ142:$BT142,,T142)*(1-R142)+INDEX(Models!$BJ142:$BT142,,T142+1)*R142-ERP_i)*Q142*Ramure*Pc/MaxiM</f>
        <v>5.3787479393090152E-4</v>
      </c>
      <c r="Q142" s="307">
        <f t="shared" si="27"/>
        <v>0.9</v>
      </c>
      <c r="R142" s="179">
        <f t="shared" si="28"/>
        <v>0.74245334520071005</v>
      </c>
      <c r="S142" s="839">
        <f t="shared" si="29"/>
        <v>-2</v>
      </c>
      <c r="T142" s="178">
        <f t="shared" si="30"/>
        <v>4</v>
      </c>
      <c r="U142" s="253">
        <f t="shared" si="31"/>
        <v>-1.25754665479929</v>
      </c>
      <c r="V142" s="385">
        <f t="shared" si="32"/>
        <v>54.901020073782398</v>
      </c>
      <c r="W142" s="404"/>
      <c r="X142" s="157">
        <f t="shared" si="33"/>
        <v>43958</v>
      </c>
      <c r="Y142" s="387">
        <f t="shared" si="34"/>
        <v>44.311999999999998</v>
      </c>
      <c r="Z142" s="387">
        <f t="shared" si="35"/>
        <v>44.982151945956382</v>
      </c>
      <c r="AA142" s="388">
        <f t="shared" si="36"/>
        <v>50.40986598464449</v>
      </c>
      <c r="AB142" s="199">
        <f t="shared" si="37"/>
        <v>43958</v>
      </c>
      <c r="AC142" s="119">
        <f>IF(OR(t&lt;Tnet,NoTnet),'2019'!Resal_s+('2019'!Salim-'2019'!Resal_s)*(1-EXP(('2019'!Tnet_s-t)/'2019'!Tau_j)),Resal_s+(Salim-Resal_s)*(1-EXP((Tnet_s-t)/Tau_j)))*Salcycl</f>
        <v>0.10767166174060966</v>
      </c>
      <c r="AD142" s="233">
        <f>(INDEX(Models!$BJ142:$BT142,,AH142)*(1-AF142)+INDEX(Models!$BJ142:$BT142,,AH142+1)*AF142-ERP_i)*AE142*Ramure*Pc/MaxiM</f>
        <v>5.3787479393090152E-4</v>
      </c>
      <c r="AE142" s="307">
        <f t="shared" si="38"/>
        <v>0.9</v>
      </c>
      <c r="AF142" s="179">
        <f t="shared" si="39"/>
        <v>0.74245334520071005</v>
      </c>
      <c r="AG142" s="839">
        <f t="shared" si="47"/>
        <v>-2</v>
      </c>
      <c r="AH142" s="178">
        <f t="shared" si="40"/>
        <v>4</v>
      </c>
      <c r="AI142" s="227">
        <f t="shared" si="41"/>
        <v>-1.25754665479929</v>
      </c>
      <c r="AJ142" s="267" t="b">
        <f t="shared" si="42"/>
        <v>0</v>
      </c>
      <c r="AK142" s="267" t="b">
        <f t="shared" si="43"/>
        <v>0</v>
      </c>
      <c r="AL142" s="267"/>
      <c r="AM142" s="267"/>
      <c r="AN142" s="75"/>
    </row>
    <row r="143" spans="1:40" s="6" customFormat="1" ht="11.25" x14ac:dyDescent="0.2">
      <c r="A143" s="56">
        <f t="shared" si="44"/>
        <v>43959</v>
      </c>
      <c r="B143" s="620">
        <v>47.652000000000001</v>
      </c>
      <c r="C143" s="392"/>
      <c r="D143" s="395">
        <f t="shared" ref="D143:D206" si="48">Wh/(1-Ppv)</f>
        <v>48.373790120549238</v>
      </c>
      <c r="E143" s="387">
        <f t="shared" si="45"/>
        <v>54.222191921128918</v>
      </c>
      <c r="F143" s="387">
        <f t="shared" ref="F143:F206" si="49">Wh_sa/(1-Pvg*MEDIAN((-Sdif+Wh/Env_an)/Csdif,0,1))</f>
        <v>54.244087817030419</v>
      </c>
      <c r="G143" s="110">
        <f t="shared" si="46"/>
        <v>0.86601426825308003</v>
      </c>
      <c r="H143" s="416" t="b">
        <f>Wh_hp&gt;='2019'!Maxi_hp</f>
        <v>1</v>
      </c>
      <c r="I143" s="382">
        <f>IF(H143,Wh_hp,'2019'!Maxi_hp)</f>
        <v>54.244087817030419</v>
      </c>
      <c r="J143" s="85">
        <f>IF(H143,An,'2019'!An_max)</f>
        <v>2020</v>
      </c>
      <c r="K143" s="199">
        <f t="shared" ref="K143:K206" si="50">t</f>
        <v>43959</v>
      </c>
      <c r="L143" s="147">
        <f>IF(t&lt;Tvie,1-EXP((T0-t)*PertePVj)+'2019'!Pspv,1-EXP((T0-t)*PertePVj)+Pspv)</f>
        <v>1.4921099189261544E-2</v>
      </c>
      <c r="M143" s="872"/>
      <c r="N143" s="872"/>
      <c r="O143" s="48">
        <f>IF(t&lt;Tnet,'2019'!Resal+('2019'!Salim-'2019'!Resal)*(1-EXP(('2019'!Tnet-t)/('2019'!Tau_j))),Resal+(Salim-Resal)*(1-EXP((Tnet-t)/(Tau_j))))*Salcycl</f>
        <v>0.10785992954852712</v>
      </c>
      <c r="P143" s="171">
        <f>(INDEX(Models!$BJ143:$BT143,,T143)*(1-R143)+INDEX(Models!$BJ143:$BT143,,T143+1)*R143-ERP_i)*Q143*Ramure*Pc/MaxiM</f>
        <v>4.9913439626399301E-4</v>
      </c>
      <c r="Q143" s="307">
        <f t="shared" ref="Q143:Q206" si="51">IF(OR(t&lt;Ttai,Notai),Dd+PousD*Croivg,Dens+PousD*(Croivg-Croi_tai))</f>
        <v>0.9</v>
      </c>
      <c r="R143" s="179">
        <f t="shared" ref="R143:R206" si="52">(Hp_vg-S143)/(INDEX(Echel_vg,T143+1)-S143)</f>
        <v>0.74720439810499362</v>
      </c>
      <c r="S143" s="839">
        <f t="shared" ref="S143:S206" si="53">INDEX(Echel_vg,T143)</f>
        <v>-2</v>
      </c>
      <c r="T143" s="178">
        <f t="shared" ref="T143:T206" si="54">MIN(MATCH(Hp_vg,Echel_vg),10)</f>
        <v>4</v>
      </c>
      <c r="U143" s="253">
        <f t="shared" ref="U143:U206" si="55">IF(OR(t&lt;Ttai,Notai),Hdd+PousH*Croivg,Hdtf+PousH*(Croivg-Croi_tai))</f>
        <v>-1.2527956018950064</v>
      </c>
      <c r="V143" s="385">
        <f t="shared" ref="V143:V206" si="56">MaxiM*(1-Ppv)*(1-Pvg)*(1-Psa)</f>
        <v>55.019241742330713</v>
      </c>
      <c r="W143" s="404"/>
      <c r="X143" s="157">
        <f t="shared" ref="X143:X206" si="57">t</f>
        <v>43959</v>
      </c>
      <c r="Y143" s="387">
        <f t="shared" ref="Y143:Y206" si="58">Wh_pvt_s*(1-Ppv)</f>
        <v>47.652000000000001</v>
      </c>
      <c r="Z143" s="387">
        <f t="shared" ref="Z143:Z206" si="59">Wh_sa_s*(1-Psa_s)</f>
        <v>48.373790120549238</v>
      </c>
      <c r="AA143" s="388">
        <f t="shared" ref="AA143:AA206" si="60">Wh_hp*(1-Pvg_s*MEDIAN((-Sdif+Wh/Env_an)/Csdif,0,1))</f>
        <v>54.222191921128918</v>
      </c>
      <c r="AB143" s="199">
        <f t="shared" ref="AB143:AB206" si="61">t</f>
        <v>43959</v>
      </c>
      <c r="AC143" s="119">
        <f>IF(OR(t&lt;Tnet,NoTnet),'2019'!Resal_s+('2019'!Salim-'2019'!Resal_s)*(1-EXP(('2019'!Tnet_s-t)/'2019'!Tau_j)),Resal_s+(Salim-Resal_s)*(1-EXP((Tnet_s-t)/Tau_j)))*Salcycl</f>
        <v>0.10785992954852712</v>
      </c>
      <c r="AD143" s="233">
        <f>(INDEX(Models!$BJ143:$BT143,,AH143)*(1-AF143)+INDEX(Models!$BJ143:$BT143,,AH143+1)*AF143-ERP_i)*AE143*Ramure*Pc/MaxiM</f>
        <v>4.9913439626399301E-4</v>
      </c>
      <c r="AE143" s="307">
        <f t="shared" ref="AE143:AE206" si="62">IF(OR(t&lt;Ttai,Notai),Dd_s+PousD*Croivg,Dens_s+PousD*(Croivg-Croi_tai))</f>
        <v>0.9</v>
      </c>
      <c r="AF143" s="179">
        <f t="shared" ref="AF143:AF206" si="63">(Hp_vg_s-AG143)/(INDEX(Echel_vg,AH143+1)-AG143)</f>
        <v>0.74720439810499362</v>
      </c>
      <c r="AG143" s="839">
        <f t="shared" si="47"/>
        <v>-2</v>
      </c>
      <c r="AH143" s="178">
        <f t="shared" ref="AH143:AH206" si="64">MIN(MATCH(Hp_vg_s,Echel_vg),10)</f>
        <v>4</v>
      </c>
      <c r="AI143" s="227">
        <f t="shared" ref="AI143:AI206" si="65">IF(OR(t&lt;Ttai,Notai),Hdd_s+PousH*Croivg,Hdtai_s+PousH*(Croivg-Croi_tai))</f>
        <v>-1.2527956018950064</v>
      </c>
      <c r="AJ143" s="267" t="b">
        <f t="shared" ref="AJ143:AJ206" si="66">t&lt;Tnet</f>
        <v>0</v>
      </c>
      <c r="AK143" s="267" t="b">
        <f t="shared" ref="AK143:AK206" si="67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68">A143+1</f>
        <v>43960</v>
      </c>
      <c r="B144" s="620">
        <v>39.076999999999998</v>
      </c>
      <c r="C144" s="392"/>
      <c r="D144" s="395">
        <f t="shared" si="48"/>
        <v>39.669826820855704</v>
      </c>
      <c r="E144" s="387">
        <f t="shared" ref="E144:E169" si="69">Wh_pvt/(1-Psa)</f>
        <v>44.475378144551968</v>
      </c>
      <c r="F144" s="387">
        <f t="shared" si="49"/>
        <v>44.487412893988662</v>
      </c>
      <c r="G144" s="110">
        <f t="shared" ref="G144:G169" si="70">+Wh_hp/MaxiM</f>
        <v>0.70865927628611669</v>
      </c>
      <c r="H144" s="416" t="b">
        <f>Wh_hp&gt;='2019'!Maxi_hp</f>
        <v>1</v>
      </c>
      <c r="I144" s="382">
        <f>IF(H144,Wh_hp,'2019'!Maxi_hp)</f>
        <v>44.487412893988662</v>
      </c>
      <c r="J144" s="85">
        <f>IF(H144,An,'2019'!An_max)</f>
        <v>2020</v>
      </c>
      <c r="K144" s="199">
        <f t="shared" si="50"/>
        <v>43960</v>
      </c>
      <c r="L144" s="147">
        <f>IF(t&lt;Tvie,1-EXP((T0-t)*PertePVj)+'2019'!Pspv,1-EXP((T0-t)*PertePVj)+Pspv)</f>
        <v>1.494402341439105E-2</v>
      </c>
      <c r="M144" s="872"/>
      <c r="N144" s="872"/>
      <c r="O144" s="48">
        <f>IF(t&lt;Tnet,'2019'!Resal+('2019'!Salim-'2019'!Resal)*(1-EXP(('2019'!Tnet-t)/('2019'!Tau_j))),Resal+(Salim-Resal)*(1-EXP((Tnet-t)/(Tau_j))))*Salcycl</f>
        <v>0.10804970129939007</v>
      </c>
      <c r="P144" s="171">
        <f>(INDEX(Models!$BJ144:$BT144,,T144)*(1-R144)+INDEX(Models!$BJ144:$BT144,,T144+1)*R144-ERP_i)*Q144*Ramure*Pc/MaxiM</f>
        <v>4.6322438081964734E-4</v>
      </c>
      <c r="Q144" s="307">
        <f t="shared" si="51"/>
        <v>0.9</v>
      </c>
      <c r="R144" s="179">
        <f t="shared" si="52"/>
        <v>0.75206938907039911</v>
      </c>
      <c r="S144" s="839">
        <f t="shared" si="53"/>
        <v>-2</v>
      </c>
      <c r="T144" s="178">
        <f t="shared" si="54"/>
        <v>4</v>
      </c>
      <c r="U144" s="253">
        <f t="shared" si="55"/>
        <v>-1.2479306109296009</v>
      </c>
      <c r="V144" s="385">
        <f t="shared" si="56"/>
        <v>55.131526494298377</v>
      </c>
      <c r="W144" s="404"/>
      <c r="X144" s="157">
        <f t="shared" si="57"/>
        <v>43960</v>
      </c>
      <c r="Y144" s="387">
        <f t="shared" si="58"/>
        <v>39.076999999999998</v>
      </c>
      <c r="Z144" s="387">
        <f t="shared" si="59"/>
        <v>39.669826820855704</v>
      </c>
      <c r="AA144" s="388">
        <f t="shared" si="60"/>
        <v>44.475378144551968</v>
      </c>
      <c r="AB144" s="199">
        <f t="shared" si="61"/>
        <v>43960</v>
      </c>
      <c r="AC144" s="119">
        <f>IF(OR(t&lt;Tnet,NoTnet),'2019'!Resal_s+('2019'!Salim-'2019'!Resal_s)*(1-EXP(('2019'!Tnet_s-t)/'2019'!Tau_j)),Resal_s+(Salim-Resal_s)*(1-EXP((Tnet_s-t)/Tau_j)))*Salcycl</f>
        <v>0.10804970129939007</v>
      </c>
      <c r="AD144" s="233">
        <f>(INDEX(Models!$BJ144:$BT144,,AH144)*(1-AF144)+INDEX(Models!$BJ144:$BT144,,AH144+1)*AF144-ERP_i)*AE144*Ramure*Pc/MaxiM</f>
        <v>4.6322438081964734E-4</v>
      </c>
      <c r="AE144" s="307">
        <f t="shared" si="62"/>
        <v>0.9</v>
      </c>
      <c r="AF144" s="179">
        <f t="shared" si="63"/>
        <v>0.75206938907039911</v>
      </c>
      <c r="AG144" s="839">
        <f t="shared" ref="AG144:AG207" si="71">INDEX(Echel_vg,AH144)</f>
        <v>-2</v>
      </c>
      <c r="AH144" s="178">
        <f t="shared" si="64"/>
        <v>4</v>
      </c>
      <c r="AI144" s="227">
        <f t="shared" si="65"/>
        <v>-1.2479306109296009</v>
      </c>
      <c r="AJ144" s="267" t="b">
        <f t="shared" si="66"/>
        <v>0</v>
      </c>
      <c r="AK144" s="267" t="b">
        <f t="shared" si="67"/>
        <v>0</v>
      </c>
      <c r="AL144" s="267"/>
      <c r="AM144" s="267"/>
      <c r="AN144" s="75"/>
    </row>
    <row r="145" spans="1:40" s="6" customFormat="1" ht="11.25" customHeight="1" x14ac:dyDescent="0.2">
      <c r="A145" s="56">
        <f t="shared" si="68"/>
        <v>43961</v>
      </c>
      <c r="B145" s="620">
        <v>12.641</v>
      </c>
      <c r="C145" s="392"/>
      <c r="D145" s="395">
        <f t="shared" si="48"/>
        <v>12.833071908461962</v>
      </c>
      <c r="E145" s="387">
        <f t="shared" si="69"/>
        <v>14.390738555958524</v>
      </c>
      <c r="F145" s="387">
        <f t="shared" si="49"/>
        <v>14.390738555958524</v>
      </c>
      <c r="G145" s="110">
        <f t="shared" si="70"/>
        <v>0.22874651490634185</v>
      </c>
      <c r="H145" s="416" t="b">
        <f>Wh_hp&gt;='2019'!Maxi_hp</f>
        <v>0</v>
      </c>
      <c r="I145" s="382">
        <f>IF(H145,Wh_hp,'2019'!Maxi_hp)</f>
        <v>40.354955774710767</v>
      </c>
      <c r="J145" s="85">
        <f>IF(H145,An,'2019'!An_max)</f>
        <v>2019</v>
      </c>
      <c r="K145" s="199">
        <f t="shared" si="50"/>
        <v>43961</v>
      </c>
      <c r="L145" s="147">
        <f>IF(t&lt;Tvie,1-EXP((T0-t)*PertePVj)+'2019'!Pspv,1-EXP((T0-t)*PertePVj)+Pspv)</f>
        <v>1.4966947106040296E-2</v>
      </c>
      <c r="M145" s="872"/>
      <c r="N145" s="872"/>
      <c r="O145" s="48">
        <f>IF(t&lt;Tnet,'2019'!Resal+('2019'!Salim-'2019'!Resal)*(1-EXP(('2019'!Tnet-t)/('2019'!Tau_j))),Resal+(Salim-Resal)*(1-EXP((Tnet-t)/(Tau_j))))*Salcycl</f>
        <v>0.10824091073849768</v>
      </c>
      <c r="P145" s="171">
        <f>(INDEX(Models!$BJ145:$BT145,,T145)*(1-R145)+INDEX(Models!$BJ145:$BT145,,T145+1)*R145-ERP_i)*Q145*Ramure*Pc/MaxiM</f>
        <v>4.3013129167367105E-4</v>
      </c>
      <c r="Q145" s="307">
        <f t="shared" si="51"/>
        <v>0.9</v>
      </c>
      <c r="R145" s="179">
        <f t="shared" si="52"/>
        <v>0.75704821055210902</v>
      </c>
      <c r="S145" s="839">
        <f t="shared" si="53"/>
        <v>-2</v>
      </c>
      <c r="T145" s="178">
        <f t="shared" si="54"/>
        <v>4</v>
      </c>
      <c r="U145" s="253">
        <f t="shared" si="55"/>
        <v>-1.242951789447891</v>
      </c>
      <c r="V145" s="385">
        <f t="shared" si="56"/>
        <v>55.238274189731229</v>
      </c>
      <c r="W145" s="404"/>
      <c r="X145" s="157">
        <f t="shared" si="57"/>
        <v>43961</v>
      </c>
      <c r="Y145" s="387">
        <f t="shared" si="58"/>
        <v>12.641</v>
      </c>
      <c r="Z145" s="387">
        <f t="shared" si="59"/>
        <v>12.833071908461962</v>
      </c>
      <c r="AA145" s="388">
        <f t="shared" si="60"/>
        <v>14.390738555958524</v>
      </c>
      <c r="AB145" s="199">
        <f t="shared" si="61"/>
        <v>43961</v>
      </c>
      <c r="AC145" s="119">
        <f>IF(OR(t&lt;Tnet,NoTnet),'2019'!Resal_s+('2019'!Salim-'2019'!Resal_s)*(1-EXP(('2019'!Tnet_s-t)/'2019'!Tau_j)),Resal_s+(Salim-Resal_s)*(1-EXP((Tnet_s-t)/Tau_j)))*Salcycl</f>
        <v>0.10824091073849768</v>
      </c>
      <c r="AD145" s="233">
        <f>(INDEX(Models!$BJ145:$BT145,,AH145)*(1-AF145)+INDEX(Models!$BJ145:$BT145,,AH145+1)*AF145-ERP_i)*AE145*Ramure*Pc/MaxiM</f>
        <v>4.3013129167367105E-4</v>
      </c>
      <c r="AE145" s="307">
        <f t="shared" si="62"/>
        <v>0.9</v>
      </c>
      <c r="AF145" s="179">
        <f t="shared" si="63"/>
        <v>0.75704821055210902</v>
      </c>
      <c r="AG145" s="839">
        <f t="shared" si="71"/>
        <v>-2</v>
      </c>
      <c r="AH145" s="178">
        <f t="shared" si="64"/>
        <v>4</v>
      </c>
      <c r="AI145" s="227">
        <f t="shared" si="65"/>
        <v>-1.242951789447891</v>
      </c>
      <c r="AJ145" s="267" t="b">
        <f t="shared" si="66"/>
        <v>0</v>
      </c>
      <c r="AK145" s="267" t="b">
        <f t="shared" si="67"/>
        <v>0</v>
      </c>
      <c r="AL145" s="267"/>
      <c r="AM145" s="267"/>
      <c r="AN145" s="75"/>
    </row>
    <row r="146" spans="1:40" s="6" customFormat="1" ht="11.25" customHeight="1" x14ac:dyDescent="0.2">
      <c r="A146" s="56">
        <f t="shared" si="68"/>
        <v>43962</v>
      </c>
      <c r="B146" s="620">
        <v>10.058</v>
      </c>
      <c r="C146" s="392"/>
      <c r="D146" s="395">
        <f t="shared" si="48"/>
        <v>10.21106250216735</v>
      </c>
      <c r="E146" s="387">
        <f t="shared" si="69"/>
        <v>11.452945289581773</v>
      </c>
      <c r="F146" s="387">
        <f t="shared" si="49"/>
        <v>11.452945289581773</v>
      </c>
      <c r="G146" s="110">
        <f t="shared" si="70"/>
        <v>0.18167689388725858</v>
      </c>
      <c r="H146" s="416" t="b">
        <f>Wh_hp&gt;='2019'!Maxi_hp</f>
        <v>0</v>
      </c>
      <c r="I146" s="382">
        <f>IF(H146,Wh_hp,'2019'!Maxi_hp)</f>
        <v>58.685038325386628</v>
      </c>
      <c r="J146" s="85">
        <f>IF(H146,An,'2019'!An_max)</f>
        <v>2019</v>
      </c>
      <c r="K146" s="199">
        <f t="shared" si="50"/>
        <v>43962</v>
      </c>
      <c r="L146" s="147">
        <f>IF(t&lt;Tvie,1-EXP((T0-t)*PertePVj)+'2019'!Pspv,1-EXP((T0-t)*PertePVj)+Pspv)</f>
        <v>1.4989870264221827E-2</v>
      </c>
      <c r="M146" s="872"/>
      <c r="N146" s="872"/>
      <c r="O146" s="48">
        <f>IF(t&lt;Tnet,'2019'!Resal+('2019'!Salim-'2019'!Resal)*(1-EXP(('2019'!Tnet-t)/('2019'!Tau_j))),Resal+(Salim-Resal)*(1-EXP((Tnet-t)/(Tau_j))))*Salcycl</f>
        <v>0.10843348641018202</v>
      </c>
      <c r="P146" s="171">
        <f>(INDEX(Models!$BJ146:$BT146,,T146)*(1-R146)+INDEX(Models!$BJ146:$BT146,,T146+1)*R146-ERP_i)*Q146*Ramure*Pc/MaxiM</f>
        <v>3.9984563556523837E-4</v>
      </c>
      <c r="Q146" s="307">
        <f t="shared" si="51"/>
        <v>0.9</v>
      </c>
      <c r="R146" s="179">
        <f t="shared" si="52"/>
        <v>0.76214055325906926</v>
      </c>
      <c r="S146" s="839">
        <f t="shared" si="53"/>
        <v>-2</v>
      </c>
      <c r="T146" s="178">
        <f t="shared" si="54"/>
        <v>4</v>
      </c>
      <c r="U146" s="253">
        <f t="shared" si="55"/>
        <v>-1.2378594467409307</v>
      </c>
      <c r="V146" s="385">
        <f t="shared" si="56"/>
        <v>55.339884657190261</v>
      </c>
      <c r="W146" s="404"/>
      <c r="X146" s="157">
        <f t="shared" si="57"/>
        <v>43962</v>
      </c>
      <c r="Y146" s="387">
        <f t="shared" si="58"/>
        <v>10.058</v>
      </c>
      <c r="Z146" s="387">
        <f t="shared" si="59"/>
        <v>10.21106250216735</v>
      </c>
      <c r="AA146" s="388">
        <f t="shared" si="60"/>
        <v>11.452945289581773</v>
      </c>
      <c r="AB146" s="199">
        <f t="shared" si="61"/>
        <v>43962</v>
      </c>
      <c r="AC146" s="119">
        <f>IF(OR(t&lt;Tnet,NoTnet),'2019'!Resal_s+('2019'!Salim-'2019'!Resal_s)*(1-EXP(('2019'!Tnet_s-t)/'2019'!Tau_j)),Resal_s+(Salim-Resal_s)*(1-EXP((Tnet_s-t)/Tau_j)))*Salcycl</f>
        <v>0.10843348641018202</v>
      </c>
      <c r="AD146" s="233">
        <f>(INDEX(Models!$BJ146:$BT146,,AH146)*(1-AF146)+INDEX(Models!$BJ146:$BT146,,AH146+1)*AF146-ERP_i)*AE146*Ramure*Pc/MaxiM</f>
        <v>3.9984563556523837E-4</v>
      </c>
      <c r="AE146" s="307">
        <f t="shared" si="62"/>
        <v>0.9</v>
      </c>
      <c r="AF146" s="179">
        <f t="shared" si="63"/>
        <v>0.76214055325906926</v>
      </c>
      <c r="AG146" s="839">
        <f t="shared" si="71"/>
        <v>-2</v>
      </c>
      <c r="AH146" s="178">
        <f t="shared" si="64"/>
        <v>4</v>
      </c>
      <c r="AI146" s="227">
        <f t="shared" si="65"/>
        <v>-1.2378594467409307</v>
      </c>
      <c r="AJ146" s="267" t="b">
        <f t="shared" si="66"/>
        <v>0</v>
      </c>
      <c r="AK146" s="267" t="b">
        <f t="shared" si="67"/>
        <v>0</v>
      </c>
      <c r="AL146" s="267"/>
      <c r="AM146" s="267"/>
      <c r="AN146" s="75"/>
    </row>
    <row r="147" spans="1:40" s="6" customFormat="1" ht="11.25" customHeight="1" x14ac:dyDescent="0.2">
      <c r="A147" s="56">
        <f t="shared" si="68"/>
        <v>43963</v>
      </c>
      <c r="B147" s="620">
        <v>19.585999999999999</v>
      </c>
      <c r="C147" s="392"/>
      <c r="D147" s="395">
        <f t="shared" si="48"/>
        <v>19.884522213689809</v>
      </c>
      <c r="E147" s="387">
        <f t="shared" si="69"/>
        <v>22.307754507975201</v>
      </c>
      <c r="F147" s="387">
        <f t="shared" si="49"/>
        <v>22.308387051936972</v>
      </c>
      <c r="G147" s="110">
        <f t="shared" si="70"/>
        <v>0.35318194826950655</v>
      </c>
      <c r="H147" s="416" t="b">
        <f>Wh_hp&gt;='2019'!Maxi_hp</f>
        <v>0</v>
      </c>
      <c r="I147" s="382">
        <f>IF(H147,Wh_hp,'2019'!Maxi_hp)</f>
        <v>65.198747930481261</v>
      </c>
      <c r="J147" s="85">
        <f>IF(H147,An,'2019'!An_max)</f>
        <v>2019</v>
      </c>
      <c r="K147" s="199">
        <f t="shared" si="50"/>
        <v>43963</v>
      </c>
      <c r="L147" s="147">
        <f>IF(t&lt;Tvie,1-EXP((T0-t)*PertePVj)+'2019'!Pspv,1-EXP((T0-t)*PertePVj)+Pspv)</f>
        <v>1.5012792888947968E-2</v>
      </c>
      <c r="M147" s="872"/>
      <c r="N147" s="872"/>
      <c r="O147" s="48">
        <f>IF(t&lt;Tnet,'2019'!Resal+('2019'!Salim-'2019'!Resal)*(1-EXP(('2019'!Tnet-t)/('2019'!Tau_j))),Resal+(Salim-Resal)*(1-EXP((Tnet-t)/(Tau_j))))*Salcycl</f>
        <v>0.10862735168701386</v>
      </c>
      <c r="P147" s="171">
        <f>(INDEX(Models!$BJ147:$BT147,,T147)*(1-R147)+INDEX(Models!$BJ147:$BT147,,T147+1)*R147-ERP_i)*Q147*Ramure*Pc/MaxiM</f>
        <v>3.7236163906431555E-4</v>
      </c>
      <c r="Q147" s="307">
        <f t="shared" si="51"/>
        <v>0.9</v>
      </c>
      <c r="R147" s="179">
        <f t="shared" si="52"/>
        <v>0.76734589763470229</v>
      </c>
      <c r="S147" s="839">
        <f t="shared" si="53"/>
        <v>-2</v>
      </c>
      <c r="T147" s="178">
        <f t="shared" si="54"/>
        <v>4</v>
      </c>
      <c r="U147" s="253">
        <f t="shared" si="55"/>
        <v>-1.2326541023652977</v>
      </c>
      <c r="V147" s="385">
        <f t="shared" si="56"/>
        <v>55.4367576875323</v>
      </c>
      <c r="W147" s="404"/>
      <c r="X147" s="157">
        <f t="shared" si="57"/>
        <v>43963</v>
      </c>
      <c r="Y147" s="387">
        <f t="shared" si="58"/>
        <v>19.585999999999999</v>
      </c>
      <c r="Z147" s="387">
        <f t="shared" si="59"/>
        <v>19.884522213689809</v>
      </c>
      <c r="AA147" s="388">
        <f t="shared" si="60"/>
        <v>22.307754507975201</v>
      </c>
      <c r="AB147" s="199">
        <f t="shared" si="61"/>
        <v>43963</v>
      </c>
      <c r="AC147" s="119">
        <f>IF(OR(t&lt;Tnet,NoTnet),'2019'!Resal_s+('2019'!Salim-'2019'!Resal_s)*(1-EXP(('2019'!Tnet_s-t)/'2019'!Tau_j)),Resal_s+(Salim-Resal_s)*(1-EXP((Tnet_s-t)/Tau_j)))*Salcycl</f>
        <v>0.10862735168701386</v>
      </c>
      <c r="AD147" s="233">
        <f>(INDEX(Models!$BJ147:$BT147,,AH147)*(1-AF147)+INDEX(Models!$BJ147:$BT147,,AH147+1)*AF147-ERP_i)*AE147*Ramure*Pc/MaxiM</f>
        <v>3.7236163906431555E-4</v>
      </c>
      <c r="AE147" s="307">
        <f t="shared" si="62"/>
        <v>0.9</v>
      </c>
      <c r="AF147" s="179">
        <f t="shared" si="63"/>
        <v>0.76734589763470229</v>
      </c>
      <c r="AG147" s="839">
        <f t="shared" si="71"/>
        <v>-2</v>
      </c>
      <c r="AH147" s="178">
        <f t="shared" si="64"/>
        <v>4</v>
      </c>
      <c r="AI147" s="227">
        <f t="shared" si="65"/>
        <v>-1.2326541023652977</v>
      </c>
      <c r="AJ147" s="267" t="b">
        <f t="shared" si="66"/>
        <v>0</v>
      </c>
      <c r="AK147" s="267" t="b">
        <f t="shared" si="67"/>
        <v>0</v>
      </c>
      <c r="AL147" s="267"/>
      <c r="AM147" s="267"/>
      <c r="AN147" s="75"/>
    </row>
    <row r="148" spans="1:40" s="6" customFormat="1" ht="11.25" customHeight="1" x14ac:dyDescent="0.2">
      <c r="A148" s="56">
        <f t="shared" si="68"/>
        <v>43964</v>
      </c>
      <c r="B148" s="620">
        <v>33.831000000000003</v>
      </c>
      <c r="C148" s="392"/>
      <c r="D148" s="395">
        <f t="shared" si="48"/>
        <v>34.347438292466606</v>
      </c>
      <c r="E148" s="387">
        <f t="shared" si="69"/>
        <v>38.541632160886778</v>
      </c>
      <c r="F148" s="387">
        <f t="shared" si="49"/>
        <v>38.547552939825238</v>
      </c>
      <c r="G148" s="110">
        <f t="shared" si="70"/>
        <v>0.60912774544578885</v>
      </c>
      <c r="H148" s="416" t="b">
        <f>Wh_hp&gt;='2019'!Maxi_hp</f>
        <v>0</v>
      </c>
      <c r="I148" s="382">
        <f>IF(H148,Wh_hp,'2019'!Maxi_hp)</f>
        <v>63.557422198043149</v>
      </c>
      <c r="J148" s="85">
        <f>IF(H148,An,'2019'!An_max)</f>
        <v>2019</v>
      </c>
      <c r="K148" s="199">
        <f t="shared" si="50"/>
        <v>43964</v>
      </c>
      <c r="L148" s="147">
        <f>IF(t&lt;Tvie,1-EXP((T0-t)*PertePVj)+'2019'!Pspv,1-EXP((T0-t)*PertePVj)+Pspv)</f>
        <v>1.5035714980231152E-2</v>
      </c>
      <c r="M148" s="872"/>
      <c r="N148" s="872"/>
      <c r="O148" s="48">
        <f>IF(t&lt;Tnet,'2019'!Resal+('2019'!Salim-'2019'!Resal)*(1-EXP(('2019'!Tnet-t)/('2019'!Tau_j))),Resal+(Salim-Resal)*(1-EXP((Tnet-t)/(Tau_j))))*Salcycl</f>
        <v>0.10882242482394305</v>
      </c>
      <c r="P148" s="171">
        <f>(INDEX(Models!$BJ148:$BT148,,T148)*(1-R148)+INDEX(Models!$BJ148:$BT148,,T148+1)*R148-ERP_i)*Q148*Ramure*Pc/MaxiM</f>
        <v>3.4767700925243845E-4</v>
      </c>
      <c r="Q148" s="307">
        <f t="shared" si="51"/>
        <v>0.9</v>
      </c>
      <c r="R148" s="179">
        <f t="shared" si="52"/>
        <v>0.77266350582654564</v>
      </c>
      <c r="S148" s="839">
        <f t="shared" si="53"/>
        <v>-2</v>
      </c>
      <c r="T148" s="178">
        <f t="shared" si="54"/>
        <v>4</v>
      </c>
      <c r="U148" s="253">
        <f t="shared" si="55"/>
        <v>-1.2273364941734544</v>
      </c>
      <c r="V148" s="385">
        <f t="shared" si="56"/>
        <v>55.529293017855302</v>
      </c>
      <c r="W148" s="404"/>
      <c r="X148" s="157">
        <f t="shared" si="57"/>
        <v>43964</v>
      </c>
      <c r="Y148" s="387">
        <f t="shared" si="58"/>
        <v>33.831000000000003</v>
      </c>
      <c r="Z148" s="387">
        <f t="shared" si="59"/>
        <v>34.347438292466606</v>
      </c>
      <c r="AA148" s="388">
        <f t="shared" si="60"/>
        <v>38.541632160886778</v>
      </c>
      <c r="AB148" s="199">
        <f t="shared" si="61"/>
        <v>43964</v>
      </c>
      <c r="AC148" s="119">
        <f>IF(OR(t&lt;Tnet,NoTnet),'2019'!Resal_s+('2019'!Salim-'2019'!Resal_s)*(1-EXP(('2019'!Tnet_s-t)/'2019'!Tau_j)),Resal_s+(Salim-Resal_s)*(1-EXP((Tnet_s-t)/Tau_j)))*Salcycl</f>
        <v>0.10882242482394305</v>
      </c>
      <c r="AD148" s="233">
        <f>(INDEX(Models!$BJ148:$BT148,,AH148)*(1-AF148)+INDEX(Models!$BJ148:$BT148,,AH148+1)*AF148-ERP_i)*AE148*Ramure*Pc/MaxiM</f>
        <v>3.4767700925243845E-4</v>
      </c>
      <c r="AE148" s="307">
        <f t="shared" si="62"/>
        <v>0.9</v>
      </c>
      <c r="AF148" s="179">
        <f t="shared" si="63"/>
        <v>0.77266350582654564</v>
      </c>
      <c r="AG148" s="839">
        <f t="shared" si="71"/>
        <v>-2</v>
      </c>
      <c r="AH148" s="178">
        <f t="shared" si="64"/>
        <v>4</v>
      </c>
      <c r="AI148" s="227">
        <f t="shared" si="65"/>
        <v>-1.2273364941734544</v>
      </c>
      <c r="AJ148" s="267" t="b">
        <f t="shared" si="66"/>
        <v>0</v>
      </c>
      <c r="AK148" s="267" t="b">
        <f t="shared" si="67"/>
        <v>0</v>
      </c>
      <c r="AL148" s="267"/>
      <c r="AM148" s="267"/>
      <c r="AN148" s="75"/>
    </row>
    <row r="149" spans="1:40" s="6" customFormat="1" ht="11.25" customHeight="1" x14ac:dyDescent="0.2">
      <c r="A149" s="56">
        <f t="shared" si="68"/>
        <v>43965</v>
      </c>
      <c r="B149" s="620">
        <v>14.372</v>
      </c>
      <c r="C149" s="392"/>
      <c r="D149" s="395">
        <f t="shared" si="48"/>
        <v>14.591731582360039</v>
      </c>
      <c r="E149" s="387">
        <f t="shared" si="69"/>
        <v>16.377145352481016</v>
      </c>
      <c r="F149" s="387">
        <f t="shared" si="49"/>
        <v>16.377145352481016</v>
      </c>
      <c r="G149" s="110">
        <f t="shared" si="70"/>
        <v>0.25832940181236647</v>
      </c>
      <c r="H149" s="416" t="b">
        <f>Wh_hp&gt;='2019'!Maxi_hp</f>
        <v>0</v>
      </c>
      <c r="I149" s="382">
        <f>IF(H149,Wh_hp,'2019'!Maxi_hp)</f>
        <v>64.50696341655771</v>
      </c>
      <c r="J149" s="85">
        <f>IF(H149,An,'2019'!An_max)</f>
        <v>2019</v>
      </c>
      <c r="K149" s="199">
        <f t="shared" si="50"/>
        <v>43965</v>
      </c>
      <c r="L149" s="147">
        <f>IF(t&lt;Tvie,1-EXP((T0-t)*PertePVj)+'2019'!Pspv,1-EXP((T0-t)*PertePVj)+Pspv)</f>
        <v>1.5058636538083814E-2</v>
      </c>
      <c r="M149" s="872"/>
      <c r="N149" s="872"/>
      <c r="O149" s="48">
        <f>IF(t&lt;Tnet,'2019'!Resal+('2019'!Salim-'2019'!Resal)*(1-EXP(('2019'!Tnet-t)/('2019'!Tau_j))),Resal+(Salim-Resal)*(1-EXP((Tnet-t)/(Tau_j))))*Salcycl</f>
        <v>0.10901861903854319</v>
      </c>
      <c r="P149" s="171">
        <f>(INDEX(Models!$BJ149:$BT149,,T149)*(1-R149)+INDEX(Models!$BJ149:$BT149,,T149+1)*R149-ERP_i)*Q149*Ramure*Pc/MaxiM</f>
        <v>3.2580218883920429E-4</v>
      </c>
      <c r="Q149" s="307">
        <f t="shared" si="51"/>
        <v>0.9</v>
      </c>
      <c r="R149" s="179">
        <f t="shared" si="52"/>
        <v>0.77809241422760111</v>
      </c>
      <c r="S149" s="839">
        <f t="shared" si="53"/>
        <v>-2</v>
      </c>
      <c r="T149" s="178">
        <f t="shared" si="54"/>
        <v>4</v>
      </c>
      <c r="U149" s="253">
        <f t="shared" si="55"/>
        <v>-1.2219075857723989</v>
      </c>
      <c r="V149" s="385">
        <f t="shared" si="56"/>
        <v>55.616269267628631</v>
      </c>
      <c r="W149" s="404"/>
      <c r="X149" s="157">
        <f t="shared" si="57"/>
        <v>43965</v>
      </c>
      <c r="Y149" s="387">
        <f t="shared" si="58"/>
        <v>14.372000000000002</v>
      </c>
      <c r="Z149" s="387">
        <f t="shared" si="59"/>
        <v>14.59173158236004</v>
      </c>
      <c r="AA149" s="388">
        <f t="shared" si="60"/>
        <v>16.377145352481016</v>
      </c>
      <c r="AB149" s="199">
        <f t="shared" si="61"/>
        <v>43965</v>
      </c>
      <c r="AC149" s="119">
        <f>IF(OR(t&lt;Tnet,NoTnet),'2019'!Resal_s+('2019'!Salim-'2019'!Resal_s)*(1-EXP(('2019'!Tnet_s-t)/'2019'!Tau_j)),Resal_s+(Salim-Resal_s)*(1-EXP((Tnet_s-t)/Tau_j)))*Salcycl</f>
        <v>0.10901861903854319</v>
      </c>
      <c r="AD149" s="233">
        <f>(INDEX(Models!$BJ149:$BT149,,AH149)*(1-AF149)+INDEX(Models!$BJ149:$BT149,,AH149+1)*AF149-ERP_i)*AE149*Ramure*Pc/MaxiM</f>
        <v>3.2580218883920429E-4</v>
      </c>
      <c r="AE149" s="307">
        <f t="shared" si="62"/>
        <v>0.9</v>
      </c>
      <c r="AF149" s="179">
        <f t="shared" si="63"/>
        <v>0.77809241422760111</v>
      </c>
      <c r="AG149" s="839">
        <f t="shared" si="71"/>
        <v>-2</v>
      </c>
      <c r="AH149" s="178">
        <f t="shared" si="64"/>
        <v>4</v>
      </c>
      <c r="AI149" s="227">
        <f t="shared" si="65"/>
        <v>-1.2219075857723989</v>
      </c>
      <c r="AJ149" s="267" t="b">
        <f t="shared" si="66"/>
        <v>0</v>
      </c>
      <c r="AK149" s="267" t="b">
        <f t="shared" si="67"/>
        <v>0</v>
      </c>
      <c r="AL149" s="267"/>
      <c r="AM149" s="267"/>
      <c r="AN149" s="75"/>
    </row>
    <row r="150" spans="1:40" s="6" customFormat="1" ht="11.25" customHeight="1" x14ac:dyDescent="0.2">
      <c r="A150" s="56">
        <f t="shared" si="68"/>
        <v>43966</v>
      </c>
      <c r="B150" s="620">
        <v>19.161999999999999</v>
      </c>
      <c r="C150" s="392"/>
      <c r="D150" s="395">
        <f t="shared" si="48"/>
        <v>19.455418006568923</v>
      </c>
      <c r="E150" s="387">
        <f t="shared" si="69"/>
        <v>21.840776854132464</v>
      </c>
      <c r="F150" s="387">
        <f t="shared" si="49"/>
        <v>21.841198544426476</v>
      </c>
      <c r="G150" s="110">
        <f t="shared" si="70"/>
        <v>0.34394487913067567</v>
      </c>
      <c r="H150" s="416" t="b">
        <f>Wh_hp&gt;='2019'!Maxi_hp</f>
        <v>0</v>
      </c>
      <c r="I150" s="382">
        <f>IF(H150,Wh_hp,'2019'!Maxi_hp)</f>
        <v>53.412009546178766</v>
      </c>
      <c r="J150" s="85">
        <f>IF(H150,An,'2019'!An_max)</f>
        <v>2019</v>
      </c>
      <c r="K150" s="199">
        <f t="shared" si="50"/>
        <v>43966</v>
      </c>
      <c r="L150" s="147">
        <f>IF(t&lt;Tvie,1-EXP((T0-t)*PertePVj)+'2019'!Pspv,1-EXP((T0-t)*PertePVj)+Pspv)</f>
        <v>1.5081557562518277E-2</v>
      </c>
      <c r="M150" s="872"/>
      <c r="N150" s="872"/>
      <c r="O150" s="48">
        <f>IF(t&lt;Tnet,'2019'!Resal+('2019'!Salim-'2019'!Resal)*(1-EXP(('2019'!Tnet-t)/('2019'!Tau_j))),Resal+(Salim-Resal)*(1-EXP((Tnet-t)/(Tau_j))))*Salcycl</f>
        <v>0.10921584261835501</v>
      </c>
      <c r="P150" s="171">
        <f>(INDEX(Models!$BJ150:$BT150,,T150)*(1-R150)+INDEX(Models!$BJ150:$BT150,,T150+1)*R150-ERP_i)*Q150*Ramure*Pc/MaxiM</f>
        <v>3.0685295056763598E-4</v>
      </c>
      <c r="Q150" s="307">
        <f t="shared" si="51"/>
        <v>0.9</v>
      </c>
      <c r="R150" s="179">
        <f t="shared" si="52"/>
        <v>0.78363142667317764</v>
      </c>
      <c r="S150" s="839">
        <f t="shared" si="53"/>
        <v>-2</v>
      </c>
      <c r="T150" s="178">
        <f t="shared" si="54"/>
        <v>4</v>
      </c>
      <c r="U150" s="253">
        <f t="shared" si="55"/>
        <v>-1.2163685733268224</v>
      </c>
      <c r="V150" s="385">
        <f t="shared" si="56"/>
        <v>55.696395272768569</v>
      </c>
      <c r="W150" s="404"/>
      <c r="X150" s="157">
        <f t="shared" si="57"/>
        <v>43966</v>
      </c>
      <c r="Y150" s="387">
        <f t="shared" si="58"/>
        <v>19.161999999999999</v>
      </c>
      <c r="Z150" s="387">
        <f t="shared" si="59"/>
        <v>19.455418006568923</v>
      </c>
      <c r="AA150" s="388">
        <f t="shared" si="60"/>
        <v>21.840776854132464</v>
      </c>
      <c r="AB150" s="199">
        <f t="shared" si="61"/>
        <v>43966</v>
      </c>
      <c r="AC150" s="119">
        <f>IF(OR(t&lt;Tnet,NoTnet),'2019'!Resal_s+('2019'!Salim-'2019'!Resal_s)*(1-EXP(('2019'!Tnet_s-t)/'2019'!Tau_j)),Resal_s+(Salim-Resal_s)*(1-EXP((Tnet_s-t)/Tau_j)))*Salcycl</f>
        <v>0.10921584261835501</v>
      </c>
      <c r="AD150" s="233">
        <f>(INDEX(Models!$BJ150:$BT150,,AH150)*(1-AF150)+INDEX(Models!$BJ150:$BT150,,AH150+1)*AF150-ERP_i)*AE150*Ramure*Pc/MaxiM</f>
        <v>3.0685295056763598E-4</v>
      </c>
      <c r="AE150" s="307">
        <f t="shared" si="62"/>
        <v>0.9</v>
      </c>
      <c r="AF150" s="179">
        <f t="shared" si="63"/>
        <v>0.78363142667317764</v>
      </c>
      <c r="AG150" s="839">
        <f t="shared" si="71"/>
        <v>-2</v>
      </c>
      <c r="AH150" s="178">
        <f t="shared" si="64"/>
        <v>4</v>
      </c>
      <c r="AI150" s="227">
        <f t="shared" si="65"/>
        <v>-1.2163685733268224</v>
      </c>
      <c r="AJ150" s="267" t="b">
        <f t="shared" si="66"/>
        <v>0</v>
      </c>
      <c r="AK150" s="267" t="b">
        <f t="shared" si="67"/>
        <v>0</v>
      </c>
      <c r="AL150" s="267"/>
      <c r="AM150" s="267"/>
      <c r="AN150" s="75"/>
    </row>
    <row r="151" spans="1:40" s="6" customFormat="1" ht="11.25" customHeight="1" x14ac:dyDescent="0.2">
      <c r="A151" s="56">
        <f t="shared" si="68"/>
        <v>43967</v>
      </c>
      <c r="B151" s="620">
        <v>29.581</v>
      </c>
      <c r="C151" s="392"/>
      <c r="D151" s="395">
        <f t="shared" si="48"/>
        <v>30.034657830039627</v>
      </c>
      <c r="E151" s="387">
        <f t="shared" si="69"/>
        <v>33.724601327898775</v>
      </c>
      <c r="F151" s="387">
        <f t="shared" si="49"/>
        <v>33.727807342787337</v>
      </c>
      <c r="G151" s="110">
        <f t="shared" si="70"/>
        <v>0.53030700215259663</v>
      </c>
      <c r="H151" s="416" t="b">
        <f>Wh_hp&gt;='2019'!Maxi_hp</f>
        <v>1</v>
      </c>
      <c r="I151" s="382">
        <f>IF(H151,Wh_hp,'2019'!Maxi_hp)</f>
        <v>33.727807342787337</v>
      </c>
      <c r="J151" s="85">
        <f>IF(H151,An,'2019'!An_max)</f>
        <v>2020</v>
      </c>
      <c r="K151" s="199">
        <f t="shared" si="50"/>
        <v>43967</v>
      </c>
      <c r="L151" s="147">
        <f>IF(t&lt;Tvie,1-EXP((T0-t)*PertePVj)+'2019'!Pspv,1-EXP((T0-t)*PertePVj)+Pspv)</f>
        <v>1.5104478053546977E-2</v>
      </c>
      <c r="M151" s="872"/>
      <c r="N151" s="872"/>
      <c r="O151" s="48">
        <f>IF(t&lt;Tnet,'2019'!Resal+('2019'!Salim-'2019'!Resal)*(1-EXP(('2019'!Tnet-t)/('2019'!Tau_j))),Resal+(Salim-Resal)*(1-EXP((Tnet-t)/(Tau_j))))*Salcycl</f>
        <v>0.10941399905613217</v>
      </c>
      <c r="P151" s="171">
        <f>(INDEX(Models!$BJ151:$BT151,,T151)*(1-R151)+INDEX(Models!$BJ151:$BT151,,T151+1)*R151-ERP_i)*Q151*Ramure*Pc/MaxiM</f>
        <v>2.8878496575376769E-4</v>
      </c>
      <c r="Q151" s="307">
        <f t="shared" si="51"/>
        <v>0.9</v>
      </c>
      <c r="R151" s="179">
        <f t="shared" si="52"/>
        <v>0.78927910837714088</v>
      </c>
      <c r="S151" s="839">
        <f t="shared" si="53"/>
        <v>-2</v>
      </c>
      <c r="T151" s="178">
        <f t="shared" si="54"/>
        <v>4</v>
      </c>
      <c r="U151" s="253">
        <f t="shared" si="55"/>
        <v>-1.2107208916228591</v>
      </c>
      <c r="V151" s="385">
        <f t="shared" si="56"/>
        <v>55.770089070997827</v>
      </c>
      <c r="W151" s="404"/>
      <c r="X151" s="157">
        <f t="shared" si="57"/>
        <v>43967</v>
      </c>
      <c r="Y151" s="387">
        <f t="shared" si="58"/>
        <v>29.580999999999996</v>
      </c>
      <c r="Z151" s="387">
        <f t="shared" si="59"/>
        <v>30.034657830039624</v>
      </c>
      <c r="AA151" s="388">
        <f t="shared" si="60"/>
        <v>33.724601327898775</v>
      </c>
      <c r="AB151" s="199">
        <f t="shared" si="61"/>
        <v>43967</v>
      </c>
      <c r="AC151" s="119">
        <f>IF(OR(t&lt;Tnet,NoTnet),'2019'!Resal_s+('2019'!Salim-'2019'!Resal_s)*(1-EXP(('2019'!Tnet_s-t)/'2019'!Tau_j)),Resal_s+(Salim-Resal_s)*(1-EXP((Tnet_s-t)/Tau_j)))*Salcycl</f>
        <v>0.10941399905613217</v>
      </c>
      <c r="AD151" s="233">
        <f>(INDEX(Models!$BJ151:$BT151,,AH151)*(1-AF151)+INDEX(Models!$BJ151:$BT151,,AH151+1)*AF151-ERP_i)*AE151*Ramure*Pc/MaxiM</f>
        <v>2.8878496575376769E-4</v>
      </c>
      <c r="AE151" s="307">
        <f t="shared" si="62"/>
        <v>0.9</v>
      </c>
      <c r="AF151" s="179">
        <f t="shared" si="63"/>
        <v>0.78927910837714088</v>
      </c>
      <c r="AG151" s="839">
        <f t="shared" si="71"/>
        <v>-2</v>
      </c>
      <c r="AH151" s="178">
        <f t="shared" si="64"/>
        <v>4</v>
      </c>
      <c r="AI151" s="227">
        <f t="shared" si="65"/>
        <v>-1.2107208916228591</v>
      </c>
      <c r="AJ151" s="267" t="b">
        <f t="shared" si="66"/>
        <v>0</v>
      </c>
      <c r="AK151" s="267" t="b">
        <f t="shared" si="67"/>
        <v>0</v>
      </c>
      <c r="AL151" s="267"/>
      <c r="AM151" s="267"/>
      <c r="AN151" s="75"/>
    </row>
    <row r="152" spans="1:40" s="6" customFormat="1" ht="11.25" customHeight="1" x14ac:dyDescent="0.2">
      <c r="A152" s="56">
        <f t="shared" si="68"/>
        <v>43968</v>
      </c>
      <c r="B152" s="620">
        <v>56.746000000000002</v>
      </c>
      <c r="C152" s="392"/>
      <c r="D152" s="395">
        <f t="shared" si="48"/>
        <v>57.617604434735114</v>
      </c>
      <c r="E152" s="387">
        <f t="shared" si="69"/>
        <v>64.710742191110896</v>
      </c>
      <c r="F152" s="387">
        <f t="shared" si="49"/>
        <v>64.728321842872035</v>
      </c>
      <c r="G152" s="110">
        <f t="shared" si="70"/>
        <v>1.0162675944652038</v>
      </c>
      <c r="H152" s="416" t="b">
        <f>Wh_hp&gt;='2019'!Maxi_hp</f>
        <v>1</v>
      </c>
      <c r="I152" s="382">
        <f>IF(H152,Wh_hp,'2019'!Maxi_hp)</f>
        <v>64.728321842872035</v>
      </c>
      <c r="J152" s="85">
        <f>IF(H152,An,'2019'!An_max)</f>
        <v>2020</v>
      </c>
      <c r="K152" s="199">
        <f t="shared" si="50"/>
        <v>43968</v>
      </c>
      <c r="L152" s="147">
        <f>IF(t&lt;Tvie,1-EXP((T0-t)*PertePVj)+'2019'!Pspv,1-EXP((T0-t)*PertePVj)+Pspv)</f>
        <v>1.5127398011182458E-2</v>
      </c>
      <c r="M152" s="872"/>
      <c r="N152" s="872"/>
      <c r="O152" s="48">
        <f>IF(t&lt;Tnet,'2019'!Resal+('2019'!Salim-'2019'!Resal)*(1-EXP(('2019'!Tnet-t)/('2019'!Tau_j))),Resal+(Salim-Resal)*(1-EXP((Tnet-t)/(Tau_j))))*Salcycl</f>
        <v>0.1096129872135842</v>
      </c>
      <c r="P152" s="171">
        <f>(INDEX(Models!$BJ152:$BT152,,T152)*(1-R152)+INDEX(Models!$BJ152:$BT152,,T152+1)*R152-ERP_i)*Q152*Ramure*Pc/MaxiM</f>
        <v>2.7159134148139439E-4</v>
      </c>
      <c r="Q152" s="307">
        <f t="shared" si="51"/>
        <v>0.9</v>
      </c>
      <c r="R152" s="179">
        <f t="shared" si="52"/>
        <v>0.79503378069068087</v>
      </c>
      <c r="S152" s="839">
        <f t="shared" si="53"/>
        <v>-2</v>
      </c>
      <c r="T152" s="178">
        <f t="shared" si="54"/>
        <v>4</v>
      </c>
      <c r="U152" s="253">
        <f t="shared" si="55"/>
        <v>-1.2049662193093191</v>
      </c>
      <c r="V152" s="385">
        <f t="shared" si="56"/>
        <v>55.837655661806046</v>
      </c>
      <c r="W152" s="404"/>
      <c r="X152" s="157">
        <f t="shared" si="57"/>
        <v>43968</v>
      </c>
      <c r="Y152" s="387">
        <f t="shared" si="58"/>
        <v>56.745999999999995</v>
      </c>
      <c r="Z152" s="387">
        <f t="shared" si="59"/>
        <v>57.617604434735107</v>
      </c>
      <c r="AA152" s="388">
        <f t="shared" si="60"/>
        <v>64.710742191110896</v>
      </c>
      <c r="AB152" s="199">
        <f t="shared" si="61"/>
        <v>43968</v>
      </c>
      <c r="AC152" s="119">
        <f>IF(OR(t&lt;Tnet,NoTnet),'2019'!Resal_s+('2019'!Salim-'2019'!Resal_s)*(1-EXP(('2019'!Tnet_s-t)/'2019'!Tau_j)),Resal_s+(Salim-Resal_s)*(1-EXP((Tnet_s-t)/Tau_j)))*Salcycl</f>
        <v>0.1096129872135842</v>
      </c>
      <c r="AD152" s="233">
        <f>(INDEX(Models!$BJ152:$BT152,,AH152)*(1-AF152)+INDEX(Models!$BJ152:$BT152,,AH152+1)*AF152-ERP_i)*AE152*Ramure*Pc/MaxiM</f>
        <v>2.7159134148139439E-4</v>
      </c>
      <c r="AE152" s="307">
        <f t="shared" si="62"/>
        <v>0.9</v>
      </c>
      <c r="AF152" s="179">
        <f t="shared" si="63"/>
        <v>0.79503378069068087</v>
      </c>
      <c r="AG152" s="839">
        <f t="shared" si="71"/>
        <v>-2</v>
      </c>
      <c r="AH152" s="178">
        <f t="shared" si="64"/>
        <v>4</v>
      </c>
      <c r="AI152" s="227">
        <f t="shared" si="65"/>
        <v>-1.2049662193093191</v>
      </c>
      <c r="AJ152" s="267" t="b">
        <f t="shared" si="66"/>
        <v>0</v>
      </c>
      <c r="AK152" s="267" t="b">
        <f t="shared" si="67"/>
        <v>0</v>
      </c>
      <c r="AL152" s="267"/>
      <c r="AM152" s="267"/>
      <c r="AN152" s="75"/>
    </row>
    <row r="153" spans="1:40" s="6" customFormat="1" ht="11.25" customHeight="1" x14ac:dyDescent="0.2">
      <c r="A153" s="56">
        <f t="shared" si="68"/>
        <v>43969</v>
      </c>
      <c r="B153" s="620">
        <v>55.786000000000001</v>
      </c>
      <c r="C153" s="392"/>
      <c r="D153" s="395">
        <f t="shared" si="48"/>
        <v>56.644177266455976</v>
      </c>
      <c r="E153" s="387">
        <f t="shared" si="69"/>
        <v>63.631751837836582</v>
      </c>
      <c r="F153" s="387">
        <f t="shared" si="49"/>
        <v>63.647951946144374</v>
      </c>
      <c r="G153" s="110">
        <f t="shared" si="70"/>
        <v>0.99797061576014678</v>
      </c>
      <c r="H153" s="416" t="b">
        <f>Wh_hp&gt;='2019'!Maxi_hp</f>
        <v>1</v>
      </c>
      <c r="I153" s="382">
        <f>IF(H153,Wh_hp,'2019'!Maxi_hp)</f>
        <v>63.647951946144374</v>
      </c>
      <c r="J153" s="85">
        <f>IF(H153,An,'2019'!An_max)</f>
        <v>2020</v>
      </c>
      <c r="K153" s="199">
        <f t="shared" si="50"/>
        <v>43969</v>
      </c>
      <c r="L153" s="147">
        <f>IF(t&lt;Tvie,1-EXP((T0-t)*PertePVj)+'2019'!Pspv,1-EXP((T0-t)*PertePVj)+Pspv)</f>
        <v>1.5150317435437044E-2</v>
      </c>
      <c r="M153" s="872"/>
      <c r="N153" s="872"/>
      <c r="O153" s="48">
        <f>IF(t&lt;Tnet,'2019'!Resal+('2019'!Salim-'2019'!Resal)*(1-EXP(('2019'!Tnet-t)/('2019'!Tau_j))),Resal+(Salim-Resal)*(1-EXP((Tnet-t)/(Tau_j))))*Salcycl</f>
        <v>0.10981270151398953</v>
      </c>
      <c r="P153" s="171">
        <f>(INDEX(Models!$BJ153:$BT153,,T153)*(1-R153)+INDEX(Models!$BJ153:$BT153,,T153+1)*R153-ERP_i)*Q153*Ramure*Pc/MaxiM</f>
        <v>2.5526655989506589E-4</v>
      </c>
      <c r="Q153" s="307">
        <f t="shared" si="51"/>
        <v>0.9</v>
      </c>
      <c r="R153" s="179">
        <f t="shared" si="52"/>
        <v>0.80089351676489606</v>
      </c>
      <c r="S153" s="839">
        <f t="shared" si="53"/>
        <v>-2</v>
      </c>
      <c r="T153" s="178">
        <f t="shared" si="54"/>
        <v>4</v>
      </c>
      <c r="U153" s="253">
        <f t="shared" si="55"/>
        <v>-1.1991064832351039</v>
      </c>
      <c r="V153" s="385">
        <f t="shared" si="56"/>
        <v>55.899400081714781</v>
      </c>
      <c r="W153" s="404"/>
      <c r="X153" s="157">
        <f t="shared" si="57"/>
        <v>43969</v>
      </c>
      <c r="Y153" s="387">
        <f t="shared" si="58"/>
        <v>55.786000000000001</v>
      </c>
      <c r="Z153" s="387">
        <f t="shared" si="59"/>
        <v>56.644177266455976</v>
      </c>
      <c r="AA153" s="388">
        <f t="shared" si="60"/>
        <v>63.631751837836582</v>
      </c>
      <c r="AB153" s="199">
        <f t="shared" si="61"/>
        <v>43969</v>
      </c>
      <c r="AC153" s="119">
        <f>IF(OR(t&lt;Tnet,NoTnet),'2019'!Resal_s+('2019'!Salim-'2019'!Resal_s)*(1-EXP(('2019'!Tnet_s-t)/'2019'!Tau_j)),Resal_s+(Salim-Resal_s)*(1-EXP((Tnet_s-t)/Tau_j)))*Salcycl</f>
        <v>0.10981270151398953</v>
      </c>
      <c r="AD153" s="233">
        <f>(INDEX(Models!$BJ153:$BT153,,AH153)*(1-AF153)+INDEX(Models!$BJ153:$BT153,,AH153+1)*AF153-ERP_i)*AE153*Ramure*Pc/MaxiM</f>
        <v>2.5526655989506589E-4</v>
      </c>
      <c r="AE153" s="307">
        <f t="shared" si="62"/>
        <v>0.9</v>
      </c>
      <c r="AF153" s="179">
        <f t="shared" si="63"/>
        <v>0.80089351676489606</v>
      </c>
      <c r="AG153" s="839">
        <f t="shared" si="71"/>
        <v>-2</v>
      </c>
      <c r="AH153" s="178">
        <f t="shared" si="64"/>
        <v>4</v>
      </c>
      <c r="AI153" s="227">
        <f t="shared" si="65"/>
        <v>-1.1991064832351039</v>
      </c>
      <c r="AJ153" s="267" t="b">
        <f t="shared" si="66"/>
        <v>0</v>
      </c>
      <c r="AK153" s="267" t="b">
        <f t="shared" si="67"/>
        <v>0</v>
      </c>
      <c r="AL153" s="267"/>
      <c r="AM153" s="267"/>
      <c r="AN153" s="75"/>
    </row>
    <row r="154" spans="1:40" s="6" customFormat="1" ht="11.25" customHeight="1" x14ac:dyDescent="0.2">
      <c r="A154" s="56">
        <f t="shared" si="68"/>
        <v>43970</v>
      </c>
      <c r="B154" s="620">
        <v>54.524999999999999</v>
      </c>
      <c r="C154" s="392"/>
      <c r="D154" s="395">
        <f t="shared" si="48"/>
        <v>55.365067249600962</v>
      </c>
      <c r="E154" s="387">
        <f t="shared" si="69"/>
        <v>62.208851646681389</v>
      </c>
      <c r="F154" s="387">
        <f t="shared" si="49"/>
        <v>62.223228174238322</v>
      </c>
      <c r="G154" s="110">
        <f t="shared" si="70"/>
        <v>0.97442428695380245</v>
      </c>
      <c r="H154" s="416" t="b">
        <f>Wh_hp&gt;='2019'!Maxi_hp</f>
        <v>1</v>
      </c>
      <c r="I154" s="382">
        <f>IF(H154,Wh_hp,'2019'!Maxi_hp)</f>
        <v>62.223228174238322</v>
      </c>
      <c r="J154" s="85">
        <f>IF(H154,An,'2019'!An_max)</f>
        <v>2020</v>
      </c>
      <c r="K154" s="199">
        <f t="shared" si="50"/>
        <v>43970</v>
      </c>
      <c r="L154" s="147">
        <f>IF(t&lt;Tvie,1-EXP((T0-t)*PertePVj)+'2019'!Pspv,1-EXP((T0-t)*PertePVj)+Pspv)</f>
        <v>1.5173236326323059E-2</v>
      </c>
      <c r="M154" s="872"/>
      <c r="N154" s="872"/>
      <c r="O154" s="48">
        <f>IF(t&lt;Tnet,'2019'!Resal+('2019'!Salim-'2019'!Resal)*(1-EXP(('2019'!Tnet-t)/('2019'!Tau_j))),Resal+(Salim-Resal)*(1-EXP((Tnet-t)/(Tau_j))))*Salcycl</f>
        <v>0.11001303216381617</v>
      </c>
      <c r="P154" s="171">
        <f>(INDEX(Models!$BJ154:$BT154,,T154)*(1-R154)+INDEX(Models!$BJ154:$BT154,,T154+1)*R154-ERP_i)*Q154*Ramure*Pc/MaxiM</f>
        <v>2.3980641889019956E-4</v>
      </c>
      <c r="Q154" s="307">
        <f t="shared" si="51"/>
        <v>0.9</v>
      </c>
      <c r="R154" s="179">
        <f t="shared" si="52"/>
        <v>0.80685613819562096</v>
      </c>
      <c r="S154" s="839">
        <f t="shared" si="53"/>
        <v>-2</v>
      </c>
      <c r="T154" s="178">
        <f t="shared" si="54"/>
        <v>4</v>
      </c>
      <c r="U154" s="253">
        <f t="shared" si="55"/>
        <v>-1.193143861804379</v>
      </c>
      <c r="V154" s="385">
        <f t="shared" si="56"/>
        <v>55.955627384354422</v>
      </c>
      <c r="W154" s="404"/>
      <c r="X154" s="157">
        <f t="shared" si="57"/>
        <v>43970</v>
      </c>
      <c r="Y154" s="387">
        <f t="shared" si="58"/>
        <v>54.524999999999999</v>
      </c>
      <c r="Z154" s="387">
        <f t="shared" si="59"/>
        <v>55.365067249600962</v>
      </c>
      <c r="AA154" s="388">
        <f t="shared" si="60"/>
        <v>62.208851646681389</v>
      </c>
      <c r="AB154" s="199">
        <f t="shared" si="61"/>
        <v>43970</v>
      </c>
      <c r="AC154" s="119">
        <f>IF(OR(t&lt;Tnet,NoTnet),'2019'!Resal_s+('2019'!Salim-'2019'!Resal_s)*(1-EXP(('2019'!Tnet_s-t)/'2019'!Tau_j)),Resal_s+(Salim-Resal_s)*(1-EXP((Tnet_s-t)/Tau_j)))*Salcycl</f>
        <v>0.11001303216381617</v>
      </c>
      <c r="AD154" s="233">
        <f>(INDEX(Models!$BJ154:$BT154,,AH154)*(1-AF154)+INDEX(Models!$BJ154:$BT154,,AH154+1)*AF154-ERP_i)*AE154*Ramure*Pc/MaxiM</f>
        <v>2.3980641889019956E-4</v>
      </c>
      <c r="AE154" s="307">
        <f t="shared" si="62"/>
        <v>0.9</v>
      </c>
      <c r="AF154" s="179">
        <f t="shared" si="63"/>
        <v>0.80685613819562096</v>
      </c>
      <c r="AG154" s="839">
        <f t="shared" si="71"/>
        <v>-2</v>
      </c>
      <c r="AH154" s="178">
        <f t="shared" si="64"/>
        <v>4</v>
      </c>
      <c r="AI154" s="227">
        <f t="shared" si="65"/>
        <v>-1.193143861804379</v>
      </c>
      <c r="AJ154" s="267" t="b">
        <f t="shared" si="66"/>
        <v>0</v>
      </c>
      <c r="AK154" s="267" t="b">
        <f t="shared" si="67"/>
        <v>0</v>
      </c>
      <c r="AL154" s="267"/>
      <c r="AM154" s="267"/>
      <c r="AN154" s="75"/>
    </row>
    <row r="155" spans="1:40" s="6" customFormat="1" ht="11.25" x14ac:dyDescent="0.2">
      <c r="A155" s="56">
        <f t="shared" si="68"/>
        <v>43971</v>
      </c>
      <c r="B155" s="620">
        <v>54.377000000000002</v>
      </c>
      <c r="C155" s="392"/>
      <c r="D155" s="395">
        <f t="shared" si="48"/>
        <v>55.216071970701549</v>
      </c>
      <c r="E155" s="387">
        <f t="shared" si="69"/>
        <v>62.055442115565228</v>
      </c>
      <c r="F155" s="387">
        <f t="shared" si="49"/>
        <v>62.068839464913452</v>
      </c>
      <c r="G155" s="110">
        <f t="shared" si="70"/>
        <v>0.970893599593038</v>
      </c>
      <c r="H155" s="416" t="b">
        <f>Wh_hp&gt;='2019'!Maxi_hp</f>
        <v>1</v>
      </c>
      <c r="I155" s="382">
        <f>IF(H155,Wh_hp,'2019'!Maxi_hp)</f>
        <v>62.068839464913452</v>
      </c>
      <c r="J155" s="85">
        <f>IF(H155,An,'2019'!An_max)</f>
        <v>2020</v>
      </c>
      <c r="K155" s="199">
        <f t="shared" si="50"/>
        <v>43971</v>
      </c>
      <c r="L155" s="147">
        <f>IF(t&lt;Tvie,1-EXP((T0-t)*PertePVj)+'2019'!Pspv,1-EXP((T0-t)*PertePVj)+Pspv)</f>
        <v>1.5196154683853047E-2</v>
      </c>
      <c r="M155" s="872"/>
      <c r="N155" s="872"/>
      <c r="O155" s="48">
        <f>IF(t&lt;Tnet,'2019'!Resal+('2019'!Salim-'2019'!Resal)*(1-EXP(('2019'!Tnet-t)/('2019'!Tau_j))),Resal+(Salim-Resal)*(1-EXP((Tnet-t)/(Tau_j))))*Salcycl</f>
        <v>0.11021386540324357</v>
      </c>
      <c r="P155" s="171">
        <f>(INDEX(Models!$BJ155:$BT155,,T155)*(1-R155)+INDEX(Models!$BJ155:$BT155,,T155+1)*R155-ERP_i)*Q155*Ramure*Pc/MaxiM</f>
        <v>2.2520797388601824E-4</v>
      </c>
      <c r="Q155" s="307">
        <f t="shared" si="51"/>
        <v>0.9</v>
      </c>
      <c r="R155" s="179">
        <f t="shared" si="52"/>
        <v>0.81291921272494094</v>
      </c>
      <c r="S155" s="839">
        <f t="shared" si="53"/>
        <v>-2</v>
      </c>
      <c r="T155" s="178">
        <f t="shared" si="54"/>
        <v>4</v>
      </c>
      <c r="U155" s="253">
        <f t="shared" si="55"/>
        <v>-1.1870807872750591</v>
      </c>
      <c r="V155" s="385">
        <f t="shared" si="56"/>
        <v>56.006642613236203</v>
      </c>
      <c r="W155" s="404"/>
      <c r="X155" s="157">
        <f t="shared" si="57"/>
        <v>43971</v>
      </c>
      <c r="Y155" s="387">
        <f t="shared" si="58"/>
        <v>54.377000000000002</v>
      </c>
      <c r="Z155" s="387">
        <f t="shared" si="59"/>
        <v>55.216071970701549</v>
      </c>
      <c r="AA155" s="388">
        <f t="shared" si="60"/>
        <v>62.055442115565228</v>
      </c>
      <c r="AB155" s="199">
        <f t="shared" si="61"/>
        <v>43971</v>
      </c>
      <c r="AC155" s="119">
        <f>IF(OR(t&lt;Tnet,NoTnet),'2019'!Resal_s+('2019'!Salim-'2019'!Resal_s)*(1-EXP(('2019'!Tnet_s-t)/'2019'!Tau_j)),Resal_s+(Salim-Resal_s)*(1-EXP((Tnet_s-t)/Tau_j)))*Salcycl</f>
        <v>0.11021386540324357</v>
      </c>
      <c r="AD155" s="233">
        <f>(INDEX(Models!$BJ155:$BT155,,AH155)*(1-AF155)+INDEX(Models!$BJ155:$BT155,,AH155+1)*AF155-ERP_i)*AE155*Ramure*Pc/MaxiM</f>
        <v>2.2520797388601824E-4</v>
      </c>
      <c r="AE155" s="307">
        <f t="shared" si="62"/>
        <v>0.9</v>
      </c>
      <c r="AF155" s="179">
        <f t="shared" si="63"/>
        <v>0.81291921272494094</v>
      </c>
      <c r="AG155" s="839">
        <f t="shared" si="71"/>
        <v>-2</v>
      </c>
      <c r="AH155" s="178">
        <f t="shared" si="64"/>
        <v>4</v>
      </c>
      <c r="AI155" s="227">
        <f t="shared" si="65"/>
        <v>-1.1870807872750591</v>
      </c>
      <c r="AJ155" s="267" t="b">
        <f t="shared" si="66"/>
        <v>0</v>
      </c>
      <c r="AK155" s="267" t="b">
        <f t="shared" si="67"/>
        <v>0</v>
      </c>
      <c r="AL155" s="267"/>
      <c r="AM155" s="267"/>
      <c r="AN155" s="75"/>
    </row>
    <row r="156" spans="1:40" s="18" customFormat="1" ht="11.25" customHeight="1" x14ac:dyDescent="0.2">
      <c r="A156" s="56">
        <f t="shared" si="68"/>
        <v>43972</v>
      </c>
      <c r="B156" s="620">
        <v>51.463000000000001</v>
      </c>
      <c r="C156" s="392"/>
      <c r="D156" s="395">
        <f t="shared" si="48"/>
        <v>52.258323210082814</v>
      </c>
      <c r="E156" s="387">
        <f t="shared" si="69"/>
        <v>58.744614772071962</v>
      </c>
      <c r="F156" s="387">
        <f t="shared" si="49"/>
        <v>58.755610608975061</v>
      </c>
      <c r="G156" s="110">
        <f t="shared" si="70"/>
        <v>0.91809495969294141</v>
      </c>
      <c r="H156" s="416" t="b">
        <f>Wh_hp&gt;='2019'!Maxi_hp</f>
        <v>0</v>
      </c>
      <c r="I156" s="382">
        <f>IF(H156,Wh_hp,'2019'!Maxi_hp)</f>
        <v>63.02960296513583</v>
      </c>
      <c r="J156" s="85">
        <f>IF(H156,An,'2019'!An_max)</f>
        <v>2019</v>
      </c>
      <c r="K156" s="199">
        <f t="shared" si="50"/>
        <v>43972</v>
      </c>
      <c r="L156" s="147">
        <f>IF(t&lt;Tvie,1-EXP((T0-t)*PertePVj)+'2019'!Pspv,1-EXP((T0-t)*PertePVj)+Pspv)</f>
        <v>1.5219072508039444E-2</v>
      </c>
      <c r="M156" s="872"/>
      <c r="N156" s="872"/>
      <c r="O156" s="48">
        <f>IF(t&lt;Tnet,'2019'!Resal+('2019'!Salim-'2019'!Resal)*(1-EXP(('2019'!Tnet-t)/('2019'!Tau_j))),Resal+(Salim-Resal)*(1-EXP((Tnet-t)/(Tau_j))))*Salcycl</f>
        <v>0.11041508378522591</v>
      </c>
      <c r="P156" s="171">
        <f>(INDEX(Models!$BJ156:$BT156,,T156)*(1-R156)+INDEX(Models!$BJ156:$BT156,,T156+1)*R156-ERP_i)*Q156*Ramure*Pc/MaxiM</f>
        <v>2.1193651461830776E-4</v>
      </c>
      <c r="Q156" s="307">
        <f t="shared" si="51"/>
        <v>0.9</v>
      </c>
      <c r="R156" s="179">
        <f t="shared" si="52"/>
        <v>0.81908005306871878</v>
      </c>
      <c r="S156" s="839">
        <f t="shared" si="53"/>
        <v>-2</v>
      </c>
      <c r="T156" s="178">
        <f t="shared" si="54"/>
        <v>4</v>
      </c>
      <c r="U156" s="253">
        <f t="shared" si="55"/>
        <v>-1.1809199469312812</v>
      </c>
      <c r="V156" s="385">
        <f t="shared" si="56"/>
        <v>56.05272459897467</v>
      </c>
      <c r="W156" s="404"/>
      <c r="X156" s="157">
        <f t="shared" si="57"/>
        <v>43972</v>
      </c>
      <c r="Y156" s="387">
        <f t="shared" si="58"/>
        <v>51.463000000000001</v>
      </c>
      <c r="Z156" s="387">
        <f t="shared" si="59"/>
        <v>52.258323210082814</v>
      </c>
      <c r="AA156" s="388">
        <f t="shared" si="60"/>
        <v>58.744614772071962</v>
      </c>
      <c r="AB156" s="199">
        <f t="shared" si="61"/>
        <v>43972</v>
      </c>
      <c r="AC156" s="119">
        <f>IF(OR(t&lt;Tnet,NoTnet),'2019'!Resal_s+('2019'!Salim-'2019'!Resal_s)*(1-EXP(('2019'!Tnet_s-t)/'2019'!Tau_j)),Resal_s+(Salim-Resal_s)*(1-EXP((Tnet_s-t)/Tau_j)))*Salcycl</f>
        <v>0.11041508378522591</v>
      </c>
      <c r="AD156" s="233">
        <f>(INDEX(Models!$BJ156:$BT156,,AH156)*(1-AF156)+INDEX(Models!$BJ156:$BT156,,AH156+1)*AF156-ERP_i)*AE156*Ramure*Pc/MaxiM</f>
        <v>2.1193651461830776E-4</v>
      </c>
      <c r="AE156" s="307">
        <f t="shared" si="62"/>
        <v>0.9</v>
      </c>
      <c r="AF156" s="179">
        <f t="shared" si="63"/>
        <v>0.81908005306871878</v>
      </c>
      <c r="AG156" s="839">
        <f t="shared" si="71"/>
        <v>-2</v>
      </c>
      <c r="AH156" s="178">
        <f t="shared" si="64"/>
        <v>4</v>
      </c>
      <c r="AI156" s="227">
        <f t="shared" si="65"/>
        <v>-1.1809199469312812</v>
      </c>
      <c r="AJ156" s="267" t="b">
        <f t="shared" si="66"/>
        <v>0</v>
      </c>
      <c r="AK156" s="267" t="b">
        <f t="shared" si="67"/>
        <v>0</v>
      </c>
      <c r="AL156" s="267"/>
      <c r="AM156" s="267"/>
      <c r="AN156" s="267"/>
    </row>
    <row r="157" spans="1:40" s="18" customFormat="1" ht="11.25" customHeight="1" x14ac:dyDescent="0.2">
      <c r="A157" s="56">
        <f t="shared" si="68"/>
        <v>43973</v>
      </c>
      <c r="B157" s="620">
        <v>49.975000000000001</v>
      </c>
      <c r="C157" s="392"/>
      <c r="D157" s="395">
        <f t="shared" si="48"/>
        <v>50.748508244979085</v>
      </c>
      <c r="E157" s="387">
        <f t="shared" si="69"/>
        <v>57.060325538410609</v>
      </c>
      <c r="F157" s="387">
        <f t="shared" si="49"/>
        <v>57.069920377095102</v>
      </c>
      <c r="G157" s="110">
        <f t="shared" si="70"/>
        <v>0.89088402285131552</v>
      </c>
      <c r="H157" s="416" t="b">
        <f>Wh_hp&gt;='2019'!Maxi_hp</f>
        <v>1</v>
      </c>
      <c r="I157" s="382">
        <f>IF(H157,Wh_hp,'2019'!Maxi_hp)</f>
        <v>57.069920377095102</v>
      </c>
      <c r="J157" s="85">
        <f>IF(H157,An,'2019'!An_max)</f>
        <v>2020</v>
      </c>
      <c r="K157" s="199">
        <f t="shared" si="50"/>
        <v>43973</v>
      </c>
      <c r="L157" s="147">
        <f>IF(t&lt;Tvie,1-EXP((T0-t)*PertePVj)+'2019'!Pspv,1-EXP((T0-t)*PertePVj)+Pspv)</f>
        <v>1.5241989798894462E-2</v>
      </c>
      <c r="M157" s="872"/>
      <c r="N157" s="872"/>
      <c r="O157" s="48">
        <f>IF(t&lt;Tnet,'2019'!Resal+('2019'!Salim-'2019'!Resal)*(1-EXP(('2019'!Tnet-t)/('2019'!Tau_j))),Resal+(Salim-Resal)*(1-EXP((Tnet-t)/(Tau_j))))*Salcycl</f>
        <v>0.11061656648247951</v>
      </c>
      <c r="P157" s="171">
        <f>(INDEX(Models!$BJ157:$BT157,,T157)*(1-R157)+INDEX(Models!$BJ157:$BT157,,T157+1)*R157-ERP_i)*Q157*Ramure*Pc/MaxiM</f>
        <v>1.9916172405627937E-4</v>
      </c>
      <c r="Q157" s="307">
        <f t="shared" si="51"/>
        <v>0.9</v>
      </c>
      <c r="R157" s="179">
        <f t="shared" si="52"/>
        <v>0.82533571693320007</v>
      </c>
      <c r="S157" s="839">
        <f t="shared" si="53"/>
        <v>-2</v>
      </c>
      <c r="T157" s="178">
        <f t="shared" si="54"/>
        <v>4</v>
      </c>
      <c r="U157" s="253">
        <f t="shared" si="55"/>
        <v>-1.1746642830667999</v>
      </c>
      <c r="V157" s="385">
        <f t="shared" si="56"/>
        <v>56.094224793093382</v>
      </c>
      <c r="W157" s="404"/>
      <c r="X157" s="157">
        <f t="shared" si="57"/>
        <v>43973</v>
      </c>
      <c r="Y157" s="387">
        <f t="shared" si="58"/>
        <v>49.975000000000001</v>
      </c>
      <c r="Z157" s="387">
        <f t="shared" si="59"/>
        <v>50.748508244979085</v>
      </c>
      <c r="AA157" s="388">
        <f t="shared" si="60"/>
        <v>57.060325538410609</v>
      </c>
      <c r="AB157" s="199">
        <f t="shared" si="61"/>
        <v>43973</v>
      </c>
      <c r="AC157" s="119">
        <f>IF(OR(t&lt;Tnet,NoTnet),'2019'!Resal_s+('2019'!Salim-'2019'!Resal_s)*(1-EXP(('2019'!Tnet_s-t)/'2019'!Tau_j)),Resal_s+(Salim-Resal_s)*(1-EXP((Tnet_s-t)/Tau_j)))*Salcycl</f>
        <v>0.11061656648247951</v>
      </c>
      <c r="AD157" s="233">
        <f>(INDEX(Models!$BJ157:$BT157,,AH157)*(1-AF157)+INDEX(Models!$BJ157:$BT157,,AH157+1)*AF157-ERP_i)*AE157*Ramure*Pc/MaxiM</f>
        <v>1.9916172405627937E-4</v>
      </c>
      <c r="AE157" s="307">
        <f t="shared" si="62"/>
        <v>0.9</v>
      </c>
      <c r="AF157" s="179">
        <f t="shared" si="63"/>
        <v>0.82533571693320007</v>
      </c>
      <c r="AG157" s="839">
        <f t="shared" si="71"/>
        <v>-2</v>
      </c>
      <c r="AH157" s="178">
        <f t="shared" si="64"/>
        <v>4</v>
      </c>
      <c r="AI157" s="227">
        <f t="shared" si="65"/>
        <v>-1.1746642830667999</v>
      </c>
      <c r="AJ157" s="267" t="b">
        <f t="shared" si="66"/>
        <v>0</v>
      </c>
      <c r="AK157" s="267" t="b">
        <f t="shared" si="67"/>
        <v>0</v>
      </c>
      <c r="AL157" s="267"/>
      <c r="AM157" s="267"/>
      <c r="AN157" s="267"/>
    </row>
    <row r="158" spans="1:40" s="6" customFormat="1" ht="11.25" customHeight="1" x14ac:dyDescent="0.2">
      <c r="A158" s="56">
        <f t="shared" si="68"/>
        <v>43974</v>
      </c>
      <c r="B158" s="620">
        <v>16.146999999999998</v>
      </c>
      <c r="C158" s="392"/>
      <c r="D158" s="395">
        <f t="shared" si="48"/>
        <v>16.397303302693061</v>
      </c>
      <c r="E158" s="387">
        <f t="shared" si="69"/>
        <v>18.440889266182232</v>
      </c>
      <c r="F158" s="387">
        <f t="shared" si="49"/>
        <v>18.440889266182232</v>
      </c>
      <c r="G158" s="110">
        <f t="shared" si="70"/>
        <v>0.28761029557030449</v>
      </c>
      <c r="H158" s="416" t="b">
        <f>Wh_hp&gt;='2019'!Maxi_hp</f>
        <v>1</v>
      </c>
      <c r="I158" s="382">
        <f>IF(H158,Wh_hp,'2019'!Maxi_hp)</f>
        <v>18.440889266182232</v>
      </c>
      <c r="J158" s="85">
        <f>IF(H158,An,'2019'!An_max)</f>
        <v>2020</v>
      </c>
      <c r="K158" s="199">
        <f t="shared" si="50"/>
        <v>43974</v>
      </c>
      <c r="L158" s="147">
        <f>IF(t&lt;Tvie,1-EXP((T0-t)*PertePVj)+'2019'!Pspv,1-EXP((T0-t)*PertePVj)+Pspv)</f>
        <v>1.5264906556430757E-2</v>
      </c>
      <c r="M158" s="872"/>
      <c r="N158" s="872"/>
      <c r="O158" s="48">
        <f>IF(t&lt;Tnet,'2019'!Resal+('2019'!Salim-'2019'!Resal)*(1-EXP(('2019'!Tnet-t)/('2019'!Tau_j))),Resal+(Salim-Resal)*(1-EXP((Tnet-t)/(Tau_j))))*Salcycl</f>
        <v>0.11081818962151654</v>
      </c>
      <c r="P158" s="171">
        <f>(INDEX(Models!$BJ158:$BT158,,T158)*(1-R158)+INDEX(Models!$BJ158:$BT158,,T158+1)*R158-ERP_i)*Q158*Ramure*Pc/MaxiM</f>
        <v>1.8687991655155843E-4</v>
      </c>
      <c r="Q158" s="307">
        <f t="shared" si="51"/>
        <v>0.9</v>
      </c>
      <c r="R158" s="179">
        <f t="shared" si="52"/>
        <v>0.83168300827636132</v>
      </c>
      <c r="S158" s="839">
        <f t="shared" si="53"/>
        <v>-2</v>
      </c>
      <c r="T158" s="178">
        <f t="shared" si="54"/>
        <v>4</v>
      </c>
      <c r="U158" s="253">
        <f t="shared" si="55"/>
        <v>-1.1683169917236387</v>
      </c>
      <c r="V158" s="385">
        <f t="shared" si="56"/>
        <v>56.131448347408501</v>
      </c>
      <c r="W158" s="404"/>
      <c r="X158" s="157">
        <f t="shared" si="57"/>
        <v>43974</v>
      </c>
      <c r="Y158" s="387">
        <f t="shared" si="58"/>
        <v>16.146999999999998</v>
      </c>
      <c r="Z158" s="387">
        <f t="shared" si="59"/>
        <v>16.397303302693061</v>
      </c>
      <c r="AA158" s="388">
        <f t="shared" si="60"/>
        <v>18.440889266182232</v>
      </c>
      <c r="AB158" s="199">
        <f t="shared" si="61"/>
        <v>43974</v>
      </c>
      <c r="AC158" s="119">
        <f>IF(OR(t&lt;Tnet,NoTnet),'2019'!Resal_s+('2019'!Salim-'2019'!Resal_s)*(1-EXP(('2019'!Tnet_s-t)/'2019'!Tau_j)),Resal_s+(Salim-Resal_s)*(1-EXP((Tnet_s-t)/Tau_j)))*Salcycl</f>
        <v>0.11081818962151654</v>
      </c>
      <c r="AD158" s="233">
        <f>(INDEX(Models!$BJ158:$BT158,,AH158)*(1-AF158)+INDEX(Models!$BJ158:$BT158,,AH158+1)*AF158-ERP_i)*AE158*Ramure*Pc/MaxiM</f>
        <v>1.8687991655155843E-4</v>
      </c>
      <c r="AE158" s="307">
        <f t="shared" si="62"/>
        <v>0.9</v>
      </c>
      <c r="AF158" s="179">
        <f t="shared" si="63"/>
        <v>0.83168300827636132</v>
      </c>
      <c r="AG158" s="839">
        <f t="shared" si="71"/>
        <v>-2</v>
      </c>
      <c r="AH158" s="178">
        <f t="shared" si="64"/>
        <v>4</v>
      </c>
      <c r="AI158" s="227">
        <f t="shared" si="65"/>
        <v>-1.1683169917236387</v>
      </c>
      <c r="AJ158" s="267" t="b">
        <f t="shared" si="66"/>
        <v>0</v>
      </c>
      <c r="AK158" s="267" t="b">
        <f t="shared" si="67"/>
        <v>0</v>
      </c>
      <c r="AL158" s="267"/>
      <c r="AM158" s="267"/>
      <c r="AN158" s="75"/>
    </row>
    <row r="159" spans="1:40" s="6" customFormat="1" ht="11.25" customHeight="1" x14ac:dyDescent="0.2">
      <c r="A159" s="56">
        <f t="shared" si="68"/>
        <v>43975</v>
      </c>
      <c r="B159" s="620">
        <v>51.878</v>
      </c>
      <c r="C159" s="392"/>
      <c r="D159" s="395">
        <f t="shared" si="48"/>
        <v>52.683414707528748</v>
      </c>
      <c r="E159" s="387">
        <f t="shared" si="69"/>
        <v>59.26275555568261</v>
      </c>
      <c r="F159" s="387">
        <f t="shared" si="49"/>
        <v>59.272001912813224</v>
      </c>
      <c r="G159" s="110">
        <f t="shared" si="70"/>
        <v>0.92365861901637902</v>
      </c>
      <c r="H159" s="416" t="b">
        <f>Wh_hp&gt;='2019'!Maxi_hp</f>
        <v>1</v>
      </c>
      <c r="I159" s="382">
        <f>IF(H159,Wh_hp,'2019'!Maxi_hp)</f>
        <v>59.272001912813224</v>
      </c>
      <c r="J159" s="85">
        <f>IF(H159,An,'2019'!An_max)</f>
        <v>2020</v>
      </c>
      <c r="K159" s="199">
        <f t="shared" si="50"/>
        <v>43975</v>
      </c>
      <c r="L159" s="147">
        <f>IF(t&lt;Tvie,1-EXP((T0-t)*PertePVj)+'2019'!Pspv,1-EXP((T0-t)*PertePVj)+Pspv)</f>
        <v>1.5287822780660543E-2</v>
      </c>
      <c r="M159" s="872"/>
      <c r="N159" s="872"/>
      <c r="O159" s="48">
        <f>IF(t&lt;Tnet,'2019'!Resal+('2019'!Salim-'2019'!Resal)*(1-EXP(('2019'!Tnet-t)/('2019'!Tau_j))),Resal+(Salim-Resal)*(1-EXP((Tnet-t)/(Tau_j))))*Salcycl</f>
        <v>0.11101982664258649</v>
      </c>
      <c r="P159" s="171">
        <f>(INDEX(Models!$BJ159:$BT159,,T159)*(1-R159)+INDEX(Models!$BJ159:$BT159,,T159+1)*R159-ERP_i)*Q159*Ramure*Pc/MaxiM</f>
        <v>1.750894175133242E-4</v>
      </c>
      <c r="Q159" s="307">
        <f t="shared" si="51"/>
        <v>0.9</v>
      </c>
      <c r="R159" s="179">
        <f t="shared" si="52"/>
        <v>0.83811847986116517</v>
      </c>
      <c r="S159" s="839">
        <f t="shared" si="53"/>
        <v>-2</v>
      </c>
      <c r="T159" s="178">
        <f t="shared" si="54"/>
        <v>4</v>
      </c>
      <c r="U159" s="253">
        <f t="shared" si="55"/>
        <v>-1.1618815201388348</v>
      </c>
      <c r="V159" s="385">
        <f t="shared" si="56"/>
        <v>56.164700237549923</v>
      </c>
      <c r="W159" s="404"/>
      <c r="X159" s="157">
        <f t="shared" si="57"/>
        <v>43975</v>
      </c>
      <c r="Y159" s="387">
        <f t="shared" si="58"/>
        <v>51.878</v>
      </c>
      <c r="Z159" s="387">
        <f t="shared" si="59"/>
        <v>52.683414707528748</v>
      </c>
      <c r="AA159" s="388">
        <f t="shared" si="60"/>
        <v>59.26275555568261</v>
      </c>
      <c r="AB159" s="199">
        <f t="shared" si="61"/>
        <v>43975</v>
      </c>
      <c r="AC159" s="119">
        <f>IF(OR(t&lt;Tnet,NoTnet),'2019'!Resal_s+('2019'!Salim-'2019'!Resal_s)*(1-EXP(('2019'!Tnet_s-t)/'2019'!Tau_j)),Resal_s+(Salim-Resal_s)*(1-EXP((Tnet_s-t)/Tau_j)))*Salcycl</f>
        <v>0.11101982664258649</v>
      </c>
      <c r="AD159" s="233">
        <f>(INDEX(Models!$BJ159:$BT159,,AH159)*(1-AF159)+INDEX(Models!$BJ159:$BT159,,AH159+1)*AF159-ERP_i)*AE159*Ramure*Pc/MaxiM</f>
        <v>1.750894175133242E-4</v>
      </c>
      <c r="AE159" s="307">
        <f t="shared" si="62"/>
        <v>0.9</v>
      </c>
      <c r="AF159" s="179">
        <f t="shared" si="63"/>
        <v>0.83811847986116517</v>
      </c>
      <c r="AG159" s="839">
        <f t="shared" si="71"/>
        <v>-2</v>
      </c>
      <c r="AH159" s="178">
        <f t="shared" si="64"/>
        <v>4</v>
      </c>
      <c r="AI159" s="227">
        <f t="shared" si="65"/>
        <v>-1.1618815201388348</v>
      </c>
      <c r="AJ159" s="267" t="b">
        <f t="shared" si="66"/>
        <v>0</v>
      </c>
      <c r="AK159" s="267" t="b">
        <f t="shared" si="67"/>
        <v>0</v>
      </c>
      <c r="AL159" s="267"/>
      <c r="AM159" s="267"/>
      <c r="AN159" s="75"/>
    </row>
    <row r="160" spans="1:40" s="6" customFormat="1" ht="11.25" customHeight="1" x14ac:dyDescent="0.2">
      <c r="A160" s="56">
        <f t="shared" si="68"/>
        <v>43976</v>
      </c>
      <c r="B160" s="620">
        <v>55.326000000000001</v>
      </c>
      <c r="C160" s="392"/>
      <c r="D160" s="395">
        <f t="shared" si="48"/>
        <v>56.186253025776608</v>
      </c>
      <c r="E160" s="387">
        <f t="shared" si="69"/>
        <v>63.217374700203138</v>
      </c>
      <c r="F160" s="387">
        <f t="shared" si="49"/>
        <v>63.227502087912768</v>
      </c>
      <c r="G160" s="110">
        <f t="shared" si="70"/>
        <v>0.98454495217843774</v>
      </c>
      <c r="H160" s="416" t="b">
        <f>Wh_hp&gt;='2019'!Maxi_hp</f>
        <v>1</v>
      </c>
      <c r="I160" s="382">
        <f>IF(H160,Wh_hp,'2019'!Maxi_hp)</f>
        <v>63.227502087912768</v>
      </c>
      <c r="J160" s="85">
        <f>IF(H160,An,'2019'!An_max)</f>
        <v>2020</v>
      </c>
      <c r="K160" s="199">
        <f t="shared" si="50"/>
        <v>43976</v>
      </c>
      <c r="L160" s="147">
        <f>IF(t&lt;Tvie,1-EXP((T0-t)*PertePVj)+'2019'!Pspv,1-EXP((T0-t)*PertePVj)+Pspv)</f>
        <v>1.5310738471596363E-2</v>
      </c>
      <c r="M160" s="872"/>
      <c r="N160" s="872"/>
      <c r="O160" s="48">
        <f>IF(t&lt;Tnet,'2019'!Resal+('2019'!Salim-'2019'!Resal)*(1-EXP(('2019'!Tnet-t)/('2019'!Tau_j))),Resal+(Salim-Resal)*(1-EXP((Tnet-t)/(Tau_j))))*Salcycl</f>
        <v>0.11122134868412906</v>
      </c>
      <c r="P160" s="171">
        <f>(INDEX(Models!$BJ160:$BT160,,T160)*(1-R160)+INDEX(Models!$BJ160:$BT160,,T160+1)*R160-ERP_i)*Q160*Ramure*Pc/MaxiM</f>
        <v>1.6378918464900487E-4</v>
      </c>
      <c r="Q160" s="307">
        <f t="shared" si="51"/>
        <v>0.9</v>
      </c>
      <c r="R160" s="179">
        <f t="shared" si="52"/>
        <v>0.84463843713833042</v>
      </c>
      <c r="S160" s="839">
        <f t="shared" si="53"/>
        <v>-2</v>
      </c>
      <c r="T160" s="178">
        <f t="shared" si="54"/>
        <v>4</v>
      </c>
      <c r="U160" s="253">
        <f t="shared" si="55"/>
        <v>-1.1553615628616696</v>
      </c>
      <c r="V160" s="385">
        <f t="shared" si="56"/>
        <v>56.194285308558314</v>
      </c>
      <c r="W160" s="404"/>
      <c r="X160" s="157">
        <f t="shared" si="57"/>
        <v>43976</v>
      </c>
      <c r="Y160" s="387">
        <f t="shared" si="58"/>
        <v>55.326000000000001</v>
      </c>
      <c r="Z160" s="387">
        <f t="shared" si="59"/>
        <v>56.186253025776608</v>
      </c>
      <c r="AA160" s="388">
        <f t="shared" si="60"/>
        <v>63.217374700203138</v>
      </c>
      <c r="AB160" s="199">
        <f t="shared" si="61"/>
        <v>43976</v>
      </c>
      <c r="AC160" s="119">
        <f>IF(OR(t&lt;Tnet,NoTnet),'2019'!Resal_s+('2019'!Salim-'2019'!Resal_s)*(1-EXP(('2019'!Tnet_s-t)/'2019'!Tau_j)),Resal_s+(Salim-Resal_s)*(1-EXP((Tnet_s-t)/Tau_j)))*Salcycl</f>
        <v>0.11122134868412906</v>
      </c>
      <c r="AD160" s="233">
        <f>(INDEX(Models!$BJ160:$BT160,,AH160)*(1-AF160)+INDEX(Models!$BJ160:$BT160,,AH160+1)*AF160-ERP_i)*AE160*Ramure*Pc/MaxiM</f>
        <v>1.6378918464900487E-4</v>
      </c>
      <c r="AE160" s="307">
        <f t="shared" si="62"/>
        <v>0.9</v>
      </c>
      <c r="AF160" s="179">
        <f t="shared" si="63"/>
        <v>0.84463843713833042</v>
      </c>
      <c r="AG160" s="839">
        <f t="shared" si="71"/>
        <v>-2</v>
      </c>
      <c r="AH160" s="178">
        <f t="shared" si="64"/>
        <v>4</v>
      </c>
      <c r="AI160" s="227">
        <f t="shared" si="65"/>
        <v>-1.1553615628616696</v>
      </c>
      <c r="AJ160" s="267" t="b">
        <f t="shared" si="66"/>
        <v>0</v>
      </c>
      <c r="AK160" s="267" t="b">
        <f t="shared" si="67"/>
        <v>0</v>
      </c>
      <c r="AL160" s="267"/>
      <c r="AM160" s="267"/>
      <c r="AN160" s="75"/>
    </row>
    <row r="161" spans="1:40" s="6" customFormat="1" ht="11.25" customHeight="1" x14ac:dyDescent="0.2">
      <c r="A161" s="56">
        <f t="shared" si="68"/>
        <v>43977</v>
      </c>
      <c r="B161" s="620">
        <v>54.904000000000003</v>
      </c>
      <c r="C161" s="392"/>
      <c r="D161" s="395">
        <f t="shared" si="48"/>
        <v>55.758989024417609</v>
      </c>
      <c r="E161" s="387">
        <f t="shared" si="69"/>
        <v>62.750853884610471</v>
      </c>
      <c r="F161" s="387">
        <f t="shared" si="49"/>
        <v>62.760133675554769</v>
      </c>
      <c r="G161" s="110">
        <f t="shared" si="70"/>
        <v>0.97657813309873698</v>
      </c>
      <c r="H161" s="416" t="b">
        <f>Wh_hp&gt;='2019'!Maxi_hp</f>
        <v>1</v>
      </c>
      <c r="I161" s="382">
        <f>IF(H161,Wh_hp,'2019'!Maxi_hp)</f>
        <v>62.760133675554769</v>
      </c>
      <c r="J161" s="85">
        <f>IF(H161,An,'2019'!An_max)</f>
        <v>2020</v>
      </c>
      <c r="K161" s="199">
        <f t="shared" si="50"/>
        <v>43977</v>
      </c>
      <c r="L161" s="147">
        <f>IF(t&lt;Tvie,1-EXP((T0-t)*PertePVj)+'2019'!Pspv,1-EXP((T0-t)*PertePVj)+Pspv)</f>
        <v>1.5333653629250543E-2</v>
      </c>
      <c r="M161" s="872"/>
      <c r="N161" s="872"/>
      <c r="O161" s="48">
        <f>IF(t&lt;Tnet,'2019'!Resal+('2019'!Salim-'2019'!Resal)*(1-EXP(('2019'!Tnet-t)/('2019'!Tau_j))),Resal+(Salim-Resal)*(1-EXP((Tnet-t)/(Tau_j))))*Salcycl</f>
        <v>0.11142262499008962</v>
      </c>
      <c r="P161" s="171">
        <f>(INDEX(Models!$BJ161:$BT161,,T161)*(1-R161)+INDEX(Models!$BJ161:$BT161,,T161+1)*R161-ERP_i)*Q161*Ramure*Pc/MaxiM</f>
        <v>1.5297878480449286E-4</v>
      </c>
      <c r="Q161" s="307">
        <f t="shared" si="51"/>
        <v>0.9</v>
      </c>
      <c r="R161" s="179">
        <f t="shared" si="52"/>
        <v>0.85123894348569662</v>
      </c>
      <c r="S161" s="839">
        <f t="shared" si="53"/>
        <v>-2</v>
      </c>
      <c r="T161" s="178">
        <f t="shared" si="54"/>
        <v>4</v>
      </c>
      <c r="U161" s="253">
        <f t="shared" si="55"/>
        <v>-1.1487610565143034</v>
      </c>
      <c r="V161" s="385">
        <f t="shared" si="56"/>
        <v>56.220508245810457</v>
      </c>
      <c r="W161" s="404"/>
      <c r="X161" s="157">
        <f t="shared" si="57"/>
        <v>43977</v>
      </c>
      <c r="Y161" s="387">
        <f t="shared" si="58"/>
        <v>54.904000000000003</v>
      </c>
      <c r="Z161" s="387">
        <f t="shared" si="59"/>
        <v>55.758989024417609</v>
      </c>
      <c r="AA161" s="388">
        <f t="shared" si="60"/>
        <v>62.750853884610471</v>
      </c>
      <c r="AB161" s="199">
        <f t="shared" si="61"/>
        <v>43977</v>
      </c>
      <c r="AC161" s="119">
        <f>IF(OR(t&lt;Tnet,NoTnet),'2019'!Resal_s+('2019'!Salim-'2019'!Resal_s)*(1-EXP(('2019'!Tnet_s-t)/'2019'!Tau_j)),Resal_s+(Salim-Resal_s)*(1-EXP((Tnet_s-t)/Tau_j)))*Salcycl</f>
        <v>0.11142262499008962</v>
      </c>
      <c r="AD161" s="233">
        <f>(INDEX(Models!$BJ161:$BT161,,AH161)*(1-AF161)+INDEX(Models!$BJ161:$BT161,,AH161+1)*AF161-ERP_i)*AE161*Ramure*Pc/MaxiM</f>
        <v>1.5297878480449286E-4</v>
      </c>
      <c r="AE161" s="307">
        <f t="shared" si="62"/>
        <v>0.9</v>
      </c>
      <c r="AF161" s="179">
        <f t="shared" si="63"/>
        <v>0.85123894348569662</v>
      </c>
      <c r="AG161" s="839">
        <f t="shared" si="71"/>
        <v>-2</v>
      </c>
      <c r="AH161" s="178">
        <f t="shared" si="64"/>
        <v>4</v>
      </c>
      <c r="AI161" s="227">
        <f t="shared" si="65"/>
        <v>-1.1487610565143034</v>
      </c>
      <c r="AJ161" s="267" t="b">
        <f t="shared" si="66"/>
        <v>0</v>
      </c>
      <c r="AK161" s="267" t="b">
        <f t="shared" si="67"/>
        <v>0</v>
      </c>
      <c r="AL161" s="267"/>
      <c r="AM161" s="267"/>
      <c r="AN161" s="75"/>
    </row>
    <row r="162" spans="1:40" s="6" customFormat="1" ht="11.25" customHeight="1" x14ac:dyDescent="0.2">
      <c r="A162" s="56">
        <f t="shared" si="68"/>
        <v>43978</v>
      </c>
      <c r="B162" s="620">
        <v>54.180999999999997</v>
      </c>
      <c r="C162" s="392"/>
      <c r="D162" s="395">
        <f t="shared" si="48"/>
        <v>55.026010688868887</v>
      </c>
      <c r="E162" s="387">
        <f t="shared" si="69"/>
        <v>61.93996817164404</v>
      </c>
      <c r="F162" s="387">
        <f t="shared" si="49"/>
        <v>61.94834261618918</v>
      </c>
      <c r="G162" s="110">
        <f t="shared" si="70"/>
        <v>0.96331892254319929</v>
      </c>
      <c r="H162" s="416" t="b">
        <f>Wh_hp&gt;='2019'!Maxi_hp</f>
        <v>1</v>
      </c>
      <c r="I162" s="382">
        <f>IF(H162,Wh_hp,'2019'!Maxi_hp)</f>
        <v>61.94834261618918</v>
      </c>
      <c r="J162" s="85">
        <f>IF(H162,An,'2019'!An_max)</f>
        <v>2020</v>
      </c>
      <c r="K162" s="199">
        <f t="shared" si="50"/>
        <v>43978</v>
      </c>
      <c r="L162" s="147">
        <f>IF(t&lt;Tvie,1-EXP((T0-t)*PertePVj)+'2019'!Pspv,1-EXP((T0-t)*PertePVj)+Pspv)</f>
        <v>1.5356568253635516E-2</v>
      </c>
      <c r="M162" s="872"/>
      <c r="N162" s="872"/>
      <c r="O162" s="48">
        <f>IF(t&lt;Tnet,'2019'!Resal+('2019'!Salim-'2019'!Resal)*(1-EXP(('2019'!Tnet-t)/('2019'!Tau_j))),Resal+(Salim-Resal)*(1-EXP((Tnet-t)/(Tau_j))))*Salcycl</f>
        <v>0.11162352333820443</v>
      </c>
      <c r="P162" s="171">
        <f>(INDEX(Models!$BJ162:$BT162,,T162)*(1-R162)+INDEX(Models!$BJ162:$BT162,,T162+1)*R162-ERP_i)*Q162*Ramure*Pc/MaxiM</f>
        <v>1.4265837022305402E-4</v>
      </c>
      <c r="Q162" s="307">
        <f t="shared" si="51"/>
        <v>0.9</v>
      </c>
      <c r="R162" s="179">
        <f t="shared" si="52"/>
        <v>0.8579158268198559</v>
      </c>
      <c r="S162" s="839">
        <f t="shared" si="53"/>
        <v>-2</v>
      </c>
      <c r="T162" s="178">
        <f t="shared" si="54"/>
        <v>4</v>
      </c>
      <c r="U162" s="253">
        <f t="shared" si="55"/>
        <v>-1.1420841731801441</v>
      </c>
      <c r="V162" s="385">
        <f t="shared" si="56"/>
        <v>56.243673539259731</v>
      </c>
      <c r="W162" s="404"/>
      <c r="X162" s="157">
        <f t="shared" si="57"/>
        <v>43978</v>
      </c>
      <c r="Y162" s="387">
        <f t="shared" si="58"/>
        <v>54.180999999999997</v>
      </c>
      <c r="Z162" s="387">
        <f t="shared" si="59"/>
        <v>55.026010688868887</v>
      </c>
      <c r="AA162" s="388">
        <f t="shared" si="60"/>
        <v>61.93996817164404</v>
      </c>
      <c r="AB162" s="199">
        <f t="shared" si="61"/>
        <v>43978</v>
      </c>
      <c r="AC162" s="119">
        <f>IF(OR(t&lt;Tnet,NoTnet),'2019'!Resal_s+('2019'!Salim-'2019'!Resal_s)*(1-EXP(('2019'!Tnet_s-t)/'2019'!Tau_j)),Resal_s+(Salim-Resal_s)*(1-EXP((Tnet_s-t)/Tau_j)))*Salcycl</f>
        <v>0.11162352333820443</v>
      </c>
      <c r="AD162" s="233">
        <f>(INDEX(Models!$BJ162:$BT162,,AH162)*(1-AF162)+INDEX(Models!$BJ162:$BT162,,AH162+1)*AF162-ERP_i)*AE162*Ramure*Pc/MaxiM</f>
        <v>1.4265837022305402E-4</v>
      </c>
      <c r="AE162" s="307">
        <f t="shared" si="62"/>
        <v>0.9</v>
      </c>
      <c r="AF162" s="179">
        <f t="shared" si="63"/>
        <v>0.8579158268198559</v>
      </c>
      <c r="AG162" s="839">
        <f t="shared" si="71"/>
        <v>-2</v>
      </c>
      <c r="AH162" s="178">
        <f t="shared" si="64"/>
        <v>4</v>
      </c>
      <c r="AI162" s="227">
        <f t="shared" si="65"/>
        <v>-1.1420841731801441</v>
      </c>
      <c r="AJ162" s="267" t="b">
        <f t="shared" si="66"/>
        <v>0</v>
      </c>
      <c r="AK162" s="267" t="b">
        <f t="shared" si="67"/>
        <v>0</v>
      </c>
      <c r="AL162" s="267"/>
      <c r="AM162" s="267"/>
      <c r="AN162" s="75"/>
    </row>
    <row r="163" spans="1:40" s="6" customFormat="1" ht="11.25" x14ac:dyDescent="0.2">
      <c r="A163" s="56">
        <f t="shared" si="68"/>
        <v>43979</v>
      </c>
      <c r="B163" s="620">
        <v>54.652999999999999</v>
      </c>
      <c r="C163" s="392"/>
      <c r="D163" s="395">
        <f t="shared" si="48"/>
        <v>55.506663755240453</v>
      </c>
      <c r="E163" s="387">
        <f t="shared" si="69"/>
        <v>62.495111510695587</v>
      </c>
      <c r="F163" s="387">
        <f t="shared" si="49"/>
        <v>62.503074499597425</v>
      </c>
      <c r="G163" s="110">
        <f t="shared" si="70"/>
        <v>0.9713803778817377</v>
      </c>
      <c r="H163" s="416" t="b">
        <f>Wh_hp&gt;='2019'!Maxi_hp</f>
        <v>1</v>
      </c>
      <c r="I163" s="382">
        <f>IF(H163,Wh_hp,'2019'!Maxi_hp)</f>
        <v>62.503074499597425</v>
      </c>
      <c r="J163" s="85">
        <f>IF(H163,An,'2019'!An_max)</f>
        <v>2020</v>
      </c>
      <c r="K163" s="199">
        <f t="shared" si="50"/>
        <v>43979</v>
      </c>
      <c r="L163" s="147">
        <f>IF(t&lt;Tvie,1-EXP((T0-t)*PertePVj)+'2019'!Pspv,1-EXP((T0-t)*PertePVj)+Pspv)</f>
        <v>1.5379482344763717E-2</v>
      </c>
      <c r="M163" s="872"/>
      <c r="N163" s="872"/>
      <c r="O163" s="48">
        <f>IF(t&lt;Tnet,'2019'!Resal+('2019'!Salim-'2019'!Resal)*(1-EXP(('2019'!Tnet-t)/('2019'!Tau_j))),Resal+(Salim-Resal)*(1-EXP((Tnet-t)/(Tau_j))))*Salcycl</f>
        <v>0.11182391048712849</v>
      </c>
      <c r="P163" s="171">
        <f>(INDEX(Models!$BJ163:$BT163,,T163)*(1-R163)+INDEX(Models!$BJ163:$BT163,,T163+1)*R163-ERP_i)*Q163*Ramure*Pc/MaxiM</f>
        <v>1.3283138879181618E-4</v>
      </c>
      <c r="Q163" s="307">
        <f t="shared" si="51"/>
        <v>0.9</v>
      </c>
      <c r="R163" s="179">
        <f t="shared" si="52"/>
        <v>0.86466468758356685</v>
      </c>
      <c r="S163" s="839">
        <f t="shared" si="53"/>
        <v>-2</v>
      </c>
      <c r="T163" s="178">
        <f t="shared" si="54"/>
        <v>4</v>
      </c>
      <c r="U163" s="253">
        <f t="shared" si="55"/>
        <v>-1.1353353124164332</v>
      </c>
      <c r="V163" s="385">
        <f t="shared" si="56"/>
        <v>56.262926913015612</v>
      </c>
      <c r="W163" s="404"/>
      <c r="X163" s="157">
        <f t="shared" si="57"/>
        <v>43979</v>
      </c>
      <c r="Y163" s="387">
        <f t="shared" si="58"/>
        <v>54.652999999999999</v>
      </c>
      <c r="Z163" s="387">
        <f t="shared" si="59"/>
        <v>55.506663755240453</v>
      </c>
      <c r="AA163" s="388">
        <f t="shared" si="60"/>
        <v>62.495111510695587</v>
      </c>
      <c r="AB163" s="199">
        <f t="shared" si="61"/>
        <v>43979</v>
      </c>
      <c r="AC163" s="119">
        <f>IF(OR(t&lt;Tnet,NoTnet),'2019'!Resal_s+('2019'!Salim-'2019'!Resal_s)*(1-EXP(('2019'!Tnet_s-t)/'2019'!Tau_j)),Resal_s+(Salim-Resal_s)*(1-EXP((Tnet_s-t)/Tau_j)))*Salcycl</f>
        <v>0.11182391048712849</v>
      </c>
      <c r="AD163" s="233">
        <f>(INDEX(Models!$BJ163:$BT163,,AH163)*(1-AF163)+INDEX(Models!$BJ163:$BT163,,AH163+1)*AF163-ERP_i)*AE163*Ramure*Pc/MaxiM</f>
        <v>1.3283138879181618E-4</v>
      </c>
      <c r="AE163" s="307">
        <f t="shared" si="62"/>
        <v>0.9</v>
      </c>
      <c r="AF163" s="179">
        <f t="shared" si="63"/>
        <v>0.86466468758356685</v>
      </c>
      <c r="AG163" s="839">
        <f t="shared" si="71"/>
        <v>-2</v>
      </c>
      <c r="AH163" s="178">
        <f t="shared" si="64"/>
        <v>4</v>
      </c>
      <c r="AI163" s="227">
        <f t="shared" si="65"/>
        <v>-1.1353353124164332</v>
      </c>
      <c r="AJ163" s="267" t="b">
        <f t="shared" si="66"/>
        <v>0</v>
      </c>
      <c r="AK163" s="267" t="b">
        <f t="shared" si="67"/>
        <v>0</v>
      </c>
      <c r="AL163" s="267"/>
      <c r="AM163" s="267"/>
      <c r="AN163" s="75"/>
    </row>
    <row r="164" spans="1:40" s="6" customFormat="1" ht="11.25" x14ac:dyDescent="0.2">
      <c r="A164" s="56">
        <f t="shared" si="68"/>
        <v>43980</v>
      </c>
      <c r="B164" s="620">
        <v>51.429000000000002</v>
      </c>
      <c r="C164" s="392"/>
      <c r="D164" s="395">
        <f t="shared" si="48"/>
        <v>52.233521375616654</v>
      </c>
      <c r="E164" s="387">
        <f t="shared" si="69"/>
        <v>58.823099884262881</v>
      </c>
      <c r="F164" s="387">
        <f t="shared" si="49"/>
        <v>58.82949139641336</v>
      </c>
      <c r="G164" s="110">
        <f t="shared" si="70"/>
        <v>0.91383542593724598</v>
      </c>
      <c r="H164" s="416" t="b">
        <f>Wh_hp&gt;='2019'!Maxi_hp</f>
        <v>0</v>
      </c>
      <c r="I164" s="382">
        <f>IF(H164,Wh_hp,'2019'!Maxi_hp)</f>
        <v>63.612298063151371</v>
      </c>
      <c r="J164" s="85">
        <f>IF(H164,An,'2019'!An_max)</f>
        <v>2019</v>
      </c>
      <c r="K164" s="199">
        <f t="shared" si="50"/>
        <v>43980</v>
      </c>
      <c r="L164" s="147">
        <f>IF(t&lt;Tvie,1-EXP((T0-t)*PertePVj)+'2019'!Pspv,1-EXP((T0-t)*PertePVj)+Pspv)</f>
        <v>1.5402395902647581E-2</v>
      </c>
      <c r="M164" s="872"/>
      <c r="N164" s="872"/>
      <c r="O164" s="48">
        <f>IF(t&lt;Tnet,'2019'!Resal+('2019'!Salim-'2019'!Resal)*(1-EXP(('2019'!Tnet-t)/('2019'!Tau_j))),Resal+(Salim-Resal)*(1-EXP((Tnet-t)/(Tau_j))))*Salcycl</f>
        <v>0.11202365264006012</v>
      </c>
      <c r="P164" s="171">
        <f>(INDEX(Models!$BJ164:$BT164,,T164)*(1-R164)+INDEX(Models!$BJ164:$BT164,,T164+1)*R164-ERP_i)*Q164*Ramure*Pc/MaxiM</f>
        <v>1.2389242584304414E-4</v>
      </c>
      <c r="Q164" s="307">
        <f t="shared" si="51"/>
        <v>0.9</v>
      </c>
      <c r="R164" s="179">
        <f t="shared" si="52"/>
        <v>0.87148090809968926</v>
      </c>
      <c r="S164" s="839">
        <f t="shared" si="53"/>
        <v>-2</v>
      </c>
      <c r="T164" s="178">
        <f t="shared" si="54"/>
        <v>4</v>
      </c>
      <c r="U164" s="253">
        <f t="shared" si="55"/>
        <v>-1.1285190919003107</v>
      </c>
      <c r="V164" s="385">
        <f t="shared" si="56"/>
        <v>56.27732771083987</v>
      </c>
      <c r="W164" s="404"/>
      <c r="X164" s="157">
        <f t="shared" si="57"/>
        <v>43980</v>
      </c>
      <c r="Y164" s="387">
        <f t="shared" si="58"/>
        <v>51.429000000000002</v>
      </c>
      <c r="Z164" s="387">
        <f t="shared" si="59"/>
        <v>52.233521375616654</v>
      </c>
      <c r="AA164" s="388">
        <f t="shared" si="60"/>
        <v>58.823099884262881</v>
      </c>
      <c r="AB164" s="199">
        <f t="shared" si="61"/>
        <v>43980</v>
      </c>
      <c r="AC164" s="119">
        <f>IF(OR(t&lt;Tnet,NoTnet),'2019'!Resal_s+('2019'!Salim-'2019'!Resal_s)*(1-EXP(('2019'!Tnet_s-t)/'2019'!Tau_j)),Resal_s+(Salim-Resal_s)*(1-EXP((Tnet_s-t)/Tau_j)))*Salcycl</f>
        <v>0.11202365264006012</v>
      </c>
      <c r="AD164" s="233">
        <f>(INDEX(Models!$BJ164:$BT164,,AH164)*(1-AF164)+INDEX(Models!$BJ164:$BT164,,AH164+1)*AF164-ERP_i)*AE164*Ramure*Pc/MaxiM</f>
        <v>1.2389242584304414E-4</v>
      </c>
      <c r="AE164" s="307">
        <f t="shared" si="62"/>
        <v>0.9</v>
      </c>
      <c r="AF164" s="179">
        <f t="shared" si="63"/>
        <v>0.87148090809968926</v>
      </c>
      <c r="AG164" s="839">
        <f t="shared" si="71"/>
        <v>-2</v>
      </c>
      <c r="AH164" s="178">
        <f t="shared" si="64"/>
        <v>4</v>
      </c>
      <c r="AI164" s="227">
        <f t="shared" si="65"/>
        <v>-1.1285190919003107</v>
      </c>
      <c r="AJ164" s="267" t="b">
        <f t="shared" si="66"/>
        <v>0</v>
      </c>
      <c r="AK164" s="267" t="b">
        <f t="shared" si="67"/>
        <v>0</v>
      </c>
      <c r="AL164" s="267"/>
      <c r="AM164" s="267"/>
      <c r="AN164" s="75"/>
    </row>
    <row r="165" spans="1:40" s="6" customFormat="1" ht="11.25" x14ac:dyDescent="0.2">
      <c r="A165" s="56">
        <f t="shared" si="68"/>
        <v>43981</v>
      </c>
      <c r="B165" s="620">
        <v>55.183999999999997</v>
      </c>
      <c r="C165" s="392"/>
      <c r="D165" s="395">
        <f t="shared" si="48"/>
        <v>56.048566452461486</v>
      </c>
      <c r="E165" s="387">
        <f t="shared" si="69"/>
        <v>63.133582199427487</v>
      </c>
      <c r="F165" s="387">
        <f t="shared" si="49"/>
        <v>63.140685992420998</v>
      </c>
      <c r="G165" s="110">
        <f t="shared" si="70"/>
        <v>0.98039927567510821</v>
      </c>
      <c r="H165" s="416" t="b">
        <f>Wh_hp&gt;='2019'!Maxi_hp</f>
        <v>0</v>
      </c>
      <c r="I165" s="382">
        <f>IF(H165,Wh_hp,'2019'!Maxi_hp)</f>
        <v>64.631023417183059</v>
      </c>
      <c r="J165" s="85">
        <f>IF(H165,An,'2019'!An_max)</f>
        <v>2019</v>
      </c>
      <c r="K165" s="199">
        <f t="shared" si="50"/>
        <v>43981</v>
      </c>
      <c r="L165" s="147">
        <f>IF(t&lt;Tvie,1-EXP((T0-t)*PertePVj)+'2019'!Pspv,1-EXP((T0-t)*PertePVj)+Pspv)</f>
        <v>1.542530892729943E-2</v>
      </c>
      <c r="M165" s="872"/>
      <c r="N165" s="872"/>
      <c r="O165" s="48">
        <f>IF(t&lt;Tnet,'2019'!Resal+('2019'!Salim-'2019'!Resal)*(1-EXP(('2019'!Tnet-t)/('2019'!Tau_j))),Resal+(Salim-Resal)*(1-EXP((Tnet-t)/(Tau_j))))*Salcycl</f>
        <v>0.11222261592231102</v>
      </c>
      <c r="P165" s="171">
        <f>(INDEX(Models!$BJ165:$BT165,,T165)*(1-R165)+INDEX(Models!$BJ165:$BT165,,T165+1)*R165-ERP_i)*Q165*Ramure*Pc/MaxiM</f>
        <v>1.1574791343568416E-4</v>
      </c>
      <c r="Q165" s="307">
        <f t="shared" si="51"/>
        <v>0.9</v>
      </c>
      <c r="R165" s="179">
        <f t="shared" si="52"/>
        <v>0.87835966326916681</v>
      </c>
      <c r="S165" s="839">
        <f t="shared" si="53"/>
        <v>-2</v>
      </c>
      <c r="T165" s="178">
        <f t="shared" si="54"/>
        <v>4</v>
      </c>
      <c r="U165" s="253">
        <f t="shared" si="55"/>
        <v>-1.1216403367308332</v>
      </c>
      <c r="V165" s="385">
        <f t="shared" si="56"/>
        <v>56.287088866056791</v>
      </c>
      <c r="W165" s="404"/>
      <c r="X165" s="157">
        <f t="shared" si="57"/>
        <v>43981</v>
      </c>
      <c r="Y165" s="387">
        <f t="shared" si="58"/>
        <v>55.183999999999997</v>
      </c>
      <c r="Z165" s="387">
        <f t="shared" si="59"/>
        <v>56.048566452461486</v>
      </c>
      <c r="AA165" s="388">
        <f t="shared" si="60"/>
        <v>63.133582199427487</v>
      </c>
      <c r="AB165" s="199">
        <f t="shared" si="61"/>
        <v>43981</v>
      </c>
      <c r="AC165" s="119">
        <f>IF(OR(t&lt;Tnet,NoTnet),'2019'!Resal_s+('2019'!Salim-'2019'!Resal_s)*(1-EXP(('2019'!Tnet_s-t)/'2019'!Tau_j)),Resal_s+(Salim-Resal_s)*(1-EXP((Tnet_s-t)/Tau_j)))*Salcycl</f>
        <v>0.11222261592231102</v>
      </c>
      <c r="AD165" s="233">
        <f>(INDEX(Models!$BJ165:$BT165,,AH165)*(1-AF165)+INDEX(Models!$BJ165:$BT165,,AH165+1)*AF165-ERP_i)*AE165*Ramure*Pc/MaxiM</f>
        <v>1.1574791343568416E-4</v>
      </c>
      <c r="AE165" s="307">
        <f t="shared" si="62"/>
        <v>0.9</v>
      </c>
      <c r="AF165" s="179">
        <f t="shared" si="63"/>
        <v>0.87835966326916681</v>
      </c>
      <c r="AG165" s="839">
        <f t="shared" si="71"/>
        <v>-2</v>
      </c>
      <c r="AH165" s="178">
        <f t="shared" si="64"/>
        <v>4</v>
      </c>
      <c r="AI165" s="227">
        <f t="shared" si="65"/>
        <v>-1.1216403367308332</v>
      </c>
      <c r="AJ165" s="267" t="b">
        <f t="shared" si="66"/>
        <v>0</v>
      </c>
      <c r="AK165" s="267" t="b">
        <f t="shared" si="67"/>
        <v>0</v>
      </c>
      <c r="AL165" s="267"/>
      <c r="AM165" s="267"/>
      <c r="AN165" s="75"/>
    </row>
    <row r="166" spans="1:40" s="6" customFormat="1" ht="11.25" customHeight="1" x14ac:dyDescent="0.2">
      <c r="A166" s="56">
        <f t="shared" si="68"/>
        <v>43982</v>
      </c>
      <c r="B166" s="620">
        <v>54.225999999999999</v>
      </c>
      <c r="C166" s="392"/>
      <c r="D166" s="395">
        <f t="shared" si="48"/>
        <v>55.076839207115398</v>
      </c>
      <c r="E166" s="387">
        <f t="shared" si="69"/>
        <v>62.052863503361735</v>
      </c>
      <c r="F166" s="387">
        <f t="shared" si="49"/>
        <v>62.059238311835209</v>
      </c>
      <c r="G166" s="110">
        <f t="shared" si="70"/>
        <v>0.96328589579775747</v>
      </c>
      <c r="H166" s="416" t="b">
        <f>Wh_hp&gt;='2019'!Maxi_hp</f>
        <v>0</v>
      </c>
      <c r="I166" s="382">
        <f>IF(H166,Wh_hp,'2019'!Maxi_hp)</f>
        <v>65.060642777484958</v>
      </c>
      <c r="J166" s="85">
        <f>IF(H166,An,'2019'!An_max)</f>
        <v>2019</v>
      </c>
      <c r="K166" s="199">
        <f t="shared" si="50"/>
        <v>43982</v>
      </c>
      <c r="L166" s="147">
        <f>IF(t&lt;Tvie,1-EXP((T0-t)*PertePVj)+'2019'!Pspv,1-EXP((T0-t)*PertePVj)+Pspv)</f>
        <v>1.54482214187317E-2</v>
      </c>
      <c r="M166" s="872"/>
      <c r="N166" s="872"/>
      <c r="O166" s="48">
        <f>IF(t&lt;Tnet,'2019'!Resal+('2019'!Salim-'2019'!Resal)*(1-EXP(('2019'!Tnet-t)/('2019'!Tau_j))),Resal+(Salim-Resal)*(1-EXP((Tnet-t)/(Tau_j))))*Salcycl</f>
        <v>0.11242066687008581</v>
      </c>
      <c r="P166" s="171">
        <f>(INDEX(Models!$BJ166:$BT166,,T166)*(1-R166)+INDEX(Models!$BJ166:$BT166,,T166+1)*R166-ERP_i)*Q166*Ramure*Pc/MaxiM</f>
        <v>1.0840626754932734E-4</v>
      </c>
      <c r="Q166" s="307">
        <f t="shared" si="51"/>
        <v>0.9</v>
      </c>
      <c r="R166" s="179">
        <f t="shared" si="52"/>
        <v>0.88529593257708195</v>
      </c>
      <c r="S166" s="839">
        <f t="shared" si="53"/>
        <v>-2</v>
      </c>
      <c r="T166" s="178">
        <f t="shared" si="54"/>
        <v>4</v>
      </c>
      <c r="U166" s="253">
        <f t="shared" si="55"/>
        <v>-1.1147040674229181</v>
      </c>
      <c r="V166" s="385">
        <f t="shared" si="56"/>
        <v>56.292417375063629</v>
      </c>
      <c r="W166" s="404"/>
      <c r="X166" s="157">
        <f t="shared" si="57"/>
        <v>43982</v>
      </c>
      <c r="Y166" s="387">
        <f t="shared" si="58"/>
        <v>54.225999999999999</v>
      </c>
      <c r="Z166" s="387">
        <f t="shared" si="59"/>
        <v>55.076839207115398</v>
      </c>
      <c r="AA166" s="388">
        <f t="shared" si="60"/>
        <v>62.052863503361735</v>
      </c>
      <c r="AB166" s="199">
        <f t="shared" si="61"/>
        <v>43982</v>
      </c>
      <c r="AC166" s="119">
        <f>IF(OR(t&lt;Tnet,NoTnet),'2019'!Resal_s+('2019'!Salim-'2019'!Resal_s)*(1-EXP(('2019'!Tnet_s-t)/'2019'!Tau_j)),Resal_s+(Salim-Resal_s)*(1-EXP((Tnet_s-t)/Tau_j)))*Salcycl</f>
        <v>0.11242066687008581</v>
      </c>
      <c r="AD166" s="233">
        <f>(INDEX(Models!$BJ166:$BT166,,AH166)*(1-AF166)+INDEX(Models!$BJ166:$BT166,,AH166+1)*AF166-ERP_i)*AE166*Ramure*Pc/MaxiM</f>
        <v>1.0840626754932734E-4</v>
      </c>
      <c r="AE166" s="307">
        <f t="shared" si="62"/>
        <v>0.9</v>
      </c>
      <c r="AF166" s="179">
        <f t="shared" si="63"/>
        <v>0.88529593257708195</v>
      </c>
      <c r="AG166" s="839">
        <f t="shared" si="71"/>
        <v>-2</v>
      </c>
      <c r="AH166" s="178">
        <f t="shared" si="64"/>
        <v>4</v>
      </c>
      <c r="AI166" s="227">
        <f t="shared" si="65"/>
        <v>-1.1147040674229181</v>
      </c>
      <c r="AJ166" s="267" t="b">
        <f t="shared" si="66"/>
        <v>0</v>
      </c>
      <c r="AK166" s="267" t="b">
        <f t="shared" si="67"/>
        <v>0</v>
      </c>
      <c r="AL166" s="267"/>
      <c r="AM166" s="267"/>
      <c r="AN166" s="75"/>
    </row>
    <row r="167" spans="1:40" s="6" customFormat="1" ht="11.25" customHeight="1" x14ac:dyDescent="0.2">
      <c r="A167" s="56">
        <f t="shared" si="68"/>
        <v>43983</v>
      </c>
      <c r="B167" s="620">
        <v>26.446999999999999</v>
      </c>
      <c r="C167" s="392"/>
      <c r="D167" s="395">
        <f t="shared" si="48"/>
        <v>26.862594786797693</v>
      </c>
      <c r="E167" s="387">
        <f t="shared" si="69"/>
        <v>30.271726140208663</v>
      </c>
      <c r="F167" s="387">
        <f t="shared" si="49"/>
        <v>30.272474268325578</v>
      </c>
      <c r="G167" s="110">
        <f t="shared" si="70"/>
        <v>0.4697691533345178</v>
      </c>
      <c r="H167" s="416" t="b">
        <f>Wh_hp&gt;='2019'!Maxi_hp</f>
        <v>0</v>
      </c>
      <c r="I167" s="382">
        <f>IF(H167,Wh_hp,'2019'!Maxi_hp)</f>
        <v>63.821113384817394</v>
      </c>
      <c r="J167" s="85">
        <f>IF(H167,An,'2019'!An_max)</f>
        <v>2019</v>
      </c>
      <c r="K167" s="199">
        <f t="shared" si="50"/>
        <v>43983</v>
      </c>
      <c r="L167" s="147">
        <f>IF(t&lt;Tvie,1-EXP((T0-t)*PertePVj)+'2019'!Pspv,1-EXP((T0-t)*PertePVj)+Pspv)</f>
        <v>1.5471133376956936E-2</v>
      </c>
      <c r="M167" s="872"/>
      <c r="N167" s="872"/>
      <c r="O167" s="48">
        <f>IF(t&lt;Tnet,'2019'!Resal+('2019'!Salim-'2019'!Resal)*(1-EXP(('2019'!Tnet-t)/('2019'!Tau_j))),Resal+(Salim-Resal)*(1-EXP((Tnet-t)/(Tau_j))))*Salcycl</f>
        <v>0.1126176729275693</v>
      </c>
      <c r="P167" s="171">
        <f>(INDEX(Models!$BJ167:$BT167,,T167)*(1-R167)+INDEX(Models!$BJ167:$BT167,,T167+1)*R167-ERP_i)*Q167*Ramure*Pc/MaxiM</f>
        <v>1.0187663360965057E-4</v>
      </c>
      <c r="Q167" s="307">
        <f t="shared" si="51"/>
        <v>0.9</v>
      </c>
      <c r="R167" s="179">
        <f t="shared" si="52"/>
        <v>0.89228451335725967</v>
      </c>
      <c r="S167" s="839">
        <f t="shared" si="53"/>
        <v>-2</v>
      </c>
      <c r="T167" s="178">
        <f t="shared" si="54"/>
        <v>4</v>
      </c>
      <c r="U167" s="253">
        <f t="shared" si="55"/>
        <v>-1.1077154866427403</v>
      </c>
      <c r="V167" s="385">
        <f t="shared" si="56"/>
        <v>56.293519953646253</v>
      </c>
      <c r="W167" s="404"/>
      <c r="X167" s="157">
        <f t="shared" si="57"/>
        <v>43983</v>
      </c>
      <c r="Y167" s="387">
        <f t="shared" si="58"/>
        <v>26.446999999999999</v>
      </c>
      <c r="Z167" s="387">
        <f t="shared" si="59"/>
        <v>26.862594786797693</v>
      </c>
      <c r="AA167" s="388">
        <f t="shared" si="60"/>
        <v>30.271726140208663</v>
      </c>
      <c r="AB167" s="199">
        <f t="shared" si="61"/>
        <v>43983</v>
      </c>
      <c r="AC167" s="119">
        <f>IF(OR(t&lt;Tnet,NoTnet),'2019'!Resal_s+('2019'!Salim-'2019'!Resal_s)*(1-EXP(('2019'!Tnet_s-t)/'2019'!Tau_j)),Resal_s+(Salim-Resal_s)*(1-EXP((Tnet_s-t)/Tau_j)))*Salcycl</f>
        <v>0.1126176729275693</v>
      </c>
      <c r="AD167" s="233">
        <f>(INDEX(Models!$BJ167:$BT167,,AH167)*(1-AF167)+INDEX(Models!$BJ167:$BT167,,AH167+1)*AF167-ERP_i)*AE167*Ramure*Pc/MaxiM</f>
        <v>1.0187663360965057E-4</v>
      </c>
      <c r="AE167" s="307">
        <f t="shared" si="62"/>
        <v>0.9</v>
      </c>
      <c r="AF167" s="179">
        <f t="shared" si="63"/>
        <v>0.89228451335725967</v>
      </c>
      <c r="AG167" s="839">
        <f t="shared" si="71"/>
        <v>-2</v>
      </c>
      <c r="AH167" s="178">
        <f t="shared" si="64"/>
        <v>4</v>
      </c>
      <c r="AI167" s="227">
        <f t="shared" si="65"/>
        <v>-1.1077154866427403</v>
      </c>
      <c r="AJ167" s="267" t="b">
        <f t="shared" si="66"/>
        <v>0</v>
      </c>
      <c r="AK167" s="267" t="b">
        <f t="shared" si="67"/>
        <v>0</v>
      </c>
      <c r="AL167" s="267"/>
      <c r="AM167" s="267"/>
      <c r="AN167" s="75"/>
    </row>
    <row r="168" spans="1:40" s="6" customFormat="1" ht="11.25" customHeight="1" x14ac:dyDescent="0.2">
      <c r="A168" s="56">
        <f t="shared" si="68"/>
        <v>43984</v>
      </c>
      <c r="B168" s="620">
        <v>52.222999999999999</v>
      </c>
      <c r="C168" s="392"/>
      <c r="D168" s="395">
        <f t="shared" si="48"/>
        <v>53.044879743258072</v>
      </c>
      <c r="E168" s="387">
        <f t="shared" si="69"/>
        <v>59.789998968193679</v>
      </c>
      <c r="F168" s="387">
        <f t="shared" si="49"/>
        <v>59.795155783954719</v>
      </c>
      <c r="G168" s="110">
        <f t="shared" si="70"/>
        <v>0.92773000695811025</v>
      </c>
      <c r="H168" s="416" t="b">
        <f>Wh_hp&gt;='2019'!Maxi_hp</f>
        <v>1</v>
      </c>
      <c r="I168" s="382">
        <f>IF(H168,Wh_hp,'2019'!Maxi_hp)</f>
        <v>59.795155783954719</v>
      </c>
      <c r="J168" s="85">
        <f>IF(H168,An,'2019'!An_max)</f>
        <v>2020</v>
      </c>
      <c r="K168" s="199">
        <f t="shared" si="50"/>
        <v>43984</v>
      </c>
      <c r="L168" s="147">
        <f>IF(t&lt;Tvie,1-EXP((T0-t)*PertePVj)+'2019'!Pspv,1-EXP((T0-t)*PertePVj)+Pspv)</f>
        <v>1.549404480198735E-2</v>
      </c>
      <c r="M168" s="872"/>
      <c r="N168" s="872"/>
      <c r="O168" s="48">
        <f>IF(t&lt;Tnet,'2019'!Resal+('2019'!Salim-'2019'!Resal)*(1-EXP(('2019'!Tnet-t)/('2019'!Tau_j))),Resal+(Salim-Resal)*(1-EXP((Tnet-t)/(Tau_j))))*Salcycl</f>
        <v>0.11281350294927742</v>
      </c>
      <c r="P168" s="171">
        <f>(INDEX(Models!$BJ168:$BT168,,T168)*(1-R168)+INDEX(Models!$BJ168:$BT168,,T168+1)*R168-ERP_i)*Q168*Ramure*Pc/MaxiM</f>
        <v>9.6168843175170531E-5</v>
      </c>
      <c r="Q168" s="307">
        <f t="shared" si="51"/>
        <v>0.9</v>
      </c>
      <c r="R168" s="179">
        <f t="shared" si="52"/>
        <v>0.8993200352524402</v>
      </c>
      <c r="S168" s="839">
        <f t="shared" si="53"/>
        <v>-2</v>
      </c>
      <c r="T168" s="178">
        <f t="shared" si="54"/>
        <v>4</v>
      </c>
      <c r="U168" s="253">
        <f t="shared" si="55"/>
        <v>-1.1006799647475598</v>
      </c>
      <c r="V168" s="385">
        <f t="shared" si="56"/>
        <v>56.290602999615977</v>
      </c>
      <c r="W168" s="404"/>
      <c r="X168" s="157">
        <f t="shared" si="57"/>
        <v>43984</v>
      </c>
      <c r="Y168" s="387">
        <f t="shared" si="58"/>
        <v>52.222999999999999</v>
      </c>
      <c r="Z168" s="387">
        <f t="shared" si="59"/>
        <v>53.044879743258072</v>
      </c>
      <c r="AA168" s="388">
        <f t="shared" si="60"/>
        <v>59.789998968193679</v>
      </c>
      <c r="AB168" s="199">
        <f t="shared" si="61"/>
        <v>43984</v>
      </c>
      <c r="AC168" s="119">
        <f>IF(OR(t&lt;Tnet,NoTnet),'2019'!Resal_s+('2019'!Salim-'2019'!Resal_s)*(1-EXP(('2019'!Tnet_s-t)/'2019'!Tau_j)),Resal_s+(Salim-Resal_s)*(1-EXP((Tnet_s-t)/Tau_j)))*Salcycl</f>
        <v>0.11281350294927742</v>
      </c>
      <c r="AD168" s="233">
        <f>(INDEX(Models!$BJ168:$BT168,,AH168)*(1-AF168)+INDEX(Models!$BJ168:$BT168,,AH168+1)*AF168-ERP_i)*AE168*Ramure*Pc/MaxiM</f>
        <v>9.6168843175170531E-5</v>
      </c>
      <c r="AE168" s="307">
        <f t="shared" si="62"/>
        <v>0.9</v>
      </c>
      <c r="AF168" s="179">
        <f t="shared" si="63"/>
        <v>0.8993200352524402</v>
      </c>
      <c r="AG168" s="839">
        <f t="shared" si="71"/>
        <v>-2</v>
      </c>
      <c r="AH168" s="178">
        <f t="shared" si="64"/>
        <v>4</v>
      </c>
      <c r="AI168" s="227">
        <f t="shared" si="65"/>
        <v>-1.1006799647475598</v>
      </c>
      <c r="AJ168" s="267" t="b">
        <f t="shared" si="66"/>
        <v>0</v>
      </c>
      <c r="AK168" s="267" t="b">
        <f t="shared" si="67"/>
        <v>0</v>
      </c>
      <c r="AL168" s="267"/>
      <c r="AM168" s="267"/>
      <c r="AN168" s="75"/>
    </row>
    <row r="169" spans="1:40" s="18" customFormat="1" ht="11.25" customHeight="1" x14ac:dyDescent="0.2">
      <c r="A169" s="56">
        <f t="shared" si="68"/>
        <v>43985</v>
      </c>
      <c r="B169" s="620">
        <v>24.579000000000001</v>
      </c>
      <c r="C169" s="392"/>
      <c r="D169" s="395">
        <f t="shared" si="48"/>
        <v>24.966402562395142</v>
      </c>
      <c r="E169" s="387">
        <f t="shared" si="69"/>
        <v>28.147270034229681</v>
      </c>
      <c r="F169" s="387">
        <f t="shared" si="49"/>
        <v>28.147771849988661</v>
      </c>
      <c r="G169" s="110">
        <f t="shared" si="70"/>
        <v>0.43666494753193152</v>
      </c>
      <c r="H169" s="416" t="b">
        <f>Wh_hp&gt;='2019'!Maxi_hp</f>
        <v>0</v>
      </c>
      <c r="I169" s="382">
        <f>IF(H169,Wh_hp,'2019'!Maxi_hp)</f>
        <v>57.885419490334492</v>
      </c>
      <c r="J169" s="85">
        <f>IF(H169,An,'2019'!An_max)</f>
        <v>2019</v>
      </c>
      <c r="K169" s="199">
        <f t="shared" si="50"/>
        <v>43985</v>
      </c>
      <c r="L169" s="147">
        <f>IF(t&lt;Tvie,1-EXP((T0-t)*PertePVj)+'2019'!Pspv,1-EXP((T0-t)*PertePVj)+Pspv)</f>
        <v>1.5516955693835377E-2</v>
      </c>
      <c r="M169" s="872"/>
      <c r="N169" s="872"/>
      <c r="O169" s="48">
        <f>IF(t&lt;Tnet,'2019'!Resal+('2019'!Salim-'2019'!Resal)*(1-EXP(('2019'!Tnet-t)/('2019'!Tau_j))),Resal+(Salim-Resal)*(1-EXP((Tnet-t)/(Tau_j))))*Salcycl</f>
        <v>0.11300802770450963</v>
      </c>
      <c r="P169" s="171">
        <f>(INDEX(Models!$BJ169:$BT169,,T169)*(1-R169)+INDEX(Models!$BJ169:$BT169,,T169+1)*R169-ERP_i)*Q169*Ramure*Pc/MaxiM</f>
        <v>9.1293368951436265E-5</v>
      </c>
      <c r="Q169" s="307">
        <f t="shared" si="51"/>
        <v>0.9</v>
      </c>
      <c r="R169" s="179">
        <f t="shared" si="52"/>
        <v>0.90639697579396405</v>
      </c>
      <c r="S169" s="839">
        <f t="shared" si="53"/>
        <v>-2</v>
      </c>
      <c r="T169" s="178">
        <f t="shared" si="54"/>
        <v>4</v>
      </c>
      <c r="U169" s="253">
        <f t="shared" si="55"/>
        <v>-1.0936030242060359</v>
      </c>
      <c r="V169" s="385">
        <f t="shared" si="56"/>
        <v>56.283872564178608</v>
      </c>
      <c r="W169" s="404"/>
      <c r="X169" s="157">
        <f t="shared" si="57"/>
        <v>43985</v>
      </c>
      <c r="Y169" s="387">
        <f t="shared" si="58"/>
        <v>24.579000000000001</v>
      </c>
      <c r="Z169" s="387">
        <f t="shared" si="59"/>
        <v>24.966402562395142</v>
      </c>
      <c r="AA169" s="388">
        <f t="shared" si="60"/>
        <v>28.147270034229681</v>
      </c>
      <c r="AB169" s="199">
        <f t="shared" si="61"/>
        <v>43985</v>
      </c>
      <c r="AC169" s="119">
        <f>IF(OR(t&lt;Tnet,NoTnet),'2019'!Resal_s+('2019'!Salim-'2019'!Resal_s)*(1-EXP(('2019'!Tnet_s-t)/'2019'!Tau_j)),Resal_s+(Salim-Resal_s)*(1-EXP((Tnet_s-t)/Tau_j)))*Salcycl</f>
        <v>0.11300802770450963</v>
      </c>
      <c r="AD169" s="233">
        <f>(INDEX(Models!$BJ169:$BT169,,AH169)*(1-AF169)+INDEX(Models!$BJ169:$BT169,,AH169+1)*AF169-ERP_i)*AE169*Ramure*Pc/MaxiM</f>
        <v>9.1293368951436265E-5</v>
      </c>
      <c r="AE169" s="307">
        <f t="shared" si="62"/>
        <v>0.9</v>
      </c>
      <c r="AF169" s="179">
        <f t="shared" si="63"/>
        <v>0.90639697579396405</v>
      </c>
      <c r="AG169" s="839">
        <f t="shared" si="71"/>
        <v>-2</v>
      </c>
      <c r="AH169" s="178">
        <f t="shared" si="64"/>
        <v>4</v>
      </c>
      <c r="AI169" s="227">
        <f t="shared" si="65"/>
        <v>-1.0936030242060359</v>
      </c>
      <c r="AJ169" s="267" t="b">
        <f t="shared" si="66"/>
        <v>0</v>
      </c>
      <c r="AK169" s="267" t="b">
        <f t="shared" si="67"/>
        <v>0</v>
      </c>
      <c r="AL169" s="267"/>
      <c r="AM169" s="267"/>
      <c r="AN169" s="267"/>
    </row>
    <row r="170" spans="1:40" s="18" customFormat="1" ht="11.25" customHeight="1" x14ac:dyDescent="0.2">
      <c r="A170" s="56">
        <f t="shared" si="68"/>
        <v>43986</v>
      </c>
      <c r="B170" s="620">
        <v>32.994999999999997</v>
      </c>
      <c r="C170" s="392"/>
      <c r="D170" s="395">
        <f t="shared" si="48"/>
        <v>33.515831532656087</v>
      </c>
      <c r="E170" s="387">
        <f t="shared" ref="E170:E232" si="72">Wh_pvt/(1-Psa)</f>
        <v>37.794174420971743</v>
      </c>
      <c r="F170" s="387">
        <f t="shared" si="49"/>
        <v>37.795524810118323</v>
      </c>
      <c r="G170" s="110">
        <f t="shared" ref="G170:G232" si="73">+Wh_hp/MaxiM</f>
        <v>0.58630224719330293</v>
      </c>
      <c r="H170" s="416" t="b">
        <f>Wh_hp&gt;='2019'!Maxi_hp</f>
        <v>1</v>
      </c>
      <c r="I170" s="382">
        <f>IF(H170,Wh_hp,'2019'!Maxi_hp)</f>
        <v>37.795524810118323</v>
      </c>
      <c r="J170" s="85">
        <f>IF(H170,An,'2019'!An_max)</f>
        <v>2020</v>
      </c>
      <c r="K170" s="199">
        <f t="shared" si="50"/>
        <v>43986</v>
      </c>
      <c r="L170" s="147">
        <f>IF(t&lt;Tvie,1-EXP((T0-t)*PertePVj)+'2019'!Pspv,1-EXP((T0-t)*PertePVj)+Pspv)</f>
        <v>1.5539866052513562E-2</v>
      </c>
      <c r="M170" s="872"/>
      <c r="N170" s="872"/>
      <c r="O170" s="48">
        <f>IF(t&lt;Tnet,'2019'!Resal+('2019'!Salim-'2019'!Resal)*(1-EXP(('2019'!Tnet-t)/('2019'!Tau_j))),Resal+(Salim-Resal)*(1-EXP((Tnet-t)/(Tau_j))))*Salcycl</f>
        <v>0.11320112038064868</v>
      </c>
      <c r="P170" s="171">
        <f>(INDEX(Models!$BJ170:$BT170,,T170)*(1-R170)+INDEX(Models!$BJ170:$BT170,,T170+1)*R170-ERP_i)*Q170*Ramure*Pc/MaxiM</f>
        <v>8.7346585624673904E-5</v>
      </c>
      <c r="Q170" s="307">
        <f t="shared" si="51"/>
        <v>0.9</v>
      </c>
      <c r="R170" s="179">
        <f t="shared" si="52"/>
        <v>0.91350967701234476</v>
      </c>
      <c r="S170" s="839">
        <f t="shared" si="53"/>
        <v>-2</v>
      </c>
      <c r="T170" s="178">
        <f t="shared" si="54"/>
        <v>4</v>
      </c>
      <c r="U170" s="253">
        <f t="shared" si="55"/>
        <v>-1.0864903229876552</v>
      </c>
      <c r="V170" s="385">
        <f t="shared" si="56"/>
        <v>56.273529512469231</v>
      </c>
      <c r="W170" s="404"/>
      <c r="X170" s="157">
        <f t="shared" si="57"/>
        <v>43986</v>
      </c>
      <c r="Y170" s="387">
        <f t="shared" si="58"/>
        <v>32.994999999999997</v>
      </c>
      <c r="Z170" s="387">
        <f t="shared" si="59"/>
        <v>33.515831532656087</v>
      </c>
      <c r="AA170" s="388">
        <f t="shared" si="60"/>
        <v>37.794174420971743</v>
      </c>
      <c r="AB170" s="199">
        <f t="shared" si="61"/>
        <v>43986</v>
      </c>
      <c r="AC170" s="119">
        <f>IF(OR(t&lt;Tnet,NoTnet),'2019'!Resal_s+('2019'!Salim-'2019'!Resal_s)*(1-EXP(('2019'!Tnet_s-t)/'2019'!Tau_j)),Resal_s+(Salim-Resal_s)*(1-EXP((Tnet_s-t)/Tau_j)))*Salcycl</f>
        <v>0.11320112038064868</v>
      </c>
      <c r="AD170" s="233">
        <f>(INDEX(Models!$BJ170:$BT170,,AH170)*(1-AF170)+INDEX(Models!$BJ170:$BT170,,AH170+1)*AF170-ERP_i)*AE170*Ramure*Pc/MaxiM</f>
        <v>8.7346585624673904E-5</v>
      </c>
      <c r="AE170" s="307">
        <f t="shared" si="62"/>
        <v>0.9</v>
      </c>
      <c r="AF170" s="179">
        <f t="shared" si="63"/>
        <v>0.91350967701234476</v>
      </c>
      <c r="AG170" s="839">
        <f t="shared" si="71"/>
        <v>-2</v>
      </c>
      <c r="AH170" s="178">
        <f t="shared" si="64"/>
        <v>4</v>
      </c>
      <c r="AI170" s="227">
        <f t="shared" si="65"/>
        <v>-1.0864903229876552</v>
      </c>
      <c r="AJ170" s="267" t="b">
        <f t="shared" si="66"/>
        <v>0</v>
      </c>
      <c r="AK170" s="267" t="b">
        <f t="shared" si="67"/>
        <v>0</v>
      </c>
      <c r="AL170" s="267"/>
      <c r="AM170" s="267"/>
      <c r="AN170" s="267"/>
    </row>
    <row r="171" spans="1:40" s="6" customFormat="1" ht="11.25" customHeight="1" x14ac:dyDescent="0.2">
      <c r="A171" s="56">
        <f t="shared" si="68"/>
        <v>43987</v>
      </c>
      <c r="B171" s="620">
        <v>24.263999999999999</v>
      </c>
      <c r="C171" s="392"/>
      <c r="D171" s="395">
        <f t="shared" si="48"/>
        <v>24.64758483878078</v>
      </c>
      <c r="E171" s="387">
        <f t="shared" si="72"/>
        <v>27.799888006409226</v>
      </c>
      <c r="F171" s="387">
        <f t="shared" si="49"/>
        <v>27.800325174320779</v>
      </c>
      <c r="G171" s="110">
        <f t="shared" si="73"/>
        <v>0.43125542781807608</v>
      </c>
      <c r="H171" s="416" t="b">
        <f>Wh_hp&gt;='2019'!Maxi_hp</f>
        <v>0</v>
      </c>
      <c r="I171" s="382">
        <f>IF(H171,Wh_hp,'2019'!Maxi_hp)</f>
        <v>63.625581606461907</v>
      </c>
      <c r="J171" s="85">
        <f>IF(H171,An,'2019'!An_max)</f>
        <v>2019</v>
      </c>
      <c r="K171" s="199">
        <f t="shared" si="50"/>
        <v>43987</v>
      </c>
      <c r="L171" s="147">
        <f>IF(t&lt;Tvie,1-EXP((T0-t)*PertePVj)+'2019'!Pspv,1-EXP((T0-t)*PertePVj)+Pspv)</f>
        <v>1.556277587803423E-2</v>
      </c>
      <c r="M171" s="872"/>
      <c r="N171" s="872"/>
      <c r="O171" s="48">
        <f>IF(t&lt;Tnet,'2019'!Resal+('2019'!Salim-'2019'!Resal)*(1-EXP(('2019'!Tnet-t)/('2019'!Tau_j))),Resal+(Salim-Resal)*(1-EXP((Tnet-t)/(Tau_j))))*Salcycl</f>
        <v>0.11339265708198853</v>
      </c>
      <c r="P171" s="171">
        <f>(INDEX(Models!$BJ171:$BT171,,T171)*(1-R171)+INDEX(Models!$BJ171:$BT171,,T171+1)*R171-ERP_i)*Q171*Ramure*Pc/MaxiM</f>
        <v>8.3845926649917167E-5</v>
      </c>
      <c r="Q171" s="307">
        <f t="shared" si="51"/>
        <v>0.9</v>
      </c>
      <c r="R171" s="179">
        <f t="shared" si="52"/>
        <v>0.92065236297834074</v>
      </c>
      <c r="S171" s="839">
        <f t="shared" si="53"/>
        <v>-2</v>
      </c>
      <c r="T171" s="178">
        <f t="shared" si="54"/>
        <v>4</v>
      </c>
      <c r="U171" s="253">
        <f t="shared" si="55"/>
        <v>-1.0793476370216593</v>
      </c>
      <c r="V171" s="385">
        <f t="shared" si="56"/>
        <v>56.259806902383133</v>
      </c>
      <c r="W171" s="404"/>
      <c r="X171" s="157">
        <f t="shared" si="57"/>
        <v>43987</v>
      </c>
      <c r="Y171" s="387">
        <f t="shared" si="58"/>
        <v>24.263999999999999</v>
      </c>
      <c r="Z171" s="387">
        <f t="shared" si="59"/>
        <v>24.64758483878078</v>
      </c>
      <c r="AA171" s="388">
        <f t="shared" si="60"/>
        <v>27.799888006409226</v>
      </c>
      <c r="AB171" s="199">
        <f t="shared" si="61"/>
        <v>43987</v>
      </c>
      <c r="AC171" s="119">
        <f>IF(OR(t&lt;Tnet,NoTnet),'2019'!Resal_s+('2019'!Salim-'2019'!Resal_s)*(1-EXP(('2019'!Tnet_s-t)/'2019'!Tau_j)),Resal_s+(Salim-Resal_s)*(1-EXP((Tnet_s-t)/Tau_j)))*Salcycl</f>
        <v>0.11339265708198853</v>
      </c>
      <c r="AD171" s="233">
        <f>(INDEX(Models!$BJ171:$BT171,,AH171)*(1-AF171)+INDEX(Models!$BJ171:$BT171,,AH171+1)*AF171-ERP_i)*AE171*Ramure*Pc/MaxiM</f>
        <v>8.3845926649917167E-5</v>
      </c>
      <c r="AE171" s="307">
        <f t="shared" si="62"/>
        <v>0.9</v>
      </c>
      <c r="AF171" s="179">
        <f t="shared" si="63"/>
        <v>0.92065236297834074</v>
      </c>
      <c r="AG171" s="839">
        <f t="shared" si="71"/>
        <v>-2</v>
      </c>
      <c r="AH171" s="178">
        <f t="shared" si="64"/>
        <v>4</v>
      </c>
      <c r="AI171" s="227">
        <f t="shared" si="65"/>
        <v>-1.0793476370216593</v>
      </c>
      <c r="AJ171" s="267" t="b">
        <f t="shared" si="66"/>
        <v>0</v>
      </c>
      <c r="AK171" s="267" t="b">
        <f t="shared" si="67"/>
        <v>0</v>
      </c>
      <c r="AL171" s="267"/>
      <c r="AM171" s="267"/>
      <c r="AN171" s="75"/>
    </row>
    <row r="172" spans="1:40" s="6" customFormat="1" ht="11.25" customHeight="1" x14ac:dyDescent="0.2">
      <c r="A172" s="56">
        <f t="shared" si="68"/>
        <v>43988</v>
      </c>
      <c r="B172" s="620">
        <v>25.183</v>
      </c>
      <c r="C172" s="392"/>
      <c r="D172" s="395">
        <f t="shared" si="48"/>
        <v>25.581708454086606</v>
      </c>
      <c r="E172" s="387">
        <f t="shared" si="72"/>
        <v>28.859661450678932</v>
      </c>
      <c r="F172" s="387">
        <f t="shared" si="49"/>
        <v>28.860153650186994</v>
      </c>
      <c r="G172" s="110">
        <f t="shared" si="73"/>
        <v>0.44772567425175369</v>
      </c>
      <c r="H172" s="416" t="b">
        <f>Wh_hp&gt;='2019'!Maxi_hp</f>
        <v>1</v>
      </c>
      <c r="I172" s="382">
        <f>IF(H172,Wh_hp,'2019'!Maxi_hp)</f>
        <v>28.860153650186994</v>
      </c>
      <c r="J172" s="85">
        <f>IF(H172,An,'2019'!An_max)</f>
        <v>2020</v>
      </c>
      <c r="K172" s="199">
        <f t="shared" si="50"/>
        <v>43988</v>
      </c>
      <c r="L172" s="147">
        <f>IF(t&lt;Tvie,1-EXP((T0-t)*PertePVj)+'2019'!Pspv,1-EXP((T0-t)*PertePVj)+Pspv)</f>
        <v>1.5585685170409813E-2</v>
      </c>
      <c r="M172" s="872"/>
      <c r="N172" s="872"/>
      <c r="O172" s="48">
        <f>IF(t&lt;Tnet,'2019'!Resal+('2019'!Salim-'2019'!Resal)*(1-EXP(('2019'!Tnet-t)/('2019'!Tau_j))),Resal+(Salim-Resal)*(1-EXP((Tnet-t)/(Tau_j))))*Salcycl</f>
        <v>0.11358251732073628</v>
      </c>
      <c r="P172" s="171">
        <f>(INDEX(Models!$BJ172:$BT172,,T172)*(1-R172)+INDEX(Models!$BJ172:$BT172,,T172+1)*R172-ERP_i)*Q172*Ramure*Pc/MaxiM</f>
        <v>8.0798015529955761E-5</v>
      </c>
      <c r="Q172" s="307">
        <f t="shared" si="51"/>
        <v>0.9</v>
      </c>
      <c r="R172" s="179">
        <f t="shared" si="52"/>
        <v>0.92781915816329708</v>
      </c>
      <c r="S172" s="839">
        <f t="shared" si="53"/>
        <v>-2</v>
      </c>
      <c r="T172" s="178">
        <f t="shared" si="54"/>
        <v>4</v>
      </c>
      <c r="U172" s="253">
        <f t="shared" si="55"/>
        <v>-1.0721808418367029</v>
      </c>
      <c r="V172" s="385">
        <f t="shared" si="56"/>
        <v>56.242909824772227</v>
      </c>
      <c r="W172" s="404"/>
      <c r="X172" s="157">
        <f t="shared" si="57"/>
        <v>43988</v>
      </c>
      <c r="Y172" s="387">
        <f t="shared" si="58"/>
        <v>25.183</v>
      </c>
      <c r="Z172" s="387">
        <f t="shared" si="59"/>
        <v>25.581708454086606</v>
      </c>
      <c r="AA172" s="388">
        <f t="shared" si="60"/>
        <v>28.859661450678932</v>
      </c>
      <c r="AB172" s="199">
        <f t="shared" si="61"/>
        <v>43988</v>
      </c>
      <c r="AC172" s="119">
        <f>IF(OR(t&lt;Tnet,NoTnet),'2019'!Resal_s+('2019'!Salim-'2019'!Resal_s)*(1-EXP(('2019'!Tnet_s-t)/'2019'!Tau_j)),Resal_s+(Salim-Resal_s)*(1-EXP((Tnet_s-t)/Tau_j)))*Salcycl</f>
        <v>0.11358251732073628</v>
      </c>
      <c r="AD172" s="233">
        <f>(INDEX(Models!$BJ172:$BT172,,AH172)*(1-AF172)+INDEX(Models!$BJ172:$BT172,,AH172+1)*AF172-ERP_i)*AE172*Ramure*Pc/MaxiM</f>
        <v>8.0798015529955761E-5</v>
      </c>
      <c r="AE172" s="307">
        <f t="shared" si="62"/>
        <v>0.9</v>
      </c>
      <c r="AF172" s="179">
        <f t="shared" si="63"/>
        <v>0.92781915816329708</v>
      </c>
      <c r="AG172" s="839">
        <f t="shared" si="71"/>
        <v>-2</v>
      </c>
      <c r="AH172" s="178">
        <f t="shared" si="64"/>
        <v>4</v>
      </c>
      <c r="AI172" s="227">
        <f t="shared" si="65"/>
        <v>-1.0721808418367029</v>
      </c>
      <c r="AJ172" s="267" t="b">
        <f t="shared" si="66"/>
        <v>0</v>
      </c>
      <c r="AK172" s="267" t="b">
        <f t="shared" si="67"/>
        <v>0</v>
      </c>
      <c r="AL172" s="267"/>
      <c r="AM172" s="267"/>
      <c r="AN172" s="75"/>
    </row>
    <row r="173" spans="1:40" s="6" customFormat="1" ht="11.25" customHeight="1" x14ac:dyDescent="0.2">
      <c r="A173" s="56">
        <f t="shared" si="68"/>
        <v>43989</v>
      </c>
      <c r="B173" s="620">
        <v>35.579000000000001</v>
      </c>
      <c r="C173" s="392"/>
      <c r="D173" s="395">
        <f t="shared" si="48"/>
        <v>36.143143652614768</v>
      </c>
      <c r="E173" s="387">
        <f t="shared" si="72"/>
        <v>40.78305574194215</v>
      </c>
      <c r="F173" s="387">
        <f t="shared" si="49"/>
        <v>40.78457232699207</v>
      </c>
      <c r="G173" s="110">
        <f t="shared" si="73"/>
        <v>0.63279286399261581</v>
      </c>
      <c r="H173" s="416" t="b">
        <f>Wh_hp&gt;='2019'!Maxi_hp</f>
        <v>0</v>
      </c>
      <c r="I173" s="382">
        <f>IF(H173,Wh_hp,'2019'!Maxi_hp)</f>
        <v>65.985446784364868</v>
      </c>
      <c r="J173" s="85">
        <f>IF(H173,An,'2019'!An_max)</f>
        <v>2019</v>
      </c>
      <c r="K173" s="199">
        <f t="shared" si="50"/>
        <v>43989</v>
      </c>
      <c r="L173" s="147">
        <f>IF(t&lt;Tvie,1-EXP((T0-t)*PertePVj)+'2019'!Pspv,1-EXP((T0-t)*PertePVj)+Pspv)</f>
        <v>1.5608593929652637E-2</v>
      </c>
      <c r="M173" s="872"/>
      <c r="N173" s="872"/>
      <c r="O173" s="48">
        <f>IF(t&lt;Tnet,'2019'!Resal+('2019'!Salim-'2019'!Resal)*(1-EXP(('2019'!Tnet-t)/('2019'!Tau_j))),Resal+(Salim-Resal)*(1-EXP((Tnet-t)/(Tau_j))))*Salcycl</f>
        <v>0.11377058449682566</v>
      </c>
      <c r="P173" s="171">
        <f>(INDEX(Models!$BJ173:$BT173,,T173)*(1-R173)+INDEX(Models!$BJ173:$BT173,,T173+1)*R173-ERP_i)*Q173*Ramure*Pc/MaxiM</f>
        <v>7.820977087517894E-5</v>
      </c>
      <c r="Q173" s="307">
        <f t="shared" si="51"/>
        <v>0.9</v>
      </c>
      <c r="R173" s="179">
        <f t="shared" si="52"/>
        <v>0.93500410649787025</v>
      </c>
      <c r="S173" s="839">
        <f t="shared" si="53"/>
        <v>-2</v>
      </c>
      <c r="T173" s="178">
        <f t="shared" si="54"/>
        <v>4</v>
      </c>
      <c r="U173" s="253">
        <f t="shared" si="55"/>
        <v>-1.0649958935021298</v>
      </c>
      <c r="V173" s="385">
        <f t="shared" si="56"/>
        <v>56.223042893184129</v>
      </c>
      <c r="W173" s="404"/>
      <c r="X173" s="157">
        <f t="shared" si="57"/>
        <v>43989</v>
      </c>
      <c r="Y173" s="387">
        <f t="shared" si="58"/>
        <v>35.579000000000001</v>
      </c>
      <c r="Z173" s="387">
        <f t="shared" si="59"/>
        <v>36.143143652614768</v>
      </c>
      <c r="AA173" s="388">
        <f t="shared" si="60"/>
        <v>40.78305574194215</v>
      </c>
      <c r="AB173" s="199">
        <f t="shared" si="61"/>
        <v>43989</v>
      </c>
      <c r="AC173" s="119">
        <f>IF(OR(t&lt;Tnet,NoTnet),'2019'!Resal_s+('2019'!Salim-'2019'!Resal_s)*(1-EXP(('2019'!Tnet_s-t)/'2019'!Tau_j)),Resal_s+(Salim-Resal_s)*(1-EXP((Tnet_s-t)/Tau_j)))*Salcycl</f>
        <v>0.11377058449682566</v>
      </c>
      <c r="AD173" s="233">
        <f>(INDEX(Models!$BJ173:$BT173,,AH173)*(1-AF173)+INDEX(Models!$BJ173:$BT173,,AH173+1)*AF173-ERP_i)*AE173*Ramure*Pc/MaxiM</f>
        <v>7.820977087517894E-5</v>
      </c>
      <c r="AE173" s="307">
        <f t="shared" si="62"/>
        <v>0.9</v>
      </c>
      <c r="AF173" s="179">
        <f t="shared" si="63"/>
        <v>0.93500410649787025</v>
      </c>
      <c r="AG173" s="839">
        <f t="shared" si="71"/>
        <v>-2</v>
      </c>
      <c r="AH173" s="178">
        <f t="shared" si="64"/>
        <v>4</v>
      </c>
      <c r="AI173" s="227">
        <f t="shared" si="65"/>
        <v>-1.0649958935021298</v>
      </c>
      <c r="AJ173" s="267" t="b">
        <f t="shared" si="66"/>
        <v>0</v>
      </c>
      <c r="AK173" s="267" t="b">
        <f t="shared" si="67"/>
        <v>0</v>
      </c>
      <c r="AL173" s="267"/>
      <c r="AM173" s="267"/>
      <c r="AN173" s="75"/>
    </row>
    <row r="174" spans="1:40" s="6" customFormat="1" ht="11.25" customHeight="1" x14ac:dyDescent="0.2">
      <c r="A174" s="56">
        <f t="shared" si="68"/>
        <v>43990</v>
      </c>
      <c r="B174" s="620">
        <v>42.241999999999997</v>
      </c>
      <c r="C174" s="392"/>
      <c r="D174" s="395">
        <f t="shared" si="48"/>
        <v>42.912791391140942</v>
      </c>
      <c r="E174" s="387">
        <f t="shared" si="72"/>
        <v>48.431937396965559</v>
      </c>
      <c r="F174" s="387">
        <f t="shared" si="49"/>
        <v>48.434315100458392</v>
      </c>
      <c r="G174" s="110">
        <f t="shared" si="73"/>
        <v>0.75161123151003906</v>
      </c>
      <c r="H174" s="416" t="b">
        <f>Wh_hp&gt;='2019'!Maxi_hp</f>
        <v>0</v>
      </c>
      <c r="I174" s="382">
        <f>IF(H174,Wh_hp,'2019'!Maxi_hp)</f>
        <v>53.061944874279007</v>
      </c>
      <c r="J174" s="85">
        <f>IF(H174,An,'2019'!An_max)</f>
        <v>2019</v>
      </c>
      <c r="K174" s="199">
        <f t="shared" si="50"/>
        <v>43990</v>
      </c>
      <c r="L174" s="147">
        <f>IF(t&lt;Tvie,1-EXP((T0-t)*PertePVj)+'2019'!Pspv,1-EXP((T0-t)*PertePVj)+Pspv)</f>
        <v>1.5631502155775134E-2</v>
      </c>
      <c r="M174" s="872"/>
      <c r="N174" s="872"/>
      <c r="O174" s="48">
        <f>IF(t&lt;Tnet,'2019'!Resal+('2019'!Salim-'2019'!Resal)*(1-EXP(('2019'!Tnet-t)/('2019'!Tau_j))),Resal+(Salim-Resal)*(1-EXP((Tnet-t)/(Tau_j))))*Salcycl</f>
        <v>0.11395674636320469</v>
      </c>
      <c r="P174" s="171">
        <f>(INDEX(Models!$BJ174:$BT174,,T174)*(1-R174)+INDEX(Models!$BJ174:$BT174,,T174+1)*R174-ERP_i)*Q174*Ramure*Pc/MaxiM</f>
        <v>7.6088377683110515E-5</v>
      </c>
      <c r="Q174" s="307">
        <f t="shared" si="51"/>
        <v>0.9</v>
      </c>
      <c r="R174" s="179">
        <f t="shared" si="52"/>
        <v>0.94220119099989841</v>
      </c>
      <c r="S174" s="839">
        <f t="shared" si="53"/>
        <v>-2</v>
      </c>
      <c r="T174" s="178">
        <f t="shared" si="54"/>
        <v>4</v>
      </c>
      <c r="U174" s="253">
        <f t="shared" si="55"/>
        <v>-1.0577988090001016</v>
      </c>
      <c r="V174" s="385">
        <f t="shared" si="56"/>
        <v>56.200410215521465</v>
      </c>
      <c r="W174" s="404"/>
      <c r="X174" s="157">
        <f t="shared" si="57"/>
        <v>43990</v>
      </c>
      <c r="Y174" s="387">
        <f t="shared" si="58"/>
        <v>42.241999999999997</v>
      </c>
      <c r="Z174" s="387">
        <f t="shared" si="59"/>
        <v>42.912791391140942</v>
      </c>
      <c r="AA174" s="388">
        <f t="shared" si="60"/>
        <v>48.431937396965559</v>
      </c>
      <c r="AB174" s="199">
        <f t="shared" si="61"/>
        <v>43990</v>
      </c>
      <c r="AC174" s="119">
        <f>IF(OR(t&lt;Tnet,NoTnet),'2019'!Resal_s+('2019'!Salim-'2019'!Resal_s)*(1-EXP(('2019'!Tnet_s-t)/'2019'!Tau_j)),Resal_s+(Salim-Resal_s)*(1-EXP((Tnet_s-t)/Tau_j)))*Salcycl</f>
        <v>0.11395674636320469</v>
      </c>
      <c r="AD174" s="233">
        <f>(INDEX(Models!$BJ174:$BT174,,AH174)*(1-AF174)+INDEX(Models!$BJ174:$BT174,,AH174+1)*AF174-ERP_i)*AE174*Ramure*Pc/MaxiM</f>
        <v>7.6088377683110515E-5</v>
      </c>
      <c r="AE174" s="307">
        <f t="shared" si="62"/>
        <v>0.9</v>
      </c>
      <c r="AF174" s="179">
        <f t="shared" si="63"/>
        <v>0.94220119099989841</v>
      </c>
      <c r="AG174" s="839">
        <f t="shared" si="71"/>
        <v>-2</v>
      </c>
      <c r="AH174" s="178">
        <f t="shared" si="64"/>
        <v>4</v>
      </c>
      <c r="AI174" s="227">
        <f t="shared" si="65"/>
        <v>-1.0577988090001016</v>
      </c>
      <c r="AJ174" s="267" t="b">
        <f t="shared" si="66"/>
        <v>0</v>
      </c>
      <c r="AK174" s="267" t="b">
        <f t="shared" si="67"/>
        <v>0</v>
      </c>
      <c r="AL174" s="267"/>
      <c r="AM174" s="267"/>
      <c r="AN174" s="75"/>
    </row>
    <row r="175" spans="1:40" s="6" customFormat="1" ht="11.25" customHeight="1" x14ac:dyDescent="0.2">
      <c r="A175" s="56">
        <f t="shared" si="68"/>
        <v>43991</v>
      </c>
      <c r="B175" s="620">
        <v>21.745000000000001</v>
      </c>
      <c r="C175" s="392"/>
      <c r="D175" s="395">
        <f t="shared" si="48"/>
        <v>22.090818730299432</v>
      </c>
      <c r="E175" s="387">
        <f t="shared" si="72"/>
        <v>24.937169598886143</v>
      </c>
      <c r="F175" s="387">
        <f t="shared" si="49"/>
        <v>24.937400564431165</v>
      </c>
      <c r="G175" s="110">
        <f t="shared" si="73"/>
        <v>0.3870671882155251</v>
      </c>
      <c r="H175" s="416" t="b">
        <f>Wh_hp&gt;='2019'!Maxi_hp</f>
        <v>0</v>
      </c>
      <c r="I175" s="382">
        <f>IF(H175,Wh_hp,'2019'!Maxi_hp)</f>
        <v>26.295639348667407</v>
      </c>
      <c r="J175" s="85">
        <f>IF(H175,An,'2019'!An_max)</f>
        <v>2019</v>
      </c>
      <c r="K175" s="199">
        <f t="shared" si="50"/>
        <v>43991</v>
      </c>
      <c r="L175" s="147">
        <f>IF(t&lt;Tvie,1-EXP((T0-t)*PertePVj)+'2019'!Pspv,1-EXP((T0-t)*PertePVj)+Pspv)</f>
        <v>1.5654409848789852E-2</v>
      </c>
      <c r="M175" s="872"/>
      <c r="N175" s="872"/>
      <c r="O175" s="48">
        <f>IF(t&lt;Tnet,'2019'!Resal+('2019'!Salim-'2019'!Resal)*(1-EXP(('2019'!Tnet-t)/('2019'!Tau_j))),Resal+(Salim-Resal)*(1-EXP((Tnet-t)/(Tau_j))))*Salcycl</f>
        <v>0.11414089547331176</v>
      </c>
      <c r="P175" s="171">
        <f>(INDEX(Models!$BJ175:$BT175,,T175)*(1-R175)+INDEX(Models!$BJ175:$BT175,,T175+1)*R175-ERP_i)*Q175*Ramure*Pc/MaxiM</f>
        <v>7.4441257929327095E-5</v>
      </c>
      <c r="Q175" s="307">
        <f t="shared" si="51"/>
        <v>0.9</v>
      </c>
      <c r="R175" s="179">
        <f t="shared" si="52"/>
        <v>0.94940435383531452</v>
      </c>
      <c r="S175" s="839">
        <f t="shared" si="53"/>
        <v>-2</v>
      </c>
      <c r="T175" s="178">
        <f t="shared" si="54"/>
        <v>4</v>
      </c>
      <c r="U175" s="253">
        <f t="shared" si="55"/>
        <v>-1.0505956461646855</v>
      </c>
      <c r="V175" s="385">
        <f t="shared" si="56"/>
        <v>56.175215367879346</v>
      </c>
      <c r="W175" s="404"/>
      <c r="X175" s="157">
        <f t="shared" si="57"/>
        <v>43991</v>
      </c>
      <c r="Y175" s="387">
        <f t="shared" si="58"/>
        <v>21.745000000000001</v>
      </c>
      <c r="Z175" s="387">
        <f t="shared" si="59"/>
        <v>22.090818730299432</v>
      </c>
      <c r="AA175" s="388">
        <f t="shared" si="60"/>
        <v>24.937169598886143</v>
      </c>
      <c r="AB175" s="199">
        <f t="shared" si="61"/>
        <v>43991</v>
      </c>
      <c r="AC175" s="119">
        <f>IF(OR(t&lt;Tnet,NoTnet),'2019'!Resal_s+('2019'!Salim-'2019'!Resal_s)*(1-EXP(('2019'!Tnet_s-t)/'2019'!Tau_j)),Resal_s+(Salim-Resal_s)*(1-EXP((Tnet_s-t)/Tau_j)))*Salcycl</f>
        <v>0.11414089547331176</v>
      </c>
      <c r="AD175" s="233">
        <f>(INDEX(Models!$BJ175:$BT175,,AH175)*(1-AF175)+INDEX(Models!$BJ175:$BT175,,AH175+1)*AF175-ERP_i)*AE175*Ramure*Pc/MaxiM</f>
        <v>7.4441257929327095E-5</v>
      </c>
      <c r="AE175" s="307">
        <f t="shared" si="62"/>
        <v>0.9</v>
      </c>
      <c r="AF175" s="179">
        <f t="shared" si="63"/>
        <v>0.94940435383531452</v>
      </c>
      <c r="AG175" s="839">
        <f t="shared" si="71"/>
        <v>-2</v>
      </c>
      <c r="AH175" s="178">
        <f t="shared" si="64"/>
        <v>4</v>
      </c>
      <c r="AI175" s="227">
        <f t="shared" si="65"/>
        <v>-1.0505956461646855</v>
      </c>
      <c r="AJ175" s="267" t="b">
        <f t="shared" si="66"/>
        <v>0</v>
      </c>
      <c r="AK175" s="267" t="b">
        <f t="shared" si="67"/>
        <v>0</v>
      </c>
      <c r="AL175" s="267"/>
      <c r="AM175" s="267"/>
      <c r="AN175" s="75"/>
    </row>
    <row r="176" spans="1:40" s="6" customFormat="1" ht="11.25" customHeight="1" x14ac:dyDescent="0.2">
      <c r="A176" s="56">
        <f t="shared" si="68"/>
        <v>43992</v>
      </c>
      <c r="B176" s="620">
        <v>42.213000000000001</v>
      </c>
      <c r="C176" s="392"/>
      <c r="D176" s="395">
        <f t="shared" si="48"/>
        <v>42.885326864273317</v>
      </c>
      <c r="E176" s="387">
        <f t="shared" si="72"/>
        <v>48.420951945013087</v>
      </c>
      <c r="F176" s="387">
        <f t="shared" si="49"/>
        <v>48.423242202897121</v>
      </c>
      <c r="G176" s="110">
        <f t="shared" si="73"/>
        <v>0.75180162897633451</v>
      </c>
      <c r="H176" s="416" t="b">
        <f>Wh_hp&gt;='2019'!Maxi_hp</f>
        <v>1</v>
      </c>
      <c r="I176" s="382">
        <f>IF(H176,Wh_hp,'2019'!Maxi_hp)</f>
        <v>48.423242202897121</v>
      </c>
      <c r="J176" s="85">
        <f>IF(H176,An,'2019'!An_max)</f>
        <v>2020</v>
      </c>
      <c r="K176" s="199">
        <f t="shared" si="50"/>
        <v>43992</v>
      </c>
      <c r="L176" s="147">
        <f>IF(t&lt;Tvie,1-EXP((T0-t)*PertePVj)+'2019'!Pspv,1-EXP((T0-t)*PertePVj)+Pspv)</f>
        <v>1.5677317008709002E-2</v>
      </c>
      <c r="M176" s="872"/>
      <c r="N176" s="872"/>
      <c r="O176" s="48">
        <f>IF(t&lt;Tnet,'2019'!Resal+('2019'!Salim-'2019'!Resal)*(1-EXP(('2019'!Tnet-t)/('2019'!Tau_j))),Resal+(Salim-Resal)*(1-EXP((Tnet-t)/(Tau_j))))*Salcycl</f>
        <v>0.11432292960753916</v>
      </c>
      <c r="P176" s="171">
        <f>(INDEX(Models!$BJ176:$BT176,,T176)*(1-R176)+INDEX(Models!$BJ176:$BT176,,T176+1)*R176-ERP_i)*Q176*Ramure*Pc/MaxiM</f>
        <v>7.3276040572964186E-5</v>
      </c>
      <c r="Q176" s="307">
        <f t="shared" si="51"/>
        <v>0.9</v>
      </c>
      <c r="R176" s="179">
        <f t="shared" si="52"/>
        <v>0.95660751667073063</v>
      </c>
      <c r="S176" s="839">
        <f t="shared" si="53"/>
        <v>-2</v>
      </c>
      <c r="T176" s="178">
        <f t="shared" si="54"/>
        <v>4</v>
      </c>
      <c r="U176" s="253">
        <f t="shared" si="55"/>
        <v>-1.0433924833292694</v>
      </c>
      <c r="V176" s="385">
        <f t="shared" si="56"/>
        <v>56.147661369450702</v>
      </c>
      <c r="W176" s="404"/>
      <c r="X176" s="157">
        <f t="shared" si="57"/>
        <v>43992</v>
      </c>
      <c r="Y176" s="387">
        <f t="shared" si="58"/>
        <v>42.213000000000001</v>
      </c>
      <c r="Z176" s="387">
        <f t="shared" si="59"/>
        <v>42.885326864273317</v>
      </c>
      <c r="AA176" s="388">
        <f t="shared" si="60"/>
        <v>48.420951945013087</v>
      </c>
      <c r="AB176" s="199">
        <f t="shared" si="61"/>
        <v>43992</v>
      </c>
      <c r="AC176" s="119">
        <f>IF(OR(t&lt;Tnet,NoTnet),'2019'!Resal_s+('2019'!Salim-'2019'!Resal_s)*(1-EXP(('2019'!Tnet_s-t)/'2019'!Tau_j)),Resal_s+(Salim-Resal_s)*(1-EXP((Tnet_s-t)/Tau_j)))*Salcycl</f>
        <v>0.11432292960753916</v>
      </c>
      <c r="AD176" s="233">
        <f>(INDEX(Models!$BJ176:$BT176,,AH176)*(1-AF176)+INDEX(Models!$BJ176:$BT176,,AH176+1)*AF176-ERP_i)*AE176*Ramure*Pc/MaxiM</f>
        <v>7.3276040572964186E-5</v>
      </c>
      <c r="AE176" s="307">
        <f t="shared" si="62"/>
        <v>0.9</v>
      </c>
      <c r="AF176" s="179">
        <f t="shared" si="63"/>
        <v>0.95660751667073063</v>
      </c>
      <c r="AG176" s="839">
        <f t="shared" si="71"/>
        <v>-2</v>
      </c>
      <c r="AH176" s="178">
        <f t="shared" si="64"/>
        <v>4</v>
      </c>
      <c r="AI176" s="227">
        <f t="shared" si="65"/>
        <v>-1.0433924833292694</v>
      </c>
      <c r="AJ176" s="267" t="b">
        <f t="shared" si="66"/>
        <v>0</v>
      </c>
      <c r="AK176" s="267" t="b">
        <f t="shared" si="67"/>
        <v>0</v>
      </c>
      <c r="AL176" s="267"/>
      <c r="AM176" s="267"/>
      <c r="AN176" s="75"/>
    </row>
    <row r="177" spans="1:40" s="6" customFormat="1" ht="11.25" customHeight="1" x14ac:dyDescent="0.2">
      <c r="A177" s="56">
        <f t="shared" si="68"/>
        <v>43993</v>
      </c>
      <c r="B177" s="620">
        <v>28.158000000000001</v>
      </c>
      <c r="C177" s="392"/>
      <c r="D177" s="395">
        <f t="shared" si="48"/>
        <v>28.607138471576764</v>
      </c>
      <c r="E177" s="387">
        <f t="shared" si="72"/>
        <v>32.306298570506215</v>
      </c>
      <c r="F177" s="387">
        <f t="shared" si="49"/>
        <v>32.306974665241434</v>
      </c>
      <c r="G177" s="110">
        <f t="shared" si="73"/>
        <v>0.50174679482844164</v>
      </c>
      <c r="H177" s="416" t="b">
        <f>Wh_hp&gt;='2019'!Maxi_hp</f>
        <v>0</v>
      </c>
      <c r="I177" s="382">
        <f>IF(H177,Wh_hp,'2019'!Maxi_hp)</f>
        <v>60.838298485220825</v>
      </c>
      <c r="J177" s="85">
        <f>IF(H177,An,'2019'!An_max)</f>
        <v>2019</v>
      </c>
      <c r="K177" s="199">
        <f t="shared" si="50"/>
        <v>43993</v>
      </c>
      <c r="L177" s="147">
        <f>IF(t&lt;Tvie,1-EXP((T0-t)*PertePVj)+'2019'!Pspv,1-EXP((T0-t)*PertePVj)+Pspv)</f>
        <v>1.570022363554513E-2</v>
      </c>
      <c r="M177" s="872"/>
      <c r="N177" s="872"/>
      <c r="O177" s="48">
        <f>IF(t&lt;Tnet,'2019'!Resal+('2019'!Salim-'2019'!Resal)*(1-EXP(('2019'!Tnet-t)/('2019'!Tau_j))),Resal+(Salim-Resal)*(1-EXP((Tnet-t)/(Tau_j))))*Salcycl</f>
        <v>0.1145027521755949</v>
      </c>
      <c r="P177" s="171">
        <f>(INDEX(Models!$BJ177:$BT177,,T177)*(1-R177)+INDEX(Models!$BJ177:$BT177,,T177+1)*R177-ERP_i)*Q177*Ramure*Pc/MaxiM</f>
        <v>7.2601709248422178E-5</v>
      </c>
      <c r="Q177" s="307">
        <f t="shared" si="51"/>
        <v>0.9</v>
      </c>
      <c r="R177" s="179">
        <f t="shared" si="52"/>
        <v>0.96380460117275879</v>
      </c>
      <c r="S177" s="839">
        <f t="shared" si="53"/>
        <v>-2</v>
      </c>
      <c r="T177" s="178">
        <f t="shared" si="54"/>
        <v>4</v>
      </c>
      <c r="U177" s="253">
        <f t="shared" si="55"/>
        <v>-1.0361953988272412</v>
      </c>
      <c r="V177" s="385">
        <f t="shared" si="56"/>
        <v>56.117039927544624</v>
      </c>
      <c r="W177" s="404"/>
      <c r="X177" s="157">
        <f t="shared" si="57"/>
        <v>43993</v>
      </c>
      <c r="Y177" s="387">
        <f t="shared" si="58"/>
        <v>28.158000000000001</v>
      </c>
      <c r="Z177" s="387">
        <f t="shared" si="59"/>
        <v>28.607138471576764</v>
      </c>
      <c r="AA177" s="388">
        <f t="shared" si="60"/>
        <v>32.306298570506215</v>
      </c>
      <c r="AB177" s="199">
        <f t="shared" si="61"/>
        <v>43993</v>
      </c>
      <c r="AC177" s="119">
        <f>IF(OR(t&lt;Tnet,NoTnet),'2019'!Resal_s+('2019'!Salim-'2019'!Resal_s)*(1-EXP(('2019'!Tnet_s-t)/'2019'!Tau_j)),Resal_s+(Salim-Resal_s)*(1-EXP((Tnet_s-t)/Tau_j)))*Salcycl</f>
        <v>0.1145027521755949</v>
      </c>
      <c r="AD177" s="233">
        <f>(INDEX(Models!$BJ177:$BT177,,AH177)*(1-AF177)+INDEX(Models!$BJ177:$BT177,,AH177+1)*AF177-ERP_i)*AE177*Ramure*Pc/MaxiM</f>
        <v>7.2601709248422178E-5</v>
      </c>
      <c r="AE177" s="307">
        <f t="shared" si="62"/>
        <v>0.9</v>
      </c>
      <c r="AF177" s="179">
        <f t="shared" si="63"/>
        <v>0.96380460117275879</v>
      </c>
      <c r="AG177" s="839">
        <f t="shared" si="71"/>
        <v>-2</v>
      </c>
      <c r="AH177" s="178">
        <f t="shared" si="64"/>
        <v>4</v>
      </c>
      <c r="AI177" s="227">
        <f t="shared" si="65"/>
        <v>-1.0361953988272412</v>
      </c>
      <c r="AJ177" s="267" t="b">
        <f t="shared" si="66"/>
        <v>0</v>
      </c>
      <c r="AK177" s="267" t="b">
        <f t="shared" si="67"/>
        <v>0</v>
      </c>
      <c r="AL177" s="267"/>
      <c r="AM177" s="267"/>
      <c r="AN177" s="75"/>
    </row>
    <row r="178" spans="1:40" s="6" customFormat="1" ht="11.25" customHeight="1" x14ac:dyDescent="0.2">
      <c r="A178" s="56">
        <f t="shared" si="68"/>
        <v>43994</v>
      </c>
      <c r="B178" s="620">
        <v>45.753999999999998</v>
      </c>
      <c r="C178" s="392"/>
      <c r="D178" s="395">
        <f t="shared" si="48"/>
        <v>46.484887923270037</v>
      </c>
      <c r="E178" s="387">
        <f t="shared" si="72"/>
        <v>52.506327922181107</v>
      </c>
      <c r="F178" s="387">
        <f t="shared" si="49"/>
        <v>52.509130317320874</v>
      </c>
      <c r="G178" s="110">
        <f t="shared" si="73"/>
        <v>0.81581618775448983</v>
      </c>
      <c r="H178" s="416" t="b">
        <f>Wh_hp&gt;='2019'!Maxi_hp</f>
        <v>0</v>
      </c>
      <c r="I178" s="382">
        <f>IF(H178,Wh_hp,'2019'!Maxi_hp)</f>
        <v>63.47863553055479</v>
      </c>
      <c r="J178" s="85">
        <f>IF(H178,An,'2019'!An_max)</f>
        <v>2019</v>
      </c>
      <c r="K178" s="199">
        <f t="shared" si="50"/>
        <v>43994</v>
      </c>
      <c r="L178" s="147">
        <f>IF(t&lt;Tvie,1-EXP((T0-t)*PertePVj)+'2019'!Pspv,1-EXP((T0-t)*PertePVj)+Pspv)</f>
        <v>1.5723129729310559E-2</v>
      </c>
      <c r="M178" s="872"/>
      <c r="N178" s="872"/>
      <c r="O178" s="48">
        <f>IF(t&lt;Tnet,'2019'!Resal+('2019'!Salim-'2019'!Resal)*(1-EXP(('2019'!Tnet-t)/('2019'!Tau_j))),Resal+(Salim-Resal)*(1-EXP((Tnet-t)/(Tau_j))))*Salcycl</f>
        <v>0.11468027259181712</v>
      </c>
      <c r="P178" s="171">
        <f>(INDEX(Models!$BJ178:$BT178,,T178)*(1-R178)+INDEX(Models!$BJ178:$BT178,,T178+1)*R178-ERP_i)*Q178*Ramure*Pc/MaxiM</f>
        <v>7.2424337191694837E-5</v>
      </c>
      <c r="Q178" s="307">
        <f t="shared" si="51"/>
        <v>0.9</v>
      </c>
      <c r="R178" s="179">
        <f t="shared" si="52"/>
        <v>0.97098954950733196</v>
      </c>
      <c r="S178" s="839">
        <f t="shared" si="53"/>
        <v>-2</v>
      </c>
      <c r="T178" s="178">
        <f t="shared" si="54"/>
        <v>4</v>
      </c>
      <c r="U178" s="253">
        <f t="shared" si="55"/>
        <v>-1.029010450492668</v>
      </c>
      <c r="V178" s="385">
        <f t="shared" si="56"/>
        <v>56.082643140875994</v>
      </c>
      <c r="W178" s="404"/>
      <c r="X178" s="157">
        <f t="shared" si="57"/>
        <v>43994</v>
      </c>
      <c r="Y178" s="387">
        <f t="shared" si="58"/>
        <v>45.753999999999998</v>
      </c>
      <c r="Z178" s="387">
        <f t="shared" si="59"/>
        <v>46.484887923270037</v>
      </c>
      <c r="AA178" s="388">
        <f t="shared" si="60"/>
        <v>52.506327922181107</v>
      </c>
      <c r="AB178" s="199">
        <f t="shared" si="61"/>
        <v>43994</v>
      </c>
      <c r="AC178" s="119">
        <f>IF(OR(t&lt;Tnet,NoTnet),'2019'!Resal_s+('2019'!Salim-'2019'!Resal_s)*(1-EXP(('2019'!Tnet_s-t)/'2019'!Tau_j)),Resal_s+(Salim-Resal_s)*(1-EXP((Tnet_s-t)/Tau_j)))*Salcycl</f>
        <v>0.11468027259181712</v>
      </c>
      <c r="AD178" s="233">
        <f>(INDEX(Models!$BJ178:$BT178,,AH178)*(1-AF178)+INDEX(Models!$BJ178:$BT178,,AH178+1)*AF178-ERP_i)*AE178*Ramure*Pc/MaxiM</f>
        <v>7.2424337191694837E-5</v>
      </c>
      <c r="AE178" s="307">
        <f t="shared" si="62"/>
        <v>0.9</v>
      </c>
      <c r="AF178" s="179">
        <f t="shared" si="63"/>
        <v>0.97098954950733196</v>
      </c>
      <c r="AG178" s="839">
        <f t="shared" si="71"/>
        <v>-2</v>
      </c>
      <c r="AH178" s="178">
        <f t="shared" si="64"/>
        <v>4</v>
      </c>
      <c r="AI178" s="227">
        <f t="shared" si="65"/>
        <v>-1.029010450492668</v>
      </c>
      <c r="AJ178" s="267" t="b">
        <f t="shared" si="66"/>
        <v>0</v>
      </c>
      <c r="AK178" s="267" t="b">
        <f t="shared" si="67"/>
        <v>0</v>
      </c>
      <c r="AL178" s="267"/>
      <c r="AM178" s="267"/>
      <c r="AN178" s="75"/>
    </row>
    <row r="179" spans="1:40" s="6" customFormat="1" ht="11.25" x14ac:dyDescent="0.2">
      <c r="A179" s="56">
        <f t="shared" si="68"/>
        <v>43995</v>
      </c>
      <c r="B179" s="620">
        <v>38.180999999999997</v>
      </c>
      <c r="C179" s="392"/>
      <c r="D179" s="395">
        <f t="shared" si="48"/>
        <v>38.791817324556384</v>
      </c>
      <c r="E179" s="387">
        <f t="shared" si="72"/>
        <v>43.825401651560242</v>
      </c>
      <c r="F179" s="387">
        <f t="shared" si="49"/>
        <v>43.827128156714629</v>
      </c>
      <c r="G179" s="110">
        <f t="shared" si="73"/>
        <v>0.68123737638214499</v>
      </c>
      <c r="H179" s="416" t="b">
        <f>Wh_hp&gt;='2019'!Maxi_hp</f>
        <v>1</v>
      </c>
      <c r="I179" s="382">
        <f>IF(H179,Wh_hp,'2019'!Maxi_hp)</f>
        <v>43.827128156714629</v>
      </c>
      <c r="J179" s="85">
        <f>IF(H179,An,'2019'!An_max)</f>
        <v>2020</v>
      </c>
      <c r="K179" s="199">
        <f t="shared" si="50"/>
        <v>43995</v>
      </c>
      <c r="L179" s="147">
        <f>IF(t&lt;Tvie,1-EXP((T0-t)*PertePVj)+'2019'!Pspv,1-EXP((T0-t)*PertePVj)+Pspv)</f>
        <v>1.5746035290017724E-2</v>
      </c>
      <c r="M179" s="872"/>
      <c r="N179" s="872"/>
      <c r="O179" s="48">
        <f>IF(t&lt;Tnet,'2019'!Resal+('2019'!Salim-'2019'!Resal)*(1-EXP(('2019'!Tnet-t)/('2019'!Tau_j))),Resal+(Salim-Resal)*(1-EXP((Tnet-t)/(Tau_j))))*Salcycl</f>
        <v>0.11485540662066379</v>
      </c>
      <c r="P179" s="171">
        <f>(INDEX(Models!$BJ179:$BT179,,T179)*(1-R179)+INDEX(Models!$BJ179:$BT179,,T179+1)*R179-ERP_i)*Q179*Ramure*Pc/MaxiM</f>
        <v>7.232723691022546E-5</v>
      </c>
      <c r="Q179" s="307">
        <f t="shared" si="51"/>
        <v>0.9</v>
      </c>
      <c r="R179" s="179">
        <f t="shared" si="52"/>
        <v>0.97815634469228829</v>
      </c>
      <c r="S179" s="839">
        <f t="shared" si="53"/>
        <v>-2</v>
      </c>
      <c r="T179" s="178">
        <f t="shared" si="54"/>
        <v>4</v>
      </c>
      <c r="U179" s="253">
        <f t="shared" si="55"/>
        <v>-1.0218436553077117</v>
      </c>
      <c r="V179" s="385">
        <f t="shared" si="56"/>
        <v>56.04469724084246</v>
      </c>
      <c r="W179" s="404"/>
      <c r="X179" s="157">
        <f t="shared" si="57"/>
        <v>43995</v>
      </c>
      <c r="Y179" s="387">
        <f t="shared" si="58"/>
        <v>38.180999999999997</v>
      </c>
      <c r="Z179" s="387">
        <f t="shared" si="59"/>
        <v>38.791817324556384</v>
      </c>
      <c r="AA179" s="388">
        <f t="shared" si="60"/>
        <v>43.825401651560242</v>
      </c>
      <c r="AB179" s="199">
        <f t="shared" si="61"/>
        <v>43995</v>
      </c>
      <c r="AC179" s="119">
        <f>IF(OR(t&lt;Tnet,NoTnet),'2019'!Resal_s+('2019'!Salim-'2019'!Resal_s)*(1-EXP(('2019'!Tnet_s-t)/'2019'!Tau_j)),Resal_s+(Salim-Resal_s)*(1-EXP((Tnet_s-t)/Tau_j)))*Salcycl</f>
        <v>0.11485540662066379</v>
      </c>
      <c r="AD179" s="233">
        <f>(INDEX(Models!$BJ179:$BT179,,AH179)*(1-AF179)+INDEX(Models!$BJ179:$BT179,,AH179+1)*AF179-ERP_i)*AE179*Ramure*Pc/MaxiM</f>
        <v>7.232723691022546E-5</v>
      </c>
      <c r="AE179" s="307">
        <f t="shared" si="62"/>
        <v>0.9</v>
      </c>
      <c r="AF179" s="179">
        <f t="shared" si="63"/>
        <v>0.97815634469228829</v>
      </c>
      <c r="AG179" s="839">
        <f t="shared" si="71"/>
        <v>-2</v>
      </c>
      <c r="AH179" s="178">
        <f t="shared" si="64"/>
        <v>4</v>
      </c>
      <c r="AI179" s="227">
        <f t="shared" si="65"/>
        <v>-1.0218436553077117</v>
      </c>
      <c r="AJ179" s="267" t="b">
        <f t="shared" si="66"/>
        <v>0</v>
      </c>
      <c r="AK179" s="267" t="b">
        <f t="shared" si="67"/>
        <v>0</v>
      </c>
      <c r="AL179" s="267"/>
      <c r="AM179" s="267"/>
      <c r="AN179" s="75"/>
    </row>
    <row r="180" spans="1:40" s="6" customFormat="1" ht="11.25" x14ac:dyDescent="0.2">
      <c r="A180" s="56">
        <f t="shared" si="68"/>
        <v>43996</v>
      </c>
      <c r="B180" s="620">
        <v>43.698999999999998</v>
      </c>
      <c r="C180" s="392"/>
      <c r="D180" s="395">
        <f t="shared" si="48"/>
        <v>44.399127186765135</v>
      </c>
      <c r="E180" s="387">
        <f t="shared" si="72"/>
        <v>50.170096945778823</v>
      </c>
      <c r="F180" s="387">
        <f t="shared" si="49"/>
        <v>50.172586279270256</v>
      </c>
      <c r="G180" s="110">
        <f t="shared" si="73"/>
        <v>0.78027413998746453</v>
      </c>
      <c r="H180" s="416" t="b">
        <f>Wh_hp&gt;='2019'!Maxi_hp</f>
        <v>1</v>
      </c>
      <c r="I180" s="382">
        <f>IF(H180,Wh_hp,'2019'!Maxi_hp)</f>
        <v>50.172586279270256</v>
      </c>
      <c r="J180" s="85">
        <f>IF(H180,An,'2019'!An_max)</f>
        <v>2020</v>
      </c>
      <c r="K180" s="199">
        <f t="shared" si="50"/>
        <v>43996</v>
      </c>
      <c r="L180" s="147">
        <f>IF(t&lt;Tvie,1-EXP((T0-t)*PertePVj)+'2019'!Pspv,1-EXP((T0-t)*PertePVj)+Pspv)</f>
        <v>1.5768940317678948E-2</v>
      </c>
      <c r="M180" s="872"/>
      <c r="N180" s="872"/>
      <c r="O180" s="48">
        <f>IF(t&lt;Tnet,'2019'!Resal+('2019'!Salim-'2019'!Resal)*(1-EXP(('2019'!Tnet-t)/('2019'!Tau_j))),Resal+(Salim-Resal)*(1-EXP((Tnet-t)/(Tau_j))))*Salcycl</f>
        <v>0.11502807668979881</v>
      </c>
      <c r="P180" s="171">
        <f>(INDEX(Models!$BJ180:$BT180,,T180)*(1-R180)+INDEX(Models!$BJ180:$BT180,,T180+1)*R180-ERP_i)*Q180*Ramure*Pc/MaxiM</f>
        <v>7.2311840562178366E-5</v>
      </c>
      <c r="Q180" s="307">
        <f t="shared" si="51"/>
        <v>0.9</v>
      </c>
      <c r="R180" s="179">
        <f t="shared" si="52"/>
        <v>0.98529903065828428</v>
      </c>
      <c r="S180" s="839">
        <f t="shared" si="53"/>
        <v>-2</v>
      </c>
      <c r="T180" s="178">
        <f t="shared" si="54"/>
        <v>4</v>
      </c>
      <c r="U180" s="253">
        <f t="shared" si="55"/>
        <v>-1.0147009693417157</v>
      </c>
      <c r="V180" s="385">
        <f t="shared" si="56"/>
        <v>56.00340431661234</v>
      </c>
      <c r="W180" s="404"/>
      <c r="X180" s="157">
        <f t="shared" si="57"/>
        <v>43996</v>
      </c>
      <c r="Y180" s="387">
        <f t="shared" si="58"/>
        <v>43.698999999999998</v>
      </c>
      <c r="Z180" s="387">
        <f t="shared" si="59"/>
        <v>44.399127186765135</v>
      </c>
      <c r="AA180" s="388">
        <f t="shared" si="60"/>
        <v>50.170096945778823</v>
      </c>
      <c r="AB180" s="199">
        <f t="shared" si="61"/>
        <v>43996</v>
      </c>
      <c r="AC180" s="119">
        <f>IF(OR(t&lt;Tnet,NoTnet),'2019'!Resal_s+('2019'!Salim-'2019'!Resal_s)*(1-EXP(('2019'!Tnet_s-t)/'2019'!Tau_j)),Resal_s+(Salim-Resal_s)*(1-EXP((Tnet_s-t)/Tau_j)))*Salcycl</f>
        <v>0.11502807668979881</v>
      </c>
      <c r="AD180" s="233">
        <f>(INDEX(Models!$BJ180:$BT180,,AH180)*(1-AF180)+INDEX(Models!$BJ180:$BT180,,AH180+1)*AF180-ERP_i)*AE180*Ramure*Pc/MaxiM</f>
        <v>7.2311840562178366E-5</v>
      </c>
      <c r="AE180" s="307">
        <f t="shared" si="62"/>
        <v>0.9</v>
      </c>
      <c r="AF180" s="179">
        <f t="shared" si="63"/>
        <v>0.98529903065828428</v>
      </c>
      <c r="AG180" s="839">
        <f t="shared" si="71"/>
        <v>-2</v>
      </c>
      <c r="AH180" s="178">
        <f t="shared" si="64"/>
        <v>4</v>
      </c>
      <c r="AI180" s="227">
        <f t="shared" si="65"/>
        <v>-1.0147009693417157</v>
      </c>
      <c r="AJ180" s="267" t="b">
        <f t="shared" si="66"/>
        <v>0</v>
      </c>
      <c r="AK180" s="267" t="b">
        <f t="shared" si="67"/>
        <v>0</v>
      </c>
      <c r="AL180" s="267"/>
      <c r="AM180" s="267"/>
      <c r="AN180" s="75"/>
    </row>
    <row r="181" spans="1:40" s="6" customFormat="1" ht="11.25" x14ac:dyDescent="0.2">
      <c r="A181" s="56">
        <f t="shared" si="68"/>
        <v>43997</v>
      </c>
      <c r="B181" s="620">
        <v>39.088000000000001</v>
      </c>
      <c r="C181" s="392"/>
      <c r="D181" s="395">
        <f t="shared" si="48"/>
        <v>39.715175894418117</v>
      </c>
      <c r="E181" s="387">
        <f t="shared" si="72"/>
        <v>44.885958008459205</v>
      </c>
      <c r="F181" s="387">
        <f t="shared" si="49"/>
        <v>44.887807651296463</v>
      </c>
      <c r="G181" s="110">
        <f t="shared" si="73"/>
        <v>0.69849006120773949</v>
      </c>
      <c r="H181" s="416" t="b">
        <f>Wh_hp&gt;='2019'!Maxi_hp</f>
        <v>0</v>
      </c>
      <c r="I181" s="382">
        <f>IF(H181,Wh_hp,'2019'!Maxi_hp)</f>
        <v>65.039285563897309</v>
      </c>
      <c r="J181" s="85">
        <f>IF(H181,An,'2019'!An_max)</f>
        <v>2019</v>
      </c>
      <c r="K181" s="199">
        <f t="shared" si="50"/>
        <v>43997</v>
      </c>
      <c r="L181" s="147">
        <f>IF(t&lt;Tvie,1-EXP((T0-t)*PertePVj)+'2019'!Pspv,1-EXP((T0-t)*PertePVj)+Pspv)</f>
        <v>1.5791844812306777E-2</v>
      </c>
      <c r="M181" s="872"/>
      <c r="N181" s="872"/>
      <c r="O181" s="48">
        <f>IF(t&lt;Tnet,'2019'!Resal+('2019'!Salim-'2019'!Resal)*(1-EXP(('2019'!Tnet-t)/('2019'!Tau_j))),Resal+(Salim-Resal)*(1-EXP((Tnet-t)/(Tau_j))))*Salcycl</f>
        <v>0.1151982121684159</v>
      </c>
      <c r="P181" s="171">
        <f>(INDEX(Models!$BJ181:$BT181,,T181)*(1-R181)+INDEX(Models!$BJ181:$BT181,,T181+1)*R181-ERP_i)*Q181*Ramure*Pc/MaxiM</f>
        <v>7.2379619251888177E-5</v>
      </c>
      <c r="Q181" s="307">
        <f t="shared" si="51"/>
        <v>0.9</v>
      </c>
      <c r="R181" s="179">
        <f t="shared" si="52"/>
        <v>0.99241173187666498</v>
      </c>
      <c r="S181" s="839">
        <f t="shared" si="53"/>
        <v>-2</v>
      </c>
      <c r="T181" s="178">
        <f t="shared" si="54"/>
        <v>4</v>
      </c>
      <c r="U181" s="253">
        <f t="shared" si="55"/>
        <v>-1.007588268123335</v>
      </c>
      <c r="V181" s="385">
        <f t="shared" si="56"/>
        <v>55.958965778479254</v>
      </c>
      <c r="W181" s="404"/>
      <c r="X181" s="157">
        <f t="shared" si="57"/>
        <v>43997</v>
      </c>
      <c r="Y181" s="387">
        <f t="shared" si="58"/>
        <v>39.088000000000001</v>
      </c>
      <c r="Z181" s="387">
        <f t="shared" si="59"/>
        <v>39.715175894418117</v>
      </c>
      <c r="AA181" s="388">
        <f t="shared" si="60"/>
        <v>44.885958008459205</v>
      </c>
      <c r="AB181" s="199">
        <f t="shared" si="61"/>
        <v>43997</v>
      </c>
      <c r="AC181" s="119">
        <f>IF(OR(t&lt;Tnet,NoTnet),'2019'!Resal_s+('2019'!Salim-'2019'!Resal_s)*(1-EXP(('2019'!Tnet_s-t)/'2019'!Tau_j)),Resal_s+(Salim-Resal_s)*(1-EXP((Tnet_s-t)/Tau_j)))*Salcycl</f>
        <v>0.1151982121684159</v>
      </c>
      <c r="AD181" s="233">
        <f>(INDEX(Models!$BJ181:$BT181,,AH181)*(1-AF181)+INDEX(Models!$BJ181:$BT181,,AH181+1)*AF181-ERP_i)*AE181*Ramure*Pc/MaxiM</f>
        <v>7.2379619251888177E-5</v>
      </c>
      <c r="AE181" s="307">
        <f t="shared" si="62"/>
        <v>0.9</v>
      </c>
      <c r="AF181" s="179">
        <f t="shared" si="63"/>
        <v>0.99241173187666498</v>
      </c>
      <c r="AG181" s="839">
        <f t="shared" si="71"/>
        <v>-2</v>
      </c>
      <c r="AH181" s="178">
        <f t="shared" si="64"/>
        <v>4</v>
      </c>
      <c r="AI181" s="227">
        <f t="shared" si="65"/>
        <v>-1.007588268123335</v>
      </c>
      <c r="AJ181" s="267" t="b">
        <f t="shared" si="66"/>
        <v>0</v>
      </c>
      <c r="AK181" s="267" t="b">
        <f t="shared" si="67"/>
        <v>0</v>
      </c>
      <c r="AL181" s="267"/>
      <c r="AM181" s="267"/>
      <c r="AN181" s="75"/>
    </row>
    <row r="182" spans="1:40" s="6" customFormat="1" ht="11.25" x14ac:dyDescent="0.2">
      <c r="A182" s="56">
        <f t="shared" si="68"/>
        <v>43998</v>
      </c>
      <c r="B182" s="620">
        <v>28.890999999999998</v>
      </c>
      <c r="C182" s="392"/>
      <c r="D182" s="395">
        <f t="shared" si="48"/>
        <v>29.355245838126443</v>
      </c>
      <c r="E182" s="387">
        <f t="shared" si="72"/>
        <v>33.183483258918997</v>
      </c>
      <c r="F182" s="387">
        <f t="shared" si="49"/>
        <v>33.184228464254005</v>
      </c>
      <c r="G182" s="110">
        <f t="shared" si="73"/>
        <v>0.51670069107050154</v>
      </c>
      <c r="H182" s="416" t="b">
        <f>Wh_hp&gt;='2019'!Maxi_hp</f>
        <v>0</v>
      </c>
      <c r="I182" s="382">
        <f>IF(H182,Wh_hp,'2019'!Maxi_hp)</f>
        <v>64.172598180317252</v>
      </c>
      <c r="J182" s="85">
        <f>IF(H182,An,'2019'!An_max)</f>
        <v>2019</v>
      </c>
      <c r="K182" s="199">
        <f t="shared" si="50"/>
        <v>43998</v>
      </c>
      <c r="L182" s="147">
        <f>IF(t&lt;Tvie,1-EXP((T0-t)*PertePVj)+'2019'!Pspv,1-EXP((T0-t)*PertePVj)+Pspv)</f>
        <v>1.5814748773913645E-2</v>
      </c>
      <c r="M182" s="872"/>
      <c r="N182" s="872"/>
      <c r="O182" s="48">
        <f>IF(t&lt;Tnet,'2019'!Resal+('2019'!Salim-'2019'!Resal)*(1-EXP(('2019'!Tnet-t)/('2019'!Tau_j))),Resal+(Salim-Resal)*(1-EXP((Tnet-t)/(Tau_j))))*Salcycl</f>
        <v>0.11536574960868839</v>
      </c>
      <c r="P182" s="171">
        <f>(INDEX(Models!$BJ182:$BT182,,T182)*(1-R182)+INDEX(Models!$BJ182:$BT182,,T182+1)*R182-ERP_i)*Q182*Ramure*Pc/MaxiM</f>
        <v>7.2532077852016178E-5</v>
      </c>
      <c r="Q182" s="307">
        <f t="shared" si="51"/>
        <v>0.9</v>
      </c>
      <c r="R182" s="179">
        <f t="shared" si="52"/>
        <v>0.99948867241818862</v>
      </c>
      <c r="S182" s="839">
        <f t="shared" si="53"/>
        <v>-2</v>
      </c>
      <c r="T182" s="178">
        <f t="shared" si="54"/>
        <v>4</v>
      </c>
      <c r="U182" s="253">
        <f t="shared" si="55"/>
        <v>-1.0005113275818114</v>
      </c>
      <c r="V182" s="385">
        <f t="shared" si="56"/>
        <v>55.911582346379618</v>
      </c>
      <c r="W182" s="404"/>
      <c r="X182" s="157">
        <f t="shared" si="57"/>
        <v>43998</v>
      </c>
      <c r="Y182" s="387">
        <f t="shared" si="58"/>
        <v>28.891000000000002</v>
      </c>
      <c r="Z182" s="387">
        <f t="shared" si="59"/>
        <v>29.355245838126447</v>
      </c>
      <c r="AA182" s="388">
        <f t="shared" si="60"/>
        <v>33.183483258918997</v>
      </c>
      <c r="AB182" s="199">
        <f t="shared" si="61"/>
        <v>43998</v>
      </c>
      <c r="AC182" s="119">
        <f>IF(OR(t&lt;Tnet,NoTnet),'2019'!Resal_s+('2019'!Salim-'2019'!Resal_s)*(1-EXP(('2019'!Tnet_s-t)/'2019'!Tau_j)),Resal_s+(Salim-Resal_s)*(1-EXP((Tnet_s-t)/Tau_j)))*Salcycl</f>
        <v>0.11536574960868839</v>
      </c>
      <c r="AD182" s="233">
        <f>(INDEX(Models!$BJ182:$BT182,,AH182)*(1-AF182)+INDEX(Models!$BJ182:$BT182,,AH182+1)*AF182-ERP_i)*AE182*Ramure*Pc/MaxiM</f>
        <v>7.2532077852016178E-5</v>
      </c>
      <c r="AE182" s="307">
        <f t="shared" si="62"/>
        <v>0.9</v>
      </c>
      <c r="AF182" s="179">
        <f t="shared" si="63"/>
        <v>0.99948867241818862</v>
      </c>
      <c r="AG182" s="839">
        <f t="shared" si="71"/>
        <v>-2</v>
      </c>
      <c r="AH182" s="178">
        <f t="shared" si="64"/>
        <v>4</v>
      </c>
      <c r="AI182" s="227">
        <f t="shared" si="65"/>
        <v>-1.0005113275818114</v>
      </c>
      <c r="AJ182" s="267" t="b">
        <f t="shared" si="66"/>
        <v>0</v>
      </c>
      <c r="AK182" s="267" t="b">
        <f t="shared" si="67"/>
        <v>0</v>
      </c>
      <c r="AL182" s="267"/>
      <c r="AM182" s="267"/>
      <c r="AN182" s="75"/>
    </row>
    <row r="183" spans="1:40" s="6" customFormat="1" ht="11.25" x14ac:dyDescent="0.2">
      <c r="A183" s="56">
        <f t="shared" si="68"/>
        <v>43999</v>
      </c>
      <c r="B183" s="620">
        <v>45.661000000000001</v>
      </c>
      <c r="C183" s="392"/>
      <c r="D183" s="395">
        <f t="shared" si="48"/>
        <v>46.395800552812553</v>
      </c>
      <c r="E183" s="387">
        <f t="shared" si="72"/>
        <v>52.456085288153297</v>
      </c>
      <c r="F183" s="387">
        <f t="shared" si="49"/>
        <v>52.458909750890442</v>
      </c>
      <c r="G183" s="110">
        <f t="shared" si="73"/>
        <v>0.81738179582531767</v>
      </c>
      <c r="H183" s="416" t="b">
        <f>Wh_hp&gt;='2019'!Maxi_hp</f>
        <v>0</v>
      </c>
      <c r="I183" s="382">
        <f>IF(H183,Wh_hp,'2019'!Maxi_hp)</f>
        <v>62.517821200510539</v>
      </c>
      <c r="J183" s="85">
        <f>IF(H183,An,'2019'!An_max)</f>
        <v>2019</v>
      </c>
      <c r="K183" s="199">
        <f t="shared" si="50"/>
        <v>43999</v>
      </c>
      <c r="L183" s="147">
        <f>IF(t&lt;Tvie,1-EXP((T0-t)*PertePVj)+'2019'!Pspv,1-EXP((T0-t)*PertePVj)+Pspv)</f>
        <v>1.5837652202511765E-2</v>
      </c>
      <c r="M183" s="872"/>
      <c r="N183" s="872"/>
      <c r="O183" s="48">
        <f>IF(t&lt;Tnet,'2019'!Resal+('2019'!Salim-'2019'!Resal)*(1-EXP(('2019'!Tnet-t)/('2019'!Tau_j))),Resal+(Salim-Resal)*(1-EXP((Tnet-t)/(Tau_j))))*Salcycl</f>
        <v>0.11553063294849794</v>
      </c>
      <c r="P183" s="171">
        <f>(INDEX(Models!$BJ183:$BT183,,T183)*(1-R183)+INDEX(Models!$BJ183:$BT183,,T183+1)*R183-ERP_i)*Q183*Ramure*Pc/MaxiM</f>
        <v>7.284343997155121E-5</v>
      </c>
      <c r="Q183" s="307">
        <f t="shared" si="51"/>
        <v>0.9</v>
      </c>
      <c r="R183" s="179">
        <f t="shared" si="52"/>
        <v>6.5241943133694802E-3</v>
      </c>
      <c r="S183" s="839">
        <f t="shared" si="53"/>
        <v>-1</v>
      </c>
      <c r="T183" s="178">
        <f t="shared" si="54"/>
        <v>5</v>
      </c>
      <c r="U183" s="253">
        <f t="shared" si="55"/>
        <v>-0.99347580568663052</v>
      </c>
      <c r="V183" s="385">
        <f t="shared" si="56"/>
        <v>55.861449980566931</v>
      </c>
      <c r="W183" s="404"/>
      <c r="X183" s="157">
        <f t="shared" si="57"/>
        <v>43999</v>
      </c>
      <c r="Y183" s="387">
        <f t="shared" si="58"/>
        <v>45.661000000000001</v>
      </c>
      <c r="Z183" s="387">
        <f t="shared" si="59"/>
        <v>46.395800552812553</v>
      </c>
      <c r="AA183" s="388">
        <f t="shared" si="60"/>
        <v>52.456085288153297</v>
      </c>
      <c r="AB183" s="199">
        <f t="shared" si="61"/>
        <v>43999</v>
      </c>
      <c r="AC183" s="119">
        <f>IF(OR(t&lt;Tnet,NoTnet),'2019'!Resal_s+('2019'!Salim-'2019'!Resal_s)*(1-EXP(('2019'!Tnet_s-t)/'2019'!Tau_j)),Resal_s+(Salim-Resal_s)*(1-EXP((Tnet_s-t)/Tau_j)))*Salcycl</f>
        <v>0.11553063294849794</v>
      </c>
      <c r="AD183" s="233">
        <f>(INDEX(Models!$BJ183:$BT183,,AH183)*(1-AF183)+INDEX(Models!$BJ183:$BT183,,AH183+1)*AF183-ERP_i)*AE183*Ramure*Pc/MaxiM</f>
        <v>7.284343997155121E-5</v>
      </c>
      <c r="AE183" s="307">
        <f t="shared" si="62"/>
        <v>0.9</v>
      </c>
      <c r="AF183" s="179">
        <f t="shared" si="63"/>
        <v>6.5241943133694802E-3</v>
      </c>
      <c r="AG183" s="839">
        <f t="shared" si="71"/>
        <v>-1</v>
      </c>
      <c r="AH183" s="178">
        <f t="shared" si="64"/>
        <v>5</v>
      </c>
      <c r="AI183" s="227">
        <f t="shared" si="65"/>
        <v>-0.99347580568663052</v>
      </c>
      <c r="AJ183" s="267" t="b">
        <f t="shared" si="66"/>
        <v>0</v>
      </c>
      <c r="AK183" s="267" t="b">
        <f t="shared" si="67"/>
        <v>0</v>
      </c>
      <c r="AL183" s="267"/>
      <c r="AM183" s="267"/>
      <c r="AN183" s="75"/>
    </row>
    <row r="184" spans="1:40" s="6" customFormat="1" ht="11.25" x14ac:dyDescent="0.2">
      <c r="A184" s="56">
        <f t="shared" si="68"/>
        <v>44000</v>
      </c>
      <c r="B184" s="620">
        <v>40.003</v>
      </c>
      <c r="C184" s="392"/>
      <c r="D184" s="395">
        <f t="shared" si="48"/>
        <v>40.647695006258076</v>
      </c>
      <c r="E184" s="387">
        <f t="shared" si="72"/>
        <v>45.965582588025967</v>
      </c>
      <c r="F184" s="387">
        <f t="shared" si="49"/>
        <v>45.967587093814778</v>
      </c>
      <c r="G184" s="110">
        <f t="shared" si="73"/>
        <v>0.71676571535197819</v>
      </c>
      <c r="H184" s="416" t="b">
        <f>Wh_hp&gt;='2019'!Maxi_hp</f>
        <v>0</v>
      </c>
      <c r="I184" s="382">
        <f>IF(H184,Wh_hp,'2019'!Maxi_hp)</f>
        <v>50.746166815699091</v>
      </c>
      <c r="J184" s="85">
        <f>IF(H184,An,'2019'!An_max)</f>
        <v>2019</v>
      </c>
      <c r="K184" s="199">
        <f t="shared" si="50"/>
        <v>44000</v>
      </c>
      <c r="L184" s="147">
        <f>IF(t&lt;Tvie,1-EXP((T0-t)*PertePVj)+'2019'!Pspv,1-EXP((T0-t)*PertePVj)+Pspv)</f>
        <v>1.5860555098113682E-2</v>
      </c>
      <c r="M184" s="872"/>
      <c r="N184" s="872"/>
      <c r="O184" s="48">
        <f>IF(t&lt;Tnet,'2019'!Resal+('2019'!Salim-'2019'!Resal)*(1-EXP(('2019'!Tnet-t)/('2019'!Tau_j))),Resal+(Salim-Resal)*(1-EXP((Tnet-t)/(Tau_j))))*Salcycl</f>
        <v>0.11569281367388129</v>
      </c>
      <c r="P184" s="171">
        <f>(INDEX(Models!$BJ184:$BT184,,T184)*(1-R184)+INDEX(Models!$BJ184:$BT184,,T184+1)*R184-ERP_i)*Q184*Ramure*Pc/MaxiM</f>
        <v>7.3238514825132523E-5</v>
      </c>
      <c r="Q184" s="307">
        <f t="shared" si="51"/>
        <v>0.9</v>
      </c>
      <c r="R184" s="179">
        <f t="shared" si="52"/>
        <v>1.351277509354698E-2</v>
      </c>
      <c r="S184" s="839">
        <f t="shared" si="53"/>
        <v>-1</v>
      </c>
      <c r="T184" s="178">
        <f t="shared" si="54"/>
        <v>5</v>
      </c>
      <c r="U184" s="253">
        <f t="shared" si="55"/>
        <v>-0.98648722490645302</v>
      </c>
      <c r="V184" s="385">
        <f t="shared" si="56"/>
        <v>55.808772294244704</v>
      </c>
      <c r="W184" s="404"/>
      <c r="X184" s="157">
        <f t="shared" si="57"/>
        <v>44000</v>
      </c>
      <c r="Y184" s="387">
        <f t="shared" si="58"/>
        <v>40.003</v>
      </c>
      <c r="Z184" s="387">
        <f t="shared" si="59"/>
        <v>40.647695006258076</v>
      </c>
      <c r="AA184" s="388">
        <f t="shared" si="60"/>
        <v>45.965582588025967</v>
      </c>
      <c r="AB184" s="199">
        <f t="shared" si="61"/>
        <v>44000</v>
      </c>
      <c r="AC184" s="119">
        <f>IF(OR(t&lt;Tnet,NoTnet),'2019'!Resal_s+('2019'!Salim-'2019'!Resal_s)*(1-EXP(('2019'!Tnet_s-t)/'2019'!Tau_j)),Resal_s+(Salim-Resal_s)*(1-EXP((Tnet_s-t)/Tau_j)))*Salcycl</f>
        <v>0.11569281367388129</v>
      </c>
      <c r="AD184" s="233">
        <f>(INDEX(Models!$BJ184:$BT184,,AH184)*(1-AF184)+INDEX(Models!$BJ184:$BT184,,AH184+1)*AF184-ERP_i)*AE184*Ramure*Pc/MaxiM</f>
        <v>7.3238514825132523E-5</v>
      </c>
      <c r="AE184" s="307">
        <f t="shared" si="62"/>
        <v>0.9</v>
      </c>
      <c r="AF184" s="179">
        <f t="shared" si="63"/>
        <v>1.351277509354698E-2</v>
      </c>
      <c r="AG184" s="839">
        <f t="shared" si="71"/>
        <v>-1</v>
      </c>
      <c r="AH184" s="178">
        <f t="shared" si="64"/>
        <v>5</v>
      </c>
      <c r="AI184" s="227">
        <f t="shared" si="65"/>
        <v>-0.98648722490645302</v>
      </c>
      <c r="AJ184" s="267" t="b">
        <f t="shared" si="66"/>
        <v>0</v>
      </c>
      <c r="AK184" s="267" t="b">
        <f t="shared" si="67"/>
        <v>0</v>
      </c>
      <c r="AL184" s="267"/>
      <c r="AM184" s="267"/>
      <c r="AN184" s="75"/>
    </row>
    <row r="185" spans="1:40" s="6" customFormat="1" ht="11.25" x14ac:dyDescent="0.2">
      <c r="A185" s="56">
        <f t="shared" si="68"/>
        <v>44001</v>
      </c>
      <c r="B185" s="620">
        <v>53.75</v>
      </c>
      <c r="C185" s="392"/>
      <c r="D185" s="395">
        <f t="shared" si="48"/>
        <v>54.61751497572785</v>
      </c>
      <c r="E185" s="387">
        <f t="shared" si="72"/>
        <v>61.774194453123513</v>
      </c>
      <c r="F185" s="387">
        <f t="shared" si="49"/>
        <v>61.778509370898874</v>
      </c>
      <c r="G185" s="110">
        <f t="shared" si="73"/>
        <v>0.96405701476346317</v>
      </c>
      <c r="H185" s="416" t="b">
        <f>Wh_hp&gt;='2019'!Maxi_hp</f>
        <v>1</v>
      </c>
      <c r="I185" s="382">
        <f>IF(H185,Wh_hp,'2019'!Maxi_hp)</f>
        <v>61.778509370898874</v>
      </c>
      <c r="J185" s="85">
        <f>IF(H185,An,'2019'!An_max)</f>
        <v>2020</v>
      </c>
      <c r="K185" s="199">
        <f t="shared" si="50"/>
        <v>44001</v>
      </c>
      <c r="L185" s="147">
        <f>IF(t&lt;Tvie,1-EXP((T0-t)*PertePVj)+'2019'!Pspv,1-EXP((T0-t)*PertePVj)+Pspv)</f>
        <v>1.588345746073172E-2</v>
      </c>
      <c r="M185" s="872"/>
      <c r="N185" s="872"/>
      <c r="O185" s="48">
        <f>IF(t&lt;Tnet,'2019'!Resal+('2019'!Salim-'2019'!Resal)*(1-EXP(('2019'!Tnet-t)/('2019'!Tau_j))),Resal+(Salim-Resal)*(1-EXP((Tnet-t)/(Tau_j))))*Salcycl</f>
        <v>0.11585225093993592</v>
      </c>
      <c r="P185" s="171">
        <f>(INDEX(Models!$BJ185:$BT185,,T185)*(1-R185)+INDEX(Models!$BJ185:$BT185,,T185+1)*R185-ERP_i)*Q185*Ramure*Pc/MaxiM</f>
        <v>7.3625013410794706E-5</v>
      </c>
      <c r="Q185" s="307">
        <f t="shared" si="51"/>
        <v>0.9</v>
      </c>
      <c r="R185" s="179">
        <f t="shared" si="52"/>
        <v>2.0449044401462224E-2</v>
      </c>
      <c r="S185" s="839">
        <f t="shared" si="53"/>
        <v>-1</v>
      </c>
      <c r="T185" s="178">
        <f t="shared" si="54"/>
        <v>5</v>
      </c>
      <c r="U185" s="253">
        <f t="shared" si="55"/>
        <v>-0.97955095559853778</v>
      </c>
      <c r="V185" s="385">
        <f t="shared" si="56"/>
        <v>55.75375313393765</v>
      </c>
      <c r="W185" s="404"/>
      <c r="X185" s="157">
        <f t="shared" si="57"/>
        <v>44001</v>
      </c>
      <c r="Y185" s="387">
        <f t="shared" si="58"/>
        <v>53.75</v>
      </c>
      <c r="Z185" s="387">
        <f t="shared" si="59"/>
        <v>54.61751497572785</v>
      </c>
      <c r="AA185" s="388">
        <f t="shared" si="60"/>
        <v>61.774194453123513</v>
      </c>
      <c r="AB185" s="199">
        <f t="shared" si="61"/>
        <v>44001</v>
      </c>
      <c r="AC185" s="119">
        <f>IF(OR(t&lt;Tnet,NoTnet),'2019'!Resal_s+('2019'!Salim-'2019'!Resal_s)*(1-EXP(('2019'!Tnet_s-t)/'2019'!Tau_j)),Resal_s+(Salim-Resal_s)*(1-EXP((Tnet_s-t)/Tau_j)))*Salcycl</f>
        <v>0.11585225093993592</v>
      </c>
      <c r="AD185" s="233">
        <f>(INDEX(Models!$BJ185:$BT185,,AH185)*(1-AF185)+INDEX(Models!$BJ185:$BT185,,AH185+1)*AF185-ERP_i)*AE185*Ramure*Pc/MaxiM</f>
        <v>7.3625013410794706E-5</v>
      </c>
      <c r="AE185" s="307">
        <f t="shared" si="62"/>
        <v>0.9</v>
      </c>
      <c r="AF185" s="179">
        <f t="shared" si="63"/>
        <v>2.0449044401462224E-2</v>
      </c>
      <c r="AG185" s="839">
        <f t="shared" si="71"/>
        <v>-1</v>
      </c>
      <c r="AH185" s="178">
        <f t="shared" si="64"/>
        <v>5</v>
      </c>
      <c r="AI185" s="227">
        <f t="shared" si="65"/>
        <v>-0.97955095559853778</v>
      </c>
      <c r="AJ185" s="267" t="b">
        <f t="shared" si="66"/>
        <v>0</v>
      </c>
      <c r="AK185" s="267" t="b">
        <f t="shared" si="67"/>
        <v>0</v>
      </c>
      <c r="AL185" s="267"/>
      <c r="AM185" s="267"/>
      <c r="AN185" s="75"/>
    </row>
    <row r="186" spans="1:40" s="6" customFormat="1" ht="11.25" x14ac:dyDescent="0.2">
      <c r="A186" s="56">
        <f t="shared" si="68"/>
        <v>44002</v>
      </c>
      <c r="B186" s="620">
        <v>48.165999999999997</v>
      </c>
      <c r="C186" s="392"/>
      <c r="D186" s="395">
        <f t="shared" si="48"/>
        <v>48.944529267832579</v>
      </c>
      <c r="E186" s="387">
        <f t="shared" si="72"/>
        <v>55.36767272071387</v>
      </c>
      <c r="F186" s="387">
        <f t="shared" si="49"/>
        <v>55.37097904522787</v>
      </c>
      <c r="G186" s="110">
        <f t="shared" si="73"/>
        <v>0.86478025342237919</v>
      </c>
      <c r="H186" s="416" t="b">
        <f>Wh_hp&gt;='2019'!Maxi_hp</f>
        <v>1</v>
      </c>
      <c r="I186" s="382">
        <f>IF(H186,Wh_hp,'2019'!Maxi_hp)</f>
        <v>55.37097904522787</v>
      </c>
      <c r="J186" s="85">
        <f>IF(H186,An,'2019'!An_max)</f>
        <v>2020</v>
      </c>
      <c r="K186" s="199">
        <f t="shared" si="50"/>
        <v>44002</v>
      </c>
      <c r="L186" s="147">
        <f>IF(t&lt;Tvie,1-EXP((T0-t)*PertePVj)+'2019'!Pspv,1-EXP((T0-t)*PertePVj)+Pspv)</f>
        <v>1.5906359290378314E-2</v>
      </c>
      <c r="M186" s="872"/>
      <c r="N186" s="872"/>
      <c r="O186" s="48">
        <f>IF(t&lt;Tnet,'2019'!Resal+('2019'!Salim-'2019'!Resal)*(1-EXP(('2019'!Tnet-t)/('2019'!Tau_j))),Resal+(Salim-Resal)*(1-EXP((Tnet-t)/(Tau_j))))*Salcycl</f>
        <v>0.11600891164923938</v>
      </c>
      <c r="P186" s="171">
        <f>(INDEX(Models!$BJ186:$BT186,,T186)*(1-R186)+INDEX(Models!$BJ186:$BT186,,T186+1)*R186-ERP_i)*Q186*Ramure*Pc/MaxiM</f>
        <v>7.4006915574258318E-5</v>
      </c>
      <c r="Q186" s="307">
        <f t="shared" si="51"/>
        <v>0.9</v>
      </c>
      <c r="R186" s="179">
        <f t="shared" si="52"/>
        <v>2.7327799570939559E-2</v>
      </c>
      <c r="S186" s="839">
        <f t="shared" si="53"/>
        <v>-1</v>
      </c>
      <c r="T186" s="178">
        <f t="shared" si="54"/>
        <v>5</v>
      </c>
      <c r="U186" s="253">
        <f t="shared" si="55"/>
        <v>-0.97267220042906044</v>
      </c>
      <c r="V186" s="385">
        <f t="shared" si="56"/>
        <v>55.696590261327295</v>
      </c>
      <c r="W186" s="404"/>
      <c r="X186" s="157">
        <f t="shared" si="57"/>
        <v>44002</v>
      </c>
      <c r="Y186" s="387">
        <f t="shared" si="58"/>
        <v>48.165999999999997</v>
      </c>
      <c r="Z186" s="387">
        <f t="shared" si="59"/>
        <v>48.944529267832579</v>
      </c>
      <c r="AA186" s="388">
        <f t="shared" si="60"/>
        <v>55.36767272071387</v>
      </c>
      <c r="AB186" s="199">
        <f t="shared" si="61"/>
        <v>44002</v>
      </c>
      <c r="AC186" s="119">
        <f>IF(OR(t&lt;Tnet,NoTnet),'2019'!Resal_s+('2019'!Salim-'2019'!Resal_s)*(1-EXP(('2019'!Tnet_s-t)/'2019'!Tau_j)),Resal_s+(Salim-Resal_s)*(1-EXP((Tnet_s-t)/Tau_j)))*Salcycl</f>
        <v>0.11600891164923938</v>
      </c>
      <c r="AD186" s="233">
        <f>(INDEX(Models!$BJ186:$BT186,,AH186)*(1-AF186)+INDEX(Models!$BJ186:$BT186,,AH186+1)*AF186-ERP_i)*AE186*Ramure*Pc/MaxiM</f>
        <v>7.4006915574258318E-5</v>
      </c>
      <c r="AE186" s="307">
        <f t="shared" si="62"/>
        <v>0.9</v>
      </c>
      <c r="AF186" s="179">
        <f t="shared" si="63"/>
        <v>2.7327799570939559E-2</v>
      </c>
      <c r="AG186" s="839">
        <f t="shared" si="71"/>
        <v>-1</v>
      </c>
      <c r="AH186" s="178">
        <f t="shared" si="64"/>
        <v>5</v>
      </c>
      <c r="AI186" s="227">
        <f t="shared" si="65"/>
        <v>-0.97267220042906044</v>
      </c>
      <c r="AJ186" s="267" t="b">
        <f t="shared" si="66"/>
        <v>0</v>
      </c>
      <c r="AK186" s="267" t="b">
        <f t="shared" si="67"/>
        <v>0</v>
      </c>
      <c r="AL186" s="267"/>
      <c r="AM186" s="267"/>
      <c r="AN186" s="75"/>
    </row>
    <row r="187" spans="1:40" s="6" customFormat="1" ht="11.25" x14ac:dyDescent="0.2">
      <c r="A187" s="56">
        <f t="shared" si="68"/>
        <v>44003</v>
      </c>
      <c r="B187" s="620">
        <v>55.353000000000002</v>
      </c>
      <c r="C187" s="392"/>
      <c r="D187" s="395">
        <f t="shared" si="48"/>
        <v>56.249005059353635</v>
      </c>
      <c r="E187" s="387">
        <f t="shared" si="72"/>
        <v>63.641814557141537</v>
      </c>
      <c r="F187" s="387">
        <f t="shared" si="49"/>
        <v>63.646514520182144</v>
      </c>
      <c r="G187" s="110">
        <f t="shared" si="73"/>
        <v>0.99488634609673077</v>
      </c>
      <c r="H187" s="416" t="b">
        <f>Wh_hp&gt;='2019'!Maxi_hp</f>
        <v>1</v>
      </c>
      <c r="I187" s="382">
        <f>IF(H187,Wh_hp,'2019'!Maxi_hp)</f>
        <v>63.646514520182144</v>
      </c>
      <c r="J187" s="85">
        <f>IF(H187,An,'2019'!An_max)</f>
        <v>2020</v>
      </c>
      <c r="K187" s="199">
        <f t="shared" si="50"/>
        <v>44003</v>
      </c>
      <c r="L187" s="147">
        <f>IF(t&lt;Tvie,1-EXP((T0-t)*PertePVj)+'2019'!Pspv,1-EXP((T0-t)*PertePVj)+Pspv)</f>
        <v>1.5929260587065897E-2</v>
      </c>
      <c r="M187" s="872"/>
      <c r="N187" s="872"/>
      <c r="O187" s="48">
        <f>IF(t&lt;Tnet,'2019'!Resal+('2019'!Salim-'2019'!Resal)*(1-EXP(('2019'!Tnet-t)/('2019'!Tau_j))),Resal+(Salim-Resal)*(1-EXP((Tnet-t)/(Tau_j))))*Salcycl</f>
        <v>0.11616277048716425</v>
      </c>
      <c r="P187" s="171">
        <f>(INDEX(Models!$BJ187:$BT187,,T187)*(1-R187)+INDEX(Models!$BJ187:$BT187,,T187+1)*R187-ERP_i)*Q187*Ramure*Pc/MaxiM</f>
        <v>7.4388147116420574E-5</v>
      </c>
      <c r="Q187" s="307">
        <f t="shared" si="51"/>
        <v>0.9</v>
      </c>
      <c r="R187" s="179">
        <f t="shared" si="52"/>
        <v>3.4144020087062188E-2</v>
      </c>
      <c r="S187" s="839">
        <f t="shared" si="53"/>
        <v>-1</v>
      </c>
      <c r="T187" s="178">
        <f t="shared" si="54"/>
        <v>5</v>
      </c>
      <c r="U187" s="253">
        <f t="shared" si="55"/>
        <v>-0.96585597991293781</v>
      </c>
      <c r="V187" s="385">
        <f t="shared" si="56"/>
        <v>55.63748074149553</v>
      </c>
      <c r="W187" s="404"/>
      <c r="X187" s="157">
        <f t="shared" si="57"/>
        <v>44003</v>
      </c>
      <c r="Y187" s="387">
        <f t="shared" si="58"/>
        <v>55.353000000000002</v>
      </c>
      <c r="Z187" s="387">
        <f t="shared" si="59"/>
        <v>56.249005059353635</v>
      </c>
      <c r="AA187" s="388">
        <f t="shared" si="60"/>
        <v>63.641814557141537</v>
      </c>
      <c r="AB187" s="199">
        <f t="shared" si="61"/>
        <v>44003</v>
      </c>
      <c r="AC187" s="119">
        <f>IF(OR(t&lt;Tnet,NoTnet),'2019'!Resal_s+('2019'!Salim-'2019'!Resal_s)*(1-EXP(('2019'!Tnet_s-t)/'2019'!Tau_j)),Resal_s+(Salim-Resal_s)*(1-EXP((Tnet_s-t)/Tau_j)))*Salcycl</f>
        <v>0.11616277048716425</v>
      </c>
      <c r="AD187" s="233">
        <f>(INDEX(Models!$BJ187:$BT187,,AH187)*(1-AF187)+INDEX(Models!$BJ187:$BT187,,AH187+1)*AF187-ERP_i)*AE187*Ramure*Pc/MaxiM</f>
        <v>7.4388147116420574E-5</v>
      </c>
      <c r="AE187" s="307">
        <f t="shared" si="62"/>
        <v>0.9</v>
      </c>
      <c r="AF187" s="179">
        <f t="shared" si="63"/>
        <v>3.4144020087062188E-2</v>
      </c>
      <c r="AG187" s="839">
        <f t="shared" si="71"/>
        <v>-1</v>
      </c>
      <c r="AH187" s="178">
        <f t="shared" si="64"/>
        <v>5</v>
      </c>
      <c r="AI187" s="227">
        <f t="shared" si="65"/>
        <v>-0.96585597991293781</v>
      </c>
      <c r="AJ187" s="267" t="b">
        <f t="shared" si="66"/>
        <v>0</v>
      </c>
      <c r="AK187" s="267" t="b">
        <f t="shared" si="67"/>
        <v>0</v>
      </c>
      <c r="AL187" s="267"/>
      <c r="AM187" s="267"/>
      <c r="AN187" s="75"/>
    </row>
    <row r="188" spans="1:40" s="6" customFormat="1" ht="11.25" customHeight="1" x14ac:dyDescent="0.2">
      <c r="A188" s="56">
        <f t="shared" si="68"/>
        <v>44004</v>
      </c>
      <c r="B188" s="620">
        <v>49.335000000000001</v>
      </c>
      <c r="C188" s="392"/>
      <c r="D188" s="395">
        <f t="shared" si="48"/>
        <v>50.13475774482913</v>
      </c>
      <c r="E188" s="387">
        <f t="shared" si="72"/>
        <v>56.73366666501704</v>
      </c>
      <c r="F188" s="387">
        <f t="shared" si="49"/>
        <v>56.737228376806002</v>
      </c>
      <c r="G188" s="110">
        <f t="shared" si="73"/>
        <v>0.88768275655916473</v>
      </c>
      <c r="H188" s="416" t="b">
        <f>Wh_hp&gt;='2019'!Maxi_hp</f>
        <v>1</v>
      </c>
      <c r="I188" s="382">
        <f>IF(H188,Wh_hp,'2019'!Maxi_hp)</f>
        <v>56.737228376806002</v>
      </c>
      <c r="J188" s="85">
        <f>IF(H188,An,'2019'!An_max)</f>
        <v>2020</v>
      </c>
      <c r="K188" s="199">
        <f t="shared" si="50"/>
        <v>44004</v>
      </c>
      <c r="L188" s="147">
        <f>IF(t&lt;Tvie,1-EXP((T0-t)*PertePVj)+'2019'!Pspv,1-EXP((T0-t)*PertePVj)+Pspv)</f>
        <v>1.5952161350806904E-2</v>
      </c>
      <c r="M188" s="872"/>
      <c r="N188" s="872"/>
      <c r="O188" s="48">
        <f>IF(t&lt;Tnet,'2019'!Resal+('2019'!Salim-'2019'!Resal)*(1-EXP(('2019'!Tnet-t)/('2019'!Tau_j))),Resal+(Salim-Resal)*(1-EXP((Tnet-t)/(Tau_j))))*Salcycl</f>
        <v>0.11631380991380401</v>
      </c>
      <c r="P188" s="171">
        <f>(INDEX(Models!$BJ188:$BT188,,T188)*(1-R188)+INDEX(Models!$BJ188:$BT188,,T188+1)*R188-ERP_i)*Q188*Ramure*Pc/MaxiM</f>
        <v>7.4771807481895076E-5</v>
      </c>
      <c r="Q188" s="307">
        <f t="shared" si="51"/>
        <v>0.9</v>
      </c>
      <c r="R188" s="179">
        <f t="shared" si="52"/>
        <v>4.0892880850772917E-2</v>
      </c>
      <c r="S188" s="839">
        <f t="shared" si="53"/>
        <v>-1</v>
      </c>
      <c r="T188" s="178">
        <f t="shared" si="54"/>
        <v>5</v>
      </c>
      <c r="U188" s="253">
        <f t="shared" si="55"/>
        <v>-0.95910711914922708</v>
      </c>
      <c r="V188" s="385">
        <f t="shared" si="56"/>
        <v>55.576620998749938</v>
      </c>
      <c r="W188" s="404"/>
      <c r="X188" s="157">
        <f t="shared" si="57"/>
        <v>44004</v>
      </c>
      <c r="Y188" s="387">
        <f t="shared" si="58"/>
        <v>49.335000000000001</v>
      </c>
      <c r="Z188" s="387">
        <f t="shared" si="59"/>
        <v>50.13475774482913</v>
      </c>
      <c r="AA188" s="388">
        <f t="shared" si="60"/>
        <v>56.73366666501704</v>
      </c>
      <c r="AB188" s="199">
        <f t="shared" si="61"/>
        <v>44004</v>
      </c>
      <c r="AC188" s="119">
        <f>IF(OR(t&lt;Tnet,NoTnet),'2019'!Resal_s+('2019'!Salim-'2019'!Resal_s)*(1-EXP(('2019'!Tnet_s-t)/'2019'!Tau_j)),Resal_s+(Salim-Resal_s)*(1-EXP((Tnet_s-t)/Tau_j)))*Salcycl</f>
        <v>0.11631380991380401</v>
      </c>
      <c r="AD188" s="233">
        <f>(INDEX(Models!$BJ188:$BT188,,AH188)*(1-AF188)+INDEX(Models!$BJ188:$BT188,,AH188+1)*AF188-ERP_i)*AE188*Ramure*Pc/MaxiM</f>
        <v>7.4771807481895076E-5</v>
      </c>
      <c r="AE188" s="307">
        <f t="shared" si="62"/>
        <v>0.9</v>
      </c>
      <c r="AF188" s="179">
        <f t="shared" si="63"/>
        <v>4.0892880850772917E-2</v>
      </c>
      <c r="AG188" s="839">
        <f t="shared" si="71"/>
        <v>-1</v>
      </c>
      <c r="AH188" s="178">
        <f t="shared" si="64"/>
        <v>5</v>
      </c>
      <c r="AI188" s="227">
        <f t="shared" si="65"/>
        <v>-0.95910711914922708</v>
      </c>
      <c r="AJ188" s="267" t="b">
        <f t="shared" si="66"/>
        <v>0</v>
      </c>
      <c r="AK188" s="267" t="b">
        <f t="shared" si="67"/>
        <v>0</v>
      </c>
      <c r="AL188" s="267"/>
      <c r="AM188" s="267"/>
      <c r="AN188" s="75"/>
    </row>
    <row r="189" spans="1:40" s="6" customFormat="1" ht="11.25" x14ac:dyDescent="0.2">
      <c r="A189" s="56">
        <f t="shared" si="68"/>
        <v>44005</v>
      </c>
      <c r="B189" s="620">
        <v>54.668999999999997</v>
      </c>
      <c r="C189" s="392"/>
      <c r="D189" s="395">
        <f t="shared" si="48"/>
        <v>55.556518809237645</v>
      </c>
      <c r="E189" s="387">
        <f t="shared" si="72"/>
        <v>62.879604582833537</v>
      </c>
      <c r="F189" s="387">
        <f t="shared" si="49"/>
        <v>62.884228215867878</v>
      </c>
      <c r="G189" s="110">
        <f t="shared" si="73"/>
        <v>0.98477333625008112</v>
      </c>
      <c r="H189" s="416" t="b">
        <f>Wh_hp&gt;='2019'!Maxi_hp</f>
        <v>1</v>
      </c>
      <c r="I189" s="382">
        <f>IF(H189,Wh_hp,'2019'!Maxi_hp)</f>
        <v>62.884228215867878</v>
      </c>
      <c r="J189" s="85">
        <f>IF(H189,An,'2019'!An_max)</f>
        <v>2020</v>
      </c>
      <c r="K189" s="199">
        <f t="shared" si="50"/>
        <v>44005</v>
      </c>
      <c r="L189" s="147">
        <f>IF(t&lt;Tvie,1-EXP((T0-t)*PertePVj)+'2019'!Pspv,1-EXP((T0-t)*PertePVj)+Pspv)</f>
        <v>1.5975061581613659E-2</v>
      </c>
      <c r="M189" s="872"/>
      <c r="N189" s="872"/>
      <c r="O189" s="48">
        <f>IF(t&lt;Tnet,'2019'!Resal+('2019'!Salim-'2019'!Resal)*(1-EXP(('2019'!Tnet-t)/('2019'!Tau_j))),Resal+(Salim-Resal)*(1-EXP((Tnet-t)/(Tau_j))))*Salcycl</f>
        <v>0.11646202011256182</v>
      </c>
      <c r="P189" s="171">
        <f>(INDEX(Models!$BJ189:$BT189,,T189)*(1-R189)+INDEX(Models!$BJ189:$BT189,,T189+1)*R189-ERP_i)*Q189*Ramure*Pc/MaxiM</f>
        <v>7.5160870320290017E-5</v>
      </c>
      <c r="Q189" s="307">
        <f t="shared" si="51"/>
        <v>0.9</v>
      </c>
      <c r="R189" s="179">
        <f t="shared" si="52"/>
        <v>4.7569764184932306E-2</v>
      </c>
      <c r="S189" s="839">
        <f t="shared" si="53"/>
        <v>-1</v>
      </c>
      <c r="T189" s="178">
        <f t="shared" si="54"/>
        <v>5</v>
      </c>
      <c r="U189" s="253">
        <f t="shared" si="55"/>
        <v>-0.95243023581506769</v>
      </c>
      <c r="V189" s="385">
        <f t="shared" si="56"/>
        <v>55.514206783052636</v>
      </c>
      <c r="W189" s="404"/>
      <c r="X189" s="157">
        <f t="shared" si="57"/>
        <v>44005</v>
      </c>
      <c r="Y189" s="387">
        <f t="shared" si="58"/>
        <v>54.668999999999997</v>
      </c>
      <c r="Z189" s="387">
        <f t="shared" si="59"/>
        <v>55.556518809237645</v>
      </c>
      <c r="AA189" s="388">
        <f t="shared" si="60"/>
        <v>62.879604582833537</v>
      </c>
      <c r="AB189" s="199">
        <f t="shared" si="61"/>
        <v>44005</v>
      </c>
      <c r="AC189" s="119">
        <f>IF(OR(t&lt;Tnet,NoTnet),'2019'!Resal_s+('2019'!Salim-'2019'!Resal_s)*(1-EXP(('2019'!Tnet_s-t)/'2019'!Tau_j)),Resal_s+(Salim-Resal_s)*(1-EXP((Tnet_s-t)/Tau_j)))*Salcycl</f>
        <v>0.11646202011256182</v>
      </c>
      <c r="AD189" s="233">
        <f>(INDEX(Models!$BJ189:$BT189,,AH189)*(1-AF189)+INDEX(Models!$BJ189:$BT189,,AH189+1)*AF189-ERP_i)*AE189*Ramure*Pc/MaxiM</f>
        <v>7.5160870320290017E-5</v>
      </c>
      <c r="AE189" s="307">
        <f t="shared" si="62"/>
        <v>0.9</v>
      </c>
      <c r="AF189" s="179">
        <f t="shared" si="63"/>
        <v>4.7569764184932306E-2</v>
      </c>
      <c r="AG189" s="839">
        <f t="shared" si="71"/>
        <v>-1</v>
      </c>
      <c r="AH189" s="178">
        <f t="shared" si="64"/>
        <v>5</v>
      </c>
      <c r="AI189" s="227">
        <f t="shared" si="65"/>
        <v>-0.95243023581506769</v>
      </c>
      <c r="AJ189" s="267" t="b">
        <f t="shared" si="66"/>
        <v>0</v>
      </c>
      <c r="AK189" s="267" t="b">
        <f t="shared" si="67"/>
        <v>0</v>
      </c>
      <c r="AL189" s="267"/>
      <c r="AM189" s="267"/>
      <c r="AN189" s="75"/>
    </row>
    <row r="190" spans="1:40" s="6" customFormat="1" ht="11.25" x14ac:dyDescent="0.2">
      <c r="A190" s="56">
        <f t="shared" si="68"/>
        <v>44006</v>
      </c>
      <c r="B190" s="620">
        <v>49.01</v>
      </c>
      <c r="C190" s="392"/>
      <c r="D190" s="395">
        <f t="shared" si="48"/>
        <v>49.806807375854362</v>
      </c>
      <c r="E190" s="387">
        <f t="shared" si="72"/>
        <v>56.381282018434298</v>
      </c>
      <c r="F190" s="387">
        <f t="shared" si="49"/>
        <v>56.38483549440901</v>
      </c>
      <c r="G190" s="110">
        <f t="shared" si="73"/>
        <v>0.8838413469108316</v>
      </c>
      <c r="H190" s="416" t="b">
        <f>Wh_hp&gt;='2019'!Maxi_hp</f>
        <v>0</v>
      </c>
      <c r="I190" s="382">
        <f>IF(H190,Wh_hp,'2019'!Maxi_hp)</f>
        <v>56.496576559205096</v>
      </c>
      <c r="J190" s="85">
        <f>IF(H190,An,'2019'!An_max)</f>
        <v>2019</v>
      </c>
      <c r="K190" s="199">
        <f t="shared" si="50"/>
        <v>44006</v>
      </c>
      <c r="L190" s="147">
        <f>IF(t&lt;Tvie,1-EXP((T0-t)*PertePVj)+'2019'!Pspv,1-EXP((T0-t)*PertePVj)+Pspv)</f>
        <v>1.5997961279498596E-2</v>
      </c>
      <c r="M190" s="872"/>
      <c r="N190" s="872"/>
      <c r="O190" s="48">
        <f>IF(t&lt;Tnet,'2019'!Resal+('2019'!Salim-'2019'!Resal)*(1-EXP(('2019'!Tnet-t)/('2019'!Tau_j))),Resal+(Salim-Resal)*(1-EXP((Tnet-t)/(Tau_j))))*Salcycl</f>
        <v>0.11660739889579595</v>
      </c>
      <c r="P190" s="171">
        <f>(INDEX(Models!$BJ190:$BT190,,T190)*(1-R190)+INDEX(Models!$BJ190:$BT190,,T190+1)*R190-ERP_i)*Q190*Ramure*Pc/MaxiM</f>
        <v>7.5558967508645354E-5</v>
      </c>
      <c r="Q190" s="307">
        <f t="shared" si="51"/>
        <v>0.9</v>
      </c>
      <c r="R190" s="179">
        <f t="shared" si="52"/>
        <v>5.4170270532298503E-2</v>
      </c>
      <c r="S190" s="839">
        <f t="shared" si="53"/>
        <v>-1</v>
      </c>
      <c r="T190" s="178">
        <f t="shared" si="54"/>
        <v>5</v>
      </c>
      <c r="U190" s="253">
        <f t="shared" si="55"/>
        <v>-0.9458297294677015</v>
      </c>
      <c r="V190" s="385">
        <f t="shared" si="56"/>
        <v>55.450433143751759</v>
      </c>
      <c r="W190" s="404"/>
      <c r="X190" s="157">
        <f t="shared" si="57"/>
        <v>44006</v>
      </c>
      <c r="Y190" s="387">
        <f t="shared" si="58"/>
        <v>49.01</v>
      </c>
      <c r="Z190" s="387">
        <f t="shared" si="59"/>
        <v>49.806807375854362</v>
      </c>
      <c r="AA190" s="388">
        <f t="shared" si="60"/>
        <v>56.381282018434298</v>
      </c>
      <c r="AB190" s="199">
        <f t="shared" si="61"/>
        <v>44006</v>
      </c>
      <c r="AC190" s="119">
        <f>IF(OR(t&lt;Tnet,NoTnet),'2019'!Resal_s+('2019'!Salim-'2019'!Resal_s)*(1-EXP(('2019'!Tnet_s-t)/'2019'!Tau_j)),Resal_s+(Salim-Resal_s)*(1-EXP((Tnet_s-t)/Tau_j)))*Salcycl</f>
        <v>0.11660739889579595</v>
      </c>
      <c r="AD190" s="233">
        <f>(INDEX(Models!$BJ190:$BT190,,AH190)*(1-AF190)+INDEX(Models!$BJ190:$BT190,,AH190+1)*AF190-ERP_i)*AE190*Ramure*Pc/MaxiM</f>
        <v>7.5558967508645354E-5</v>
      </c>
      <c r="AE190" s="307">
        <f t="shared" si="62"/>
        <v>0.9</v>
      </c>
      <c r="AF190" s="179">
        <f t="shared" si="63"/>
        <v>5.4170270532298503E-2</v>
      </c>
      <c r="AG190" s="839">
        <f t="shared" si="71"/>
        <v>-1</v>
      </c>
      <c r="AH190" s="178">
        <f t="shared" si="64"/>
        <v>5</v>
      </c>
      <c r="AI190" s="227">
        <f t="shared" si="65"/>
        <v>-0.9458297294677015</v>
      </c>
      <c r="AJ190" s="267" t="b">
        <f t="shared" si="66"/>
        <v>0</v>
      </c>
      <c r="AK190" s="267" t="b">
        <f t="shared" si="67"/>
        <v>0</v>
      </c>
      <c r="AL190" s="267"/>
      <c r="AM190" s="267"/>
      <c r="AN190" s="75"/>
    </row>
    <row r="191" spans="1:40" s="6" customFormat="1" ht="11.25" x14ac:dyDescent="0.2">
      <c r="A191" s="56">
        <f t="shared" si="68"/>
        <v>44007</v>
      </c>
      <c r="B191" s="620">
        <v>43.97</v>
      </c>
      <c r="C191" s="392"/>
      <c r="D191" s="395">
        <f t="shared" si="48"/>
        <v>44.685906674669674</v>
      </c>
      <c r="E191" s="387">
        <f t="shared" si="72"/>
        <v>50.592588988827757</v>
      </c>
      <c r="F191" s="387">
        <f t="shared" si="49"/>
        <v>50.595300953041168</v>
      </c>
      <c r="G191" s="110">
        <f t="shared" si="73"/>
        <v>0.79387334714936764</v>
      </c>
      <c r="H191" s="416" t="b">
        <f>Wh_hp&gt;='2019'!Maxi_hp</f>
        <v>0</v>
      </c>
      <c r="I191" s="382">
        <f>IF(H191,Wh_hp,'2019'!Maxi_hp)</f>
        <v>61.058572386734099</v>
      </c>
      <c r="J191" s="85">
        <f>IF(H191,An,'2019'!An_max)</f>
        <v>2019</v>
      </c>
      <c r="K191" s="199">
        <f t="shared" si="50"/>
        <v>44007</v>
      </c>
      <c r="L191" s="147">
        <f>IF(t&lt;Tvie,1-EXP((T0-t)*PertePVj)+'2019'!Pspv,1-EXP((T0-t)*PertePVj)+Pspv)</f>
        <v>1.6020860444474039E-2</v>
      </c>
      <c r="M191" s="872"/>
      <c r="N191" s="872"/>
      <c r="O191" s="48">
        <f>IF(t&lt;Tnet,'2019'!Resal+('2019'!Salim-'2019'!Resal)*(1-EXP(('2019'!Tnet-t)/('2019'!Tau_j))),Resal+(Salim-Resal)*(1-EXP((Tnet-t)/(Tau_j))))*Salcycl</f>
        <v>0.11674995156825133</v>
      </c>
      <c r="P191" s="171">
        <f>(INDEX(Models!$BJ191:$BT191,,T191)*(1-R191)+INDEX(Models!$BJ191:$BT191,,T191+1)*R191-ERP_i)*Q191*Ramure*Pc/MaxiM</f>
        <v>7.5969733878200889E-5</v>
      </c>
      <c r="Q191" s="307">
        <f t="shared" si="51"/>
        <v>0.9</v>
      </c>
      <c r="R191" s="179">
        <f t="shared" si="52"/>
        <v>6.0690227809463648E-2</v>
      </c>
      <c r="S191" s="839">
        <f t="shared" si="53"/>
        <v>-1</v>
      </c>
      <c r="T191" s="178">
        <f t="shared" si="54"/>
        <v>5</v>
      </c>
      <c r="U191" s="253">
        <f t="shared" si="55"/>
        <v>-0.93930977219053635</v>
      </c>
      <c r="V191" s="385">
        <f t="shared" si="56"/>
        <v>55.385429623883049</v>
      </c>
      <c r="W191" s="404"/>
      <c r="X191" s="157">
        <f t="shared" si="57"/>
        <v>44007</v>
      </c>
      <c r="Y191" s="387">
        <f t="shared" si="58"/>
        <v>43.97</v>
      </c>
      <c r="Z191" s="387">
        <f t="shared" si="59"/>
        <v>44.685906674669674</v>
      </c>
      <c r="AA191" s="388">
        <f t="shared" si="60"/>
        <v>50.592588988827757</v>
      </c>
      <c r="AB191" s="199">
        <f t="shared" si="61"/>
        <v>44007</v>
      </c>
      <c r="AC191" s="119">
        <f>IF(OR(t&lt;Tnet,NoTnet),'2019'!Resal_s+('2019'!Salim-'2019'!Resal_s)*(1-EXP(('2019'!Tnet_s-t)/'2019'!Tau_j)),Resal_s+(Salim-Resal_s)*(1-EXP((Tnet_s-t)/Tau_j)))*Salcycl</f>
        <v>0.11674995156825133</v>
      </c>
      <c r="AD191" s="233">
        <f>(INDEX(Models!$BJ191:$BT191,,AH191)*(1-AF191)+INDEX(Models!$BJ191:$BT191,,AH191+1)*AF191-ERP_i)*AE191*Ramure*Pc/MaxiM</f>
        <v>7.5969733878200889E-5</v>
      </c>
      <c r="AE191" s="307">
        <f t="shared" si="62"/>
        <v>0.9</v>
      </c>
      <c r="AF191" s="179">
        <f t="shared" si="63"/>
        <v>6.0690227809463648E-2</v>
      </c>
      <c r="AG191" s="839">
        <f t="shared" si="71"/>
        <v>-1</v>
      </c>
      <c r="AH191" s="178">
        <f t="shared" si="64"/>
        <v>5</v>
      </c>
      <c r="AI191" s="227">
        <f t="shared" si="65"/>
        <v>-0.93930977219053635</v>
      </c>
      <c r="AJ191" s="267" t="b">
        <f t="shared" si="66"/>
        <v>0</v>
      </c>
      <c r="AK191" s="267" t="b">
        <f t="shared" si="67"/>
        <v>0</v>
      </c>
      <c r="AL191" s="267"/>
      <c r="AM191" s="267"/>
      <c r="AN191" s="75"/>
    </row>
    <row r="192" spans="1:40" s="6" customFormat="1" ht="11.25" customHeight="1" x14ac:dyDescent="0.2">
      <c r="A192" s="56">
        <f t="shared" si="68"/>
        <v>44008</v>
      </c>
      <c r="B192" s="620">
        <v>44.976999999999997</v>
      </c>
      <c r="C192" s="392"/>
      <c r="D192" s="395">
        <f t="shared" si="48"/>
        <v>45.710366101025869</v>
      </c>
      <c r="E192" s="387">
        <f t="shared" si="72"/>
        <v>51.760652799775606</v>
      </c>
      <c r="F192" s="387">
        <f t="shared" si="49"/>
        <v>51.763555002073751</v>
      </c>
      <c r="G192" s="110">
        <f t="shared" si="73"/>
        <v>0.81303046088929998</v>
      </c>
      <c r="H192" s="416" t="b">
        <f>Wh_hp&gt;='2019'!Maxi_hp</f>
        <v>0</v>
      </c>
      <c r="I192" s="382">
        <f>IF(H192,Wh_hp,'2019'!Maxi_hp)</f>
        <v>60.869890690098934</v>
      </c>
      <c r="J192" s="85">
        <f>IF(H192,An,'2019'!An_max)</f>
        <v>2019</v>
      </c>
      <c r="K192" s="199">
        <f t="shared" si="50"/>
        <v>44008</v>
      </c>
      <c r="L192" s="147">
        <f>IF(t&lt;Tvie,1-EXP((T0-t)*PertePVj)+'2019'!Pspv,1-EXP((T0-t)*PertePVj)+Pspv)</f>
        <v>1.6043759076552533E-2</v>
      </c>
      <c r="M192" s="872"/>
      <c r="N192" s="872"/>
      <c r="O192" s="48">
        <f>IF(t&lt;Tnet,'2019'!Resal+('2019'!Salim-'2019'!Resal)*(1-EXP(('2019'!Tnet-t)/('2019'!Tau_j))),Resal+(Salim-Resal)*(1-EXP((Tnet-t)/(Tau_j))))*Salcycl</f>
        <v>0.11688969074934008</v>
      </c>
      <c r="P192" s="171">
        <f>(INDEX(Models!$BJ192:$BT192,,T192)*(1-R192)+INDEX(Models!$BJ192:$BT192,,T192+1)*R192-ERP_i)*Q192*Ramure*Pc/MaxiM</f>
        <v>7.6497001575288995E-5</v>
      </c>
      <c r="Q192" s="307">
        <f t="shared" si="51"/>
        <v>0.9</v>
      </c>
      <c r="R192" s="179">
        <f t="shared" si="52"/>
        <v>6.7125699394267713E-2</v>
      </c>
      <c r="S192" s="839">
        <f t="shared" si="53"/>
        <v>-1</v>
      </c>
      <c r="T192" s="178">
        <f t="shared" si="54"/>
        <v>5</v>
      </c>
      <c r="U192" s="253">
        <f t="shared" si="55"/>
        <v>-0.93287430060573229</v>
      </c>
      <c r="V192" s="385">
        <f t="shared" si="56"/>
        <v>55.319060244595335</v>
      </c>
      <c r="W192" s="404"/>
      <c r="X192" s="157">
        <f t="shared" si="57"/>
        <v>44008</v>
      </c>
      <c r="Y192" s="387">
        <f t="shared" si="58"/>
        <v>44.976999999999997</v>
      </c>
      <c r="Z192" s="387">
        <f t="shared" si="59"/>
        <v>45.710366101025869</v>
      </c>
      <c r="AA192" s="388">
        <f t="shared" si="60"/>
        <v>51.760652799775606</v>
      </c>
      <c r="AB192" s="199">
        <f t="shared" si="61"/>
        <v>44008</v>
      </c>
      <c r="AC192" s="119">
        <f>IF(OR(t&lt;Tnet,NoTnet),'2019'!Resal_s+('2019'!Salim-'2019'!Resal_s)*(1-EXP(('2019'!Tnet_s-t)/'2019'!Tau_j)),Resal_s+(Salim-Resal_s)*(1-EXP((Tnet_s-t)/Tau_j)))*Salcycl</f>
        <v>0.11688969074934008</v>
      </c>
      <c r="AD192" s="233">
        <f>(INDEX(Models!$BJ192:$BT192,,AH192)*(1-AF192)+INDEX(Models!$BJ192:$BT192,,AH192+1)*AF192-ERP_i)*AE192*Ramure*Pc/MaxiM</f>
        <v>7.6497001575288995E-5</v>
      </c>
      <c r="AE192" s="307">
        <f t="shared" si="62"/>
        <v>0.9</v>
      </c>
      <c r="AF192" s="179">
        <f t="shared" si="63"/>
        <v>6.7125699394267713E-2</v>
      </c>
      <c r="AG192" s="839">
        <f t="shared" si="71"/>
        <v>-1</v>
      </c>
      <c r="AH192" s="178">
        <f t="shared" si="64"/>
        <v>5</v>
      </c>
      <c r="AI192" s="227">
        <f t="shared" si="65"/>
        <v>-0.93287430060573229</v>
      </c>
      <c r="AJ192" s="267" t="b">
        <f t="shared" si="66"/>
        <v>0</v>
      </c>
      <c r="AK192" s="267" t="b">
        <f t="shared" si="67"/>
        <v>0</v>
      </c>
      <c r="AL192" s="267"/>
      <c r="AM192" s="267"/>
      <c r="AN192" s="75"/>
    </row>
    <row r="193" spans="1:40" s="6" customFormat="1" ht="11.25" x14ac:dyDescent="0.2">
      <c r="A193" s="56">
        <f t="shared" si="68"/>
        <v>44009</v>
      </c>
      <c r="B193" s="620">
        <v>39.634</v>
      </c>
      <c r="C193" s="392"/>
      <c r="D193" s="395">
        <f t="shared" si="48"/>
        <v>40.281183973535967</v>
      </c>
      <c r="E193" s="387">
        <f t="shared" si="72"/>
        <v>45.619931045436488</v>
      </c>
      <c r="F193" s="387">
        <f t="shared" si="49"/>
        <v>45.622029317935521</v>
      </c>
      <c r="G193" s="110">
        <f t="shared" si="73"/>
        <v>0.71732045503949926</v>
      </c>
      <c r="H193" s="416" t="b">
        <f>Wh_hp&gt;='2019'!Maxi_hp</f>
        <v>0</v>
      </c>
      <c r="I193" s="382">
        <f>IF(H193,Wh_hp,'2019'!Maxi_hp)</f>
        <v>60.798892909051645</v>
      </c>
      <c r="J193" s="85">
        <f>IF(H193,An,'2019'!An_max)</f>
        <v>2019</v>
      </c>
      <c r="K193" s="199">
        <f t="shared" si="50"/>
        <v>44009</v>
      </c>
      <c r="L193" s="147">
        <f>IF(t&lt;Tvie,1-EXP((T0-t)*PertePVj)+'2019'!Pspv,1-EXP((T0-t)*PertePVj)+Pspv)</f>
        <v>1.6066657175746291E-2</v>
      </c>
      <c r="M193" s="872"/>
      <c r="N193" s="872"/>
      <c r="O193" s="48">
        <f>IF(t&lt;Tnet,'2019'!Resal+('2019'!Salim-'2019'!Resal)*(1-EXP(('2019'!Tnet-t)/('2019'!Tau_j))),Resal+(Salim-Resal)*(1-EXP((Tnet-t)/(Tau_j))))*Salcycl</f>
        <v>0.11702663615565838</v>
      </c>
      <c r="P193" s="171">
        <f>(INDEX(Models!$BJ193:$BT193,,T193)*(1-R193)+INDEX(Models!$BJ193:$BT193,,T193+1)*R193-ERP_i)*Q193*Ramure*Pc/MaxiM</f>
        <v>7.7142267941035218E-5</v>
      </c>
      <c r="Q193" s="307">
        <f t="shared" si="51"/>
        <v>0.9</v>
      </c>
      <c r="R193" s="179">
        <f t="shared" si="52"/>
        <v>7.3472990737428967E-2</v>
      </c>
      <c r="S193" s="839">
        <f t="shared" si="53"/>
        <v>-1</v>
      </c>
      <c r="T193" s="178">
        <f t="shared" si="54"/>
        <v>5</v>
      </c>
      <c r="U193" s="253">
        <f t="shared" si="55"/>
        <v>-0.92652700926257103</v>
      </c>
      <c r="V193" s="385">
        <f t="shared" si="56"/>
        <v>55.251129500097029</v>
      </c>
      <c r="W193" s="404"/>
      <c r="X193" s="157">
        <f t="shared" si="57"/>
        <v>44009</v>
      </c>
      <c r="Y193" s="387">
        <f t="shared" si="58"/>
        <v>39.634</v>
      </c>
      <c r="Z193" s="387">
        <f t="shared" si="59"/>
        <v>40.281183973535967</v>
      </c>
      <c r="AA193" s="388">
        <f t="shared" si="60"/>
        <v>45.619931045436488</v>
      </c>
      <c r="AB193" s="199">
        <f t="shared" si="61"/>
        <v>44009</v>
      </c>
      <c r="AC193" s="119">
        <f>IF(OR(t&lt;Tnet,NoTnet),'2019'!Resal_s+('2019'!Salim-'2019'!Resal_s)*(1-EXP(('2019'!Tnet_s-t)/'2019'!Tau_j)),Resal_s+(Salim-Resal_s)*(1-EXP((Tnet_s-t)/Tau_j)))*Salcycl</f>
        <v>0.11702663615565838</v>
      </c>
      <c r="AD193" s="233">
        <f>(INDEX(Models!$BJ193:$BT193,,AH193)*(1-AF193)+INDEX(Models!$BJ193:$BT193,,AH193+1)*AF193-ERP_i)*AE193*Ramure*Pc/MaxiM</f>
        <v>7.7142267941035218E-5</v>
      </c>
      <c r="AE193" s="307">
        <f t="shared" si="62"/>
        <v>0.9</v>
      </c>
      <c r="AF193" s="179">
        <f t="shared" si="63"/>
        <v>7.3472990737428967E-2</v>
      </c>
      <c r="AG193" s="839">
        <f t="shared" si="71"/>
        <v>-1</v>
      </c>
      <c r="AH193" s="178">
        <f t="shared" si="64"/>
        <v>5</v>
      </c>
      <c r="AI193" s="227">
        <f t="shared" si="65"/>
        <v>-0.92652700926257103</v>
      </c>
      <c r="AJ193" s="267" t="b">
        <f t="shared" si="66"/>
        <v>0</v>
      </c>
      <c r="AK193" s="267" t="b">
        <f t="shared" si="67"/>
        <v>0</v>
      </c>
      <c r="AL193" s="267"/>
      <c r="AM193" s="267"/>
      <c r="AN193" s="75"/>
    </row>
    <row r="194" spans="1:40" s="6" customFormat="1" ht="11.25" customHeight="1" x14ac:dyDescent="0.2">
      <c r="A194" s="56">
        <f t="shared" si="68"/>
        <v>44010</v>
      </c>
      <c r="B194" s="620">
        <v>44.844000000000001</v>
      </c>
      <c r="C194" s="392"/>
      <c r="D194" s="395">
        <f t="shared" si="48"/>
        <v>45.577318765270505</v>
      </c>
      <c r="E194" s="387">
        <f t="shared" si="72"/>
        <v>51.62584478109482</v>
      </c>
      <c r="F194" s="387">
        <f t="shared" si="49"/>
        <v>51.628790703934285</v>
      </c>
      <c r="G194" s="110">
        <f t="shared" si="73"/>
        <v>0.81264758212663801</v>
      </c>
      <c r="H194" s="416" t="b">
        <f>Wh_hp&gt;='2019'!Maxi_hp</f>
        <v>0</v>
      </c>
      <c r="I194" s="382">
        <f>IF(H194,Wh_hp,'2019'!Maxi_hp)</f>
        <v>58.56874819985623</v>
      </c>
      <c r="J194" s="85">
        <f>IF(H194,An,'2019'!An_max)</f>
        <v>2019</v>
      </c>
      <c r="K194" s="199">
        <f t="shared" si="50"/>
        <v>44010</v>
      </c>
      <c r="L194" s="147">
        <f>IF(t&lt;Tvie,1-EXP((T0-t)*PertePVj)+'2019'!Pspv,1-EXP((T0-t)*PertePVj)+Pspv)</f>
        <v>1.6089554742067969E-2</v>
      </c>
      <c r="M194" s="872"/>
      <c r="N194" s="872"/>
      <c r="O194" s="48">
        <f>IF(t&lt;Tnet,'2019'!Resal+('2019'!Salim-'2019'!Resal)*(1-EXP(('2019'!Tnet-t)/('2019'!Tau_j))),Resal+(Salim-Resal)*(1-EXP((Tnet-t)/(Tau_j))))*Salcycl</f>
        <v>0.11716081434543922</v>
      </c>
      <c r="P194" s="171">
        <f>(INDEX(Models!$BJ194:$BT194,,T194)*(1-R194)+INDEX(Models!$BJ194:$BT194,,T194+1)*R194-ERP_i)*Q194*Ramure*Pc/MaxiM</f>
        <v>7.7910176126854886E-5</v>
      </c>
      <c r="Q194" s="307">
        <f t="shared" si="51"/>
        <v>0.9</v>
      </c>
      <c r="R194" s="179">
        <f t="shared" si="52"/>
        <v>7.9728654601910254E-2</v>
      </c>
      <c r="S194" s="839">
        <f t="shared" si="53"/>
        <v>-1</v>
      </c>
      <c r="T194" s="178">
        <f t="shared" si="54"/>
        <v>5</v>
      </c>
      <c r="U194" s="253">
        <f t="shared" si="55"/>
        <v>-0.92027134539808975</v>
      </c>
      <c r="V194" s="385">
        <f t="shared" si="56"/>
        <v>55.181441394478647</v>
      </c>
      <c r="W194" s="404"/>
      <c r="X194" s="157">
        <f t="shared" si="57"/>
        <v>44010</v>
      </c>
      <c r="Y194" s="387">
        <f t="shared" si="58"/>
        <v>44.844000000000001</v>
      </c>
      <c r="Z194" s="387">
        <f t="shared" si="59"/>
        <v>45.577318765270505</v>
      </c>
      <c r="AA194" s="388">
        <f t="shared" si="60"/>
        <v>51.62584478109482</v>
      </c>
      <c r="AB194" s="199">
        <f t="shared" si="61"/>
        <v>44010</v>
      </c>
      <c r="AC194" s="119">
        <f>IF(OR(t&lt;Tnet,NoTnet),'2019'!Resal_s+('2019'!Salim-'2019'!Resal_s)*(1-EXP(('2019'!Tnet_s-t)/'2019'!Tau_j)),Resal_s+(Salim-Resal_s)*(1-EXP((Tnet_s-t)/Tau_j)))*Salcycl</f>
        <v>0.11716081434543922</v>
      </c>
      <c r="AD194" s="233">
        <f>(INDEX(Models!$BJ194:$BT194,,AH194)*(1-AF194)+INDEX(Models!$BJ194:$BT194,,AH194+1)*AF194-ERP_i)*AE194*Ramure*Pc/MaxiM</f>
        <v>7.7910176126854886E-5</v>
      </c>
      <c r="AE194" s="307">
        <f t="shared" si="62"/>
        <v>0.9</v>
      </c>
      <c r="AF194" s="179">
        <f t="shared" si="63"/>
        <v>7.9728654601910254E-2</v>
      </c>
      <c r="AG194" s="839">
        <f t="shared" si="71"/>
        <v>-1</v>
      </c>
      <c r="AH194" s="178">
        <f t="shared" si="64"/>
        <v>5</v>
      </c>
      <c r="AI194" s="227">
        <f t="shared" si="65"/>
        <v>-0.92027134539808975</v>
      </c>
      <c r="AJ194" s="267" t="b">
        <f t="shared" si="66"/>
        <v>0</v>
      </c>
      <c r="AK194" s="267" t="b">
        <f t="shared" si="67"/>
        <v>0</v>
      </c>
      <c r="AL194" s="267"/>
      <c r="AM194" s="267"/>
      <c r="AN194" s="75"/>
    </row>
    <row r="195" spans="1:40" s="6" customFormat="1" ht="11.25" customHeight="1" x14ac:dyDescent="0.2">
      <c r="A195" s="56">
        <f t="shared" si="68"/>
        <v>44011</v>
      </c>
      <c r="B195" s="620">
        <v>22.062999999999999</v>
      </c>
      <c r="C195" s="392"/>
      <c r="D195" s="395">
        <f t="shared" si="48"/>
        <v>22.424310623520981</v>
      </c>
      <c r="E195" s="387">
        <f t="shared" si="72"/>
        <v>25.404003576040868</v>
      </c>
      <c r="F195" s="387">
        <f t="shared" si="49"/>
        <v>25.404290565128164</v>
      </c>
      <c r="G195" s="110">
        <f t="shared" si="73"/>
        <v>0.40031919348750505</v>
      </c>
      <c r="H195" s="416" t="b">
        <f>Wh_hp&gt;='2019'!Maxi_hp</f>
        <v>0</v>
      </c>
      <c r="I195" s="382">
        <f>IF(H195,Wh_hp,'2019'!Maxi_hp)</f>
        <v>57.379355434694759</v>
      </c>
      <c r="J195" s="85">
        <f>IF(H195,An,'2019'!An_max)</f>
        <v>2019</v>
      </c>
      <c r="K195" s="199">
        <f t="shared" si="50"/>
        <v>44011</v>
      </c>
      <c r="L195" s="147">
        <f>IF(t&lt;Tvie,1-EXP((T0-t)*PertePVj)+'2019'!Pspv,1-EXP((T0-t)*PertePVj)+Pspv)</f>
        <v>1.6112451775529779E-2</v>
      </c>
      <c r="M195" s="872"/>
      <c r="N195" s="872"/>
      <c r="O195" s="48">
        <f>IF(t&lt;Tnet,'2019'!Resal+('2019'!Salim-'2019'!Resal)*(1-EXP(('2019'!Tnet-t)/('2019'!Tau_j))),Resal+(Salim-Resal)*(1-EXP((Tnet-t)/(Tau_j))))*Salcycl</f>
        <v>0.11729225842693979</v>
      </c>
      <c r="P195" s="171">
        <f>(INDEX(Models!$BJ195:$BT195,,T195)*(1-R195)+INDEX(Models!$BJ195:$BT195,,T195+1)*R195-ERP_i)*Q195*Ramure*Pc/MaxiM</f>
        <v>7.8805282816350907E-5</v>
      </c>
      <c r="Q195" s="307">
        <f t="shared" si="51"/>
        <v>0.9</v>
      </c>
      <c r="R195" s="179">
        <f t="shared" si="52"/>
        <v>8.5889494945688094E-2</v>
      </c>
      <c r="S195" s="839">
        <f t="shared" si="53"/>
        <v>-1</v>
      </c>
      <c r="T195" s="178">
        <f t="shared" si="54"/>
        <v>5</v>
      </c>
      <c r="U195" s="253">
        <f t="shared" si="55"/>
        <v>-0.91411050505431191</v>
      </c>
      <c r="V195" s="385">
        <f t="shared" si="56"/>
        <v>55.109799640056686</v>
      </c>
      <c r="W195" s="404"/>
      <c r="X195" s="157">
        <f t="shared" si="57"/>
        <v>44011</v>
      </c>
      <c r="Y195" s="387">
        <f t="shared" si="58"/>
        <v>22.062999999999999</v>
      </c>
      <c r="Z195" s="387">
        <f t="shared" si="59"/>
        <v>22.424310623520981</v>
      </c>
      <c r="AA195" s="388">
        <f t="shared" si="60"/>
        <v>25.404003576040868</v>
      </c>
      <c r="AB195" s="199">
        <f t="shared" si="61"/>
        <v>44011</v>
      </c>
      <c r="AC195" s="119">
        <f>IF(OR(t&lt;Tnet,NoTnet),'2019'!Resal_s+('2019'!Salim-'2019'!Resal_s)*(1-EXP(('2019'!Tnet_s-t)/'2019'!Tau_j)),Resal_s+(Salim-Resal_s)*(1-EXP((Tnet_s-t)/Tau_j)))*Salcycl</f>
        <v>0.11729225842693979</v>
      </c>
      <c r="AD195" s="233">
        <f>(INDEX(Models!$BJ195:$BT195,,AH195)*(1-AF195)+INDEX(Models!$BJ195:$BT195,,AH195+1)*AF195-ERP_i)*AE195*Ramure*Pc/MaxiM</f>
        <v>7.8805282816350907E-5</v>
      </c>
      <c r="AE195" s="307">
        <f t="shared" si="62"/>
        <v>0.9</v>
      </c>
      <c r="AF195" s="179">
        <f t="shared" si="63"/>
        <v>8.5889494945688094E-2</v>
      </c>
      <c r="AG195" s="839">
        <f t="shared" si="71"/>
        <v>-1</v>
      </c>
      <c r="AH195" s="178">
        <f t="shared" si="64"/>
        <v>5</v>
      </c>
      <c r="AI195" s="227">
        <f t="shared" si="65"/>
        <v>-0.91411050505431191</v>
      </c>
      <c r="AJ195" s="267" t="b">
        <f t="shared" si="66"/>
        <v>0</v>
      </c>
      <c r="AK195" s="267" t="b">
        <f t="shared" si="67"/>
        <v>0</v>
      </c>
      <c r="AL195" s="267"/>
      <c r="AM195" s="267"/>
      <c r="AN195" s="75"/>
    </row>
    <row r="196" spans="1:40" s="6" customFormat="1" ht="11.25" customHeight="1" x14ac:dyDescent="0.2">
      <c r="A196" s="56">
        <f t="shared" si="68"/>
        <v>44012</v>
      </c>
      <c r="B196" s="620">
        <v>51.622</v>
      </c>
      <c r="C196" s="392"/>
      <c r="D196" s="395">
        <f t="shared" si="48"/>
        <v>52.468599120368538</v>
      </c>
      <c r="E196" s="387">
        <f t="shared" si="72"/>
        <v>59.449181977014632</v>
      </c>
      <c r="F196" s="387">
        <f t="shared" si="49"/>
        <v>59.453507668052801</v>
      </c>
      <c r="G196" s="110">
        <f t="shared" si="73"/>
        <v>0.93796110862701054</v>
      </c>
      <c r="H196" s="416" t="b">
        <f>Wh_hp&gt;='2019'!Maxi_hp</f>
        <v>1</v>
      </c>
      <c r="I196" s="382">
        <f>IF(H196,Wh_hp,'2019'!Maxi_hp)</f>
        <v>59.453507668052801</v>
      </c>
      <c r="J196" s="85">
        <f>IF(H196,An,'2019'!An_max)</f>
        <v>2020</v>
      </c>
      <c r="K196" s="199">
        <f t="shared" si="50"/>
        <v>44012</v>
      </c>
      <c r="L196" s="147">
        <f>IF(t&lt;Tvie,1-EXP((T0-t)*PertePVj)+'2019'!Pspv,1-EXP((T0-t)*PertePVj)+Pspv)</f>
        <v>1.6135348276144157E-2</v>
      </c>
      <c r="M196" s="872"/>
      <c r="N196" s="872"/>
      <c r="O196" s="48">
        <f>IF(t&lt;Tnet,'2019'!Resal+('2019'!Salim-'2019'!Resal)*(1-EXP(('2019'!Tnet-t)/('2019'!Tau_j))),Resal+(Salim-Resal)*(1-EXP((Tnet-t)/(Tau_j))))*Salcycl</f>
        <v>0.11742100773304262</v>
      </c>
      <c r="P196" s="171">
        <f>(INDEX(Models!$BJ196:$BT196,,T196)*(1-R196)+INDEX(Models!$BJ196:$BT196,,T196+1)*R196-ERP_i)*Q196*Ramure*Pc/MaxiM</f>
        <v>7.9832059394870021E-5</v>
      </c>
      <c r="Q196" s="307">
        <f t="shared" si="51"/>
        <v>0.9</v>
      </c>
      <c r="R196" s="179">
        <f t="shared" si="52"/>
        <v>9.1952569475008072E-2</v>
      </c>
      <c r="S196" s="839">
        <f t="shared" si="53"/>
        <v>-1</v>
      </c>
      <c r="T196" s="178">
        <f t="shared" si="54"/>
        <v>5</v>
      </c>
      <c r="U196" s="253">
        <f t="shared" si="55"/>
        <v>-0.90804743052499193</v>
      </c>
      <c r="V196" s="385">
        <f t="shared" si="56"/>
        <v>55.036007674365607</v>
      </c>
      <c r="W196" s="404"/>
      <c r="X196" s="157">
        <f t="shared" si="57"/>
        <v>44012</v>
      </c>
      <c r="Y196" s="387">
        <f t="shared" si="58"/>
        <v>51.622</v>
      </c>
      <c r="Z196" s="387">
        <f t="shared" si="59"/>
        <v>52.468599120368538</v>
      </c>
      <c r="AA196" s="388">
        <f t="shared" si="60"/>
        <v>59.449181977014632</v>
      </c>
      <c r="AB196" s="199">
        <f t="shared" si="61"/>
        <v>44012</v>
      </c>
      <c r="AC196" s="119">
        <f>IF(OR(t&lt;Tnet,NoTnet),'2019'!Resal_s+('2019'!Salim-'2019'!Resal_s)*(1-EXP(('2019'!Tnet_s-t)/'2019'!Tau_j)),Resal_s+(Salim-Resal_s)*(1-EXP((Tnet_s-t)/Tau_j)))*Salcycl</f>
        <v>0.11742100773304262</v>
      </c>
      <c r="AD196" s="233">
        <f>(INDEX(Models!$BJ196:$BT196,,AH196)*(1-AF196)+INDEX(Models!$BJ196:$BT196,,AH196+1)*AF196-ERP_i)*AE196*Ramure*Pc/MaxiM</f>
        <v>7.9832059394870021E-5</v>
      </c>
      <c r="AE196" s="307">
        <f t="shared" si="62"/>
        <v>0.9</v>
      </c>
      <c r="AF196" s="179">
        <f t="shared" si="63"/>
        <v>9.1952569475008072E-2</v>
      </c>
      <c r="AG196" s="839">
        <f t="shared" si="71"/>
        <v>-1</v>
      </c>
      <c r="AH196" s="178">
        <f t="shared" si="64"/>
        <v>5</v>
      </c>
      <c r="AI196" s="227">
        <f t="shared" si="65"/>
        <v>-0.90804743052499193</v>
      </c>
      <c r="AJ196" s="267" t="b">
        <f t="shared" si="66"/>
        <v>0</v>
      </c>
      <c r="AK196" s="267" t="b">
        <f t="shared" si="67"/>
        <v>0</v>
      </c>
      <c r="AL196" s="267"/>
      <c r="AM196" s="267"/>
      <c r="AN196" s="75"/>
    </row>
    <row r="197" spans="1:40" s="6" customFormat="1" ht="11.25" customHeight="1" x14ac:dyDescent="0.2">
      <c r="A197" s="56">
        <f t="shared" si="68"/>
        <v>44013</v>
      </c>
      <c r="B197" s="620">
        <v>42.13</v>
      </c>
      <c r="C197" s="392"/>
      <c r="D197" s="395">
        <f t="shared" si="48"/>
        <v>42.821927158014709</v>
      </c>
      <c r="E197" s="387">
        <f t="shared" si="72"/>
        <v>48.52602050516532</v>
      </c>
      <c r="F197" s="387">
        <f t="shared" si="49"/>
        <v>48.528640283841796</v>
      </c>
      <c r="G197" s="110">
        <f t="shared" si="73"/>
        <v>0.76653862155734209</v>
      </c>
      <c r="H197" s="416" t="b">
        <f>Wh_hp&gt;='2019'!Maxi_hp</f>
        <v>1</v>
      </c>
      <c r="I197" s="382">
        <f>IF(H197,Wh_hp,'2019'!Maxi_hp)</f>
        <v>48.528640283841796</v>
      </c>
      <c r="J197" s="85">
        <f>IF(H197,An,'2019'!An_max)</f>
        <v>2020</v>
      </c>
      <c r="K197" s="199">
        <f t="shared" si="50"/>
        <v>44013</v>
      </c>
      <c r="L197" s="147">
        <f>IF(t&lt;Tvie,1-EXP((T0-t)*PertePVj)+'2019'!Pspv,1-EXP((T0-t)*PertePVj)+Pspv)</f>
        <v>1.6158244243923536E-2</v>
      </c>
      <c r="M197" s="872"/>
      <c r="N197" s="872"/>
      <c r="O197" s="48">
        <f>IF(t&lt;Tnet,'2019'!Resal+('2019'!Salim-'2019'!Resal)*(1-EXP(('2019'!Tnet-t)/('2019'!Tau_j))),Resal+(Salim-Resal)*(1-EXP((Tnet-t)/(Tau_j))))*Salcycl</f>
        <v>0.11754710746461144</v>
      </c>
      <c r="P197" s="171">
        <f>(INDEX(Models!$BJ197:$BT197,,T197)*(1-R197)+INDEX(Models!$BJ197:$BT197,,T197+1)*R197-ERP_i)*Q197*Ramure*Pc/MaxiM</f>
        <v>8.0994894319703068E-5</v>
      </c>
      <c r="Q197" s="307">
        <f t="shared" si="51"/>
        <v>0.9</v>
      </c>
      <c r="R197" s="179">
        <f t="shared" si="52"/>
        <v>9.7915190905732974E-2</v>
      </c>
      <c r="S197" s="839">
        <f t="shared" si="53"/>
        <v>-1</v>
      </c>
      <c r="T197" s="178">
        <f t="shared" si="54"/>
        <v>5</v>
      </c>
      <c r="U197" s="253">
        <f t="shared" si="55"/>
        <v>-0.90208480909426703</v>
      </c>
      <c r="V197" s="385">
        <f t="shared" si="56"/>
        <v>54.959868677492828</v>
      </c>
      <c r="W197" s="404"/>
      <c r="X197" s="157">
        <f t="shared" si="57"/>
        <v>44013</v>
      </c>
      <c r="Y197" s="387">
        <f t="shared" si="58"/>
        <v>42.13</v>
      </c>
      <c r="Z197" s="387">
        <f t="shared" si="59"/>
        <v>42.821927158014709</v>
      </c>
      <c r="AA197" s="388">
        <f t="shared" si="60"/>
        <v>48.52602050516532</v>
      </c>
      <c r="AB197" s="199">
        <f t="shared" si="61"/>
        <v>44013</v>
      </c>
      <c r="AC197" s="119">
        <f>IF(OR(t&lt;Tnet,NoTnet),'2019'!Resal_s+('2019'!Salim-'2019'!Resal_s)*(1-EXP(('2019'!Tnet_s-t)/'2019'!Tau_j)),Resal_s+(Salim-Resal_s)*(1-EXP((Tnet_s-t)/Tau_j)))*Salcycl</f>
        <v>0.11754710746461144</v>
      </c>
      <c r="AD197" s="233">
        <f>(INDEX(Models!$BJ197:$BT197,,AH197)*(1-AF197)+INDEX(Models!$BJ197:$BT197,,AH197+1)*AF197-ERP_i)*AE197*Ramure*Pc/MaxiM</f>
        <v>8.0994894319703068E-5</v>
      </c>
      <c r="AE197" s="307">
        <f t="shared" si="62"/>
        <v>0.9</v>
      </c>
      <c r="AF197" s="179">
        <f t="shared" si="63"/>
        <v>9.7915190905732974E-2</v>
      </c>
      <c r="AG197" s="839">
        <f t="shared" si="71"/>
        <v>-1</v>
      </c>
      <c r="AH197" s="178">
        <f t="shared" si="64"/>
        <v>5</v>
      </c>
      <c r="AI197" s="227">
        <f t="shared" si="65"/>
        <v>-0.90208480909426703</v>
      </c>
      <c r="AJ197" s="267" t="b">
        <f t="shared" si="66"/>
        <v>0</v>
      </c>
      <c r="AK197" s="267" t="b">
        <f t="shared" si="67"/>
        <v>0</v>
      </c>
      <c r="AL197" s="267"/>
      <c r="AM197" s="267"/>
      <c r="AN197" s="75"/>
    </row>
    <row r="198" spans="1:40" s="6" customFormat="1" ht="11.25" customHeight="1" x14ac:dyDescent="0.2">
      <c r="A198" s="56">
        <f t="shared" si="68"/>
        <v>44014</v>
      </c>
      <c r="B198" s="620">
        <v>18.800999999999998</v>
      </c>
      <c r="C198" s="392"/>
      <c r="D198" s="395">
        <f t="shared" si="48"/>
        <v>19.110225223638555</v>
      </c>
      <c r="E198" s="387">
        <f t="shared" si="72"/>
        <v>21.658833314999359</v>
      </c>
      <c r="F198" s="387">
        <f t="shared" si="49"/>
        <v>21.658942379102523</v>
      </c>
      <c r="G198" s="110">
        <f t="shared" si="73"/>
        <v>0.34254994993306737</v>
      </c>
      <c r="H198" s="416" t="b">
        <f>Wh_hp&gt;='2019'!Maxi_hp</f>
        <v>0</v>
      </c>
      <c r="I198" s="382">
        <f>IF(H198,Wh_hp,'2019'!Maxi_hp)</f>
        <v>51.509935845707219</v>
      </c>
      <c r="J198" s="85">
        <f>IF(H198,An,'2019'!An_max)</f>
        <v>2019</v>
      </c>
      <c r="K198" s="199">
        <f t="shared" si="50"/>
        <v>44014</v>
      </c>
      <c r="L198" s="147">
        <f>IF(t&lt;Tvie,1-EXP((T0-t)*PertePVj)+'2019'!Pspv,1-EXP((T0-t)*PertePVj)+Pspv)</f>
        <v>1.6181139678880241E-2</v>
      </c>
      <c r="M198" s="872"/>
      <c r="N198" s="872"/>
      <c r="O198" s="48">
        <f>IF(t&lt;Tnet,'2019'!Resal+('2019'!Salim-'2019'!Resal)*(1-EXP(('2019'!Tnet-t)/('2019'!Tau_j))),Resal+(Salim-Resal)*(1-EXP((Tnet-t)/(Tau_j))))*Salcycl</f>
        <v>0.11767060830538005</v>
      </c>
      <c r="P198" s="171">
        <f>(INDEX(Models!$BJ198:$BT198,,T198)*(1-R198)+INDEX(Models!$BJ198:$BT198,,T198+1)*R198-ERP_i)*Q198*Ramure*Pc/MaxiM</f>
        <v>8.2788837911643452E-5</v>
      </c>
      <c r="Q198" s="307">
        <f t="shared" si="51"/>
        <v>0.9</v>
      </c>
      <c r="R198" s="179">
        <f t="shared" si="52"/>
        <v>0.10377492697994806</v>
      </c>
      <c r="S198" s="839">
        <f t="shared" si="53"/>
        <v>-1</v>
      </c>
      <c r="T198" s="178">
        <f t="shared" si="54"/>
        <v>5</v>
      </c>
      <c r="U198" s="253">
        <f t="shared" si="55"/>
        <v>-0.89622507302005194</v>
      </c>
      <c r="V198" s="385">
        <f t="shared" si="56"/>
        <v>54.881158663836004</v>
      </c>
      <c r="W198" s="404"/>
      <c r="X198" s="157">
        <f t="shared" si="57"/>
        <v>44014</v>
      </c>
      <c r="Y198" s="387">
        <f t="shared" si="58"/>
        <v>18.800999999999998</v>
      </c>
      <c r="Z198" s="387">
        <f t="shared" si="59"/>
        <v>19.110225223638555</v>
      </c>
      <c r="AA198" s="388">
        <f t="shared" si="60"/>
        <v>21.658833314999359</v>
      </c>
      <c r="AB198" s="199">
        <f t="shared" si="61"/>
        <v>44014</v>
      </c>
      <c r="AC198" s="119">
        <f>IF(OR(t&lt;Tnet,NoTnet),'2019'!Resal_s+('2019'!Salim-'2019'!Resal_s)*(1-EXP(('2019'!Tnet_s-t)/'2019'!Tau_j)),Resal_s+(Salim-Resal_s)*(1-EXP((Tnet_s-t)/Tau_j)))*Salcycl</f>
        <v>0.11767060830538005</v>
      </c>
      <c r="AD198" s="233">
        <f>(INDEX(Models!$BJ198:$BT198,,AH198)*(1-AF198)+INDEX(Models!$BJ198:$BT198,,AH198+1)*AF198-ERP_i)*AE198*Ramure*Pc/MaxiM</f>
        <v>8.2788837911643452E-5</v>
      </c>
      <c r="AE198" s="307">
        <f t="shared" si="62"/>
        <v>0.9</v>
      </c>
      <c r="AF198" s="179">
        <f t="shared" si="63"/>
        <v>0.10377492697994806</v>
      </c>
      <c r="AG198" s="839">
        <f t="shared" si="71"/>
        <v>-1</v>
      </c>
      <c r="AH198" s="178">
        <f t="shared" si="64"/>
        <v>5</v>
      </c>
      <c r="AI198" s="227">
        <f t="shared" si="65"/>
        <v>-0.89622507302005194</v>
      </c>
      <c r="AJ198" s="267" t="b">
        <f t="shared" si="66"/>
        <v>0</v>
      </c>
      <c r="AK198" s="267" t="b">
        <f t="shared" si="67"/>
        <v>0</v>
      </c>
      <c r="AL198" s="267"/>
      <c r="AM198" s="267"/>
      <c r="AN198" s="75"/>
    </row>
    <row r="199" spans="1:40" s="6" customFormat="1" ht="11.25" customHeight="1" x14ac:dyDescent="0.2">
      <c r="A199" s="56">
        <f t="shared" si="68"/>
        <v>44015</v>
      </c>
      <c r="B199" s="620">
        <v>44.259</v>
      </c>
      <c r="C199" s="392"/>
      <c r="D199" s="395">
        <f t="shared" si="48"/>
        <v>44.987986895383578</v>
      </c>
      <c r="E199" s="387">
        <f t="shared" si="72"/>
        <v>50.994736801579052</v>
      </c>
      <c r="F199" s="387">
        <f t="shared" si="49"/>
        <v>50.997888597341344</v>
      </c>
      <c r="G199" s="110">
        <f t="shared" si="73"/>
        <v>0.80763178156372517</v>
      </c>
      <c r="H199" s="416" t="b">
        <f>Wh_hp&gt;='2019'!Maxi_hp</f>
        <v>0</v>
      </c>
      <c r="I199" s="382">
        <f>IF(H199,Wh_hp,'2019'!Maxi_hp)</f>
        <v>59.188715550013768</v>
      </c>
      <c r="J199" s="85">
        <f>IF(H199,An,'2019'!An_max)</f>
        <v>2019</v>
      </c>
      <c r="K199" s="199">
        <f t="shared" si="50"/>
        <v>44015</v>
      </c>
      <c r="L199" s="147">
        <f>IF(t&lt;Tvie,1-EXP((T0-t)*PertePVj)+'2019'!Pspv,1-EXP((T0-t)*PertePVj)+Pspv)</f>
        <v>1.6204034581026816E-2</v>
      </c>
      <c r="M199" s="872"/>
      <c r="N199" s="872"/>
      <c r="O199" s="48">
        <f>IF(t&lt;Tnet,'2019'!Resal+('2019'!Salim-'2019'!Resal)*(1-EXP(('2019'!Tnet-t)/('2019'!Tau_j))),Resal+(Salim-Resal)*(1-EXP((Tnet-t)/(Tau_j))))*Salcycl</f>
        <v>0.11779156601136671</v>
      </c>
      <c r="P199" s="171">
        <f>(INDEX(Models!$BJ199:$BT199,,T199)*(1-R199)+INDEX(Models!$BJ199:$BT199,,T199+1)*R199-ERP_i)*Q199*Ramure*Pc/MaxiM</f>
        <v>8.5219489024436449E-5</v>
      </c>
      <c r="Q199" s="307">
        <f t="shared" si="51"/>
        <v>0.9</v>
      </c>
      <c r="R199" s="179">
        <f t="shared" si="52"/>
        <v>0.10952959929348804</v>
      </c>
      <c r="S199" s="839">
        <f t="shared" si="53"/>
        <v>-1</v>
      </c>
      <c r="T199" s="178">
        <f t="shared" si="54"/>
        <v>5</v>
      </c>
      <c r="U199" s="253">
        <f t="shared" si="55"/>
        <v>-0.89047040070651196</v>
      </c>
      <c r="V199" s="385">
        <f t="shared" si="56"/>
        <v>54.799680414571334</v>
      </c>
      <c r="W199" s="404"/>
      <c r="X199" s="157">
        <f t="shared" si="57"/>
        <v>44015</v>
      </c>
      <c r="Y199" s="387">
        <f t="shared" si="58"/>
        <v>44.259</v>
      </c>
      <c r="Z199" s="387">
        <f t="shared" si="59"/>
        <v>44.987986895383578</v>
      </c>
      <c r="AA199" s="388">
        <f t="shared" si="60"/>
        <v>50.994736801579052</v>
      </c>
      <c r="AB199" s="199">
        <f t="shared" si="61"/>
        <v>44015</v>
      </c>
      <c r="AC199" s="119">
        <f>IF(OR(t&lt;Tnet,NoTnet),'2019'!Resal_s+('2019'!Salim-'2019'!Resal_s)*(1-EXP(('2019'!Tnet_s-t)/'2019'!Tau_j)),Resal_s+(Salim-Resal_s)*(1-EXP((Tnet_s-t)/Tau_j)))*Salcycl</f>
        <v>0.11779156601136671</v>
      </c>
      <c r="AD199" s="233">
        <f>(INDEX(Models!$BJ199:$BT199,,AH199)*(1-AF199)+INDEX(Models!$BJ199:$BT199,,AH199+1)*AF199-ERP_i)*AE199*Ramure*Pc/MaxiM</f>
        <v>8.5219489024436449E-5</v>
      </c>
      <c r="AE199" s="307">
        <f t="shared" si="62"/>
        <v>0.9</v>
      </c>
      <c r="AF199" s="179">
        <f t="shared" si="63"/>
        <v>0.10952959929348804</v>
      </c>
      <c r="AG199" s="839">
        <f t="shared" si="71"/>
        <v>-1</v>
      </c>
      <c r="AH199" s="178">
        <f t="shared" si="64"/>
        <v>5</v>
      </c>
      <c r="AI199" s="227">
        <f t="shared" si="65"/>
        <v>-0.89047040070651196</v>
      </c>
      <c r="AJ199" s="267" t="b">
        <f t="shared" si="66"/>
        <v>0</v>
      </c>
      <c r="AK199" s="267" t="b">
        <f t="shared" si="67"/>
        <v>0</v>
      </c>
      <c r="AL199" s="267"/>
      <c r="AM199" s="267"/>
      <c r="AN199" s="75"/>
    </row>
    <row r="200" spans="1:40" s="6" customFormat="1" ht="11.25" customHeight="1" x14ac:dyDescent="0.2">
      <c r="A200" s="56">
        <f t="shared" si="68"/>
        <v>44016</v>
      </c>
      <c r="B200" s="620">
        <v>52.395000000000003</v>
      </c>
      <c r="C200" s="392"/>
      <c r="D200" s="395">
        <f t="shared" si="48"/>
        <v>53.259233802870618</v>
      </c>
      <c r="E200" s="387">
        <f t="shared" si="72"/>
        <v>60.378460561914011</v>
      </c>
      <c r="F200" s="387">
        <f t="shared" si="49"/>
        <v>60.383469389504228</v>
      </c>
      <c r="G200" s="110">
        <f t="shared" si="73"/>
        <v>0.95758920912107837</v>
      </c>
      <c r="H200" s="416" t="b">
        <f>Wh_hp&gt;='2019'!Maxi_hp</f>
        <v>1</v>
      </c>
      <c r="I200" s="382">
        <f>IF(H200,Wh_hp,'2019'!Maxi_hp)</f>
        <v>60.383469389504228</v>
      </c>
      <c r="J200" s="85">
        <f>IF(H200,An,'2019'!An_max)</f>
        <v>2020</v>
      </c>
      <c r="K200" s="199">
        <f t="shared" si="50"/>
        <v>44016</v>
      </c>
      <c r="L200" s="147">
        <f>IF(t&lt;Tvie,1-EXP((T0-t)*PertePVj)+'2019'!Pspv,1-EXP((T0-t)*PertePVj)+Pspv)</f>
        <v>1.6226928950375474E-2</v>
      </c>
      <c r="M200" s="872"/>
      <c r="N200" s="872"/>
      <c r="O200" s="48">
        <f>IF(t&lt;Tnet,'2019'!Resal+('2019'!Salim-'2019'!Resal)*(1-EXP(('2019'!Tnet-t)/('2019'!Tau_j))),Resal+(Salim-Resal)*(1-EXP((Tnet-t)/(Tau_j))))*Salcycl</f>
        <v>0.1179100409779926</v>
      </c>
      <c r="P200" s="171">
        <f>(INDEX(Models!$BJ200:$BT200,,T200)*(1-R200)+INDEX(Models!$BJ200:$BT200,,T200+1)*R200-ERP_i)*Q200*Ramure*Pc/MaxiM</f>
        <v>8.8299450251586248E-5</v>
      </c>
      <c r="Q200" s="307">
        <f t="shared" si="51"/>
        <v>0.9</v>
      </c>
      <c r="R200" s="179">
        <f t="shared" si="52"/>
        <v>0.11517728099745139</v>
      </c>
      <c r="S200" s="839">
        <f t="shared" si="53"/>
        <v>-1</v>
      </c>
      <c r="T200" s="178">
        <f t="shared" si="54"/>
        <v>5</v>
      </c>
      <c r="U200" s="253">
        <f t="shared" si="55"/>
        <v>-0.88482271900254861</v>
      </c>
      <c r="V200" s="385">
        <f t="shared" si="56"/>
        <v>54.715236146730227</v>
      </c>
      <c r="W200" s="404"/>
      <c r="X200" s="157">
        <f t="shared" si="57"/>
        <v>44016</v>
      </c>
      <c r="Y200" s="387">
        <f t="shared" si="58"/>
        <v>52.395000000000003</v>
      </c>
      <c r="Z200" s="387">
        <f t="shared" si="59"/>
        <v>53.259233802870618</v>
      </c>
      <c r="AA200" s="388">
        <f t="shared" si="60"/>
        <v>60.378460561914011</v>
      </c>
      <c r="AB200" s="199">
        <f t="shared" si="61"/>
        <v>44016</v>
      </c>
      <c r="AC200" s="119">
        <f>IF(OR(t&lt;Tnet,NoTnet),'2019'!Resal_s+('2019'!Salim-'2019'!Resal_s)*(1-EXP(('2019'!Tnet_s-t)/'2019'!Tau_j)),Resal_s+(Salim-Resal_s)*(1-EXP((Tnet_s-t)/Tau_j)))*Salcycl</f>
        <v>0.1179100409779926</v>
      </c>
      <c r="AD200" s="233">
        <f>(INDEX(Models!$BJ200:$BT200,,AH200)*(1-AF200)+INDEX(Models!$BJ200:$BT200,,AH200+1)*AF200-ERP_i)*AE200*Ramure*Pc/MaxiM</f>
        <v>8.8299450251586248E-5</v>
      </c>
      <c r="AE200" s="307">
        <f t="shared" si="62"/>
        <v>0.9</v>
      </c>
      <c r="AF200" s="179">
        <f t="shared" si="63"/>
        <v>0.11517728099745139</v>
      </c>
      <c r="AG200" s="839">
        <f t="shared" si="71"/>
        <v>-1</v>
      </c>
      <c r="AH200" s="178">
        <f t="shared" si="64"/>
        <v>5</v>
      </c>
      <c r="AI200" s="227">
        <f t="shared" si="65"/>
        <v>-0.88482271900254861</v>
      </c>
      <c r="AJ200" s="267" t="b">
        <f t="shared" si="66"/>
        <v>0</v>
      </c>
      <c r="AK200" s="267" t="b">
        <f t="shared" si="67"/>
        <v>0</v>
      </c>
      <c r="AL200" s="267"/>
      <c r="AM200" s="267"/>
      <c r="AN200" s="75"/>
    </row>
    <row r="201" spans="1:40" s="6" customFormat="1" ht="11.25" customHeight="1" x14ac:dyDescent="0.2">
      <c r="A201" s="56">
        <f t="shared" si="68"/>
        <v>44017</v>
      </c>
      <c r="B201" s="620">
        <v>53.2</v>
      </c>
      <c r="C201" s="392"/>
      <c r="D201" s="395">
        <f t="shared" si="48"/>
        <v>54.078770436122539</v>
      </c>
      <c r="E201" s="387">
        <f t="shared" si="72"/>
        <v>61.315612968260254</v>
      </c>
      <c r="F201" s="387">
        <f t="shared" si="49"/>
        <v>61.321046316933298</v>
      </c>
      <c r="G201" s="110">
        <f t="shared" si="73"/>
        <v>0.97386284534239487</v>
      </c>
      <c r="H201" s="416" t="b">
        <f>Wh_hp&gt;='2019'!Maxi_hp</f>
        <v>1</v>
      </c>
      <c r="I201" s="382">
        <f>IF(H201,Wh_hp,'2019'!Maxi_hp)</f>
        <v>61.321046316933298</v>
      </c>
      <c r="J201" s="85">
        <f>IF(H201,An,'2019'!An_max)</f>
        <v>2020</v>
      </c>
      <c r="K201" s="199">
        <f t="shared" si="50"/>
        <v>44017</v>
      </c>
      <c r="L201" s="147">
        <f>IF(t&lt;Tvie,1-EXP((T0-t)*PertePVj)+'2019'!Pspv,1-EXP((T0-t)*PertePVj)+Pspv)</f>
        <v>1.6249822786938761E-2</v>
      </c>
      <c r="M201" s="872"/>
      <c r="N201" s="872"/>
      <c r="O201" s="48">
        <f>IF(t&lt;Tnet,'2019'!Resal+('2019'!Salim-'2019'!Resal)*(1-EXP(('2019'!Tnet-t)/('2019'!Tau_j))),Resal+(Salim-Resal)*(1-EXP((Tnet-t)/(Tau_j))))*Salcycl</f>
        <v>0.11802609778823928</v>
      </c>
      <c r="P201" s="171">
        <f>(INDEX(Models!$BJ201:$BT201,,T201)*(1-R201)+INDEX(Models!$BJ201:$BT201,,T201+1)*R201-ERP_i)*Q201*Ramure*Pc/MaxiM</f>
        <v>9.20412251532688E-5</v>
      </c>
      <c r="Q201" s="307">
        <f t="shared" si="51"/>
        <v>0.9</v>
      </c>
      <c r="R201" s="179">
        <f t="shared" si="52"/>
        <v>0.12071629344302792</v>
      </c>
      <c r="S201" s="839">
        <f t="shared" si="53"/>
        <v>-1</v>
      </c>
      <c r="T201" s="178">
        <f t="shared" si="54"/>
        <v>5</v>
      </c>
      <c r="U201" s="253">
        <f t="shared" si="55"/>
        <v>-0.87928370655697208</v>
      </c>
      <c r="V201" s="385">
        <f t="shared" si="56"/>
        <v>54.627627934230908</v>
      </c>
      <c r="W201" s="404"/>
      <c r="X201" s="157">
        <f t="shared" si="57"/>
        <v>44017</v>
      </c>
      <c r="Y201" s="387">
        <f t="shared" si="58"/>
        <v>53.2</v>
      </c>
      <c r="Z201" s="387">
        <f t="shared" si="59"/>
        <v>54.078770436122539</v>
      </c>
      <c r="AA201" s="388">
        <f t="shared" si="60"/>
        <v>61.315612968260254</v>
      </c>
      <c r="AB201" s="199">
        <f t="shared" si="61"/>
        <v>44017</v>
      </c>
      <c r="AC201" s="119">
        <f>IF(OR(t&lt;Tnet,NoTnet),'2019'!Resal_s+('2019'!Salim-'2019'!Resal_s)*(1-EXP(('2019'!Tnet_s-t)/'2019'!Tau_j)),Resal_s+(Salim-Resal_s)*(1-EXP((Tnet_s-t)/Tau_j)))*Salcycl</f>
        <v>0.11802609778823928</v>
      </c>
      <c r="AD201" s="233">
        <f>(INDEX(Models!$BJ201:$BT201,,AH201)*(1-AF201)+INDEX(Models!$BJ201:$BT201,,AH201+1)*AF201-ERP_i)*AE201*Ramure*Pc/MaxiM</f>
        <v>9.20412251532688E-5</v>
      </c>
      <c r="AE201" s="307">
        <f t="shared" si="62"/>
        <v>0.9</v>
      </c>
      <c r="AF201" s="179">
        <f t="shared" si="63"/>
        <v>0.12071629344302792</v>
      </c>
      <c r="AG201" s="839">
        <f t="shared" si="71"/>
        <v>-1</v>
      </c>
      <c r="AH201" s="178">
        <f t="shared" si="64"/>
        <v>5</v>
      </c>
      <c r="AI201" s="227">
        <f t="shared" si="65"/>
        <v>-0.87928370655697208</v>
      </c>
      <c r="AJ201" s="267" t="b">
        <f t="shared" si="66"/>
        <v>0</v>
      </c>
      <c r="AK201" s="267" t="b">
        <f t="shared" si="67"/>
        <v>0</v>
      </c>
      <c r="AL201" s="267"/>
      <c r="AM201" s="267"/>
      <c r="AN201" s="75"/>
    </row>
    <row r="202" spans="1:40" s="6" customFormat="1" ht="11.25" customHeight="1" x14ac:dyDescent="0.2">
      <c r="A202" s="56">
        <f t="shared" si="68"/>
        <v>44018</v>
      </c>
      <c r="B202" s="620">
        <v>37.133000000000003</v>
      </c>
      <c r="C202" s="392"/>
      <c r="D202" s="395">
        <f t="shared" si="48"/>
        <v>37.747250287128125</v>
      </c>
      <c r="E202" s="387">
        <f t="shared" si="72"/>
        <v>42.8041207554745</v>
      </c>
      <c r="F202" s="387">
        <f t="shared" si="49"/>
        <v>42.806367403566057</v>
      </c>
      <c r="G202" s="110">
        <f t="shared" si="73"/>
        <v>0.68085153357351513</v>
      </c>
      <c r="H202" s="416" t="b">
        <f>Wh_hp&gt;='2019'!Maxi_hp</f>
        <v>0</v>
      </c>
      <c r="I202" s="382">
        <f>IF(H202,Wh_hp,'2019'!Maxi_hp)</f>
        <v>52.999981342766986</v>
      </c>
      <c r="J202" s="85">
        <f>IF(H202,An,'2019'!An_max)</f>
        <v>2019</v>
      </c>
      <c r="K202" s="199">
        <f t="shared" si="50"/>
        <v>44018</v>
      </c>
      <c r="L202" s="147">
        <f>IF(t&lt;Tvie,1-EXP((T0-t)*PertePVj)+'2019'!Pspv,1-EXP((T0-t)*PertePVj)+Pspv)</f>
        <v>1.6272716090729E-2</v>
      </c>
      <c r="M202" s="872"/>
      <c r="N202" s="872"/>
      <c r="O202" s="48">
        <f>IF(t&lt;Tnet,'2019'!Resal+('2019'!Salim-'2019'!Resal)*(1-EXP(('2019'!Tnet-t)/('2019'!Tau_j))),Resal+(Salim-Resal)*(1-EXP((Tnet-t)/(Tau_j))))*Salcycl</f>
        <v>0.11813980474530875</v>
      </c>
      <c r="P202" s="171">
        <f>(INDEX(Models!$BJ202:$BT202,,T202)*(1-R202)+INDEX(Models!$BJ202:$BT202,,T202+1)*R202-ERP_i)*Q202*Ramure*Pc/MaxiM</f>
        <v>9.6457247620558472E-5</v>
      </c>
      <c r="Q202" s="307">
        <f t="shared" si="51"/>
        <v>0.9</v>
      </c>
      <c r="R202" s="179">
        <f t="shared" si="52"/>
        <v>0.1261452018440834</v>
      </c>
      <c r="S202" s="839">
        <f t="shared" si="53"/>
        <v>-1</v>
      </c>
      <c r="T202" s="178">
        <f t="shared" si="54"/>
        <v>5</v>
      </c>
      <c r="U202" s="253">
        <f t="shared" si="55"/>
        <v>-0.8738547981559166</v>
      </c>
      <c r="V202" s="385">
        <f t="shared" si="56"/>
        <v>54.536657734589348</v>
      </c>
      <c r="W202" s="404"/>
      <c r="X202" s="157">
        <f t="shared" si="57"/>
        <v>44018</v>
      </c>
      <c r="Y202" s="387">
        <f t="shared" si="58"/>
        <v>37.133000000000003</v>
      </c>
      <c r="Z202" s="387">
        <f t="shared" si="59"/>
        <v>37.747250287128125</v>
      </c>
      <c r="AA202" s="388">
        <f t="shared" si="60"/>
        <v>42.8041207554745</v>
      </c>
      <c r="AB202" s="199">
        <f t="shared" si="61"/>
        <v>44018</v>
      </c>
      <c r="AC202" s="119">
        <f>IF(OR(t&lt;Tnet,NoTnet),'2019'!Resal_s+('2019'!Salim-'2019'!Resal_s)*(1-EXP(('2019'!Tnet_s-t)/'2019'!Tau_j)),Resal_s+(Salim-Resal_s)*(1-EXP((Tnet_s-t)/Tau_j)))*Salcycl</f>
        <v>0.11813980474530875</v>
      </c>
      <c r="AD202" s="233">
        <f>(INDEX(Models!$BJ202:$BT202,,AH202)*(1-AF202)+INDEX(Models!$BJ202:$BT202,,AH202+1)*AF202-ERP_i)*AE202*Ramure*Pc/MaxiM</f>
        <v>9.6457247620558472E-5</v>
      </c>
      <c r="AE202" s="307">
        <f t="shared" si="62"/>
        <v>0.9</v>
      </c>
      <c r="AF202" s="179">
        <f t="shared" si="63"/>
        <v>0.1261452018440834</v>
      </c>
      <c r="AG202" s="839">
        <f t="shared" si="71"/>
        <v>-1</v>
      </c>
      <c r="AH202" s="178">
        <f t="shared" si="64"/>
        <v>5</v>
      </c>
      <c r="AI202" s="227">
        <f t="shared" si="65"/>
        <v>-0.8738547981559166</v>
      </c>
      <c r="AJ202" s="267" t="b">
        <f t="shared" si="66"/>
        <v>0</v>
      </c>
      <c r="AK202" s="267" t="b">
        <f t="shared" si="67"/>
        <v>0</v>
      </c>
      <c r="AL202" s="267"/>
      <c r="AM202" s="267"/>
      <c r="AN202" s="75"/>
    </row>
    <row r="203" spans="1:40" s="6" customFormat="1" ht="11.25" customHeight="1" x14ac:dyDescent="0.2">
      <c r="A203" s="56">
        <f t="shared" si="68"/>
        <v>44019</v>
      </c>
      <c r="B203" s="620">
        <v>54.408000000000001</v>
      </c>
      <c r="C203" s="392"/>
      <c r="D203" s="395">
        <f t="shared" si="48"/>
        <v>55.309298698000795</v>
      </c>
      <c r="E203" s="387">
        <f t="shared" si="72"/>
        <v>62.726822869119943</v>
      </c>
      <c r="F203" s="387">
        <f t="shared" si="49"/>
        <v>62.733188340922247</v>
      </c>
      <c r="G203" s="110">
        <f t="shared" si="73"/>
        <v>0.99937305234291962</v>
      </c>
      <c r="H203" s="416" t="b">
        <f>Wh_hp&gt;='2019'!Maxi_hp</f>
        <v>1</v>
      </c>
      <c r="I203" s="382">
        <f>IF(H203,Wh_hp,'2019'!Maxi_hp)</f>
        <v>62.733188340922247</v>
      </c>
      <c r="J203" s="85">
        <f>IF(H203,An,'2019'!An_max)</f>
        <v>2020</v>
      </c>
      <c r="K203" s="199">
        <f t="shared" si="50"/>
        <v>44019</v>
      </c>
      <c r="L203" s="147">
        <f>IF(t&lt;Tvie,1-EXP((T0-t)*PertePVj)+'2019'!Pspv,1-EXP((T0-t)*PertePVj)+Pspv)</f>
        <v>1.6295608861758626E-2</v>
      </c>
      <c r="M203" s="872"/>
      <c r="N203" s="872"/>
      <c r="O203" s="48">
        <f>IF(t&lt;Tnet,'2019'!Resal+('2019'!Salim-'2019'!Resal)*(1-EXP(('2019'!Tnet-t)/('2019'!Tau_j))),Resal+(Salim-Resal)*(1-EXP((Tnet-t)/(Tau_j))))*Salcycl</f>
        <v>0.11825123339334237</v>
      </c>
      <c r="P203" s="171">
        <f>(INDEX(Models!$BJ203:$BT203,,T203)*(1-R203)+INDEX(Models!$BJ203:$BT203,,T203+1)*R203-ERP_i)*Q203*Ramure*Pc/MaxiM</f>
        <v>1.0155991464054282E-4</v>
      </c>
      <c r="Q203" s="307">
        <f t="shared" si="51"/>
        <v>0.9</v>
      </c>
      <c r="R203" s="179">
        <f t="shared" si="52"/>
        <v>0.13146281003592675</v>
      </c>
      <c r="S203" s="839">
        <f t="shared" si="53"/>
        <v>-1</v>
      </c>
      <c r="T203" s="178">
        <f t="shared" si="54"/>
        <v>5</v>
      </c>
      <c r="U203" s="253">
        <f t="shared" si="55"/>
        <v>-0.86853718996407325</v>
      </c>
      <c r="V203" s="385">
        <f t="shared" si="56"/>
        <v>54.44212741543496</v>
      </c>
      <c r="W203" s="404"/>
      <c r="X203" s="157">
        <f t="shared" si="57"/>
        <v>44019</v>
      </c>
      <c r="Y203" s="387">
        <f t="shared" si="58"/>
        <v>54.408000000000001</v>
      </c>
      <c r="Z203" s="387">
        <f t="shared" si="59"/>
        <v>55.309298698000795</v>
      </c>
      <c r="AA203" s="388">
        <f t="shared" si="60"/>
        <v>62.726822869119943</v>
      </c>
      <c r="AB203" s="199">
        <f t="shared" si="61"/>
        <v>44019</v>
      </c>
      <c r="AC203" s="119">
        <f>IF(OR(t&lt;Tnet,NoTnet),'2019'!Resal_s+('2019'!Salim-'2019'!Resal_s)*(1-EXP(('2019'!Tnet_s-t)/'2019'!Tau_j)),Resal_s+(Salim-Resal_s)*(1-EXP((Tnet_s-t)/Tau_j)))*Salcycl</f>
        <v>0.11825123339334237</v>
      </c>
      <c r="AD203" s="233">
        <f>(INDEX(Models!$BJ203:$BT203,,AH203)*(1-AF203)+INDEX(Models!$BJ203:$BT203,,AH203+1)*AF203-ERP_i)*AE203*Ramure*Pc/MaxiM</f>
        <v>1.0155991464054282E-4</v>
      </c>
      <c r="AE203" s="307">
        <f t="shared" si="62"/>
        <v>0.9</v>
      </c>
      <c r="AF203" s="179">
        <f t="shared" si="63"/>
        <v>0.13146281003592675</v>
      </c>
      <c r="AG203" s="839">
        <f t="shared" si="71"/>
        <v>-1</v>
      </c>
      <c r="AH203" s="178">
        <f t="shared" si="64"/>
        <v>5</v>
      </c>
      <c r="AI203" s="227">
        <f t="shared" si="65"/>
        <v>-0.86853718996407325</v>
      </c>
      <c r="AJ203" s="267" t="b">
        <f t="shared" si="66"/>
        <v>0</v>
      </c>
      <c r="AK203" s="267" t="b">
        <f t="shared" si="67"/>
        <v>0</v>
      </c>
      <c r="AL203" s="267"/>
      <c r="AM203" s="267"/>
      <c r="AN203" s="75"/>
    </row>
    <row r="204" spans="1:40" s="6" customFormat="1" ht="11.25" customHeight="1" x14ac:dyDescent="0.2">
      <c r="A204" s="56">
        <f t="shared" si="68"/>
        <v>44020</v>
      </c>
      <c r="B204" s="620">
        <v>52.906999999999996</v>
      </c>
      <c r="C204" s="392"/>
      <c r="D204" s="395">
        <f t="shared" si="48"/>
        <v>53.784685448659253</v>
      </c>
      <c r="E204" s="387">
        <f t="shared" si="72"/>
        <v>61.005300792734197</v>
      </c>
      <c r="F204" s="387">
        <f t="shared" si="49"/>
        <v>61.011603685242882</v>
      </c>
      <c r="G204" s="110">
        <f t="shared" si="73"/>
        <v>0.97355627817781087</v>
      </c>
      <c r="H204" s="416" t="b">
        <f>Wh_hp&gt;='2019'!Maxi_hp</f>
        <v>1</v>
      </c>
      <c r="I204" s="382">
        <f>IF(H204,Wh_hp,'2019'!Maxi_hp)</f>
        <v>61.011603685242882</v>
      </c>
      <c r="J204" s="85">
        <f>IF(H204,An,'2019'!An_max)</f>
        <v>2020</v>
      </c>
      <c r="K204" s="199">
        <f t="shared" si="50"/>
        <v>44020</v>
      </c>
      <c r="L204" s="147">
        <f>IF(t&lt;Tvie,1-EXP((T0-t)*PertePVj)+'2019'!Pspv,1-EXP((T0-t)*PertePVj)+Pspv)</f>
        <v>1.6318501100040073E-2</v>
      </c>
      <c r="M204" s="872"/>
      <c r="N204" s="872"/>
      <c r="O204" s="48">
        <f>IF(t&lt;Tnet,'2019'!Resal+('2019'!Salim-'2019'!Resal)*(1-EXP(('2019'!Tnet-t)/('2019'!Tau_j))),Resal+(Salim-Resal)*(1-EXP((Tnet-t)/(Tau_j))))*Salcycl</f>
        <v>0.11836045802981979</v>
      </c>
      <c r="P204" s="171">
        <f>(INDEX(Models!$BJ204:$BT204,,T204)*(1-R204)+INDEX(Models!$BJ204:$BT204,,T204+1)*R204-ERP_i)*Q204*Ramure*Pc/MaxiM</f>
        <v>1.0736162240402158E-4</v>
      </c>
      <c r="Q204" s="307">
        <f t="shared" si="51"/>
        <v>0.9</v>
      </c>
      <c r="R204" s="179">
        <f t="shared" si="52"/>
        <v>0.13666815441155966</v>
      </c>
      <c r="S204" s="839">
        <f t="shared" si="53"/>
        <v>-1</v>
      </c>
      <c r="T204" s="178">
        <f t="shared" si="54"/>
        <v>5</v>
      </c>
      <c r="U204" s="253">
        <f t="shared" si="55"/>
        <v>-0.86333184558844034</v>
      </c>
      <c r="V204" s="385">
        <f t="shared" si="56"/>
        <v>54.343838786733777</v>
      </c>
      <c r="W204" s="404"/>
      <c r="X204" s="157">
        <f t="shared" si="57"/>
        <v>44020</v>
      </c>
      <c r="Y204" s="387">
        <f t="shared" si="58"/>
        <v>52.906999999999996</v>
      </c>
      <c r="Z204" s="387">
        <f t="shared" si="59"/>
        <v>53.784685448659253</v>
      </c>
      <c r="AA204" s="388">
        <f t="shared" si="60"/>
        <v>61.005300792734197</v>
      </c>
      <c r="AB204" s="199">
        <f t="shared" si="61"/>
        <v>44020</v>
      </c>
      <c r="AC204" s="119">
        <f>IF(OR(t&lt;Tnet,NoTnet),'2019'!Resal_s+('2019'!Salim-'2019'!Resal_s)*(1-EXP(('2019'!Tnet_s-t)/'2019'!Tau_j)),Resal_s+(Salim-Resal_s)*(1-EXP((Tnet_s-t)/Tau_j)))*Salcycl</f>
        <v>0.11836045802981979</v>
      </c>
      <c r="AD204" s="233">
        <f>(INDEX(Models!$BJ204:$BT204,,AH204)*(1-AF204)+INDEX(Models!$BJ204:$BT204,,AH204+1)*AF204-ERP_i)*AE204*Ramure*Pc/MaxiM</f>
        <v>1.0736162240402158E-4</v>
      </c>
      <c r="AE204" s="307">
        <f t="shared" si="62"/>
        <v>0.9</v>
      </c>
      <c r="AF204" s="179">
        <f t="shared" si="63"/>
        <v>0.13666815441155966</v>
      </c>
      <c r="AG204" s="839">
        <f t="shared" si="71"/>
        <v>-1</v>
      </c>
      <c r="AH204" s="178">
        <f t="shared" si="64"/>
        <v>5</v>
      </c>
      <c r="AI204" s="227">
        <f t="shared" si="65"/>
        <v>-0.86333184558844034</v>
      </c>
      <c r="AJ204" s="267" t="b">
        <f t="shared" si="66"/>
        <v>0</v>
      </c>
      <c r="AK204" s="267" t="b">
        <f t="shared" si="67"/>
        <v>0</v>
      </c>
      <c r="AL204" s="267"/>
      <c r="AM204" s="267"/>
      <c r="AN204" s="75"/>
    </row>
    <row r="205" spans="1:40" s="6" customFormat="1" ht="11.25" customHeight="1" x14ac:dyDescent="0.2">
      <c r="A205" s="56">
        <f t="shared" si="68"/>
        <v>44021</v>
      </c>
      <c r="B205" s="620">
        <v>47.774000000000001</v>
      </c>
      <c r="C205" s="392"/>
      <c r="D205" s="395">
        <f t="shared" si="48"/>
        <v>48.567663263030596</v>
      </c>
      <c r="E205" s="387">
        <f t="shared" si="72"/>
        <v>55.094583926268882</v>
      </c>
      <c r="F205" s="387">
        <f t="shared" si="49"/>
        <v>55.099789604747464</v>
      </c>
      <c r="G205" s="110">
        <f t="shared" si="73"/>
        <v>0.88074507080979303</v>
      </c>
      <c r="H205" s="416" t="b">
        <f>Wh_hp&gt;='2019'!Maxi_hp</f>
        <v>0</v>
      </c>
      <c r="I205" s="382">
        <f>IF(H205,Wh_hp,'2019'!Maxi_hp)</f>
        <v>62.966191858436069</v>
      </c>
      <c r="J205" s="85">
        <f>IF(H205,An,'2019'!An_max)</f>
        <v>2019</v>
      </c>
      <c r="K205" s="199">
        <f t="shared" si="50"/>
        <v>44021</v>
      </c>
      <c r="L205" s="147">
        <f>IF(t&lt;Tvie,1-EXP((T0-t)*PertePVj)+'2019'!Pspv,1-EXP((T0-t)*PertePVj)+Pspv)</f>
        <v>1.6341392805585664E-2</v>
      </c>
      <c r="M205" s="872"/>
      <c r="N205" s="872"/>
      <c r="O205" s="48">
        <f>IF(t&lt;Tnet,'2019'!Resal+('2019'!Salim-'2019'!Resal)*(1-EXP(('2019'!Tnet-t)/('2019'!Tau_j))),Resal+(Salim-Resal)*(1-EXP((Tnet-t)/(Tau_j))))*Salcycl</f>
        <v>0.11846755521328613</v>
      </c>
      <c r="P205" s="171">
        <f>(INDEX(Models!$BJ205:$BT205,,T205)*(1-R205)+INDEX(Models!$BJ205:$BT205,,T205+1)*R205-ERP_i)*Q205*Ramure*Pc/MaxiM</f>
        <v>1.138746698832382E-4</v>
      </c>
      <c r="Q205" s="307">
        <f t="shared" si="51"/>
        <v>0.9</v>
      </c>
      <c r="R205" s="179">
        <f t="shared" si="52"/>
        <v>0.1417604971185199</v>
      </c>
      <c r="S205" s="839">
        <f t="shared" si="53"/>
        <v>-1</v>
      </c>
      <c r="T205" s="178">
        <f t="shared" si="54"/>
        <v>5</v>
      </c>
      <c r="U205" s="253">
        <f t="shared" si="55"/>
        <v>-0.8582395028814801</v>
      </c>
      <c r="V205" s="385">
        <f t="shared" si="56"/>
        <v>54.241658347073717</v>
      </c>
      <c r="W205" s="404"/>
      <c r="X205" s="157">
        <f t="shared" si="57"/>
        <v>44021</v>
      </c>
      <c r="Y205" s="387">
        <f t="shared" si="58"/>
        <v>47.774000000000001</v>
      </c>
      <c r="Z205" s="387">
        <f t="shared" si="59"/>
        <v>48.567663263030596</v>
      </c>
      <c r="AA205" s="388">
        <f t="shared" si="60"/>
        <v>55.094583926268882</v>
      </c>
      <c r="AB205" s="199">
        <f t="shared" si="61"/>
        <v>44021</v>
      </c>
      <c r="AC205" s="119">
        <f>IF(OR(t&lt;Tnet,NoTnet),'2019'!Resal_s+('2019'!Salim-'2019'!Resal_s)*(1-EXP(('2019'!Tnet_s-t)/'2019'!Tau_j)),Resal_s+(Salim-Resal_s)*(1-EXP((Tnet_s-t)/Tau_j)))*Salcycl</f>
        <v>0.11846755521328613</v>
      </c>
      <c r="AD205" s="233">
        <f>(INDEX(Models!$BJ205:$BT205,,AH205)*(1-AF205)+INDEX(Models!$BJ205:$BT205,,AH205+1)*AF205-ERP_i)*AE205*Ramure*Pc/MaxiM</f>
        <v>1.138746698832382E-4</v>
      </c>
      <c r="AE205" s="307">
        <f t="shared" si="62"/>
        <v>0.9</v>
      </c>
      <c r="AF205" s="179">
        <f t="shared" si="63"/>
        <v>0.1417604971185199</v>
      </c>
      <c r="AG205" s="839">
        <f t="shared" si="71"/>
        <v>-1</v>
      </c>
      <c r="AH205" s="178">
        <f t="shared" si="64"/>
        <v>5</v>
      </c>
      <c r="AI205" s="227">
        <f t="shared" si="65"/>
        <v>-0.8582395028814801</v>
      </c>
      <c r="AJ205" s="267" t="b">
        <f t="shared" si="66"/>
        <v>0</v>
      </c>
      <c r="AK205" s="267" t="b">
        <f t="shared" si="67"/>
        <v>0</v>
      </c>
      <c r="AL205" s="267"/>
      <c r="AM205" s="267"/>
      <c r="AN205" s="75"/>
    </row>
    <row r="206" spans="1:40" s="6" customFormat="1" ht="11.25" customHeight="1" x14ac:dyDescent="0.2">
      <c r="A206" s="56">
        <f t="shared" si="68"/>
        <v>44022</v>
      </c>
      <c r="B206" s="620">
        <v>42.365000000000002</v>
      </c>
      <c r="C206" s="392"/>
      <c r="D206" s="395">
        <f t="shared" si="48"/>
        <v>43.069806545200755</v>
      </c>
      <c r="E206" s="387">
        <f t="shared" si="72"/>
        <v>48.863703017387039</v>
      </c>
      <c r="F206" s="387">
        <f t="shared" si="49"/>
        <v>48.867802578079996</v>
      </c>
      <c r="G206" s="110">
        <f t="shared" si="73"/>
        <v>0.78254117199733053</v>
      </c>
      <c r="H206" s="416" t="b">
        <f>Wh_hp&gt;='2019'!Maxi_hp</f>
        <v>0</v>
      </c>
      <c r="I206" s="382">
        <f>IF(H206,Wh_hp,'2019'!Maxi_hp)</f>
        <v>62.533277298191116</v>
      </c>
      <c r="J206" s="85">
        <f>IF(H206,An,'2019'!An_max)</f>
        <v>2019</v>
      </c>
      <c r="K206" s="199">
        <f t="shared" si="50"/>
        <v>44022</v>
      </c>
      <c r="L206" s="147">
        <f>IF(t&lt;Tvie,1-EXP((T0-t)*PertePVj)+'2019'!Pspv,1-EXP((T0-t)*PertePVj)+Pspv)</f>
        <v>1.6364283978407834E-2</v>
      </c>
      <c r="M206" s="872"/>
      <c r="N206" s="872"/>
      <c r="O206" s="48">
        <f>IF(t&lt;Tnet,'2019'!Resal+('2019'!Salim-'2019'!Resal)*(1-EXP(('2019'!Tnet-t)/('2019'!Tau_j))),Resal+(Salim-Resal)*(1-EXP((Tnet-t)/(Tau_j))))*Salcycl</f>
        <v>0.11857260327005215</v>
      </c>
      <c r="P206" s="171">
        <f>(INDEX(Models!$BJ206:$BT206,,T206)*(1-R206)+INDEX(Models!$BJ206:$BT206,,T206+1)*R206-ERP_i)*Q206*Ramure*Pc/MaxiM</f>
        <v>1.2168906420205977E-4</v>
      </c>
      <c r="Q206" s="307">
        <f t="shared" si="51"/>
        <v>0.9</v>
      </c>
      <c r="R206" s="179">
        <f t="shared" si="52"/>
        <v>0.14673931860022993</v>
      </c>
      <c r="S206" s="839">
        <f t="shared" si="53"/>
        <v>-1</v>
      </c>
      <c r="T206" s="178">
        <f t="shared" si="54"/>
        <v>5</v>
      </c>
      <c r="U206" s="253">
        <f t="shared" si="55"/>
        <v>-0.85326068139977007</v>
      </c>
      <c r="V206" s="385">
        <f t="shared" si="56"/>
        <v>54.135680088863403</v>
      </c>
      <c r="W206" s="404"/>
      <c r="X206" s="157">
        <f t="shared" si="57"/>
        <v>44022</v>
      </c>
      <c r="Y206" s="387">
        <f t="shared" si="58"/>
        <v>42.365000000000002</v>
      </c>
      <c r="Z206" s="387">
        <f t="shared" si="59"/>
        <v>43.069806545200755</v>
      </c>
      <c r="AA206" s="388">
        <f t="shared" si="60"/>
        <v>48.863703017387039</v>
      </c>
      <c r="AB206" s="199">
        <f t="shared" si="61"/>
        <v>44022</v>
      </c>
      <c r="AC206" s="119">
        <f>IF(OR(t&lt;Tnet,NoTnet),'2019'!Resal_s+('2019'!Salim-'2019'!Resal_s)*(1-EXP(('2019'!Tnet_s-t)/'2019'!Tau_j)),Resal_s+(Salim-Resal_s)*(1-EXP((Tnet_s-t)/Tau_j)))*Salcycl</f>
        <v>0.11857260327005215</v>
      </c>
      <c r="AD206" s="233">
        <f>(INDEX(Models!$BJ206:$BT206,,AH206)*(1-AF206)+INDEX(Models!$BJ206:$BT206,,AH206+1)*AF206-ERP_i)*AE206*Ramure*Pc/MaxiM</f>
        <v>1.2168906420205977E-4</v>
      </c>
      <c r="AE206" s="307">
        <f t="shared" si="62"/>
        <v>0.9</v>
      </c>
      <c r="AF206" s="179">
        <f t="shared" si="63"/>
        <v>0.14673931860022993</v>
      </c>
      <c r="AG206" s="839">
        <f t="shared" si="71"/>
        <v>-1</v>
      </c>
      <c r="AH206" s="178">
        <f t="shared" si="64"/>
        <v>5</v>
      </c>
      <c r="AI206" s="227">
        <f t="shared" si="65"/>
        <v>-0.85326068139977007</v>
      </c>
      <c r="AJ206" s="267" t="b">
        <f t="shared" si="66"/>
        <v>0</v>
      </c>
      <c r="AK206" s="267" t="b">
        <f t="shared" si="67"/>
        <v>0</v>
      </c>
      <c r="AL206" s="267"/>
      <c r="AM206" s="267"/>
      <c r="AN206" s="75"/>
    </row>
    <row r="207" spans="1:40" s="6" customFormat="1" ht="11.25" customHeight="1" x14ac:dyDescent="0.2">
      <c r="A207" s="56">
        <f t="shared" si="68"/>
        <v>44023</v>
      </c>
      <c r="B207" s="620">
        <v>41.645000000000003</v>
      </c>
      <c r="C207" s="392"/>
      <c r="D207" s="395">
        <f t="shared" ref="D207:D270" si="74">Wh/(1-Ppv)</f>
        <v>42.338813530464641</v>
      </c>
      <c r="E207" s="387">
        <f t="shared" si="72"/>
        <v>48.039992379994167</v>
      </c>
      <c r="F207" s="387">
        <f t="shared" ref="F207:F270" si="75">Wh_sa/(1-Pvg*MEDIAN((-Sdif+Wh/Env_an)/Csdif,0,1))</f>
        <v>48.044216327092606</v>
      </c>
      <c r="G207" s="110">
        <f t="shared" si="73"/>
        <v>0.77079814985946438</v>
      </c>
      <c r="H207" s="416" t="b">
        <f>Wh_hp&gt;='2019'!Maxi_hp</f>
        <v>0</v>
      </c>
      <c r="I207" s="382">
        <f>IF(H207,Wh_hp,'2019'!Maxi_hp)</f>
        <v>63.366086116985848</v>
      </c>
      <c r="J207" s="85">
        <f>IF(H207,An,'2019'!An_max)</f>
        <v>2019</v>
      </c>
      <c r="K207" s="199">
        <f t="shared" ref="K207:K270" si="76">t</f>
        <v>44023</v>
      </c>
      <c r="L207" s="147">
        <f>IF(t&lt;Tvie,1-EXP((T0-t)*PertePVj)+'2019'!Pspv,1-EXP((T0-t)*PertePVj)+Pspv)</f>
        <v>1.6387174618518907E-2</v>
      </c>
      <c r="M207" s="872"/>
      <c r="N207" s="872"/>
      <c r="O207" s="48">
        <f>IF(t&lt;Tnet,'2019'!Resal+('2019'!Salim-'2019'!Resal)*(1-EXP(('2019'!Tnet-t)/('2019'!Tau_j))),Resal+(Salim-Resal)*(1-EXP((Tnet-t)/(Tau_j))))*Salcycl</f>
        <v>0.11867568180347447</v>
      </c>
      <c r="P207" s="171">
        <f>(INDEX(Models!$BJ207:$BT207,,T207)*(1-R207)+INDEX(Models!$BJ207:$BT207,,T207+1)*R207-ERP_i)*Q207*Ramure*Pc/MaxiM</f>
        <v>1.3071042275106492E-4</v>
      </c>
      <c r="Q207" s="307">
        <f t="shared" ref="Q207:Q270" si="77">IF(OR(t&lt;Ttai,Notai),Dd+PousD*Croivg,Dens+PousD*(Croivg-Croi_tai))</f>
        <v>0.9</v>
      </c>
      <c r="R207" s="179">
        <f t="shared" ref="R207:R270" si="78">(Hp_vg-S207)/(INDEX(Echel_vg,T207+1)-S207)</f>
        <v>0.15160430956563542</v>
      </c>
      <c r="S207" s="839">
        <f t="shared" ref="S207:S270" si="79">INDEX(Echel_vg,T207)</f>
        <v>-1</v>
      </c>
      <c r="T207" s="178">
        <f t="shared" ref="T207:T270" si="80">MIN(MATCH(Hp_vg,Echel_vg),10)</f>
        <v>5</v>
      </c>
      <c r="U207" s="253">
        <f t="shared" ref="U207:U270" si="81">IF(OR(t&lt;Ttai,Notai),Hdd+PousH*Croivg,Hdtf+PousH*(Croivg-Croi_tai))</f>
        <v>-0.84839569043436458</v>
      </c>
      <c r="V207" s="385">
        <f t="shared" ref="V207:V270" si="82">MaxiM*(1-Ppv)*(1-Pvg)*(1-Psa)</f>
        <v>54.026099772965431</v>
      </c>
      <c r="W207" s="404"/>
      <c r="X207" s="157">
        <f t="shared" ref="X207:X270" si="83">t</f>
        <v>44023</v>
      </c>
      <c r="Y207" s="387">
        <f t="shared" ref="Y207:Y270" si="84">Wh_pvt_s*(1-Ppv)</f>
        <v>41.645000000000003</v>
      </c>
      <c r="Z207" s="387">
        <f t="shared" ref="Z207:Z270" si="85">Wh_sa_s*(1-Psa_s)</f>
        <v>42.338813530464641</v>
      </c>
      <c r="AA207" s="388">
        <f t="shared" ref="AA207:AA270" si="86">Wh_hp*(1-Pvg_s*MEDIAN((-Sdif+Wh/Env_an)/Csdif,0,1))</f>
        <v>48.039992379994167</v>
      </c>
      <c r="AB207" s="199">
        <f t="shared" ref="AB207:AB270" si="87">t</f>
        <v>44023</v>
      </c>
      <c r="AC207" s="119">
        <f>IF(OR(t&lt;Tnet,NoTnet),'2019'!Resal_s+('2019'!Salim-'2019'!Resal_s)*(1-EXP(('2019'!Tnet_s-t)/'2019'!Tau_j)),Resal_s+(Salim-Resal_s)*(1-EXP((Tnet_s-t)/Tau_j)))*Salcycl</f>
        <v>0.11867568180347447</v>
      </c>
      <c r="AD207" s="233">
        <f>(INDEX(Models!$BJ207:$BT207,,AH207)*(1-AF207)+INDEX(Models!$BJ207:$BT207,,AH207+1)*AF207-ERP_i)*AE207*Ramure*Pc/MaxiM</f>
        <v>1.3071042275106492E-4</v>
      </c>
      <c r="AE207" s="307">
        <f t="shared" ref="AE207:AE270" si="88">IF(OR(t&lt;Ttai,Notai),Dd_s+PousD*Croivg,Dens_s+PousD*(Croivg-Croi_tai))</f>
        <v>0.9</v>
      </c>
      <c r="AF207" s="179">
        <f t="shared" ref="AF207:AF270" si="89">(Hp_vg_s-AG207)/(INDEX(Echel_vg,AH207+1)-AG207)</f>
        <v>0.15160430956563542</v>
      </c>
      <c r="AG207" s="839">
        <f t="shared" si="71"/>
        <v>-1</v>
      </c>
      <c r="AH207" s="178">
        <f t="shared" ref="AH207:AH270" si="90">MIN(MATCH(Hp_vg_s,Echel_vg),10)</f>
        <v>5</v>
      </c>
      <c r="AI207" s="227">
        <f t="shared" ref="AI207:AI270" si="91">IF(OR(t&lt;Ttai,Notai),Hdd_s+PousH*Croivg,Hdtai_s+PousH*(Croivg-Croi_tai))</f>
        <v>-0.84839569043436458</v>
      </c>
      <c r="AJ207" s="267" t="b">
        <f t="shared" ref="AJ207:AJ270" si="92">t&lt;Tnet</f>
        <v>0</v>
      </c>
      <c r="AK207" s="267" t="b">
        <f t="shared" ref="AK207:AK270" si="93">t&lt;Ttai</f>
        <v>0</v>
      </c>
      <c r="AL207" s="267"/>
      <c r="AM207" s="267"/>
      <c r="AN207" s="75"/>
    </row>
    <row r="208" spans="1:40" s="6" customFormat="1" ht="11.25" customHeight="1" x14ac:dyDescent="0.2">
      <c r="A208" s="56">
        <f t="shared" ref="A208:A271" si="94">A207+1</f>
        <v>44024</v>
      </c>
      <c r="B208" s="620">
        <v>32.497</v>
      </c>
      <c r="C208" s="392"/>
      <c r="D208" s="395">
        <f t="shared" si="74"/>
        <v>33.0391750002454</v>
      </c>
      <c r="E208" s="387">
        <f t="shared" si="72"/>
        <v>37.492405635774553</v>
      </c>
      <c r="F208" s="387">
        <f t="shared" si="75"/>
        <v>37.494691549554602</v>
      </c>
      <c r="G208" s="110">
        <f t="shared" si="73"/>
        <v>0.60271800787819296</v>
      </c>
      <c r="H208" s="416" t="b">
        <f>Wh_hp&gt;='2019'!Maxi_hp</f>
        <v>0</v>
      </c>
      <c r="I208" s="382">
        <f>IF(H208,Wh_hp,'2019'!Maxi_hp)</f>
        <v>54.665430222779129</v>
      </c>
      <c r="J208" s="85">
        <f>IF(H208,An,'2019'!An_max)</f>
        <v>2019</v>
      </c>
      <c r="K208" s="199">
        <f t="shared" si="76"/>
        <v>44024</v>
      </c>
      <c r="L208" s="147">
        <f>IF(t&lt;Tvie,1-EXP((T0-t)*PertePVj)+'2019'!Pspv,1-EXP((T0-t)*PertePVj)+Pspv)</f>
        <v>1.6410064725931428E-2</v>
      </c>
      <c r="M208" s="872"/>
      <c r="N208" s="872"/>
      <c r="O208" s="48">
        <f>IF(t&lt;Tnet,'2019'!Resal+('2019'!Salim-'2019'!Resal)*(1-EXP(('2019'!Tnet-t)/('2019'!Tau_j))),Resal+(Salim-Resal)*(1-EXP((Tnet-t)/(Tau_j))))*Salcycl</f>
        <v>0.11877687120935138</v>
      </c>
      <c r="P208" s="171">
        <f>(INDEX(Models!$BJ208:$BT208,,T208)*(1-R208)+INDEX(Models!$BJ208:$BT208,,T208+1)*R208-ERP_i)*Q208*Ramure*Pc/MaxiM</f>
        <v>1.4095506106977102E-4</v>
      </c>
      <c r="Q208" s="307">
        <f t="shared" si="77"/>
        <v>0.9</v>
      </c>
      <c r="R208" s="179">
        <f t="shared" si="78"/>
        <v>0.15635536246991899</v>
      </c>
      <c r="S208" s="839">
        <f t="shared" si="79"/>
        <v>-1</v>
      </c>
      <c r="T208" s="178">
        <f t="shared" si="80"/>
        <v>5</v>
      </c>
      <c r="U208" s="253">
        <f t="shared" si="81"/>
        <v>-0.84364463753008101</v>
      </c>
      <c r="V208" s="385">
        <f t="shared" si="82"/>
        <v>53.913106997002949</v>
      </c>
      <c r="W208" s="404"/>
      <c r="X208" s="157">
        <f t="shared" si="83"/>
        <v>44024</v>
      </c>
      <c r="Y208" s="387">
        <f t="shared" si="84"/>
        <v>32.497</v>
      </c>
      <c r="Z208" s="387">
        <f t="shared" si="85"/>
        <v>33.0391750002454</v>
      </c>
      <c r="AA208" s="388">
        <f t="shared" si="86"/>
        <v>37.492405635774553</v>
      </c>
      <c r="AB208" s="199">
        <f t="shared" si="87"/>
        <v>44024</v>
      </c>
      <c r="AC208" s="119">
        <f>IF(OR(t&lt;Tnet,NoTnet),'2019'!Resal_s+('2019'!Salim-'2019'!Resal_s)*(1-EXP(('2019'!Tnet_s-t)/'2019'!Tau_j)),Resal_s+(Salim-Resal_s)*(1-EXP((Tnet_s-t)/Tau_j)))*Salcycl</f>
        <v>0.11877687120935138</v>
      </c>
      <c r="AD208" s="233">
        <f>(INDEX(Models!$BJ208:$BT208,,AH208)*(1-AF208)+INDEX(Models!$BJ208:$BT208,,AH208+1)*AF208-ERP_i)*AE208*Ramure*Pc/MaxiM</f>
        <v>1.4095506106977102E-4</v>
      </c>
      <c r="AE208" s="307">
        <f t="shared" si="88"/>
        <v>0.9</v>
      </c>
      <c r="AF208" s="179">
        <f t="shared" si="89"/>
        <v>0.15635536246991899</v>
      </c>
      <c r="AG208" s="839">
        <f t="shared" ref="AG208:AG271" si="95">INDEX(Echel_vg,AH208)</f>
        <v>-1</v>
      </c>
      <c r="AH208" s="178">
        <f t="shared" si="90"/>
        <v>5</v>
      </c>
      <c r="AI208" s="227">
        <f t="shared" si="91"/>
        <v>-0.84364463753008101</v>
      </c>
      <c r="AJ208" s="267" t="b">
        <f t="shared" si="92"/>
        <v>0</v>
      </c>
      <c r="AK208" s="267" t="b">
        <f t="shared" si="93"/>
        <v>0</v>
      </c>
      <c r="AL208" s="267"/>
      <c r="AM208" s="267"/>
      <c r="AN208" s="75"/>
    </row>
    <row r="209" spans="1:40" s="6" customFormat="1" ht="11.25" customHeight="1" x14ac:dyDescent="0.2">
      <c r="A209" s="56">
        <f t="shared" si="94"/>
        <v>44025</v>
      </c>
      <c r="B209" s="620">
        <v>52.823</v>
      </c>
      <c r="C209" s="392"/>
      <c r="D209" s="395">
        <f t="shared" si="74"/>
        <v>53.705540695948635</v>
      </c>
      <c r="E209" s="387">
        <f t="shared" si="72"/>
        <v>60.951189693949438</v>
      </c>
      <c r="F209" s="387">
        <f t="shared" si="75"/>
        <v>60.960242104287794</v>
      </c>
      <c r="G209" s="110">
        <f t="shared" si="73"/>
        <v>0.98189301449286581</v>
      </c>
      <c r="H209" s="416" t="b">
        <f>Wh_hp&gt;='2019'!Maxi_hp</f>
        <v>0</v>
      </c>
      <c r="I209" s="382">
        <f>IF(H209,Wh_hp,'2019'!Maxi_hp)</f>
        <v>62.288044884961785</v>
      </c>
      <c r="J209" s="85">
        <f>IF(H209,An,'2019'!An_max)</f>
        <v>2019</v>
      </c>
      <c r="K209" s="199">
        <f t="shared" si="76"/>
        <v>44025</v>
      </c>
      <c r="L209" s="147">
        <f>IF(t&lt;Tvie,1-EXP((T0-t)*PertePVj)+'2019'!Pspv,1-EXP((T0-t)*PertePVj)+Pspv)</f>
        <v>1.643295430065761E-2</v>
      </c>
      <c r="M209" s="872"/>
      <c r="N209" s="872"/>
      <c r="O209" s="48">
        <f>IF(t&lt;Tnet,'2019'!Resal+('2019'!Salim-'2019'!Resal)*(1-EXP(('2019'!Tnet-t)/('2019'!Tau_j))),Resal+(Salim-Resal)*(1-EXP((Tnet-t)/(Tau_j))))*Salcycl</f>
        <v>0.11887625220086671</v>
      </c>
      <c r="P209" s="171">
        <f>(INDEX(Models!$BJ209:$BT209,,T209)*(1-R209)+INDEX(Models!$BJ209:$BT209,,T209+1)*R209-ERP_i)*Q209*Ramure*Pc/MaxiM</f>
        <v>1.5243927746768019E-4</v>
      </c>
      <c r="Q209" s="307">
        <f t="shared" si="77"/>
        <v>0.9</v>
      </c>
      <c r="R209" s="179">
        <f t="shared" si="78"/>
        <v>0.1609925625873051</v>
      </c>
      <c r="S209" s="839">
        <f t="shared" si="79"/>
        <v>-1</v>
      </c>
      <c r="T209" s="178">
        <f t="shared" si="80"/>
        <v>5</v>
      </c>
      <c r="U209" s="253">
        <f t="shared" si="81"/>
        <v>-0.8390074374126949</v>
      </c>
      <c r="V209" s="385">
        <f t="shared" si="82"/>
        <v>53.796891254046301</v>
      </c>
      <c r="W209" s="404"/>
      <c r="X209" s="157">
        <f t="shared" si="83"/>
        <v>44025</v>
      </c>
      <c r="Y209" s="387">
        <f t="shared" si="84"/>
        <v>52.823</v>
      </c>
      <c r="Z209" s="387">
        <f t="shared" si="85"/>
        <v>53.705540695948635</v>
      </c>
      <c r="AA209" s="388">
        <f t="shared" si="86"/>
        <v>60.951189693949438</v>
      </c>
      <c r="AB209" s="199">
        <f t="shared" si="87"/>
        <v>44025</v>
      </c>
      <c r="AC209" s="119">
        <f>IF(OR(t&lt;Tnet,NoTnet),'2019'!Resal_s+('2019'!Salim-'2019'!Resal_s)*(1-EXP(('2019'!Tnet_s-t)/'2019'!Tau_j)),Resal_s+(Salim-Resal_s)*(1-EXP((Tnet_s-t)/Tau_j)))*Salcycl</f>
        <v>0.11887625220086671</v>
      </c>
      <c r="AD209" s="233">
        <f>(INDEX(Models!$BJ209:$BT209,,AH209)*(1-AF209)+INDEX(Models!$BJ209:$BT209,,AH209+1)*AF209-ERP_i)*AE209*Ramure*Pc/MaxiM</f>
        <v>1.5243927746768019E-4</v>
      </c>
      <c r="AE209" s="307">
        <f t="shared" si="88"/>
        <v>0.9</v>
      </c>
      <c r="AF209" s="179">
        <f t="shared" si="89"/>
        <v>0.1609925625873051</v>
      </c>
      <c r="AG209" s="839">
        <f t="shared" si="95"/>
        <v>-1</v>
      </c>
      <c r="AH209" s="178">
        <f t="shared" si="90"/>
        <v>5</v>
      </c>
      <c r="AI209" s="227">
        <f t="shared" si="91"/>
        <v>-0.8390074374126949</v>
      </c>
      <c r="AJ209" s="267" t="b">
        <f t="shared" si="92"/>
        <v>0</v>
      </c>
      <c r="AK209" s="267" t="b">
        <f t="shared" si="93"/>
        <v>0</v>
      </c>
      <c r="AL209" s="267"/>
      <c r="AM209" s="267"/>
      <c r="AN209" s="75"/>
    </row>
    <row r="210" spans="1:40" s="6" customFormat="1" ht="11.25" x14ac:dyDescent="0.2">
      <c r="A210" s="56">
        <f t="shared" si="94"/>
        <v>44026</v>
      </c>
      <c r="B210" s="620">
        <v>44.569000000000003</v>
      </c>
      <c r="C210" s="392"/>
      <c r="D210" s="395">
        <f t="shared" si="74"/>
        <v>45.314691463852398</v>
      </c>
      <c r="E210" s="387">
        <f t="shared" si="72"/>
        <v>51.433994678293978</v>
      </c>
      <c r="F210" s="387">
        <f t="shared" si="75"/>
        <v>51.440431786901378</v>
      </c>
      <c r="G210" s="110">
        <f t="shared" si="73"/>
        <v>0.83027520415400158</v>
      </c>
      <c r="H210" s="416" t="b">
        <f>Wh_hp&gt;='2019'!Maxi_hp</f>
        <v>0</v>
      </c>
      <c r="I210" s="382">
        <f>IF(H210,Wh_hp,'2019'!Maxi_hp)</f>
        <v>63.922354684310292</v>
      </c>
      <c r="J210" s="85">
        <f>IF(H210,An,'2019'!An_max)</f>
        <v>2019</v>
      </c>
      <c r="K210" s="199">
        <f t="shared" si="76"/>
        <v>44026</v>
      </c>
      <c r="L210" s="147">
        <f>IF(t&lt;Tvie,1-EXP((T0-t)*PertePVj)+'2019'!Pspv,1-EXP((T0-t)*PertePVj)+Pspv)</f>
        <v>1.6455843342709997E-2</v>
      </c>
      <c r="M210" s="872"/>
      <c r="N210" s="872"/>
      <c r="O210" s="48">
        <f>IF(t&lt;Tnet,'2019'!Resal+('2019'!Salim-'2019'!Resal)*(1-EXP(('2019'!Tnet-t)/('2019'!Tau_j))),Resal+(Salim-Resal)*(1-EXP((Tnet-t)/(Tau_j))))*Salcycl</f>
        <v>0.11897390534638037</v>
      </c>
      <c r="P210" s="171">
        <f>(INDEX(Models!$BJ210:$BT210,,T210)*(1-R210)+INDEX(Models!$BJ210:$BT210,,T210+1)*R210-ERP_i)*Q210*Ramure*Pc/MaxiM</f>
        <v>1.6517933728755528E-4</v>
      </c>
      <c r="Q210" s="307">
        <f t="shared" si="77"/>
        <v>0.9</v>
      </c>
      <c r="R210" s="179">
        <f t="shared" si="78"/>
        <v>0.16551617875451841</v>
      </c>
      <c r="S210" s="839">
        <f t="shared" si="79"/>
        <v>-1</v>
      </c>
      <c r="T210" s="178">
        <f t="shared" si="80"/>
        <v>5</v>
      </c>
      <c r="U210" s="253">
        <f t="shared" si="81"/>
        <v>-0.83448382124548159</v>
      </c>
      <c r="V210" s="385">
        <f t="shared" si="82"/>
        <v>53.677641959027653</v>
      </c>
      <c r="W210" s="404"/>
      <c r="X210" s="157">
        <f t="shared" si="83"/>
        <v>44026</v>
      </c>
      <c r="Y210" s="387">
        <f t="shared" si="84"/>
        <v>44.569000000000003</v>
      </c>
      <c r="Z210" s="387">
        <f t="shared" si="85"/>
        <v>45.314691463852398</v>
      </c>
      <c r="AA210" s="388">
        <f t="shared" si="86"/>
        <v>51.433994678293978</v>
      </c>
      <c r="AB210" s="199">
        <f t="shared" si="87"/>
        <v>44026</v>
      </c>
      <c r="AC210" s="119">
        <f>IF(OR(t&lt;Tnet,NoTnet),'2019'!Resal_s+('2019'!Salim-'2019'!Resal_s)*(1-EXP(('2019'!Tnet_s-t)/'2019'!Tau_j)),Resal_s+(Salim-Resal_s)*(1-EXP((Tnet_s-t)/Tau_j)))*Salcycl</f>
        <v>0.11897390534638037</v>
      </c>
      <c r="AD210" s="233">
        <f>(INDEX(Models!$BJ210:$BT210,,AH210)*(1-AF210)+INDEX(Models!$BJ210:$BT210,,AH210+1)*AF210-ERP_i)*AE210*Ramure*Pc/MaxiM</f>
        <v>1.6517933728755528E-4</v>
      </c>
      <c r="AE210" s="307">
        <f t="shared" si="88"/>
        <v>0.9</v>
      </c>
      <c r="AF210" s="179">
        <f t="shared" si="89"/>
        <v>0.16551617875451841</v>
      </c>
      <c r="AG210" s="839">
        <f t="shared" si="95"/>
        <v>-1</v>
      </c>
      <c r="AH210" s="178">
        <f t="shared" si="90"/>
        <v>5</v>
      </c>
      <c r="AI210" s="227">
        <f t="shared" si="91"/>
        <v>-0.83448382124548159</v>
      </c>
      <c r="AJ210" s="267" t="b">
        <f t="shared" si="92"/>
        <v>0</v>
      </c>
      <c r="AK210" s="267" t="b">
        <f t="shared" si="93"/>
        <v>0</v>
      </c>
      <c r="AL210" s="267"/>
      <c r="AM210" s="267"/>
      <c r="AN210" s="75"/>
    </row>
    <row r="211" spans="1:40" s="6" customFormat="1" ht="11.25" x14ac:dyDescent="0.2">
      <c r="A211" s="56">
        <f t="shared" si="94"/>
        <v>44027</v>
      </c>
      <c r="B211" s="620">
        <v>22.428000000000001</v>
      </c>
      <c r="C211" s="392"/>
      <c r="D211" s="395">
        <f t="shared" si="74"/>
        <v>22.803777331866854</v>
      </c>
      <c r="E211" s="387">
        <f t="shared" si="72"/>
        <v>25.886023881871253</v>
      </c>
      <c r="F211" s="387">
        <f t="shared" si="75"/>
        <v>25.886811003128429</v>
      </c>
      <c r="G211" s="110">
        <f t="shared" si="73"/>
        <v>0.41871782808218566</v>
      </c>
      <c r="H211" s="416" t="b">
        <f>Wh_hp&gt;='2019'!Maxi_hp</f>
        <v>0</v>
      </c>
      <c r="I211" s="382">
        <f>IF(H211,Wh_hp,'2019'!Maxi_hp)</f>
        <v>61.80609820864801</v>
      </c>
      <c r="J211" s="85">
        <f>IF(H211,An,'2019'!An_max)</f>
        <v>2019</v>
      </c>
      <c r="K211" s="199">
        <f t="shared" si="76"/>
        <v>44027</v>
      </c>
      <c r="L211" s="147">
        <f>IF(t&lt;Tvie,1-EXP((T0-t)*PertePVj)+'2019'!Pspv,1-EXP((T0-t)*PertePVj)+Pspv)</f>
        <v>1.6478731852101025E-2</v>
      </c>
      <c r="M211" s="872"/>
      <c r="N211" s="872"/>
      <c r="O211" s="48">
        <f>IF(t&lt;Tnet,'2019'!Resal+('2019'!Salim-'2019'!Resal)*(1-EXP(('2019'!Tnet-t)/('2019'!Tau_j))),Resal+(Salim-Resal)*(1-EXP((Tnet-t)/(Tau_j))))*Salcycl</f>
        <v>0.11906991062319866</v>
      </c>
      <c r="P211" s="171">
        <f>(INDEX(Models!$BJ211:$BT211,,T211)*(1-R211)+INDEX(Models!$BJ211:$BT211,,T211+1)*R211-ERP_i)*Q211*Ramure*Pc/MaxiM</f>
        <v>1.7919145744038233E-4</v>
      </c>
      <c r="Q211" s="307">
        <f t="shared" si="77"/>
        <v>0.9</v>
      </c>
      <c r="R211" s="179">
        <f t="shared" si="78"/>
        <v>0.1699266538603964</v>
      </c>
      <c r="S211" s="839">
        <f t="shared" si="79"/>
        <v>-1</v>
      </c>
      <c r="T211" s="178">
        <f t="shared" si="80"/>
        <v>5</v>
      </c>
      <c r="U211" s="253">
        <f t="shared" si="81"/>
        <v>-0.8300733461396036</v>
      </c>
      <c r="V211" s="385">
        <f t="shared" si="82"/>
        <v>53.555548487068343</v>
      </c>
      <c r="W211" s="404"/>
      <c r="X211" s="157">
        <f t="shared" si="83"/>
        <v>44027</v>
      </c>
      <c r="Y211" s="387">
        <f t="shared" si="84"/>
        <v>22.428000000000001</v>
      </c>
      <c r="Z211" s="387">
        <f t="shared" si="85"/>
        <v>22.803777331866854</v>
      </c>
      <c r="AA211" s="388">
        <f t="shared" si="86"/>
        <v>25.886023881871253</v>
      </c>
      <c r="AB211" s="199">
        <f t="shared" si="87"/>
        <v>44027</v>
      </c>
      <c r="AC211" s="119">
        <f>IF(OR(t&lt;Tnet,NoTnet),'2019'!Resal_s+('2019'!Salim-'2019'!Resal_s)*(1-EXP(('2019'!Tnet_s-t)/'2019'!Tau_j)),Resal_s+(Salim-Resal_s)*(1-EXP((Tnet_s-t)/Tau_j)))*Salcycl</f>
        <v>0.11906991062319866</v>
      </c>
      <c r="AD211" s="233">
        <f>(INDEX(Models!$BJ211:$BT211,,AH211)*(1-AF211)+INDEX(Models!$BJ211:$BT211,,AH211+1)*AF211-ERP_i)*AE211*Ramure*Pc/MaxiM</f>
        <v>1.7919145744038233E-4</v>
      </c>
      <c r="AE211" s="307">
        <f t="shared" si="88"/>
        <v>0.9</v>
      </c>
      <c r="AF211" s="179">
        <f t="shared" si="89"/>
        <v>0.1699266538603964</v>
      </c>
      <c r="AG211" s="839">
        <f t="shared" si="95"/>
        <v>-1</v>
      </c>
      <c r="AH211" s="178">
        <f t="shared" si="90"/>
        <v>5</v>
      </c>
      <c r="AI211" s="227">
        <f t="shared" si="91"/>
        <v>-0.8300733461396036</v>
      </c>
      <c r="AJ211" s="267" t="b">
        <f t="shared" si="92"/>
        <v>0</v>
      </c>
      <c r="AK211" s="267" t="b">
        <f t="shared" si="93"/>
        <v>0</v>
      </c>
      <c r="AL211" s="267"/>
      <c r="AM211" s="267"/>
      <c r="AN211" s="75"/>
    </row>
    <row r="212" spans="1:40" s="6" customFormat="1" ht="11.25" x14ac:dyDescent="0.2">
      <c r="A212" s="56">
        <f t="shared" si="94"/>
        <v>44028</v>
      </c>
      <c r="B212" s="620">
        <v>22.645</v>
      </c>
      <c r="C212" s="392"/>
      <c r="D212" s="395">
        <f t="shared" si="74"/>
        <v>23.02494895422107</v>
      </c>
      <c r="E212" s="387">
        <f t="shared" si="72"/>
        <v>26.139892130327564</v>
      </c>
      <c r="F212" s="387">
        <f t="shared" si="75"/>
        <v>26.140792408302065</v>
      </c>
      <c r="G212" s="110">
        <f t="shared" si="73"/>
        <v>0.4237513832268055</v>
      </c>
      <c r="H212" s="416" t="b">
        <f>Wh_hp&gt;='2019'!Maxi_hp</f>
        <v>0</v>
      </c>
      <c r="I212" s="382">
        <f>IF(H212,Wh_hp,'2019'!Maxi_hp)</f>
        <v>54.213528714227458</v>
      </c>
      <c r="J212" s="85">
        <f>IF(H212,An,'2019'!An_max)</f>
        <v>2019</v>
      </c>
      <c r="K212" s="199">
        <f t="shared" si="76"/>
        <v>44028</v>
      </c>
      <c r="L212" s="147">
        <f>IF(t&lt;Tvie,1-EXP((T0-t)*PertePVj)+'2019'!Pspv,1-EXP((T0-t)*PertePVj)+Pspv)</f>
        <v>1.6501619828842906E-2</v>
      </c>
      <c r="M212" s="872"/>
      <c r="N212" s="872"/>
      <c r="O212" s="48">
        <f>IF(t&lt;Tnet,'2019'!Resal+('2019'!Salim-'2019'!Resal)*(1-EXP(('2019'!Tnet-t)/('2019'!Tau_j))),Resal+(Salim-Resal)*(1-EXP((Tnet-t)/(Tau_j))))*Salcycl</f>
        <v>0.11916434699026661</v>
      </c>
      <c r="P212" s="171">
        <f>(INDEX(Models!$BJ212:$BT212,,T212)*(1-R212)+INDEX(Models!$BJ212:$BT212,,T212+1)*R212-ERP_i)*Q212*Ramure*Pc/MaxiM</f>
        <v>1.9470071517668297E-4</v>
      </c>
      <c r="Q212" s="307">
        <f t="shared" si="77"/>
        <v>0.9</v>
      </c>
      <c r="R212" s="179">
        <f t="shared" si="78"/>
        <v>0.17422459515360333</v>
      </c>
      <c r="S212" s="839">
        <f t="shared" si="79"/>
        <v>-1</v>
      </c>
      <c r="T212" s="178">
        <f t="shared" si="80"/>
        <v>5</v>
      </c>
      <c r="U212" s="253">
        <f t="shared" si="81"/>
        <v>-0.82577540484639667</v>
      </c>
      <c r="V212" s="385">
        <f t="shared" si="82"/>
        <v>53.430789037780514</v>
      </c>
      <c r="W212" s="404"/>
      <c r="X212" s="157">
        <f t="shared" si="83"/>
        <v>44028</v>
      </c>
      <c r="Y212" s="387">
        <f t="shared" si="84"/>
        <v>22.645</v>
      </c>
      <c r="Z212" s="387">
        <f t="shared" si="85"/>
        <v>23.02494895422107</v>
      </c>
      <c r="AA212" s="388">
        <f t="shared" si="86"/>
        <v>26.139892130327564</v>
      </c>
      <c r="AB212" s="199">
        <f t="shared" si="87"/>
        <v>44028</v>
      </c>
      <c r="AC212" s="119">
        <f>IF(OR(t&lt;Tnet,NoTnet),'2019'!Resal_s+('2019'!Salim-'2019'!Resal_s)*(1-EXP(('2019'!Tnet_s-t)/'2019'!Tau_j)),Resal_s+(Salim-Resal_s)*(1-EXP((Tnet_s-t)/Tau_j)))*Salcycl</f>
        <v>0.11916434699026661</v>
      </c>
      <c r="AD212" s="233">
        <f>(INDEX(Models!$BJ212:$BT212,,AH212)*(1-AF212)+INDEX(Models!$BJ212:$BT212,,AH212+1)*AF212-ERP_i)*AE212*Ramure*Pc/MaxiM</f>
        <v>1.9470071517668297E-4</v>
      </c>
      <c r="AE212" s="307">
        <f t="shared" si="88"/>
        <v>0.9</v>
      </c>
      <c r="AF212" s="179">
        <f t="shared" si="89"/>
        <v>0.17422459515360333</v>
      </c>
      <c r="AG212" s="839">
        <f t="shared" si="95"/>
        <v>-1</v>
      </c>
      <c r="AH212" s="178">
        <f t="shared" si="90"/>
        <v>5</v>
      </c>
      <c r="AI212" s="227">
        <f t="shared" si="91"/>
        <v>-0.82577540484639667</v>
      </c>
      <c r="AJ212" s="267" t="b">
        <f t="shared" si="92"/>
        <v>0</v>
      </c>
      <c r="AK212" s="267" t="b">
        <f t="shared" si="93"/>
        <v>0</v>
      </c>
      <c r="AL212" s="267"/>
      <c r="AM212" s="267"/>
      <c r="AN212" s="75"/>
    </row>
    <row r="213" spans="1:40" s="6" customFormat="1" ht="11.25" customHeight="1" x14ac:dyDescent="0.2">
      <c r="A213" s="56">
        <f t="shared" si="94"/>
        <v>44029</v>
      </c>
      <c r="B213" s="620">
        <v>23.763999999999999</v>
      </c>
      <c r="C213" s="392"/>
      <c r="D213" s="395">
        <f t="shared" si="74"/>
        <v>24.163286401886296</v>
      </c>
      <c r="E213" s="387">
        <f t="shared" si="72"/>
        <v>27.435125130103614</v>
      </c>
      <c r="F213" s="387">
        <f t="shared" si="75"/>
        <v>27.436332198778256</v>
      </c>
      <c r="G213" s="110">
        <f t="shared" si="73"/>
        <v>0.44574915871183607</v>
      </c>
      <c r="H213" s="416" t="b">
        <f>Wh_hp&gt;='2019'!Maxi_hp</f>
        <v>0</v>
      </c>
      <c r="I213" s="382">
        <f>IF(H213,Wh_hp,'2019'!Maxi_hp)</f>
        <v>44.127946609612778</v>
      </c>
      <c r="J213" s="85">
        <f>IF(H213,An,'2019'!An_max)</f>
        <v>2019</v>
      </c>
      <c r="K213" s="199">
        <f t="shared" si="76"/>
        <v>44029</v>
      </c>
      <c r="L213" s="147">
        <f>IF(t&lt;Tvie,1-EXP((T0-t)*PertePVj)+'2019'!Pspv,1-EXP((T0-t)*PertePVj)+Pspv)</f>
        <v>1.6524507272948075E-2</v>
      </c>
      <c r="M213" s="872"/>
      <c r="N213" s="872"/>
      <c r="O213" s="48">
        <f>IF(t&lt;Tnet,'2019'!Resal+('2019'!Salim-'2019'!Resal)*(1-EXP(('2019'!Tnet-t)/('2019'!Tau_j))),Resal+(Salim-Resal)*(1-EXP((Tnet-t)/(Tau_j))))*Salcycl</f>
        <v>0.11925729198250472</v>
      </c>
      <c r="P213" s="171">
        <f>(INDEX(Models!$BJ213:$BT213,,T213)*(1-R213)+INDEX(Models!$BJ213:$BT213,,T213+1)*R213-ERP_i)*Q213*Ramure*Pc/MaxiM</f>
        <v>2.111912144880433E-4</v>
      </c>
      <c r="Q213" s="307">
        <f t="shared" si="77"/>
        <v>0.9</v>
      </c>
      <c r="R213" s="179">
        <f t="shared" si="78"/>
        <v>0.17841076443640991</v>
      </c>
      <c r="S213" s="839">
        <f t="shared" si="79"/>
        <v>-1</v>
      </c>
      <c r="T213" s="178">
        <f t="shared" si="80"/>
        <v>5</v>
      </c>
      <c r="U213" s="253">
        <f t="shared" si="81"/>
        <v>-0.82158923556359009</v>
      </c>
      <c r="V213" s="385">
        <f t="shared" si="82"/>
        <v>53.303581434189503</v>
      </c>
      <c r="W213" s="404"/>
      <c r="X213" s="157">
        <f t="shared" si="83"/>
        <v>44029</v>
      </c>
      <c r="Y213" s="387">
        <f t="shared" si="84"/>
        <v>23.763999999999999</v>
      </c>
      <c r="Z213" s="387">
        <f t="shared" si="85"/>
        <v>24.163286401886296</v>
      </c>
      <c r="AA213" s="388">
        <f t="shared" si="86"/>
        <v>27.435125130103614</v>
      </c>
      <c r="AB213" s="199">
        <f t="shared" si="87"/>
        <v>44029</v>
      </c>
      <c r="AC213" s="119">
        <f>IF(OR(t&lt;Tnet,NoTnet),'2019'!Resal_s+('2019'!Salim-'2019'!Resal_s)*(1-EXP(('2019'!Tnet_s-t)/'2019'!Tau_j)),Resal_s+(Salim-Resal_s)*(1-EXP((Tnet_s-t)/Tau_j)))*Salcycl</f>
        <v>0.11925729198250472</v>
      </c>
      <c r="AD213" s="233">
        <f>(INDEX(Models!$BJ213:$BT213,,AH213)*(1-AF213)+INDEX(Models!$BJ213:$BT213,,AH213+1)*AF213-ERP_i)*AE213*Ramure*Pc/MaxiM</f>
        <v>2.111912144880433E-4</v>
      </c>
      <c r="AE213" s="307">
        <f t="shared" si="88"/>
        <v>0.9</v>
      </c>
      <c r="AF213" s="179">
        <f t="shared" si="89"/>
        <v>0.17841076443640991</v>
      </c>
      <c r="AG213" s="839">
        <f t="shared" si="95"/>
        <v>-1</v>
      </c>
      <c r="AH213" s="178">
        <f t="shared" si="90"/>
        <v>5</v>
      </c>
      <c r="AI213" s="227">
        <f t="shared" si="91"/>
        <v>-0.82158923556359009</v>
      </c>
      <c r="AJ213" s="267" t="b">
        <f t="shared" si="92"/>
        <v>0</v>
      </c>
      <c r="AK213" s="267" t="b">
        <f t="shared" si="93"/>
        <v>0</v>
      </c>
      <c r="AL213" s="267"/>
      <c r="AM213" s="267"/>
      <c r="AN213" s="75"/>
    </row>
    <row r="214" spans="1:40" s="6" customFormat="1" ht="11.25" customHeight="1" x14ac:dyDescent="0.2">
      <c r="A214" s="56">
        <f t="shared" si="94"/>
        <v>44030</v>
      </c>
      <c r="B214" s="620">
        <v>52.531999999999996</v>
      </c>
      <c r="C214" s="392"/>
      <c r="D214" s="395">
        <f t="shared" si="74"/>
        <v>53.415893851270596</v>
      </c>
      <c r="E214" s="387">
        <f t="shared" si="72"/>
        <v>60.654996149437459</v>
      </c>
      <c r="F214" s="387">
        <f t="shared" si="75"/>
        <v>60.668630393036239</v>
      </c>
      <c r="G214" s="110">
        <f t="shared" si="73"/>
        <v>0.98792039481800209</v>
      </c>
      <c r="H214" s="416" t="b">
        <f>Wh_hp&gt;='2019'!Maxi_hp</f>
        <v>1</v>
      </c>
      <c r="I214" s="382">
        <f>IF(H214,Wh_hp,'2019'!Maxi_hp)</f>
        <v>60.668630393036239</v>
      </c>
      <c r="J214" s="85">
        <f>IF(H214,An,'2019'!An_max)</f>
        <v>2020</v>
      </c>
      <c r="K214" s="199">
        <f t="shared" si="76"/>
        <v>44030</v>
      </c>
      <c r="L214" s="147">
        <f>IF(t&lt;Tvie,1-EXP((T0-t)*PertePVj)+'2019'!Pspv,1-EXP((T0-t)*PertePVj)+Pspv)</f>
        <v>1.6547394184429076E-2</v>
      </c>
      <c r="M214" s="872"/>
      <c r="N214" s="872"/>
      <c r="O214" s="48">
        <f>IF(t&lt;Tnet,'2019'!Resal+('2019'!Salim-'2019'!Resal)*(1-EXP(('2019'!Tnet-t)/('2019'!Tau_j))),Resal+(Salim-Resal)*(1-EXP((Tnet-t)/(Tau_j))))*Salcycl</f>
        <v>0.11934882132927149</v>
      </c>
      <c r="P214" s="171">
        <f>(INDEX(Models!$BJ214:$BT214,,T214)*(1-R214)+INDEX(Models!$BJ214:$BT214,,T214+1)*R214-ERP_i)*Q214*Ramure*Pc/MaxiM</f>
        <v>2.2867792995445808E-4</v>
      </c>
      <c r="Q214" s="307">
        <f t="shared" si="77"/>
        <v>0.9</v>
      </c>
      <c r="R214" s="179">
        <f t="shared" si="78"/>
        <v>0.18248606820819913</v>
      </c>
      <c r="S214" s="839">
        <f t="shared" si="79"/>
        <v>-1</v>
      </c>
      <c r="T214" s="178">
        <f t="shared" si="80"/>
        <v>5</v>
      </c>
      <c r="U214" s="253">
        <f t="shared" si="81"/>
        <v>-0.81751393179180087</v>
      </c>
      <c r="V214" s="385">
        <f t="shared" si="82"/>
        <v>53.174115034117428</v>
      </c>
      <c r="W214" s="404"/>
      <c r="X214" s="157">
        <f t="shared" si="83"/>
        <v>44030</v>
      </c>
      <c r="Y214" s="387">
        <f t="shared" si="84"/>
        <v>52.531999999999996</v>
      </c>
      <c r="Z214" s="387">
        <f t="shared" si="85"/>
        <v>53.415893851270596</v>
      </c>
      <c r="AA214" s="388">
        <f t="shared" si="86"/>
        <v>60.654996149437459</v>
      </c>
      <c r="AB214" s="199">
        <f t="shared" si="87"/>
        <v>44030</v>
      </c>
      <c r="AC214" s="119">
        <f>IF(OR(t&lt;Tnet,NoTnet),'2019'!Resal_s+('2019'!Salim-'2019'!Resal_s)*(1-EXP(('2019'!Tnet_s-t)/'2019'!Tau_j)),Resal_s+(Salim-Resal_s)*(1-EXP((Tnet_s-t)/Tau_j)))*Salcycl</f>
        <v>0.11934882132927149</v>
      </c>
      <c r="AD214" s="233">
        <f>(INDEX(Models!$BJ214:$BT214,,AH214)*(1-AF214)+INDEX(Models!$BJ214:$BT214,,AH214+1)*AF214-ERP_i)*AE214*Ramure*Pc/MaxiM</f>
        <v>2.2867792995445808E-4</v>
      </c>
      <c r="AE214" s="307">
        <f t="shared" si="88"/>
        <v>0.9</v>
      </c>
      <c r="AF214" s="179">
        <f t="shared" si="89"/>
        <v>0.18248606820819913</v>
      </c>
      <c r="AG214" s="839">
        <f t="shared" si="95"/>
        <v>-1</v>
      </c>
      <c r="AH214" s="178">
        <f t="shared" si="90"/>
        <v>5</v>
      </c>
      <c r="AI214" s="227">
        <f t="shared" si="91"/>
        <v>-0.81751393179180087</v>
      </c>
      <c r="AJ214" s="267" t="b">
        <f t="shared" si="92"/>
        <v>0</v>
      </c>
      <c r="AK214" s="267" t="b">
        <f t="shared" si="93"/>
        <v>0</v>
      </c>
      <c r="AL214" s="267"/>
      <c r="AM214" s="267"/>
      <c r="AN214" s="75"/>
    </row>
    <row r="215" spans="1:40" s="6" customFormat="1" ht="11.25" customHeight="1" x14ac:dyDescent="0.2">
      <c r="A215" s="56">
        <f t="shared" si="94"/>
        <v>44031</v>
      </c>
      <c r="B215" s="620">
        <v>51.276000000000003</v>
      </c>
      <c r="C215" s="392"/>
      <c r="D215" s="395">
        <f t="shared" si="74"/>
        <v>52.139973997705049</v>
      </c>
      <c r="E215" s="387">
        <f t="shared" si="72"/>
        <v>59.212223238232127</v>
      </c>
      <c r="F215" s="387">
        <f t="shared" si="75"/>
        <v>59.226165984778646</v>
      </c>
      <c r="G215" s="110">
        <f t="shared" si="73"/>
        <v>0.96668370106603063</v>
      </c>
      <c r="H215" s="416" t="b">
        <f>Wh_hp&gt;='2019'!Maxi_hp</f>
        <v>1</v>
      </c>
      <c r="I215" s="382">
        <f>IF(H215,Wh_hp,'2019'!Maxi_hp)</f>
        <v>59.226165984778646</v>
      </c>
      <c r="J215" s="85">
        <f>IF(H215,An,'2019'!An_max)</f>
        <v>2020</v>
      </c>
      <c r="K215" s="199">
        <f t="shared" si="76"/>
        <v>44031</v>
      </c>
      <c r="L215" s="147">
        <f>IF(t&lt;Tvie,1-EXP((T0-t)*PertePVj)+'2019'!Pspv,1-EXP((T0-t)*PertePVj)+Pspv)</f>
        <v>1.6570280563298234E-2</v>
      </c>
      <c r="M215" s="872"/>
      <c r="N215" s="872"/>
      <c r="O215" s="48">
        <f>IF(t&lt;Tnet,'2019'!Resal+('2019'!Salim-'2019'!Resal)*(1-EXP(('2019'!Tnet-t)/('2019'!Tau_j))),Resal+(Salim-Resal)*(1-EXP((Tnet-t)/(Tau_j))))*Salcycl</f>
        <v>0.11943900859916827</v>
      </c>
      <c r="P215" s="171">
        <f>(INDEX(Models!$BJ215:$BT215,,T215)*(1-R215)+INDEX(Models!$BJ215:$BT215,,T215+1)*R215-ERP_i)*Q215*Ramure*Pc/MaxiM</f>
        <v>2.4717554942442553E-4</v>
      </c>
      <c r="Q215" s="307">
        <f t="shared" si="77"/>
        <v>0.9</v>
      </c>
      <c r="R215" s="179">
        <f t="shared" si="78"/>
        <v>0.18645154781780826</v>
      </c>
      <c r="S215" s="839">
        <f t="shared" si="79"/>
        <v>-1</v>
      </c>
      <c r="T215" s="178">
        <f t="shared" si="80"/>
        <v>5</v>
      </c>
      <c r="U215" s="253">
        <f t="shared" si="81"/>
        <v>-0.81354845218219174</v>
      </c>
      <c r="V215" s="385">
        <f t="shared" si="82"/>
        <v>53.042579267347961</v>
      </c>
      <c r="W215" s="404"/>
      <c r="X215" s="157">
        <f t="shared" si="83"/>
        <v>44031</v>
      </c>
      <c r="Y215" s="387">
        <f t="shared" si="84"/>
        <v>51.276000000000003</v>
      </c>
      <c r="Z215" s="387">
        <f t="shared" si="85"/>
        <v>52.139973997705049</v>
      </c>
      <c r="AA215" s="388">
        <f t="shared" si="86"/>
        <v>59.212223238232127</v>
      </c>
      <c r="AB215" s="199">
        <f t="shared" si="87"/>
        <v>44031</v>
      </c>
      <c r="AC215" s="119">
        <f>IF(OR(t&lt;Tnet,NoTnet),'2019'!Resal_s+('2019'!Salim-'2019'!Resal_s)*(1-EXP(('2019'!Tnet_s-t)/'2019'!Tau_j)),Resal_s+(Salim-Resal_s)*(1-EXP((Tnet_s-t)/Tau_j)))*Salcycl</f>
        <v>0.11943900859916827</v>
      </c>
      <c r="AD215" s="233">
        <f>(INDEX(Models!$BJ215:$BT215,,AH215)*(1-AF215)+INDEX(Models!$BJ215:$BT215,,AH215+1)*AF215-ERP_i)*AE215*Ramure*Pc/MaxiM</f>
        <v>2.4717554942442553E-4</v>
      </c>
      <c r="AE215" s="307">
        <f t="shared" si="88"/>
        <v>0.9</v>
      </c>
      <c r="AF215" s="179">
        <f t="shared" si="89"/>
        <v>0.18645154781780826</v>
      </c>
      <c r="AG215" s="839">
        <f t="shared" si="95"/>
        <v>-1</v>
      </c>
      <c r="AH215" s="178">
        <f t="shared" si="90"/>
        <v>5</v>
      </c>
      <c r="AI215" s="227">
        <f t="shared" si="91"/>
        <v>-0.81354845218219174</v>
      </c>
      <c r="AJ215" s="267" t="b">
        <f t="shared" si="92"/>
        <v>0</v>
      </c>
      <c r="AK215" s="267" t="b">
        <f t="shared" si="93"/>
        <v>0</v>
      </c>
      <c r="AL215" s="267"/>
      <c r="AM215" s="267"/>
      <c r="AN215" s="75"/>
    </row>
    <row r="216" spans="1:40" s="6" customFormat="1" ht="11.25" customHeight="1" x14ac:dyDescent="0.2">
      <c r="A216" s="56">
        <f t="shared" si="94"/>
        <v>44032</v>
      </c>
      <c r="B216" s="620">
        <v>41.167000000000002</v>
      </c>
      <c r="C216" s="392"/>
      <c r="D216" s="395">
        <f t="shared" si="74"/>
        <v>41.861616773292809</v>
      </c>
      <c r="E216" s="387">
        <f t="shared" si="72"/>
        <v>47.544513853276307</v>
      </c>
      <c r="F216" s="387">
        <f t="shared" si="75"/>
        <v>47.553175349605894</v>
      </c>
      <c r="G216" s="110">
        <f t="shared" si="73"/>
        <v>0.77800357516525431</v>
      </c>
      <c r="H216" s="416" t="b">
        <f>Wh_hp&gt;='2019'!Maxi_hp</f>
        <v>1</v>
      </c>
      <c r="I216" s="382">
        <f>IF(H216,Wh_hp,'2019'!Maxi_hp)</f>
        <v>47.553175349605894</v>
      </c>
      <c r="J216" s="85">
        <f>IF(H216,An,'2019'!An_max)</f>
        <v>2020</v>
      </c>
      <c r="K216" s="199">
        <f t="shared" si="76"/>
        <v>44032</v>
      </c>
      <c r="L216" s="147">
        <f>IF(t&lt;Tvie,1-EXP((T0-t)*PertePVj)+'2019'!Pspv,1-EXP((T0-t)*PertePVj)+Pspv)</f>
        <v>1.6593166409567872E-2</v>
      </c>
      <c r="M216" s="872"/>
      <c r="N216" s="872"/>
      <c r="O216" s="48">
        <f>IF(t&lt;Tnet,'2019'!Resal+('2019'!Salim-'2019'!Resal)*(1-EXP(('2019'!Tnet-t)/('2019'!Tau_j))),Resal+(Salim-Resal)*(1-EXP((Tnet-t)/(Tau_j))))*Salcycl</f>
        <v>0.11952792487312154</v>
      </c>
      <c r="P216" s="171">
        <f>(INDEX(Models!$BJ216:$BT216,,T216)*(1-R216)+INDEX(Models!$BJ216:$BT216,,T216+1)*R216-ERP_i)*Q216*Ramure*Pc/MaxiM</f>
        <v>2.6669846621927217E-4</v>
      </c>
      <c r="Q216" s="307">
        <f t="shared" si="77"/>
        <v>0.9</v>
      </c>
      <c r="R216" s="179">
        <f t="shared" si="78"/>
        <v>0.19030836967909226</v>
      </c>
      <c r="S216" s="839">
        <f t="shared" si="79"/>
        <v>-1</v>
      </c>
      <c r="T216" s="178">
        <f t="shared" si="80"/>
        <v>5</v>
      </c>
      <c r="U216" s="253">
        <f t="shared" si="81"/>
        <v>-0.80969163032090774</v>
      </c>
      <c r="V216" s="385">
        <f t="shared" si="82"/>
        <v>52.909163660458461</v>
      </c>
      <c r="W216" s="404"/>
      <c r="X216" s="157">
        <f t="shared" si="83"/>
        <v>44032</v>
      </c>
      <c r="Y216" s="387">
        <f t="shared" si="84"/>
        <v>41.167000000000002</v>
      </c>
      <c r="Z216" s="387">
        <f t="shared" si="85"/>
        <v>41.861616773292809</v>
      </c>
      <c r="AA216" s="388">
        <f t="shared" si="86"/>
        <v>47.544513853276307</v>
      </c>
      <c r="AB216" s="199">
        <f t="shared" si="87"/>
        <v>44032</v>
      </c>
      <c r="AC216" s="119">
        <f>IF(OR(t&lt;Tnet,NoTnet),'2019'!Resal_s+('2019'!Salim-'2019'!Resal_s)*(1-EXP(('2019'!Tnet_s-t)/'2019'!Tau_j)),Resal_s+(Salim-Resal_s)*(1-EXP((Tnet_s-t)/Tau_j)))*Salcycl</f>
        <v>0.11952792487312154</v>
      </c>
      <c r="AD216" s="233">
        <f>(INDEX(Models!$BJ216:$BT216,,AH216)*(1-AF216)+INDEX(Models!$BJ216:$BT216,,AH216+1)*AF216-ERP_i)*AE216*Ramure*Pc/MaxiM</f>
        <v>2.6669846621927217E-4</v>
      </c>
      <c r="AE216" s="307">
        <f t="shared" si="88"/>
        <v>0.9</v>
      </c>
      <c r="AF216" s="179">
        <f t="shared" si="89"/>
        <v>0.19030836967909226</v>
      </c>
      <c r="AG216" s="839">
        <f t="shared" si="95"/>
        <v>-1</v>
      </c>
      <c r="AH216" s="178">
        <f t="shared" si="90"/>
        <v>5</v>
      </c>
      <c r="AI216" s="227">
        <f t="shared" si="91"/>
        <v>-0.80969163032090774</v>
      </c>
      <c r="AJ216" s="267" t="b">
        <f t="shared" si="92"/>
        <v>0</v>
      </c>
      <c r="AK216" s="267" t="b">
        <f t="shared" si="93"/>
        <v>0</v>
      </c>
      <c r="AL216" s="267"/>
      <c r="AM216" s="267"/>
      <c r="AN216" s="75"/>
    </row>
    <row r="217" spans="1:40" s="6" customFormat="1" ht="11.25" customHeight="1" x14ac:dyDescent="0.2">
      <c r="A217" s="56">
        <f t="shared" si="94"/>
        <v>44033</v>
      </c>
      <c r="B217" s="620">
        <v>47.185000000000002</v>
      </c>
      <c r="C217" s="392"/>
      <c r="D217" s="395">
        <f t="shared" si="74"/>
        <v>47.982275979474224</v>
      </c>
      <c r="E217" s="387">
        <f t="shared" si="72"/>
        <v>54.501508744264967</v>
      </c>
      <c r="F217" s="387">
        <f t="shared" si="75"/>
        <v>54.514799457972984</v>
      </c>
      <c r="G217" s="110">
        <f t="shared" si="73"/>
        <v>0.8940557298195978</v>
      </c>
      <c r="H217" s="416" t="b">
        <f>Wh_hp&gt;='2019'!Maxi_hp</f>
        <v>1</v>
      </c>
      <c r="I217" s="382">
        <f>IF(H217,Wh_hp,'2019'!Maxi_hp)</f>
        <v>54.514799457972984</v>
      </c>
      <c r="J217" s="85">
        <f>IF(H217,An,'2019'!An_max)</f>
        <v>2020</v>
      </c>
      <c r="K217" s="199">
        <f t="shared" si="76"/>
        <v>44033</v>
      </c>
      <c r="L217" s="147">
        <f>IF(t&lt;Tvie,1-EXP((T0-t)*PertePVj)+'2019'!Pspv,1-EXP((T0-t)*PertePVj)+Pspv)</f>
        <v>1.6616051723250425E-2</v>
      </c>
      <c r="M217" s="872"/>
      <c r="N217" s="872"/>
      <c r="O217" s="48">
        <f>IF(t&lt;Tnet,'2019'!Resal+('2019'!Salim-'2019'!Resal)*(1-EXP(('2019'!Tnet-t)/('2019'!Tau_j))),Resal+(Salim-Resal)*(1-EXP((Tnet-t)/(Tau_j))))*Salcycl</f>
        <v>0.11961563844738048</v>
      </c>
      <c r="P217" s="171">
        <f>(INDEX(Models!$BJ217:$BT217,,T217)*(1-R217)+INDEX(Models!$BJ217:$BT217,,T217+1)*R217-ERP_i)*Q217*Ramure*Pc/MaxiM</f>
        <v>2.8726077076091723E-4</v>
      </c>
      <c r="Q217" s="307">
        <f t="shared" si="77"/>
        <v>0.9</v>
      </c>
      <c r="R217" s="179">
        <f t="shared" si="78"/>
        <v>0.19405781559928303</v>
      </c>
      <c r="S217" s="839">
        <f t="shared" si="79"/>
        <v>-1</v>
      </c>
      <c r="T217" s="178">
        <f t="shared" si="80"/>
        <v>5</v>
      </c>
      <c r="U217" s="253">
        <f t="shared" si="81"/>
        <v>-0.80594218440071697</v>
      </c>
      <c r="V217" s="385">
        <f t="shared" si="82"/>
        <v>52.774057851873117</v>
      </c>
      <c r="W217" s="404"/>
      <c r="X217" s="157">
        <f t="shared" si="83"/>
        <v>44033</v>
      </c>
      <c r="Y217" s="387">
        <f t="shared" si="84"/>
        <v>47.185000000000002</v>
      </c>
      <c r="Z217" s="387">
        <f t="shared" si="85"/>
        <v>47.982275979474224</v>
      </c>
      <c r="AA217" s="388">
        <f t="shared" si="86"/>
        <v>54.501508744264967</v>
      </c>
      <c r="AB217" s="199">
        <f t="shared" si="87"/>
        <v>44033</v>
      </c>
      <c r="AC217" s="119">
        <f>IF(OR(t&lt;Tnet,NoTnet),'2019'!Resal_s+('2019'!Salim-'2019'!Resal_s)*(1-EXP(('2019'!Tnet_s-t)/'2019'!Tau_j)),Resal_s+(Salim-Resal_s)*(1-EXP((Tnet_s-t)/Tau_j)))*Salcycl</f>
        <v>0.11961563844738048</v>
      </c>
      <c r="AD217" s="233">
        <f>(INDEX(Models!$BJ217:$BT217,,AH217)*(1-AF217)+INDEX(Models!$BJ217:$BT217,,AH217+1)*AF217-ERP_i)*AE217*Ramure*Pc/MaxiM</f>
        <v>2.8726077076091723E-4</v>
      </c>
      <c r="AE217" s="307">
        <f t="shared" si="88"/>
        <v>0.9</v>
      </c>
      <c r="AF217" s="179">
        <f t="shared" si="89"/>
        <v>0.19405781559928303</v>
      </c>
      <c r="AG217" s="839">
        <f t="shared" si="95"/>
        <v>-1</v>
      </c>
      <c r="AH217" s="178">
        <f t="shared" si="90"/>
        <v>5</v>
      </c>
      <c r="AI217" s="227">
        <f t="shared" si="91"/>
        <v>-0.80594218440071697</v>
      </c>
      <c r="AJ217" s="267" t="b">
        <f t="shared" si="92"/>
        <v>0</v>
      </c>
      <c r="AK217" s="267" t="b">
        <f t="shared" si="93"/>
        <v>0</v>
      </c>
      <c r="AL217" s="267"/>
      <c r="AM217" s="267"/>
      <c r="AN217" s="75"/>
    </row>
    <row r="218" spans="1:40" s="6" customFormat="1" ht="11.25" x14ac:dyDescent="0.2">
      <c r="A218" s="56">
        <f t="shared" si="94"/>
        <v>44034</v>
      </c>
      <c r="B218" s="620">
        <v>42.890999999999998</v>
      </c>
      <c r="C218" s="392"/>
      <c r="D218" s="395">
        <f t="shared" si="74"/>
        <v>43.616736102537473</v>
      </c>
      <c r="E218" s="387">
        <f t="shared" si="72"/>
        <v>49.54770626978317</v>
      </c>
      <c r="F218" s="387">
        <f t="shared" si="75"/>
        <v>49.558964739172112</v>
      </c>
      <c r="G218" s="110">
        <f t="shared" si="73"/>
        <v>0.81477148995980364</v>
      </c>
      <c r="H218" s="416" t="b">
        <f>Wh_hp&gt;='2019'!Maxi_hp</f>
        <v>0</v>
      </c>
      <c r="I218" s="382">
        <f>IF(H218,Wh_hp,'2019'!Maxi_hp)</f>
        <v>56.868046767934125</v>
      </c>
      <c r="J218" s="85">
        <f>IF(H218,An,'2019'!An_max)</f>
        <v>2019</v>
      </c>
      <c r="K218" s="199">
        <f t="shared" si="76"/>
        <v>44034</v>
      </c>
      <c r="L218" s="147">
        <f>IF(t&lt;Tvie,1-EXP((T0-t)*PertePVj)+'2019'!Pspv,1-EXP((T0-t)*PertePVj)+Pspv)</f>
        <v>1.6638936504358326E-2</v>
      </c>
      <c r="M218" s="872"/>
      <c r="N218" s="872"/>
      <c r="O218" s="48">
        <f>IF(t&lt;Tnet,'2019'!Resal+('2019'!Salim-'2019'!Resal)*(1-EXP(('2019'!Tnet-t)/('2019'!Tau_j))),Resal+(Salim-Resal)*(1-EXP((Tnet-t)/(Tau_j))))*Salcycl</f>
        <v>0.11970221456775516</v>
      </c>
      <c r="P218" s="171">
        <f>(INDEX(Models!$BJ218:$BT218,,T218)*(1-R218)+INDEX(Models!$BJ218:$BT218,,T218+1)*R218-ERP_i)*Q218*Ramure*Pc/MaxiM</f>
        <v>3.0887624139633291E-4</v>
      </c>
      <c r="Q218" s="307">
        <f t="shared" si="77"/>
        <v>0.9</v>
      </c>
      <c r="R218" s="179">
        <f t="shared" si="78"/>
        <v>0.19770127326486797</v>
      </c>
      <c r="S218" s="839">
        <f t="shared" si="79"/>
        <v>-1</v>
      </c>
      <c r="T218" s="178">
        <f t="shared" si="80"/>
        <v>5</v>
      </c>
      <c r="U218" s="253">
        <f t="shared" si="81"/>
        <v>-0.80229872673513203</v>
      </c>
      <c r="V218" s="385">
        <f t="shared" si="82"/>
        <v>52.637451614038682</v>
      </c>
      <c r="W218" s="404"/>
      <c r="X218" s="157">
        <f t="shared" si="83"/>
        <v>44034</v>
      </c>
      <c r="Y218" s="387">
        <f t="shared" si="84"/>
        <v>42.890999999999998</v>
      </c>
      <c r="Z218" s="387">
        <f t="shared" si="85"/>
        <v>43.616736102537473</v>
      </c>
      <c r="AA218" s="388">
        <f t="shared" si="86"/>
        <v>49.54770626978317</v>
      </c>
      <c r="AB218" s="199">
        <f t="shared" si="87"/>
        <v>44034</v>
      </c>
      <c r="AC218" s="119">
        <f>IF(OR(t&lt;Tnet,NoTnet),'2019'!Resal_s+('2019'!Salim-'2019'!Resal_s)*(1-EXP(('2019'!Tnet_s-t)/'2019'!Tau_j)),Resal_s+(Salim-Resal_s)*(1-EXP((Tnet_s-t)/Tau_j)))*Salcycl</f>
        <v>0.11970221456775516</v>
      </c>
      <c r="AD218" s="233">
        <f>(INDEX(Models!$BJ218:$BT218,,AH218)*(1-AF218)+INDEX(Models!$BJ218:$BT218,,AH218+1)*AF218-ERP_i)*AE218*Ramure*Pc/MaxiM</f>
        <v>3.0887624139633291E-4</v>
      </c>
      <c r="AE218" s="307">
        <f t="shared" si="88"/>
        <v>0.9</v>
      </c>
      <c r="AF218" s="179">
        <f t="shared" si="89"/>
        <v>0.19770127326486797</v>
      </c>
      <c r="AG218" s="839">
        <f t="shared" si="95"/>
        <v>-1</v>
      </c>
      <c r="AH218" s="178">
        <f t="shared" si="90"/>
        <v>5</v>
      </c>
      <c r="AI218" s="227">
        <f t="shared" si="91"/>
        <v>-0.80229872673513203</v>
      </c>
      <c r="AJ218" s="267" t="b">
        <f t="shared" si="92"/>
        <v>0</v>
      </c>
      <c r="AK218" s="267" t="b">
        <f t="shared" si="93"/>
        <v>0</v>
      </c>
      <c r="AL218" s="267"/>
      <c r="AM218" s="267"/>
      <c r="AN218" s="75"/>
    </row>
    <row r="219" spans="1:40" s="6" customFormat="1" ht="11.25" customHeight="1" x14ac:dyDescent="0.2">
      <c r="A219" s="56">
        <f t="shared" si="94"/>
        <v>44035</v>
      </c>
      <c r="B219" s="620">
        <v>43.054000000000002</v>
      </c>
      <c r="C219" s="392"/>
      <c r="D219" s="395">
        <f t="shared" si="74"/>
        <v>43.783513046310048</v>
      </c>
      <c r="E219" s="387">
        <f t="shared" si="72"/>
        <v>49.741992701300084</v>
      </c>
      <c r="F219" s="387">
        <f t="shared" si="75"/>
        <v>49.754249182416324</v>
      </c>
      <c r="G219" s="110">
        <f t="shared" si="73"/>
        <v>0.82001456185657129</v>
      </c>
      <c r="H219" s="416" t="b">
        <f>Wh_hp&gt;='2019'!Maxi_hp</f>
        <v>0</v>
      </c>
      <c r="I219" s="382">
        <f>IF(H219,Wh_hp,'2019'!Maxi_hp)</f>
        <v>57.12402573643886</v>
      </c>
      <c r="J219" s="85">
        <f>IF(H219,An,'2019'!An_max)</f>
        <v>2019</v>
      </c>
      <c r="K219" s="199">
        <f t="shared" si="76"/>
        <v>44035</v>
      </c>
      <c r="L219" s="147">
        <f>IF(t&lt;Tvie,1-EXP((T0-t)*PertePVj)+'2019'!Pspv,1-EXP((T0-t)*PertePVj)+Pspv)</f>
        <v>1.66618207529039E-2</v>
      </c>
      <c r="M219" s="872"/>
      <c r="N219" s="872"/>
      <c r="O219" s="48">
        <f>IF(t&lt;Tnet,'2019'!Resal+('2019'!Salim-'2019'!Resal)*(1-EXP(('2019'!Tnet-t)/('2019'!Tau_j))),Resal+(Salim-Resal)*(1-EXP((Tnet-t)/(Tau_j))))*Salcycl</f>
        <v>0.11978771519610434</v>
      </c>
      <c r="P219" s="171">
        <f>(INDEX(Models!$BJ219:$BT219,,T219)*(1-R219)+INDEX(Models!$BJ219:$BT219,,T219+1)*R219-ERP_i)*Q219*Ramure*Pc/MaxiM</f>
        <v>3.3155820679026202E-4</v>
      </c>
      <c r="Q219" s="307">
        <f t="shared" si="77"/>
        <v>0.9</v>
      </c>
      <c r="R219" s="179">
        <f t="shared" si="78"/>
        <v>0.20124022692489618</v>
      </c>
      <c r="S219" s="839">
        <f t="shared" si="79"/>
        <v>-1</v>
      </c>
      <c r="T219" s="178">
        <f t="shared" si="80"/>
        <v>5</v>
      </c>
      <c r="U219" s="253">
        <f t="shared" si="81"/>
        <v>-0.79875977307510382</v>
      </c>
      <c r="V219" s="385">
        <f t="shared" si="82"/>
        <v>52.499470290603071</v>
      </c>
      <c r="W219" s="404"/>
      <c r="X219" s="157">
        <f t="shared" si="83"/>
        <v>44035</v>
      </c>
      <c r="Y219" s="387">
        <f t="shared" si="84"/>
        <v>43.054000000000002</v>
      </c>
      <c r="Z219" s="387">
        <f t="shared" si="85"/>
        <v>43.783513046310048</v>
      </c>
      <c r="AA219" s="388">
        <f t="shared" si="86"/>
        <v>49.741992701300084</v>
      </c>
      <c r="AB219" s="199">
        <f t="shared" si="87"/>
        <v>44035</v>
      </c>
      <c r="AC219" s="119">
        <f>IF(OR(t&lt;Tnet,NoTnet),'2019'!Resal_s+('2019'!Salim-'2019'!Resal_s)*(1-EXP(('2019'!Tnet_s-t)/'2019'!Tau_j)),Resal_s+(Salim-Resal_s)*(1-EXP((Tnet_s-t)/Tau_j)))*Salcycl</f>
        <v>0.11978771519610434</v>
      </c>
      <c r="AD219" s="233">
        <f>(INDEX(Models!$BJ219:$BT219,,AH219)*(1-AF219)+INDEX(Models!$BJ219:$BT219,,AH219+1)*AF219-ERP_i)*AE219*Ramure*Pc/MaxiM</f>
        <v>3.3155820679026202E-4</v>
      </c>
      <c r="AE219" s="307">
        <f t="shared" si="88"/>
        <v>0.9</v>
      </c>
      <c r="AF219" s="179">
        <f t="shared" si="89"/>
        <v>0.20124022692489618</v>
      </c>
      <c r="AG219" s="839">
        <f t="shared" si="95"/>
        <v>-1</v>
      </c>
      <c r="AH219" s="178">
        <f t="shared" si="90"/>
        <v>5</v>
      </c>
      <c r="AI219" s="227">
        <f t="shared" si="91"/>
        <v>-0.79875977307510382</v>
      </c>
      <c r="AJ219" s="267" t="b">
        <f t="shared" si="92"/>
        <v>0</v>
      </c>
      <c r="AK219" s="267" t="b">
        <f t="shared" si="93"/>
        <v>0</v>
      </c>
      <c r="AL219" s="267"/>
      <c r="AM219" s="267"/>
      <c r="AN219" s="75"/>
    </row>
    <row r="220" spans="1:40" s="6" customFormat="1" ht="11.25" customHeight="1" x14ac:dyDescent="0.2">
      <c r="A220" s="56">
        <f t="shared" si="94"/>
        <v>44036</v>
      </c>
      <c r="B220" s="620">
        <v>50.792000000000002</v>
      </c>
      <c r="C220" s="392"/>
      <c r="D220" s="395">
        <f t="shared" si="74"/>
        <v>51.653828869372596</v>
      </c>
      <c r="E220" s="387">
        <f t="shared" si="72"/>
        <v>58.689009481939053</v>
      </c>
      <c r="F220" s="387">
        <f t="shared" si="75"/>
        <v>58.709047096297212</v>
      </c>
      <c r="G220" s="110">
        <f t="shared" si="73"/>
        <v>0.97004022450143668</v>
      </c>
      <c r="H220" s="416" t="b">
        <f>Wh_hp&gt;='2019'!Maxi_hp</f>
        <v>1</v>
      </c>
      <c r="I220" s="382">
        <f>IF(H220,Wh_hp,'2019'!Maxi_hp)</f>
        <v>58.709047096297212</v>
      </c>
      <c r="J220" s="85">
        <f>IF(H220,An,'2019'!An_max)</f>
        <v>2020</v>
      </c>
      <c r="K220" s="199">
        <f t="shared" si="76"/>
        <v>44036</v>
      </c>
      <c r="L220" s="147">
        <f>IF(t&lt;Tvie,1-EXP((T0-t)*PertePVj)+'2019'!Pspv,1-EXP((T0-t)*PertePVj)+Pspv)</f>
        <v>1.668470446889958E-2</v>
      </c>
      <c r="M220" s="872"/>
      <c r="N220" s="872"/>
      <c r="O220" s="48">
        <f>IF(t&lt;Tnet,'2019'!Resal+('2019'!Salim-'2019'!Resal)*(1-EXP(('2019'!Tnet-t)/('2019'!Tau_j))),Resal+(Salim-Resal)*(1-EXP((Tnet-t)/(Tau_j))))*Salcycl</f>
        <v>0.11987219880975264</v>
      </c>
      <c r="P220" s="171">
        <f>(INDEX(Models!$BJ220:$BT220,,T220)*(1-R220)+INDEX(Models!$BJ220:$BT220,,T220+1)*R220-ERP_i)*Q220*Ramure*Pc/MaxiM</f>
        <v>3.5655666055401991E-4</v>
      </c>
      <c r="Q220" s="307">
        <f t="shared" si="77"/>
        <v>0.9</v>
      </c>
      <c r="R220" s="179">
        <f t="shared" si="78"/>
        <v>0.20467624830688513</v>
      </c>
      <c r="S220" s="839">
        <f t="shared" si="79"/>
        <v>-1</v>
      </c>
      <c r="T220" s="178">
        <f t="shared" si="80"/>
        <v>5</v>
      </c>
      <c r="U220" s="253">
        <f t="shared" si="81"/>
        <v>-0.79532375169311487</v>
      </c>
      <c r="V220" s="385">
        <f t="shared" si="82"/>
        <v>52.359916345398027</v>
      </c>
      <c r="W220" s="404"/>
      <c r="X220" s="157">
        <f t="shared" si="83"/>
        <v>44036</v>
      </c>
      <c r="Y220" s="387">
        <f t="shared" si="84"/>
        <v>50.792000000000002</v>
      </c>
      <c r="Z220" s="387">
        <f t="shared" si="85"/>
        <v>51.653828869372596</v>
      </c>
      <c r="AA220" s="388">
        <f t="shared" si="86"/>
        <v>58.689009481939053</v>
      </c>
      <c r="AB220" s="199">
        <f t="shared" si="87"/>
        <v>44036</v>
      </c>
      <c r="AC220" s="119">
        <f>IF(OR(t&lt;Tnet,NoTnet),'2019'!Resal_s+('2019'!Salim-'2019'!Resal_s)*(1-EXP(('2019'!Tnet_s-t)/'2019'!Tau_j)),Resal_s+(Salim-Resal_s)*(1-EXP((Tnet_s-t)/Tau_j)))*Salcycl</f>
        <v>0.11987219880975264</v>
      </c>
      <c r="AD220" s="233">
        <f>(INDEX(Models!$BJ220:$BT220,,AH220)*(1-AF220)+INDEX(Models!$BJ220:$BT220,,AH220+1)*AF220-ERP_i)*AE220*Ramure*Pc/MaxiM</f>
        <v>3.5655666055401991E-4</v>
      </c>
      <c r="AE220" s="307">
        <f t="shared" si="88"/>
        <v>0.9</v>
      </c>
      <c r="AF220" s="179">
        <f t="shared" si="89"/>
        <v>0.20467624830688513</v>
      </c>
      <c r="AG220" s="839">
        <f t="shared" si="95"/>
        <v>-1</v>
      </c>
      <c r="AH220" s="178">
        <f t="shared" si="90"/>
        <v>5</v>
      </c>
      <c r="AI220" s="227">
        <f t="shared" si="91"/>
        <v>-0.79532375169311487</v>
      </c>
      <c r="AJ220" s="267" t="b">
        <f t="shared" si="92"/>
        <v>0</v>
      </c>
      <c r="AK220" s="267" t="b">
        <f t="shared" si="93"/>
        <v>0</v>
      </c>
      <c r="AL220" s="267"/>
      <c r="AM220" s="267"/>
      <c r="AN220" s="75"/>
    </row>
    <row r="221" spans="1:40" s="6" customFormat="1" ht="11.25" customHeight="1" x14ac:dyDescent="0.2">
      <c r="A221" s="56">
        <f t="shared" si="94"/>
        <v>44037</v>
      </c>
      <c r="B221" s="620">
        <v>50.203000000000003</v>
      </c>
      <c r="C221" s="392"/>
      <c r="D221" s="395">
        <f t="shared" si="74"/>
        <v>51.056022979104178</v>
      </c>
      <c r="E221" s="387">
        <f t="shared" si="72"/>
        <v>58.015288722393464</v>
      </c>
      <c r="F221" s="387">
        <f t="shared" si="75"/>
        <v>58.036306990108471</v>
      </c>
      <c r="G221" s="110">
        <f t="shared" si="73"/>
        <v>0.96137995351065131</v>
      </c>
      <c r="H221" s="416" t="b">
        <f>Wh_hp&gt;='2019'!Maxi_hp</f>
        <v>1</v>
      </c>
      <c r="I221" s="382">
        <f>IF(H221,Wh_hp,'2019'!Maxi_hp)</f>
        <v>58.036306990108471</v>
      </c>
      <c r="J221" s="85">
        <f>IF(H221,An,'2019'!An_max)</f>
        <v>2020</v>
      </c>
      <c r="K221" s="199">
        <f t="shared" si="76"/>
        <v>44037</v>
      </c>
      <c r="L221" s="147">
        <f>IF(t&lt;Tvie,1-EXP((T0-t)*PertePVj)+'2019'!Pspv,1-EXP((T0-t)*PertePVj)+Pspv)</f>
        <v>1.6707587652357803E-2</v>
      </c>
      <c r="M221" s="872"/>
      <c r="N221" s="872"/>
      <c r="O221" s="48">
        <f>IF(t&lt;Tnet,'2019'!Resal+('2019'!Salim-'2019'!Resal)*(1-EXP(('2019'!Tnet-t)/('2019'!Tau_j))),Resal+(Salim-Resal)*(1-EXP((Tnet-t)/(Tau_j))))*Salcycl</f>
        <v>0.11995572023419167</v>
      </c>
      <c r="P221" s="171">
        <f>(INDEX(Models!$BJ221:$BT221,,T221)*(1-R221)+INDEX(Models!$BJ221:$BT221,,T221+1)*R221-ERP_i)*Q221*Ramure*Pc/MaxiM</f>
        <v>3.8329293588319345E-4</v>
      </c>
      <c r="Q221" s="307">
        <f t="shared" si="77"/>
        <v>0.9</v>
      </c>
      <c r="R221" s="179">
        <f t="shared" si="78"/>
        <v>0.20801098779588756</v>
      </c>
      <c r="S221" s="839">
        <f t="shared" si="79"/>
        <v>-1</v>
      </c>
      <c r="T221" s="178">
        <f t="shared" si="80"/>
        <v>5</v>
      </c>
      <c r="U221" s="253">
        <f t="shared" si="81"/>
        <v>-0.79198901220411244</v>
      </c>
      <c r="V221" s="385">
        <f t="shared" si="82"/>
        <v>52.218624234902322</v>
      </c>
      <c r="W221" s="404"/>
      <c r="X221" s="157">
        <f t="shared" si="83"/>
        <v>44037</v>
      </c>
      <c r="Y221" s="387">
        <f t="shared" si="84"/>
        <v>50.203000000000003</v>
      </c>
      <c r="Z221" s="387">
        <f t="shared" si="85"/>
        <v>51.056022979104178</v>
      </c>
      <c r="AA221" s="388">
        <f t="shared" si="86"/>
        <v>58.015288722393464</v>
      </c>
      <c r="AB221" s="199">
        <f t="shared" si="87"/>
        <v>44037</v>
      </c>
      <c r="AC221" s="119">
        <f>IF(OR(t&lt;Tnet,NoTnet),'2019'!Resal_s+('2019'!Salim-'2019'!Resal_s)*(1-EXP(('2019'!Tnet_s-t)/'2019'!Tau_j)),Resal_s+(Salim-Resal_s)*(1-EXP((Tnet_s-t)/Tau_j)))*Salcycl</f>
        <v>0.11995572023419167</v>
      </c>
      <c r="AD221" s="233">
        <f>(INDEX(Models!$BJ221:$BT221,,AH221)*(1-AF221)+INDEX(Models!$BJ221:$BT221,,AH221+1)*AF221-ERP_i)*AE221*Ramure*Pc/MaxiM</f>
        <v>3.8329293588319345E-4</v>
      </c>
      <c r="AE221" s="307">
        <f t="shared" si="88"/>
        <v>0.9</v>
      </c>
      <c r="AF221" s="179">
        <f t="shared" si="89"/>
        <v>0.20801098779588756</v>
      </c>
      <c r="AG221" s="839">
        <f t="shared" si="95"/>
        <v>-1</v>
      </c>
      <c r="AH221" s="178">
        <f t="shared" si="90"/>
        <v>5</v>
      </c>
      <c r="AI221" s="227">
        <f t="shared" si="91"/>
        <v>-0.79198901220411244</v>
      </c>
      <c r="AJ221" s="267" t="b">
        <f t="shared" si="92"/>
        <v>0</v>
      </c>
      <c r="AK221" s="267" t="b">
        <f t="shared" si="93"/>
        <v>0</v>
      </c>
      <c r="AL221" s="267"/>
      <c r="AM221" s="267"/>
      <c r="AN221" s="75"/>
    </row>
    <row r="222" spans="1:40" s="6" customFormat="1" ht="11.25" customHeight="1" x14ac:dyDescent="0.2">
      <c r="A222" s="56">
        <f t="shared" si="94"/>
        <v>44038</v>
      </c>
      <c r="B222" s="620">
        <v>41.140999999999998</v>
      </c>
      <c r="C222" s="392"/>
      <c r="D222" s="395">
        <f t="shared" si="74"/>
        <v>41.841019941592208</v>
      </c>
      <c r="E222" s="387">
        <f t="shared" si="72"/>
        <v>47.548684666911434</v>
      </c>
      <c r="F222" s="387">
        <f t="shared" si="75"/>
        <v>47.5623956700015</v>
      </c>
      <c r="G222" s="110">
        <f t="shared" si="73"/>
        <v>0.789929971460264</v>
      </c>
      <c r="H222" s="416" t="b">
        <f>Wh_hp&gt;='2019'!Maxi_hp</f>
        <v>1</v>
      </c>
      <c r="I222" s="382">
        <f>IF(H222,Wh_hp,'2019'!Maxi_hp)</f>
        <v>47.5623956700015</v>
      </c>
      <c r="J222" s="85">
        <f>IF(H222,An,'2019'!An_max)</f>
        <v>2020</v>
      </c>
      <c r="K222" s="199">
        <f t="shared" si="76"/>
        <v>44038</v>
      </c>
      <c r="L222" s="147">
        <f>IF(t&lt;Tvie,1-EXP((T0-t)*PertePVj)+'2019'!Pspv,1-EXP((T0-t)*PertePVj)+Pspv)</f>
        <v>1.673047030329089E-2</v>
      </c>
      <c r="M222" s="872"/>
      <c r="N222" s="872"/>
      <c r="O222" s="48">
        <f>IF(t&lt;Tnet,'2019'!Resal+('2019'!Salim-'2019'!Resal)*(1-EXP(('2019'!Tnet-t)/('2019'!Tau_j))),Resal+(Salim-Resal)*(1-EXP((Tnet-t)/(Tau_j))))*Salcycl</f>
        <v>0.12003833050909028</v>
      </c>
      <c r="P222" s="171">
        <f>(INDEX(Models!$BJ222:$BT222,,T222)*(1-R222)+INDEX(Models!$BJ222:$BT222,,T222+1)*R222-ERP_i)*Q222*Ramure*Pc/MaxiM</f>
        <v>4.1179684790221526E-4</v>
      </c>
      <c r="Q222" s="307">
        <f t="shared" si="77"/>
        <v>0.9</v>
      </c>
      <c r="R222" s="179">
        <f t="shared" si="78"/>
        <v>0.21124616590283984</v>
      </c>
      <c r="S222" s="839">
        <f t="shared" si="79"/>
        <v>-1</v>
      </c>
      <c r="T222" s="178">
        <f t="shared" si="80"/>
        <v>5</v>
      </c>
      <c r="U222" s="253">
        <f t="shared" si="81"/>
        <v>-0.78875383409716016</v>
      </c>
      <c r="V222" s="385">
        <f t="shared" si="82"/>
        <v>52.075396767111258</v>
      </c>
      <c r="W222" s="404"/>
      <c r="X222" s="157">
        <f t="shared" si="83"/>
        <v>44038</v>
      </c>
      <c r="Y222" s="387">
        <f t="shared" si="84"/>
        <v>41.140999999999998</v>
      </c>
      <c r="Z222" s="387">
        <f t="shared" si="85"/>
        <v>41.841019941592208</v>
      </c>
      <c r="AA222" s="388">
        <f t="shared" si="86"/>
        <v>47.548684666911434</v>
      </c>
      <c r="AB222" s="199">
        <f t="shared" si="87"/>
        <v>44038</v>
      </c>
      <c r="AC222" s="119">
        <f>IF(OR(t&lt;Tnet,NoTnet),'2019'!Resal_s+('2019'!Salim-'2019'!Resal_s)*(1-EXP(('2019'!Tnet_s-t)/'2019'!Tau_j)),Resal_s+(Salim-Resal_s)*(1-EXP((Tnet_s-t)/Tau_j)))*Salcycl</f>
        <v>0.12003833050909028</v>
      </c>
      <c r="AD222" s="233">
        <f>(INDEX(Models!$BJ222:$BT222,,AH222)*(1-AF222)+INDEX(Models!$BJ222:$BT222,,AH222+1)*AF222-ERP_i)*AE222*Ramure*Pc/MaxiM</f>
        <v>4.1179684790221526E-4</v>
      </c>
      <c r="AE222" s="307">
        <f t="shared" si="88"/>
        <v>0.9</v>
      </c>
      <c r="AF222" s="179">
        <f t="shared" si="89"/>
        <v>0.21124616590283984</v>
      </c>
      <c r="AG222" s="839">
        <f t="shared" si="95"/>
        <v>-1</v>
      </c>
      <c r="AH222" s="178">
        <f t="shared" si="90"/>
        <v>5</v>
      </c>
      <c r="AI222" s="227">
        <f t="shared" si="91"/>
        <v>-0.78875383409716016</v>
      </c>
      <c r="AJ222" s="267" t="b">
        <f t="shared" si="92"/>
        <v>0</v>
      </c>
      <c r="AK222" s="267" t="b">
        <f t="shared" si="93"/>
        <v>0</v>
      </c>
      <c r="AL222" s="267"/>
      <c r="AM222" s="267"/>
      <c r="AN222" s="75"/>
    </row>
    <row r="223" spans="1:40" s="6" customFormat="1" ht="11.25" customHeight="1" x14ac:dyDescent="0.2">
      <c r="A223" s="56">
        <f t="shared" si="94"/>
        <v>44039</v>
      </c>
      <c r="B223" s="620">
        <v>47.302999999999997</v>
      </c>
      <c r="C223" s="392"/>
      <c r="D223" s="395">
        <f t="shared" si="74"/>
        <v>48.108986810690965</v>
      </c>
      <c r="E223" s="387">
        <f t="shared" si="72"/>
        <v>54.676763887317534</v>
      </c>
      <c r="F223" s="387">
        <f t="shared" si="75"/>
        <v>54.697867680241771</v>
      </c>
      <c r="G223" s="110">
        <f t="shared" si="73"/>
        <v>0.91084735669515293</v>
      </c>
      <c r="H223" s="416" t="b">
        <f>Wh_hp&gt;='2019'!Maxi_hp</f>
        <v>0</v>
      </c>
      <c r="I223" s="382">
        <f>IF(H223,Wh_hp,'2019'!Maxi_hp)</f>
        <v>61.3460462503919</v>
      </c>
      <c r="J223" s="85">
        <f>IF(H223,An,'2019'!An_max)</f>
        <v>2019</v>
      </c>
      <c r="K223" s="199">
        <f t="shared" si="76"/>
        <v>44039</v>
      </c>
      <c r="L223" s="147">
        <f>IF(t&lt;Tvie,1-EXP((T0-t)*PertePVj)+'2019'!Pspv,1-EXP((T0-t)*PertePVj)+Pspv)</f>
        <v>1.6753352421711276E-2</v>
      </c>
      <c r="M223" s="872"/>
      <c r="N223" s="872"/>
      <c r="O223" s="48">
        <f>IF(t&lt;Tnet,'2019'!Resal+('2019'!Salim-'2019'!Resal)*(1-EXP(('2019'!Tnet-t)/('2019'!Tau_j))),Resal+(Salim-Resal)*(1-EXP((Tnet-t)/(Tau_j))))*Salcycl</f>
        <v>0.12012007678731677</v>
      </c>
      <c r="P223" s="171">
        <f>(INDEX(Models!$BJ223:$BT223,,T223)*(1-R223)+INDEX(Models!$BJ223:$BT223,,T223+1)*R223-ERP_i)*Q223*Ramure*Pc/MaxiM</f>
        <v>4.4209846296746936E-4</v>
      </c>
      <c r="Q223" s="307">
        <f t="shared" si="77"/>
        <v>0.9</v>
      </c>
      <c r="R223" s="179">
        <f t="shared" si="78"/>
        <v>0.21438356504405398</v>
      </c>
      <c r="S223" s="839">
        <f t="shared" si="79"/>
        <v>-1</v>
      </c>
      <c r="T223" s="178">
        <f t="shared" si="80"/>
        <v>5</v>
      </c>
      <c r="U223" s="253">
        <f t="shared" si="81"/>
        <v>-0.78561643495594602</v>
      </c>
      <c r="V223" s="385">
        <f t="shared" si="82"/>
        <v>51.930037136304669</v>
      </c>
      <c r="W223" s="404"/>
      <c r="X223" s="157">
        <f t="shared" si="83"/>
        <v>44039</v>
      </c>
      <c r="Y223" s="387">
        <f t="shared" si="84"/>
        <v>47.302999999999997</v>
      </c>
      <c r="Z223" s="387">
        <f t="shared" si="85"/>
        <v>48.108986810690965</v>
      </c>
      <c r="AA223" s="388">
        <f t="shared" si="86"/>
        <v>54.676763887317534</v>
      </c>
      <c r="AB223" s="199">
        <f t="shared" si="87"/>
        <v>44039</v>
      </c>
      <c r="AC223" s="119">
        <f>IF(OR(t&lt;Tnet,NoTnet),'2019'!Resal_s+('2019'!Salim-'2019'!Resal_s)*(1-EXP(('2019'!Tnet_s-t)/'2019'!Tau_j)),Resal_s+(Salim-Resal_s)*(1-EXP((Tnet_s-t)/Tau_j)))*Salcycl</f>
        <v>0.12012007678731677</v>
      </c>
      <c r="AD223" s="233">
        <f>(INDEX(Models!$BJ223:$BT223,,AH223)*(1-AF223)+INDEX(Models!$BJ223:$BT223,,AH223+1)*AF223-ERP_i)*AE223*Ramure*Pc/MaxiM</f>
        <v>4.4209846296746936E-4</v>
      </c>
      <c r="AE223" s="307">
        <f t="shared" si="88"/>
        <v>0.9</v>
      </c>
      <c r="AF223" s="179">
        <f t="shared" si="89"/>
        <v>0.21438356504405398</v>
      </c>
      <c r="AG223" s="839">
        <f t="shared" si="95"/>
        <v>-1</v>
      </c>
      <c r="AH223" s="178">
        <f t="shared" si="90"/>
        <v>5</v>
      </c>
      <c r="AI223" s="227">
        <f t="shared" si="91"/>
        <v>-0.78561643495594602</v>
      </c>
      <c r="AJ223" s="267" t="b">
        <f t="shared" si="92"/>
        <v>0</v>
      </c>
      <c r="AK223" s="267" t="b">
        <f t="shared" si="93"/>
        <v>0</v>
      </c>
      <c r="AL223" s="267"/>
      <c r="AM223" s="267"/>
      <c r="AN223" s="75"/>
    </row>
    <row r="224" spans="1:40" s="6" customFormat="1" ht="11.25" customHeight="1" x14ac:dyDescent="0.2">
      <c r="A224" s="56">
        <f t="shared" si="94"/>
        <v>44040</v>
      </c>
      <c r="B224" s="620">
        <v>30.643999999999998</v>
      </c>
      <c r="C224" s="392"/>
      <c r="D224" s="395">
        <f t="shared" si="74"/>
        <v>31.166862579924498</v>
      </c>
      <c r="E224" s="387">
        <f t="shared" si="72"/>
        <v>35.424980774256689</v>
      </c>
      <c r="F224" s="387">
        <f t="shared" si="75"/>
        <v>35.431984792943645</v>
      </c>
      <c r="G224" s="110">
        <f t="shared" si="73"/>
        <v>0.59162097253693491</v>
      </c>
      <c r="H224" s="416" t="b">
        <f>Wh_hp&gt;='2019'!Maxi_hp</f>
        <v>0</v>
      </c>
      <c r="I224" s="382">
        <f>IF(H224,Wh_hp,'2019'!Maxi_hp)</f>
        <v>60.078998480863916</v>
      </c>
      <c r="J224" s="85">
        <f>IF(H224,An,'2019'!An_max)</f>
        <v>2019</v>
      </c>
      <c r="K224" s="199">
        <f t="shared" si="76"/>
        <v>44040</v>
      </c>
      <c r="L224" s="147">
        <f>IF(t&lt;Tvie,1-EXP((T0-t)*PertePVj)+'2019'!Pspv,1-EXP((T0-t)*PertePVj)+Pspv)</f>
        <v>1.6776234007631285E-2</v>
      </c>
      <c r="M224" s="872"/>
      <c r="N224" s="872"/>
      <c r="O224" s="48">
        <f>IF(t&lt;Tnet,'2019'!Resal+('2019'!Salim-'2019'!Resal)*(1-EXP(('2019'!Tnet-t)/('2019'!Tau_j))),Resal+(Salim-Resal)*(1-EXP((Tnet-t)/(Tau_j))))*Salcycl</f>
        <v>0.1202010022663601</v>
      </c>
      <c r="P224" s="171">
        <f>(INDEX(Models!$BJ224:$BT224,,T224)*(1-R224)+INDEX(Models!$BJ224:$BT224,,T224+1)*R224-ERP_i)*Q224*Ramure*Pc/MaxiM</f>
        <v>4.7422821783471813E-4</v>
      </c>
      <c r="Q224" s="307">
        <f t="shared" si="77"/>
        <v>0.9</v>
      </c>
      <c r="R224" s="179">
        <f t="shared" si="78"/>
        <v>0.21742502164970068</v>
      </c>
      <c r="S224" s="839">
        <f t="shared" si="79"/>
        <v>-1</v>
      </c>
      <c r="T224" s="178">
        <f t="shared" si="80"/>
        <v>5</v>
      </c>
      <c r="U224" s="253">
        <f t="shared" si="81"/>
        <v>-0.78257497835029932</v>
      </c>
      <c r="V224" s="385">
        <f t="shared" si="82"/>
        <v>51.782348920462624</v>
      </c>
      <c r="W224" s="404"/>
      <c r="X224" s="157">
        <f t="shared" si="83"/>
        <v>44040</v>
      </c>
      <c r="Y224" s="387">
        <f t="shared" si="84"/>
        <v>30.643999999999998</v>
      </c>
      <c r="Z224" s="387">
        <f t="shared" si="85"/>
        <v>31.166862579924498</v>
      </c>
      <c r="AA224" s="388">
        <f t="shared" si="86"/>
        <v>35.424980774256689</v>
      </c>
      <c r="AB224" s="199">
        <f t="shared" si="87"/>
        <v>44040</v>
      </c>
      <c r="AC224" s="119">
        <f>IF(OR(t&lt;Tnet,NoTnet),'2019'!Resal_s+('2019'!Salim-'2019'!Resal_s)*(1-EXP(('2019'!Tnet_s-t)/'2019'!Tau_j)),Resal_s+(Salim-Resal_s)*(1-EXP((Tnet_s-t)/Tau_j)))*Salcycl</f>
        <v>0.1202010022663601</v>
      </c>
      <c r="AD224" s="233">
        <f>(INDEX(Models!$BJ224:$BT224,,AH224)*(1-AF224)+INDEX(Models!$BJ224:$BT224,,AH224+1)*AF224-ERP_i)*AE224*Ramure*Pc/MaxiM</f>
        <v>4.7422821783471813E-4</v>
      </c>
      <c r="AE224" s="307">
        <f t="shared" si="88"/>
        <v>0.9</v>
      </c>
      <c r="AF224" s="179">
        <f t="shared" si="89"/>
        <v>0.21742502164970068</v>
      </c>
      <c r="AG224" s="839">
        <f t="shared" si="95"/>
        <v>-1</v>
      </c>
      <c r="AH224" s="178">
        <f t="shared" si="90"/>
        <v>5</v>
      </c>
      <c r="AI224" s="227">
        <f t="shared" si="91"/>
        <v>-0.78257497835029932</v>
      </c>
      <c r="AJ224" s="267" t="b">
        <f t="shared" si="92"/>
        <v>0</v>
      </c>
      <c r="AK224" s="267" t="b">
        <f t="shared" si="93"/>
        <v>0</v>
      </c>
      <c r="AL224" s="267"/>
      <c r="AM224" s="267"/>
      <c r="AN224" s="75"/>
    </row>
    <row r="225" spans="1:40" s="6" customFormat="1" ht="11.25" customHeight="1" x14ac:dyDescent="0.2">
      <c r="A225" s="56">
        <f t="shared" si="94"/>
        <v>44041</v>
      </c>
      <c r="B225" s="620">
        <v>44.935000000000002</v>
      </c>
      <c r="C225" s="392"/>
      <c r="D225" s="395">
        <f t="shared" si="74"/>
        <v>45.702766025063916</v>
      </c>
      <c r="E225" s="387">
        <f t="shared" si="72"/>
        <v>51.951559097675855</v>
      </c>
      <c r="F225" s="387">
        <f t="shared" si="75"/>
        <v>51.973078310921963</v>
      </c>
      <c r="G225" s="110">
        <f t="shared" si="73"/>
        <v>0.87020933199064154</v>
      </c>
      <c r="H225" s="416" t="b">
        <f>Wh_hp&gt;='2019'!Maxi_hp</f>
        <v>1</v>
      </c>
      <c r="I225" s="382">
        <f>IF(H225,Wh_hp,'2019'!Maxi_hp)</f>
        <v>51.973078310921963</v>
      </c>
      <c r="J225" s="85">
        <f>IF(H225,An,'2019'!An_max)</f>
        <v>2020</v>
      </c>
      <c r="K225" s="199">
        <f t="shared" si="76"/>
        <v>44041</v>
      </c>
      <c r="L225" s="147">
        <f>IF(t&lt;Tvie,1-EXP((T0-t)*PertePVj)+'2019'!Pspv,1-EXP((T0-t)*PertePVj)+Pspv)</f>
        <v>1.6799115061063463E-2</v>
      </c>
      <c r="M225" s="872"/>
      <c r="N225" s="872"/>
      <c r="O225" s="48">
        <f>IF(t&lt;Tnet,'2019'!Resal+('2019'!Salim-'2019'!Resal)*(1-EXP(('2019'!Tnet-t)/('2019'!Tau_j))),Resal+(Salim-Resal)*(1-EXP((Tnet-t)/(Tau_j))))*Salcycl</f>
        <v>0.12028114615123246</v>
      </c>
      <c r="P225" s="171">
        <f>(INDEX(Models!$BJ225:$BT225,,T225)*(1-R225)+INDEX(Models!$BJ225:$BT225,,T225+1)*R225-ERP_i)*Q225*Ramure*Pc/MaxiM</f>
        <v>5.0821704332949943E-4</v>
      </c>
      <c r="Q225" s="307">
        <f t="shared" si="77"/>
        <v>0.9</v>
      </c>
      <c r="R225" s="179">
        <f t="shared" si="78"/>
        <v>0.22037241861533607</v>
      </c>
      <c r="S225" s="839">
        <f t="shared" si="79"/>
        <v>-1</v>
      </c>
      <c r="T225" s="178">
        <f t="shared" si="80"/>
        <v>5</v>
      </c>
      <c r="U225" s="253">
        <f t="shared" si="81"/>
        <v>-0.77962758138466393</v>
      </c>
      <c r="V225" s="385">
        <f t="shared" si="82"/>
        <v>51.632136075780544</v>
      </c>
      <c r="W225" s="404"/>
      <c r="X225" s="157">
        <f t="shared" si="83"/>
        <v>44041</v>
      </c>
      <c r="Y225" s="387">
        <f t="shared" si="84"/>
        <v>44.935000000000002</v>
      </c>
      <c r="Z225" s="387">
        <f t="shared" si="85"/>
        <v>45.702766025063916</v>
      </c>
      <c r="AA225" s="388">
        <f t="shared" si="86"/>
        <v>51.951559097675855</v>
      </c>
      <c r="AB225" s="199">
        <f t="shared" si="87"/>
        <v>44041</v>
      </c>
      <c r="AC225" s="119">
        <f>IF(OR(t&lt;Tnet,NoTnet),'2019'!Resal_s+('2019'!Salim-'2019'!Resal_s)*(1-EXP(('2019'!Tnet_s-t)/'2019'!Tau_j)),Resal_s+(Salim-Resal_s)*(1-EXP((Tnet_s-t)/Tau_j)))*Salcycl</f>
        <v>0.12028114615123246</v>
      </c>
      <c r="AD225" s="233">
        <f>(INDEX(Models!$BJ225:$BT225,,AH225)*(1-AF225)+INDEX(Models!$BJ225:$BT225,,AH225+1)*AF225-ERP_i)*AE225*Ramure*Pc/MaxiM</f>
        <v>5.0821704332949943E-4</v>
      </c>
      <c r="AE225" s="307">
        <f t="shared" si="88"/>
        <v>0.9</v>
      </c>
      <c r="AF225" s="179">
        <f t="shared" si="89"/>
        <v>0.22037241861533607</v>
      </c>
      <c r="AG225" s="839">
        <f t="shared" si="95"/>
        <v>-1</v>
      </c>
      <c r="AH225" s="178">
        <f t="shared" si="90"/>
        <v>5</v>
      </c>
      <c r="AI225" s="227">
        <f t="shared" si="91"/>
        <v>-0.77962758138466393</v>
      </c>
      <c r="AJ225" s="267" t="b">
        <f t="shared" si="92"/>
        <v>0</v>
      </c>
      <c r="AK225" s="267" t="b">
        <f t="shared" si="93"/>
        <v>0</v>
      </c>
      <c r="AL225" s="267"/>
      <c r="AM225" s="267"/>
      <c r="AN225" s="75"/>
    </row>
    <row r="226" spans="1:40" s="6" customFormat="1" ht="11.25" customHeight="1" x14ac:dyDescent="0.2">
      <c r="A226" s="56">
        <f t="shared" si="94"/>
        <v>44042</v>
      </c>
      <c r="B226" s="620">
        <v>46.981999999999999</v>
      </c>
      <c r="C226" s="392"/>
      <c r="D226" s="395">
        <f t="shared" si="74"/>
        <v>47.785853415030701</v>
      </c>
      <c r="E226" s="387">
        <f t="shared" si="72"/>
        <v>54.324363317201204</v>
      </c>
      <c r="F226" s="387">
        <f t="shared" si="75"/>
        <v>54.350369318276798</v>
      </c>
      <c r="G226" s="110">
        <f t="shared" si="73"/>
        <v>0.91258048745881259</v>
      </c>
      <c r="H226" s="416" t="b">
        <f>Wh_hp&gt;='2019'!Maxi_hp</f>
        <v>0</v>
      </c>
      <c r="I226" s="382">
        <f>IF(H226,Wh_hp,'2019'!Maxi_hp)</f>
        <v>54.621174999858518</v>
      </c>
      <c r="J226" s="85">
        <f>IF(H226,An,'2019'!An_max)</f>
        <v>2019</v>
      </c>
      <c r="K226" s="199">
        <f t="shared" si="76"/>
        <v>44042</v>
      </c>
      <c r="L226" s="147">
        <f>IF(t&lt;Tvie,1-EXP((T0-t)*PertePVj)+'2019'!Pspv,1-EXP((T0-t)*PertePVj)+Pspv)</f>
        <v>1.6821995582020022E-2</v>
      </c>
      <c r="M226" s="872"/>
      <c r="N226" s="872"/>
      <c r="O226" s="48">
        <f>IF(t&lt;Tnet,'2019'!Resal+('2019'!Salim-'2019'!Resal)*(1-EXP(('2019'!Tnet-t)/('2019'!Tau_j))),Resal+(Salim-Resal)*(1-EXP((Tnet-t)/(Tau_j))))*Salcycl</f>
        <v>0.12036054364764474</v>
      </c>
      <c r="P226" s="171">
        <f>(INDEX(Models!$BJ226:$BT226,,T226)*(1-R226)+INDEX(Models!$BJ226:$BT226,,T226+1)*R226-ERP_i)*Q226*Ramure*Pc/MaxiM</f>
        <v>5.4671601181699621E-4</v>
      </c>
      <c r="Q226" s="307">
        <f t="shared" si="77"/>
        <v>0.9</v>
      </c>
      <c r="R226" s="179">
        <f t="shared" si="78"/>
        <v>0.2232276781069984</v>
      </c>
      <c r="S226" s="839">
        <f t="shared" si="79"/>
        <v>-1</v>
      </c>
      <c r="T226" s="178">
        <f t="shared" si="80"/>
        <v>5</v>
      </c>
      <c r="U226" s="253">
        <f t="shared" si="81"/>
        <v>-0.7767723218930016</v>
      </c>
      <c r="V226" s="385">
        <f t="shared" si="82"/>
        <v>51.479068009874815</v>
      </c>
      <c r="W226" s="404"/>
      <c r="X226" s="157">
        <f t="shared" si="83"/>
        <v>44042</v>
      </c>
      <c r="Y226" s="387">
        <f t="shared" si="84"/>
        <v>46.981999999999999</v>
      </c>
      <c r="Z226" s="387">
        <f t="shared" si="85"/>
        <v>47.785853415030701</v>
      </c>
      <c r="AA226" s="388">
        <f t="shared" si="86"/>
        <v>54.324363317201204</v>
      </c>
      <c r="AB226" s="199">
        <f t="shared" si="87"/>
        <v>44042</v>
      </c>
      <c r="AC226" s="119">
        <f>IF(OR(t&lt;Tnet,NoTnet),'2019'!Resal_s+('2019'!Salim-'2019'!Resal_s)*(1-EXP(('2019'!Tnet_s-t)/'2019'!Tau_j)),Resal_s+(Salim-Resal_s)*(1-EXP((Tnet_s-t)/Tau_j)))*Salcycl</f>
        <v>0.12036054364764474</v>
      </c>
      <c r="AD226" s="233">
        <f>(INDEX(Models!$BJ226:$BT226,,AH226)*(1-AF226)+INDEX(Models!$BJ226:$BT226,,AH226+1)*AF226-ERP_i)*AE226*Ramure*Pc/MaxiM</f>
        <v>5.4671601181699621E-4</v>
      </c>
      <c r="AE226" s="307">
        <f t="shared" si="88"/>
        <v>0.9</v>
      </c>
      <c r="AF226" s="179">
        <f t="shared" si="89"/>
        <v>0.2232276781069984</v>
      </c>
      <c r="AG226" s="839">
        <f t="shared" si="95"/>
        <v>-1</v>
      </c>
      <c r="AH226" s="178">
        <f t="shared" si="90"/>
        <v>5</v>
      </c>
      <c r="AI226" s="227">
        <f t="shared" si="91"/>
        <v>-0.7767723218930016</v>
      </c>
      <c r="AJ226" s="267" t="b">
        <f t="shared" si="92"/>
        <v>0</v>
      </c>
      <c r="AK226" s="267" t="b">
        <f t="shared" si="93"/>
        <v>0</v>
      </c>
      <c r="AL226" s="267"/>
      <c r="AM226" s="267"/>
      <c r="AN226" s="75"/>
    </row>
    <row r="227" spans="1:40" s="6" customFormat="1" ht="11.25" customHeight="1" x14ac:dyDescent="0.2">
      <c r="A227" s="56">
        <f t="shared" si="94"/>
        <v>44043</v>
      </c>
      <c r="B227" s="620">
        <v>45.482999999999997</v>
      </c>
      <c r="C227" s="392"/>
      <c r="D227" s="395">
        <f t="shared" si="74"/>
        <v>46.262282390475512</v>
      </c>
      <c r="E227" s="387">
        <f t="shared" si="72"/>
        <v>52.597027695135168</v>
      </c>
      <c r="F227" s="387">
        <f t="shared" si="75"/>
        <v>52.62300790248883</v>
      </c>
      <c r="G227" s="110">
        <f t="shared" si="73"/>
        <v>0.88612654766871679</v>
      </c>
      <c r="H227" s="416" t="b">
        <f>Wh_hp&gt;='2019'!Maxi_hp</f>
        <v>1</v>
      </c>
      <c r="I227" s="382">
        <f>IF(H227,Wh_hp,'2019'!Maxi_hp)</f>
        <v>52.62300790248883</v>
      </c>
      <c r="J227" s="85">
        <f>IF(H227,An,'2019'!An_max)</f>
        <v>2020</v>
      </c>
      <c r="K227" s="199">
        <f t="shared" si="76"/>
        <v>44043</v>
      </c>
      <c r="L227" s="147">
        <f>IF(t&lt;Tvie,1-EXP((T0-t)*PertePVj)+'2019'!Pspv,1-EXP((T0-t)*PertePVj)+Pspv)</f>
        <v>1.6844875570513507E-2</v>
      </c>
      <c r="M227" s="872"/>
      <c r="N227" s="872"/>
      <c r="O227" s="48">
        <f>IF(t&lt;Tnet,'2019'!Resal+('2019'!Salim-'2019'!Resal)*(1-EXP(('2019'!Tnet-t)/('2019'!Tau_j))),Resal+(Salim-Resal)*(1-EXP((Tnet-t)/(Tau_j))))*Salcycl</f>
        <v>0.12043922598397269</v>
      </c>
      <c r="P227" s="171">
        <f>(INDEX(Models!$BJ227:$BT227,,T227)*(1-R227)+INDEX(Models!$BJ227:$BT227,,T227+1)*R227-ERP_i)*Q227*Ramure*Pc/MaxiM</f>
        <v>5.8953641730375122E-4</v>
      </c>
      <c r="Q227" s="307">
        <f t="shared" si="77"/>
        <v>0.9</v>
      </c>
      <c r="R227" s="179">
        <f t="shared" si="78"/>
        <v>0.22599275472713531</v>
      </c>
      <c r="S227" s="839">
        <f t="shared" si="79"/>
        <v>-1</v>
      </c>
      <c r="T227" s="178">
        <f t="shared" si="80"/>
        <v>5</v>
      </c>
      <c r="U227" s="253">
        <f t="shared" si="81"/>
        <v>-0.77400724527286469</v>
      </c>
      <c r="V227" s="385">
        <f t="shared" si="82"/>
        <v>51.322961981290298</v>
      </c>
      <c r="W227" s="404"/>
      <c r="X227" s="157">
        <f t="shared" si="83"/>
        <v>44043</v>
      </c>
      <c r="Y227" s="387">
        <f t="shared" si="84"/>
        <v>45.482999999999997</v>
      </c>
      <c r="Z227" s="387">
        <f t="shared" si="85"/>
        <v>46.262282390475512</v>
      </c>
      <c r="AA227" s="388">
        <f t="shared" si="86"/>
        <v>52.597027695135168</v>
      </c>
      <c r="AB227" s="199">
        <f t="shared" si="87"/>
        <v>44043</v>
      </c>
      <c r="AC227" s="119">
        <f>IF(OR(t&lt;Tnet,NoTnet),'2019'!Resal_s+('2019'!Salim-'2019'!Resal_s)*(1-EXP(('2019'!Tnet_s-t)/'2019'!Tau_j)),Resal_s+(Salim-Resal_s)*(1-EXP((Tnet_s-t)/Tau_j)))*Salcycl</f>
        <v>0.12043922598397269</v>
      </c>
      <c r="AD227" s="233">
        <f>(INDEX(Models!$BJ227:$BT227,,AH227)*(1-AF227)+INDEX(Models!$BJ227:$BT227,,AH227+1)*AF227-ERP_i)*AE227*Ramure*Pc/MaxiM</f>
        <v>5.8953641730375122E-4</v>
      </c>
      <c r="AE227" s="307">
        <f t="shared" si="88"/>
        <v>0.9</v>
      </c>
      <c r="AF227" s="179">
        <f t="shared" si="89"/>
        <v>0.22599275472713531</v>
      </c>
      <c r="AG227" s="839">
        <f t="shared" si="95"/>
        <v>-1</v>
      </c>
      <c r="AH227" s="178">
        <f t="shared" si="90"/>
        <v>5</v>
      </c>
      <c r="AI227" s="227">
        <f t="shared" si="91"/>
        <v>-0.77400724527286469</v>
      </c>
      <c r="AJ227" s="267" t="b">
        <f t="shared" si="92"/>
        <v>0</v>
      </c>
      <c r="AK227" s="267" t="b">
        <f t="shared" si="93"/>
        <v>0</v>
      </c>
      <c r="AL227" s="267"/>
      <c r="AM227" s="267"/>
      <c r="AN227" s="75"/>
    </row>
    <row r="228" spans="1:40" s="6" customFormat="1" ht="11.25" customHeight="1" x14ac:dyDescent="0.2">
      <c r="A228" s="56">
        <f t="shared" si="94"/>
        <v>44044</v>
      </c>
      <c r="B228" s="620">
        <v>36.383000000000003</v>
      </c>
      <c r="C228" s="392"/>
      <c r="D228" s="395">
        <f t="shared" si="74"/>
        <v>37.007228870804425</v>
      </c>
      <c r="E228" s="387">
        <f t="shared" si="72"/>
        <v>42.07840077343208</v>
      </c>
      <c r="F228" s="387">
        <f t="shared" si="75"/>
        <v>42.094142062635171</v>
      </c>
      <c r="G228" s="110">
        <f t="shared" si="73"/>
        <v>0.710923768661892</v>
      </c>
      <c r="H228" s="416" t="b">
        <f>Wh_hp&gt;='2019'!Maxi_hp</f>
        <v>0</v>
      </c>
      <c r="I228" s="382">
        <f>IF(H228,Wh_hp,'2019'!Maxi_hp)</f>
        <v>57.016794472934762</v>
      </c>
      <c r="J228" s="85">
        <f>IF(H228,An,'2019'!An_max)</f>
        <v>2019</v>
      </c>
      <c r="K228" s="199">
        <f t="shared" si="76"/>
        <v>44044</v>
      </c>
      <c r="L228" s="147">
        <f>IF(t&lt;Tvie,1-EXP((T0-t)*PertePVj)+'2019'!Pspv,1-EXP((T0-t)*PertePVj)+Pspv)</f>
        <v>1.686775502655613E-2</v>
      </c>
      <c r="M228" s="872"/>
      <c r="N228" s="872"/>
      <c r="O228" s="48">
        <f>IF(t&lt;Tnet,'2019'!Resal+('2019'!Salim-'2019'!Resal)*(1-EXP(('2019'!Tnet-t)/('2019'!Tau_j))),Resal+(Salim-Resal)*(1-EXP((Tnet-t)/(Tau_j))))*Salcycl</f>
        <v>0.12051722046027812</v>
      </c>
      <c r="P228" s="171">
        <f>(INDEX(Models!$BJ228:$BT228,,T228)*(1-R228)+INDEX(Models!$BJ228:$BT228,,T228+1)*R228-ERP_i)*Q228*Ramure*Pc/MaxiM</f>
        <v>6.3673378079426291E-4</v>
      </c>
      <c r="Q228" s="307">
        <f t="shared" si="77"/>
        <v>0.9</v>
      </c>
      <c r="R228" s="179">
        <f t="shared" si="78"/>
        <v>0.22866962904562682</v>
      </c>
      <c r="S228" s="839">
        <f t="shared" si="79"/>
        <v>-1</v>
      </c>
      <c r="T228" s="178">
        <f t="shared" si="80"/>
        <v>5</v>
      </c>
      <c r="U228" s="253">
        <f t="shared" si="81"/>
        <v>-0.77133037095437318</v>
      </c>
      <c r="V228" s="385">
        <f t="shared" si="82"/>
        <v>51.163623055212319</v>
      </c>
      <c r="W228" s="404"/>
      <c r="X228" s="157">
        <f t="shared" si="83"/>
        <v>44044</v>
      </c>
      <c r="Y228" s="387">
        <f t="shared" si="84"/>
        <v>36.383000000000003</v>
      </c>
      <c r="Z228" s="387">
        <f t="shared" si="85"/>
        <v>37.007228870804425</v>
      </c>
      <c r="AA228" s="388">
        <f t="shared" si="86"/>
        <v>42.07840077343208</v>
      </c>
      <c r="AB228" s="199">
        <f t="shared" si="87"/>
        <v>44044</v>
      </c>
      <c r="AC228" s="119">
        <f>IF(OR(t&lt;Tnet,NoTnet),'2019'!Resal_s+('2019'!Salim-'2019'!Resal_s)*(1-EXP(('2019'!Tnet_s-t)/'2019'!Tau_j)),Resal_s+(Salim-Resal_s)*(1-EXP((Tnet_s-t)/Tau_j)))*Salcycl</f>
        <v>0.12051722046027812</v>
      </c>
      <c r="AD228" s="233">
        <f>(INDEX(Models!$BJ228:$BT228,,AH228)*(1-AF228)+INDEX(Models!$BJ228:$BT228,,AH228+1)*AF228-ERP_i)*AE228*Ramure*Pc/MaxiM</f>
        <v>6.3673378079426291E-4</v>
      </c>
      <c r="AE228" s="307">
        <f t="shared" si="88"/>
        <v>0.9</v>
      </c>
      <c r="AF228" s="179">
        <f t="shared" si="89"/>
        <v>0.22866962904562682</v>
      </c>
      <c r="AG228" s="839">
        <f t="shared" si="95"/>
        <v>-1</v>
      </c>
      <c r="AH228" s="178">
        <f t="shared" si="90"/>
        <v>5</v>
      </c>
      <c r="AI228" s="227">
        <f t="shared" si="91"/>
        <v>-0.77133037095437318</v>
      </c>
      <c r="AJ228" s="267" t="b">
        <f t="shared" si="92"/>
        <v>0</v>
      </c>
      <c r="AK228" s="267" t="b">
        <f t="shared" si="93"/>
        <v>0</v>
      </c>
      <c r="AL228" s="267"/>
      <c r="AM228" s="267"/>
      <c r="AN228" s="75"/>
    </row>
    <row r="229" spans="1:40" s="6" customFormat="1" ht="11.25" customHeight="1" x14ac:dyDescent="0.2">
      <c r="A229" s="56">
        <f t="shared" si="94"/>
        <v>44045</v>
      </c>
      <c r="B229" s="620">
        <v>29.792999999999999</v>
      </c>
      <c r="C229" s="392"/>
      <c r="D229" s="395">
        <f t="shared" si="74"/>
        <v>30.304868439723133</v>
      </c>
      <c r="E229" s="387">
        <f t="shared" si="72"/>
        <v>34.460632985303853</v>
      </c>
      <c r="F229" s="387">
        <f t="shared" si="75"/>
        <v>34.470265487001882</v>
      </c>
      <c r="G229" s="110">
        <f t="shared" si="73"/>
        <v>0.58392771288407719</v>
      </c>
      <c r="H229" s="416" t="b">
        <f>Wh_hp&gt;='2019'!Maxi_hp</f>
        <v>0</v>
      </c>
      <c r="I229" s="382">
        <f>IF(H229,Wh_hp,'2019'!Maxi_hp)</f>
        <v>57.318775039173993</v>
      </c>
      <c r="J229" s="85">
        <f>IF(H229,An,'2019'!An_max)</f>
        <v>2019</v>
      </c>
      <c r="K229" s="199">
        <f t="shared" si="76"/>
        <v>44045</v>
      </c>
      <c r="L229" s="147">
        <f>IF(t&lt;Tvie,1-EXP((T0-t)*PertePVj)+'2019'!Pspv,1-EXP((T0-t)*PertePVj)+Pspv)</f>
        <v>1.6890633950160439E-2</v>
      </c>
      <c r="M229" s="872"/>
      <c r="N229" s="872"/>
      <c r="O229" s="48">
        <f>IF(t&lt;Tnet,'2019'!Resal+('2019'!Salim-'2019'!Resal)*(1-EXP(('2019'!Tnet-t)/('2019'!Tau_j))),Resal+(Salim-Resal)*(1-EXP((Tnet-t)/(Tau_j))))*Salcycl</f>
        <v>0.12059455052241778</v>
      </c>
      <c r="P229" s="171">
        <f>(INDEX(Models!$BJ229:$BT229,,T229)*(1-R229)+INDEX(Models!$BJ229:$BT229,,T229+1)*R229-ERP_i)*Q229*Ramure*Pc/MaxiM</f>
        <v>6.8836595931429264E-4</v>
      </c>
      <c r="Q229" s="307">
        <f t="shared" si="77"/>
        <v>0.9</v>
      </c>
      <c r="R229" s="179">
        <f t="shared" si="78"/>
        <v>0.23126030149743904</v>
      </c>
      <c r="S229" s="839">
        <f t="shared" si="79"/>
        <v>-1</v>
      </c>
      <c r="T229" s="178">
        <f t="shared" si="80"/>
        <v>5</v>
      </c>
      <c r="U229" s="253">
        <f t="shared" si="81"/>
        <v>-0.76873969850256096</v>
      </c>
      <c r="V229" s="385">
        <f t="shared" si="82"/>
        <v>51.000856646035174</v>
      </c>
      <c r="W229" s="404"/>
      <c r="X229" s="157">
        <f t="shared" si="83"/>
        <v>44045</v>
      </c>
      <c r="Y229" s="387">
        <f t="shared" si="84"/>
        <v>29.792999999999999</v>
      </c>
      <c r="Z229" s="387">
        <f t="shared" si="85"/>
        <v>30.304868439723133</v>
      </c>
      <c r="AA229" s="388">
        <f t="shared" si="86"/>
        <v>34.460632985303853</v>
      </c>
      <c r="AB229" s="199">
        <f t="shared" si="87"/>
        <v>44045</v>
      </c>
      <c r="AC229" s="119">
        <f>IF(OR(t&lt;Tnet,NoTnet),'2019'!Resal_s+('2019'!Salim-'2019'!Resal_s)*(1-EXP(('2019'!Tnet_s-t)/'2019'!Tau_j)),Resal_s+(Salim-Resal_s)*(1-EXP((Tnet_s-t)/Tau_j)))*Salcycl</f>
        <v>0.12059455052241778</v>
      </c>
      <c r="AD229" s="233">
        <f>(INDEX(Models!$BJ229:$BT229,,AH229)*(1-AF229)+INDEX(Models!$BJ229:$BT229,,AH229+1)*AF229-ERP_i)*AE229*Ramure*Pc/MaxiM</f>
        <v>6.8836595931429264E-4</v>
      </c>
      <c r="AE229" s="307">
        <f t="shared" si="88"/>
        <v>0.9</v>
      </c>
      <c r="AF229" s="179">
        <f t="shared" si="89"/>
        <v>0.23126030149743904</v>
      </c>
      <c r="AG229" s="839">
        <f t="shared" si="95"/>
        <v>-1</v>
      </c>
      <c r="AH229" s="178">
        <f t="shared" si="90"/>
        <v>5</v>
      </c>
      <c r="AI229" s="227">
        <f t="shared" si="91"/>
        <v>-0.76873969850256096</v>
      </c>
      <c r="AJ229" s="267" t="b">
        <f t="shared" si="92"/>
        <v>0</v>
      </c>
      <c r="AK229" s="267" t="b">
        <f t="shared" si="93"/>
        <v>0</v>
      </c>
      <c r="AL229" s="267"/>
      <c r="AM229" s="267"/>
      <c r="AN229" s="75"/>
    </row>
    <row r="230" spans="1:40" s="6" customFormat="1" ht="11.25" customHeight="1" x14ac:dyDescent="0.2">
      <c r="A230" s="56">
        <f t="shared" si="94"/>
        <v>44046</v>
      </c>
      <c r="B230" s="620">
        <v>43.661000000000001</v>
      </c>
      <c r="C230" s="392"/>
      <c r="D230" s="395">
        <f t="shared" si="74"/>
        <v>44.412165712890555</v>
      </c>
      <c r="E230" s="387">
        <f t="shared" si="72"/>
        <v>50.506895172796192</v>
      </c>
      <c r="F230" s="387">
        <f t="shared" si="75"/>
        <v>50.536934814399494</v>
      </c>
      <c r="G230" s="110">
        <f t="shared" si="73"/>
        <v>0.8587567567128267</v>
      </c>
      <c r="H230" s="416" t="b">
        <f>Wh_hp&gt;='2019'!Maxi_hp</f>
        <v>0</v>
      </c>
      <c r="I230" s="382">
        <f>IF(H230,Wh_hp,'2019'!Maxi_hp)</f>
        <v>52.926175209989978</v>
      </c>
      <c r="J230" s="85">
        <f>IF(H230,An,'2019'!An_max)</f>
        <v>2019</v>
      </c>
      <c r="K230" s="199">
        <f t="shared" si="76"/>
        <v>44046</v>
      </c>
      <c r="L230" s="147">
        <f>IF(t&lt;Tvie,1-EXP((T0-t)*PertePVj)+'2019'!Pspv,1-EXP((T0-t)*PertePVj)+Pspv)</f>
        <v>1.6913512341338754E-2</v>
      </c>
      <c r="M230" s="872"/>
      <c r="N230" s="872"/>
      <c r="O230" s="48">
        <f>IF(t&lt;Tnet,'2019'!Resal+('2019'!Salim-'2019'!Resal)*(1-EXP(('2019'!Tnet-t)/('2019'!Tau_j))),Resal+(Salim-Resal)*(1-EXP((Tnet-t)/(Tau_j))))*Salcycl</f>
        <v>0.12067123585906644</v>
      </c>
      <c r="P230" s="171">
        <f>(INDEX(Models!$BJ230:$BT230,,T230)*(1-R230)+INDEX(Models!$BJ230:$BT230,,T230+1)*R230-ERP_i)*Q230*Ramure*Pc/MaxiM</f>
        <v>7.4449341742341174E-4</v>
      </c>
      <c r="Q230" s="307">
        <f t="shared" si="77"/>
        <v>0.9</v>
      </c>
      <c r="R230" s="179">
        <f t="shared" si="78"/>
        <v>0.23376678664598649</v>
      </c>
      <c r="S230" s="839">
        <f t="shared" si="79"/>
        <v>-1</v>
      </c>
      <c r="T230" s="178">
        <f t="shared" si="80"/>
        <v>5</v>
      </c>
      <c r="U230" s="253">
        <f t="shared" si="81"/>
        <v>-0.76623321335401351</v>
      </c>
      <c r="V230" s="385">
        <f t="shared" si="82"/>
        <v>50.8344684963525</v>
      </c>
      <c r="W230" s="404"/>
      <c r="X230" s="157">
        <f t="shared" si="83"/>
        <v>44046</v>
      </c>
      <c r="Y230" s="387">
        <f t="shared" si="84"/>
        <v>43.661000000000001</v>
      </c>
      <c r="Z230" s="387">
        <f t="shared" si="85"/>
        <v>44.412165712890555</v>
      </c>
      <c r="AA230" s="388">
        <f t="shared" si="86"/>
        <v>50.506895172796192</v>
      </c>
      <c r="AB230" s="199">
        <f t="shared" si="87"/>
        <v>44046</v>
      </c>
      <c r="AC230" s="119">
        <f>IF(OR(t&lt;Tnet,NoTnet),'2019'!Resal_s+('2019'!Salim-'2019'!Resal_s)*(1-EXP(('2019'!Tnet_s-t)/'2019'!Tau_j)),Resal_s+(Salim-Resal_s)*(1-EXP((Tnet_s-t)/Tau_j)))*Salcycl</f>
        <v>0.12067123585906644</v>
      </c>
      <c r="AD230" s="233">
        <f>(INDEX(Models!$BJ230:$BT230,,AH230)*(1-AF230)+INDEX(Models!$BJ230:$BT230,,AH230+1)*AF230-ERP_i)*AE230*Ramure*Pc/MaxiM</f>
        <v>7.4449341742341174E-4</v>
      </c>
      <c r="AE230" s="307">
        <f t="shared" si="88"/>
        <v>0.9</v>
      </c>
      <c r="AF230" s="179">
        <f t="shared" si="89"/>
        <v>0.23376678664598649</v>
      </c>
      <c r="AG230" s="839">
        <f t="shared" si="95"/>
        <v>-1</v>
      </c>
      <c r="AH230" s="178">
        <f t="shared" si="90"/>
        <v>5</v>
      </c>
      <c r="AI230" s="227">
        <f t="shared" si="91"/>
        <v>-0.76623321335401351</v>
      </c>
      <c r="AJ230" s="267" t="b">
        <f t="shared" si="92"/>
        <v>0</v>
      </c>
      <c r="AK230" s="267" t="b">
        <f t="shared" si="93"/>
        <v>0</v>
      </c>
      <c r="AL230" s="267"/>
      <c r="AM230" s="267"/>
      <c r="AN230" s="75"/>
    </row>
    <row r="231" spans="1:40" s="6" customFormat="1" ht="11.25" customHeight="1" x14ac:dyDescent="0.2">
      <c r="A231" s="56">
        <f t="shared" si="94"/>
        <v>44047</v>
      </c>
      <c r="B231" s="620">
        <v>49.9</v>
      </c>
      <c r="C231" s="392"/>
      <c r="D231" s="395">
        <f t="shared" si="74"/>
        <v>50.75968584592119</v>
      </c>
      <c r="E231" s="387">
        <f t="shared" si="72"/>
        <v>57.730485688649921</v>
      </c>
      <c r="F231" s="387">
        <f t="shared" si="75"/>
        <v>57.776003242992068</v>
      </c>
      <c r="G231" s="110">
        <f t="shared" si="73"/>
        <v>0.98489801043407577</v>
      </c>
      <c r="H231" s="416" t="b">
        <f>Wh_hp&gt;='2019'!Maxi_hp</f>
        <v>1</v>
      </c>
      <c r="I231" s="382">
        <f>IF(H231,Wh_hp,'2019'!Maxi_hp)</f>
        <v>57.776003242992068</v>
      </c>
      <c r="J231" s="85">
        <f>IF(H231,An,'2019'!An_max)</f>
        <v>2020</v>
      </c>
      <c r="K231" s="199">
        <f t="shared" si="76"/>
        <v>44047</v>
      </c>
      <c r="L231" s="147">
        <f>IF(t&lt;Tvie,1-EXP((T0-t)*PertePVj)+'2019'!Pspv,1-EXP((T0-t)*PertePVj)+Pspv)</f>
        <v>1.6936390200103513E-2</v>
      </c>
      <c r="M231" s="872"/>
      <c r="N231" s="872"/>
      <c r="O231" s="48">
        <f>IF(t&lt;Tnet,'2019'!Resal+('2019'!Salim-'2019'!Resal)*(1-EXP(('2019'!Tnet-t)/('2019'!Tau_j))),Resal+(Salim-Resal)*(1-EXP((Tnet-t)/(Tau_j))))*Salcycl</f>
        <v>0.12074729251930091</v>
      </c>
      <c r="P231" s="171">
        <f>(INDEX(Models!$BJ231:$BT231,,T231)*(1-R231)+INDEX(Models!$BJ231:$BT231,,T231+1)*R231-ERP_i)*Q231*Ramure*Pc/MaxiM</f>
        <v>8.0517950949697689E-4</v>
      </c>
      <c r="Q231" s="307">
        <f t="shared" si="77"/>
        <v>0.9</v>
      </c>
      <c r="R231" s="179">
        <f t="shared" si="78"/>
        <v>0.23619110780908581</v>
      </c>
      <c r="S231" s="839">
        <f t="shared" si="79"/>
        <v>-1</v>
      </c>
      <c r="T231" s="178">
        <f t="shared" si="80"/>
        <v>5</v>
      </c>
      <c r="U231" s="253">
        <f t="shared" si="81"/>
        <v>-0.76380889219091419</v>
      </c>
      <c r="V231" s="385">
        <f t="shared" si="82"/>
        <v>50.664264674574071</v>
      </c>
      <c r="W231" s="404"/>
      <c r="X231" s="157">
        <f t="shared" si="83"/>
        <v>44047</v>
      </c>
      <c r="Y231" s="387">
        <f t="shared" si="84"/>
        <v>49.9</v>
      </c>
      <c r="Z231" s="387">
        <f t="shared" si="85"/>
        <v>50.75968584592119</v>
      </c>
      <c r="AA231" s="388">
        <f t="shared" si="86"/>
        <v>57.730485688649921</v>
      </c>
      <c r="AB231" s="199">
        <f t="shared" si="87"/>
        <v>44047</v>
      </c>
      <c r="AC231" s="119">
        <f>IF(OR(t&lt;Tnet,NoTnet),'2019'!Resal_s+('2019'!Salim-'2019'!Resal_s)*(1-EXP(('2019'!Tnet_s-t)/'2019'!Tau_j)),Resal_s+(Salim-Resal_s)*(1-EXP((Tnet_s-t)/Tau_j)))*Salcycl</f>
        <v>0.12074729251930091</v>
      </c>
      <c r="AD231" s="233">
        <f>(INDEX(Models!$BJ231:$BT231,,AH231)*(1-AF231)+INDEX(Models!$BJ231:$BT231,,AH231+1)*AF231-ERP_i)*AE231*Ramure*Pc/MaxiM</f>
        <v>8.0517950949697689E-4</v>
      </c>
      <c r="AE231" s="307">
        <f t="shared" si="88"/>
        <v>0.9</v>
      </c>
      <c r="AF231" s="179">
        <f t="shared" si="89"/>
        <v>0.23619110780908581</v>
      </c>
      <c r="AG231" s="839">
        <f t="shared" si="95"/>
        <v>-1</v>
      </c>
      <c r="AH231" s="178">
        <f t="shared" si="90"/>
        <v>5</v>
      </c>
      <c r="AI231" s="227">
        <f t="shared" si="91"/>
        <v>-0.76380889219091419</v>
      </c>
      <c r="AJ231" s="267" t="b">
        <f t="shared" si="92"/>
        <v>0</v>
      </c>
      <c r="AK231" s="267" t="b">
        <f t="shared" si="93"/>
        <v>0</v>
      </c>
      <c r="AL231" s="267"/>
      <c r="AM231" s="267"/>
      <c r="AN231" s="75"/>
    </row>
    <row r="232" spans="1:40" s="6" customFormat="1" ht="11.25" customHeight="1" x14ac:dyDescent="0.2">
      <c r="A232" s="56">
        <f t="shared" si="94"/>
        <v>44048</v>
      </c>
      <c r="B232" s="620">
        <v>49.09</v>
      </c>
      <c r="C232" s="392"/>
      <c r="D232" s="395">
        <f t="shared" si="74"/>
        <v>49.936893130032821</v>
      </c>
      <c r="E232" s="387">
        <f t="shared" si="72"/>
        <v>56.799572745063848</v>
      </c>
      <c r="F232" s="387">
        <f t="shared" si="75"/>
        <v>56.847097363544755</v>
      </c>
      <c r="G232" s="110">
        <f t="shared" si="73"/>
        <v>0.9722371894700782</v>
      </c>
      <c r="H232" s="416" t="b">
        <f>Wh_hp&gt;='2019'!Maxi_hp</f>
        <v>1</v>
      </c>
      <c r="I232" s="382">
        <f>IF(H232,Wh_hp,'2019'!Maxi_hp)</f>
        <v>56.847097363544755</v>
      </c>
      <c r="J232" s="85">
        <f>IF(H232,An,'2019'!An_max)</f>
        <v>2020</v>
      </c>
      <c r="K232" s="199">
        <f t="shared" si="76"/>
        <v>44048</v>
      </c>
      <c r="L232" s="147">
        <f>IF(t&lt;Tvie,1-EXP((T0-t)*PertePVj)+'2019'!Pspv,1-EXP((T0-t)*PertePVj)+Pspv)</f>
        <v>1.6959267526467037E-2</v>
      </c>
      <c r="M232" s="872"/>
      <c r="N232" s="872"/>
      <c r="O232" s="48">
        <f>IF(t&lt;Tnet,'2019'!Resal+('2019'!Salim-'2019'!Resal)*(1-EXP(('2019'!Tnet-t)/('2019'!Tau_j))),Resal+(Salim-Resal)*(1-EXP((Tnet-t)/(Tau_j))))*Salcycl</f>
        <v>0.1208227330482415</v>
      </c>
      <c r="P232" s="171">
        <f>(INDEX(Models!$BJ232:$BT232,,T232)*(1-R232)+INDEX(Models!$BJ232:$BT232,,T232+1)*R232-ERP_i)*Q232*Ramure*Pc/MaxiM</f>
        <v>8.7049077419572242E-4</v>
      </c>
      <c r="Q232" s="307">
        <f t="shared" si="77"/>
        <v>0.9</v>
      </c>
      <c r="R232" s="179">
        <f t="shared" si="78"/>
        <v>0.23853529204242996</v>
      </c>
      <c r="S232" s="839">
        <f t="shared" si="79"/>
        <v>-1</v>
      </c>
      <c r="T232" s="178">
        <f t="shared" si="80"/>
        <v>5</v>
      </c>
      <c r="U232" s="253">
        <f t="shared" si="81"/>
        <v>-0.76146470795757004</v>
      </c>
      <c r="V232" s="385">
        <f t="shared" si="82"/>
        <v>50.490051550743537</v>
      </c>
      <c r="W232" s="404"/>
      <c r="X232" s="157">
        <f t="shared" si="83"/>
        <v>44048</v>
      </c>
      <c r="Y232" s="387">
        <f t="shared" si="84"/>
        <v>49.09</v>
      </c>
      <c r="Z232" s="387">
        <f t="shared" si="85"/>
        <v>49.936893130032821</v>
      </c>
      <c r="AA232" s="388">
        <f t="shared" si="86"/>
        <v>56.799572745063848</v>
      </c>
      <c r="AB232" s="199">
        <f t="shared" si="87"/>
        <v>44048</v>
      </c>
      <c r="AC232" s="119">
        <f>IF(OR(t&lt;Tnet,NoTnet),'2019'!Resal_s+('2019'!Salim-'2019'!Resal_s)*(1-EXP(('2019'!Tnet_s-t)/'2019'!Tau_j)),Resal_s+(Salim-Resal_s)*(1-EXP((Tnet_s-t)/Tau_j)))*Salcycl</f>
        <v>0.1208227330482415</v>
      </c>
      <c r="AD232" s="233">
        <f>(INDEX(Models!$BJ232:$BT232,,AH232)*(1-AF232)+INDEX(Models!$BJ232:$BT232,,AH232+1)*AF232-ERP_i)*AE232*Ramure*Pc/MaxiM</f>
        <v>8.7049077419572242E-4</v>
      </c>
      <c r="AE232" s="307">
        <f t="shared" si="88"/>
        <v>0.9</v>
      </c>
      <c r="AF232" s="179">
        <f t="shared" si="89"/>
        <v>0.23853529204242996</v>
      </c>
      <c r="AG232" s="839">
        <f t="shared" si="95"/>
        <v>-1</v>
      </c>
      <c r="AH232" s="178">
        <f t="shared" si="90"/>
        <v>5</v>
      </c>
      <c r="AI232" s="227">
        <f t="shared" si="91"/>
        <v>-0.76146470795757004</v>
      </c>
      <c r="AJ232" s="267" t="b">
        <f t="shared" si="92"/>
        <v>0</v>
      </c>
      <c r="AK232" s="267" t="b">
        <f t="shared" si="93"/>
        <v>0</v>
      </c>
      <c r="AL232" s="267"/>
      <c r="AM232" s="267"/>
      <c r="AN232" s="75"/>
    </row>
    <row r="233" spans="1:40" s="6" customFormat="1" ht="11.25" customHeight="1" x14ac:dyDescent="0.2">
      <c r="A233" s="56">
        <f t="shared" si="94"/>
        <v>44049</v>
      </c>
      <c r="B233" s="620">
        <v>47.406999999999996</v>
      </c>
      <c r="C233" s="392"/>
      <c r="D233" s="395">
        <f t="shared" si="74"/>
        <v>48.225980561896947</v>
      </c>
      <c r="E233" s="387">
        <f t="shared" ref="E233:E296" si="96">Wh_pvt/(1-Psa)</f>
        <v>54.858203926783162</v>
      </c>
      <c r="F233" s="387">
        <f t="shared" si="75"/>
        <v>54.905580485726198</v>
      </c>
      <c r="G233" s="110">
        <f t="shared" ref="G233:G296" si="97">+Wh_hp/MaxiM</f>
        <v>0.94216917385274812</v>
      </c>
      <c r="H233" s="416" t="b">
        <f>Wh_hp&gt;='2019'!Maxi_hp</f>
        <v>1</v>
      </c>
      <c r="I233" s="382">
        <f>IF(H233,Wh_hp,'2019'!Maxi_hp)</f>
        <v>54.905580485726198</v>
      </c>
      <c r="J233" s="85">
        <f>IF(H233,An,'2019'!An_max)</f>
        <v>2020</v>
      </c>
      <c r="K233" s="199">
        <f t="shared" si="76"/>
        <v>44049</v>
      </c>
      <c r="L233" s="147">
        <f>IF(t&lt;Tvie,1-EXP((T0-t)*PertePVj)+'2019'!Pspv,1-EXP((T0-t)*PertePVj)+Pspv)</f>
        <v>1.6982144320441761E-2</v>
      </c>
      <c r="M233" s="872"/>
      <c r="N233" s="872"/>
      <c r="O233" s="48">
        <f>IF(t&lt;Tnet,'2019'!Resal+('2019'!Salim-'2019'!Resal)*(1-EXP(('2019'!Tnet-t)/('2019'!Tau_j))),Resal+(Salim-Resal)*(1-EXP((Tnet-t)/(Tau_j))))*Salcycl</f>
        <v>0.12089756663812676</v>
      </c>
      <c r="P233" s="171">
        <f>(INDEX(Models!$BJ233:$BT233,,T233)*(1-R233)+INDEX(Models!$BJ233:$BT233,,T233+1)*R233-ERP_i)*Q233*Ramure*Pc/MaxiM</f>
        <v>9.404725487861227E-4</v>
      </c>
      <c r="Q233" s="307">
        <f t="shared" si="77"/>
        <v>0.9</v>
      </c>
      <c r="R233" s="179">
        <f t="shared" si="78"/>
        <v>0.24080136547381892</v>
      </c>
      <c r="S233" s="839">
        <f t="shared" si="79"/>
        <v>-1</v>
      </c>
      <c r="T233" s="178">
        <f t="shared" si="80"/>
        <v>5</v>
      </c>
      <c r="U233" s="253">
        <f t="shared" si="81"/>
        <v>-0.75919863452618108</v>
      </c>
      <c r="V233" s="385">
        <f t="shared" si="82"/>
        <v>50.312958002140093</v>
      </c>
      <c r="W233" s="404"/>
      <c r="X233" s="157">
        <f t="shared" si="83"/>
        <v>44049</v>
      </c>
      <c r="Y233" s="387">
        <f t="shared" si="84"/>
        <v>47.406999999999996</v>
      </c>
      <c r="Z233" s="387">
        <f t="shared" si="85"/>
        <v>48.225980561896947</v>
      </c>
      <c r="AA233" s="388">
        <f t="shared" si="86"/>
        <v>54.858203926783162</v>
      </c>
      <c r="AB233" s="199">
        <f t="shared" si="87"/>
        <v>44049</v>
      </c>
      <c r="AC233" s="119">
        <f>IF(OR(t&lt;Tnet,NoTnet),'2019'!Resal_s+('2019'!Salim-'2019'!Resal_s)*(1-EXP(('2019'!Tnet_s-t)/'2019'!Tau_j)),Resal_s+(Salim-Resal_s)*(1-EXP((Tnet_s-t)/Tau_j)))*Salcycl</f>
        <v>0.12089756663812676</v>
      </c>
      <c r="AD233" s="233">
        <f>(INDEX(Models!$BJ233:$BT233,,AH233)*(1-AF233)+INDEX(Models!$BJ233:$BT233,,AH233+1)*AF233-ERP_i)*AE233*Ramure*Pc/MaxiM</f>
        <v>9.404725487861227E-4</v>
      </c>
      <c r="AE233" s="307">
        <f t="shared" si="88"/>
        <v>0.9</v>
      </c>
      <c r="AF233" s="179">
        <f t="shared" si="89"/>
        <v>0.24080136547381892</v>
      </c>
      <c r="AG233" s="839">
        <f t="shared" si="95"/>
        <v>-1</v>
      </c>
      <c r="AH233" s="178">
        <f t="shared" si="90"/>
        <v>5</v>
      </c>
      <c r="AI233" s="227">
        <f t="shared" si="91"/>
        <v>-0.75919863452618108</v>
      </c>
      <c r="AJ233" s="267" t="b">
        <f t="shared" si="92"/>
        <v>0</v>
      </c>
      <c r="AK233" s="267" t="b">
        <f t="shared" si="93"/>
        <v>0</v>
      </c>
      <c r="AL233" s="267"/>
      <c r="AM233" s="267"/>
      <c r="AN233" s="75"/>
    </row>
    <row r="234" spans="1:40" s="6" customFormat="1" ht="11.25" customHeight="1" x14ac:dyDescent="0.2">
      <c r="A234" s="56">
        <f t="shared" si="94"/>
        <v>44050</v>
      </c>
      <c r="B234" s="620">
        <v>45.250999999999998</v>
      </c>
      <c r="C234" s="392"/>
      <c r="D234" s="395">
        <f t="shared" si="74"/>
        <v>46.033805815359827</v>
      </c>
      <c r="E234" s="387">
        <f t="shared" si="96"/>
        <v>52.368974941063655</v>
      </c>
      <c r="F234" s="387">
        <f t="shared" si="75"/>
        <v>52.414843002460067</v>
      </c>
      <c r="G234" s="110">
        <f t="shared" si="97"/>
        <v>0.90247478441616802</v>
      </c>
      <c r="H234" s="416" t="b">
        <f>Wh_hp&gt;='2019'!Maxi_hp</f>
        <v>0</v>
      </c>
      <c r="I234" s="382">
        <f>IF(H234,Wh_hp,'2019'!Maxi_hp)</f>
        <v>54.4584975814522</v>
      </c>
      <c r="J234" s="85">
        <f>IF(H234,An,'2019'!An_max)</f>
        <v>2019</v>
      </c>
      <c r="K234" s="199">
        <f t="shared" si="76"/>
        <v>44050</v>
      </c>
      <c r="L234" s="147">
        <f>IF(t&lt;Tvie,1-EXP((T0-t)*PertePVj)+'2019'!Pspv,1-EXP((T0-t)*PertePVj)+Pspv)</f>
        <v>1.700502058204012E-2</v>
      </c>
      <c r="M234" s="872"/>
      <c r="N234" s="872"/>
      <c r="O234" s="48">
        <f>IF(t&lt;Tnet,'2019'!Resal+('2019'!Salim-'2019'!Resal)*(1-EXP(('2019'!Tnet-t)/('2019'!Tau_j))),Resal+(Salim-Resal)*(1-EXP((Tnet-t)/(Tau_j))))*Salcycl</f>
        <v>0.1209717992921088</v>
      </c>
      <c r="P234" s="171">
        <f>(INDEX(Models!$BJ234:$BT234,,T234)*(1-R234)+INDEX(Models!$BJ234:$BT234,,T234+1)*R234-ERP_i)*Q234*Ramure*Pc/MaxiM</f>
        <v>1.0165369355515535E-3</v>
      </c>
      <c r="Q234" s="307">
        <f t="shared" si="77"/>
        <v>0.9</v>
      </c>
      <c r="R234" s="179">
        <f t="shared" si="78"/>
        <v>0.24299134897990904</v>
      </c>
      <c r="S234" s="839">
        <f t="shared" si="79"/>
        <v>-1</v>
      </c>
      <c r="T234" s="178">
        <f t="shared" si="80"/>
        <v>5</v>
      </c>
      <c r="U234" s="253">
        <f t="shared" si="81"/>
        <v>-0.75700865102009096</v>
      </c>
      <c r="V234" s="385">
        <f t="shared" si="82"/>
        <v>50.133914950224792</v>
      </c>
      <c r="W234" s="404"/>
      <c r="X234" s="157">
        <f t="shared" si="83"/>
        <v>44050</v>
      </c>
      <c r="Y234" s="387">
        <f t="shared" si="84"/>
        <v>45.250999999999998</v>
      </c>
      <c r="Z234" s="387">
        <f t="shared" si="85"/>
        <v>46.033805815359827</v>
      </c>
      <c r="AA234" s="388">
        <f t="shared" si="86"/>
        <v>52.368974941063655</v>
      </c>
      <c r="AB234" s="199">
        <f t="shared" si="87"/>
        <v>44050</v>
      </c>
      <c r="AC234" s="119">
        <f>IF(OR(t&lt;Tnet,NoTnet),'2019'!Resal_s+('2019'!Salim-'2019'!Resal_s)*(1-EXP(('2019'!Tnet_s-t)/'2019'!Tau_j)),Resal_s+(Salim-Resal_s)*(1-EXP((Tnet_s-t)/Tau_j)))*Salcycl</f>
        <v>0.1209717992921088</v>
      </c>
      <c r="AD234" s="233">
        <f>(INDEX(Models!$BJ234:$BT234,,AH234)*(1-AF234)+INDEX(Models!$BJ234:$BT234,,AH234+1)*AF234-ERP_i)*AE234*Ramure*Pc/MaxiM</f>
        <v>1.0165369355515535E-3</v>
      </c>
      <c r="AE234" s="307">
        <f t="shared" si="88"/>
        <v>0.9</v>
      </c>
      <c r="AF234" s="179">
        <f t="shared" si="89"/>
        <v>0.24299134897990904</v>
      </c>
      <c r="AG234" s="839">
        <f t="shared" si="95"/>
        <v>-1</v>
      </c>
      <c r="AH234" s="178">
        <f t="shared" si="90"/>
        <v>5</v>
      </c>
      <c r="AI234" s="227">
        <f t="shared" si="91"/>
        <v>-0.75700865102009096</v>
      </c>
      <c r="AJ234" s="267" t="b">
        <f t="shared" si="92"/>
        <v>0</v>
      </c>
      <c r="AK234" s="267" t="b">
        <f t="shared" si="93"/>
        <v>0</v>
      </c>
      <c r="AL234" s="267"/>
      <c r="AM234" s="267"/>
      <c r="AN234" s="75"/>
    </row>
    <row r="235" spans="1:40" s="6" customFormat="1" ht="11.25" customHeight="1" x14ac:dyDescent="0.2">
      <c r="A235" s="56">
        <f t="shared" si="94"/>
        <v>44051</v>
      </c>
      <c r="B235" s="620">
        <v>44.332000000000001</v>
      </c>
      <c r="C235" s="392"/>
      <c r="D235" s="395">
        <f t="shared" si="74"/>
        <v>45.099957398219779</v>
      </c>
      <c r="E235" s="387">
        <f t="shared" si="96"/>
        <v>51.3109085983372</v>
      </c>
      <c r="F235" s="387">
        <f t="shared" si="75"/>
        <v>51.358210805669366</v>
      </c>
      <c r="G235" s="110">
        <f t="shared" si="97"/>
        <v>0.88732459220897542</v>
      </c>
      <c r="H235" s="416" t="b">
        <f>Wh_hp&gt;='2019'!Maxi_hp</f>
        <v>1</v>
      </c>
      <c r="I235" s="382">
        <f>IF(H235,Wh_hp,'2019'!Maxi_hp)</f>
        <v>51.358210805669366</v>
      </c>
      <c r="J235" s="85">
        <f>IF(H235,An,'2019'!An_max)</f>
        <v>2020</v>
      </c>
      <c r="K235" s="199">
        <f t="shared" si="76"/>
        <v>44051</v>
      </c>
      <c r="L235" s="147">
        <f>IF(t&lt;Tvie,1-EXP((T0-t)*PertePVj)+'2019'!Pspv,1-EXP((T0-t)*PertePVj)+Pspv)</f>
        <v>1.7027896311274437E-2</v>
      </c>
      <c r="M235" s="872"/>
      <c r="N235" s="872"/>
      <c r="O235" s="48">
        <f>IF(t&lt;Tnet,'2019'!Resal+('2019'!Salim-'2019'!Resal)*(1-EXP(('2019'!Tnet-t)/('2019'!Tau_j))),Resal+(Salim-Resal)*(1-EXP((Tnet-t)/(Tau_j))))*Salcycl</f>
        <v>0.12104543399799969</v>
      </c>
      <c r="P235" s="171">
        <f>(INDEX(Models!$BJ235:$BT235,,T235)*(1-R235)+INDEX(Models!$BJ235:$BT235,,T235+1)*R235-ERP_i)*Q235*Ramure*Pc/MaxiM</f>
        <v>1.0974267001610334E-3</v>
      </c>
      <c r="Q235" s="307">
        <f t="shared" si="77"/>
        <v>0.9</v>
      </c>
      <c r="R235" s="179">
        <f t="shared" si="78"/>
        <v>0.24510725419598867</v>
      </c>
      <c r="S235" s="839">
        <f t="shared" si="79"/>
        <v>-1</v>
      </c>
      <c r="T235" s="178">
        <f t="shared" si="80"/>
        <v>5</v>
      </c>
      <c r="U235" s="253">
        <f t="shared" si="81"/>
        <v>-0.75489274580401133</v>
      </c>
      <c r="V235" s="385">
        <f t="shared" si="82"/>
        <v>49.952602406639272</v>
      </c>
      <c r="W235" s="404"/>
      <c r="X235" s="157">
        <f t="shared" si="83"/>
        <v>44051</v>
      </c>
      <c r="Y235" s="387">
        <f t="shared" si="84"/>
        <v>44.332000000000001</v>
      </c>
      <c r="Z235" s="387">
        <f t="shared" si="85"/>
        <v>45.099957398219779</v>
      </c>
      <c r="AA235" s="388">
        <f t="shared" si="86"/>
        <v>51.3109085983372</v>
      </c>
      <c r="AB235" s="199">
        <f t="shared" si="87"/>
        <v>44051</v>
      </c>
      <c r="AC235" s="119">
        <f>IF(OR(t&lt;Tnet,NoTnet),'2019'!Resal_s+('2019'!Salim-'2019'!Resal_s)*(1-EXP(('2019'!Tnet_s-t)/'2019'!Tau_j)),Resal_s+(Salim-Resal_s)*(1-EXP((Tnet_s-t)/Tau_j)))*Salcycl</f>
        <v>0.12104543399799969</v>
      </c>
      <c r="AD235" s="233">
        <f>(INDEX(Models!$BJ235:$BT235,,AH235)*(1-AF235)+INDEX(Models!$BJ235:$BT235,,AH235+1)*AF235-ERP_i)*AE235*Ramure*Pc/MaxiM</f>
        <v>1.0974267001610334E-3</v>
      </c>
      <c r="AE235" s="307">
        <f t="shared" si="88"/>
        <v>0.9</v>
      </c>
      <c r="AF235" s="179">
        <f t="shared" si="89"/>
        <v>0.24510725419598867</v>
      </c>
      <c r="AG235" s="839">
        <f t="shared" si="95"/>
        <v>-1</v>
      </c>
      <c r="AH235" s="178">
        <f t="shared" si="90"/>
        <v>5</v>
      </c>
      <c r="AI235" s="227">
        <f t="shared" si="91"/>
        <v>-0.75489274580401133</v>
      </c>
      <c r="AJ235" s="267" t="b">
        <f t="shared" si="92"/>
        <v>0</v>
      </c>
      <c r="AK235" s="267" t="b">
        <f t="shared" si="93"/>
        <v>0</v>
      </c>
      <c r="AL235" s="267"/>
      <c r="AM235" s="267"/>
      <c r="AN235" s="75"/>
    </row>
    <row r="236" spans="1:40" s="6" customFormat="1" ht="11.25" customHeight="1" x14ac:dyDescent="0.2">
      <c r="A236" s="56">
        <f t="shared" si="94"/>
        <v>44052</v>
      </c>
      <c r="B236" s="620">
        <v>35.76</v>
      </c>
      <c r="C236" s="392"/>
      <c r="D236" s="395">
        <f t="shared" si="74"/>
        <v>36.380312394025907</v>
      </c>
      <c r="E236" s="387">
        <f t="shared" si="96"/>
        <v>41.393875271972348</v>
      </c>
      <c r="F236" s="387">
        <f t="shared" si="75"/>
        <v>41.423179414393957</v>
      </c>
      <c r="G236" s="110">
        <f t="shared" si="97"/>
        <v>0.71818274572817464</v>
      </c>
      <c r="H236" s="416" t="b">
        <f>Wh_hp&gt;='2019'!Maxi_hp</f>
        <v>0</v>
      </c>
      <c r="I236" s="382">
        <f>IF(H236,Wh_hp,'2019'!Maxi_hp)</f>
        <v>43.254776320132819</v>
      </c>
      <c r="J236" s="85">
        <f>IF(H236,An,'2019'!An_max)</f>
        <v>2019</v>
      </c>
      <c r="K236" s="199">
        <f t="shared" si="76"/>
        <v>44052</v>
      </c>
      <c r="L236" s="147">
        <f>IF(t&lt;Tvie,1-EXP((T0-t)*PertePVj)+'2019'!Pspv,1-EXP((T0-t)*PertePVj)+Pspv)</f>
        <v>1.7050771508157037E-2</v>
      </c>
      <c r="M236" s="872"/>
      <c r="N236" s="872"/>
      <c r="O236" s="48">
        <f>IF(t&lt;Tnet,'2019'!Resal+('2019'!Salim-'2019'!Resal)*(1-EXP(('2019'!Tnet-t)/('2019'!Tau_j))),Resal+(Salim-Resal)*(1-EXP((Tnet-t)/(Tau_j))))*Salcycl</f>
        <v>0.12111847090917592</v>
      </c>
      <c r="P236" s="171">
        <f>(INDEX(Models!$BJ236:$BT236,,T236)*(1-R236)+INDEX(Models!$BJ236:$BT236,,T236+1)*R236-ERP_i)*Q236*Ramure*Pc/MaxiM</f>
        <v>1.1832114975388018E-3</v>
      </c>
      <c r="Q236" s="307">
        <f t="shared" si="77"/>
        <v>0.9</v>
      </c>
      <c r="R236" s="179">
        <f t="shared" si="78"/>
        <v>0.24715107984824469</v>
      </c>
      <c r="S236" s="839">
        <f t="shared" si="79"/>
        <v>-1</v>
      </c>
      <c r="T236" s="178">
        <f t="shared" si="80"/>
        <v>5</v>
      </c>
      <c r="U236" s="253">
        <f t="shared" si="81"/>
        <v>-0.75284892015175531</v>
      </c>
      <c r="V236" s="385">
        <f t="shared" si="82"/>
        <v>49.768633881410139</v>
      </c>
      <c r="W236" s="404"/>
      <c r="X236" s="157">
        <f t="shared" si="83"/>
        <v>44052</v>
      </c>
      <c r="Y236" s="387">
        <f t="shared" si="84"/>
        <v>35.76</v>
      </c>
      <c r="Z236" s="387">
        <f t="shared" si="85"/>
        <v>36.380312394025907</v>
      </c>
      <c r="AA236" s="388">
        <f t="shared" si="86"/>
        <v>41.393875271972348</v>
      </c>
      <c r="AB236" s="199">
        <f t="shared" si="87"/>
        <v>44052</v>
      </c>
      <c r="AC236" s="119">
        <f>IF(OR(t&lt;Tnet,NoTnet),'2019'!Resal_s+('2019'!Salim-'2019'!Resal_s)*(1-EXP(('2019'!Tnet_s-t)/'2019'!Tau_j)),Resal_s+(Salim-Resal_s)*(1-EXP((Tnet_s-t)/Tau_j)))*Salcycl</f>
        <v>0.12111847090917592</v>
      </c>
      <c r="AD236" s="233">
        <f>(INDEX(Models!$BJ236:$BT236,,AH236)*(1-AF236)+INDEX(Models!$BJ236:$BT236,,AH236+1)*AF236-ERP_i)*AE236*Ramure*Pc/MaxiM</f>
        <v>1.1832114975388018E-3</v>
      </c>
      <c r="AE236" s="307">
        <f t="shared" si="88"/>
        <v>0.9</v>
      </c>
      <c r="AF236" s="179">
        <f t="shared" si="89"/>
        <v>0.24715107984824469</v>
      </c>
      <c r="AG236" s="839">
        <f t="shared" si="95"/>
        <v>-1</v>
      </c>
      <c r="AH236" s="178">
        <f t="shared" si="90"/>
        <v>5</v>
      </c>
      <c r="AI236" s="227">
        <f t="shared" si="91"/>
        <v>-0.75284892015175531</v>
      </c>
      <c r="AJ236" s="267" t="b">
        <f t="shared" si="92"/>
        <v>0</v>
      </c>
      <c r="AK236" s="267" t="b">
        <f t="shared" si="93"/>
        <v>0</v>
      </c>
      <c r="AL236" s="267"/>
      <c r="AM236" s="267"/>
      <c r="AN236" s="75"/>
    </row>
    <row r="237" spans="1:40" s="6" customFormat="1" ht="11.25" customHeight="1" x14ac:dyDescent="0.2">
      <c r="A237" s="56">
        <f t="shared" si="94"/>
        <v>44053</v>
      </c>
      <c r="B237" s="620">
        <v>32.679000000000002</v>
      </c>
      <c r="C237" s="392"/>
      <c r="D237" s="395">
        <f t="shared" si="74"/>
        <v>33.246641391549986</v>
      </c>
      <c r="E237" s="387">
        <f t="shared" si="96"/>
        <v>37.831471791104086</v>
      </c>
      <c r="F237" s="387">
        <f t="shared" si="75"/>
        <v>37.856212167589284</v>
      </c>
      <c r="G237" s="110">
        <f t="shared" si="97"/>
        <v>0.6586858112018058</v>
      </c>
      <c r="H237" s="416" t="b">
        <f>Wh_hp&gt;='2019'!Maxi_hp</f>
        <v>1</v>
      </c>
      <c r="I237" s="382">
        <f>IF(H237,Wh_hp,'2019'!Maxi_hp)</f>
        <v>37.856212167589284</v>
      </c>
      <c r="J237" s="85">
        <f>IF(H237,An,'2019'!An_max)</f>
        <v>2020</v>
      </c>
      <c r="K237" s="199">
        <f t="shared" si="76"/>
        <v>44053</v>
      </c>
      <c r="L237" s="147">
        <f>IF(t&lt;Tvie,1-EXP((T0-t)*PertePVj)+'2019'!Pspv,1-EXP((T0-t)*PertePVj)+Pspv)</f>
        <v>1.7073646172700463E-2</v>
      </c>
      <c r="M237" s="872"/>
      <c r="N237" s="872"/>
      <c r="O237" s="48">
        <f>IF(t&lt;Tnet,'2019'!Resal+('2019'!Salim-'2019'!Resal)*(1-EXP(('2019'!Tnet-t)/('2019'!Tau_j))),Resal+(Salim-Resal)*(1-EXP((Tnet-t)/(Tau_j))))*Salcycl</f>
        <v>0.1211909075298573</v>
      </c>
      <c r="P237" s="171">
        <f>(INDEX(Models!$BJ237:$BT237,,T237)*(1-R237)+INDEX(Models!$BJ237:$BT237,,T237+1)*R237-ERP_i)*Q237*Ramure*Pc/MaxiM</f>
        <v>1.273965970686944E-3</v>
      </c>
      <c r="Q237" s="307">
        <f t="shared" si="77"/>
        <v>0.9</v>
      </c>
      <c r="R237" s="179">
        <f t="shared" si="78"/>
        <v>0.24912480839712425</v>
      </c>
      <c r="S237" s="839">
        <f t="shared" si="79"/>
        <v>-1</v>
      </c>
      <c r="T237" s="178">
        <f t="shared" si="80"/>
        <v>5</v>
      </c>
      <c r="U237" s="253">
        <f t="shared" si="81"/>
        <v>-0.75087519160287575</v>
      </c>
      <c r="V237" s="385">
        <f t="shared" si="82"/>
        <v>49.581623190201242</v>
      </c>
      <c r="W237" s="404"/>
      <c r="X237" s="157">
        <f t="shared" si="83"/>
        <v>44053</v>
      </c>
      <c r="Y237" s="387">
        <f t="shared" si="84"/>
        <v>32.679000000000002</v>
      </c>
      <c r="Z237" s="387">
        <f t="shared" si="85"/>
        <v>33.246641391549986</v>
      </c>
      <c r="AA237" s="388">
        <f t="shared" si="86"/>
        <v>37.831471791104086</v>
      </c>
      <c r="AB237" s="199">
        <f t="shared" si="87"/>
        <v>44053</v>
      </c>
      <c r="AC237" s="119">
        <f>IF(OR(t&lt;Tnet,NoTnet),'2019'!Resal_s+('2019'!Salim-'2019'!Resal_s)*(1-EXP(('2019'!Tnet_s-t)/'2019'!Tau_j)),Resal_s+(Salim-Resal_s)*(1-EXP((Tnet_s-t)/Tau_j)))*Salcycl</f>
        <v>0.1211909075298573</v>
      </c>
      <c r="AD237" s="233">
        <f>(INDEX(Models!$BJ237:$BT237,,AH237)*(1-AF237)+INDEX(Models!$BJ237:$BT237,,AH237+1)*AF237-ERP_i)*AE237*Ramure*Pc/MaxiM</f>
        <v>1.273965970686944E-3</v>
      </c>
      <c r="AE237" s="307">
        <f t="shared" si="88"/>
        <v>0.9</v>
      </c>
      <c r="AF237" s="179">
        <f t="shared" si="89"/>
        <v>0.24912480839712425</v>
      </c>
      <c r="AG237" s="839">
        <f t="shared" si="95"/>
        <v>-1</v>
      </c>
      <c r="AH237" s="178">
        <f t="shared" si="90"/>
        <v>5</v>
      </c>
      <c r="AI237" s="227">
        <f t="shared" si="91"/>
        <v>-0.75087519160287575</v>
      </c>
      <c r="AJ237" s="267" t="b">
        <f t="shared" si="92"/>
        <v>0</v>
      </c>
      <c r="AK237" s="267" t="b">
        <f t="shared" si="93"/>
        <v>0</v>
      </c>
      <c r="AL237" s="267"/>
      <c r="AM237" s="267"/>
      <c r="AN237" s="75"/>
    </row>
    <row r="238" spans="1:40" s="6" customFormat="1" ht="11.25" customHeight="1" x14ac:dyDescent="0.2">
      <c r="A238" s="56">
        <f t="shared" si="94"/>
        <v>44054</v>
      </c>
      <c r="B238" s="620">
        <v>37.731999999999999</v>
      </c>
      <c r="C238" s="392"/>
      <c r="D238" s="395">
        <f t="shared" si="74"/>
        <v>38.388306460879811</v>
      </c>
      <c r="E238" s="387">
        <f t="shared" si="96"/>
        <v>43.685761558481829</v>
      </c>
      <c r="F238" s="387">
        <f t="shared" si="75"/>
        <v>43.725457649892178</v>
      </c>
      <c r="G238" s="110">
        <f t="shared" si="97"/>
        <v>0.76358879338603702</v>
      </c>
      <c r="H238" s="416" t="b">
        <f>Wh_hp&gt;='2019'!Maxi_hp</f>
        <v>1</v>
      </c>
      <c r="I238" s="382">
        <f>IF(H238,Wh_hp,'2019'!Maxi_hp)</f>
        <v>43.725457649892178</v>
      </c>
      <c r="J238" s="85">
        <f>IF(H238,An,'2019'!An_max)</f>
        <v>2020</v>
      </c>
      <c r="K238" s="199">
        <f t="shared" si="76"/>
        <v>44054</v>
      </c>
      <c r="L238" s="147">
        <f>IF(t&lt;Tvie,1-EXP((T0-t)*PertePVj)+'2019'!Pspv,1-EXP((T0-t)*PertePVj)+Pspv)</f>
        <v>1.709652030491704E-2</v>
      </c>
      <c r="M238" s="872"/>
      <c r="N238" s="872"/>
      <c r="O238" s="48">
        <f>IF(t&lt;Tnet,'2019'!Resal+('2019'!Salim-'2019'!Resal)*(1-EXP(('2019'!Tnet-t)/('2019'!Tau_j))),Resal+(Salim-Resal)*(1-EXP((Tnet-t)/(Tau_j))))*Salcycl</f>
        <v>0.12126273890201857</v>
      </c>
      <c r="P238" s="171">
        <f>(INDEX(Models!$BJ238:$BT238,,T238)*(1-R238)+INDEX(Models!$BJ238:$BT238,,T238+1)*R238-ERP_i)*Q238*Ramure*Pc/MaxiM</f>
        <v>1.3697702741612349E-3</v>
      </c>
      <c r="Q238" s="307">
        <f t="shared" si="77"/>
        <v>0.9</v>
      </c>
      <c r="R238" s="179">
        <f t="shared" si="78"/>
        <v>0.25103040297971668</v>
      </c>
      <c r="S238" s="839">
        <f t="shared" si="79"/>
        <v>-1</v>
      </c>
      <c r="T238" s="178">
        <f t="shared" si="80"/>
        <v>5</v>
      </c>
      <c r="U238" s="253">
        <f t="shared" si="81"/>
        <v>-0.74896959702028332</v>
      </c>
      <c r="V238" s="385">
        <f t="shared" si="82"/>
        <v>49.391184439900556</v>
      </c>
      <c r="W238" s="404"/>
      <c r="X238" s="157">
        <f t="shared" si="83"/>
        <v>44054</v>
      </c>
      <c r="Y238" s="387">
        <f t="shared" si="84"/>
        <v>37.731999999999999</v>
      </c>
      <c r="Z238" s="387">
        <f t="shared" si="85"/>
        <v>38.388306460879811</v>
      </c>
      <c r="AA238" s="388">
        <f t="shared" si="86"/>
        <v>43.685761558481829</v>
      </c>
      <c r="AB238" s="199">
        <f t="shared" si="87"/>
        <v>44054</v>
      </c>
      <c r="AC238" s="119">
        <f>IF(OR(t&lt;Tnet,NoTnet),'2019'!Resal_s+('2019'!Salim-'2019'!Resal_s)*(1-EXP(('2019'!Tnet_s-t)/'2019'!Tau_j)),Resal_s+(Salim-Resal_s)*(1-EXP((Tnet_s-t)/Tau_j)))*Salcycl</f>
        <v>0.12126273890201857</v>
      </c>
      <c r="AD238" s="233">
        <f>(INDEX(Models!$BJ238:$BT238,,AH238)*(1-AF238)+INDEX(Models!$BJ238:$BT238,,AH238+1)*AF238-ERP_i)*AE238*Ramure*Pc/MaxiM</f>
        <v>1.3697702741612349E-3</v>
      </c>
      <c r="AE238" s="307">
        <f t="shared" si="88"/>
        <v>0.9</v>
      </c>
      <c r="AF238" s="179">
        <f t="shared" si="89"/>
        <v>0.25103040297971668</v>
      </c>
      <c r="AG238" s="839">
        <f t="shared" si="95"/>
        <v>-1</v>
      </c>
      <c r="AH238" s="178">
        <f t="shared" si="90"/>
        <v>5</v>
      </c>
      <c r="AI238" s="227">
        <f t="shared" si="91"/>
        <v>-0.74896959702028332</v>
      </c>
      <c r="AJ238" s="267" t="b">
        <f t="shared" si="92"/>
        <v>0</v>
      </c>
      <c r="AK238" s="267" t="b">
        <f t="shared" si="93"/>
        <v>0</v>
      </c>
      <c r="AL238" s="267"/>
      <c r="AM238" s="267"/>
      <c r="AN238" s="75"/>
    </row>
    <row r="239" spans="1:40" s="6" customFormat="1" ht="11.25" customHeight="1" x14ac:dyDescent="0.2">
      <c r="A239" s="56">
        <f t="shared" si="94"/>
        <v>44055</v>
      </c>
      <c r="B239" s="620">
        <v>23.056000000000001</v>
      </c>
      <c r="C239" s="392"/>
      <c r="D239" s="395">
        <f t="shared" si="74"/>
        <v>23.457579544272022</v>
      </c>
      <c r="E239" s="387">
        <f t="shared" si="96"/>
        <v>26.696809046251374</v>
      </c>
      <c r="F239" s="387">
        <f t="shared" si="75"/>
        <v>26.706271883239772</v>
      </c>
      <c r="G239" s="110">
        <f t="shared" si="97"/>
        <v>0.46812373590032613</v>
      </c>
      <c r="H239" s="416" t="b">
        <f>Wh_hp&gt;='2019'!Maxi_hp</f>
        <v>0</v>
      </c>
      <c r="I239" s="382">
        <f>IF(H239,Wh_hp,'2019'!Maxi_hp)</f>
        <v>52.03553309327885</v>
      </c>
      <c r="J239" s="85">
        <f>IF(H239,An,'2019'!An_max)</f>
        <v>2019</v>
      </c>
      <c r="K239" s="199">
        <f t="shared" si="76"/>
        <v>44055</v>
      </c>
      <c r="L239" s="147">
        <f>IF(t&lt;Tvie,1-EXP((T0-t)*PertePVj)+'2019'!Pspv,1-EXP((T0-t)*PertePVj)+Pspv)</f>
        <v>1.7119393904819091E-2</v>
      </c>
      <c r="M239" s="872"/>
      <c r="N239" s="872"/>
      <c r="O239" s="48">
        <f>IF(t&lt;Tnet,'2019'!Resal+('2019'!Salim-'2019'!Resal)*(1-EXP(('2019'!Tnet-t)/('2019'!Tau_j))),Resal+(Salim-Resal)*(1-EXP((Tnet-t)/(Tau_j))))*Salcycl</f>
        <v>0.12133395779126598</v>
      </c>
      <c r="P239" s="171">
        <f>(INDEX(Models!$BJ239:$BT239,,T239)*(1-R239)+INDEX(Models!$BJ239:$BT239,,T239+1)*R239-ERP_i)*Q239*Ramure*Pc/MaxiM</f>
        <v>1.4707106246178033E-3</v>
      </c>
      <c r="Q239" s="307">
        <f t="shared" si="77"/>
        <v>0.9</v>
      </c>
      <c r="R239" s="179">
        <f t="shared" si="78"/>
        <v>0.25286980463855779</v>
      </c>
      <c r="S239" s="839">
        <f t="shared" si="79"/>
        <v>-1</v>
      </c>
      <c r="T239" s="178">
        <f t="shared" si="80"/>
        <v>5</v>
      </c>
      <c r="U239" s="253">
        <f t="shared" si="81"/>
        <v>-0.74713019536144221</v>
      </c>
      <c r="V239" s="385">
        <f t="shared" si="82"/>
        <v>49.196932011499875</v>
      </c>
      <c r="W239" s="404"/>
      <c r="X239" s="157">
        <f t="shared" si="83"/>
        <v>44055</v>
      </c>
      <c r="Y239" s="387">
        <f t="shared" si="84"/>
        <v>23.056000000000001</v>
      </c>
      <c r="Z239" s="387">
        <f t="shared" si="85"/>
        <v>23.457579544272022</v>
      </c>
      <c r="AA239" s="388">
        <f t="shared" si="86"/>
        <v>26.696809046251374</v>
      </c>
      <c r="AB239" s="199">
        <f t="shared" si="87"/>
        <v>44055</v>
      </c>
      <c r="AC239" s="119">
        <f>IF(OR(t&lt;Tnet,NoTnet),'2019'!Resal_s+('2019'!Salim-'2019'!Resal_s)*(1-EXP(('2019'!Tnet_s-t)/'2019'!Tau_j)),Resal_s+(Salim-Resal_s)*(1-EXP((Tnet_s-t)/Tau_j)))*Salcycl</f>
        <v>0.12133395779126598</v>
      </c>
      <c r="AD239" s="233">
        <f>(INDEX(Models!$BJ239:$BT239,,AH239)*(1-AF239)+INDEX(Models!$BJ239:$BT239,,AH239+1)*AF239-ERP_i)*AE239*Ramure*Pc/MaxiM</f>
        <v>1.4707106246178033E-3</v>
      </c>
      <c r="AE239" s="307">
        <f t="shared" si="88"/>
        <v>0.9</v>
      </c>
      <c r="AF239" s="179">
        <f t="shared" si="89"/>
        <v>0.25286980463855779</v>
      </c>
      <c r="AG239" s="839">
        <f t="shared" si="95"/>
        <v>-1</v>
      </c>
      <c r="AH239" s="178">
        <f t="shared" si="90"/>
        <v>5</v>
      </c>
      <c r="AI239" s="227">
        <f t="shared" si="91"/>
        <v>-0.74713019536144221</v>
      </c>
      <c r="AJ239" s="267" t="b">
        <f t="shared" si="92"/>
        <v>0</v>
      </c>
      <c r="AK239" s="267" t="b">
        <f t="shared" si="93"/>
        <v>0</v>
      </c>
      <c r="AL239" s="267"/>
      <c r="AM239" s="267"/>
      <c r="AN239" s="75"/>
    </row>
    <row r="240" spans="1:40" s="6" customFormat="1" ht="11.25" customHeight="1" x14ac:dyDescent="0.2">
      <c r="A240" s="56">
        <f t="shared" si="94"/>
        <v>44056</v>
      </c>
      <c r="B240" s="620">
        <v>15.352</v>
      </c>
      <c r="C240" s="392"/>
      <c r="D240" s="395">
        <f t="shared" si="74"/>
        <v>15.619758062756365</v>
      </c>
      <c r="E240" s="387">
        <f t="shared" si="96"/>
        <v>17.778100432138611</v>
      </c>
      <c r="F240" s="387">
        <f t="shared" si="75"/>
        <v>17.778633455664274</v>
      </c>
      <c r="G240" s="110">
        <f t="shared" si="97"/>
        <v>0.31283115572911985</v>
      </c>
      <c r="H240" s="416" t="b">
        <f>Wh_hp&gt;='2019'!Maxi_hp</f>
        <v>0</v>
      </c>
      <c r="I240" s="382">
        <f>IF(H240,Wh_hp,'2019'!Maxi_hp)</f>
        <v>56.382758921997223</v>
      </c>
      <c r="J240" s="85">
        <f>IF(H240,An,'2019'!An_max)</f>
        <v>2019</v>
      </c>
      <c r="K240" s="199">
        <f t="shared" si="76"/>
        <v>44056</v>
      </c>
      <c r="L240" s="147">
        <f>IF(t&lt;Tvie,1-EXP((T0-t)*PertePVj)+'2019'!Pspv,1-EXP((T0-t)*PertePVj)+Pspv)</f>
        <v>1.7142266972419051E-2</v>
      </c>
      <c r="M240" s="872"/>
      <c r="N240" s="872"/>
      <c r="O240" s="48">
        <f>IF(t&lt;Tnet,'2019'!Resal+('2019'!Salim-'2019'!Resal)*(1-EXP(('2019'!Tnet-t)/('2019'!Tau_j))),Resal+(Salim-Resal)*(1-EXP((Tnet-t)/(Tau_j))))*Salcycl</f>
        <v>0.12140455486911716</v>
      </c>
      <c r="P240" s="171">
        <f>(INDEX(Models!$BJ240:$BT240,,T240)*(1-R240)+INDEX(Models!$BJ240:$BT240,,T240+1)*R240-ERP_i)*Q240*Ramure*Pc/MaxiM</f>
        <v>1.5761061132234368E-3</v>
      </c>
      <c r="Q240" s="307">
        <f t="shared" si="77"/>
        <v>0.9</v>
      </c>
      <c r="R240" s="179">
        <f t="shared" si="78"/>
        <v>0.25464492982388631</v>
      </c>
      <c r="S240" s="839">
        <f t="shared" si="79"/>
        <v>-1</v>
      </c>
      <c r="T240" s="178">
        <f t="shared" si="80"/>
        <v>5</v>
      </c>
      <c r="U240" s="253">
        <f t="shared" si="81"/>
        <v>-0.74535507017611369</v>
      </c>
      <c r="V240" s="385">
        <f t="shared" si="82"/>
        <v>48.998518519931778</v>
      </c>
      <c r="W240" s="404"/>
      <c r="X240" s="157">
        <f t="shared" si="83"/>
        <v>44056</v>
      </c>
      <c r="Y240" s="387">
        <f t="shared" si="84"/>
        <v>15.352</v>
      </c>
      <c r="Z240" s="387">
        <f t="shared" si="85"/>
        <v>15.619758062756365</v>
      </c>
      <c r="AA240" s="388">
        <f t="shared" si="86"/>
        <v>17.778100432138611</v>
      </c>
      <c r="AB240" s="199">
        <f t="shared" si="87"/>
        <v>44056</v>
      </c>
      <c r="AC240" s="119">
        <f>IF(OR(t&lt;Tnet,NoTnet),'2019'!Resal_s+('2019'!Salim-'2019'!Resal_s)*(1-EXP(('2019'!Tnet_s-t)/'2019'!Tau_j)),Resal_s+(Salim-Resal_s)*(1-EXP((Tnet_s-t)/Tau_j)))*Salcycl</f>
        <v>0.12140455486911716</v>
      </c>
      <c r="AD240" s="233">
        <f>(INDEX(Models!$BJ240:$BT240,,AH240)*(1-AF240)+INDEX(Models!$BJ240:$BT240,,AH240+1)*AF240-ERP_i)*AE240*Ramure*Pc/MaxiM</f>
        <v>1.5761061132234368E-3</v>
      </c>
      <c r="AE240" s="307">
        <f t="shared" si="88"/>
        <v>0.9</v>
      </c>
      <c r="AF240" s="179">
        <f t="shared" si="89"/>
        <v>0.25464492982388631</v>
      </c>
      <c r="AG240" s="839">
        <f t="shared" si="95"/>
        <v>-1</v>
      </c>
      <c r="AH240" s="178">
        <f t="shared" si="90"/>
        <v>5</v>
      </c>
      <c r="AI240" s="227">
        <f t="shared" si="91"/>
        <v>-0.74535507017611369</v>
      </c>
      <c r="AJ240" s="267" t="b">
        <f t="shared" si="92"/>
        <v>0</v>
      </c>
      <c r="AK240" s="267" t="b">
        <f t="shared" si="93"/>
        <v>0</v>
      </c>
      <c r="AL240" s="267"/>
      <c r="AM240" s="267"/>
      <c r="AN240" s="75"/>
    </row>
    <row r="241" spans="1:40" s="6" customFormat="1" ht="11.25" customHeight="1" x14ac:dyDescent="0.2">
      <c r="A241" s="56">
        <f t="shared" si="94"/>
        <v>44057</v>
      </c>
      <c r="B241" s="620">
        <v>44.298000000000002</v>
      </c>
      <c r="C241" s="392"/>
      <c r="D241" s="395">
        <f t="shared" si="74"/>
        <v>45.071661355003776</v>
      </c>
      <c r="E241" s="387">
        <f t="shared" si="96"/>
        <v>51.303761045175904</v>
      </c>
      <c r="F241" s="387">
        <f t="shared" si="75"/>
        <v>51.37885714144074</v>
      </c>
      <c r="G241" s="110">
        <f t="shared" si="97"/>
        <v>0.90762447596114648</v>
      </c>
      <c r="H241" s="416" t="b">
        <f>Wh_hp&gt;='2019'!Maxi_hp</f>
        <v>1</v>
      </c>
      <c r="I241" s="382">
        <f>IF(H241,Wh_hp,'2019'!Maxi_hp)</f>
        <v>51.37885714144074</v>
      </c>
      <c r="J241" s="85">
        <f>IF(H241,An,'2019'!An_max)</f>
        <v>2020</v>
      </c>
      <c r="K241" s="199">
        <f t="shared" si="76"/>
        <v>44057</v>
      </c>
      <c r="L241" s="147">
        <f>IF(t&lt;Tvie,1-EXP((T0-t)*PertePVj)+'2019'!Pspv,1-EXP((T0-t)*PertePVj)+Pspv)</f>
        <v>1.7165139507729354E-2</v>
      </c>
      <c r="M241" s="872"/>
      <c r="N241" s="872"/>
      <c r="O241" s="48">
        <f>IF(t&lt;Tnet,'2019'!Resal+('2019'!Salim-'2019'!Resal)*(1-EXP(('2019'!Tnet-t)/('2019'!Tau_j))),Resal+(Salim-Resal)*(1-EXP((Tnet-t)/(Tau_j))))*Salcycl</f>
        <v>0.12147451888925664</v>
      </c>
      <c r="P241" s="171">
        <f>(INDEX(Models!$BJ241:$BT241,,T241)*(1-R241)+INDEX(Models!$BJ241:$BT241,,T241+1)*R241-ERP_i)*Q241*Ramure*Pc/MaxiM</f>
        <v>1.6832619158632313E-3</v>
      </c>
      <c r="Q241" s="307">
        <f t="shared" si="77"/>
        <v>0.9</v>
      </c>
      <c r="R241" s="179">
        <f t="shared" si="78"/>
        <v>0.25635766815614258</v>
      </c>
      <c r="S241" s="839">
        <f t="shared" si="79"/>
        <v>-1</v>
      </c>
      <c r="T241" s="178">
        <f t="shared" si="80"/>
        <v>5</v>
      </c>
      <c r="U241" s="253">
        <f t="shared" si="81"/>
        <v>-0.74364233184385742</v>
      </c>
      <c r="V241" s="385">
        <f t="shared" si="82"/>
        <v>48.795694999028505</v>
      </c>
      <c r="W241" s="404"/>
      <c r="X241" s="157">
        <f t="shared" si="83"/>
        <v>44057</v>
      </c>
      <c r="Y241" s="387">
        <f t="shared" si="84"/>
        <v>44.298000000000002</v>
      </c>
      <c r="Z241" s="387">
        <f t="shared" si="85"/>
        <v>45.071661355003776</v>
      </c>
      <c r="AA241" s="388">
        <f t="shared" si="86"/>
        <v>51.303761045175904</v>
      </c>
      <c r="AB241" s="199">
        <f t="shared" si="87"/>
        <v>44057</v>
      </c>
      <c r="AC241" s="119">
        <f>IF(OR(t&lt;Tnet,NoTnet),'2019'!Resal_s+('2019'!Salim-'2019'!Resal_s)*(1-EXP(('2019'!Tnet_s-t)/'2019'!Tau_j)),Resal_s+(Salim-Resal_s)*(1-EXP((Tnet_s-t)/Tau_j)))*Salcycl</f>
        <v>0.12147451888925664</v>
      </c>
      <c r="AD241" s="233">
        <f>(INDEX(Models!$BJ241:$BT241,,AH241)*(1-AF241)+INDEX(Models!$BJ241:$BT241,,AH241+1)*AF241-ERP_i)*AE241*Ramure*Pc/MaxiM</f>
        <v>1.6832619158632313E-3</v>
      </c>
      <c r="AE241" s="307">
        <f t="shared" si="88"/>
        <v>0.9</v>
      </c>
      <c r="AF241" s="179">
        <f t="shared" si="89"/>
        <v>0.25635766815614258</v>
      </c>
      <c r="AG241" s="839">
        <f t="shared" si="95"/>
        <v>-1</v>
      </c>
      <c r="AH241" s="178">
        <f t="shared" si="90"/>
        <v>5</v>
      </c>
      <c r="AI241" s="227">
        <f t="shared" si="91"/>
        <v>-0.74364233184385742</v>
      </c>
      <c r="AJ241" s="267" t="b">
        <f t="shared" si="92"/>
        <v>0</v>
      </c>
      <c r="AK241" s="267" t="b">
        <f t="shared" si="93"/>
        <v>0</v>
      </c>
      <c r="AL241" s="267"/>
      <c r="AM241" s="267"/>
      <c r="AN241" s="75"/>
    </row>
    <row r="242" spans="1:40" s="6" customFormat="1" ht="11.25" customHeight="1" x14ac:dyDescent="0.2">
      <c r="A242" s="56">
        <f t="shared" si="94"/>
        <v>44058</v>
      </c>
      <c r="B242" s="620">
        <v>38.506</v>
      </c>
      <c r="C242" s="392"/>
      <c r="D242" s="395">
        <f t="shared" si="74"/>
        <v>39.179416257620936</v>
      </c>
      <c r="E242" s="387">
        <f t="shared" si="96"/>
        <v>44.600308929902049</v>
      </c>
      <c r="F242" s="387">
        <f t="shared" si="75"/>
        <v>44.656619256871224</v>
      </c>
      <c r="G242" s="110">
        <f t="shared" si="97"/>
        <v>0.79207738773353997</v>
      </c>
      <c r="H242" s="416" t="b">
        <f>Wh_hp&gt;='2019'!Maxi_hp</f>
        <v>0</v>
      </c>
      <c r="I242" s="382">
        <f>IF(H242,Wh_hp,'2019'!Maxi_hp)</f>
        <v>55.398390259601427</v>
      </c>
      <c r="J242" s="85">
        <f>IF(H242,An,'2019'!An_max)</f>
        <v>2019</v>
      </c>
      <c r="K242" s="199">
        <f t="shared" si="76"/>
        <v>44058</v>
      </c>
      <c r="L242" s="147">
        <f>IF(t&lt;Tvie,1-EXP((T0-t)*PertePVj)+'2019'!Pspv,1-EXP((T0-t)*PertePVj)+Pspv)</f>
        <v>1.7188011510762324E-2</v>
      </c>
      <c r="M242" s="872"/>
      <c r="N242" s="872"/>
      <c r="O242" s="48">
        <f>IF(t&lt;Tnet,'2019'!Resal+('2019'!Salim-'2019'!Resal)*(1-EXP(('2019'!Tnet-t)/('2019'!Tau_j))),Resal+(Salim-Resal)*(1-EXP((Tnet-t)/(Tau_j))))*Salcycl</f>
        <v>0.12154383685550449</v>
      </c>
      <c r="P242" s="171">
        <f>(INDEX(Models!$BJ242:$BT242,,T242)*(1-R242)+INDEX(Models!$BJ242:$BT242,,T242+1)*R242-ERP_i)*Q242*Ramure*Pc/MaxiM</f>
        <v>1.792234927837856E-3</v>
      </c>
      <c r="Q242" s="307">
        <f t="shared" si="77"/>
        <v>0.9</v>
      </c>
      <c r="R242" s="179">
        <f t="shared" si="78"/>
        <v>0.25800988043536888</v>
      </c>
      <c r="S242" s="839">
        <f t="shared" si="79"/>
        <v>-1</v>
      </c>
      <c r="T242" s="178">
        <f t="shared" si="80"/>
        <v>5</v>
      </c>
      <c r="U242" s="253">
        <f t="shared" si="81"/>
        <v>-0.74199011956463112</v>
      </c>
      <c r="V242" s="385">
        <f t="shared" si="82"/>
        <v>48.588076866807128</v>
      </c>
      <c r="W242" s="404"/>
      <c r="X242" s="157">
        <f t="shared" si="83"/>
        <v>44058</v>
      </c>
      <c r="Y242" s="387">
        <f t="shared" si="84"/>
        <v>38.506</v>
      </c>
      <c r="Z242" s="387">
        <f t="shared" si="85"/>
        <v>39.179416257620936</v>
      </c>
      <c r="AA242" s="388">
        <f t="shared" si="86"/>
        <v>44.600308929902049</v>
      </c>
      <c r="AB242" s="199">
        <f t="shared" si="87"/>
        <v>44058</v>
      </c>
      <c r="AC242" s="119">
        <f>IF(OR(t&lt;Tnet,NoTnet),'2019'!Resal_s+('2019'!Salim-'2019'!Resal_s)*(1-EXP(('2019'!Tnet_s-t)/'2019'!Tau_j)),Resal_s+(Salim-Resal_s)*(1-EXP((Tnet_s-t)/Tau_j)))*Salcycl</f>
        <v>0.12154383685550449</v>
      </c>
      <c r="AD242" s="233">
        <f>(INDEX(Models!$BJ242:$BT242,,AH242)*(1-AF242)+INDEX(Models!$BJ242:$BT242,,AH242+1)*AF242-ERP_i)*AE242*Ramure*Pc/MaxiM</f>
        <v>1.792234927837856E-3</v>
      </c>
      <c r="AE242" s="307">
        <f t="shared" si="88"/>
        <v>0.9</v>
      </c>
      <c r="AF242" s="179">
        <f t="shared" si="89"/>
        <v>0.25800988043536888</v>
      </c>
      <c r="AG242" s="839">
        <f t="shared" si="95"/>
        <v>-1</v>
      </c>
      <c r="AH242" s="178">
        <f t="shared" si="90"/>
        <v>5</v>
      </c>
      <c r="AI242" s="227">
        <f t="shared" si="91"/>
        <v>-0.74199011956463112</v>
      </c>
      <c r="AJ242" s="267" t="b">
        <f t="shared" si="92"/>
        <v>0</v>
      </c>
      <c r="AK242" s="267" t="b">
        <f t="shared" si="93"/>
        <v>0</v>
      </c>
      <c r="AL242" s="267"/>
      <c r="AM242" s="267"/>
      <c r="AN242" s="75"/>
    </row>
    <row r="243" spans="1:40" s="6" customFormat="1" ht="11.25" x14ac:dyDescent="0.2">
      <c r="A243" s="56">
        <f t="shared" si="94"/>
        <v>44059</v>
      </c>
      <c r="B243" s="620">
        <v>15.673</v>
      </c>
      <c r="C243" s="392"/>
      <c r="D243" s="395">
        <f t="shared" si="74"/>
        <v>15.947470040722333</v>
      </c>
      <c r="E243" s="387">
        <f t="shared" si="96"/>
        <v>18.155392620053789</v>
      </c>
      <c r="F243" s="387">
        <f t="shared" si="75"/>
        <v>18.156576710861593</v>
      </c>
      <c r="G243" s="110">
        <f t="shared" si="97"/>
        <v>0.32339230352127812</v>
      </c>
      <c r="H243" s="416" t="b">
        <f>Wh_hp&gt;='2019'!Maxi_hp</f>
        <v>0</v>
      </c>
      <c r="I243" s="382">
        <f>IF(H243,Wh_hp,'2019'!Maxi_hp)</f>
        <v>54.145647175100791</v>
      </c>
      <c r="J243" s="85">
        <f>IF(H243,An,'2019'!An_max)</f>
        <v>2019</v>
      </c>
      <c r="K243" s="199">
        <f t="shared" si="76"/>
        <v>44059</v>
      </c>
      <c r="L243" s="147">
        <f>IF(t&lt;Tvie,1-EXP((T0-t)*PertePVj)+'2019'!Pspv,1-EXP((T0-t)*PertePVj)+Pspv)</f>
        <v>1.7210882981530395E-2</v>
      </c>
      <c r="M243" s="872"/>
      <c r="N243" s="872"/>
      <c r="O243" s="48">
        <f>IF(t&lt;Tnet,'2019'!Resal+('2019'!Salim-'2019'!Resal)*(1-EXP(('2019'!Tnet-t)/('2019'!Tau_j))),Resal+(Salim-Resal)*(1-EXP((Tnet-t)/(Tau_j))))*Salcycl</f>
        <v>0.12161249417942435</v>
      </c>
      <c r="P243" s="171">
        <f>(INDEX(Models!$BJ243:$BT243,,T243)*(1-R243)+INDEX(Models!$BJ243:$BT243,,T243+1)*R243-ERP_i)*Q243*Ramure*Pc/MaxiM</f>
        <v>1.9030878335223632E-3</v>
      </c>
      <c r="Q243" s="307">
        <f t="shared" si="77"/>
        <v>0.9</v>
      </c>
      <c r="R243" s="179">
        <f t="shared" si="78"/>
        <v>0.25960339688416256</v>
      </c>
      <c r="S243" s="839">
        <f t="shared" si="79"/>
        <v>-1</v>
      </c>
      <c r="T243" s="178">
        <f t="shared" si="80"/>
        <v>5</v>
      </c>
      <c r="U243" s="253">
        <f t="shared" si="81"/>
        <v>-0.74039660311583744</v>
      </c>
      <c r="V243" s="385">
        <f t="shared" si="82"/>
        <v>48.375279740488061</v>
      </c>
      <c r="W243" s="404"/>
      <c r="X243" s="157">
        <f t="shared" si="83"/>
        <v>44059</v>
      </c>
      <c r="Y243" s="387">
        <f t="shared" si="84"/>
        <v>15.673000000000002</v>
      </c>
      <c r="Z243" s="387">
        <f t="shared" si="85"/>
        <v>15.947470040722335</v>
      </c>
      <c r="AA243" s="388">
        <f t="shared" si="86"/>
        <v>18.155392620053789</v>
      </c>
      <c r="AB243" s="199">
        <f t="shared" si="87"/>
        <v>44059</v>
      </c>
      <c r="AC243" s="119">
        <f>IF(OR(t&lt;Tnet,NoTnet),'2019'!Resal_s+('2019'!Salim-'2019'!Resal_s)*(1-EXP(('2019'!Tnet_s-t)/'2019'!Tau_j)),Resal_s+(Salim-Resal_s)*(1-EXP((Tnet_s-t)/Tau_j)))*Salcycl</f>
        <v>0.12161249417942435</v>
      </c>
      <c r="AD243" s="233">
        <f>(INDEX(Models!$BJ243:$BT243,,AH243)*(1-AF243)+INDEX(Models!$BJ243:$BT243,,AH243+1)*AF243-ERP_i)*AE243*Ramure*Pc/MaxiM</f>
        <v>1.9030878335223632E-3</v>
      </c>
      <c r="AE243" s="307">
        <f t="shared" si="88"/>
        <v>0.9</v>
      </c>
      <c r="AF243" s="179">
        <f t="shared" si="89"/>
        <v>0.25960339688416256</v>
      </c>
      <c r="AG243" s="839">
        <f t="shared" si="95"/>
        <v>-1</v>
      </c>
      <c r="AH243" s="178">
        <f t="shared" si="90"/>
        <v>5</v>
      </c>
      <c r="AI243" s="227">
        <f t="shared" si="91"/>
        <v>-0.74039660311583744</v>
      </c>
      <c r="AJ243" s="267" t="b">
        <f t="shared" si="92"/>
        <v>0</v>
      </c>
      <c r="AK243" s="267" t="b">
        <f t="shared" si="93"/>
        <v>0</v>
      </c>
      <c r="AL243" s="267"/>
      <c r="AM243" s="267"/>
      <c r="AN243" s="75"/>
    </row>
    <row r="244" spans="1:40" s="6" customFormat="1" ht="11.25" x14ac:dyDescent="0.2">
      <c r="A244" s="56">
        <f t="shared" si="94"/>
        <v>44060</v>
      </c>
      <c r="B244" s="620">
        <v>38.018000000000001</v>
      </c>
      <c r="C244" s="392"/>
      <c r="D244" s="395">
        <f t="shared" si="74"/>
        <v>38.68468229514977</v>
      </c>
      <c r="E244" s="387">
        <f t="shared" si="96"/>
        <v>44.043973959788062</v>
      </c>
      <c r="F244" s="387">
        <f t="shared" si="75"/>
        <v>44.106144648320999</v>
      </c>
      <c r="G244" s="110">
        <f t="shared" si="97"/>
        <v>0.78898145606706294</v>
      </c>
      <c r="H244" s="416" t="b">
        <f>Wh_hp&gt;='2019'!Maxi_hp</f>
        <v>1</v>
      </c>
      <c r="I244" s="382">
        <f>IF(H244,Wh_hp,'2019'!Maxi_hp)</f>
        <v>44.106144648320999</v>
      </c>
      <c r="J244" s="85">
        <f>IF(H244,An,'2019'!An_max)</f>
        <v>2020</v>
      </c>
      <c r="K244" s="199">
        <f t="shared" si="76"/>
        <v>44060</v>
      </c>
      <c r="L244" s="147">
        <f>IF(t&lt;Tvie,1-EXP((T0-t)*PertePVj)+'2019'!Pspv,1-EXP((T0-t)*PertePVj)+Pspv)</f>
        <v>1.7233753920045891E-2</v>
      </c>
      <c r="M244" s="872"/>
      <c r="N244" s="872"/>
      <c r="O244" s="48">
        <f>IF(t&lt;Tnet,'2019'!Resal+('2019'!Salim-'2019'!Resal)*(1-EXP(('2019'!Tnet-t)/('2019'!Tau_j))),Resal+(Salim-Resal)*(1-EXP((Tnet-t)/(Tau_j))))*Salcycl</f>
        <v>0.1216804748257117</v>
      </c>
      <c r="P244" s="171">
        <f>(INDEX(Models!$BJ244:$BT244,,T244)*(1-R244)+INDEX(Models!$BJ244:$BT244,,T244+1)*R244-ERP_i)*Q244*Ramure*Pc/MaxiM</f>
        <v>2.0158894240275612E-3</v>
      </c>
      <c r="Q244" s="307">
        <f t="shared" si="77"/>
        <v>0.9</v>
      </c>
      <c r="R244" s="179">
        <f t="shared" si="78"/>
        <v>0.26114001561090161</v>
      </c>
      <c r="S244" s="839">
        <f t="shared" si="79"/>
        <v>-1</v>
      </c>
      <c r="T244" s="178">
        <f t="shared" si="80"/>
        <v>5</v>
      </c>
      <c r="U244" s="253">
        <f t="shared" si="81"/>
        <v>-0.73885998438909839</v>
      </c>
      <c r="V244" s="385">
        <f t="shared" si="82"/>
        <v>48.156919417553681</v>
      </c>
      <c r="W244" s="404"/>
      <c r="X244" s="157">
        <f t="shared" si="83"/>
        <v>44060</v>
      </c>
      <c r="Y244" s="387">
        <f t="shared" si="84"/>
        <v>38.018000000000001</v>
      </c>
      <c r="Z244" s="387">
        <f t="shared" si="85"/>
        <v>38.68468229514977</v>
      </c>
      <c r="AA244" s="388">
        <f t="shared" si="86"/>
        <v>44.043973959788062</v>
      </c>
      <c r="AB244" s="199">
        <f t="shared" si="87"/>
        <v>44060</v>
      </c>
      <c r="AC244" s="119">
        <f>IF(OR(t&lt;Tnet,NoTnet),'2019'!Resal_s+('2019'!Salim-'2019'!Resal_s)*(1-EXP(('2019'!Tnet_s-t)/'2019'!Tau_j)),Resal_s+(Salim-Resal_s)*(1-EXP((Tnet_s-t)/Tau_j)))*Salcycl</f>
        <v>0.1216804748257117</v>
      </c>
      <c r="AD244" s="233">
        <f>(INDEX(Models!$BJ244:$BT244,,AH244)*(1-AF244)+INDEX(Models!$BJ244:$BT244,,AH244+1)*AF244-ERP_i)*AE244*Ramure*Pc/MaxiM</f>
        <v>2.0158894240275612E-3</v>
      </c>
      <c r="AE244" s="307">
        <f t="shared" si="88"/>
        <v>0.9</v>
      </c>
      <c r="AF244" s="179">
        <f t="shared" si="89"/>
        <v>0.26114001561090161</v>
      </c>
      <c r="AG244" s="839">
        <f t="shared" si="95"/>
        <v>-1</v>
      </c>
      <c r="AH244" s="178">
        <f t="shared" si="90"/>
        <v>5</v>
      </c>
      <c r="AI244" s="227">
        <f t="shared" si="91"/>
        <v>-0.73885998438909839</v>
      </c>
      <c r="AJ244" s="267" t="b">
        <f t="shared" si="92"/>
        <v>0</v>
      </c>
      <c r="AK244" s="267" t="b">
        <f t="shared" si="93"/>
        <v>0</v>
      </c>
      <c r="AL244" s="267"/>
      <c r="AM244" s="267"/>
      <c r="AN244" s="75"/>
    </row>
    <row r="245" spans="1:40" s="6" customFormat="1" ht="11.25" customHeight="1" x14ac:dyDescent="0.2">
      <c r="A245" s="56">
        <f t="shared" si="94"/>
        <v>44061</v>
      </c>
      <c r="B245" s="620">
        <v>32.707000000000001</v>
      </c>
      <c r="C245" s="392"/>
      <c r="D245" s="395">
        <f t="shared" si="74"/>
        <v>33.281323293152781</v>
      </c>
      <c r="E245" s="387">
        <f t="shared" si="96"/>
        <v>37.894948435159357</v>
      </c>
      <c r="F245" s="387">
        <f t="shared" si="75"/>
        <v>37.939103425006635</v>
      </c>
      <c r="G245" s="110">
        <f t="shared" si="97"/>
        <v>0.68169328250302486</v>
      </c>
      <c r="H245" s="416" t="b">
        <f>Wh_hp&gt;='2019'!Maxi_hp</f>
        <v>1</v>
      </c>
      <c r="I245" s="382">
        <f>IF(H245,Wh_hp,'2019'!Maxi_hp)</f>
        <v>37.939103425006635</v>
      </c>
      <c r="J245" s="85">
        <f>IF(H245,An,'2019'!An_max)</f>
        <v>2020</v>
      </c>
      <c r="K245" s="199">
        <f t="shared" si="76"/>
        <v>44061</v>
      </c>
      <c r="L245" s="147">
        <f>IF(t&lt;Tvie,1-EXP((T0-t)*PertePVj)+'2019'!Pspv,1-EXP((T0-t)*PertePVj)+Pspv)</f>
        <v>1.7256624326321246E-2</v>
      </c>
      <c r="M245" s="872"/>
      <c r="N245" s="872"/>
      <c r="O245" s="48">
        <f>IF(t&lt;Tnet,'2019'!Resal+('2019'!Salim-'2019'!Resal)*(1-EXP(('2019'!Tnet-t)/('2019'!Tau_j))),Resal+(Salim-Resal)*(1-EXP((Tnet-t)/(Tau_j))))*Salcycl</f>
        <v>0.12174776144373908</v>
      </c>
      <c r="P245" s="171">
        <f>(INDEX(Models!$BJ245:$BT245,,T245)*(1-R245)+INDEX(Models!$BJ245:$BT245,,T245+1)*R245-ERP_i)*Q245*Ramure*Pc/MaxiM</f>
        <v>2.1307149426784749E-3</v>
      </c>
      <c r="Q245" s="307">
        <f t="shared" si="77"/>
        <v>0.9</v>
      </c>
      <c r="R245" s="179">
        <f t="shared" si="78"/>
        <v>0.26262150128011663</v>
      </c>
      <c r="S245" s="839">
        <f t="shared" si="79"/>
        <v>-1</v>
      </c>
      <c r="T245" s="178">
        <f t="shared" si="80"/>
        <v>5</v>
      </c>
      <c r="U245" s="253">
        <f t="shared" si="81"/>
        <v>-0.73737849871988337</v>
      </c>
      <c r="V245" s="385">
        <f t="shared" si="82"/>
        <v>47.932611870652543</v>
      </c>
      <c r="W245" s="404"/>
      <c r="X245" s="157">
        <f t="shared" si="83"/>
        <v>44061</v>
      </c>
      <c r="Y245" s="387">
        <f t="shared" si="84"/>
        <v>32.707000000000001</v>
      </c>
      <c r="Z245" s="387">
        <f t="shared" si="85"/>
        <v>33.281323293152781</v>
      </c>
      <c r="AA245" s="388">
        <f t="shared" si="86"/>
        <v>37.894948435159357</v>
      </c>
      <c r="AB245" s="199">
        <f t="shared" si="87"/>
        <v>44061</v>
      </c>
      <c r="AC245" s="119">
        <f>IF(OR(t&lt;Tnet,NoTnet),'2019'!Resal_s+('2019'!Salim-'2019'!Resal_s)*(1-EXP(('2019'!Tnet_s-t)/'2019'!Tau_j)),Resal_s+(Salim-Resal_s)*(1-EXP((Tnet_s-t)/Tau_j)))*Salcycl</f>
        <v>0.12174776144373908</v>
      </c>
      <c r="AD245" s="233">
        <f>(INDEX(Models!$BJ245:$BT245,,AH245)*(1-AF245)+INDEX(Models!$BJ245:$BT245,,AH245+1)*AF245-ERP_i)*AE245*Ramure*Pc/MaxiM</f>
        <v>2.1307149426784749E-3</v>
      </c>
      <c r="AE245" s="307">
        <f t="shared" si="88"/>
        <v>0.9</v>
      </c>
      <c r="AF245" s="179">
        <f t="shared" si="89"/>
        <v>0.26262150128011663</v>
      </c>
      <c r="AG245" s="839">
        <f t="shared" si="95"/>
        <v>-1</v>
      </c>
      <c r="AH245" s="178">
        <f t="shared" si="90"/>
        <v>5</v>
      </c>
      <c r="AI245" s="227">
        <f t="shared" si="91"/>
        <v>-0.73737849871988337</v>
      </c>
      <c r="AJ245" s="267" t="b">
        <f t="shared" si="92"/>
        <v>0</v>
      </c>
      <c r="AK245" s="267" t="b">
        <f t="shared" si="93"/>
        <v>0</v>
      </c>
      <c r="AL245" s="267"/>
      <c r="AM245" s="267"/>
      <c r="AN245" s="75"/>
    </row>
    <row r="246" spans="1:40" s="6" customFormat="1" ht="11.25" x14ac:dyDescent="0.2">
      <c r="A246" s="56">
        <f t="shared" si="94"/>
        <v>44062</v>
      </c>
      <c r="B246" s="620">
        <v>44.223999999999997</v>
      </c>
      <c r="C246" s="392"/>
      <c r="D246" s="395">
        <f t="shared" si="74"/>
        <v>45.00160497212309</v>
      </c>
      <c r="E246" s="387">
        <f t="shared" si="96"/>
        <v>51.243839190792805</v>
      </c>
      <c r="F246" s="387">
        <f t="shared" si="75"/>
        <v>51.347228711209034</v>
      </c>
      <c r="G246" s="110">
        <f t="shared" si="97"/>
        <v>0.92687205246815996</v>
      </c>
      <c r="H246" s="416" t="b">
        <f>Wh_hp&gt;='2019'!Maxi_hp</f>
        <v>1</v>
      </c>
      <c r="I246" s="382">
        <f>IF(H246,Wh_hp,'2019'!Maxi_hp)</f>
        <v>51.347228711209034</v>
      </c>
      <c r="J246" s="85">
        <f>IF(H246,An,'2019'!An_max)</f>
        <v>2020</v>
      </c>
      <c r="K246" s="199">
        <f t="shared" si="76"/>
        <v>44062</v>
      </c>
      <c r="L246" s="147">
        <f>IF(t&lt;Tvie,1-EXP((T0-t)*PertePVj)+'2019'!Pspv,1-EXP((T0-t)*PertePVj)+Pspv)</f>
        <v>1.7279494200368894E-2</v>
      </c>
      <c r="M246" s="872"/>
      <c r="N246" s="872"/>
      <c r="O246" s="48">
        <f>IF(t&lt;Tnet,'2019'!Resal+('2019'!Salim-'2019'!Resal)*(1-EXP(('2019'!Tnet-t)/('2019'!Tau_j))),Resal+(Salim-Resal)*(1-EXP((Tnet-t)/(Tau_j))))*Salcycl</f>
        <v>0.12181433548388947</v>
      </c>
      <c r="P246" s="171">
        <f>(INDEX(Models!$BJ246:$BT246,,T246)*(1-R246)+INDEX(Models!$BJ246:$BT246,,T246+1)*R246-ERP_i)*Q246*Ramure*Pc/MaxiM</f>
        <v>2.2476464628685454E-3</v>
      </c>
      <c r="Q246" s="307">
        <f t="shared" si="77"/>
        <v>0.9</v>
      </c>
      <c r="R246" s="179">
        <f t="shared" si="78"/>
        <v>0.26404958397711598</v>
      </c>
      <c r="S246" s="839">
        <f t="shared" si="79"/>
        <v>-1</v>
      </c>
      <c r="T246" s="178">
        <f t="shared" si="80"/>
        <v>5</v>
      </c>
      <c r="U246" s="253">
        <f t="shared" si="81"/>
        <v>-0.73595041602288402</v>
      </c>
      <c r="V246" s="385">
        <f t="shared" si="82"/>
        <v>47.701973228736193</v>
      </c>
      <c r="W246" s="404"/>
      <c r="X246" s="157">
        <f t="shared" si="83"/>
        <v>44062</v>
      </c>
      <c r="Y246" s="387">
        <f t="shared" si="84"/>
        <v>44.223999999999997</v>
      </c>
      <c r="Z246" s="387">
        <f t="shared" si="85"/>
        <v>45.00160497212309</v>
      </c>
      <c r="AA246" s="388">
        <f t="shared" si="86"/>
        <v>51.243839190792805</v>
      </c>
      <c r="AB246" s="199">
        <f t="shared" si="87"/>
        <v>44062</v>
      </c>
      <c r="AC246" s="119">
        <f>IF(OR(t&lt;Tnet,NoTnet),'2019'!Resal_s+('2019'!Salim-'2019'!Resal_s)*(1-EXP(('2019'!Tnet_s-t)/'2019'!Tau_j)),Resal_s+(Salim-Resal_s)*(1-EXP((Tnet_s-t)/Tau_j)))*Salcycl</f>
        <v>0.12181433548388947</v>
      </c>
      <c r="AD246" s="233">
        <f>(INDEX(Models!$BJ246:$BT246,,AH246)*(1-AF246)+INDEX(Models!$BJ246:$BT246,,AH246+1)*AF246-ERP_i)*AE246*Ramure*Pc/MaxiM</f>
        <v>2.2476464628685454E-3</v>
      </c>
      <c r="AE246" s="307">
        <f t="shared" si="88"/>
        <v>0.9</v>
      </c>
      <c r="AF246" s="179">
        <f t="shared" si="89"/>
        <v>0.26404958397711598</v>
      </c>
      <c r="AG246" s="839">
        <f t="shared" si="95"/>
        <v>-1</v>
      </c>
      <c r="AH246" s="178">
        <f t="shared" si="90"/>
        <v>5</v>
      </c>
      <c r="AI246" s="227">
        <f t="shared" si="91"/>
        <v>-0.73595041602288402</v>
      </c>
      <c r="AJ246" s="267" t="b">
        <f t="shared" si="92"/>
        <v>0</v>
      </c>
      <c r="AK246" s="267" t="b">
        <f t="shared" si="93"/>
        <v>0</v>
      </c>
      <c r="AL246" s="267"/>
      <c r="AM246" s="267"/>
      <c r="AN246" s="75"/>
    </row>
    <row r="247" spans="1:40" s="6" customFormat="1" ht="11.25" customHeight="1" x14ac:dyDescent="0.2">
      <c r="A247" s="56">
        <f t="shared" si="94"/>
        <v>44063</v>
      </c>
      <c r="B247" s="620">
        <v>44.098999999999997</v>
      </c>
      <c r="C247" s="392"/>
      <c r="D247" s="395">
        <f t="shared" si="74"/>
        <v>44.875451373789673</v>
      </c>
      <c r="E247" s="387">
        <f t="shared" si="96"/>
        <v>51.104018168824787</v>
      </c>
      <c r="F247" s="387">
        <f t="shared" si="75"/>
        <v>51.212941565413232</v>
      </c>
      <c r="G247" s="110">
        <f t="shared" si="97"/>
        <v>0.92884163293679445</v>
      </c>
      <c r="H247" s="416" t="b">
        <f>Wh_hp&gt;='2019'!Maxi_hp</f>
        <v>1</v>
      </c>
      <c r="I247" s="382">
        <f>IF(H247,Wh_hp,'2019'!Maxi_hp)</f>
        <v>51.212941565413232</v>
      </c>
      <c r="J247" s="85">
        <f>IF(H247,An,'2019'!An_max)</f>
        <v>2020</v>
      </c>
      <c r="K247" s="199">
        <f t="shared" si="76"/>
        <v>44063</v>
      </c>
      <c r="L247" s="147">
        <f>IF(t&lt;Tvie,1-EXP((T0-t)*PertePVj)+'2019'!Pspv,1-EXP((T0-t)*PertePVj)+Pspv)</f>
        <v>1.7302363542201049E-2</v>
      </c>
      <c r="M247" s="872"/>
      <c r="N247" s="872"/>
      <c r="O247" s="48">
        <f>IF(t&lt;Tnet,'2019'!Resal+('2019'!Salim-'2019'!Resal)*(1-EXP(('2019'!Tnet-t)/('2019'!Tau_j))),Resal+(Salim-Resal)*(1-EXP((Tnet-t)/(Tau_j))))*Salcycl</f>
        <v>0.12188017729757993</v>
      </c>
      <c r="P247" s="171">
        <f>(INDEX(Models!$BJ247:$BT247,,T247)*(1-R247)+INDEX(Models!$BJ247:$BT247,,T247+1)*R247-ERP_i)*Q247*Ramure*Pc/MaxiM</f>
        <v>2.3667044194894608E-3</v>
      </c>
      <c r="Q247" s="307">
        <f t="shared" si="77"/>
        <v>0.9</v>
      </c>
      <c r="R247" s="179">
        <f t="shared" si="78"/>
        <v>0.26542595825424597</v>
      </c>
      <c r="S247" s="839">
        <f t="shared" si="79"/>
        <v>-1</v>
      </c>
      <c r="T247" s="178">
        <f t="shared" si="80"/>
        <v>5</v>
      </c>
      <c r="U247" s="253">
        <f t="shared" si="81"/>
        <v>-0.73457404174575403</v>
      </c>
      <c r="V247" s="385">
        <f t="shared" si="82"/>
        <v>47.466004479030239</v>
      </c>
      <c r="W247" s="404"/>
      <c r="X247" s="157">
        <f t="shared" si="83"/>
        <v>44063</v>
      </c>
      <c r="Y247" s="387">
        <f t="shared" si="84"/>
        <v>44.098999999999997</v>
      </c>
      <c r="Z247" s="387">
        <f t="shared" si="85"/>
        <v>44.875451373789673</v>
      </c>
      <c r="AA247" s="388">
        <f t="shared" si="86"/>
        <v>51.104018168824787</v>
      </c>
      <c r="AB247" s="199">
        <f t="shared" si="87"/>
        <v>44063</v>
      </c>
      <c r="AC247" s="119">
        <f>IF(OR(t&lt;Tnet,NoTnet),'2019'!Resal_s+('2019'!Salim-'2019'!Resal_s)*(1-EXP(('2019'!Tnet_s-t)/'2019'!Tau_j)),Resal_s+(Salim-Resal_s)*(1-EXP((Tnet_s-t)/Tau_j)))*Salcycl</f>
        <v>0.12188017729757993</v>
      </c>
      <c r="AD247" s="233">
        <f>(INDEX(Models!$BJ247:$BT247,,AH247)*(1-AF247)+INDEX(Models!$BJ247:$BT247,,AH247+1)*AF247-ERP_i)*AE247*Ramure*Pc/MaxiM</f>
        <v>2.3667044194894608E-3</v>
      </c>
      <c r="AE247" s="307">
        <f t="shared" si="88"/>
        <v>0.9</v>
      </c>
      <c r="AF247" s="179">
        <f t="shared" si="89"/>
        <v>0.26542595825424597</v>
      </c>
      <c r="AG247" s="839">
        <f t="shared" si="95"/>
        <v>-1</v>
      </c>
      <c r="AH247" s="178">
        <f t="shared" si="90"/>
        <v>5</v>
      </c>
      <c r="AI247" s="227">
        <f t="shared" si="91"/>
        <v>-0.73457404174575403</v>
      </c>
      <c r="AJ247" s="267" t="b">
        <f t="shared" si="92"/>
        <v>0</v>
      </c>
      <c r="AK247" s="267" t="b">
        <f t="shared" si="93"/>
        <v>0</v>
      </c>
      <c r="AL247" s="267"/>
      <c r="AM247" s="267"/>
      <c r="AN247" s="75"/>
    </row>
    <row r="248" spans="1:40" s="6" customFormat="1" ht="11.25" customHeight="1" x14ac:dyDescent="0.2">
      <c r="A248" s="56">
        <f t="shared" si="94"/>
        <v>44064</v>
      </c>
      <c r="B248" s="620">
        <v>38.954000000000001</v>
      </c>
      <c r="C248" s="392"/>
      <c r="D248" s="395">
        <f t="shared" si="74"/>
        <v>39.640785825027749</v>
      </c>
      <c r="E248" s="387">
        <f t="shared" si="96"/>
        <v>45.1461444258521</v>
      </c>
      <c r="F248" s="387">
        <f t="shared" si="75"/>
        <v>45.230466448633173</v>
      </c>
      <c r="G248" s="110">
        <f t="shared" si="97"/>
        <v>0.82432977921107731</v>
      </c>
      <c r="H248" s="416" t="b">
        <f>Wh_hp&gt;='2019'!Maxi_hp</f>
        <v>0</v>
      </c>
      <c r="I248" s="382">
        <f>IF(H248,Wh_hp,'2019'!Maxi_hp)</f>
        <v>55.17534928654144</v>
      </c>
      <c r="J248" s="85">
        <f>IF(H248,An,'2019'!An_max)</f>
        <v>2019</v>
      </c>
      <c r="K248" s="199">
        <f t="shared" si="76"/>
        <v>44064</v>
      </c>
      <c r="L248" s="147">
        <f>IF(t&lt;Tvie,1-EXP((T0-t)*PertePVj)+'2019'!Pspv,1-EXP((T0-t)*PertePVj)+Pspv)</f>
        <v>1.7325232351830255E-2</v>
      </c>
      <c r="M248" s="872"/>
      <c r="N248" s="872"/>
      <c r="O248" s="48">
        <f>IF(t&lt;Tnet,'2019'!Resal+('2019'!Salim-'2019'!Resal)*(1-EXP(('2019'!Tnet-t)/('2019'!Tau_j))),Resal+(Salim-Resal)*(1-EXP((Tnet-t)/(Tau_j))))*Salcycl</f>
        <v>0.12194526622016051</v>
      </c>
      <c r="P248" s="171">
        <f>(INDEX(Models!$BJ248:$BT248,,T248)*(1-R248)+INDEX(Models!$BJ248:$BT248,,T248+1)*R248-ERP_i)*Q248*Ramure*Pc/MaxiM</f>
        <v>2.4864390288164492E-3</v>
      </c>
      <c r="Q248" s="307">
        <f t="shared" si="77"/>
        <v>0.9</v>
      </c>
      <c r="R248" s="179">
        <f t="shared" si="78"/>
        <v>0.26675228234651172</v>
      </c>
      <c r="S248" s="839">
        <f t="shared" si="79"/>
        <v>-1</v>
      </c>
      <c r="T248" s="178">
        <f t="shared" si="80"/>
        <v>5</v>
      </c>
      <c r="U248" s="253">
        <f t="shared" si="81"/>
        <v>-0.73324771765348828</v>
      </c>
      <c r="V248" s="385">
        <f t="shared" si="82"/>
        <v>47.225903920120999</v>
      </c>
      <c r="W248" s="404"/>
      <c r="X248" s="157">
        <f t="shared" si="83"/>
        <v>44064</v>
      </c>
      <c r="Y248" s="387">
        <f t="shared" si="84"/>
        <v>38.954000000000001</v>
      </c>
      <c r="Z248" s="387">
        <f t="shared" si="85"/>
        <v>39.640785825027749</v>
      </c>
      <c r="AA248" s="388">
        <f t="shared" si="86"/>
        <v>45.1461444258521</v>
      </c>
      <c r="AB248" s="199">
        <f t="shared" si="87"/>
        <v>44064</v>
      </c>
      <c r="AC248" s="119">
        <f>IF(OR(t&lt;Tnet,NoTnet),'2019'!Resal_s+('2019'!Salim-'2019'!Resal_s)*(1-EXP(('2019'!Tnet_s-t)/'2019'!Tau_j)),Resal_s+(Salim-Resal_s)*(1-EXP((Tnet_s-t)/Tau_j)))*Salcycl</f>
        <v>0.12194526622016051</v>
      </c>
      <c r="AD248" s="233">
        <f>(INDEX(Models!$BJ248:$BT248,,AH248)*(1-AF248)+INDEX(Models!$BJ248:$BT248,,AH248+1)*AF248-ERP_i)*AE248*Ramure*Pc/MaxiM</f>
        <v>2.4864390288164492E-3</v>
      </c>
      <c r="AE248" s="307">
        <f t="shared" si="88"/>
        <v>0.9</v>
      </c>
      <c r="AF248" s="179">
        <f t="shared" si="89"/>
        <v>0.26675228234651172</v>
      </c>
      <c r="AG248" s="839">
        <f t="shared" si="95"/>
        <v>-1</v>
      </c>
      <c r="AH248" s="178">
        <f t="shared" si="90"/>
        <v>5</v>
      </c>
      <c r="AI248" s="227">
        <f t="shared" si="91"/>
        <v>-0.73324771765348828</v>
      </c>
      <c r="AJ248" s="267" t="b">
        <f t="shared" si="92"/>
        <v>0</v>
      </c>
      <c r="AK248" s="267" t="b">
        <f t="shared" si="93"/>
        <v>0</v>
      </c>
      <c r="AL248" s="267"/>
      <c r="AM248" s="267"/>
      <c r="AN248" s="75"/>
    </row>
    <row r="249" spans="1:40" s="6" customFormat="1" ht="11.25" customHeight="1" x14ac:dyDescent="0.2">
      <c r="A249" s="56">
        <f t="shared" si="94"/>
        <v>44065</v>
      </c>
      <c r="B249" s="620">
        <v>32.741999999999997</v>
      </c>
      <c r="C249" s="392"/>
      <c r="D249" s="395">
        <f t="shared" si="74"/>
        <v>33.320039396420306</v>
      </c>
      <c r="E249" s="387">
        <f t="shared" si="96"/>
        <v>37.950345085272197</v>
      </c>
      <c r="F249" s="387">
        <f t="shared" si="75"/>
        <v>38.006492692873771</v>
      </c>
      <c r="G249" s="110">
        <f t="shared" si="97"/>
        <v>0.696124520427573</v>
      </c>
      <c r="H249" s="416" t="b">
        <f>Wh_hp&gt;='2019'!Maxi_hp</f>
        <v>0</v>
      </c>
      <c r="I249" s="382">
        <f>IF(H249,Wh_hp,'2019'!Maxi_hp)</f>
        <v>52.366514381661467</v>
      </c>
      <c r="J249" s="85">
        <f>IF(H249,An,'2019'!An_max)</f>
        <v>2019</v>
      </c>
      <c r="K249" s="199">
        <f t="shared" si="76"/>
        <v>44065</v>
      </c>
      <c r="L249" s="147">
        <f>IF(t&lt;Tvie,1-EXP((T0-t)*PertePVj)+'2019'!Pspv,1-EXP((T0-t)*PertePVj)+Pspv)</f>
        <v>1.7348100629268948E-2</v>
      </c>
      <c r="M249" s="872"/>
      <c r="N249" s="872"/>
      <c r="O249" s="48">
        <f>IF(t&lt;Tnet,'2019'!Resal+('2019'!Salim-'2019'!Resal)*(1-EXP(('2019'!Tnet-t)/('2019'!Tau_j))),Resal+(Salim-Resal)*(1-EXP((Tnet-t)/(Tau_j))))*Salcycl</f>
        <v>0.12200958063616714</v>
      </c>
      <c r="P249" s="171">
        <f>(INDEX(Models!$BJ249:$BT249,,T249)*(1-R249)+INDEX(Models!$BJ249:$BT249,,T249+1)*R249-ERP_i)*Q249*Ramure*Pc/MaxiM</f>
        <v>2.6054180275847418E-3</v>
      </c>
      <c r="Q249" s="307">
        <f t="shared" si="77"/>
        <v>0.9</v>
      </c>
      <c r="R249" s="179">
        <f t="shared" si="78"/>
        <v>0.26803017754465253</v>
      </c>
      <c r="S249" s="839">
        <f t="shared" si="79"/>
        <v>-1</v>
      </c>
      <c r="T249" s="178">
        <f t="shared" si="80"/>
        <v>5</v>
      </c>
      <c r="U249" s="253">
        <f t="shared" si="81"/>
        <v>-0.73196982245534747</v>
      </c>
      <c r="V249" s="385">
        <f t="shared" si="82"/>
        <v>46.981550115115127</v>
      </c>
      <c r="W249" s="404"/>
      <c r="X249" s="157">
        <f t="shared" si="83"/>
        <v>44065</v>
      </c>
      <c r="Y249" s="387">
        <f t="shared" si="84"/>
        <v>32.741999999999997</v>
      </c>
      <c r="Z249" s="387">
        <f t="shared" si="85"/>
        <v>33.320039396420306</v>
      </c>
      <c r="AA249" s="388">
        <f t="shared" si="86"/>
        <v>37.950345085272197</v>
      </c>
      <c r="AB249" s="199">
        <f t="shared" si="87"/>
        <v>44065</v>
      </c>
      <c r="AC249" s="119">
        <f>IF(OR(t&lt;Tnet,NoTnet),'2019'!Resal_s+('2019'!Salim-'2019'!Resal_s)*(1-EXP(('2019'!Tnet_s-t)/'2019'!Tau_j)),Resal_s+(Salim-Resal_s)*(1-EXP((Tnet_s-t)/Tau_j)))*Salcycl</f>
        <v>0.12200958063616714</v>
      </c>
      <c r="AD249" s="233">
        <f>(INDEX(Models!$BJ249:$BT249,,AH249)*(1-AF249)+INDEX(Models!$BJ249:$BT249,,AH249+1)*AF249-ERP_i)*AE249*Ramure*Pc/MaxiM</f>
        <v>2.6054180275847418E-3</v>
      </c>
      <c r="AE249" s="307">
        <f t="shared" si="88"/>
        <v>0.9</v>
      </c>
      <c r="AF249" s="179">
        <f t="shared" si="89"/>
        <v>0.26803017754465253</v>
      </c>
      <c r="AG249" s="839">
        <f t="shared" si="95"/>
        <v>-1</v>
      </c>
      <c r="AH249" s="178">
        <f t="shared" si="90"/>
        <v>5</v>
      </c>
      <c r="AI249" s="227">
        <f t="shared" si="91"/>
        <v>-0.73196982245534747</v>
      </c>
      <c r="AJ249" s="267" t="b">
        <f t="shared" si="92"/>
        <v>0</v>
      </c>
      <c r="AK249" s="267" t="b">
        <f t="shared" si="93"/>
        <v>0</v>
      </c>
      <c r="AL249" s="267"/>
      <c r="AM249" s="267"/>
      <c r="AN249" s="75"/>
    </row>
    <row r="250" spans="1:40" s="6" customFormat="1" ht="11.25" x14ac:dyDescent="0.2">
      <c r="A250" s="56">
        <f t="shared" si="94"/>
        <v>44066</v>
      </c>
      <c r="B250" s="620">
        <v>38.634</v>
      </c>
      <c r="C250" s="392"/>
      <c r="D250" s="395">
        <f t="shared" si="74"/>
        <v>39.316973910379396</v>
      </c>
      <c r="E250" s="387">
        <f t="shared" si="96"/>
        <v>44.783881006502504</v>
      </c>
      <c r="F250" s="387">
        <f t="shared" si="75"/>
        <v>44.875847992715393</v>
      </c>
      <c r="G250" s="110">
        <f t="shared" si="97"/>
        <v>0.82614213326021091</v>
      </c>
      <c r="H250" s="416" t="b">
        <f>Wh_hp&gt;='2019'!Maxi_hp</f>
        <v>0</v>
      </c>
      <c r="I250" s="382">
        <f>IF(H250,Wh_hp,'2019'!Maxi_hp)</f>
        <v>52.23999379446547</v>
      </c>
      <c r="J250" s="85">
        <f>IF(H250,An,'2019'!An_max)</f>
        <v>2019</v>
      </c>
      <c r="K250" s="199">
        <f t="shared" si="76"/>
        <v>44066</v>
      </c>
      <c r="L250" s="147">
        <f>IF(t&lt;Tvie,1-EXP((T0-t)*PertePVj)+'2019'!Pspv,1-EXP((T0-t)*PertePVj)+Pspv)</f>
        <v>1.7370968374529339E-2</v>
      </c>
      <c r="M250" s="872"/>
      <c r="N250" s="872"/>
      <c r="O250" s="48">
        <f>IF(t&lt;Tnet,'2019'!Resal+('2019'!Salim-'2019'!Resal)*(1-EXP(('2019'!Tnet-t)/('2019'!Tau_j))),Resal+(Salim-Resal)*(1-EXP((Tnet-t)/(Tau_j))))*Salcycl</f>
        <v>0.12207309802670571</v>
      </c>
      <c r="P250" s="171">
        <f>(INDEX(Models!$BJ250:$BT250,,T250)*(1-R250)+INDEX(Models!$BJ250:$BT250,,T250+1)*R250-ERP_i)*Q250*Ramure*Pc/MaxiM</f>
        <v>2.7236632666689945E-3</v>
      </c>
      <c r="Q250" s="307">
        <f t="shared" si="77"/>
        <v>0.9</v>
      </c>
      <c r="R250" s="179">
        <f t="shared" si="78"/>
        <v>0.26926122771418248</v>
      </c>
      <c r="S250" s="839">
        <f t="shared" si="79"/>
        <v>-1</v>
      </c>
      <c r="T250" s="178">
        <f t="shared" si="80"/>
        <v>5</v>
      </c>
      <c r="U250" s="253">
        <f t="shared" si="81"/>
        <v>-0.73073877228581752</v>
      </c>
      <c r="V250" s="385">
        <f t="shared" si="82"/>
        <v>46.732752275825895</v>
      </c>
      <c r="W250" s="404"/>
      <c r="X250" s="157">
        <f t="shared" si="83"/>
        <v>44066</v>
      </c>
      <c r="Y250" s="387">
        <f t="shared" si="84"/>
        <v>38.634</v>
      </c>
      <c r="Z250" s="387">
        <f t="shared" si="85"/>
        <v>39.316973910379396</v>
      </c>
      <c r="AA250" s="388">
        <f t="shared" si="86"/>
        <v>44.783881006502504</v>
      </c>
      <c r="AB250" s="199">
        <f t="shared" si="87"/>
        <v>44066</v>
      </c>
      <c r="AC250" s="119">
        <f>IF(OR(t&lt;Tnet,NoTnet),'2019'!Resal_s+('2019'!Salim-'2019'!Resal_s)*(1-EXP(('2019'!Tnet_s-t)/'2019'!Tau_j)),Resal_s+(Salim-Resal_s)*(1-EXP((Tnet_s-t)/Tau_j)))*Salcycl</f>
        <v>0.12207309802670571</v>
      </c>
      <c r="AD250" s="233">
        <f>(INDEX(Models!$BJ250:$BT250,,AH250)*(1-AF250)+INDEX(Models!$BJ250:$BT250,,AH250+1)*AF250-ERP_i)*AE250*Ramure*Pc/MaxiM</f>
        <v>2.7236632666689945E-3</v>
      </c>
      <c r="AE250" s="307">
        <f t="shared" si="88"/>
        <v>0.9</v>
      </c>
      <c r="AF250" s="179">
        <f t="shared" si="89"/>
        <v>0.26926122771418248</v>
      </c>
      <c r="AG250" s="839">
        <f t="shared" si="95"/>
        <v>-1</v>
      </c>
      <c r="AH250" s="178">
        <f t="shared" si="90"/>
        <v>5</v>
      </c>
      <c r="AI250" s="227">
        <f t="shared" si="91"/>
        <v>-0.73073877228581752</v>
      </c>
      <c r="AJ250" s="267" t="b">
        <f t="shared" si="92"/>
        <v>0</v>
      </c>
      <c r="AK250" s="267" t="b">
        <f t="shared" si="93"/>
        <v>0</v>
      </c>
      <c r="AL250" s="267"/>
      <c r="AM250" s="267"/>
      <c r="AN250" s="75"/>
    </row>
    <row r="251" spans="1:40" s="6" customFormat="1" ht="11.25" x14ac:dyDescent="0.2">
      <c r="A251" s="56">
        <f t="shared" si="94"/>
        <v>44067</v>
      </c>
      <c r="B251" s="620">
        <v>41.436999999999998</v>
      </c>
      <c r="C251" s="392"/>
      <c r="D251" s="395">
        <f t="shared" si="74"/>
        <v>42.170506863022169</v>
      </c>
      <c r="E251" s="387">
        <f t="shared" si="96"/>
        <v>48.037619739805152</v>
      </c>
      <c r="F251" s="387">
        <f t="shared" si="75"/>
        <v>48.153229597700452</v>
      </c>
      <c r="G251" s="110">
        <f t="shared" si="97"/>
        <v>0.89112126980621742</v>
      </c>
      <c r="H251" s="416" t="b">
        <f>Wh_hp&gt;='2019'!Maxi_hp</f>
        <v>1</v>
      </c>
      <c r="I251" s="382">
        <f>IF(H251,Wh_hp,'2019'!Maxi_hp)</f>
        <v>48.153229597700452</v>
      </c>
      <c r="J251" s="85">
        <f>IF(H251,An,'2019'!An_max)</f>
        <v>2020</v>
      </c>
      <c r="K251" s="199">
        <f t="shared" si="76"/>
        <v>44067</v>
      </c>
      <c r="L251" s="147">
        <f>IF(t&lt;Tvie,1-EXP((T0-t)*PertePVj)+'2019'!Pspv,1-EXP((T0-t)*PertePVj)+Pspv)</f>
        <v>1.7393835587623863E-2</v>
      </c>
      <c r="M251" s="872"/>
      <c r="N251" s="872"/>
      <c r="O251" s="48">
        <f>IF(t&lt;Tnet,'2019'!Resal+('2019'!Salim-'2019'!Resal)*(1-EXP(('2019'!Tnet-t)/('2019'!Tau_j))),Resal+(Salim-Resal)*(1-EXP((Tnet-t)/(Tau_j))))*Salcycl</f>
        <v>0.12213579499904631</v>
      </c>
      <c r="P251" s="171">
        <f>(INDEX(Models!$BJ251:$BT251,,T251)*(1-R251)+INDEX(Models!$BJ251:$BT251,,T251+1)*R251-ERP_i)*Q251*Ramure*Pc/MaxiM</f>
        <v>2.8412005658742675E-3</v>
      </c>
      <c r="Q251" s="307">
        <f t="shared" si="77"/>
        <v>0.9</v>
      </c>
      <c r="R251" s="179">
        <f t="shared" si="78"/>
        <v>0.27044697894933289</v>
      </c>
      <c r="S251" s="839">
        <f t="shared" si="79"/>
        <v>-1</v>
      </c>
      <c r="T251" s="178">
        <f t="shared" si="80"/>
        <v>5</v>
      </c>
      <c r="U251" s="253">
        <f t="shared" si="81"/>
        <v>-0.72955302105066711</v>
      </c>
      <c r="V251" s="385">
        <f t="shared" si="82"/>
        <v>46.479319592303028</v>
      </c>
      <c r="W251" s="404"/>
      <c r="X251" s="157">
        <f t="shared" si="83"/>
        <v>44067</v>
      </c>
      <c r="Y251" s="387">
        <f t="shared" si="84"/>
        <v>41.436999999999998</v>
      </c>
      <c r="Z251" s="387">
        <f t="shared" si="85"/>
        <v>42.170506863022169</v>
      </c>
      <c r="AA251" s="388">
        <f t="shared" si="86"/>
        <v>48.037619739805152</v>
      </c>
      <c r="AB251" s="199">
        <f t="shared" si="87"/>
        <v>44067</v>
      </c>
      <c r="AC251" s="119">
        <f>IF(OR(t&lt;Tnet,NoTnet),'2019'!Resal_s+('2019'!Salim-'2019'!Resal_s)*(1-EXP(('2019'!Tnet_s-t)/'2019'!Tau_j)),Resal_s+(Salim-Resal_s)*(1-EXP((Tnet_s-t)/Tau_j)))*Salcycl</f>
        <v>0.12213579499904631</v>
      </c>
      <c r="AD251" s="233">
        <f>(INDEX(Models!$BJ251:$BT251,,AH251)*(1-AF251)+INDEX(Models!$BJ251:$BT251,,AH251+1)*AF251-ERP_i)*AE251*Ramure*Pc/MaxiM</f>
        <v>2.8412005658742675E-3</v>
      </c>
      <c r="AE251" s="307">
        <f t="shared" si="88"/>
        <v>0.9</v>
      </c>
      <c r="AF251" s="179">
        <f t="shared" si="89"/>
        <v>0.27044697894933289</v>
      </c>
      <c r="AG251" s="839">
        <f t="shared" si="95"/>
        <v>-1</v>
      </c>
      <c r="AH251" s="178">
        <f t="shared" si="90"/>
        <v>5</v>
      </c>
      <c r="AI251" s="227">
        <f t="shared" si="91"/>
        <v>-0.72955302105066711</v>
      </c>
      <c r="AJ251" s="267" t="b">
        <f t="shared" si="92"/>
        <v>0</v>
      </c>
      <c r="AK251" s="267" t="b">
        <f t="shared" si="93"/>
        <v>0</v>
      </c>
      <c r="AL251" s="267"/>
      <c r="AM251" s="267"/>
      <c r="AN251" s="75"/>
    </row>
    <row r="252" spans="1:40" s="6" customFormat="1" ht="11.25" customHeight="1" x14ac:dyDescent="0.2">
      <c r="A252" s="56">
        <f t="shared" si="94"/>
        <v>44068</v>
      </c>
      <c r="B252" s="620">
        <v>43.241</v>
      </c>
      <c r="C252" s="392"/>
      <c r="D252" s="395">
        <f t="shared" si="74"/>
        <v>44.007464914001481</v>
      </c>
      <c r="E252" s="387">
        <f t="shared" si="96"/>
        <v>50.133683030787907</v>
      </c>
      <c r="F252" s="387">
        <f t="shared" si="75"/>
        <v>50.268684744742387</v>
      </c>
      <c r="G252" s="110">
        <f t="shared" si="97"/>
        <v>0.93527032498428786</v>
      </c>
      <c r="H252" s="416" t="b">
        <f>Wh_hp&gt;='2019'!Maxi_hp</f>
        <v>1</v>
      </c>
      <c r="I252" s="382">
        <f>IF(H252,Wh_hp,'2019'!Maxi_hp)</f>
        <v>50.268684744742387</v>
      </c>
      <c r="J252" s="85">
        <f>IF(H252,An,'2019'!An_max)</f>
        <v>2020</v>
      </c>
      <c r="K252" s="199">
        <f t="shared" si="76"/>
        <v>44068</v>
      </c>
      <c r="L252" s="147">
        <f>IF(t&lt;Tvie,1-EXP((T0-t)*PertePVj)+'2019'!Pspv,1-EXP((T0-t)*PertePVj)+Pspv)</f>
        <v>1.7416702268564954E-2</v>
      </c>
      <c r="M252" s="872"/>
      <c r="N252" s="872"/>
      <c r="O252" s="48">
        <f>IF(t&lt;Tnet,'2019'!Resal+('2019'!Salim-'2019'!Resal)*(1-EXP(('2019'!Tnet-t)/('2019'!Tau_j))),Resal+(Salim-Resal)*(1-EXP((Tnet-t)/(Tau_j))))*Salcycl</f>
        <v>0.1221976472988074</v>
      </c>
      <c r="P252" s="171">
        <f>(INDEX(Models!$BJ252:$BT252,,T252)*(1-R252)+INDEX(Models!$BJ252:$BT252,,T252+1)*R252-ERP_i)*Q252*Ramure*Pc/MaxiM</f>
        <v>2.958057052168791E-3</v>
      </c>
      <c r="Q252" s="307">
        <f t="shared" si="77"/>
        <v>0.9</v>
      </c>
      <c r="R252" s="179">
        <f t="shared" si="78"/>
        <v>0.27158893935129802</v>
      </c>
      <c r="S252" s="839">
        <f t="shared" si="79"/>
        <v>-1</v>
      </c>
      <c r="T252" s="178">
        <f t="shared" si="80"/>
        <v>5</v>
      </c>
      <c r="U252" s="253">
        <f t="shared" si="81"/>
        <v>-0.72841106064870198</v>
      </c>
      <c r="V252" s="385">
        <f t="shared" si="82"/>
        <v>46.22106135565997</v>
      </c>
      <c r="W252" s="404"/>
      <c r="X252" s="157">
        <f t="shared" si="83"/>
        <v>44068</v>
      </c>
      <c r="Y252" s="387">
        <f t="shared" si="84"/>
        <v>43.241</v>
      </c>
      <c r="Z252" s="387">
        <f t="shared" si="85"/>
        <v>44.007464914001481</v>
      </c>
      <c r="AA252" s="388">
        <f t="shared" si="86"/>
        <v>50.133683030787907</v>
      </c>
      <c r="AB252" s="199">
        <f t="shared" si="87"/>
        <v>44068</v>
      </c>
      <c r="AC252" s="119">
        <f>IF(OR(t&lt;Tnet,NoTnet),'2019'!Resal_s+('2019'!Salim-'2019'!Resal_s)*(1-EXP(('2019'!Tnet_s-t)/'2019'!Tau_j)),Resal_s+(Salim-Resal_s)*(1-EXP((Tnet_s-t)/Tau_j)))*Salcycl</f>
        <v>0.1221976472988074</v>
      </c>
      <c r="AD252" s="233">
        <f>(INDEX(Models!$BJ252:$BT252,,AH252)*(1-AF252)+INDEX(Models!$BJ252:$BT252,,AH252+1)*AF252-ERP_i)*AE252*Ramure*Pc/MaxiM</f>
        <v>2.958057052168791E-3</v>
      </c>
      <c r="AE252" s="307">
        <f t="shared" si="88"/>
        <v>0.9</v>
      </c>
      <c r="AF252" s="179">
        <f t="shared" si="89"/>
        <v>0.27158893935129802</v>
      </c>
      <c r="AG252" s="839">
        <f t="shared" si="95"/>
        <v>-1</v>
      </c>
      <c r="AH252" s="178">
        <f t="shared" si="90"/>
        <v>5</v>
      </c>
      <c r="AI252" s="227">
        <f t="shared" si="91"/>
        <v>-0.72841106064870198</v>
      </c>
      <c r="AJ252" s="267" t="b">
        <f t="shared" si="92"/>
        <v>0</v>
      </c>
      <c r="AK252" s="267" t="b">
        <f t="shared" si="93"/>
        <v>0</v>
      </c>
      <c r="AL252" s="267"/>
      <c r="AM252" s="267"/>
      <c r="AN252" s="75"/>
    </row>
    <row r="253" spans="1:40" s="6" customFormat="1" ht="11.25" customHeight="1" x14ac:dyDescent="0.2">
      <c r="A253" s="56">
        <f t="shared" si="94"/>
        <v>44069</v>
      </c>
      <c r="B253" s="620">
        <v>24.187000000000001</v>
      </c>
      <c r="C253" s="392"/>
      <c r="D253" s="395">
        <f t="shared" si="74"/>
        <v>24.616297606287063</v>
      </c>
      <c r="E253" s="387">
        <f t="shared" si="96"/>
        <v>28.045046573149047</v>
      </c>
      <c r="F253" s="387">
        <f t="shared" si="75"/>
        <v>28.07294573351021</v>
      </c>
      <c r="G253" s="110">
        <f t="shared" si="97"/>
        <v>0.5251913039742262</v>
      </c>
      <c r="H253" s="416" t="b">
        <f>Wh_hp&gt;='2019'!Maxi_hp</f>
        <v>0</v>
      </c>
      <c r="I253" s="382">
        <f>IF(H253,Wh_hp,'2019'!Maxi_hp)</f>
        <v>36.087693221728863</v>
      </c>
      <c r="J253" s="85">
        <f>IF(H253,An,'2019'!An_max)</f>
        <v>2019</v>
      </c>
      <c r="K253" s="199">
        <f t="shared" si="76"/>
        <v>44069</v>
      </c>
      <c r="L253" s="147">
        <f>IF(t&lt;Tvie,1-EXP((T0-t)*PertePVj)+'2019'!Pspv,1-EXP((T0-t)*PertePVj)+Pspv)</f>
        <v>1.7439568417364937E-2</v>
      </c>
      <c r="M253" s="872"/>
      <c r="N253" s="872"/>
      <c r="O253" s="48">
        <f>IF(t&lt;Tnet,'2019'!Resal+('2019'!Salim-'2019'!Resal)*(1-EXP(('2019'!Tnet-t)/('2019'!Tau_j))),Resal+(Salim-Resal)*(1-EXP((Tnet-t)/(Tau_j))))*Salcycl</f>
        <v>0.12225862980540551</v>
      </c>
      <c r="P253" s="171">
        <f>(INDEX(Models!$BJ253:$BT253,,T253)*(1-R253)+INDEX(Models!$BJ253:$BT253,,T253+1)*R253-ERP_i)*Q253*Ramure*Pc/MaxiM</f>
        <v>3.0742627897466152E-3</v>
      </c>
      <c r="Q253" s="307">
        <f t="shared" si="77"/>
        <v>0.9</v>
      </c>
      <c r="R253" s="179">
        <f t="shared" si="78"/>
        <v>0.27268857892064413</v>
      </c>
      <c r="S253" s="839">
        <f t="shared" si="79"/>
        <v>-1</v>
      </c>
      <c r="T253" s="178">
        <f t="shared" si="80"/>
        <v>5</v>
      </c>
      <c r="U253" s="253">
        <f t="shared" si="81"/>
        <v>-0.72731142107935587</v>
      </c>
      <c r="V253" s="385">
        <f t="shared" si="82"/>
        <v>45.957786878111527</v>
      </c>
      <c r="W253" s="404"/>
      <c r="X253" s="157">
        <f t="shared" si="83"/>
        <v>44069</v>
      </c>
      <c r="Y253" s="387">
        <f t="shared" si="84"/>
        <v>24.187000000000001</v>
      </c>
      <c r="Z253" s="387">
        <f t="shared" si="85"/>
        <v>24.616297606287063</v>
      </c>
      <c r="AA253" s="388">
        <f t="shared" si="86"/>
        <v>28.045046573149047</v>
      </c>
      <c r="AB253" s="199">
        <f t="shared" si="87"/>
        <v>44069</v>
      </c>
      <c r="AC253" s="119">
        <f>IF(OR(t&lt;Tnet,NoTnet),'2019'!Resal_s+('2019'!Salim-'2019'!Resal_s)*(1-EXP(('2019'!Tnet_s-t)/'2019'!Tau_j)),Resal_s+(Salim-Resal_s)*(1-EXP((Tnet_s-t)/Tau_j)))*Salcycl</f>
        <v>0.12225862980540551</v>
      </c>
      <c r="AD253" s="233">
        <f>(INDEX(Models!$BJ253:$BT253,,AH253)*(1-AF253)+INDEX(Models!$BJ253:$BT253,,AH253+1)*AF253-ERP_i)*AE253*Ramure*Pc/MaxiM</f>
        <v>3.0742627897466152E-3</v>
      </c>
      <c r="AE253" s="307">
        <f t="shared" si="88"/>
        <v>0.9</v>
      </c>
      <c r="AF253" s="179">
        <f t="shared" si="89"/>
        <v>0.27268857892064413</v>
      </c>
      <c r="AG253" s="839">
        <f t="shared" si="95"/>
        <v>-1</v>
      </c>
      <c r="AH253" s="178">
        <f t="shared" si="90"/>
        <v>5</v>
      </c>
      <c r="AI253" s="227">
        <f t="shared" si="91"/>
        <v>-0.72731142107935587</v>
      </c>
      <c r="AJ253" s="267" t="b">
        <f t="shared" si="92"/>
        <v>0</v>
      </c>
      <c r="AK253" s="267" t="b">
        <f t="shared" si="93"/>
        <v>0</v>
      </c>
      <c r="AL253" s="267"/>
      <c r="AM253" s="267"/>
      <c r="AN253" s="75"/>
    </row>
    <row r="254" spans="1:40" s="6" customFormat="1" ht="11.25" x14ac:dyDescent="0.2">
      <c r="A254" s="56">
        <f t="shared" si="94"/>
        <v>44070</v>
      </c>
      <c r="B254" s="620">
        <v>41.442</v>
      </c>
      <c r="C254" s="392"/>
      <c r="D254" s="395">
        <f t="shared" si="74"/>
        <v>42.178539971911462</v>
      </c>
      <c r="E254" s="387">
        <f t="shared" si="96"/>
        <v>48.056784125869314</v>
      </c>
      <c r="F254" s="387">
        <f t="shared" si="75"/>
        <v>48.190014387750161</v>
      </c>
      <c r="G254" s="110">
        <f t="shared" si="97"/>
        <v>0.90665268440038005</v>
      </c>
      <c r="H254" s="416" t="b">
        <f>Wh_hp&gt;='2019'!Maxi_hp</f>
        <v>1</v>
      </c>
      <c r="I254" s="382">
        <f>IF(H254,Wh_hp,'2019'!Maxi_hp)</f>
        <v>48.190014387750161</v>
      </c>
      <c r="J254" s="85">
        <f>IF(H254,An,'2019'!An_max)</f>
        <v>2020</v>
      </c>
      <c r="K254" s="199">
        <f t="shared" si="76"/>
        <v>44070</v>
      </c>
      <c r="L254" s="147">
        <f>IF(t&lt;Tvie,1-EXP((T0-t)*PertePVj)+'2019'!Pspv,1-EXP((T0-t)*PertePVj)+Pspv)</f>
        <v>1.7462434034036245E-2</v>
      </c>
      <c r="M254" s="872"/>
      <c r="N254" s="872"/>
      <c r="O254" s="48">
        <f>IF(t&lt;Tnet,'2019'!Resal+('2019'!Salim-'2019'!Resal)*(1-EXP(('2019'!Tnet-t)/('2019'!Tau_j))),Resal+(Salim-Resal)*(1-EXP((Tnet-t)/(Tau_j))))*Salcycl</f>
        <v>0.12231871651173484</v>
      </c>
      <c r="P254" s="171">
        <f>(INDEX(Models!$BJ254:$BT254,,T254)*(1-R254)+INDEX(Models!$BJ254:$BT254,,T254+1)*R254-ERP_i)*Q254*Ramure*Pc/MaxiM</f>
        <v>3.1880721931203029E-3</v>
      </c>
      <c r="Q254" s="307">
        <f t="shared" si="77"/>
        <v>0.9</v>
      </c>
      <c r="R254" s="179">
        <f t="shared" si="78"/>
        <v>0.27374732955422787</v>
      </c>
      <c r="S254" s="839">
        <f t="shared" si="79"/>
        <v>-1</v>
      </c>
      <c r="T254" s="178">
        <f t="shared" si="80"/>
        <v>5</v>
      </c>
      <c r="U254" s="253">
        <f t="shared" si="81"/>
        <v>-0.72625267044577213</v>
      </c>
      <c r="V254" s="385">
        <f t="shared" si="82"/>
        <v>45.689387018625865</v>
      </c>
      <c r="W254" s="404"/>
      <c r="X254" s="157">
        <f t="shared" si="83"/>
        <v>44070</v>
      </c>
      <c r="Y254" s="387">
        <f t="shared" si="84"/>
        <v>41.442</v>
      </c>
      <c r="Z254" s="387">
        <f t="shared" si="85"/>
        <v>42.178539971911462</v>
      </c>
      <c r="AA254" s="388">
        <f t="shared" si="86"/>
        <v>48.056784125869314</v>
      </c>
      <c r="AB254" s="199">
        <f t="shared" si="87"/>
        <v>44070</v>
      </c>
      <c r="AC254" s="119">
        <f>IF(OR(t&lt;Tnet,NoTnet),'2019'!Resal_s+('2019'!Salim-'2019'!Resal_s)*(1-EXP(('2019'!Tnet_s-t)/'2019'!Tau_j)),Resal_s+(Salim-Resal_s)*(1-EXP((Tnet_s-t)/Tau_j)))*Salcycl</f>
        <v>0.12231871651173484</v>
      </c>
      <c r="AD254" s="233">
        <f>(INDEX(Models!$BJ254:$BT254,,AH254)*(1-AF254)+INDEX(Models!$BJ254:$BT254,,AH254+1)*AF254-ERP_i)*AE254*Ramure*Pc/MaxiM</f>
        <v>3.1880721931203029E-3</v>
      </c>
      <c r="AE254" s="307">
        <f t="shared" si="88"/>
        <v>0.9</v>
      </c>
      <c r="AF254" s="179">
        <f t="shared" si="89"/>
        <v>0.27374732955422787</v>
      </c>
      <c r="AG254" s="839">
        <f t="shared" si="95"/>
        <v>-1</v>
      </c>
      <c r="AH254" s="178">
        <f t="shared" si="90"/>
        <v>5</v>
      </c>
      <c r="AI254" s="227">
        <f t="shared" si="91"/>
        <v>-0.72625267044577213</v>
      </c>
      <c r="AJ254" s="267" t="b">
        <f t="shared" si="92"/>
        <v>0</v>
      </c>
      <c r="AK254" s="267" t="b">
        <f t="shared" si="93"/>
        <v>0</v>
      </c>
      <c r="AL254" s="267"/>
      <c r="AM254" s="267"/>
      <c r="AN254" s="75"/>
    </row>
    <row r="255" spans="1:40" s="6" customFormat="1" ht="11.25" x14ac:dyDescent="0.2">
      <c r="A255" s="56">
        <f t="shared" si="94"/>
        <v>44071</v>
      </c>
      <c r="B255" s="620">
        <v>7.4189999999999996</v>
      </c>
      <c r="C255" s="392"/>
      <c r="D255" s="395">
        <f t="shared" si="74"/>
        <v>7.5510320541203653</v>
      </c>
      <c r="E255" s="387">
        <f t="shared" si="96"/>
        <v>8.603967341126765</v>
      </c>
      <c r="F255" s="387">
        <f t="shared" si="75"/>
        <v>8.603967341126765</v>
      </c>
      <c r="G255" s="110">
        <f t="shared" si="97"/>
        <v>0.1628187121503247</v>
      </c>
      <c r="H255" s="416" t="b">
        <f>Wh_hp&gt;='2019'!Maxi_hp</f>
        <v>0</v>
      </c>
      <c r="I255" s="382">
        <f>IF(H255,Wh_hp,'2019'!Maxi_hp)</f>
        <v>48.95231466559823</v>
      </c>
      <c r="J255" s="85">
        <f>IF(H255,An,'2019'!An_max)</f>
        <v>2019</v>
      </c>
      <c r="K255" s="199">
        <f t="shared" si="76"/>
        <v>44071</v>
      </c>
      <c r="L255" s="147">
        <f>IF(t&lt;Tvie,1-EXP((T0-t)*PertePVj)+'2019'!Pspv,1-EXP((T0-t)*PertePVj)+Pspv)</f>
        <v>1.7485299118591313E-2</v>
      </c>
      <c r="M255" s="872"/>
      <c r="N255" s="872"/>
      <c r="O255" s="48">
        <f>IF(t&lt;Tnet,'2019'!Resal+('2019'!Salim-'2019'!Resal)*(1-EXP(('2019'!Tnet-t)/('2019'!Tau_j))),Resal+(Salim-Resal)*(1-EXP((Tnet-t)/(Tau_j))))*Salcycl</f>
        <v>0.12237788048931732</v>
      </c>
      <c r="P255" s="171">
        <f>(INDEX(Models!$BJ255:$BT255,,T255)*(1-R255)+INDEX(Models!$BJ255:$BT255,,T255+1)*R255-ERP_i)*Q255*Ramure*Pc/MaxiM</f>
        <v>3.3003311581078971E-3</v>
      </c>
      <c r="Q255" s="307">
        <f t="shared" si="77"/>
        <v>0.9</v>
      </c>
      <c r="R255" s="179">
        <f t="shared" si="78"/>
        <v>0.27476658513744034</v>
      </c>
      <c r="S255" s="839">
        <f t="shared" si="79"/>
        <v>-1</v>
      </c>
      <c r="T255" s="178">
        <f t="shared" si="80"/>
        <v>5</v>
      </c>
      <c r="U255" s="253">
        <f t="shared" si="81"/>
        <v>-0.72523341486255966</v>
      </c>
      <c r="V255" s="385">
        <f t="shared" si="82"/>
        <v>45.415632794779171</v>
      </c>
      <c r="W255" s="404"/>
      <c r="X255" s="157">
        <f t="shared" si="83"/>
        <v>44071</v>
      </c>
      <c r="Y255" s="387">
        <f t="shared" si="84"/>
        <v>7.4189999999999987</v>
      </c>
      <c r="Z255" s="387">
        <f t="shared" si="85"/>
        <v>7.5510320541203644</v>
      </c>
      <c r="AA255" s="388">
        <f t="shared" si="86"/>
        <v>8.603967341126765</v>
      </c>
      <c r="AB255" s="199">
        <f t="shared" si="87"/>
        <v>44071</v>
      </c>
      <c r="AC255" s="119">
        <f>IF(OR(t&lt;Tnet,NoTnet),'2019'!Resal_s+('2019'!Salim-'2019'!Resal_s)*(1-EXP(('2019'!Tnet_s-t)/'2019'!Tau_j)),Resal_s+(Salim-Resal_s)*(1-EXP((Tnet_s-t)/Tau_j)))*Salcycl</f>
        <v>0.12237788048931732</v>
      </c>
      <c r="AD255" s="233">
        <f>(INDEX(Models!$BJ255:$BT255,,AH255)*(1-AF255)+INDEX(Models!$BJ255:$BT255,,AH255+1)*AF255-ERP_i)*AE255*Ramure*Pc/MaxiM</f>
        <v>3.3003311581078971E-3</v>
      </c>
      <c r="AE255" s="307">
        <f t="shared" si="88"/>
        <v>0.9</v>
      </c>
      <c r="AF255" s="179">
        <f t="shared" si="89"/>
        <v>0.27476658513744034</v>
      </c>
      <c r="AG255" s="839">
        <f t="shared" si="95"/>
        <v>-1</v>
      </c>
      <c r="AH255" s="178">
        <f t="shared" si="90"/>
        <v>5</v>
      </c>
      <c r="AI255" s="227">
        <f t="shared" si="91"/>
        <v>-0.72523341486255966</v>
      </c>
      <c r="AJ255" s="267" t="b">
        <f t="shared" si="92"/>
        <v>0</v>
      </c>
      <c r="AK255" s="267" t="b">
        <f t="shared" si="93"/>
        <v>0</v>
      </c>
      <c r="AL255" s="267"/>
      <c r="AM255" s="267"/>
      <c r="AN255" s="75"/>
    </row>
    <row r="256" spans="1:40" s="6" customFormat="1" ht="11.25" customHeight="1" x14ac:dyDescent="0.2">
      <c r="A256" s="56">
        <f t="shared" si="94"/>
        <v>44072</v>
      </c>
      <c r="B256" s="620">
        <v>17.791</v>
      </c>
      <c r="C256" s="392"/>
      <c r="D256" s="395">
        <f t="shared" si="74"/>
        <v>18.108038501851961</v>
      </c>
      <c r="E256" s="387">
        <f t="shared" si="96"/>
        <v>20.634438557411716</v>
      </c>
      <c r="F256" s="387">
        <f t="shared" si="75"/>
        <v>20.643910867790318</v>
      </c>
      <c r="G256" s="110">
        <f t="shared" si="97"/>
        <v>0.39299720594898646</v>
      </c>
      <c r="H256" s="416" t="b">
        <f>Wh_hp&gt;='2019'!Maxi_hp</f>
        <v>0</v>
      </c>
      <c r="I256" s="382">
        <f>IF(H256,Wh_hp,'2019'!Maxi_hp)</f>
        <v>48.496560817379347</v>
      </c>
      <c r="J256" s="85">
        <f>IF(H256,An,'2019'!An_max)</f>
        <v>2019</v>
      </c>
      <c r="K256" s="199">
        <f t="shared" si="76"/>
        <v>44072</v>
      </c>
      <c r="L256" s="147">
        <f>IF(t&lt;Tvie,1-EXP((T0-t)*PertePVj)+'2019'!Pspv,1-EXP((T0-t)*PertePVj)+Pspv)</f>
        <v>1.7508163671042465E-2</v>
      </c>
      <c r="M256" s="872"/>
      <c r="N256" s="872"/>
      <c r="O256" s="48">
        <f>IF(t&lt;Tnet,'2019'!Resal+('2019'!Salim-'2019'!Resal)*(1-EXP(('2019'!Tnet-t)/('2019'!Tau_j))),Resal+(Salim-Resal)*(1-EXP((Tnet-t)/(Tau_j))))*Salcycl</f>
        <v>0.12243609384042548</v>
      </c>
      <c r="P256" s="171">
        <f>(INDEX(Models!$BJ256:$BT256,,T256)*(1-R256)+INDEX(Models!$BJ256:$BT256,,T256+1)*R256-ERP_i)*Q256*Ramure*Pc/MaxiM</f>
        <v>3.411058177210114E-3</v>
      </c>
      <c r="Q256" s="307">
        <f t="shared" si="77"/>
        <v>0.9</v>
      </c>
      <c r="R256" s="179">
        <f t="shared" si="78"/>
        <v>0.27574770172308494</v>
      </c>
      <c r="S256" s="839">
        <f t="shared" si="79"/>
        <v>-1</v>
      </c>
      <c r="T256" s="178">
        <f t="shared" si="80"/>
        <v>5</v>
      </c>
      <c r="U256" s="253">
        <f t="shared" si="81"/>
        <v>-0.72425229827691506</v>
      </c>
      <c r="V256" s="385">
        <f t="shared" si="82"/>
        <v>45.136333687234256</v>
      </c>
      <c r="W256" s="404"/>
      <c r="X256" s="157">
        <f t="shared" si="83"/>
        <v>44072</v>
      </c>
      <c r="Y256" s="387">
        <f t="shared" si="84"/>
        <v>17.791</v>
      </c>
      <c r="Z256" s="387">
        <f t="shared" si="85"/>
        <v>18.108038501851961</v>
      </c>
      <c r="AA256" s="388">
        <f t="shared" si="86"/>
        <v>20.634438557411716</v>
      </c>
      <c r="AB256" s="199">
        <f t="shared" si="87"/>
        <v>44072</v>
      </c>
      <c r="AC256" s="119">
        <f>IF(OR(t&lt;Tnet,NoTnet),'2019'!Resal_s+('2019'!Salim-'2019'!Resal_s)*(1-EXP(('2019'!Tnet_s-t)/'2019'!Tau_j)),Resal_s+(Salim-Resal_s)*(1-EXP((Tnet_s-t)/Tau_j)))*Salcycl</f>
        <v>0.12243609384042548</v>
      </c>
      <c r="AD256" s="233">
        <f>(INDEX(Models!$BJ256:$BT256,,AH256)*(1-AF256)+INDEX(Models!$BJ256:$BT256,,AH256+1)*AF256-ERP_i)*AE256*Ramure*Pc/MaxiM</f>
        <v>3.411058177210114E-3</v>
      </c>
      <c r="AE256" s="307">
        <f t="shared" si="88"/>
        <v>0.9</v>
      </c>
      <c r="AF256" s="179">
        <f t="shared" si="89"/>
        <v>0.27574770172308494</v>
      </c>
      <c r="AG256" s="839">
        <f t="shared" si="95"/>
        <v>-1</v>
      </c>
      <c r="AH256" s="178">
        <f t="shared" si="90"/>
        <v>5</v>
      </c>
      <c r="AI256" s="227">
        <f t="shared" si="91"/>
        <v>-0.72425229827691506</v>
      </c>
      <c r="AJ256" s="267" t="b">
        <f t="shared" si="92"/>
        <v>0</v>
      </c>
      <c r="AK256" s="267" t="b">
        <f t="shared" si="93"/>
        <v>0</v>
      </c>
      <c r="AL256" s="267"/>
      <c r="AM256" s="267"/>
      <c r="AN256" s="75"/>
    </row>
    <row r="257" spans="1:40" s="6" customFormat="1" ht="11.25" x14ac:dyDescent="0.2">
      <c r="A257" s="56">
        <f t="shared" si="94"/>
        <v>44073</v>
      </c>
      <c r="B257" s="620">
        <v>24.821999999999999</v>
      </c>
      <c r="C257" s="392"/>
      <c r="D257" s="395">
        <f t="shared" si="74"/>
        <v>25.264920012357699</v>
      </c>
      <c r="E257" s="387">
        <f t="shared" si="96"/>
        <v>28.79171271071742</v>
      </c>
      <c r="F257" s="387">
        <f t="shared" si="75"/>
        <v>28.828454109613361</v>
      </c>
      <c r="G257" s="110">
        <f t="shared" si="97"/>
        <v>0.55218431379181543</v>
      </c>
      <c r="H257" s="416" t="b">
        <f>Wh_hp&gt;='2019'!Maxi_hp</f>
        <v>0</v>
      </c>
      <c r="I257" s="382">
        <f>IF(H257,Wh_hp,'2019'!Maxi_hp)</f>
        <v>46.924718024987577</v>
      </c>
      <c r="J257" s="85">
        <f>IF(H257,An,'2019'!An_max)</f>
        <v>2019</v>
      </c>
      <c r="K257" s="199">
        <f t="shared" si="76"/>
        <v>44073</v>
      </c>
      <c r="L257" s="147">
        <f>IF(t&lt;Tvie,1-EXP((T0-t)*PertePVj)+'2019'!Pspv,1-EXP((T0-t)*PertePVj)+Pspv)</f>
        <v>1.7531027691402024E-2</v>
      </c>
      <c r="M257" s="872"/>
      <c r="N257" s="872"/>
      <c r="O257" s="48">
        <f>IF(t&lt;Tnet,'2019'!Resal+('2019'!Salim-'2019'!Resal)*(1-EXP(('2019'!Tnet-t)/('2019'!Tau_j))),Resal+(Salim-Resal)*(1-EXP((Tnet-t)/(Tau_j))))*Salcycl</f>
        <v>0.12249332763892538</v>
      </c>
      <c r="P257" s="171">
        <f>(INDEX(Models!$BJ257:$BT257,,T257)*(1-R257)+INDEX(Models!$BJ257:$BT257,,T257+1)*R257-ERP_i)*Q257*Ramure*Pc/MaxiM</f>
        <v>3.5202737108338037E-3</v>
      </c>
      <c r="Q257" s="307">
        <f t="shared" si="77"/>
        <v>0.9</v>
      </c>
      <c r="R257" s="179">
        <f t="shared" si="78"/>
        <v>0.27669199778866527</v>
      </c>
      <c r="S257" s="839">
        <f t="shared" si="79"/>
        <v>-1</v>
      </c>
      <c r="T257" s="178">
        <f t="shared" si="80"/>
        <v>5</v>
      </c>
      <c r="U257" s="253">
        <f t="shared" si="81"/>
        <v>-0.72330800221133473</v>
      </c>
      <c r="V257" s="385">
        <f t="shared" si="82"/>
        <v>44.851299192111753</v>
      </c>
      <c r="W257" s="404"/>
      <c r="X257" s="157">
        <f t="shared" si="83"/>
        <v>44073</v>
      </c>
      <c r="Y257" s="387">
        <f t="shared" si="84"/>
        <v>24.821999999999999</v>
      </c>
      <c r="Z257" s="387">
        <f t="shared" si="85"/>
        <v>25.264920012357699</v>
      </c>
      <c r="AA257" s="388">
        <f t="shared" si="86"/>
        <v>28.79171271071742</v>
      </c>
      <c r="AB257" s="199">
        <f t="shared" si="87"/>
        <v>44073</v>
      </c>
      <c r="AC257" s="119">
        <f>IF(OR(t&lt;Tnet,NoTnet),'2019'!Resal_s+('2019'!Salim-'2019'!Resal_s)*(1-EXP(('2019'!Tnet_s-t)/'2019'!Tau_j)),Resal_s+(Salim-Resal_s)*(1-EXP((Tnet_s-t)/Tau_j)))*Salcycl</f>
        <v>0.12249332763892538</v>
      </c>
      <c r="AD257" s="233">
        <f>(INDEX(Models!$BJ257:$BT257,,AH257)*(1-AF257)+INDEX(Models!$BJ257:$BT257,,AH257+1)*AF257-ERP_i)*AE257*Ramure*Pc/MaxiM</f>
        <v>3.5202737108338037E-3</v>
      </c>
      <c r="AE257" s="307">
        <f t="shared" si="88"/>
        <v>0.9</v>
      </c>
      <c r="AF257" s="179">
        <f t="shared" si="89"/>
        <v>0.27669199778866527</v>
      </c>
      <c r="AG257" s="839">
        <f t="shared" si="95"/>
        <v>-1</v>
      </c>
      <c r="AH257" s="178">
        <f t="shared" si="90"/>
        <v>5</v>
      </c>
      <c r="AI257" s="227">
        <f t="shared" si="91"/>
        <v>-0.72330800221133473</v>
      </c>
      <c r="AJ257" s="267" t="b">
        <f t="shared" si="92"/>
        <v>0</v>
      </c>
      <c r="AK257" s="267" t="b">
        <f t="shared" si="93"/>
        <v>0</v>
      </c>
      <c r="AL257" s="267"/>
      <c r="AM257" s="267"/>
      <c r="AN257" s="75"/>
    </row>
    <row r="258" spans="1:40" s="6" customFormat="1" ht="11.25" customHeight="1" x14ac:dyDescent="0.2">
      <c r="A258" s="56">
        <f t="shared" si="94"/>
        <v>44074</v>
      </c>
      <c r="B258" s="620">
        <v>36.655999999999999</v>
      </c>
      <c r="C258" s="392"/>
      <c r="D258" s="395">
        <f t="shared" si="74"/>
        <v>37.310952398208464</v>
      </c>
      <c r="E258" s="387">
        <f t="shared" si="96"/>
        <v>42.522005062936955</v>
      </c>
      <c r="F258" s="387">
        <f t="shared" si="75"/>
        <v>42.637494628266452</v>
      </c>
      <c r="G258" s="110">
        <f t="shared" si="97"/>
        <v>0.82185659544705258</v>
      </c>
      <c r="H258" s="416" t="b">
        <f>Wh_hp&gt;='2019'!Maxi_hp</f>
        <v>1</v>
      </c>
      <c r="I258" s="382">
        <f>IF(H258,Wh_hp,'2019'!Maxi_hp)</f>
        <v>42.637494628266452</v>
      </c>
      <c r="J258" s="85">
        <f>IF(H258,An,'2019'!An_max)</f>
        <v>2020</v>
      </c>
      <c r="K258" s="199">
        <f t="shared" si="76"/>
        <v>44074</v>
      </c>
      <c r="L258" s="147">
        <f>IF(t&lt;Tvie,1-EXP((T0-t)*PertePVj)+'2019'!Pspv,1-EXP((T0-t)*PertePVj)+Pspv)</f>
        <v>1.7553891179682424E-2</v>
      </c>
      <c r="M258" s="872"/>
      <c r="N258" s="872"/>
      <c r="O258" s="48">
        <f>IF(t&lt;Tnet,'2019'!Resal+('2019'!Salim-'2019'!Resal)*(1-EXP(('2019'!Tnet-t)/('2019'!Tau_j))),Resal+(Salim-Resal)*(1-EXP((Tnet-t)/(Tau_j))))*Salcycl</f>
        <v>0.12254955186180881</v>
      </c>
      <c r="P258" s="171">
        <f>(INDEX(Models!$BJ258:$BT258,,T258)*(1-R258)+INDEX(Models!$BJ258:$BT258,,T258+1)*R258-ERP_i)*Q258*Ramure*Pc/MaxiM</f>
        <v>3.628000152564525E-3</v>
      </c>
      <c r="Q258" s="307">
        <f t="shared" si="77"/>
        <v>0.9</v>
      </c>
      <c r="R258" s="179">
        <f t="shared" si="78"/>
        <v>0.27760075456433531</v>
      </c>
      <c r="S258" s="839">
        <f t="shared" si="79"/>
        <v>-1</v>
      </c>
      <c r="T258" s="178">
        <f t="shared" si="80"/>
        <v>5</v>
      </c>
      <c r="U258" s="253">
        <f t="shared" si="81"/>
        <v>-0.72239924543566469</v>
      </c>
      <c r="V258" s="385">
        <f t="shared" si="82"/>
        <v>44.560338820429457</v>
      </c>
      <c r="W258" s="404"/>
      <c r="X258" s="157">
        <f t="shared" si="83"/>
        <v>44074</v>
      </c>
      <c r="Y258" s="387">
        <f t="shared" si="84"/>
        <v>36.655999999999999</v>
      </c>
      <c r="Z258" s="387">
        <f t="shared" si="85"/>
        <v>37.310952398208464</v>
      </c>
      <c r="AA258" s="388">
        <f t="shared" si="86"/>
        <v>42.522005062936955</v>
      </c>
      <c r="AB258" s="199">
        <f t="shared" si="87"/>
        <v>44074</v>
      </c>
      <c r="AC258" s="119">
        <f>IF(OR(t&lt;Tnet,NoTnet),'2019'!Resal_s+('2019'!Salim-'2019'!Resal_s)*(1-EXP(('2019'!Tnet_s-t)/'2019'!Tau_j)),Resal_s+(Salim-Resal_s)*(1-EXP((Tnet_s-t)/Tau_j)))*Salcycl</f>
        <v>0.12254955186180881</v>
      </c>
      <c r="AD258" s="233">
        <f>(INDEX(Models!$BJ258:$BT258,,AH258)*(1-AF258)+INDEX(Models!$BJ258:$BT258,,AH258+1)*AF258-ERP_i)*AE258*Ramure*Pc/MaxiM</f>
        <v>3.628000152564525E-3</v>
      </c>
      <c r="AE258" s="307">
        <f t="shared" si="88"/>
        <v>0.9</v>
      </c>
      <c r="AF258" s="179">
        <f t="shared" si="89"/>
        <v>0.27760075456433531</v>
      </c>
      <c r="AG258" s="839">
        <f t="shared" si="95"/>
        <v>-1</v>
      </c>
      <c r="AH258" s="178">
        <f t="shared" si="90"/>
        <v>5</v>
      </c>
      <c r="AI258" s="227">
        <f t="shared" si="91"/>
        <v>-0.72239924543566469</v>
      </c>
      <c r="AJ258" s="267" t="b">
        <f t="shared" si="92"/>
        <v>0</v>
      </c>
      <c r="AK258" s="267" t="b">
        <f t="shared" si="93"/>
        <v>0</v>
      </c>
      <c r="AL258" s="267"/>
      <c r="AM258" s="267"/>
      <c r="AN258" s="75"/>
    </row>
    <row r="259" spans="1:40" s="6" customFormat="1" ht="11.25" x14ac:dyDescent="0.2">
      <c r="A259" s="56">
        <f t="shared" si="94"/>
        <v>44075</v>
      </c>
      <c r="B259" s="620">
        <v>39.055999999999997</v>
      </c>
      <c r="C259" s="392"/>
      <c r="D259" s="395">
        <f t="shared" si="74"/>
        <v>39.754759635850995</v>
      </c>
      <c r="E259" s="387">
        <f t="shared" si="96"/>
        <v>45.309977425122575</v>
      </c>
      <c r="F259" s="387">
        <f t="shared" si="75"/>
        <v>45.451179537847089</v>
      </c>
      <c r="G259" s="110">
        <f t="shared" si="97"/>
        <v>0.88180153912845005</v>
      </c>
      <c r="H259" s="416" t="b">
        <f>Wh_hp&gt;='2019'!Maxi_hp</f>
        <v>0</v>
      </c>
      <c r="I259" s="382">
        <f>IF(H259,Wh_hp,'2019'!Maxi_hp)</f>
        <v>49.068004680732784</v>
      </c>
      <c r="J259" s="85">
        <f>IF(H259,An,'2019'!An_max)</f>
        <v>2019</v>
      </c>
      <c r="K259" s="199">
        <f t="shared" si="76"/>
        <v>44075</v>
      </c>
      <c r="L259" s="147">
        <f>IF(t&lt;Tvie,1-EXP((T0-t)*PertePVj)+'2019'!Pspv,1-EXP((T0-t)*PertePVj)+Pspv)</f>
        <v>1.75767541358961E-2</v>
      </c>
      <c r="M259" s="872"/>
      <c r="N259" s="872"/>
      <c r="O259" s="48">
        <f>IF(t&lt;Tnet,'2019'!Resal+('2019'!Salim-'2019'!Resal)*(1-EXP(('2019'!Tnet-t)/('2019'!Tau_j))),Resal+(Salim-Resal)*(1-EXP((Tnet-t)/(Tau_j))))*Salcycl</f>
        <v>0.12260473531358318</v>
      </c>
      <c r="P259" s="171">
        <f>(INDEX(Models!$BJ259:$BT259,,T259)*(1-R259)+INDEX(Models!$BJ259:$BT259,,T259+1)*R259-ERP_i)*Q259*Ramure*Pc/MaxiM</f>
        <v>3.7342618009182371E-3</v>
      </c>
      <c r="Q259" s="307">
        <f t="shared" si="77"/>
        <v>0.9</v>
      </c>
      <c r="R259" s="179">
        <f t="shared" si="78"/>
        <v>0.27847521642422457</v>
      </c>
      <c r="S259" s="839">
        <f t="shared" si="79"/>
        <v>-1</v>
      </c>
      <c r="T259" s="178">
        <f t="shared" si="80"/>
        <v>5</v>
      </c>
      <c r="U259" s="253">
        <f t="shared" si="81"/>
        <v>-0.72152478357577543</v>
      </c>
      <c r="V259" s="385">
        <f t="shared" si="82"/>
        <v>44.263262097808742</v>
      </c>
      <c r="W259" s="404"/>
      <c r="X259" s="157">
        <f t="shared" si="83"/>
        <v>44075</v>
      </c>
      <c r="Y259" s="387">
        <f t="shared" si="84"/>
        <v>39.055999999999997</v>
      </c>
      <c r="Z259" s="387">
        <f t="shared" si="85"/>
        <v>39.754759635850995</v>
      </c>
      <c r="AA259" s="388">
        <f t="shared" si="86"/>
        <v>45.309977425122575</v>
      </c>
      <c r="AB259" s="199">
        <f t="shared" si="87"/>
        <v>44075</v>
      </c>
      <c r="AC259" s="119">
        <f>IF(OR(t&lt;Tnet,NoTnet),'2019'!Resal_s+('2019'!Salim-'2019'!Resal_s)*(1-EXP(('2019'!Tnet_s-t)/'2019'!Tau_j)),Resal_s+(Salim-Resal_s)*(1-EXP((Tnet_s-t)/Tau_j)))*Salcycl</f>
        <v>0.12260473531358318</v>
      </c>
      <c r="AD259" s="233">
        <f>(INDEX(Models!$BJ259:$BT259,,AH259)*(1-AF259)+INDEX(Models!$BJ259:$BT259,,AH259+1)*AF259-ERP_i)*AE259*Ramure*Pc/MaxiM</f>
        <v>3.7342618009182371E-3</v>
      </c>
      <c r="AE259" s="307">
        <f t="shared" si="88"/>
        <v>0.9</v>
      </c>
      <c r="AF259" s="179">
        <f t="shared" si="89"/>
        <v>0.27847521642422457</v>
      </c>
      <c r="AG259" s="839">
        <f t="shared" si="95"/>
        <v>-1</v>
      </c>
      <c r="AH259" s="178">
        <f t="shared" si="90"/>
        <v>5</v>
      </c>
      <c r="AI259" s="227">
        <f t="shared" si="91"/>
        <v>-0.72152478357577543</v>
      </c>
      <c r="AJ259" s="267" t="b">
        <f t="shared" si="92"/>
        <v>0</v>
      </c>
      <c r="AK259" s="267" t="b">
        <f t="shared" si="93"/>
        <v>0</v>
      </c>
      <c r="AL259" s="267"/>
      <c r="AM259" s="267"/>
      <c r="AN259" s="75"/>
    </row>
    <row r="260" spans="1:40" s="6" customFormat="1" ht="11.25" x14ac:dyDescent="0.2">
      <c r="A260" s="56">
        <f t="shared" si="94"/>
        <v>44076</v>
      </c>
      <c r="B260" s="620">
        <v>43.323</v>
      </c>
      <c r="C260" s="392"/>
      <c r="D260" s="395">
        <f t="shared" si="74"/>
        <v>44.099127738836415</v>
      </c>
      <c r="E260" s="387">
        <f t="shared" si="96"/>
        <v>50.264515137528115</v>
      </c>
      <c r="F260" s="387">
        <f t="shared" si="75"/>
        <v>50.45420418977718</v>
      </c>
      <c r="G260" s="110">
        <f t="shared" si="97"/>
        <v>0.98543367553856576</v>
      </c>
      <c r="H260" s="416" t="b">
        <f>Wh_hp&gt;='2019'!Maxi_hp</f>
        <v>0</v>
      </c>
      <c r="I260" s="382">
        <f>IF(H260,Wh_hp,'2019'!Maxi_hp)</f>
        <v>51.035952311623831</v>
      </c>
      <c r="J260" s="85">
        <f>IF(H260,An,'2019'!An_max)</f>
        <v>2019</v>
      </c>
      <c r="K260" s="199">
        <f t="shared" si="76"/>
        <v>44076</v>
      </c>
      <c r="L260" s="147">
        <f>IF(t&lt;Tvie,1-EXP((T0-t)*PertePVj)+'2019'!Pspv,1-EXP((T0-t)*PertePVj)+Pspv)</f>
        <v>1.7599616560055265E-2</v>
      </c>
      <c r="M260" s="872"/>
      <c r="N260" s="872"/>
      <c r="O260" s="48">
        <f>IF(t&lt;Tnet,'2019'!Resal+('2019'!Salim-'2019'!Resal)*(1-EXP(('2019'!Tnet-t)/('2019'!Tau_j))),Resal+(Salim-Resal)*(1-EXP((Tnet-t)/(Tau_j))))*Salcycl</f>
        <v>0.12265884554586194</v>
      </c>
      <c r="P260" s="171">
        <f>(INDEX(Models!$BJ260:$BT260,,T260)*(1-R260)+INDEX(Models!$BJ260:$BT260,,T260+1)*R260-ERP_i)*Q260*Ramure*Pc/MaxiM</f>
        <v>3.8390848377926885E-3</v>
      </c>
      <c r="Q260" s="307">
        <f t="shared" si="77"/>
        <v>0.9</v>
      </c>
      <c r="R260" s="179">
        <f t="shared" si="78"/>
        <v>0.2793165913343002</v>
      </c>
      <c r="S260" s="839">
        <f t="shared" si="79"/>
        <v>-1</v>
      </c>
      <c r="T260" s="178">
        <f t="shared" si="80"/>
        <v>5</v>
      </c>
      <c r="U260" s="253">
        <f t="shared" si="81"/>
        <v>-0.7206834086656998</v>
      </c>
      <c r="V260" s="385">
        <f t="shared" si="82"/>
        <v>43.959878566866607</v>
      </c>
      <c r="W260" s="404"/>
      <c r="X260" s="157">
        <f t="shared" si="83"/>
        <v>44076</v>
      </c>
      <c r="Y260" s="387">
        <f t="shared" si="84"/>
        <v>43.323</v>
      </c>
      <c r="Z260" s="387">
        <f t="shared" si="85"/>
        <v>44.099127738836415</v>
      </c>
      <c r="AA260" s="388">
        <f t="shared" si="86"/>
        <v>50.264515137528115</v>
      </c>
      <c r="AB260" s="199">
        <f t="shared" si="87"/>
        <v>44076</v>
      </c>
      <c r="AC260" s="119">
        <f>IF(OR(t&lt;Tnet,NoTnet),'2019'!Resal_s+('2019'!Salim-'2019'!Resal_s)*(1-EXP(('2019'!Tnet_s-t)/'2019'!Tau_j)),Resal_s+(Salim-Resal_s)*(1-EXP((Tnet_s-t)/Tau_j)))*Salcycl</f>
        <v>0.12265884554586194</v>
      </c>
      <c r="AD260" s="233">
        <f>(INDEX(Models!$BJ260:$BT260,,AH260)*(1-AF260)+INDEX(Models!$BJ260:$BT260,,AH260+1)*AF260-ERP_i)*AE260*Ramure*Pc/MaxiM</f>
        <v>3.8390848377926885E-3</v>
      </c>
      <c r="AE260" s="307">
        <f t="shared" si="88"/>
        <v>0.9</v>
      </c>
      <c r="AF260" s="179">
        <f t="shared" si="89"/>
        <v>0.2793165913343002</v>
      </c>
      <c r="AG260" s="839">
        <f t="shared" si="95"/>
        <v>-1</v>
      </c>
      <c r="AH260" s="178">
        <f t="shared" si="90"/>
        <v>5</v>
      </c>
      <c r="AI260" s="227">
        <f t="shared" si="91"/>
        <v>-0.7206834086656998</v>
      </c>
      <c r="AJ260" s="267" t="b">
        <f t="shared" si="92"/>
        <v>0</v>
      </c>
      <c r="AK260" s="267" t="b">
        <f t="shared" si="93"/>
        <v>0</v>
      </c>
      <c r="AL260" s="267"/>
      <c r="AM260" s="267"/>
      <c r="AN260" s="75"/>
    </row>
    <row r="261" spans="1:40" s="6" customFormat="1" ht="11.25" x14ac:dyDescent="0.2">
      <c r="A261" s="56">
        <f t="shared" si="94"/>
        <v>44077</v>
      </c>
      <c r="B261" s="620">
        <v>41.865000000000002</v>
      </c>
      <c r="C261" s="392"/>
      <c r="D261" s="395">
        <f t="shared" si="74"/>
        <v>42.615999533496847</v>
      </c>
      <c r="E261" s="387">
        <f t="shared" si="96"/>
        <v>48.576969236359339</v>
      </c>
      <c r="F261" s="387">
        <f t="shared" si="75"/>
        <v>48.757973324584526</v>
      </c>
      <c r="G261" s="110">
        <f t="shared" si="97"/>
        <v>0.95889728422258047</v>
      </c>
      <c r="H261" s="416" t="b">
        <f>Wh_hp&gt;='2019'!Maxi_hp</f>
        <v>0</v>
      </c>
      <c r="I261" s="382">
        <f>IF(H261,Wh_hp,'2019'!Maxi_hp)</f>
        <v>50.502994047654042</v>
      </c>
      <c r="J261" s="85">
        <f>IF(H261,An,'2019'!An_max)</f>
        <v>2019</v>
      </c>
      <c r="K261" s="199">
        <f t="shared" si="76"/>
        <v>44077</v>
      </c>
      <c r="L261" s="147">
        <f>IF(t&lt;Tvie,1-EXP((T0-t)*PertePVj)+'2019'!Pspv,1-EXP((T0-t)*PertePVj)+Pspv)</f>
        <v>1.7622478452172574E-2</v>
      </c>
      <c r="M261" s="872"/>
      <c r="N261" s="872"/>
      <c r="O261" s="48">
        <f>IF(t&lt;Tnet,'2019'!Resal+('2019'!Salim-'2019'!Resal)*(1-EXP(('2019'!Tnet-t)/('2019'!Tau_j))),Resal+(Salim-Resal)*(1-EXP((Tnet-t)/(Tau_j))))*Salcycl</f>
        <v>0.12271184877464052</v>
      </c>
      <c r="P261" s="171">
        <f>(INDEX(Models!$BJ261:$BT261,,T261)*(1-R261)+INDEX(Models!$BJ261:$BT261,,T261+1)*R261-ERP_i)*Q261*Ramure*Pc/MaxiM</f>
        <v>3.9425479502885304E-3</v>
      </c>
      <c r="Q261" s="307">
        <f t="shared" si="77"/>
        <v>0.9</v>
      </c>
      <c r="R261" s="179">
        <f t="shared" si="78"/>
        <v>0.28012605135037016</v>
      </c>
      <c r="S261" s="839">
        <f t="shared" si="79"/>
        <v>-1</v>
      </c>
      <c r="T261" s="178">
        <f t="shared" si="80"/>
        <v>5</v>
      </c>
      <c r="U261" s="253">
        <f t="shared" si="81"/>
        <v>-0.71987394864962984</v>
      </c>
      <c r="V261" s="385">
        <f t="shared" si="82"/>
        <v>43.649434953571365</v>
      </c>
      <c r="W261" s="404"/>
      <c r="X261" s="157">
        <f t="shared" si="83"/>
        <v>44077</v>
      </c>
      <c r="Y261" s="387">
        <f t="shared" si="84"/>
        <v>41.865000000000002</v>
      </c>
      <c r="Z261" s="387">
        <f t="shared" si="85"/>
        <v>42.615999533496847</v>
      </c>
      <c r="AA261" s="388">
        <f t="shared" si="86"/>
        <v>48.576969236359339</v>
      </c>
      <c r="AB261" s="199">
        <f t="shared" si="87"/>
        <v>44077</v>
      </c>
      <c r="AC261" s="119">
        <f>IF(OR(t&lt;Tnet,NoTnet),'2019'!Resal_s+('2019'!Salim-'2019'!Resal_s)*(1-EXP(('2019'!Tnet_s-t)/'2019'!Tau_j)),Resal_s+(Salim-Resal_s)*(1-EXP((Tnet_s-t)/Tau_j)))*Salcycl</f>
        <v>0.12271184877464052</v>
      </c>
      <c r="AD261" s="233">
        <f>(INDEX(Models!$BJ261:$BT261,,AH261)*(1-AF261)+INDEX(Models!$BJ261:$BT261,,AH261+1)*AF261-ERP_i)*AE261*Ramure*Pc/MaxiM</f>
        <v>3.9425479502885304E-3</v>
      </c>
      <c r="AE261" s="307">
        <f t="shared" si="88"/>
        <v>0.9</v>
      </c>
      <c r="AF261" s="179">
        <f t="shared" si="89"/>
        <v>0.28012605135037016</v>
      </c>
      <c r="AG261" s="839">
        <f t="shared" si="95"/>
        <v>-1</v>
      </c>
      <c r="AH261" s="178">
        <f t="shared" si="90"/>
        <v>5</v>
      </c>
      <c r="AI261" s="227">
        <f t="shared" si="91"/>
        <v>-0.71987394864962984</v>
      </c>
      <c r="AJ261" s="267" t="b">
        <f t="shared" si="92"/>
        <v>0</v>
      </c>
      <c r="AK261" s="267" t="b">
        <f t="shared" si="93"/>
        <v>0</v>
      </c>
      <c r="AL261" s="267"/>
      <c r="AM261" s="267"/>
      <c r="AN261" s="75"/>
    </row>
    <row r="262" spans="1:40" s="6" customFormat="1" ht="11.25" x14ac:dyDescent="0.2">
      <c r="A262" s="56">
        <f t="shared" si="94"/>
        <v>44078</v>
      </c>
      <c r="B262" s="620">
        <v>41.555</v>
      </c>
      <c r="C262" s="392"/>
      <c r="D262" s="395">
        <f t="shared" si="74"/>
        <v>42.301422983078574</v>
      </c>
      <c r="E262" s="387">
        <f t="shared" si="96"/>
        <v>48.221241477972896</v>
      </c>
      <c r="F262" s="387">
        <f t="shared" si="75"/>
        <v>48.405506175605858</v>
      </c>
      <c r="G262" s="110">
        <f t="shared" si="97"/>
        <v>0.9587701481088412</v>
      </c>
      <c r="H262" s="416" t="b">
        <f>Wh_hp&gt;='2019'!Maxi_hp</f>
        <v>1</v>
      </c>
      <c r="I262" s="382">
        <f>IF(H262,Wh_hp,'2019'!Maxi_hp)</f>
        <v>48.405506175605858</v>
      </c>
      <c r="J262" s="85">
        <f>IF(H262,An,'2019'!An_max)</f>
        <v>2020</v>
      </c>
      <c r="K262" s="199">
        <f t="shared" si="76"/>
        <v>44078</v>
      </c>
      <c r="L262" s="147">
        <f>IF(t&lt;Tvie,1-EXP((T0-t)*PertePVj)+'2019'!Pspv,1-EXP((T0-t)*PertePVj)+Pspv)</f>
        <v>1.764533981226013E-2</v>
      </c>
      <c r="M262" s="872"/>
      <c r="N262" s="872"/>
      <c r="O262" s="48">
        <f>IF(t&lt;Tnet,'2019'!Resal+('2019'!Salim-'2019'!Resal)*(1-EXP(('2019'!Tnet-t)/('2019'!Tau_j))),Resal+(Salim-Resal)*(1-EXP((Tnet-t)/(Tau_j))))*Salcycl</f>
        <v>0.12276370979785843</v>
      </c>
      <c r="P262" s="171">
        <f>(INDEX(Models!$BJ262:$BT262,,T262)*(1-R262)+INDEX(Models!$BJ262:$BT262,,T262+1)*R262-ERP_i)*Q262*Ramure*Pc/MaxiM</f>
        <v>4.0435350943523636E-3</v>
      </c>
      <c r="Q262" s="307">
        <f t="shared" si="77"/>
        <v>0.9</v>
      </c>
      <c r="R262" s="179">
        <f t="shared" si="78"/>
        <v>0.28090473316025077</v>
      </c>
      <c r="S262" s="839">
        <f t="shared" si="79"/>
        <v>-1</v>
      </c>
      <c r="T262" s="178">
        <f t="shared" si="80"/>
        <v>5</v>
      </c>
      <c r="U262" s="253">
        <f t="shared" si="81"/>
        <v>-0.71909526683974923</v>
      </c>
      <c r="V262" s="385">
        <f t="shared" si="82"/>
        <v>43.331678947787502</v>
      </c>
      <c r="W262" s="404"/>
      <c r="X262" s="157">
        <f t="shared" si="83"/>
        <v>44078</v>
      </c>
      <c r="Y262" s="387">
        <f t="shared" si="84"/>
        <v>41.555</v>
      </c>
      <c r="Z262" s="387">
        <f t="shared" si="85"/>
        <v>42.301422983078574</v>
      </c>
      <c r="AA262" s="388">
        <f t="shared" si="86"/>
        <v>48.221241477972896</v>
      </c>
      <c r="AB262" s="199">
        <f t="shared" si="87"/>
        <v>44078</v>
      </c>
      <c r="AC262" s="119">
        <f>IF(OR(t&lt;Tnet,NoTnet),'2019'!Resal_s+('2019'!Salim-'2019'!Resal_s)*(1-EXP(('2019'!Tnet_s-t)/'2019'!Tau_j)),Resal_s+(Salim-Resal_s)*(1-EXP((Tnet_s-t)/Tau_j)))*Salcycl</f>
        <v>0.12276370979785843</v>
      </c>
      <c r="AD262" s="233">
        <f>(INDEX(Models!$BJ262:$BT262,,AH262)*(1-AF262)+INDEX(Models!$BJ262:$BT262,,AH262+1)*AF262-ERP_i)*AE262*Ramure*Pc/MaxiM</f>
        <v>4.0435350943523636E-3</v>
      </c>
      <c r="AE262" s="307">
        <f t="shared" si="88"/>
        <v>0.9</v>
      </c>
      <c r="AF262" s="179">
        <f t="shared" si="89"/>
        <v>0.28090473316025077</v>
      </c>
      <c r="AG262" s="839">
        <f t="shared" si="95"/>
        <v>-1</v>
      </c>
      <c r="AH262" s="178">
        <f t="shared" si="90"/>
        <v>5</v>
      </c>
      <c r="AI262" s="227">
        <f t="shared" si="91"/>
        <v>-0.71909526683974923</v>
      </c>
      <c r="AJ262" s="267" t="b">
        <f t="shared" si="92"/>
        <v>0</v>
      </c>
      <c r="AK262" s="267" t="b">
        <f t="shared" si="93"/>
        <v>0</v>
      </c>
      <c r="AL262" s="267"/>
      <c r="AM262" s="267"/>
      <c r="AN262" s="75"/>
    </row>
    <row r="263" spans="1:40" s="6" customFormat="1" ht="11.25" x14ac:dyDescent="0.2">
      <c r="A263" s="56">
        <f t="shared" si="94"/>
        <v>44079</v>
      </c>
      <c r="B263" s="620">
        <v>38.890999999999998</v>
      </c>
      <c r="C263" s="392"/>
      <c r="D263" s="395">
        <f t="shared" si="74"/>
        <v>39.590492769704696</v>
      </c>
      <c r="E263" s="387">
        <f t="shared" si="96"/>
        <v>45.133541185402407</v>
      </c>
      <c r="F263" s="387">
        <f t="shared" si="75"/>
        <v>45.295567275180446</v>
      </c>
      <c r="G263" s="110">
        <f t="shared" si="97"/>
        <v>0.90377996357287893</v>
      </c>
      <c r="H263" s="416" t="b">
        <f>Wh_hp&gt;='2019'!Maxi_hp</f>
        <v>0</v>
      </c>
      <c r="I263" s="382">
        <f>IF(H263,Wh_hp,'2019'!Maxi_hp)</f>
        <v>51.846079488865243</v>
      </c>
      <c r="J263" s="85">
        <f>IF(H263,An,'2019'!An_max)</f>
        <v>2019</v>
      </c>
      <c r="K263" s="199">
        <f t="shared" si="76"/>
        <v>44079</v>
      </c>
      <c r="L263" s="147">
        <f>IF(t&lt;Tvie,1-EXP((T0-t)*PertePVj)+'2019'!Pspv,1-EXP((T0-t)*PertePVj)+Pspv)</f>
        <v>1.7668200640330478E-2</v>
      </c>
      <c r="M263" s="872"/>
      <c r="N263" s="872"/>
      <c r="O263" s="48">
        <f>IF(t&lt;Tnet,'2019'!Resal+('2019'!Salim-'2019'!Resal)*(1-EXP(('2019'!Tnet-t)/('2019'!Tau_j))),Resal+(Salim-Resal)*(1-EXP((Tnet-t)/(Tau_j))))*Salcycl</f>
        <v>0.12281439191592844</v>
      </c>
      <c r="P263" s="171">
        <f>(INDEX(Models!$BJ263:$BT263,,T263)*(1-R263)+INDEX(Models!$BJ263:$BT263,,T263+1)*R263-ERP_i)*Q263*Ramure*Pc/MaxiM</f>
        <v>4.1436105290628663E-3</v>
      </c>
      <c r="Q263" s="307">
        <f t="shared" si="77"/>
        <v>0.9</v>
      </c>
      <c r="R263" s="179">
        <f t="shared" si="78"/>
        <v>0.28165373866453502</v>
      </c>
      <c r="S263" s="839">
        <f t="shared" si="79"/>
        <v>-1</v>
      </c>
      <c r="T263" s="178">
        <f t="shared" si="80"/>
        <v>5</v>
      </c>
      <c r="U263" s="253">
        <f t="shared" si="81"/>
        <v>-0.71834626133546498</v>
      </c>
      <c r="V263" s="385">
        <f t="shared" si="82"/>
        <v>43.007025739088789</v>
      </c>
      <c r="W263" s="404"/>
      <c r="X263" s="157">
        <f t="shared" si="83"/>
        <v>44079</v>
      </c>
      <c r="Y263" s="387">
        <f t="shared" si="84"/>
        <v>38.890999999999998</v>
      </c>
      <c r="Z263" s="387">
        <f t="shared" si="85"/>
        <v>39.590492769704696</v>
      </c>
      <c r="AA263" s="388">
        <f t="shared" si="86"/>
        <v>45.133541185402407</v>
      </c>
      <c r="AB263" s="199">
        <f t="shared" si="87"/>
        <v>44079</v>
      </c>
      <c r="AC263" s="119">
        <f>IF(OR(t&lt;Tnet,NoTnet),'2019'!Resal_s+('2019'!Salim-'2019'!Resal_s)*(1-EXP(('2019'!Tnet_s-t)/'2019'!Tau_j)),Resal_s+(Salim-Resal_s)*(1-EXP((Tnet_s-t)/Tau_j)))*Salcycl</f>
        <v>0.12281439191592844</v>
      </c>
      <c r="AD263" s="233">
        <f>(INDEX(Models!$BJ263:$BT263,,AH263)*(1-AF263)+INDEX(Models!$BJ263:$BT263,,AH263+1)*AF263-ERP_i)*AE263*Ramure*Pc/MaxiM</f>
        <v>4.1436105290628663E-3</v>
      </c>
      <c r="AE263" s="307">
        <f t="shared" si="88"/>
        <v>0.9</v>
      </c>
      <c r="AF263" s="179">
        <f t="shared" si="89"/>
        <v>0.28165373866453502</v>
      </c>
      <c r="AG263" s="839">
        <f t="shared" si="95"/>
        <v>-1</v>
      </c>
      <c r="AH263" s="178">
        <f t="shared" si="90"/>
        <v>5</v>
      </c>
      <c r="AI263" s="227">
        <f t="shared" si="91"/>
        <v>-0.71834626133546498</v>
      </c>
      <c r="AJ263" s="267" t="b">
        <f t="shared" si="92"/>
        <v>0</v>
      </c>
      <c r="AK263" s="267" t="b">
        <f t="shared" si="93"/>
        <v>0</v>
      </c>
      <c r="AL263" s="267"/>
      <c r="AM263" s="267"/>
      <c r="AN263" s="75"/>
    </row>
    <row r="264" spans="1:40" s="6" customFormat="1" ht="11.25" customHeight="1" x14ac:dyDescent="0.2">
      <c r="A264" s="56">
        <f t="shared" si="94"/>
        <v>44080</v>
      </c>
      <c r="B264" s="620">
        <v>25.268999999999998</v>
      </c>
      <c r="C264" s="392"/>
      <c r="D264" s="395">
        <f t="shared" si="74"/>
        <v>25.72408637967596</v>
      </c>
      <c r="E264" s="387">
        <f t="shared" si="96"/>
        <v>29.327358792362979</v>
      </c>
      <c r="F264" s="387">
        <f t="shared" si="75"/>
        <v>29.379375552246472</v>
      </c>
      <c r="G264" s="110">
        <f t="shared" si="97"/>
        <v>0.59064677894598905</v>
      </c>
      <c r="H264" s="416" t="b">
        <f>Wh_hp&gt;='2019'!Maxi_hp</f>
        <v>0</v>
      </c>
      <c r="I264" s="382">
        <f>IF(H264,Wh_hp,'2019'!Maxi_hp)</f>
        <v>50.605106354797776</v>
      </c>
      <c r="J264" s="85">
        <f>IF(H264,An,'2019'!An_max)</f>
        <v>2019</v>
      </c>
      <c r="K264" s="199">
        <f t="shared" si="76"/>
        <v>44080</v>
      </c>
      <c r="L264" s="147">
        <f>IF(t&lt;Tvie,1-EXP((T0-t)*PertePVj)+'2019'!Pspv,1-EXP((T0-t)*PertePVj)+Pspv)</f>
        <v>1.7691060936396052E-2</v>
      </c>
      <c r="M264" s="872"/>
      <c r="N264" s="872"/>
      <c r="O264" s="48">
        <f>IF(t&lt;Tnet,'2019'!Resal+('2019'!Salim-'2019'!Resal)*(1-EXP(('2019'!Tnet-t)/('2019'!Tau_j))),Resal+(Salim-Resal)*(1-EXP((Tnet-t)/(Tau_j))))*Salcycl</f>
        <v>0.12286385685796343</v>
      </c>
      <c r="P264" s="171">
        <f>(INDEX(Models!$BJ264:$BT264,,T264)*(1-R264)+INDEX(Models!$BJ264:$BT264,,T264+1)*R264-ERP_i)*Q264*Ramure*Pc/MaxiM</f>
        <v>4.2427512413827978E-3</v>
      </c>
      <c r="Q264" s="307">
        <f t="shared" si="77"/>
        <v>0.9</v>
      </c>
      <c r="R264" s="179">
        <f t="shared" si="78"/>
        <v>0.28237413559078772</v>
      </c>
      <c r="S264" s="839">
        <f t="shared" si="79"/>
        <v>-1</v>
      </c>
      <c r="T264" s="178">
        <f t="shared" si="80"/>
        <v>5</v>
      </c>
      <c r="U264" s="253">
        <f t="shared" si="81"/>
        <v>-0.71762586440921228</v>
      </c>
      <c r="V264" s="385">
        <f t="shared" si="82"/>
        <v>42.675960108219378</v>
      </c>
      <c r="W264" s="404"/>
      <c r="X264" s="157">
        <f t="shared" si="83"/>
        <v>44080</v>
      </c>
      <c r="Y264" s="387">
        <f t="shared" si="84"/>
        <v>25.268999999999998</v>
      </c>
      <c r="Z264" s="387">
        <f t="shared" si="85"/>
        <v>25.72408637967596</v>
      </c>
      <c r="AA264" s="388">
        <f t="shared" si="86"/>
        <v>29.327358792362979</v>
      </c>
      <c r="AB264" s="199">
        <f t="shared" si="87"/>
        <v>44080</v>
      </c>
      <c r="AC264" s="119">
        <f>IF(OR(t&lt;Tnet,NoTnet),'2019'!Resal_s+('2019'!Salim-'2019'!Resal_s)*(1-EXP(('2019'!Tnet_s-t)/'2019'!Tau_j)),Resal_s+(Salim-Resal_s)*(1-EXP((Tnet_s-t)/Tau_j)))*Salcycl</f>
        <v>0.12286385685796343</v>
      </c>
      <c r="AD264" s="233">
        <f>(INDEX(Models!$BJ264:$BT264,,AH264)*(1-AF264)+INDEX(Models!$BJ264:$BT264,,AH264+1)*AF264-ERP_i)*AE264*Ramure*Pc/MaxiM</f>
        <v>4.2427512413827978E-3</v>
      </c>
      <c r="AE264" s="307">
        <f t="shared" si="88"/>
        <v>0.9</v>
      </c>
      <c r="AF264" s="179">
        <f t="shared" si="89"/>
        <v>0.28237413559078772</v>
      </c>
      <c r="AG264" s="839">
        <f t="shared" si="95"/>
        <v>-1</v>
      </c>
      <c r="AH264" s="178">
        <f t="shared" si="90"/>
        <v>5</v>
      </c>
      <c r="AI264" s="227">
        <f t="shared" si="91"/>
        <v>-0.71762586440921228</v>
      </c>
      <c r="AJ264" s="267" t="b">
        <f t="shared" si="92"/>
        <v>0</v>
      </c>
      <c r="AK264" s="267" t="b">
        <f t="shared" si="93"/>
        <v>0</v>
      </c>
      <c r="AL264" s="267"/>
      <c r="AM264" s="267"/>
      <c r="AN264" s="75"/>
    </row>
    <row r="265" spans="1:40" s="6" customFormat="1" ht="11.25" customHeight="1" x14ac:dyDescent="0.2">
      <c r="A265" s="56">
        <f t="shared" si="94"/>
        <v>44081</v>
      </c>
      <c r="B265" s="620">
        <v>34.646000000000001</v>
      </c>
      <c r="C265" s="392"/>
      <c r="D265" s="395">
        <f t="shared" si="74"/>
        <v>35.270783868489815</v>
      </c>
      <c r="E265" s="387">
        <f t="shared" si="96"/>
        <v>40.213509329696812</v>
      </c>
      <c r="F265" s="387">
        <f t="shared" si="75"/>
        <v>40.343178395674613</v>
      </c>
      <c r="G265" s="110">
        <f t="shared" si="97"/>
        <v>0.81737554162227322</v>
      </c>
      <c r="H265" s="416" t="b">
        <f>Wh_hp&gt;='2019'!Maxi_hp</f>
        <v>0</v>
      </c>
      <c r="I265" s="382">
        <f>IF(H265,Wh_hp,'2019'!Maxi_hp)</f>
        <v>44.460234506845794</v>
      </c>
      <c r="J265" s="85">
        <f>IF(H265,An,'2019'!An_max)</f>
        <v>2019</v>
      </c>
      <c r="K265" s="199">
        <f t="shared" si="76"/>
        <v>44081</v>
      </c>
      <c r="L265" s="147">
        <f>IF(t&lt;Tvie,1-EXP((T0-t)*PertePVj)+'2019'!Pspv,1-EXP((T0-t)*PertePVj)+Pspv)</f>
        <v>1.7713920700469066E-2</v>
      </c>
      <c r="M265" s="872"/>
      <c r="N265" s="872"/>
      <c r="O265" s="48">
        <f>IF(t&lt;Tnet,'2019'!Resal+('2019'!Salim-'2019'!Resal)*(1-EXP(('2019'!Tnet-t)/('2019'!Tau_j))),Resal+(Salim-Resal)*(1-EXP((Tnet-t)/(Tau_j))))*Salcycl</f>
        <v>0.12291206471644346</v>
      </c>
      <c r="P265" s="171">
        <f>(INDEX(Models!$BJ265:$BT265,,T265)*(1-R265)+INDEX(Models!$BJ265:$BT265,,T265+1)*R265-ERP_i)*Q265*Ramure*Pc/MaxiM</f>
        <v>4.3409285339254707E-3</v>
      </c>
      <c r="Q265" s="307">
        <f t="shared" si="77"/>
        <v>0.9</v>
      </c>
      <c r="R265" s="179">
        <f t="shared" si="78"/>
        <v>0.28306695813637184</v>
      </c>
      <c r="S265" s="839">
        <f t="shared" si="79"/>
        <v>-1</v>
      </c>
      <c r="T265" s="178">
        <f t="shared" si="80"/>
        <v>5</v>
      </c>
      <c r="U265" s="253">
        <f t="shared" si="81"/>
        <v>-0.71693304186362816</v>
      </c>
      <c r="V265" s="385">
        <f t="shared" si="82"/>
        <v>42.338966634771701</v>
      </c>
      <c r="W265" s="404"/>
      <c r="X265" s="157">
        <f t="shared" si="83"/>
        <v>44081</v>
      </c>
      <c r="Y265" s="387">
        <f t="shared" si="84"/>
        <v>34.646000000000001</v>
      </c>
      <c r="Z265" s="387">
        <f t="shared" si="85"/>
        <v>35.270783868489815</v>
      </c>
      <c r="AA265" s="388">
        <f t="shared" si="86"/>
        <v>40.213509329696812</v>
      </c>
      <c r="AB265" s="199">
        <f t="shared" si="87"/>
        <v>44081</v>
      </c>
      <c r="AC265" s="119">
        <f>IF(OR(t&lt;Tnet,NoTnet),'2019'!Resal_s+('2019'!Salim-'2019'!Resal_s)*(1-EXP(('2019'!Tnet_s-t)/'2019'!Tau_j)),Resal_s+(Salim-Resal_s)*(1-EXP((Tnet_s-t)/Tau_j)))*Salcycl</f>
        <v>0.12291206471644346</v>
      </c>
      <c r="AD265" s="233">
        <f>(INDEX(Models!$BJ265:$BT265,,AH265)*(1-AF265)+INDEX(Models!$BJ265:$BT265,,AH265+1)*AF265-ERP_i)*AE265*Ramure*Pc/MaxiM</f>
        <v>4.3409285339254707E-3</v>
      </c>
      <c r="AE265" s="307">
        <f t="shared" si="88"/>
        <v>0.9</v>
      </c>
      <c r="AF265" s="179">
        <f t="shared" si="89"/>
        <v>0.28306695813637184</v>
      </c>
      <c r="AG265" s="839">
        <f t="shared" si="95"/>
        <v>-1</v>
      </c>
      <c r="AH265" s="178">
        <f t="shared" si="90"/>
        <v>5</v>
      </c>
      <c r="AI265" s="227">
        <f t="shared" si="91"/>
        <v>-0.71693304186362816</v>
      </c>
      <c r="AJ265" s="267" t="b">
        <f t="shared" si="92"/>
        <v>0</v>
      </c>
      <c r="AK265" s="267" t="b">
        <f t="shared" si="93"/>
        <v>0</v>
      </c>
      <c r="AL265" s="267"/>
      <c r="AM265" s="267"/>
      <c r="AN265" s="75"/>
    </row>
    <row r="266" spans="1:40" s="6" customFormat="1" ht="11.25" x14ac:dyDescent="0.2">
      <c r="A266" s="56">
        <f t="shared" si="94"/>
        <v>44082</v>
      </c>
      <c r="B266" s="620">
        <v>39.231000000000002</v>
      </c>
      <c r="C266" s="392"/>
      <c r="D266" s="395">
        <f t="shared" si="74"/>
        <v>39.939396282502123</v>
      </c>
      <c r="E266" s="387">
        <f t="shared" si="96"/>
        <v>45.538800459297519</v>
      </c>
      <c r="F266" s="387">
        <f t="shared" si="75"/>
        <v>45.722632872468637</v>
      </c>
      <c r="G266" s="110">
        <f t="shared" si="97"/>
        <v>0.9337570249458903</v>
      </c>
      <c r="H266" s="416" t="b">
        <f>Wh_hp&gt;='2019'!Maxi_hp</f>
        <v>1</v>
      </c>
      <c r="I266" s="382">
        <f>IF(H266,Wh_hp,'2019'!Maxi_hp)</f>
        <v>45.722632872468637</v>
      </c>
      <c r="J266" s="85">
        <f>IF(H266,An,'2019'!An_max)</f>
        <v>2020</v>
      </c>
      <c r="K266" s="199">
        <f t="shared" si="76"/>
        <v>44082</v>
      </c>
      <c r="L266" s="147">
        <f>IF(t&lt;Tvie,1-EXP((T0-t)*PertePVj)+'2019'!Pspv,1-EXP((T0-t)*PertePVj)+Pspv)</f>
        <v>1.7736779932561952E-2</v>
      </c>
      <c r="M266" s="872"/>
      <c r="N266" s="872"/>
      <c r="O266" s="48">
        <f>IF(t&lt;Tnet,'2019'!Resal+('2019'!Salim-'2019'!Resal)*(1-EXP(('2019'!Tnet-t)/('2019'!Tau_j))),Resal+(Salim-Resal)*(1-EXP((Tnet-t)/(Tau_j))))*Salcycl</f>
        <v>0.12295897389304598</v>
      </c>
      <c r="P266" s="171">
        <f>(INDEX(Models!$BJ266:$BT266,,T266)*(1-R266)+INDEX(Models!$BJ266:$BT266,,T266+1)*R266-ERP_i)*Q266*Ramure*Pc/MaxiM</f>
        <v>4.4381078329198322E-3</v>
      </c>
      <c r="Q266" s="307">
        <f t="shared" si="77"/>
        <v>0.9</v>
      </c>
      <c r="R266" s="179">
        <f t="shared" si="78"/>
        <v>0.28373320763546916</v>
      </c>
      <c r="S266" s="839">
        <f t="shared" si="79"/>
        <v>-1</v>
      </c>
      <c r="T266" s="178">
        <f t="shared" si="80"/>
        <v>5</v>
      </c>
      <c r="U266" s="253">
        <f t="shared" si="81"/>
        <v>-0.71626679236453084</v>
      </c>
      <c r="V266" s="385">
        <f t="shared" si="82"/>
        <v>41.996529694971876</v>
      </c>
      <c r="W266" s="404"/>
      <c r="X266" s="157">
        <f t="shared" si="83"/>
        <v>44082</v>
      </c>
      <c r="Y266" s="387">
        <f t="shared" si="84"/>
        <v>39.231000000000002</v>
      </c>
      <c r="Z266" s="387">
        <f t="shared" si="85"/>
        <v>39.939396282502123</v>
      </c>
      <c r="AA266" s="388">
        <f t="shared" si="86"/>
        <v>45.538800459297519</v>
      </c>
      <c r="AB266" s="199">
        <f t="shared" si="87"/>
        <v>44082</v>
      </c>
      <c r="AC266" s="119">
        <f>IF(OR(t&lt;Tnet,NoTnet),'2019'!Resal_s+('2019'!Salim-'2019'!Resal_s)*(1-EXP(('2019'!Tnet_s-t)/'2019'!Tau_j)),Resal_s+(Salim-Resal_s)*(1-EXP((Tnet_s-t)/Tau_j)))*Salcycl</f>
        <v>0.12295897389304598</v>
      </c>
      <c r="AD266" s="233">
        <f>(INDEX(Models!$BJ266:$BT266,,AH266)*(1-AF266)+INDEX(Models!$BJ266:$BT266,,AH266+1)*AF266-ERP_i)*AE266*Ramure*Pc/MaxiM</f>
        <v>4.4381078329198322E-3</v>
      </c>
      <c r="AE266" s="307">
        <f t="shared" si="88"/>
        <v>0.9</v>
      </c>
      <c r="AF266" s="179">
        <f t="shared" si="89"/>
        <v>0.28373320763546916</v>
      </c>
      <c r="AG266" s="839">
        <f t="shared" si="95"/>
        <v>-1</v>
      </c>
      <c r="AH266" s="178">
        <f t="shared" si="90"/>
        <v>5</v>
      </c>
      <c r="AI266" s="227">
        <f t="shared" si="91"/>
        <v>-0.71626679236453084</v>
      </c>
      <c r="AJ266" s="267" t="b">
        <f t="shared" si="92"/>
        <v>0</v>
      </c>
      <c r="AK266" s="267" t="b">
        <f t="shared" si="93"/>
        <v>0</v>
      </c>
      <c r="AL266" s="267"/>
      <c r="AM266" s="267"/>
      <c r="AN266" s="75"/>
    </row>
    <row r="267" spans="1:40" s="6" customFormat="1" ht="11.25" x14ac:dyDescent="0.2">
      <c r="A267" s="56">
        <f t="shared" si="94"/>
        <v>44083</v>
      </c>
      <c r="B267" s="620">
        <v>20.495999999999999</v>
      </c>
      <c r="C267" s="392"/>
      <c r="D267" s="395">
        <f t="shared" si="74"/>
        <v>20.866582973101259</v>
      </c>
      <c r="E267" s="387">
        <f t="shared" si="96"/>
        <v>23.793262280151122</v>
      </c>
      <c r="F267" s="387">
        <f t="shared" si="75"/>
        <v>23.822907484673994</v>
      </c>
      <c r="G267" s="110">
        <f t="shared" si="97"/>
        <v>0.49049009019139495</v>
      </c>
      <c r="H267" s="416" t="b">
        <f>Wh_hp&gt;='2019'!Maxi_hp</f>
        <v>1</v>
      </c>
      <c r="I267" s="382">
        <f>IF(H267,Wh_hp,'2019'!Maxi_hp)</f>
        <v>23.822907484673994</v>
      </c>
      <c r="J267" s="85">
        <f>IF(H267,An,'2019'!An_max)</f>
        <v>2020</v>
      </c>
      <c r="K267" s="199">
        <f t="shared" si="76"/>
        <v>44083</v>
      </c>
      <c r="L267" s="147">
        <f>IF(t&lt;Tvie,1-EXP((T0-t)*PertePVj)+'2019'!Pspv,1-EXP((T0-t)*PertePVj)+Pspv)</f>
        <v>1.7759638632687147E-2</v>
      </c>
      <c r="M267" s="872"/>
      <c r="N267" s="872"/>
      <c r="O267" s="48">
        <f>IF(t&lt;Tnet,'2019'!Resal+('2019'!Salim-'2019'!Resal)*(1-EXP(('2019'!Tnet-t)/('2019'!Tau_j))),Resal+(Salim-Resal)*(1-EXP((Tnet-t)/(Tau_j))))*Salcycl</f>
        <v>0.12300454105830484</v>
      </c>
      <c r="P267" s="171">
        <f>(INDEX(Models!$BJ267:$BT267,,T267)*(1-R267)+INDEX(Models!$BJ267:$BT267,,T267+1)*R267-ERP_i)*Q267*Ramure*Pc/MaxiM</f>
        <v>4.5342484813939909E-3</v>
      </c>
      <c r="Q267" s="307">
        <f t="shared" si="77"/>
        <v>0.9</v>
      </c>
      <c r="R267" s="179">
        <f t="shared" si="78"/>
        <v>0.28437385324620001</v>
      </c>
      <c r="S267" s="839">
        <f t="shared" si="79"/>
        <v>-1</v>
      </c>
      <c r="T267" s="178">
        <f t="shared" si="80"/>
        <v>5</v>
      </c>
      <c r="U267" s="253">
        <f t="shared" si="81"/>
        <v>-0.71562614675379999</v>
      </c>
      <c r="V267" s="385">
        <f t="shared" si="82"/>
        <v>41.649133474210984</v>
      </c>
      <c r="W267" s="404"/>
      <c r="X267" s="157">
        <f t="shared" si="83"/>
        <v>44083</v>
      </c>
      <c r="Y267" s="387">
        <f t="shared" si="84"/>
        <v>20.495999999999999</v>
      </c>
      <c r="Z267" s="387">
        <f t="shared" si="85"/>
        <v>20.866582973101259</v>
      </c>
      <c r="AA267" s="388">
        <f t="shared" si="86"/>
        <v>23.793262280151122</v>
      </c>
      <c r="AB267" s="199">
        <f t="shared" si="87"/>
        <v>44083</v>
      </c>
      <c r="AC267" s="119">
        <f>IF(OR(t&lt;Tnet,NoTnet),'2019'!Resal_s+('2019'!Salim-'2019'!Resal_s)*(1-EXP(('2019'!Tnet_s-t)/'2019'!Tau_j)),Resal_s+(Salim-Resal_s)*(1-EXP((Tnet_s-t)/Tau_j)))*Salcycl</f>
        <v>0.12300454105830484</v>
      </c>
      <c r="AD267" s="233">
        <f>(INDEX(Models!$BJ267:$BT267,,AH267)*(1-AF267)+INDEX(Models!$BJ267:$BT267,,AH267+1)*AF267-ERP_i)*AE267*Ramure*Pc/MaxiM</f>
        <v>4.5342484813939909E-3</v>
      </c>
      <c r="AE267" s="307">
        <f t="shared" si="88"/>
        <v>0.9</v>
      </c>
      <c r="AF267" s="179">
        <f t="shared" si="89"/>
        <v>0.28437385324620001</v>
      </c>
      <c r="AG267" s="839">
        <f t="shared" si="95"/>
        <v>-1</v>
      </c>
      <c r="AH267" s="178">
        <f t="shared" si="90"/>
        <v>5</v>
      </c>
      <c r="AI267" s="227">
        <f t="shared" si="91"/>
        <v>-0.71562614675379999</v>
      </c>
      <c r="AJ267" s="267" t="b">
        <f t="shared" si="92"/>
        <v>0</v>
      </c>
      <c r="AK267" s="267" t="b">
        <f t="shared" si="93"/>
        <v>0</v>
      </c>
      <c r="AL267" s="267"/>
      <c r="AM267" s="267"/>
      <c r="AN267" s="75"/>
    </row>
    <row r="268" spans="1:40" s="6" customFormat="1" ht="11.25" x14ac:dyDescent="0.2">
      <c r="A268" s="56">
        <f t="shared" si="94"/>
        <v>44084</v>
      </c>
      <c r="B268" s="620">
        <v>32.802</v>
      </c>
      <c r="C268" s="392"/>
      <c r="D268" s="395">
        <f t="shared" si="74"/>
        <v>33.395861805722113</v>
      </c>
      <c r="E268" s="387">
        <f t="shared" si="96"/>
        <v>38.08177559039072</v>
      </c>
      <c r="F268" s="387">
        <f t="shared" si="75"/>
        <v>38.206616827992818</v>
      </c>
      <c r="G268" s="110">
        <f t="shared" si="97"/>
        <v>0.79320475704431725</v>
      </c>
      <c r="H268" s="416" t="b">
        <f>Wh_hp&gt;='2019'!Maxi_hp</f>
        <v>0</v>
      </c>
      <c r="I268" s="382">
        <f>IF(H268,Wh_hp,'2019'!Maxi_hp)</f>
        <v>41.500569864252512</v>
      </c>
      <c r="J268" s="85">
        <f>IF(H268,An,'2019'!An_max)</f>
        <v>2019</v>
      </c>
      <c r="K268" s="199">
        <f t="shared" si="76"/>
        <v>44084</v>
      </c>
      <c r="L268" s="147">
        <f>IF(t&lt;Tvie,1-EXP((T0-t)*PertePVj)+'2019'!Pspv,1-EXP((T0-t)*PertePVj)+Pspv)</f>
        <v>1.7782496800856973E-2</v>
      </c>
      <c r="M268" s="872"/>
      <c r="N268" s="872"/>
      <c r="O268" s="48">
        <f>IF(t&lt;Tnet,'2019'!Resal+('2019'!Salim-'2019'!Resal)*(1-EXP(('2019'!Tnet-t)/('2019'!Tau_j))),Resal+(Salim-Resal)*(1-EXP((Tnet-t)/(Tau_j))))*Salcycl</f>
        <v>0.12304872112767286</v>
      </c>
      <c r="P268" s="171">
        <f>(INDEX(Models!$BJ268:$BT268,,T268)*(1-R268)+INDEX(Models!$BJ268:$BT268,,T268+1)*R268-ERP_i)*Q268*Ramure*Pc/MaxiM</f>
        <v>4.6274003964077801E-3</v>
      </c>
      <c r="Q268" s="307">
        <f t="shared" si="77"/>
        <v>0.9</v>
      </c>
      <c r="R268" s="179">
        <f t="shared" si="78"/>
        <v>0.28498983265407141</v>
      </c>
      <c r="S268" s="839">
        <f t="shared" si="79"/>
        <v>-1</v>
      </c>
      <c r="T268" s="178">
        <f t="shared" si="80"/>
        <v>5</v>
      </c>
      <c r="U268" s="253">
        <f t="shared" si="81"/>
        <v>-0.71501016734592859</v>
      </c>
      <c r="V268" s="385">
        <f t="shared" si="82"/>
        <v>41.297340925582539</v>
      </c>
      <c r="W268" s="404"/>
      <c r="X268" s="157">
        <f t="shared" si="83"/>
        <v>44084</v>
      </c>
      <c r="Y268" s="387">
        <f t="shared" si="84"/>
        <v>32.802</v>
      </c>
      <c r="Z268" s="387">
        <f t="shared" si="85"/>
        <v>33.395861805722113</v>
      </c>
      <c r="AA268" s="388">
        <f t="shared" si="86"/>
        <v>38.08177559039072</v>
      </c>
      <c r="AB268" s="199">
        <f t="shared" si="87"/>
        <v>44084</v>
      </c>
      <c r="AC268" s="119">
        <f>IF(OR(t&lt;Tnet,NoTnet),'2019'!Resal_s+('2019'!Salim-'2019'!Resal_s)*(1-EXP(('2019'!Tnet_s-t)/'2019'!Tau_j)),Resal_s+(Salim-Resal_s)*(1-EXP((Tnet_s-t)/Tau_j)))*Salcycl</f>
        <v>0.12304872112767286</v>
      </c>
      <c r="AD268" s="233">
        <f>(INDEX(Models!$BJ268:$BT268,,AH268)*(1-AF268)+INDEX(Models!$BJ268:$BT268,,AH268+1)*AF268-ERP_i)*AE268*Ramure*Pc/MaxiM</f>
        <v>4.6274003964077801E-3</v>
      </c>
      <c r="AE268" s="307">
        <f t="shared" si="88"/>
        <v>0.9</v>
      </c>
      <c r="AF268" s="179">
        <f t="shared" si="89"/>
        <v>0.28498983265407141</v>
      </c>
      <c r="AG268" s="839">
        <f t="shared" si="95"/>
        <v>-1</v>
      </c>
      <c r="AH268" s="178">
        <f t="shared" si="90"/>
        <v>5</v>
      </c>
      <c r="AI268" s="227">
        <f t="shared" si="91"/>
        <v>-0.71501016734592859</v>
      </c>
      <c r="AJ268" s="267" t="b">
        <f t="shared" si="92"/>
        <v>0</v>
      </c>
      <c r="AK268" s="267" t="b">
        <f t="shared" si="93"/>
        <v>0</v>
      </c>
      <c r="AL268" s="267"/>
      <c r="AM268" s="267"/>
      <c r="AN268" s="75"/>
    </row>
    <row r="269" spans="1:40" s="6" customFormat="1" ht="11.25" x14ac:dyDescent="0.2">
      <c r="A269" s="56">
        <f t="shared" si="94"/>
        <v>44085</v>
      </c>
      <c r="B269" s="620">
        <v>37.933</v>
      </c>
      <c r="C269" s="392"/>
      <c r="D269" s="395">
        <f t="shared" si="74"/>
        <v>38.620654440912581</v>
      </c>
      <c r="E269" s="387">
        <f t="shared" si="96"/>
        <v>44.041827623778566</v>
      </c>
      <c r="F269" s="387">
        <f t="shared" si="75"/>
        <v>44.22865059350147</v>
      </c>
      <c r="G269" s="110">
        <f t="shared" si="97"/>
        <v>0.92605491553867769</v>
      </c>
      <c r="H269" s="416" t="b">
        <f>Wh_hp&gt;='2019'!Maxi_hp</f>
        <v>0</v>
      </c>
      <c r="I269" s="382">
        <f>IF(H269,Wh_hp,'2019'!Maxi_hp)</f>
        <v>47.211932330727613</v>
      </c>
      <c r="J269" s="85">
        <f>IF(H269,An,'2019'!An_max)</f>
        <v>2019</v>
      </c>
      <c r="K269" s="199">
        <f t="shared" si="76"/>
        <v>44085</v>
      </c>
      <c r="L269" s="147">
        <f>IF(t&lt;Tvie,1-EXP((T0-t)*PertePVj)+'2019'!Pspv,1-EXP((T0-t)*PertePVj)+Pspv)</f>
        <v>1.7805354437083754E-2</v>
      </c>
      <c r="M269" s="872"/>
      <c r="N269" s="872"/>
      <c r="O269" s="48">
        <f>IF(t&lt;Tnet,'2019'!Resal+('2019'!Salim-'2019'!Resal)*(1-EXP(('2019'!Tnet-t)/('2019'!Tau_j))),Resal+(Salim-Resal)*(1-EXP((Tnet-t)/(Tau_j))))*Salcycl</f>
        <v>0.12309146725643705</v>
      </c>
      <c r="P269" s="171">
        <f>(INDEX(Models!$BJ269:$BT269,,T269)*(1-R269)+INDEX(Models!$BJ269:$BT269,,T269+1)*R269-ERP_i)*Q269*Ramure*Pc/MaxiM</f>
        <v>4.7194623960449007E-3</v>
      </c>
      <c r="Q269" s="307">
        <f t="shared" si="77"/>
        <v>0.9</v>
      </c>
      <c r="R269" s="179">
        <f t="shared" si="78"/>
        <v>0.28558205278829318</v>
      </c>
      <c r="S269" s="839">
        <f t="shared" si="79"/>
        <v>-1</v>
      </c>
      <c r="T269" s="178">
        <f t="shared" si="80"/>
        <v>5</v>
      </c>
      <c r="U269" s="253">
        <f t="shared" si="81"/>
        <v>-0.71441794721170682</v>
      </c>
      <c r="V269" s="385">
        <f t="shared" si="82"/>
        <v>40.94155352368805</v>
      </c>
      <c r="W269" s="404"/>
      <c r="X269" s="157">
        <f t="shared" si="83"/>
        <v>44085</v>
      </c>
      <c r="Y269" s="387">
        <f t="shared" si="84"/>
        <v>37.933</v>
      </c>
      <c r="Z269" s="387">
        <f t="shared" si="85"/>
        <v>38.620654440912581</v>
      </c>
      <c r="AA269" s="388">
        <f t="shared" si="86"/>
        <v>44.041827623778566</v>
      </c>
      <c r="AB269" s="199">
        <f t="shared" si="87"/>
        <v>44085</v>
      </c>
      <c r="AC269" s="119">
        <f>IF(OR(t&lt;Tnet,NoTnet),'2019'!Resal_s+('2019'!Salim-'2019'!Resal_s)*(1-EXP(('2019'!Tnet_s-t)/'2019'!Tau_j)),Resal_s+(Salim-Resal_s)*(1-EXP((Tnet_s-t)/Tau_j)))*Salcycl</f>
        <v>0.12309146725643705</v>
      </c>
      <c r="AD269" s="233">
        <f>(INDEX(Models!$BJ269:$BT269,,AH269)*(1-AF269)+INDEX(Models!$BJ269:$BT269,,AH269+1)*AF269-ERP_i)*AE269*Ramure*Pc/MaxiM</f>
        <v>4.7194623960449007E-3</v>
      </c>
      <c r="AE269" s="307">
        <f t="shared" si="88"/>
        <v>0.9</v>
      </c>
      <c r="AF269" s="179">
        <f t="shared" si="89"/>
        <v>0.28558205278829318</v>
      </c>
      <c r="AG269" s="839">
        <f t="shared" si="95"/>
        <v>-1</v>
      </c>
      <c r="AH269" s="178">
        <f t="shared" si="90"/>
        <v>5</v>
      </c>
      <c r="AI269" s="227">
        <f t="shared" si="91"/>
        <v>-0.71441794721170682</v>
      </c>
      <c r="AJ269" s="267" t="b">
        <f t="shared" si="92"/>
        <v>0</v>
      </c>
      <c r="AK269" s="267" t="b">
        <f t="shared" si="93"/>
        <v>0</v>
      </c>
      <c r="AL269" s="267"/>
      <c r="AM269" s="267"/>
      <c r="AN269" s="75"/>
    </row>
    <row r="270" spans="1:40" s="6" customFormat="1" ht="11.25" x14ac:dyDescent="0.2">
      <c r="A270" s="56">
        <f t="shared" si="94"/>
        <v>44086</v>
      </c>
      <c r="B270" s="620">
        <v>37.86</v>
      </c>
      <c r="C270" s="392"/>
      <c r="D270" s="395">
        <f t="shared" si="74"/>
        <v>38.547228137570443</v>
      </c>
      <c r="E270" s="387">
        <f t="shared" si="96"/>
        <v>43.960163064577053</v>
      </c>
      <c r="F270" s="387">
        <f t="shared" si="75"/>
        <v>44.152198897789638</v>
      </c>
      <c r="G270" s="110">
        <f t="shared" si="97"/>
        <v>0.93248814219371812</v>
      </c>
      <c r="H270" s="416" t="b">
        <f>Wh_hp&gt;='2019'!Maxi_hp</f>
        <v>1</v>
      </c>
      <c r="I270" s="382">
        <f>IF(H270,Wh_hp,'2019'!Maxi_hp)</f>
        <v>44.152198897789638</v>
      </c>
      <c r="J270" s="85">
        <f>IF(H270,An,'2019'!An_max)</f>
        <v>2020</v>
      </c>
      <c r="K270" s="199">
        <f t="shared" si="76"/>
        <v>44086</v>
      </c>
      <c r="L270" s="147">
        <f>IF(t&lt;Tvie,1-EXP((T0-t)*PertePVj)+'2019'!Pspv,1-EXP((T0-t)*PertePVj)+Pspv)</f>
        <v>1.7828211541380035E-2</v>
      </c>
      <c r="M270" s="872"/>
      <c r="N270" s="872"/>
      <c r="O270" s="48">
        <f>IF(t&lt;Tnet,'2019'!Resal+('2019'!Salim-'2019'!Resal)*(1-EXP(('2019'!Tnet-t)/('2019'!Tau_j))),Resal+(Salim-Resal)*(1-EXP((Tnet-t)/(Tau_j))))*Salcycl</f>
        <v>0.12313273085577638</v>
      </c>
      <c r="P270" s="171">
        <f>(INDEX(Models!$BJ270:$BT270,,T270)*(1-R270)+INDEX(Models!$BJ270:$BT270,,T270+1)*R270-ERP_i)*Q270*Ramure*Pc/MaxiM</f>
        <v>4.8103769430123244E-3</v>
      </c>
      <c r="Q270" s="307">
        <f t="shared" si="77"/>
        <v>0.9</v>
      </c>
      <c r="R270" s="179">
        <f t="shared" si="78"/>
        <v>0.28615139054778727</v>
      </c>
      <c r="S270" s="839">
        <f t="shared" si="79"/>
        <v>-1</v>
      </c>
      <c r="T270" s="178">
        <f t="shared" si="80"/>
        <v>5</v>
      </c>
      <c r="U270" s="253">
        <f t="shared" si="81"/>
        <v>-0.71384860945221273</v>
      </c>
      <c r="V270" s="385">
        <f t="shared" si="82"/>
        <v>40.582254812666172</v>
      </c>
      <c r="W270" s="404"/>
      <c r="X270" s="157">
        <f t="shared" si="83"/>
        <v>44086</v>
      </c>
      <c r="Y270" s="387">
        <f t="shared" si="84"/>
        <v>37.86</v>
      </c>
      <c r="Z270" s="387">
        <f t="shared" si="85"/>
        <v>38.547228137570443</v>
      </c>
      <c r="AA270" s="388">
        <f t="shared" si="86"/>
        <v>43.960163064577053</v>
      </c>
      <c r="AB270" s="199">
        <f t="shared" si="87"/>
        <v>44086</v>
      </c>
      <c r="AC270" s="119">
        <f>IF(OR(t&lt;Tnet,NoTnet),'2019'!Resal_s+('2019'!Salim-'2019'!Resal_s)*(1-EXP(('2019'!Tnet_s-t)/'2019'!Tau_j)),Resal_s+(Salim-Resal_s)*(1-EXP((Tnet_s-t)/Tau_j)))*Salcycl</f>
        <v>0.12313273085577638</v>
      </c>
      <c r="AD270" s="233">
        <f>(INDEX(Models!$BJ270:$BT270,,AH270)*(1-AF270)+INDEX(Models!$BJ270:$BT270,,AH270+1)*AF270-ERP_i)*AE270*Ramure*Pc/MaxiM</f>
        <v>4.8103769430123244E-3</v>
      </c>
      <c r="AE270" s="307">
        <f t="shared" si="88"/>
        <v>0.9</v>
      </c>
      <c r="AF270" s="179">
        <f t="shared" si="89"/>
        <v>0.28615139054778727</v>
      </c>
      <c r="AG270" s="839">
        <f t="shared" si="95"/>
        <v>-1</v>
      </c>
      <c r="AH270" s="178">
        <f t="shared" si="90"/>
        <v>5</v>
      </c>
      <c r="AI270" s="227">
        <f t="shared" si="91"/>
        <v>-0.71384860945221273</v>
      </c>
      <c r="AJ270" s="267" t="b">
        <f t="shared" si="92"/>
        <v>0</v>
      </c>
      <c r="AK270" s="267" t="b">
        <f t="shared" si="93"/>
        <v>0</v>
      </c>
      <c r="AL270" s="267"/>
      <c r="AM270" s="267"/>
      <c r="AN270" s="75"/>
    </row>
    <row r="271" spans="1:40" s="6" customFormat="1" ht="11.25" x14ac:dyDescent="0.2">
      <c r="A271" s="56">
        <f t="shared" si="94"/>
        <v>44087</v>
      </c>
      <c r="B271" s="620">
        <v>37.360999999999997</v>
      </c>
      <c r="C271" s="392"/>
      <c r="D271" s="395">
        <f t="shared" ref="D271:D334" si="98">Wh/(1-Ppv)</f>
        <v>38.04005562399508</v>
      </c>
      <c r="E271" s="387">
        <f t="shared" si="96"/>
        <v>43.383737347939594</v>
      </c>
      <c r="F271" s="387">
        <f t="shared" ref="F271:F334" si="99">Wh_sa/(1-Pvg*MEDIAN((-Sdif+Wh/Env_an)/Csdif,0,1))</f>
        <v>43.575578607161226</v>
      </c>
      <c r="G271" s="110">
        <f t="shared" si="97"/>
        <v>0.92845336240280962</v>
      </c>
      <c r="H271" s="416" t="b">
        <f>Wh_hp&gt;='2019'!Maxi_hp</f>
        <v>1</v>
      </c>
      <c r="I271" s="382">
        <f>IF(H271,Wh_hp,'2019'!Maxi_hp)</f>
        <v>43.575578607161226</v>
      </c>
      <c r="J271" s="85">
        <f>IF(H271,An,'2019'!An_max)</f>
        <v>2020</v>
      </c>
      <c r="K271" s="199">
        <f t="shared" ref="K271:K334" si="100">t</f>
        <v>44087</v>
      </c>
      <c r="L271" s="147">
        <f>IF(t&lt;Tvie,1-EXP((T0-t)*PertePVj)+'2019'!Pspv,1-EXP((T0-t)*PertePVj)+Pspv)</f>
        <v>1.785106811375814E-2</v>
      </c>
      <c r="M271" s="872"/>
      <c r="N271" s="872"/>
      <c r="O271" s="48">
        <f>IF(t&lt;Tnet,'2019'!Resal+('2019'!Salim-'2019'!Resal)*(1-EXP(('2019'!Tnet-t)/('2019'!Tau_j))),Resal+(Salim-Resal)*(1-EXP((Tnet-t)/(Tau_j))))*Salcycl</f>
        <v>0.1231724616320613</v>
      </c>
      <c r="P271" s="171">
        <f>(INDEX(Models!$BJ271:$BT271,,T271)*(1-R271)+INDEX(Models!$BJ271:$BT271,,T271+1)*R271-ERP_i)*Q271*Ramure*Pc/MaxiM</f>
        <v>4.9000795502415996E-3</v>
      </c>
      <c r="Q271" s="307">
        <f t="shared" ref="Q271:Q334" si="101">IF(OR(t&lt;Ttai,Notai),Dd+PousD*Croivg,Dens+PousD*(Croivg-Croi_tai))</f>
        <v>0.9</v>
      </c>
      <c r="R271" s="179">
        <f t="shared" ref="R271:R334" si="102">(Hp_vg-S271)/(INDEX(Echel_vg,T271+1)-S271)</f>
        <v>0.28669869353399713</v>
      </c>
      <c r="S271" s="839">
        <f t="shared" ref="S271:S334" si="103">INDEX(Echel_vg,T271)</f>
        <v>-1</v>
      </c>
      <c r="T271" s="178">
        <f t="shared" ref="T271:T334" si="104">MIN(MATCH(Hp_vg,Echel_vg),10)</f>
        <v>5</v>
      </c>
      <c r="U271" s="253">
        <f t="shared" ref="U271:U334" si="105">IF(OR(t&lt;Ttai,Notai),Hdd+PousH*Croivg,Hdtf+PousH*(Croivg-Croi_tai))</f>
        <v>-0.71330130646600287</v>
      </c>
      <c r="V271" s="385">
        <f t="shared" ref="V271:V334" si="106">MaxiM*(1-Ppv)*(1-Pvg)*(1-Psa)</f>
        <v>40.219928155480211</v>
      </c>
      <c r="W271" s="404"/>
      <c r="X271" s="157">
        <f t="shared" ref="X271:X334" si="107">t</f>
        <v>44087</v>
      </c>
      <c r="Y271" s="387">
        <f t="shared" ref="Y271:Y334" si="108">Wh_pvt_s*(1-Ppv)</f>
        <v>37.360999999999997</v>
      </c>
      <c r="Z271" s="387">
        <f t="shared" ref="Z271:Z334" si="109">Wh_sa_s*(1-Psa_s)</f>
        <v>38.04005562399508</v>
      </c>
      <c r="AA271" s="388">
        <f t="shared" ref="AA271:AA334" si="110">Wh_hp*(1-Pvg_s*MEDIAN((-Sdif+Wh/Env_an)/Csdif,0,1))</f>
        <v>43.383737347939594</v>
      </c>
      <c r="AB271" s="199">
        <f t="shared" ref="AB271:AB334" si="111">t</f>
        <v>44087</v>
      </c>
      <c r="AC271" s="119">
        <f>IF(OR(t&lt;Tnet,NoTnet),'2019'!Resal_s+('2019'!Salim-'2019'!Resal_s)*(1-EXP(('2019'!Tnet_s-t)/'2019'!Tau_j)),Resal_s+(Salim-Resal_s)*(1-EXP((Tnet_s-t)/Tau_j)))*Salcycl</f>
        <v>0.1231724616320613</v>
      </c>
      <c r="AD271" s="233">
        <f>(INDEX(Models!$BJ271:$BT271,,AH271)*(1-AF271)+INDEX(Models!$BJ271:$BT271,,AH271+1)*AF271-ERP_i)*AE271*Ramure*Pc/MaxiM</f>
        <v>4.9000795502415996E-3</v>
      </c>
      <c r="AE271" s="307">
        <f t="shared" ref="AE271:AE334" si="112">IF(OR(t&lt;Ttai,Notai),Dd_s+PousD*Croivg,Dens_s+PousD*(Croivg-Croi_tai))</f>
        <v>0.9</v>
      </c>
      <c r="AF271" s="179">
        <f t="shared" ref="AF271:AF334" si="113">(Hp_vg_s-AG271)/(INDEX(Echel_vg,AH271+1)-AG271)</f>
        <v>0.28669869353399713</v>
      </c>
      <c r="AG271" s="839">
        <f t="shared" si="95"/>
        <v>-1</v>
      </c>
      <c r="AH271" s="178">
        <f t="shared" ref="AH271:AH334" si="114">MIN(MATCH(Hp_vg_s,Echel_vg),10)</f>
        <v>5</v>
      </c>
      <c r="AI271" s="227">
        <f t="shared" ref="AI271:AI334" si="115">IF(OR(t&lt;Ttai,Notai),Hdd_s+PousH*Croivg,Hdtai_s+PousH*(Croivg-Croi_tai))</f>
        <v>-0.71330130646600287</v>
      </c>
      <c r="AJ271" s="267" t="b">
        <f t="shared" ref="AJ271:AJ334" si="116">t&lt;Tnet</f>
        <v>0</v>
      </c>
      <c r="AK271" s="267" t="b">
        <f t="shared" ref="AK271:AK334" si="117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18">A271+1</f>
        <v>44088</v>
      </c>
      <c r="B272" s="620">
        <v>37.814999999999998</v>
      </c>
      <c r="C272" s="392"/>
      <c r="D272" s="395">
        <f t="shared" si="98"/>
        <v>38.503203336124805</v>
      </c>
      <c r="E272" s="387">
        <f t="shared" si="96"/>
        <v>43.913856248857144</v>
      </c>
      <c r="F272" s="387">
        <f t="shared" si="99"/>
        <v>44.117844760090314</v>
      </c>
      <c r="G272" s="110">
        <f t="shared" si="97"/>
        <v>0.94846538610960318</v>
      </c>
      <c r="H272" s="416" t="b">
        <f>Wh_hp&gt;='2019'!Maxi_hp</f>
        <v>1</v>
      </c>
      <c r="I272" s="382">
        <f>IF(H272,Wh_hp,'2019'!Maxi_hp)</f>
        <v>44.117844760090314</v>
      </c>
      <c r="J272" s="85">
        <f>IF(H272,An,'2019'!An_max)</f>
        <v>2020</v>
      </c>
      <c r="K272" s="199">
        <f t="shared" si="100"/>
        <v>44088</v>
      </c>
      <c r="L272" s="147">
        <f>IF(t&lt;Tvie,1-EXP((T0-t)*PertePVj)+'2019'!Pspv,1-EXP((T0-t)*PertePVj)+Pspv)</f>
        <v>1.7873924154230392E-2</v>
      </c>
      <c r="M272" s="872"/>
      <c r="N272" s="872"/>
      <c r="O272" s="48">
        <f>IF(t&lt;Tnet,'2019'!Resal+('2019'!Salim-'2019'!Resal)*(1-EXP(('2019'!Tnet-t)/('2019'!Tau_j))),Resal+(Salim-Resal)*(1-EXP((Tnet-t)/(Tau_j))))*Salcycl</f>
        <v>0.12321060765127292</v>
      </c>
      <c r="P272" s="171">
        <f>(INDEX(Models!$BJ272:$BT272,,T272)*(1-R272)+INDEX(Models!$BJ272:$BT272,,T272+1)*R272-ERP_i)*Q272*Ramure*Pc/MaxiM</f>
        <v>4.9884985363915614E-3</v>
      </c>
      <c r="Q272" s="307">
        <f t="shared" si="101"/>
        <v>0.9</v>
      </c>
      <c r="R272" s="179">
        <f t="shared" si="102"/>
        <v>0.28722478078785441</v>
      </c>
      <c r="S272" s="839">
        <f t="shared" si="103"/>
        <v>-1</v>
      </c>
      <c r="T272" s="178">
        <f t="shared" si="104"/>
        <v>5</v>
      </c>
      <c r="U272" s="253">
        <f t="shared" si="105"/>
        <v>-0.71277521921214559</v>
      </c>
      <c r="V272" s="385">
        <f t="shared" si="106"/>
        <v>39.855056741058696</v>
      </c>
      <c r="W272" s="404"/>
      <c r="X272" s="157">
        <f t="shared" si="107"/>
        <v>44088</v>
      </c>
      <c r="Y272" s="387">
        <f t="shared" si="108"/>
        <v>37.814999999999998</v>
      </c>
      <c r="Z272" s="387">
        <f t="shared" si="109"/>
        <v>38.503203336124805</v>
      </c>
      <c r="AA272" s="388">
        <f t="shared" si="110"/>
        <v>43.913856248857144</v>
      </c>
      <c r="AB272" s="199">
        <f t="shared" si="111"/>
        <v>44088</v>
      </c>
      <c r="AC272" s="119">
        <f>IF(OR(t&lt;Tnet,NoTnet),'2019'!Resal_s+('2019'!Salim-'2019'!Resal_s)*(1-EXP(('2019'!Tnet_s-t)/'2019'!Tau_j)),Resal_s+(Salim-Resal_s)*(1-EXP((Tnet_s-t)/Tau_j)))*Salcycl</f>
        <v>0.12321060765127292</v>
      </c>
      <c r="AD272" s="233">
        <f>(INDEX(Models!$BJ272:$BT272,,AH272)*(1-AF272)+INDEX(Models!$BJ272:$BT272,,AH272+1)*AF272-ERP_i)*AE272*Ramure*Pc/MaxiM</f>
        <v>4.9884985363915614E-3</v>
      </c>
      <c r="AE272" s="307">
        <f t="shared" si="112"/>
        <v>0.9</v>
      </c>
      <c r="AF272" s="179">
        <f t="shared" si="113"/>
        <v>0.28722478078785441</v>
      </c>
      <c r="AG272" s="839">
        <f t="shared" ref="AG272:AG335" si="119">INDEX(Echel_vg,AH272)</f>
        <v>-1</v>
      </c>
      <c r="AH272" s="178">
        <f t="shared" si="114"/>
        <v>5</v>
      </c>
      <c r="AI272" s="227">
        <f t="shared" si="115"/>
        <v>-0.71277521921214559</v>
      </c>
      <c r="AJ272" s="267" t="b">
        <f t="shared" si="116"/>
        <v>0</v>
      </c>
      <c r="AK272" s="267" t="b">
        <f t="shared" si="117"/>
        <v>0</v>
      </c>
      <c r="AL272" s="267"/>
      <c r="AM272" s="267"/>
      <c r="AN272" s="75"/>
    </row>
    <row r="273" spans="1:40" s="6" customFormat="1" ht="11.25" x14ac:dyDescent="0.2">
      <c r="A273" s="56">
        <f t="shared" si="118"/>
        <v>44089</v>
      </c>
      <c r="B273" s="620">
        <v>34.566000000000003</v>
      </c>
      <c r="C273" s="392"/>
      <c r="D273" s="395">
        <f t="shared" si="98"/>
        <v>35.195893144645495</v>
      </c>
      <c r="E273" s="387">
        <f t="shared" si="96"/>
        <v>40.143458623365689</v>
      </c>
      <c r="F273" s="387">
        <f t="shared" si="99"/>
        <v>40.311628924502607</v>
      </c>
      <c r="G273" s="110">
        <f t="shared" si="97"/>
        <v>0.87455734283982833</v>
      </c>
      <c r="H273" s="416" t="b">
        <f>Wh_hp&gt;='2019'!Maxi_hp</f>
        <v>0</v>
      </c>
      <c r="I273" s="382">
        <f>IF(H273,Wh_hp,'2019'!Maxi_hp)</f>
        <v>41.206187812934779</v>
      </c>
      <c r="J273" s="85">
        <f>IF(H273,An,'2019'!An_max)</f>
        <v>2019</v>
      </c>
      <c r="K273" s="199">
        <f t="shared" si="100"/>
        <v>44089</v>
      </c>
      <c r="L273" s="147">
        <f>IF(t&lt;Tvie,1-EXP((T0-t)*PertePVj)+'2019'!Pspv,1-EXP((T0-t)*PertePVj)+Pspv)</f>
        <v>1.7896779662809115E-2</v>
      </c>
      <c r="M273" s="872"/>
      <c r="N273" s="872"/>
      <c r="O273" s="48">
        <f>IF(t&lt;Tnet,'2019'!Resal+('2019'!Salim-'2019'!Resal)*(1-EXP(('2019'!Tnet-t)/('2019'!Tau_j))),Resal+(Salim-Resal)*(1-EXP((Tnet-t)/(Tau_j))))*Salcycl</f>
        <v>0.12324711543016974</v>
      </c>
      <c r="P273" s="171">
        <f>(INDEX(Models!$BJ273:$BT273,,T273)*(1-R273)+INDEX(Models!$BJ273:$BT273,,T273+1)*R273-ERP_i)*Q273*Ramure*Pc/MaxiM</f>
        <v>5.0755547776327684E-3</v>
      </c>
      <c r="Q273" s="307">
        <f t="shared" si="101"/>
        <v>0.9</v>
      </c>
      <c r="R273" s="179">
        <f t="shared" si="102"/>
        <v>0.2877304435285083</v>
      </c>
      <c r="S273" s="839">
        <f t="shared" si="103"/>
        <v>-1</v>
      </c>
      <c r="T273" s="178">
        <f t="shared" si="104"/>
        <v>5</v>
      </c>
      <c r="U273" s="253">
        <f t="shared" si="105"/>
        <v>-0.7122695564714917</v>
      </c>
      <c r="V273" s="385">
        <f t="shared" si="106"/>
        <v>39.488123583809617</v>
      </c>
      <c r="W273" s="404"/>
      <c r="X273" s="157">
        <f t="shared" si="107"/>
        <v>44089</v>
      </c>
      <c r="Y273" s="387">
        <f t="shared" si="108"/>
        <v>34.566000000000003</v>
      </c>
      <c r="Z273" s="387">
        <f t="shared" si="109"/>
        <v>35.195893144645495</v>
      </c>
      <c r="AA273" s="388">
        <f t="shared" si="110"/>
        <v>40.143458623365689</v>
      </c>
      <c r="AB273" s="199">
        <f t="shared" si="111"/>
        <v>44089</v>
      </c>
      <c r="AC273" s="119">
        <f>IF(OR(t&lt;Tnet,NoTnet),'2019'!Resal_s+('2019'!Salim-'2019'!Resal_s)*(1-EXP(('2019'!Tnet_s-t)/'2019'!Tau_j)),Resal_s+(Salim-Resal_s)*(1-EXP((Tnet_s-t)/Tau_j)))*Salcycl</f>
        <v>0.12324711543016974</v>
      </c>
      <c r="AD273" s="233">
        <f>(INDEX(Models!$BJ273:$BT273,,AH273)*(1-AF273)+INDEX(Models!$BJ273:$BT273,,AH273+1)*AF273-ERP_i)*AE273*Ramure*Pc/MaxiM</f>
        <v>5.0755547776327684E-3</v>
      </c>
      <c r="AE273" s="307">
        <f t="shared" si="112"/>
        <v>0.9</v>
      </c>
      <c r="AF273" s="179">
        <f t="shared" si="113"/>
        <v>0.2877304435285083</v>
      </c>
      <c r="AG273" s="839">
        <f t="shared" si="119"/>
        <v>-1</v>
      </c>
      <c r="AH273" s="178">
        <f t="shared" si="114"/>
        <v>5</v>
      </c>
      <c r="AI273" s="227">
        <f t="shared" si="115"/>
        <v>-0.7122695564714917</v>
      </c>
      <c r="AJ273" s="267" t="b">
        <f t="shared" si="116"/>
        <v>0</v>
      </c>
      <c r="AK273" s="267" t="b">
        <f t="shared" si="117"/>
        <v>0</v>
      </c>
      <c r="AL273" s="267"/>
      <c r="AM273" s="267"/>
      <c r="AN273" s="75"/>
    </row>
    <row r="274" spans="1:40" s="6" customFormat="1" ht="11.25" customHeight="1" x14ac:dyDescent="0.2">
      <c r="A274" s="56">
        <f t="shared" si="118"/>
        <v>44090</v>
      </c>
      <c r="B274" s="620">
        <v>33.566000000000003</v>
      </c>
      <c r="C274" s="392"/>
      <c r="D274" s="395">
        <f t="shared" si="98"/>
        <v>34.178465616384564</v>
      </c>
      <c r="E274" s="387">
        <f t="shared" si="96"/>
        <v>38.984557052132345</v>
      </c>
      <c r="F274" s="387">
        <f t="shared" si="99"/>
        <v>39.145619426057308</v>
      </c>
      <c r="G274" s="110">
        <f t="shared" si="97"/>
        <v>0.85713327286616825</v>
      </c>
      <c r="H274" s="416" t="b">
        <f>Wh_hp&gt;='2019'!Maxi_hp</f>
        <v>0</v>
      </c>
      <c r="I274" s="382">
        <f>IF(H274,Wh_hp,'2019'!Maxi_hp)</f>
        <v>39.96457967955341</v>
      </c>
      <c r="J274" s="85">
        <f>IF(H274,An,'2019'!An_max)</f>
        <v>2019</v>
      </c>
      <c r="K274" s="199">
        <f t="shared" si="100"/>
        <v>44090</v>
      </c>
      <c r="L274" s="147">
        <f>IF(t&lt;Tvie,1-EXP((T0-t)*PertePVj)+'2019'!Pspv,1-EXP((T0-t)*PertePVj)+Pspv)</f>
        <v>1.7919634639506854E-2</v>
      </c>
      <c r="M274" s="872"/>
      <c r="N274" s="872"/>
      <c r="O274" s="48">
        <f>IF(t&lt;Tnet,'2019'!Resal+('2019'!Salim-'2019'!Resal)*(1-EXP(('2019'!Tnet-t)/('2019'!Tau_j))),Resal+(Salim-Resal)*(1-EXP((Tnet-t)/(Tau_j))))*Salcycl</f>
        <v>0.1232819300555552</v>
      </c>
      <c r="P274" s="171">
        <f>(INDEX(Models!$BJ274:$BT274,,T274)*(1-R274)+INDEX(Models!$BJ274:$BT274,,T274+1)*R274-ERP_i)*Q274*Ramure*Pc/MaxiM</f>
        <v>5.1611614579318227E-3</v>
      </c>
      <c r="Q274" s="307">
        <f t="shared" si="101"/>
        <v>0.9</v>
      </c>
      <c r="R274" s="179">
        <f t="shared" si="102"/>
        <v>0.28821644589164597</v>
      </c>
      <c r="S274" s="839">
        <f t="shared" si="103"/>
        <v>-1</v>
      </c>
      <c r="T274" s="178">
        <f t="shared" si="104"/>
        <v>5</v>
      </c>
      <c r="U274" s="253">
        <f t="shared" si="105"/>
        <v>-0.71178355410835403</v>
      </c>
      <c r="V274" s="385">
        <f t="shared" si="106"/>
        <v>39.119611518452309</v>
      </c>
      <c r="W274" s="404"/>
      <c r="X274" s="157">
        <f t="shared" si="107"/>
        <v>44090</v>
      </c>
      <c r="Y274" s="387">
        <f t="shared" si="108"/>
        <v>33.566000000000003</v>
      </c>
      <c r="Z274" s="387">
        <f t="shared" si="109"/>
        <v>34.178465616384564</v>
      </c>
      <c r="AA274" s="388">
        <f t="shared" si="110"/>
        <v>38.984557052132345</v>
      </c>
      <c r="AB274" s="199">
        <f t="shared" si="111"/>
        <v>44090</v>
      </c>
      <c r="AC274" s="119">
        <f>IF(OR(t&lt;Tnet,NoTnet),'2019'!Resal_s+('2019'!Salim-'2019'!Resal_s)*(1-EXP(('2019'!Tnet_s-t)/'2019'!Tau_j)),Resal_s+(Salim-Resal_s)*(1-EXP((Tnet_s-t)/Tau_j)))*Salcycl</f>
        <v>0.1232819300555552</v>
      </c>
      <c r="AD274" s="233">
        <f>(INDEX(Models!$BJ274:$BT274,,AH274)*(1-AF274)+INDEX(Models!$BJ274:$BT274,,AH274+1)*AF274-ERP_i)*AE274*Ramure*Pc/MaxiM</f>
        <v>5.1611614579318227E-3</v>
      </c>
      <c r="AE274" s="307">
        <f t="shared" si="112"/>
        <v>0.9</v>
      </c>
      <c r="AF274" s="179">
        <f t="shared" si="113"/>
        <v>0.28821644589164597</v>
      </c>
      <c r="AG274" s="839">
        <f t="shared" si="119"/>
        <v>-1</v>
      </c>
      <c r="AH274" s="178">
        <f t="shared" si="114"/>
        <v>5</v>
      </c>
      <c r="AI274" s="227">
        <f t="shared" si="115"/>
        <v>-0.71178355410835403</v>
      </c>
      <c r="AJ274" s="267" t="b">
        <f t="shared" si="116"/>
        <v>0</v>
      </c>
      <c r="AK274" s="267" t="b">
        <f t="shared" si="117"/>
        <v>0</v>
      </c>
      <c r="AL274" s="267"/>
      <c r="AM274" s="267"/>
      <c r="AN274" s="75"/>
    </row>
    <row r="275" spans="1:40" s="6" customFormat="1" ht="11.25" x14ac:dyDescent="0.2">
      <c r="A275" s="56">
        <f t="shared" si="118"/>
        <v>44091</v>
      </c>
      <c r="B275" s="620">
        <v>34.101999999999997</v>
      </c>
      <c r="C275" s="392"/>
      <c r="D275" s="395">
        <f t="shared" si="98"/>
        <v>34.725053900563836</v>
      </c>
      <c r="E275" s="387">
        <f t="shared" si="96"/>
        <v>39.609499096818638</v>
      </c>
      <c r="F275" s="387">
        <f t="shared" si="99"/>
        <v>39.782445239132656</v>
      </c>
      <c r="G275" s="110">
        <f t="shared" si="97"/>
        <v>0.87932749333763227</v>
      </c>
      <c r="H275" s="416" t="b">
        <f>Wh_hp&gt;='2019'!Maxi_hp</f>
        <v>1</v>
      </c>
      <c r="I275" s="382">
        <f>IF(H275,Wh_hp,'2019'!Maxi_hp)</f>
        <v>39.782445239132656</v>
      </c>
      <c r="J275" s="85">
        <f>IF(H275,An,'2019'!An_max)</f>
        <v>2020</v>
      </c>
      <c r="K275" s="199">
        <f t="shared" si="100"/>
        <v>44091</v>
      </c>
      <c r="L275" s="147">
        <f>IF(t&lt;Tvie,1-EXP((T0-t)*PertePVj)+'2019'!Pspv,1-EXP((T0-t)*PertePVj)+Pspv)</f>
        <v>1.7942489084335822E-2</v>
      </c>
      <c r="M275" s="872"/>
      <c r="N275" s="872"/>
      <c r="O275" s="48">
        <f>IF(t&lt;Tnet,'2019'!Resal+('2019'!Salim-'2019'!Resal)*(1-EXP(('2019'!Tnet-t)/('2019'!Tau_j))),Resal+(Salim-Resal)*(1-EXP((Tnet-t)/(Tau_j))))*Salcycl</f>
        <v>0.12331499533270059</v>
      </c>
      <c r="P275" s="171">
        <f>(INDEX(Models!$BJ275:$BT275,,T275)*(1-R275)+INDEX(Models!$BJ275:$BT275,,T275+1)*R275-ERP_i)*Q275*Ramure*Pc/MaxiM</f>
        <v>5.2456391648990847E-3</v>
      </c>
      <c r="Q275" s="307">
        <f t="shared" si="101"/>
        <v>0.9</v>
      </c>
      <c r="R275" s="179">
        <f t="shared" si="102"/>
        <v>0.28868352566544686</v>
      </c>
      <c r="S275" s="839">
        <f t="shared" si="103"/>
        <v>-1</v>
      </c>
      <c r="T275" s="178">
        <f t="shared" si="104"/>
        <v>5</v>
      </c>
      <c r="U275" s="253">
        <f t="shared" si="105"/>
        <v>-0.71131647433455314</v>
      </c>
      <c r="V275" s="385">
        <f t="shared" si="106"/>
        <v>38.746918825779332</v>
      </c>
      <c r="W275" s="404"/>
      <c r="X275" s="157">
        <f t="shared" si="107"/>
        <v>44091</v>
      </c>
      <c r="Y275" s="387">
        <f t="shared" si="108"/>
        <v>34.101999999999997</v>
      </c>
      <c r="Z275" s="387">
        <f t="shared" si="109"/>
        <v>34.725053900563836</v>
      </c>
      <c r="AA275" s="388">
        <f t="shared" si="110"/>
        <v>39.609499096818638</v>
      </c>
      <c r="AB275" s="199">
        <f t="shared" si="111"/>
        <v>44091</v>
      </c>
      <c r="AC275" s="119">
        <f>IF(OR(t&lt;Tnet,NoTnet),'2019'!Resal_s+('2019'!Salim-'2019'!Resal_s)*(1-EXP(('2019'!Tnet_s-t)/'2019'!Tau_j)),Resal_s+(Salim-Resal_s)*(1-EXP((Tnet_s-t)/Tau_j)))*Salcycl</f>
        <v>0.12331499533270059</v>
      </c>
      <c r="AD275" s="233">
        <f>(INDEX(Models!$BJ275:$BT275,,AH275)*(1-AF275)+INDEX(Models!$BJ275:$BT275,,AH275+1)*AF275-ERP_i)*AE275*Ramure*Pc/MaxiM</f>
        <v>5.2456391648990847E-3</v>
      </c>
      <c r="AE275" s="307">
        <f t="shared" si="112"/>
        <v>0.9</v>
      </c>
      <c r="AF275" s="179">
        <f t="shared" si="113"/>
        <v>0.28868352566544686</v>
      </c>
      <c r="AG275" s="839">
        <f t="shared" si="119"/>
        <v>-1</v>
      </c>
      <c r="AH275" s="178">
        <f t="shared" si="114"/>
        <v>5</v>
      </c>
      <c r="AI275" s="227">
        <f t="shared" si="115"/>
        <v>-0.71131647433455314</v>
      </c>
      <c r="AJ275" s="267" t="b">
        <f t="shared" si="116"/>
        <v>0</v>
      </c>
      <c r="AK275" s="267" t="b">
        <f t="shared" si="117"/>
        <v>0</v>
      </c>
      <c r="AL275" s="267"/>
      <c r="AM275" s="267"/>
      <c r="AN275" s="75"/>
    </row>
    <row r="276" spans="1:40" s="6" customFormat="1" ht="11.25" x14ac:dyDescent="0.2">
      <c r="A276" s="56">
        <f t="shared" si="118"/>
        <v>44092</v>
      </c>
      <c r="B276" s="620">
        <v>15.95</v>
      </c>
      <c r="C276" s="392"/>
      <c r="D276" s="395">
        <f t="shared" si="98"/>
        <v>16.241789315951081</v>
      </c>
      <c r="E276" s="387">
        <f t="shared" si="96"/>
        <v>18.52702893176</v>
      </c>
      <c r="F276" s="387">
        <f t="shared" si="99"/>
        <v>18.543354242759548</v>
      </c>
      <c r="G276" s="110">
        <f t="shared" si="97"/>
        <v>0.41386313534292485</v>
      </c>
      <c r="H276" s="416" t="b">
        <f>Wh_hp&gt;='2019'!Maxi_hp</f>
        <v>0</v>
      </c>
      <c r="I276" s="382">
        <f>IF(H276,Wh_hp,'2019'!Maxi_hp)</f>
        <v>40.666457586366796</v>
      </c>
      <c r="J276" s="85">
        <f>IF(H276,An,'2019'!An_max)</f>
        <v>2019</v>
      </c>
      <c r="K276" s="199">
        <f t="shared" si="100"/>
        <v>44092</v>
      </c>
      <c r="L276" s="147">
        <f>IF(t&lt;Tvie,1-EXP((T0-t)*PertePVj)+'2019'!Pspv,1-EXP((T0-t)*PertePVj)+Pspv)</f>
        <v>1.7965342997308564E-2</v>
      </c>
      <c r="M276" s="872"/>
      <c r="N276" s="872"/>
      <c r="O276" s="48">
        <f>IF(t&lt;Tnet,'2019'!Resal+('2019'!Salim-'2019'!Resal)*(1-EXP(('2019'!Tnet-t)/('2019'!Tau_j))),Resal+(Salim-Resal)*(1-EXP((Tnet-t)/(Tau_j))))*Salcycl</f>
        <v>0.12334625396365859</v>
      </c>
      <c r="P276" s="171">
        <f>(INDEX(Models!$BJ276:$BT276,,T276)*(1-R276)+INDEX(Models!$BJ276:$BT276,,T276+1)*R276-ERP_i)*Q276*Ramure*Pc/MaxiM</f>
        <v>5.3258605295751606E-3</v>
      </c>
      <c r="Q276" s="307">
        <f t="shared" si="101"/>
        <v>0.9</v>
      </c>
      <c r="R276" s="179">
        <f t="shared" si="102"/>
        <v>0.28913239502241317</v>
      </c>
      <c r="S276" s="839">
        <f t="shared" si="103"/>
        <v>-1</v>
      </c>
      <c r="T276" s="178">
        <f t="shared" si="104"/>
        <v>5</v>
      </c>
      <c r="U276" s="253">
        <f t="shared" si="105"/>
        <v>-0.71086760497758683</v>
      </c>
      <c r="V276" s="385">
        <f t="shared" si="106"/>
        <v>38.367834309167662</v>
      </c>
      <c r="W276" s="404"/>
      <c r="X276" s="157">
        <f t="shared" si="107"/>
        <v>44092</v>
      </c>
      <c r="Y276" s="387">
        <f t="shared" si="108"/>
        <v>15.949999999999998</v>
      </c>
      <c r="Z276" s="387">
        <f t="shared" si="109"/>
        <v>16.241789315951081</v>
      </c>
      <c r="AA276" s="388">
        <f t="shared" si="110"/>
        <v>18.52702893176</v>
      </c>
      <c r="AB276" s="199">
        <f t="shared" si="111"/>
        <v>44092</v>
      </c>
      <c r="AC276" s="119">
        <f>IF(OR(t&lt;Tnet,NoTnet),'2019'!Resal_s+('2019'!Salim-'2019'!Resal_s)*(1-EXP(('2019'!Tnet_s-t)/'2019'!Tau_j)),Resal_s+(Salim-Resal_s)*(1-EXP((Tnet_s-t)/Tau_j)))*Salcycl</f>
        <v>0.12334625396365859</v>
      </c>
      <c r="AD276" s="233">
        <f>(INDEX(Models!$BJ276:$BT276,,AH276)*(1-AF276)+INDEX(Models!$BJ276:$BT276,,AH276+1)*AF276-ERP_i)*AE276*Ramure*Pc/MaxiM</f>
        <v>5.3258605295751606E-3</v>
      </c>
      <c r="AE276" s="307">
        <f t="shared" si="112"/>
        <v>0.9</v>
      </c>
      <c r="AF276" s="179">
        <f t="shared" si="113"/>
        <v>0.28913239502241317</v>
      </c>
      <c r="AG276" s="839">
        <f t="shared" si="119"/>
        <v>-1</v>
      </c>
      <c r="AH276" s="178">
        <f t="shared" si="114"/>
        <v>5</v>
      </c>
      <c r="AI276" s="227">
        <f t="shared" si="115"/>
        <v>-0.71086760497758683</v>
      </c>
      <c r="AJ276" s="267" t="b">
        <f t="shared" si="116"/>
        <v>0</v>
      </c>
      <c r="AK276" s="267" t="b">
        <f t="shared" si="117"/>
        <v>0</v>
      </c>
      <c r="AL276" s="267"/>
      <c r="AM276" s="267"/>
      <c r="AN276" s="75"/>
    </row>
    <row r="277" spans="1:40" s="6" customFormat="1" ht="11.25" customHeight="1" x14ac:dyDescent="0.2">
      <c r="A277" s="56">
        <f t="shared" si="118"/>
        <v>44093</v>
      </c>
      <c r="B277" s="620">
        <v>25.986999999999998</v>
      </c>
      <c r="C277" s="392"/>
      <c r="D277" s="395">
        <f t="shared" si="98"/>
        <v>26.463022037171555</v>
      </c>
      <c r="E277" s="387">
        <f t="shared" si="96"/>
        <v>30.187413764432886</v>
      </c>
      <c r="F277" s="387">
        <f t="shared" si="99"/>
        <v>30.277192563952742</v>
      </c>
      <c r="G277" s="110">
        <f t="shared" si="97"/>
        <v>0.68249855163321316</v>
      </c>
      <c r="H277" s="416" t="b">
        <f>Wh_hp&gt;='2019'!Maxi_hp</f>
        <v>0</v>
      </c>
      <c r="I277" s="382">
        <f>IF(H277,Wh_hp,'2019'!Maxi_hp)</f>
        <v>41.582562140317762</v>
      </c>
      <c r="J277" s="85">
        <f>IF(H277,An,'2019'!An_max)</f>
        <v>2019</v>
      </c>
      <c r="K277" s="199">
        <f t="shared" si="100"/>
        <v>44093</v>
      </c>
      <c r="L277" s="147">
        <f>IF(t&lt;Tvie,1-EXP((T0-t)*PertePVj)+'2019'!Pspv,1-EXP((T0-t)*PertePVj)+Pspv)</f>
        <v>1.7988196378437293E-2</v>
      </c>
      <c r="M277" s="872"/>
      <c r="N277" s="872"/>
      <c r="O277" s="48">
        <f>IF(t&lt;Tnet,'2019'!Resal+('2019'!Salim-'2019'!Resal)*(1-EXP(('2019'!Tnet-t)/('2019'!Tau_j))),Resal+(Salim-Resal)*(1-EXP((Tnet-t)/(Tau_j))))*Salcycl</f>
        <v>0.12337564775586866</v>
      </c>
      <c r="P277" s="171">
        <f>(INDEX(Models!$BJ277:$BT277,,T277)*(1-R277)+INDEX(Models!$BJ277:$BT277,,T277+1)*R277-ERP_i)*Q277*Ramure*Pc/MaxiM</f>
        <v>5.4029540704481818E-3</v>
      </c>
      <c r="Q277" s="307">
        <f t="shared" si="101"/>
        <v>0.9</v>
      </c>
      <c r="R277" s="179">
        <f t="shared" si="102"/>
        <v>0.28956374124549544</v>
      </c>
      <c r="S277" s="839">
        <f t="shared" si="103"/>
        <v>-1</v>
      </c>
      <c r="T277" s="178">
        <f t="shared" si="104"/>
        <v>5</v>
      </c>
      <c r="U277" s="253">
        <f t="shared" si="105"/>
        <v>-0.71043625875450456</v>
      </c>
      <c r="V277" s="385">
        <f t="shared" si="106"/>
        <v>37.983175736593331</v>
      </c>
      <c r="W277" s="404"/>
      <c r="X277" s="157">
        <f t="shared" si="107"/>
        <v>44093</v>
      </c>
      <c r="Y277" s="387">
        <f t="shared" si="108"/>
        <v>25.986999999999998</v>
      </c>
      <c r="Z277" s="387">
        <f t="shared" si="109"/>
        <v>26.463022037171555</v>
      </c>
      <c r="AA277" s="388">
        <f t="shared" si="110"/>
        <v>30.187413764432886</v>
      </c>
      <c r="AB277" s="199">
        <f t="shared" si="111"/>
        <v>44093</v>
      </c>
      <c r="AC277" s="119">
        <f>IF(OR(t&lt;Tnet,NoTnet),'2019'!Resal_s+('2019'!Salim-'2019'!Resal_s)*(1-EXP(('2019'!Tnet_s-t)/'2019'!Tau_j)),Resal_s+(Salim-Resal_s)*(1-EXP((Tnet_s-t)/Tau_j)))*Salcycl</f>
        <v>0.12337564775586866</v>
      </c>
      <c r="AD277" s="233">
        <f>(INDEX(Models!$BJ277:$BT277,,AH277)*(1-AF277)+INDEX(Models!$BJ277:$BT277,,AH277+1)*AF277-ERP_i)*AE277*Ramure*Pc/MaxiM</f>
        <v>5.4029540704481818E-3</v>
      </c>
      <c r="AE277" s="307">
        <f t="shared" si="112"/>
        <v>0.9</v>
      </c>
      <c r="AF277" s="179">
        <f t="shared" si="113"/>
        <v>0.28956374124549544</v>
      </c>
      <c r="AG277" s="839">
        <f t="shared" si="119"/>
        <v>-1</v>
      </c>
      <c r="AH277" s="178">
        <f t="shared" si="114"/>
        <v>5</v>
      </c>
      <c r="AI277" s="227">
        <f t="shared" si="115"/>
        <v>-0.71043625875450456</v>
      </c>
      <c r="AJ277" s="267" t="b">
        <f t="shared" si="116"/>
        <v>0</v>
      </c>
      <c r="AK277" s="267" t="b">
        <f t="shared" si="117"/>
        <v>0</v>
      </c>
      <c r="AL277" s="267"/>
      <c r="AM277" s="267"/>
      <c r="AN277" s="75"/>
    </row>
    <row r="278" spans="1:40" s="6" customFormat="1" ht="11.25" x14ac:dyDescent="0.2">
      <c r="A278" s="56">
        <f t="shared" si="118"/>
        <v>44094</v>
      </c>
      <c r="B278" s="620">
        <v>30.16</v>
      </c>
      <c r="C278" s="392"/>
      <c r="D278" s="395">
        <f t="shared" si="98"/>
        <v>30.713176534503035</v>
      </c>
      <c r="E278" s="387">
        <f t="shared" si="96"/>
        <v>35.036830680441057</v>
      </c>
      <c r="F278" s="387">
        <f t="shared" si="99"/>
        <v>35.175055691907069</v>
      </c>
      <c r="G278" s="110">
        <f t="shared" si="97"/>
        <v>0.80101362625089945</v>
      </c>
      <c r="H278" s="416" t="b">
        <f>Wh_hp&gt;='2019'!Maxi_hp</f>
        <v>1</v>
      </c>
      <c r="I278" s="382">
        <f>IF(H278,Wh_hp,'2019'!Maxi_hp)</f>
        <v>35.175055691907069</v>
      </c>
      <c r="J278" s="85">
        <f>IF(H278,An,'2019'!An_max)</f>
        <v>2020</v>
      </c>
      <c r="K278" s="199">
        <f t="shared" si="100"/>
        <v>44094</v>
      </c>
      <c r="L278" s="147">
        <f>IF(t&lt;Tvie,1-EXP((T0-t)*PertePVj)+'2019'!Pspv,1-EXP((T0-t)*PertePVj)+Pspv)</f>
        <v>1.8011049227734555E-2</v>
      </c>
      <c r="M278" s="872"/>
      <c r="N278" s="872"/>
      <c r="O278" s="48">
        <f>IF(t&lt;Tnet,'2019'!Resal+('2019'!Salim-'2019'!Resal)*(1-EXP(('2019'!Tnet-t)/('2019'!Tau_j))),Resal+(Salim-Resal)*(1-EXP((Tnet-t)/(Tau_j))))*Salcycl</f>
        <v>0.12340311786110428</v>
      </c>
      <c r="P278" s="171">
        <f>(INDEX(Models!$BJ278:$BT278,,T278)*(1-R278)+INDEX(Models!$BJ278:$BT278,,T278+1)*R278-ERP_i)*Q278*Ramure*Pc/MaxiM</f>
        <v>5.4767327402649238E-3</v>
      </c>
      <c r="Q278" s="307">
        <f t="shared" si="101"/>
        <v>0.9</v>
      </c>
      <c r="R278" s="179">
        <f t="shared" si="102"/>
        <v>0.2899782274471181</v>
      </c>
      <c r="S278" s="839">
        <f t="shared" si="103"/>
        <v>-1</v>
      </c>
      <c r="T278" s="178">
        <f t="shared" si="104"/>
        <v>5</v>
      </c>
      <c r="U278" s="253">
        <f t="shared" si="105"/>
        <v>-0.7100217725528819</v>
      </c>
      <c r="V278" s="385">
        <f t="shared" si="106"/>
        <v>37.593811592519224</v>
      </c>
      <c r="W278" s="404"/>
      <c r="X278" s="157">
        <f t="shared" si="107"/>
        <v>44094</v>
      </c>
      <c r="Y278" s="387">
        <f t="shared" si="108"/>
        <v>30.16</v>
      </c>
      <c r="Z278" s="387">
        <f t="shared" si="109"/>
        <v>30.713176534503035</v>
      </c>
      <c r="AA278" s="388">
        <f t="shared" si="110"/>
        <v>35.036830680441057</v>
      </c>
      <c r="AB278" s="199">
        <f t="shared" si="111"/>
        <v>44094</v>
      </c>
      <c r="AC278" s="119">
        <f>IF(OR(t&lt;Tnet,NoTnet),'2019'!Resal_s+('2019'!Salim-'2019'!Resal_s)*(1-EXP(('2019'!Tnet_s-t)/'2019'!Tau_j)),Resal_s+(Salim-Resal_s)*(1-EXP((Tnet_s-t)/Tau_j)))*Salcycl</f>
        <v>0.12340311786110428</v>
      </c>
      <c r="AD278" s="233">
        <f>(INDEX(Models!$BJ278:$BT278,,AH278)*(1-AF278)+INDEX(Models!$BJ278:$BT278,,AH278+1)*AF278-ERP_i)*AE278*Ramure*Pc/MaxiM</f>
        <v>5.4767327402649238E-3</v>
      </c>
      <c r="AE278" s="307">
        <f t="shared" si="112"/>
        <v>0.9</v>
      </c>
      <c r="AF278" s="179">
        <f t="shared" si="113"/>
        <v>0.2899782274471181</v>
      </c>
      <c r="AG278" s="839">
        <f t="shared" si="119"/>
        <v>-1</v>
      </c>
      <c r="AH278" s="178">
        <f t="shared" si="114"/>
        <v>5</v>
      </c>
      <c r="AI278" s="227">
        <f t="shared" si="115"/>
        <v>-0.7100217725528819</v>
      </c>
      <c r="AJ278" s="267" t="b">
        <f t="shared" si="116"/>
        <v>0</v>
      </c>
      <c r="AK278" s="267" t="b">
        <f t="shared" si="117"/>
        <v>0</v>
      </c>
      <c r="AL278" s="267"/>
      <c r="AM278" s="267"/>
      <c r="AN278" s="75"/>
    </row>
    <row r="279" spans="1:40" s="6" customFormat="1" ht="11.25" x14ac:dyDescent="0.2">
      <c r="A279" s="56">
        <f t="shared" si="118"/>
        <v>44095</v>
      </c>
      <c r="B279" s="620">
        <v>23.867999999999999</v>
      </c>
      <c r="C279" s="392"/>
      <c r="D279" s="395">
        <f t="shared" si="98"/>
        <v>24.306338108371008</v>
      </c>
      <c r="E279" s="387">
        <f t="shared" si="96"/>
        <v>27.728874394314129</v>
      </c>
      <c r="F279" s="387">
        <f t="shared" si="99"/>
        <v>27.804138836285198</v>
      </c>
      <c r="G279" s="110">
        <f t="shared" si="97"/>
        <v>0.63977525886440156</v>
      </c>
      <c r="H279" s="416" t="b">
        <f>Wh_hp&gt;='2019'!Maxi_hp</f>
        <v>1</v>
      </c>
      <c r="I279" s="382">
        <f>IF(H279,Wh_hp,'2019'!Maxi_hp)</f>
        <v>27.804138836285198</v>
      </c>
      <c r="J279" s="85">
        <f>IF(H279,An,'2019'!An_max)</f>
        <v>2020</v>
      </c>
      <c r="K279" s="199">
        <f t="shared" si="100"/>
        <v>44095</v>
      </c>
      <c r="L279" s="147">
        <f>IF(t&lt;Tvie,1-EXP((T0-t)*PertePVj)+'2019'!Pspv,1-EXP((T0-t)*PertePVj)+Pspv)</f>
        <v>1.803390154521245E-2</v>
      </c>
      <c r="M279" s="872"/>
      <c r="N279" s="872"/>
      <c r="O279" s="48">
        <f>IF(t&lt;Tnet,'2019'!Resal+('2019'!Salim-'2019'!Resal)*(1-EXP(('2019'!Tnet-t)/('2019'!Tau_j))),Resal+(Salim-Resal)*(1-EXP((Tnet-t)/(Tau_j))))*Salcycl</f>
        <v>0.12342860504445569</v>
      </c>
      <c r="P279" s="171">
        <f>(INDEX(Models!$BJ279:$BT279,,T279)*(1-R279)+INDEX(Models!$BJ279:$BT279,,T279+1)*R279-ERP_i)*Q279*Ramure*Pc/MaxiM</f>
        <v>5.5469920995693317E-3</v>
      </c>
      <c r="Q279" s="307">
        <f t="shared" si="101"/>
        <v>0.9</v>
      </c>
      <c r="R279" s="179">
        <f t="shared" si="102"/>
        <v>0.29037649327985238</v>
      </c>
      <c r="S279" s="839">
        <f t="shared" si="103"/>
        <v>-1</v>
      </c>
      <c r="T279" s="178">
        <f t="shared" si="104"/>
        <v>5</v>
      </c>
      <c r="U279" s="253">
        <f t="shared" si="105"/>
        <v>-0.70962350672014762</v>
      </c>
      <c r="V279" s="385">
        <f t="shared" si="106"/>
        <v>37.200610023646526</v>
      </c>
      <c r="W279" s="404"/>
      <c r="X279" s="157">
        <f t="shared" si="107"/>
        <v>44095</v>
      </c>
      <c r="Y279" s="387">
        <f t="shared" si="108"/>
        <v>23.867999999999999</v>
      </c>
      <c r="Z279" s="387">
        <f t="shared" si="109"/>
        <v>24.306338108371008</v>
      </c>
      <c r="AA279" s="388">
        <f t="shared" si="110"/>
        <v>27.728874394314129</v>
      </c>
      <c r="AB279" s="199">
        <f t="shared" si="111"/>
        <v>44095</v>
      </c>
      <c r="AC279" s="119">
        <f>IF(OR(t&lt;Tnet,NoTnet),'2019'!Resal_s+('2019'!Salim-'2019'!Resal_s)*(1-EXP(('2019'!Tnet_s-t)/'2019'!Tau_j)),Resal_s+(Salim-Resal_s)*(1-EXP((Tnet_s-t)/Tau_j)))*Salcycl</f>
        <v>0.12342860504445569</v>
      </c>
      <c r="AD279" s="233">
        <f>(INDEX(Models!$BJ279:$BT279,,AH279)*(1-AF279)+INDEX(Models!$BJ279:$BT279,,AH279+1)*AF279-ERP_i)*AE279*Ramure*Pc/MaxiM</f>
        <v>5.5469920995693317E-3</v>
      </c>
      <c r="AE279" s="307">
        <f t="shared" si="112"/>
        <v>0.9</v>
      </c>
      <c r="AF279" s="179">
        <f t="shared" si="113"/>
        <v>0.29037649327985238</v>
      </c>
      <c r="AG279" s="839">
        <f t="shared" si="119"/>
        <v>-1</v>
      </c>
      <c r="AH279" s="178">
        <f t="shared" si="114"/>
        <v>5</v>
      </c>
      <c r="AI279" s="227">
        <f t="shared" si="115"/>
        <v>-0.70962350672014762</v>
      </c>
      <c r="AJ279" s="267" t="b">
        <f t="shared" si="116"/>
        <v>0</v>
      </c>
      <c r="AK279" s="267" t="b">
        <f t="shared" si="117"/>
        <v>0</v>
      </c>
      <c r="AL279" s="267"/>
      <c r="AM279" s="267"/>
      <c r="AN279" s="75"/>
    </row>
    <row r="280" spans="1:40" s="6" customFormat="1" ht="11.25" x14ac:dyDescent="0.2">
      <c r="A280" s="56">
        <f t="shared" si="118"/>
        <v>44096</v>
      </c>
      <c r="B280" s="620">
        <v>18.170000000000002</v>
      </c>
      <c r="C280" s="392"/>
      <c r="D280" s="395">
        <f t="shared" si="98"/>
        <v>18.504124410076741</v>
      </c>
      <c r="E280" s="387">
        <f t="shared" si="96"/>
        <v>21.110224956559417</v>
      </c>
      <c r="F280" s="387">
        <f t="shared" si="99"/>
        <v>21.143065850332878</v>
      </c>
      <c r="G280" s="110">
        <f t="shared" si="97"/>
        <v>0.49168283083648839</v>
      </c>
      <c r="H280" s="416" t="b">
        <f>Wh_hp&gt;='2019'!Maxi_hp</f>
        <v>0</v>
      </c>
      <c r="I280" s="382">
        <f>IF(H280,Wh_hp,'2019'!Maxi_hp)</f>
        <v>39.039212402737128</v>
      </c>
      <c r="J280" s="85">
        <f>IF(H280,An,'2019'!An_max)</f>
        <v>2019</v>
      </c>
      <c r="K280" s="199">
        <f t="shared" si="100"/>
        <v>44096</v>
      </c>
      <c r="L280" s="147">
        <f>IF(t&lt;Tvie,1-EXP((T0-t)*PertePVj)+'2019'!Pspv,1-EXP((T0-t)*PertePVj)+Pspv)</f>
        <v>1.8056753330883635E-2</v>
      </c>
      <c r="M280" s="872"/>
      <c r="N280" s="872"/>
      <c r="O280" s="48">
        <f>IF(t&lt;Tnet,'2019'!Resal+('2019'!Salim-'2019'!Resal)*(1-EXP(('2019'!Tnet-t)/('2019'!Tau_j))),Resal+(Salim-Resal)*(1-EXP((Tnet-t)/(Tau_j))))*Salcycl</f>
        <v>0.12345204998267451</v>
      </c>
      <c r="P280" s="171">
        <f>(INDEX(Models!$BJ280:$BT280,,T280)*(1-R280)+INDEX(Models!$BJ280:$BT280,,T280+1)*R280-ERP_i)*Q280*Ramure*Pc/MaxiM</f>
        <v>5.613539752914674E-3</v>
      </c>
      <c r="Q280" s="307">
        <f t="shared" si="101"/>
        <v>0.9</v>
      </c>
      <c r="R280" s="179">
        <f t="shared" si="102"/>
        <v>0.29075915563764365</v>
      </c>
      <c r="S280" s="839">
        <f t="shared" si="103"/>
        <v>-1</v>
      </c>
      <c r="T280" s="178">
        <f t="shared" si="104"/>
        <v>5</v>
      </c>
      <c r="U280" s="253">
        <f t="shared" si="105"/>
        <v>-0.70924084436235635</v>
      </c>
      <c r="V280" s="385">
        <f t="shared" si="106"/>
        <v>36.804437731143004</v>
      </c>
      <c r="W280" s="404"/>
      <c r="X280" s="157">
        <f t="shared" si="107"/>
        <v>44096</v>
      </c>
      <c r="Y280" s="387">
        <f t="shared" si="108"/>
        <v>18.170000000000002</v>
      </c>
      <c r="Z280" s="387">
        <f t="shared" si="109"/>
        <v>18.504124410076741</v>
      </c>
      <c r="AA280" s="388">
        <f t="shared" si="110"/>
        <v>21.110224956559417</v>
      </c>
      <c r="AB280" s="199">
        <f t="shared" si="111"/>
        <v>44096</v>
      </c>
      <c r="AC280" s="119">
        <f>IF(OR(t&lt;Tnet,NoTnet),'2019'!Resal_s+('2019'!Salim-'2019'!Resal_s)*(1-EXP(('2019'!Tnet_s-t)/'2019'!Tau_j)),Resal_s+(Salim-Resal_s)*(1-EXP((Tnet_s-t)/Tau_j)))*Salcycl</f>
        <v>0.12345204998267451</v>
      </c>
      <c r="AD280" s="233">
        <f>(INDEX(Models!$BJ280:$BT280,,AH280)*(1-AF280)+INDEX(Models!$BJ280:$BT280,,AH280+1)*AF280-ERP_i)*AE280*Ramure*Pc/MaxiM</f>
        <v>5.613539752914674E-3</v>
      </c>
      <c r="AE280" s="307">
        <f t="shared" si="112"/>
        <v>0.9</v>
      </c>
      <c r="AF280" s="179">
        <f t="shared" si="113"/>
        <v>0.29075915563764365</v>
      </c>
      <c r="AG280" s="839">
        <f t="shared" si="119"/>
        <v>-1</v>
      </c>
      <c r="AH280" s="178">
        <f t="shared" si="114"/>
        <v>5</v>
      </c>
      <c r="AI280" s="227">
        <f t="shared" si="115"/>
        <v>-0.70924084436235635</v>
      </c>
      <c r="AJ280" s="267" t="b">
        <f t="shared" si="116"/>
        <v>0</v>
      </c>
      <c r="AK280" s="267" t="b">
        <f t="shared" si="117"/>
        <v>0</v>
      </c>
      <c r="AL280" s="267"/>
      <c r="AM280" s="267"/>
      <c r="AN280" s="75"/>
    </row>
    <row r="281" spans="1:40" s="6" customFormat="1" ht="11.25" x14ac:dyDescent="0.2">
      <c r="A281" s="56">
        <f t="shared" si="118"/>
        <v>44097</v>
      </c>
      <c r="B281" s="620">
        <v>28.106999999999999</v>
      </c>
      <c r="C281" s="392"/>
      <c r="D281" s="395">
        <f t="shared" si="98"/>
        <v>28.624520003084328</v>
      </c>
      <c r="E281" s="387">
        <f t="shared" si="96"/>
        <v>32.656761122573975</v>
      </c>
      <c r="F281" s="387">
        <f t="shared" si="99"/>
        <v>32.782240695713952</v>
      </c>
      <c r="G281" s="110">
        <f t="shared" si="97"/>
        <v>0.77060705712632338</v>
      </c>
      <c r="H281" s="416" t="b">
        <f>Wh_hp&gt;='2019'!Maxi_hp</f>
        <v>1</v>
      </c>
      <c r="I281" s="382">
        <f>IF(H281,Wh_hp,'2019'!Maxi_hp)</f>
        <v>32.782240695713952</v>
      </c>
      <c r="J281" s="85">
        <f>IF(H281,An,'2019'!An_max)</f>
        <v>2020</v>
      </c>
      <c r="K281" s="199">
        <f t="shared" si="100"/>
        <v>44097</v>
      </c>
      <c r="L281" s="147">
        <f>IF(t&lt;Tvie,1-EXP((T0-t)*PertePVj)+'2019'!Pspv,1-EXP((T0-t)*PertePVj)+Pspv)</f>
        <v>1.8079604584760434E-2</v>
      </c>
      <c r="M281" s="872"/>
      <c r="N281" s="872"/>
      <c r="O281" s="48">
        <f>IF(t&lt;Tnet,'2019'!Resal+('2019'!Salim-'2019'!Resal)*(1-EXP(('2019'!Tnet-t)/('2019'!Tau_j))),Resal+(Salim-Resal)*(1-EXP((Tnet-t)/(Tau_j))))*Salcycl</f>
        <v>0.12347339359084092</v>
      </c>
      <c r="P281" s="171">
        <f>(INDEX(Models!$BJ281:$BT281,,T281)*(1-R281)+INDEX(Models!$BJ281:$BT281,,T281+1)*R281-ERP_i)*Q281*Ramure*Pc/MaxiM</f>
        <v>5.6761513309979963E-3</v>
      </c>
      <c r="Q281" s="307">
        <f t="shared" si="101"/>
        <v>0.9</v>
      </c>
      <c r="R281" s="179">
        <f t="shared" si="102"/>
        <v>0.29112680934663415</v>
      </c>
      <c r="S281" s="839">
        <f t="shared" si="103"/>
        <v>-1</v>
      </c>
      <c r="T281" s="178">
        <f t="shared" si="104"/>
        <v>5</v>
      </c>
      <c r="U281" s="253">
        <f t="shared" si="105"/>
        <v>-0.70887319065336585</v>
      </c>
      <c r="V281" s="385">
        <f t="shared" si="106"/>
        <v>36.40616163793149</v>
      </c>
      <c r="W281" s="404"/>
      <c r="X281" s="157">
        <f t="shared" si="107"/>
        <v>44097</v>
      </c>
      <c r="Y281" s="387">
        <f t="shared" si="108"/>
        <v>28.106999999999996</v>
      </c>
      <c r="Z281" s="387">
        <f t="shared" si="109"/>
        <v>28.624520003084324</v>
      </c>
      <c r="AA281" s="388">
        <f t="shared" si="110"/>
        <v>32.656761122573975</v>
      </c>
      <c r="AB281" s="199">
        <f t="shared" si="111"/>
        <v>44097</v>
      </c>
      <c r="AC281" s="119">
        <f>IF(OR(t&lt;Tnet,NoTnet),'2019'!Resal_s+('2019'!Salim-'2019'!Resal_s)*(1-EXP(('2019'!Tnet_s-t)/'2019'!Tau_j)),Resal_s+(Salim-Resal_s)*(1-EXP((Tnet_s-t)/Tau_j)))*Salcycl</f>
        <v>0.12347339359084092</v>
      </c>
      <c r="AD281" s="233">
        <f>(INDEX(Models!$BJ281:$BT281,,AH281)*(1-AF281)+INDEX(Models!$BJ281:$BT281,,AH281+1)*AF281-ERP_i)*AE281*Ramure*Pc/MaxiM</f>
        <v>5.6761513309979963E-3</v>
      </c>
      <c r="AE281" s="307">
        <f t="shared" si="112"/>
        <v>0.9</v>
      </c>
      <c r="AF281" s="179">
        <f t="shared" si="113"/>
        <v>0.29112680934663415</v>
      </c>
      <c r="AG281" s="839">
        <f t="shared" si="119"/>
        <v>-1</v>
      </c>
      <c r="AH281" s="178">
        <f t="shared" si="114"/>
        <v>5</v>
      </c>
      <c r="AI281" s="227">
        <f t="shared" si="115"/>
        <v>-0.70887319065336585</v>
      </c>
      <c r="AJ281" s="267" t="b">
        <f t="shared" si="116"/>
        <v>0</v>
      </c>
      <c r="AK281" s="267" t="b">
        <f t="shared" si="117"/>
        <v>0</v>
      </c>
      <c r="AL281" s="267"/>
      <c r="AM281" s="267"/>
      <c r="AN281" s="75"/>
    </row>
    <row r="282" spans="1:40" s="6" customFormat="1" ht="11.25" x14ac:dyDescent="0.2">
      <c r="A282" s="56">
        <f t="shared" si="118"/>
        <v>44098</v>
      </c>
      <c r="B282" s="620">
        <v>17.52</v>
      </c>
      <c r="C282" s="392"/>
      <c r="D282" s="395">
        <f t="shared" si="98"/>
        <v>17.843002148941331</v>
      </c>
      <c r="E282" s="387">
        <f t="shared" si="96"/>
        <v>20.35693217009354</v>
      </c>
      <c r="F282" s="387">
        <f t="shared" si="99"/>
        <v>20.388099942293927</v>
      </c>
      <c r="G282" s="110">
        <f t="shared" si="97"/>
        <v>0.48452719981600312</v>
      </c>
      <c r="H282" s="416" t="b">
        <f>Wh_hp&gt;='2019'!Maxi_hp</f>
        <v>0</v>
      </c>
      <c r="I282" s="382">
        <f>IF(H282,Wh_hp,'2019'!Maxi_hp)</f>
        <v>29.30817561776492</v>
      </c>
      <c r="J282" s="85">
        <f>IF(H282,An,'2019'!An_max)</f>
        <v>2019</v>
      </c>
      <c r="K282" s="199">
        <f t="shared" si="100"/>
        <v>44098</v>
      </c>
      <c r="L282" s="147">
        <f>IF(t&lt;Tvie,1-EXP((T0-t)*PertePVj)+'2019'!Pspv,1-EXP((T0-t)*PertePVj)+Pspv)</f>
        <v>1.810245530685517E-2</v>
      </c>
      <c r="M282" s="872"/>
      <c r="N282" s="872"/>
      <c r="O282" s="48">
        <f>IF(t&lt;Tnet,'2019'!Resal+('2019'!Salim-'2019'!Resal)*(1-EXP(('2019'!Tnet-t)/('2019'!Tau_j))),Resal+(Salim-Resal)*(1-EXP((Tnet-t)/(Tau_j))))*Salcycl</f>
        <v>0.12349257737594845</v>
      </c>
      <c r="P282" s="171">
        <f>(INDEX(Models!$BJ282:$BT282,,T282)*(1-R282)+INDEX(Models!$BJ282:$BT282,,T282+1)*R282-ERP_i)*Q282*Ramure*Pc/MaxiM</f>
        <v>5.7354617853591318E-3</v>
      </c>
      <c r="Q282" s="307">
        <f t="shared" si="101"/>
        <v>0.9</v>
      </c>
      <c r="R282" s="179">
        <f t="shared" si="102"/>
        <v>0.2914800278447397</v>
      </c>
      <c r="S282" s="839">
        <f t="shared" si="103"/>
        <v>-1</v>
      </c>
      <c r="T282" s="178">
        <f t="shared" si="104"/>
        <v>5</v>
      </c>
      <c r="U282" s="253">
        <f t="shared" si="105"/>
        <v>-0.7085199721552603</v>
      </c>
      <c r="V282" s="385">
        <f t="shared" si="106"/>
        <v>36.006616580707721</v>
      </c>
      <c r="W282" s="404"/>
      <c r="X282" s="157">
        <f t="shared" si="107"/>
        <v>44098</v>
      </c>
      <c r="Y282" s="387">
        <f t="shared" si="108"/>
        <v>17.52</v>
      </c>
      <c r="Z282" s="387">
        <f t="shared" si="109"/>
        <v>17.843002148941331</v>
      </c>
      <c r="AA282" s="388">
        <f t="shared" si="110"/>
        <v>20.35693217009354</v>
      </c>
      <c r="AB282" s="199">
        <f t="shared" si="111"/>
        <v>44098</v>
      </c>
      <c r="AC282" s="119">
        <f>IF(OR(t&lt;Tnet,NoTnet),'2019'!Resal_s+('2019'!Salim-'2019'!Resal_s)*(1-EXP(('2019'!Tnet_s-t)/'2019'!Tau_j)),Resal_s+(Salim-Resal_s)*(1-EXP((Tnet_s-t)/Tau_j)))*Salcycl</f>
        <v>0.12349257737594845</v>
      </c>
      <c r="AD282" s="233">
        <f>(INDEX(Models!$BJ282:$BT282,,AH282)*(1-AF282)+INDEX(Models!$BJ282:$BT282,,AH282+1)*AF282-ERP_i)*AE282*Ramure*Pc/MaxiM</f>
        <v>5.7354617853591318E-3</v>
      </c>
      <c r="AE282" s="307">
        <f t="shared" si="112"/>
        <v>0.9</v>
      </c>
      <c r="AF282" s="179">
        <f t="shared" si="113"/>
        <v>0.2914800278447397</v>
      </c>
      <c r="AG282" s="839">
        <f t="shared" si="119"/>
        <v>-1</v>
      </c>
      <c r="AH282" s="178">
        <f t="shared" si="114"/>
        <v>5</v>
      </c>
      <c r="AI282" s="227">
        <f t="shared" si="115"/>
        <v>-0.7085199721552603</v>
      </c>
      <c r="AJ282" s="267" t="b">
        <f t="shared" si="116"/>
        <v>0</v>
      </c>
      <c r="AK282" s="267" t="b">
        <f t="shared" si="117"/>
        <v>0</v>
      </c>
      <c r="AL282" s="267"/>
      <c r="AM282" s="267"/>
      <c r="AN282" s="75"/>
    </row>
    <row r="283" spans="1:40" s="6" customFormat="1" ht="11.25" x14ac:dyDescent="0.2">
      <c r="A283" s="56">
        <f t="shared" si="118"/>
        <v>44099</v>
      </c>
      <c r="B283" s="620">
        <v>16.507999999999999</v>
      </c>
      <c r="C283" s="392"/>
      <c r="D283" s="395">
        <f t="shared" si="98"/>
        <v>16.812735975804895</v>
      </c>
      <c r="E283" s="387">
        <f t="shared" si="96"/>
        <v>19.181881396628164</v>
      </c>
      <c r="F283" s="387">
        <f t="shared" si="99"/>
        <v>19.207892590102436</v>
      </c>
      <c r="G283" s="110">
        <f t="shared" si="97"/>
        <v>0.46156111848735165</v>
      </c>
      <c r="H283" s="416" t="b">
        <f>Wh_hp&gt;='2019'!Maxi_hp</f>
        <v>0</v>
      </c>
      <c r="I283" s="382">
        <f>IF(H283,Wh_hp,'2019'!Maxi_hp)</f>
        <v>30.911530000256754</v>
      </c>
      <c r="J283" s="85">
        <f>IF(H283,An,'2019'!An_max)</f>
        <v>2019</v>
      </c>
      <c r="K283" s="199">
        <f t="shared" si="100"/>
        <v>44099</v>
      </c>
      <c r="L283" s="147">
        <f>IF(t&lt;Tvie,1-EXP((T0-t)*PertePVj)+'2019'!Pspv,1-EXP((T0-t)*PertePVj)+Pspv)</f>
        <v>1.8125305497180166E-2</v>
      </c>
      <c r="M283" s="872"/>
      <c r="N283" s="872"/>
      <c r="O283" s="48">
        <f>IF(t&lt;Tnet,'2019'!Resal+('2019'!Salim-'2019'!Resal)*(1-EXP(('2019'!Tnet-t)/('2019'!Tau_j))),Resal+(Salim-Resal)*(1-EXP((Tnet-t)/(Tau_j))))*Salcycl</f>
        <v>0.12350954381564062</v>
      </c>
      <c r="P283" s="171">
        <f>(INDEX(Models!$BJ283:$BT283,,T283)*(1-R283)+INDEX(Models!$BJ283:$BT283,,T283+1)*R283-ERP_i)*Q283*Ramure*Pc/MaxiM</f>
        <v>5.7934436573819836E-3</v>
      </c>
      <c r="Q283" s="307">
        <f t="shared" si="101"/>
        <v>0.9</v>
      </c>
      <c r="R283" s="179">
        <f t="shared" si="102"/>
        <v>0.29181936384926888</v>
      </c>
      <c r="S283" s="839">
        <f t="shared" si="103"/>
        <v>-1</v>
      </c>
      <c r="T283" s="178">
        <f t="shared" si="104"/>
        <v>5</v>
      </c>
      <c r="U283" s="253">
        <f t="shared" si="105"/>
        <v>-0.70818063615073112</v>
      </c>
      <c r="V283" s="385">
        <f t="shared" si="106"/>
        <v>35.606589934877675</v>
      </c>
      <c r="W283" s="404"/>
      <c r="X283" s="157">
        <f t="shared" si="107"/>
        <v>44099</v>
      </c>
      <c r="Y283" s="387">
        <f t="shared" si="108"/>
        <v>16.507999999999999</v>
      </c>
      <c r="Z283" s="387">
        <f t="shared" si="109"/>
        <v>16.812735975804895</v>
      </c>
      <c r="AA283" s="388">
        <f t="shared" si="110"/>
        <v>19.181881396628164</v>
      </c>
      <c r="AB283" s="199">
        <f t="shared" si="111"/>
        <v>44099</v>
      </c>
      <c r="AC283" s="119">
        <f>IF(OR(t&lt;Tnet,NoTnet),'2019'!Resal_s+('2019'!Salim-'2019'!Resal_s)*(1-EXP(('2019'!Tnet_s-t)/'2019'!Tau_j)),Resal_s+(Salim-Resal_s)*(1-EXP((Tnet_s-t)/Tau_j)))*Salcycl</f>
        <v>0.12350954381564062</v>
      </c>
      <c r="AD283" s="233">
        <f>(INDEX(Models!$BJ283:$BT283,,AH283)*(1-AF283)+INDEX(Models!$BJ283:$BT283,,AH283+1)*AF283-ERP_i)*AE283*Ramure*Pc/MaxiM</f>
        <v>5.7934436573819836E-3</v>
      </c>
      <c r="AE283" s="307">
        <f t="shared" si="112"/>
        <v>0.9</v>
      </c>
      <c r="AF283" s="179">
        <f t="shared" si="113"/>
        <v>0.29181936384926888</v>
      </c>
      <c r="AG283" s="839">
        <f t="shared" si="119"/>
        <v>-1</v>
      </c>
      <c r="AH283" s="178">
        <f t="shared" si="114"/>
        <v>5</v>
      </c>
      <c r="AI283" s="227">
        <f t="shared" si="115"/>
        <v>-0.70818063615073112</v>
      </c>
      <c r="AJ283" s="267" t="b">
        <f t="shared" si="116"/>
        <v>0</v>
      </c>
      <c r="AK283" s="267" t="b">
        <f t="shared" si="117"/>
        <v>0</v>
      </c>
      <c r="AL283" s="267"/>
      <c r="AM283" s="267"/>
      <c r="AN283" s="75"/>
    </row>
    <row r="284" spans="1:40" s="6" customFormat="1" ht="11.25" x14ac:dyDescent="0.2">
      <c r="A284" s="56">
        <f t="shared" si="118"/>
        <v>44100</v>
      </c>
      <c r="B284" s="620">
        <v>15.798</v>
      </c>
      <c r="C284" s="392"/>
      <c r="D284" s="395">
        <f t="shared" si="98"/>
        <v>16.090003886997824</v>
      </c>
      <c r="E284" s="387">
        <f t="shared" si="96"/>
        <v>18.357614165529114</v>
      </c>
      <c r="F284" s="387">
        <f t="shared" si="99"/>
        <v>18.380458155087876</v>
      </c>
      <c r="G284" s="110">
        <f t="shared" si="97"/>
        <v>0.44664839674423712</v>
      </c>
      <c r="H284" s="416" t="b">
        <f>Wh_hp&gt;='2019'!Maxi_hp</f>
        <v>0</v>
      </c>
      <c r="I284" s="382">
        <f>IF(H284,Wh_hp,'2019'!Maxi_hp)</f>
        <v>32.432173480535852</v>
      </c>
      <c r="J284" s="85">
        <f>IF(H284,An,'2019'!An_max)</f>
        <v>2019</v>
      </c>
      <c r="K284" s="199">
        <f t="shared" si="100"/>
        <v>44100</v>
      </c>
      <c r="L284" s="147">
        <f>IF(t&lt;Tvie,1-EXP((T0-t)*PertePVj)+'2019'!Pspv,1-EXP((T0-t)*PertePVj)+Pspv)</f>
        <v>1.8148155155747858E-2</v>
      </c>
      <c r="M284" s="872"/>
      <c r="N284" s="872"/>
      <c r="O284" s="48">
        <f>IF(t&lt;Tnet,'2019'!Resal+('2019'!Salim-'2019'!Resal)*(1-EXP(('2019'!Tnet-t)/('2019'!Tau_j))),Resal+(Salim-Resal)*(1-EXP((Tnet-t)/(Tau_j))))*Salcycl</f>
        <v>0.12352423675998596</v>
      </c>
      <c r="P284" s="171">
        <f>(INDEX(Models!$BJ284:$BT284,,T284)*(1-R284)+INDEX(Models!$BJ284:$BT284,,T284+1)*R284-ERP_i)*Q284*Ramure*Pc/MaxiM</f>
        <v>5.8499129634168451E-3</v>
      </c>
      <c r="Q284" s="307">
        <f t="shared" si="101"/>
        <v>0.9</v>
      </c>
      <c r="R284" s="179">
        <f t="shared" si="102"/>
        <v>0.29214535001196573</v>
      </c>
      <c r="S284" s="839">
        <f t="shared" si="103"/>
        <v>-1</v>
      </c>
      <c r="T284" s="178">
        <f t="shared" si="104"/>
        <v>5</v>
      </c>
      <c r="U284" s="253">
        <f t="shared" si="105"/>
        <v>-0.70785464998803427</v>
      </c>
      <c r="V284" s="385">
        <f t="shared" si="106"/>
        <v>35.206948069840259</v>
      </c>
      <c r="W284" s="404"/>
      <c r="X284" s="157">
        <f t="shared" si="107"/>
        <v>44100</v>
      </c>
      <c r="Y284" s="387">
        <f t="shared" si="108"/>
        <v>15.798000000000002</v>
      </c>
      <c r="Z284" s="387">
        <f t="shared" si="109"/>
        <v>16.090003886997824</v>
      </c>
      <c r="AA284" s="388">
        <f t="shared" si="110"/>
        <v>18.357614165529114</v>
      </c>
      <c r="AB284" s="199">
        <f t="shared" si="111"/>
        <v>44100</v>
      </c>
      <c r="AC284" s="119">
        <f>IF(OR(t&lt;Tnet,NoTnet),'2019'!Resal_s+('2019'!Salim-'2019'!Resal_s)*(1-EXP(('2019'!Tnet_s-t)/'2019'!Tau_j)),Resal_s+(Salim-Resal_s)*(1-EXP((Tnet_s-t)/Tau_j)))*Salcycl</f>
        <v>0.12352423675998596</v>
      </c>
      <c r="AD284" s="233">
        <f>(INDEX(Models!$BJ284:$BT284,,AH284)*(1-AF284)+INDEX(Models!$BJ284:$BT284,,AH284+1)*AF284-ERP_i)*AE284*Ramure*Pc/MaxiM</f>
        <v>5.8499129634168451E-3</v>
      </c>
      <c r="AE284" s="307">
        <f t="shared" si="112"/>
        <v>0.9</v>
      </c>
      <c r="AF284" s="179">
        <f t="shared" si="113"/>
        <v>0.29214535001196573</v>
      </c>
      <c r="AG284" s="839">
        <f t="shared" si="119"/>
        <v>-1</v>
      </c>
      <c r="AH284" s="178">
        <f t="shared" si="114"/>
        <v>5</v>
      </c>
      <c r="AI284" s="227">
        <f t="shared" si="115"/>
        <v>-0.70785464998803427</v>
      </c>
      <c r="AJ284" s="267" t="b">
        <f t="shared" si="116"/>
        <v>0</v>
      </c>
      <c r="AK284" s="267" t="b">
        <f t="shared" si="117"/>
        <v>0</v>
      </c>
      <c r="AL284" s="267"/>
      <c r="AM284" s="267"/>
      <c r="AN284" s="75"/>
    </row>
    <row r="285" spans="1:40" s="6" customFormat="1" ht="11.25" x14ac:dyDescent="0.2">
      <c r="A285" s="56">
        <f t="shared" si="118"/>
        <v>44101</v>
      </c>
      <c r="B285" s="620">
        <v>11.212</v>
      </c>
      <c r="C285" s="392"/>
      <c r="D285" s="395">
        <f t="shared" si="98"/>
        <v>11.419503853425423</v>
      </c>
      <c r="E285" s="387">
        <f t="shared" si="96"/>
        <v>13.029071011498273</v>
      </c>
      <c r="F285" s="387">
        <f t="shared" si="99"/>
        <v>13.031500846577202</v>
      </c>
      <c r="G285" s="110">
        <f t="shared" si="97"/>
        <v>0.32026249820290836</v>
      </c>
      <c r="H285" s="416" t="b">
        <f>Wh_hp&gt;='2019'!Maxi_hp</f>
        <v>0</v>
      </c>
      <c r="I285" s="382">
        <f>IF(H285,Wh_hp,'2019'!Maxi_hp)</f>
        <v>28.532869501688754</v>
      </c>
      <c r="J285" s="85">
        <f>IF(H285,An,'2019'!An_max)</f>
        <v>2019</v>
      </c>
      <c r="K285" s="199">
        <f t="shared" si="100"/>
        <v>44101</v>
      </c>
      <c r="L285" s="147">
        <f>IF(t&lt;Tvie,1-EXP((T0-t)*PertePVj)+'2019'!Pspv,1-EXP((T0-t)*PertePVj)+Pspv)</f>
        <v>1.8171004282570569E-2</v>
      </c>
      <c r="M285" s="872"/>
      <c r="N285" s="872"/>
      <c r="O285" s="48">
        <f>IF(t&lt;Tnet,'2019'!Resal+('2019'!Salim-'2019'!Resal)*(1-EXP(('2019'!Tnet-t)/('2019'!Tau_j))),Resal+(Salim-Resal)*(1-EXP((Tnet-t)/(Tau_j))))*Salcycl</f>
        <v>0.12353660185383845</v>
      </c>
      <c r="P285" s="171">
        <f>(INDEX(Models!$BJ285:$BT285,,T285)*(1-R285)+INDEX(Models!$BJ285:$BT285,,T285+1)*R285-ERP_i)*Q285*Ramure*Pc/MaxiM</f>
        <v>5.9046707092906625E-3</v>
      </c>
      <c r="Q285" s="307">
        <f t="shared" si="101"/>
        <v>0.9</v>
      </c>
      <c r="R285" s="179">
        <f t="shared" si="102"/>
        <v>0.29245849956096714</v>
      </c>
      <c r="S285" s="839">
        <f t="shared" si="103"/>
        <v>-1</v>
      </c>
      <c r="T285" s="178">
        <f t="shared" si="104"/>
        <v>5</v>
      </c>
      <c r="U285" s="253">
        <f t="shared" si="105"/>
        <v>-0.70754150043903286</v>
      </c>
      <c r="V285" s="385">
        <f t="shared" si="106"/>
        <v>34.808557079061458</v>
      </c>
      <c r="W285" s="404"/>
      <c r="X285" s="157">
        <f t="shared" si="107"/>
        <v>44101</v>
      </c>
      <c r="Y285" s="387">
        <f t="shared" si="108"/>
        <v>11.212</v>
      </c>
      <c r="Z285" s="387">
        <f t="shared" si="109"/>
        <v>11.419503853425423</v>
      </c>
      <c r="AA285" s="388">
        <f t="shared" si="110"/>
        <v>13.029071011498273</v>
      </c>
      <c r="AB285" s="199">
        <f t="shared" si="111"/>
        <v>44101</v>
      </c>
      <c r="AC285" s="119">
        <f>IF(OR(t&lt;Tnet,NoTnet),'2019'!Resal_s+('2019'!Salim-'2019'!Resal_s)*(1-EXP(('2019'!Tnet_s-t)/'2019'!Tau_j)),Resal_s+(Salim-Resal_s)*(1-EXP((Tnet_s-t)/Tau_j)))*Salcycl</f>
        <v>0.12353660185383845</v>
      </c>
      <c r="AD285" s="233">
        <f>(INDEX(Models!$BJ285:$BT285,,AH285)*(1-AF285)+INDEX(Models!$BJ285:$BT285,,AH285+1)*AF285-ERP_i)*AE285*Ramure*Pc/MaxiM</f>
        <v>5.9046707092906625E-3</v>
      </c>
      <c r="AE285" s="307">
        <f t="shared" si="112"/>
        <v>0.9</v>
      </c>
      <c r="AF285" s="179">
        <f t="shared" si="113"/>
        <v>0.29245849956096714</v>
      </c>
      <c r="AG285" s="839">
        <f t="shared" si="119"/>
        <v>-1</v>
      </c>
      <c r="AH285" s="178">
        <f t="shared" si="114"/>
        <v>5</v>
      </c>
      <c r="AI285" s="227">
        <f t="shared" si="115"/>
        <v>-0.70754150043903286</v>
      </c>
      <c r="AJ285" s="267" t="b">
        <f t="shared" si="116"/>
        <v>0</v>
      </c>
      <c r="AK285" s="267" t="b">
        <f t="shared" si="117"/>
        <v>0</v>
      </c>
      <c r="AL285" s="267"/>
      <c r="AM285" s="267"/>
      <c r="AN285" s="75"/>
    </row>
    <row r="286" spans="1:40" s="6" customFormat="1" ht="11.25" x14ac:dyDescent="0.2">
      <c r="A286" s="56">
        <f t="shared" si="118"/>
        <v>44102</v>
      </c>
      <c r="B286" s="620">
        <v>27.027999999999999</v>
      </c>
      <c r="C286" s="392"/>
      <c r="D286" s="395">
        <f t="shared" si="98"/>
        <v>27.528855955138095</v>
      </c>
      <c r="E286" s="387">
        <f t="shared" si="96"/>
        <v>31.409377322392995</v>
      </c>
      <c r="F286" s="387">
        <f t="shared" si="99"/>
        <v>31.539675580755823</v>
      </c>
      <c r="G286" s="110">
        <f t="shared" si="97"/>
        <v>0.78397691389741309</v>
      </c>
      <c r="H286" s="416" t="b">
        <f>Wh_hp&gt;='2019'!Maxi_hp</f>
        <v>0</v>
      </c>
      <c r="I286" s="382">
        <f>IF(H286,Wh_hp,'2019'!Maxi_hp)</f>
        <v>39.545102096867112</v>
      </c>
      <c r="J286" s="85">
        <f>IF(H286,An,'2019'!An_max)</f>
        <v>2019</v>
      </c>
      <c r="K286" s="199">
        <f t="shared" si="100"/>
        <v>44102</v>
      </c>
      <c r="L286" s="147">
        <f>IF(t&lt;Tvie,1-EXP((T0-t)*PertePVj)+'2019'!Pspv,1-EXP((T0-t)*PertePVj)+Pspv)</f>
        <v>1.8193852877660732E-2</v>
      </c>
      <c r="M286" s="872"/>
      <c r="N286" s="872"/>
      <c r="O286" s="48">
        <f>IF(t&lt;Tnet,'2019'!Resal+('2019'!Salim-'2019'!Resal)*(1-EXP(('2019'!Tnet-t)/('2019'!Tau_j))),Resal+(Salim-Resal)*(1-EXP((Tnet-t)/(Tau_j))))*Salcycl</f>
        <v>0.12354658697701465</v>
      </c>
      <c r="P286" s="171">
        <f>(INDEX(Models!$BJ286:$BT286,,T286)*(1-R286)+INDEX(Models!$BJ286:$BT286,,T286+1)*R286-ERP_i)*Q286*Ramure*Pc/MaxiM</f>
        <v>5.957502547017322E-3</v>
      </c>
      <c r="Q286" s="307">
        <f t="shared" si="101"/>
        <v>0.9</v>
      </c>
      <c r="R286" s="179">
        <f t="shared" si="102"/>
        <v>0.29275930692924146</v>
      </c>
      <c r="S286" s="839">
        <f t="shared" si="103"/>
        <v>-1</v>
      </c>
      <c r="T286" s="178">
        <f t="shared" si="104"/>
        <v>5</v>
      </c>
      <c r="U286" s="253">
        <f t="shared" si="105"/>
        <v>-0.70724069307075854</v>
      </c>
      <c r="V286" s="385">
        <f t="shared" si="106"/>
        <v>34.412282786670403</v>
      </c>
      <c r="W286" s="404"/>
      <c r="X286" s="157">
        <f t="shared" si="107"/>
        <v>44102</v>
      </c>
      <c r="Y286" s="387">
        <f t="shared" si="108"/>
        <v>27.027999999999999</v>
      </c>
      <c r="Z286" s="387">
        <f t="shared" si="109"/>
        <v>27.528855955138095</v>
      </c>
      <c r="AA286" s="388">
        <f t="shared" si="110"/>
        <v>31.409377322392995</v>
      </c>
      <c r="AB286" s="199">
        <f t="shared" si="111"/>
        <v>44102</v>
      </c>
      <c r="AC286" s="119">
        <f>IF(OR(t&lt;Tnet,NoTnet),'2019'!Resal_s+('2019'!Salim-'2019'!Resal_s)*(1-EXP(('2019'!Tnet_s-t)/'2019'!Tau_j)),Resal_s+(Salim-Resal_s)*(1-EXP((Tnet_s-t)/Tau_j)))*Salcycl</f>
        <v>0.12354658697701465</v>
      </c>
      <c r="AD286" s="233">
        <f>(INDEX(Models!$BJ286:$BT286,,AH286)*(1-AF286)+INDEX(Models!$BJ286:$BT286,,AH286+1)*AF286-ERP_i)*AE286*Ramure*Pc/MaxiM</f>
        <v>5.957502547017322E-3</v>
      </c>
      <c r="AE286" s="307">
        <f t="shared" si="112"/>
        <v>0.9</v>
      </c>
      <c r="AF286" s="179">
        <f t="shared" si="113"/>
        <v>0.29275930692924146</v>
      </c>
      <c r="AG286" s="839">
        <f t="shared" si="119"/>
        <v>-1</v>
      </c>
      <c r="AH286" s="178">
        <f t="shared" si="114"/>
        <v>5</v>
      </c>
      <c r="AI286" s="227">
        <f t="shared" si="115"/>
        <v>-0.70724069307075854</v>
      </c>
      <c r="AJ286" s="267" t="b">
        <f t="shared" si="116"/>
        <v>0</v>
      </c>
      <c r="AK286" s="267" t="b">
        <f t="shared" si="117"/>
        <v>0</v>
      </c>
      <c r="AL286" s="267"/>
      <c r="AM286" s="267"/>
      <c r="AN286" s="75"/>
    </row>
    <row r="287" spans="1:40" s="6" customFormat="1" ht="11.25" customHeight="1" x14ac:dyDescent="0.2">
      <c r="A287" s="56">
        <f t="shared" si="118"/>
        <v>44103</v>
      </c>
      <c r="B287" s="620">
        <v>27.367000000000001</v>
      </c>
      <c r="C287" s="392"/>
      <c r="D287" s="395">
        <f t="shared" si="98"/>
        <v>27.874786652238875</v>
      </c>
      <c r="E287" s="387">
        <f t="shared" si="96"/>
        <v>31.804345265645654</v>
      </c>
      <c r="F287" s="387">
        <f t="shared" si="99"/>
        <v>31.942652402822652</v>
      </c>
      <c r="G287" s="110">
        <f t="shared" si="97"/>
        <v>0.80310641344785672</v>
      </c>
      <c r="H287" s="416" t="b">
        <f>Wh_hp&gt;='2019'!Maxi_hp</f>
        <v>1</v>
      </c>
      <c r="I287" s="382">
        <f>IF(H287,Wh_hp,'2019'!Maxi_hp)</f>
        <v>31.942652402822652</v>
      </c>
      <c r="J287" s="85">
        <f>IF(H287,An,'2019'!An_max)</f>
        <v>2020</v>
      </c>
      <c r="K287" s="199">
        <f t="shared" si="100"/>
        <v>44103</v>
      </c>
      <c r="L287" s="147">
        <f>IF(t&lt;Tvie,1-EXP((T0-t)*PertePVj)+'2019'!Pspv,1-EXP((T0-t)*PertePVj)+Pspv)</f>
        <v>1.8216700941030783E-2</v>
      </c>
      <c r="M287" s="872"/>
      <c r="N287" s="872"/>
      <c r="O287" s="48">
        <f>IF(t&lt;Tnet,'2019'!Resal+('2019'!Salim-'2019'!Resal)*(1-EXP(('2019'!Tnet-t)/('2019'!Tau_j))),Resal+(Salim-Resal)*(1-EXP((Tnet-t)/(Tau_j))))*Salcycl</f>
        <v>0.12355414269921793</v>
      </c>
      <c r="P287" s="171">
        <f>(INDEX(Models!$BJ287:$BT287,,T287)*(1-R287)+INDEX(Models!$BJ287:$BT287,,T287+1)*R287-ERP_i)*Q287*Ramure*Pc/MaxiM</f>
        <v>6.0081785166539942E-3</v>
      </c>
      <c r="Q287" s="307">
        <f t="shared" si="101"/>
        <v>0.9</v>
      </c>
      <c r="R287" s="179">
        <f t="shared" si="102"/>
        <v>0.29304824836917398</v>
      </c>
      <c r="S287" s="839">
        <f t="shared" si="103"/>
        <v>-1</v>
      </c>
      <c r="T287" s="178">
        <f t="shared" si="104"/>
        <v>5</v>
      </c>
      <c r="U287" s="253">
        <f t="shared" si="105"/>
        <v>-0.70695175163082602</v>
      </c>
      <c r="V287" s="385">
        <f t="shared" si="106"/>
        <v>34.018990755072238</v>
      </c>
      <c r="W287" s="404"/>
      <c r="X287" s="157">
        <f t="shared" si="107"/>
        <v>44103</v>
      </c>
      <c r="Y287" s="387">
        <f t="shared" si="108"/>
        <v>27.367000000000001</v>
      </c>
      <c r="Z287" s="387">
        <f t="shared" si="109"/>
        <v>27.874786652238875</v>
      </c>
      <c r="AA287" s="388">
        <f t="shared" si="110"/>
        <v>31.804345265645654</v>
      </c>
      <c r="AB287" s="199">
        <f t="shared" si="111"/>
        <v>44103</v>
      </c>
      <c r="AC287" s="119">
        <f>IF(OR(t&lt;Tnet,NoTnet),'2019'!Resal_s+('2019'!Salim-'2019'!Resal_s)*(1-EXP(('2019'!Tnet_s-t)/'2019'!Tau_j)),Resal_s+(Salim-Resal_s)*(1-EXP((Tnet_s-t)/Tau_j)))*Salcycl</f>
        <v>0.12355414269921793</v>
      </c>
      <c r="AD287" s="233">
        <f>(INDEX(Models!$BJ287:$BT287,,AH287)*(1-AF287)+INDEX(Models!$BJ287:$BT287,,AH287+1)*AF287-ERP_i)*AE287*Ramure*Pc/MaxiM</f>
        <v>6.0081785166539942E-3</v>
      </c>
      <c r="AE287" s="307">
        <f t="shared" si="112"/>
        <v>0.9</v>
      </c>
      <c r="AF287" s="179">
        <f t="shared" si="113"/>
        <v>0.29304824836917398</v>
      </c>
      <c r="AG287" s="839">
        <f t="shared" si="119"/>
        <v>-1</v>
      </c>
      <c r="AH287" s="178">
        <f t="shared" si="114"/>
        <v>5</v>
      </c>
      <c r="AI287" s="227">
        <f t="shared" si="115"/>
        <v>-0.70695175163082602</v>
      </c>
      <c r="AJ287" s="267" t="b">
        <f t="shared" si="116"/>
        <v>0</v>
      </c>
      <c r="AK287" s="267" t="b">
        <f t="shared" si="117"/>
        <v>0</v>
      </c>
      <c r="AL287" s="267"/>
      <c r="AM287" s="267"/>
      <c r="AN287" s="75"/>
    </row>
    <row r="288" spans="1:40" s="6" customFormat="1" ht="11.25" x14ac:dyDescent="0.2">
      <c r="A288" s="56">
        <f t="shared" si="118"/>
        <v>44104</v>
      </c>
      <c r="B288" s="620">
        <v>32.470999999999997</v>
      </c>
      <c r="C288" s="392"/>
      <c r="D288" s="395">
        <f t="shared" si="98"/>
        <v>33.074259560451274</v>
      </c>
      <c r="E288" s="387">
        <f t="shared" si="96"/>
        <v>37.73701591577133</v>
      </c>
      <c r="F288" s="387">
        <f t="shared" si="99"/>
        <v>37.95557881687494</v>
      </c>
      <c r="G288" s="110">
        <f t="shared" si="97"/>
        <v>0.96526028484837101</v>
      </c>
      <c r="H288" s="416" t="b">
        <f>Wh_hp&gt;='2019'!Maxi_hp</f>
        <v>1</v>
      </c>
      <c r="I288" s="382">
        <f>IF(H288,Wh_hp,'2019'!Maxi_hp)</f>
        <v>37.95557881687494</v>
      </c>
      <c r="J288" s="85">
        <f>IF(H288,An,'2019'!An_max)</f>
        <v>2020</v>
      </c>
      <c r="K288" s="199">
        <f t="shared" si="100"/>
        <v>44104</v>
      </c>
      <c r="L288" s="147">
        <f>IF(t&lt;Tvie,1-EXP((T0-t)*PertePVj)+'2019'!Pspv,1-EXP((T0-t)*PertePVj)+Pspv)</f>
        <v>1.8239548472692935E-2</v>
      </c>
      <c r="M288" s="872"/>
      <c r="N288" s="872"/>
      <c r="O288" s="48">
        <f>IF(t&lt;Tnet,'2019'!Resal+('2019'!Salim-'2019'!Resal)*(1-EXP(('2019'!Tnet-t)/('2019'!Tau_j))),Resal+(Salim-Resal)*(1-EXP((Tnet-t)/(Tau_j))))*Salcycl</f>
        <v>0.12355922274636894</v>
      </c>
      <c r="P288" s="171">
        <f>(INDEX(Models!$BJ288:$BT288,,T288)*(1-R288)+INDEX(Models!$BJ288:$BT288,,T288+1)*R288-ERP_i)*Q288*Ramure*Pc/MaxiM</f>
        <v>6.0564528937056307E-3</v>
      </c>
      <c r="Q288" s="307">
        <f t="shared" si="101"/>
        <v>0.9</v>
      </c>
      <c r="R288" s="179">
        <f t="shared" si="102"/>
        <v>0.29332578255302155</v>
      </c>
      <c r="S288" s="839">
        <f t="shared" si="103"/>
        <v>-1</v>
      </c>
      <c r="T288" s="178">
        <f t="shared" si="104"/>
        <v>5</v>
      </c>
      <c r="U288" s="253">
        <f t="shared" si="105"/>
        <v>-0.70667421744697845</v>
      </c>
      <c r="V288" s="385">
        <f t="shared" si="106"/>
        <v>33.629546297018805</v>
      </c>
      <c r="W288" s="404"/>
      <c r="X288" s="157">
        <f t="shared" si="107"/>
        <v>44104</v>
      </c>
      <c r="Y288" s="387">
        <f t="shared" si="108"/>
        <v>32.470999999999997</v>
      </c>
      <c r="Z288" s="387">
        <f t="shared" si="109"/>
        <v>33.074259560451274</v>
      </c>
      <c r="AA288" s="388">
        <f t="shared" si="110"/>
        <v>37.73701591577133</v>
      </c>
      <c r="AB288" s="199">
        <f t="shared" si="111"/>
        <v>44104</v>
      </c>
      <c r="AC288" s="119">
        <f>IF(OR(t&lt;Tnet,NoTnet),'2019'!Resal_s+('2019'!Salim-'2019'!Resal_s)*(1-EXP(('2019'!Tnet_s-t)/'2019'!Tau_j)),Resal_s+(Salim-Resal_s)*(1-EXP((Tnet_s-t)/Tau_j)))*Salcycl</f>
        <v>0.12355922274636894</v>
      </c>
      <c r="AD288" s="233">
        <f>(INDEX(Models!$BJ288:$BT288,,AH288)*(1-AF288)+INDEX(Models!$BJ288:$BT288,,AH288+1)*AF288-ERP_i)*AE288*Ramure*Pc/MaxiM</f>
        <v>6.0564528937056307E-3</v>
      </c>
      <c r="AE288" s="307">
        <f t="shared" si="112"/>
        <v>0.9</v>
      </c>
      <c r="AF288" s="179">
        <f t="shared" si="113"/>
        <v>0.29332578255302155</v>
      </c>
      <c r="AG288" s="839">
        <f t="shared" si="119"/>
        <v>-1</v>
      </c>
      <c r="AH288" s="178">
        <f t="shared" si="114"/>
        <v>5</v>
      </c>
      <c r="AI288" s="227">
        <f t="shared" si="115"/>
        <v>-0.70667421744697845</v>
      </c>
      <c r="AJ288" s="267" t="b">
        <f t="shared" si="116"/>
        <v>0</v>
      </c>
      <c r="AK288" s="267" t="b">
        <f t="shared" si="117"/>
        <v>0</v>
      </c>
      <c r="AL288" s="267"/>
      <c r="AM288" s="267"/>
      <c r="AN288" s="75"/>
    </row>
    <row r="289" spans="1:40" s="6" customFormat="1" ht="11.25" customHeight="1" x14ac:dyDescent="0.2">
      <c r="A289" s="56">
        <f t="shared" si="118"/>
        <v>44105</v>
      </c>
      <c r="B289" s="620">
        <v>8.1359999999999992</v>
      </c>
      <c r="C289" s="392"/>
      <c r="D289" s="395">
        <f t="shared" si="98"/>
        <v>8.2873468047677505</v>
      </c>
      <c r="E289" s="387">
        <f t="shared" si="96"/>
        <v>9.4557113758454481</v>
      </c>
      <c r="F289" s="387">
        <f t="shared" si="99"/>
        <v>9.4557113758454481</v>
      </c>
      <c r="G289" s="110">
        <f t="shared" si="97"/>
        <v>0.24326748084927166</v>
      </c>
      <c r="H289" s="416" t="b">
        <f>Wh_hp&gt;='2019'!Maxi_hp</f>
        <v>0</v>
      </c>
      <c r="I289" s="382">
        <f>IF(H289,Wh_hp,'2019'!Maxi_hp)</f>
        <v>36.170348293737305</v>
      </c>
      <c r="J289" s="85">
        <f>IF(H289,An,'2019'!An_max)</f>
        <v>2018</v>
      </c>
      <c r="K289" s="199">
        <f t="shared" si="100"/>
        <v>44105</v>
      </c>
      <c r="L289" s="147">
        <f>IF(t&lt;Tvie,1-EXP((T0-t)*PertePVj)+'2019'!Pspv,1-EXP((T0-t)*PertePVj)+Pspv)</f>
        <v>1.8262395472659732E-2</v>
      </c>
      <c r="M289" s="872"/>
      <c r="N289" s="872"/>
      <c r="O289" s="48">
        <f>IF(t&lt;Tnet,'2019'!Resal+('2019'!Salim-'2019'!Resal)*(1-EXP(('2019'!Tnet-t)/('2019'!Tau_j))),Resal+(Salim-Resal)*(1-EXP((Tnet-t)/(Tau_j))))*Salcycl</f>
        <v>0.12356178447475435</v>
      </c>
      <c r="P289" s="171">
        <f>(INDEX(Models!$BJ289:$BT289,,T289)*(1-R289)+INDEX(Models!$BJ289:$BT289,,T289+1)*R289-ERP_i)*Q289*Ramure*Pc/MaxiM</f>
        <v>6.1028404104669833E-3</v>
      </c>
      <c r="Q289" s="307">
        <f t="shared" si="101"/>
        <v>0.9</v>
      </c>
      <c r="R289" s="179">
        <f t="shared" si="102"/>
        <v>0.29359235115904048</v>
      </c>
      <c r="S289" s="839">
        <f t="shared" si="103"/>
        <v>-1</v>
      </c>
      <c r="T289" s="178">
        <f t="shared" si="104"/>
        <v>5</v>
      </c>
      <c r="U289" s="253">
        <f t="shared" si="105"/>
        <v>-0.70640764884095952</v>
      </c>
      <c r="V289" s="385">
        <f t="shared" si="106"/>
        <v>33.240559988495683</v>
      </c>
      <c r="W289" s="404"/>
      <c r="X289" s="157">
        <f t="shared" si="107"/>
        <v>44105</v>
      </c>
      <c r="Y289" s="387">
        <f t="shared" si="108"/>
        <v>8.1359999999999992</v>
      </c>
      <c r="Z289" s="387">
        <f t="shared" si="109"/>
        <v>8.2873468047677505</v>
      </c>
      <c r="AA289" s="388">
        <f t="shared" si="110"/>
        <v>9.4557113758454481</v>
      </c>
      <c r="AB289" s="199">
        <f t="shared" si="111"/>
        <v>44105</v>
      </c>
      <c r="AC289" s="119">
        <f>IF(OR(t&lt;Tnet,NoTnet),'2019'!Resal_s+('2019'!Salim-'2019'!Resal_s)*(1-EXP(('2019'!Tnet_s-t)/'2019'!Tau_j)),Resal_s+(Salim-Resal_s)*(1-EXP((Tnet_s-t)/Tau_j)))*Salcycl</f>
        <v>0.12356178447475435</v>
      </c>
      <c r="AD289" s="233">
        <f>(INDEX(Models!$BJ289:$BT289,,AH289)*(1-AF289)+INDEX(Models!$BJ289:$BT289,,AH289+1)*AF289-ERP_i)*AE289*Ramure*Pc/MaxiM</f>
        <v>6.1028404104669833E-3</v>
      </c>
      <c r="AE289" s="307">
        <f t="shared" si="112"/>
        <v>0.9</v>
      </c>
      <c r="AF289" s="179">
        <f t="shared" si="113"/>
        <v>0.29359235115904048</v>
      </c>
      <c r="AG289" s="839">
        <f t="shared" si="119"/>
        <v>-1</v>
      </c>
      <c r="AH289" s="178">
        <f t="shared" si="114"/>
        <v>5</v>
      </c>
      <c r="AI289" s="227">
        <f t="shared" si="115"/>
        <v>-0.70640764884095952</v>
      </c>
      <c r="AJ289" s="267" t="b">
        <f t="shared" si="116"/>
        <v>0</v>
      </c>
      <c r="AK289" s="267" t="b">
        <f t="shared" si="117"/>
        <v>0</v>
      </c>
      <c r="AL289" s="267"/>
      <c r="AM289" s="267"/>
      <c r="AN289" s="75"/>
    </row>
    <row r="290" spans="1:40" s="6" customFormat="1" ht="11.25" x14ac:dyDescent="0.2">
      <c r="A290" s="56">
        <f t="shared" si="118"/>
        <v>44106</v>
      </c>
      <c r="B290" s="620">
        <v>4.5880000000000001</v>
      </c>
      <c r="C290" s="392"/>
      <c r="D290" s="395">
        <f t="shared" si="98"/>
        <v>4.6734552601316821</v>
      </c>
      <c r="E290" s="387">
        <f t="shared" si="96"/>
        <v>5.3323271433605788</v>
      </c>
      <c r="F290" s="387">
        <f t="shared" si="99"/>
        <v>5.3323271433605788</v>
      </c>
      <c r="G290" s="110">
        <f t="shared" si="97"/>
        <v>0.13881196367406681</v>
      </c>
      <c r="H290" s="416" t="b">
        <f>Wh_hp&gt;='2019'!Maxi_hp</f>
        <v>0</v>
      </c>
      <c r="I290" s="382">
        <f>IF(H290,Wh_hp,'2019'!Maxi_hp)</f>
        <v>36.035375229537863</v>
      </c>
      <c r="J290" s="85">
        <f>IF(H290,An,'2019'!An_max)</f>
        <v>2018</v>
      </c>
      <c r="K290" s="199">
        <f t="shared" si="100"/>
        <v>44106</v>
      </c>
      <c r="L290" s="147">
        <f>IF(t&lt;Tvie,1-EXP((T0-t)*PertePVj)+'2019'!Pspv,1-EXP((T0-t)*PertePVj)+Pspv)</f>
        <v>1.8285241940943386E-2</v>
      </c>
      <c r="M290" s="872"/>
      <c r="N290" s="872"/>
      <c r="O290" s="48">
        <f>IF(t&lt;Tnet,'2019'!Resal+('2019'!Salim-'2019'!Resal)*(1-EXP(('2019'!Tnet-t)/('2019'!Tau_j))),Resal+(Salim-Resal)*(1-EXP((Tnet-t)/(Tau_j))))*Salcycl</f>
        <v>0.12356178934919156</v>
      </c>
      <c r="P290" s="171">
        <f>(INDEX(Models!$BJ290:$BT290,,T290)*(1-R290)+INDEX(Models!$BJ290:$BT290,,T290+1)*R290-ERP_i)*Q290*Ramure*Pc/MaxiM</f>
        <v>6.1549358001212169E-3</v>
      </c>
      <c r="Q290" s="307">
        <f t="shared" si="101"/>
        <v>0.9</v>
      </c>
      <c r="R290" s="179">
        <f t="shared" si="102"/>
        <v>0.29384837944314379</v>
      </c>
      <c r="S290" s="839">
        <f t="shared" si="103"/>
        <v>-1</v>
      </c>
      <c r="T290" s="178">
        <f t="shared" si="104"/>
        <v>5</v>
      </c>
      <c r="U290" s="253">
        <f t="shared" si="105"/>
        <v>-0.70615162055685621</v>
      </c>
      <c r="V290" s="385">
        <f t="shared" si="106"/>
        <v>32.848473819270005</v>
      </c>
      <c r="W290" s="404"/>
      <c r="X290" s="157">
        <f t="shared" si="107"/>
        <v>44106</v>
      </c>
      <c r="Y290" s="387">
        <f t="shared" si="108"/>
        <v>4.5880000000000001</v>
      </c>
      <c r="Z290" s="387">
        <f t="shared" si="109"/>
        <v>4.6734552601316821</v>
      </c>
      <c r="AA290" s="388">
        <f t="shared" si="110"/>
        <v>5.3323271433605788</v>
      </c>
      <c r="AB290" s="199">
        <f t="shared" si="111"/>
        <v>44106</v>
      </c>
      <c r="AC290" s="119">
        <f>IF(OR(t&lt;Tnet,NoTnet),'2019'!Resal_s+('2019'!Salim-'2019'!Resal_s)*(1-EXP(('2019'!Tnet_s-t)/'2019'!Tau_j)),Resal_s+(Salim-Resal_s)*(1-EXP((Tnet_s-t)/Tau_j)))*Salcycl</f>
        <v>0.12356178934919156</v>
      </c>
      <c r="AD290" s="233">
        <f>(INDEX(Models!$BJ290:$BT290,,AH290)*(1-AF290)+INDEX(Models!$BJ290:$BT290,,AH290+1)*AF290-ERP_i)*AE290*Ramure*Pc/MaxiM</f>
        <v>6.1549358001212169E-3</v>
      </c>
      <c r="AE290" s="307">
        <f t="shared" si="112"/>
        <v>0.9</v>
      </c>
      <c r="AF290" s="179">
        <f t="shared" si="113"/>
        <v>0.29384837944314379</v>
      </c>
      <c r="AG290" s="839">
        <f t="shared" si="119"/>
        <v>-1</v>
      </c>
      <c r="AH290" s="178">
        <f t="shared" si="114"/>
        <v>5</v>
      </c>
      <c r="AI290" s="227">
        <f t="shared" si="115"/>
        <v>-0.70615162055685621</v>
      </c>
      <c r="AJ290" s="267" t="b">
        <f t="shared" si="116"/>
        <v>0</v>
      </c>
      <c r="AK290" s="267" t="b">
        <f t="shared" si="117"/>
        <v>0</v>
      </c>
      <c r="AL290" s="267"/>
      <c r="AM290" s="267"/>
      <c r="AN290" s="75"/>
    </row>
    <row r="291" spans="1:40" s="6" customFormat="1" ht="11.25" customHeight="1" x14ac:dyDescent="0.2">
      <c r="A291" s="56">
        <f t="shared" si="118"/>
        <v>44107</v>
      </c>
      <c r="B291" s="620">
        <v>14.42</v>
      </c>
      <c r="C291" s="392"/>
      <c r="D291" s="395">
        <f t="shared" si="98"/>
        <v>14.688926150795703</v>
      </c>
      <c r="E291" s="387">
        <f t="shared" si="96"/>
        <v>16.759747159345608</v>
      </c>
      <c r="F291" s="387">
        <f t="shared" si="99"/>
        <v>16.78125643252039</v>
      </c>
      <c r="G291" s="110">
        <f t="shared" si="97"/>
        <v>0.44212402586883054</v>
      </c>
      <c r="H291" s="416" t="b">
        <f>Wh_hp&gt;='2019'!Maxi_hp</f>
        <v>0</v>
      </c>
      <c r="I291" s="382">
        <f>IF(H291,Wh_hp,'2019'!Maxi_hp)</f>
        <v>35.9166178794583</v>
      </c>
      <c r="J291" s="85">
        <f>IF(H291,An,'2019'!An_max)</f>
        <v>2018</v>
      </c>
      <c r="K291" s="199">
        <f t="shared" si="100"/>
        <v>44107</v>
      </c>
      <c r="L291" s="147">
        <f>IF(t&lt;Tvie,1-EXP((T0-t)*PertePVj)+'2019'!Pspv,1-EXP((T0-t)*PertePVj)+Pspv)</f>
        <v>1.8308087877556334E-2</v>
      </c>
      <c r="M291" s="872"/>
      <c r="N291" s="872"/>
      <c r="O291" s="48">
        <f>IF(t&lt;Tnet,'2019'!Resal+('2019'!Salim-'2019'!Resal)*(1-EXP(('2019'!Tnet-t)/('2019'!Tau_j))),Resal+(Salim-Resal)*(1-EXP((Tnet-t)/(Tau_j))))*Salcycl</f>
        <v>0.12355920342122638</v>
      </c>
      <c r="P291" s="171">
        <f>(INDEX(Models!$BJ291:$BT291,,T291)*(1-R291)+INDEX(Models!$BJ291:$BT291,,T291+1)*R291-ERP_i)*Q291*Ramure*Pc/MaxiM</f>
        <v>6.2169003179890448E-3</v>
      </c>
      <c r="Q291" s="307">
        <f t="shared" si="101"/>
        <v>0.9</v>
      </c>
      <c r="R291" s="179">
        <f t="shared" si="102"/>
        <v>0.29409427679600642</v>
      </c>
      <c r="S291" s="839">
        <f t="shared" si="103"/>
        <v>-1</v>
      </c>
      <c r="T291" s="178">
        <f t="shared" si="104"/>
        <v>5</v>
      </c>
      <c r="U291" s="253">
        <f t="shared" si="105"/>
        <v>-0.70590572320399358</v>
      </c>
      <c r="V291" s="385">
        <f t="shared" si="106"/>
        <v>32.454114394791574</v>
      </c>
      <c r="W291" s="404"/>
      <c r="X291" s="157">
        <f t="shared" si="107"/>
        <v>44107</v>
      </c>
      <c r="Y291" s="387">
        <f t="shared" si="108"/>
        <v>14.42</v>
      </c>
      <c r="Z291" s="387">
        <f t="shared" si="109"/>
        <v>14.688926150795703</v>
      </c>
      <c r="AA291" s="388">
        <f t="shared" si="110"/>
        <v>16.759747159345608</v>
      </c>
      <c r="AB291" s="199">
        <f t="shared" si="111"/>
        <v>44107</v>
      </c>
      <c r="AC291" s="119">
        <f>IF(OR(t&lt;Tnet,NoTnet),'2019'!Resal_s+('2019'!Salim-'2019'!Resal_s)*(1-EXP(('2019'!Tnet_s-t)/'2019'!Tau_j)),Resal_s+(Salim-Resal_s)*(1-EXP((Tnet_s-t)/Tau_j)))*Salcycl</f>
        <v>0.12355920342122638</v>
      </c>
      <c r="AD291" s="233">
        <f>(INDEX(Models!$BJ291:$BT291,,AH291)*(1-AF291)+INDEX(Models!$BJ291:$BT291,,AH291+1)*AF291-ERP_i)*AE291*Ramure*Pc/MaxiM</f>
        <v>6.2169003179890448E-3</v>
      </c>
      <c r="AE291" s="307">
        <f t="shared" si="112"/>
        <v>0.9</v>
      </c>
      <c r="AF291" s="179">
        <f t="shared" si="113"/>
        <v>0.29409427679600642</v>
      </c>
      <c r="AG291" s="839">
        <f t="shared" si="119"/>
        <v>-1</v>
      </c>
      <c r="AH291" s="178">
        <f t="shared" si="114"/>
        <v>5</v>
      </c>
      <c r="AI291" s="227">
        <f t="shared" si="115"/>
        <v>-0.70590572320399358</v>
      </c>
      <c r="AJ291" s="267" t="b">
        <f t="shared" si="116"/>
        <v>0</v>
      </c>
      <c r="AK291" s="267" t="b">
        <f t="shared" si="117"/>
        <v>0</v>
      </c>
      <c r="AL291" s="267"/>
      <c r="AM291" s="267"/>
      <c r="AN291" s="75"/>
    </row>
    <row r="292" spans="1:40" s="6" customFormat="1" ht="11.25" x14ac:dyDescent="0.2">
      <c r="A292" s="56">
        <f t="shared" si="118"/>
        <v>44108</v>
      </c>
      <c r="B292" s="620">
        <v>16.401</v>
      </c>
      <c r="C292" s="392"/>
      <c r="D292" s="395">
        <f t="shared" si="98"/>
        <v>16.707259662201402</v>
      </c>
      <c r="E292" s="387">
        <f t="shared" si="96"/>
        <v>19.062508837196511</v>
      </c>
      <c r="F292" s="387">
        <f t="shared" si="99"/>
        <v>19.098816303389267</v>
      </c>
      <c r="G292" s="110">
        <f t="shared" si="97"/>
        <v>0.50934779847697298</v>
      </c>
      <c r="H292" s="416" t="b">
        <f>Wh_hp&gt;='2019'!Maxi_hp</f>
        <v>0</v>
      </c>
      <c r="I292" s="382">
        <f>IF(H292,Wh_hp,'2019'!Maxi_hp)</f>
        <v>35.362912438789422</v>
      </c>
      <c r="J292" s="85">
        <f>IF(H292,An,'2019'!An_max)</f>
        <v>2018</v>
      </c>
      <c r="K292" s="199">
        <f t="shared" si="100"/>
        <v>44108</v>
      </c>
      <c r="L292" s="147">
        <f>IF(t&lt;Tvie,1-EXP((T0-t)*PertePVj)+'2019'!Pspv,1-EXP((T0-t)*PertePVj)+Pspv)</f>
        <v>1.8330933282511008E-2</v>
      </c>
      <c r="M292" s="872"/>
      <c r="N292" s="872"/>
      <c r="O292" s="48">
        <f>IF(t&lt;Tnet,'2019'!Resal+('2019'!Salim-'2019'!Resal)*(1-EXP(('2019'!Tnet-t)/('2019'!Tau_j))),Resal+(Salim-Resal)*(1-EXP((Tnet-t)/(Tau_j))))*Salcycl</f>
        <v>0.12355399780323403</v>
      </c>
      <c r="P292" s="171">
        <f>(INDEX(Models!$BJ292:$BT292,,T292)*(1-R292)+INDEX(Models!$BJ292:$BT292,,T292+1)*R292-ERP_i)*Q292*Ramure*Pc/MaxiM</f>
        <v>6.28895068064079E-3</v>
      </c>
      <c r="Q292" s="307">
        <f t="shared" si="101"/>
        <v>0.9</v>
      </c>
      <c r="R292" s="179">
        <f t="shared" si="102"/>
        <v>0.29433043728558084</v>
      </c>
      <c r="S292" s="839">
        <f t="shared" si="103"/>
        <v>-1</v>
      </c>
      <c r="T292" s="178">
        <f t="shared" si="104"/>
        <v>5</v>
      </c>
      <c r="U292" s="253">
        <f t="shared" si="105"/>
        <v>-0.70566956271441916</v>
      </c>
      <c r="V292" s="385">
        <f t="shared" si="106"/>
        <v>32.05844165480503</v>
      </c>
      <c r="W292" s="404"/>
      <c r="X292" s="157">
        <f t="shared" si="107"/>
        <v>44108</v>
      </c>
      <c r="Y292" s="387">
        <f t="shared" si="108"/>
        <v>16.401</v>
      </c>
      <c r="Z292" s="387">
        <f t="shared" si="109"/>
        <v>16.707259662201402</v>
      </c>
      <c r="AA292" s="388">
        <f t="shared" si="110"/>
        <v>19.062508837196511</v>
      </c>
      <c r="AB292" s="199">
        <f t="shared" si="111"/>
        <v>44108</v>
      </c>
      <c r="AC292" s="119">
        <f>IF(OR(t&lt;Tnet,NoTnet),'2019'!Resal_s+('2019'!Salim-'2019'!Resal_s)*(1-EXP(('2019'!Tnet_s-t)/'2019'!Tau_j)),Resal_s+(Salim-Resal_s)*(1-EXP((Tnet_s-t)/Tau_j)))*Salcycl</f>
        <v>0.12355399780323403</v>
      </c>
      <c r="AD292" s="233">
        <f>(INDEX(Models!$BJ292:$BT292,,AH292)*(1-AF292)+INDEX(Models!$BJ292:$BT292,,AH292+1)*AF292-ERP_i)*AE292*Ramure*Pc/MaxiM</f>
        <v>6.28895068064079E-3</v>
      </c>
      <c r="AE292" s="307">
        <f t="shared" si="112"/>
        <v>0.9</v>
      </c>
      <c r="AF292" s="179">
        <f t="shared" si="113"/>
        <v>0.29433043728558084</v>
      </c>
      <c r="AG292" s="839">
        <f t="shared" si="119"/>
        <v>-1</v>
      </c>
      <c r="AH292" s="178">
        <f t="shared" si="114"/>
        <v>5</v>
      </c>
      <c r="AI292" s="227">
        <f t="shared" si="115"/>
        <v>-0.70566956271441916</v>
      </c>
      <c r="AJ292" s="267" t="b">
        <f t="shared" si="116"/>
        <v>0</v>
      </c>
      <c r="AK292" s="267" t="b">
        <f t="shared" si="117"/>
        <v>0</v>
      </c>
      <c r="AL292" s="267"/>
      <c r="AM292" s="267"/>
      <c r="AN292" s="75"/>
    </row>
    <row r="293" spans="1:40" s="6" customFormat="1" ht="11.25" x14ac:dyDescent="0.2">
      <c r="A293" s="56">
        <f t="shared" si="118"/>
        <v>44109</v>
      </c>
      <c r="B293" s="620">
        <v>21.974</v>
      </c>
      <c r="C293" s="392"/>
      <c r="D293" s="395">
        <f t="shared" si="98"/>
        <v>22.384846506838592</v>
      </c>
      <c r="E293" s="387">
        <f t="shared" si="96"/>
        <v>25.54024548437495</v>
      </c>
      <c r="F293" s="387">
        <f t="shared" si="99"/>
        <v>25.632168005083923</v>
      </c>
      <c r="G293" s="110">
        <f t="shared" si="97"/>
        <v>0.69206913014196325</v>
      </c>
      <c r="H293" s="416" t="b">
        <f>Wh_hp&gt;='2019'!Maxi_hp</f>
        <v>0</v>
      </c>
      <c r="I293" s="382">
        <f>IF(H293,Wh_hp,'2019'!Maxi_hp)</f>
        <v>33.977858149363783</v>
      </c>
      <c r="J293" s="85">
        <f>IF(H293,An,'2019'!An_max)</f>
        <v>2018</v>
      </c>
      <c r="K293" s="199">
        <f t="shared" si="100"/>
        <v>44109</v>
      </c>
      <c r="L293" s="147">
        <f>IF(t&lt;Tvie,1-EXP((T0-t)*PertePVj)+'2019'!Pspv,1-EXP((T0-t)*PertePVj)+Pspv)</f>
        <v>1.8353778155819733E-2</v>
      </c>
      <c r="M293" s="872"/>
      <c r="N293" s="872"/>
      <c r="O293" s="48">
        <f>IF(t&lt;Tnet,'2019'!Resal+('2019'!Salim-'2019'!Resal)*(1-EXP(('2019'!Tnet-t)/('2019'!Tau_j))),Resal+(Salim-Resal)*(1-EXP((Tnet-t)/(Tau_j))))*Salcycl</f>
        <v>0.12354614913418792</v>
      </c>
      <c r="P293" s="171">
        <f>(INDEX(Models!$BJ293:$BT293,,T293)*(1-R293)+INDEX(Models!$BJ293:$BT293,,T293+1)*R293-ERP_i)*Q293*Ramure*Pc/MaxiM</f>
        <v>6.3713068488028268E-3</v>
      </c>
      <c r="Q293" s="307">
        <f t="shared" si="101"/>
        <v>0.9</v>
      </c>
      <c r="R293" s="179">
        <f t="shared" si="102"/>
        <v>0.2945572401850356</v>
      </c>
      <c r="S293" s="839">
        <f t="shared" si="103"/>
        <v>-1</v>
      </c>
      <c r="T293" s="178">
        <f t="shared" si="104"/>
        <v>5</v>
      </c>
      <c r="U293" s="253">
        <f t="shared" si="105"/>
        <v>-0.7054427598149644</v>
      </c>
      <c r="V293" s="385">
        <f t="shared" si="106"/>
        <v>31.662415241404108</v>
      </c>
      <c r="W293" s="404"/>
      <c r="X293" s="157">
        <f t="shared" si="107"/>
        <v>44109</v>
      </c>
      <c r="Y293" s="387">
        <f t="shared" si="108"/>
        <v>21.974</v>
      </c>
      <c r="Z293" s="387">
        <f t="shared" si="109"/>
        <v>22.384846506838592</v>
      </c>
      <c r="AA293" s="388">
        <f t="shared" si="110"/>
        <v>25.54024548437495</v>
      </c>
      <c r="AB293" s="199">
        <f t="shared" si="111"/>
        <v>44109</v>
      </c>
      <c r="AC293" s="119">
        <f>IF(OR(t&lt;Tnet,NoTnet),'2019'!Resal_s+('2019'!Salim-'2019'!Resal_s)*(1-EXP(('2019'!Tnet_s-t)/'2019'!Tau_j)),Resal_s+(Salim-Resal_s)*(1-EXP((Tnet_s-t)/Tau_j)))*Salcycl</f>
        <v>0.12354614913418792</v>
      </c>
      <c r="AD293" s="233">
        <f>(INDEX(Models!$BJ293:$BT293,,AH293)*(1-AF293)+INDEX(Models!$BJ293:$BT293,,AH293+1)*AF293-ERP_i)*AE293*Ramure*Pc/MaxiM</f>
        <v>6.3713068488028268E-3</v>
      </c>
      <c r="AE293" s="307">
        <f t="shared" si="112"/>
        <v>0.9</v>
      </c>
      <c r="AF293" s="179">
        <f t="shared" si="113"/>
        <v>0.2945572401850356</v>
      </c>
      <c r="AG293" s="839">
        <f t="shared" si="119"/>
        <v>-1</v>
      </c>
      <c r="AH293" s="178">
        <f t="shared" si="114"/>
        <v>5</v>
      </c>
      <c r="AI293" s="227">
        <f t="shared" si="115"/>
        <v>-0.7054427598149644</v>
      </c>
      <c r="AJ293" s="267" t="b">
        <f t="shared" si="116"/>
        <v>0</v>
      </c>
      <c r="AK293" s="267" t="b">
        <f t="shared" si="117"/>
        <v>0</v>
      </c>
      <c r="AL293" s="267"/>
      <c r="AM293" s="267"/>
      <c r="AN293" s="75"/>
    </row>
    <row r="294" spans="1:40" s="6" customFormat="1" ht="11.25" customHeight="1" x14ac:dyDescent="0.2">
      <c r="A294" s="56">
        <f t="shared" si="118"/>
        <v>44110</v>
      </c>
      <c r="B294" s="620">
        <v>7.6749999999999998</v>
      </c>
      <c r="C294" s="392"/>
      <c r="D294" s="395">
        <f t="shared" si="98"/>
        <v>7.8186809482136788</v>
      </c>
      <c r="E294" s="387">
        <f t="shared" si="96"/>
        <v>8.9207060838232</v>
      </c>
      <c r="F294" s="387">
        <f t="shared" si="99"/>
        <v>8.9207060838232</v>
      </c>
      <c r="G294" s="110">
        <f t="shared" si="97"/>
        <v>0.24387976730847105</v>
      </c>
      <c r="H294" s="416" t="b">
        <f>Wh_hp&gt;='2019'!Maxi_hp</f>
        <v>0</v>
      </c>
      <c r="I294" s="382">
        <f>IF(H294,Wh_hp,'2019'!Maxi_hp)</f>
        <v>30.416363284952951</v>
      </c>
      <c r="J294" s="85">
        <f>IF(H294,An,'2019'!An_max)</f>
        <v>2019</v>
      </c>
      <c r="K294" s="199">
        <f t="shared" si="100"/>
        <v>44110</v>
      </c>
      <c r="L294" s="147">
        <f>IF(t&lt;Tvie,1-EXP((T0-t)*PertePVj)+'2019'!Pspv,1-EXP((T0-t)*PertePVj)+Pspv)</f>
        <v>1.8376622497494943E-2</v>
      </c>
      <c r="M294" s="872"/>
      <c r="N294" s="872"/>
      <c r="O294" s="48">
        <f>IF(t&lt;Tnet,'2019'!Resal+('2019'!Salim-'2019'!Resal)*(1-EXP(('2019'!Tnet-t)/('2019'!Tau_j))),Resal+(Salim-Resal)*(1-EXP((Tnet-t)/(Tau_j))))*Salcycl</f>
        <v>0.12353564003279202</v>
      </c>
      <c r="P294" s="171">
        <f>(INDEX(Models!$BJ294:$BT294,,T294)*(1-R294)+INDEX(Models!$BJ294:$BT294,,T294+1)*R294-ERP_i)*Q294*Ramure*Pc/MaxiM</f>
        <v>6.464189198167841E-3</v>
      </c>
      <c r="Q294" s="307">
        <f t="shared" si="101"/>
        <v>0.9</v>
      </c>
      <c r="R294" s="179">
        <f t="shared" si="102"/>
        <v>0.29477505048616759</v>
      </c>
      <c r="S294" s="839">
        <f t="shared" si="103"/>
        <v>-1</v>
      </c>
      <c r="T294" s="178">
        <f t="shared" si="104"/>
        <v>5</v>
      </c>
      <c r="U294" s="253">
        <f t="shared" si="105"/>
        <v>-0.70522494951383241</v>
      </c>
      <c r="V294" s="385">
        <f t="shared" si="106"/>
        <v>31.266994519717986</v>
      </c>
      <c r="W294" s="404"/>
      <c r="X294" s="157">
        <f t="shared" si="107"/>
        <v>44110</v>
      </c>
      <c r="Y294" s="387">
        <f t="shared" si="108"/>
        <v>7.6749999999999998</v>
      </c>
      <c r="Z294" s="387">
        <f t="shared" si="109"/>
        <v>7.8186809482136788</v>
      </c>
      <c r="AA294" s="388">
        <f t="shared" si="110"/>
        <v>8.9207060838232</v>
      </c>
      <c r="AB294" s="199">
        <f t="shared" si="111"/>
        <v>44110</v>
      </c>
      <c r="AC294" s="119">
        <f>IF(OR(t&lt;Tnet,NoTnet),'2019'!Resal_s+('2019'!Salim-'2019'!Resal_s)*(1-EXP(('2019'!Tnet_s-t)/'2019'!Tau_j)),Resal_s+(Salim-Resal_s)*(1-EXP((Tnet_s-t)/Tau_j)))*Salcycl</f>
        <v>0.12353564003279202</v>
      </c>
      <c r="AD294" s="233">
        <f>(INDEX(Models!$BJ294:$BT294,,AH294)*(1-AF294)+INDEX(Models!$BJ294:$BT294,,AH294+1)*AF294-ERP_i)*AE294*Ramure*Pc/MaxiM</f>
        <v>6.464189198167841E-3</v>
      </c>
      <c r="AE294" s="307">
        <f t="shared" si="112"/>
        <v>0.9</v>
      </c>
      <c r="AF294" s="179">
        <f t="shared" si="113"/>
        <v>0.29477505048616759</v>
      </c>
      <c r="AG294" s="839">
        <f t="shared" si="119"/>
        <v>-1</v>
      </c>
      <c r="AH294" s="178">
        <f t="shared" si="114"/>
        <v>5</v>
      </c>
      <c r="AI294" s="227">
        <f t="shared" si="115"/>
        <v>-0.70522494951383241</v>
      </c>
      <c r="AJ294" s="267" t="b">
        <f t="shared" si="116"/>
        <v>0</v>
      </c>
      <c r="AK294" s="267" t="b">
        <f t="shared" si="117"/>
        <v>0</v>
      </c>
      <c r="AL294" s="267"/>
      <c r="AM294" s="267"/>
      <c r="AN294" s="75"/>
    </row>
    <row r="295" spans="1:40" s="6" customFormat="1" ht="11.25" customHeight="1" x14ac:dyDescent="0.2">
      <c r="A295" s="56">
        <f t="shared" si="118"/>
        <v>44111</v>
      </c>
      <c r="B295" s="620">
        <v>25.33</v>
      </c>
      <c r="C295" s="392"/>
      <c r="D295" s="395">
        <f t="shared" si="98"/>
        <v>25.804794445982068</v>
      </c>
      <c r="E295" s="387">
        <f t="shared" si="96"/>
        <v>29.441478251972029</v>
      </c>
      <c r="F295" s="387">
        <f t="shared" si="99"/>
        <v>29.585952709015004</v>
      </c>
      <c r="G295" s="110">
        <f t="shared" si="97"/>
        <v>0.81906539877640172</v>
      </c>
      <c r="H295" s="416" t="b">
        <f>Wh_hp&gt;='2019'!Maxi_hp</f>
        <v>0</v>
      </c>
      <c r="I295" s="382">
        <f>IF(H295,Wh_hp,'2019'!Maxi_hp)</f>
        <v>34.382231294704411</v>
      </c>
      <c r="J295" s="85">
        <f>IF(H295,An,'2019'!An_max)</f>
        <v>2019</v>
      </c>
      <c r="K295" s="199">
        <f t="shared" si="100"/>
        <v>44111</v>
      </c>
      <c r="L295" s="147">
        <f>IF(t&lt;Tvie,1-EXP((T0-t)*PertePVj)+'2019'!Pspv,1-EXP((T0-t)*PertePVj)+Pspv)</f>
        <v>1.8399466307548851E-2</v>
      </c>
      <c r="M295" s="872"/>
      <c r="N295" s="872"/>
      <c r="O295" s="48">
        <f>IF(t&lt;Tnet,'2019'!Resal+('2019'!Salim-'2019'!Resal)*(1-EXP(('2019'!Tnet-t)/('2019'!Tau_j))),Resal+(Salim-Resal)*(1-EXP((Tnet-t)/(Tau_j))))*Salcycl</f>
        <v>0.12352245953364697</v>
      </c>
      <c r="P295" s="171">
        <f>(INDEX(Models!$BJ295:$BT295,,T295)*(1-R295)+INDEX(Models!$BJ295:$BT295,,T295+1)*R295-ERP_i)*Q295*Ramure*Pc/MaxiM</f>
        <v>6.5678153292062424E-3</v>
      </c>
      <c r="Q295" s="307">
        <f t="shared" si="101"/>
        <v>0.9</v>
      </c>
      <c r="R295" s="179">
        <f t="shared" si="102"/>
        <v>0.29498421939837327</v>
      </c>
      <c r="S295" s="839">
        <f t="shared" si="103"/>
        <v>-1</v>
      </c>
      <c r="T295" s="178">
        <f t="shared" si="104"/>
        <v>5</v>
      </c>
      <c r="U295" s="253">
        <f t="shared" si="105"/>
        <v>-0.70501578060162673</v>
      </c>
      <c r="V295" s="385">
        <f t="shared" si="106"/>
        <v>30.873138606837461</v>
      </c>
      <c r="W295" s="404"/>
      <c r="X295" s="157">
        <f t="shared" si="107"/>
        <v>44111</v>
      </c>
      <c r="Y295" s="387">
        <f t="shared" si="108"/>
        <v>25.33</v>
      </c>
      <c r="Z295" s="387">
        <f t="shared" si="109"/>
        <v>25.804794445982068</v>
      </c>
      <c r="AA295" s="388">
        <f t="shared" si="110"/>
        <v>29.441478251972029</v>
      </c>
      <c r="AB295" s="199">
        <f t="shared" si="111"/>
        <v>44111</v>
      </c>
      <c r="AC295" s="119">
        <f>IF(OR(t&lt;Tnet,NoTnet),'2019'!Resal_s+('2019'!Salim-'2019'!Resal_s)*(1-EXP(('2019'!Tnet_s-t)/'2019'!Tau_j)),Resal_s+(Salim-Resal_s)*(1-EXP((Tnet_s-t)/Tau_j)))*Salcycl</f>
        <v>0.12352245953364697</v>
      </c>
      <c r="AD295" s="233">
        <f>(INDEX(Models!$BJ295:$BT295,,AH295)*(1-AF295)+INDEX(Models!$BJ295:$BT295,,AH295+1)*AF295-ERP_i)*AE295*Ramure*Pc/MaxiM</f>
        <v>6.5678153292062424E-3</v>
      </c>
      <c r="AE295" s="307">
        <f t="shared" si="112"/>
        <v>0.9</v>
      </c>
      <c r="AF295" s="179">
        <f t="shared" si="113"/>
        <v>0.29498421939837327</v>
      </c>
      <c r="AG295" s="839">
        <f t="shared" si="119"/>
        <v>-1</v>
      </c>
      <c r="AH295" s="178">
        <f t="shared" si="114"/>
        <v>5</v>
      </c>
      <c r="AI295" s="227">
        <f t="shared" si="115"/>
        <v>-0.70501578060162673</v>
      </c>
      <c r="AJ295" s="267" t="b">
        <f t="shared" si="116"/>
        <v>0</v>
      </c>
      <c r="AK295" s="267" t="b">
        <f t="shared" si="117"/>
        <v>0</v>
      </c>
      <c r="AL295" s="267"/>
      <c r="AM295" s="267"/>
      <c r="AN295" s="75"/>
    </row>
    <row r="296" spans="1:40" s="6" customFormat="1" ht="11.25" customHeight="1" x14ac:dyDescent="0.2">
      <c r="A296" s="56">
        <f t="shared" si="118"/>
        <v>44112</v>
      </c>
      <c r="B296" s="620">
        <v>27.684000000000001</v>
      </c>
      <c r="C296" s="392"/>
      <c r="D296" s="395">
        <f t="shared" si="98"/>
        <v>28.203574989895657</v>
      </c>
      <c r="E296" s="387">
        <f t="shared" si="96"/>
        <v>32.177738135377218</v>
      </c>
      <c r="F296" s="387">
        <f t="shared" si="99"/>
        <v>32.366144036248471</v>
      </c>
      <c r="G296" s="110">
        <f t="shared" si="97"/>
        <v>0.90742705102345977</v>
      </c>
      <c r="H296" s="416" t="b">
        <f>Wh_hp&gt;='2019'!Maxi_hp</f>
        <v>1</v>
      </c>
      <c r="I296" s="382">
        <f>IF(H296,Wh_hp,'2019'!Maxi_hp)</f>
        <v>32.366144036248471</v>
      </c>
      <c r="J296" s="85">
        <f>IF(H296,An,'2019'!An_max)</f>
        <v>2020</v>
      </c>
      <c r="K296" s="199">
        <f t="shared" si="100"/>
        <v>44112</v>
      </c>
      <c r="L296" s="147">
        <f>IF(t&lt;Tvie,1-EXP((T0-t)*PertePVj)+'2019'!Pspv,1-EXP((T0-t)*PertePVj)+Pspv)</f>
        <v>1.8422309585994001E-2</v>
      </c>
      <c r="M296" s="872"/>
      <c r="N296" s="872"/>
      <c r="O296" s="48">
        <f>IF(t&lt;Tnet,'2019'!Resal+('2019'!Salim-'2019'!Resal)*(1-EXP(('2019'!Tnet-t)/('2019'!Tau_j))),Resal+(Salim-Resal)*(1-EXP((Tnet-t)/(Tau_j))))*Salcycl</f>
        <v>0.12350660350213497</v>
      </c>
      <c r="P296" s="171">
        <f>(INDEX(Models!$BJ296:$BT296,,T296)*(1-R296)+INDEX(Models!$BJ296:$BT296,,T296+1)*R296-ERP_i)*Q296*Ramure*Pc/MaxiM</f>
        <v>6.6993730180994271E-3</v>
      </c>
      <c r="Q296" s="307">
        <f t="shared" si="101"/>
        <v>0.9</v>
      </c>
      <c r="R296" s="179">
        <f t="shared" si="102"/>
        <v>0.29518508483330086</v>
      </c>
      <c r="S296" s="839">
        <f t="shared" si="103"/>
        <v>-1</v>
      </c>
      <c r="T296" s="178">
        <f t="shared" si="104"/>
        <v>5</v>
      </c>
      <c r="U296" s="253">
        <f t="shared" si="105"/>
        <v>-0.70481491516669914</v>
      </c>
      <c r="V296" s="385">
        <f t="shared" si="106"/>
        <v>30.481285440532929</v>
      </c>
      <c r="W296" s="404"/>
      <c r="X296" s="157">
        <f t="shared" si="107"/>
        <v>44112</v>
      </c>
      <c r="Y296" s="387">
        <f t="shared" si="108"/>
        <v>27.684000000000001</v>
      </c>
      <c r="Z296" s="387">
        <f t="shared" si="109"/>
        <v>28.203574989895657</v>
      </c>
      <c r="AA296" s="388">
        <f t="shared" si="110"/>
        <v>32.177738135377218</v>
      </c>
      <c r="AB296" s="199">
        <f t="shared" si="111"/>
        <v>44112</v>
      </c>
      <c r="AC296" s="119">
        <f>IF(OR(t&lt;Tnet,NoTnet),'2019'!Resal_s+('2019'!Salim-'2019'!Resal_s)*(1-EXP(('2019'!Tnet_s-t)/'2019'!Tau_j)),Resal_s+(Salim-Resal_s)*(1-EXP((Tnet_s-t)/Tau_j)))*Salcycl</f>
        <v>0.12350660350213497</v>
      </c>
      <c r="AD296" s="233">
        <f>(INDEX(Models!$BJ296:$BT296,,AH296)*(1-AF296)+INDEX(Models!$BJ296:$BT296,,AH296+1)*AF296-ERP_i)*AE296*Ramure*Pc/MaxiM</f>
        <v>6.6993730180994271E-3</v>
      </c>
      <c r="AE296" s="307">
        <f t="shared" si="112"/>
        <v>0.9</v>
      </c>
      <c r="AF296" s="179">
        <f t="shared" si="113"/>
        <v>0.29518508483330086</v>
      </c>
      <c r="AG296" s="839">
        <f t="shared" si="119"/>
        <v>-1</v>
      </c>
      <c r="AH296" s="178">
        <f t="shared" si="114"/>
        <v>5</v>
      </c>
      <c r="AI296" s="227">
        <f t="shared" si="115"/>
        <v>-0.70481491516669914</v>
      </c>
      <c r="AJ296" s="267" t="b">
        <f t="shared" si="116"/>
        <v>0</v>
      </c>
      <c r="AK296" s="267" t="b">
        <f t="shared" si="117"/>
        <v>0</v>
      </c>
      <c r="AL296" s="267"/>
      <c r="AM296" s="267"/>
      <c r="AN296" s="75"/>
    </row>
    <row r="297" spans="1:40" s="6" customFormat="1" ht="11.25" customHeight="1" x14ac:dyDescent="0.2">
      <c r="A297" s="56">
        <f t="shared" si="118"/>
        <v>44113</v>
      </c>
      <c r="B297" s="620">
        <v>21.908000000000001</v>
      </c>
      <c r="C297" s="392"/>
      <c r="D297" s="395">
        <f t="shared" si="98"/>
        <v>22.319690083614098</v>
      </c>
      <c r="E297" s="387">
        <f t="shared" ref="E297:E360" si="120">Wh_pvt/(1-Psa)</f>
        <v>25.464217254339466</v>
      </c>
      <c r="F297" s="387">
        <f t="shared" si="99"/>
        <v>25.571458366432029</v>
      </c>
      <c r="G297" s="110">
        <f t="shared" ref="G297:G360" si="121">+Wh_hp/MaxiM</f>
        <v>0.72607546622488872</v>
      </c>
      <c r="H297" s="416" t="b">
        <f>Wh_hp&gt;='2019'!Maxi_hp</f>
        <v>0</v>
      </c>
      <c r="I297" s="382">
        <f>IF(H297,Wh_hp,'2019'!Maxi_hp)</f>
        <v>25.602415817400519</v>
      </c>
      <c r="J297" s="85">
        <f>IF(H297,An,'2019'!An_max)</f>
        <v>2019</v>
      </c>
      <c r="K297" s="199">
        <f t="shared" si="100"/>
        <v>44113</v>
      </c>
      <c r="L297" s="147">
        <f>IF(t&lt;Tvie,1-EXP((T0-t)*PertePVj)+'2019'!Pspv,1-EXP((T0-t)*PertePVj)+Pspv)</f>
        <v>1.8445152332842607E-2</v>
      </c>
      <c r="M297" s="872"/>
      <c r="N297" s="872"/>
      <c r="O297" s="48">
        <f>IF(t&lt;Tnet,'2019'!Resal+('2019'!Salim-'2019'!Resal)*(1-EXP(('2019'!Tnet-t)/('2019'!Tau_j))),Resal+(Salim-Resal)*(1-EXP((Tnet-t)/(Tau_j))))*Salcycl</f>
        <v>0.1234880750237668</v>
      </c>
      <c r="P297" s="171">
        <f>(INDEX(Models!$BJ297:$BT297,,T297)*(1-R297)+INDEX(Models!$BJ297:$BT297,,T297+1)*R297-ERP_i)*Q297*Ramure*Pc/MaxiM</f>
        <v>6.8586089379302625E-3</v>
      </c>
      <c r="Q297" s="307">
        <f t="shared" si="101"/>
        <v>0.9</v>
      </c>
      <c r="R297" s="179">
        <f t="shared" si="102"/>
        <v>0.29537797187532833</v>
      </c>
      <c r="S297" s="839">
        <f t="shared" si="103"/>
        <v>-1</v>
      </c>
      <c r="T297" s="178">
        <f t="shared" si="104"/>
        <v>5</v>
      </c>
      <c r="U297" s="253">
        <f t="shared" si="105"/>
        <v>-0.70462202812467167</v>
      </c>
      <c r="V297" s="385">
        <f t="shared" si="106"/>
        <v>30.092427180169128</v>
      </c>
      <c r="W297" s="404"/>
      <c r="X297" s="157">
        <f t="shared" si="107"/>
        <v>44113</v>
      </c>
      <c r="Y297" s="387">
        <f t="shared" si="108"/>
        <v>21.908000000000001</v>
      </c>
      <c r="Z297" s="387">
        <f t="shared" si="109"/>
        <v>22.319690083614098</v>
      </c>
      <c r="AA297" s="388">
        <f t="shared" si="110"/>
        <v>25.464217254339466</v>
      </c>
      <c r="AB297" s="199">
        <f t="shared" si="111"/>
        <v>44113</v>
      </c>
      <c r="AC297" s="119">
        <f>IF(OR(t&lt;Tnet,NoTnet),'2019'!Resal_s+('2019'!Salim-'2019'!Resal_s)*(1-EXP(('2019'!Tnet_s-t)/'2019'!Tau_j)),Resal_s+(Salim-Resal_s)*(1-EXP((Tnet_s-t)/Tau_j)))*Salcycl</f>
        <v>0.1234880750237668</v>
      </c>
      <c r="AD297" s="233">
        <f>(INDEX(Models!$BJ297:$BT297,,AH297)*(1-AF297)+INDEX(Models!$BJ297:$BT297,,AH297+1)*AF297-ERP_i)*AE297*Ramure*Pc/MaxiM</f>
        <v>6.8586089379302625E-3</v>
      </c>
      <c r="AE297" s="307">
        <f t="shared" si="112"/>
        <v>0.9</v>
      </c>
      <c r="AF297" s="179">
        <f t="shared" si="113"/>
        <v>0.29537797187532833</v>
      </c>
      <c r="AG297" s="839">
        <f t="shared" si="119"/>
        <v>-1</v>
      </c>
      <c r="AH297" s="178">
        <f t="shared" si="114"/>
        <v>5</v>
      </c>
      <c r="AI297" s="227">
        <f t="shared" si="115"/>
        <v>-0.70462202812467167</v>
      </c>
      <c r="AJ297" s="267" t="b">
        <f t="shared" si="116"/>
        <v>0</v>
      </c>
      <c r="AK297" s="267" t="b">
        <f t="shared" si="117"/>
        <v>0</v>
      </c>
      <c r="AL297" s="267"/>
      <c r="AM297" s="267"/>
      <c r="AN297" s="75"/>
    </row>
    <row r="298" spans="1:40" s="6" customFormat="1" ht="11.25" customHeight="1" x14ac:dyDescent="0.2">
      <c r="A298" s="56">
        <f t="shared" si="118"/>
        <v>44114</v>
      </c>
      <c r="B298" s="620">
        <v>16.611999999999998</v>
      </c>
      <c r="C298" s="392"/>
      <c r="D298" s="395">
        <f t="shared" si="98"/>
        <v>16.924562732268633</v>
      </c>
      <c r="E298" s="387">
        <f t="shared" si="120"/>
        <v>19.308526327278162</v>
      </c>
      <c r="F298" s="387">
        <f t="shared" si="99"/>
        <v>19.359034289631079</v>
      </c>
      <c r="G298" s="110">
        <f t="shared" si="121"/>
        <v>0.55669719569082576</v>
      </c>
      <c r="H298" s="416" t="b">
        <f>Wh_hp&gt;='2019'!Maxi_hp</f>
        <v>0</v>
      </c>
      <c r="I298" s="382">
        <f>IF(H298,Wh_hp,'2019'!Maxi_hp)</f>
        <v>35.147507739823403</v>
      </c>
      <c r="J298" s="85">
        <f>IF(H298,An,'2019'!An_max)</f>
        <v>2019</v>
      </c>
      <c r="K298" s="199">
        <f t="shared" si="100"/>
        <v>44114</v>
      </c>
      <c r="L298" s="147">
        <f>IF(t&lt;Tvie,1-EXP((T0-t)*PertePVj)+'2019'!Pspv,1-EXP((T0-t)*PertePVj)+Pspv)</f>
        <v>1.8467994548107214E-2</v>
      </c>
      <c r="M298" s="872"/>
      <c r="N298" s="872"/>
      <c r="O298" s="48">
        <f>IF(t&lt;Tnet,'2019'!Resal+('2019'!Salim-'2019'!Resal)*(1-EXP(('2019'!Tnet-t)/('2019'!Tau_j))),Resal+(Salim-Resal)*(1-EXP((Tnet-t)/(Tau_j))))*Salcycl</f>
        <v>0.12346688476383501</v>
      </c>
      <c r="P298" s="171">
        <f>(INDEX(Models!$BJ298:$BT298,,T298)*(1-R298)+INDEX(Models!$BJ298:$BT298,,T298+1)*R298-ERP_i)*Q298*Ramure*Pc/MaxiM</f>
        <v>7.0463525496488886E-3</v>
      </c>
      <c r="Q298" s="307">
        <f t="shared" si="101"/>
        <v>0.9</v>
      </c>
      <c r="R298" s="179">
        <f t="shared" si="102"/>
        <v>0.29556319323804114</v>
      </c>
      <c r="S298" s="839">
        <f t="shared" si="103"/>
        <v>-1</v>
      </c>
      <c r="T298" s="178">
        <f t="shared" si="104"/>
        <v>5</v>
      </c>
      <c r="U298" s="253">
        <f t="shared" si="105"/>
        <v>-0.70443680676195886</v>
      </c>
      <c r="V298" s="385">
        <f t="shared" si="106"/>
        <v>29.707521815401513</v>
      </c>
      <c r="W298" s="404"/>
      <c r="X298" s="157">
        <f t="shared" si="107"/>
        <v>44114</v>
      </c>
      <c r="Y298" s="387">
        <f t="shared" si="108"/>
        <v>16.611999999999998</v>
      </c>
      <c r="Z298" s="387">
        <f t="shared" si="109"/>
        <v>16.924562732268633</v>
      </c>
      <c r="AA298" s="388">
        <f t="shared" si="110"/>
        <v>19.308526327278162</v>
      </c>
      <c r="AB298" s="199">
        <f t="shared" si="111"/>
        <v>44114</v>
      </c>
      <c r="AC298" s="119">
        <f>IF(OR(t&lt;Tnet,NoTnet),'2019'!Resal_s+('2019'!Salim-'2019'!Resal_s)*(1-EXP(('2019'!Tnet_s-t)/'2019'!Tau_j)),Resal_s+(Salim-Resal_s)*(1-EXP((Tnet_s-t)/Tau_j)))*Salcycl</f>
        <v>0.12346688476383501</v>
      </c>
      <c r="AD298" s="233">
        <f>(INDEX(Models!$BJ298:$BT298,,AH298)*(1-AF298)+INDEX(Models!$BJ298:$BT298,,AH298+1)*AF298-ERP_i)*AE298*Ramure*Pc/MaxiM</f>
        <v>7.0463525496488886E-3</v>
      </c>
      <c r="AE298" s="307">
        <f t="shared" si="112"/>
        <v>0.9</v>
      </c>
      <c r="AF298" s="179">
        <f t="shared" si="113"/>
        <v>0.29556319323804114</v>
      </c>
      <c r="AG298" s="839">
        <f t="shared" si="119"/>
        <v>-1</v>
      </c>
      <c r="AH298" s="178">
        <f t="shared" si="114"/>
        <v>5</v>
      </c>
      <c r="AI298" s="227">
        <f t="shared" si="115"/>
        <v>-0.70443680676195886</v>
      </c>
      <c r="AJ298" s="267" t="b">
        <f t="shared" si="116"/>
        <v>0</v>
      </c>
      <c r="AK298" s="267" t="b">
        <f t="shared" si="117"/>
        <v>0</v>
      </c>
      <c r="AL298" s="267"/>
      <c r="AM298" s="267"/>
      <c r="AN298" s="75"/>
    </row>
    <row r="299" spans="1:40" s="6" customFormat="1" ht="11.25" customHeight="1" x14ac:dyDescent="0.2">
      <c r="A299" s="56">
        <f t="shared" si="118"/>
        <v>44115</v>
      </c>
      <c r="B299" s="620">
        <v>14.407</v>
      </c>
      <c r="C299" s="392"/>
      <c r="D299" s="395">
        <f t="shared" si="98"/>
        <v>14.678416189909825</v>
      </c>
      <c r="E299" s="387">
        <f t="shared" si="120"/>
        <v>16.745536284399801</v>
      </c>
      <c r="F299" s="387">
        <f t="shared" si="99"/>
        <v>16.778832526331481</v>
      </c>
      <c r="G299" s="110">
        <f t="shared" si="121"/>
        <v>0.48864652088208532</v>
      </c>
      <c r="H299" s="416" t="b">
        <f>Wh_hp&gt;='2019'!Maxi_hp</f>
        <v>0</v>
      </c>
      <c r="I299" s="382">
        <f>IF(H299,Wh_hp,'2019'!Maxi_hp)</f>
        <v>31.017695504453624</v>
      </c>
      <c r="J299" s="85">
        <f>IF(H299,An,'2019'!An_max)</f>
        <v>2018</v>
      </c>
      <c r="K299" s="199">
        <f t="shared" si="100"/>
        <v>44115</v>
      </c>
      <c r="L299" s="147">
        <f>IF(t&lt;Tvie,1-EXP((T0-t)*PertePVj)+'2019'!Pspv,1-EXP((T0-t)*PertePVj)+Pspv)</f>
        <v>1.8490836231800034E-2</v>
      </c>
      <c r="M299" s="872"/>
      <c r="N299" s="872"/>
      <c r="O299" s="48">
        <f>IF(t&lt;Tnet,'2019'!Resal+('2019'!Salim-'2019'!Resal)*(1-EXP(('2019'!Tnet-t)/('2019'!Tau_j))),Resal+(Salim-Resal)*(1-EXP((Tnet-t)/(Tau_j))))*Salcycl</f>
        <v>0.12344305129335943</v>
      </c>
      <c r="P299" s="171">
        <f>(INDEX(Models!$BJ299:$BT299,,T299)*(1-R299)+INDEX(Models!$BJ299:$BT299,,T299+1)*R299-ERP_i)*Q299*Ramure*Pc/MaxiM</f>
        <v>7.2634259703114818E-3</v>
      </c>
      <c r="Q299" s="307">
        <f t="shared" si="101"/>
        <v>0.9</v>
      </c>
      <c r="R299" s="179">
        <f t="shared" si="102"/>
        <v>0.29574104970690329</v>
      </c>
      <c r="S299" s="839">
        <f t="shared" si="103"/>
        <v>-1</v>
      </c>
      <c r="T299" s="178">
        <f t="shared" si="104"/>
        <v>5</v>
      </c>
      <c r="U299" s="253">
        <f t="shared" si="105"/>
        <v>-0.70425895029309671</v>
      </c>
      <c r="V299" s="385">
        <f t="shared" si="106"/>
        <v>29.32752719297261</v>
      </c>
      <c r="W299" s="404"/>
      <c r="X299" s="157">
        <f t="shared" si="107"/>
        <v>44115</v>
      </c>
      <c r="Y299" s="387">
        <f t="shared" si="108"/>
        <v>14.407</v>
      </c>
      <c r="Z299" s="387">
        <f t="shared" si="109"/>
        <v>14.678416189909825</v>
      </c>
      <c r="AA299" s="388">
        <f t="shared" si="110"/>
        <v>16.745536284399801</v>
      </c>
      <c r="AB299" s="199">
        <f t="shared" si="111"/>
        <v>44115</v>
      </c>
      <c r="AC299" s="119">
        <f>IF(OR(t&lt;Tnet,NoTnet),'2019'!Resal_s+('2019'!Salim-'2019'!Resal_s)*(1-EXP(('2019'!Tnet_s-t)/'2019'!Tau_j)),Resal_s+(Salim-Resal_s)*(1-EXP((Tnet_s-t)/Tau_j)))*Salcycl</f>
        <v>0.12344305129335943</v>
      </c>
      <c r="AD299" s="233">
        <f>(INDEX(Models!$BJ299:$BT299,,AH299)*(1-AF299)+INDEX(Models!$BJ299:$BT299,,AH299+1)*AF299-ERP_i)*AE299*Ramure*Pc/MaxiM</f>
        <v>7.2634259703114818E-3</v>
      </c>
      <c r="AE299" s="307">
        <f t="shared" si="112"/>
        <v>0.9</v>
      </c>
      <c r="AF299" s="179">
        <f t="shared" si="113"/>
        <v>0.29574104970690329</v>
      </c>
      <c r="AG299" s="839">
        <f t="shared" si="119"/>
        <v>-1</v>
      </c>
      <c r="AH299" s="178">
        <f t="shared" si="114"/>
        <v>5</v>
      </c>
      <c r="AI299" s="227">
        <f t="shared" si="115"/>
        <v>-0.70425895029309671</v>
      </c>
      <c r="AJ299" s="267" t="b">
        <f t="shared" si="116"/>
        <v>0</v>
      </c>
      <c r="AK299" s="267" t="b">
        <f t="shared" si="117"/>
        <v>0</v>
      </c>
      <c r="AL299" s="267"/>
      <c r="AM299" s="267"/>
      <c r="AN299" s="75"/>
    </row>
    <row r="300" spans="1:40" s="6" customFormat="1" ht="11.25" customHeight="1" x14ac:dyDescent="0.2">
      <c r="A300" s="56">
        <f t="shared" si="118"/>
        <v>44116</v>
      </c>
      <c r="B300" s="620">
        <v>20.577000000000002</v>
      </c>
      <c r="C300" s="392"/>
      <c r="D300" s="395">
        <f t="shared" si="98"/>
        <v>20.965141872944084</v>
      </c>
      <c r="E300" s="387">
        <f t="shared" si="120"/>
        <v>23.916882188151742</v>
      </c>
      <c r="F300" s="387">
        <f t="shared" si="99"/>
        <v>24.02273905481545</v>
      </c>
      <c r="G300" s="110">
        <f t="shared" si="121"/>
        <v>0.70847787800606843</v>
      </c>
      <c r="H300" s="416" t="b">
        <f>Wh_hp&gt;='2019'!Maxi_hp</f>
        <v>0</v>
      </c>
      <c r="I300" s="382">
        <f>IF(H300,Wh_hp,'2019'!Maxi_hp)</f>
        <v>31.606416942346012</v>
      </c>
      <c r="J300" s="85">
        <f>IF(H300,An,'2019'!An_max)</f>
        <v>2019</v>
      </c>
      <c r="K300" s="199">
        <f t="shared" si="100"/>
        <v>44116</v>
      </c>
      <c r="L300" s="147">
        <f>IF(t&lt;Tvie,1-EXP((T0-t)*PertePVj)+'2019'!Pspv,1-EXP((T0-t)*PertePVj)+Pspv)</f>
        <v>1.8513677383933502E-2</v>
      </c>
      <c r="M300" s="872"/>
      <c r="N300" s="872"/>
      <c r="O300" s="48">
        <f>IF(t&lt;Tnet,'2019'!Resal+('2019'!Salim-'2019'!Resal)*(1-EXP(('2019'!Tnet-t)/('2019'!Tau_j))),Resal+(Salim-Resal)*(1-EXP((Tnet-t)/(Tau_j))))*Salcycl</f>
        <v>0.12341660137749597</v>
      </c>
      <c r="P300" s="171">
        <f>(INDEX(Models!$BJ300:$BT300,,T300)*(1-R300)+INDEX(Models!$BJ300:$BT300,,T300+1)*R300-ERP_i)*Q300*Ramure*Pc/MaxiM</f>
        <v>7.5106322876063178E-3</v>
      </c>
      <c r="Q300" s="307">
        <f t="shared" si="101"/>
        <v>0.9</v>
      </c>
      <c r="R300" s="179">
        <f t="shared" si="102"/>
        <v>0.29591183056833503</v>
      </c>
      <c r="S300" s="839">
        <f t="shared" si="103"/>
        <v>-1</v>
      </c>
      <c r="T300" s="178">
        <f t="shared" si="104"/>
        <v>5</v>
      </c>
      <c r="U300" s="253">
        <f t="shared" si="105"/>
        <v>-0.70408816943166497</v>
      </c>
      <c r="V300" s="385">
        <f t="shared" si="106"/>
        <v>28.953401049584915</v>
      </c>
      <c r="W300" s="404"/>
      <c r="X300" s="157">
        <f t="shared" si="107"/>
        <v>44116</v>
      </c>
      <c r="Y300" s="387">
        <f t="shared" si="108"/>
        <v>20.577000000000002</v>
      </c>
      <c r="Z300" s="387">
        <f t="shared" si="109"/>
        <v>20.965141872944084</v>
      </c>
      <c r="AA300" s="388">
        <f t="shared" si="110"/>
        <v>23.916882188151742</v>
      </c>
      <c r="AB300" s="199">
        <f t="shared" si="111"/>
        <v>44116</v>
      </c>
      <c r="AC300" s="119">
        <f>IF(OR(t&lt;Tnet,NoTnet),'2019'!Resal_s+('2019'!Salim-'2019'!Resal_s)*(1-EXP(('2019'!Tnet_s-t)/'2019'!Tau_j)),Resal_s+(Salim-Resal_s)*(1-EXP((Tnet_s-t)/Tau_j)))*Salcycl</f>
        <v>0.12341660137749597</v>
      </c>
      <c r="AD300" s="233">
        <f>(INDEX(Models!$BJ300:$BT300,,AH300)*(1-AF300)+INDEX(Models!$BJ300:$BT300,,AH300+1)*AF300-ERP_i)*AE300*Ramure*Pc/MaxiM</f>
        <v>7.5106322876063178E-3</v>
      </c>
      <c r="AE300" s="307">
        <f t="shared" si="112"/>
        <v>0.9</v>
      </c>
      <c r="AF300" s="179">
        <f t="shared" si="113"/>
        <v>0.29591183056833503</v>
      </c>
      <c r="AG300" s="839">
        <f t="shared" si="119"/>
        <v>-1</v>
      </c>
      <c r="AH300" s="178">
        <f t="shared" si="114"/>
        <v>5</v>
      </c>
      <c r="AI300" s="227">
        <f t="shared" si="115"/>
        <v>-0.70408816943166497</v>
      </c>
      <c r="AJ300" s="267" t="b">
        <f t="shared" si="116"/>
        <v>0</v>
      </c>
      <c r="AK300" s="267" t="b">
        <f t="shared" si="117"/>
        <v>0</v>
      </c>
      <c r="AL300" s="267"/>
      <c r="AM300" s="267"/>
      <c r="AN300" s="75"/>
    </row>
    <row r="301" spans="1:40" s="6" customFormat="1" ht="11.25" customHeight="1" x14ac:dyDescent="0.2">
      <c r="A301" s="56">
        <f t="shared" si="118"/>
        <v>44117</v>
      </c>
      <c r="B301" s="620">
        <v>18.689</v>
      </c>
      <c r="C301" s="392"/>
      <c r="D301" s="395">
        <f t="shared" si="98"/>
        <v>19.041971854115374</v>
      </c>
      <c r="E301" s="387">
        <f t="shared" si="120"/>
        <v>21.722224334595804</v>
      </c>
      <c r="F301" s="387">
        <f t="shared" si="99"/>
        <v>21.808070105984122</v>
      </c>
      <c r="G301" s="110">
        <f t="shared" si="121"/>
        <v>0.65125073954410029</v>
      </c>
      <c r="H301" s="416" t="b">
        <f>Wh_hp&gt;='2019'!Maxi_hp</f>
        <v>0</v>
      </c>
      <c r="I301" s="382">
        <f>IF(H301,Wh_hp,'2019'!Maxi_hp)</f>
        <v>30.847485648694672</v>
      </c>
      <c r="J301" s="85">
        <f>IF(H301,An,'2019'!An_max)</f>
        <v>2018</v>
      </c>
      <c r="K301" s="199">
        <f t="shared" si="100"/>
        <v>44117</v>
      </c>
      <c r="L301" s="147">
        <f>IF(t&lt;Tvie,1-EXP((T0-t)*PertePVj)+'2019'!Pspv,1-EXP((T0-t)*PertePVj)+Pspv)</f>
        <v>1.8536518004520053E-2</v>
      </c>
      <c r="M301" s="872"/>
      <c r="N301" s="872"/>
      <c r="O301" s="48">
        <f>IF(t&lt;Tnet,'2019'!Resal+('2019'!Salim-'2019'!Resal)*(1-EXP(('2019'!Tnet-t)/('2019'!Tau_j))),Resal+(Salim-Resal)*(1-EXP((Tnet-t)/(Tau_j))))*Salcycl</f>
        <v>0.12338757022280349</v>
      </c>
      <c r="P301" s="171">
        <f>(INDEX(Models!$BJ301:$BT301,,T301)*(1-R301)+INDEX(Models!$BJ301:$BT301,,T301+1)*R301-ERP_i)*Q301*Ramure*Pc/MaxiM</f>
        <v>7.7887424578345641E-3</v>
      </c>
      <c r="Q301" s="307">
        <f t="shared" si="101"/>
        <v>0.9</v>
      </c>
      <c r="R301" s="179">
        <f t="shared" si="102"/>
        <v>0.29607581402542815</v>
      </c>
      <c r="S301" s="839">
        <f t="shared" si="103"/>
        <v>-1</v>
      </c>
      <c r="T301" s="178">
        <f t="shared" si="104"/>
        <v>5</v>
      </c>
      <c r="U301" s="253">
        <f t="shared" si="105"/>
        <v>-0.70392418597457185</v>
      </c>
      <c r="V301" s="385">
        <f t="shared" si="106"/>
        <v>28.586101066208876</v>
      </c>
      <c r="W301" s="404"/>
      <c r="X301" s="157">
        <f t="shared" si="107"/>
        <v>44117</v>
      </c>
      <c r="Y301" s="387">
        <f t="shared" si="108"/>
        <v>18.689</v>
      </c>
      <c r="Z301" s="387">
        <f t="shared" si="109"/>
        <v>19.041971854115374</v>
      </c>
      <c r="AA301" s="388">
        <f t="shared" si="110"/>
        <v>21.722224334595804</v>
      </c>
      <c r="AB301" s="199">
        <f t="shared" si="111"/>
        <v>44117</v>
      </c>
      <c r="AC301" s="119">
        <f>IF(OR(t&lt;Tnet,NoTnet),'2019'!Resal_s+('2019'!Salim-'2019'!Resal_s)*(1-EXP(('2019'!Tnet_s-t)/'2019'!Tau_j)),Resal_s+(Salim-Resal_s)*(1-EXP((Tnet_s-t)/Tau_j)))*Salcycl</f>
        <v>0.12338757022280349</v>
      </c>
      <c r="AD301" s="233">
        <f>(INDEX(Models!$BJ301:$BT301,,AH301)*(1-AF301)+INDEX(Models!$BJ301:$BT301,,AH301+1)*AF301-ERP_i)*AE301*Ramure*Pc/MaxiM</f>
        <v>7.7887424578345641E-3</v>
      </c>
      <c r="AE301" s="307">
        <f t="shared" si="112"/>
        <v>0.9</v>
      </c>
      <c r="AF301" s="179">
        <f t="shared" si="113"/>
        <v>0.29607581402542815</v>
      </c>
      <c r="AG301" s="839">
        <f t="shared" si="119"/>
        <v>-1</v>
      </c>
      <c r="AH301" s="178">
        <f t="shared" si="114"/>
        <v>5</v>
      </c>
      <c r="AI301" s="227">
        <f t="shared" si="115"/>
        <v>-0.70392418597457185</v>
      </c>
      <c r="AJ301" s="267" t="b">
        <f t="shared" si="116"/>
        <v>0</v>
      </c>
      <c r="AK301" s="267" t="b">
        <f t="shared" si="117"/>
        <v>0</v>
      </c>
      <c r="AL301" s="267"/>
      <c r="AM301" s="267"/>
      <c r="AN301" s="75"/>
    </row>
    <row r="302" spans="1:40" s="6" customFormat="1" ht="11.25" customHeight="1" x14ac:dyDescent="0.2">
      <c r="A302" s="56">
        <f t="shared" si="118"/>
        <v>44118</v>
      </c>
      <c r="B302" s="620">
        <v>11.262</v>
      </c>
      <c r="C302" s="392"/>
      <c r="D302" s="395">
        <f t="shared" si="98"/>
        <v>11.474968040984933</v>
      </c>
      <c r="E302" s="387">
        <f t="shared" si="120"/>
        <v>13.089655621866926</v>
      </c>
      <c r="F302" s="387">
        <f t="shared" si="99"/>
        <v>13.104662945471546</v>
      </c>
      <c r="G302" s="110">
        <f t="shared" si="121"/>
        <v>0.39620812405429334</v>
      </c>
      <c r="H302" s="416" t="b">
        <f>Wh_hp&gt;='2019'!Maxi_hp</f>
        <v>0</v>
      </c>
      <c r="I302" s="382">
        <f>IF(H302,Wh_hp,'2019'!Maxi_hp)</f>
        <v>27.834569065864574</v>
      </c>
      <c r="J302" s="85">
        <f>IF(H302,An,'2019'!An_max)</f>
        <v>2019</v>
      </c>
      <c r="K302" s="199">
        <f t="shared" si="100"/>
        <v>44118</v>
      </c>
      <c r="L302" s="147">
        <f>IF(t&lt;Tvie,1-EXP((T0-t)*PertePVj)+'2019'!Pspv,1-EXP((T0-t)*PertePVj)+Pspv)</f>
        <v>1.8559358093571898E-2</v>
      </c>
      <c r="M302" s="872"/>
      <c r="N302" s="872"/>
      <c r="O302" s="48">
        <f>IF(t&lt;Tnet,'2019'!Resal+('2019'!Salim-'2019'!Resal)*(1-EXP(('2019'!Tnet-t)/('2019'!Tau_j))),Resal+(Salim-Resal)*(1-EXP((Tnet-t)/(Tau_j))))*Salcycl</f>
        <v>0.12335600168002718</v>
      </c>
      <c r="P302" s="171">
        <f>(INDEX(Models!$BJ302:$BT302,,T302)*(1-R302)+INDEX(Models!$BJ302:$BT302,,T302+1)*R302-ERP_i)*Q302*Ramure*Pc/MaxiM</f>
        <v>8.0984807548585159E-3</v>
      </c>
      <c r="Q302" s="307">
        <f t="shared" si="101"/>
        <v>0.9</v>
      </c>
      <c r="R302" s="179">
        <f t="shared" si="102"/>
        <v>0.29623326760054058</v>
      </c>
      <c r="S302" s="839">
        <f t="shared" si="103"/>
        <v>-1</v>
      </c>
      <c r="T302" s="178">
        <f t="shared" si="104"/>
        <v>5</v>
      </c>
      <c r="U302" s="253">
        <f t="shared" si="105"/>
        <v>-0.70376673239945942</v>
      </c>
      <c r="V302" s="385">
        <f t="shared" si="106"/>
        <v>28.226584907439197</v>
      </c>
      <c r="W302" s="404"/>
      <c r="X302" s="157">
        <f t="shared" si="107"/>
        <v>44118</v>
      </c>
      <c r="Y302" s="387">
        <f t="shared" si="108"/>
        <v>11.262</v>
      </c>
      <c r="Z302" s="387">
        <f t="shared" si="109"/>
        <v>11.474968040984933</v>
      </c>
      <c r="AA302" s="388">
        <f t="shared" si="110"/>
        <v>13.089655621866926</v>
      </c>
      <c r="AB302" s="199">
        <f t="shared" si="111"/>
        <v>44118</v>
      </c>
      <c r="AC302" s="119">
        <f>IF(OR(t&lt;Tnet,NoTnet),'2019'!Resal_s+('2019'!Salim-'2019'!Resal_s)*(1-EXP(('2019'!Tnet_s-t)/'2019'!Tau_j)),Resal_s+(Salim-Resal_s)*(1-EXP((Tnet_s-t)/Tau_j)))*Salcycl</f>
        <v>0.12335600168002718</v>
      </c>
      <c r="AD302" s="233">
        <f>(INDEX(Models!$BJ302:$BT302,,AH302)*(1-AF302)+INDEX(Models!$BJ302:$BT302,,AH302+1)*AF302-ERP_i)*AE302*Ramure*Pc/MaxiM</f>
        <v>8.0984807548585159E-3</v>
      </c>
      <c r="AE302" s="307">
        <f t="shared" si="112"/>
        <v>0.9</v>
      </c>
      <c r="AF302" s="179">
        <f t="shared" si="113"/>
        <v>0.29623326760054058</v>
      </c>
      <c r="AG302" s="839">
        <f t="shared" si="119"/>
        <v>-1</v>
      </c>
      <c r="AH302" s="178">
        <f t="shared" si="114"/>
        <v>5</v>
      </c>
      <c r="AI302" s="227">
        <f t="shared" si="115"/>
        <v>-0.70376673239945942</v>
      </c>
      <c r="AJ302" s="267" t="b">
        <f t="shared" si="116"/>
        <v>0</v>
      </c>
      <c r="AK302" s="267" t="b">
        <f t="shared" si="117"/>
        <v>0</v>
      </c>
      <c r="AL302" s="267"/>
      <c r="AM302" s="267"/>
      <c r="AN302" s="75"/>
    </row>
    <row r="303" spans="1:40" s="6" customFormat="1" ht="11.25" customHeight="1" x14ac:dyDescent="0.2">
      <c r="A303" s="56">
        <f t="shared" si="118"/>
        <v>44119</v>
      </c>
      <c r="B303" s="620">
        <v>15.473000000000001</v>
      </c>
      <c r="C303" s="392"/>
      <c r="D303" s="395">
        <f t="shared" si="98"/>
        <v>15.765966301984076</v>
      </c>
      <c r="E303" s="387">
        <f t="shared" si="120"/>
        <v>17.983758431271855</v>
      </c>
      <c r="F303" s="387">
        <f t="shared" si="99"/>
        <v>18.039250999484459</v>
      </c>
      <c r="G303" s="110">
        <f t="shared" si="121"/>
        <v>0.55211732099211686</v>
      </c>
      <c r="H303" s="416" t="b">
        <f>Wh_hp&gt;='2019'!Maxi_hp</f>
        <v>0</v>
      </c>
      <c r="I303" s="382">
        <f>IF(H303,Wh_hp,'2019'!Maxi_hp)</f>
        <v>29.828915649649929</v>
      </c>
      <c r="J303" s="85">
        <f>IF(H303,An,'2019'!An_max)</f>
        <v>2019</v>
      </c>
      <c r="K303" s="199">
        <f t="shared" si="100"/>
        <v>44119</v>
      </c>
      <c r="L303" s="147">
        <f>IF(t&lt;Tvie,1-EXP((T0-t)*PertePVj)+'2019'!Pspv,1-EXP((T0-t)*PertePVj)+Pspv)</f>
        <v>1.8582197651101584E-2</v>
      </c>
      <c r="M303" s="872"/>
      <c r="N303" s="872"/>
      <c r="O303" s="48">
        <f>IF(t&lt;Tnet,'2019'!Resal+('2019'!Salim-'2019'!Resal)*(1-EXP(('2019'!Tnet-t)/('2019'!Tau_j))),Resal+(Salim-Resal)*(1-EXP((Tnet-t)/(Tau_j))))*Salcycl</f>
        <v>0.12332194839935526</v>
      </c>
      <c r="P303" s="171">
        <f>(INDEX(Models!$BJ303:$BT303,,T303)*(1-R303)+INDEX(Models!$BJ303:$BT303,,T303+1)*R303-ERP_i)*Q303*Ramure*Pc/MaxiM</f>
        <v>8.4410438026491022E-3</v>
      </c>
      <c r="Q303" s="307">
        <f t="shared" si="101"/>
        <v>0.9</v>
      </c>
      <c r="R303" s="179">
        <f t="shared" si="102"/>
        <v>0.29638444852502677</v>
      </c>
      <c r="S303" s="839">
        <f t="shared" si="103"/>
        <v>-1</v>
      </c>
      <c r="T303" s="178">
        <f t="shared" si="104"/>
        <v>5</v>
      </c>
      <c r="U303" s="253">
        <f t="shared" si="105"/>
        <v>-0.70361555147497323</v>
      </c>
      <c r="V303" s="385">
        <f t="shared" si="106"/>
        <v>27.874028280998939</v>
      </c>
      <c r="W303" s="404"/>
      <c r="X303" s="157">
        <f t="shared" si="107"/>
        <v>44119</v>
      </c>
      <c r="Y303" s="387">
        <f t="shared" si="108"/>
        <v>15.473000000000003</v>
      </c>
      <c r="Z303" s="387">
        <f t="shared" si="109"/>
        <v>15.765966301984077</v>
      </c>
      <c r="AA303" s="388">
        <f t="shared" si="110"/>
        <v>17.983758431271855</v>
      </c>
      <c r="AB303" s="199">
        <f t="shared" si="111"/>
        <v>44119</v>
      </c>
      <c r="AC303" s="119">
        <f>IF(OR(t&lt;Tnet,NoTnet),'2019'!Resal_s+('2019'!Salim-'2019'!Resal_s)*(1-EXP(('2019'!Tnet_s-t)/'2019'!Tau_j)),Resal_s+(Salim-Resal_s)*(1-EXP((Tnet_s-t)/Tau_j)))*Salcycl</f>
        <v>0.12332194839935526</v>
      </c>
      <c r="AD303" s="233">
        <f>(INDEX(Models!$BJ303:$BT303,,AH303)*(1-AF303)+INDEX(Models!$BJ303:$BT303,,AH303+1)*AF303-ERP_i)*AE303*Ramure*Pc/MaxiM</f>
        <v>8.4410438026491022E-3</v>
      </c>
      <c r="AE303" s="307">
        <f t="shared" si="112"/>
        <v>0.9</v>
      </c>
      <c r="AF303" s="179">
        <f t="shared" si="113"/>
        <v>0.29638444852502677</v>
      </c>
      <c r="AG303" s="839">
        <f t="shared" si="119"/>
        <v>-1</v>
      </c>
      <c r="AH303" s="178">
        <f t="shared" si="114"/>
        <v>5</v>
      </c>
      <c r="AI303" s="227">
        <f t="shared" si="115"/>
        <v>-0.70361555147497323</v>
      </c>
      <c r="AJ303" s="267" t="b">
        <f t="shared" si="116"/>
        <v>0</v>
      </c>
      <c r="AK303" s="267" t="b">
        <f t="shared" si="117"/>
        <v>0</v>
      </c>
      <c r="AL303" s="267"/>
      <c r="AM303" s="267"/>
      <c r="AN303" s="75"/>
    </row>
    <row r="304" spans="1:40" s="6" customFormat="1" ht="11.25" customHeight="1" x14ac:dyDescent="0.2">
      <c r="A304" s="56">
        <f t="shared" si="118"/>
        <v>44120</v>
      </c>
      <c r="B304" s="620">
        <v>9.69</v>
      </c>
      <c r="C304" s="392"/>
      <c r="D304" s="395">
        <f t="shared" si="98"/>
        <v>9.8737005610777651</v>
      </c>
      <c r="E304" s="387">
        <f t="shared" si="120"/>
        <v>11.262161450518004</v>
      </c>
      <c r="F304" s="387">
        <f t="shared" si="99"/>
        <v>11.269571257096931</v>
      </c>
      <c r="G304" s="110">
        <f t="shared" si="121"/>
        <v>0.34914640190844259</v>
      </c>
      <c r="H304" s="416" t="b">
        <f>Wh_hp&gt;='2019'!Maxi_hp</f>
        <v>0</v>
      </c>
      <c r="I304" s="382">
        <f>IF(H304,Wh_hp,'2019'!Maxi_hp)</f>
        <v>21.536971558944416</v>
      </c>
      <c r="J304" s="85">
        <f>IF(H304,An,'2019'!An_max)</f>
        <v>2018</v>
      </c>
      <c r="K304" s="199">
        <f t="shared" si="100"/>
        <v>44120</v>
      </c>
      <c r="L304" s="147">
        <f>IF(t&lt;Tvie,1-EXP((T0-t)*PertePVj)+'2019'!Pspv,1-EXP((T0-t)*PertePVj)+Pspv)</f>
        <v>1.8605036677121323E-2</v>
      </c>
      <c r="M304" s="872"/>
      <c r="N304" s="872"/>
      <c r="O304" s="48">
        <f>IF(t&lt;Tnet,'2019'!Resal+('2019'!Salim-'2019'!Resal)*(1-EXP(('2019'!Tnet-t)/('2019'!Tau_j))),Resal+(Salim-Resal)*(1-EXP((Tnet-t)/(Tau_j))))*Salcycl</f>
        <v>0.1232854719354407</v>
      </c>
      <c r="P304" s="171">
        <f>(INDEX(Models!$BJ304:$BT304,,T304)*(1-R304)+INDEX(Models!$BJ304:$BT304,,T304+1)*R304-ERP_i)*Q304*Ramure*Pc/MaxiM</f>
        <v>8.8457931556813474E-3</v>
      </c>
      <c r="Q304" s="307">
        <f t="shared" si="101"/>
        <v>0.9</v>
      </c>
      <c r="R304" s="179">
        <f t="shared" si="102"/>
        <v>0.29652960411636953</v>
      </c>
      <c r="S304" s="839">
        <f t="shared" si="103"/>
        <v>-1</v>
      </c>
      <c r="T304" s="178">
        <f t="shared" si="104"/>
        <v>5</v>
      </c>
      <c r="U304" s="253">
        <f t="shared" si="105"/>
        <v>-0.70347039588363047</v>
      </c>
      <c r="V304" s="385">
        <f t="shared" si="106"/>
        <v>27.525998370843684</v>
      </c>
      <c r="W304" s="404"/>
      <c r="X304" s="157">
        <f t="shared" si="107"/>
        <v>44120</v>
      </c>
      <c r="Y304" s="387">
        <f t="shared" si="108"/>
        <v>9.69</v>
      </c>
      <c r="Z304" s="387">
        <f t="shared" si="109"/>
        <v>9.8737005610777651</v>
      </c>
      <c r="AA304" s="388">
        <f t="shared" si="110"/>
        <v>11.262161450518004</v>
      </c>
      <c r="AB304" s="199">
        <f t="shared" si="111"/>
        <v>44120</v>
      </c>
      <c r="AC304" s="119">
        <f>IF(OR(t&lt;Tnet,NoTnet),'2019'!Resal_s+('2019'!Salim-'2019'!Resal_s)*(1-EXP(('2019'!Tnet_s-t)/'2019'!Tau_j)),Resal_s+(Salim-Resal_s)*(1-EXP((Tnet_s-t)/Tau_j)))*Salcycl</f>
        <v>0.1232854719354407</v>
      </c>
      <c r="AD304" s="233">
        <f>(INDEX(Models!$BJ304:$BT304,,AH304)*(1-AF304)+INDEX(Models!$BJ304:$BT304,,AH304+1)*AF304-ERP_i)*AE304*Ramure*Pc/MaxiM</f>
        <v>8.8457931556813474E-3</v>
      </c>
      <c r="AE304" s="307">
        <f t="shared" si="112"/>
        <v>0.9</v>
      </c>
      <c r="AF304" s="179">
        <f t="shared" si="113"/>
        <v>0.29652960411636953</v>
      </c>
      <c r="AG304" s="839">
        <f t="shared" si="119"/>
        <v>-1</v>
      </c>
      <c r="AH304" s="178">
        <f t="shared" si="114"/>
        <v>5</v>
      </c>
      <c r="AI304" s="227">
        <f t="shared" si="115"/>
        <v>-0.70347039588363047</v>
      </c>
      <c r="AJ304" s="267" t="b">
        <f t="shared" si="116"/>
        <v>0</v>
      </c>
      <c r="AK304" s="267" t="b">
        <f t="shared" si="117"/>
        <v>0</v>
      </c>
      <c r="AL304" s="267"/>
      <c r="AM304" s="267"/>
      <c r="AN304" s="75"/>
    </row>
    <row r="305" spans="1:40" s="6" customFormat="1" ht="11.25" customHeight="1" x14ac:dyDescent="0.2">
      <c r="A305" s="56">
        <f t="shared" si="118"/>
        <v>44121</v>
      </c>
      <c r="B305" s="620">
        <v>27.489000000000001</v>
      </c>
      <c r="C305" s="392"/>
      <c r="D305" s="395">
        <f t="shared" si="98"/>
        <v>28.010781338228732</v>
      </c>
      <c r="E305" s="387">
        <f t="shared" si="120"/>
        <v>31.948302345461194</v>
      </c>
      <c r="F305" s="387">
        <f t="shared" si="99"/>
        <v>32.248415453098012</v>
      </c>
      <c r="G305" s="110">
        <f t="shared" si="121"/>
        <v>1.0112779846947058</v>
      </c>
      <c r="H305" s="416" t="b">
        <f>Wh_hp&gt;='2019'!Maxi_hp</f>
        <v>1</v>
      </c>
      <c r="I305" s="382">
        <f>IF(H305,Wh_hp,'2019'!Maxi_hp)</f>
        <v>32.248415453098012</v>
      </c>
      <c r="J305" s="85">
        <f>IF(H305,An,'2019'!An_max)</f>
        <v>2020</v>
      </c>
      <c r="K305" s="199">
        <f t="shared" si="100"/>
        <v>44121</v>
      </c>
      <c r="L305" s="147">
        <f>IF(t&lt;Tvie,1-EXP((T0-t)*PertePVj)+'2019'!Pspv,1-EXP((T0-t)*PertePVj)+Pspv)</f>
        <v>1.862787517164366E-2</v>
      </c>
      <c r="M305" s="872"/>
      <c r="N305" s="872"/>
      <c r="O305" s="48">
        <f>IF(t&lt;Tnet,'2019'!Resal+('2019'!Salim-'2019'!Resal)*(1-EXP(('2019'!Tnet-t)/('2019'!Tau_j))),Resal+(Salim-Resal)*(1-EXP((Tnet-t)/(Tau_j))))*Salcycl</f>
        <v>0.12324664279984369</v>
      </c>
      <c r="P305" s="171">
        <f>(INDEX(Models!$BJ305:$BT305,,T305)*(1-R305)+INDEX(Models!$BJ305:$BT305,,T305+1)*R305-ERP_i)*Q305*Ramure*Pc/MaxiM</f>
        <v>9.3062900430967901E-3</v>
      </c>
      <c r="Q305" s="307">
        <f t="shared" si="101"/>
        <v>0.9</v>
      </c>
      <c r="R305" s="179">
        <f t="shared" si="102"/>
        <v>0.29666897214298626</v>
      </c>
      <c r="S305" s="839">
        <f t="shared" si="103"/>
        <v>-1</v>
      </c>
      <c r="T305" s="178">
        <f t="shared" si="104"/>
        <v>5</v>
      </c>
      <c r="U305" s="253">
        <f t="shared" si="105"/>
        <v>-0.70333102785701374</v>
      </c>
      <c r="V305" s="385">
        <f t="shared" si="106"/>
        <v>27.182436892758666</v>
      </c>
      <c r="W305" s="404"/>
      <c r="X305" s="157">
        <f t="shared" si="107"/>
        <v>44121</v>
      </c>
      <c r="Y305" s="387">
        <f t="shared" si="108"/>
        <v>27.489000000000004</v>
      </c>
      <c r="Z305" s="387">
        <f t="shared" si="109"/>
        <v>28.010781338228735</v>
      </c>
      <c r="AA305" s="388">
        <f t="shared" si="110"/>
        <v>31.948302345461197</v>
      </c>
      <c r="AB305" s="199">
        <f t="shared" si="111"/>
        <v>44121</v>
      </c>
      <c r="AC305" s="119">
        <f>IF(OR(t&lt;Tnet,NoTnet),'2019'!Resal_s+('2019'!Salim-'2019'!Resal_s)*(1-EXP(('2019'!Tnet_s-t)/'2019'!Tau_j)),Resal_s+(Salim-Resal_s)*(1-EXP((Tnet_s-t)/Tau_j)))*Salcycl</f>
        <v>0.12324664279984369</v>
      </c>
      <c r="AD305" s="233">
        <f>(INDEX(Models!$BJ305:$BT305,,AH305)*(1-AF305)+INDEX(Models!$BJ305:$BT305,,AH305+1)*AF305-ERP_i)*AE305*Ramure*Pc/MaxiM</f>
        <v>9.3062900430967901E-3</v>
      </c>
      <c r="AE305" s="307">
        <f t="shared" si="112"/>
        <v>0.9</v>
      </c>
      <c r="AF305" s="179">
        <f t="shared" si="113"/>
        <v>0.29666897214298626</v>
      </c>
      <c r="AG305" s="839">
        <f t="shared" si="119"/>
        <v>-1</v>
      </c>
      <c r="AH305" s="178">
        <f t="shared" si="114"/>
        <v>5</v>
      </c>
      <c r="AI305" s="227">
        <f t="shared" si="115"/>
        <v>-0.70333102785701374</v>
      </c>
      <c r="AJ305" s="267" t="b">
        <f t="shared" si="116"/>
        <v>0</v>
      </c>
      <c r="AK305" s="267" t="b">
        <f t="shared" si="117"/>
        <v>0</v>
      </c>
      <c r="AL305" s="267"/>
      <c r="AM305" s="267"/>
      <c r="AN305" s="75"/>
    </row>
    <row r="306" spans="1:40" s="6" customFormat="1" ht="11.25" customHeight="1" x14ac:dyDescent="0.2">
      <c r="A306" s="56">
        <f t="shared" si="118"/>
        <v>44122</v>
      </c>
      <c r="B306" s="620">
        <v>26.007999999999999</v>
      </c>
      <c r="C306" s="392"/>
      <c r="D306" s="395">
        <f t="shared" si="98"/>
        <v>26.502286543740414</v>
      </c>
      <c r="E306" s="387">
        <f t="shared" si="120"/>
        <v>30.226338973004722</v>
      </c>
      <c r="F306" s="387">
        <f t="shared" si="99"/>
        <v>30.51278811937587</v>
      </c>
      <c r="G306" s="110">
        <f t="shared" si="121"/>
        <v>0.96846439195084777</v>
      </c>
      <c r="H306" s="416" t="b">
        <f>Wh_hp&gt;='2019'!Maxi_hp</f>
        <v>1</v>
      </c>
      <c r="I306" s="382">
        <f>IF(H306,Wh_hp,'2019'!Maxi_hp)</f>
        <v>30.51278811937587</v>
      </c>
      <c r="J306" s="85">
        <f>IF(H306,An,'2019'!An_max)</f>
        <v>2020</v>
      </c>
      <c r="K306" s="199">
        <f t="shared" si="100"/>
        <v>44122</v>
      </c>
      <c r="L306" s="147">
        <f>IF(t&lt;Tvie,1-EXP((T0-t)*PertePVj)+'2019'!Pspv,1-EXP((T0-t)*PertePVj)+Pspv)</f>
        <v>1.8650713134680807E-2</v>
      </c>
      <c r="M306" s="872"/>
      <c r="N306" s="872"/>
      <c r="O306" s="48">
        <f>IF(t&lt;Tnet,'2019'!Resal+('2019'!Salim-'2019'!Resal)*(1-EXP(('2019'!Tnet-t)/('2019'!Tau_j))),Resal+(Salim-Resal)*(1-EXP((Tnet-t)/(Tau_j))))*Salcycl</f>
        <v>0.12320554045894465</v>
      </c>
      <c r="P306" s="171">
        <f>(INDEX(Models!$BJ306:$BT306,,T306)*(1-R306)+INDEX(Models!$BJ306:$BT306,,T306+1)*R306-ERP_i)*Q306*Ramure*Pc/MaxiM</f>
        <v>9.8244455627904959E-3</v>
      </c>
      <c r="Q306" s="307">
        <f t="shared" si="101"/>
        <v>0.9</v>
      </c>
      <c r="R306" s="179">
        <f t="shared" si="102"/>
        <v>0.29680278117698844</v>
      </c>
      <c r="S306" s="839">
        <f t="shared" si="103"/>
        <v>-1</v>
      </c>
      <c r="T306" s="178">
        <f t="shared" si="104"/>
        <v>5</v>
      </c>
      <c r="U306" s="253">
        <f t="shared" si="105"/>
        <v>-0.70319721882301156</v>
      </c>
      <c r="V306" s="385">
        <f t="shared" si="106"/>
        <v>26.843049000509623</v>
      </c>
      <c r="W306" s="404"/>
      <c r="X306" s="157">
        <f t="shared" si="107"/>
        <v>44122</v>
      </c>
      <c r="Y306" s="387">
        <f t="shared" si="108"/>
        <v>26.007999999999999</v>
      </c>
      <c r="Z306" s="387">
        <f t="shared" si="109"/>
        <v>26.502286543740414</v>
      </c>
      <c r="AA306" s="388">
        <f t="shared" si="110"/>
        <v>30.226338973004722</v>
      </c>
      <c r="AB306" s="199">
        <f t="shared" si="111"/>
        <v>44122</v>
      </c>
      <c r="AC306" s="119">
        <f>IF(OR(t&lt;Tnet,NoTnet),'2019'!Resal_s+('2019'!Salim-'2019'!Resal_s)*(1-EXP(('2019'!Tnet_s-t)/'2019'!Tau_j)),Resal_s+(Salim-Resal_s)*(1-EXP((Tnet_s-t)/Tau_j)))*Salcycl</f>
        <v>0.12320554045894465</v>
      </c>
      <c r="AD306" s="233">
        <f>(INDEX(Models!$BJ306:$BT306,,AH306)*(1-AF306)+INDEX(Models!$BJ306:$BT306,,AH306+1)*AF306-ERP_i)*AE306*Ramure*Pc/MaxiM</f>
        <v>9.8244455627904959E-3</v>
      </c>
      <c r="AE306" s="307">
        <f t="shared" si="112"/>
        <v>0.9</v>
      </c>
      <c r="AF306" s="179">
        <f t="shared" si="113"/>
        <v>0.29680278117698844</v>
      </c>
      <c r="AG306" s="839">
        <f t="shared" si="119"/>
        <v>-1</v>
      </c>
      <c r="AH306" s="178">
        <f t="shared" si="114"/>
        <v>5</v>
      </c>
      <c r="AI306" s="227">
        <f t="shared" si="115"/>
        <v>-0.70319721882301156</v>
      </c>
      <c r="AJ306" s="267" t="b">
        <f t="shared" si="116"/>
        <v>0</v>
      </c>
      <c r="AK306" s="267" t="b">
        <f t="shared" si="117"/>
        <v>0</v>
      </c>
      <c r="AL306" s="267"/>
      <c r="AM306" s="267"/>
      <c r="AN306" s="75"/>
    </row>
    <row r="307" spans="1:40" s="6" customFormat="1" ht="11.25" customHeight="1" x14ac:dyDescent="0.2">
      <c r="A307" s="56">
        <f t="shared" si="118"/>
        <v>44123</v>
      </c>
      <c r="B307" s="620">
        <v>22.891999999999999</v>
      </c>
      <c r="C307" s="392"/>
      <c r="D307" s="395">
        <f t="shared" si="98"/>
        <v>23.327609291698135</v>
      </c>
      <c r="E307" s="387">
        <f t="shared" si="120"/>
        <v>26.604248481373212</v>
      </c>
      <c r="F307" s="387">
        <f t="shared" si="99"/>
        <v>26.828949468096958</v>
      </c>
      <c r="G307" s="110">
        <f t="shared" si="121"/>
        <v>0.86183812486627998</v>
      </c>
      <c r="H307" s="416" t="b">
        <f>Wh_hp&gt;='2019'!Maxi_hp</f>
        <v>1</v>
      </c>
      <c r="I307" s="382">
        <f>IF(H307,Wh_hp,'2019'!Maxi_hp)</f>
        <v>26.828949468096958</v>
      </c>
      <c r="J307" s="85">
        <f>IF(H307,An,'2019'!An_max)</f>
        <v>2020</v>
      </c>
      <c r="K307" s="199">
        <f t="shared" si="100"/>
        <v>44123</v>
      </c>
      <c r="L307" s="147">
        <f>IF(t&lt;Tvie,1-EXP((T0-t)*PertePVj)+'2019'!Pspv,1-EXP((T0-t)*PertePVj)+Pspv)</f>
        <v>1.8673550566245201E-2</v>
      </c>
      <c r="M307" s="872"/>
      <c r="N307" s="872"/>
      <c r="O307" s="48">
        <f>IF(t&lt;Tnet,'2019'!Resal+('2019'!Salim-'2019'!Resal)*(1-EXP(('2019'!Tnet-t)/('2019'!Tau_j))),Resal+(Salim-Resal)*(1-EXP((Tnet-t)/(Tau_j))))*Salcycl</f>
        <v>0.12316225327579516</v>
      </c>
      <c r="P307" s="171">
        <f>(INDEX(Models!$BJ307:$BT307,,T307)*(1-R307)+INDEX(Models!$BJ307:$BT307,,T307+1)*R307-ERP_i)*Q307*Ramure*Pc/MaxiM</f>
        <v>1.0402214174180363E-2</v>
      </c>
      <c r="Q307" s="307">
        <f t="shared" si="101"/>
        <v>0.9</v>
      </c>
      <c r="R307" s="179">
        <f t="shared" si="102"/>
        <v>0.29693125093517914</v>
      </c>
      <c r="S307" s="839">
        <f t="shared" si="103"/>
        <v>-1</v>
      </c>
      <c r="T307" s="178">
        <f t="shared" si="104"/>
        <v>5</v>
      </c>
      <c r="U307" s="253">
        <f t="shared" si="105"/>
        <v>-0.70306874906482086</v>
      </c>
      <c r="V307" s="385">
        <f t="shared" si="106"/>
        <v>26.507539805846719</v>
      </c>
      <c r="W307" s="404"/>
      <c r="X307" s="157">
        <f t="shared" si="107"/>
        <v>44123</v>
      </c>
      <c r="Y307" s="387">
        <f t="shared" si="108"/>
        <v>22.891999999999999</v>
      </c>
      <c r="Z307" s="387">
        <f t="shared" si="109"/>
        <v>23.327609291698135</v>
      </c>
      <c r="AA307" s="388">
        <f t="shared" si="110"/>
        <v>26.604248481373212</v>
      </c>
      <c r="AB307" s="199">
        <f t="shared" si="111"/>
        <v>44123</v>
      </c>
      <c r="AC307" s="119">
        <f>IF(OR(t&lt;Tnet,NoTnet),'2019'!Resal_s+('2019'!Salim-'2019'!Resal_s)*(1-EXP(('2019'!Tnet_s-t)/'2019'!Tau_j)),Resal_s+(Salim-Resal_s)*(1-EXP((Tnet_s-t)/Tau_j)))*Salcycl</f>
        <v>0.12316225327579516</v>
      </c>
      <c r="AD307" s="233">
        <f>(INDEX(Models!$BJ307:$BT307,,AH307)*(1-AF307)+INDEX(Models!$BJ307:$BT307,,AH307+1)*AF307-ERP_i)*AE307*Ramure*Pc/MaxiM</f>
        <v>1.0402214174180363E-2</v>
      </c>
      <c r="AE307" s="307">
        <f t="shared" si="112"/>
        <v>0.9</v>
      </c>
      <c r="AF307" s="179">
        <f t="shared" si="113"/>
        <v>0.29693125093517914</v>
      </c>
      <c r="AG307" s="839">
        <f t="shared" si="119"/>
        <v>-1</v>
      </c>
      <c r="AH307" s="178">
        <f t="shared" si="114"/>
        <v>5</v>
      </c>
      <c r="AI307" s="227">
        <f t="shared" si="115"/>
        <v>-0.70306874906482086</v>
      </c>
      <c r="AJ307" s="267" t="b">
        <f t="shared" si="116"/>
        <v>0</v>
      </c>
      <c r="AK307" s="267" t="b">
        <f t="shared" si="117"/>
        <v>0</v>
      </c>
      <c r="AL307" s="267"/>
      <c r="AM307" s="267"/>
      <c r="AN307" s="75"/>
    </row>
    <row r="308" spans="1:40" s="6" customFormat="1" ht="11.25" customHeight="1" x14ac:dyDescent="0.2">
      <c r="A308" s="56">
        <f t="shared" si="118"/>
        <v>44124</v>
      </c>
      <c r="B308" s="620">
        <v>4.859</v>
      </c>
      <c r="C308" s="392"/>
      <c r="D308" s="395">
        <f t="shared" si="98"/>
        <v>4.9515765945816037</v>
      </c>
      <c r="E308" s="387">
        <f t="shared" si="120"/>
        <v>5.6467919983651349</v>
      </c>
      <c r="F308" s="387">
        <f t="shared" si="99"/>
        <v>5.6467919983651349</v>
      </c>
      <c r="G308" s="110">
        <f t="shared" si="121"/>
        <v>0.1835811301065276</v>
      </c>
      <c r="H308" s="416" t="b">
        <f>Wh_hp&gt;='2019'!Maxi_hp</f>
        <v>0</v>
      </c>
      <c r="I308" s="382">
        <f>IF(H308,Wh_hp,'2019'!Maxi_hp)</f>
        <v>22.431533601951021</v>
      </c>
      <c r="J308" s="85">
        <f>IF(H308,An,'2019'!An_max)</f>
        <v>2019</v>
      </c>
      <c r="K308" s="199">
        <f t="shared" si="100"/>
        <v>44124</v>
      </c>
      <c r="L308" s="147">
        <f>IF(t&lt;Tvie,1-EXP((T0-t)*PertePVj)+'2019'!Pspv,1-EXP((T0-t)*PertePVj)+Pspv)</f>
        <v>1.8696387466349162E-2</v>
      </c>
      <c r="M308" s="872"/>
      <c r="N308" s="872"/>
      <c r="O308" s="48">
        <f>IF(t&lt;Tnet,'2019'!Resal+('2019'!Salim-'2019'!Resal)*(1-EXP(('2019'!Tnet-t)/('2019'!Tau_j))),Resal+(Salim-Resal)*(1-EXP((Tnet-t)/(Tau_j))))*Salcycl</f>
        <v>0.12311687839481443</v>
      </c>
      <c r="P308" s="171">
        <f>(INDEX(Models!$BJ308:$BT308,,T308)*(1-R308)+INDEX(Models!$BJ308:$BT308,,T308+1)*R308-ERP_i)*Q308*Ramure*Pc/MaxiM</f>
        <v>1.1041598276839168E-2</v>
      </c>
      <c r="Q308" s="307">
        <f t="shared" si="101"/>
        <v>0.9</v>
      </c>
      <c r="R308" s="179">
        <f t="shared" si="102"/>
        <v>0.29705459260857858</v>
      </c>
      <c r="S308" s="839">
        <f t="shared" si="103"/>
        <v>-1</v>
      </c>
      <c r="T308" s="178">
        <f t="shared" si="104"/>
        <v>5</v>
      </c>
      <c r="U308" s="253">
        <f t="shared" si="105"/>
        <v>-0.70294540739142142</v>
      </c>
      <c r="V308" s="385">
        <f t="shared" si="106"/>
        <v>26.175614406472022</v>
      </c>
      <c r="W308" s="404"/>
      <c r="X308" s="157">
        <f t="shared" si="107"/>
        <v>44124</v>
      </c>
      <c r="Y308" s="387">
        <f t="shared" si="108"/>
        <v>4.859</v>
      </c>
      <c r="Z308" s="387">
        <f t="shared" si="109"/>
        <v>4.9515765945816037</v>
      </c>
      <c r="AA308" s="388">
        <f t="shared" si="110"/>
        <v>5.6467919983651349</v>
      </c>
      <c r="AB308" s="199">
        <f t="shared" si="111"/>
        <v>44124</v>
      </c>
      <c r="AC308" s="119">
        <f>IF(OR(t&lt;Tnet,NoTnet),'2019'!Resal_s+('2019'!Salim-'2019'!Resal_s)*(1-EXP(('2019'!Tnet_s-t)/'2019'!Tau_j)),Resal_s+(Salim-Resal_s)*(1-EXP((Tnet_s-t)/Tau_j)))*Salcycl</f>
        <v>0.12311687839481443</v>
      </c>
      <c r="AD308" s="233">
        <f>(INDEX(Models!$BJ308:$BT308,,AH308)*(1-AF308)+INDEX(Models!$BJ308:$BT308,,AH308+1)*AF308-ERP_i)*AE308*Ramure*Pc/MaxiM</f>
        <v>1.1041598276839168E-2</v>
      </c>
      <c r="AE308" s="307">
        <f t="shared" si="112"/>
        <v>0.9</v>
      </c>
      <c r="AF308" s="179">
        <f t="shared" si="113"/>
        <v>0.29705459260857858</v>
      </c>
      <c r="AG308" s="839">
        <f t="shared" si="119"/>
        <v>-1</v>
      </c>
      <c r="AH308" s="178">
        <f t="shared" si="114"/>
        <v>5</v>
      </c>
      <c r="AI308" s="227">
        <f t="shared" si="115"/>
        <v>-0.70294540739142142</v>
      </c>
      <c r="AJ308" s="267" t="b">
        <f t="shared" si="116"/>
        <v>0</v>
      </c>
      <c r="AK308" s="267" t="b">
        <f t="shared" si="117"/>
        <v>0</v>
      </c>
      <c r="AL308" s="267"/>
      <c r="AM308" s="267"/>
      <c r="AN308" s="75"/>
    </row>
    <row r="309" spans="1:40" s="6" customFormat="1" ht="11.25" customHeight="1" x14ac:dyDescent="0.2">
      <c r="A309" s="56">
        <f t="shared" si="118"/>
        <v>44125</v>
      </c>
      <c r="B309" s="620">
        <v>19.113</v>
      </c>
      <c r="C309" s="392"/>
      <c r="D309" s="395">
        <f t="shared" si="98"/>
        <v>19.477605660121782</v>
      </c>
      <c r="E309" s="387">
        <f t="shared" si="120"/>
        <v>22.211117231281808</v>
      </c>
      <c r="F309" s="387">
        <f t="shared" si="99"/>
        <v>22.376105637632744</v>
      </c>
      <c r="G309" s="110">
        <f t="shared" si="121"/>
        <v>0.7362110982915403</v>
      </c>
      <c r="H309" s="416" t="b">
        <f>Wh_hp&gt;='2019'!Maxi_hp</f>
        <v>1</v>
      </c>
      <c r="I309" s="382">
        <f>IF(H309,Wh_hp,'2019'!Maxi_hp)</f>
        <v>22.376105637632744</v>
      </c>
      <c r="J309" s="85">
        <f>IF(H309,An,'2019'!An_max)</f>
        <v>2020</v>
      </c>
      <c r="K309" s="199">
        <f t="shared" si="100"/>
        <v>44125</v>
      </c>
      <c r="L309" s="147">
        <f>IF(t&lt;Tvie,1-EXP((T0-t)*PertePVj)+'2019'!Pspv,1-EXP((T0-t)*PertePVj)+Pspv)</f>
        <v>1.8719223835005128E-2</v>
      </c>
      <c r="M309" s="872"/>
      <c r="N309" s="872"/>
      <c r="O309" s="48">
        <f>IF(t&lt;Tnet,'2019'!Resal+('2019'!Salim-'2019'!Resal)*(1-EXP(('2019'!Tnet-t)/('2019'!Tau_j))),Resal+(Salim-Resal)*(1-EXP((Tnet-t)/(Tau_j))))*Salcycl</f>
        <v>0.12306952156869404</v>
      </c>
      <c r="P309" s="171">
        <f>(INDEX(Models!$BJ309:$BT309,,T309)*(1-R309)+INDEX(Models!$BJ309:$BT309,,T309+1)*R309-ERP_i)*Q309*Ramure*Pc/MaxiM</f>
        <v>1.1744653436152452E-2</v>
      </c>
      <c r="Q309" s="307">
        <f t="shared" si="101"/>
        <v>0.9</v>
      </c>
      <c r="R309" s="179">
        <f t="shared" si="102"/>
        <v>0.29717300918076284</v>
      </c>
      <c r="S309" s="839">
        <f t="shared" si="103"/>
        <v>-1</v>
      </c>
      <c r="T309" s="178">
        <f t="shared" si="104"/>
        <v>5</v>
      </c>
      <c r="U309" s="253">
        <f t="shared" si="105"/>
        <v>-0.70282699081923716</v>
      </c>
      <c r="V309" s="385">
        <f t="shared" si="106"/>
        <v>25.846977908531912</v>
      </c>
      <c r="W309" s="404"/>
      <c r="X309" s="157">
        <f t="shared" si="107"/>
        <v>44125</v>
      </c>
      <c r="Y309" s="387">
        <f t="shared" si="108"/>
        <v>19.113</v>
      </c>
      <c r="Z309" s="387">
        <f t="shared" si="109"/>
        <v>19.477605660121782</v>
      </c>
      <c r="AA309" s="388">
        <f t="shared" si="110"/>
        <v>22.211117231281808</v>
      </c>
      <c r="AB309" s="199">
        <f t="shared" si="111"/>
        <v>44125</v>
      </c>
      <c r="AC309" s="119">
        <f>IF(OR(t&lt;Tnet,NoTnet),'2019'!Resal_s+('2019'!Salim-'2019'!Resal_s)*(1-EXP(('2019'!Tnet_s-t)/'2019'!Tau_j)),Resal_s+(Salim-Resal_s)*(1-EXP((Tnet_s-t)/Tau_j)))*Salcycl</f>
        <v>0.12306952156869404</v>
      </c>
      <c r="AD309" s="233">
        <f>(INDEX(Models!$BJ309:$BT309,,AH309)*(1-AF309)+INDEX(Models!$BJ309:$BT309,,AH309+1)*AF309-ERP_i)*AE309*Ramure*Pc/MaxiM</f>
        <v>1.1744653436152452E-2</v>
      </c>
      <c r="AE309" s="307">
        <f t="shared" si="112"/>
        <v>0.9</v>
      </c>
      <c r="AF309" s="179">
        <f t="shared" si="113"/>
        <v>0.29717300918076284</v>
      </c>
      <c r="AG309" s="839">
        <f t="shared" si="119"/>
        <v>-1</v>
      </c>
      <c r="AH309" s="178">
        <f t="shared" si="114"/>
        <v>5</v>
      </c>
      <c r="AI309" s="227">
        <f t="shared" si="115"/>
        <v>-0.70282699081923716</v>
      </c>
      <c r="AJ309" s="267" t="b">
        <f t="shared" si="116"/>
        <v>0</v>
      </c>
      <c r="AK309" s="267" t="b">
        <f t="shared" si="117"/>
        <v>0</v>
      </c>
      <c r="AL309" s="267"/>
      <c r="AM309" s="267"/>
      <c r="AN309" s="75"/>
    </row>
    <row r="310" spans="1:40" s="6" customFormat="1" ht="11.25" customHeight="1" x14ac:dyDescent="0.2">
      <c r="A310" s="56">
        <f t="shared" si="118"/>
        <v>44126</v>
      </c>
      <c r="B310" s="620">
        <v>5.234</v>
      </c>
      <c r="C310" s="392"/>
      <c r="D310" s="395">
        <f t="shared" si="98"/>
        <v>5.3339695760848169</v>
      </c>
      <c r="E310" s="387">
        <f t="shared" si="120"/>
        <v>6.0822041347095093</v>
      </c>
      <c r="F310" s="387">
        <f t="shared" si="99"/>
        <v>6.0822041347095093</v>
      </c>
      <c r="G310" s="110">
        <f t="shared" si="121"/>
        <v>0.20251700305544532</v>
      </c>
      <c r="H310" s="416" t="b">
        <f>Wh_hp&gt;='2019'!Maxi_hp</f>
        <v>0</v>
      </c>
      <c r="I310" s="382">
        <f>IF(H310,Wh_hp,'2019'!Maxi_hp)</f>
        <v>29.496433962734809</v>
      </c>
      <c r="J310" s="85">
        <f>IF(H310,An,'2019'!An_max)</f>
        <v>2018</v>
      </c>
      <c r="K310" s="199">
        <f t="shared" si="100"/>
        <v>44126</v>
      </c>
      <c r="L310" s="147">
        <f>IF(t&lt;Tvie,1-EXP((T0-t)*PertePVj)+'2019'!Pspv,1-EXP((T0-t)*PertePVj)+Pspv)</f>
        <v>1.874205967222542E-2</v>
      </c>
      <c r="M310" s="872"/>
      <c r="N310" s="872"/>
      <c r="O310" s="48">
        <f>IF(t&lt;Tnet,'2019'!Resal+('2019'!Salim-'2019'!Resal)*(1-EXP(('2019'!Tnet-t)/('2019'!Tau_j))),Resal+(Salim-Resal)*(1-EXP((Tnet-t)/(Tau_j))))*Salcycl</f>
        <v>0.12302029692734552</v>
      </c>
      <c r="P310" s="171">
        <f>(INDEX(Models!$BJ310:$BT310,,T310)*(1-R310)+INDEX(Models!$BJ310:$BT310,,T310+1)*R310-ERP_i)*Q310*Ramure*Pc/MaxiM</f>
        <v>1.2516358251241439E-2</v>
      </c>
      <c r="Q310" s="307">
        <f t="shared" si="101"/>
        <v>0.9</v>
      </c>
      <c r="R310" s="179">
        <f t="shared" si="102"/>
        <v>0.2972866957353133</v>
      </c>
      <c r="S310" s="839">
        <f t="shared" si="103"/>
        <v>-1</v>
      </c>
      <c r="T310" s="178">
        <f t="shared" si="104"/>
        <v>5</v>
      </c>
      <c r="U310" s="253">
        <f t="shared" si="105"/>
        <v>-0.7027133042646867</v>
      </c>
      <c r="V310" s="385">
        <f t="shared" si="106"/>
        <v>25.521261439455373</v>
      </c>
      <c r="W310" s="404"/>
      <c r="X310" s="157">
        <f t="shared" si="107"/>
        <v>44126</v>
      </c>
      <c r="Y310" s="387">
        <f t="shared" si="108"/>
        <v>5.234</v>
      </c>
      <c r="Z310" s="387">
        <f t="shared" si="109"/>
        <v>5.3339695760848169</v>
      </c>
      <c r="AA310" s="388">
        <f t="shared" si="110"/>
        <v>6.0822041347095093</v>
      </c>
      <c r="AB310" s="199">
        <f t="shared" si="111"/>
        <v>44126</v>
      </c>
      <c r="AC310" s="119">
        <f>IF(OR(t&lt;Tnet,NoTnet),'2019'!Resal_s+('2019'!Salim-'2019'!Resal_s)*(1-EXP(('2019'!Tnet_s-t)/'2019'!Tau_j)),Resal_s+(Salim-Resal_s)*(1-EXP((Tnet_s-t)/Tau_j)))*Salcycl</f>
        <v>0.12302029692734552</v>
      </c>
      <c r="AD310" s="233">
        <f>(INDEX(Models!$BJ310:$BT310,,AH310)*(1-AF310)+INDEX(Models!$BJ310:$BT310,,AH310+1)*AF310-ERP_i)*AE310*Ramure*Pc/MaxiM</f>
        <v>1.2516358251241439E-2</v>
      </c>
      <c r="AE310" s="307">
        <f t="shared" si="112"/>
        <v>0.9</v>
      </c>
      <c r="AF310" s="179">
        <f t="shared" si="113"/>
        <v>0.2972866957353133</v>
      </c>
      <c r="AG310" s="839">
        <f t="shared" si="119"/>
        <v>-1</v>
      </c>
      <c r="AH310" s="178">
        <f t="shared" si="114"/>
        <v>5</v>
      </c>
      <c r="AI310" s="227">
        <f t="shared" si="115"/>
        <v>-0.7027133042646867</v>
      </c>
      <c r="AJ310" s="267" t="b">
        <f t="shared" si="116"/>
        <v>0</v>
      </c>
      <c r="AK310" s="267" t="b">
        <f t="shared" si="117"/>
        <v>0</v>
      </c>
      <c r="AL310" s="267"/>
      <c r="AM310" s="267"/>
      <c r="AN310" s="75"/>
    </row>
    <row r="311" spans="1:40" s="6" customFormat="1" ht="11.25" customHeight="1" x14ac:dyDescent="0.2">
      <c r="A311" s="56">
        <f t="shared" si="118"/>
        <v>44127</v>
      </c>
      <c r="B311" s="620">
        <v>8.8859999999999992</v>
      </c>
      <c r="C311" s="392"/>
      <c r="D311" s="395">
        <f t="shared" si="98"/>
        <v>9.0559336437529634</v>
      </c>
      <c r="E311" s="387">
        <f t="shared" si="120"/>
        <v>10.325674938559148</v>
      </c>
      <c r="F311" s="387">
        <f t="shared" si="99"/>
        <v>10.33604212334224</v>
      </c>
      <c r="G311" s="110">
        <f t="shared" si="121"/>
        <v>0.34828300723519162</v>
      </c>
      <c r="H311" s="416" t="b">
        <f>Wh_hp&gt;='2019'!Maxi_hp</f>
        <v>0</v>
      </c>
      <c r="I311" s="382">
        <f>IF(H311,Wh_hp,'2019'!Maxi_hp)</f>
        <v>29.156685241838929</v>
      </c>
      <c r="J311" s="85">
        <f>IF(H311,An,'2019'!An_max)</f>
        <v>2018</v>
      </c>
      <c r="K311" s="199">
        <f t="shared" si="100"/>
        <v>44127</v>
      </c>
      <c r="L311" s="147">
        <f>IF(t&lt;Tvie,1-EXP((T0-t)*PertePVj)+'2019'!Pspv,1-EXP((T0-t)*PertePVj)+Pspv)</f>
        <v>1.8764894978022473E-2</v>
      </c>
      <c r="M311" s="872"/>
      <c r="N311" s="872"/>
      <c r="O311" s="48">
        <f>IF(t&lt;Tnet,'2019'!Resal+('2019'!Salim-'2019'!Resal)*(1-EXP(('2019'!Tnet-t)/('2019'!Tau_j))),Resal+(Salim-Resal)*(1-EXP((Tnet-t)/(Tau_j))))*Salcycl</f>
        <v>0.12296932668920187</v>
      </c>
      <c r="P311" s="171">
        <f>(INDEX(Models!$BJ311:$BT311,,T311)*(1-R311)+INDEX(Models!$BJ311:$BT311,,T311+1)*R311-ERP_i)*Q311*Ramure*Pc/MaxiM</f>
        <v>1.3338606502381617E-2</v>
      </c>
      <c r="Q311" s="307">
        <f t="shared" si="101"/>
        <v>0.9</v>
      </c>
      <c r="R311" s="179">
        <f t="shared" si="102"/>
        <v>0.29739583975266304</v>
      </c>
      <c r="S311" s="839">
        <f t="shared" si="103"/>
        <v>-1</v>
      </c>
      <c r="T311" s="178">
        <f t="shared" si="104"/>
        <v>5</v>
      </c>
      <c r="U311" s="253">
        <f t="shared" si="105"/>
        <v>-0.70260416024733696</v>
      </c>
      <c r="V311" s="385">
        <f t="shared" si="106"/>
        <v>25.19869094737081</v>
      </c>
      <c r="W311" s="404"/>
      <c r="X311" s="157">
        <f t="shared" si="107"/>
        <v>44127</v>
      </c>
      <c r="Y311" s="387">
        <f t="shared" si="108"/>
        <v>8.8859999999999992</v>
      </c>
      <c r="Z311" s="387">
        <f t="shared" si="109"/>
        <v>9.0559336437529634</v>
      </c>
      <c r="AA311" s="388">
        <f t="shared" si="110"/>
        <v>10.325674938559148</v>
      </c>
      <c r="AB311" s="199">
        <f t="shared" si="111"/>
        <v>44127</v>
      </c>
      <c r="AC311" s="119">
        <f>IF(OR(t&lt;Tnet,NoTnet),'2019'!Resal_s+('2019'!Salim-'2019'!Resal_s)*(1-EXP(('2019'!Tnet_s-t)/'2019'!Tau_j)),Resal_s+(Salim-Resal_s)*(1-EXP((Tnet_s-t)/Tau_j)))*Salcycl</f>
        <v>0.12296932668920187</v>
      </c>
      <c r="AD311" s="233">
        <f>(INDEX(Models!$BJ311:$BT311,,AH311)*(1-AF311)+INDEX(Models!$BJ311:$BT311,,AH311+1)*AF311-ERP_i)*AE311*Ramure*Pc/MaxiM</f>
        <v>1.3338606502381617E-2</v>
      </c>
      <c r="AE311" s="307">
        <f t="shared" si="112"/>
        <v>0.9</v>
      </c>
      <c r="AF311" s="179">
        <f t="shared" si="113"/>
        <v>0.29739583975266304</v>
      </c>
      <c r="AG311" s="839">
        <f t="shared" si="119"/>
        <v>-1</v>
      </c>
      <c r="AH311" s="178">
        <f t="shared" si="114"/>
        <v>5</v>
      </c>
      <c r="AI311" s="227">
        <f t="shared" si="115"/>
        <v>-0.70260416024733696</v>
      </c>
      <c r="AJ311" s="267" t="b">
        <f t="shared" si="116"/>
        <v>0</v>
      </c>
      <c r="AK311" s="267" t="b">
        <f t="shared" si="117"/>
        <v>0</v>
      </c>
      <c r="AL311" s="267"/>
      <c r="AM311" s="267"/>
      <c r="AN311" s="75"/>
    </row>
    <row r="312" spans="1:40" s="6" customFormat="1" ht="11.25" customHeight="1" x14ac:dyDescent="0.2">
      <c r="A312" s="56">
        <f t="shared" si="118"/>
        <v>44128</v>
      </c>
      <c r="B312" s="620">
        <v>22.596</v>
      </c>
      <c r="C312" s="392"/>
      <c r="D312" s="395">
        <f t="shared" si="98"/>
        <v>23.028656168657882</v>
      </c>
      <c r="E312" s="387">
        <f t="shared" si="120"/>
        <v>26.25595224571272</v>
      </c>
      <c r="F312" s="387">
        <f t="shared" si="99"/>
        <v>26.584266464952329</v>
      </c>
      <c r="G312" s="110">
        <f t="shared" si="121"/>
        <v>0.90652361501908851</v>
      </c>
      <c r="H312" s="416" t="b">
        <f>Wh_hp&gt;='2019'!Maxi_hp</f>
        <v>0</v>
      </c>
      <c r="I312" s="382">
        <f>IF(H312,Wh_hp,'2019'!Maxi_hp)</f>
        <v>28.486867574069969</v>
      </c>
      <c r="J312" s="85">
        <f>IF(H312,An,'2019'!An_max)</f>
        <v>2018</v>
      </c>
      <c r="K312" s="199">
        <f t="shared" si="100"/>
        <v>44128</v>
      </c>
      <c r="L312" s="147">
        <f>IF(t&lt;Tvie,1-EXP((T0-t)*PertePVj)+'2019'!Pspv,1-EXP((T0-t)*PertePVj)+Pspv)</f>
        <v>1.8787729752408611E-2</v>
      </c>
      <c r="M312" s="872"/>
      <c r="N312" s="872"/>
      <c r="O312" s="48">
        <f>IF(t&lt;Tnet,'2019'!Resal+('2019'!Salim-'2019'!Resal)*(1-EXP(('2019'!Tnet-t)/('2019'!Tau_j))),Resal+(Salim-Resal)*(1-EXP((Tnet-t)/(Tau_j))))*Salcycl</f>
        <v>0.12291674081566842</v>
      </c>
      <c r="P312" s="171">
        <f>(INDEX(Models!$BJ312:$BT312,,T312)*(1-R312)+INDEX(Models!$BJ312:$BT312,,T312+1)*R312-ERP_i)*Q312*Ramure*Pc/MaxiM</f>
        <v>1.4213145862601584E-2</v>
      </c>
      <c r="Q312" s="307">
        <f t="shared" si="101"/>
        <v>0.9</v>
      </c>
      <c r="R312" s="179">
        <f t="shared" si="102"/>
        <v>0.29750062139663458</v>
      </c>
      <c r="S312" s="839">
        <f t="shared" si="103"/>
        <v>-1</v>
      </c>
      <c r="T312" s="178">
        <f t="shared" si="104"/>
        <v>5</v>
      </c>
      <c r="U312" s="253">
        <f t="shared" si="105"/>
        <v>-0.70249937860336542</v>
      </c>
      <c r="V312" s="385">
        <f t="shared" si="106"/>
        <v>24.87896871776098</v>
      </c>
      <c r="W312" s="404"/>
      <c r="X312" s="157">
        <f t="shared" si="107"/>
        <v>44128</v>
      </c>
      <c r="Y312" s="387">
        <f t="shared" si="108"/>
        <v>22.596</v>
      </c>
      <c r="Z312" s="387">
        <f t="shared" si="109"/>
        <v>23.028656168657882</v>
      </c>
      <c r="AA312" s="388">
        <f t="shared" si="110"/>
        <v>26.25595224571272</v>
      </c>
      <c r="AB312" s="199">
        <f t="shared" si="111"/>
        <v>44128</v>
      </c>
      <c r="AC312" s="119">
        <f>IF(OR(t&lt;Tnet,NoTnet),'2019'!Resal_s+('2019'!Salim-'2019'!Resal_s)*(1-EXP(('2019'!Tnet_s-t)/'2019'!Tau_j)),Resal_s+(Salim-Resal_s)*(1-EXP((Tnet_s-t)/Tau_j)))*Salcycl</f>
        <v>0.12291674081566842</v>
      </c>
      <c r="AD312" s="233">
        <f>(INDEX(Models!$BJ312:$BT312,,AH312)*(1-AF312)+INDEX(Models!$BJ312:$BT312,,AH312+1)*AF312-ERP_i)*AE312*Ramure*Pc/MaxiM</f>
        <v>1.4213145862601584E-2</v>
      </c>
      <c r="AE312" s="307">
        <f t="shared" si="112"/>
        <v>0.9</v>
      </c>
      <c r="AF312" s="179">
        <f t="shared" si="113"/>
        <v>0.29750062139663458</v>
      </c>
      <c r="AG312" s="839">
        <f t="shared" si="119"/>
        <v>-1</v>
      </c>
      <c r="AH312" s="178">
        <f t="shared" si="114"/>
        <v>5</v>
      </c>
      <c r="AI312" s="227">
        <f t="shared" si="115"/>
        <v>-0.70249937860336542</v>
      </c>
      <c r="AJ312" s="267" t="b">
        <f t="shared" si="116"/>
        <v>0</v>
      </c>
      <c r="AK312" s="267" t="b">
        <f t="shared" si="117"/>
        <v>0</v>
      </c>
      <c r="AL312" s="267"/>
      <c r="AM312" s="267"/>
      <c r="AN312" s="75"/>
    </row>
    <row r="313" spans="1:40" s="6" customFormat="1" ht="11.25" customHeight="1" x14ac:dyDescent="0.2">
      <c r="A313" s="56">
        <f t="shared" si="118"/>
        <v>44129</v>
      </c>
      <c r="B313" s="620">
        <v>17.803000000000001</v>
      </c>
      <c r="C313" s="392"/>
      <c r="D313" s="395">
        <f t="shared" si="98"/>
        <v>18.144304602884517</v>
      </c>
      <c r="E313" s="387">
        <f t="shared" si="120"/>
        <v>20.685819790177902</v>
      </c>
      <c r="F313" s="387">
        <f t="shared" si="99"/>
        <v>20.877672744428491</v>
      </c>
      <c r="G313" s="110">
        <f t="shared" si="121"/>
        <v>0.72047034066579507</v>
      </c>
      <c r="H313" s="416" t="b">
        <f>Wh_hp&gt;='2019'!Maxi_hp</f>
        <v>0</v>
      </c>
      <c r="I313" s="382">
        <f>IF(H313,Wh_hp,'2019'!Maxi_hp)</f>
        <v>29.199862154592079</v>
      </c>
      <c r="J313" s="85">
        <f>IF(H313,An,'2019'!An_max)</f>
        <v>2019</v>
      </c>
      <c r="K313" s="199">
        <f t="shared" si="100"/>
        <v>44129</v>
      </c>
      <c r="L313" s="147">
        <f>IF(t&lt;Tvie,1-EXP((T0-t)*PertePVj)+'2019'!Pspv,1-EXP((T0-t)*PertePVj)+Pspv)</f>
        <v>1.8810563995396046E-2</v>
      </c>
      <c r="M313" s="872"/>
      <c r="N313" s="872"/>
      <c r="O313" s="48">
        <f>IF(t&lt;Tnet,'2019'!Resal+('2019'!Salim-'2019'!Resal)*(1-EXP(('2019'!Tnet-t)/('2019'!Tau_j))),Resal+(Salim-Resal)*(1-EXP((Tnet-t)/(Tau_j))))*Salcycl</f>
        <v>0.12286267661000096</v>
      </c>
      <c r="P313" s="171">
        <f>(INDEX(Models!$BJ313:$BT313,,T313)*(1-R313)+INDEX(Models!$BJ313:$BT313,,T313+1)*R313-ERP_i)*Q313*Ramure*Pc/MaxiM</f>
        <v>1.5141700235787731E-2</v>
      </c>
      <c r="Q313" s="307">
        <f t="shared" si="101"/>
        <v>0.9</v>
      </c>
      <c r="R313" s="179">
        <f t="shared" si="102"/>
        <v>0.29760121379095594</v>
      </c>
      <c r="S313" s="839">
        <f t="shared" si="103"/>
        <v>-1</v>
      </c>
      <c r="T313" s="178">
        <f t="shared" si="104"/>
        <v>5</v>
      </c>
      <c r="U313" s="253">
        <f t="shared" si="105"/>
        <v>-0.70239878620904406</v>
      </c>
      <c r="V313" s="385">
        <f t="shared" si="106"/>
        <v>24.561799556634668</v>
      </c>
      <c r="W313" s="404"/>
      <c r="X313" s="157">
        <f t="shared" si="107"/>
        <v>44129</v>
      </c>
      <c r="Y313" s="387">
        <f t="shared" si="108"/>
        <v>17.803000000000001</v>
      </c>
      <c r="Z313" s="387">
        <f t="shared" si="109"/>
        <v>18.144304602884517</v>
      </c>
      <c r="AA313" s="388">
        <f t="shared" si="110"/>
        <v>20.685819790177902</v>
      </c>
      <c r="AB313" s="199">
        <f t="shared" si="111"/>
        <v>44129</v>
      </c>
      <c r="AC313" s="119">
        <f>IF(OR(t&lt;Tnet,NoTnet),'2019'!Resal_s+('2019'!Salim-'2019'!Resal_s)*(1-EXP(('2019'!Tnet_s-t)/'2019'!Tau_j)),Resal_s+(Salim-Resal_s)*(1-EXP((Tnet_s-t)/Tau_j)))*Salcycl</f>
        <v>0.12286267661000096</v>
      </c>
      <c r="AD313" s="233">
        <f>(INDEX(Models!$BJ313:$BT313,,AH313)*(1-AF313)+INDEX(Models!$BJ313:$BT313,,AH313+1)*AF313-ERP_i)*AE313*Ramure*Pc/MaxiM</f>
        <v>1.5141700235787731E-2</v>
      </c>
      <c r="AE313" s="307">
        <f t="shared" si="112"/>
        <v>0.9</v>
      </c>
      <c r="AF313" s="179">
        <f t="shared" si="113"/>
        <v>0.29760121379095594</v>
      </c>
      <c r="AG313" s="839">
        <f t="shared" si="119"/>
        <v>-1</v>
      </c>
      <c r="AH313" s="178">
        <f t="shared" si="114"/>
        <v>5</v>
      </c>
      <c r="AI313" s="227">
        <f t="shared" si="115"/>
        <v>-0.70239878620904406</v>
      </c>
      <c r="AJ313" s="267" t="b">
        <f t="shared" si="116"/>
        <v>0</v>
      </c>
      <c r="AK313" s="267" t="b">
        <f t="shared" si="117"/>
        <v>0</v>
      </c>
      <c r="AL313" s="267"/>
      <c r="AM313" s="267"/>
      <c r="AN313" s="75"/>
    </row>
    <row r="314" spans="1:40" s="6" customFormat="1" ht="11.25" customHeight="1" x14ac:dyDescent="0.2">
      <c r="A314" s="56">
        <f t="shared" si="118"/>
        <v>44130</v>
      </c>
      <c r="B314" s="620">
        <v>20.922999999999998</v>
      </c>
      <c r="C314" s="392"/>
      <c r="D314" s="395">
        <f t="shared" si="98"/>
        <v>21.324614954384508</v>
      </c>
      <c r="E314" s="387">
        <f t="shared" si="120"/>
        <v>24.310068273414913</v>
      </c>
      <c r="F314" s="387">
        <f t="shared" si="99"/>
        <v>24.629463401781621</v>
      </c>
      <c r="G314" s="110">
        <f t="shared" si="121"/>
        <v>0.86015390684267057</v>
      </c>
      <c r="H314" s="416" t="b">
        <f>Wh_hp&gt;='2019'!Maxi_hp</f>
        <v>1</v>
      </c>
      <c r="I314" s="382">
        <f>IF(H314,Wh_hp,'2019'!Maxi_hp)</f>
        <v>24.629463401781621</v>
      </c>
      <c r="J314" s="85">
        <f>IF(H314,An,'2019'!An_max)</f>
        <v>2020</v>
      </c>
      <c r="K314" s="199">
        <f t="shared" si="100"/>
        <v>44130</v>
      </c>
      <c r="L314" s="147">
        <f>IF(t&lt;Tvie,1-EXP((T0-t)*PertePVj)+'2019'!Pspv,1-EXP((T0-t)*PertePVj)+Pspv)</f>
        <v>1.8833397706997435E-2</v>
      </c>
      <c r="M314" s="872"/>
      <c r="N314" s="872"/>
      <c r="O314" s="48">
        <f>IF(t&lt;Tnet,'2019'!Resal+('2019'!Salim-'2019'!Resal)*(1-EXP(('2019'!Tnet-t)/('2019'!Tau_j))),Resal+(Salim-Resal)*(1-EXP((Tnet-t)/(Tau_j))))*Salcycl</f>
        <v>0.122807278262367</v>
      </c>
      <c r="P314" s="171">
        <f>(INDEX(Models!$BJ314:$BT314,,T314)*(1-R314)+INDEX(Models!$BJ314:$BT314,,T314+1)*R314-ERP_i)*Q314*Ramure*Pc/MaxiM</f>
        <v>1.6126074822719615E-2</v>
      </c>
      <c r="Q314" s="307">
        <f t="shared" si="101"/>
        <v>0.9</v>
      </c>
      <c r="R314" s="179">
        <f t="shared" si="102"/>
        <v>0.29769778328604413</v>
      </c>
      <c r="S314" s="839">
        <f t="shared" si="103"/>
        <v>-1</v>
      </c>
      <c r="T314" s="178">
        <f t="shared" si="104"/>
        <v>5</v>
      </c>
      <c r="U314" s="253">
        <f t="shared" si="105"/>
        <v>-0.70230221671395587</v>
      </c>
      <c r="V314" s="385">
        <f t="shared" si="106"/>
        <v>24.246888271629878</v>
      </c>
      <c r="W314" s="404"/>
      <c r="X314" s="157">
        <f t="shared" si="107"/>
        <v>44130</v>
      </c>
      <c r="Y314" s="387">
        <f t="shared" si="108"/>
        <v>20.922999999999998</v>
      </c>
      <c r="Z314" s="387">
        <f t="shared" si="109"/>
        <v>21.324614954384508</v>
      </c>
      <c r="AA314" s="388">
        <f t="shared" si="110"/>
        <v>24.310068273414913</v>
      </c>
      <c r="AB314" s="199">
        <f t="shared" si="111"/>
        <v>44130</v>
      </c>
      <c r="AC314" s="119">
        <f>IF(OR(t&lt;Tnet,NoTnet),'2019'!Resal_s+('2019'!Salim-'2019'!Resal_s)*(1-EXP(('2019'!Tnet_s-t)/'2019'!Tau_j)),Resal_s+(Salim-Resal_s)*(1-EXP((Tnet_s-t)/Tau_j)))*Salcycl</f>
        <v>0.122807278262367</v>
      </c>
      <c r="AD314" s="233">
        <f>(INDEX(Models!$BJ314:$BT314,,AH314)*(1-AF314)+INDEX(Models!$BJ314:$BT314,,AH314+1)*AF314-ERP_i)*AE314*Ramure*Pc/MaxiM</f>
        <v>1.6126074822719615E-2</v>
      </c>
      <c r="AE314" s="307">
        <f t="shared" si="112"/>
        <v>0.9</v>
      </c>
      <c r="AF314" s="179">
        <f t="shared" si="113"/>
        <v>0.29769778328604413</v>
      </c>
      <c r="AG314" s="839">
        <f t="shared" si="119"/>
        <v>-1</v>
      </c>
      <c r="AH314" s="178">
        <f t="shared" si="114"/>
        <v>5</v>
      </c>
      <c r="AI314" s="227">
        <f t="shared" si="115"/>
        <v>-0.70230221671395587</v>
      </c>
      <c r="AJ314" s="267" t="b">
        <f t="shared" si="116"/>
        <v>0</v>
      </c>
      <c r="AK314" s="267" t="b">
        <f t="shared" si="117"/>
        <v>0</v>
      </c>
      <c r="AL314" s="267"/>
      <c r="AM314" s="267"/>
      <c r="AN314" s="75"/>
    </row>
    <row r="315" spans="1:40" s="6" customFormat="1" ht="11.25" customHeight="1" x14ac:dyDescent="0.2">
      <c r="A315" s="56">
        <f t="shared" si="118"/>
        <v>44131</v>
      </c>
      <c r="B315" s="620">
        <v>19.765999999999998</v>
      </c>
      <c r="C315" s="392"/>
      <c r="D315" s="395">
        <f t="shared" si="98"/>
        <v>20.14587527562237</v>
      </c>
      <c r="E315" s="387">
        <f t="shared" si="120"/>
        <v>22.964823330890386</v>
      </c>
      <c r="F315" s="387">
        <f t="shared" si="99"/>
        <v>23.264873438019531</v>
      </c>
      <c r="G315" s="110">
        <f t="shared" si="121"/>
        <v>0.8222831660049732</v>
      </c>
      <c r="H315" s="416" t="b">
        <f>Wh_hp&gt;='2019'!Maxi_hp</f>
        <v>1</v>
      </c>
      <c r="I315" s="382">
        <f>IF(H315,Wh_hp,'2019'!Maxi_hp)</f>
        <v>23.264873438019531</v>
      </c>
      <c r="J315" s="85">
        <f>IF(H315,An,'2019'!An_max)</f>
        <v>2020</v>
      </c>
      <c r="K315" s="199">
        <f t="shared" si="100"/>
        <v>44131</v>
      </c>
      <c r="L315" s="147">
        <f>IF(t&lt;Tvie,1-EXP((T0-t)*PertePVj)+'2019'!Pspv,1-EXP((T0-t)*PertePVj)+Pspv)</f>
        <v>1.885623088722499E-2</v>
      </c>
      <c r="M315" s="872"/>
      <c r="N315" s="872"/>
      <c r="O315" s="48">
        <f>IF(t&lt;Tnet,'2019'!Resal+('2019'!Salim-'2019'!Resal)*(1-EXP(('2019'!Tnet-t)/('2019'!Tau_j))),Resal+(Salim-Resal)*(1-EXP((Tnet-t)/(Tau_j))))*Salcycl</f>
        <v>0.1227506963433157</v>
      </c>
      <c r="P315" s="171">
        <f>(INDEX(Models!$BJ315:$BT315,,T315)*(1-R315)+INDEX(Models!$BJ315:$BT315,,T315+1)*R315-ERP_i)*Q315*Ramure*Pc/MaxiM</f>
        <v>1.7168164827978196E-2</v>
      </c>
      <c r="Q315" s="307">
        <f t="shared" si="101"/>
        <v>0.9</v>
      </c>
      <c r="R315" s="179">
        <f t="shared" si="102"/>
        <v>0.29779048971633904</v>
      </c>
      <c r="S315" s="839">
        <f t="shared" si="103"/>
        <v>-1</v>
      </c>
      <c r="T315" s="178">
        <f t="shared" si="104"/>
        <v>5</v>
      </c>
      <c r="U315" s="253">
        <f t="shared" si="105"/>
        <v>-0.70220951028366096</v>
      </c>
      <c r="V315" s="385">
        <f t="shared" si="106"/>
        <v>23.933939705747424</v>
      </c>
      <c r="W315" s="404"/>
      <c r="X315" s="157">
        <f t="shared" si="107"/>
        <v>44131</v>
      </c>
      <c r="Y315" s="387">
        <f t="shared" si="108"/>
        <v>19.765999999999998</v>
      </c>
      <c r="Z315" s="387">
        <f t="shared" si="109"/>
        <v>20.14587527562237</v>
      </c>
      <c r="AA315" s="388">
        <f t="shared" si="110"/>
        <v>22.964823330890386</v>
      </c>
      <c r="AB315" s="199">
        <f t="shared" si="111"/>
        <v>44131</v>
      </c>
      <c r="AC315" s="119">
        <f>IF(OR(t&lt;Tnet,NoTnet),'2019'!Resal_s+('2019'!Salim-'2019'!Resal_s)*(1-EXP(('2019'!Tnet_s-t)/'2019'!Tau_j)),Resal_s+(Salim-Resal_s)*(1-EXP((Tnet_s-t)/Tau_j)))*Salcycl</f>
        <v>0.1227506963433157</v>
      </c>
      <c r="AD315" s="233">
        <f>(INDEX(Models!$BJ315:$BT315,,AH315)*(1-AF315)+INDEX(Models!$BJ315:$BT315,,AH315+1)*AF315-ERP_i)*AE315*Ramure*Pc/MaxiM</f>
        <v>1.7168164827978196E-2</v>
      </c>
      <c r="AE315" s="307">
        <f t="shared" si="112"/>
        <v>0.9</v>
      </c>
      <c r="AF315" s="179">
        <f t="shared" si="113"/>
        <v>0.29779048971633904</v>
      </c>
      <c r="AG315" s="839">
        <f t="shared" si="119"/>
        <v>-1</v>
      </c>
      <c r="AH315" s="178">
        <f t="shared" si="114"/>
        <v>5</v>
      </c>
      <c r="AI315" s="227">
        <f t="shared" si="115"/>
        <v>-0.70220951028366096</v>
      </c>
      <c r="AJ315" s="267" t="b">
        <f t="shared" si="116"/>
        <v>0</v>
      </c>
      <c r="AK315" s="267" t="b">
        <f t="shared" si="117"/>
        <v>0</v>
      </c>
      <c r="AL315" s="267"/>
      <c r="AM315" s="267"/>
      <c r="AN315" s="75"/>
    </row>
    <row r="316" spans="1:40" s="6" customFormat="1" ht="11.25" customHeight="1" x14ac:dyDescent="0.2">
      <c r="A316" s="56">
        <f t="shared" si="118"/>
        <v>44132</v>
      </c>
      <c r="B316" s="620">
        <v>10.077</v>
      </c>
      <c r="C316" s="392"/>
      <c r="D316" s="395">
        <f t="shared" si="98"/>
        <v>10.270905069377946</v>
      </c>
      <c r="E316" s="387">
        <f t="shared" si="120"/>
        <v>11.707311227223066</v>
      </c>
      <c r="F316" s="387">
        <f t="shared" si="99"/>
        <v>11.746117848906213</v>
      </c>
      <c r="G316" s="110">
        <f t="shared" si="121"/>
        <v>0.42017649127393586</v>
      </c>
      <c r="H316" s="416" t="b">
        <f>Wh_hp&gt;='2019'!Maxi_hp</f>
        <v>0</v>
      </c>
      <c r="I316" s="382">
        <f>IF(H316,Wh_hp,'2019'!Maxi_hp)</f>
        <v>25.15927908632538</v>
      </c>
      <c r="J316" s="85">
        <f>IF(H316,An,'2019'!An_max)</f>
        <v>2019</v>
      </c>
      <c r="K316" s="199">
        <f t="shared" si="100"/>
        <v>44132</v>
      </c>
      <c r="L316" s="147">
        <f>IF(t&lt;Tvie,1-EXP((T0-t)*PertePVj)+'2019'!Pspv,1-EXP((T0-t)*PertePVj)+Pspv)</f>
        <v>1.8879063536091034E-2</v>
      </c>
      <c r="M316" s="872"/>
      <c r="N316" s="872"/>
      <c r="O316" s="48">
        <f>IF(t&lt;Tnet,'2019'!Resal+('2019'!Salim-'2019'!Resal)*(1-EXP(('2019'!Tnet-t)/('2019'!Tau_j))),Resal+(Salim-Resal)*(1-EXP((Tnet-t)/(Tau_j))))*Salcycl</f>
        <v>0.12269308724833736</v>
      </c>
      <c r="P316" s="171">
        <f>(INDEX(Models!$BJ316:$BT316,,T316)*(1-R316)+INDEX(Models!$BJ316:$BT316,,T316+1)*R316-ERP_i)*Q316*Ramure*Pc/MaxiM</f>
        <v>1.826996509664711E-2</v>
      </c>
      <c r="Q316" s="307">
        <f t="shared" si="101"/>
        <v>0.9</v>
      </c>
      <c r="R316" s="179">
        <f t="shared" si="102"/>
        <v>0.29787948664846964</v>
      </c>
      <c r="S316" s="839">
        <f t="shared" si="103"/>
        <v>-1</v>
      </c>
      <c r="T316" s="178">
        <f t="shared" si="104"/>
        <v>5</v>
      </c>
      <c r="U316" s="253">
        <f t="shared" si="105"/>
        <v>-0.70212051335153036</v>
      </c>
      <c r="V316" s="385">
        <f t="shared" si="106"/>
        <v>23.622658758281368</v>
      </c>
      <c r="W316" s="404"/>
      <c r="X316" s="157">
        <f t="shared" si="107"/>
        <v>44132</v>
      </c>
      <c r="Y316" s="387">
        <f t="shared" si="108"/>
        <v>10.077</v>
      </c>
      <c r="Z316" s="387">
        <f t="shared" si="109"/>
        <v>10.270905069377946</v>
      </c>
      <c r="AA316" s="388">
        <f t="shared" si="110"/>
        <v>11.707311227223066</v>
      </c>
      <c r="AB316" s="199">
        <f t="shared" si="111"/>
        <v>44132</v>
      </c>
      <c r="AC316" s="119">
        <f>IF(OR(t&lt;Tnet,NoTnet),'2019'!Resal_s+('2019'!Salim-'2019'!Resal_s)*(1-EXP(('2019'!Tnet_s-t)/'2019'!Tau_j)),Resal_s+(Salim-Resal_s)*(1-EXP((Tnet_s-t)/Tau_j)))*Salcycl</f>
        <v>0.12269308724833736</v>
      </c>
      <c r="AD316" s="233">
        <f>(INDEX(Models!$BJ316:$BT316,,AH316)*(1-AF316)+INDEX(Models!$BJ316:$BT316,,AH316+1)*AF316-ERP_i)*AE316*Ramure*Pc/MaxiM</f>
        <v>1.826996509664711E-2</v>
      </c>
      <c r="AE316" s="307">
        <f t="shared" si="112"/>
        <v>0.9</v>
      </c>
      <c r="AF316" s="179">
        <f t="shared" si="113"/>
        <v>0.29787948664846964</v>
      </c>
      <c r="AG316" s="839">
        <f t="shared" si="119"/>
        <v>-1</v>
      </c>
      <c r="AH316" s="178">
        <f t="shared" si="114"/>
        <v>5</v>
      </c>
      <c r="AI316" s="227">
        <f t="shared" si="115"/>
        <v>-0.70212051335153036</v>
      </c>
      <c r="AJ316" s="267" t="b">
        <f t="shared" si="116"/>
        <v>0</v>
      </c>
      <c r="AK316" s="267" t="b">
        <f t="shared" si="117"/>
        <v>0</v>
      </c>
      <c r="AL316" s="267"/>
      <c r="AM316" s="267"/>
      <c r="AN316" s="75"/>
    </row>
    <row r="317" spans="1:40" s="6" customFormat="1" ht="11.25" customHeight="1" x14ac:dyDescent="0.2">
      <c r="A317" s="56">
        <f t="shared" si="118"/>
        <v>44133</v>
      </c>
      <c r="B317" s="620">
        <v>21.539000000000001</v>
      </c>
      <c r="C317" s="392"/>
      <c r="D317" s="395">
        <f t="shared" si="98"/>
        <v>21.953971681913803</v>
      </c>
      <c r="E317" s="387">
        <f t="shared" si="120"/>
        <v>25.022609732631764</v>
      </c>
      <c r="F317" s="387">
        <f t="shared" si="99"/>
        <v>25.463678721185552</v>
      </c>
      <c r="G317" s="110">
        <f t="shared" si="121"/>
        <v>0.9219335839330085</v>
      </c>
      <c r="H317" s="416" t="b">
        <f>Wh_hp&gt;='2019'!Maxi_hp</f>
        <v>1</v>
      </c>
      <c r="I317" s="382">
        <f>IF(H317,Wh_hp,'2019'!Maxi_hp)</f>
        <v>25.463678721185552</v>
      </c>
      <c r="J317" s="85">
        <f>IF(H317,An,'2019'!An_max)</f>
        <v>2020</v>
      </c>
      <c r="K317" s="199">
        <f t="shared" si="100"/>
        <v>44133</v>
      </c>
      <c r="L317" s="147">
        <f>IF(t&lt;Tvie,1-EXP((T0-t)*PertePVj)+'2019'!Pspv,1-EXP((T0-t)*PertePVj)+Pspv)</f>
        <v>1.8901895653608003E-2</v>
      </c>
      <c r="M317" s="872"/>
      <c r="N317" s="872"/>
      <c r="O317" s="48">
        <f>IF(t&lt;Tnet,'2019'!Resal+('2019'!Salim-'2019'!Resal)*(1-EXP(('2019'!Tnet-t)/('2019'!Tau_j))),Resal+(Salim-Resal)*(1-EXP((Tnet-t)/(Tau_j))))*Salcycl</f>
        <v>0.12263461259663008</v>
      </c>
      <c r="P317" s="171">
        <f>(INDEX(Models!$BJ317:$BT317,,T317)*(1-R317)+INDEX(Models!$BJ317:$BT317,,T317+1)*R317-ERP_i)*Q317*Ramure*Pc/MaxiM</f>
        <v>1.9433672661365468E-2</v>
      </c>
      <c r="Q317" s="307">
        <f t="shared" si="101"/>
        <v>0.9</v>
      </c>
      <c r="R317" s="179">
        <f t="shared" si="102"/>
        <v>0.29796492162052945</v>
      </c>
      <c r="S317" s="839">
        <f t="shared" si="103"/>
        <v>-1</v>
      </c>
      <c r="T317" s="178">
        <f t="shared" si="104"/>
        <v>5</v>
      </c>
      <c r="U317" s="253">
        <f t="shared" si="105"/>
        <v>-0.70203507837947055</v>
      </c>
      <c r="V317" s="385">
        <f t="shared" si="106"/>
        <v>23.312637988511955</v>
      </c>
      <c r="W317" s="404"/>
      <c r="X317" s="157">
        <f t="shared" si="107"/>
        <v>44133</v>
      </c>
      <c r="Y317" s="387">
        <f t="shared" si="108"/>
        <v>21.539000000000001</v>
      </c>
      <c r="Z317" s="387">
        <f t="shared" si="109"/>
        <v>21.953971681913803</v>
      </c>
      <c r="AA317" s="388">
        <f t="shared" si="110"/>
        <v>25.022609732631764</v>
      </c>
      <c r="AB317" s="199">
        <f t="shared" si="111"/>
        <v>44133</v>
      </c>
      <c r="AC317" s="119">
        <f>IF(OR(t&lt;Tnet,NoTnet),'2019'!Resal_s+('2019'!Salim-'2019'!Resal_s)*(1-EXP(('2019'!Tnet_s-t)/'2019'!Tau_j)),Resal_s+(Salim-Resal_s)*(1-EXP((Tnet_s-t)/Tau_j)))*Salcycl</f>
        <v>0.12263461259663008</v>
      </c>
      <c r="AD317" s="233">
        <f>(INDEX(Models!$BJ317:$BT317,,AH317)*(1-AF317)+INDEX(Models!$BJ317:$BT317,,AH317+1)*AF317-ERP_i)*AE317*Ramure*Pc/MaxiM</f>
        <v>1.9433672661365468E-2</v>
      </c>
      <c r="AE317" s="307">
        <f t="shared" si="112"/>
        <v>0.9</v>
      </c>
      <c r="AF317" s="179">
        <f t="shared" si="113"/>
        <v>0.29796492162052945</v>
      </c>
      <c r="AG317" s="839">
        <f t="shared" si="119"/>
        <v>-1</v>
      </c>
      <c r="AH317" s="178">
        <f t="shared" si="114"/>
        <v>5</v>
      </c>
      <c r="AI317" s="227">
        <f t="shared" si="115"/>
        <v>-0.70203507837947055</v>
      </c>
      <c r="AJ317" s="267" t="b">
        <f t="shared" si="116"/>
        <v>0</v>
      </c>
      <c r="AK317" s="267" t="b">
        <f t="shared" si="117"/>
        <v>0</v>
      </c>
      <c r="AL317" s="267"/>
      <c r="AM317" s="267"/>
      <c r="AN317" s="75"/>
    </row>
    <row r="318" spans="1:40" s="6" customFormat="1" ht="11.25" customHeight="1" x14ac:dyDescent="0.2">
      <c r="A318" s="56">
        <f t="shared" si="118"/>
        <v>44134</v>
      </c>
      <c r="B318" s="620">
        <v>23.402000000000001</v>
      </c>
      <c r="C318" s="392"/>
      <c r="D318" s="395">
        <f t="shared" si="98"/>
        <v>23.853419456959212</v>
      </c>
      <c r="E318" s="387">
        <f t="shared" si="120"/>
        <v>27.185721150274542</v>
      </c>
      <c r="F318" s="387">
        <f t="shared" si="99"/>
        <v>27.758372597474693</v>
      </c>
      <c r="G318" s="110">
        <f t="shared" si="121"/>
        <v>1.0172722955838562</v>
      </c>
      <c r="H318" s="416" t="b">
        <f>Wh_hp&gt;='2019'!Maxi_hp</f>
        <v>1</v>
      </c>
      <c r="I318" s="382">
        <f>IF(H318,Wh_hp,'2019'!Maxi_hp)</f>
        <v>27.758372597474693</v>
      </c>
      <c r="J318" s="85">
        <f>IF(H318,An,'2019'!An_max)</f>
        <v>2020</v>
      </c>
      <c r="K318" s="199">
        <f t="shared" si="100"/>
        <v>44134</v>
      </c>
      <c r="L318" s="147">
        <f>IF(t&lt;Tvie,1-EXP((T0-t)*PertePVj)+'2019'!Pspv,1-EXP((T0-t)*PertePVj)+Pspv)</f>
        <v>1.8924727239788219E-2</v>
      </c>
      <c r="M318" s="872"/>
      <c r="N318" s="872"/>
      <c r="O318" s="48">
        <f>IF(t&lt;Tnet,'2019'!Resal+('2019'!Salim-'2019'!Resal)*(1-EXP(('2019'!Tnet-t)/('2019'!Tau_j))),Resal+(Salim-Resal)*(1-EXP((Tnet-t)/(Tau_j))))*Salcycl</f>
        <v>0.12257543858760864</v>
      </c>
      <c r="P318" s="171">
        <f>(INDEX(Models!$BJ318:$BT318,,T318)*(1-R318)+INDEX(Models!$BJ318:$BT318,,T318+1)*R318-ERP_i)*Q318*Ramure*Pc/MaxiM</f>
        <v>2.0629863843395775E-2</v>
      </c>
      <c r="Q318" s="307">
        <f t="shared" si="101"/>
        <v>0.9</v>
      </c>
      <c r="R318" s="179">
        <f t="shared" si="102"/>
        <v>0.29804693637273472</v>
      </c>
      <c r="S318" s="839">
        <f t="shared" si="103"/>
        <v>-1</v>
      </c>
      <c r="T318" s="178">
        <f t="shared" si="104"/>
        <v>5</v>
      </c>
      <c r="U318" s="253">
        <f t="shared" si="105"/>
        <v>-0.70195306362726528</v>
      </c>
      <c r="V318" s="385">
        <f t="shared" si="106"/>
        <v>23.00465676848949</v>
      </c>
      <c r="W318" s="404"/>
      <c r="X318" s="157">
        <f t="shared" si="107"/>
        <v>44134</v>
      </c>
      <c r="Y318" s="387">
        <f t="shared" si="108"/>
        <v>23.402000000000001</v>
      </c>
      <c r="Z318" s="387">
        <f t="shared" si="109"/>
        <v>23.853419456959212</v>
      </c>
      <c r="AA318" s="388">
        <f t="shared" si="110"/>
        <v>27.185721150274542</v>
      </c>
      <c r="AB318" s="199">
        <f t="shared" si="111"/>
        <v>44134</v>
      </c>
      <c r="AC318" s="119">
        <f>IF(OR(t&lt;Tnet,NoTnet),'2019'!Resal_s+('2019'!Salim-'2019'!Resal_s)*(1-EXP(('2019'!Tnet_s-t)/'2019'!Tau_j)),Resal_s+(Salim-Resal_s)*(1-EXP((Tnet_s-t)/Tau_j)))*Salcycl</f>
        <v>0.12257543858760864</v>
      </c>
      <c r="AD318" s="233">
        <f>(INDEX(Models!$BJ318:$BT318,,AH318)*(1-AF318)+INDEX(Models!$BJ318:$BT318,,AH318+1)*AF318-ERP_i)*AE318*Ramure*Pc/MaxiM</f>
        <v>2.0629863843395775E-2</v>
      </c>
      <c r="AE318" s="307">
        <f t="shared" si="112"/>
        <v>0.9</v>
      </c>
      <c r="AF318" s="179">
        <f t="shared" si="113"/>
        <v>0.29804693637273472</v>
      </c>
      <c r="AG318" s="839">
        <f t="shared" si="119"/>
        <v>-1</v>
      </c>
      <c r="AH318" s="178">
        <f t="shared" si="114"/>
        <v>5</v>
      </c>
      <c r="AI318" s="227">
        <f t="shared" si="115"/>
        <v>-0.70195306362726528</v>
      </c>
      <c r="AJ318" s="267" t="b">
        <f t="shared" si="116"/>
        <v>0</v>
      </c>
      <c r="AK318" s="267" t="b">
        <f t="shared" si="117"/>
        <v>0</v>
      </c>
      <c r="AL318" s="267"/>
      <c r="AM318" s="267"/>
      <c r="AN318" s="75"/>
    </row>
    <row r="319" spans="1:40" s="6" customFormat="1" ht="11.25" customHeight="1" x14ac:dyDescent="0.2">
      <c r="A319" s="56">
        <f t="shared" si="118"/>
        <v>44135</v>
      </c>
      <c r="B319" s="620">
        <v>22.524999999999999</v>
      </c>
      <c r="C319" s="392"/>
      <c r="D319" s="395">
        <f t="shared" si="98"/>
        <v>22.960036632542256</v>
      </c>
      <c r="E319" s="387">
        <f t="shared" si="120"/>
        <v>26.165753115688233</v>
      </c>
      <c r="F319" s="387">
        <f t="shared" si="99"/>
        <v>26.743008767740822</v>
      </c>
      <c r="G319" s="110">
        <f t="shared" si="121"/>
        <v>0.99205263660448506</v>
      </c>
      <c r="H319" s="416" t="b">
        <f>Wh_hp&gt;='2019'!Maxi_hp</f>
        <v>1</v>
      </c>
      <c r="I319" s="382">
        <f>IF(H319,Wh_hp,'2019'!Maxi_hp)</f>
        <v>26.743008767740822</v>
      </c>
      <c r="J319" s="85">
        <f>IF(H319,An,'2019'!An_max)</f>
        <v>2020</v>
      </c>
      <c r="K319" s="199">
        <f t="shared" si="100"/>
        <v>44135</v>
      </c>
      <c r="L319" s="147">
        <f>IF(t&lt;Tvie,1-EXP((T0-t)*PertePVj)+'2019'!Pspv,1-EXP((T0-t)*PertePVj)+Pspv)</f>
        <v>1.8947558294644007E-2</v>
      </c>
      <c r="M319" s="872"/>
      <c r="N319" s="872"/>
      <c r="O319" s="48">
        <f>IF(t&lt;Tnet,'2019'!Resal+('2019'!Salim-'2019'!Resal)*(1-EXP(('2019'!Tnet-t)/('2019'!Tau_j))),Resal+(Salim-Resal)*(1-EXP((Tnet-t)/(Tau_j))))*Salcycl</f>
        <v>0.12251573531907713</v>
      </c>
      <c r="P319" s="171">
        <f>(INDEX(Models!$BJ319:$BT319,,T319)*(1-R319)+INDEX(Models!$BJ319:$BT319,,T319+1)*R319-ERP_i)*Q319*Ramure*Pc/MaxiM</f>
        <v>2.1825489512100154E-2</v>
      </c>
      <c r="Q319" s="307">
        <f t="shared" si="101"/>
        <v>0.9</v>
      </c>
      <c r="R319" s="179">
        <f t="shared" si="102"/>
        <v>0.29812566706973298</v>
      </c>
      <c r="S319" s="839">
        <f t="shared" si="103"/>
        <v>-1</v>
      </c>
      <c r="T319" s="178">
        <f t="shared" si="104"/>
        <v>5</v>
      </c>
      <c r="U319" s="253">
        <f t="shared" si="105"/>
        <v>-0.70187433293026702</v>
      </c>
      <c r="V319" s="385">
        <f t="shared" si="106"/>
        <v>22.699874337841795</v>
      </c>
      <c r="W319" s="404"/>
      <c r="X319" s="157">
        <f t="shared" si="107"/>
        <v>44135</v>
      </c>
      <c r="Y319" s="387">
        <f t="shared" si="108"/>
        <v>22.524999999999999</v>
      </c>
      <c r="Z319" s="387">
        <f t="shared" si="109"/>
        <v>22.960036632542256</v>
      </c>
      <c r="AA319" s="388">
        <f t="shared" si="110"/>
        <v>26.165753115688233</v>
      </c>
      <c r="AB319" s="199">
        <f t="shared" si="111"/>
        <v>44135</v>
      </c>
      <c r="AC319" s="119">
        <f>IF(OR(t&lt;Tnet,NoTnet),'2019'!Resal_s+('2019'!Salim-'2019'!Resal_s)*(1-EXP(('2019'!Tnet_s-t)/'2019'!Tau_j)),Resal_s+(Salim-Resal_s)*(1-EXP((Tnet_s-t)/Tau_j)))*Salcycl</f>
        <v>0.12251573531907713</v>
      </c>
      <c r="AD319" s="233">
        <f>(INDEX(Models!$BJ319:$BT319,,AH319)*(1-AF319)+INDEX(Models!$BJ319:$BT319,,AH319+1)*AF319-ERP_i)*AE319*Ramure*Pc/MaxiM</f>
        <v>2.1825489512100154E-2</v>
      </c>
      <c r="AE319" s="307">
        <f t="shared" si="112"/>
        <v>0.9</v>
      </c>
      <c r="AF319" s="179">
        <f t="shared" si="113"/>
        <v>0.29812566706973298</v>
      </c>
      <c r="AG319" s="839">
        <f t="shared" si="119"/>
        <v>-1</v>
      </c>
      <c r="AH319" s="178">
        <f t="shared" si="114"/>
        <v>5</v>
      </c>
      <c r="AI319" s="227">
        <f t="shared" si="115"/>
        <v>-0.70187433293026702</v>
      </c>
      <c r="AJ319" s="267" t="b">
        <f t="shared" si="116"/>
        <v>0</v>
      </c>
      <c r="AK319" s="267" t="b">
        <f t="shared" si="117"/>
        <v>0</v>
      </c>
      <c r="AL319" s="267"/>
      <c r="AM319" s="267"/>
      <c r="AN319" s="75"/>
    </row>
    <row r="320" spans="1:40" s="6" customFormat="1" ht="11.25" customHeight="1" x14ac:dyDescent="0.2">
      <c r="A320" s="56">
        <f t="shared" si="118"/>
        <v>44136</v>
      </c>
      <c r="B320" s="620">
        <v>20.57</v>
      </c>
      <c r="C320" s="392"/>
      <c r="D320" s="395">
        <f t="shared" si="98"/>
        <v>20.967766686695665</v>
      </c>
      <c r="E320" s="387">
        <f t="shared" si="120"/>
        <v>23.893683902854843</v>
      </c>
      <c r="F320" s="387">
        <f t="shared" si="99"/>
        <v>24.389643931910925</v>
      </c>
      <c r="G320" s="110">
        <f t="shared" si="121"/>
        <v>0.91584117091531214</v>
      </c>
      <c r="H320" s="416" t="b">
        <f>Wh_hp&gt;='2019'!Maxi_hp</f>
        <v>1</v>
      </c>
      <c r="I320" s="382">
        <f>IF(H320,Wh_hp,'2019'!Maxi_hp)</f>
        <v>24.389643931910925</v>
      </c>
      <c r="J320" s="85">
        <f>IF(H320,An,'2019'!An_max)</f>
        <v>2020</v>
      </c>
      <c r="K320" s="199">
        <f t="shared" si="100"/>
        <v>44136</v>
      </c>
      <c r="L320" s="147">
        <f>IF(t&lt;Tvie,1-EXP((T0-t)*PertePVj)+'2019'!Pspv,1-EXP((T0-t)*PertePVj)+Pspv)</f>
        <v>1.8970388818187911E-2</v>
      </c>
      <c r="M320" s="872"/>
      <c r="N320" s="872"/>
      <c r="O320" s="48">
        <f>IF(t&lt;Tnet,'2019'!Resal+('2019'!Salim-'2019'!Resal)*(1-EXP(('2019'!Tnet-t)/('2019'!Tau_j))),Resal+(Salim-Resal)*(1-EXP((Tnet-t)/(Tau_j))))*Salcycl</f>
        <v>0.12245567607134815</v>
      </c>
      <c r="P320" s="171">
        <f>(INDEX(Models!$BJ320:$BT320,,T320)*(1-R320)+INDEX(Models!$BJ320:$BT320,,T320+1)*R320-ERP_i)*Q320*Ramure*Pc/MaxiM</f>
        <v>2.301968045074735E-2</v>
      </c>
      <c r="Q320" s="307">
        <f t="shared" si="101"/>
        <v>0.9</v>
      </c>
      <c r="R320" s="179">
        <f t="shared" si="102"/>
        <v>0.29820124451482877</v>
      </c>
      <c r="S320" s="839">
        <f t="shared" si="103"/>
        <v>-1</v>
      </c>
      <c r="T320" s="178">
        <f t="shared" si="104"/>
        <v>5</v>
      </c>
      <c r="U320" s="253">
        <f t="shared" si="105"/>
        <v>-0.70179875548517123</v>
      </c>
      <c r="V320" s="385">
        <f t="shared" si="106"/>
        <v>22.398673028887252</v>
      </c>
      <c r="W320" s="404"/>
      <c r="X320" s="157">
        <f t="shared" si="107"/>
        <v>44136</v>
      </c>
      <c r="Y320" s="387">
        <f t="shared" si="108"/>
        <v>20.57</v>
      </c>
      <c r="Z320" s="387">
        <f t="shared" si="109"/>
        <v>20.967766686695665</v>
      </c>
      <c r="AA320" s="388">
        <f t="shared" si="110"/>
        <v>23.893683902854843</v>
      </c>
      <c r="AB320" s="199">
        <f t="shared" si="111"/>
        <v>44136</v>
      </c>
      <c r="AC320" s="119">
        <f>IF(OR(t&lt;Tnet,NoTnet),'2019'!Resal_s+('2019'!Salim-'2019'!Resal_s)*(1-EXP(('2019'!Tnet_s-t)/'2019'!Tau_j)),Resal_s+(Salim-Resal_s)*(1-EXP((Tnet_s-t)/Tau_j)))*Salcycl</f>
        <v>0.12245567607134815</v>
      </c>
      <c r="AD320" s="233">
        <f>(INDEX(Models!$BJ320:$BT320,,AH320)*(1-AF320)+INDEX(Models!$BJ320:$BT320,,AH320+1)*AF320-ERP_i)*AE320*Ramure*Pc/MaxiM</f>
        <v>2.301968045074735E-2</v>
      </c>
      <c r="AE320" s="307">
        <f t="shared" si="112"/>
        <v>0.9</v>
      </c>
      <c r="AF320" s="179">
        <f t="shared" si="113"/>
        <v>0.29820124451482877</v>
      </c>
      <c r="AG320" s="839">
        <f t="shared" si="119"/>
        <v>-1</v>
      </c>
      <c r="AH320" s="178">
        <f t="shared" si="114"/>
        <v>5</v>
      </c>
      <c r="AI320" s="227">
        <f t="shared" si="115"/>
        <v>-0.70179875548517123</v>
      </c>
      <c r="AJ320" s="267" t="b">
        <f t="shared" si="116"/>
        <v>0</v>
      </c>
      <c r="AK320" s="267" t="b">
        <f t="shared" si="117"/>
        <v>0</v>
      </c>
      <c r="AL320" s="267"/>
      <c r="AM320" s="267"/>
      <c r="AN320" s="75"/>
    </row>
    <row r="321" spans="1:40" s="6" customFormat="1" ht="11.25" customHeight="1" x14ac:dyDescent="0.2">
      <c r="A321" s="56">
        <f t="shared" si="118"/>
        <v>44137</v>
      </c>
      <c r="B321" s="620">
        <v>21.297000000000001</v>
      </c>
      <c r="C321" s="392"/>
      <c r="D321" s="395">
        <f t="shared" si="98"/>
        <v>21.709330055981141</v>
      </c>
      <c r="E321" s="387">
        <f t="shared" si="120"/>
        <v>24.737029592158397</v>
      </c>
      <c r="F321" s="387">
        <f t="shared" si="99"/>
        <v>25.318145187066094</v>
      </c>
      <c r="G321" s="110">
        <f t="shared" si="121"/>
        <v>0.96236098482981358</v>
      </c>
      <c r="H321" s="416" t="b">
        <f>Wh_hp&gt;='2019'!Maxi_hp</f>
        <v>1</v>
      </c>
      <c r="I321" s="382">
        <f>IF(H321,Wh_hp,'2019'!Maxi_hp)</f>
        <v>25.318145187066094</v>
      </c>
      <c r="J321" s="85">
        <f>IF(H321,An,'2019'!An_max)</f>
        <v>2020</v>
      </c>
      <c r="K321" s="199">
        <f t="shared" si="100"/>
        <v>44137</v>
      </c>
      <c r="L321" s="147">
        <f>IF(t&lt;Tvie,1-EXP((T0-t)*PertePVj)+'2019'!Pspv,1-EXP((T0-t)*PertePVj)+Pspv)</f>
        <v>1.8993218810432144E-2</v>
      </c>
      <c r="M321" s="872"/>
      <c r="N321" s="872"/>
      <c r="O321" s="48">
        <f>IF(t&lt;Tnet,'2019'!Resal+('2019'!Salim-'2019'!Resal)*(1-EXP(('2019'!Tnet-t)/('2019'!Tau_j))),Resal+(Salim-Resal)*(1-EXP((Tnet-t)/(Tau_j))))*Salcycl</f>
        <v>0.12239543656191575</v>
      </c>
      <c r="P321" s="171">
        <f>(INDEX(Models!$BJ321:$BT321,,T321)*(1-R321)+INDEX(Models!$BJ321:$BT321,,T321+1)*R321-ERP_i)*Q321*Ramure*Pc/MaxiM</f>
        <v>2.4211440360603943E-2</v>
      </c>
      <c r="Q321" s="307">
        <f t="shared" si="101"/>
        <v>0.9</v>
      </c>
      <c r="R321" s="179">
        <f t="shared" si="102"/>
        <v>0.29827379435637935</v>
      </c>
      <c r="S321" s="839">
        <f t="shared" si="103"/>
        <v>-1</v>
      </c>
      <c r="T321" s="178">
        <f t="shared" si="104"/>
        <v>5</v>
      </c>
      <c r="U321" s="253">
        <f t="shared" si="105"/>
        <v>-0.70172620564362065</v>
      </c>
      <c r="V321" s="385">
        <f t="shared" si="106"/>
        <v>22.101435508300959</v>
      </c>
      <c r="W321" s="404"/>
      <c r="X321" s="157">
        <f t="shared" si="107"/>
        <v>44137</v>
      </c>
      <c r="Y321" s="387">
        <f t="shared" si="108"/>
        <v>21.297000000000001</v>
      </c>
      <c r="Z321" s="387">
        <f t="shared" si="109"/>
        <v>21.709330055981141</v>
      </c>
      <c r="AA321" s="388">
        <f t="shared" si="110"/>
        <v>24.737029592158397</v>
      </c>
      <c r="AB321" s="199">
        <f t="shared" si="111"/>
        <v>44137</v>
      </c>
      <c r="AC321" s="119">
        <f>IF(OR(t&lt;Tnet,NoTnet),'2019'!Resal_s+('2019'!Salim-'2019'!Resal_s)*(1-EXP(('2019'!Tnet_s-t)/'2019'!Tau_j)),Resal_s+(Salim-Resal_s)*(1-EXP((Tnet_s-t)/Tau_j)))*Salcycl</f>
        <v>0.12239543656191575</v>
      </c>
      <c r="AD321" s="233">
        <f>(INDEX(Models!$BJ321:$BT321,,AH321)*(1-AF321)+INDEX(Models!$BJ321:$BT321,,AH321+1)*AF321-ERP_i)*AE321*Ramure*Pc/MaxiM</f>
        <v>2.4211440360603943E-2</v>
      </c>
      <c r="AE321" s="307">
        <f t="shared" si="112"/>
        <v>0.9</v>
      </c>
      <c r="AF321" s="179">
        <f t="shared" si="113"/>
        <v>0.29827379435637935</v>
      </c>
      <c r="AG321" s="839">
        <f t="shared" si="119"/>
        <v>-1</v>
      </c>
      <c r="AH321" s="178">
        <f t="shared" si="114"/>
        <v>5</v>
      </c>
      <c r="AI321" s="227">
        <f t="shared" si="115"/>
        <v>-0.70172620564362065</v>
      </c>
      <c r="AJ321" s="267" t="b">
        <f t="shared" si="116"/>
        <v>0</v>
      </c>
      <c r="AK321" s="267" t="b">
        <f t="shared" si="117"/>
        <v>0</v>
      </c>
      <c r="AL321" s="267"/>
      <c r="AM321" s="267"/>
      <c r="AN321" s="75"/>
    </row>
    <row r="322" spans="1:40" s="6" customFormat="1" ht="11.25" customHeight="1" x14ac:dyDescent="0.2">
      <c r="A322" s="56">
        <f t="shared" si="118"/>
        <v>44138</v>
      </c>
      <c r="B322" s="620">
        <v>5.5490000000000004</v>
      </c>
      <c r="C322" s="392"/>
      <c r="D322" s="395">
        <f t="shared" si="98"/>
        <v>5.6565655230363339</v>
      </c>
      <c r="E322" s="387">
        <f t="shared" si="120"/>
        <v>6.4450180587142505</v>
      </c>
      <c r="F322" s="387">
        <f t="shared" si="99"/>
        <v>6.4450180587142505</v>
      </c>
      <c r="G322" s="110">
        <f t="shared" si="121"/>
        <v>0.24797882895177489</v>
      </c>
      <c r="H322" s="416" t="b">
        <f>Wh_hp&gt;='2019'!Maxi_hp</f>
        <v>0</v>
      </c>
      <c r="I322" s="382">
        <f>IF(H322,Wh_hp,'2019'!Maxi_hp)</f>
        <v>18.873766608269342</v>
      </c>
      <c r="J322" s="85">
        <f>IF(H322,An,'2019'!An_max)</f>
        <v>2018</v>
      </c>
      <c r="K322" s="199">
        <f t="shared" si="100"/>
        <v>44138</v>
      </c>
      <c r="L322" s="147">
        <f>IF(t&lt;Tvie,1-EXP((T0-t)*PertePVj)+'2019'!Pspv,1-EXP((T0-t)*PertePVj)+Pspv)</f>
        <v>1.901604827138903E-2</v>
      </c>
      <c r="M322" s="872"/>
      <c r="N322" s="872"/>
      <c r="O322" s="48">
        <f>IF(t&lt;Tnet,'2019'!Resal+('2019'!Salim-'2019'!Resal)*(1-EXP(('2019'!Tnet-t)/('2019'!Tau_j))),Resal+(Salim-Resal)*(1-EXP((Tnet-t)/(Tau_j))))*Salcycl</f>
        <v>0.12233519417557827</v>
      </c>
      <c r="P322" s="171">
        <f>(INDEX(Models!$BJ322:$BT322,,T322)*(1-R322)+INDEX(Models!$BJ322:$BT322,,T322+1)*R322-ERP_i)*Q322*Ramure*Pc/MaxiM</f>
        <v>2.53996399084125E-2</v>
      </c>
      <c r="Q322" s="307">
        <f t="shared" si="101"/>
        <v>0.9</v>
      </c>
      <c r="R322" s="179">
        <f t="shared" si="102"/>
        <v>0.29834343728662061</v>
      </c>
      <c r="S322" s="839">
        <f t="shared" si="103"/>
        <v>-1</v>
      </c>
      <c r="T322" s="178">
        <f t="shared" si="104"/>
        <v>5</v>
      </c>
      <c r="U322" s="253">
        <f t="shared" si="105"/>
        <v>-0.70165656271337939</v>
      </c>
      <c r="V322" s="385">
        <f t="shared" si="106"/>
        <v>21.808544789926152</v>
      </c>
      <c r="W322" s="404"/>
      <c r="X322" s="157">
        <f t="shared" si="107"/>
        <v>44138</v>
      </c>
      <c r="Y322" s="387">
        <f t="shared" si="108"/>
        <v>5.5490000000000004</v>
      </c>
      <c r="Z322" s="387">
        <f t="shared" si="109"/>
        <v>5.6565655230363339</v>
      </c>
      <c r="AA322" s="388">
        <f t="shared" si="110"/>
        <v>6.4450180587142505</v>
      </c>
      <c r="AB322" s="199">
        <f t="shared" si="111"/>
        <v>44138</v>
      </c>
      <c r="AC322" s="119">
        <f>IF(OR(t&lt;Tnet,NoTnet),'2019'!Resal_s+('2019'!Salim-'2019'!Resal_s)*(1-EXP(('2019'!Tnet_s-t)/'2019'!Tau_j)),Resal_s+(Salim-Resal_s)*(1-EXP((Tnet_s-t)/Tau_j)))*Salcycl</f>
        <v>0.12233519417557827</v>
      </c>
      <c r="AD322" s="233">
        <f>(INDEX(Models!$BJ322:$BT322,,AH322)*(1-AF322)+INDEX(Models!$BJ322:$BT322,,AH322+1)*AF322-ERP_i)*AE322*Ramure*Pc/MaxiM</f>
        <v>2.53996399084125E-2</v>
      </c>
      <c r="AE322" s="307">
        <f t="shared" si="112"/>
        <v>0.9</v>
      </c>
      <c r="AF322" s="179">
        <f t="shared" si="113"/>
        <v>0.29834343728662061</v>
      </c>
      <c r="AG322" s="839">
        <f t="shared" si="119"/>
        <v>-1</v>
      </c>
      <c r="AH322" s="178">
        <f t="shared" si="114"/>
        <v>5</v>
      </c>
      <c r="AI322" s="227">
        <f t="shared" si="115"/>
        <v>-0.70165656271337939</v>
      </c>
      <c r="AJ322" s="267" t="b">
        <f t="shared" si="116"/>
        <v>0</v>
      </c>
      <c r="AK322" s="267" t="b">
        <f t="shared" si="117"/>
        <v>0</v>
      </c>
      <c r="AL322" s="267"/>
      <c r="AM322" s="267"/>
      <c r="AN322" s="75"/>
    </row>
    <row r="323" spans="1:40" s="6" customFormat="1" ht="11.25" customHeight="1" x14ac:dyDescent="0.2">
      <c r="A323" s="56">
        <f t="shared" si="118"/>
        <v>44139</v>
      </c>
      <c r="B323" s="620">
        <v>12.009</v>
      </c>
      <c r="C323" s="392"/>
      <c r="D323" s="395">
        <f t="shared" si="98"/>
        <v>12.242075369649005</v>
      </c>
      <c r="E323" s="387">
        <f t="shared" si="120"/>
        <v>13.947508779430471</v>
      </c>
      <c r="F323" s="387">
        <f t="shared" si="99"/>
        <v>14.085530672910426</v>
      </c>
      <c r="G323" s="110">
        <f t="shared" si="121"/>
        <v>0.54857033092742447</v>
      </c>
      <c r="H323" s="416" t="b">
        <f>Wh_hp&gt;='2019'!Maxi_hp</f>
        <v>1</v>
      </c>
      <c r="I323" s="382">
        <f>IF(H323,Wh_hp,'2019'!Maxi_hp)</f>
        <v>14.085530672910426</v>
      </c>
      <c r="J323" s="85">
        <f>IF(H323,An,'2019'!An_max)</f>
        <v>2020</v>
      </c>
      <c r="K323" s="199">
        <f t="shared" si="100"/>
        <v>44139</v>
      </c>
      <c r="L323" s="147">
        <f>IF(t&lt;Tvie,1-EXP((T0-t)*PertePVj)+'2019'!Pspv,1-EXP((T0-t)*PertePVj)+Pspv)</f>
        <v>1.9038877201071114E-2</v>
      </c>
      <c r="M323" s="872"/>
      <c r="N323" s="872"/>
      <c r="O323" s="48">
        <f>IF(t&lt;Tnet,'2019'!Resal+('2019'!Salim-'2019'!Resal)*(1-EXP(('2019'!Tnet-t)/('2019'!Tau_j))),Resal+(Salim-Resal)*(1-EXP((Tnet-t)/(Tau_j))))*Salcycl</f>
        <v>0.12227512717515612</v>
      </c>
      <c r="P323" s="171">
        <f>(INDEX(Models!$BJ323:$BT323,,T323)*(1-R323)+INDEX(Models!$BJ323:$BT323,,T323+1)*R323-ERP_i)*Q323*Ramure*Pc/MaxiM</f>
        <v>2.6583010992179423E-2</v>
      </c>
      <c r="Q323" s="307">
        <f t="shared" si="101"/>
        <v>0.9</v>
      </c>
      <c r="R323" s="179">
        <f t="shared" si="102"/>
        <v>0.29841028923316582</v>
      </c>
      <c r="S323" s="839">
        <f t="shared" si="103"/>
        <v>-1</v>
      </c>
      <c r="T323" s="178">
        <f t="shared" si="104"/>
        <v>5</v>
      </c>
      <c r="U323" s="253">
        <f t="shared" si="105"/>
        <v>-0.70158971076683418</v>
      </c>
      <c r="V323" s="385">
        <f t="shared" si="106"/>
        <v>21.520384246523356</v>
      </c>
      <c r="W323" s="404"/>
      <c r="X323" s="157">
        <f t="shared" si="107"/>
        <v>44139</v>
      </c>
      <c r="Y323" s="387">
        <f t="shared" si="108"/>
        <v>12.009</v>
      </c>
      <c r="Z323" s="387">
        <f t="shared" si="109"/>
        <v>12.242075369649005</v>
      </c>
      <c r="AA323" s="388">
        <f t="shared" si="110"/>
        <v>13.947508779430471</v>
      </c>
      <c r="AB323" s="199">
        <f t="shared" si="111"/>
        <v>44139</v>
      </c>
      <c r="AC323" s="119">
        <f>IF(OR(t&lt;Tnet,NoTnet),'2019'!Resal_s+('2019'!Salim-'2019'!Resal_s)*(1-EXP(('2019'!Tnet_s-t)/'2019'!Tau_j)),Resal_s+(Salim-Resal_s)*(1-EXP((Tnet_s-t)/Tau_j)))*Salcycl</f>
        <v>0.12227512717515612</v>
      </c>
      <c r="AD323" s="233">
        <f>(INDEX(Models!$BJ323:$BT323,,AH323)*(1-AF323)+INDEX(Models!$BJ323:$BT323,,AH323+1)*AF323-ERP_i)*AE323*Ramure*Pc/MaxiM</f>
        <v>2.6583010992179423E-2</v>
      </c>
      <c r="AE323" s="307">
        <f t="shared" si="112"/>
        <v>0.9</v>
      </c>
      <c r="AF323" s="179">
        <f t="shared" si="113"/>
        <v>0.29841028923316582</v>
      </c>
      <c r="AG323" s="839">
        <f t="shared" si="119"/>
        <v>-1</v>
      </c>
      <c r="AH323" s="178">
        <f t="shared" si="114"/>
        <v>5</v>
      </c>
      <c r="AI323" s="227">
        <f t="shared" si="115"/>
        <v>-0.70158971076683418</v>
      </c>
      <c r="AJ323" s="267" t="b">
        <f t="shared" si="116"/>
        <v>0</v>
      </c>
      <c r="AK323" s="267" t="b">
        <f t="shared" si="117"/>
        <v>0</v>
      </c>
      <c r="AL323" s="267"/>
      <c r="AM323" s="267"/>
      <c r="AN323" s="75"/>
    </row>
    <row r="324" spans="1:40" s="6" customFormat="1" ht="11.25" customHeight="1" x14ac:dyDescent="0.2">
      <c r="A324" s="56">
        <f t="shared" si="118"/>
        <v>44140</v>
      </c>
      <c r="B324" s="620">
        <v>17.123999999999999</v>
      </c>
      <c r="C324" s="392"/>
      <c r="D324" s="395">
        <f t="shared" si="98"/>
        <v>17.456755534725207</v>
      </c>
      <c r="E324" s="387">
        <f t="shared" si="120"/>
        <v>19.887288762097054</v>
      </c>
      <c r="F324" s="387">
        <f t="shared" si="99"/>
        <v>20.294383471659241</v>
      </c>
      <c r="G324" s="110">
        <f t="shared" si="121"/>
        <v>0.79997948967736887</v>
      </c>
      <c r="H324" s="416" t="b">
        <f>Wh_hp&gt;='2019'!Maxi_hp</f>
        <v>1</v>
      </c>
      <c r="I324" s="382">
        <f>IF(H324,Wh_hp,'2019'!Maxi_hp)</f>
        <v>20.294383471659241</v>
      </c>
      <c r="J324" s="85">
        <f>IF(H324,An,'2019'!An_max)</f>
        <v>2020</v>
      </c>
      <c r="K324" s="199">
        <f t="shared" si="100"/>
        <v>44140</v>
      </c>
      <c r="L324" s="147">
        <f>IF(t&lt;Tvie,1-EXP((T0-t)*PertePVj)+'2019'!Pspv,1-EXP((T0-t)*PertePVj)+Pspv)</f>
        <v>1.9061705599490608E-2</v>
      </c>
      <c r="M324" s="872"/>
      <c r="N324" s="872"/>
      <c r="O324" s="48">
        <f>IF(t&lt;Tnet,'2019'!Resal+('2019'!Salim-'2019'!Resal)*(1-EXP(('2019'!Tnet-t)/('2019'!Tau_j))),Resal+(Salim-Resal)*(1-EXP((Tnet-t)/(Tau_j))))*Salcycl</f>
        <v>0.12221541389815635</v>
      </c>
      <c r="P324" s="171">
        <f>(INDEX(Models!$BJ324:$BT324,,T324)*(1-R324)+INDEX(Models!$BJ324:$BT324,,T324+1)*R324-ERP_i)*Q324*Ramure*Pc/MaxiM</f>
        <v>2.7734139018116975E-2</v>
      </c>
      <c r="Q324" s="307">
        <f t="shared" si="101"/>
        <v>0.9</v>
      </c>
      <c r="R324" s="179">
        <f t="shared" si="102"/>
        <v>0.29847446154342261</v>
      </c>
      <c r="S324" s="839">
        <f t="shared" si="103"/>
        <v>-1</v>
      </c>
      <c r="T324" s="178">
        <f t="shared" si="104"/>
        <v>5</v>
      </c>
      <c r="U324" s="253">
        <f t="shared" si="105"/>
        <v>-0.70152553845657739</v>
      </c>
      <c r="V324" s="385">
        <f t="shared" si="106"/>
        <v>21.237905596913002</v>
      </c>
      <c r="W324" s="404"/>
      <c r="X324" s="157">
        <f t="shared" si="107"/>
        <v>44140</v>
      </c>
      <c r="Y324" s="387">
        <f t="shared" si="108"/>
        <v>17.123999999999999</v>
      </c>
      <c r="Z324" s="387">
        <f t="shared" si="109"/>
        <v>17.456755534725207</v>
      </c>
      <c r="AA324" s="388">
        <f t="shared" si="110"/>
        <v>19.887288762097054</v>
      </c>
      <c r="AB324" s="199">
        <f t="shared" si="111"/>
        <v>44140</v>
      </c>
      <c r="AC324" s="119">
        <f>IF(OR(t&lt;Tnet,NoTnet),'2019'!Resal_s+('2019'!Salim-'2019'!Resal_s)*(1-EXP(('2019'!Tnet_s-t)/'2019'!Tau_j)),Resal_s+(Salim-Resal_s)*(1-EXP((Tnet_s-t)/Tau_j)))*Salcycl</f>
        <v>0.12221541389815635</v>
      </c>
      <c r="AD324" s="233">
        <f>(INDEX(Models!$BJ324:$BT324,,AH324)*(1-AF324)+INDEX(Models!$BJ324:$BT324,,AH324+1)*AF324-ERP_i)*AE324*Ramure*Pc/MaxiM</f>
        <v>2.7734139018116975E-2</v>
      </c>
      <c r="AE324" s="307">
        <f t="shared" si="112"/>
        <v>0.9</v>
      </c>
      <c r="AF324" s="179">
        <f t="shared" si="113"/>
        <v>0.29847446154342261</v>
      </c>
      <c r="AG324" s="839">
        <f t="shared" si="119"/>
        <v>-1</v>
      </c>
      <c r="AH324" s="178">
        <f t="shared" si="114"/>
        <v>5</v>
      </c>
      <c r="AI324" s="227">
        <f t="shared" si="115"/>
        <v>-0.70152553845657739</v>
      </c>
      <c r="AJ324" s="267" t="b">
        <f t="shared" si="116"/>
        <v>0</v>
      </c>
      <c r="AK324" s="267" t="b">
        <f t="shared" si="117"/>
        <v>0</v>
      </c>
      <c r="AL324" s="267"/>
      <c r="AM324" s="267"/>
      <c r="AN324" s="75"/>
    </row>
    <row r="325" spans="1:40" s="6" customFormat="1" ht="11.25" customHeight="1" x14ac:dyDescent="0.2">
      <c r="A325" s="56">
        <f t="shared" si="118"/>
        <v>44141</v>
      </c>
      <c r="B325" s="620">
        <v>11.863</v>
      </c>
      <c r="C325" s="392"/>
      <c r="D325" s="395">
        <f t="shared" si="98"/>
        <v>12.093804618990369</v>
      </c>
      <c r="E325" s="387">
        <f t="shared" si="120"/>
        <v>13.776716380620519</v>
      </c>
      <c r="F325" s="387">
        <f t="shared" si="99"/>
        <v>13.92937426105628</v>
      </c>
      <c r="G325" s="110">
        <f t="shared" si="121"/>
        <v>0.55570498010931213</v>
      </c>
      <c r="H325" s="416" t="b">
        <f>Wh_hp&gt;='2019'!Maxi_hp</f>
        <v>1</v>
      </c>
      <c r="I325" s="382">
        <f>IF(H325,Wh_hp,'2019'!Maxi_hp)</f>
        <v>13.92937426105628</v>
      </c>
      <c r="J325" s="85">
        <f>IF(H325,An,'2019'!An_max)</f>
        <v>2020</v>
      </c>
      <c r="K325" s="199">
        <f t="shared" si="100"/>
        <v>44141</v>
      </c>
      <c r="L325" s="147">
        <f>IF(t&lt;Tvie,1-EXP((T0-t)*PertePVj)+'2019'!Pspv,1-EXP((T0-t)*PertePVj)+Pspv)</f>
        <v>1.9084533466659948E-2</v>
      </c>
      <c r="M325" s="872"/>
      <c r="N325" s="872"/>
      <c r="O325" s="48">
        <f>IF(t&lt;Tnet,'2019'!Resal+('2019'!Salim-'2019'!Resal)*(1-EXP(('2019'!Tnet-t)/('2019'!Tau_j))),Resal+(Salim-Resal)*(1-EXP((Tnet-t)/(Tau_j))))*Salcycl</f>
        <v>0.12215623194489751</v>
      </c>
      <c r="P325" s="171">
        <f>(INDEX(Models!$BJ325:$BT325,,T325)*(1-R325)+INDEX(Models!$BJ325:$BT325,,T325+1)*R325-ERP_i)*Q325*Ramure*Pc/MaxiM</f>
        <v>2.8847036943269542E-2</v>
      </c>
      <c r="Q325" s="307">
        <f t="shared" si="101"/>
        <v>0.9</v>
      </c>
      <c r="R325" s="179">
        <f t="shared" si="102"/>
        <v>0.29853606116216214</v>
      </c>
      <c r="S325" s="839">
        <f t="shared" si="103"/>
        <v>-1</v>
      </c>
      <c r="T325" s="178">
        <f t="shared" si="104"/>
        <v>5</v>
      </c>
      <c r="U325" s="253">
        <f t="shared" si="105"/>
        <v>-0.70146393883783786</v>
      </c>
      <c r="V325" s="385">
        <f t="shared" si="106"/>
        <v>20.961568214588453</v>
      </c>
      <c r="W325" s="404"/>
      <c r="X325" s="157">
        <f t="shared" si="107"/>
        <v>44141</v>
      </c>
      <c r="Y325" s="387">
        <f t="shared" si="108"/>
        <v>11.863</v>
      </c>
      <c r="Z325" s="387">
        <f t="shared" si="109"/>
        <v>12.093804618990369</v>
      </c>
      <c r="AA325" s="388">
        <f t="shared" si="110"/>
        <v>13.776716380620519</v>
      </c>
      <c r="AB325" s="199">
        <f t="shared" si="111"/>
        <v>44141</v>
      </c>
      <c r="AC325" s="119">
        <f>IF(OR(t&lt;Tnet,NoTnet),'2019'!Resal_s+('2019'!Salim-'2019'!Resal_s)*(1-EXP(('2019'!Tnet_s-t)/'2019'!Tau_j)),Resal_s+(Salim-Resal_s)*(1-EXP((Tnet_s-t)/Tau_j)))*Salcycl</f>
        <v>0.12215623194489751</v>
      </c>
      <c r="AD325" s="233">
        <f>(INDEX(Models!$BJ325:$BT325,,AH325)*(1-AF325)+INDEX(Models!$BJ325:$BT325,,AH325+1)*AF325-ERP_i)*AE325*Ramure*Pc/MaxiM</f>
        <v>2.8847036943269542E-2</v>
      </c>
      <c r="AE325" s="307">
        <f t="shared" si="112"/>
        <v>0.9</v>
      </c>
      <c r="AF325" s="179">
        <f t="shared" si="113"/>
        <v>0.29853606116216214</v>
      </c>
      <c r="AG325" s="839">
        <f t="shared" si="119"/>
        <v>-1</v>
      </c>
      <c r="AH325" s="178">
        <f t="shared" si="114"/>
        <v>5</v>
      </c>
      <c r="AI325" s="227">
        <f t="shared" si="115"/>
        <v>-0.70146393883783786</v>
      </c>
      <c r="AJ325" s="267" t="b">
        <f t="shared" si="116"/>
        <v>0</v>
      </c>
      <c r="AK325" s="267" t="b">
        <f t="shared" si="117"/>
        <v>0</v>
      </c>
      <c r="AL325" s="267"/>
      <c r="AM325" s="267"/>
      <c r="AN325" s="75"/>
    </row>
    <row r="326" spans="1:40" s="6" customFormat="1" ht="11.25" customHeight="1" x14ac:dyDescent="0.2">
      <c r="A326" s="56">
        <f t="shared" si="118"/>
        <v>44142</v>
      </c>
      <c r="B326" s="620">
        <v>3.3730000000000002</v>
      </c>
      <c r="C326" s="392"/>
      <c r="D326" s="395">
        <f t="shared" si="98"/>
        <v>3.4387045688913265</v>
      </c>
      <c r="E326" s="387">
        <f t="shared" si="120"/>
        <v>3.9169561277861109</v>
      </c>
      <c r="F326" s="387">
        <f t="shared" si="99"/>
        <v>3.9169561277861109</v>
      </c>
      <c r="G326" s="110">
        <f t="shared" si="121"/>
        <v>0.15813464025526705</v>
      </c>
      <c r="H326" s="416" t="b">
        <f>Wh_hp&gt;='2019'!Maxi_hp</f>
        <v>0</v>
      </c>
      <c r="I326" s="382">
        <f>IF(H326,Wh_hp,'2019'!Maxi_hp)</f>
        <v>14.427050775609501</v>
      </c>
      <c r="J326" s="85">
        <f>IF(H326,An,'2019'!An_max)</f>
        <v>2019</v>
      </c>
      <c r="K326" s="199">
        <f t="shared" si="100"/>
        <v>44142</v>
      </c>
      <c r="L326" s="147">
        <f>IF(t&lt;Tvie,1-EXP((T0-t)*PertePVj)+'2019'!Pspv,1-EXP((T0-t)*PertePVj)+Pspv)</f>
        <v>1.9107360802591455E-2</v>
      </c>
      <c r="M326" s="872"/>
      <c r="N326" s="872"/>
      <c r="O326" s="48">
        <f>IF(t&lt;Tnet,'2019'!Resal+('2019'!Salim-'2019'!Resal)*(1-EXP(('2019'!Tnet-t)/('2019'!Tau_j))),Resal+(Salim-Resal)*(1-EXP((Tnet-t)/(Tau_j))))*Salcycl</f>
        <v>0.12209775736372498</v>
      </c>
      <c r="P326" s="171">
        <f>(INDEX(Models!$BJ326:$BT326,,T326)*(1-R326)+INDEX(Models!$BJ326:$BT326,,T326+1)*R326-ERP_i)*Q326*Ramure*Pc/MaxiM</f>
        <v>2.9918877553851357E-2</v>
      </c>
      <c r="Q326" s="307">
        <f t="shared" si="101"/>
        <v>0.9</v>
      </c>
      <c r="R326" s="179">
        <f t="shared" si="102"/>
        <v>0.29859519080247465</v>
      </c>
      <c r="S326" s="839">
        <f t="shared" si="103"/>
        <v>-1</v>
      </c>
      <c r="T326" s="178">
        <f t="shared" si="104"/>
        <v>5</v>
      </c>
      <c r="U326" s="253">
        <f t="shared" si="105"/>
        <v>-0.70140480919752535</v>
      </c>
      <c r="V326" s="385">
        <f t="shared" si="106"/>
        <v>20.691757484185221</v>
      </c>
      <c r="W326" s="404"/>
      <c r="X326" s="157">
        <f t="shared" si="107"/>
        <v>44142</v>
      </c>
      <c r="Y326" s="387">
        <f t="shared" si="108"/>
        <v>3.3730000000000002</v>
      </c>
      <c r="Z326" s="387">
        <f t="shared" si="109"/>
        <v>3.4387045688913265</v>
      </c>
      <c r="AA326" s="388">
        <f t="shared" si="110"/>
        <v>3.9169561277861109</v>
      </c>
      <c r="AB326" s="199">
        <f t="shared" si="111"/>
        <v>44142</v>
      </c>
      <c r="AC326" s="119">
        <f>IF(OR(t&lt;Tnet,NoTnet),'2019'!Resal_s+('2019'!Salim-'2019'!Resal_s)*(1-EXP(('2019'!Tnet_s-t)/'2019'!Tau_j)),Resal_s+(Salim-Resal_s)*(1-EXP((Tnet_s-t)/Tau_j)))*Salcycl</f>
        <v>0.12209775736372498</v>
      </c>
      <c r="AD326" s="233">
        <f>(INDEX(Models!$BJ326:$BT326,,AH326)*(1-AF326)+INDEX(Models!$BJ326:$BT326,,AH326+1)*AF326-ERP_i)*AE326*Ramure*Pc/MaxiM</f>
        <v>2.9918877553851357E-2</v>
      </c>
      <c r="AE326" s="307">
        <f t="shared" si="112"/>
        <v>0.9</v>
      </c>
      <c r="AF326" s="179">
        <f t="shared" si="113"/>
        <v>0.29859519080247465</v>
      </c>
      <c r="AG326" s="839">
        <f t="shared" si="119"/>
        <v>-1</v>
      </c>
      <c r="AH326" s="178">
        <f t="shared" si="114"/>
        <v>5</v>
      </c>
      <c r="AI326" s="227">
        <f t="shared" si="115"/>
        <v>-0.70140480919752535</v>
      </c>
      <c r="AJ326" s="267" t="b">
        <f t="shared" si="116"/>
        <v>0</v>
      </c>
      <c r="AK326" s="267" t="b">
        <f t="shared" si="117"/>
        <v>0</v>
      </c>
      <c r="AL326" s="267"/>
      <c r="AM326" s="267"/>
      <c r="AN326" s="75"/>
    </row>
    <row r="327" spans="1:40" s="6" customFormat="1" ht="11.25" customHeight="1" x14ac:dyDescent="0.2">
      <c r="A327" s="56">
        <f t="shared" si="118"/>
        <v>44143</v>
      </c>
      <c r="B327" s="620">
        <v>16.454000000000001</v>
      </c>
      <c r="C327" s="392"/>
      <c r="D327" s="395">
        <f t="shared" si="98"/>
        <v>16.774907120306452</v>
      </c>
      <c r="E327" s="387">
        <f t="shared" si="120"/>
        <v>19.106690795398244</v>
      </c>
      <c r="F327" s="387">
        <f t="shared" si="99"/>
        <v>19.543383638603277</v>
      </c>
      <c r="G327" s="110">
        <f t="shared" si="121"/>
        <v>0.79834266042174029</v>
      </c>
      <c r="H327" s="416" t="b">
        <f>Wh_hp&gt;='2019'!Maxi_hp</f>
        <v>1</v>
      </c>
      <c r="I327" s="382">
        <f>IF(H327,Wh_hp,'2019'!Maxi_hp)</f>
        <v>19.543383638603277</v>
      </c>
      <c r="J327" s="85">
        <f>IF(H327,An,'2019'!An_max)</f>
        <v>2020</v>
      </c>
      <c r="K327" s="199">
        <f t="shared" si="100"/>
        <v>44143</v>
      </c>
      <c r="L327" s="147">
        <f>IF(t&lt;Tvie,1-EXP((T0-t)*PertePVj)+'2019'!Pspv,1-EXP((T0-t)*PertePVj)+Pspv)</f>
        <v>1.9130187607297455E-2</v>
      </c>
      <c r="M327" s="872"/>
      <c r="N327" s="872"/>
      <c r="O327" s="48">
        <f>IF(t&lt;Tnet,'2019'!Resal+('2019'!Salim-'2019'!Resal)*(1-EXP(('2019'!Tnet-t)/('2019'!Tau_j))),Resal+(Salim-Resal)*(1-EXP((Tnet-t)/(Tau_j))))*Salcycl</f>
        <v>0.12204016383901453</v>
      </c>
      <c r="P327" s="171">
        <f>(INDEX(Models!$BJ327:$BT327,,T327)*(1-R327)+INDEX(Models!$BJ327:$BT327,,T327+1)*R327-ERP_i)*Q327*Ramure*Pc/MaxiM</f>
        <v>3.0946676412633115E-2</v>
      </c>
      <c r="Q327" s="307">
        <f t="shared" si="101"/>
        <v>0.9</v>
      </c>
      <c r="R327" s="179">
        <f t="shared" si="102"/>
        <v>0.29865194911033188</v>
      </c>
      <c r="S327" s="839">
        <f t="shared" si="103"/>
        <v>-1</v>
      </c>
      <c r="T327" s="178">
        <f t="shared" si="104"/>
        <v>5</v>
      </c>
      <c r="U327" s="253">
        <f t="shared" si="105"/>
        <v>-0.70134805088966812</v>
      </c>
      <c r="V327" s="385">
        <f t="shared" si="106"/>
        <v>20.428859112256557</v>
      </c>
      <c r="W327" s="404"/>
      <c r="X327" s="157">
        <f t="shared" si="107"/>
        <v>44143</v>
      </c>
      <c r="Y327" s="387">
        <f t="shared" si="108"/>
        <v>16.454000000000001</v>
      </c>
      <c r="Z327" s="387">
        <f t="shared" si="109"/>
        <v>16.774907120306452</v>
      </c>
      <c r="AA327" s="388">
        <f t="shared" si="110"/>
        <v>19.106690795398244</v>
      </c>
      <c r="AB327" s="199">
        <f t="shared" si="111"/>
        <v>44143</v>
      </c>
      <c r="AC327" s="119">
        <f>IF(OR(t&lt;Tnet,NoTnet),'2019'!Resal_s+('2019'!Salim-'2019'!Resal_s)*(1-EXP(('2019'!Tnet_s-t)/'2019'!Tau_j)),Resal_s+(Salim-Resal_s)*(1-EXP((Tnet_s-t)/Tau_j)))*Salcycl</f>
        <v>0.12204016383901453</v>
      </c>
      <c r="AD327" s="233">
        <f>(INDEX(Models!$BJ327:$BT327,,AH327)*(1-AF327)+INDEX(Models!$BJ327:$BT327,,AH327+1)*AF327-ERP_i)*AE327*Ramure*Pc/MaxiM</f>
        <v>3.0946676412633115E-2</v>
      </c>
      <c r="AE327" s="307">
        <f t="shared" si="112"/>
        <v>0.9</v>
      </c>
      <c r="AF327" s="179">
        <f t="shared" si="113"/>
        <v>0.29865194911033188</v>
      </c>
      <c r="AG327" s="839">
        <f t="shared" si="119"/>
        <v>-1</v>
      </c>
      <c r="AH327" s="178">
        <f t="shared" si="114"/>
        <v>5</v>
      </c>
      <c r="AI327" s="227">
        <f t="shared" si="115"/>
        <v>-0.70134805088966812</v>
      </c>
      <c r="AJ327" s="267" t="b">
        <f t="shared" si="116"/>
        <v>0</v>
      </c>
      <c r="AK327" s="267" t="b">
        <f t="shared" si="117"/>
        <v>0</v>
      </c>
      <c r="AL327" s="267"/>
      <c r="AM327" s="267"/>
      <c r="AN327" s="75"/>
    </row>
    <row r="328" spans="1:40" s="6" customFormat="1" ht="11.25" customHeight="1" x14ac:dyDescent="0.2">
      <c r="A328" s="56">
        <f t="shared" si="118"/>
        <v>44144</v>
      </c>
      <c r="B328" s="620">
        <v>16.555</v>
      </c>
      <c r="C328" s="392"/>
      <c r="D328" s="395">
        <f t="shared" si="98"/>
        <v>16.87826973450877</v>
      </c>
      <c r="E328" s="387">
        <f t="shared" si="120"/>
        <v>19.223183251770358</v>
      </c>
      <c r="F328" s="387">
        <f t="shared" si="99"/>
        <v>19.690773151156435</v>
      </c>
      <c r="G328" s="110">
        <f t="shared" si="121"/>
        <v>0.81376415280013514</v>
      </c>
      <c r="H328" s="416" t="b">
        <f>Wh_hp&gt;='2019'!Maxi_hp</f>
        <v>1</v>
      </c>
      <c r="I328" s="382">
        <f>IF(H328,Wh_hp,'2019'!Maxi_hp)</f>
        <v>19.690773151156435</v>
      </c>
      <c r="J328" s="85">
        <f>IF(H328,An,'2019'!An_max)</f>
        <v>2020</v>
      </c>
      <c r="K328" s="199">
        <f t="shared" si="100"/>
        <v>44144</v>
      </c>
      <c r="L328" s="147">
        <f>IF(t&lt;Tvie,1-EXP((T0-t)*PertePVj)+'2019'!Pspv,1-EXP((T0-t)*PertePVj)+Pspv)</f>
        <v>1.9153013880790382E-2</v>
      </c>
      <c r="M328" s="872"/>
      <c r="N328" s="872"/>
      <c r="O328" s="48">
        <f>IF(t&lt;Tnet,'2019'!Resal+('2019'!Salim-'2019'!Resal)*(1-EXP(('2019'!Tnet-t)/('2019'!Tau_j))),Resal+(Salim-Resal)*(1-EXP((Tnet-t)/(Tau_j))))*Salcycl</f>
        <v>0.12198362188768251</v>
      </c>
      <c r="P328" s="171">
        <f>(INDEX(Models!$BJ328:$BT328,,T328)*(1-R328)+INDEX(Models!$BJ328:$BT328,,T328+1)*R328-ERP_i)*Q328*Ramure*Pc/MaxiM</f>
        <v>3.1927298528163756E-2</v>
      </c>
      <c r="Q328" s="307">
        <f t="shared" si="101"/>
        <v>0.9</v>
      </c>
      <c r="R328" s="179">
        <f t="shared" si="102"/>
        <v>0.29870643082298121</v>
      </c>
      <c r="S328" s="839">
        <f t="shared" si="103"/>
        <v>-1</v>
      </c>
      <c r="T328" s="178">
        <f t="shared" si="104"/>
        <v>5</v>
      </c>
      <c r="U328" s="253">
        <f t="shared" si="105"/>
        <v>-0.70129356917701879</v>
      </c>
      <c r="V328" s="385">
        <f t="shared" si="106"/>
        <v>20.173259115363134</v>
      </c>
      <c r="W328" s="404"/>
      <c r="X328" s="157">
        <f t="shared" si="107"/>
        <v>44144</v>
      </c>
      <c r="Y328" s="387">
        <f t="shared" si="108"/>
        <v>16.555</v>
      </c>
      <c r="Z328" s="387">
        <f t="shared" si="109"/>
        <v>16.87826973450877</v>
      </c>
      <c r="AA328" s="388">
        <f t="shared" si="110"/>
        <v>19.223183251770358</v>
      </c>
      <c r="AB328" s="199">
        <f t="shared" si="111"/>
        <v>44144</v>
      </c>
      <c r="AC328" s="119">
        <f>IF(OR(t&lt;Tnet,NoTnet),'2019'!Resal_s+('2019'!Salim-'2019'!Resal_s)*(1-EXP(('2019'!Tnet_s-t)/'2019'!Tau_j)),Resal_s+(Salim-Resal_s)*(1-EXP((Tnet_s-t)/Tau_j)))*Salcycl</f>
        <v>0.12198362188768251</v>
      </c>
      <c r="AD328" s="233">
        <f>(INDEX(Models!$BJ328:$BT328,,AH328)*(1-AF328)+INDEX(Models!$BJ328:$BT328,,AH328+1)*AF328-ERP_i)*AE328*Ramure*Pc/MaxiM</f>
        <v>3.1927298528163756E-2</v>
      </c>
      <c r="AE328" s="307">
        <f t="shared" si="112"/>
        <v>0.9</v>
      </c>
      <c r="AF328" s="179">
        <f t="shared" si="113"/>
        <v>0.29870643082298121</v>
      </c>
      <c r="AG328" s="839">
        <f t="shared" si="119"/>
        <v>-1</v>
      </c>
      <c r="AH328" s="178">
        <f t="shared" si="114"/>
        <v>5</v>
      </c>
      <c r="AI328" s="227">
        <f t="shared" si="115"/>
        <v>-0.70129356917701879</v>
      </c>
      <c r="AJ328" s="267" t="b">
        <f t="shared" si="116"/>
        <v>0</v>
      </c>
      <c r="AK328" s="267" t="b">
        <f t="shared" si="117"/>
        <v>0</v>
      </c>
      <c r="AL328" s="267"/>
      <c r="AM328" s="267"/>
      <c r="AN328" s="75"/>
    </row>
    <row r="329" spans="1:40" s="6" customFormat="1" ht="11.25" customHeight="1" x14ac:dyDescent="0.2">
      <c r="A329" s="56">
        <f t="shared" si="118"/>
        <v>44145</v>
      </c>
      <c r="B329" s="620">
        <v>11.457000000000001</v>
      </c>
      <c r="C329" s="392"/>
      <c r="D329" s="395">
        <f t="shared" si="98"/>
        <v>11.680992845442583</v>
      </c>
      <c r="E329" s="387">
        <f t="shared" si="120"/>
        <v>13.30300568822152</v>
      </c>
      <c r="F329" s="387">
        <f t="shared" si="99"/>
        <v>13.476968001413118</v>
      </c>
      <c r="G329" s="110">
        <f t="shared" si="121"/>
        <v>0.563375547025315</v>
      </c>
      <c r="H329" s="416" t="b">
        <f>Wh_hp&gt;='2019'!Maxi_hp</f>
        <v>0</v>
      </c>
      <c r="I329" s="382">
        <f>IF(H329,Wh_hp,'2019'!Maxi_hp)</f>
        <v>20.916488249439194</v>
      </c>
      <c r="J329" s="85">
        <f>IF(H329,An,'2019'!An_max)</f>
        <v>2019</v>
      </c>
      <c r="K329" s="199">
        <f t="shared" si="100"/>
        <v>44145</v>
      </c>
      <c r="L329" s="147">
        <f>IF(t&lt;Tvie,1-EXP((T0-t)*PertePVj)+'2019'!Pspv,1-EXP((T0-t)*PertePVj)+Pspv)</f>
        <v>1.9175839623082669E-2</v>
      </c>
      <c r="M329" s="872"/>
      <c r="N329" s="872"/>
      <c r="O329" s="48">
        <f>IF(t&lt;Tnet,'2019'!Resal+('2019'!Salim-'2019'!Resal)*(1-EXP(('2019'!Tnet-t)/('2019'!Tau_j))),Resal+(Salim-Resal)*(1-EXP((Tnet-t)/(Tau_j))))*Salcycl</f>
        <v>0.12192829806989156</v>
      </c>
      <c r="P329" s="171">
        <f>(INDEX(Models!$BJ329:$BT329,,T329)*(1-R329)+INDEX(Models!$BJ329:$BT329,,T329+1)*R329-ERP_i)*Q329*Ramure*Pc/MaxiM</f>
        <v>3.2857467276549299E-2</v>
      </c>
      <c r="Q329" s="307">
        <f t="shared" si="101"/>
        <v>0.9</v>
      </c>
      <c r="R329" s="179">
        <f t="shared" si="102"/>
        <v>0.29875872692137717</v>
      </c>
      <c r="S329" s="839">
        <f t="shared" si="103"/>
        <v>-1</v>
      </c>
      <c r="T329" s="178">
        <f t="shared" si="104"/>
        <v>5</v>
      </c>
      <c r="U329" s="253">
        <f t="shared" si="105"/>
        <v>-0.70124127307862283</v>
      </c>
      <c r="V329" s="385">
        <f t="shared" si="106"/>
        <v>19.925343805614734</v>
      </c>
      <c r="W329" s="404"/>
      <c r="X329" s="157">
        <f t="shared" si="107"/>
        <v>44145</v>
      </c>
      <c r="Y329" s="387">
        <f t="shared" si="108"/>
        <v>11.457000000000001</v>
      </c>
      <c r="Z329" s="387">
        <f t="shared" si="109"/>
        <v>11.680992845442583</v>
      </c>
      <c r="AA329" s="388">
        <f t="shared" si="110"/>
        <v>13.30300568822152</v>
      </c>
      <c r="AB329" s="199">
        <f t="shared" si="111"/>
        <v>44145</v>
      </c>
      <c r="AC329" s="119">
        <f>IF(OR(t&lt;Tnet,NoTnet),'2019'!Resal_s+('2019'!Salim-'2019'!Resal_s)*(1-EXP(('2019'!Tnet_s-t)/'2019'!Tau_j)),Resal_s+(Salim-Resal_s)*(1-EXP((Tnet_s-t)/Tau_j)))*Salcycl</f>
        <v>0.12192829806989156</v>
      </c>
      <c r="AD329" s="233">
        <f>(INDEX(Models!$BJ329:$BT329,,AH329)*(1-AF329)+INDEX(Models!$BJ329:$BT329,,AH329+1)*AF329-ERP_i)*AE329*Ramure*Pc/MaxiM</f>
        <v>3.2857467276549299E-2</v>
      </c>
      <c r="AE329" s="307">
        <f t="shared" si="112"/>
        <v>0.9</v>
      </c>
      <c r="AF329" s="179">
        <f t="shared" si="113"/>
        <v>0.29875872692137717</v>
      </c>
      <c r="AG329" s="839">
        <f t="shared" si="119"/>
        <v>-1</v>
      </c>
      <c r="AH329" s="178">
        <f t="shared" si="114"/>
        <v>5</v>
      </c>
      <c r="AI329" s="227">
        <f t="shared" si="115"/>
        <v>-0.70124127307862283</v>
      </c>
      <c r="AJ329" s="267" t="b">
        <f t="shared" si="116"/>
        <v>0</v>
      </c>
      <c r="AK329" s="267" t="b">
        <f t="shared" si="117"/>
        <v>0</v>
      </c>
      <c r="AL329" s="267"/>
      <c r="AM329" s="267"/>
      <c r="AN329" s="75"/>
    </row>
    <row r="330" spans="1:40" s="6" customFormat="1" ht="11.25" customHeight="1" x14ac:dyDescent="0.2">
      <c r="A330" s="56">
        <f t="shared" si="118"/>
        <v>44146</v>
      </c>
      <c r="B330" s="620">
        <v>16.658000000000001</v>
      </c>
      <c r="C330" s="392"/>
      <c r="D330" s="395">
        <f t="shared" si="98"/>
        <v>16.984071496174924</v>
      </c>
      <c r="E330" s="387">
        <f t="shared" si="120"/>
        <v>19.341277159808143</v>
      </c>
      <c r="F330" s="387">
        <f t="shared" si="99"/>
        <v>19.864147239469066</v>
      </c>
      <c r="G330" s="110">
        <f t="shared" si="121"/>
        <v>0.83976542374734042</v>
      </c>
      <c r="H330" s="416" t="b">
        <f>Wh_hp&gt;='2019'!Maxi_hp</f>
        <v>0</v>
      </c>
      <c r="I330" s="382">
        <f>IF(H330,Wh_hp,'2019'!Maxi_hp)</f>
        <v>21.417505226128377</v>
      </c>
      <c r="J330" s="85">
        <f>IF(H330,An,'2019'!An_max)</f>
        <v>2018</v>
      </c>
      <c r="K330" s="199">
        <f t="shared" si="100"/>
        <v>44146</v>
      </c>
      <c r="L330" s="147">
        <f>IF(t&lt;Tvie,1-EXP((T0-t)*PertePVj)+'2019'!Pspv,1-EXP((T0-t)*PertePVj)+Pspv)</f>
        <v>1.9198664834186419E-2</v>
      </c>
      <c r="M330" s="872"/>
      <c r="N330" s="872"/>
      <c r="O330" s="48">
        <f>IF(t&lt;Tnet,'2019'!Resal+('2019'!Salim-'2019'!Resal)*(1-EXP(('2019'!Tnet-t)/('2019'!Tau_j))),Resal+(Salim-Resal)*(1-EXP((Tnet-t)/(Tau_j))))*Salcycl</f>
        <v>0.1218743542195639</v>
      </c>
      <c r="P330" s="171">
        <f>(INDEX(Models!$BJ330:$BT330,,T330)*(1-R330)+INDEX(Models!$BJ330:$BT330,,T330+1)*R330-ERP_i)*Q330*Ramure*Pc/MaxiM</f>
        <v>3.3733775824875904E-2</v>
      </c>
      <c r="Q330" s="307">
        <f t="shared" si="101"/>
        <v>0.9</v>
      </c>
      <c r="R330" s="179">
        <f t="shared" si="102"/>
        <v>0.2988089247768656</v>
      </c>
      <c r="S330" s="839">
        <f t="shared" si="103"/>
        <v>-1</v>
      </c>
      <c r="T330" s="178">
        <f t="shared" si="104"/>
        <v>5</v>
      </c>
      <c r="U330" s="253">
        <f t="shared" si="105"/>
        <v>-0.7011910752231344</v>
      </c>
      <c r="V330" s="385">
        <f t="shared" si="106"/>
        <v>19.685499766043385</v>
      </c>
      <c r="W330" s="404"/>
      <c r="X330" s="157">
        <f t="shared" si="107"/>
        <v>44146</v>
      </c>
      <c r="Y330" s="387">
        <f t="shared" si="108"/>
        <v>16.658000000000001</v>
      </c>
      <c r="Z330" s="387">
        <f t="shared" si="109"/>
        <v>16.984071496174924</v>
      </c>
      <c r="AA330" s="388">
        <f t="shared" si="110"/>
        <v>19.341277159808143</v>
      </c>
      <c r="AB330" s="199">
        <f t="shared" si="111"/>
        <v>44146</v>
      </c>
      <c r="AC330" s="119">
        <f>IF(OR(t&lt;Tnet,NoTnet),'2019'!Resal_s+('2019'!Salim-'2019'!Resal_s)*(1-EXP(('2019'!Tnet_s-t)/'2019'!Tau_j)),Resal_s+(Salim-Resal_s)*(1-EXP((Tnet_s-t)/Tau_j)))*Salcycl</f>
        <v>0.1218743542195639</v>
      </c>
      <c r="AD330" s="233">
        <f>(INDEX(Models!$BJ330:$BT330,,AH330)*(1-AF330)+INDEX(Models!$BJ330:$BT330,,AH330+1)*AF330-ERP_i)*AE330*Ramure*Pc/MaxiM</f>
        <v>3.3733775824875904E-2</v>
      </c>
      <c r="AE330" s="307">
        <f t="shared" si="112"/>
        <v>0.9</v>
      </c>
      <c r="AF330" s="179">
        <f t="shared" si="113"/>
        <v>0.2988089247768656</v>
      </c>
      <c r="AG330" s="839">
        <f t="shared" si="119"/>
        <v>-1</v>
      </c>
      <c r="AH330" s="178">
        <f t="shared" si="114"/>
        <v>5</v>
      </c>
      <c r="AI330" s="227">
        <f t="shared" si="115"/>
        <v>-0.7011910752231344</v>
      </c>
      <c r="AJ330" s="267" t="b">
        <f t="shared" si="116"/>
        <v>0</v>
      </c>
      <c r="AK330" s="267" t="b">
        <f t="shared" si="117"/>
        <v>0</v>
      </c>
      <c r="AL330" s="267"/>
      <c r="AM330" s="267"/>
      <c r="AN330" s="75"/>
    </row>
    <row r="331" spans="1:40" s="6" customFormat="1" ht="11.25" customHeight="1" x14ac:dyDescent="0.2">
      <c r="A331" s="56">
        <f t="shared" si="118"/>
        <v>44147</v>
      </c>
      <c r="B331" s="620">
        <v>19.431000000000001</v>
      </c>
      <c r="C331" s="392"/>
      <c r="D331" s="395">
        <f t="shared" si="98"/>
        <v>19.811812547130263</v>
      </c>
      <c r="E331" s="387">
        <f t="shared" si="120"/>
        <v>22.560131709834977</v>
      </c>
      <c r="F331" s="387">
        <f t="shared" si="99"/>
        <v>23.366158746660897</v>
      </c>
      <c r="G331" s="110">
        <f t="shared" si="121"/>
        <v>0.9987694198705368</v>
      </c>
      <c r="H331" s="416" t="b">
        <f>Wh_hp&gt;='2019'!Maxi_hp</f>
        <v>1</v>
      </c>
      <c r="I331" s="382">
        <f>IF(H331,Wh_hp,'2019'!Maxi_hp)</f>
        <v>23.366158746660897</v>
      </c>
      <c r="J331" s="85">
        <f>IF(H331,An,'2019'!An_max)</f>
        <v>2020</v>
      </c>
      <c r="K331" s="199">
        <f t="shared" si="100"/>
        <v>44147</v>
      </c>
      <c r="L331" s="147">
        <f>IF(t&lt;Tvie,1-EXP((T0-t)*PertePVj)+'2019'!Pspv,1-EXP((T0-t)*PertePVj)+Pspv)</f>
        <v>1.9221489514114287E-2</v>
      </c>
      <c r="M331" s="872"/>
      <c r="N331" s="872"/>
      <c r="O331" s="48">
        <f>IF(t&lt;Tnet,'2019'!Resal+('2019'!Salim-'2019'!Resal)*(1-EXP(('2019'!Tnet-t)/('2019'!Tau_j))),Resal+(Salim-Resal)*(1-EXP((Tnet-t)/(Tau_j))))*Salcycl</f>
        <v>0.12182194670018702</v>
      </c>
      <c r="P331" s="171">
        <f>(INDEX(Models!$BJ331:$BT331,,T331)*(1-R331)+INDEX(Models!$BJ331:$BT331,,T331+1)*R331-ERP_i)*Q331*Ramure*Pc/MaxiM</f>
        <v>3.455327997346886E-2</v>
      </c>
      <c r="Q331" s="307">
        <f t="shared" si="101"/>
        <v>0.9</v>
      </c>
      <c r="R331" s="179">
        <f t="shared" si="102"/>
        <v>0.2988571082923166</v>
      </c>
      <c r="S331" s="839">
        <f t="shared" si="103"/>
        <v>-1</v>
      </c>
      <c r="T331" s="178">
        <f t="shared" si="104"/>
        <v>5</v>
      </c>
      <c r="U331" s="253">
        <f t="shared" si="105"/>
        <v>-0.7011428917076834</v>
      </c>
      <c r="V331" s="385">
        <f t="shared" si="106"/>
        <v>19.453776343690727</v>
      </c>
      <c r="W331" s="404"/>
      <c r="X331" s="157">
        <f t="shared" si="107"/>
        <v>44147</v>
      </c>
      <c r="Y331" s="387">
        <f t="shared" si="108"/>
        <v>19.431000000000001</v>
      </c>
      <c r="Z331" s="387">
        <f t="shared" si="109"/>
        <v>19.811812547130263</v>
      </c>
      <c r="AA331" s="388">
        <f t="shared" si="110"/>
        <v>22.560131709834977</v>
      </c>
      <c r="AB331" s="199">
        <f t="shared" si="111"/>
        <v>44147</v>
      </c>
      <c r="AC331" s="119">
        <f>IF(OR(t&lt;Tnet,NoTnet),'2019'!Resal_s+('2019'!Salim-'2019'!Resal_s)*(1-EXP(('2019'!Tnet_s-t)/'2019'!Tau_j)),Resal_s+(Salim-Resal_s)*(1-EXP((Tnet_s-t)/Tau_j)))*Salcycl</f>
        <v>0.12182194670018702</v>
      </c>
      <c r="AD331" s="233">
        <f>(INDEX(Models!$BJ331:$BT331,,AH331)*(1-AF331)+INDEX(Models!$BJ331:$BT331,,AH331+1)*AF331-ERP_i)*AE331*Ramure*Pc/MaxiM</f>
        <v>3.455327997346886E-2</v>
      </c>
      <c r="AE331" s="307">
        <f t="shared" si="112"/>
        <v>0.9</v>
      </c>
      <c r="AF331" s="179">
        <f t="shared" si="113"/>
        <v>0.2988571082923166</v>
      </c>
      <c r="AG331" s="839">
        <f t="shared" si="119"/>
        <v>-1</v>
      </c>
      <c r="AH331" s="178">
        <f t="shared" si="114"/>
        <v>5</v>
      </c>
      <c r="AI331" s="227">
        <f t="shared" si="115"/>
        <v>-0.7011428917076834</v>
      </c>
      <c r="AJ331" s="267" t="b">
        <f t="shared" si="116"/>
        <v>0</v>
      </c>
      <c r="AK331" s="267" t="b">
        <f t="shared" si="117"/>
        <v>0</v>
      </c>
      <c r="AL331" s="267"/>
      <c r="AM331" s="267"/>
      <c r="AN331" s="75"/>
    </row>
    <row r="332" spans="1:40" s="6" customFormat="1" ht="11.25" customHeight="1" x14ac:dyDescent="0.2">
      <c r="A332" s="56">
        <f t="shared" si="118"/>
        <v>44148</v>
      </c>
      <c r="B332" s="620">
        <v>14.348000000000001</v>
      </c>
      <c r="C332" s="392"/>
      <c r="D332" s="395">
        <f t="shared" si="98"/>
        <v>14.629535367351487</v>
      </c>
      <c r="E332" s="387">
        <f t="shared" si="120"/>
        <v>16.658000506605934</v>
      </c>
      <c r="F332" s="387">
        <f t="shared" si="99"/>
        <v>17.041501964262778</v>
      </c>
      <c r="G332" s="110">
        <f t="shared" si="121"/>
        <v>0.73635674333786227</v>
      </c>
      <c r="H332" s="416" t="b">
        <f>Wh_hp&gt;='2019'!Maxi_hp</f>
        <v>1</v>
      </c>
      <c r="I332" s="382">
        <f>IF(H332,Wh_hp,'2019'!Maxi_hp)</f>
        <v>17.041501964262778</v>
      </c>
      <c r="J332" s="85">
        <f>IF(H332,An,'2019'!An_max)</f>
        <v>2020</v>
      </c>
      <c r="K332" s="199">
        <f t="shared" si="100"/>
        <v>44148</v>
      </c>
      <c r="L332" s="147">
        <f>IF(t&lt;Tvie,1-EXP((T0-t)*PertePVj)+'2019'!Pspv,1-EXP((T0-t)*PertePVj)+Pspv)</f>
        <v>1.9244313662878487E-2</v>
      </c>
      <c r="M332" s="872"/>
      <c r="N332" s="872"/>
      <c r="O332" s="48">
        <f>IF(t&lt;Tnet,'2019'!Resal+('2019'!Salim-'2019'!Resal)*(1-EXP(('2019'!Tnet-t)/('2019'!Tau_j))),Resal+(Salim-Resal)*(1-EXP((Tnet-t)/(Tau_j))))*Salcycl</f>
        <v>0.12177122569122466</v>
      </c>
      <c r="P332" s="171">
        <f>(INDEX(Models!$BJ332:$BT332,,T332)*(1-R332)+INDEX(Models!$BJ332:$BT332,,T332+1)*R332-ERP_i)*Q332*Ramure*Pc/MaxiM</f>
        <v>3.5309723117230671E-2</v>
      </c>
      <c r="Q332" s="307">
        <f t="shared" si="101"/>
        <v>0.9</v>
      </c>
      <c r="R332" s="179">
        <f t="shared" si="102"/>
        <v>0.29890335803790302</v>
      </c>
      <c r="S332" s="839">
        <f t="shared" si="103"/>
        <v>-1</v>
      </c>
      <c r="T332" s="178">
        <f t="shared" si="104"/>
        <v>5</v>
      </c>
      <c r="U332" s="253">
        <f t="shared" si="105"/>
        <v>-0.70109664196209698</v>
      </c>
      <c r="V332" s="385">
        <f t="shared" si="106"/>
        <v>19.22985453343691</v>
      </c>
      <c r="W332" s="404"/>
      <c r="X332" s="157">
        <f t="shared" si="107"/>
        <v>44148</v>
      </c>
      <c r="Y332" s="387">
        <f t="shared" si="108"/>
        <v>14.348000000000001</v>
      </c>
      <c r="Z332" s="387">
        <f t="shared" si="109"/>
        <v>14.629535367351487</v>
      </c>
      <c r="AA332" s="388">
        <f t="shared" si="110"/>
        <v>16.658000506605934</v>
      </c>
      <c r="AB332" s="199">
        <f t="shared" si="111"/>
        <v>44148</v>
      </c>
      <c r="AC332" s="119">
        <f>IF(OR(t&lt;Tnet,NoTnet),'2019'!Resal_s+('2019'!Salim-'2019'!Resal_s)*(1-EXP(('2019'!Tnet_s-t)/'2019'!Tau_j)),Resal_s+(Salim-Resal_s)*(1-EXP((Tnet_s-t)/Tau_j)))*Salcycl</f>
        <v>0.12177122569122466</v>
      </c>
      <c r="AD332" s="233">
        <f>(INDEX(Models!$BJ332:$BT332,,AH332)*(1-AF332)+INDEX(Models!$BJ332:$BT332,,AH332+1)*AF332-ERP_i)*AE332*Ramure*Pc/MaxiM</f>
        <v>3.5309723117230671E-2</v>
      </c>
      <c r="AE332" s="307">
        <f t="shared" si="112"/>
        <v>0.9</v>
      </c>
      <c r="AF332" s="179">
        <f t="shared" si="113"/>
        <v>0.29890335803790302</v>
      </c>
      <c r="AG332" s="839">
        <f t="shared" si="119"/>
        <v>-1</v>
      </c>
      <c r="AH332" s="178">
        <f t="shared" si="114"/>
        <v>5</v>
      </c>
      <c r="AI332" s="227">
        <f t="shared" si="115"/>
        <v>-0.70109664196209698</v>
      </c>
      <c r="AJ332" s="267" t="b">
        <f t="shared" si="116"/>
        <v>0</v>
      </c>
      <c r="AK332" s="267" t="b">
        <f t="shared" si="117"/>
        <v>0</v>
      </c>
      <c r="AL332" s="267"/>
      <c r="AM332" s="267"/>
      <c r="AN332" s="75"/>
    </row>
    <row r="333" spans="1:40" s="6" customFormat="1" ht="11.25" customHeight="1" x14ac:dyDescent="0.2">
      <c r="A333" s="56">
        <f t="shared" si="118"/>
        <v>44149</v>
      </c>
      <c r="B333" s="620">
        <v>18.146000000000001</v>
      </c>
      <c r="C333" s="392"/>
      <c r="D333" s="395">
        <f t="shared" si="98"/>
        <v>18.502490015152873</v>
      </c>
      <c r="E333" s="387">
        <f t="shared" si="120"/>
        <v>21.066788718616561</v>
      </c>
      <c r="F333" s="387">
        <f t="shared" si="99"/>
        <v>21.801305387637619</v>
      </c>
      <c r="G333" s="110">
        <f t="shared" si="121"/>
        <v>0.95209644600373122</v>
      </c>
      <c r="H333" s="416" t="b">
        <f>Wh_hp&gt;='2019'!Maxi_hp</f>
        <v>1</v>
      </c>
      <c r="I333" s="382">
        <f>IF(H333,Wh_hp,'2019'!Maxi_hp)</f>
        <v>21.801305387637619</v>
      </c>
      <c r="J333" s="85">
        <f>IF(H333,An,'2019'!An_max)</f>
        <v>2020</v>
      </c>
      <c r="K333" s="199">
        <f t="shared" si="100"/>
        <v>44149</v>
      </c>
      <c r="L333" s="147">
        <f>IF(t&lt;Tvie,1-EXP((T0-t)*PertePVj)+'2019'!Pspv,1-EXP((T0-t)*PertePVj)+Pspv)</f>
        <v>1.9267137280491453E-2</v>
      </c>
      <c r="M333" s="872"/>
      <c r="N333" s="872"/>
      <c r="O333" s="48">
        <f>IF(t&lt;Tnet,'2019'!Resal+('2019'!Salim-'2019'!Resal)*(1-EXP(('2019'!Tnet-t)/('2019'!Tau_j))),Resal+(Salim-Resal)*(1-EXP((Tnet-t)/(Tau_j))))*Salcycl</f>
        <v>0.12172233451022542</v>
      </c>
      <c r="P333" s="171">
        <f>(INDEX(Models!$BJ333:$BT333,,T333)*(1-R333)+INDEX(Models!$BJ333:$BT333,,T333+1)*R333-ERP_i)*Q333*Ramure*Pc/MaxiM</f>
        <v>3.6038301617414753E-2</v>
      </c>
      <c r="Q333" s="307">
        <f t="shared" si="101"/>
        <v>0.9</v>
      </c>
      <c r="R333" s="179">
        <f t="shared" si="102"/>
        <v>0.29894775138171614</v>
      </c>
      <c r="S333" s="839">
        <f t="shared" si="103"/>
        <v>-1</v>
      </c>
      <c r="T333" s="178">
        <f t="shared" si="104"/>
        <v>5</v>
      </c>
      <c r="U333" s="253">
        <f t="shared" si="105"/>
        <v>-0.70105224861828386</v>
      </c>
      <c r="V333" s="385">
        <f t="shared" si="106"/>
        <v>19.012704549430907</v>
      </c>
      <c r="W333" s="404"/>
      <c r="X333" s="157">
        <f t="shared" si="107"/>
        <v>44149</v>
      </c>
      <c r="Y333" s="387">
        <f t="shared" si="108"/>
        <v>18.146000000000001</v>
      </c>
      <c r="Z333" s="387">
        <f t="shared" si="109"/>
        <v>18.502490015152873</v>
      </c>
      <c r="AA333" s="388">
        <f t="shared" si="110"/>
        <v>21.066788718616561</v>
      </c>
      <c r="AB333" s="199">
        <f t="shared" si="111"/>
        <v>44149</v>
      </c>
      <c r="AC333" s="119">
        <f>IF(OR(t&lt;Tnet,NoTnet),'2019'!Resal_s+('2019'!Salim-'2019'!Resal_s)*(1-EXP(('2019'!Tnet_s-t)/'2019'!Tau_j)),Resal_s+(Salim-Resal_s)*(1-EXP((Tnet_s-t)/Tau_j)))*Salcycl</f>
        <v>0.12172233451022542</v>
      </c>
      <c r="AD333" s="233">
        <f>(INDEX(Models!$BJ333:$BT333,,AH333)*(1-AF333)+INDEX(Models!$BJ333:$BT333,,AH333+1)*AF333-ERP_i)*AE333*Ramure*Pc/MaxiM</f>
        <v>3.6038301617414753E-2</v>
      </c>
      <c r="AE333" s="307">
        <f t="shared" si="112"/>
        <v>0.9</v>
      </c>
      <c r="AF333" s="179">
        <f t="shared" si="113"/>
        <v>0.29894775138171614</v>
      </c>
      <c r="AG333" s="839">
        <f t="shared" si="119"/>
        <v>-1</v>
      </c>
      <c r="AH333" s="178">
        <f t="shared" si="114"/>
        <v>5</v>
      </c>
      <c r="AI333" s="227">
        <f t="shared" si="115"/>
        <v>-0.70105224861828386</v>
      </c>
      <c r="AJ333" s="267" t="b">
        <f t="shared" si="116"/>
        <v>0</v>
      </c>
      <c r="AK333" s="267" t="b">
        <f t="shared" si="117"/>
        <v>0</v>
      </c>
      <c r="AL333" s="267"/>
      <c r="AM333" s="267"/>
      <c r="AN333" s="75"/>
    </row>
    <row r="334" spans="1:40" s="6" customFormat="1" ht="11.25" customHeight="1" x14ac:dyDescent="0.2">
      <c r="A334" s="56">
        <f t="shared" si="118"/>
        <v>44150</v>
      </c>
      <c r="B334" s="620">
        <v>14.52</v>
      </c>
      <c r="C334" s="392"/>
      <c r="D334" s="395">
        <f t="shared" si="98"/>
        <v>14.805599426139395</v>
      </c>
      <c r="E334" s="387">
        <f t="shared" si="120"/>
        <v>16.856637713933377</v>
      </c>
      <c r="F334" s="387">
        <f t="shared" si="99"/>
        <v>17.285052927936398</v>
      </c>
      <c r="G334" s="110">
        <f t="shared" si="121"/>
        <v>0.76279165954353656</v>
      </c>
      <c r="H334" s="416" t="b">
        <f>Wh_hp&gt;='2019'!Maxi_hp</f>
        <v>0</v>
      </c>
      <c r="I334" s="382">
        <f>IF(H334,Wh_hp,'2019'!Maxi_hp)</f>
        <v>20.767692594543572</v>
      </c>
      <c r="J334" s="85">
        <f>IF(H334,An,'2019'!An_max)</f>
        <v>2018</v>
      </c>
      <c r="K334" s="199">
        <f t="shared" si="100"/>
        <v>44150</v>
      </c>
      <c r="L334" s="147">
        <f>IF(t&lt;Tvie,1-EXP((T0-t)*PertePVj)+'2019'!Pspv,1-EXP((T0-t)*PertePVj)+Pspv)</f>
        <v>1.9289960366965397E-2</v>
      </c>
      <c r="M334" s="872"/>
      <c r="N334" s="872"/>
      <c r="O334" s="48">
        <f>IF(t&lt;Tnet,'2019'!Resal+('2019'!Salim-'2019'!Resal)*(1-EXP(('2019'!Tnet-t)/('2019'!Tau_j))),Resal+(Salim-Resal)*(1-EXP((Tnet-t)/(Tau_j))))*Salcycl</f>
        <v>0.12167540897545859</v>
      </c>
      <c r="P334" s="171">
        <f>(INDEX(Models!$BJ334:$BT334,,T334)*(1-R334)+INDEX(Models!$BJ334:$BT334,,T334+1)*R334-ERP_i)*Q334*Ramure*Pc/MaxiM</f>
        <v>3.6737878333254988E-2</v>
      </c>
      <c r="Q334" s="307">
        <f t="shared" si="101"/>
        <v>0.9</v>
      </c>
      <c r="R334" s="179">
        <f t="shared" si="102"/>
        <v>0.29899036261540157</v>
      </c>
      <c r="S334" s="839">
        <f t="shared" si="103"/>
        <v>-1</v>
      </c>
      <c r="T334" s="178">
        <f t="shared" si="104"/>
        <v>5</v>
      </c>
      <c r="U334" s="253">
        <f t="shared" si="105"/>
        <v>-0.70100963738459843</v>
      </c>
      <c r="V334" s="385">
        <f t="shared" si="106"/>
        <v>18.802037918776339</v>
      </c>
      <c r="W334" s="404"/>
      <c r="X334" s="157">
        <f t="shared" si="107"/>
        <v>44150</v>
      </c>
      <c r="Y334" s="387">
        <f t="shared" si="108"/>
        <v>14.52</v>
      </c>
      <c r="Z334" s="387">
        <f t="shared" si="109"/>
        <v>14.805599426139395</v>
      </c>
      <c r="AA334" s="388">
        <f t="shared" si="110"/>
        <v>16.856637713933377</v>
      </c>
      <c r="AB334" s="199">
        <f t="shared" si="111"/>
        <v>44150</v>
      </c>
      <c r="AC334" s="119">
        <f>IF(OR(t&lt;Tnet,NoTnet),'2019'!Resal_s+('2019'!Salim-'2019'!Resal_s)*(1-EXP(('2019'!Tnet_s-t)/'2019'!Tau_j)),Resal_s+(Salim-Resal_s)*(1-EXP((Tnet_s-t)/Tau_j)))*Salcycl</f>
        <v>0.12167540897545859</v>
      </c>
      <c r="AD334" s="233">
        <f>(INDEX(Models!$BJ334:$BT334,,AH334)*(1-AF334)+INDEX(Models!$BJ334:$BT334,,AH334+1)*AF334-ERP_i)*AE334*Ramure*Pc/MaxiM</f>
        <v>3.6737878333254988E-2</v>
      </c>
      <c r="AE334" s="307">
        <f t="shared" si="112"/>
        <v>0.9</v>
      </c>
      <c r="AF334" s="179">
        <f t="shared" si="113"/>
        <v>0.29899036261540157</v>
      </c>
      <c r="AG334" s="839">
        <f t="shared" si="119"/>
        <v>-1</v>
      </c>
      <c r="AH334" s="178">
        <f t="shared" si="114"/>
        <v>5</v>
      </c>
      <c r="AI334" s="227">
        <f t="shared" si="115"/>
        <v>-0.70100963738459843</v>
      </c>
      <c r="AJ334" s="267" t="b">
        <f t="shared" si="116"/>
        <v>0</v>
      </c>
      <c r="AK334" s="267" t="b">
        <f t="shared" si="117"/>
        <v>0</v>
      </c>
      <c r="AL334" s="267"/>
      <c r="AM334" s="267"/>
      <c r="AN334" s="75"/>
    </row>
    <row r="335" spans="1:40" s="6" customFormat="1" ht="11.25" customHeight="1" x14ac:dyDescent="0.2">
      <c r="A335" s="56">
        <f t="shared" si="118"/>
        <v>44151</v>
      </c>
      <c r="B335" s="620">
        <v>14.35</v>
      </c>
      <c r="C335" s="392"/>
      <c r="D335" s="395">
        <f t="shared" ref="D335:D380" si="122">Wh/(1-Ppv)</f>
        <v>14.632596153094584</v>
      </c>
      <c r="E335" s="387">
        <f t="shared" si="120"/>
        <v>16.658817767145113</v>
      </c>
      <c r="F335" s="387">
        <f t="shared" ref="F335:F380" si="123">Wh_sa/(1-Pvg*MEDIAN((-Sdif+Wh/Env_an)/Csdif,0,1))</f>
        <v>17.089511297585577</v>
      </c>
      <c r="G335" s="110">
        <f t="shared" si="121"/>
        <v>0.76194528491112901</v>
      </c>
      <c r="H335" s="416" t="b">
        <f>Wh_hp&gt;='2019'!Maxi_hp</f>
        <v>0</v>
      </c>
      <c r="I335" s="382">
        <f>IF(H335,Wh_hp,'2019'!Maxi_hp)</f>
        <v>21.918634591687038</v>
      </c>
      <c r="J335" s="85">
        <f>IF(H335,An,'2019'!An_max)</f>
        <v>2018</v>
      </c>
      <c r="K335" s="199">
        <f t="shared" ref="K335:K380" si="124">t</f>
        <v>44151</v>
      </c>
      <c r="L335" s="147">
        <f>IF(t&lt;Tvie,1-EXP((T0-t)*PertePVj)+'2019'!Pspv,1-EXP((T0-t)*PertePVj)+Pspv)</f>
        <v>1.9312782922312755E-2</v>
      </c>
      <c r="M335" s="872"/>
      <c r="N335" s="872"/>
      <c r="O335" s="48">
        <f>IF(t&lt;Tnet,'2019'!Resal+('2019'!Salim-'2019'!Resal)*(1-EXP(('2019'!Tnet-t)/('2019'!Tau_j))),Resal+(Salim-Resal)*(1-EXP((Tnet-t)/(Tau_j))))*Salcycl</f>
        <v>0.1216305768136012</v>
      </c>
      <c r="P335" s="171">
        <f>(INDEX(Models!$BJ335:$BT335,,T335)*(1-R335)+INDEX(Models!$BJ335:$BT335,,T335+1)*R335-ERP_i)*Q335*Ramure*Pc/MaxiM</f>
        <v>3.7407364674400069E-2</v>
      </c>
      <c r="Q335" s="307">
        <f t="shared" ref="Q335:Q380" si="125">IF(OR(t&lt;Ttai,Notai),Dd+PousD*Croivg,Dens+PousD*(Croivg-Croi_tai))</f>
        <v>0.9</v>
      </c>
      <c r="R335" s="179">
        <f t="shared" ref="R335:R379" si="126">(Hp_vg-S335)/(INDEX(Echel_vg,T335+1)-S335)</f>
        <v>0.2990312630749935</v>
      </c>
      <c r="S335" s="839">
        <f t="shared" ref="S335:S379" si="127">INDEX(Echel_vg,T335)</f>
        <v>-1</v>
      </c>
      <c r="T335" s="178">
        <f t="shared" ref="T335:T380" si="128">MIN(MATCH(Hp_vg,Echel_vg),10)</f>
        <v>5</v>
      </c>
      <c r="U335" s="253">
        <f t="shared" ref="U335:U380" si="129">IF(OR(t&lt;Ttai,Notai),Hdd+PousH*Croivg,Hdtf+PousH*(Croivg-Croi_tai))</f>
        <v>-0.7009687369250065</v>
      </c>
      <c r="V335" s="385">
        <f t="shared" ref="V335:V380" si="130">MaxiM*(1-Ppv)*(1-Pvg)*(1-Psa)</f>
        <v>18.597566312479902</v>
      </c>
      <c r="W335" s="404"/>
      <c r="X335" s="157">
        <f t="shared" ref="X335:X380" si="131">t</f>
        <v>44151</v>
      </c>
      <c r="Y335" s="387">
        <f t="shared" ref="Y335:Y380" si="132">Wh_pvt_s*(1-Ppv)</f>
        <v>14.35</v>
      </c>
      <c r="Z335" s="387">
        <f t="shared" ref="Z335:Z380" si="133">Wh_sa_s*(1-Psa_s)</f>
        <v>14.632596153094584</v>
      </c>
      <c r="AA335" s="388">
        <f t="shared" ref="AA335:AA380" si="134">Wh_hp*(1-Pvg_s*MEDIAN((-Sdif+Wh/Env_an)/Csdif,0,1))</f>
        <v>16.658817767145113</v>
      </c>
      <c r="AB335" s="199">
        <f t="shared" ref="AB335:AB380" si="135">t</f>
        <v>44151</v>
      </c>
      <c r="AC335" s="119">
        <f>IF(OR(t&lt;Tnet,NoTnet),'2019'!Resal_s+('2019'!Salim-'2019'!Resal_s)*(1-EXP(('2019'!Tnet_s-t)/'2019'!Tau_j)),Resal_s+(Salim-Resal_s)*(1-EXP((Tnet_s-t)/Tau_j)))*Salcycl</f>
        <v>0.1216305768136012</v>
      </c>
      <c r="AD335" s="233">
        <f>(INDEX(Models!$BJ335:$BT335,,AH335)*(1-AF335)+INDEX(Models!$BJ335:$BT335,,AH335+1)*AF335-ERP_i)*AE335*Ramure*Pc/MaxiM</f>
        <v>3.7407364674400069E-2</v>
      </c>
      <c r="AE335" s="307">
        <f t="shared" ref="AE335:AE380" si="136">IF(OR(t&lt;Ttai,Notai),Dd_s+PousD*Croivg,Dens_s+PousD*(Croivg-Croi_tai))</f>
        <v>0.9</v>
      </c>
      <c r="AF335" s="179">
        <f t="shared" ref="AF335:AF379" si="137">(Hp_vg_s-AG335)/(INDEX(Echel_vg,AH335+1)-AG335)</f>
        <v>0.2990312630749935</v>
      </c>
      <c r="AG335" s="839">
        <f t="shared" si="119"/>
        <v>-1</v>
      </c>
      <c r="AH335" s="178">
        <f t="shared" ref="AH335:AH380" si="138">MIN(MATCH(Hp_vg_s,Echel_vg),10)</f>
        <v>5</v>
      </c>
      <c r="AI335" s="227">
        <f t="shared" ref="AI335:AI380" si="139">IF(OR(t&lt;Ttai,Notai),Hdd_s+PousH*Croivg,Hdtai_s+PousH*(Croivg-Croi_tai))</f>
        <v>-0.7009687369250065</v>
      </c>
      <c r="AJ335" s="267" t="b">
        <f t="shared" ref="AJ335:AJ380" si="140">t&lt;Tnet</f>
        <v>0</v>
      </c>
      <c r="AK335" s="267" t="b">
        <f t="shared" ref="AK335:AK380" si="141">t&lt;Ttai</f>
        <v>0</v>
      </c>
      <c r="AL335" s="267"/>
      <c r="AM335" s="267"/>
      <c r="AN335" s="75"/>
    </row>
    <row r="336" spans="1:40" s="6" customFormat="1" ht="11.25" customHeight="1" x14ac:dyDescent="0.2">
      <c r="A336" s="56">
        <f t="shared" ref="A336:A380" si="142">A335+1</f>
        <v>44152</v>
      </c>
      <c r="B336" s="620">
        <v>17.268999999999998</v>
      </c>
      <c r="C336" s="392"/>
      <c r="D336" s="395">
        <f t="shared" si="122"/>
        <v>17.60949014474896</v>
      </c>
      <c r="E336" s="387">
        <f t="shared" si="120"/>
        <v>20.046958927096078</v>
      </c>
      <c r="F336" s="387">
        <f t="shared" si="123"/>
        <v>20.767759562159952</v>
      </c>
      <c r="G336" s="110">
        <f t="shared" si="121"/>
        <v>0.93533785278954895</v>
      </c>
      <c r="H336" s="416" t="b">
        <f>Wh_hp&gt;='2019'!Maxi_hp</f>
        <v>1</v>
      </c>
      <c r="I336" s="382">
        <f>IF(H336,Wh_hp,'2019'!Maxi_hp)</f>
        <v>20.767759562159952</v>
      </c>
      <c r="J336" s="85">
        <f>IF(H336,An,'2019'!An_max)</f>
        <v>2020</v>
      </c>
      <c r="K336" s="199">
        <f t="shared" si="124"/>
        <v>44152</v>
      </c>
      <c r="L336" s="147">
        <f>IF(t&lt;Tvie,1-EXP((T0-t)*PertePVj)+'2019'!Pspv,1-EXP((T0-t)*PertePVj)+Pspv)</f>
        <v>1.933560494654607E-2</v>
      </c>
      <c r="M336" s="872"/>
      <c r="N336" s="872"/>
      <c r="O336" s="48">
        <f>IF(t&lt;Tnet,'2019'!Resal+('2019'!Salim-'2019'!Resal)*(1-EXP(('2019'!Tnet-t)/('2019'!Tau_j))),Resal+(Salim-Resal)*(1-EXP((Tnet-t)/(Tau_j))))*Salcycl</f>
        <v>0.12158795711665575</v>
      </c>
      <c r="P336" s="171">
        <f>(INDEX(Models!$BJ336:$BT336,,T336)*(1-R336)+INDEX(Models!$BJ336:$BT336,,T336+1)*R336-ERP_i)*Q336*Ramure*Pc/MaxiM</f>
        <v>3.8045722288439235E-2</v>
      </c>
      <c r="Q336" s="307">
        <f t="shared" si="125"/>
        <v>0.9</v>
      </c>
      <c r="R336" s="179">
        <f t="shared" si="126"/>
        <v>0.29907052125712219</v>
      </c>
      <c r="S336" s="839">
        <f t="shared" si="127"/>
        <v>-1</v>
      </c>
      <c r="T336" s="178">
        <f t="shared" si="128"/>
        <v>5</v>
      </c>
      <c r="U336" s="253">
        <f t="shared" si="129"/>
        <v>-0.70092947874287781</v>
      </c>
      <c r="V336" s="385">
        <f t="shared" si="130"/>
        <v>18.399001543666014</v>
      </c>
      <c r="W336" s="404"/>
      <c r="X336" s="157">
        <f t="shared" si="131"/>
        <v>44152</v>
      </c>
      <c r="Y336" s="387">
        <f t="shared" si="132"/>
        <v>17.268999999999998</v>
      </c>
      <c r="Z336" s="387">
        <f t="shared" si="133"/>
        <v>17.60949014474896</v>
      </c>
      <c r="AA336" s="388">
        <f t="shared" si="134"/>
        <v>20.046958927096078</v>
      </c>
      <c r="AB336" s="199">
        <f t="shared" si="135"/>
        <v>44152</v>
      </c>
      <c r="AC336" s="119">
        <f>IF(OR(t&lt;Tnet,NoTnet),'2019'!Resal_s+('2019'!Salim-'2019'!Resal_s)*(1-EXP(('2019'!Tnet_s-t)/'2019'!Tau_j)),Resal_s+(Salim-Resal_s)*(1-EXP((Tnet_s-t)/Tau_j)))*Salcycl</f>
        <v>0.12158795711665575</v>
      </c>
      <c r="AD336" s="233">
        <f>(INDEX(Models!$BJ336:$BT336,,AH336)*(1-AF336)+INDEX(Models!$BJ336:$BT336,,AH336+1)*AF336-ERP_i)*AE336*Ramure*Pc/MaxiM</f>
        <v>3.8045722288439235E-2</v>
      </c>
      <c r="AE336" s="307">
        <f t="shared" si="136"/>
        <v>0.9</v>
      </c>
      <c r="AF336" s="179">
        <f t="shared" si="137"/>
        <v>0.29907052125712219</v>
      </c>
      <c r="AG336" s="839">
        <f t="shared" ref="AG336:AG379" si="143">INDEX(Echel_vg,AH336)</f>
        <v>-1</v>
      </c>
      <c r="AH336" s="178">
        <f t="shared" si="138"/>
        <v>5</v>
      </c>
      <c r="AI336" s="227">
        <f t="shared" si="139"/>
        <v>-0.70092947874287781</v>
      </c>
      <c r="AJ336" s="267" t="b">
        <f t="shared" si="140"/>
        <v>0</v>
      </c>
      <c r="AK336" s="267" t="b">
        <f t="shared" si="141"/>
        <v>0</v>
      </c>
      <c r="AL336" s="267"/>
      <c r="AM336" s="267"/>
      <c r="AN336" s="75"/>
    </row>
    <row r="337" spans="1:40" s="6" customFormat="1" ht="11.25" customHeight="1" x14ac:dyDescent="0.2">
      <c r="A337" s="56">
        <f t="shared" si="142"/>
        <v>44153</v>
      </c>
      <c r="B337" s="620">
        <v>17.442</v>
      </c>
      <c r="C337" s="392"/>
      <c r="D337" s="395">
        <f t="shared" si="122"/>
        <v>17.786315071953332</v>
      </c>
      <c r="E337" s="387">
        <f t="shared" si="120"/>
        <v>20.247330741875707</v>
      </c>
      <c r="F337" s="387">
        <f t="shared" si="123"/>
        <v>21.010749223959159</v>
      </c>
      <c r="G337" s="110">
        <f t="shared" si="121"/>
        <v>0.95572913138325311</v>
      </c>
      <c r="H337" s="416" t="b">
        <f>Wh_hp&gt;='2019'!Maxi_hp</f>
        <v>1</v>
      </c>
      <c r="I337" s="382">
        <f>IF(H337,Wh_hp,'2019'!Maxi_hp)</f>
        <v>21.010749223959159</v>
      </c>
      <c r="J337" s="85">
        <f>IF(H337,An,'2019'!An_max)</f>
        <v>2020</v>
      </c>
      <c r="K337" s="199">
        <f t="shared" si="124"/>
        <v>44153</v>
      </c>
      <c r="L337" s="147">
        <f>IF(t&lt;Tvie,1-EXP((T0-t)*PertePVj)+'2019'!Pspv,1-EXP((T0-t)*PertePVj)+Pspv)</f>
        <v>1.9358426439677334E-2</v>
      </c>
      <c r="M337" s="872"/>
      <c r="N337" s="872"/>
      <c r="O337" s="48">
        <f>IF(t&lt;Tnet,'2019'!Resal+('2019'!Salim-'2019'!Resal)*(1-EXP(('2019'!Tnet-t)/('2019'!Tau_j))),Resal+(Salim-Resal)*(1-EXP((Tnet-t)/(Tau_j))))*Salcycl</f>
        <v>0.12154765985189753</v>
      </c>
      <c r="P337" s="171">
        <f>(INDEX(Models!$BJ337:$BT337,,T337)*(1-R337)+INDEX(Models!$BJ337:$BT337,,T337+1)*R337-ERP_i)*Q337*Ramure*Pc/MaxiM</f>
        <v>3.865196433252506E-2</v>
      </c>
      <c r="Q337" s="307">
        <f t="shared" si="125"/>
        <v>0.9</v>
      </c>
      <c r="R337" s="179">
        <f t="shared" si="126"/>
        <v>0.2991082029307609</v>
      </c>
      <c r="S337" s="839">
        <f t="shared" si="127"/>
        <v>-1</v>
      </c>
      <c r="T337" s="178">
        <f t="shared" si="128"/>
        <v>5</v>
      </c>
      <c r="U337" s="253">
        <f t="shared" si="129"/>
        <v>-0.7008917970692391</v>
      </c>
      <c r="V337" s="385">
        <f t="shared" si="130"/>
        <v>18.206055554304179</v>
      </c>
      <c r="W337" s="404"/>
      <c r="X337" s="157">
        <f t="shared" si="131"/>
        <v>44153</v>
      </c>
      <c r="Y337" s="387">
        <f t="shared" si="132"/>
        <v>17.442</v>
      </c>
      <c r="Z337" s="387">
        <f t="shared" si="133"/>
        <v>17.786315071953332</v>
      </c>
      <c r="AA337" s="388">
        <f t="shared" si="134"/>
        <v>20.247330741875707</v>
      </c>
      <c r="AB337" s="199">
        <f t="shared" si="135"/>
        <v>44153</v>
      </c>
      <c r="AC337" s="119">
        <f>IF(OR(t&lt;Tnet,NoTnet),'2019'!Resal_s+('2019'!Salim-'2019'!Resal_s)*(1-EXP(('2019'!Tnet_s-t)/'2019'!Tau_j)),Resal_s+(Salim-Resal_s)*(1-EXP((Tnet_s-t)/Tau_j)))*Salcycl</f>
        <v>0.12154765985189753</v>
      </c>
      <c r="AD337" s="233">
        <f>(INDEX(Models!$BJ337:$BT337,,AH337)*(1-AF337)+INDEX(Models!$BJ337:$BT337,,AH337+1)*AF337-ERP_i)*AE337*Ramure*Pc/MaxiM</f>
        <v>3.865196433252506E-2</v>
      </c>
      <c r="AE337" s="307">
        <f t="shared" si="136"/>
        <v>0.9</v>
      </c>
      <c r="AF337" s="179">
        <f t="shared" si="137"/>
        <v>0.2991082029307609</v>
      </c>
      <c r="AG337" s="839">
        <f t="shared" si="143"/>
        <v>-1</v>
      </c>
      <c r="AH337" s="178">
        <f t="shared" si="138"/>
        <v>5</v>
      </c>
      <c r="AI337" s="227">
        <f t="shared" si="139"/>
        <v>-0.7008917970692391</v>
      </c>
      <c r="AJ337" s="267" t="b">
        <f t="shared" si="140"/>
        <v>0</v>
      </c>
      <c r="AK337" s="267" t="b">
        <f t="shared" si="141"/>
        <v>0</v>
      </c>
      <c r="AL337" s="267"/>
      <c r="AM337" s="267"/>
      <c r="AN337" s="75"/>
    </row>
    <row r="338" spans="1:40" s="6" customFormat="1" ht="11.25" customHeight="1" x14ac:dyDescent="0.2">
      <c r="A338" s="56">
        <f t="shared" si="142"/>
        <v>44154</v>
      </c>
      <c r="B338" s="620">
        <v>5.34</v>
      </c>
      <c r="C338" s="392"/>
      <c r="D338" s="395">
        <f t="shared" si="122"/>
        <v>5.4455413848154084</v>
      </c>
      <c r="E338" s="387">
        <f t="shared" si="120"/>
        <v>6.1987501903705775</v>
      </c>
      <c r="F338" s="387">
        <f t="shared" si="123"/>
        <v>6.1987501903705775</v>
      </c>
      <c r="G338" s="110">
        <f t="shared" si="121"/>
        <v>0.28473816528183654</v>
      </c>
      <c r="H338" s="416" t="b">
        <f>Wh_hp&gt;='2019'!Maxi_hp</f>
        <v>0</v>
      </c>
      <c r="I338" s="382">
        <f>IF(H338,Wh_hp,'2019'!Maxi_hp)</f>
        <v>22.468091458324675</v>
      </c>
      <c r="J338" s="85">
        <f>IF(H338,An,'2019'!An_max)</f>
        <v>2019</v>
      </c>
      <c r="K338" s="199">
        <f t="shared" si="124"/>
        <v>44154</v>
      </c>
      <c r="L338" s="147">
        <f>IF(t&lt;Tvie,1-EXP((T0-t)*PertePVj)+'2019'!Pspv,1-EXP((T0-t)*PertePVj)+Pspv)</f>
        <v>1.9381247401719315E-2</v>
      </c>
      <c r="M338" s="872"/>
      <c r="N338" s="872"/>
      <c r="O338" s="48">
        <f>IF(t&lt;Tnet,'2019'!Resal+('2019'!Salim-'2019'!Resal)*(1-EXP(('2019'!Tnet-t)/('2019'!Tau_j))),Resal+(Salim-Resal)*(1-EXP((Tnet-t)/(Tau_j))))*Salcycl</f>
        <v>0.12150978542823654</v>
      </c>
      <c r="P338" s="171">
        <f>(INDEX(Models!$BJ338:$BT338,,T338)*(1-R338)+INDEX(Models!$BJ338:$BT338,,T338+1)*R338-ERP_i)*Q338*Ramure*Pc/MaxiM</f>
        <v>3.9236305334584949E-2</v>
      </c>
      <c r="Q338" s="307">
        <f t="shared" si="125"/>
        <v>0.9</v>
      </c>
      <c r="R338" s="179">
        <f t="shared" si="126"/>
        <v>0.29914437124467552</v>
      </c>
      <c r="S338" s="839">
        <f t="shared" si="127"/>
        <v>-1</v>
      </c>
      <c r="T338" s="178">
        <f t="shared" si="128"/>
        <v>5</v>
      </c>
      <c r="U338" s="253">
        <f t="shared" si="129"/>
        <v>-0.70085562875532448</v>
      </c>
      <c r="V338" s="385">
        <f t="shared" si="130"/>
        <v>18.018231326436762</v>
      </c>
      <c r="W338" s="404"/>
      <c r="X338" s="157">
        <f t="shared" si="131"/>
        <v>44154</v>
      </c>
      <c r="Y338" s="387">
        <f t="shared" si="132"/>
        <v>5.34</v>
      </c>
      <c r="Z338" s="387">
        <f t="shared" si="133"/>
        <v>5.4455413848154084</v>
      </c>
      <c r="AA338" s="388">
        <f t="shared" si="134"/>
        <v>6.1987501903705775</v>
      </c>
      <c r="AB338" s="199">
        <f t="shared" si="135"/>
        <v>44154</v>
      </c>
      <c r="AC338" s="119">
        <f>IF(OR(t&lt;Tnet,NoTnet),'2019'!Resal_s+('2019'!Salim-'2019'!Resal_s)*(1-EXP(('2019'!Tnet_s-t)/'2019'!Tau_j)),Resal_s+(Salim-Resal_s)*(1-EXP((Tnet_s-t)/Tau_j)))*Salcycl</f>
        <v>0.12150978542823654</v>
      </c>
      <c r="AD338" s="233">
        <f>(INDEX(Models!$BJ338:$BT338,,AH338)*(1-AF338)+INDEX(Models!$BJ338:$BT338,,AH338+1)*AF338-ERP_i)*AE338*Ramure*Pc/MaxiM</f>
        <v>3.9236305334584949E-2</v>
      </c>
      <c r="AE338" s="307">
        <f t="shared" si="136"/>
        <v>0.9</v>
      </c>
      <c r="AF338" s="179">
        <f t="shared" si="137"/>
        <v>0.29914437124467552</v>
      </c>
      <c r="AG338" s="839">
        <f t="shared" si="143"/>
        <v>-1</v>
      </c>
      <c r="AH338" s="178">
        <f t="shared" si="138"/>
        <v>5</v>
      </c>
      <c r="AI338" s="227">
        <f t="shared" si="139"/>
        <v>-0.70085562875532448</v>
      </c>
      <c r="AJ338" s="267" t="b">
        <f t="shared" si="140"/>
        <v>0</v>
      </c>
      <c r="AK338" s="267" t="b">
        <f t="shared" si="141"/>
        <v>0</v>
      </c>
      <c r="AL338" s="267"/>
      <c r="AM338" s="267"/>
      <c r="AN338" s="75"/>
    </row>
    <row r="339" spans="1:40" s="6" customFormat="1" ht="11.25" customHeight="1" x14ac:dyDescent="0.2">
      <c r="A339" s="56">
        <f t="shared" si="142"/>
        <v>44155</v>
      </c>
      <c r="B339" s="620">
        <v>15.827999999999999</v>
      </c>
      <c r="C339" s="392"/>
      <c r="D339" s="395">
        <f t="shared" si="122"/>
        <v>16.1412050374479</v>
      </c>
      <c r="E339" s="387">
        <f t="shared" si="120"/>
        <v>18.373062190010568</v>
      </c>
      <c r="F339" s="387">
        <f t="shared" si="123"/>
        <v>19.008458426549932</v>
      </c>
      <c r="G339" s="110">
        <f t="shared" si="121"/>
        <v>0.88160680197008001</v>
      </c>
      <c r="H339" s="416" t="b">
        <f>Wh_hp&gt;='2019'!Maxi_hp</f>
        <v>0</v>
      </c>
      <c r="I339" s="382">
        <f>IF(H339,Wh_hp,'2019'!Maxi_hp)</f>
        <v>21.653761632843604</v>
      </c>
      <c r="J339" s="85">
        <f>IF(H339,An,'2019'!An_max)</f>
        <v>2019</v>
      </c>
      <c r="K339" s="199">
        <f t="shared" si="124"/>
        <v>44155</v>
      </c>
      <c r="L339" s="147">
        <f>IF(t&lt;Tvie,1-EXP((T0-t)*PertePVj)+'2019'!Pspv,1-EXP((T0-t)*PertePVj)+Pspv)</f>
        <v>1.9404067832684002E-2</v>
      </c>
      <c r="M339" s="872"/>
      <c r="N339" s="872"/>
      <c r="O339" s="48">
        <f>IF(t&lt;Tnet,'2019'!Resal+('2019'!Salim-'2019'!Resal)*(1-EXP(('2019'!Tnet-t)/('2019'!Tau_j))),Resal+(Salim-Resal)*(1-EXP((Tnet-t)/(Tau_j))))*Salcycl</f>
        <v>0.12147442432193636</v>
      </c>
      <c r="P339" s="171">
        <f>(INDEX(Models!$BJ339:$BT339,,T339)*(1-R339)+INDEX(Models!$BJ339:$BT339,,T339+1)*R339-ERP_i)*Q339*Ramure*Pc/MaxiM</f>
        <v>3.9828968550552006E-2</v>
      </c>
      <c r="Q339" s="307">
        <f t="shared" si="125"/>
        <v>0.9</v>
      </c>
      <c r="R339" s="179">
        <f t="shared" si="126"/>
        <v>0.29917908683073469</v>
      </c>
      <c r="S339" s="839">
        <f t="shared" si="127"/>
        <v>-1</v>
      </c>
      <c r="T339" s="178">
        <f t="shared" si="128"/>
        <v>5</v>
      </c>
      <c r="U339" s="253">
        <f t="shared" si="129"/>
        <v>-0.70082091316926531</v>
      </c>
      <c r="V339" s="385">
        <f t="shared" si="130"/>
        <v>17.834669291707222</v>
      </c>
      <c r="W339" s="404"/>
      <c r="X339" s="157">
        <f t="shared" si="131"/>
        <v>44155</v>
      </c>
      <c r="Y339" s="387">
        <f t="shared" si="132"/>
        <v>15.828000000000001</v>
      </c>
      <c r="Z339" s="387">
        <f t="shared" si="133"/>
        <v>16.1412050374479</v>
      </c>
      <c r="AA339" s="388">
        <f t="shared" si="134"/>
        <v>18.373062190010568</v>
      </c>
      <c r="AB339" s="199">
        <f t="shared" si="135"/>
        <v>44155</v>
      </c>
      <c r="AC339" s="119">
        <f>IF(OR(t&lt;Tnet,NoTnet),'2019'!Resal_s+('2019'!Salim-'2019'!Resal_s)*(1-EXP(('2019'!Tnet_s-t)/'2019'!Tau_j)),Resal_s+(Salim-Resal_s)*(1-EXP((Tnet_s-t)/Tau_j)))*Salcycl</f>
        <v>0.12147442432193636</v>
      </c>
      <c r="AD339" s="233">
        <f>(INDEX(Models!$BJ339:$BT339,,AH339)*(1-AF339)+INDEX(Models!$BJ339:$BT339,,AH339+1)*AF339-ERP_i)*AE339*Ramure*Pc/MaxiM</f>
        <v>3.9828968550552006E-2</v>
      </c>
      <c r="AE339" s="307">
        <f t="shared" si="136"/>
        <v>0.9</v>
      </c>
      <c r="AF339" s="179">
        <f t="shared" si="137"/>
        <v>0.29917908683073469</v>
      </c>
      <c r="AG339" s="839">
        <f t="shared" si="143"/>
        <v>-1</v>
      </c>
      <c r="AH339" s="178">
        <f t="shared" si="138"/>
        <v>5</v>
      </c>
      <c r="AI339" s="227">
        <f t="shared" si="139"/>
        <v>-0.70082091316926531</v>
      </c>
      <c r="AJ339" s="267" t="b">
        <f t="shared" si="140"/>
        <v>0</v>
      </c>
      <c r="AK339" s="267" t="b">
        <f t="shared" si="141"/>
        <v>0</v>
      </c>
      <c r="AL339" s="267"/>
      <c r="AM339" s="267"/>
      <c r="AN339" s="75"/>
    </row>
    <row r="340" spans="1:40" s="6" customFormat="1" ht="11.25" customHeight="1" x14ac:dyDescent="0.2">
      <c r="A340" s="56">
        <f t="shared" si="142"/>
        <v>44156</v>
      </c>
      <c r="B340" s="620">
        <v>18.140999999999998</v>
      </c>
      <c r="C340" s="392"/>
      <c r="D340" s="395">
        <f t="shared" si="122"/>
        <v>18.500405296706418</v>
      </c>
      <c r="E340" s="387">
        <f t="shared" si="120"/>
        <v>21.057685513027199</v>
      </c>
      <c r="F340" s="387">
        <f t="shared" si="123"/>
        <v>21.944926765970493</v>
      </c>
      <c r="G340" s="110">
        <f t="shared" si="121"/>
        <v>1.0275228889548467</v>
      </c>
      <c r="H340" s="416" t="b">
        <f>Wh_hp&gt;='2019'!Maxi_hp</f>
        <v>1</v>
      </c>
      <c r="I340" s="382">
        <f>IF(H340,Wh_hp,'2019'!Maxi_hp)</f>
        <v>21.944926765970493</v>
      </c>
      <c r="J340" s="85">
        <f>IF(H340,An,'2019'!An_max)</f>
        <v>2020</v>
      </c>
      <c r="K340" s="199">
        <f t="shared" si="124"/>
        <v>44156</v>
      </c>
      <c r="L340" s="147">
        <f>IF(t&lt;Tvie,1-EXP((T0-t)*PertePVj)+'2019'!Pspv,1-EXP((T0-t)*PertePVj)+Pspv)</f>
        <v>1.9426887732584053E-2</v>
      </c>
      <c r="M340" s="872"/>
      <c r="N340" s="872"/>
      <c r="O340" s="48">
        <f>IF(t&lt;Tnet,'2019'!Resal+('2019'!Salim-'2019'!Resal)*(1-EXP(('2019'!Tnet-t)/('2019'!Tau_j))),Resal+(Salim-Resal)*(1-EXP((Tnet-t)/(Tau_j))))*Salcycl</f>
        <v>0.12144165676416503</v>
      </c>
      <c r="P340" s="171">
        <f>(INDEX(Models!$BJ340:$BT340,,T340)*(1-R340)+INDEX(Models!$BJ340:$BT340,,T340+1)*R340-ERP_i)*Q340*Ramure*Pc/MaxiM</f>
        <v>4.0430358342280655E-2</v>
      </c>
      <c r="Q340" s="307">
        <f t="shared" si="125"/>
        <v>0.9</v>
      </c>
      <c r="R340" s="179">
        <f t="shared" si="126"/>
        <v>0.29921240790323078</v>
      </c>
      <c r="S340" s="839">
        <f t="shared" si="127"/>
        <v>-1</v>
      </c>
      <c r="T340" s="178">
        <f t="shared" si="128"/>
        <v>5</v>
      </c>
      <c r="U340" s="253">
        <f t="shared" si="129"/>
        <v>-0.70078759209676922</v>
      </c>
      <c r="V340" s="385">
        <f t="shared" si="130"/>
        <v>17.655081161697787</v>
      </c>
      <c r="W340" s="404"/>
      <c r="X340" s="157">
        <f t="shared" si="131"/>
        <v>44156</v>
      </c>
      <c r="Y340" s="387">
        <f t="shared" si="132"/>
        <v>18.140999999999998</v>
      </c>
      <c r="Z340" s="387">
        <f t="shared" si="133"/>
        <v>18.500405296706418</v>
      </c>
      <c r="AA340" s="388">
        <f t="shared" si="134"/>
        <v>21.057685513027199</v>
      </c>
      <c r="AB340" s="199">
        <f t="shared" si="135"/>
        <v>44156</v>
      </c>
      <c r="AC340" s="119">
        <f>IF(OR(t&lt;Tnet,NoTnet),'2019'!Resal_s+('2019'!Salim-'2019'!Resal_s)*(1-EXP(('2019'!Tnet_s-t)/'2019'!Tau_j)),Resal_s+(Salim-Resal_s)*(1-EXP((Tnet_s-t)/Tau_j)))*Salcycl</f>
        <v>0.12144165676416503</v>
      </c>
      <c r="AD340" s="233">
        <f>(INDEX(Models!$BJ340:$BT340,,AH340)*(1-AF340)+INDEX(Models!$BJ340:$BT340,,AH340+1)*AF340-ERP_i)*AE340*Ramure*Pc/MaxiM</f>
        <v>4.0430358342280655E-2</v>
      </c>
      <c r="AE340" s="307">
        <f t="shared" si="136"/>
        <v>0.9</v>
      </c>
      <c r="AF340" s="179">
        <f t="shared" si="137"/>
        <v>0.29921240790323078</v>
      </c>
      <c r="AG340" s="839">
        <f t="shared" si="143"/>
        <v>-1</v>
      </c>
      <c r="AH340" s="178">
        <f t="shared" si="138"/>
        <v>5</v>
      </c>
      <c r="AI340" s="227">
        <f t="shared" si="139"/>
        <v>-0.70078759209676922</v>
      </c>
      <c r="AJ340" s="267" t="b">
        <f t="shared" si="140"/>
        <v>0</v>
      </c>
      <c r="AK340" s="267" t="b">
        <f t="shared" si="141"/>
        <v>0</v>
      </c>
      <c r="AL340" s="267"/>
      <c r="AM340" s="267"/>
      <c r="AN340" s="75"/>
    </row>
    <row r="341" spans="1:40" s="6" customFormat="1" ht="11.25" customHeight="1" x14ac:dyDescent="0.2">
      <c r="A341" s="56">
        <f t="shared" si="142"/>
        <v>44157</v>
      </c>
      <c r="B341" s="620">
        <v>17.623000000000001</v>
      </c>
      <c r="C341" s="392"/>
      <c r="D341" s="395">
        <f t="shared" si="122"/>
        <v>17.972561048251084</v>
      </c>
      <c r="E341" s="387">
        <f t="shared" si="120"/>
        <v>20.456177291239481</v>
      </c>
      <c r="F341" s="387">
        <f t="shared" si="123"/>
        <v>21.331642050489656</v>
      </c>
      <c r="G341" s="110">
        <f t="shared" si="121"/>
        <v>1.0082278720965641</v>
      </c>
      <c r="H341" s="416" t="b">
        <f>Wh_hp&gt;='2019'!Maxi_hp</f>
        <v>1</v>
      </c>
      <c r="I341" s="382">
        <f>IF(H341,Wh_hp,'2019'!Maxi_hp)</f>
        <v>21.331642050489656</v>
      </c>
      <c r="J341" s="85">
        <f>IF(H341,An,'2019'!An_max)</f>
        <v>2020</v>
      </c>
      <c r="K341" s="199">
        <f t="shared" si="124"/>
        <v>44157</v>
      </c>
      <c r="L341" s="147">
        <f>IF(t&lt;Tvie,1-EXP((T0-t)*PertePVj)+'2019'!Pspv,1-EXP((T0-t)*PertePVj)+Pspv)</f>
        <v>1.9449707101431568E-2</v>
      </c>
      <c r="M341" s="872"/>
      <c r="N341" s="872"/>
      <c r="O341" s="48">
        <f>IF(t&lt;Tnet,'2019'!Resal+('2019'!Salim-'2019'!Resal)*(1-EXP(('2019'!Tnet-t)/('2019'!Tau_j))),Resal+(Salim-Resal)*(1-EXP((Tnet-t)/(Tau_j))))*Salcycl</f>
        <v>0.12141155249236256</v>
      </c>
      <c r="P341" s="171">
        <f>(INDEX(Models!$BJ341:$BT341,,T341)*(1-R341)+INDEX(Models!$BJ341:$BT341,,T341+1)*R341-ERP_i)*Q341*Ramure*Pc/MaxiM</f>
        <v>4.1040664247883246E-2</v>
      </c>
      <c r="Q341" s="307">
        <f t="shared" si="125"/>
        <v>0.9</v>
      </c>
      <c r="R341" s="179">
        <f t="shared" si="126"/>
        <v>0.29924439035436035</v>
      </c>
      <c r="S341" s="839">
        <f t="shared" si="127"/>
        <v>-1</v>
      </c>
      <c r="T341" s="178">
        <f t="shared" si="128"/>
        <v>5</v>
      </c>
      <c r="U341" s="253">
        <f t="shared" si="129"/>
        <v>-0.70075560964563965</v>
      </c>
      <c r="V341" s="385">
        <f t="shared" si="130"/>
        <v>17.479183513696935</v>
      </c>
      <c r="W341" s="404"/>
      <c r="X341" s="157">
        <f t="shared" si="131"/>
        <v>44157</v>
      </c>
      <c r="Y341" s="387">
        <f t="shared" si="132"/>
        <v>17.623000000000001</v>
      </c>
      <c r="Z341" s="387">
        <f t="shared" si="133"/>
        <v>17.972561048251084</v>
      </c>
      <c r="AA341" s="388">
        <f t="shared" si="134"/>
        <v>20.456177291239481</v>
      </c>
      <c r="AB341" s="199">
        <f t="shared" si="135"/>
        <v>44157</v>
      </c>
      <c r="AC341" s="119">
        <f>IF(OR(t&lt;Tnet,NoTnet),'2019'!Resal_s+('2019'!Salim-'2019'!Resal_s)*(1-EXP(('2019'!Tnet_s-t)/'2019'!Tau_j)),Resal_s+(Salim-Resal_s)*(1-EXP((Tnet_s-t)/Tau_j)))*Salcycl</f>
        <v>0.12141155249236256</v>
      </c>
      <c r="AD341" s="233">
        <f>(INDEX(Models!$BJ341:$BT341,,AH341)*(1-AF341)+INDEX(Models!$BJ341:$BT341,,AH341+1)*AF341-ERP_i)*AE341*Ramure*Pc/MaxiM</f>
        <v>4.1040664247883246E-2</v>
      </c>
      <c r="AE341" s="307">
        <f t="shared" si="136"/>
        <v>0.9</v>
      </c>
      <c r="AF341" s="179">
        <f t="shared" si="137"/>
        <v>0.29924439035436035</v>
      </c>
      <c r="AG341" s="839">
        <f t="shared" si="143"/>
        <v>-1</v>
      </c>
      <c r="AH341" s="178">
        <f t="shared" si="138"/>
        <v>5</v>
      </c>
      <c r="AI341" s="227">
        <f t="shared" si="139"/>
        <v>-0.70075560964563965</v>
      </c>
      <c r="AJ341" s="267" t="b">
        <f t="shared" si="140"/>
        <v>0</v>
      </c>
      <c r="AK341" s="267" t="b">
        <f t="shared" si="141"/>
        <v>0</v>
      </c>
      <c r="AL341" s="267"/>
      <c r="AM341" s="267"/>
      <c r="AN341" s="75"/>
    </row>
    <row r="342" spans="1:40" s="6" customFormat="1" ht="11.25" x14ac:dyDescent="0.2">
      <c r="A342" s="56">
        <f t="shared" si="142"/>
        <v>44158</v>
      </c>
      <c r="B342" s="620">
        <v>16.646999999999998</v>
      </c>
      <c r="C342" s="392"/>
      <c r="D342" s="395">
        <f t="shared" si="122"/>
        <v>16.97759669197033</v>
      </c>
      <c r="E342" s="387">
        <f t="shared" si="120"/>
        <v>19.323117252422744</v>
      </c>
      <c r="F342" s="387">
        <f t="shared" si="123"/>
        <v>20.115501391985529</v>
      </c>
      <c r="G342" s="110">
        <f t="shared" si="121"/>
        <v>0.95961079600333288</v>
      </c>
      <c r="H342" s="416" t="b">
        <f>Wh_hp&gt;='2019'!Maxi_hp</f>
        <v>1</v>
      </c>
      <c r="I342" s="382">
        <f>IF(H342,Wh_hp,'2019'!Maxi_hp)</f>
        <v>20.115501391985529</v>
      </c>
      <c r="J342" s="85">
        <f>IF(H342,An,'2019'!An_max)</f>
        <v>2020</v>
      </c>
      <c r="K342" s="199">
        <f t="shared" si="124"/>
        <v>44158</v>
      </c>
      <c r="L342" s="147">
        <f>IF(t&lt;Tvie,1-EXP((T0-t)*PertePVj)+'2019'!Pspv,1-EXP((T0-t)*PertePVj)+Pspv)</f>
        <v>1.9472525939239094E-2</v>
      </c>
      <c r="M342" s="872"/>
      <c r="N342" s="872"/>
      <c r="O342" s="48">
        <f>IF(t&lt;Tnet,'2019'!Resal+('2019'!Salim-'2019'!Resal)*(1-EXP(('2019'!Tnet-t)/('2019'!Tau_j))),Resal+(Salim-Resal)*(1-EXP((Tnet-t)/(Tau_j))))*Salcycl</f>
        <v>0.12138417056690627</v>
      </c>
      <c r="P342" s="171">
        <f>(INDEX(Models!$BJ342:$BT342,,T342)*(1-R342)+INDEX(Models!$BJ342:$BT342,,T342+1)*R342-ERP_i)*Q342*Ramure*Pc/MaxiM</f>
        <v>4.1660275992201713E-2</v>
      </c>
      <c r="Q342" s="307">
        <f t="shared" si="125"/>
        <v>0.9</v>
      </c>
      <c r="R342" s="179">
        <f t="shared" si="126"/>
        <v>0.29927508784600754</v>
      </c>
      <c r="S342" s="839">
        <f t="shared" si="127"/>
        <v>-1</v>
      </c>
      <c r="T342" s="178">
        <f t="shared" si="128"/>
        <v>5</v>
      </c>
      <c r="U342" s="253">
        <f t="shared" si="129"/>
        <v>-0.70072491215399246</v>
      </c>
      <c r="V342" s="385">
        <f t="shared" si="130"/>
        <v>17.306690118158485</v>
      </c>
      <c r="W342" s="404"/>
      <c r="X342" s="157">
        <f t="shared" si="131"/>
        <v>44158</v>
      </c>
      <c r="Y342" s="387">
        <f t="shared" si="132"/>
        <v>16.646999999999998</v>
      </c>
      <c r="Z342" s="387">
        <f t="shared" si="133"/>
        <v>16.97759669197033</v>
      </c>
      <c r="AA342" s="388">
        <f t="shared" si="134"/>
        <v>19.323117252422744</v>
      </c>
      <c r="AB342" s="199">
        <f t="shared" si="135"/>
        <v>44158</v>
      </c>
      <c r="AC342" s="119">
        <f>IF(OR(t&lt;Tnet,NoTnet),'2019'!Resal_s+('2019'!Salim-'2019'!Resal_s)*(1-EXP(('2019'!Tnet_s-t)/'2019'!Tau_j)),Resal_s+(Salim-Resal_s)*(1-EXP((Tnet_s-t)/Tau_j)))*Salcycl</f>
        <v>0.12138417056690627</v>
      </c>
      <c r="AD342" s="233">
        <f>(INDEX(Models!$BJ342:$BT342,,AH342)*(1-AF342)+INDEX(Models!$BJ342:$BT342,,AH342+1)*AF342-ERP_i)*AE342*Ramure*Pc/MaxiM</f>
        <v>4.1660275992201713E-2</v>
      </c>
      <c r="AE342" s="307">
        <f t="shared" si="136"/>
        <v>0.9</v>
      </c>
      <c r="AF342" s="179">
        <f t="shared" si="137"/>
        <v>0.29927508784600754</v>
      </c>
      <c r="AG342" s="839">
        <f t="shared" si="143"/>
        <v>-1</v>
      </c>
      <c r="AH342" s="178">
        <f t="shared" si="138"/>
        <v>5</v>
      </c>
      <c r="AI342" s="227">
        <f t="shared" si="139"/>
        <v>-0.70072491215399246</v>
      </c>
      <c r="AJ342" s="267" t="b">
        <f t="shared" si="140"/>
        <v>0</v>
      </c>
      <c r="AK342" s="267" t="b">
        <f t="shared" si="141"/>
        <v>0</v>
      </c>
      <c r="AL342" s="267"/>
      <c r="AM342" s="267"/>
      <c r="AN342" s="75"/>
    </row>
    <row r="343" spans="1:40" s="6" customFormat="1" ht="11.25" customHeight="1" x14ac:dyDescent="0.2">
      <c r="A343" s="56">
        <f t="shared" si="142"/>
        <v>44159</v>
      </c>
      <c r="B343" s="620">
        <v>15.31</v>
      </c>
      <c r="C343" s="392"/>
      <c r="D343" s="395">
        <f t="shared" si="122"/>
        <v>15.614408264310619</v>
      </c>
      <c r="E343" s="387">
        <f t="shared" si="120"/>
        <v>17.771101283539835</v>
      </c>
      <c r="F343" s="387">
        <f t="shared" si="123"/>
        <v>18.431846699348394</v>
      </c>
      <c r="G343" s="110">
        <f t="shared" si="121"/>
        <v>0.88740344837861007</v>
      </c>
      <c r="H343" s="416" t="b">
        <f>Wh_hp&gt;='2019'!Maxi_hp</f>
        <v>1</v>
      </c>
      <c r="I343" s="382">
        <f>IF(H343,Wh_hp,'2019'!Maxi_hp)</f>
        <v>18.431846699348394</v>
      </c>
      <c r="J343" s="85">
        <f>IF(H343,An,'2019'!An_max)</f>
        <v>2020</v>
      </c>
      <c r="K343" s="199">
        <f t="shared" si="124"/>
        <v>44159</v>
      </c>
      <c r="L343" s="147">
        <f>IF(t&lt;Tvie,1-EXP((T0-t)*PertePVj)+'2019'!Pspv,1-EXP((T0-t)*PertePVj)+Pspv)</f>
        <v>1.9495344246018953E-2</v>
      </c>
      <c r="M343" s="872"/>
      <c r="N343" s="872"/>
      <c r="O343" s="48">
        <f>IF(t&lt;Tnet,'2019'!Resal+('2019'!Salim-'2019'!Resal)*(1-EXP(('2019'!Tnet-t)/('2019'!Tau_j))),Resal+(Salim-Resal)*(1-EXP((Tnet-t)/(Tau_j))))*Salcycl</f>
        <v>0.12135955925403534</v>
      </c>
      <c r="P343" s="171">
        <f>(INDEX(Models!$BJ343:$BT343,,T343)*(1-R343)+INDEX(Models!$BJ343:$BT343,,T343+1)*R343-ERP_i)*Q343*Ramure*Pc/MaxiM</f>
        <v>4.2289839779369641E-2</v>
      </c>
      <c r="Q343" s="307">
        <f t="shared" si="125"/>
        <v>0.9</v>
      </c>
      <c r="R343" s="179">
        <f t="shared" si="126"/>
        <v>0.29930455189796379</v>
      </c>
      <c r="S343" s="839">
        <f t="shared" si="127"/>
        <v>-1</v>
      </c>
      <c r="T343" s="178">
        <f t="shared" si="128"/>
        <v>5</v>
      </c>
      <c r="U343" s="253">
        <f t="shared" si="129"/>
        <v>-0.70069544810203621</v>
      </c>
      <c r="V343" s="385">
        <f t="shared" si="130"/>
        <v>17.137311114737244</v>
      </c>
      <c r="W343" s="404"/>
      <c r="X343" s="157">
        <f t="shared" si="131"/>
        <v>44159</v>
      </c>
      <c r="Y343" s="387">
        <f t="shared" si="132"/>
        <v>15.31</v>
      </c>
      <c r="Z343" s="387">
        <f t="shared" si="133"/>
        <v>15.614408264310619</v>
      </c>
      <c r="AA343" s="388">
        <f t="shared" si="134"/>
        <v>17.771101283539835</v>
      </c>
      <c r="AB343" s="199">
        <f t="shared" si="135"/>
        <v>44159</v>
      </c>
      <c r="AC343" s="119">
        <f>IF(OR(t&lt;Tnet,NoTnet),'2019'!Resal_s+('2019'!Salim-'2019'!Resal_s)*(1-EXP(('2019'!Tnet_s-t)/'2019'!Tau_j)),Resal_s+(Salim-Resal_s)*(1-EXP((Tnet_s-t)/Tau_j)))*Salcycl</f>
        <v>0.12135955925403534</v>
      </c>
      <c r="AD343" s="233">
        <f>(INDEX(Models!$BJ343:$BT343,,AH343)*(1-AF343)+INDEX(Models!$BJ343:$BT343,,AH343+1)*AF343-ERP_i)*AE343*Ramure*Pc/MaxiM</f>
        <v>4.2289839779369641E-2</v>
      </c>
      <c r="AE343" s="307">
        <f t="shared" si="136"/>
        <v>0.9</v>
      </c>
      <c r="AF343" s="179">
        <f t="shared" si="137"/>
        <v>0.29930455189796379</v>
      </c>
      <c r="AG343" s="839">
        <f t="shared" si="143"/>
        <v>-1</v>
      </c>
      <c r="AH343" s="178">
        <f t="shared" si="138"/>
        <v>5</v>
      </c>
      <c r="AI343" s="227">
        <f t="shared" si="139"/>
        <v>-0.70069544810203621</v>
      </c>
      <c r="AJ343" s="267" t="b">
        <f t="shared" si="140"/>
        <v>0</v>
      </c>
      <c r="AK343" s="267" t="b">
        <f t="shared" si="141"/>
        <v>0</v>
      </c>
      <c r="AL343" s="267"/>
      <c r="AM343" s="267"/>
      <c r="AN343" s="75"/>
    </row>
    <row r="344" spans="1:40" s="6" customFormat="1" ht="11.25" x14ac:dyDescent="0.2">
      <c r="A344" s="56">
        <f t="shared" si="142"/>
        <v>44160</v>
      </c>
      <c r="B344" s="620">
        <v>16.73</v>
      </c>
      <c r="C344" s="392"/>
      <c r="D344" s="395">
        <f t="shared" si="122"/>
        <v>17.063039162966824</v>
      </c>
      <c r="E344" s="387">
        <f t="shared" si="120"/>
        <v>19.419338066482936</v>
      </c>
      <c r="F344" s="387">
        <f t="shared" si="123"/>
        <v>20.271977727485368</v>
      </c>
      <c r="G344" s="110">
        <f t="shared" si="121"/>
        <v>0.98491807207408355</v>
      </c>
      <c r="H344" s="416" t="b">
        <f>Wh_hp&gt;='2019'!Maxi_hp</f>
        <v>1</v>
      </c>
      <c r="I344" s="382">
        <f>IF(H344,Wh_hp,'2019'!Maxi_hp)</f>
        <v>20.271977727485368</v>
      </c>
      <c r="J344" s="85">
        <f>IF(H344,An,'2019'!An_max)</f>
        <v>2020</v>
      </c>
      <c r="K344" s="199">
        <f t="shared" si="124"/>
        <v>44160</v>
      </c>
      <c r="L344" s="147">
        <f>IF(t&lt;Tvie,1-EXP((T0-t)*PertePVj)+'2019'!Pspv,1-EXP((T0-t)*PertePVj)+Pspv)</f>
        <v>1.9518162021783469E-2</v>
      </c>
      <c r="M344" s="872"/>
      <c r="N344" s="872"/>
      <c r="O344" s="48">
        <f>IF(t&lt;Tnet,'2019'!Resal+('2019'!Salim-'2019'!Resal)*(1-EXP(('2019'!Tnet-t)/('2019'!Tau_j))),Resal+(Salim-Resal)*(1-EXP((Tnet-t)/(Tau_j))))*Salcycl</f>
        <v>0.12133775597547262</v>
      </c>
      <c r="P344" s="171">
        <f>(INDEX(Models!$BJ344:$BT344,,T344)*(1-R344)+INDEX(Models!$BJ344:$BT344,,T344+1)*R344-ERP_i)*Q344*Ramure*Pc/MaxiM</f>
        <v>4.2930056858328777E-2</v>
      </c>
      <c r="Q344" s="307">
        <f t="shared" si="125"/>
        <v>0.9</v>
      </c>
      <c r="R344" s="179">
        <f t="shared" si="126"/>
        <v>0.29933283197272154</v>
      </c>
      <c r="S344" s="839">
        <f t="shared" si="127"/>
        <v>-1</v>
      </c>
      <c r="T344" s="178">
        <f t="shared" si="128"/>
        <v>5</v>
      </c>
      <c r="U344" s="253">
        <f t="shared" si="129"/>
        <v>-0.70066716802727846</v>
      </c>
      <c r="V344" s="385">
        <f t="shared" si="130"/>
        <v>16.970756810506732</v>
      </c>
      <c r="W344" s="404"/>
      <c r="X344" s="157">
        <f t="shared" si="131"/>
        <v>44160</v>
      </c>
      <c r="Y344" s="387">
        <f t="shared" si="132"/>
        <v>16.73</v>
      </c>
      <c r="Z344" s="387">
        <f t="shared" si="133"/>
        <v>17.063039162966824</v>
      </c>
      <c r="AA344" s="388">
        <f t="shared" si="134"/>
        <v>19.419338066482936</v>
      </c>
      <c r="AB344" s="199">
        <f t="shared" si="135"/>
        <v>44160</v>
      </c>
      <c r="AC344" s="119">
        <f>IF(OR(t&lt;Tnet,NoTnet),'2019'!Resal_s+('2019'!Salim-'2019'!Resal_s)*(1-EXP(('2019'!Tnet_s-t)/'2019'!Tau_j)),Resal_s+(Salim-Resal_s)*(1-EXP((Tnet_s-t)/Tau_j)))*Salcycl</f>
        <v>0.12133775597547262</v>
      </c>
      <c r="AD344" s="233">
        <f>(INDEX(Models!$BJ344:$BT344,,AH344)*(1-AF344)+INDEX(Models!$BJ344:$BT344,,AH344+1)*AF344-ERP_i)*AE344*Ramure*Pc/MaxiM</f>
        <v>4.2930056858328777E-2</v>
      </c>
      <c r="AE344" s="307">
        <f t="shared" si="136"/>
        <v>0.9</v>
      </c>
      <c r="AF344" s="179">
        <f t="shared" si="137"/>
        <v>0.29933283197272154</v>
      </c>
      <c r="AG344" s="839">
        <f t="shared" si="143"/>
        <v>-1</v>
      </c>
      <c r="AH344" s="178">
        <f t="shared" si="138"/>
        <v>5</v>
      </c>
      <c r="AI344" s="227">
        <f t="shared" si="139"/>
        <v>-0.70066716802727846</v>
      </c>
      <c r="AJ344" s="267" t="b">
        <f t="shared" si="140"/>
        <v>0</v>
      </c>
      <c r="AK344" s="267" t="b">
        <f t="shared" si="141"/>
        <v>0</v>
      </c>
      <c r="AL344" s="267"/>
      <c r="AM344" s="267"/>
      <c r="AN344" s="75"/>
    </row>
    <row r="345" spans="1:40" s="6" customFormat="1" ht="11.25" customHeight="1" x14ac:dyDescent="0.2">
      <c r="A345" s="56">
        <f t="shared" si="142"/>
        <v>44161</v>
      </c>
      <c r="B345" s="620">
        <v>13.154999999999999</v>
      </c>
      <c r="C345" s="392"/>
      <c r="D345" s="395">
        <f t="shared" si="122"/>
        <v>13.417184932583003</v>
      </c>
      <c r="E345" s="387">
        <f t="shared" si="120"/>
        <v>15.269684544331275</v>
      </c>
      <c r="F345" s="387">
        <f t="shared" si="123"/>
        <v>15.742906543945208</v>
      </c>
      <c r="G345" s="110">
        <f t="shared" si="121"/>
        <v>0.77186042053314452</v>
      </c>
      <c r="H345" s="416" t="b">
        <f>Wh_hp&gt;='2019'!Maxi_hp</f>
        <v>0</v>
      </c>
      <c r="I345" s="382">
        <f>IF(H345,Wh_hp,'2019'!Maxi_hp)</f>
        <v>18.707105113619761</v>
      </c>
      <c r="J345" s="85">
        <f>IF(H345,An,'2019'!An_max)</f>
        <v>2018</v>
      </c>
      <c r="K345" s="199">
        <f t="shared" si="124"/>
        <v>44161</v>
      </c>
      <c r="L345" s="147">
        <f>IF(t&lt;Tvie,1-EXP((T0-t)*PertePVj)+'2019'!Pspv,1-EXP((T0-t)*PertePVj)+Pspv)</f>
        <v>1.9540979266544967E-2</v>
      </c>
      <c r="M345" s="872"/>
      <c r="N345" s="872"/>
      <c r="O345" s="48">
        <f>IF(t&lt;Tnet,'2019'!Resal+('2019'!Salim-'2019'!Resal)*(1-EXP(('2019'!Tnet-t)/('2019'!Tau_j))),Resal+(Salim-Resal)*(1-EXP((Tnet-t)/(Tau_j))))*Salcycl</f>
        <v>0.1213187873246533</v>
      </c>
      <c r="P345" s="171">
        <f>(INDEX(Models!$BJ345:$BT345,,T345)*(1-R345)+INDEX(Models!$BJ345:$BT345,,T345+1)*R345-ERP_i)*Q345*Ramure*Pc/MaxiM</f>
        <v>4.3584557343039773E-2</v>
      </c>
      <c r="Q345" s="307">
        <f t="shared" si="125"/>
        <v>0.9</v>
      </c>
      <c r="R345" s="179">
        <f t="shared" si="126"/>
        <v>0.29935997555696636</v>
      </c>
      <c r="S345" s="839">
        <f t="shared" si="127"/>
        <v>-1</v>
      </c>
      <c r="T345" s="178">
        <f t="shared" si="128"/>
        <v>5</v>
      </c>
      <c r="U345" s="253">
        <f t="shared" si="129"/>
        <v>-0.70064002444303364</v>
      </c>
      <c r="V345" s="385">
        <f t="shared" si="130"/>
        <v>16.805580275344163</v>
      </c>
      <c r="W345" s="404"/>
      <c r="X345" s="157">
        <f t="shared" si="131"/>
        <v>44161</v>
      </c>
      <c r="Y345" s="387">
        <f t="shared" si="132"/>
        <v>13.154999999999999</v>
      </c>
      <c r="Z345" s="387">
        <f t="shared" si="133"/>
        <v>13.417184932583003</v>
      </c>
      <c r="AA345" s="388">
        <f t="shared" si="134"/>
        <v>15.269684544331275</v>
      </c>
      <c r="AB345" s="199">
        <f t="shared" si="135"/>
        <v>44161</v>
      </c>
      <c r="AC345" s="119">
        <f>IF(OR(t&lt;Tnet,NoTnet),'2019'!Resal_s+('2019'!Salim-'2019'!Resal_s)*(1-EXP(('2019'!Tnet_s-t)/'2019'!Tau_j)),Resal_s+(Salim-Resal_s)*(1-EXP((Tnet_s-t)/Tau_j)))*Salcycl</f>
        <v>0.1213187873246533</v>
      </c>
      <c r="AD345" s="233">
        <f>(INDEX(Models!$BJ345:$BT345,,AH345)*(1-AF345)+INDEX(Models!$BJ345:$BT345,,AH345+1)*AF345-ERP_i)*AE345*Ramure*Pc/MaxiM</f>
        <v>4.3584557343039773E-2</v>
      </c>
      <c r="AE345" s="307">
        <f t="shared" si="136"/>
        <v>0.9</v>
      </c>
      <c r="AF345" s="179">
        <f t="shared" si="137"/>
        <v>0.29935997555696636</v>
      </c>
      <c r="AG345" s="839">
        <f t="shared" si="143"/>
        <v>-1</v>
      </c>
      <c r="AH345" s="178">
        <f t="shared" si="138"/>
        <v>5</v>
      </c>
      <c r="AI345" s="227">
        <f t="shared" si="139"/>
        <v>-0.70064002444303364</v>
      </c>
      <c r="AJ345" s="267" t="b">
        <f t="shared" si="140"/>
        <v>0</v>
      </c>
      <c r="AK345" s="267" t="b">
        <f t="shared" si="141"/>
        <v>0</v>
      </c>
      <c r="AL345" s="267"/>
      <c r="AM345" s="267"/>
      <c r="AN345" s="75"/>
    </row>
    <row r="346" spans="1:40" s="6" customFormat="1" ht="11.25" customHeight="1" x14ac:dyDescent="0.2">
      <c r="A346" s="56">
        <f t="shared" si="142"/>
        <v>44162</v>
      </c>
      <c r="B346" s="620">
        <v>10.348000000000001</v>
      </c>
      <c r="C346" s="392"/>
      <c r="D346" s="395">
        <f t="shared" si="122"/>
        <v>10.554485807005394</v>
      </c>
      <c r="E346" s="387">
        <f t="shared" si="120"/>
        <v>12.011514586920303</v>
      </c>
      <c r="F346" s="387">
        <f t="shared" si="123"/>
        <v>12.26099420005735</v>
      </c>
      <c r="G346" s="110">
        <f t="shared" si="121"/>
        <v>0.60665811574676787</v>
      </c>
      <c r="H346" s="416" t="b">
        <f>Wh_hp&gt;='2019'!Maxi_hp</f>
        <v>0</v>
      </c>
      <c r="I346" s="382">
        <f>IF(H346,Wh_hp,'2019'!Maxi_hp)</f>
        <v>15.033904025861062</v>
      </c>
      <c r="J346" s="85">
        <f>IF(H346,An,'2019'!An_max)</f>
        <v>2018</v>
      </c>
      <c r="K346" s="199">
        <f t="shared" si="124"/>
        <v>44162</v>
      </c>
      <c r="L346" s="147">
        <f>IF(t&lt;Tvie,1-EXP((T0-t)*PertePVj)+'2019'!Pspv,1-EXP((T0-t)*PertePVj)+Pspv)</f>
        <v>1.9563795980315879E-2</v>
      </c>
      <c r="M346" s="872"/>
      <c r="N346" s="872"/>
      <c r="O346" s="48">
        <f>IF(t&lt;Tnet,'2019'!Resal+('2019'!Salim-'2019'!Resal)*(1-EXP(('2019'!Tnet-t)/('2019'!Tau_j))),Resal+(Salim-Resal)*(1-EXP((Tnet-t)/(Tau_j))))*Salcycl</f>
        <v>0.12130266914894408</v>
      </c>
      <c r="P346" s="171">
        <f>(INDEX(Models!$BJ346:$BT346,,T346)*(1-R346)+INDEX(Models!$BJ346:$BT346,,T346+1)*R346-ERP_i)*Q346*Ramure*Pc/MaxiM</f>
        <v>4.4256302151130196E-2</v>
      </c>
      <c r="Q346" s="307">
        <f t="shared" si="125"/>
        <v>0.9</v>
      </c>
      <c r="R346" s="179">
        <f t="shared" si="126"/>
        <v>0.29938602823989491</v>
      </c>
      <c r="S346" s="839">
        <f t="shared" si="127"/>
        <v>-1</v>
      </c>
      <c r="T346" s="178">
        <f t="shared" si="128"/>
        <v>5</v>
      </c>
      <c r="U346" s="253">
        <f t="shared" si="129"/>
        <v>-0.70061397176010509</v>
      </c>
      <c r="V346" s="385">
        <f t="shared" si="130"/>
        <v>16.64108983516946</v>
      </c>
      <c r="W346" s="404"/>
      <c r="X346" s="157">
        <f t="shared" si="131"/>
        <v>44162</v>
      </c>
      <c r="Y346" s="387">
        <f t="shared" si="132"/>
        <v>10.348000000000001</v>
      </c>
      <c r="Z346" s="387">
        <f t="shared" si="133"/>
        <v>10.554485807005394</v>
      </c>
      <c r="AA346" s="388">
        <f t="shared" si="134"/>
        <v>12.011514586920303</v>
      </c>
      <c r="AB346" s="199">
        <f t="shared" si="135"/>
        <v>44162</v>
      </c>
      <c r="AC346" s="119">
        <f>IF(OR(t&lt;Tnet,NoTnet),'2019'!Resal_s+('2019'!Salim-'2019'!Resal_s)*(1-EXP(('2019'!Tnet_s-t)/'2019'!Tau_j)),Resal_s+(Salim-Resal_s)*(1-EXP((Tnet_s-t)/Tau_j)))*Salcycl</f>
        <v>0.12130266914894408</v>
      </c>
      <c r="AD346" s="233">
        <f>(INDEX(Models!$BJ346:$BT346,,AH346)*(1-AF346)+INDEX(Models!$BJ346:$BT346,,AH346+1)*AF346-ERP_i)*AE346*Ramure*Pc/MaxiM</f>
        <v>4.4256302151130196E-2</v>
      </c>
      <c r="AE346" s="307">
        <f t="shared" si="136"/>
        <v>0.9</v>
      </c>
      <c r="AF346" s="179">
        <f t="shared" si="137"/>
        <v>0.29938602823989491</v>
      </c>
      <c r="AG346" s="839">
        <f t="shared" si="143"/>
        <v>-1</v>
      </c>
      <c r="AH346" s="178">
        <f t="shared" si="138"/>
        <v>5</v>
      </c>
      <c r="AI346" s="227">
        <f t="shared" si="139"/>
        <v>-0.70061397176010509</v>
      </c>
      <c r="AJ346" s="267" t="b">
        <f t="shared" si="140"/>
        <v>0</v>
      </c>
      <c r="AK346" s="267" t="b">
        <f t="shared" si="141"/>
        <v>0</v>
      </c>
      <c r="AL346" s="267"/>
      <c r="AM346" s="267"/>
      <c r="AN346" s="75"/>
    </row>
    <row r="347" spans="1:40" s="6" customFormat="1" ht="11.25" customHeight="1" x14ac:dyDescent="0.2">
      <c r="A347" s="56">
        <f t="shared" si="142"/>
        <v>44163</v>
      </c>
      <c r="B347" s="620">
        <v>8.0990000000000002</v>
      </c>
      <c r="C347" s="392"/>
      <c r="D347" s="395">
        <f t="shared" si="122"/>
        <v>8.2608011074481649</v>
      </c>
      <c r="E347" s="387">
        <f t="shared" si="120"/>
        <v>9.4010487302694905</v>
      </c>
      <c r="F347" s="387">
        <f t="shared" si="123"/>
        <v>9.5180894601096995</v>
      </c>
      <c r="G347" s="110">
        <f t="shared" si="121"/>
        <v>0.47525358341581225</v>
      </c>
      <c r="H347" s="416" t="b">
        <f>Wh_hp&gt;='2019'!Maxi_hp</f>
        <v>0</v>
      </c>
      <c r="I347" s="382">
        <f>IF(H347,Wh_hp,'2019'!Maxi_hp)</f>
        <v>19.928845702990856</v>
      </c>
      <c r="J347" s="85">
        <f>IF(H347,An,'2019'!An_max)</f>
        <v>2018</v>
      </c>
      <c r="K347" s="199">
        <f t="shared" si="124"/>
        <v>44163</v>
      </c>
      <c r="L347" s="147">
        <f>IF(t&lt;Tvie,1-EXP((T0-t)*PertePVj)+'2019'!Pspv,1-EXP((T0-t)*PertePVj)+Pspv)</f>
        <v>1.958661216310853E-2</v>
      </c>
      <c r="M347" s="872"/>
      <c r="N347" s="872"/>
      <c r="O347" s="48">
        <f>IF(t&lt;Tnet,'2019'!Resal+('2019'!Salim-'2019'!Resal)*(1-EXP(('2019'!Tnet-t)/('2019'!Tau_j))),Resal+(Salim-Resal)*(1-EXP((Tnet-t)/(Tau_j))))*Salcycl</f>
        <v>0.12128940669671845</v>
      </c>
      <c r="P347" s="171">
        <f>(INDEX(Models!$BJ347:$BT347,,T347)*(1-R347)+INDEX(Models!$BJ347:$BT347,,T347+1)*R347-ERP_i)*Q347*Ramure*Pc/MaxiM</f>
        <v>4.4948238603467056E-2</v>
      </c>
      <c r="Q347" s="307">
        <f t="shared" si="125"/>
        <v>0.9</v>
      </c>
      <c r="R347" s="179">
        <f t="shared" si="126"/>
        <v>0.29941103378847578</v>
      </c>
      <c r="S347" s="839">
        <f t="shared" si="127"/>
        <v>-1</v>
      </c>
      <c r="T347" s="178">
        <f t="shared" si="128"/>
        <v>5</v>
      </c>
      <c r="U347" s="253">
        <f t="shared" si="129"/>
        <v>-0.70058896621152422</v>
      </c>
      <c r="V347" s="385">
        <f t="shared" si="130"/>
        <v>16.478071662855683</v>
      </c>
      <c r="W347" s="404"/>
      <c r="X347" s="157">
        <f t="shared" si="131"/>
        <v>44163</v>
      </c>
      <c r="Y347" s="387">
        <f t="shared" si="132"/>
        <v>8.0990000000000002</v>
      </c>
      <c r="Z347" s="387">
        <f t="shared" si="133"/>
        <v>8.2608011074481649</v>
      </c>
      <c r="AA347" s="388">
        <f t="shared" si="134"/>
        <v>9.4010487302694905</v>
      </c>
      <c r="AB347" s="199">
        <f t="shared" si="135"/>
        <v>44163</v>
      </c>
      <c r="AC347" s="119">
        <f>IF(OR(t&lt;Tnet,NoTnet),'2019'!Resal_s+('2019'!Salim-'2019'!Resal_s)*(1-EXP(('2019'!Tnet_s-t)/'2019'!Tau_j)),Resal_s+(Salim-Resal_s)*(1-EXP((Tnet_s-t)/Tau_j)))*Salcycl</f>
        <v>0.12128940669671845</v>
      </c>
      <c r="AD347" s="233">
        <f>(INDEX(Models!$BJ347:$BT347,,AH347)*(1-AF347)+INDEX(Models!$BJ347:$BT347,,AH347+1)*AF347-ERP_i)*AE347*Ramure*Pc/MaxiM</f>
        <v>4.4948238603467056E-2</v>
      </c>
      <c r="AE347" s="307">
        <f t="shared" si="136"/>
        <v>0.9</v>
      </c>
      <c r="AF347" s="179">
        <f t="shared" si="137"/>
        <v>0.29941103378847578</v>
      </c>
      <c r="AG347" s="839">
        <f t="shared" si="143"/>
        <v>-1</v>
      </c>
      <c r="AH347" s="178">
        <f t="shared" si="138"/>
        <v>5</v>
      </c>
      <c r="AI347" s="227">
        <f t="shared" si="139"/>
        <v>-0.70058896621152422</v>
      </c>
      <c r="AJ347" s="267" t="b">
        <f t="shared" si="140"/>
        <v>0</v>
      </c>
      <c r="AK347" s="267" t="b">
        <f t="shared" si="141"/>
        <v>0</v>
      </c>
      <c r="AL347" s="267"/>
      <c r="AM347" s="267"/>
      <c r="AN347" s="75"/>
    </row>
    <row r="348" spans="1:40" s="6" customFormat="1" ht="11.25" customHeight="1" x14ac:dyDescent="0.2">
      <c r="A348" s="56">
        <f t="shared" si="142"/>
        <v>44164</v>
      </c>
      <c r="B348" s="620">
        <v>15.074</v>
      </c>
      <c r="C348" s="392"/>
      <c r="D348" s="395">
        <f t="shared" si="122"/>
        <v>15.375504852523752</v>
      </c>
      <c r="E348" s="387">
        <f t="shared" si="120"/>
        <v>17.497595666906776</v>
      </c>
      <c r="F348" s="387">
        <f t="shared" si="123"/>
        <v>18.239737669199894</v>
      </c>
      <c r="G348" s="110">
        <f t="shared" si="121"/>
        <v>0.91901318124168152</v>
      </c>
      <c r="H348" s="416" t="b">
        <f>Wh_hp&gt;='2019'!Maxi_hp</f>
        <v>1</v>
      </c>
      <c r="I348" s="382">
        <f>IF(H348,Wh_hp,'2019'!Maxi_hp)</f>
        <v>18.239737669199894</v>
      </c>
      <c r="J348" s="85">
        <f>IF(H348,An,'2019'!An_max)</f>
        <v>2020</v>
      </c>
      <c r="K348" s="199">
        <f t="shared" si="124"/>
        <v>44164</v>
      </c>
      <c r="L348" s="147">
        <f>IF(t&lt;Tvie,1-EXP((T0-t)*PertePVj)+'2019'!Pspv,1-EXP((T0-t)*PertePVj)+Pspv)</f>
        <v>1.9609427814935354E-2</v>
      </c>
      <c r="M348" s="872"/>
      <c r="N348" s="872"/>
      <c r="O348" s="48">
        <f>IF(t&lt;Tnet,'2019'!Resal+('2019'!Salim-'2019'!Resal)*(1-EXP(('2019'!Tnet-t)/('2019'!Tau_j))),Resal+(Salim-Resal)*(1-EXP((Tnet-t)/(Tau_j))))*Salcycl</f>
        <v>0.12127899482764569</v>
      </c>
      <c r="P348" s="171">
        <f>(INDEX(Models!$BJ348:$BT348,,T348)*(1-R348)+INDEX(Models!$BJ348:$BT348,,T348+1)*R348-ERP_i)*Q348*Ramure*Pc/MaxiM</f>
        <v>4.565848102541549E-2</v>
      </c>
      <c r="Q348" s="307">
        <f t="shared" si="125"/>
        <v>0.9</v>
      </c>
      <c r="R348" s="179">
        <f t="shared" si="126"/>
        <v>0.29943503421976847</v>
      </c>
      <c r="S348" s="839">
        <f t="shared" si="127"/>
        <v>-1</v>
      </c>
      <c r="T348" s="178">
        <f t="shared" si="128"/>
        <v>5</v>
      </c>
      <c r="U348" s="253">
        <f t="shared" si="129"/>
        <v>-0.70056496578023153</v>
      </c>
      <c r="V348" s="385">
        <f t="shared" si="130"/>
        <v>16.317393996821956</v>
      </c>
      <c r="W348" s="404"/>
      <c r="X348" s="157">
        <f t="shared" si="131"/>
        <v>44164</v>
      </c>
      <c r="Y348" s="387">
        <f t="shared" si="132"/>
        <v>15.074</v>
      </c>
      <c r="Z348" s="387">
        <f t="shared" si="133"/>
        <v>15.375504852523752</v>
      </c>
      <c r="AA348" s="388">
        <f t="shared" si="134"/>
        <v>17.497595666906776</v>
      </c>
      <c r="AB348" s="199">
        <f t="shared" si="135"/>
        <v>44164</v>
      </c>
      <c r="AC348" s="119">
        <f>IF(OR(t&lt;Tnet,NoTnet),'2019'!Resal_s+('2019'!Salim-'2019'!Resal_s)*(1-EXP(('2019'!Tnet_s-t)/'2019'!Tau_j)),Resal_s+(Salim-Resal_s)*(1-EXP((Tnet_s-t)/Tau_j)))*Salcycl</f>
        <v>0.12127899482764569</v>
      </c>
      <c r="AD348" s="233">
        <f>(INDEX(Models!$BJ348:$BT348,,AH348)*(1-AF348)+INDEX(Models!$BJ348:$BT348,,AH348+1)*AF348-ERP_i)*AE348*Ramure*Pc/MaxiM</f>
        <v>4.565848102541549E-2</v>
      </c>
      <c r="AE348" s="307">
        <f t="shared" si="136"/>
        <v>0.9</v>
      </c>
      <c r="AF348" s="179">
        <f t="shared" si="137"/>
        <v>0.29943503421976847</v>
      </c>
      <c r="AG348" s="839">
        <f t="shared" si="143"/>
        <v>-1</v>
      </c>
      <c r="AH348" s="178">
        <f t="shared" si="138"/>
        <v>5</v>
      </c>
      <c r="AI348" s="227">
        <f t="shared" si="139"/>
        <v>-0.70056496578023153</v>
      </c>
      <c r="AJ348" s="267" t="b">
        <f t="shared" si="140"/>
        <v>0</v>
      </c>
      <c r="AK348" s="267" t="b">
        <f t="shared" si="141"/>
        <v>0</v>
      </c>
      <c r="AL348" s="267"/>
      <c r="AM348" s="267"/>
      <c r="AN348" s="75"/>
    </row>
    <row r="349" spans="1:40" s="6" customFormat="1" ht="11.25" customHeight="1" x14ac:dyDescent="0.2">
      <c r="A349" s="56">
        <f t="shared" si="142"/>
        <v>44165</v>
      </c>
      <c r="B349" s="620">
        <v>15.401999999999999</v>
      </c>
      <c r="C349" s="392"/>
      <c r="D349" s="395">
        <f t="shared" si="122"/>
        <v>15.71043099797857</v>
      </c>
      <c r="E349" s="387">
        <f t="shared" si="120"/>
        <v>17.878593373280253</v>
      </c>
      <c r="F349" s="387">
        <f t="shared" si="123"/>
        <v>18.687325201357915</v>
      </c>
      <c r="G349" s="110">
        <f t="shared" si="121"/>
        <v>0.95000235715725145</v>
      </c>
      <c r="H349" s="416" t="b">
        <f>Wh_hp&gt;='2019'!Maxi_hp</f>
        <v>1</v>
      </c>
      <c r="I349" s="382">
        <f>IF(H349,Wh_hp,'2019'!Maxi_hp)</f>
        <v>18.687325201357915</v>
      </c>
      <c r="J349" s="85">
        <f>IF(H349,An,'2019'!An_max)</f>
        <v>2020</v>
      </c>
      <c r="K349" s="199">
        <f t="shared" si="124"/>
        <v>44165</v>
      </c>
      <c r="L349" s="147">
        <f>IF(t&lt;Tvie,1-EXP((T0-t)*PertePVj)+'2019'!Pspv,1-EXP((T0-t)*PertePVj)+Pspv)</f>
        <v>1.9632242935808453E-2</v>
      </c>
      <c r="M349" s="872"/>
      <c r="N349" s="872"/>
      <c r="O349" s="48">
        <f>IF(t&lt;Tnet,'2019'!Resal+('2019'!Salim-'2019'!Resal)*(1-EXP(('2019'!Tnet-t)/('2019'!Tau_j))),Resal+(Salim-Resal)*(1-EXP((Tnet-t)/(Tau_j))))*Salcycl</f>
        <v>0.12127141828405953</v>
      </c>
      <c r="P349" s="171">
        <f>(INDEX(Models!$BJ349:$BT349,,T349)*(1-R349)+INDEX(Models!$BJ349:$BT349,,T349+1)*R349-ERP_i)*Q349*Ramure*Pc/MaxiM</f>
        <v>4.6384914810859629E-2</v>
      </c>
      <c r="Q349" s="307">
        <f t="shared" si="125"/>
        <v>0.9</v>
      </c>
      <c r="R349" s="179">
        <f t="shared" si="126"/>
        <v>0.29945806987041423</v>
      </c>
      <c r="S349" s="839">
        <f t="shared" si="127"/>
        <v>-1</v>
      </c>
      <c r="T349" s="178">
        <f t="shared" si="128"/>
        <v>5</v>
      </c>
      <c r="U349" s="253">
        <f t="shared" si="129"/>
        <v>-0.70054193012958577</v>
      </c>
      <c r="V349" s="385">
        <f t="shared" si="130"/>
        <v>16.159925158067978</v>
      </c>
      <c r="W349" s="404"/>
      <c r="X349" s="157">
        <f t="shared" si="131"/>
        <v>44165</v>
      </c>
      <c r="Y349" s="387">
        <f t="shared" si="132"/>
        <v>15.401999999999999</v>
      </c>
      <c r="Z349" s="387">
        <f t="shared" si="133"/>
        <v>15.71043099797857</v>
      </c>
      <c r="AA349" s="388">
        <f t="shared" si="134"/>
        <v>17.878593373280253</v>
      </c>
      <c r="AB349" s="199">
        <f t="shared" si="135"/>
        <v>44165</v>
      </c>
      <c r="AC349" s="119">
        <f>IF(OR(t&lt;Tnet,NoTnet),'2019'!Resal_s+('2019'!Salim-'2019'!Resal_s)*(1-EXP(('2019'!Tnet_s-t)/'2019'!Tau_j)),Resal_s+(Salim-Resal_s)*(1-EXP((Tnet_s-t)/Tau_j)))*Salcycl</f>
        <v>0.12127141828405953</v>
      </c>
      <c r="AD349" s="233">
        <f>(INDEX(Models!$BJ349:$BT349,,AH349)*(1-AF349)+INDEX(Models!$BJ349:$BT349,,AH349+1)*AF349-ERP_i)*AE349*Ramure*Pc/MaxiM</f>
        <v>4.6384914810859629E-2</v>
      </c>
      <c r="AE349" s="307">
        <f t="shared" si="136"/>
        <v>0.9</v>
      </c>
      <c r="AF349" s="179">
        <f t="shared" si="137"/>
        <v>0.29945806987041423</v>
      </c>
      <c r="AG349" s="839">
        <f t="shared" si="143"/>
        <v>-1</v>
      </c>
      <c r="AH349" s="178">
        <f t="shared" si="138"/>
        <v>5</v>
      </c>
      <c r="AI349" s="227">
        <f t="shared" si="139"/>
        <v>-0.70054193012958577</v>
      </c>
      <c r="AJ349" s="267" t="b">
        <f t="shared" si="140"/>
        <v>0</v>
      </c>
      <c r="AK349" s="267" t="b">
        <f t="shared" si="141"/>
        <v>0</v>
      </c>
      <c r="AL349" s="267"/>
      <c r="AM349" s="267"/>
      <c r="AN349" s="75"/>
    </row>
    <row r="350" spans="1:40" s="6" customFormat="1" ht="11.25" customHeight="1" x14ac:dyDescent="0.2">
      <c r="A350" s="56">
        <f t="shared" si="142"/>
        <v>44166</v>
      </c>
      <c r="B350" s="620">
        <v>4.0199999999999996</v>
      </c>
      <c r="C350" s="392"/>
      <c r="D350" s="395">
        <f t="shared" si="122"/>
        <v>4.1005974793464608</v>
      </c>
      <c r="E350" s="387">
        <f t="shared" si="120"/>
        <v>4.6664866979004564</v>
      </c>
      <c r="F350" s="387">
        <f t="shared" si="123"/>
        <v>4.6664866979004564</v>
      </c>
      <c r="G350" s="110">
        <f t="shared" si="121"/>
        <v>0.23931207653901923</v>
      </c>
      <c r="H350" s="416" t="b">
        <f>Wh_hp&gt;='2019'!Maxi_hp</f>
        <v>0</v>
      </c>
      <c r="I350" s="382">
        <f>IF(H350,Wh_hp,'2019'!Maxi_hp)</f>
        <v>7.5259107174273945</v>
      </c>
      <c r="J350" s="85">
        <f>IF(H350,An,'2019'!An_max)</f>
        <v>2018</v>
      </c>
      <c r="K350" s="199">
        <f t="shared" si="124"/>
        <v>44166</v>
      </c>
      <c r="L350" s="147">
        <f>IF(t&lt;Tvie,1-EXP((T0-t)*PertePVj)+'2019'!Pspv,1-EXP((T0-t)*PertePVj)+Pspv)</f>
        <v>1.9655057525740482E-2</v>
      </c>
      <c r="M350" s="872"/>
      <c r="N350" s="872"/>
      <c r="O350" s="48">
        <f>IF(t&lt;Tnet,'2019'!Resal+('2019'!Salim-'2019'!Resal)*(1-EXP(('2019'!Tnet-t)/('2019'!Tau_j))),Resal+(Salim-Resal)*(1-EXP((Tnet-t)/(Tau_j))))*Salcycl</f>
        <v>0.12126665202080192</v>
      </c>
      <c r="P350" s="171">
        <f>(INDEX(Models!$BJ350:$BT350,,T350)*(1-R350)+INDEX(Models!$BJ350:$BT350,,T350+1)*R350-ERP_i)*Q350*Ramure*Pc/MaxiM</f>
        <v>4.7125181071197904E-2</v>
      </c>
      <c r="Q350" s="307">
        <f t="shared" si="125"/>
        <v>0.9</v>
      </c>
      <c r="R350" s="179">
        <f t="shared" si="126"/>
        <v>0.29948017946340488</v>
      </c>
      <c r="S350" s="839">
        <f t="shared" si="127"/>
        <v>-1</v>
      </c>
      <c r="T350" s="178">
        <f t="shared" si="128"/>
        <v>5</v>
      </c>
      <c r="U350" s="253">
        <f t="shared" si="129"/>
        <v>-0.70051982053659512</v>
      </c>
      <c r="V350" s="385">
        <f t="shared" si="130"/>
        <v>16.006533508430035</v>
      </c>
      <c r="W350" s="404"/>
      <c r="X350" s="157">
        <f t="shared" si="131"/>
        <v>44166</v>
      </c>
      <c r="Y350" s="387">
        <f t="shared" si="132"/>
        <v>4.0199999999999996</v>
      </c>
      <c r="Z350" s="387">
        <f t="shared" si="133"/>
        <v>4.1005974793464608</v>
      </c>
      <c r="AA350" s="388">
        <f t="shared" si="134"/>
        <v>4.6664866979004564</v>
      </c>
      <c r="AB350" s="199">
        <f t="shared" si="135"/>
        <v>44166</v>
      </c>
      <c r="AC350" s="119">
        <f>IF(OR(t&lt;Tnet,NoTnet),'2019'!Resal_s+('2019'!Salim-'2019'!Resal_s)*(1-EXP(('2019'!Tnet_s-t)/'2019'!Tau_j)),Resal_s+(Salim-Resal_s)*(1-EXP((Tnet_s-t)/Tau_j)))*Salcycl</f>
        <v>0.12126665202080192</v>
      </c>
      <c r="AD350" s="233">
        <f>(INDEX(Models!$BJ350:$BT350,,AH350)*(1-AF350)+INDEX(Models!$BJ350:$BT350,,AH350+1)*AF350-ERP_i)*AE350*Ramure*Pc/MaxiM</f>
        <v>4.7125181071197904E-2</v>
      </c>
      <c r="AE350" s="307">
        <f t="shared" si="136"/>
        <v>0.9</v>
      </c>
      <c r="AF350" s="179">
        <f t="shared" si="137"/>
        <v>0.29948017946340488</v>
      </c>
      <c r="AG350" s="839">
        <f t="shared" si="143"/>
        <v>-1</v>
      </c>
      <c r="AH350" s="178">
        <f t="shared" si="138"/>
        <v>5</v>
      </c>
      <c r="AI350" s="227">
        <f t="shared" si="139"/>
        <v>-0.70051982053659512</v>
      </c>
      <c r="AJ350" s="267" t="b">
        <f t="shared" si="140"/>
        <v>0</v>
      </c>
      <c r="AK350" s="267" t="b">
        <f t="shared" si="141"/>
        <v>0</v>
      </c>
      <c r="AL350" s="267"/>
      <c r="AM350" s="267"/>
      <c r="AN350" s="75"/>
    </row>
    <row r="351" spans="1:40" s="6" customFormat="1" ht="11.25" customHeight="1" x14ac:dyDescent="0.2">
      <c r="A351" s="56">
        <f t="shared" si="142"/>
        <v>44167</v>
      </c>
      <c r="B351" s="620">
        <v>1.4279999999999999</v>
      </c>
      <c r="C351" s="392"/>
      <c r="D351" s="395">
        <f t="shared" si="122"/>
        <v>1.4566640480802358</v>
      </c>
      <c r="E351" s="387">
        <f t="shared" si="120"/>
        <v>1.6576823355218229</v>
      </c>
      <c r="F351" s="387">
        <f t="shared" si="123"/>
        <v>1.6576823355218229</v>
      </c>
      <c r="G351" s="110">
        <f t="shared" si="121"/>
        <v>8.5737459428860394E-2</v>
      </c>
      <c r="H351" s="416" t="b">
        <f>Wh_hp&gt;='2019'!Maxi_hp</f>
        <v>0</v>
      </c>
      <c r="I351" s="382">
        <f>IF(H351,Wh_hp,'2019'!Maxi_hp)</f>
        <v>8.9551570217184668</v>
      </c>
      <c r="J351" s="85">
        <f>IF(H351,An,'2019'!An_max)</f>
        <v>2018</v>
      </c>
      <c r="K351" s="199">
        <f t="shared" si="124"/>
        <v>44167</v>
      </c>
      <c r="L351" s="147">
        <f>IF(t&lt;Tvie,1-EXP((T0-t)*PertePVj)+'2019'!Pspv,1-EXP((T0-t)*PertePVj)+Pspv)</f>
        <v>1.9677871584743656E-2</v>
      </c>
      <c r="M351" s="872"/>
      <c r="N351" s="872"/>
      <c r="O351" s="48">
        <f>IF(t&lt;Tnet,'2019'!Resal+('2019'!Salim-'2019'!Resal)*(1-EXP(('2019'!Tnet-t)/('2019'!Tau_j))),Resal+(Salim-Resal)*(1-EXP((Tnet-t)/(Tau_j))))*Salcycl</f>
        <v>0.12126466159049007</v>
      </c>
      <c r="P351" s="171">
        <f>(INDEX(Models!$BJ351:$BT351,,T351)*(1-R351)+INDEX(Models!$BJ351:$BT351,,T351+1)*R351-ERP_i)*Q351*Ramure*Pc/MaxiM</f>
        <v>4.7876663583409362E-2</v>
      </c>
      <c r="Q351" s="307">
        <f t="shared" si="125"/>
        <v>0.9</v>
      </c>
      <c r="R351" s="179">
        <f t="shared" si="126"/>
        <v>0.29950140017223248</v>
      </c>
      <c r="S351" s="839">
        <f t="shared" si="127"/>
        <v>-1</v>
      </c>
      <c r="T351" s="178">
        <f t="shared" si="128"/>
        <v>5</v>
      </c>
      <c r="U351" s="253">
        <f t="shared" si="129"/>
        <v>-0.70049859982776752</v>
      </c>
      <c r="V351" s="385">
        <f t="shared" si="130"/>
        <v>15.858087392139598</v>
      </c>
      <c r="W351" s="404"/>
      <c r="X351" s="157">
        <f t="shared" si="131"/>
        <v>44167</v>
      </c>
      <c r="Y351" s="387">
        <f t="shared" si="132"/>
        <v>1.4279999999999999</v>
      </c>
      <c r="Z351" s="387">
        <f t="shared" si="133"/>
        <v>1.4566640480802358</v>
      </c>
      <c r="AA351" s="388">
        <f t="shared" si="134"/>
        <v>1.6576823355218229</v>
      </c>
      <c r="AB351" s="199">
        <f t="shared" si="135"/>
        <v>44167</v>
      </c>
      <c r="AC351" s="119">
        <f>IF(OR(t&lt;Tnet,NoTnet),'2019'!Resal_s+('2019'!Salim-'2019'!Resal_s)*(1-EXP(('2019'!Tnet_s-t)/'2019'!Tau_j)),Resal_s+(Salim-Resal_s)*(1-EXP((Tnet_s-t)/Tau_j)))*Salcycl</f>
        <v>0.12126466159049007</v>
      </c>
      <c r="AD351" s="233">
        <f>(INDEX(Models!$BJ351:$BT351,,AH351)*(1-AF351)+INDEX(Models!$BJ351:$BT351,,AH351+1)*AF351-ERP_i)*AE351*Ramure*Pc/MaxiM</f>
        <v>4.7876663583409362E-2</v>
      </c>
      <c r="AE351" s="307">
        <f t="shared" si="136"/>
        <v>0.9</v>
      </c>
      <c r="AF351" s="179">
        <f t="shared" si="137"/>
        <v>0.29950140017223248</v>
      </c>
      <c r="AG351" s="839">
        <f t="shared" si="143"/>
        <v>-1</v>
      </c>
      <c r="AH351" s="178">
        <f t="shared" si="138"/>
        <v>5</v>
      </c>
      <c r="AI351" s="227">
        <f t="shared" si="139"/>
        <v>-0.70049859982776752</v>
      </c>
      <c r="AJ351" s="267" t="b">
        <f t="shared" si="140"/>
        <v>0</v>
      </c>
      <c r="AK351" s="267" t="b">
        <f t="shared" si="141"/>
        <v>0</v>
      </c>
      <c r="AL351" s="267"/>
      <c r="AM351" s="267"/>
      <c r="AN351" s="75"/>
    </row>
    <row r="352" spans="1:40" s="6" customFormat="1" ht="11.25" customHeight="1" x14ac:dyDescent="0.2">
      <c r="A352" s="56">
        <f t="shared" si="142"/>
        <v>44168</v>
      </c>
      <c r="B352" s="620">
        <v>10.176</v>
      </c>
      <c r="C352" s="392"/>
      <c r="D352" s="395">
        <f t="shared" si="122"/>
        <v>10.380503021336127</v>
      </c>
      <c r="E352" s="387">
        <f t="shared" si="120"/>
        <v>11.813012784105034</v>
      </c>
      <c r="F352" s="387">
        <f t="shared" si="123"/>
        <v>12.105211915249489</v>
      </c>
      <c r="G352" s="110">
        <f t="shared" si="121"/>
        <v>0.63126012041079738</v>
      </c>
      <c r="H352" s="416" t="b">
        <f>Wh_hp&gt;='2019'!Maxi_hp</f>
        <v>1</v>
      </c>
      <c r="I352" s="382">
        <f>IF(H352,Wh_hp,'2019'!Maxi_hp)</f>
        <v>12.105211915249489</v>
      </c>
      <c r="J352" s="85">
        <f>IF(H352,An,'2019'!An_max)</f>
        <v>2020</v>
      </c>
      <c r="K352" s="199">
        <f t="shared" si="124"/>
        <v>44168</v>
      </c>
      <c r="L352" s="147">
        <f>IF(t&lt;Tvie,1-EXP((T0-t)*PertePVj)+'2019'!Pspv,1-EXP((T0-t)*PertePVj)+Pspv)</f>
        <v>1.9700685112830296E-2</v>
      </c>
      <c r="M352" s="872"/>
      <c r="N352" s="872"/>
      <c r="O352" s="48">
        <f>IF(t&lt;Tnet,'2019'!Resal+('2019'!Salim-'2019'!Resal)*(1-EXP(('2019'!Tnet-t)/('2019'!Tau_j))),Resal+(Salim-Resal)*(1-EXP((Tnet-t)/(Tau_j))))*Salcycl</f>
        <v>0.1212654035807373</v>
      </c>
      <c r="P352" s="171">
        <f>(INDEX(Models!$BJ352:$BT352,,T352)*(1-R352)+INDEX(Models!$BJ352:$BT352,,T352+1)*R352-ERP_i)*Q352*Ramure*Pc/MaxiM</f>
        <v>4.8623016189469279E-2</v>
      </c>
      <c r="Q352" s="307">
        <f t="shared" si="125"/>
        <v>0.9</v>
      </c>
      <c r="R352" s="179">
        <f t="shared" si="126"/>
        <v>0.29952176768252148</v>
      </c>
      <c r="S352" s="839">
        <f t="shared" si="127"/>
        <v>-1</v>
      </c>
      <c r="T352" s="178">
        <f t="shared" si="128"/>
        <v>5</v>
      </c>
      <c r="U352" s="253">
        <f t="shared" si="129"/>
        <v>-0.70047823231747852</v>
      </c>
      <c r="V352" s="385">
        <f t="shared" si="130"/>
        <v>15.715677485575567</v>
      </c>
      <c r="W352" s="404"/>
      <c r="X352" s="157">
        <f t="shared" si="131"/>
        <v>44168</v>
      </c>
      <c r="Y352" s="387">
        <f t="shared" si="132"/>
        <v>10.176</v>
      </c>
      <c r="Z352" s="387">
        <f t="shared" si="133"/>
        <v>10.380503021336127</v>
      </c>
      <c r="AA352" s="388">
        <f t="shared" si="134"/>
        <v>11.813012784105034</v>
      </c>
      <c r="AB352" s="199">
        <f t="shared" si="135"/>
        <v>44168</v>
      </c>
      <c r="AC352" s="119">
        <f>IF(OR(t&lt;Tnet,NoTnet),'2019'!Resal_s+('2019'!Salim-'2019'!Resal_s)*(1-EXP(('2019'!Tnet_s-t)/'2019'!Tau_j)),Resal_s+(Salim-Resal_s)*(1-EXP((Tnet_s-t)/Tau_j)))*Salcycl</f>
        <v>0.1212654035807373</v>
      </c>
      <c r="AD352" s="233">
        <f>(INDEX(Models!$BJ352:$BT352,,AH352)*(1-AF352)+INDEX(Models!$BJ352:$BT352,,AH352+1)*AF352-ERP_i)*AE352*Ramure*Pc/MaxiM</f>
        <v>4.8623016189469279E-2</v>
      </c>
      <c r="AE352" s="307">
        <f t="shared" si="136"/>
        <v>0.9</v>
      </c>
      <c r="AF352" s="179">
        <f t="shared" si="137"/>
        <v>0.29952176768252148</v>
      </c>
      <c r="AG352" s="839">
        <f t="shared" si="143"/>
        <v>-1</v>
      </c>
      <c r="AH352" s="178">
        <f t="shared" si="138"/>
        <v>5</v>
      </c>
      <c r="AI352" s="227">
        <f t="shared" si="139"/>
        <v>-0.70047823231747852</v>
      </c>
      <c r="AJ352" s="267" t="b">
        <f t="shared" si="140"/>
        <v>0</v>
      </c>
      <c r="AK352" s="267" t="b">
        <f t="shared" si="141"/>
        <v>0</v>
      </c>
      <c r="AL352" s="267"/>
      <c r="AM352" s="267"/>
      <c r="AN352" s="75"/>
    </row>
    <row r="353" spans="1:40" s="6" customFormat="1" ht="11.25" customHeight="1" x14ac:dyDescent="0.2">
      <c r="A353" s="56">
        <f t="shared" si="142"/>
        <v>44169</v>
      </c>
      <c r="B353" s="620">
        <v>6.806</v>
      </c>
      <c r="C353" s="392"/>
      <c r="D353" s="395">
        <f t="shared" si="122"/>
        <v>6.942939045134648</v>
      </c>
      <c r="E353" s="387">
        <f t="shared" si="120"/>
        <v>7.9010956380620927</v>
      </c>
      <c r="F353" s="387">
        <f t="shared" si="123"/>
        <v>7.9780537016616364</v>
      </c>
      <c r="G353" s="110">
        <f t="shared" si="121"/>
        <v>0.419319510973794</v>
      </c>
      <c r="H353" s="416" t="b">
        <f>Wh_hp&gt;='2019'!Maxi_hp</f>
        <v>0</v>
      </c>
      <c r="I353" s="382">
        <f>IF(H353,Wh_hp,'2019'!Maxi_hp)</f>
        <v>15.930713554791836</v>
      </c>
      <c r="J353" s="85">
        <f>IF(H353,An,'2019'!An_max)</f>
        <v>2018</v>
      </c>
      <c r="K353" s="199">
        <f t="shared" si="124"/>
        <v>44169</v>
      </c>
      <c r="L353" s="147">
        <f>IF(t&lt;Tvie,1-EXP((T0-t)*PertePVj)+'2019'!Pspv,1-EXP((T0-t)*PertePVj)+Pspv)</f>
        <v>1.9723498110012838E-2</v>
      </c>
      <c r="M353" s="872"/>
      <c r="N353" s="872"/>
      <c r="O353" s="48">
        <f>IF(t&lt;Tnet,'2019'!Resal+('2019'!Salim-'2019'!Resal)*(1-EXP(('2019'!Tnet-t)/('2019'!Tau_j))),Resal+(Salim-Resal)*(1-EXP((Tnet-t)/(Tau_j))))*Salcycl</f>
        <v>0.1212688260994715</v>
      </c>
      <c r="P353" s="171">
        <f>(INDEX(Models!$BJ353:$BT353,,T353)*(1-R353)+INDEX(Models!$BJ353:$BT353,,T353+1)*R353-ERP_i)*Q353*Ramure*Pc/MaxiM</f>
        <v>4.9347983222495964E-2</v>
      </c>
      <c r="Q353" s="307">
        <f t="shared" si="125"/>
        <v>0.9</v>
      </c>
      <c r="R353" s="179">
        <f t="shared" si="126"/>
        <v>0.29954131625123803</v>
      </c>
      <c r="S353" s="839">
        <f t="shared" si="127"/>
        <v>-1</v>
      </c>
      <c r="T353" s="178">
        <f t="shared" si="128"/>
        <v>5</v>
      </c>
      <c r="U353" s="253">
        <f t="shared" si="129"/>
        <v>-0.70045868374876197</v>
      </c>
      <c r="V353" s="385">
        <f t="shared" si="130"/>
        <v>15.580381393321467</v>
      </c>
      <c r="W353" s="404"/>
      <c r="X353" s="157">
        <f t="shared" si="131"/>
        <v>44169</v>
      </c>
      <c r="Y353" s="387">
        <f t="shared" si="132"/>
        <v>6.806</v>
      </c>
      <c r="Z353" s="387">
        <f t="shared" si="133"/>
        <v>6.942939045134648</v>
      </c>
      <c r="AA353" s="388">
        <f t="shared" si="134"/>
        <v>7.9010956380620927</v>
      </c>
      <c r="AB353" s="199">
        <f t="shared" si="135"/>
        <v>44169</v>
      </c>
      <c r="AC353" s="119">
        <f>IF(OR(t&lt;Tnet,NoTnet),'2019'!Resal_s+('2019'!Salim-'2019'!Resal_s)*(1-EXP(('2019'!Tnet_s-t)/'2019'!Tau_j)),Resal_s+(Salim-Resal_s)*(1-EXP((Tnet_s-t)/Tau_j)))*Salcycl</f>
        <v>0.1212688260994715</v>
      </c>
      <c r="AD353" s="233">
        <f>(INDEX(Models!$BJ353:$BT353,,AH353)*(1-AF353)+INDEX(Models!$BJ353:$BT353,,AH353+1)*AF353-ERP_i)*AE353*Ramure*Pc/MaxiM</f>
        <v>4.9347983222495964E-2</v>
      </c>
      <c r="AE353" s="307">
        <f t="shared" si="136"/>
        <v>0.9</v>
      </c>
      <c r="AF353" s="179">
        <f t="shared" si="137"/>
        <v>0.29954131625123803</v>
      </c>
      <c r="AG353" s="839">
        <f t="shared" si="143"/>
        <v>-1</v>
      </c>
      <c r="AH353" s="178">
        <f t="shared" si="138"/>
        <v>5</v>
      </c>
      <c r="AI353" s="227">
        <f t="shared" si="139"/>
        <v>-0.70045868374876197</v>
      </c>
      <c r="AJ353" s="267" t="b">
        <f t="shared" si="140"/>
        <v>0</v>
      </c>
      <c r="AK353" s="267" t="b">
        <f t="shared" si="141"/>
        <v>0</v>
      </c>
      <c r="AL353" s="267"/>
      <c r="AM353" s="267"/>
      <c r="AN353" s="75"/>
    </row>
    <row r="354" spans="1:40" s="6" customFormat="1" ht="11.25" x14ac:dyDescent="0.2">
      <c r="A354" s="56">
        <f t="shared" si="142"/>
        <v>44170</v>
      </c>
      <c r="B354" s="620">
        <v>13.388999999999999</v>
      </c>
      <c r="C354" s="392"/>
      <c r="D354" s="395">
        <f t="shared" si="122"/>
        <v>13.658709112200908</v>
      </c>
      <c r="E354" s="387">
        <f t="shared" si="120"/>
        <v>15.543778862207683</v>
      </c>
      <c r="F354" s="387">
        <f t="shared" si="123"/>
        <v>16.199835950430391</v>
      </c>
      <c r="G354" s="110">
        <f t="shared" si="121"/>
        <v>0.85780648095633327</v>
      </c>
      <c r="H354" s="416" t="b">
        <f>Wh_hp&gt;='2019'!Maxi_hp</f>
        <v>1</v>
      </c>
      <c r="I354" s="382">
        <f>IF(H354,Wh_hp,'2019'!Maxi_hp)</f>
        <v>16.199835950430391</v>
      </c>
      <c r="J354" s="85">
        <f>IF(H354,An,'2019'!An_max)</f>
        <v>2020</v>
      </c>
      <c r="K354" s="199">
        <f t="shared" si="124"/>
        <v>44170</v>
      </c>
      <c r="L354" s="147">
        <f>IF(t&lt;Tvie,1-EXP((T0-t)*PertePVj)+'2019'!Pspv,1-EXP((T0-t)*PertePVj)+Pspv)</f>
        <v>1.9746310576303716E-2</v>
      </c>
      <c r="M354" s="872"/>
      <c r="N354" s="872"/>
      <c r="O354" s="48">
        <f>IF(t&lt;Tnet,'2019'!Resal+('2019'!Salim-'2019'!Resal)*(1-EXP(('2019'!Tnet-t)/('2019'!Tau_j))),Resal+(Salim-Resal)*(1-EXP((Tnet-t)/(Tau_j))))*Salcycl</f>
        <v>0.12127486930414548</v>
      </c>
      <c r="P354" s="171">
        <f>(INDEX(Models!$BJ354:$BT354,,T354)*(1-R354)+INDEX(Models!$BJ354:$BT354,,T354+1)*R354-ERP_i)*Q354*Ramure*Pc/MaxiM</f>
        <v>5.0047553914826411E-2</v>
      </c>
      <c r="Q354" s="307">
        <f t="shared" si="125"/>
        <v>0.9</v>
      </c>
      <c r="R354" s="179">
        <f t="shared" si="126"/>
        <v>0.29956007876357016</v>
      </c>
      <c r="S354" s="839">
        <f t="shared" si="127"/>
        <v>-1</v>
      </c>
      <c r="T354" s="178">
        <f t="shared" si="128"/>
        <v>5</v>
      </c>
      <c r="U354" s="253">
        <f t="shared" si="129"/>
        <v>-0.70043992123642984</v>
      </c>
      <c r="V354" s="385">
        <f t="shared" si="130"/>
        <v>15.453067136339767</v>
      </c>
      <c r="W354" s="404"/>
      <c r="X354" s="157">
        <f t="shared" si="131"/>
        <v>44170</v>
      </c>
      <c r="Y354" s="387">
        <f t="shared" si="132"/>
        <v>13.388999999999999</v>
      </c>
      <c r="Z354" s="387">
        <f t="shared" si="133"/>
        <v>13.658709112200908</v>
      </c>
      <c r="AA354" s="388">
        <f t="shared" si="134"/>
        <v>15.543778862207683</v>
      </c>
      <c r="AB354" s="199">
        <f t="shared" si="135"/>
        <v>44170</v>
      </c>
      <c r="AC354" s="119">
        <f>IF(OR(t&lt;Tnet,NoTnet),'2019'!Resal_s+('2019'!Salim-'2019'!Resal_s)*(1-EXP(('2019'!Tnet_s-t)/'2019'!Tau_j)),Resal_s+(Salim-Resal_s)*(1-EXP((Tnet_s-t)/Tau_j)))*Salcycl</f>
        <v>0.12127486930414548</v>
      </c>
      <c r="AD354" s="233">
        <f>(INDEX(Models!$BJ354:$BT354,,AH354)*(1-AF354)+INDEX(Models!$BJ354:$BT354,,AH354+1)*AF354-ERP_i)*AE354*Ramure*Pc/MaxiM</f>
        <v>5.0047553914826411E-2</v>
      </c>
      <c r="AE354" s="307">
        <f t="shared" si="136"/>
        <v>0.9</v>
      </c>
      <c r="AF354" s="179">
        <f t="shared" si="137"/>
        <v>0.29956007876357016</v>
      </c>
      <c r="AG354" s="839">
        <f t="shared" si="143"/>
        <v>-1</v>
      </c>
      <c r="AH354" s="178">
        <f t="shared" si="138"/>
        <v>5</v>
      </c>
      <c r="AI354" s="227">
        <f t="shared" si="139"/>
        <v>-0.70043992123642984</v>
      </c>
      <c r="AJ354" s="267" t="b">
        <f t="shared" si="140"/>
        <v>0</v>
      </c>
      <c r="AK354" s="267" t="b">
        <f t="shared" si="141"/>
        <v>0</v>
      </c>
      <c r="AL354" s="267"/>
      <c r="AM354" s="267"/>
      <c r="AN354" s="75"/>
    </row>
    <row r="355" spans="1:40" s="6" customFormat="1" ht="11.25" x14ac:dyDescent="0.2">
      <c r="A355" s="56">
        <f t="shared" si="142"/>
        <v>44171</v>
      </c>
      <c r="B355" s="620">
        <v>12.502000000000001</v>
      </c>
      <c r="C355" s="392"/>
      <c r="D355" s="395">
        <f t="shared" si="122"/>
        <v>12.754138119005964</v>
      </c>
      <c r="E355" s="387">
        <f t="shared" si="120"/>
        <v>14.514507950040656</v>
      </c>
      <c r="F355" s="387">
        <f t="shared" si="123"/>
        <v>15.077406544460484</v>
      </c>
      <c r="G355" s="110">
        <f t="shared" si="121"/>
        <v>0.80394579005562128</v>
      </c>
      <c r="H355" s="416" t="b">
        <f>Wh_hp&gt;='2019'!Maxi_hp</f>
        <v>0</v>
      </c>
      <c r="I355" s="382">
        <f>IF(H355,Wh_hp,'2019'!Maxi_hp)</f>
        <v>16.577783659150011</v>
      </c>
      <c r="J355" s="85">
        <f>IF(H355,An,'2019'!An_max)</f>
        <v>2018</v>
      </c>
      <c r="K355" s="199">
        <f t="shared" si="124"/>
        <v>44171</v>
      </c>
      <c r="L355" s="147">
        <f>IF(t&lt;Tvie,1-EXP((T0-t)*PertePVj)+'2019'!Pspv,1-EXP((T0-t)*PertePVj)+Pspv)</f>
        <v>1.9769122511715032E-2</v>
      </c>
      <c r="M355" s="872"/>
      <c r="N355" s="872"/>
      <c r="O355" s="48">
        <f>IF(t&lt;Tnet,'2019'!Resal+('2019'!Salim-'2019'!Resal)*(1-EXP(('2019'!Tnet-t)/('2019'!Tau_j))),Resal+(Salim-Resal)*(1-EXP((Tnet-t)/(Tau_j))))*Salcycl</f>
        <v>0.12128346597031982</v>
      </c>
      <c r="P355" s="171">
        <f>(INDEX(Models!$BJ355:$BT355,,T355)*(1-R355)+INDEX(Models!$BJ355:$BT355,,T355+1)*R355-ERP_i)*Q355*Ramure*Pc/MaxiM</f>
        <v>5.0717517130748457E-2</v>
      </c>
      <c r="Q355" s="307">
        <f t="shared" si="125"/>
        <v>0.9</v>
      </c>
      <c r="R355" s="179">
        <f t="shared" si="126"/>
        <v>0.29957808678756925</v>
      </c>
      <c r="S355" s="839">
        <f t="shared" si="127"/>
        <v>-1</v>
      </c>
      <c r="T355" s="178">
        <f t="shared" si="128"/>
        <v>5</v>
      </c>
      <c r="U355" s="253">
        <f t="shared" si="129"/>
        <v>-0.70042191321243075</v>
      </c>
      <c r="V355" s="385">
        <f t="shared" si="130"/>
        <v>15.334602535234884</v>
      </c>
      <c r="W355" s="404"/>
      <c r="X355" s="157">
        <f t="shared" si="131"/>
        <v>44171</v>
      </c>
      <c r="Y355" s="387">
        <f t="shared" si="132"/>
        <v>12.502000000000001</v>
      </c>
      <c r="Z355" s="387">
        <f t="shared" si="133"/>
        <v>12.754138119005964</v>
      </c>
      <c r="AA355" s="388">
        <f t="shared" si="134"/>
        <v>14.514507950040656</v>
      </c>
      <c r="AB355" s="199">
        <f t="shared" si="135"/>
        <v>44171</v>
      </c>
      <c r="AC355" s="119">
        <f>IF(OR(t&lt;Tnet,NoTnet),'2019'!Resal_s+('2019'!Salim-'2019'!Resal_s)*(1-EXP(('2019'!Tnet_s-t)/'2019'!Tau_j)),Resal_s+(Salim-Resal_s)*(1-EXP((Tnet_s-t)/Tau_j)))*Salcycl</f>
        <v>0.12128346597031982</v>
      </c>
      <c r="AD355" s="233">
        <f>(INDEX(Models!$BJ355:$BT355,,AH355)*(1-AF355)+INDEX(Models!$BJ355:$BT355,,AH355+1)*AF355-ERP_i)*AE355*Ramure*Pc/MaxiM</f>
        <v>5.0717517130748457E-2</v>
      </c>
      <c r="AE355" s="307">
        <f t="shared" si="136"/>
        <v>0.9</v>
      </c>
      <c r="AF355" s="179">
        <f t="shared" si="137"/>
        <v>0.29957808678756925</v>
      </c>
      <c r="AG355" s="839">
        <f t="shared" si="143"/>
        <v>-1</v>
      </c>
      <c r="AH355" s="178">
        <f t="shared" si="138"/>
        <v>5</v>
      </c>
      <c r="AI355" s="227">
        <f t="shared" si="139"/>
        <v>-0.70042191321243075</v>
      </c>
      <c r="AJ355" s="267" t="b">
        <f t="shared" si="140"/>
        <v>0</v>
      </c>
      <c r="AK355" s="267" t="b">
        <f t="shared" si="141"/>
        <v>0</v>
      </c>
      <c r="AL355" s="267"/>
      <c r="AM355" s="267"/>
      <c r="AN355" s="75"/>
    </row>
    <row r="356" spans="1:40" s="6" customFormat="1" ht="11.25" customHeight="1" x14ac:dyDescent="0.2">
      <c r="A356" s="56">
        <f t="shared" si="142"/>
        <v>44172</v>
      </c>
      <c r="B356" s="620">
        <v>2.363</v>
      </c>
      <c r="C356" s="392"/>
      <c r="D356" s="395">
        <f t="shared" si="122"/>
        <v>2.4107126657720497</v>
      </c>
      <c r="E356" s="387">
        <f t="shared" si="120"/>
        <v>2.7434820668113038</v>
      </c>
      <c r="F356" s="387">
        <f t="shared" si="123"/>
        <v>2.7434820668113038</v>
      </c>
      <c r="G356" s="110">
        <f t="shared" si="121"/>
        <v>0.14722665339036953</v>
      </c>
      <c r="H356" s="416" t="b">
        <f>Wh_hp&gt;='2019'!Maxi_hp</f>
        <v>0</v>
      </c>
      <c r="I356" s="382">
        <f>IF(H356,Wh_hp,'2019'!Maxi_hp)</f>
        <v>15.165312115790208</v>
      </c>
      <c r="J356" s="85">
        <f>IF(H356,An,'2019'!An_max)</f>
        <v>2019</v>
      </c>
      <c r="K356" s="199">
        <f t="shared" si="124"/>
        <v>44172</v>
      </c>
      <c r="L356" s="147">
        <f>IF(t&lt;Tvie,1-EXP((T0-t)*PertePVj)+'2019'!Pspv,1-EXP((T0-t)*PertePVj)+Pspv)</f>
        <v>1.979193391625933E-2</v>
      </c>
      <c r="M356" s="872"/>
      <c r="N356" s="872"/>
      <c r="O356" s="48">
        <f>IF(t&lt;Tnet,'2019'!Resal+('2019'!Salim-'2019'!Resal)*(1-EXP(('2019'!Tnet-t)/('2019'!Tau_j))),Resal+(Salim-Resal)*(1-EXP((Tnet-t)/(Tau_j))))*Salcycl</f>
        <v>0.1212945420948297</v>
      </c>
      <c r="P356" s="171">
        <f>(INDEX(Models!$BJ356:$BT356,,T356)*(1-R356)+INDEX(Models!$BJ356:$BT356,,T356+1)*R356-ERP_i)*Q356*Ramure*Pc/MaxiM</f>
        <v>5.1353490080707873E-2</v>
      </c>
      <c r="Q356" s="307">
        <f t="shared" si="125"/>
        <v>0.9</v>
      </c>
      <c r="R356" s="179">
        <f t="shared" si="126"/>
        <v>0.29959537062663688</v>
      </c>
      <c r="S356" s="839">
        <f t="shared" si="127"/>
        <v>-1</v>
      </c>
      <c r="T356" s="178">
        <f t="shared" si="128"/>
        <v>5</v>
      </c>
      <c r="U356" s="253">
        <f t="shared" si="129"/>
        <v>-0.70040462937336312</v>
      </c>
      <c r="V356" s="385">
        <f t="shared" si="130"/>
        <v>15.225855178515653</v>
      </c>
      <c r="W356" s="404"/>
      <c r="X356" s="157">
        <f t="shared" si="131"/>
        <v>44172</v>
      </c>
      <c r="Y356" s="387">
        <f t="shared" si="132"/>
        <v>2.363</v>
      </c>
      <c r="Z356" s="387">
        <f t="shared" si="133"/>
        <v>2.4107126657720497</v>
      </c>
      <c r="AA356" s="388">
        <f t="shared" si="134"/>
        <v>2.7434820668113038</v>
      </c>
      <c r="AB356" s="199">
        <f t="shared" si="135"/>
        <v>44172</v>
      </c>
      <c r="AC356" s="119">
        <f>IF(OR(t&lt;Tnet,NoTnet),'2019'!Resal_s+('2019'!Salim-'2019'!Resal_s)*(1-EXP(('2019'!Tnet_s-t)/'2019'!Tau_j)),Resal_s+(Salim-Resal_s)*(1-EXP((Tnet_s-t)/Tau_j)))*Salcycl</f>
        <v>0.1212945420948297</v>
      </c>
      <c r="AD356" s="233">
        <f>(INDEX(Models!$BJ356:$BT356,,AH356)*(1-AF356)+INDEX(Models!$BJ356:$BT356,,AH356+1)*AF356-ERP_i)*AE356*Ramure*Pc/MaxiM</f>
        <v>5.1353490080707873E-2</v>
      </c>
      <c r="AE356" s="307">
        <f t="shared" si="136"/>
        <v>0.9</v>
      </c>
      <c r="AF356" s="179">
        <f t="shared" si="137"/>
        <v>0.29959537062663688</v>
      </c>
      <c r="AG356" s="839">
        <f t="shared" si="143"/>
        <v>-1</v>
      </c>
      <c r="AH356" s="178">
        <f t="shared" si="138"/>
        <v>5</v>
      </c>
      <c r="AI356" s="227">
        <f t="shared" si="139"/>
        <v>-0.70040462937336312</v>
      </c>
      <c r="AJ356" s="267" t="b">
        <f t="shared" si="140"/>
        <v>0</v>
      </c>
      <c r="AK356" s="267" t="b">
        <f t="shared" si="141"/>
        <v>0</v>
      </c>
      <c r="AL356" s="267"/>
      <c r="AM356" s="267"/>
      <c r="AN356" s="75"/>
    </row>
    <row r="357" spans="1:40" s="6" customFormat="1" ht="11.25" x14ac:dyDescent="0.2">
      <c r="A357" s="56">
        <f t="shared" si="142"/>
        <v>44173</v>
      </c>
      <c r="B357" s="620">
        <v>7.7729999999999997</v>
      </c>
      <c r="C357" s="392"/>
      <c r="D357" s="395">
        <f t="shared" si="122"/>
        <v>7.9301335728971631</v>
      </c>
      <c r="E357" s="387">
        <f t="shared" si="120"/>
        <v>9.0249299311827169</v>
      </c>
      <c r="F357" s="387">
        <f t="shared" si="123"/>
        <v>9.1704580125425537</v>
      </c>
      <c r="G357" s="110">
        <f t="shared" si="121"/>
        <v>0.49498720842950794</v>
      </c>
      <c r="H357" s="416" t="b">
        <f>Wh_hp&gt;='2019'!Maxi_hp</f>
        <v>1</v>
      </c>
      <c r="I357" s="382">
        <f>IF(H357,Wh_hp,'2019'!Maxi_hp)</f>
        <v>9.1704580125425537</v>
      </c>
      <c r="J357" s="85">
        <f>IF(H357,An,'2019'!An_max)</f>
        <v>2020</v>
      </c>
      <c r="K357" s="199">
        <f t="shared" si="124"/>
        <v>44173</v>
      </c>
      <c r="L357" s="147">
        <f>IF(t&lt;Tvie,1-EXP((T0-t)*PertePVj)+'2019'!Pspv,1-EXP((T0-t)*PertePVj)+Pspv)</f>
        <v>1.9814744789948935E-2</v>
      </c>
      <c r="M357" s="872"/>
      <c r="N357" s="872"/>
      <c r="O357" s="48">
        <f>IF(t&lt;Tnet,'2019'!Resal+('2019'!Salim-'2019'!Resal)*(1-EXP(('2019'!Tnet-t)/('2019'!Tau_j))),Resal+(Salim-Resal)*(1-EXP((Tnet-t)/(Tau_j))))*Salcycl</f>
        <v>0.12130801752851741</v>
      </c>
      <c r="P357" s="171">
        <f>(INDEX(Models!$BJ357:$BT357,,T357)*(1-R357)+INDEX(Models!$BJ357:$BT357,,T357+1)*R357-ERP_i)*Q357*Ramure*Pc/MaxiM</f>
        <v>5.1950954342249715E-2</v>
      </c>
      <c r="Q357" s="307">
        <f t="shared" si="125"/>
        <v>0.9</v>
      </c>
      <c r="R357" s="179">
        <f t="shared" si="126"/>
        <v>0.29961195936994101</v>
      </c>
      <c r="S357" s="839">
        <f t="shared" si="127"/>
        <v>-1</v>
      </c>
      <c r="T357" s="178">
        <f t="shared" si="128"/>
        <v>5</v>
      </c>
      <c r="U357" s="253">
        <f t="shared" si="129"/>
        <v>-0.70038804063005899</v>
      </c>
      <c r="V357" s="385">
        <f t="shared" si="130"/>
        <v>15.127692399280193</v>
      </c>
      <c r="W357" s="404"/>
      <c r="X357" s="157">
        <f t="shared" si="131"/>
        <v>44173</v>
      </c>
      <c r="Y357" s="387">
        <f t="shared" si="132"/>
        <v>7.7729999999999988</v>
      </c>
      <c r="Z357" s="387">
        <f t="shared" si="133"/>
        <v>7.9301335728971623</v>
      </c>
      <c r="AA357" s="388">
        <f t="shared" si="134"/>
        <v>9.0249299311827169</v>
      </c>
      <c r="AB357" s="199">
        <f t="shared" si="135"/>
        <v>44173</v>
      </c>
      <c r="AC357" s="119">
        <f>IF(OR(t&lt;Tnet,NoTnet),'2019'!Resal_s+('2019'!Salim-'2019'!Resal_s)*(1-EXP(('2019'!Tnet_s-t)/'2019'!Tau_j)),Resal_s+(Salim-Resal_s)*(1-EXP((Tnet_s-t)/Tau_j)))*Salcycl</f>
        <v>0.12130801752851741</v>
      </c>
      <c r="AD357" s="233">
        <f>(INDEX(Models!$BJ357:$BT357,,AH357)*(1-AF357)+INDEX(Models!$BJ357:$BT357,,AH357+1)*AF357-ERP_i)*AE357*Ramure*Pc/MaxiM</f>
        <v>5.1950954342249715E-2</v>
      </c>
      <c r="AE357" s="307">
        <f t="shared" si="136"/>
        <v>0.9</v>
      </c>
      <c r="AF357" s="179">
        <f t="shared" si="137"/>
        <v>0.29961195936994101</v>
      </c>
      <c r="AG357" s="839">
        <f t="shared" si="143"/>
        <v>-1</v>
      </c>
      <c r="AH357" s="178">
        <f t="shared" si="138"/>
        <v>5</v>
      </c>
      <c r="AI357" s="227">
        <f t="shared" si="139"/>
        <v>-0.70038804063005899</v>
      </c>
      <c r="AJ357" s="267" t="b">
        <f t="shared" si="140"/>
        <v>0</v>
      </c>
      <c r="AK357" s="267" t="b">
        <f t="shared" si="141"/>
        <v>0</v>
      </c>
      <c r="AL357" s="267"/>
      <c r="AM357" s="267"/>
      <c r="AN357" s="75"/>
    </row>
    <row r="358" spans="1:40" s="6" customFormat="1" ht="11.25" customHeight="1" x14ac:dyDescent="0.2">
      <c r="A358" s="56">
        <f t="shared" si="142"/>
        <v>44174</v>
      </c>
      <c r="B358" s="620">
        <v>6.7480000000000002</v>
      </c>
      <c r="C358" s="392"/>
      <c r="D358" s="395">
        <f t="shared" si="122"/>
        <v>6.8845730984053821</v>
      </c>
      <c r="E358" s="387">
        <f t="shared" si="120"/>
        <v>7.8351651613855386</v>
      </c>
      <c r="F358" s="387">
        <f t="shared" si="123"/>
        <v>7.9235058814223276</v>
      </c>
      <c r="G358" s="110">
        <f t="shared" si="121"/>
        <v>0.4298777062222891</v>
      </c>
      <c r="H358" s="416" t="b">
        <f>Wh_hp&gt;='2019'!Maxi_hp</f>
        <v>0</v>
      </c>
      <c r="I358" s="382">
        <f>IF(H358,Wh_hp,'2019'!Maxi_hp)</f>
        <v>16.668106879337483</v>
      </c>
      <c r="J358" s="85">
        <f>IF(H358,An,'2019'!An_max)</f>
        <v>2019</v>
      </c>
      <c r="K358" s="199">
        <f t="shared" si="124"/>
        <v>44174</v>
      </c>
      <c r="L358" s="147">
        <f>IF(t&lt;Tvie,1-EXP((T0-t)*PertePVj)+'2019'!Pspv,1-EXP((T0-t)*PertePVj)+Pspv)</f>
        <v>1.983755513279617E-2</v>
      </c>
      <c r="M358" s="872"/>
      <c r="N358" s="872"/>
      <c r="O358" s="48">
        <f>IF(t&lt;Tnet,'2019'!Resal+('2019'!Salim-'2019'!Resal)*(1-EXP(('2019'!Tnet-t)/('2019'!Tau_j))),Resal+(Salim-Resal)*(1-EXP((Tnet-t)/(Tau_j))))*Salcycl</f>
        <v>0.12132380663333178</v>
      </c>
      <c r="P358" s="171">
        <f>(INDEX(Models!$BJ358:$BT358,,T358)*(1-R358)+INDEX(Models!$BJ358:$BT358,,T358+1)*R358-ERP_i)*Q358*Ramure*Pc/MaxiM</f>
        <v>5.2505299463546241E-2</v>
      </c>
      <c r="Q358" s="307">
        <f t="shared" si="125"/>
        <v>0.9</v>
      </c>
      <c r="R358" s="179">
        <f t="shared" si="126"/>
        <v>0.29962788094084336</v>
      </c>
      <c r="S358" s="839">
        <f t="shared" si="127"/>
        <v>-1</v>
      </c>
      <c r="T358" s="178">
        <f t="shared" si="128"/>
        <v>5</v>
      </c>
      <c r="U358" s="253">
        <f t="shared" si="129"/>
        <v>-0.70037211905915664</v>
      </c>
      <c r="V358" s="385">
        <f t="shared" si="130"/>
        <v>15.040981242240617</v>
      </c>
      <c r="W358" s="404"/>
      <c r="X358" s="157">
        <f t="shared" si="131"/>
        <v>44174</v>
      </c>
      <c r="Y358" s="387">
        <f t="shared" si="132"/>
        <v>6.7480000000000002</v>
      </c>
      <c r="Z358" s="387">
        <f t="shared" si="133"/>
        <v>6.8845730984053821</v>
      </c>
      <c r="AA358" s="388">
        <f t="shared" si="134"/>
        <v>7.8351651613855386</v>
      </c>
      <c r="AB358" s="199">
        <f t="shared" si="135"/>
        <v>44174</v>
      </c>
      <c r="AC358" s="119">
        <f>IF(OR(t&lt;Tnet,NoTnet),'2019'!Resal_s+('2019'!Salim-'2019'!Resal_s)*(1-EXP(('2019'!Tnet_s-t)/'2019'!Tau_j)),Resal_s+(Salim-Resal_s)*(1-EXP((Tnet_s-t)/Tau_j)))*Salcycl</f>
        <v>0.12132380663333178</v>
      </c>
      <c r="AD358" s="233">
        <f>(INDEX(Models!$BJ358:$BT358,,AH358)*(1-AF358)+INDEX(Models!$BJ358:$BT358,,AH358+1)*AF358-ERP_i)*AE358*Ramure*Pc/MaxiM</f>
        <v>5.2505299463546241E-2</v>
      </c>
      <c r="AE358" s="307">
        <f t="shared" si="136"/>
        <v>0.9</v>
      </c>
      <c r="AF358" s="179">
        <f t="shared" si="137"/>
        <v>0.29962788094084336</v>
      </c>
      <c r="AG358" s="839">
        <f t="shared" si="143"/>
        <v>-1</v>
      </c>
      <c r="AH358" s="178">
        <f t="shared" si="138"/>
        <v>5</v>
      </c>
      <c r="AI358" s="227">
        <f t="shared" si="139"/>
        <v>-0.70037211905915664</v>
      </c>
      <c r="AJ358" s="267" t="b">
        <f t="shared" si="140"/>
        <v>0</v>
      </c>
      <c r="AK358" s="267" t="b">
        <f t="shared" si="141"/>
        <v>0</v>
      </c>
      <c r="AL358" s="267"/>
      <c r="AM358" s="267"/>
      <c r="AN358" s="75"/>
    </row>
    <row r="359" spans="1:40" s="6" customFormat="1" ht="11.25" customHeight="1" x14ac:dyDescent="0.2">
      <c r="A359" s="56">
        <f t="shared" si="142"/>
        <v>44175</v>
      </c>
      <c r="B359" s="620">
        <v>4.5119999999999996</v>
      </c>
      <c r="C359" s="392"/>
      <c r="D359" s="395">
        <f t="shared" si="122"/>
        <v>4.6034257146900828</v>
      </c>
      <c r="E359" s="387">
        <f t="shared" si="120"/>
        <v>5.2391542172102499</v>
      </c>
      <c r="F359" s="387">
        <f t="shared" si="123"/>
        <v>5.2397574313528912</v>
      </c>
      <c r="G359" s="110">
        <f t="shared" si="121"/>
        <v>0.28556622354440575</v>
      </c>
      <c r="H359" s="416" t="b">
        <f>Wh_hp&gt;='2019'!Maxi_hp</f>
        <v>0</v>
      </c>
      <c r="I359" s="382">
        <f>IF(H359,Wh_hp,'2019'!Maxi_hp)</f>
        <v>15.154011286324524</v>
      </c>
      <c r="J359" s="85">
        <f>IF(H359,An,'2019'!An_max)</f>
        <v>2018</v>
      </c>
      <c r="K359" s="199">
        <f t="shared" si="124"/>
        <v>44175</v>
      </c>
      <c r="L359" s="147">
        <f>IF(t&lt;Tvie,1-EXP((T0-t)*PertePVj)+'2019'!Pspv,1-EXP((T0-t)*PertePVj)+Pspv)</f>
        <v>1.9860364944813358E-2</v>
      </c>
      <c r="M359" s="872"/>
      <c r="N359" s="872"/>
      <c r="O359" s="48">
        <f>IF(t&lt;Tnet,'2019'!Resal+('2019'!Salim-'2019'!Resal)*(1-EXP(('2019'!Tnet-t)/('2019'!Tau_j))),Resal+(Salim-Resal)*(1-EXP((Tnet-t)/(Tau_j))))*Salcycl</f>
        <v>0.12134181895845782</v>
      </c>
      <c r="P359" s="171">
        <f>(INDEX(Models!$BJ359:$BT359,,T359)*(1-R359)+INDEX(Models!$BJ359:$BT359,,T359+1)*R359-ERP_i)*Q359*Ramure*Pc/MaxiM</f>
        <v>5.3019934614092053E-2</v>
      </c>
      <c r="Q359" s="307">
        <f t="shared" si="125"/>
        <v>0.9</v>
      </c>
      <c r="R359" s="179">
        <f t="shared" si="126"/>
        <v>0.29964316214341125</v>
      </c>
      <c r="S359" s="839">
        <f t="shared" si="127"/>
        <v>-1</v>
      </c>
      <c r="T359" s="178">
        <f t="shared" si="128"/>
        <v>5</v>
      </c>
      <c r="U359" s="253">
        <f t="shared" si="129"/>
        <v>-0.70035683785658875</v>
      </c>
      <c r="V359" s="385">
        <f t="shared" si="130"/>
        <v>14.964185719110787</v>
      </c>
      <c r="W359" s="404"/>
      <c r="X359" s="157">
        <f t="shared" si="131"/>
        <v>44175</v>
      </c>
      <c r="Y359" s="387">
        <f t="shared" si="132"/>
        <v>4.5119999999999996</v>
      </c>
      <c r="Z359" s="387">
        <f t="shared" si="133"/>
        <v>4.6034257146900828</v>
      </c>
      <c r="AA359" s="388">
        <f t="shared" si="134"/>
        <v>5.2391542172102499</v>
      </c>
      <c r="AB359" s="199">
        <f t="shared" si="135"/>
        <v>44175</v>
      </c>
      <c r="AC359" s="119">
        <f>IF(OR(t&lt;Tnet,NoTnet),'2019'!Resal_s+('2019'!Salim-'2019'!Resal_s)*(1-EXP(('2019'!Tnet_s-t)/'2019'!Tau_j)),Resal_s+(Salim-Resal_s)*(1-EXP((Tnet_s-t)/Tau_j)))*Salcycl</f>
        <v>0.12134181895845782</v>
      </c>
      <c r="AD359" s="233">
        <f>(INDEX(Models!$BJ359:$BT359,,AH359)*(1-AF359)+INDEX(Models!$BJ359:$BT359,,AH359+1)*AF359-ERP_i)*AE359*Ramure*Pc/MaxiM</f>
        <v>5.3019934614092053E-2</v>
      </c>
      <c r="AE359" s="307">
        <f t="shared" si="136"/>
        <v>0.9</v>
      </c>
      <c r="AF359" s="179">
        <f t="shared" si="137"/>
        <v>0.29964316214341125</v>
      </c>
      <c r="AG359" s="839">
        <f t="shared" si="143"/>
        <v>-1</v>
      </c>
      <c r="AH359" s="178">
        <f t="shared" si="138"/>
        <v>5</v>
      </c>
      <c r="AI359" s="227">
        <f t="shared" si="139"/>
        <v>-0.70035683785658875</v>
      </c>
      <c r="AJ359" s="267" t="b">
        <f t="shared" si="140"/>
        <v>0</v>
      </c>
      <c r="AK359" s="267" t="b">
        <f t="shared" si="141"/>
        <v>0</v>
      </c>
      <c r="AL359" s="267"/>
      <c r="AM359" s="267"/>
      <c r="AN359" s="75"/>
    </row>
    <row r="360" spans="1:40" s="6" customFormat="1" ht="11.25" customHeight="1" x14ac:dyDescent="0.2">
      <c r="A360" s="56">
        <f t="shared" si="142"/>
        <v>44176</v>
      </c>
      <c r="B360" s="620">
        <v>5.6719999999999997</v>
      </c>
      <c r="C360" s="392"/>
      <c r="D360" s="395">
        <f t="shared" si="122"/>
        <v>5.787065226148818</v>
      </c>
      <c r="E360" s="387">
        <f t="shared" si="120"/>
        <v>6.5864041416737651</v>
      </c>
      <c r="F360" s="387">
        <f t="shared" si="123"/>
        <v>6.6273270915031661</v>
      </c>
      <c r="G360" s="110">
        <f t="shared" si="121"/>
        <v>0.3626590295024385</v>
      </c>
      <c r="H360" s="416" t="b">
        <f>Wh_hp&gt;='2019'!Maxi_hp</f>
        <v>1</v>
      </c>
      <c r="I360" s="382">
        <f>IF(H360,Wh_hp,'2019'!Maxi_hp)</f>
        <v>6.6273270915031661</v>
      </c>
      <c r="J360" s="85">
        <f>IF(H360,An,'2019'!An_max)</f>
        <v>2020</v>
      </c>
      <c r="K360" s="199">
        <f t="shared" si="124"/>
        <v>44176</v>
      </c>
      <c r="L360" s="147">
        <f>IF(t&lt;Tvie,1-EXP((T0-t)*PertePVj)+'2019'!Pspv,1-EXP((T0-t)*PertePVj)+Pspv)</f>
        <v>1.9883174226012934E-2</v>
      </c>
      <c r="M360" s="872"/>
      <c r="N360" s="872"/>
      <c r="O360" s="48">
        <f>IF(t&lt;Tnet,'2019'!Resal+('2019'!Salim-'2019'!Resal)*(1-EXP(('2019'!Tnet-t)/('2019'!Tau_j))),Resal+(Salim-Resal)*(1-EXP((Tnet-t)/(Tau_j))))*Salcycl</f>
        <v>0.12136195993005301</v>
      </c>
      <c r="P360" s="171">
        <f>(INDEX(Models!$BJ360:$BT360,,T360)*(1-R360)+INDEX(Models!$BJ360:$BT360,,T360+1)*R360-ERP_i)*Q360*Ramure*Pc/MaxiM</f>
        <v>5.3500416283097429E-2</v>
      </c>
      <c r="Q360" s="307">
        <f t="shared" si="125"/>
        <v>0.9</v>
      </c>
      <c r="R360" s="179">
        <f t="shared" si="126"/>
        <v>0.29965782870709179</v>
      </c>
      <c r="S360" s="839">
        <f t="shared" si="127"/>
        <v>-1</v>
      </c>
      <c r="T360" s="178">
        <f t="shared" si="128"/>
        <v>5</v>
      </c>
      <c r="U360" s="253">
        <f t="shared" si="129"/>
        <v>-0.70034217129290821</v>
      </c>
      <c r="V360" s="385">
        <f t="shared" si="130"/>
        <v>14.895263304192461</v>
      </c>
      <c r="W360" s="404"/>
      <c r="X360" s="157">
        <f t="shared" si="131"/>
        <v>44176</v>
      </c>
      <c r="Y360" s="387">
        <f t="shared" si="132"/>
        <v>5.6719999999999997</v>
      </c>
      <c r="Z360" s="387">
        <f t="shared" si="133"/>
        <v>5.787065226148818</v>
      </c>
      <c r="AA360" s="388">
        <f t="shared" si="134"/>
        <v>6.5864041416737651</v>
      </c>
      <c r="AB360" s="199">
        <f t="shared" si="135"/>
        <v>44176</v>
      </c>
      <c r="AC360" s="119">
        <f>IF(OR(t&lt;Tnet,NoTnet),'2019'!Resal_s+('2019'!Salim-'2019'!Resal_s)*(1-EXP(('2019'!Tnet_s-t)/'2019'!Tau_j)),Resal_s+(Salim-Resal_s)*(1-EXP((Tnet_s-t)/Tau_j)))*Salcycl</f>
        <v>0.12136195993005301</v>
      </c>
      <c r="AD360" s="233">
        <f>(INDEX(Models!$BJ360:$BT360,,AH360)*(1-AF360)+INDEX(Models!$BJ360:$BT360,,AH360+1)*AF360-ERP_i)*AE360*Ramure*Pc/MaxiM</f>
        <v>5.3500416283097429E-2</v>
      </c>
      <c r="AE360" s="307">
        <f t="shared" si="136"/>
        <v>0.9</v>
      </c>
      <c r="AF360" s="179">
        <f t="shared" si="137"/>
        <v>0.29965782870709179</v>
      </c>
      <c r="AG360" s="839">
        <f t="shared" si="143"/>
        <v>-1</v>
      </c>
      <c r="AH360" s="178">
        <f t="shared" si="138"/>
        <v>5</v>
      </c>
      <c r="AI360" s="227">
        <f t="shared" si="139"/>
        <v>-0.70034217129290821</v>
      </c>
      <c r="AJ360" s="267" t="b">
        <f t="shared" si="140"/>
        <v>0</v>
      </c>
      <c r="AK360" s="267" t="b">
        <f t="shared" si="141"/>
        <v>0</v>
      </c>
      <c r="AL360" s="267"/>
      <c r="AM360" s="267"/>
      <c r="AN360" s="75"/>
    </row>
    <row r="361" spans="1:40" s="6" customFormat="1" ht="11.25" customHeight="1" x14ac:dyDescent="0.2">
      <c r="A361" s="56">
        <f t="shared" si="142"/>
        <v>44177</v>
      </c>
      <c r="B361" s="620">
        <v>7.9560000000000004</v>
      </c>
      <c r="C361" s="392"/>
      <c r="D361" s="395">
        <f t="shared" si="122"/>
        <v>8.117588580084643</v>
      </c>
      <c r="E361" s="387">
        <f t="shared" ref="E361:E380" si="144">Wh_pvt/(1-Psa)</f>
        <v>9.2390643870308296</v>
      </c>
      <c r="F361" s="387">
        <f t="shared" si="123"/>
        <v>9.4104027403135468</v>
      </c>
      <c r="G361" s="110">
        <f t="shared" ref="G361:G380" si="145">+Wh_hp/MaxiM</f>
        <v>0.51680123037480341</v>
      </c>
      <c r="H361" s="416" t="b">
        <f>Wh_hp&gt;='2019'!Maxi_hp</f>
        <v>1</v>
      </c>
      <c r="I361" s="382">
        <f>IF(H361,Wh_hp,'2019'!Maxi_hp)</f>
        <v>9.4104027403135468</v>
      </c>
      <c r="J361" s="85">
        <f>IF(H361,An,'2019'!An_max)</f>
        <v>2020</v>
      </c>
      <c r="K361" s="199">
        <f t="shared" si="124"/>
        <v>44177</v>
      </c>
      <c r="L361" s="147">
        <f>IF(t&lt;Tvie,1-EXP((T0-t)*PertePVj)+'2019'!Pspv,1-EXP((T0-t)*PertePVj)+Pspv)</f>
        <v>1.9905982976407222E-2</v>
      </c>
      <c r="M361" s="872"/>
      <c r="N361" s="872"/>
      <c r="O361" s="48">
        <f>IF(t&lt;Tnet,'2019'!Resal+('2019'!Salim-'2019'!Resal)*(1-EXP(('2019'!Tnet-t)/('2019'!Tau_j))),Resal+(Salim-Resal)*(1-EXP((Tnet-t)/(Tau_j))))*Salcycl</f>
        <v>0.1213841315491251</v>
      </c>
      <c r="P361" s="171">
        <f>(INDEX(Models!$BJ361:$BT361,,T361)*(1-R361)+INDEX(Models!$BJ361:$BT361,,T361+1)*R361-ERP_i)*Q361*Ramure*Pc/MaxiM</f>
        <v>5.3932470191094276E-2</v>
      </c>
      <c r="Q361" s="307">
        <f t="shared" si="125"/>
        <v>0.9</v>
      </c>
      <c r="R361" s="179">
        <f t="shared" si="126"/>
        <v>0.29967190532961807</v>
      </c>
      <c r="S361" s="839">
        <f t="shared" si="127"/>
        <v>-1</v>
      </c>
      <c r="T361" s="178">
        <f t="shared" si="128"/>
        <v>5</v>
      </c>
      <c r="U361" s="253">
        <f t="shared" si="129"/>
        <v>-0.70032809467038193</v>
      </c>
      <c r="V361" s="385">
        <f t="shared" si="130"/>
        <v>14.834523110776994</v>
      </c>
      <c r="W361" s="404"/>
      <c r="X361" s="157">
        <f t="shared" si="131"/>
        <v>44177</v>
      </c>
      <c r="Y361" s="387">
        <f t="shared" si="132"/>
        <v>7.9560000000000004</v>
      </c>
      <c r="Z361" s="387">
        <f t="shared" si="133"/>
        <v>8.117588580084643</v>
      </c>
      <c r="AA361" s="388">
        <f t="shared" si="134"/>
        <v>9.2390643870308296</v>
      </c>
      <c r="AB361" s="199">
        <f t="shared" si="135"/>
        <v>44177</v>
      </c>
      <c r="AC361" s="119">
        <f>IF(OR(t&lt;Tnet,NoTnet),'2019'!Resal_s+('2019'!Salim-'2019'!Resal_s)*(1-EXP(('2019'!Tnet_s-t)/'2019'!Tau_j)),Resal_s+(Salim-Resal_s)*(1-EXP((Tnet_s-t)/Tau_j)))*Salcycl</f>
        <v>0.1213841315491251</v>
      </c>
      <c r="AD361" s="233">
        <f>(INDEX(Models!$BJ361:$BT361,,AH361)*(1-AF361)+INDEX(Models!$BJ361:$BT361,,AH361+1)*AF361-ERP_i)*AE361*Ramure*Pc/MaxiM</f>
        <v>5.3932470191094276E-2</v>
      </c>
      <c r="AE361" s="307">
        <f t="shared" si="136"/>
        <v>0.9</v>
      </c>
      <c r="AF361" s="179">
        <f t="shared" si="137"/>
        <v>0.29967190532961807</v>
      </c>
      <c r="AG361" s="839">
        <f t="shared" si="143"/>
        <v>-1</v>
      </c>
      <c r="AH361" s="178">
        <f t="shared" si="138"/>
        <v>5</v>
      </c>
      <c r="AI361" s="227">
        <f t="shared" si="139"/>
        <v>-0.70032809467038193</v>
      </c>
      <c r="AJ361" s="267" t="b">
        <f t="shared" si="140"/>
        <v>0</v>
      </c>
      <c r="AK361" s="267" t="b">
        <f t="shared" si="141"/>
        <v>0</v>
      </c>
      <c r="AL361" s="267"/>
      <c r="AM361" s="267"/>
      <c r="AN361" s="75"/>
    </row>
    <row r="362" spans="1:40" s="6" customFormat="1" ht="11.25" customHeight="1" x14ac:dyDescent="0.2">
      <c r="A362" s="56">
        <f t="shared" si="142"/>
        <v>44178</v>
      </c>
      <c r="B362" s="620">
        <v>7.2110000000000003</v>
      </c>
      <c r="C362" s="392"/>
      <c r="D362" s="395">
        <f t="shared" si="122"/>
        <v>7.3576286449632446</v>
      </c>
      <c r="E362" s="387">
        <f t="shared" si="144"/>
        <v>8.3743428086715443</v>
      </c>
      <c r="F362" s="387">
        <f t="shared" si="123"/>
        <v>8.4981907867261839</v>
      </c>
      <c r="G362" s="110">
        <f t="shared" si="145"/>
        <v>0.46814736028786885</v>
      </c>
      <c r="H362" s="416" t="b">
        <f>Wh_hp&gt;='2019'!Maxi_hp</f>
        <v>0</v>
      </c>
      <c r="I362" s="382">
        <f>IF(H362,Wh_hp,'2019'!Maxi_hp)</f>
        <v>14.072978947428247</v>
      </c>
      <c r="J362" s="85">
        <f>IF(H362,An,'2019'!An_max)</f>
        <v>2019</v>
      </c>
      <c r="K362" s="199">
        <f t="shared" si="124"/>
        <v>44178</v>
      </c>
      <c r="L362" s="147">
        <f>IF(t&lt;Tvie,1-EXP((T0-t)*PertePVj)+'2019'!Pspv,1-EXP((T0-t)*PertePVj)+Pspv)</f>
        <v>1.9928791196008655E-2</v>
      </c>
      <c r="M362" s="872"/>
      <c r="N362" s="872"/>
      <c r="O362" s="48">
        <f>IF(t&lt;Tnet,'2019'!Resal+('2019'!Salim-'2019'!Resal)*(1-EXP(('2019'!Tnet-t)/('2019'!Tau_j))),Resal+(Salim-Resal)*(1-EXP((Tnet-t)/(Tau_j))))*Salcycl</f>
        <v>0.12140823309209434</v>
      </c>
      <c r="P362" s="171">
        <f>(INDEX(Models!$BJ362:$BT362,,T362)*(1-R362)+INDEX(Models!$BJ362:$BT362,,T362+1)*R362-ERP_i)*Q362*Ramure*Pc/MaxiM</f>
        <v>5.431466868339719E-2</v>
      </c>
      <c r="Q362" s="307">
        <f t="shared" si="125"/>
        <v>0.9</v>
      </c>
      <c r="R362" s="179">
        <f t="shared" si="126"/>
        <v>0.29968541571821516</v>
      </c>
      <c r="S362" s="839">
        <f t="shared" si="127"/>
        <v>-1</v>
      </c>
      <c r="T362" s="178">
        <f t="shared" si="128"/>
        <v>5</v>
      </c>
      <c r="U362" s="253">
        <f t="shared" si="129"/>
        <v>-0.70031458428178484</v>
      </c>
      <c r="V362" s="385">
        <f t="shared" si="130"/>
        <v>14.782071929021035</v>
      </c>
      <c r="W362" s="404"/>
      <c r="X362" s="157">
        <f t="shared" si="131"/>
        <v>44178</v>
      </c>
      <c r="Y362" s="387">
        <f t="shared" si="132"/>
        <v>7.2110000000000012</v>
      </c>
      <c r="Z362" s="387">
        <f t="shared" si="133"/>
        <v>7.3576286449632455</v>
      </c>
      <c r="AA362" s="388">
        <f t="shared" si="134"/>
        <v>8.3743428086715443</v>
      </c>
      <c r="AB362" s="199">
        <f t="shared" si="135"/>
        <v>44178</v>
      </c>
      <c r="AC362" s="119">
        <f>IF(OR(t&lt;Tnet,NoTnet),'2019'!Resal_s+('2019'!Salim-'2019'!Resal_s)*(1-EXP(('2019'!Tnet_s-t)/'2019'!Tau_j)),Resal_s+(Salim-Resal_s)*(1-EXP((Tnet_s-t)/Tau_j)))*Salcycl</f>
        <v>0.12140823309209434</v>
      </c>
      <c r="AD362" s="233">
        <f>(INDEX(Models!$BJ362:$BT362,,AH362)*(1-AF362)+INDEX(Models!$BJ362:$BT362,,AH362+1)*AF362-ERP_i)*AE362*Ramure*Pc/MaxiM</f>
        <v>5.431466868339719E-2</v>
      </c>
      <c r="AE362" s="307">
        <f t="shared" si="136"/>
        <v>0.9</v>
      </c>
      <c r="AF362" s="179">
        <f t="shared" si="137"/>
        <v>0.29968541571821516</v>
      </c>
      <c r="AG362" s="839">
        <f t="shared" si="143"/>
        <v>-1</v>
      </c>
      <c r="AH362" s="178">
        <f t="shared" si="138"/>
        <v>5</v>
      </c>
      <c r="AI362" s="227">
        <f t="shared" si="139"/>
        <v>-0.70031458428178484</v>
      </c>
      <c r="AJ362" s="267" t="b">
        <f t="shared" si="140"/>
        <v>0</v>
      </c>
      <c r="AK362" s="267" t="b">
        <f t="shared" si="141"/>
        <v>0</v>
      </c>
      <c r="AL362" s="267"/>
      <c r="AM362" s="267"/>
      <c r="AN362" s="75"/>
    </row>
    <row r="363" spans="1:40" s="6" customFormat="1" ht="11.25" x14ac:dyDescent="0.2">
      <c r="A363" s="56">
        <f t="shared" si="142"/>
        <v>44179</v>
      </c>
      <c r="B363" s="620">
        <v>1.982</v>
      </c>
      <c r="C363" s="392"/>
      <c r="D363" s="395">
        <f t="shared" si="122"/>
        <v>2.0223490980085632</v>
      </c>
      <c r="E363" s="387">
        <f t="shared" si="144"/>
        <v>2.301875408872966</v>
      </c>
      <c r="F363" s="387">
        <f t="shared" si="123"/>
        <v>2.301875408872966</v>
      </c>
      <c r="G363" s="110">
        <f t="shared" si="145"/>
        <v>0.12713326930986027</v>
      </c>
      <c r="H363" s="416" t="b">
        <f>Wh_hp&gt;='2019'!Maxi_hp</f>
        <v>0</v>
      </c>
      <c r="I363" s="382">
        <f>IF(H363,Wh_hp,'2019'!Maxi_hp)</f>
        <v>17.774835996132822</v>
      </c>
      <c r="J363" s="85">
        <f>IF(H363,An,'2019'!An_max)</f>
        <v>2019</v>
      </c>
      <c r="K363" s="199">
        <f t="shared" si="124"/>
        <v>44179</v>
      </c>
      <c r="L363" s="147">
        <f>IF(t&lt;Tvie,1-EXP((T0-t)*PertePVj)+'2019'!Pspv,1-EXP((T0-t)*PertePVj)+Pspv)</f>
        <v>1.9951598884829336E-2</v>
      </c>
      <c r="M363" s="872"/>
      <c r="N363" s="872"/>
      <c r="O363" s="48">
        <f>IF(t&lt;Tnet,'2019'!Resal+('2019'!Salim-'2019'!Resal)*(1-EXP(('2019'!Tnet-t)/('2019'!Tau_j))),Resal+(Salim-Resal)*(1-EXP((Tnet-t)/(Tau_j))))*Salcycl</f>
        <v>0.12143416180863721</v>
      </c>
      <c r="P363" s="171">
        <f>(INDEX(Models!$BJ363:$BT363,,T363)*(1-R363)+INDEX(Models!$BJ363:$BT363,,T363+1)*R363-ERP_i)*Q363*Ramure*Pc/MaxiM</f>
        <v>5.4645705522001625E-2</v>
      </c>
      <c r="Q363" s="307">
        <f t="shared" si="125"/>
        <v>0.9</v>
      </c>
      <c r="R363" s="179">
        <f t="shared" si="126"/>
        <v>0.29969838262917425</v>
      </c>
      <c r="S363" s="839">
        <f t="shared" si="127"/>
        <v>-1</v>
      </c>
      <c r="T363" s="178">
        <f t="shared" si="128"/>
        <v>5</v>
      </c>
      <c r="U363" s="253">
        <f t="shared" si="129"/>
        <v>-0.70030161737082575</v>
      </c>
      <c r="V363" s="385">
        <f t="shared" si="130"/>
        <v>14.738016428167727</v>
      </c>
      <c r="W363" s="404"/>
      <c r="X363" s="157">
        <f t="shared" si="131"/>
        <v>44179</v>
      </c>
      <c r="Y363" s="387">
        <f t="shared" si="132"/>
        <v>1.982</v>
      </c>
      <c r="Z363" s="387">
        <f t="shared" si="133"/>
        <v>2.0223490980085632</v>
      </c>
      <c r="AA363" s="388">
        <f t="shared" si="134"/>
        <v>2.301875408872966</v>
      </c>
      <c r="AB363" s="199">
        <f t="shared" si="135"/>
        <v>44179</v>
      </c>
      <c r="AC363" s="119">
        <f>IF(OR(t&lt;Tnet,NoTnet),'2019'!Resal_s+('2019'!Salim-'2019'!Resal_s)*(1-EXP(('2019'!Tnet_s-t)/'2019'!Tau_j)),Resal_s+(Salim-Resal_s)*(1-EXP((Tnet_s-t)/Tau_j)))*Salcycl</f>
        <v>0.12143416180863721</v>
      </c>
      <c r="AD363" s="233">
        <f>(INDEX(Models!$BJ363:$BT363,,AH363)*(1-AF363)+INDEX(Models!$BJ363:$BT363,,AH363+1)*AF363-ERP_i)*AE363*Ramure*Pc/MaxiM</f>
        <v>5.4645705522001625E-2</v>
      </c>
      <c r="AE363" s="307">
        <f t="shared" si="136"/>
        <v>0.9</v>
      </c>
      <c r="AF363" s="179">
        <f t="shared" si="137"/>
        <v>0.29969838262917425</v>
      </c>
      <c r="AG363" s="839">
        <f t="shared" si="143"/>
        <v>-1</v>
      </c>
      <c r="AH363" s="178">
        <f t="shared" si="138"/>
        <v>5</v>
      </c>
      <c r="AI363" s="227">
        <f t="shared" si="139"/>
        <v>-0.70030161737082575</v>
      </c>
      <c r="AJ363" s="267" t="b">
        <f t="shared" si="140"/>
        <v>0</v>
      </c>
      <c r="AK363" s="267" t="b">
        <f t="shared" si="141"/>
        <v>0</v>
      </c>
      <c r="AL363" s="267"/>
      <c r="AM363" s="267"/>
      <c r="AN363" s="75"/>
    </row>
    <row r="364" spans="1:40" s="6" customFormat="1" ht="11.25" customHeight="1" x14ac:dyDescent="0.2">
      <c r="A364" s="56">
        <f t="shared" si="142"/>
        <v>44180</v>
      </c>
      <c r="B364" s="620">
        <v>2.1030000000000002</v>
      </c>
      <c r="C364" s="392"/>
      <c r="D364" s="395">
        <f t="shared" si="122"/>
        <v>2.1458623253996558</v>
      </c>
      <c r="E364" s="387">
        <f t="shared" si="144"/>
        <v>2.4425373406031565</v>
      </c>
      <c r="F364" s="387">
        <f t="shared" si="123"/>
        <v>2.4425373406031565</v>
      </c>
      <c r="G364" s="110">
        <f t="shared" si="145"/>
        <v>0.13518102028930601</v>
      </c>
      <c r="H364" s="416" t="b">
        <f>Wh_hp&gt;='2019'!Maxi_hp</f>
        <v>0</v>
      </c>
      <c r="I364" s="382">
        <f>IF(H364,Wh_hp,'2019'!Maxi_hp)</f>
        <v>12.377805391841733</v>
      </c>
      <c r="J364" s="85">
        <f>IF(H364,An,'2019'!An_max)</f>
        <v>2019</v>
      </c>
      <c r="K364" s="199">
        <f t="shared" si="124"/>
        <v>44180</v>
      </c>
      <c r="L364" s="147">
        <f>IF(t&lt;Tvie,1-EXP((T0-t)*PertePVj)+'2019'!Pspv,1-EXP((T0-t)*PertePVj)+Pspv)</f>
        <v>1.997440604288192E-2</v>
      </c>
      <c r="M364" s="872"/>
      <c r="N364" s="872"/>
      <c r="O364" s="48">
        <f>IF(t&lt;Tnet,'2019'!Resal+('2019'!Salim-'2019'!Resal)*(1-EXP(('2019'!Tnet-t)/('2019'!Tau_j))),Resal+(Salim-Resal)*(1-EXP((Tnet-t)/(Tau_j))))*Salcycl</f>
        <v>0.12146181361151279</v>
      </c>
      <c r="P364" s="171">
        <f>(INDEX(Models!$BJ364:$BT364,,T364)*(1-R364)+INDEX(Models!$BJ364:$BT364,,T364+1)*R364-ERP_i)*Q364*Ramure*Pc/MaxiM</f>
        <v>5.4924407400788001E-2</v>
      </c>
      <c r="Q364" s="307">
        <f t="shared" si="125"/>
        <v>0.9</v>
      </c>
      <c r="R364" s="179">
        <f t="shared" si="126"/>
        <v>0.29971082790585757</v>
      </c>
      <c r="S364" s="839">
        <f t="shared" si="127"/>
        <v>-1</v>
      </c>
      <c r="T364" s="178">
        <f t="shared" si="128"/>
        <v>5</v>
      </c>
      <c r="U364" s="253">
        <f t="shared" si="129"/>
        <v>-0.70028917209414243</v>
      </c>
      <c r="V364" s="385">
        <f t="shared" si="130"/>
        <v>14.702463163709167</v>
      </c>
      <c r="W364" s="404"/>
      <c r="X364" s="157">
        <f t="shared" si="131"/>
        <v>44180</v>
      </c>
      <c r="Y364" s="387">
        <f t="shared" si="132"/>
        <v>2.1030000000000002</v>
      </c>
      <c r="Z364" s="387">
        <f t="shared" si="133"/>
        <v>2.1458623253996558</v>
      </c>
      <c r="AA364" s="388">
        <f t="shared" si="134"/>
        <v>2.4425373406031565</v>
      </c>
      <c r="AB364" s="199">
        <f t="shared" si="135"/>
        <v>44180</v>
      </c>
      <c r="AC364" s="119">
        <f>IF(OR(t&lt;Tnet,NoTnet),'2019'!Resal_s+('2019'!Salim-'2019'!Resal_s)*(1-EXP(('2019'!Tnet_s-t)/'2019'!Tau_j)),Resal_s+(Salim-Resal_s)*(1-EXP((Tnet_s-t)/Tau_j)))*Salcycl</f>
        <v>0.12146181361151279</v>
      </c>
      <c r="AD364" s="233">
        <f>(INDEX(Models!$BJ364:$BT364,,AH364)*(1-AF364)+INDEX(Models!$BJ364:$BT364,,AH364+1)*AF364-ERP_i)*AE364*Ramure*Pc/MaxiM</f>
        <v>5.4924407400788001E-2</v>
      </c>
      <c r="AE364" s="307">
        <f t="shared" si="136"/>
        <v>0.9</v>
      </c>
      <c r="AF364" s="179">
        <f t="shared" si="137"/>
        <v>0.29971082790585757</v>
      </c>
      <c r="AG364" s="839">
        <f t="shared" si="143"/>
        <v>-1</v>
      </c>
      <c r="AH364" s="178">
        <f t="shared" si="138"/>
        <v>5</v>
      </c>
      <c r="AI364" s="227">
        <f t="shared" si="139"/>
        <v>-0.70028917209414243</v>
      </c>
      <c r="AJ364" s="267" t="b">
        <f t="shared" si="140"/>
        <v>0</v>
      </c>
      <c r="AK364" s="267" t="b">
        <f t="shared" si="141"/>
        <v>0</v>
      </c>
      <c r="AL364" s="267"/>
      <c r="AM364" s="267"/>
      <c r="AN364" s="75"/>
    </row>
    <row r="365" spans="1:40" s="6" customFormat="1" ht="11.25" customHeight="1" x14ac:dyDescent="0.2">
      <c r="A365" s="56">
        <f t="shared" si="142"/>
        <v>44181</v>
      </c>
      <c r="B365" s="620">
        <v>11.506</v>
      </c>
      <c r="C365" s="392"/>
      <c r="D365" s="395">
        <f t="shared" si="122"/>
        <v>11.740782933230207</v>
      </c>
      <c r="E365" s="387">
        <f t="shared" si="144"/>
        <v>13.364443679626914</v>
      </c>
      <c r="F365" s="387">
        <f t="shared" si="123"/>
        <v>13.894291674809548</v>
      </c>
      <c r="G365" s="110">
        <f t="shared" si="145"/>
        <v>0.77015727858014238</v>
      </c>
      <c r="H365" s="416" t="b">
        <f>Wh_hp&gt;='2019'!Maxi_hp</f>
        <v>0</v>
      </c>
      <c r="I365" s="382">
        <f>IF(H365,Wh_hp,'2019'!Maxi_hp)</f>
        <v>15.247771221141807</v>
      </c>
      <c r="J365" s="85">
        <f>IF(H365,An,'2019'!An_max)</f>
        <v>2018</v>
      </c>
      <c r="K365" s="199">
        <f t="shared" si="124"/>
        <v>44181</v>
      </c>
      <c r="L365" s="147">
        <f>IF(t&lt;Tvie,1-EXP((T0-t)*PertePVj)+'2019'!Pspv,1-EXP((T0-t)*PertePVj)+Pspv)</f>
        <v>1.999721267017851E-2</v>
      </c>
      <c r="M365" s="872"/>
      <c r="N365" s="872"/>
      <c r="O365" s="48">
        <f>IF(t&lt;Tnet,'2019'!Resal+('2019'!Salim-'2019'!Resal)*(1-EXP(('2019'!Tnet-t)/('2019'!Tau_j))),Resal+(Salim-Resal)*(1-EXP((Tnet-t)/(Tau_j))))*Salcycl</f>
        <v>0.12149108375321711</v>
      </c>
      <c r="P365" s="171">
        <f>(INDEX(Models!$BJ365:$BT365,,T365)*(1-R365)+INDEX(Models!$BJ365:$BT365,,T365+1)*R365-ERP_i)*Q365*Ramure*Pc/MaxiM</f>
        <v>5.5149744820026957E-2</v>
      </c>
      <c r="Q365" s="307">
        <f t="shared" si="125"/>
        <v>0.9</v>
      </c>
      <c r="R365" s="179">
        <f t="shared" si="126"/>
        <v>0.29972277251519497</v>
      </c>
      <c r="S365" s="839">
        <f t="shared" si="127"/>
        <v>-1</v>
      </c>
      <c r="T365" s="178">
        <f t="shared" si="128"/>
        <v>5</v>
      </c>
      <c r="U365" s="253">
        <f t="shared" si="129"/>
        <v>-0.70027722748480503</v>
      </c>
      <c r="V365" s="385">
        <f t="shared" si="130"/>
        <v>14.675518579729305</v>
      </c>
      <c r="W365" s="404"/>
      <c r="X365" s="157">
        <f t="shared" si="131"/>
        <v>44181</v>
      </c>
      <c r="Y365" s="387">
        <f t="shared" si="132"/>
        <v>11.506</v>
      </c>
      <c r="Z365" s="387">
        <f t="shared" si="133"/>
        <v>11.740782933230207</v>
      </c>
      <c r="AA365" s="388">
        <f t="shared" si="134"/>
        <v>13.364443679626914</v>
      </c>
      <c r="AB365" s="199">
        <f t="shared" si="135"/>
        <v>44181</v>
      </c>
      <c r="AC365" s="119">
        <f>IF(OR(t&lt;Tnet,NoTnet),'2019'!Resal_s+('2019'!Salim-'2019'!Resal_s)*(1-EXP(('2019'!Tnet_s-t)/'2019'!Tau_j)),Resal_s+(Salim-Resal_s)*(1-EXP((Tnet_s-t)/Tau_j)))*Salcycl</f>
        <v>0.12149108375321711</v>
      </c>
      <c r="AD365" s="233">
        <f>(INDEX(Models!$BJ365:$BT365,,AH365)*(1-AF365)+INDEX(Models!$BJ365:$BT365,,AH365+1)*AF365-ERP_i)*AE365*Ramure*Pc/MaxiM</f>
        <v>5.5149744820026957E-2</v>
      </c>
      <c r="AE365" s="307">
        <f t="shared" si="136"/>
        <v>0.9</v>
      </c>
      <c r="AF365" s="179">
        <f t="shared" si="137"/>
        <v>0.29972277251519497</v>
      </c>
      <c r="AG365" s="839">
        <f t="shared" si="143"/>
        <v>-1</v>
      </c>
      <c r="AH365" s="178">
        <f t="shared" si="138"/>
        <v>5</v>
      </c>
      <c r="AI365" s="227">
        <f t="shared" si="139"/>
        <v>-0.70027722748480503</v>
      </c>
      <c r="AJ365" s="267" t="b">
        <f t="shared" si="140"/>
        <v>0</v>
      </c>
      <c r="AK365" s="267" t="b">
        <f t="shared" si="141"/>
        <v>0</v>
      </c>
      <c r="AL365" s="267"/>
      <c r="AM365" s="267"/>
      <c r="AN365" s="75"/>
    </row>
    <row r="366" spans="1:40" s="6" customFormat="1" ht="11.25" customHeight="1" x14ac:dyDescent="0.2">
      <c r="A366" s="56">
        <f t="shared" si="142"/>
        <v>44182</v>
      </c>
      <c r="B366" s="620">
        <v>7.3659999999999997</v>
      </c>
      <c r="C366" s="392"/>
      <c r="D366" s="395">
        <f t="shared" si="122"/>
        <v>7.5164800721032705</v>
      </c>
      <c r="E366" s="387">
        <f t="shared" si="144"/>
        <v>8.5562517652887493</v>
      </c>
      <c r="F366" s="387">
        <f t="shared" si="123"/>
        <v>8.6954078854089794</v>
      </c>
      <c r="G366" s="110">
        <f t="shared" si="145"/>
        <v>0.48246831866705758</v>
      </c>
      <c r="H366" s="416" t="b">
        <f>Wh_hp&gt;='2019'!Maxi_hp</f>
        <v>0</v>
      </c>
      <c r="I366" s="382">
        <f>IF(H366,Wh_hp,'2019'!Maxi_hp)</f>
        <v>14.789250103882571</v>
      </c>
      <c r="J366" s="85">
        <f>IF(H366,An,'2019'!An_max)</f>
        <v>2019</v>
      </c>
      <c r="K366" s="199">
        <f t="shared" si="124"/>
        <v>44182</v>
      </c>
      <c r="L366" s="147">
        <f>IF(t&lt;Tvie,1-EXP((T0-t)*PertePVj)+'2019'!Pspv,1-EXP((T0-t)*PertePVj)+Pspv)</f>
        <v>2.002001876673154E-2</v>
      </c>
      <c r="M366" s="872"/>
      <c r="N366" s="872"/>
      <c r="O366" s="48">
        <f>IF(t&lt;Tnet,'2019'!Resal+('2019'!Salim-'2019'!Resal)*(1-EXP(('2019'!Tnet-t)/('2019'!Tau_j))),Resal+(Salim-Resal)*(1-EXP((Tnet-t)/(Tau_j))))*Salcycl</f>
        <v>0.12152186748450462</v>
      </c>
      <c r="P366" s="171">
        <f>(INDEX(Models!$BJ366:$BT366,,T366)*(1-R366)+INDEX(Models!$BJ366:$BT366,,T366+1)*R366-ERP_i)*Q366*Ramure*Pc/MaxiM</f>
        <v>5.5308873113175616E-2</v>
      </c>
      <c r="Q366" s="307">
        <f t="shared" si="125"/>
        <v>0.9</v>
      </c>
      <c r="R366" s="179">
        <f t="shared" si="126"/>
        <v>0.29973423658273202</v>
      </c>
      <c r="S366" s="839">
        <f t="shared" si="127"/>
        <v>-1</v>
      </c>
      <c r="T366" s="178">
        <f t="shared" si="128"/>
        <v>5</v>
      </c>
      <c r="U366" s="253">
        <f t="shared" si="129"/>
        <v>-0.70026576341726798</v>
      </c>
      <c r="V366" s="385">
        <f t="shared" si="130"/>
        <v>14.657474719124837</v>
      </c>
      <c r="W366" s="404"/>
      <c r="X366" s="157">
        <f t="shared" si="131"/>
        <v>44182</v>
      </c>
      <c r="Y366" s="387">
        <f t="shared" si="132"/>
        <v>7.3659999999999997</v>
      </c>
      <c r="Z366" s="387">
        <f t="shared" si="133"/>
        <v>7.5164800721032705</v>
      </c>
      <c r="AA366" s="388">
        <f t="shared" si="134"/>
        <v>8.5562517652887493</v>
      </c>
      <c r="AB366" s="199">
        <f t="shared" si="135"/>
        <v>44182</v>
      </c>
      <c r="AC366" s="119">
        <f>IF(OR(t&lt;Tnet,NoTnet),'2019'!Resal_s+('2019'!Salim-'2019'!Resal_s)*(1-EXP(('2019'!Tnet_s-t)/'2019'!Tau_j)),Resal_s+(Salim-Resal_s)*(1-EXP((Tnet_s-t)/Tau_j)))*Salcycl</f>
        <v>0.12152186748450462</v>
      </c>
      <c r="AD366" s="233">
        <f>(INDEX(Models!$BJ366:$BT366,,AH366)*(1-AF366)+INDEX(Models!$BJ366:$BT366,,AH366+1)*AF366-ERP_i)*AE366*Ramure*Pc/MaxiM</f>
        <v>5.5308873113175616E-2</v>
      </c>
      <c r="AE366" s="307">
        <f t="shared" si="136"/>
        <v>0.9</v>
      </c>
      <c r="AF366" s="179">
        <f t="shared" si="137"/>
        <v>0.29973423658273202</v>
      </c>
      <c r="AG366" s="839">
        <f t="shared" si="143"/>
        <v>-1</v>
      </c>
      <c r="AH366" s="178">
        <f t="shared" si="138"/>
        <v>5</v>
      </c>
      <c r="AI366" s="227">
        <f t="shared" si="139"/>
        <v>-0.70026576341726798</v>
      </c>
      <c r="AJ366" s="267" t="b">
        <f t="shared" si="140"/>
        <v>0</v>
      </c>
      <c r="AK366" s="267" t="b">
        <f t="shared" si="141"/>
        <v>0</v>
      </c>
      <c r="AL366" s="267"/>
      <c r="AM366" s="267"/>
      <c r="AN366" s="75"/>
    </row>
    <row r="367" spans="1:40" s="6" customFormat="1" ht="11.25" customHeight="1" x14ac:dyDescent="0.2">
      <c r="A367" s="56">
        <f t="shared" si="142"/>
        <v>44183</v>
      </c>
      <c r="B367" s="620">
        <v>7.8769999999999998</v>
      </c>
      <c r="C367" s="392"/>
      <c r="D367" s="395">
        <f t="shared" si="122"/>
        <v>8.0381063536118234</v>
      </c>
      <c r="E367" s="387">
        <f t="shared" si="144"/>
        <v>9.1503711200782671</v>
      </c>
      <c r="F367" s="387">
        <f t="shared" si="123"/>
        <v>9.3258940043354439</v>
      </c>
      <c r="G367" s="110">
        <f t="shared" si="145"/>
        <v>0.51768878139601204</v>
      </c>
      <c r="H367" s="416" t="b">
        <f>Wh_hp&gt;='2019'!Maxi_hp</f>
        <v>0</v>
      </c>
      <c r="I367" s="382">
        <f>IF(H367,Wh_hp,'2019'!Maxi_hp)</f>
        <v>16.369930523819825</v>
      </c>
      <c r="J367" s="85">
        <f>IF(H367,An,'2019'!An_max)</f>
        <v>2018</v>
      </c>
      <c r="K367" s="199">
        <f t="shared" si="124"/>
        <v>44183</v>
      </c>
      <c r="L367" s="147">
        <f>IF(t&lt;Tvie,1-EXP((T0-t)*PertePVj)+'2019'!Pspv,1-EXP((T0-t)*PertePVj)+Pspv)</f>
        <v>2.0042824332553444E-2</v>
      </c>
      <c r="M367" s="872"/>
      <c r="N367" s="872"/>
      <c r="O367" s="48">
        <f>IF(t&lt;Tnet,'2019'!Resal+('2019'!Salim-'2019'!Resal)*(1-EXP(('2019'!Tnet-t)/('2019'!Tau_j))),Resal+(Salim-Resal)*(1-EXP((Tnet-t)/(Tau_j))))*Salcycl</f>
        <v>0.12155406069004676</v>
      </c>
      <c r="P367" s="171">
        <f>(INDEX(Models!$BJ367:$BT367,,T367)*(1-R367)+INDEX(Models!$BJ367:$BT367,,T367+1)*R367-ERP_i)*Q367*Ramure*Pc/MaxiM</f>
        <v>5.5415402613304028E-2</v>
      </c>
      <c r="Q367" s="307">
        <f t="shared" si="125"/>
        <v>0.9</v>
      </c>
      <c r="R367" s="179">
        <f t="shared" si="126"/>
        <v>0.29974523942628473</v>
      </c>
      <c r="S367" s="839">
        <f t="shared" si="127"/>
        <v>-1</v>
      </c>
      <c r="T367" s="178">
        <f t="shared" si="128"/>
        <v>5</v>
      </c>
      <c r="U367" s="253">
        <f t="shared" si="129"/>
        <v>-0.70025476057371527</v>
      </c>
      <c r="V367" s="385">
        <f t="shared" si="130"/>
        <v>14.648215412215066</v>
      </c>
      <c r="W367" s="404"/>
      <c r="X367" s="157">
        <f t="shared" si="131"/>
        <v>44183</v>
      </c>
      <c r="Y367" s="387">
        <f t="shared" si="132"/>
        <v>7.8769999999999998</v>
      </c>
      <c r="Z367" s="387">
        <f t="shared" si="133"/>
        <v>8.0381063536118234</v>
      </c>
      <c r="AA367" s="388">
        <f t="shared" si="134"/>
        <v>9.1503711200782671</v>
      </c>
      <c r="AB367" s="199">
        <f t="shared" si="135"/>
        <v>44183</v>
      </c>
      <c r="AC367" s="119">
        <f>IF(OR(t&lt;Tnet,NoTnet),'2019'!Resal_s+('2019'!Salim-'2019'!Resal_s)*(1-EXP(('2019'!Tnet_s-t)/'2019'!Tau_j)),Resal_s+(Salim-Resal_s)*(1-EXP((Tnet_s-t)/Tau_j)))*Salcycl</f>
        <v>0.12155406069004676</v>
      </c>
      <c r="AD367" s="233">
        <f>(INDEX(Models!$BJ367:$BT367,,AH367)*(1-AF367)+INDEX(Models!$BJ367:$BT367,,AH367+1)*AF367-ERP_i)*AE367*Ramure*Pc/MaxiM</f>
        <v>5.5415402613304028E-2</v>
      </c>
      <c r="AE367" s="307">
        <f t="shared" si="136"/>
        <v>0.9</v>
      </c>
      <c r="AF367" s="179">
        <f t="shared" si="137"/>
        <v>0.29974523942628473</v>
      </c>
      <c r="AG367" s="839">
        <f t="shared" si="143"/>
        <v>-1</v>
      </c>
      <c r="AH367" s="178">
        <f t="shared" si="138"/>
        <v>5</v>
      </c>
      <c r="AI367" s="227">
        <f t="shared" si="139"/>
        <v>-0.70025476057371527</v>
      </c>
      <c r="AJ367" s="267" t="b">
        <f t="shared" si="140"/>
        <v>0</v>
      </c>
      <c r="AK367" s="267" t="b">
        <f t="shared" si="141"/>
        <v>0</v>
      </c>
      <c r="AL367" s="267"/>
      <c r="AM367" s="267"/>
      <c r="AN367" s="75"/>
    </row>
    <row r="368" spans="1:40" s="6" customFormat="1" ht="11.25" customHeight="1" x14ac:dyDescent="0.2">
      <c r="A368" s="56">
        <f t="shared" si="142"/>
        <v>44184</v>
      </c>
      <c r="B368" s="620">
        <v>6.9249999999999998</v>
      </c>
      <c r="C368" s="392"/>
      <c r="D368" s="395">
        <f t="shared" si="122"/>
        <v>7.0667997853074134</v>
      </c>
      <c r="E368" s="387">
        <f t="shared" si="144"/>
        <v>8.044967793607201</v>
      </c>
      <c r="F368" s="387">
        <f t="shared" si="123"/>
        <v>8.1566333832490336</v>
      </c>
      <c r="G368" s="110">
        <f t="shared" si="145"/>
        <v>0.45274006038955211</v>
      </c>
      <c r="H368" s="416" t="b">
        <f>Wh_hp&gt;='2019'!Maxi_hp</f>
        <v>0</v>
      </c>
      <c r="I368" s="382">
        <f>IF(H368,Wh_hp,'2019'!Maxi_hp)</f>
        <v>11.005244476597516</v>
      </c>
      <c r="J368" s="85">
        <f>IF(H368,An,'2019'!An_max)</f>
        <v>2018</v>
      </c>
      <c r="K368" s="199">
        <f t="shared" si="124"/>
        <v>44184</v>
      </c>
      <c r="L368" s="147">
        <f>IF(t&lt;Tvie,1-EXP((T0-t)*PertePVj)+'2019'!Pspv,1-EXP((T0-t)*PertePVj)+Pspv)</f>
        <v>2.0065629367656546E-2</v>
      </c>
      <c r="M368" s="872"/>
      <c r="N368" s="872"/>
      <c r="O368" s="48">
        <f>IF(t&lt;Tnet,'2019'!Resal+('2019'!Salim-'2019'!Resal)*(1-EXP(('2019'!Tnet-t)/('2019'!Tau_j))),Resal+(Salim-Resal)*(1-EXP((Tnet-t)/(Tau_j))))*Salcycl</f>
        <v>0.12158756049677068</v>
      </c>
      <c r="P368" s="171">
        <f>(INDEX(Models!$BJ368:$BT368,,T368)*(1-R368)+INDEX(Models!$BJ368:$BT368,,T368+1)*R368-ERP_i)*Q368*Ramure*Pc/MaxiM</f>
        <v>5.5468811263247486E-2</v>
      </c>
      <c r="Q368" s="307">
        <f t="shared" si="125"/>
        <v>0.9</v>
      </c>
      <c r="R368" s="179">
        <f t="shared" si="126"/>
        <v>0.29975579958825838</v>
      </c>
      <c r="S368" s="839">
        <f t="shared" si="127"/>
        <v>-1</v>
      </c>
      <c r="T368" s="178">
        <f t="shared" si="128"/>
        <v>5</v>
      </c>
      <c r="U368" s="253">
        <f t="shared" si="129"/>
        <v>-0.70024420041174162</v>
      </c>
      <c r="V368" s="385">
        <f t="shared" si="130"/>
        <v>14.647846796886281</v>
      </c>
      <c r="W368" s="404"/>
      <c r="X368" s="157">
        <f t="shared" si="131"/>
        <v>44184</v>
      </c>
      <c r="Y368" s="387">
        <f t="shared" si="132"/>
        <v>6.9250000000000007</v>
      </c>
      <c r="Z368" s="387">
        <f t="shared" si="133"/>
        <v>7.0667997853074143</v>
      </c>
      <c r="AA368" s="388">
        <f t="shared" si="134"/>
        <v>8.044967793607201</v>
      </c>
      <c r="AB368" s="199">
        <f t="shared" si="135"/>
        <v>44184</v>
      </c>
      <c r="AC368" s="119">
        <f>IF(OR(t&lt;Tnet,NoTnet),'2019'!Resal_s+('2019'!Salim-'2019'!Resal_s)*(1-EXP(('2019'!Tnet_s-t)/'2019'!Tau_j)),Resal_s+(Salim-Resal_s)*(1-EXP((Tnet_s-t)/Tau_j)))*Salcycl</f>
        <v>0.12158756049677068</v>
      </c>
      <c r="AD368" s="233">
        <f>(INDEX(Models!$BJ368:$BT368,,AH368)*(1-AF368)+INDEX(Models!$BJ368:$BT368,,AH368+1)*AF368-ERP_i)*AE368*Ramure*Pc/MaxiM</f>
        <v>5.5468811263247486E-2</v>
      </c>
      <c r="AE368" s="307">
        <f t="shared" si="136"/>
        <v>0.9</v>
      </c>
      <c r="AF368" s="179">
        <f t="shared" si="137"/>
        <v>0.29975579958825838</v>
      </c>
      <c r="AG368" s="839">
        <f t="shared" si="143"/>
        <v>-1</v>
      </c>
      <c r="AH368" s="178">
        <f t="shared" si="138"/>
        <v>5</v>
      </c>
      <c r="AI368" s="227">
        <f t="shared" si="139"/>
        <v>-0.70024420041174162</v>
      </c>
      <c r="AJ368" s="267" t="b">
        <f t="shared" si="140"/>
        <v>0</v>
      </c>
      <c r="AK368" s="267" t="b">
        <f t="shared" si="141"/>
        <v>0</v>
      </c>
      <c r="AL368" s="267"/>
      <c r="AM368" s="267"/>
      <c r="AN368" s="75"/>
    </row>
    <row r="369" spans="1:40" s="18" customFormat="1" ht="11.25" customHeight="1" x14ac:dyDescent="0.2">
      <c r="A369" s="56">
        <f t="shared" si="142"/>
        <v>44185</v>
      </c>
      <c r="B369" s="620">
        <v>4.992</v>
      </c>
      <c r="C369" s="392"/>
      <c r="D369" s="395">
        <f t="shared" si="122"/>
        <v>5.0943372571114196</v>
      </c>
      <c r="E369" s="387">
        <f t="shared" si="144"/>
        <v>5.7997112848555927</v>
      </c>
      <c r="F369" s="387">
        <f t="shared" si="123"/>
        <v>5.8184304114129075</v>
      </c>
      <c r="G369" s="110">
        <f t="shared" si="145"/>
        <v>0.32274598612079691</v>
      </c>
      <c r="H369" s="416" t="b">
        <f>Wh_hp&gt;='2019'!Maxi_hp</f>
        <v>0</v>
      </c>
      <c r="I369" s="382">
        <f>IF(H369,Wh_hp,'2019'!Maxi_hp)</f>
        <v>15.715179535002797</v>
      </c>
      <c r="J369" s="85">
        <f>IF(H369,An,'2019'!An_max)</f>
        <v>2019</v>
      </c>
      <c r="K369" s="199">
        <f t="shared" si="124"/>
        <v>44185</v>
      </c>
      <c r="L369" s="147">
        <f>IF(t&lt;Tvie,1-EXP((T0-t)*PertePVj)+'2019'!Pspv,1-EXP((T0-t)*PertePVj)+Pspv)</f>
        <v>2.0088433872053169E-2</v>
      </c>
      <c r="M369" s="872"/>
      <c r="N369" s="872"/>
      <c r="O369" s="48">
        <f>IF(t&lt;Tnet,'2019'!Resal+('2019'!Salim-'2019'!Resal)*(1-EXP(('2019'!Tnet-t)/('2019'!Tau_j))),Resal+(Salim-Resal)*(1-EXP((Tnet-t)/(Tau_j))))*Salcycl</f>
        <v>0.1216222658507279</v>
      </c>
      <c r="P369" s="171">
        <f>(INDEX(Models!$BJ369:$BT369,,T369)*(1-R369)+INDEX(Models!$BJ369:$BT369,,T369+1)*R369-ERP_i)*Q369*Ramure*Pc/MaxiM</f>
        <v>5.5468747099111676E-2</v>
      </c>
      <c r="Q369" s="307">
        <f t="shared" si="125"/>
        <v>0.9</v>
      </c>
      <c r="R369" s="179">
        <f t="shared" si="126"/>
        <v>0.29976593486668002</v>
      </c>
      <c r="S369" s="839">
        <f t="shared" si="127"/>
        <v>-1</v>
      </c>
      <c r="T369" s="178">
        <f t="shared" si="128"/>
        <v>5</v>
      </c>
      <c r="U369" s="253">
        <f t="shared" si="129"/>
        <v>-0.70023406513331998</v>
      </c>
      <c r="V369" s="385">
        <f t="shared" si="130"/>
        <v>14.656474928145498</v>
      </c>
      <c r="W369" s="404"/>
      <c r="X369" s="157">
        <f t="shared" si="131"/>
        <v>44185</v>
      </c>
      <c r="Y369" s="387">
        <f t="shared" si="132"/>
        <v>4.992</v>
      </c>
      <c r="Z369" s="387">
        <f t="shared" si="133"/>
        <v>5.0943372571114196</v>
      </c>
      <c r="AA369" s="388">
        <f t="shared" si="134"/>
        <v>5.7997112848555927</v>
      </c>
      <c r="AB369" s="199">
        <f t="shared" si="135"/>
        <v>44185</v>
      </c>
      <c r="AC369" s="119">
        <f>IF(OR(t&lt;Tnet,NoTnet),'2019'!Resal_s+('2019'!Salim-'2019'!Resal_s)*(1-EXP(('2019'!Tnet_s-t)/'2019'!Tau_j)),Resal_s+(Salim-Resal_s)*(1-EXP((Tnet_s-t)/Tau_j)))*Salcycl</f>
        <v>0.1216222658507279</v>
      </c>
      <c r="AD369" s="233">
        <f>(INDEX(Models!$BJ369:$BT369,,AH369)*(1-AF369)+INDEX(Models!$BJ369:$BT369,,AH369+1)*AF369-ERP_i)*AE369*Ramure*Pc/MaxiM</f>
        <v>5.5468747099111676E-2</v>
      </c>
      <c r="AE369" s="307">
        <f t="shared" si="136"/>
        <v>0.9</v>
      </c>
      <c r="AF369" s="179">
        <f t="shared" si="137"/>
        <v>0.29976593486668002</v>
      </c>
      <c r="AG369" s="839">
        <f t="shared" si="143"/>
        <v>-1</v>
      </c>
      <c r="AH369" s="178">
        <f t="shared" si="138"/>
        <v>5</v>
      </c>
      <c r="AI369" s="227">
        <f t="shared" si="139"/>
        <v>-0.70023406513331998</v>
      </c>
      <c r="AJ369" s="267" t="b">
        <f t="shared" si="140"/>
        <v>0</v>
      </c>
      <c r="AK369" s="267" t="b">
        <f t="shared" si="141"/>
        <v>0</v>
      </c>
      <c r="AL369" s="267"/>
      <c r="AM369" s="267"/>
      <c r="AN369" s="267"/>
    </row>
    <row r="370" spans="1:40" s="18" customFormat="1" ht="11.25" customHeight="1" x14ac:dyDescent="0.2">
      <c r="A370" s="56">
        <f t="shared" si="142"/>
        <v>44186</v>
      </c>
      <c r="B370" s="620">
        <v>7.4989999999999997</v>
      </c>
      <c r="C370" s="392"/>
      <c r="D370" s="395">
        <f t="shared" si="122"/>
        <v>7.6529094828210527</v>
      </c>
      <c r="E370" s="387">
        <f t="shared" si="144"/>
        <v>8.7129047261077535</v>
      </c>
      <c r="F370" s="387">
        <f t="shared" si="123"/>
        <v>8.8609379339438323</v>
      </c>
      <c r="G370" s="110">
        <f t="shared" si="145"/>
        <v>0.49091523230235806</v>
      </c>
      <c r="H370" s="416" t="b">
        <f>Wh_hp&gt;='2019'!Maxi_hp</f>
        <v>1</v>
      </c>
      <c r="I370" s="382">
        <f>IF(H370,Wh_hp,'2019'!Maxi_hp)</f>
        <v>8.8609379339438323</v>
      </c>
      <c r="J370" s="85">
        <f>IF(H370,An,'2019'!An_max)</f>
        <v>2020</v>
      </c>
      <c r="K370" s="199">
        <f t="shared" si="124"/>
        <v>44186</v>
      </c>
      <c r="L370" s="147">
        <f>IF(t&lt;Tvie,1-EXP((T0-t)*PertePVj)+'2019'!Pspv,1-EXP((T0-t)*PertePVj)+Pspv)</f>
        <v>2.0111237845755636E-2</v>
      </c>
      <c r="M370" s="872"/>
      <c r="N370" s="872"/>
      <c r="O370" s="48">
        <f>IF(t&lt;Tnet,'2019'!Resal+('2019'!Salim-'2019'!Resal)*(1-EXP(('2019'!Tnet-t)/('2019'!Tau_j))),Resal+(Salim-Resal)*(1-EXP((Tnet-t)/(Tau_j))))*Salcycl</f>
        <v>0.12165807805868474</v>
      </c>
      <c r="P370" s="171">
        <f>(INDEX(Models!$BJ370:$BT370,,T370)*(1-R370)+INDEX(Models!$BJ370:$BT370,,T370+1)*R370-ERP_i)*Q370*Ramure*Pc/MaxiM</f>
        <v>5.541503337834297E-2</v>
      </c>
      <c r="Q370" s="307">
        <f t="shared" si="125"/>
        <v>0.9</v>
      </c>
      <c r="R370" s="179">
        <f t="shared" si="126"/>
        <v>0.2997756623449962</v>
      </c>
      <c r="S370" s="839">
        <f t="shared" si="127"/>
        <v>-1</v>
      </c>
      <c r="T370" s="178">
        <f t="shared" si="128"/>
        <v>5</v>
      </c>
      <c r="U370" s="253">
        <f t="shared" si="129"/>
        <v>-0.7002243376550038</v>
      </c>
      <c r="V370" s="385">
        <f t="shared" si="130"/>
        <v>14.67420576752933</v>
      </c>
      <c r="W370" s="404"/>
      <c r="X370" s="157">
        <f t="shared" si="131"/>
        <v>44186</v>
      </c>
      <c r="Y370" s="387">
        <f t="shared" si="132"/>
        <v>7.4989999999999997</v>
      </c>
      <c r="Z370" s="387">
        <f t="shared" si="133"/>
        <v>7.6529094828210527</v>
      </c>
      <c r="AA370" s="388">
        <f t="shared" si="134"/>
        <v>8.7129047261077535</v>
      </c>
      <c r="AB370" s="199">
        <f t="shared" si="135"/>
        <v>44186</v>
      </c>
      <c r="AC370" s="119">
        <f>IF(OR(t&lt;Tnet,NoTnet),'2019'!Resal_s+('2019'!Salim-'2019'!Resal_s)*(1-EXP(('2019'!Tnet_s-t)/'2019'!Tau_j)),Resal_s+(Salim-Resal_s)*(1-EXP((Tnet_s-t)/Tau_j)))*Salcycl</f>
        <v>0.12165807805868474</v>
      </c>
      <c r="AD370" s="233">
        <f>(INDEX(Models!$BJ370:$BT370,,AH370)*(1-AF370)+INDEX(Models!$BJ370:$BT370,,AH370+1)*AF370-ERP_i)*AE370*Ramure*Pc/MaxiM</f>
        <v>5.541503337834297E-2</v>
      </c>
      <c r="AE370" s="307">
        <f t="shared" si="136"/>
        <v>0.9</v>
      </c>
      <c r="AF370" s="179">
        <f t="shared" si="137"/>
        <v>0.2997756623449962</v>
      </c>
      <c r="AG370" s="839">
        <f t="shared" si="143"/>
        <v>-1</v>
      </c>
      <c r="AH370" s="178">
        <f t="shared" si="138"/>
        <v>5</v>
      </c>
      <c r="AI370" s="227">
        <f t="shared" si="139"/>
        <v>-0.7002243376550038</v>
      </c>
      <c r="AJ370" s="267" t="b">
        <f t="shared" si="140"/>
        <v>0</v>
      </c>
      <c r="AK370" s="267" t="b">
        <f t="shared" si="141"/>
        <v>0</v>
      </c>
      <c r="AL370" s="267"/>
      <c r="AM370" s="267"/>
      <c r="AN370" s="267"/>
    </row>
    <row r="371" spans="1:40" s="6" customFormat="1" ht="11.25" customHeight="1" x14ac:dyDescent="0.2">
      <c r="A371" s="56">
        <f t="shared" si="142"/>
        <v>44187</v>
      </c>
      <c r="B371" s="620">
        <v>13.173999999999999</v>
      </c>
      <c r="C371" s="392"/>
      <c r="D371" s="395">
        <f t="shared" si="122"/>
        <v>13.444696065701889</v>
      </c>
      <c r="E371" s="387">
        <f t="shared" si="144"/>
        <v>15.307546415777253</v>
      </c>
      <c r="F371" s="387">
        <f t="shared" si="123"/>
        <v>16.064164889067985</v>
      </c>
      <c r="G371" s="110">
        <f t="shared" si="145"/>
        <v>0.88840183754507551</v>
      </c>
      <c r="H371" s="416" t="b">
        <f>Wh_hp&gt;='2019'!Maxi_hp</f>
        <v>1</v>
      </c>
      <c r="I371" s="382">
        <f>IF(H371,Wh_hp,'2019'!Maxi_hp)</f>
        <v>16.064164889067985</v>
      </c>
      <c r="J371" s="85">
        <f>IF(H371,An,'2019'!An_max)</f>
        <v>2020</v>
      </c>
      <c r="K371" s="199">
        <f t="shared" si="124"/>
        <v>44187</v>
      </c>
      <c r="L371" s="147">
        <f>IF(t&lt;Tvie,1-EXP((T0-t)*PertePVj)+'2019'!Pspv,1-EXP((T0-t)*PertePVj)+Pspv)</f>
        <v>2.0134041288776272E-2</v>
      </c>
      <c r="M371" s="872"/>
      <c r="N371" s="872"/>
      <c r="O371" s="48">
        <f>IF(t&lt;Tnet,'2019'!Resal+('2019'!Salim-'2019'!Resal)*(1-EXP(('2019'!Tnet-t)/('2019'!Tau_j))),Resal+(Salim-Resal)*(1-EXP((Tnet-t)/(Tau_j))))*Salcycl</f>
        <v>0.1216949012909968</v>
      </c>
      <c r="P371" s="171">
        <f>(INDEX(Models!$BJ371:$BT371,,T371)*(1-R371)+INDEX(Models!$BJ371:$BT371,,T371+1)*R371-ERP_i)*Q371*Ramure*Pc/MaxiM</f>
        <v>5.5307352811908704E-2</v>
      </c>
      <c r="Q371" s="307">
        <f t="shared" si="125"/>
        <v>0.9</v>
      </c>
      <c r="R371" s="179">
        <f t="shared" si="126"/>
        <v>0.2997756623449962</v>
      </c>
      <c r="S371" s="839">
        <f t="shared" si="127"/>
        <v>-1</v>
      </c>
      <c r="T371" s="178">
        <f t="shared" si="128"/>
        <v>5</v>
      </c>
      <c r="U371" s="253">
        <f t="shared" si="129"/>
        <v>-0.7002243376550038</v>
      </c>
      <c r="V371" s="385">
        <f t="shared" si="130"/>
        <v>14.701150186752743</v>
      </c>
      <c r="W371" s="404"/>
      <c r="X371" s="157">
        <f t="shared" si="131"/>
        <v>44187</v>
      </c>
      <c r="Y371" s="387">
        <f t="shared" si="132"/>
        <v>13.174000000000001</v>
      </c>
      <c r="Z371" s="387">
        <f t="shared" si="133"/>
        <v>13.444696065701891</v>
      </c>
      <c r="AA371" s="388">
        <f t="shared" si="134"/>
        <v>15.307546415777255</v>
      </c>
      <c r="AB371" s="199">
        <f t="shared" si="135"/>
        <v>44187</v>
      </c>
      <c r="AC371" s="119">
        <f>IF(OR(t&lt;Tnet,NoTnet),'2019'!Resal_s+('2019'!Salim-'2019'!Resal_s)*(1-EXP(('2019'!Tnet_s-t)/'2019'!Tau_j)),Resal_s+(Salim-Resal_s)*(1-EXP((Tnet_s-t)/Tau_j)))*Salcycl</f>
        <v>0.1216949012909968</v>
      </c>
      <c r="AD371" s="233">
        <f>(INDEX(Models!$BJ371:$BT371,,AH371)*(1-AF371)+INDEX(Models!$BJ371:$BT371,,AH371+1)*AF371-ERP_i)*AE371*Ramure*Pc/MaxiM</f>
        <v>5.5307352811908704E-2</v>
      </c>
      <c r="AE371" s="307">
        <f t="shared" si="136"/>
        <v>0.9</v>
      </c>
      <c r="AF371" s="179">
        <f t="shared" si="137"/>
        <v>0.2997756623449962</v>
      </c>
      <c r="AG371" s="839">
        <f t="shared" si="143"/>
        <v>-1</v>
      </c>
      <c r="AH371" s="178">
        <f t="shared" si="138"/>
        <v>5</v>
      </c>
      <c r="AI371" s="227">
        <f t="shared" si="139"/>
        <v>-0.7002243376550038</v>
      </c>
      <c r="AJ371" s="267" t="b">
        <f t="shared" si="140"/>
        <v>0</v>
      </c>
      <c r="AK371" s="267" t="b">
        <f t="shared" si="141"/>
        <v>0</v>
      </c>
      <c r="AL371" s="267"/>
      <c r="AM371" s="267"/>
      <c r="AN371" s="75"/>
    </row>
    <row r="372" spans="1:40" s="6" customFormat="1" ht="11.25" customHeight="1" x14ac:dyDescent="0.2">
      <c r="A372" s="56">
        <f t="shared" si="142"/>
        <v>44188</v>
      </c>
      <c r="B372" s="620">
        <v>8.6809999999999992</v>
      </c>
      <c r="C372" s="392"/>
      <c r="D372" s="395">
        <f t="shared" si="122"/>
        <v>8.8595811978931707</v>
      </c>
      <c r="E372" s="387">
        <f t="shared" si="144"/>
        <v>10.087567444823268</v>
      </c>
      <c r="F372" s="387">
        <f t="shared" si="123"/>
        <v>10.32262427417526</v>
      </c>
      <c r="G372" s="110">
        <f t="shared" si="145"/>
        <v>0.56953038223098174</v>
      </c>
      <c r="H372" s="416" t="b">
        <f>Wh_hp&gt;='2019'!Maxi_hp</f>
        <v>0</v>
      </c>
      <c r="I372" s="382">
        <f>IF(H372,Wh_hp,'2019'!Maxi_hp)</f>
        <v>13.824735363965539</v>
      </c>
      <c r="J372" s="85">
        <f>IF(H372,An,'2019'!An_max)</f>
        <v>2019</v>
      </c>
      <c r="K372" s="199">
        <f t="shared" si="124"/>
        <v>44188</v>
      </c>
      <c r="L372" s="147">
        <f>IF(t&lt;Tvie,1-EXP((T0-t)*PertePVj)+'2019'!Pspv,1-EXP((T0-t)*PertePVj)+Pspv)</f>
        <v>2.0156844201127511E-2</v>
      </c>
      <c r="M372" s="872"/>
      <c r="N372" s="872"/>
      <c r="O372" s="48">
        <f>IF(t&lt;Tnet,'2019'!Resal+('2019'!Salim-'2019'!Resal)*(1-EXP(('2019'!Tnet-t)/('2019'!Tau_j))),Resal+(Salim-Resal)*(1-EXP((Tnet-t)/(Tau_j))))*Salcycl</f>
        <v>0.12173264304272637</v>
      </c>
      <c r="P372" s="171">
        <f>(INDEX(Models!$BJ372:$BT372,,T372)*(1-R372)+INDEX(Models!$BJ372:$BT372,,T372+1)*R372-ERP_i)*Q372*Ramure*Pc/MaxiM</f>
        <v>5.5146138143300355E-2</v>
      </c>
      <c r="Q372" s="307">
        <f t="shared" si="125"/>
        <v>0.9</v>
      </c>
      <c r="R372" s="179">
        <f t="shared" si="126"/>
        <v>0.2997756623449962</v>
      </c>
      <c r="S372" s="839">
        <f t="shared" si="127"/>
        <v>-1</v>
      </c>
      <c r="T372" s="178">
        <f t="shared" si="128"/>
        <v>5</v>
      </c>
      <c r="U372" s="253">
        <f t="shared" si="129"/>
        <v>-0.7002243376550038</v>
      </c>
      <c r="V372" s="385">
        <f t="shared" si="130"/>
        <v>14.73741015205907</v>
      </c>
      <c r="W372" s="404"/>
      <c r="X372" s="157">
        <f t="shared" si="131"/>
        <v>44188</v>
      </c>
      <c r="Y372" s="387">
        <f t="shared" si="132"/>
        <v>8.6809999999999992</v>
      </c>
      <c r="Z372" s="387">
        <f t="shared" si="133"/>
        <v>8.8595811978931707</v>
      </c>
      <c r="AA372" s="388">
        <f t="shared" si="134"/>
        <v>10.087567444823268</v>
      </c>
      <c r="AB372" s="199">
        <f t="shared" si="135"/>
        <v>44188</v>
      </c>
      <c r="AC372" s="119">
        <f>IF(OR(t&lt;Tnet,NoTnet),'2019'!Resal_s+('2019'!Salim-'2019'!Resal_s)*(1-EXP(('2019'!Tnet_s-t)/'2019'!Tau_j)),Resal_s+(Salim-Resal_s)*(1-EXP((Tnet_s-t)/Tau_j)))*Salcycl</f>
        <v>0.12173264304272637</v>
      </c>
      <c r="AD372" s="233">
        <f>(INDEX(Models!$BJ372:$BT372,,AH372)*(1-AF372)+INDEX(Models!$BJ372:$BT372,,AH372+1)*AF372-ERP_i)*AE372*Ramure*Pc/MaxiM</f>
        <v>5.5146138143300355E-2</v>
      </c>
      <c r="AE372" s="307">
        <f t="shared" si="136"/>
        <v>0.9</v>
      </c>
      <c r="AF372" s="179">
        <f t="shared" si="137"/>
        <v>0.2997756623449962</v>
      </c>
      <c r="AG372" s="839">
        <f t="shared" si="143"/>
        <v>-1</v>
      </c>
      <c r="AH372" s="178">
        <f t="shared" si="138"/>
        <v>5</v>
      </c>
      <c r="AI372" s="227">
        <f t="shared" si="139"/>
        <v>-0.7002243376550038</v>
      </c>
      <c r="AJ372" s="267" t="b">
        <f t="shared" si="140"/>
        <v>0</v>
      </c>
      <c r="AK372" s="267" t="b">
        <f t="shared" si="141"/>
        <v>0</v>
      </c>
      <c r="AL372" s="267"/>
      <c r="AM372" s="267"/>
      <c r="AN372" s="75"/>
    </row>
    <row r="373" spans="1:40" s="6" customFormat="1" ht="11.25" customHeight="1" x14ac:dyDescent="0.2">
      <c r="A373" s="56">
        <f t="shared" si="142"/>
        <v>44189</v>
      </c>
      <c r="B373" s="620">
        <v>8.4410000000000007</v>
      </c>
      <c r="C373" s="392"/>
      <c r="D373" s="395">
        <f t="shared" si="122"/>
        <v>8.6148445177338289</v>
      </c>
      <c r="E373" s="387">
        <f t="shared" si="144"/>
        <v>9.8093397306754699</v>
      </c>
      <c r="F373" s="387">
        <f t="shared" si="123"/>
        <v>10.022461603317561</v>
      </c>
      <c r="G373" s="110">
        <f t="shared" si="145"/>
        <v>0.55133972037843626</v>
      </c>
      <c r="H373" s="416" t="b">
        <f>Wh_hp&gt;='2019'!Maxi_hp</f>
        <v>0</v>
      </c>
      <c r="I373" s="382">
        <f>IF(H373,Wh_hp,'2019'!Maxi_hp)</f>
        <v>13.899256266993024</v>
      </c>
      <c r="J373" s="85">
        <f>IF(H373,An,'2019'!An_max)</f>
        <v>2018</v>
      </c>
      <c r="K373" s="199">
        <f t="shared" si="124"/>
        <v>44189</v>
      </c>
      <c r="L373" s="147">
        <f>IF(t&lt;Tvie,1-EXP((T0-t)*PertePVj)+'2019'!Pspv,1-EXP((T0-t)*PertePVj)+Pspv)</f>
        <v>2.0179646582821675E-2</v>
      </c>
      <c r="M373" s="872"/>
      <c r="N373" s="872"/>
      <c r="O373" s="48">
        <f>IF(t&lt;Tnet,'2019'!Resal+('2019'!Salim-'2019'!Resal)*(1-EXP(('2019'!Tnet-t)/('2019'!Tau_j))),Resal+(Salim-Resal)*(1-EXP((Tnet-t)/(Tau_j))))*Salcycl</f>
        <v>0.12177121455037919</v>
      </c>
      <c r="P373" s="171">
        <f>(INDEX(Models!$BJ373:$BT373,,T373)*(1-R373)+INDEX(Models!$BJ373:$BT373,,T373+1)*R373-ERP_i)*Q373*Ramure*Pc/MaxiM</f>
        <v>5.493059523700955E-2</v>
      </c>
      <c r="Q373" s="307">
        <f t="shared" si="125"/>
        <v>0.9</v>
      </c>
      <c r="R373" s="179">
        <f t="shared" si="126"/>
        <v>0.2997756623449962</v>
      </c>
      <c r="S373" s="839">
        <f t="shared" si="127"/>
        <v>-1</v>
      </c>
      <c r="T373" s="178">
        <f t="shared" si="128"/>
        <v>5</v>
      </c>
      <c r="U373" s="253">
        <f t="shared" si="129"/>
        <v>-0.7002243376550038</v>
      </c>
      <c r="V373" s="385">
        <f t="shared" si="130"/>
        <v>14.783353013500447</v>
      </c>
      <c r="W373" s="404"/>
      <c r="X373" s="157">
        <f t="shared" si="131"/>
        <v>44189</v>
      </c>
      <c r="Y373" s="387">
        <f t="shared" si="132"/>
        <v>8.4410000000000007</v>
      </c>
      <c r="Z373" s="387">
        <f t="shared" si="133"/>
        <v>8.6148445177338289</v>
      </c>
      <c r="AA373" s="388">
        <f t="shared" si="134"/>
        <v>9.8093397306754699</v>
      </c>
      <c r="AB373" s="199">
        <f t="shared" si="135"/>
        <v>44189</v>
      </c>
      <c r="AC373" s="119">
        <f>IF(OR(t&lt;Tnet,NoTnet),'2019'!Resal_s+('2019'!Salim-'2019'!Resal_s)*(1-EXP(('2019'!Tnet_s-t)/'2019'!Tau_j)),Resal_s+(Salim-Resal_s)*(1-EXP((Tnet_s-t)/Tau_j)))*Salcycl</f>
        <v>0.12177121455037919</v>
      </c>
      <c r="AD373" s="233">
        <f>(INDEX(Models!$BJ373:$BT373,,AH373)*(1-AF373)+INDEX(Models!$BJ373:$BT373,,AH373+1)*AF373-ERP_i)*AE373*Ramure*Pc/MaxiM</f>
        <v>5.493059523700955E-2</v>
      </c>
      <c r="AE373" s="307">
        <f t="shared" si="136"/>
        <v>0.9</v>
      </c>
      <c r="AF373" s="179">
        <f t="shared" si="137"/>
        <v>0.2997756623449962</v>
      </c>
      <c r="AG373" s="839">
        <f t="shared" si="143"/>
        <v>-1</v>
      </c>
      <c r="AH373" s="178">
        <f t="shared" si="138"/>
        <v>5</v>
      </c>
      <c r="AI373" s="227">
        <f t="shared" si="139"/>
        <v>-0.7002243376550038</v>
      </c>
      <c r="AJ373" s="267" t="b">
        <f t="shared" si="140"/>
        <v>0</v>
      </c>
      <c r="AK373" s="267" t="b">
        <f t="shared" si="141"/>
        <v>0</v>
      </c>
      <c r="AL373" s="267"/>
      <c r="AM373" s="267"/>
      <c r="AN373" s="75"/>
    </row>
    <row r="374" spans="1:40" s="6" customFormat="1" ht="11.25" customHeight="1" x14ac:dyDescent="0.2">
      <c r="A374" s="56">
        <f t="shared" si="142"/>
        <v>44190</v>
      </c>
      <c r="B374" s="620">
        <v>2.839</v>
      </c>
      <c r="C374" s="392"/>
      <c r="D374" s="395">
        <f t="shared" si="122"/>
        <v>2.8975373488758804</v>
      </c>
      <c r="E374" s="387">
        <f t="shared" si="144"/>
        <v>3.2994444270780039</v>
      </c>
      <c r="F374" s="387">
        <f t="shared" si="123"/>
        <v>3.2994444270780039</v>
      </c>
      <c r="G374" s="110">
        <f t="shared" si="145"/>
        <v>0.18086092472252338</v>
      </c>
      <c r="H374" s="416" t="b">
        <f>Wh_hp&gt;='2019'!Maxi_hp</f>
        <v>0</v>
      </c>
      <c r="I374" s="382">
        <f>IF(H374,Wh_hp,'2019'!Maxi_hp)</f>
        <v>17.569018811526597</v>
      </c>
      <c r="J374" s="85">
        <f>IF(H374,An,'2019'!An_max)</f>
        <v>2018</v>
      </c>
      <c r="K374" s="199">
        <f t="shared" si="124"/>
        <v>44190</v>
      </c>
      <c r="L374" s="147">
        <f>IF(t&lt;Tvie,1-EXP((T0-t)*PertePVj)+'2019'!Pspv,1-EXP((T0-t)*PertePVj)+Pspv)</f>
        <v>2.020244843387109E-2</v>
      </c>
      <c r="M374" s="872"/>
      <c r="N374" s="872"/>
      <c r="O374" s="48">
        <f>IF(t&lt;Tnet,'2019'!Resal+('2019'!Salim-'2019'!Resal)*(1-EXP(('2019'!Tnet-t)/('2019'!Tau_j))),Resal+(Salim-Resal)*(1-EXP((Tnet-t)/(Tau_j))))*Salcycl</f>
        <v>0.12181053116207602</v>
      </c>
      <c r="P374" s="171">
        <f>(INDEX(Models!$BJ374:$BT374,,T374)*(1-R374)+INDEX(Models!$BJ374:$BT374,,T374+1)*R374-ERP_i)*Q374*Ramure*Pc/MaxiM</f>
        <v>5.4660920361951075E-2</v>
      </c>
      <c r="Q374" s="307">
        <f t="shared" si="125"/>
        <v>0.9</v>
      </c>
      <c r="R374" s="179">
        <f t="shared" si="126"/>
        <v>0.2997756623449962</v>
      </c>
      <c r="S374" s="839">
        <f t="shared" si="127"/>
        <v>-1</v>
      </c>
      <c r="T374" s="178">
        <f t="shared" si="128"/>
        <v>5</v>
      </c>
      <c r="U374" s="253">
        <f t="shared" si="129"/>
        <v>-0.7002243376550038</v>
      </c>
      <c r="V374" s="385">
        <f t="shared" si="130"/>
        <v>14.839123769879709</v>
      </c>
      <c r="W374" s="404"/>
      <c r="X374" s="157">
        <f t="shared" si="131"/>
        <v>44190</v>
      </c>
      <c r="Y374" s="387">
        <f t="shared" si="132"/>
        <v>2.839</v>
      </c>
      <c r="Z374" s="387">
        <f t="shared" si="133"/>
        <v>2.8975373488758804</v>
      </c>
      <c r="AA374" s="388">
        <f t="shared" si="134"/>
        <v>3.2994444270780039</v>
      </c>
      <c r="AB374" s="199">
        <f t="shared" si="135"/>
        <v>44190</v>
      </c>
      <c r="AC374" s="119">
        <f>IF(OR(t&lt;Tnet,NoTnet),'2019'!Resal_s+('2019'!Salim-'2019'!Resal_s)*(1-EXP(('2019'!Tnet_s-t)/'2019'!Tau_j)),Resal_s+(Salim-Resal_s)*(1-EXP((Tnet_s-t)/Tau_j)))*Salcycl</f>
        <v>0.12181053116207602</v>
      </c>
      <c r="AD374" s="233">
        <f>(INDEX(Models!$BJ374:$BT374,,AH374)*(1-AF374)+INDEX(Models!$BJ374:$BT374,,AH374+1)*AF374-ERP_i)*AE374*Ramure*Pc/MaxiM</f>
        <v>5.4660920361951075E-2</v>
      </c>
      <c r="AE374" s="307">
        <f t="shared" si="136"/>
        <v>0.9</v>
      </c>
      <c r="AF374" s="179">
        <f t="shared" si="137"/>
        <v>0.2997756623449962</v>
      </c>
      <c r="AG374" s="839">
        <f t="shared" si="143"/>
        <v>-1</v>
      </c>
      <c r="AH374" s="178">
        <f t="shared" si="138"/>
        <v>5</v>
      </c>
      <c r="AI374" s="227">
        <f t="shared" si="139"/>
        <v>-0.7002243376550038</v>
      </c>
      <c r="AJ374" s="267" t="b">
        <f t="shared" si="140"/>
        <v>0</v>
      </c>
      <c r="AK374" s="267" t="b">
        <f t="shared" si="141"/>
        <v>0</v>
      </c>
      <c r="AL374" s="267"/>
      <c r="AM374" s="267"/>
      <c r="AN374" s="75"/>
    </row>
    <row r="375" spans="1:40" s="6" customFormat="1" ht="11.25" customHeight="1" x14ac:dyDescent="0.2">
      <c r="A375" s="56">
        <f t="shared" si="142"/>
        <v>44191</v>
      </c>
      <c r="B375" s="620">
        <v>8.7309999999999999</v>
      </c>
      <c r="C375" s="392"/>
      <c r="D375" s="395">
        <f t="shared" si="122"/>
        <v>8.9112318906058814</v>
      </c>
      <c r="E375" s="387">
        <f t="shared" si="144"/>
        <v>10.147739102590592</v>
      </c>
      <c r="F375" s="387">
        <f t="shared" si="123"/>
        <v>10.377910858235172</v>
      </c>
      <c r="G375" s="110">
        <f t="shared" si="145"/>
        <v>0.56652990410146808</v>
      </c>
      <c r="H375" s="416" t="b">
        <f>Wh_hp&gt;='2019'!Maxi_hp</f>
        <v>0</v>
      </c>
      <c r="I375" s="382">
        <f>IF(H375,Wh_hp,'2019'!Maxi_hp)</f>
        <v>17.805021501401317</v>
      </c>
      <c r="J375" s="85">
        <f>IF(H375,An,'2019'!An_max)</f>
        <v>2018</v>
      </c>
      <c r="K375" s="199">
        <f t="shared" si="124"/>
        <v>44191</v>
      </c>
      <c r="L375" s="147">
        <f>IF(t&lt;Tvie,1-EXP((T0-t)*PertePVj)+'2019'!Pspv,1-EXP((T0-t)*PertePVj)+Pspv)</f>
        <v>2.0225249754288188E-2</v>
      </c>
      <c r="M375" s="872"/>
      <c r="N375" s="872"/>
      <c r="O375" s="48">
        <f>IF(t&lt;Tnet,'2019'!Resal+('2019'!Salim-'2019'!Resal)*(1-EXP(('2019'!Tnet-t)/('2019'!Tau_j))),Resal+(Salim-Resal)*(1-EXP((Tnet-t)/(Tau_j))))*Salcycl</f>
        <v>0.12185051265942039</v>
      </c>
      <c r="P375" s="171">
        <f>(INDEX(Models!$BJ375:$BT375,,T375)*(1-R375)+INDEX(Models!$BJ375:$BT375,,T375+1)*R375-ERP_i)*Q375*Ramure*Pc/MaxiM</f>
        <v>5.432464023775644E-2</v>
      </c>
      <c r="Q375" s="307">
        <f t="shared" si="125"/>
        <v>0.9</v>
      </c>
      <c r="R375" s="179">
        <f t="shared" si="126"/>
        <v>0.2997756623449962</v>
      </c>
      <c r="S375" s="839">
        <f t="shared" si="127"/>
        <v>-1</v>
      </c>
      <c r="T375" s="178">
        <f t="shared" si="128"/>
        <v>5</v>
      </c>
      <c r="U375" s="253">
        <f t="shared" si="129"/>
        <v>-0.7002243376550038</v>
      </c>
      <c r="V375" s="385">
        <f t="shared" si="130"/>
        <v>14.904721503620111</v>
      </c>
      <c r="W375" s="404"/>
      <c r="X375" s="157">
        <f t="shared" si="131"/>
        <v>44191</v>
      </c>
      <c r="Y375" s="387">
        <f t="shared" si="132"/>
        <v>8.7309999999999999</v>
      </c>
      <c r="Z375" s="387">
        <f t="shared" si="133"/>
        <v>8.9112318906058814</v>
      </c>
      <c r="AA375" s="388">
        <f t="shared" si="134"/>
        <v>10.147739102590592</v>
      </c>
      <c r="AB375" s="199">
        <f t="shared" si="135"/>
        <v>44191</v>
      </c>
      <c r="AC375" s="119">
        <f>IF(OR(t&lt;Tnet,NoTnet),'2019'!Resal_s+('2019'!Salim-'2019'!Resal_s)*(1-EXP(('2019'!Tnet_s-t)/'2019'!Tau_j)),Resal_s+(Salim-Resal_s)*(1-EXP((Tnet_s-t)/Tau_j)))*Salcycl</f>
        <v>0.12185051265942039</v>
      </c>
      <c r="AD375" s="233">
        <f>(INDEX(Models!$BJ375:$BT375,,AH375)*(1-AF375)+INDEX(Models!$BJ375:$BT375,,AH375+1)*AF375-ERP_i)*AE375*Ramure*Pc/MaxiM</f>
        <v>5.432464023775644E-2</v>
      </c>
      <c r="AE375" s="307">
        <f t="shared" si="136"/>
        <v>0.9</v>
      </c>
      <c r="AF375" s="179">
        <f t="shared" si="137"/>
        <v>0.2997756623449962</v>
      </c>
      <c r="AG375" s="839">
        <f t="shared" si="143"/>
        <v>-1</v>
      </c>
      <c r="AH375" s="178">
        <f t="shared" si="138"/>
        <v>5</v>
      </c>
      <c r="AI375" s="227">
        <f t="shared" si="139"/>
        <v>-0.7002243376550038</v>
      </c>
      <c r="AJ375" s="267" t="b">
        <f t="shared" si="140"/>
        <v>0</v>
      </c>
      <c r="AK375" s="267" t="b">
        <f t="shared" si="141"/>
        <v>0</v>
      </c>
      <c r="AL375" s="267"/>
      <c r="AM375" s="267"/>
      <c r="AN375" s="75"/>
    </row>
    <row r="376" spans="1:40" s="6" customFormat="1" ht="11.25" customHeight="1" x14ac:dyDescent="0.2">
      <c r="A376" s="56">
        <f t="shared" si="142"/>
        <v>44192</v>
      </c>
      <c r="B376" s="620">
        <v>5.5810000000000004</v>
      </c>
      <c r="C376" s="392"/>
      <c r="D376" s="395">
        <f t="shared" si="122"/>
        <v>5.6963397756945469</v>
      </c>
      <c r="E376" s="387">
        <f t="shared" si="144"/>
        <v>6.4870537912226958</v>
      </c>
      <c r="F376" s="387">
        <f t="shared" si="123"/>
        <v>6.5235305534292216</v>
      </c>
      <c r="G376" s="110">
        <f t="shared" si="145"/>
        <v>0.3544571951781797</v>
      </c>
      <c r="H376" s="416" t="b">
        <f>Wh_hp&gt;='2019'!Maxi_hp</f>
        <v>1</v>
      </c>
      <c r="I376" s="382">
        <f>IF(H376,Wh_hp,'2019'!Maxi_hp)</f>
        <v>6.5235305534292216</v>
      </c>
      <c r="J376" s="85">
        <f>IF(H376,An,'2019'!An_max)</f>
        <v>2020</v>
      </c>
      <c r="K376" s="199">
        <f t="shared" si="124"/>
        <v>44192</v>
      </c>
      <c r="L376" s="147">
        <f>IF(t&lt;Tvie,1-EXP((T0-t)*PertePVj)+'2019'!Pspv,1-EXP((T0-t)*PertePVj)+Pspv)</f>
        <v>2.0248050544085183E-2</v>
      </c>
      <c r="M376" s="872"/>
      <c r="N376" s="872"/>
      <c r="O376" s="48">
        <f>IF(t&lt;Tnet,'2019'!Resal+('2019'!Salim-'2019'!Resal)*(1-EXP(('2019'!Tnet-t)/('2019'!Tau_j))),Resal+(Salim-Resal)*(1-EXP((Tnet-t)/(Tau_j))))*Salcycl</f>
        <v>0.12189108352978725</v>
      </c>
      <c r="P376" s="171">
        <f>(INDEX(Models!$BJ376:$BT376,,T376)*(1-R376)+INDEX(Models!$BJ376:$BT376,,T376+1)*R376-ERP_i)*Q376*Ramure*Pc/MaxiM</f>
        <v>5.3935496116242029E-2</v>
      </c>
      <c r="Q376" s="307">
        <f t="shared" si="125"/>
        <v>0.9</v>
      </c>
      <c r="R376" s="179">
        <f t="shared" si="126"/>
        <v>0.2997756623449962</v>
      </c>
      <c r="S376" s="839">
        <f t="shared" si="127"/>
        <v>-1</v>
      </c>
      <c r="T376" s="178">
        <f t="shared" si="128"/>
        <v>5</v>
      </c>
      <c r="U376" s="253">
        <f t="shared" si="129"/>
        <v>-0.7002243376550038</v>
      </c>
      <c r="V376" s="385">
        <f t="shared" si="130"/>
        <v>14.979736559082902</v>
      </c>
      <c r="W376" s="404"/>
      <c r="X376" s="157">
        <f t="shared" si="131"/>
        <v>44192</v>
      </c>
      <c r="Y376" s="387">
        <f t="shared" si="132"/>
        <v>5.5810000000000004</v>
      </c>
      <c r="Z376" s="387">
        <f t="shared" si="133"/>
        <v>5.6963397756945469</v>
      </c>
      <c r="AA376" s="388">
        <f t="shared" si="134"/>
        <v>6.4870537912226958</v>
      </c>
      <c r="AB376" s="199">
        <f t="shared" si="135"/>
        <v>44192</v>
      </c>
      <c r="AC376" s="119">
        <f>IF(OR(t&lt;Tnet,NoTnet),'2019'!Resal_s+('2019'!Salim-'2019'!Resal_s)*(1-EXP(('2019'!Tnet_s-t)/'2019'!Tau_j)),Resal_s+(Salim-Resal_s)*(1-EXP((Tnet_s-t)/Tau_j)))*Salcycl</f>
        <v>0.12189108352978725</v>
      </c>
      <c r="AD376" s="233">
        <f>(INDEX(Models!$BJ376:$BT376,,AH376)*(1-AF376)+INDEX(Models!$BJ376:$BT376,,AH376+1)*AF376-ERP_i)*AE376*Ramure*Pc/MaxiM</f>
        <v>5.3935496116242029E-2</v>
      </c>
      <c r="AE376" s="307">
        <f t="shared" si="136"/>
        <v>0.9</v>
      </c>
      <c r="AF376" s="179">
        <f t="shared" si="137"/>
        <v>0.2997756623449962</v>
      </c>
      <c r="AG376" s="839">
        <f t="shared" si="143"/>
        <v>-1</v>
      </c>
      <c r="AH376" s="178">
        <f t="shared" si="138"/>
        <v>5</v>
      </c>
      <c r="AI376" s="227">
        <f t="shared" si="139"/>
        <v>-0.7002243376550038</v>
      </c>
      <c r="AJ376" s="267" t="b">
        <f t="shared" si="140"/>
        <v>0</v>
      </c>
      <c r="AK376" s="267" t="b">
        <f t="shared" si="141"/>
        <v>0</v>
      </c>
      <c r="AL376" s="267"/>
      <c r="AM376" s="267"/>
      <c r="AN376" s="75"/>
    </row>
    <row r="377" spans="1:40" s="6" customFormat="1" ht="11.25" customHeight="1" x14ac:dyDescent="0.2">
      <c r="A377" s="56">
        <f t="shared" si="142"/>
        <v>44193</v>
      </c>
      <c r="B377" s="620">
        <v>6.35</v>
      </c>
      <c r="C377" s="392"/>
      <c r="D377" s="395">
        <f t="shared" si="122"/>
        <v>6.4813831508497319</v>
      </c>
      <c r="E377" s="387">
        <f t="shared" si="144"/>
        <v>7.381415140084667</v>
      </c>
      <c r="F377" s="387">
        <f t="shared" si="123"/>
        <v>7.4506169196443404</v>
      </c>
      <c r="G377" s="110">
        <f t="shared" si="145"/>
        <v>0.40272658427724256</v>
      </c>
      <c r="H377" s="416" t="b">
        <f>Wh_hp&gt;='2019'!Maxi_hp</f>
        <v>0</v>
      </c>
      <c r="I377" s="382">
        <f>IF(H377,Wh_hp,'2019'!Maxi_hp)</f>
        <v>18.983624487934243</v>
      </c>
      <c r="J377" s="85">
        <f>IF(H377,An,'2019'!An_max)</f>
        <v>2019</v>
      </c>
      <c r="K377" s="199">
        <f t="shared" si="124"/>
        <v>44193</v>
      </c>
      <c r="L377" s="147">
        <f>IF(t&lt;Tvie,1-EXP((T0-t)*PertePVj)+'2019'!Pspv,1-EXP((T0-t)*PertePVj)+Pspv)</f>
        <v>2.0270850803274509E-2</v>
      </c>
      <c r="M377" s="872"/>
      <c r="N377" s="872"/>
      <c r="O377" s="48">
        <f>IF(t&lt;Tnet,'2019'!Resal+('2019'!Salim-'2019'!Resal)*(1-EXP(('2019'!Tnet-t)/('2019'!Tau_j))),Resal+(Salim-Resal)*(1-EXP((Tnet-t)/(Tau_j))))*Salcycl</f>
        <v>0.12193217318821759</v>
      </c>
      <c r="P377" s="171">
        <f>(INDEX(Models!$BJ377:$BT377,,T377)*(1-R377)+INDEX(Models!$BJ377:$BT377,,T377+1)*R377-ERP_i)*Q377*Ramure*Pc/MaxiM</f>
        <v>5.349546818824507E-2</v>
      </c>
      <c r="Q377" s="307">
        <f t="shared" si="125"/>
        <v>0.9</v>
      </c>
      <c r="R377" s="179">
        <f t="shared" si="126"/>
        <v>0.2997756623449962</v>
      </c>
      <c r="S377" s="839">
        <f t="shared" si="127"/>
        <v>-1</v>
      </c>
      <c r="T377" s="178">
        <f t="shared" si="128"/>
        <v>5</v>
      </c>
      <c r="U377" s="253">
        <f t="shared" si="129"/>
        <v>-0.7002243376550038</v>
      </c>
      <c r="V377" s="385">
        <f t="shared" si="130"/>
        <v>15.063945208203096</v>
      </c>
      <c r="W377" s="404"/>
      <c r="X377" s="157">
        <f t="shared" si="131"/>
        <v>44193</v>
      </c>
      <c r="Y377" s="387">
        <f t="shared" si="132"/>
        <v>6.35</v>
      </c>
      <c r="Z377" s="387">
        <f t="shared" si="133"/>
        <v>6.4813831508497319</v>
      </c>
      <c r="AA377" s="388">
        <f t="shared" si="134"/>
        <v>7.381415140084667</v>
      </c>
      <c r="AB377" s="199">
        <f t="shared" si="135"/>
        <v>44193</v>
      </c>
      <c r="AC377" s="119">
        <f>IF(OR(t&lt;Tnet,NoTnet),'2019'!Resal_s+('2019'!Salim-'2019'!Resal_s)*(1-EXP(('2019'!Tnet_s-t)/'2019'!Tau_j)),Resal_s+(Salim-Resal_s)*(1-EXP((Tnet_s-t)/Tau_j)))*Salcycl</f>
        <v>0.12193217318821759</v>
      </c>
      <c r="AD377" s="233">
        <f>(INDEX(Models!$BJ377:$BT377,,AH377)*(1-AF377)+INDEX(Models!$BJ377:$BT377,,AH377+1)*AF377-ERP_i)*AE377*Ramure*Pc/MaxiM</f>
        <v>5.349546818824507E-2</v>
      </c>
      <c r="AE377" s="307">
        <f t="shared" si="136"/>
        <v>0.9</v>
      </c>
      <c r="AF377" s="179">
        <f t="shared" si="137"/>
        <v>0.2997756623449962</v>
      </c>
      <c r="AG377" s="839">
        <f t="shared" si="143"/>
        <v>-1</v>
      </c>
      <c r="AH377" s="178">
        <f t="shared" si="138"/>
        <v>5</v>
      </c>
      <c r="AI377" s="227">
        <f t="shared" si="139"/>
        <v>-0.7002243376550038</v>
      </c>
      <c r="AJ377" s="267" t="b">
        <f t="shared" si="140"/>
        <v>0</v>
      </c>
      <c r="AK377" s="267" t="b">
        <f t="shared" si="141"/>
        <v>0</v>
      </c>
      <c r="AL377" s="267"/>
      <c r="AM377" s="267"/>
      <c r="AN377" s="75"/>
    </row>
    <row r="378" spans="1:40" s="6" customFormat="1" ht="11.25" customHeight="1" x14ac:dyDescent="0.2">
      <c r="A378" s="56">
        <f t="shared" si="142"/>
        <v>44194</v>
      </c>
      <c r="B378" s="620">
        <v>6.0570000000000004</v>
      </c>
      <c r="C378" s="392"/>
      <c r="D378" s="395">
        <f t="shared" si="122"/>
        <v>6.1824647796640884</v>
      </c>
      <c r="E378" s="387">
        <f t="shared" si="144"/>
        <v>7.0413208503792637</v>
      </c>
      <c r="F378" s="387">
        <f t="shared" si="123"/>
        <v>7.094838307063819</v>
      </c>
      <c r="G378" s="110">
        <f t="shared" si="145"/>
        <v>0.3813081427609129</v>
      </c>
      <c r="H378" s="416" t="b">
        <f>Wh_hp&gt;='2019'!Maxi_hp</f>
        <v>0</v>
      </c>
      <c r="I378" s="382">
        <f>IF(H378,Wh_hp,'2019'!Maxi_hp)</f>
        <v>18.10568803478461</v>
      </c>
      <c r="J378" s="85">
        <f>IF(H378,An,'2019'!An_max)</f>
        <v>2019</v>
      </c>
      <c r="K378" s="199">
        <f t="shared" si="124"/>
        <v>44194</v>
      </c>
      <c r="L378" s="147">
        <f>IF(t&lt;Tvie,1-EXP((T0-t)*PertePVj)+'2019'!Pspv,1-EXP((T0-t)*PertePVj)+Pspv)</f>
        <v>2.029365053186849E-2</v>
      </c>
      <c r="M378" s="872"/>
      <c r="N378" s="872"/>
      <c r="O378" s="48">
        <f>IF(t&lt;Tnet,'2019'!Resal+('2019'!Salim-'2019'!Resal)*(1-EXP(('2019'!Tnet-t)/('2019'!Tau_j))),Resal+(Salim-Resal)*(1-EXP((Tnet-t)/(Tau_j))))*Salcycl</f>
        <v>0.12197371614857107</v>
      </c>
      <c r="P378" s="171">
        <f>(INDEX(Models!$BJ378:$BT378,,T378)*(1-R378)+INDEX(Models!$BJ378:$BT378,,T378+1)*R378-ERP_i)*Q378*Ramure*Pc/MaxiM</f>
        <v>5.3006641598885462E-2</v>
      </c>
      <c r="Q378" s="307">
        <f t="shared" si="125"/>
        <v>0.9</v>
      </c>
      <c r="R378" s="179">
        <f t="shared" si="126"/>
        <v>0.2997756623449962</v>
      </c>
      <c r="S378" s="839">
        <f t="shared" si="127"/>
        <v>-1</v>
      </c>
      <c r="T378" s="178">
        <f t="shared" si="128"/>
        <v>5</v>
      </c>
      <c r="U378" s="253">
        <f t="shared" si="129"/>
        <v>-0.7002243376550038</v>
      </c>
      <c r="V378" s="385">
        <f t="shared" si="130"/>
        <v>15.157123708860855</v>
      </c>
      <c r="W378" s="404"/>
      <c r="X378" s="157">
        <f t="shared" si="131"/>
        <v>44194</v>
      </c>
      <c r="Y378" s="387">
        <f t="shared" si="132"/>
        <v>6.0570000000000004</v>
      </c>
      <c r="Z378" s="387">
        <f t="shared" si="133"/>
        <v>6.1824647796640884</v>
      </c>
      <c r="AA378" s="388">
        <f t="shared" si="134"/>
        <v>7.0413208503792637</v>
      </c>
      <c r="AB378" s="199">
        <f t="shared" si="135"/>
        <v>44194</v>
      </c>
      <c r="AC378" s="119">
        <f>IF(OR(t&lt;Tnet,NoTnet),'2019'!Resal_s+('2019'!Salim-'2019'!Resal_s)*(1-EXP(('2019'!Tnet_s-t)/'2019'!Tau_j)),Resal_s+(Salim-Resal_s)*(1-EXP((Tnet_s-t)/Tau_j)))*Salcycl</f>
        <v>0.12197371614857107</v>
      </c>
      <c r="AD378" s="233">
        <f>(INDEX(Models!$BJ378:$BT378,,AH378)*(1-AF378)+INDEX(Models!$BJ378:$BT378,,AH378+1)*AF378-ERP_i)*AE378*Ramure*Pc/MaxiM</f>
        <v>5.3006641598885462E-2</v>
      </c>
      <c r="AE378" s="307">
        <f t="shared" si="136"/>
        <v>0.9</v>
      </c>
      <c r="AF378" s="179">
        <f t="shared" si="137"/>
        <v>0.2997756623449962</v>
      </c>
      <c r="AG378" s="839">
        <f t="shared" si="143"/>
        <v>-1</v>
      </c>
      <c r="AH378" s="178">
        <f t="shared" si="138"/>
        <v>5</v>
      </c>
      <c r="AI378" s="227">
        <f t="shared" si="139"/>
        <v>-0.7002243376550038</v>
      </c>
      <c r="AJ378" s="267" t="b">
        <f t="shared" si="140"/>
        <v>0</v>
      </c>
      <c r="AK378" s="267" t="b">
        <f t="shared" si="141"/>
        <v>0</v>
      </c>
      <c r="AL378" s="267"/>
      <c r="AM378" s="267"/>
      <c r="AN378" s="75"/>
    </row>
    <row r="379" spans="1:40" s="18" customFormat="1" ht="12.75" x14ac:dyDescent="0.2">
      <c r="A379" s="56">
        <f t="shared" si="142"/>
        <v>44195</v>
      </c>
      <c r="B379" s="620">
        <v>7.0030000000000001</v>
      </c>
      <c r="C379" s="392"/>
      <c r="D379" s="395">
        <f t="shared" si="122"/>
        <v>7.1482265860941698</v>
      </c>
      <c r="E379" s="387">
        <f t="shared" si="144"/>
        <v>8.141633280308719</v>
      </c>
      <c r="F379" s="387">
        <f t="shared" si="123"/>
        <v>8.2398024381739212</v>
      </c>
      <c r="G379" s="110">
        <f t="shared" si="145"/>
        <v>0.44010303792455224</v>
      </c>
      <c r="H379" s="416" t="b">
        <f>Wh_hp&gt;='2019'!Maxi_hp</f>
        <v>0</v>
      </c>
      <c r="I379" s="382">
        <f>IF(H379,Wh_hp,'2019'!Maxi_hp)</f>
        <v>13.611689724873006</v>
      </c>
      <c r="J379" s="85">
        <f>IF(H379,An,'2019'!An_max)</f>
        <v>2019</v>
      </c>
      <c r="K379" s="199">
        <f t="shared" si="124"/>
        <v>44195</v>
      </c>
      <c r="L379" s="147">
        <f>IF(t&lt;Tvie,1-EXP((T0-t)*PertePVj)+'2019'!Pspv,1-EXP((T0-t)*PertePVj)+Pspv)</f>
        <v>2.0316449729879449E-2</v>
      </c>
      <c r="M379" s="872"/>
      <c r="N379" s="872"/>
      <c r="O379" s="48">
        <f>IF(t&lt;Tnet,'2019'!Resal+('2019'!Salim-'2019'!Resal)*(1-EXP(('2019'!Tnet-t)/('2019'!Tau_j))),Resal+(Salim-Resal)*(1-EXP((Tnet-t)/(Tau_j))))*Salcycl</f>
        <v>0.12201565214404755</v>
      </c>
      <c r="P379" s="171">
        <f>(INDEX(Models!$BJ379:$BT379,,T379)*(1-R379)+INDEX(Models!$BJ379:$BT379,,T379+1)*R379-ERP_i)*Q379*Ramure*Pc/MaxiM</f>
        <v>5.247118616012876E-2</v>
      </c>
      <c r="Q379" s="308">
        <f t="shared" si="125"/>
        <v>0.9</v>
      </c>
      <c r="R379" s="179">
        <f t="shared" si="126"/>
        <v>0.2997756623449962</v>
      </c>
      <c r="S379" s="839">
        <f t="shared" si="127"/>
        <v>-1</v>
      </c>
      <c r="T379" s="178">
        <f t="shared" si="128"/>
        <v>5</v>
      </c>
      <c r="U379" s="309">
        <f t="shared" si="129"/>
        <v>-0.7002243376550038</v>
      </c>
      <c r="V379" s="385">
        <f t="shared" si="130"/>
        <v>15.259048297178079</v>
      </c>
      <c r="W379" s="404"/>
      <c r="X379" s="157">
        <f t="shared" si="131"/>
        <v>44195</v>
      </c>
      <c r="Y379" s="387">
        <f t="shared" si="132"/>
        <v>7.0030000000000001</v>
      </c>
      <c r="Z379" s="387">
        <f t="shared" si="133"/>
        <v>7.1482265860941698</v>
      </c>
      <c r="AA379" s="388">
        <f t="shared" si="134"/>
        <v>8.141633280308719</v>
      </c>
      <c r="AB379" s="199">
        <f t="shared" si="135"/>
        <v>44195</v>
      </c>
      <c r="AC379" s="119">
        <f>IF(OR(t&lt;Tnet,NoTnet),'2019'!Resal_s+('2019'!Salim-'2019'!Resal_s)*(1-EXP(('2019'!Tnet_s-t)/'2019'!Tau_j)),Resal_s+(Salim-Resal_s)*(1-EXP((Tnet_s-t)/Tau_j)))*Salcycl</f>
        <v>0.12201565214404755</v>
      </c>
      <c r="AD379" s="233">
        <f>(INDEX(Models!$BJ379:$BT379,,AH379)*(1-AF379)+INDEX(Models!$BJ379:$BT379,,AH379+1)*AF379-ERP_i)*AE379*Ramure*Pc/MaxiM</f>
        <v>5.247118616012876E-2</v>
      </c>
      <c r="AE379" s="308">
        <f t="shared" si="136"/>
        <v>0.9</v>
      </c>
      <c r="AF379" s="179">
        <f t="shared" si="137"/>
        <v>0.2997756623449962</v>
      </c>
      <c r="AG379" s="839">
        <f t="shared" si="143"/>
        <v>-1</v>
      </c>
      <c r="AH379" s="178">
        <f t="shared" si="138"/>
        <v>5</v>
      </c>
      <c r="AI379" s="224">
        <f t="shared" si="139"/>
        <v>-0.7002243376550038</v>
      </c>
      <c r="AJ379" s="267" t="b">
        <f t="shared" si="140"/>
        <v>0</v>
      </c>
      <c r="AK379" s="267" t="b">
        <f t="shared" si="141"/>
        <v>0</v>
      </c>
      <c r="AL379" s="267"/>
      <c r="AM379" s="267"/>
      <c r="AN379" s="267"/>
    </row>
    <row r="380" spans="1:40" s="18" customFormat="1" ht="11.25" customHeight="1" thickBot="1" x14ac:dyDescent="0.25">
      <c r="A380" s="56">
        <f t="shared" si="142"/>
        <v>44196</v>
      </c>
      <c r="B380" s="621">
        <v>10.864000000000001</v>
      </c>
      <c r="C380" s="392"/>
      <c r="D380" s="395">
        <f t="shared" si="122"/>
        <v>11.089553176675695</v>
      </c>
      <c r="E380" s="387">
        <f t="shared" si="144"/>
        <v>12.631303940870433</v>
      </c>
      <c r="F380" s="387">
        <f t="shared" si="123"/>
        <v>13.024115631411625</v>
      </c>
      <c r="G380" s="110">
        <f t="shared" si="145"/>
        <v>0.69101635525390803</v>
      </c>
      <c r="H380" s="416" t="b">
        <f>Wh_hp&gt;='2019'!Maxi_hp</f>
        <v>1</v>
      </c>
      <c r="I380" s="383">
        <f>IF(H380,Wh_hp,'2019'!Maxi_hp)</f>
        <v>13.024115631411625</v>
      </c>
      <c r="J380" s="128">
        <f>IF(H380,An,'2019'!An_max)</f>
        <v>2020</v>
      </c>
      <c r="K380" s="236">
        <f t="shared" si="124"/>
        <v>44196</v>
      </c>
      <c r="L380" s="147">
        <f>IF(t&lt;Tvie,1-EXP((T0-t)*PertePVj)+'2019'!Pspv,1-EXP((T0-t)*PertePVj)+Pspv)</f>
        <v>2.033924839731982E-2</v>
      </c>
      <c r="M380" s="872"/>
      <c r="N380" s="872"/>
      <c r="O380" s="326">
        <f>IF(t&lt;Tnet,'2019'!Resal+('2019'!Salim-'2019'!Resal)*(1-EXP(('2019'!Tnet-t)/('2019'!Tau_j))),Resal+(Salim-Resal)*(1-EXP((Tnet-t)/(Tau_j))))*Salcycl</f>
        <v>0.12205792619764123</v>
      </c>
      <c r="P380" s="233">
        <f>(INDEX(Models!$BJ380:$BT380,,T380)*(1-R380)+INDEX(Models!$BJ380:$BT380,,T380+1)*R380-ERP_i)*Q380*Ramure*Pc/MaxiM</f>
        <v>5.1891336614902077E-2</v>
      </c>
      <c r="Q380" s="330">
        <f t="shared" si="125"/>
        <v>0.9</v>
      </c>
      <c r="R380" s="316">
        <f>(Hp_vg-S380)/(INDEX(Echel_vg,T380+1)-S380)</f>
        <v>0.2997756623449962</v>
      </c>
      <c r="S380" s="840">
        <f>INDEX(Echel_vg,T380)</f>
        <v>-1</v>
      </c>
      <c r="T380" s="235">
        <f t="shared" si="128"/>
        <v>5</v>
      </c>
      <c r="U380" s="303">
        <f t="shared" si="129"/>
        <v>-0.7002243376550038</v>
      </c>
      <c r="V380" s="385">
        <f t="shared" si="130"/>
        <v>15.369495185065636</v>
      </c>
      <c r="W380" s="404"/>
      <c r="X380" s="328">
        <f t="shared" si="131"/>
        <v>44196</v>
      </c>
      <c r="Y380" s="400">
        <f t="shared" si="132"/>
        <v>10.864000000000001</v>
      </c>
      <c r="Z380" s="400">
        <f t="shared" si="133"/>
        <v>11.089553176675695</v>
      </c>
      <c r="AA380" s="401">
        <f t="shared" si="134"/>
        <v>12.631303940870433</v>
      </c>
      <c r="AB380" s="200">
        <f t="shared" si="135"/>
        <v>44196</v>
      </c>
      <c r="AC380" s="329">
        <f>IF(OR(t&lt;Tnet,NoTnet),'2019'!Resal_s+('2019'!Salim-'2019'!Resal_s)*(1-EXP(('2019'!Tnet_s-t)/'2019'!Tau_j)),Resal_s+(Salim-Resal_s)*(1-EXP((Tnet_s-t)/Tau_j)))*Salcycl</f>
        <v>0.12205792619764123</v>
      </c>
      <c r="AD380" s="841">
        <f>(INDEX(Models!$BJ380:$BT380,,AH380)*(1-AF380)+INDEX(Models!$BJ380:$BT380,,AH380+1)*AF380-ERP_i)*AE380*Ramure*Pc/MaxiM</f>
        <v>5.1891336614902077E-2</v>
      </c>
      <c r="AE380" s="330">
        <f t="shared" si="136"/>
        <v>0.9</v>
      </c>
      <c r="AF380" s="316">
        <f>(Hp_vg_s-AG380)/(INDEX(Echel_vg,AH380+1)-AG380)</f>
        <v>0.2997756623449962</v>
      </c>
      <c r="AG380" s="840">
        <f>INDEX(Echel_vg,AH380)</f>
        <v>-1</v>
      </c>
      <c r="AH380" s="235">
        <f t="shared" si="138"/>
        <v>5</v>
      </c>
      <c r="AI380" s="229">
        <f t="shared" si="139"/>
        <v>-0.7002243376550038</v>
      </c>
      <c r="AJ380" s="267" t="b">
        <f t="shared" si="140"/>
        <v>0</v>
      </c>
      <c r="AK380" s="267" t="b">
        <f t="shared" si="141"/>
        <v>0</v>
      </c>
      <c r="AL380" s="267"/>
      <c r="AM380" s="267"/>
      <c r="AN380" s="267"/>
    </row>
    <row r="381" spans="1:40" s="104" customFormat="1" ht="11.25" customHeight="1" x14ac:dyDescent="0.2">
      <c r="A381" s="111" t="s">
        <v>7</v>
      </c>
      <c r="B381" s="377">
        <f>MIN(B15:B380)</f>
        <v>1.196</v>
      </c>
      <c r="C381" s="377"/>
      <c r="D381" s="375">
        <f>MIN(D15:D380)</f>
        <v>1.2110964652460892</v>
      </c>
      <c r="E381" s="375">
        <f>MIN(E15:E380)</f>
        <v>1.3363238347737243</v>
      </c>
      <c r="F381" s="376">
        <f>MIN(F15:F380)</f>
        <v>1.3363238347737243</v>
      </c>
      <c r="G381" s="125">
        <f>+MIN(G15:G380)</f>
        <v>5.6987063096063925E-2</v>
      </c>
      <c r="H381" s="94"/>
      <c r="I381" s="376">
        <f>MIN(I15:I380)</f>
        <v>6.5235305534292216</v>
      </c>
      <c r="J381" s="57">
        <f>MIN(J15:J380)</f>
        <v>2018</v>
      </c>
      <c r="K381" s="202" t="s">
        <v>7</v>
      </c>
      <c r="L381" s="146">
        <f t="shared" ref="L381:T381" si="146">MIN(L15:L380)</f>
        <v>1.1982389515149627E-2</v>
      </c>
      <c r="M381" s="874"/>
      <c r="N381" s="874"/>
      <c r="O381" s="47">
        <f t="shared" si="146"/>
        <v>9.1035650004697988E-2</v>
      </c>
      <c r="P381" s="170">
        <f t="shared" si="146"/>
        <v>7.2311840562178366E-5</v>
      </c>
      <c r="Q381" s="312">
        <f t="shared" si="146"/>
        <v>0.9</v>
      </c>
      <c r="R381" s="313">
        <f t="shared" si="146"/>
        <v>6.5241943133694802E-3</v>
      </c>
      <c r="S381" s="839">
        <f t="shared" si="146"/>
        <v>-2</v>
      </c>
      <c r="T381" s="178">
        <f t="shared" si="146"/>
        <v>4</v>
      </c>
      <c r="U381" s="254">
        <f>+MIN(U15:U380)</f>
        <v>-1.4002225554043644</v>
      </c>
      <c r="V381" s="375">
        <f>MIN(V15:V380)</f>
        <v>14.647846796886281</v>
      </c>
      <c r="W381" s="831" t="s">
        <v>40</v>
      </c>
      <c r="X381" s="112" t="s">
        <v>7</v>
      </c>
      <c r="Y381" s="377">
        <f>MIN(Y15:Y380)</f>
        <v>1.196</v>
      </c>
      <c r="Z381" s="377">
        <f>MIN(Z15:Z380)</f>
        <v>1.2110964652460892</v>
      </c>
      <c r="AA381" s="377">
        <f>MIN(AA15:AA380)</f>
        <v>1.3363238347737243</v>
      </c>
      <c r="AB381" s="202" t="s">
        <v>7</v>
      </c>
      <c r="AC381" s="48">
        <f t="shared" ref="AC381:AH381" si="147">MIN(AC15:AC380)</f>
        <v>9.1035650004697988E-2</v>
      </c>
      <c r="AD381" s="171">
        <f t="shared" si="147"/>
        <v>7.2311840562178366E-5</v>
      </c>
      <c r="AE381" s="312">
        <f t="shared" si="147"/>
        <v>0.9</v>
      </c>
      <c r="AF381" s="313">
        <f t="shared" si="147"/>
        <v>6.5241943133694802E-3</v>
      </c>
      <c r="AG381" s="839">
        <f t="shared" si="147"/>
        <v>-2</v>
      </c>
      <c r="AH381" s="178">
        <f t="shared" si="147"/>
        <v>4</v>
      </c>
      <c r="AI381" s="227">
        <f>MIN(AI15:AI380)</f>
        <v>-1.4002225554043644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26.909734972677608</v>
      </c>
      <c r="C382" s="377"/>
      <c r="D382" s="377">
        <f>AVERAGE(D15:D380)</f>
        <v>27.345413744617819</v>
      </c>
      <c r="E382" s="377">
        <f>AVERAGE(E15:E380)</f>
        <v>30.829494837257933</v>
      </c>
      <c r="F382" s="378">
        <f>AVERAGE(F15:F380)</f>
        <v>30.951993858054237</v>
      </c>
      <c r="G382" s="126">
        <f>AVERAGE(G15:G380)</f>
        <v>0.69361682944560821</v>
      </c>
      <c r="H382" s="94"/>
      <c r="I382" s="378">
        <f>AVERAGE(I15:I380)</f>
        <v>37.582968423287291</v>
      </c>
      <c r="J382" s="59">
        <f>AVERAGE(J15:J380)</f>
        <v>2019.3852459016393</v>
      </c>
      <c r="K382" s="202" t="s">
        <v>8</v>
      </c>
      <c r="L382" s="147">
        <f t="shared" ref="L382:V382" si="148">AVERAGE(L15:L380)</f>
        <v>1.6166718132663831E-2</v>
      </c>
      <c r="M382" s="872"/>
      <c r="N382" s="872"/>
      <c r="O382" s="48">
        <f t="shared" si="148"/>
        <v>0.11245519571662044</v>
      </c>
      <c r="P382" s="171">
        <f t="shared" si="148"/>
        <v>1.2046491893862296E-2</v>
      </c>
      <c r="Q382" s="314">
        <f t="shared" si="148"/>
        <v>0.89999999999999802</v>
      </c>
      <c r="R382" s="179">
        <f t="shared" si="148"/>
        <v>0.45147284427954815</v>
      </c>
      <c r="S382" s="839">
        <f t="shared" si="148"/>
        <v>-1.459016393442623</v>
      </c>
      <c r="T382" s="178">
        <f t="shared" si="148"/>
        <v>4.5409836065573774</v>
      </c>
      <c r="U382" s="253">
        <f t="shared" si="148"/>
        <v>-1.0075435491630751</v>
      </c>
      <c r="V382" s="377">
        <f t="shared" si="148"/>
        <v>37.593543671721129</v>
      </c>
      <c r="X382" s="112" t="s">
        <v>8</v>
      </c>
      <c r="Y382" s="377">
        <f>AVERAGE(Y15:Y380)</f>
        <v>26.909734972677608</v>
      </c>
      <c r="Z382" s="377">
        <f>AVERAGE(Z15:Z380)</f>
        <v>27.345413744617819</v>
      </c>
      <c r="AA382" s="377">
        <f>AVERAGE(AA15:AA380)</f>
        <v>30.829494837257933</v>
      </c>
      <c r="AB382" s="202" t="s">
        <v>8</v>
      </c>
      <c r="AC382" s="48">
        <f t="shared" ref="AC382:AH382" si="149">AVERAGE(AC15:AC380)</f>
        <v>0.11245519571662044</v>
      </c>
      <c r="AD382" s="171">
        <f t="shared" si="149"/>
        <v>1.2046491893862296E-2</v>
      </c>
      <c r="AE382" s="314">
        <f t="shared" si="149"/>
        <v>0.89999999999999802</v>
      </c>
      <c r="AF382" s="179">
        <f t="shared" si="149"/>
        <v>0.45147284427954815</v>
      </c>
      <c r="AG382" s="839">
        <f t="shared" si="149"/>
        <v>-1.459016393442623</v>
      </c>
      <c r="AH382" s="178">
        <f t="shared" si="149"/>
        <v>4.5409836065573774</v>
      </c>
      <c r="AI382" s="227">
        <f>AVERAGE(AI15:AI380)</f>
        <v>-1.0075435491630751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56.746000000000002</v>
      </c>
      <c r="C383" s="379"/>
      <c r="D383" s="379">
        <f>MAX(D15:D380)</f>
        <v>57.617604434735114</v>
      </c>
      <c r="E383" s="379">
        <f>MAX(E15:E380)</f>
        <v>64.710742191110896</v>
      </c>
      <c r="F383" s="380">
        <f>MAX(F15:F380)</f>
        <v>64.728321842872035</v>
      </c>
      <c r="G383" s="127">
        <f>+MAX(G15:G380)</f>
        <v>1.037457577834161</v>
      </c>
      <c r="H383" s="94"/>
      <c r="I383" s="380">
        <f>MAX(I15:I380)</f>
        <v>65.985446784364868</v>
      </c>
      <c r="J383" s="60">
        <f>MAX(J15:J380)</f>
        <v>2020</v>
      </c>
      <c r="K383" s="202" t="s">
        <v>9</v>
      </c>
      <c r="L383" s="148">
        <f t="shared" ref="L383:T383" si="150">MAX(L15:L380)</f>
        <v>2.033924839731982E-2</v>
      </c>
      <c r="M383" s="875"/>
      <c r="N383" s="875"/>
      <c r="O383" s="49">
        <f t="shared" si="150"/>
        <v>0.12356178934919156</v>
      </c>
      <c r="P383" s="172">
        <f t="shared" si="150"/>
        <v>5.5468811263247486E-2</v>
      </c>
      <c r="Q383" s="315">
        <f t="shared" si="150"/>
        <v>0.9</v>
      </c>
      <c r="R383" s="316">
        <f t="shared" si="150"/>
        <v>0.99948867241818862</v>
      </c>
      <c r="S383" s="840">
        <f t="shared" si="150"/>
        <v>-1</v>
      </c>
      <c r="T383" s="235">
        <f t="shared" si="150"/>
        <v>5</v>
      </c>
      <c r="U383" s="255">
        <f>+MAX(U15:U380)</f>
        <v>-0.7002243376550038</v>
      </c>
      <c r="V383" s="379">
        <f>MAX(V15:V380)</f>
        <v>56.293519953646253</v>
      </c>
      <c r="X383" s="112" t="s">
        <v>9</v>
      </c>
      <c r="Y383" s="379">
        <f>MAX(Y15:Y380)</f>
        <v>56.745999999999995</v>
      </c>
      <c r="Z383" s="379">
        <f>MAX(Z15:Z380)</f>
        <v>57.617604434735107</v>
      </c>
      <c r="AA383" s="379">
        <f>MAX(AA15:AA380)</f>
        <v>64.710742191110896</v>
      </c>
      <c r="AB383" s="202" t="s">
        <v>9</v>
      </c>
      <c r="AC383" s="49">
        <f t="shared" ref="AC383:AH383" si="151">MAX(AC15:AC380)</f>
        <v>0.12356178934919156</v>
      </c>
      <c r="AD383" s="172">
        <f t="shared" si="151"/>
        <v>5.5468811263247486E-2</v>
      </c>
      <c r="AE383" s="315">
        <f t="shared" si="151"/>
        <v>0.9</v>
      </c>
      <c r="AF383" s="316">
        <f t="shared" si="151"/>
        <v>0.99948867241818862</v>
      </c>
      <c r="AG383" s="840">
        <f t="shared" si="151"/>
        <v>-1</v>
      </c>
      <c r="AH383" s="235">
        <f t="shared" si="151"/>
        <v>5</v>
      </c>
      <c r="AI383" s="229">
        <f>MAX(AI15:AI380)</f>
        <v>-0.7002243376550038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7"/>
      <c r="AK384" s="857"/>
      <c r="AL384" s="857"/>
      <c r="AM384" s="857"/>
      <c r="AN384" s="406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5" priority="4" stopIfTrue="1" operator="lessThan">
      <formula>0.01</formula>
    </cfRule>
    <cfRule type="cellIs" dxfId="14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8"/>
  <dimension ref="A1:AN384"/>
  <sheetViews>
    <sheetView zoomScaleNormal="100" workbookViewId="0">
      <pane xSplit="22" ySplit="28" topLeftCell="AA367" activePane="bottomRight" state="frozen"/>
      <selection pane="topRight"/>
      <selection pane="bottomLeft"/>
      <selection pane="bottomRight" sqref="A1:A65536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6">
        <f>'2020'!An+1</f>
        <v>2021</v>
      </c>
      <c r="K1" s="1267"/>
      <c r="L1" s="113" t="str">
        <f>"Calcul pertes et enveloppes en "&amp;TEXT(An,0)</f>
        <v>Calcul pertes et enveloppes en 2021</v>
      </c>
      <c r="M1" s="245"/>
      <c r="N1" s="245"/>
      <c r="V1" s="460"/>
      <c r="W1" s="458"/>
      <c r="X1" s="489" t="str">
        <f>"Prévision sans nettoyage ni taille végétation en "&amp;TEXT(An,0)</f>
        <v>Prévision sans nettoyage ni taille végétation en 2021</v>
      </c>
      <c r="Y1" s="490"/>
      <c r="Z1" s="491"/>
      <c r="AA1" s="492"/>
      <c r="AB1" s="493"/>
      <c r="AC1" s="494"/>
      <c r="AD1" s="494"/>
      <c r="AE1" s="494"/>
      <c r="AF1" s="494"/>
      <c r="AG1" s="494"/>
      <c r="AH1" s="494"/>
      <c r="AI1" s="494"/>
      <c r="AL1" s="856" t="s">
        <v>270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6" t="s">
        <v>24</v>
      </c>
      <c r="P2" s="18"/>
      <c r="Q2" s="812"/>
      <c r="R2" s="18"/>
      <c r="S2" s="497"/>
      <c r="T2" s="497"/>
      <c r="U2" s="296" t="s">
        <v>79</v>
      </c>
      <c r="V2" s="498">
        <f>PertePVan</f>
        <v>8.5000000000000006E-3</v>
      </c>
      <c r="W2" s="452" t="s">
        <v>14</v>
      </c>
      <c r="X2" s="499"/>
      <c r="Y2" s="500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862" t="s">
        <v>262</v>
      </c>
      <c r="AK2" s="862" t="s">
        <v>264</v>
      </c>
      <c r="AL2" s="862" t="s">
        <v>263</v>
      </c>
      <c r="AM2" s="862" t="s">
        <v>265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6">
        <f>Tmaj</f>
        <v>44926</v>
      </c>
      <c r="F3" s="1276"/>
      <c r="G3" s="8"/>
      <c r="H3" s="26"/>
      <c r="I3" s="6"/>
      <c r="J3" s="34"/>
      <c r="K3" s="193"/>
      <c r="L3" s="54"/>
      <c r="M3" s="34"/>
      <c r="N3" s="34"/>
      <c r="O3" s="503"/>
      <c r="P3" s="34"/>
      <c r="Q3" s="503"/>
      <c r="R3" s="34"/>
      <c r="S3" s="515"/>
      <c r="T3" s="452"/>
      <c r="U3" s="211" t="s">
        <v>165</v>
      </c>
      <c r="V3" s="637">
        <f>Salim_i</f>
        <v>0.21</v>
      </c>
      <c r="W3" s="452"/>
      <c r="X3" s="504" t="s">
        <v>96</v>
      </c>
      <c r="Y3" s="505"/>
      <c r="Z3" s="506"/>
      <c r="AA3" s="500"/>
      <c r="AB3" s="500"/>
      <c r="AC3" s="430"/>
      <c r="AD3" s="430"/>
      <c r="AE3" s="430"/>
      <c r="AF3" s="430"/>
      <c r="AG3" s="430"/>
      <c r="AH3" s="430"/>
      <c r="AI3" s="430"/>
      <c r="AJ3" s="860">
        <f>AL11-AJ11</f>
        <v>0</v>
      </c>
      <c r="AK3" s="861">
        <f>AM11-AK11</f>
        <v>0</v>
      </c>
      <c r="AL3" s="860"/>
      <c r="AM3" s="861"/>
      <c r="AN3" s="859" t="s">
        <v>271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6" t="str">
        <f>Station</f>
        <v>Crèche Ayguesvives</v>
      </c>
      <c r="F4" s="1217"/>
      <c r="G4" s="1217"/>
      <c r="H4" s="1217"/>
      <c r="I4" s="1218"/>
      <c r="J4" s="158"/>
      <c r="K4" s="193"/>
      <c r="L4" s="508"/>
      <c r="M4" s="507"/>
      <c r="N4" s="507"/>
      <c r="O4" s="430"/>
      <c r="P4" s="34"/>
      <c r="Q4" s="507"/>
      <c r="R4" s="34"/>
      <c r="S4" s="497"/>
      <c r="T4" s="411"/>
      <c r="U4" s="297" t="s">
        <v>82</v>
      </c>
      <c r="V4" s="636">
        <f>Persistant</f>
        <v>1</v>
      </c>
      <c r="W4" s="510" t="s">
        <v>54</v>
      </c>
      <c r="X4" s="511"/>
      <c r="Y4" s="512"/>
      <c r="Z4" s="513" t="s">
        <v>27</v>
      </c>
      <c r="AA4" s="514" t="s">
        <v>28</v>
      </c>
      <c r="AB4" s="507"/>
      <c r="AC4" s="430"/>
      <c r="AD4" s="430"/>
      <c r="AE4" s="430"/>
      <c r="AF4" s="430"/>
      <c r="AG4" s="430"/>
      <c r="AH4" s="430"/>
      <c r="AI4" s="430"/>
      <c r="AJ4" s="860">
        <f>AL12-AJ12</f>
        <v>657.9962530811074</v>
      </c>
      <c r="AK4" s="861">
        <f>AM12-AK12</f>
        <v>-4.0991204228131082</v>
      </c>
      <c r="AL4" s="860"/>
      <c r="AM4" s="861"/>
      <c r="AN4" s="859" t="s">
        <v>272</v>
      </c>
    </row>
    <row r="5" spans="1:40" s="35" customFormat="1" ht="16.5" customHeight="1" x14ac:dyDescent="0.25">
      <c r="D5" s="161" t="s">
        <v>20</v>
      </c>
      <c r="E5" s="1277">
        <f>T0</f>
        <v>43313</v>
      </c>
      <c r="F5" s="1277"/>
      <c r="G5" s="34"/>
      <c r="H5" s="158"/>
      <c r="I5" s="158"/>
      <c r="K5" s="194"/>
      <c r="L5" s="508"/>
      <c r="M5" s="507"/>
      <c r="N5" s="507"/>
      <c r="O5" s="19"/>
      <c r="R5" s="39"/>
      <c r="S5" s="180"/>
      <c r="T5" s="180"/>
      <c r="U5" s="41"/>
      <c r="V5" s="509"/>
      <c r="W5" s="510"/>
      <c r="X5" s="511"/>
      <c r="Y5" s="512"/>
      <c r="Z5" s="238">
        <f>Wh_Psa_s-Wh_Psa</f>
        <v>658.58802689882259</v>
      </c>
      <c r="AA5" s="239">
        <f>Wh_Pvg_s-Wh_Pvg</f>
        <v>-4.0991204228131082</v>
      </c>
      <c r="AB5" s="516" t="s">
        <v>6</v>
      </c>
      <c r="AC5" s="510"/>
      <c r="AD5" s="510"/>
      <c r="AE5" s="510"/>
      <c r="AF5" s="510"/>
      <c r="AG5" s="510"/>
      <c r="AH5" s="510"/>
      <c r="AI5" s="510"/>
      <c r="AJ5" s="518">
        <f>SUMIF(AJ15:AJ380,"VRAI",Wh)</f>
        <v>2356.808</v>
      </c>
      <c r="AK5" s="518">
        <f>SUMIF(AK15:AK380,"VRAI",Wh)</f>
        <v>0</v>
      </c>
      <c r="AL5" s="518">
        <f>SUMIF(AJ15:AJ380,"VRAI",Wh_s)</f>
        <v>2356.808</v>
      </c>
      <c r="AM5" s="518">
        <f>SUMIF(AK15:AK380,"VRAI",Wh_s)</f>
        <v>0</v>
      </c>
      <c r="AN5" s="859" t="s">
        <v>268</v>
      </c>
    </row>
    <row r="6" spans="1:40" s="6" customFormat="1" ht="16.5" customHeight="1" x14ac:dyDescent="0.2">
      <c r="B6" s="8"/>
      <c r="C6" s="8"/>
      <c r="D6" s="161" t="s">
        <v>11</v>
      </c>
      <c r="E6" s="1278">
        <f>Tservice</f>
        <v>43354</v>
      </c>
      <c r="F6" s="1278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2"/>
      <c r="W6" s="464"/>
      <c r="X6" s="499"/>
      <c r="AB6" s="518"/>
      <c r="AC6" s="464"/>
      <c r="AD6" s="464"/>
      <c r="AE6" s="464"/>
      <c r="AF6" s="464"/>
      <c r="AG6" s="464"/>
      <c r="AH6" s="464"/>
      <c r="AI6" s="464"/>
      <c r="AJ6" s="518">
        <f>SUMIF(AJ15:AJ380,"FAUX",Wh)</f>
        <v>7521.7440000000015</v>
      </c>
      <c r="AK6" s="518">
        <f>SUMIF(AK15:AK380,"FAUX",Wh)</f>
        <v>9878.5520000000051</v>
      </c>
      <c r="AL6" s="518">
        <f>SUMIF(AJ15:AJ380,"FAUX",Wh_s)</f>
        <v>6863.5864376780291</v>
      </c>
      <c r="AM6" s="518">
        <f>SUMIF(AK15:AK380,"FAUX",Wh_s)</f>
        <v>9220.3944376780219</v>
      </c>
      <c r="AN6" s="859" t="s">
        <v>269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AND(YEAR(Tnet)=An,Resal_2021="I")</f>
        <v>0</v>
      </c>
      <c r="F7" s="322" t="b">
        <f>YEAR(Tnet)=An</f>
        <v>1</v>
      </c>
      <c r="J7" s="180"/>
      <c r="K7" s="193"/>
      <c r="L7" s="191" t="s">
        <v>81</v>
      </c>
      <c r="M7" s="870"/>
      <c r="N7" s="870"/>
      <c r="O7" s="18"/>
      <c r="P7" s="118"/>
      <c r="Q7" s="118"/>
      <c r="R7" s="141"/>
      <c r="S7" s="141"/>
      <c r="T7" s="141"/>
      <c r="U7" s="141"/>
      <c r="V7" s="430"/>
      <c r="W7" s="520"/>
      <c r="X7" s="521"/>
      <c r="AB7" s="520"/>
      <c r="AC7" s="520"/>
      <c r="AD7" s="250"/>
      <c r="AE7" s="250"/>
      <c r="AF7" s="495"/>
      <c r="AG7" s="495"/>
      <c r="AH7" s="495"/>
      <c r="AI7" s="520"/>
      <c r="AJ7" s="518">
        <f>SUMIF(AJ15:AJ380,"VRAI",Wh_pvt)</f>
        <v>2409.6814491254768</v>
      </c>
      <c r="AK7" s="518">
        <f>SUMIF(AK15:AK380,"VRAI",Wh_sa)</f>
        <v>0</v>
      </c>
      <c r="AL7" s="518">
        <f>SUMIF(AJ15:AJ380,"VRAI",Wh_pvt_s)</f>
        <v>2409.6814491254768</v>
      </c>
      <c r="AM7" s="518">
        <f>SUMIF(AK15:AK380,"VRAI",Wh_sa_s)</f>
        <v>0</v>
      </c>
      <c r="AN7" s="859" t="s">
        <v>260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AND(YEAR(Tnet)=An,Resal_2021&lt;&gt;"I")</f>
        <v>1</v>
      </c>
      <c r="F8" s="323" t="b">
        <f>YEAR(Ttai)=An</f>
        <v>0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20"/>
      <c r="W8" s="406"/>
      <c r="X8" s="1264" t="s">
        <v>102</v>
      </c>
      <c r="Y8" s="1265"/>
      <c r="Z8" s="500"/>
      <c r="AA8" s="500"/>
      <c r="AB8" s="464"/>
      <c r="AC8" s="522" t="s">
        <v>61</v>
      </c>
      <c r="AD8" s="464"/>
      <c r="AE8" s="464"/>
      <c r="AF8" s="464"/>
      <c r="AG8" s="464"/>
      <c r="AH8" s="464"/>
      <c r="AI8" s="464"/>
      <c r="AJ8" s="518">
        <f>SUMIF(AJ15:AJ380,"FAUX",Wh_pvt)</f>
        <v>7715.4755548794164</v>
      </c>
      <c r="AK8" s="518">
        <f>SUMIF(AK15:AK380,"FAUX",Wh_sa)</f>
        <v>10975.550438763326</v>
      </c>
      <c r="AL8" s="518">
        <f>SUMIF(AJ15:AJ380,"FAUX",Wh_pvt_s)</f>
        <v>7040.5080662869132</v>
      </c>
      <c r="AM8" s="518">
        <f>SUMIF(AK15:AK380,"FAUX",Wh_sa_s)</f>
        <v>10975.550438763326</v>
      </c>
      <c r="AN8" s="859" t="s">
        <v>261</v>
      </c>
    </row>
    <row r="9" spans="1:40" s="19" customFormat="1" ht="15" customHeight="1" x14ac:dyDescent="0.25">
      <c r="A9" s="34"/>
      <c r="B9" s="212"/>
      <c r="C9" s="212"/>
      <c r="D9" s="186">
        <f>SUM(D$15:D$380)</f>
        <v>10125.157004004895</v>
      </c>
      <c r="E9" s="186">
        <f>SUM(E$15:E$380)</f>
        <v>10975.550438763326</v>
      </c>
      <c r="F9" s="186">
        <f>SUM(F$15:F$380)</f>
        <v>11043.908086735075</v>
      </c>
      <c r="H9" s="1268">
        <f>+SUM(Wh)</f>
        <v>9878.5520000000051</v>
      </c>
      <c r="I9" s="1269"/>
      <c r="J9" s="1270"/>
      <c r="K9" s="193" t="s">
        <v>10</v>
      </c>
      <c r="L9" s="234"/>
      <c r="M9" s="234"/>
      <c r="N9" s="234"/>
      <c r="O9" s="225">
        <f>Tnet_2021</f>
        <v>44306</v>
      </c>
      <c r="P9" s="246" t="s">
        <v>91</v>
      </c>
      <c r="Q9" s="247"/>
      <c r="R9" s="247"/>
      <c r="S9" s="247"/>
      <c r="T9" s="247"/>
      <c r="U9" s="248"/>
      <c r="V9" s="464"/>
      <c r="W9" s="523"/>
      <c r="X9" s="1262">
        <f>+SUM(Wh_s)</f>
        <v>9220.3944376780219</v>
      </c>
      <c r="Y9" s="1263"/>
      <c r="Z9" s="518">
        <f>SUM(Wh_pvt_s)</f>
        <v>9450.1895154123886</v>
      </c>
      <c r="AA9" s="518">
        <f>SUM(Wh_sa_s)</f>
        <v>10975.550438763326</v>
      </c>
      <c r="AB9" s="518">
        <f>F9</f>
        <v>11043.908086735075</v>
      </c>
      <c r="AC9" s="327">
        <f>IF(An_Tnet,Tnet,'2020'!Tnet_s)</f>
        <v>44306</v>
      </c>
      <c r="AD9" s="318" t="s">
        <v>91</v>
      </c>
      <c r="AE9" s="318"/>
      <c r="AF9" s="318"/>
      <c r="AG9" s="318"/>
      <c r="AH9" s="318"/>
      <c r="AI9" s="319"/>
      <c r="AJ9" s="518">
        <f>SUMIF(AJ15:AJ380,"VRAI",Wh_sa)</f>
        <v>2755.0367365100128</v>
      </c>
      <c r="AK9" s="518">
        <f>SUMIF(AK15:AK380,"VRAI",Wh_hp)</f>
        <v>0</v>
      </c>
      <c r="AL9" s="518">
        <f>SUMIF(AJ15:AJ380,"VRAI",Wh_sa_s)</f>
        <v>2755.0367365100128</v>
      </c>
      <c r="AM9" s="518">
        <f>SUMIF(AK15:AK380,"VRAI",Wh_hp)</f>
        <v>0</v>
      </c>
      <c r="AN9" s="859" t="s">
        <v>266</v>
      </c>
    </row>
    <row r="10" spans="1:40" s="19" customFormat="1" ht="15" customHeight="1" x14ac:dyDescent="0.25">
      <c r="A10" s="208"/>
      <c r="B10" s="209"/>
      <c r="C10" s="866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IF(Inflex,'2020'!Resal+('2020'!Salim-'2020'!Resal)*(1-EXP(-(Tnet-'2020'!Tnet)/('2020'!Tau_j))),IF(An_Tnet,Resal_2021,'2020'!Resal))</f>
        <v>2.5000000000000001E-2</v>
      </c>
      <c r="P10" s="423" t="b">
        <f>NOT(Acti_tai)</f>
        <v>1</v>
      </c>
      <c r="Q10" s="259">
        <f>IF(Acti_tai,'2020'!PousD,Dens-Dd)</f>
        <v>0</v>
      </c>
      <c r="R10" s="276"/>
      <c r="S10" s="277"/>
      <c r="T10" s="278"/>
      <c r="U10" s="268">
        <f>IF(Acti_tai,'2020'!PousH,Hdtf-Hdd)</f>
        <v>0.60022433765500383</v>
      </c>
      <c r="V10" s="430"/>
      <c r="W10" s="507"/>
      <c r="X10" s="508"/>
      <c r="Y10" s="524" t="s">
        <v>26</v>
      </c>
      <c r="Z10" s="514" t="s">
        <v>27</v>
      </c>
      <c r="AA10" s="514" t="s">
        <v>28</v>
      </c>
      <c r="AB10" s="430"/>
      <c r="AC10" s="320">
        <f>IF(OR(Inflex,GainD),'2020'!Resal_s+('2020'!Salim-'2020'!Resal_s)*(1-EXP(('2020'!Tnet_s-Tnet)/('2020'!Tau_j))),IF(Acti_net,'2020'!Resal+('2020'!Salim-'2020'!Resal)*(1-EXP(('2020'!Tnet-Tnet)/'2020'!Tau_j)),'2020'!Resal_s))</f>
        <v>0.12665409049121024</v>
      </c>
      <c r="AD10" s="430"/>
      <c r="AE10" s="430"/>
      <c r="AF10" s="262"/>
      <c r="AG10" s="263"/>
      <c r="AH10" s="264"/>
      <c r="AI10" s="475"/>
      <c r="AJ10" s="518">
        <f>SUMIF(AJ15:AJ380,"FAUX",Wh_sa)</f>
        <v>8220.5137022533145</v>
      </c>
      <c r="AK10" s="518">
        <f>SUMIF(AK15:AK380,"FAUX",Wh_hp)</f>
        <v>11043.908086735075</v>
      </c>
      <c r="AL10" s="518">
        <f>SUMIF(AJ15:AJ380,"FAUX",Wh_sa_s)</f>
        <v>8220.5137022533145</v>
      </c>
      <c r="AM10" s="518">
        <f>SUMIF(AK15:AK380,"FAUX",Wh_hp)</f>
        <v>11043.908086735075</v>
      </c>
      <c r="AN10" s="859" t="s">
        <v>267</v>
      </c>
    </row>
    <row r="11" spans="1:40" s="40" customFormat="1" ht="15" customHeight="1" x14ac:dyDescent="0.25">
      <c r="A11" s="218"/>
      <c r="B11" s="219" t="s">
        <v>43</v>
      </c>
      <c r="C11" s="867"/>
      <c r="D11" s="50">
        <f>D$9-Prod_an</f>
        <v>246.60500400489036</v>
      </c>
      <c r="E11" s="51">
        <f>(E$9-D$9)*Prod_an/D$9</f>
        <v>829.68153110089884</v>
      </c>
      <c r="F11" s="188">
        <f>(F$9-E$9)*Prod_an/E$9</f>
        <v>61.525349808578653</v>
      </c>
      <c r="G11" s="187" t="s">
        <v>6</v>
      </c>
      <c r="K11" s="196"/>
      <c r="L11" s="213">
        <f>Tvie_2021</f>
        <v>43313</v>
      </c>
      <c r="M11" s="871"/>
      <c r="N11" s="871"/>
      <c r="O11" s="204">
        <f>IF(An_Tnet,Salim_2021,'2020'!Salim)</f>
        <v>0.17</v>
      </c>
      <c r="P11" s="258">
        <f>Ttai_2021</f>
        <v>43101</v>
      </c>
      <c r="Q11" s="274">
        <f>Dens_2021</f>
        <v>0.9</v>
      </c>
      <c r="R11" s="279"/>
      <c r="S11" s="232"/>
      <c r="T11" s="232"/>
      <c r="U11" s="268">
        <f>Htf_2021</f>
        <v>-0.1</v>
      </c>
      <c r="V11" s="19"/>
      <c r="W11" s="863"/>
      <c r="X11" s="237" t="s">
        <v>43</v>
      </c>
      <c r="Y11" s="50">
        <f>Z$9-Prod_an_s</f>
        <v>229.79507773436671</v>
      </c>
      <c r="Z11" s="51">
        <f>(AA$9-Z$9)*Prod_an_s/Z$9</f>
        <v>1488.2695579997214</v>
      </c>
      <c r="AA11" s="188">
        <f>(AB$9-AA$9)*Prod_an_s/AA$9</f>
        <v>57.426229385765545</v>
      </c>
      <c r="AB11" s="187" t="s">
        <v>6</v>
      </c>
      <c r="AC11" s="327"/>
      <c r="AD11" s="19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60">
        <f>IF($AJ7=0,0,($AJ9-$AJ7)*$AJ5/$AJ7)</f>
        <v>337.77747031482846</v>
      </c>
      <c r="AK11" s="861">
        <f>IF($AK7=0,0,($AK9-$AK7)*$AK5/$AK7)</f>
        <v>0</v>
      </c>
      <c r="AL11" s="860">
        <f>IF($AL7=0,0,($AL9-$AL7)*$AL5/$AL7)</f>
        <v>337.77747031482846</v>
      </c>
      <c r="AM11" s="861">
        <f>IF($AM7=0,0,($AM9-$AM7)*$AM5/$AM7)</f>
        <v>0</v>
      </c>
      <c r="AN11" s="859" t="s">
        <v>273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3.4917827025099379E-2</v>
      </c>
      <c r="K12" s="193"/>
      <c r="L12" s="214">
        <f>Pspv_2021</f>
        <v>0</v>
      </c>
      <c r="M12" s="214"/>
      <c r="N12" s="214"/>
      <c r="O12" s="207">
        <f>IF(An_Tnet,Tau_2021*365,'2020'!Tau_j)</f>
        <v>365</v>
      </c>
      <c r="P12" s="283">
        <f>INDEX(Croivg,MIN(MAX(Ttai-$A$15,0)+1,366))</f>
        <v>2.3909964587625958E-6</v>
      </c>
      <c r="Q12" s="282">
        <f>'2020'!Df</f>
        <v>0.9</v>
      </c>
      <c r="R12" s="280"/>
      <c r="S12" s="281"/>
      <c r="T12" s="281"/>
      <c r="U12" s="269">
        <f>'2020'!Hdf</f>
        <v>-0.7002243376550038</v>
      </c>
      <c r="V12" s="40"/>
      <c r="W12" s="34"/>
      <c r="X12" s="54"/>
      <c r="Y12" s="34"/>
      <c r="AB12" s="321" t="s">
        <v>106</v>
      </c>
      <c r="AC12" s="320" t="b">
        <f>NOT(An_Tnet)</f>
        <v>0</v>
      </c>
      <c r="AE12" s="298">
        <f>'2020'!Df_s</f>
        <v>0.9</v>
      </c>
      <c r="AF12" s="205"/>
      <c r="AG12" s="205"/>
      <c r="AH12" s="205"/>
      <c r="AI12" s="299">
        <f>'2020'!Hdf_s</f>
        <v>-0.7002243376550038</v>
      </c>
      <c r="AJ12" s="860">
        <f>IF($AJ8=0,0,($AJ10-$AJ8)*$AJ6/$AJ8)</f>
        <v>492.35690370094159</v>
      </c>
      <c r="AK12" s="861">
        <f>IF($AK8=0,0,($AK10-$AK8)*$AK6/$AK8)</f>
        <v>61.525349808578653</v>
      </c>
      <c r="AL12" s="860">
        <f>IF($AL8=0,0,($AL10-$AL8)*$AL6/$AL8)</f>
        <v>1150.3531567820489</v>
      </c>
      <c r="AM12" s="861">
        <f>IF($AM8=0,0,($AM10-$AM8)*$AM6/$AM8)</f>
        <v>57.426229385765545</v>
      </c>
      <c r="AN12" s="859" t="s">
        <v>274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205</v>
      </c>
      <c r="V13" s="124" t="s">
        <v>41</v>
      </c>
      <c r="W13" s="864" t="s">
        <v>276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209</v>
      </c>
      <c r="AJ13" s="73">
        <f>+AJ11+AJ12</f>
        <v>830.13437401577005</v>
      </c>
      <c r="AK13" s="73">
        <f>+AK11+AK12</f>
        <v>61.525349808578653</v>
      </c>
      <c r="AL13" s="73">
        <f>+AL11+AL12</f>
        <v>1488.1306270968773</v>
      </c>
      <c r="AM13" s="73">
        <f>+AM11+AM12</f>
        <v>57.426229385765545</v>
      </c>
      <c r="AN13" s="858" t="s">
        <v>275</v>
      </c>
    </row>
    <row r="14" spans="1:40" s="46" customFormat="1" ht="40.5" customHeight="1" thickBot="1" x14ac:dyDescent="0.25">
      <c r="A14" s="45" t="s">
        <v>2</v>
      </c>
      <c r="B14" s="391" t="s">
        <v>190</v>
      </c>
      <c r="C14" s="391"/>
      <c r="D14" s="53" t="s">
        <v>30</v>
      </c>
      <c r="E14" s="162" t="s">
        <v>29</v>
      </c>
      <c r="F14" s="162" t="str">
        <f>"Hors pertes "&amp; TEXT(An,0)</f>
        <v>Hors pertes 2021</v>
      </c>
      <c r="G14" s="107" t="s">
        <v>42</v>
      </c>
      <c r="H14" s="415" t="s">
        <v>117</v>
      </c>
      <c r="I14" s="79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206</v>
      </c>
      <c r="S14" s="174" t="s">
        <v>207</v>
      </c>
      <c r="T14" s="174" t="s">
        <v>208</v>
      </c>
      <c r="U14" s="108" t="s">
        <v>204</v>
      </c>
      <c r="V14" s="45" t="str">
        <f>"Enveloppe "&amp; TEXT(An,0)</f>
        <v>Enveloppe 2021</v>
      </c>
      <c r="W14" s="865"/>
      <c r="X14" s="260" t="s">
        <v>2</v>
      </c>
      <c r="Y14" s="107" t="str">
        <f>"Wh / Jour "&amp; TEXT(An,0)</f>
        <v>Wh / Jour 2021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206</v>
      </c>
      <c r="AG14" s="174" t="s">
        <v>207</v>
      </c>
      <c r="AH14" s="174" t="s">
        <v>208</v>
      </c>
      <c r="AI14" s="108" t="s">
        <v>211</v>
      </c>
      <c r="AJ14" s="705" t="s">
        <v>258</v>
      </c>
      <c r="AK14" s="705" t="s">
        <v>259</v>
      </c>
      <c r="AL14" s="267"/>
      <c r="AM14" s="267"/>
      <c r="AN14" s="75"/>
    </row>
    <row r="15" spans="1:40" s="6" customFormat="1" ht="11.25" x14ac:dyDescent="0.2">
      <c r="A15" s="56">
        <f>DATE(An,1,1)</f>
        <v>44197</v>
      </c>
      <c r="B15" s="619">
        <v>9.6940000000000008</v>
      </c>
      <c r="C15" s="392"/>
      <c r="D15" s="395">
        <f t="shared" ref="D15:D78" si="0">Wh/(1-Ppv)</f>
        <v>9.8954924783224474</v>
      </c>
      <c r="E15" s="402">
        <f t="shared" ref="E15:E79" si="1">Wh_pvt/(1-Psa)</f>
        <v>11.27187038724802</v>
      </c>
      <c r="F15" s="402">
        <f t="shared" ref="F15:F78" si="2">Wh_sa/(1-Pvg*MEDIAN((-Sdif+Wh/Env_an)/Csdif,0,1))</f>
        <v>11.555214799429889</v>
      </c>
      <c r="G15" s="123">
        <f>+Wh_hp/MaxiM</f>
        <v>0.61308135161363109</v>
      </c>
      <c r="H15" s="416" t="b">
        <f>Wh_hp&gt;='2020'!Maxi_hp</f>
        <v>0</v>
      </c>
      <c r="I15" s="381">
        <f>IF(H15,Wh_hp,'2020'!Maxi_hp)</f>
        <v>13.71465856827926</v>
      </c>
      <c r="J15" s="84">
        <f>IF(H15,An,'2020'!An_max)</f>
        <v>2020</v>
      </c>
      <c r="K15" s="199">
        <f t="shared" ref="K15:K78" si="3">t</f>
        <v>44197</v>
      </c>
      <c r="L15" s="146">
        <f>IF(t&lt;Tvie,1-EXP((T0-t)*PertePVj)+'2020'!Pspv,1-EXP((T0-t)*PertePVj)+Pspv)</f>
        <v>2.0362046534201816E-2</v>
      </c>
      <c r="M15" s="872"/>
      <c r="N15" s="872"/>
      <c r="O15" s="48">
        <f>IF(t&lt;Tnet,'2020'!Resal+('2020'!Salim-'2020'!Resal)*(1-EXP(('2020'!Tnet-t)/('2020'!Tau_j))),Resal+(Salim-Resal)*(1-EXP((Tnet-t)/(Tau_j))))*Salcycl</f>
        <v>0.12210732217810838</v>
      </c>
      <c r="P15" s="304">
        <f>(INDEX(Models!$BJ15:$BT15,,T15)*(1-R15)+INDEX(Models!$BJ15:$BT15,,T15+1)*R15-ERP_i)*Q15*Ramure*Pc/MaxiM</f>
        <v>5.1891390001397052E-2</v>
      </c>
      <c r="Q15" s="305">
        <f t="shared" ref="Q15:Q78" si="4">IF(OR(t&lt;Ttai,Notai),Dd+PousD*Croivg,Dens+PousD*(Croivg-Croi_tai))</f>
        <v>0.9</v>
      </c>
      <c r="R15" s="306">
        <f t="shared" ref="R15:R78" si="5">(Hp_vg-S15)/(INDEX(Echel_vg,T15+1)-S15)</f>
        <v>0.29977709747926196</v>
      </c>
      <c r="S15" s="838">
        <f t="shared" ref="S15:S78" si="6">INDEX(Echel_vg,T15)</f>
        <v>-1</v>
      </c>
      <c r="T15" s="251">
        <f t="shared" ref="T15:T78" si="7">MIN(MATCH(Hp_vg,Echel_vg),10)</f>
        <v>5</v>
      </c>
      <c r="U15" s="252">
        <f t="shared" ref="U15:U78" si="8">IF(OR(t&lt;Ttai,Notai),Hdd+PousH*Croivg,Hdtf+PousH*(Croivg-Croi_tai))</f>
        <v>-0.70022290252073804</v>
      </c>
      <c r="V15" s="384">
        <f t="shared" ref="V15:V78" si="9">MaxiM*(1-Ppv)*(1-Pvg)*(1-Psa)</f>
        <v>15.368271929612888</v>
      </c>
      <c r="W15" s="404"/>
      <c r="X15" s="156">
        <f t="shared" ref="X15:X78" si="10">t</f>
        <v>44197</v>
      </c>
      <c r="Y15" s="387">
        <f t="shared" ref="Y15:Y78" si="11">Wh_pvt_s*(1-Ppv)</f>
        <v>9.6940000000000008</v>
      </c>
      <c r="Z15" s="387">
        <f t="shared" ref="Z15:Z78" si="12">Wh_sa_s*(1-Psa_s)</f>
        <v>9.8954924783224474</v>
      </c>
      <c r="AA15" s="388">
        <f t="shared" ref="AA15:AA78" si="13">Wh_hp*(1-Pvg_s*MEDIAN((-Sdif+Wh/Env_an)/Csdif,0,1))</f>
        <v>11.27187038724802</v>
      </c>
      <c r="AB15" s="199">
        <f t="shared" ref="AB15:AB78" si="14">t</f>
        <v>44197</v>
      </c>
      <c r="AC15" s="119">
        <f>IF(OR(t&lt;Tnet,NoTnet),'2020'!Resal_s+('2020'!Salim-'2020'!Resal_s)*(1-EXP(('2020'!Tnet_s-t)/'2020'!Tau_j)),Resal_s+(Salim-Resal_s)*(1-EXP((Tnet_s-t)/Tau_j)))*Salcycl</f>
        <v>0.12210732217810838</v>
      </c>
      <c r="AD15" s="233">
        <f>(INDEX(Models!$BJ15:$BT15,,AH15)*(1-AF15)+INDEX(Models!$BJ15:$BT15,,AH15+1)*AF15-ERP_i)*AE15*Ramure*Pc/MaxiM</f>
        <v>5.1891390001397052E-2</v>
      </c>
      <c r="AE15" s="305">
        <f t="shared" ref="AE15:AE78" si="15">IF(OR(t&lt;Ttai,Notai),Dd_s+PousD*Croivg,Dens_s+PousD*(Croivg-Croi_tai))</f>
        <v>0.9</v>
      </c>
      <c r="AF15" s="306">
        <f>(Hp_vg_s-AG15)/(INDEX(Echel_vg,AH15+1)-AG15)</f>
        <v>0.29977709747926196</v>
      </c>
      <c r="AG15" s="838">
        <f>INDEX(Echel_vg,AH15)</f>
        <v>-1</v>
      </c>
      <c r="AH15" s="251">
        <f t="shared" ref="AH15:AH78" si="16">MIN(MATCH(Hp_vg_s,Echel_vg),10)</f>
        <v>5</v>
      </c>
      <c r="AI15" s="226">
        <f t="shared" ref="AI15:AI78" si="17">IF(OR(t&lt;Ttai,Notai),Hdd_s+PousH*Croivg,Hdtai_s+PousH*(Croivg-Croi_tai))</f>
        <v>-0.70022290252073804</v>
      </c>
      <c r="AJ15" s="267" t="b">
        <f t="shared" ref="AJ15:AJ78" si="18">t&lt;Tnet</f>
        <v>1</v>
      </c>
      <c r="AK15" s="267" t="b">
        <f t="shared" ref="AK15:AK78" si="19">t&lt;Ttai</f>
        <v>0</v>
      </c>
      <c r="AL15" s="267"/>
      <c r="AM15" s="267"/>
      <c r="AN15" s="75"/>
    </row>
    <row r="16" spans="1:40" s="6" customFormat="1" ht="11.25" x14ac:dyDescent="0.2">
      <c r="A16" s="56">
        <f t="shared" ref="A16:A79" si="20">A15+1</f>
        <v>44198</v>
      </c>
      <c r="B16" s="620">
        <v>3.641</v>
      </c>
      <c r="C16" s="392"/>
      <c r="D16" s="395">
        <f t="shared" si="0"/>
        <v>3.7167656892829317</v>
      </c>
      <c r="E16" s="387">
        <f t="shared" si="1"/>
        <v>4.2339404418916224</v>
      </c>
      <c r="F16" s="387">
        <f t="shared" si="2"/>
        <v>4.2339404418916224</v>
      </c>
      <c r="G16" s="110">
        <f t="shared" ref="G16:G79" si="21">+Wh_hp/MaxiM</f>
        <v>0.2230467963612168</v>
      </c>
      <c r="H16" s="416" t="b">
        <f>Wh_hp&gt;='2020'!Maxi_hp</f>
        <v>0</v>
      </c>
      <c r="I16" s="382">
        <f>IF(H16,Wh_hp,'2020'!Maxi_hp)</f>
        <v>17.78447596879985</v>
      </c>
      <c r="J16" s="85">
        <f>IF(H16,An,'2020'!An_max)</f>
        <v>2020</v>
      </c>
      <c r="K16" s="199">
        <f t="shared" si="3"/>
        <v>44198</v>
      </c>
      <c r="L16" s="147">
        <f>IF(t&lt;Tvie,1-EXP((T0-t)*PertePVj)+'2020'!Pspv,1-EXP((T0-t)*PertePVj)+Pspv)</f>
        <v>2.0384844140537983E-2</v>
      </c>
      <c r="M16" s="872"/>
      <c r="N16" s="872"/>
      <c r="O16" s="48">
        <f>IF(t&lt;Tnet,'2020'!Resal+('2020'!Salim-'2020'!Resal)*(1-EXP(('2020'!Tnet-t)/('2020'!Tau_j))),Resal+(Salim-Resal)*(1-EXP((Tnet-t)/(Tau_j))))*Salcycl</f>
        <v>0.12214974672095989</v>
      </c>
      <c r="P16" s="171">
        <f>(INDEX(Models!$BJ16:$BT16,,T16)*(1-R16)+INDEX(Models!$BJ16:$BT16,,T16+1)*R16-ERP_i)*Q16*Ramure*Pc/MaxiM</f>
        <v>5.1283163142741284E-2</v>
      </c>
      <c r="Q16" s="307">
        <f t="shared" si="4"/>
        <v>0.9</v>
      </c>
      <c r="R16" s="179">
        <f t="shared" si="5"/>
        <v>0.29981216812393108</v>
      </c>
      <c r="S16" s="839">
        <f t="shared" si="6"/>
        <v>-1</v>
      </c>
      <c r="T16" s="178">
        <f t="shared" si="7"/>
        <v>5</v>
      </c>
      <c r="U16" s="253">
        <f t="shared" si="8"/>
        <v>-0.70018783187606892</v>
      </c>
      <c r="V16" s="385">
        <f t="shared" si="9"/>
        <v>15.486785998948809</v>
      </c>
      <c r="W16" s="404"/>
      <c r="X16" s="157">
        <f t="shared" si="10"/>
        <v>44198</v>
      </c>
      <c r="Y16" s="387">
        <f t="shared" si="11"/>
        <v>3.641</v>
      </c>
      <c r="Z16" s="387">
        <f t="shared" si="12"/>
        <v>3.7167656892829317</v>
      </c>
      <c r="AA16" s="388">
        <f t="shared" si="13"/>
        <v>4.2339404418916224</v>
      </c>
      <c r="AB16" s="199">
        <f t="shared" si="14"/>
        <v>44198</v>
      </c>
      <c r="AC16" s="119">
        <f>IF(OR(t&lt;Tnet,NoTnet),'2020'!Resal_s+('2020'!Salim-'2020'!Resal_s)*(1-EXP(('2020'!Tnet_s-t)/'2020'!Tau_j)),Resal_s+(Salim-Resal_s)*(1-EXP((Tnet_s-t)/Tau_j)))*Salcycl</f>
        <v>0.12214974672095989</v>
      </c>
      <c r="AD16" s="233">
        <f>(INDEX(Models!$BJ16:$BT16,,AH16)*(1-AF16)+INDEX(Models!$BJ16:$BT16,,AH16+1)*AF16-ERP_i)*AE16*Ramure*Pc/MaxiM</f>
        <v>5.1283163142741284E-2</v>
      </c>
      <c r="AE16" s="307">
        <f t="shared" si="15"/>
        <v>0.9</v>
      </c>
      <c r="AF16" s="179">
        <f t="shared" ref="AF16:AF78" si="22">(Hp_vg_s-AG16)/(INDEX(Echel_vg,AH16+1)-AG16)</f>
        <v>0.29981216812393108</v>
      </c>
      <c r="AG16" s="839">
        <f t="shared" ref="AG16:AG79" si="23">INDEX(Echel_vg,AH16)</f>
        <v>-1</v>
      </c>
      <c r="AH16" s="178">
        <f t="shared" si="16"/>
        <v>5</v>
      </c>
      <c r="AI16" s="227">
        <f t="shared" si="17"/>
        <v>-0.70018783187606892</v>
      </c>
      <c r="AJ16" s="267" t="b">
        <f t="shared" si="18"/>
        <v>1</v>
      </c>
      <c r="AK16" s="267" t="b">
        <f t="shared" si="19"/>
        <v>0</v>
      </c>
      <c r="AL16" s="267"/>
      <c r="AM16" s="267"/>
      <c r="AN16" s="75"/>
    </row>
    <row r="17" spans="1:40" s="6" customFormat="1" ht="11.25" x14ac:dyDescent="0.2">
      <c r="A17" s="56">
        <f t="shared" si="20"/>
        <v>44199</v>
      </c>
      <c r="B17" s="620">
        <v>15.146000000000001</v>
      </c>
      <c r="C17" s="392"/>
      <c r="D17" s="395">
        <f t="shared" si="0"/>
        <v>15.461533426829185</v>
      </c>
      <c r="E17" s="387">
        <f t="shared" si="1"/>
        <v>17.613807063629185</v>
      </c>
      <c r="F17" s="387">
        <f t="shared" si="2"/>
        <v>18.511278736134297</v>
      </c>
      <c r="G17" s="110">
        <f t="shared" si="21"/>
        <v>0.96787132465213621</v>
      </c>
      <c r="H17" s="416" t="b">
        <f>Wh_hp&gt;='2020'!Maxi_hp</f>
        <v>0</v>
      </c>
      <c r="I17" s="382">
        <f>IF(H17,Wh_hp,'2020'!Maxi_hp)</f>
        <v>19.408966249247889</v>
      </c>
      <c r="J17" s="85">
        <f>IF(H17,An,'2020'!An_max)</f>
        <v>2019</v>
      </c>
      <c r="K17" s="199">
        <f t="shared" si="3"/>
        <v>44199</v>
      </c>
      <c r="L17" s="147">
        <f>IF(t&lt;Tvie,1-EXP((T0-t)*PertePVj)+'2020'!Pspv,1-EXP((T0-t)*PertePVj)+Pspv)</f>
        <v>2.0407641216340422E-2</v>
      </c>
      <c r="M17" s="872"/>
      <c r="N17" s="872"/>
      <c r="O17" s="48">
        <f>IF(t&lt;Tnet,'2020'!Resal+('2020'!Salim-'2020'!Resal)*(1-EXP(('2020'!Tnet-t)/('2020'!Tau_j))),Resal+(Salim-Resal)*(1-EXP((Tnet-t)/(Tau_j))))*Salcycl</f>
        <v>0.12219241581476377</v>
      </c>
      <c r="P17" s="171">
        <f>(INDEX(Models!$BJ17:$BT17,,T17)*(1-R17)+INDEX(Models!$BJ17:$BT17,,T17+1)*R17-ERP_i)*Q17*Ramure*Pc/MaxiM</f>
        <v>5.0647346907979042E-2</v>
      </c>
      <c r="Q17" s="307">
        <f t="shared" si="4"/>
        <v>0.9</v>
      </c>
      <c r="R17" s="179">
        <f t="shared" si="5"/>
        <v>0.29984870569466748</v>
      </c>
      <c r="S17" s="839">
        <f t="shared" si="6"/>
        <v>-1</v>
      </c>
      <c r="T17" s="178">
        <f t="shared" si="7"/>
        <v>5</v>
      </c>
      <c r="U17" s="253">
        <f t="shared" si="8"/>
        <v>-0.70015129430533252</v>
      </c>
      <c r="V17" s="385">
        <f t="shared" si="9"/>
        <v>15.613169812319768</v>
      </c>
      <c r="W17" s="404"/>
      <c r="X17" s="157">
        <f t="shared" si="10"/>
        <v>44199</v>
      </c>
      <c r="Y17" s="387">
        <f t="shared" si="11"/>
        <v>15.145999999999999</v>
      </c>
      <c r="Z17" s="387">
        <f t="shared" si="12"/>
        <v>15.461533426829183</v>
      </c>
      <c r="AA17" s="388">
        <f t="shared" si="13"/>
        <v>17.613807063629185</v>
      </c>
      <c r="AB17" s="199">
        <f t="shared" si="14"/>
        <v>44199</v>
      </c>
      <c r="AC17" s="119">
        <f>IF(OR(t&lt;Tnet,NoTnet),'2020'!Resal_s+('2020'!Salim-'2020'!Resal_s)*(1-EXP(('2020'!Tnet_s-t)/'2020'!Tau_j)),Resal_s+(Salim-Resal_s)*(1-EXP((Tnet_s-t)/Tau_j)))*Salcycl</f>
        <v>0.12219241581476377</v>
      </c>
      <c r="AD17" s="233">
        <f>(INDEX(Models!$BJ17:$BT17,,AH17)*(1-AF17)+INDEX(Models!$BJ17:$BT17,,AH17+1)*AF17-ERP_i)*AE17*Ramure*Pc/MaxiM</f>
        <v>5.0647346907979042E-2</v>
      </c>
      <c r="AE17" s="307">
        <f t="shared" si="15"/>
        <v>0.9</v>
      </c>
      <c r="AF17" s="179">
        <f>(Hp_vg_s-AG17)/(INDEX(Echel_vg,AH17+1)-AG17)</f>
        <v>0.29984870569466748</v>
      </c>
      <c r="AG17" s="839">
        <f>INDEX(Echel_vg,AH17)</f>
        <v>-1</v>
      </c>
      <c r="AH17" s="178">
        <f t="shared" si="16"/>
        <v>5</v>
      </c>
      <c r="AI17" s="227">
        <f t="shared" si="17"/>
        <v>-0.70015129430533252</v>
      </c>
      <c r="AJ17" s="267" t="b">
        <f t="shared" si="18"/>
        <v>1</v>
      </c>
      <c r="AK17" s="267" t="b">
        <f t="shared" si="19"/>
        <v>0</v>
      </c>
      <c r="AL17" s="267"/>
      <c r="AM17" s="267"/>
      <c r="AN17" s="75"/>
    </row>
    <row r="18" spans="1:40" s="6" customFormat="1" ht="11.25" x14ac:dyDescent="0.2">
      <c r="A18" s="56">
        <f t="shared" si="20"/>
        <v>44200</v>
      </c>
      <c r="B18" s="620">
        <v>14.407999999999999</v>
      </c>
      <c r="C18" s="392"/>
      <c r="D18" s="395">
        <f t="shared" si="0"/>
        <v>14.708501116630053</v>
      </c>
      <c r="E18" s="387">
        <f t="shared" si="1"/>
        <v>16.756769728423958</v>
      </c>
      <c r="F18" s="387">
        <f t="shared" si="2"/>
        <v>17.526409253218535</v>
      </c>
      <c r="G18" s="110">
        <f t="shared" si="21"/>
        <v>0.90914476746575901</v>
      </c>
      <c r="H18" s="416" t="b">
        <f>Wh_hp&gt;='2020'!Maxi_hp</f>
        <v>0</v>
      </c>
      <c r="I18" s="382">
        <f>IF(H18,Wh_hp,'2020'!Maxi_hp)</f>
        <v>19.187961348193991</v>
      </c>
      <c r="J18" s="85">
        <f>IF(H18,An,'2020'!An_max)</f>
        <v>2019</v>
      </c>
      <c r="K18" s="199">
        <f t="shared" si="3"/>
        <v>44200</v>
      </c>
      <c r="L18" s="147">
        <f>IF(t&lt;Tvie,1-EXP((T0-t)*PertePVj)+'2020'!Pspv,1-EXP((T0-t)*PertePVj)+Pspv)</f>
        <v>2.0430437761621678E-2</v>
      </c>
      <c r="M18" s="872"/>
      <c r="N18" s="872"/>
      <c r="O18" s="48">
        <f>IF(t&lt;Tnet,'2020'!Resal+('2020'!Salim-'2020'!Resal)*(1-EXP(('2020'!Tnet-t)/('2020'!Tau_j))),Resal+(Salim-Resal)*(1-EXP((Tnet-t)/(Tau_j))))*Salcycl</f>
        <v>0.12223529027313025</v>
      </c>
      <c r="P18" s="171">
        <f>(INDEX(Models!$BJ18:$BT18,,T18)*(1-R18)+INDEX(Models!$BJ18:$BT18,,T18+1)*R18-ERP_i)*Q18*Ramure*Pc/MaxiM</f>
        <v>4.9985973929293527E-2</v>
      </c>
      <c r="Q18" s="307">
        <f t="shared" si="4"/>
        <v>0.9</v>
      </c>
      <c r="R18" s="179">
        <f t="shared" si="5"/>
        <v>0.29988677135950537</v>
      </c>
      <c r="S18" s="839">
        <f t="shared" si="6"/>
        <v>-1</v>
      </c>
      <c r="T18" s="178">
        <f t="shared" si="7"/>
        <v>5</v>
      </c>
      <c r="U18" s="253">
        <f t="shared" si="8"/>
        <v>-0.70011322864049463</v>
      </c>
      <c r="V18" s="385">
        <f t="shared" si="9"/>
        <v>15.747199171306381</v>
      </c>
      <c r="W18" s="404"/>
      <c r="X18" s="157">
        <f t="shared" si="10"/>
        <v>44200</v>
      </c>
      <c r="Y18" s="387">
        <f t="shared" si="11"/>
        <v>14.407999999999999</v>
      </c>
      <c r="Z18" s="387">
        <f>Wh_sa_s*(1-Psa_s)</f>
        <v>14.708501116630053</v>
      </c>
      <c r="AA18" s="388">
        <f t="shared" si="13"/>
        <v>16.756769728423958</v>
      </c>
      <c r="AB18" s="199">
        <f>t</f>
        <v>44200</v>
      </c>
      <c r="AC18" s="119">
        <f>IF(OR(t&lt;Tnet,NoTnet),'2020'!Resal_s+('2020'!Salim-'2020'!Resal_s)*(1-EXP(('2020'!Tnet_s-t)/'2020'!Tau_j)),Resal_s+(Salim-Resal_s)*(1-EXP((Tnet_s-t)/Tau_j)))*Salcycl</f>
        <v>0.12223529027313025</v>
      </c>
      <c r="AD18" s="233">
        <f>(INDEX(Models!$BJ18:$BT18,,AH18)*(1-AF18)+INDEX(Models!$BJ18:$BT18,,AH18+1)*AF18-ERP_i)*AE18*Ramure*Pc/MaxiM</f>
        <v>4.9985973929293527E-2</v>
      </c>
      <c r="AE18" s="307">
        <f t="shared" si="15"/>
        <v>0.9</v>
      </c>
      <c r="AF18" s="179">
        <f t="shared" si="22"/>
        <v>0.29988677135950537</v>
      </c>
      <c r="AG18" s="839">
        <f t="shared" si="23"/>
        <v>-1</v>
      </c>
      <c r="AH18" s="178">
        <f t="shared" si="16"/>
        <v>5</v>
      </c>
      <c r="AI18" s="227">
        <f t="shared" si="17"/>
        <v>-0.70011322864049463</v>
      </c>
      <c r="AJ18" s="267" t="b">
        <f t="shared" si="18"/>
        <v>1</v>
      </c>
      <c r="AK18" s="267" t="b">
        <f t="shared" si="19"/>
        <v>0</v>
      </c>
      <c r="AL18" s="267"/>
      <c r="AM18" s="267"/>
      <c r="AN18" s="75"/>
    </row>
    <row r="19" spans="1:40" s="6" customFormat="1" ht="11.25" x14ac:dyDescent="0.2">
      <c r="A19" s="56">
        <f t="shared" si="20"/>
        <v>44201</v>
      </c>
      <c r="B19" s="620">
        <v>3.0030000000000001</v>
      </c>
      <c r="C19" s="392"/>
      <c r="D19" s="395">
        <f t="shared" si="0"/>
        <v>3.0657035514264463</v>
      </c>
      <c r="E19" s="387">
        <f t="shared" si="1"/>
        <v>3.4927969505585814</v>
      </c>
      <c r="F19" s="387">
        <f t="shared" si="2"/>
        <v>3.4927969505585814</v>
      </c>
      <c r="G19" s="110">
        <f t="shared" si="21"/>
        <v>0.17968480486360891</v>
      </c>
      <c r="H19" s="416" t="b">
        <f>Wh_hp&gt;='2020'!Maxi_hp</f>
        <v>0</v>
      </c>
      <c r="I19" s="382">
        <f>IF(H19,Wh_hp,'2020'!Maxi_hp)</f>
        <v>19.412334573306765</v>
      </c>
      <c r="J19" s="85">
        <f>IF(H19,An,'2020'!An_max)</f>
        <v>2019</v>
      </c>
      <c r="K19" s="199">
        <f t="shared" si="3"/>
        <v>44201</v>
      </c>
      <c r="L19" s="147">
        <f>IF(t&lt;Tvie,1-EXP((T0-t)*PertePVj)+'2020'!Pspv,1-EXP((T0-t)*PertePVj)+Pspv)</f>
        <v>2.0453233776393964E-2</v>
      </c>
      <c r="M19" s="872"/>
      <c r="N19" s="872"/>
      <c r="O19" s="48">
        <f>IF(t&lt;Tnet,'2020'!Resal+('2020'!Salim-'2020'!Resal)*(1-EXP(('2020'!Tnet-t)/('2020'!Tau_j))),Resal+(Salim-Resal)*(1-EXP((Tnet-t)/(Tau_j))))*Salcycl</f>
        <v>0.12227833600914952</v>
      </c>
      <c r="P19" s="171">
        <f>(INDEX(Models!$BJ19:$BT19,,T19)*(1-R19)+INDEX(Models!$BJ19:$BT19,,T19+1)*R19-ERP_i)*Q19*Ramure*Pc/MaxiM</f>
        <v>4.9301051149501486E-2</v>
      </c>
      <c r="Q19" s="307">
        <f t="shared" si="4"/>
        <v>0.9</v>
      </c>
      <c r="R19" s="179">
        <f t="shared" si="5"/>
        <v>0.29992642882080722</v>
      </c>
      <c r="S19" s="839">
        <f t="shared" si="6"/>
        <v>-1</v>
      </c>
      <c r="T19" s="178">
        <f t="shared" si="7"/>
        <v>5</v>
      </c>
      <c r="U19" s="253">
        <f t="shared" si="8"/>
        <v>-0.70007357117919278</v>
      </c>
      <c r="V19" s="385">
        <f t="shared" si="9"/>
        <v>15.888649825259945</v>
      </c>
      <c r="W19" s="404"/>
      <c r="X19" s="157">
        <f t="shared" si="10"/>
        <v>44201</v>
      </c>
      <c r="Y19" s="387">
        <f t="shared" si="11"/>
        <v>3.0030000000000001</v>
      </c>
      <c r="Z19" s="387">
        <f t="shared" si="12"/>
        <v>3.0657035514264463</v>
      </c>
      <c r="AA19" s="388">
        <f t="shared" si="13"/>
        <v>3.4927969505585814</v>
      </c>
      <c r="AB19" s="199">
        <f t="shared" si="14"/>
        <v>44201</v>
      </c>
      <c r="AC19" s="119">
        <f>IF(OR(t&lt;Tnet,NoTnet),'2020'!Resal_s+('2020'!Salim-'2020'!Resal_s)*(1-EXP(('2020'!Tnet_s-t)/'2020'!Tau_j)),Resal_s+(Salim-Resal_s)*(1-EXP((Tnet_s-t)/Tau_j)))*Salcycl</f>
        <v>0.12227833600914952</v>
      </c>
      <c r="AD19" s="233">
        <f>(INDEX(Models!$BJ19:$BT19,,AH19)*(1-AF19)+INDEX(Models!$BJ19:$BT19,,AH19+1)*AF19-ERP_i)*AE19*Ramure*Pc/MaxiM</f>
        <v>4.9301051149501486E-2</v>
      </c>
      <c r="AE19" s="307">
        <f t="shared" si="15"/>
        <v>0.9</v>
      </c>
      <c r="AF19" s="179">
        <f t="shared" si="22"/>
        <v>0.29992642882080722</v>
      </c>
      <c r="AG19" s="839">
        <f t="shared" si="23"/>
        <v>-1</v>
      </c>
      <c r="AH19" s="178">
        <f t="shared" si="16"/>
        <v>5</v>
      </c>
      <c r="AI19" s="227">
        <f t="shared" si="17"/>
        <v>-0.70007357117919278</v>
      </c>
      <c r="AJ19" s="267" t="b">
        <f t="shared" si="18"/>
        <v>1</v>
      </c>
      <c r="AK19" s="267" t="b">
        <f t="shared" si="19"/>
        <v>0</v>
      </c>
      <c r="AL19" s="267"/>
      <c r="AM19" s="267"/>
      <c r="AN19" s="75"/>
    </row>
    <row r="20" spans="1:40" s="6" customFormat="1" ht="11.25" x14ac:dyDescent="0.2">
      <c r="A20" s="56">
        <f t="shared" si="20"/>
        <v>44202</v>
      </c>
      <c r="B20" s="620">
        <v>6.7480000000000002</v>
      </c>
      <c r="C20" s="392"/>
      <c r="D20" s="395">
        <f t="shared" si="0"/>
        <v>6.8890606065584175</v>
      </c>
      <c r="E20" s="387">
        <f t="shared" si="1"/>
        <v>7.8491848598159892</v>
      </c>
      <c r="F20" s="387">
        <f t="shared" si="2"/>
        <v>7.9155479353233398</v>
      </c>
      <c r="G20" s="110">
        <f t="shared" si="21"/>
        <v>0.40370669364157041</v>
      </c>
      <c r="H20" s="416" t="b">
        <f>Wh_hp&gt;='2020'!Maxi_hp</f>
        <v>0</v>
      </c>
      <c r="I20" s="382">
        <f>IF(H20,Wh_hp,'2020'!Maxi_hp)</f>
        <v>18.820764031307291</v>
      </c>
      <c r="J20" s="85">
        <f>IF(H20,An,'2020'!An_max)</f>
        <v>2020</v>
      </c>
      <c r="K20" s="199">
        <f t="shared" si="3"/>
        <v>44202</v>
      </c>
      <c r="L20" s="147">
        <f>IF(t&lt;Tvie,1-EXP((T0-t)*PertePVj)+'2020'!Pspv,1-EXP((T0-t)*PertePVj)+Pspv)</f>
        <v>2.0476029260669715E-2</v>
      </c>
      <c r="M20" s="872"/>
      <c r="N20" s="872"/>
      <c r="O20" s="48">
        <f>IF(t&lt;Tnet,'2020'!Resal+('2020'!Salim-'2020'!Resal)*(1-EXP(('2020'!Tnet-t)/('2020'!Tau_j))),Resal+(Salim-Resal)*(1-EXP((Tnet-t)/(Tau_j))))*Salcycl</f>
        <v>0.12232152387860577</v>
      </c>
      <c r="P20" s="171">
        <f>(INDEX(Models!$BJ20:$BT20,,T20)*(1-R20)+INDEX(Models!$BJ20:$BT20,,T20+1)*R20-ERP_i)*Q20*Ramure*Pc/MaxiM</f>
        <v>4.8594549110701601E-2</v>
      </c>
      <c r="Q20" s="307">
        <f t="shared" si="4"/>
        <v>0.9</v>
      </c>
      <c r="R20" s="179">
        <f t="shared" si="5"/>
        <v>0.29996774441887508</v>
      </c>
      <c r="S20" s="839">
        <f t="shared" si="6"/>
        <v>-1</v>
      </c>
      <c r="T20" s="178">
        <f t="shared" si="7"/>
        <v>5</v>
      </c>
      <c r="U20" s="253">
        <f t="shared" si="8"/>
        <v>-0.70003225558112492</v>
      </c>
      <c r="V20" s="385">
        <f t="shared" si="9"/>
        <v>16.037297465462007</v>
      </c>
      <c r="W20" s="404"/>
      <c r="X20" s="157">
        <f t="shared" si="10"/>
        <v>44202</v>
      </c>
      <c r="Y20" s="387">
        <f t="shared" si="11"/>
        <v>6.7480000000000002</v>
      </c>
      <c r="Z20" s="387">
        <f t="shared" si="12"/>
        <v>6.8890606065584175</v>
      </c>
      <c r="AA20" s="388">
        <f t="shared" si="13"/>
        <v>7.8491848598159892</v>
      </c>
      <c r="AB20" s="199">
        <f t="shared" si="14"/>
        <v>44202</v>
      </c>
      <c r="AC20" s="119">
        <f>IF(OR(t&lt;Tnet,NoTnet),'2020'!Resal_s+('2020'!Salim-'2020'!Resal_s)*(1-EXP(('2020'!Tnet_s-t)/'2020'!Tau_j)),Resal_s+(Salim-Resal_s)*(1-EXP((Tnet_s-t)/Tau_j)))*Salcycl</f>
        <v>0.12232152387860577</v>
      </c>
      <c r="AD20" s="233">
        <f>(INDEX(Models!$BJ20:$BT20,,AH20)*(1-AF20)+INDEX(Models!$BJ20:$BT20,,AH20+1)*AF20-ERP_i)*AE20*Ramure*Pc/MaxiM</f>
        <v>4.8594549110701601E-2</v>
      </c>
      <c r="AE20" s="307">
        <f t="shared" si="15"/>
        <v>0.9</v>
      </c>
      <c r="AF20" s="179">
        <f t="shared" si="22"/>
        <v>0.29996774441887508</v>
      </c>
      <c r="AG20" s="839">
        <f t="shared" si="23"/>
        <v>-1</v>
      </c>
      <c r="AH20" s="178">
        <f t="shared" si="16"/>
        <v>5</v>
      </c>
      <c r="AI20" s="227">
        <f t="shared" si="17"/>
        <v>-0.70003225558112492</v>
      </c>
      <c r="AJ20" s="267" t="b">
        <f t="shared" si="18"/>
        <v>1</v>
      </c>
      <c r="AK20" s="267" t="b">
        <f t="shared" si="19"/>
        <v>0</v>
      </c>
      <c r="AL20" s="267"/>
      <c r="AM20" s="267"/>
      <c r="AN20" s="75"/>
    </row>
    <row r="21" spans="1:40" s="6" customFormat="1" ht="11.25" x14ac:dyDescent="0.2">
      <c r="A21" s="56">
        <f t="shared" si="20"/>
        <v>44203</v>
      </c>
      <c r="B21" s="620">
        <v>9.7959999999999994</v>
      </c>
      <c r="C21" s="392"/>
      <c r="D21" s="395">
        <f t="shared" si="0"/>
        <v>10.001008923898247</v>
      </c>
      <c r="E21" s="387">
        <f t="shared" si="1"/>
        <v>11.395405813135195</v>
      </c>
      <c r="F21" s="387">
        <f t="shared" si="2"/>
        <v>11.638105968264961</v>
      </c>
      <c r="G21" s="110">
        <f t="shared" si="21"/>
        <v>0.58826520528160886</v>
      </c>
      <c r="H21" s="416" t="b">
        <f>Wh_hp&gt;='2020'!Maxi_hp</f>
        <v>1</v>
      </c>
      <c r="I21" s="382">
        <f>IF(H21,Wh_hp,'2020'!Maxi_hp)</f>
        <v>11.638105968264961</v>
      </c>
      <c r="J21" s="85">
        <f>IF(H21,An,'2020'!An_max)</f>
        <v>2021</v>
      </c>
      <c r="K21" s="199">
        <f t="shared" si="3"/>
        <v>44203</v>
      </c>
      <c r="L21" s="147">
        <f>IF(t&lt;Tvie,1-EXP((T0-t)*PertePVj)+'2020'!Pspv,1-EXP((T0-t)*PertePVj)+Pspv)</f>
        <v>2.0498824214461253E-2</v>
      </c>
      <c r="M21" s="872"/>
      <c r="N21" s="872"/>
      <c r="O21" s="48">
        <f>IF(t&lt;Tnet,'2020'!Resal+('2020'!Salim-'2020'!Resal)*(1-EXP(('2020'!Tnet-t)/('2020'!Tau_j))),Resal+(Salim-Resal)*(1-EXP((Tnet-t)/(Tau_j))))*Salcycl</f>
        <v>0.1223648294850247</v>
      </c>
      <c r="P21" s="171">
        <f>(INDEX(Models!$BJ21:$BT21,,T21)*(1-R21)+INDEX(Models!$BJ21:$BT21,,T21+1)*R21-ERP_i)*Q21*Ramure*Pc/MaxiM</f>
        <v>4.7868392543443328E-2</v>
      </c>
      <c r="Q21" s="307">
        <f t="shared" si="4"/>
        <v>0.9</v>
      </c>
      <c r="R21" s="179">
        <f t="shared" si="5"/>
        <v>0.30001078723967822</v>
      </c>
      <c r="S21" s="839">
        <f t="shared" si="6"/>
        <v>-1</v>
      </c>
      <c r="T21" s="178">
        <f t="shared" si="7"/>
        <v>5</v>
      </c>
      <c r="U21" s="253">
        <f t="shared" si="8"/>
        <v>-0.69998921276032178</v>
      </c>
      <c r="V21" s="385">
        <f t="shared" si="9"/>
        <v>16.192917707213123</v>
      </c>
      <c r="W21" s="404"/>
      <c r="X21" s="157">
        <f t="shared" si="10"/>
        <v>44203</v>
      </c>
      <c r="Y21" s="387">
        <f t="shared" si="11"/>
        <v>9.7959999999999994</v>
      </c>
      <c r="Z21" s="387">
        <f t="shared" si="12"/>
        <v>10.001008923898247</v>
      </c>
      <c r="AA21" s="388">
        <f t="shared" si="13"/>
        <v>11.395405813135195</v>
      </c>
      <c r="AB21" s="199">
        <f t="shared" si="14"/>
        <v>44203</v>
      </c>
      <c r="AC21" s="119">
        <f>IF(OR(t&lt;Tnet,NoTnet),'2020'!Resal_s+('2020'!Salim-'2020'!Resal_s)*(1-EXP(('2020'!Tnet_s-t)/'2020'!Tau_j)),Resal_s+(Salim-Resal_s)*(1-EXP((Tnet_s-t)/Tau_j)))*Salcycl</f>
        <v>0.1223648294850247</v>
      </c>
      <c r="AD21" s="233">
        <f>(INDEX(Models!$BJ21:$BT21,,AH21)*(1-AF21)+INDEX(Models!$BJ21:$BT21,,AH21+1)*AF21-ERP_i)*AE21*Ramure*Pc/MaxiM</f>
        <v>4.7868392543443328E-2</v>
      </c>
      <c r="AE21" s="307">
        <f t="shared" si="15"/>
        <v>0.9</v>
      </c>
      <c r="AF21" s="179">
        <f t="shared" si="22"/>
        <v>0.30001078723967822</v>
      </c>
      <c r="AG21" s="839">
        <f t="shared" si="23"/>
        <v>-1</v>
      </c>
      <c r="AH21" s="178">
        <f t="shared" si="16"/>
        <v>5</v>
      </c>
      <c r="AI21" s="227">
        <f t="shared" si="17"/>
        <v>-0.69998921276032178</v>
      </c>
      <c r="AJ21" s="267" t="b">
        <f t="shared" si="18"/>
        <v>1</v>
      </c>
      <c r="AK21" s="267" t="b">
        <f t="shared" si="19"/>
        <v>0</v>
      </c>
      <c r="AL21" s="267"/>
      <c r="AM21" s="267"/>
      <c r="AN21" s="75"/>
    </row>
    <row r="22" spans="1:40" s="6" customFormat="1" ht="11.25" x14ac:dyDescent="0.2">
      <c r="A22" s="56">
        <f t="shared" si="20"/>
        <v>44204</v>
      </c>
      <c r="B22" s="620">
        <v>12.209</v>
      </c>
      <c r="C22" s="392"/>
      <c r="D22" s="395">
        <f t="shared" si="0"/>
        <v>12.464797827411171</v>
      </c>
      <c r="E22" s="387">
        <f t="shared" si="1"/>
        <v>14.203412446891324</v>
      </c>
      <c r="F22" s="387">
        <f t="shared" si="2"/>
        <v>14.643565191481343</v>
      </c>
      <c r="G22" s="110">
        <f t="shared" si="21"/>
        <v>0.73335162214326965</v>
      </c>
      <c r="H22" s="416" t="b">
        <f>Wh_hp&gt;='2020'!Maxi_hp</f>
        <v>1</v>
      </c>
      <c r="I22" s="382">
        <f>IF(H22,Wh_hp,'2020'!Maxi_hp)</f>
        <v>14.643565191481343</v>
      </c>
      <c r="J22" s="85">
        <f>IF(H22,An,'2020'!An_max)</f>
        <v>2021</v>
      </c>
      <c r="K22" s="199">
        <f t="shared" si="3"/>
        <v>44204</v>
      </c>
      <c r="L22" s="147">
        <f>IF(t&lt;Tvie,1-EXP((T0-t)*PertePVj)+'2020'!Pspv,1-EXP((T0-t)*PertePVj)+Pspv)</f>
        <v>2.0521618637780903E-2</v>
      </c>
      <c r="M22" s="872"/>
      <c r="N22" s="872"/>
      <c r="O22" s="48">
        <f>IF(t&lt;Tnet,'2020'!Resal+('2020'!Salim-'2020'!Resal)*(1-EXP(('2020'!Tnet-t)/('2020'!Tau_j))),Resal+(Salim-Resal)*(1-EXP((Tnet-t)/(Tau_j))))*Salcycl</f>
        <v>0.12240823294972895</v>
      </c>
      <c r="P22" s="171">
        <f>(INDEX(Models!$BJ22:$BT22,,T22)*(1-R22)+INDEX(Models!$BJ22:$BT22,,T22+1)*R22-ERP_i)*Q22*Ramure*Pc/MaxiM</f>
        <v>4.7124452114934712E-2</v>
      </c>
      <c r="Q22" s="307">
        <f t="shared" si="4"/>
        <v>0.9</v>
      </c>
      <c r="R22" s="179">
        <f t="shared" si="5"/>
        <v>0.30005562922685214</v>
      </c>
      <c r="S22" s="839">
        <f t="shared" si="6"/>
        <v>-1</v>
      </c>
      <c r="T22" s="178">
        <f t="shared" si="7"/>
        <v>5</v>
      </c>
      <c r="U22" s="253">
        <f t="shared" si="8"/>
        <v>-0.69994437077314786</v>
      </c>
      <c r="V22" s="385">
        <f t="shared" si="9"/>
        <v>16.355286105888407</v>
      </c>
      <c r="W22" s="404"/>
      <c r="X22" s="157">
        <f t="shared" si="10"/>
        <v>44204</v>
      </c>
      <c r="Y22" s="387">
        <f t="shared" si="11"/>
        <v>12.209</v>
      </c>
      <c r="Z22" s="387">
        <f t="shared" si="12"/>
        <v>12.464797827411171</v>
      </c>
      <c r="AA22" s="388">
        <f t="shared" si="13"/>
        <v>14.203412446891324</v>
      </c>
      <c r="AB22" s="199">
        <f t="shared" si="14"/>
        <v>44204</v>
      </c>
      <c r="AC22" s="119">
        <f>IF(OR(t&lt;Tnet,NoTnet),'2020'!Resal_s+('2020'!Salim-'2020'!Resal_s)*(1-EXP(('2020'!Tnet_s-t)/'2020'!Tau_j)),Resal_s+(Salim-Resal_s)*(1-EXP((Tnet_s-t)/Tau_j)))*Salcycl</f>
        <v>0.12240823294972895</v>
      </c>
      <c r="AD22" s="233">
        <f>(INDEX(Models!$BJ22:$BT22,,AH22)*(1-AF22)+INDEX(Models!$BJ22:$BT22,,AH22+1)*AF22-ERP_i)*AE22*Ramure*Pc/MaxiM</f>
        <v>4.7124452114934712E-2</v>
      </c>
      <c r="AE22" s="307">
        <f t="shared" si="15"/>
        <v>0.9</v>
      </c>
      <c r="AF22" s="179">
        <f t="shared" si="22"/>
        <v>0.30005562922685214</v>
      </c>
      <c r="AG22" s="839">
        <f t="shared" si="23"/>
        <v>-1</v>
      </c>
      <c r="AH22" s="178">
        <f t="shared" si="16"/>
        <v>5</v>
      </c>
      <c r="AI22" s="227">
        <f t="shared" si="17"/>
        <v>-0.69994437077314786</v>
      </c>
      <c r="AJ22" s="267" t="b">
        <f t="shared" si="18"/>
        <v>1</v>
      </c>
      <c r="AK22" s="267" t="b">
        <f t="shared" si="19"/>
        <v>0</v>
      </c>
      <c r="AL22" s="267"/>
      <c r="AM22" s="267"/>
      <c r="AN22" s="75"/>
    </row>
    <row r="23" spans="1:40" s="6" customFormat="1" ht="11.25" x14ac:dyDescent="0.2">
      <c r="A23" s="56">
        <f t="shared" si="20"/>
        <v>44205</v>
      </c>
      <c r="B23" s="620">
        <v>4.7060000000000004</v>
      </c>
      <c r="C23" s="392"/>
      <c r="D23" s="395">
        <f t="shared" si="0"/>
        <v>4.8047099431624014</v>
      </c>
      <c r="E23" s="387">
        <f t="shared" si="1"/>
        <v>5.4751516757263259</v>
      </c>
      <c r="F23" s="387">
        <f t="shared" si="2"/>
        <v>5.4751516757263259</v>
      </c>
      <c r="G23" s="110">
        <f t="shared" si="21"/>
        <v>0.27155941009522711</v>
      </c>
      <c r="H23" s="416" t="b">
        <f>Wh_hp&gt;='2020'!Maxi_hp</f>
        <v>0</v>
      </c>
      <c r="I23" s="382">
        <f>IF(H23,Wh_hp,'2020'!Maxi_hp)</f>
        <v>18.867508996859197</v>
      </c>
      <c r="J23" s="85">
        <f>IF(H23,An,'2020'!An_max)</f>
        <v>2020</v>
      </c>
      <c r="K23" s="199">
        <f t="shared" si="3"/>
        <v>44205</v>
      </c>
      <c r="L23" s="147">
        <f>IF(t&lt;Tvie,1-EXP((T0-t)*PertePVj)+'2020'!Pspv,1-EXP((T0-t)*PertePVj)+Pspv)</f>
        <v>2.0544412530640987E-2</v>
      </c>
      <c r="M23" s="872"/>
      <c r="N23" s="872"/>
      <c r="O23" s="48">
        <f>IF(t&lt;Tnet,'2020'!Resal+('2020'!Salim-'2020'!Resal)*(1-EXP(('2020'!Tnet-t)/('2020'!Tau_j))),Resal+(Salim-Resal)*(1-EXP((Tnet-t)/(Tau_j))))*Salcycl</f>
        <v>0.12245171865033022</v>
      </c>
      <c r="P23" s="171">
        <f>(INDEX(Models!$BJ23:$BT23,,T23)*(1-R23)+INDEX(Models!$BJ23:$BT23,,T23+1)*R23-ERP_i)*Q23*Ramure*Pc/MaxiM</f>
        <v>4.6359243597564104E-2</v>
      </c>
      <c r="Q23" s="307">
        <f t="shared" si="4"/>
        <v>0.9</v>
      </c>
      <c r="R23" s="179">
        <f t="shared" si="5"/>
        <v>0.3001023452981223</v>
      </c>
      <c r="S23" s="839">
        <f t="shared" si="6"/>
        <v>-1</v>
      </c>
      <c r="T23" s="178">
        <f t="shared" si="7"/>
        <v>5</v>
      </c>
      <c r="U23" s="253">
        <f t="shared" si="8"/>
        <v>-0.6998976547018777</v>
      </c>
      <c r="V23" s="385">
        <f t="shared" si="9"/>
        <v>16.526156829019943</v>
      </c>
      <c r="W23" s="404"/>
      <c r="X23" s="157">
        <f t="shared" si="10"/>
        <v>44205</v>
      </c>
      <c r="Y23" s="387">
        <f t="shared" si="11"/>
        <v>4.7060000000000004</v>
      </c>
      <c r="Z23" s="387">
        <f t="shared" si="12"/>
        <v>4.8047099431624014</v>
      </c>
      <c r="AA23" s="388">
        <f t="shared" si="13"/>
        <v>5.4751516757263259</v>
      </c>
      <c r="AB23" s="199">
        <f t="shared" si="14"/>
        <v>44205</v>
      </c>
      <c r="AC23" s="119">
        <f>IF(OR(t&lt;Tnet,NoTnet),'2020'!Resal_s+('2020'!Salim-'2020'!Resal_s)*(1-EXP(('2020'!Tnet_s-t)/'2020'!Tau_j)),Resal_s+(Salim-Resal_s)*(1-EXP((Tnet_s-t)/Tau_j)))*Salcycl</f>
        <v>0.12245171865033022</v>
      </c>
      <c r="AD23" s="233">
        <f>(INDEX(Models!$BJ23:$BT23,,AH23)*(1-AF23)+INDEX(Models!$BJ23:$BT23,,AH23+1)*AF23-ERP_i)*AE23*Ramure*Pc/MaxiM</f>
        <v>4.6359243597564104E-2</v>
      </c>
      <c r="AE23" s="307">
        <f t="shared" si="15"/>
        <v>0.9</v>
      </c>
      <c r="AF23" s="179">
        <f t="shared" si="22"/>
        <v>0.3001023452981223</v>
      </c>
      <c r="AG23" s="839">
        <f t="shared" si="23"/>
        <v>-1</v>
      </c>
      <c r="AH23" s="178">
        <f t="shared" si="16"/>
        <v>5</v>
      </c>
      <c r="AI23" s="227">
        <f t="shared" si="17"/>
        <v>-0.6998976547018777</v>
      </c>
      <c r="AJ23" s="267" t="b">
        <f t="shared" si="18"/>
        <v>1</v>
      </c>
      <c r="AK23" s="267" t="b">
        <f t="shared" si="19"/>
        <v>0</v>
      </c>
      <c r="AL23" s="267"/>
      <c r="AM23" s="267"/>
      <c r="AN23" s="75"/>
    </row>
    <row r="24" spans="1:40" s="6" customFormat="1" ht="11.25" x14ac:dyDescent="0.2">
      <c r="A24" s="56">
        <f t="shared" si="20"/>
        <v>44206</v>
      </c>
      <c r="B24" s="620">
        <v>4.3490000000000002</v>
      </c>
      <c r="C24" s="392"/>
      <c r="D24" s="395">
        <f t="shared" si="0"/>
        <v>4.4403250801556524</v>
      </c>
      <c r="E24" s="387">
        <f t="shared" si="1"/>
        <v>5.0601722740672903</v>
      </c>
      <c r="F24" s="387">
        <f t="shared" si="2"/>
        <v>5.0601722740672903</v>
      </c>
      <c r="G24" s="110">
        <f t="shared" si="21"/>
        <v>0.24844744569835234</v>
      </c>
      <c r="H24" s="416" t="b">
        <f>Wh_hp&gt;='2020'!Maxi_hp</f>
        <v>0</v>
      </c>
      <c r="I24" s="382">
        <f>IF(H24,Wh_hp,'2020'!Maxi_hp)</f>
        <v>10.733503548463755</v>
      </c>
      <c r="J24" s="85">
        <f>IF(H24,An,'2020'!An_max)</f>
        <v>2019</v>
      </c>
      <c r="K24" s="199">
        <f t="shared" si="3"/>
        <v>44206</v>
      </c>
      <c r="L24" s="147">
        <f>IF(t&lt;Tvie,1-EXP((T0-t)*PertePVj)+'2020'!Pspv,1-EXP((T0-t)*PertePVj)+Pspv)</f>
        <v>2.0567205893053941E-2</v>
      </c>
      <c r="M24" s="872"/>
      <c r="N24" s="872"/>
      <c r="O24" s="48">
        <f>IF(t&lt;Tnet,'2020'!Resal+('2020'!Salim-'2020'!Resal)*(1-EXP(('2020'!Tnet-t)/('2020'!Tau_j))),Resal+(Salim-Resal)*(1-EXP((Tnet-t)/(Tau_j))))*Salcycl</f>
        <v>0.12249527493130463</v>
      </c>
      <c r="P24" s="171">
        <f>(INDEX(Models!$BJ24:$BT24,,T24)*(1-R24)+INDEX(Models!$BJ24:$BT24,,T24+1)*R24-ERP_i)*Q24*Ramure*Pc/MaxiM</f>
        <v>4.5582537015389973E-2</v>
      </c>
      <c r="Q24" s="307">
        <f t="shared" si="4"/>
        <v>0.9</v>
      </c>
      <c r="R24" s="179">
        <f t="shared" si="5"/>
        <v>0.30015101346632245</v>
      </c>
      <c r="S24" s="839">
        <f t="shared" si="6"/>
        <v>-1</v>
      </c>
      <c r="T24" s="178">
        <f t="shared" si="7"/>
        <v>5</v>
      </c>
      <c r="U24" s="253">
        <f t="shared" si="8"/>
        <v>-0.69984898653367755</v>
      </c>
      <c r="V24" s="385">
        <f t="shared" si="9"/>
        <v>16.706799036926451</v>
      </c>
      <c r="W24" s="404"/>
      <c r="X24" s="157">
        <f t="shared" si="10"/>
        <v>44206</v>
      </c>
      <c r="Y24" s="387">
        <f t="shared" si="11"/>
        <v>4.3490000000000002</v>
      </c>
      <c r="Z24" s="387">
        <f t="shared" si="12"/>
        <v>4.4403250801556524</v>
      </c>
      <c r="AA24" s="388">
        <f t="shared" si="13"/>
        <v>5.0601722740672903</v>
      </c>
      <c r="AB24" s="199">
        <f t="shared" si="14"/>
        <v>44206</v>
      </c>
      <c r="AC24" s="119">
        <f>IF(OR(t&lt;Tnet,NoTnet),'2020'!Resal_s+('2020'!Salim-'2020'!Resal_s)*(1-EXP(('2020'!Tnet_s-t)/'2020'!Tau_j)),Resal_s+(Salim-Resal_s)*(1-EXP((Tnet_s-t)/Tau_j)))*Salcycl</f>
        <v>0.12249527493130463</v>
      </c>
      <c r="AD24" s="233">
        <f>(INDEX(Models!$BJ24:$BT24,,AH24)*(1-AF24)+INDEX(Models!$BJ24:$BT24,,AH24+1)*AF24-ERP_i)*AE24*Ramure*Pc/MaxiM</f>
        <v>4.5582537015389973E-2</v>
      </c>
      <c r="AE24" s="307">
        <f t="shared" si="15"/>
        <v>0.9</v>
      </c>
      <c r="AF24" s="179">
        <f t="shared" si="22"/>
        <v>0.30015101346632245</v>
      </c>
      <c r="AG24" s="839">
        <f t="shared" si="23"/>
        <v>-1</v>
      </c>
      <c r="AH24" s="178">
        <f t="shared" si="16"/>
        <v>5</v>
      </c>
      <c r="AI24" s="227">
        <f t="shared" si="17"/>
        <v>-0.69984898653367755</v>
      </c>
      <c r="AJ24" s="267" t="b">
        <f t="shared" si="18"/>
        <v>1</v>
      </c>
      <c r="AK24" s="267" t="b">
        <f t="shared" si="19"/>
        <v>0</v>
      </c>
      <c r="AL24" s="267"/>
      <c r="AM24" s="267"/>
      <c r="AN24" s="75"/>
    </row>
    <row r="25" spans="1:40" s="6" customFormat="1" ht="11.25" x14ac:dyDescent="0.2">
      <c r="A25" s="56">
        <f t="shared" si="20"/>
        <v>44207</v>
      </c>
      <c r="B25" s="620">
        <v>5.8230000000000004</v>
      </c>
      <c r="C25" s="392"/>
      <c r="D25" s="395">
        <f t="shared" si="0"/>
        <v>5.9454161101273062</v>
      </c>
      <c r="E25" s="387">
        <f t="shared" si="1"/>
        <v>6.7757032967654265</v>
      </c>
      <c r="F25" s="387">
        <f t="shared" si="2"/>
        <v>6.7951169782014089</v>
      </c>
      <c r="G25" s="110">
        <f t="shared" si="21"/>
        <v>0.33013082888046719</v>
      </c>
      <c r="H25" s="416" t="b">
        <f>Wh_hp&gt;='2020'!Maxi_hp</f>
        <v>0</v>
      </c>
      <c r="I25" s="382">
        <f>IF(H25,Wh_hp,'2020'!Maxi_hp)</f>
        <v>20.345949688622873</v>
      </c>
      <c r="J25" s="85">
        <f>IF(H25,An,'2020'!An_max)</f>
        <v>2020</v>
      </c>
      <c r="K25" s="199">
        <f t="shared" si="3"/>
        <v>44207</v>
      </c>
      <c r="L25" s="147">
        <f>IF(t&lt;Tvie,1-EXP((T0-t)*PertePVj)+'2020'!Pspv,1-EXP((T0-t)*PertePVj)+Pspv)</f>
        <v>2.0589998725031977E-2</v>
      </c>
      <c r="M25" s="872"/>
      <c r="N25" s="872"/>
      <c r="O25" s="48">
        <f>IF(t&lt;Tnet,'2020'!Resal+('2020'!Salim-'2020'!Resal)*(1-EXP(('2020'!Tnet-t)/('2020'!Tau_j))),Resal+(Salim-Resal)*(1-EXP((Tnet-t)/(Tau_j))))*Salcycl</f>
        <v>0.12253889379047658</v>
      </c>
      <c r="P25" s="171">
        <f>(INDEX(Models!$BJ25:$BT25,,T25)*(1-R25)+INDEX(Models!$BJ25:$BT25,,T25+1)*R25-ERP_i)*Q25*Ramure*Pc/MaxiM</f>
        <v>4.4810146632155996E-2</v>
      </c>
      <c r="Q25" s="307">
        <f t="shared" si="4"/>
        <v>0.9</v>
      </c>
      <c r="R25" s="179">
        <f t="shared" si="5"/>
        <v>0.30020171496516868</v>
      </c>
      <c r="S25" s="839">
        <f t="shared" si="6"/>
        <v>-1</v>
      </c>
      <c r="T25" s="178">
        <f t="shared" si="7"/>
        <v>5</v>
      </c>
      <c r="U25" s="253">
        <f t="shared" si="8"/>
        <v>-0.69979828503483132</v>
      </c>
      <c r="V25" s="385">
        <f t="shared" si="9"/>
        <v>16.896352658946306</v>
      </c>
      <c r="W25" s="404"/>
      <c r="X25" s="157">
        <f t="shared" si="10"/>
        <v>44207</v>
      </c>
      <c r="Y25" s="387">
        <f t="shared" si="11"/>
        <v>5.8230000000000004</v>
      </c>
      <c r="Z25" s="387">
        <f t="shared" si="12"/>
        <v>5.9454161101273062</v>
      </c>
      <c r="AA25" s="388">
        <f t="shared" si="13"/>
        <v>6.7757032967654265</v>
      </c>
      <c r="AB25" s="199">
        <f t="shared" si="14"/>
        <v>44207</v>
      </c>
      <c r="AC25" s="119">
        <f>IF(OR(t&lt;Tnet,NoTnet),'2020'!Resal_s+('2020'!Salim-'2020'!Resal_s)*(1-EXP(('2020'!Tnet_s-t)/'2020'!Tau_j)),Resal_s+(Salim-Resal_s)*(1-EXP((Tnet_s-t)/Tau_j)))*Salcycl</f>
        <v>0.12253889379047658</v>
      </c>
      <c r="AD25" s="233">
        <f>(INDEX(Models!$BJ25:$BT25,,AH25)*(1-AF25)+INDEX(Models!$BJ25:$BT25,,AH25+1)*AF25-ERP_i)*AE25*Ramure*Pc/MaxiM</f>
        <v>4.4810146632155996E-2</v>
      </c>
      <c r="AE25" s="307">
        <f t="shared" si="15"/>
        <v>0.9</v>
      </c>
      <c r="AF25" s="179">
        <f t="shared" si="22"/>
        <v>0.30020171496516868</v>
      </c>
      <c r="AG25" s="839">
        <f t="shared" si="23"/>
        <v>-1</v>
      </c>
      <c r="AH25" s="178">
        <f t="shared" si="16"/>
        <v>5</v>
      </c>
      <c r="AI25" s="227">
        <f t="shared" si="17"/>
        <v>-0.69979828503483132</v>
      </c>
      <c r="AJ25" s="267" t="b">
        <f t="shared" si="18"/>
        <v>1</v>
      </c>
      <c r="AK25" s="267" t="b">
        <f t="shared" si="19"/>
        <v>0</v>
      </c>
      <c r="AL25" s="267"/>
      <c r="AM25" s="267"/>
      <c r="AN25" s="75"/>
    </row>
    <row r="26" spans="1:40" s="6" customFormat="1" ht="11.25" x14ac:dyDescent="0.2">
      <c r="A26" s="56">
        <f t="shared" si="20"/>
        <v>44208</v>
      </c>
      <c r="B26" s="620">
        <v>11.917</v>
      </c>
      <c r="C26" s="392"/>
      <c r="D26" s="395">
        <f t="shared" si="0"/>
        <v>12.167812577919335</v>
      </c>
      <c r="E26" s="387">
        <f t="shared" si="1"/>
        <v>13.867758001436624</v>
      </c>
      <c r="F26" s="387">
        <f t="shared" si="2"/>
        <v>14.223170210618253</v>
      </c>
      <c r="G26" s="110">
        <f t="shared" si="21"/>
        <v>0.68351241175702726</v>
      </c>
      <c r="H26" s="416" t="b">
        <f>Wh_hp&gt;='2020'!Maxi_hp</f>
        <v>0</v>
      </c>
      <c r="I26" s="382">
        <f>IF(H26,Wh_hp,'2020'!Maxi_hp)</f>
        <v>20.696537437632458</v>
      </c>
      <c r="J26" s="85">
        <f>IF(H26,An,'2020'!An_max)</f>
        <v>2020</v>
      </c>
      <c r="K26" s="199">
        <f t="shared" si="3"/>
        <v>44208</v>
      </c>
      <c r="L26" s="147">
        <f>IF(t&lt;Tvie,1-EXP((T0-t)*PertePVj)+'2020'!Pspv,1-EXP((T0-t)*PertePVj)+Pspv)</f>
        <v>2.061279102658764E-2</v>
      </c>
      <c r="M26" s="872"/>
      <c r="N26" s="872"/>
      <c r="O26" s="48">
        <f>IF(t&lt;Tnet,'2020'!Resal+('2020'!Salim-'2020'!Resal)*(1-EXP(('2020'!Tnet-t)/('2020'!Tau_j))),Resal+(Salim-Resal)*(1-EXP((Tnet-t)/(Tau_j))))*Salcycl</f>
        <v>0.12258257054537461</v>
      </c>
      <c r="P26" s="171">
        <f>(INDEX(Models!$BJ26:$BT26,,T26)*(1-R26)+INDEX(Models!$BJ26:$BT26,,T26+1)*R26-ERP_i)*Q26*Ramure*Pc/MaxiM</f>
        <v>4.4044609111799679E-2</v>
      </c>
      <c r="Q26" s="307">
        <f t="shared" si="4"/>
        <v>0.9</v>
      </c>
      <c r="R26" s="179">
        <f t="shared" si="5"/>
        <v>0.30025453437996541</v>
      </c>
      <c r="S26" s="839">
        <f t="shared" si="6"/>
        <v>-1</v>
      </c>
      <c r="T26" s="178">
        <f t="shared" si="7"/>
        <v>5</v>
      </c>
      <c r="U26" s="253">
        <f t="shared" si="8"/>
        <v>-0.69974546562003459</v>
      </c>
      <c r="V26" s="385">
        <f t="shared" si="9"/>
        <v>17.094181611499693</v>
      </c>
      <c r="W26" s="404"/>
      <c r="X26" s="157">
        <f t="shared" si="10"/>
        <v>44208</v>
      </c>
      <c r="Y26" s="387">
        <f t="shared" si="11"/>
        <v>11.917</v>
      </c>
      <c r="Z26" s="387">
        <f t="shared" si="12"/>
        <v>12.167812577919335</v>
      </c>
      <c r="AA26" s="388">
        <f t="shared" si="13"/>
        <v>13.867758001436624</v>
      </c>
      <c r="AB26" s="199">
        <f t="shared" si="14"/>
        <v>44208</v>
      </c>
      <c r="AC26" s="119">
        <f>IF(OR(t&lt;Tnet,NoTnet),'2020'!Resal_s+('2020'!Salim-'2020'!Resal_s)*(1-EXP(('2020'!Tnet_s-t)/'2020'!Tau_j)),Resal_s+(Salim-Resal_s)*(1-EXP((Tnet_s-t)/Tau_j)))*Salcycl</f>
        <v>0.12258257054537461</v>
      </c>
      <c r="AD26" s="233">
        <f>(INDEX(Models!$BJ26:$BT26,,AH26)*(1-AF26)+INDEX(Models!$BJ26:$BT26,,AH26+1)*AF26-ERP_i)*AE26*Ramure*Pc/MaxiM</f>
        <v>4.4044609111799679E-2</v>
      </c>
      <c r="AE26" s="307">
        <f t="shared" si="15"/>
        <v>0.9</v>
      </c>
      <c r="AF26" s="179">
        <f t="shared" si="22"/>
        <v>0.30025453437996541</v>
      </c>
      <c r="AG26" s="839">
        <f t="shared" si="23"/>
        <v>-1</v>
      </c>
      <c r="AH26" s="178">
        <f t="shared" si="16"/>
        <v>5</v>
      </c>
      <c r="AI26" s="227">
        <f t="shared" si="17"/>
        <v>-0.69974546562003459</v>
      </c>
      <c r="AJ26" s="267" t="b">
        <f t="shared" si="18"/>
        <v>1</v>
      </c>
      <c r="AK26" s="267" t="b">
        <f t="shared" si="19"/>
        <v>0</v>
      </c>
      <c r="AL26" s="267"/>
      <c r="AM26" s="267"/>
      <c r="AN26" s="75"/>
    </row>
    <row r="27" spans="1:40" s="6" customFormat="1" ht="11.25" x14ac:dyDescent="0.2">
      <c r="A27" s="56">
        <f t="shared" si="20"/>
        <v>44209</v>
      </c>
      <c r="B27" s="620">
        <v>11.734999999999999</v>
      </c>
      <c r="C27" s="392"/>
      <c r="D27" s="395">
        <f t="shared" si="0"/>
        <v>11.982260937683613</v>
      </c>
      <c r="E27" s="387">
        <f t="shared" si="1"/>
        <v>13.656963942796494</v>
      </c>
      <c r="F27" s="387">
        <f t="shared" si="2"/>
        <v>13.984144115014951</v>
      </c>
      <c r="G27" s="110">
        <f t="shared" si="21"/>
        <v>0.66452087044106911</v>
      </c>
      <c r="H27" s="416" t="b">
        <f>Wh_hp&gt;='2020'!Maxi_hp</f>
        <v>0</v>
      </c>
      <c r="I27" s="382">
        <f>IF(H27,Wh_hp,'2020'!Maxi_hp)</f>
        <v>14.73462756836317</v>
      </c>
      <c r="J27" s="85">
        <f>IF(H27,An,'2020'!An_max)</f>
        <v>2020</v>
      </c>
      <c r="K27" s="199">
        <f t="shared" si="3"/>
        <v>44209</v>
      </c>
      <c r="L27" s="147">
        <f>IF(t&lt;Tvie,1-EXP((T0-t)*PertePVj)+'2020'!Pspv,1-EXP((T0-t)*PertePVj)+Pspv)</f>
        <v>2.0635582797733032E-2</v>
      </c>
      <c r="M27" s="872"/>
      <c r="N27" s="872"/>
      <c r="O27" s="48">
        <f>IF(t&lt;Tnet,'2020'!Resal+('2020'!Salim-'2020'!Resal)*(1-EXP(('2020'!Tnet-t)/('2020'!Tau_j))),Resal+(Salim-Resal)*(1-EXP((Tnet-t)/(Tau_j))))*Salcycl</f>
        <v>0.12262630348352208</v>
      </c>
      <c r="P27" s="171">
        <f>(INDEX(Models!$BJ27:$BT27,,T27)*(1-R27)+INDEX(Models!$BJ27:$BT27,,T27+1)*R27-ERP_i)*Q27*Ramure*Pc/MaxiM</f>
        <v>4.3288229133270163E-2</v>
      </c>
      <c r="Q27" s="307">
        <f t="shared" si="4"/>
        <v>0.9</v>
      </c>
      <c r="R27" s="179">
        <f t="shared" si="5"/>
        <v>0.30030955978342211</v>
      </c>
      <c r="S27" s="839">
        <f t="shared" si="6"/>
        <v>-1</v>
      </c>
      <c r="T27" s="178">
        <f t="shared" si="7"/>
        <v>5</v>
      </c>
      <c r="U27" s="253">
        <f t="shared" si="8"/>
        <v>-0.69969044021657789</v>
      </c>
      <c r="V27" s="385">
        <f t="shared" si="9"/>
        <v>17.299649898223475</v>
      </c>
      <c r="W27" s="404"/>
      <c r="X27" s="157">
        <f t="shared" si="10"/>
        <v>44209</v>
      </c>
      <c r="Y27" s="387">
        <f t="shared" si="11"/>
        <v>11.734999999999999</v>
      </c>
      <c r="Z27" s="387">
        <f t="shared" si="12"/>
        <v>11.982260937683613</v>
      </c>
      <c r="AA27" s="388">
        <f t="shared" si="13"/>
        <v>13.656963942796494</v>
      </c>
      <c r="AB27" s="199">
        <f t="shared" si="14"/>
        <v>44209</v>
      </c>
      <c r="AC27" s="119">
        <f>IF(OR(t&lt;Tnet,NoTnet),'2020'!Resal_s+('2020'!Salim-'2020'!Resal_s)*(1-EXP(('2020'!Tnet_s-t)/'2020'!Tau_j)),Resal_s+(Salim-Resal_s)*(1-EXP((Tnet_s-t)/Tau_j)))*Salcycl</f>
        <v>0.12262630348352208</v>
      </c>
      <c r="AD27" s="233">
        <f>(INDEX(Models!$BJ27:$BT27,,AH27)*(1-AF27)+INDEX(Models!$BJ27:$BT27,,AH27+1)*AF27-ERP_i)*AE27*Ramure*Pc/MaxiM</f>
        <v>4.3288229133270163E-2</v>
      </c>
      <c r="AE27" s="307">
        <f t="shared" si="15"/>
        <v>0.9</v>
      </c>
      <c r="AF27" s="179">
        <f t="shared" si="22"/>
        <v>0.30030955978342211</v>
      </c>
      <c r="AG27" s="839">
        <f t="shared" si="23"/>
        <v>-1</v>
      </c>
      <c r="AH27" s="178">
        <f t="shared" si="16"/>
        <v>5</v>
      </c>
      <c r="AI27" s="227">
        <f t="shared" si="17"/>
        <v>-0.69969044021657789</v>
      </c>
      <c r="AJ27" s="267" t="b">
        <f t="shared" si="18"/>
        <v>1</v>
      </c>
      <c r="AK27" s="267" t="b">
        <f t="shared" si="19"/>
        <v>0</v>
      </c>
      <c r="AL27" s="267"/>
      <c r="AM27" s="267"/>
      <c r="AN27" s="75"/>
    </row>
    <row r="28" spans="1:40" s="6" customFormat="1" ht="11.25" x14ac:dyDescent="0.2">
      <c r="A28" s="56">
        <f t="shared" si="20"/>
        <v>44210</v>
      </c>
      <c r="B28" s="620">
        <v>8.9939999999999998</v>
      </c>
      <c r="C28" s="392"/>
      <c r="D28" s="395">
        <f t="shared" si="0"/>
        <v>9.1837207380720436</v>
      </c>
      <c r="E28" s="387">
        <f t="shared" si="1"/>
        <v>10.46780768561459</v>
      </c>
      <c r="F28" s="387">
        <f t="shared" si="2"/>
        <v>10.605476688407494</v>
      </c>
      <c r="G28" s="110">
        <f t="shared" si="21"/>
        <v>0.49820469651922095</v>
      </c>
      <c r="H28" s="416" t="b">
        <f>Wh_hp&gt;='2020'!Maxi_hp</f>
        <v>0</v>
      </c>
      <c r="I28" s="382">
        <f>IF(H28,Wh_hp,'2020'!Maxi_hp)</f>
        <v>20.439088513905933</v>
      </c>
      <c r="J28" s="85">
        <f>IF(H28,An,'2020'!An_max)</f>
        <v>2020</v>
      </c>
      <c r="K28" s="199">
        <f t="shared" si="3"/>
        <v>44210</v>
      </c>
      <c r="L28" s="147">
        <f>IF(t&lt;Tvie,1-EXP((T0-t)*PertePVj)+'2020'!Pspv,1-EXP((T0-t)*PertePVj)+Pspv)</f>
        <v>2.0658374038480698E-2</v>
      </c>
      <c r="M28" s="872"/>
      <c r="N28" s="872"/>
      <c r="O28" s="48">
        <f>IF(t&lt;Tnet,'2020'!Resal+('2020'!Salim-'2020'!Resal)*(1-EXP(('2020'!Tnet-t)/('2020'!Tau_j))),Resal+(Salim-Resal)*(1-EXP((Tnet-t)/(Tau_j))))*Salcycl</f>
        <v>0.12267009350078209</v>
      </c>
      <c r="P28" s="171">
        <f>(INDEX(Models!$BJ28:$BT28,,T28)*(1-R28)+INDEX(Models!$BJ28:$BT28,,T28+1)*R28-ERP_i)*Q28*Ramure*Pc/MaxiM</f>
        <v>4.254308374937505E-2</v>
      </c>
      <c r="Q28" s="307">
        <f t="shared" si="4"/>
        <v>0.9</v>
      </c>
      <c r="R28" s="179">
        <f t="shared" si="5"/>
        <v>0.30036688287675939</v>
      </c>
      <c r="S28" s="839">
        <f t="shared" si="6"/>
        <v>-1</v>
      </c>
      <c r="T28" s="178">
        <f t="shared" si="7"/>
        <v>5</v>
      </c>
      <c r="U28" s="253">
        <f t="shared" si="8"/>
        <v>-0.69963311712324061</v>
      </c>
      <c r="V28" s="385">
        <f t="shared" si="9"/>
        <v>17.512121636726896</v>
      </c>
      <c r="W28" s="404"/>
      <c r="X28" s="157">
        <f t="shared" si="10"/>
        <v>44210</v>
      </c>
      <c r="Y28" s="387">
        <f t="shared" si="11"/>
        <v>8.9939999999999998</v>
      </c>
      <c r="Z28" s="387">
        <f t="shared" si="12"/>
        <v>9.1837207380720436</v>
      </c>
      <c r="AA28" s="388">
        <f t="shared" si="13"/>
        <v>10.46780768561459</v>
      </c>
      <c r="AB28" s="199">
        <f t="shared" si="14"/>
        <v>44210</v>
      </c>
      <c r="AC28" s="119">
        <f>IF(OR(t&lt;Tnet,NoTnet),'2020'!Resal_s+('2020'!Salim-'2020'!Resal_s)*(1-EXP(('2020'!Tnet_s-t)/'2020'!Tau_j)),Resal_s+(Salim-Resal_s)*(1-EXP((Tnet_s-t)/Tau_j)))*Salcycl</f>
        <v>0.12267009350078209</v>
      </c>
      <c r="AD28" s="233">
        <f>(INDEX(Models!$BJ28:$BT28,,AH28)*(1-AF28)+INDEX(Models!$BJ28:$BT28,,AH28+1)*AF28-ERP_i)*AE28*Ramure*Pc/MaxiM</f>
        <v>4.254308374937505E-2</v>
      </c>
      <c r="AE28" s="307">
        <f t="shared" si="15"/>
        <v>0.9</v>
      </c>
      <c r="AF28" s="179">
        <f t="shared" si="22"/>
        <v>0.30036688287675939</v>
      </c>
      <c r="AG28" s="839">
        <f t="shared" si="23"/>
        <v>-1</v>
      </c>
      <c r="AH28" s="178">
        <f t="shared" si="16"/>
        <v>5</v>
      </c>
      <c r="AI28" s="227">
        <f t="shared" si="17"/>
        <v>-0.69963311712324061</v>
      </c>
      <c r="AJ28" s="267" t="b">
        <f t="shared" si="18"/>
        <v>1</v>
      </c>
      <c r="AK28" s="267" t="b">
        <f t="shared" si="19"/>
        <v>0</v>
      </c>
      <c r="AL28" s="267"/>
      <c r="AM28" s="267"/>
      <c r="AN28" s="75"/>
    </row>
    <row r="29" spans="1:40" s="6" customFormat="1" ht="11.25" x14ac:dyDescent="0.2">
      <c r="A29" s="56">
        <f t="shared" si="20"/>
        <v>44211</v>
      </c>
      <c r="B29" s="620">
        <v>13.046000000000001</v>
      </c>
      <c r="C29" s="392"/>
      <c r="D29" s="395">
        <f t="shared" si="0"/>
        <v>13.321504223549637</v>
      </c>
      <c r="E29" s="387">
        <f t="shared" si="1"/>
        <v>15.184903633619893</v>
      </c>
      <c r="F29" s="387">
        <f t="shared" si="2"/>
        <v>15.590712196745914</v>
      </c>
      <c r="G29" s="110">
        <f t="shared" si="21"/>
        <v>0.72385266922104219</v>
      </c>
      <c r="H29" s="416" t="b">
        <f>Wh_hp&gt;='2020'!Maxi_hp</f>
        <v>0</v>
      </c>
      <c r="I29" s="382">
        <f>IF(H29,Wh_hp,'2020'!Maxi_hp)</f>
        <v>21.362516389344162</v>
      </c>
      <c r="J29" s="85">
        <f>IF(H29,An,'2020'!An_max)</f>
        <v>2019</v>
      </c>
      <c r="K29" s="199">
        <f t="shared" si="3"/>
        <v>44211</v>
      </c>
      <c r="L29" s="147">
        <f>IF(t&lt;Tvie,1-EXP((T0-t)*PertePVj)+'2020'!Pspv,1-EXP((T0-t)*PertePVj)+Pspv)</f>
        <v>2.0681164748842851E-2</v>
      </c>
      <c r="M29" s="872"/>
      <c r="N29" s="872"/>
      <c r="O29" s="48">
        <f>IF(t&lt;Tnet,'2020'!Resal+('2020'!Salim-'2020'!Resal)*(1-EXP(('2020'!Tnet-t)/('2020'!Tau_j))),Resal+(Salim-Resal)*(1-EXP((Tnet-t)/(Tau_j))))*Salcycl</f>
        <v>0.12271394373189352</v>
      </c>
      <c r="P29" s="171">
        <f>(INDEX(Models!$BJ29:$BT29,,T29)*(1-R29)+INDEX(Models!$BJ29:$BT29,,T29+1)*R29-ERP_i)*Q29*Ramure*Pc/MaxiM</f>
        <v>4.1811029498530293E-2</v>
      </c>
      <c r="Q29" s="307">
        <f t="shared" si="4"/>
        <v>0.9</v>
      </c>
      <c r="R29" s="179">
        <f t="shared" si="5"/>
        <v>0.3004265991362971</v>
      </c>
      <c r="S29" s="839">
        <f t="shared" si="6"/>
        <v>-1</v>
      </c>
      <c r="T29" s="178">
        <f t="shared" si="7"/>
        <v>5</v>
      </c>
      <c r="U29" s="253">
        <f t="shared" si="8"/>
        <v>-0.6995734008637029</v>
      </c>
      <c r="V29" s="385">
        <f t="shared" si="9"/>
        <v>17.73096105457509</v>
      </c>
      <c r="W29" s="404"/>
      <c r="X29" s="157">
        <f t="shared" si="10"/>
        <v>44211</v>
      </c>
      <c r="Y29" s="387">
        <f t="shared" si="11"/>
        <v>13.046000000000001</v>
      </c>
      <c r="Z29" s="387">
        <f t="shared" si="12"/>
        <v>13.321504223549637</v>
      </c>
      <c r="AA29" s="388">
        <f t="shared" si="13"/>
        <v>15.184903633619893</v>
      </c>
      <c r="AB29" s="199">
        <f t="shared" si="14"/>
        <v>44211</v>
      </c>
      <c r="AC29" s="119">
        <f>IF(OR(t&lt;Tnet,NoTnet),'2020'!Resal_s+('2020'!Salim-'2020'!Resal_s)*(1-EXP(('2020'!Tnet_s-t)/'2020'!Tau_j)),Resal_s+(Salim-Resal_s)*(1-EXP((Tnet_s-t)/Tau_j)))*Salcycl</f>
        <v>0.12271394373189352</v>
      </c>
      <c r="AD29" s="233">
        <f>(INDEX(Models!$BJ29:$BT29,,AH29)*(1-AF29)+INDEX(Models!$BJ29:$BT29,,AH29+1)*AF29-ERP_i)*AE29*Ramure*Pc/MaxiM</f>
        <v>4.1811029498530293E-2</v>
      </c>
      <c r="AE29" s="307">
        <f t="shared" si="15"/>
        <v>0.9</v>
      </c>
      <c r="AF29" s="179">
        <f t="shared" si="22"/>
        <v>0.3004265991362971</v>
      </c>
      <c r="AG29" s="839">
        <f t="shared" si="23"/>
        <v>-1</v>
      </c>
      <c r="AH29" s="178">
        <f t="shared" si="16"/>
        <v>5</v>
      </c>
      <c r="AI29" s="227">
        <f t="shared" si="17"/>
        <v>-0.6995734008637029</v>
      </c>
      <c r="AJ29" s="267" t="b">
        <f t="shared" si="18"/>
        <v>1</v>
      </c>
      <c r="AK29" s="267" t="b">
        <f t="shared" si="19"/>
        <v>0</v>
      </c>
      <c r="AL29" s="267"/>
      <c r="AM29" s="267"/>
      <c r="AN29" s="75"/>
    </row>
    <row r="30" spans="1:40" s="6" customFormat="1" ht="11.25" x14ac:dyDescent="0.2">
      <c r="A30" s="56">
        <f t="shared" si="20"/>
        <v>44212</v>
      </c>
      <c r="B30" s="620">
        <v>12.416</v>
      </c>
      <c r="C30" s="392"/>
      <c r="D30" s="395">
        <f t="shared" si="0"/>
        <v>12.678494988813823</v>
      </c>
      <c r="E30" s="387">
        <f t="shared" si="1"/>
        <v>14.452674351603486</v>
      </c>
      <c r="F30" s="387">
        <f t="shared" si="2"/>
        <v>14.792602931232844</v>
      </c>
      <c r="G30" s="110">
        <f t="shared" si="21"/>
        <v>0.67866579885448175</v>
      </c>
      <c r="H30" s="416" t="b">
        <f>Wh_hp&gt;='2020'!Maxi_hp</f>
        <v>0</v>
      </c>
      <c r="I30" s="382">
        <f>IF(H30,Wh_hp,'2020'!Maxi_hp)</f>
        <v>21.195676431552432</v>
      </c>
      <c r="J30" s="85">
        <f>IF(H30,An,'2020'!An_max)</f>
        <v>2019</v>
      </c>
      <c r="K30" s="199">
        <f t="shared" si="3"/>
        <v>44212</v>
      </c>
      <c r="L30" s="147">
        <f>IF(t&lt;Tvie,1-EXP((T0-t)*PertePVj)+'2020'!Pspv,1-EXP((T0-t)*PertePVj)+Pspv)</f>
        <v>2.0703954928831814E-2</v>
      </c>
      <c r="M30" s="872"/>
      <c r="N30" s="872"/>
      <c r="O30" s="48">
        <f>IF(t&lt;Tnet,'2020'!Resal+('2020'!Salim-'2020'!Resal)*(1-EXP(('2020'!Tnet-t)/('2020'!Tau_j))),Resal+(Salim-Resal)*(1-EXP((Tnet-t)/(Tau_j))))*Salcycl</f>
        <v>0.12275785917731016</v>
      </c>
      <c r="P30" s="171">
        <f>(INDEX(Models!$BJ30:$BT30,,T30)*(1-R30)+INDEX(Models!$BJ30:$BT30,,T30+1)*R30-ERP_i)*Q30*Ramure*Pc/MaxiM</f>
        <v>4.108926750730596E-2</v>
      </c>
      <c r="Q30" s="307">
        <f t="shared" si="4"/>
        <v>0.9</v>
      </c>
      <c r="R30" s="179">
        <f t="shared" si="5"/>
        <v>0.30048880796571376</v>
      </c>
      <c r="S30" s="839">
        <f t="shared" si="6"/>
        <v>-1</v>
      </c>
      <c r="T30" s="178">
        <f t="shared" si="7"/>
        <v>5</v>
      </c>
      <c r="U30" s="253">
        <f t="shared" si="8"/>
        <v>-0.69951119203428624</v>
      </c>
      <c r="V30" s="385">
        <f t="shared" si="9"/>
        <v>17.955615728424029</v>
      </c>
      <c r="W30" s="404"/>
      <c r="X30" s="157">
        <f t="shared" si="10"/>
        <v>44212</v>
      </c>
      <c r="Y30" s="387">
        <f t="shared" si="11"/>
        <v>12.416</v>
      </c>
      <c r="Z30" s="387">
        <f t="shared" si="12"/>
        <v>12.678494988813823</v>
      </c>
      <c r="AA30" s="388">
        <f t="shared" si="13"/>
        <v>14.452674351603486</v>
      </c>
      <c r="AB30" s="199">
        <f t="shared" si="14"/>
        <v>44212</v>
      </c>
      <c r="AC30" s="119">
        <f>IF(OR(t&lt;Tnet,NoTnet),'2020'!Resal_s+('2020'!Salim-'2020'!Resal_s)*(1-EXP(('2020'!Tnet_s-t)/'2020'!Tau_j)),Resal_s+(Salim-Resal_s)*(1-EXP((Tnet_s-t)/Tau_j)))*Salcycl</f>
        <v>0.12275785917731016</v>
      </c>
      <c r="AD30" s="233">
        <f>(INDEX(Models!$BJ30:$BT30,,AH30)*(1-AF30)+INDEX(Models!$BJ30:$BT30,,AH30+1)*AF30-ERP_i)*AE30*Ramure*Pc/MaxiM</f>
        <v>4.108926750730596E-2</v>
      </c>
      <c r="AE30" s="307">
        <f t="shared" si="15"/>
        <v>0.9</v>
      </c>
      <c r="AF30" s="179">
        <f t="shared" si="22"/>
        <v>0.30048880796571376</v>
      </c>
      <c r="AG30" s="839">
        <f t="shared" si="23"/>
        <v>-1</v>
      </c>
      <c r="AH30" s="178">
        <f t="shared" si="16"/>
        <v>5</v>
      </c>
      <c r="AI30" s="227">
        <f t="shared" si="17"/>
        <v>-0.69951119203428624</v>
      </c>
      <c r="AJ30" s="267" t="b">
        <f t="shared" si="18"/>
        <v>1</v>
      </c>
      <c r="AK30" s="267" t="b">
        <f t="shared" si="19"/>
        <v>0</v>
      </c>
      <c r="AL30" s="267"/>
      <c r="AM30" s="267"/>
      <c r="AN30" s="75"/>
    </row>
    <row r="31" spans="1:40" s="6" customFormat="1" ht="11.25" x14ac:dyDescent="0.2">
      <c r="A31" s="56">
        <f t="shared" si="20"/>
        <v>44213</v>
      </c>
      <c r="B31" s="620">
        <v>5.7030000000000003</v>
      </c>
      <c r="C31" s="392"/>
      <c r="D31" s="395">
        <f t="shared" si="0"/>
        <v>5.8237064766412683</v>
      </c>
      <c r="E31" s="387">
        <f t="shared" si="1"/>
        <v>6.6389862453298596</v>
      </c>
      <c r="F31" s="387">
        <f t="shared" si="2"/>
        <v>6.6441993897360643</v>
      </c>
      <c r="G31" s="110">
        <f t="shared" si="21"/>
        <v>0.30117558711843384</v>
      </c>
      <c r="H31" s="416" t="b">
        <f>Wh_hp&gt;='2020'!Maxi_hp</f>
        <v>0</v>
      </c>
      <c r="I31" s="382">
        <f>IF(H31,Wh_hp,'2020'!Maxi_hp)</f>
        <v>9.8292033914160033</v>
      </c>
      <c r="J31" s="85">
        <f>IF(H31,An,'2020'!An_max)</f>
        <v>2019</v>
      </c>
      <c r="K31" s="199">
        <f t="shared" si="3"/>
        <v>44213</v>
      </c>
      <c r="L31" s="147">
        <f>IF(t&lt;Tvie,1-EXP((T0-t)*PertePVj)+'2020'!Pspv,1-EXP((T0-t)*PertePVj)+Pspv)</f>
        <v>2.0726744578460132E-2</v>
      </c>
      <c r="M31" s="872"/>
      <c r="N31" s="872"/>
      <c r="O31" s="48">
        <f>IF(t&lt;Tnet,'2020'!Resal+('2020'!Salim-'2020'!Resal)*(1-EXP(('2020'!Tnet-t)/('2020'!Tau_j))),Resal+(Salim-Resal)*(1-EXP((Tnet-t)/(Tau_j))))*Salcycl</f>
        <v>0.12280184633039312</v>
      </c>
      <c r="P31" s="171">
        <f>(INDEX(Models!$BJ31:$BT31,,T31)*(1-R31)+INDEX(Models!$BJ31:$BT31,,T31+1)*R31-ERP_i)*Q31*Ramure*Pc/MaxiM</f>
        <v>4.0378511592537032E-2</v>
      </c>
      <c r="Q31" s="307">
        <f t="shared" si="4"/>
        <v>0.9</v>
      </c>
      <c r="R31" s="179">
        <f t="shared" si="5"/>
        <v>0.30055361285417703</v>
      </c>
      <c r="S31" s="839">
        <f t="shared" si="6"/>
        <v>-1</v>
      </c>
      <c r="T31" s="178">
        <f t="shared" si="7"/>
        <v>5</v>
      </c>
      <c r="U31" s="253">
        <f t="shared" si="8"/>
        <v>-0.69944638714582297</v>
      </c>
      <c r="V31" s="385">
        <f t="shared" si="9"/>
        <v>18.18546701173981</v>
      </c>
      <c r="W31" s="404"/>
      <c r="X31" s="157">
        <f t="shared" si="10"/>
        <v>44213</v>
      </c>
      <c r="Y31" s="387">
        <f t="shared" si="11"/>
        <v>5.7030000000000003</v>
      </c>
      <c r="Z31" s="387">
        <f t="shared" si="12"/>
        <v>5.8237064766412683</v>
      </c>
      <c r="AA31" s="388">
        <f t="shared" si="13"/>
        <v>6.6389862453298596</v>
      </c>
      <c r="AB31" s="199">
        <f t="shared" si="14"/>
        <v>44213</v>
      </c>
      <c r="AC31" s="119">
        <f>IF(OR(t&lt;Tnet,NoTnet),'2020'!Resal_s+('2020'!Salim-'2020'!Resal_s)*(1-EXP(('2020'!Tnet_s-t)/'2020'!Tau_j)),Resal_s+(Salim-Resal_s)*(1-EXP((Tnet_s-t)/Tau_j)))*Salcycl</f>
        <v>0.12280184633039312</v>
      </c>
      <c r="AD31" s="233">
        <f>(INDEX(Models!$BJ31:$BT31,,AH31)*(1-AF31)+INDEX(Models!$BJ31:$BT31,,AH31+1)*AF31-ERP_i)*AE31*Ramure*Pc/MaxiM</f>
        <v>4.0378511592537032E-2</v>
      </c>
      <c r="AE31" s="307">
        <f t="shared" si="15"/>
        <v>0.9</v>
      </c>
      <c r="AF31" s="179">
        <f t="shared" si="22"/>
        <v>0.30055361285417703</v>
      </c>
      <c r="AG31" s="839">
        <f t="shared" si="23"/>
        <v>-1</v>
      </c>
      <c r="AH31" s="178">
        <f t="shared" si="16"/>
        <v>5</v>
      </c>
      <c r="AI31" s="227">
        <f t="shared" si="17"/>
        <v>-0.69944638714582297</v>
      </c>
      <c r="AJ31" s="267" t="b">
        <f t="shared" si="18"/>
        <v>1</v>
      </c>
      <c r="AK31" s="267" t="b">
        <f t="shared" si="19"/>
        <v>0</v>
      </c>
      <c r="AL31" s="267"/>
      <c r="AM31" s="267"/>
      <c r="AN31" s="75"/>
    </row>
    <row r="32" spans="1:40" s="6" customFormat="1" ht="11.25" x14ac:dyDescent="0.2">
      <c r="A32" s="56">
        <f t="shared" si="20"/>
        <v>44214</v>
      </c>
      <c r="B32" s="620">
        <v>17.900000000000002</v>
      </c>
      <c r="C32" s="392"/>
      <c r="D32" s="395">
        <f t="shared" si="0"/>
        <v>18.279286674830036</v>
      </c>
      <c r="E32" s="387">
        <f t="shared" si="1"/>
        <v>20.839310836897138</v>
      </c>
      <c r="F32" s="387">
        <f t="shared" si="2"/>
        <v>21.664293726015998</v>
      </c>
      <c r="G32" s="110">
        <f t="shared" si="21"/>
        <v>0.97015987215413857</v>
      </c>
      <c r="H32" s="416" t="b">
        <f>Wh_hp&gt;='2020'!Maxi_hp</f>
        <v>1</v>
      </c>
      <c r="I32" s="382">
        <f>IF(H32,Wh_hp,'2020'!Maxi_hp)</f>
        <v>21.664293726015998</v>
      </c>
      <c r="J32" s="85">
        <f>IF(H32,An,'2020'!An_max)</f>
        <v>2021</v>
      </c>
      <c r="K32" s="199">
        <f t="shared" si="3"/>
        <v>44214</v>
      </c>
      <c r="L32" s="147">
        <f>IF(t&lt;Tvie,1-EXP((T0-t)*PertePVj)+'2020'!Pspv,1-EXP((T0-t)*PertePVj)+Pspv)</f>
        <v>2.0749533697739908E-2</v>
      </c>
      <c r="M32" s="872"/>
      <c r="N32" s="872"/>
      <c r="O32" s="48">
        <f>IF(t&lt;Tnet,'2020'!Resal+('2020'!Salim-'2020'!Resal)*(1-EXP(('2020'!Tnet-t)/('2020'!Tau_j))),Resal+(Salim-Resal)*(1-EXP((Tnet-t)/(Tau_j))))*Salcycl</f>
        <v>0.12284591280890329</v>
      </c>
      <c r="P32" s="171">
        <f>(INDEX(Models!$BJ32:$BT32,,T32)*(1-R32)+INDEX(Models!$BJ32:$BT32,,T32+1)*R32-ERP_i)*Q32*Ramure*Pc/MaxiM</f>
        <v>3.968020039509608E-2</v>
      </c>
      <c r="Q32" s="307">
        <f t="shared" si="4"/>
        <v>0.9</v>
      </c>
      <c r="R32" s="179">
        <f t="shared" si="5"/>
        <v>0.30062112154054688</v>
      </c>
      <c r="S32" s="839">
        <f t="shared" si="6"/>
        <v>-1</v>
      </c>
      <c r="T32" s="178">
        <f t="shared" si="7"/>
        <v>5</v>
      </c>
      <c r="U32" s="253">
        <f t="shared" si="8"/>
        <v>-0.69937887845945312</v>
      </c>
      <c r="V32" s="385">
        <f t="shared" si="9"/>
        <v>18.419879696171741</v>
      </c>
      <c r="W32" s="404"/>
      <c r="X32" s="157">
        <f t="shared" si="10"/>
        <v>44214</v>
      </c>
      <c r="Y32" s="387">
        <f t="shared" si="11"/>
        <v>17.900000000000002</v>
      </c>
      <c r="Z32" s="387">
        <f t="shared" si="12"/>
        <v>18.279286674830036</v>
      </c>
      <c r="AA32" s="388">
        <f t="shared" si="13"/>
        <v>20.839310836897138</v>
      </c>
      <c r="AB32" s="199">
        <f t="shared" si="14"/>
        <v>44214</v>
      </c>
      <c r="AC32" s="119">
        <f>IF(OR(t&lt;Tnet,NoTnet),'2020'!Resal_s+('2020'!Salim-'2020'!Resal_s)*(1-EXP(('2020'!Tnet_s-t)/'2020'!Tau_j)),Resal_s+(Salim-Resal_s)*(1-EXP((Tnet_s-t)/Tau_j)))*Salcycl</f>
        <v>0.12284591280890329</v>
      </c>
      <c r="AD32" s="233">
        <f>(INDEX(Models!$BJ32:$BT32,,AH32)*(1-AF32)+INDEX(Models!$BJ32:$BT32,,AH32+1)*AF32-ERP_i)*AE32*Ramure*Pc/MaxiM</f>
        <v>3.968020039509608E-2</v>
      </c>
      <c r="AE32" s="307">
        <f t="shared" si="15"/>
        <v>0.9</v>
      </c>
      <c r="AF32" s="179">
        <f t="shared" si="22"/>
        <v>0.30062112154054688</v>
      </c>
      <c r="AG32" s="839">
        <f t="shared" si="23"/>
        <v>-1</v>
      </c>
      <c r="AH32" s="178">
        <f t="shared" si="16"/>
        <v>5</v>
      </c>
      <c r="AI32" s="227">
        <f t="shared" si="17"/>
        <v>-0.69937887845945312</v>
      </c>
      <c r="AJ32" s="267" t="b">
        <f t="shared" si="18"/>
        <v>1</v>
      </c>
      <c r="AK32" s="267" t="b">
        <f t="shared" si="19"/>
        <v>0</v>
      </c>
      <c r="AL32" s="267"/>
      <c r="AM32" s="267"/>
      <c r="AN32" s="75"/>
    </row>
    <row r="33" spans="1:40" s="6" customFormat="1" ht="11.25" x14ac:dyDescent="0.2">
      <c r="A33" s="56">
        <f t="shared" si="20"/>
        <v>44215</v>
      </c>
      <c r="B33" s="620">
        <v>18.187999999999999</v>
      </c>
      <c r="C33" s="392"/>
      <c r="D33" s="395">
        <f t="shared" si="0"/>
        <v>18.573821404305537</v>
      </c>
      <c r="E33" s="387">
        <f t="shared" si="1"/>
        <v>21.176161283070638</v>
      </c>
      <c r="F33" s="387">
        <f t="shared" si="2"/>
        <v>22.003301908530709</v>
      </c>
      <c r="G33" s="110">
        <f t="shared" si="21"/>
        <v>0.97337629591418673</v>
      </c>
      <c r="H33" s="416" t="b">
        <f>Wh_hp&gt;='2020'!Maxi_hp</f>
        <v>1</v>
      </c>
      <c r="I33" s="382">
        <f>IF(H33,Wh_hp,'2020'!Maxi_hp)</f>
        <v>22.003301908530709</v>
      </c>
      <c r="J33" s="85">
        <f>IF(H33,An,'2020'!An_max)</f>
        <v>2021</v>
      </c>
      <c r="K33" s="199">
        <f t="shared" si="3"/>
        <v>44215</v>
      </c>
      <c r="L33" s="147">
        <f>IF(t&lt;Tvie,1-EXP((T0-t)*PertePVj)+'2020'!Pspv,1-EXP((T0-t)*PertePVj)+Pspv)</f>
        <v>2.0772322286683687E-2</v>
      </c>
      <c r="M33" s="872"/>
      <c r="N33" s="872"/>
      <c r="O33" s="48">
        <f>IF(t&lt;Tnet,'2020'!Resal+('2020'!Salim-'2020'!Resal)*(1-EXP(('2020'!Tnet-t)/('2020'!Tau_j))),Resal+(Salim-Resal)*(1-EXP((Tnet-t)/(Tau_j))))*Salcycl</f>
        <v>0.12289006699460446</v>
      </c>
      <c r="P33" s="171">
        <f>(INDEX(Models!$BJ33:$BT33,,T33)*(1-R33)+INDEX(Models!$BJ33:$BT33,,T33+1)*R33-ERP_i)*Q33*Ramure*Pc/MaxiM</f>
        <v>3.8995594942227971E-2</v>
      </c>
      <c r="Q33" s="307">
        <f t="shared" si="4"/>
        <v>0.9</v>
      </c>
      <c r="R33" s="179">
        <f t="shared" si="5"/>
        <v>0.30069144618386168</v>
      </c>
      <c r="S33" s="839">
        <f t="shared" si="6"/>
        <v>-1</v>
      </c>
      <c r="T33" s="178">
        <f t="shared" si="7"/>
        <v>5</v>
      </c>
      <c r="U33" s="253">
        <f t="shared" si="8"/>
        <v>-0.69930855381613832</v>
      </c>
      <c r="V33" s="385">
        <f t="shared" si="9"/>
        <v>18.65821872137785</v>
      </c>
      <c r="W33" s="404"/>
      <c r="X33" s="157">
        <f t="shared" si="10"/>
        <v>44215</v>
      </c>
      <c r="Y33" s="387">
        <f t="shared" si="11"/>
        <v>18.187999999999999</v>
      </c>
      <c r="Z33" s="387">
        <f t="shared" si="12"/>
        <v>18.573821404305537</v>
      </c>
      <c r="AA33" s="388">
        <f t="shared" si="13"/>
        <v>21.176161283070638</v>
      </c>
      <c r="AB33" s="199">
        <f t="shared" si="14"/>
        <v>44215</v>
      </c>
      <c r="AC33" s="119">
        <f>IF(OR(t&lt;Tnet,NoTnet),'2020'!Resal_s+('2020'!Salim-'2020'!Resal_s)*(1-EXP(('2020'!Tnet_s-t)/'2020'!Tau_j)),Resal_s+(Salim-Resal_s)*(1-EXP((Tnet_s-t)/Tau_j)))*Salcycl</f>
        <v>0.12289006699460446</v>
      </c>
      <c r="AD33" s="233">
        <f>(INDEX(Models!$BJ33:$BT33,,AH33)*(1-AF33)+INDEX(Models!$BJ33:$BT33,,AH33+1)*AF33-ERP_i)*AE33*Ramure*Pc/MaxiM</f>
        <v>3.8995594942227971E-2</v>
      </c>
      <c r="AE33" s="307">
        <f t="shared" si="15"/>
        <v>0.9</v>
      </c>
      <c r="AF33" s="179">
        <f t="shared" si="22"/>
        <v>0.30069144618386168</v>
      </c>
      <c r="AG33" s="839">
        <f t="shared" si="23"/>
        <v>-1</v>
      </c>
      <c r="AH33" s="178">
        <f t="shared" si="16"/>
        <v>5</v>
      </c>
      <c r="AI33" s="227">
        <f t="shared" si="17"/>
        <v>-0.69930855381613832</v>
      </c>
      <c r="AJ33" s="267" t="b">
        <f t="shared" si="18"/>
        <v>1</v>
      </c>
      <c r="AK33" s="267" t="b">
        <f t="shared" si="19"/>
        <v>0</v>
      </c>
      <c r="AL33" s="267"/>
      <c r="AM33" s="267"/>
      <c r="AN33" s="75"/>
    </row>
    <row r="34" spans="1:40" s="6" customFormat="1" ht="11.25" x14ac:dyDescent="0.2">
      <c r="A34" s="56">
        <f t="shared" si="20"/>
        <v>44216</v>
      </c>
      <c r="B34" s="620">
        <v>5.6420000000000003</v>
      </c>
      <c r="C34" s="392"/>
      <c r="D34" s="395">
        <f t="shared" si="0"/>
        <v>5.7618176334776843</v>
      </c>
      <c r="E34" s="387">
        <f t="shared" si="1"/>
        <v>6.5694254713819351</v>
      </c>
      <c r="F34" s="387">
        <f t="shared" si="2"/>
        <v>6.5694254713819351</v>
      </c>
      <c r="G34" s="110">
        <f t="shared" si="21"/>
        <v>0.2870798511696474</v>
      </c>
      <c r="H34" s="416" t="b">
        <f>Wh_hp&gt;='2020'!Maxi_hp</f>
        <v>0</v>
      </c>
      <c r="I34" s="382">
        <f>IF(H34,Wh_hp,'2020'!Maxi_hp)</f>
        <v>9.8558030999389263</v>
      </c>
      <c r="J34" s="85">
        <f>IF(H34,An,'2020'!An_max)</f>
        <v>2020</v>
      </c>
      <c r="K34" s="199">
        <f t="shared" si="3"/>
        <v>44216</v>
      </c>
      <c r="L34" s="147">
        <f>IF(t&lt;Tvie,1-EXP((T0-t)*PertePVj)+'2020'!Pspv,1-EXP((T0-t)*PertePVj)+Pspv)</f>
        <v>2.0795110345303569E-2</v>
      </c>
      <c r="M34" s="872"/>
      <c r="N34" s="872"/>
      <c r="O34" s="48">
        <f>IF(t&lt;Tnet,'2020'!Resal+('2020'!Salim-'2020'!Resal)*(1-EXP(('2020'!Tnet-t)/('2020'!Tau_j))),Resal+(Salim-Resal)*(1-EXP((Tnet-t)/(Tau_j))))*Salcycl</f>
        <v>0.12293431768461224</v>
      </c>
      <c r="P34" s="171">
        <f>(INDEX(Models!$BJ34:$BT34,,T34)*(1-R34)+INDEX(Models!$BJ34:$BT34,,T34+1)*R34-ERP_i)*Q34*Ramure*Pc/MaxiM</f>
        <v>3.8326004084500938E-2</v>
      </c>
      <c r="Q34" s="307">
        <f t="shared" si="4"/>
        <v>0.9</v>
      </c>
      <c r="R34" s="179">
        <f t="shared" si="5"/>
        <v>0.3007647035403147</v>
      </c>
      <c r="S34" s="839">
        <f t="shared" si="6"/>
        <v>-1</v>
      </c>
      <c r="T34" s="178">
        <f t="shared" si="7"/>
        <v>5</v>
      </c>
      <c r="U34" s="253">
        <f t="shared" si="8"/>
        <v>-0.6992352964596853</v>
      </c>
      <c r="V34" s="385">
        <f t="shared" si="9"/>
        <v>18.899844983369928</v>
      </c>
      <c r="W34" s="404"/>
      <c r="X34" s="157">
        <f t="shared" si="10"/>
        <v>44216</v>
      </c>
      <c r="Y34" s="387">
        <f t="shared" si="11"/>
        <v>5.6420000000000003</v>
      </c>
      <c r="Z34" s="387">
        <f t="shared" si="12"/>
        <v>5.7618176334776843</v>
      </c>
      <c r="AA34" s="388">
        <f t="shared" si="13"/>
        <v>6.5694254713819351</v>
      </c>
      <c r="AB34" s="199">
        <f t="shared" si="14"/>
        <v>44216</v>
      </c>
      <c r="AC34" s="119">
        <f>IF(OR(t&lt;Tnet,NoTnet),'2020'!Resal_s+('2020'!Salim-'2020'!Resal_s)*(1-EXP(('2020'!Tnet_s-t)/'2020'!Tau_j)),Resal_s+(Salim-Resal_s)*(1-EXP((Tnet_s-t)/Tau_j)))*Salcycl</f>
        <v>0.12293431768461224</v>
      </c>
      <c r="AD34" s="233">
        <f>(INDEX(Models!$BJ34:$BT34,,AH34)*(1-AF34)+INDEX(Models!$BJ34:$BT34,,AH34+1)*AF34-ERP_i)*AE34*Ramure*Pc/MaxiM</f>
        <v>3.8326004084500938E-2</v>
      </c>
      <c r="AE34" s="307">
        <f t="shared" si="15"/>
        <v>0.9</v>
      </c>
      <c r="AF34" s="179">
        <f t="shared" si="22"/>
        <v>0.3007647035403147</v>
      </c>
      <c r="AG34" s="839">
        <f t="shared" si="23"/>
        <v>-1</v>
      </c>
      <c r="AH34" s="178">
        <f t="shared" si="16"/>
        <v>5</v>
      </c>
      <c r="AI34" s="227">
        <f t="shared" si="17"/>
        <v>-0.6992352964596853</v>
      </c>
      <c r="AJ34" s="267" t="b">
        <f t="shared" si="18"/>
        <v>1</v>
      </c>
      <c r="AK34" s="267" t="b">
        <f t="shared" si="19"/>
        <v>0</v>
      </c>
      <c r="AL34" s="267"/>
      <c r="AM34" s="267"/>
      <c r="AN34" s="75"/>
    </row>
    <row r="35" spans="1:40" s="6" customFormat="1" ht="11.25" x14ac:dyDescent="0.2">
      <c r="A35" s="56">
        <f t="shared" si="20"/>
        <v>44217</v>
      </c>
      <c r="B35" s="620">
        <v>10.298999999999999</v>
      </c>
      <c r="C35" s="392"/>
      <c r="D35" s="395">
        <f t="shared" si="0"/>
        <v>10.517961855751583</v>
      </c>
      <c r="E35" s="387">
        <f t="shared" si="1"/>
        <v>11.992823368183839</v>
      </c>
      <c r="F35" s="387">
        <f t="shared" si="2"/>
        <v>12.148410497151559</v>
      </c>
      <c r="G35" s="110">
        <f t="shared" si="21"/>
        <v>0.52442156881302371</v>
      </c>
      <c r="H35" s="416" t="b">
        <f>Wh_hp&gt;='2020'!Maxi_hp</f>
        <v>1</v>
      </c>
      <c r="I35" s="382">
        <f>IF(H35,Wh_hp,'2020'!Maxi_hp)</f>
        <v>12.148410497151559</v>
      </c>
      <c r="J35" s="85">
        <f>IF(H35,An,'2020'!An_max)</f>
        <v>2021</v>
      </c>
      <c r="K35" s="199">
        <f t="shared" si="3"/>
        <v>44217</v>
      </c>
      <c r="L35" s="147">
        <f>IF(t&lt;Tvie,1-EXP((T0-t)*PertePVj)+'2020'!Pspv,1-EXP((T0-t)*PertePVj)+Pspv)</f>
        <v>2.0817897873612101E-2</v>
      </c>
      <c r="M35" s="872"/>
      <c r="N35" s="872"/>
      <c r="O35" s="48">
        <f>IF(t&lt;Tnet,'2020'!Resal+('2020'!Salim-'2020'!Resal)*(1-EXP(('2020'!Tnet-t)/('2020'!Tau_j))),Resal+(Salim-Resal)*(1-EXP((Tnet-t)/(Tau_j))))*Salcycl</f>
        <v>0.12297867375792124</v>
      </c>
      <c r="P35" s="171">
        <f>(INDEX(Models!$BJ35:$BT35,,T35)*(1-R35)+INDEX(Models!$BJ35:$BT35,,T35+1)*R35-ERP_i)*Q35*Ramure*Pc/MaxiM</f>
        <v>3.7672663149354024E-2</v>
      </c>
      <c r="Q35" s="307">
        <f t="shared" si="4"/>
        <v>0.9</v>
      </c>
      <c r="R35" s="179">
        <f t="shared" si="5"/>
        <v>0.30084101514694539</v>
      </c>
      <c r="S35" s="839">
        <f t="shared" si="6"/>
        <v>-1</v>
      </c>
      <c r="T35" s="178">
        <f t="shared" si="7"/>
        <v>5</v>
      </c>
      <c r="U35" s="253">
        <f t="shared" si="8"/>
        <v>-0.69915898485305461</v>
      </c>
      <c r="V35" s="385">
        <f t="shared" si="9"/>
        <v>19.14411774621761</v>
      </c>
      <c r="W35" s="404"/>
      <c r="X35" s="157">
        <f t="shared" si="10"/>
        <v>44217</v>
      </c>
      <c r="Y35" s="387">
        <f t="shared" si="11"/>
        <v>10.298999999999999</v>
      </c>
      <c r="Z35" s="387">
        <f t="shared" si="12"/>
        <v>10.517961855751583</v>
      </c>
      <c r="AA35" s="388">
        <f t="shared" si="13"/>
        <v>11.992823368183839</v>
      </c>
      <c r="AB35" s="199">
        <f t="shared" si="14"/>
        <v>44217</v>
      </c>
      <c r="AC35" s="119">
        <f>IF(OR(t&lt;Tnet,NoTnet),'2020'!Resal_s+('2020'!Salim-'2020'!Resal_s)*(1-EXP(('2020'!Tnet_s-t)/'2020'!Tau_j)),Resal_s+(Salim-Resal_s)*(1-EXP((Tnet_s-t)/Tau_j)))*Salcycl</f>
        <v>0.12297867375792124</v>
      </c>
      <c r="AD35" s="233">
        <f>(INDEX(Models!$BJ35:$BT35,,AH35)*(1-AF35)+INDEX(Models!$BJ35:$BT35,,AH35+1)*AF35-ERP_i)*AE35*Ramure*Pc/MaxiM</f>
        <v>3.7672663149354024E-2</v>
      </c>
      <c r="AE35" s="307">
        <f t="shared" si="15"/>
        <v>0.9</v>
      </c>
      <c r="AF35" s="179">
        <f t="shared" si="22"/>
        <v>0.30084101514694539</v>
      </c>
      <c r="AG35" s="839">
        <f t="shared" si="23"/>
        <v>-1</v>
      </c>
      <c r="AH35" s="178">
        <f t="shared" si="16"/>
        <v>5</v>
      </c>
      <c r="AI35" s="227">
        <f t="shared" si="17"/>
        <v>-0.69915898485305461</v>
      </c>
      <c r="AJ35" s="267" t="b">
        <f t="shared" si="18"/>
        <v>1</v>
      </c>
      <c r="AK35" s="267" t="b">
        <f t="shared" si="19"/>
        <v>0</v>
      </c>
      <c r="AL35" s="267"/>
      <c r="AM35" s="267"/>
      <c r="AN35" s="75"/>
    </row>
    <row r="36" spans="1:40" s="6" customFormat="1" ht="11.25" x14ac:dyDescent="0.2">
      <c r="A36" s="56">
        <f t="shared" si="20"/>
        <v>44218</v>
      </c>
      <c r="B36" s="620">
        <v>5.2090000000000005</v>
      </c>
      <c r="C36" s="392"/>
      <c r="D36" s="395">
        <f t="shared" si="0"/>
        <v>5.3198697285712324</v>
      </c>
      <c r="E36" s="387">
        <f t="shared" si="1"/>
        <v>6.066146091914451</v>
      </c>
      <c r="F36" s="387">
        <f t="shared" si="2"/>
        <v>6.066146091914451</v>
      </c>
      <c r="G36" s="110">
        <f t="shared" si="21"/>
        <v>0.258688680912741</v>
      </c>
      <c r="H36" s="416" t="b">
        <f>Wh_hp&gt;='2020'!Maxi_hp</f>
        <v>0</v>
      </c>
      <c r="I36" s="382">
        <f>IF(H36,Wh_hp,'2020'!Maxi_hp)</f>
        <v>10.150009401127683</v>
      </c>
      <c r="J36" s="85">
        <f>IF(H36,An,'2020'!An_max)</f>
        <v>2019</v>
      </c>
      <c r="K36" s="199">
        <f t="shared" si="3"/>
        <v>44218</v>
      </c>
      <c r="L36" s="147">
        <f>IF(t&lt;Tvie,1-EXP((T0-t)*PertePVj)+'2020'!Pspv,1-EXP((T0-t)*PertePVj)+Pspv)</f>
        <v>2.0840684871621606E-2</v>
      </c>
      <c r="M36" s="872"/>
      <c r="N36" s="872"/>
      <c r="O36" s="48">
        <f>IF(t&lt;Tnet,'2020'!Resal+('2020'!Salim-'2020'!Resal)*(1-EXP(('2020'!Tnet-t)/('2020'!Tau_j))),Resal+(Salim-Resal)*(1-EXP((Tnet-t)/(Tau_j))))*Salcycl</f>
        <v>0.12302314386030497</v>
      </c>
      <c r="P36" s="171">
        <f>(INDEX(Models!$BJ36:$BT36,,T36)*(1-R36)+INDEX(Models!$BJ36:$BT36,,T36+1)*R36-ERP_i)*Q36*Ramure*Pc/MaxiM</f>
        <v>3.7036485906846335E-2</v>
      </c>
      <c r="Q36" s="307">
        <f t="shared" si="4"/>
        <v>0.9</v>
      </c>
      <c r="R36" s="179">
        <f t="shared" si="5"/>
        <v>0.30092050751225985</v>
      </c>
      <c r="S36" s="839">
        <f t="shared" si="6"/>
        <v>-1</v>
      </c>
      <c r="T36" s="178">
        <f t="shared" si="7"/>
        <v>5</v>
      </c>
      <c r="U36" s="253">
        <f t="shared" si="8"/>
        <v>-0.69907949248774015</v>
      </c>
      <c r="V36" s="385">
        <f t="shared" si="9"/>
        <v>19.390399793345512</v>
      </c>
      <c r="W36" s="404"/>
      <c r="X36" s="157">
        <f t="shared" si="10"/>
        <v>44218</v>
      </c>
      <c r="Y36" s="387">
        <f t="shared" si="11"/>
        <v>5.2090000000000005</v>
      </c>
      <c r="Z36" s="387">
        <f t="shared" si="12"/>
        <v>5.3198697285712324</v>
      </c>
      <c r="AA36" s="388">
        <f t="shared" si="13"/>
        <v>6.066146091914451</v>
      </c>
      <c r="AB36" s="199">
        <f t="shared" si="14"/>
        <v>44218</v>
      </c>
      <c r="AC36" s="119">
        <f>IF(OR(t&lt;Tnet,NoTnet),'2020'!Resal_s+('2020'!Salim-'2020'!Resal_s)*(1-EXP(('2020'!Tnet_s-t)/'2020'!Tau_j)),Resal_s+(Salim-Resal_s)*(1-EXP((Tnet_s-t)/Tau_j)))*Salcycl</f>
        <v>0.12302314386030497</v>
      </c>
      <c r="AD36" s="233">
        <f>(INDEX(Models!$BJ36:$BT36,,AH36)*(1-AF36)+INDEX(Models!$BJ36:$BT36,,AH36+1)*AF36-ERP_i)*AE36*Ramure*Pc/MaxiM</f>
        <v>3.7036485906846335E-2</v>
      </c>
      <c r="AE36" s="307">
        <f t="shared" si="15"/>
        <v>0.9</v>
      </c>
      <c r="AF36" s="179">
        <f t="shared" si="22"/>
        <v>0.30092050751225985</v>
      </c>
      <c r="AG36" s="839">
        <f t="shared" si="23"/>
        <v>-1</v>
      </c>
      <c r="AH36" s="178">
        <f t="shared" si="16"/>
        <v>5</v>
      </c>
      <c r="AI36" s="227">
        <f t="shared" si="17"/>
        <v>-0.69907949248774015</v>
      </c>
      <c r="AJ36" s="267" t="b">
        <f t="shared" si="18"/>
        <v>1</v>
      </c>
      <c r="AK36" s="267" t="b">
        <f t="shared" si="19"/>
        <v>0</v>
      </c>
      <c r="AL36" s="267"/>
      <c r="AM36" s="267"/>
      <c r="AN36" s="75"/>
    </row>
    <row r="37" spans="1:40" s="6" customFormat="1" ht="11.25" x14ac:dyDescent="0.2">
      <c r="A37" s="56">
        <f t="shared" si="20"/>
        <v>44219</v>
      </c>
      <c r="B37" s="620">
        <v>8.3689999999999998</v>
      </c>
      <c r="C37" s="392"/>
      <c r="D37" s="395">
        <f t="shared" si="0"/>
        <v>8.5473269100151068</v>
      </c>
      <c r="E37" s="387">
        <f t="shared" si="1"/>
        <v>9.7468496279347239</v>
      </c>
      <c r="F37" s="387">
        <f t="shared" si="2"/>
        <v>9.8112163394203442</v>
      </c>
      <c r="G37" s="110">
        <f t="shared" si="21"/>
        <v>0.41330924605499414</v>
      </c>
      <c r="H37" s="416" t="b">
        <f>Wh_hp&gt;='2020'!Maxi_hp</f>
        <v>0</v>
      </c>
      <c r="I37" s="382">
        <f>IF(H37,Wh_hp,'2020'!Maxi_hp)</f>
        <v>14.025515417174885</v>
      </c>
      <c r="J37" s="85">
        <f>IF(H37,An,'2020'!An_max)</f>
        <v>2020</v>
      </c>
      <c r="K37" s="199">
        <f t="shared" si="3"/>
        <v>44219</v>
      </c>
      <c r="L37" s="147">
        <f>IF(t&lt;Tvie,1-EXP((T0-t)*PertePVj)+'2020'!Pspv,1-EXP((T0-t)*PertePVj)+Pspv)</f>
        <v>2.0863471339344297E-2</v>
      </c>
      <c r="M37" s="872"/>
      <c r="N37" s="872"/>
      <c r="O37" s="48">
        <f>IF(t&lt;Tnet,'2020'!Resal+('2020'!Salim-'2020'!Resal)*(1-EXP(('2020'!Tnet-t)/('2020'!Tau_j))),Resal+(Salim-Resal)*(1-EXP((Tnet-t)/(Tau_j))))*Salcycl</f>
        <v>0.12306773611052264</v>
      </c>
      <c r="P37" s="171">
        <f>(INDEX(Models!$BJ37:$BT37,,T37)*(1-R37)+INDEX(Models!$BJ37:$BT37,,T37+1)*R37-ERP_i)*Q37*Ramure*Pc/MaxiM</f>
        <v>3.6414295634929525E-2</v>
      </c>
      <c r="Q37" s="307">
        <f t="shared" si="4"/>
        <v>0.9</v>
      </c>
      <c r="R37" s="179">
        <f t="shared" si="5"/>
        <v>0.30100331231401267</v>
      </c>
      <c r="S37" s="839">
        <f t="shared" si="6"/>
        <v>-1</v>
      </c>
      <c r="T37" s="178">
        <f t="shared" si="7"/>
        <v>5</v>
      </c>
      <c r="U37" s="253">
        <f t="shared" si="8"/>
        <v>-0.69899668768598733</v>
      </c>
      <c r="V37" s="385">
        <f t="shared" si="9"/>
        <v>19.640266722204917</v>
      </c>
      <c r="W37" s="404"/>
      <c r="X37" s="157">
        <f t="shared" si="10"/>
        <v>44219</v>
      </c>
      <c r="Y37" s="387">
        <f t="shared" si="11"/>
        <v>8.3689999999999998</v>
      </c>
      <c r="Z37" s="387">
        <f t="shared" si="12"/>
        <v>8.5473269100151068</v>
      </c>
      <c r="AA37" s="388">
        <f t="shared" si="13"/>
        <v>9.7468496279347239</v>
      </c>
      <c r="AB37" s="199">
        <f t="shared" si="14"/>
        <v>44219</v>
      </c>
      <c r="AC37" s="119">
        <f>IF(OR(t&lt;Tnet,NoTnet),'2020'!Resal_s+('2020'!Salim-'2020'!Resal_s)*(1-EXP(('2020'!Tnet_s-t)/'2020'!Tau_j)),Resal_s+(Salim-Resal_s)*(1-EXP((Tnet_s-t)/Tau_j)))*Salcycl</f>
        <v>0.12306773611052264</v>
      </c>
      <c r="AD37" s="233">
        <f>(INDEX(Models!$BJ37:$BT37,,AH37)*(1-AF37)+INDEX(Models!$BJ37:$BT37,,AH37+1)*AF37-ERP_i)*AE37*Ramure*Pc/MaxiM</f>
        <v>3.6414295634929525E-2</v>
      </c>
      <c r="AE37" s="307">
        <f t="shared" si="15"/>
        <v>0.9</v>
      </c>
      <c r="AF37" s="179">
        <f t="shared" si="22"/>
        <v>0.30100331231401267</v>
      </c>
      <c r="AG37" s="839">
        <f t="shared" si="23"/>
        <v>-1</v>
      </c>
      <c r="AH37" s="178">
        <f t="shared" si="16"/>
        <v>5</v>
      </c>
      <c r="AI37" s="227">
        <f t="shared" si="17"/>
        <v>-0.69899668768598733</v>
      </c>
      <c r="AJ37" s="267" t="b">
        <f t="shared" si="18"/>
        <v>1</v>
      </c>
      <c r="AK37" s="267" t="b">
        <f t="shared" si="19"/>
        <v>0</v>
      </c>
      <c r="AL37" s="267"/>
      <c r="AM37" s="267"/>
      <c r="AN37" s="75"/>
    </row>
    <row r="38" spans="1:40" s="6" customFormat="1" ht="11.25" x14ac:dyDescent="0.2">
      <c r="A38" s="56">
        <f t="shared" si="20"/>
        <v>44220</v>
      </c>
      <c r="B38" s="620">
        <v>13.127000000000001</v>
      </c>
      <c r="C38" s="392"/>
      <c r="D38" s="395">
        <f t="shared" si="0"/>
        <v>13.407022521704066</v>
      </c>
      <c r="E38" s="387">
        <f t="shared" si="1"/>
        <v>15.289329448715344</v>
      </c>
      <c r="F38" s="387">
        <f t="shared" si="2"/>
        <v>15.57572179787536</v>
      </c>
      <c r="G38" s="110">
        <f t="shared" si="21"/>
        <v>0.64809052892975183</v>
      </c>
      <c r="H38" s="416" t="b">
        <f>Wh_hp&gt;='2020'!Maxi_hp</f>
        <v>1</v>
      </c>
      <c r="I38" s="382">
        <f>IF(H38,Wh_hp,'2020'!Maxi_hp)</f>
        <v>15.57572179787536</v>
      </c>
      <c r="J38" s="85">
        <f>IF(H38,An,'2020'!An_max)</f>
        <v>2021</v>
      </c>
      <c r="K38" s="199">
        <f t="shared" si="3"/>
        <v>44220</v>
      </c>
      <c r="L38" s="147">
        <f>IF(t&lt;Tvie,1-EXP((T0-t)*PertePVj)+'2020'!Pspv,1-EXP((T0-t)*PertePVj)+Pspv)</f>
        <v>2.0886257276792719E-2</v>
      </c>
      <c r="M38" s="872"/>
      <c r="N38" s="872"/>
      <c r="O38" s="48">
        <f>IF(t&lt;Tnet,'2020'!Resal+('2020'!Salim-'2020'!Resal)*(1-EXP(('2020'!Tnet-t)/('2020'!Tau_j))),Resal+(Salim-Resal)*(1-EXP((Tnet-t)/(Tau_j))))*Salcycl</f>
        <v>0.12311245783047961</v>
      </c>
      <c r="P38" s="171">
        <f>(INDEX(Models!$BJ38:$BT38,,T38)*(1-R38)+INDEX(Models!$BJ38:$BT38,,T38+1)*R38-ERP_i)*Q38*Ramure*Pc/MaxiM</f>
        <v>3.5774810905673707E-2</v>
      </c>
      <c r="Q38" s="307">
        <f t="shared" si="4"/>
        <v>0.9</v>
      </c>
      <c r="R38" s="179">
        <f t="shared" si="5"/>
        <v>0.30108956660437636</v>
      </c>
      <c r="S38" s="839">
        <f t="shared" si="6"/>
        <v>-1</v>
      </c>
      <c r="T38" s="178">
        <f t="shared" si="7"/>
        <v>5</v>
      </c>
      <c r="U38" s="253">
        <f t="shared" si="8"/>
        <v>-0.69891043339562364</v>
      </c>
      <c r="V38" s="385">
        <f t="shared" si="9"/>
        <v>19.896103242437011</v>
      </c>
      <c r="W38" s="404"/>
      <c r="X38" s="157">
        <f t="shared" si="10"/>
        <v>44220</v>
      </c>
      <c r="Y38" s="387">
        <f t="shared" si="11"/>
        <v>13.127000000000001</v>
      </c>
      <c r="Z38" s="387">
        <f t="shared" si="12"/>
        <v>13.407022521704066</v>
      </c>
      <c r="AA38" s="388">
        <f t="shared" si="13"/>
        <v>15.289329448715344</v>
      </c>
      <c r="AB38" s="199">
        <f t="shared" si="14"/>
        <v>44220</v>
      </c>
      <c r="AC38" s="119">
        <f>IF(OR(t&lt;Tnet,NoTnet),'2020'!Resal_s+('2020'!Salim-'2020'!Resal_s)*(1-EXP(('2020'!Tnet_s-t)/'2020'!Tau_j)),Resal_s+(Salim-Resal_s)*(1-EXP((Tnet_s-t)/Tau_j)))*Salcycl</f>
        <v>0.12311245783047961</v>
      </c>
      <c r="AD38" s="233">
        <f>(INDEX(Models!$BJ38:$BT38,,AH38)*(1-AF38)+INDEX(Models!$BJ38:$BT38,,AH38+1)*AF38-ERP_i)*AE38*Ramure*Pc/MaxiM</f>
        <v>3.5774810905673707E-2</v>
      </c>
      <c r="AE38" s="307">
        <f t="shared" si="15"/>
        <v>0.9</v>
      </c>
      <c r="AF38" s="179">
        <f t="shared" si="22"/>
        <v>0.30108956660437636</v>
      </c>
      <c r="AG38" s="839">
        <f t="shared" si="23"/>
        <v>-1</v>
      </c>
      <c r="AH38" s="178">
        <f t="shared" si="16"/>
        <v>5</v>
      </c>
      <c r="AI38" s="227">
        <f t="shared" si="17"/>
        <v>-0.69891043339562364</v>
      </c>
      <c r="AJ38" s="267" t="b">
        <f t="shared" si="18"/>
        <v>1</v>
      </c>
      <c r="AK38" s="267" t="b">
        <f t="shared" si="19"/>
        <v>0</v>
      </c>
      <c r="AL38" s="267"/>
      <c r="AM38" s="267"/>
      <c r="AN38" s="75"/>
    </row>
    <row r="39" spans="1:40" s="6" customFormat="1" ht="11.25" x14ac:dyDescent="0.2">
      <c r="A39" s="56">
        <f t="shared" si="20"/>
        <v>44221</v>
      </c>
      <c r="B39" s="620">
        <v>6.49</v>
      </c>
      <c r="C39" s="392"/>
      <c r="D39" s="395">
        <f t="shared" si="0"/>
        <v>6.6285976307972625</v>
      </c>
      <c r="E39" s="387">
        <f t="shared" si="1"/>
        <v>7.5596201536172458</v>
      </c>
      <c r="F39" s="387">
        <f t="shared" si="2"/>
        <v>7.5679555068959115</v>
      </c>
      <c r="G39" s="110">
        <f t="shared" si="21"/>
        <v>0.31099793927588526</v>
      </c>
      <c r="H39" s="416" t="b">
        <f>Wh_hp&gt;='2020'!Maxi_hp</f>
        <v>0</v>
      </c>
      <c r="I39" s="382">
        <f>IF(H39,Wh_hp,'2020'!Maxi_hp)</f>
        <v>13.761634555494489</v>
      </c>
      <c r="J39" s="85">
        <f>IF(H39,An,'2020'!An_max)</f>
        <v>2020</v>
      </c>
      <c r="K39" s="199">
        <f t="shared" si="3"/>
        <v>44221</v>
      </c>
      <c r="L39" s="147">
        <f>IF(t&lt;Tvie,1-EXP((T0-t)*PertePVj)+'2020'!Pspv,1-EXP((T0-t)*PertePVj)+Pspv)</f>
        <v>2.0909042683978973E-2</v>
      </c>
      <c r="M39" s="872"/>
      <c r="N39" s="872"/>
      <c r="O39" s="48">
        <f>IF(t&lt;Tnet,'2020'!Resal+('2020'!Salim-'2020'!Resal)*(1-EXP(('2020'!Tnet-t)/('2020'!Tau_j))),Resal+(Salim-Resal)*(1-EXP((Tnet-t)/(Tau_j))))*Salcycl</f>
        <v>0.12315731530168129</v>
      </c>
      <c r="P39" s="171">
        <f>(INDEX(Models!$BJ39:$BT39,,T39)*(1-R39)+INDEX(Models!$BJ39:$BT39,,T39+1)*R39-ERP_i)*Q39*Ramure*Pc/MaxiM</f>
        <v>3.5109587434827477E-2</v>
      </c>
      <c r="Q39" s="307">
        <f t="shared" si="4"/>
        <v>0.9</v>
      </c>
      <c r="R39" s="179">
        <f t="shared" si="5"/>
        <v>0.30117941302273532</v>
      </c>
      <c r="S39" s="839">
        <f t="shared" si="6"/>
        <v>-1</v>
      </c>
      <c r="T39" s="178">
        <f t="shared" si="7"/>
        <v>5</v>
      </c>
      <c r="U39" s="253">
        <f t="shared" si="8"/>
        <v>-0.69882058697726468</v>
      </c>
      <c r="V39" s="385">
        <f t="shared" si="9"/>
        <v>20.157829735244615</v>
      </c>
      <c r="W39" s="404"/>
      <c r="X39" s="157">
        <f t="shared" si="10"/>
        <v>44221</v>
      </c>
      <c r="Y39" s="387">
        <f t="shared" si="11"/>
        <v>6.49</v>
      </c>
      <c r="Z39" s="387">
        <f t="shared" si="12"/>
        <v>6.6285976307972625</v>
      </c>
      <c r="AA39" s="388">
        <f t="shared" si="13"/>
        <v>7.5596201536172458</v>
      </c>
      <c r="AB39" s="199">
        <f t="shared" si="14"/>
        <v>44221</v>
      </c>
      <c r="AC39" s="119">
        <f>IF(OR(t&lt;Tnet,NoTnet),'2020'!Resal_s+('2020'!Salim-'2020'!Resal_s)*(1-EXP(('2020'!Tnet_s-t)/'2020'!Tau_j)),Resal_s+(Salim-Resal_s)*(1-EXP((Tnet_s-t)/Tau_j)))*Salcycl</f>
        <v>0.12315731530168129</v>
      </c>
      <c r="AD39" s="233">
        <f>(INDEX(Models!$BJ39:$BT39,,AH39)*(1-AF39)+INDEX(Models!$BJ39:$BT39,,AH39+1)*AF39-ERP_i)*AE39*Ramure*Pc/MaxiM</f>
        <v>3.5109587434827477E-2</v>
      </c>
      <c r="AE39" s="307">
        <f t="shared" si="15"/>
        <v>0.9</v>
      </c>
      <c r="AF39" s="179">
        <f t="shared" si="22"/>
        <v>0.30117941302273532</v>
      </c>
      <c r="AG39" s="839">
        <f t="shared" si="23"/>
        <v>-1</v>
      </c>
      <c r="AH39" s="178">
        <f t="shared" si="16"/>
        <v>5</v>
      </c>
      <c r="AI39" s="227">
        <f t="shared" si="17"/>
        <v>-0.69882058697726468</v>
      </c>
      <c r="AJ39" s="267" t="b">
        <f t="shared" si="18"/>
        <v>1</v>
      </c>
      <c r="AK39" s="267" t="b">
        <f t="shared" si="19"/>
        <v>0</v>
      </c>
      <c r="AL39" s="267"/>
      <c r="AM39" s="267"/>
      <c r="AN39" s="75"/>
    </row>
    <row r="40" spans="1:40" s="6" customFormat="1" ht="11.25" x14ac:dyDescent="0.2">
      <c r="A40" s="56">
        <f t="shared" si="20"/>
        <v>44222</v>
      </c>
      <c r="B40" s="620">
        <v>14.714</v>
      </c>
      <c r="C40" s="392"/>
      <c r="D40" s="395">
        <f t="shared" si="0"/>
        <v>15.028575551939387</v>
      </c>
      <c r="E40" s="387">
        <f t="shared" si="1"/>
        <v>17.14030019032942</v>
      </c>
      <c r="F40" s="387">
        <f t="shared" si="2"/>
        <v>17.502091838592175</v>
      </c>
      <c r="G40" s="110">
        <f t="shared" si="21"/>
        <v>0.71027236708535124</v>
      </c>
      <c r="H40" s="416" t="b">
        <f>Wh_hp&gt;='2020'!Maxi_hp</f>
        <v>1</v>
      </c>
      <c r="I40" s="382">
        <f>IF(H40,Wh_hp,'2020'!Maxi_hp)</f>
        <v>17.502091838592175</v>
      </c>
      <c r="J40" s="85">
        <f>IF(H40,An,'2020'!An_max)</f>
        <v>2021</v>
      </c>
      <c r="K40" s="199">
        <f t="shared" si="3"/>
        <v>44222</v>
      </c>
      <c r="L40" s="147">
        <f>IF(t&lt;Tvie,1-EXP((T0-t)*PertePVj)+'2020'!Pspv,1-EXP((T0-t)*PertePVj)+Pspv)</f>
        <v>2.0931827560915495E-2</v>
      </c>
      <c r="M40" s="872"/>
      <c r="N40" s="872"/>
      <c r="O40" s="48">
        <f>IF(t&lt;Tnet,'2020'!Resal+('2020'!Salim-'2020'!Resal)*(1-EXP(('2020'!Tnet-t)/('2020'!Tau_j))),Resal+(Salim-Resal)*(1-EXP((Tnet-t)/(Tau_j))))*Salcycl</f>
        <v>0.12320231354999663</v>
      </c>
      <c r="P40" s="171">
        <f>(INDEX(Models!$BJ40:$BT40,,T40)*(1-R40)+INDEX(Models!$BJ40:$BT40,,T40+1)*R40-ERP_i)*Q40*Ramure*Pc/MaxiM</f>
        <v>3.4420578941021351E-2</v>
      </c>
      <c r="Q40" s="307">
        <f t="shared" si="4"/>
        <v>0.9</v>
      </c>
      <c r="R40" s="179">
        <f t="shared" si="5"/>
        <v>0.30127300001633917</v>
      </c>
      <c r="S40" s="839">
        <f t="shared" si="6"/>
        <v>-1</v>
      </c>
      <c r="T40" s="178">
        <f t="shared" si="7"/>
        <v>5</v>
      </c>
      <c r="U40" s="253">
        <f t="shared" si="8"/>
        <v>-0.69872699998366083</v>
      </c>
      <c r="V40" s="385">
        <f t="shared" si="9"/>
        <v>20.425155364146075</v>
      </c>
      <c r="W40" s="404"/>
      <c r="X40" s="157">
        <f t="shared" si="10"/>
        <v>44222</v>
      </c>
      <c r="Y40" s="387">
        <f t="shared" si="11"/>
        <v>14.714</v>
      </c>
      <c r="Z40" s="387">
        <f t="shared" si="12"/>
        <v>15.028575551939387</v>
      </c>
      <c r="AA40" s="388">
        <f t="shared" si="13"/>
        <v>17.14030019032942</v>
      </c>
      <c r="AB40" s="199">
        <f t="shared" si="14"/>
        <v>44222</v>
      </c>
      <c r="AC40" s="119">
        <f>IF(OR(t&lt;Tnet,NoTnet),'2020'!Resal_s+('2020'!Salim-'2020'!Resal_s)*(1-EXP(('2020'!Tnet_s-t)/'2020'!Tau_j)),Resal_s+(Salim-Resal_s)*(1-EXP((Tnet_s-t)/Tau_j)))*Salcycl</f>
        <v>0.12320231354999663</v>
      </c>
      <c r="AD40" s="233">
        <f>(INDEX(Models!$BJ40:$BT40,,AH40)*(1-AF40)+INDEX(Models!$BJ40:$BT40,,AH40+1)*AF40-ERP_i)*AE40*Ramure*Pc/MaxiM</f>
        <v>3.4420578941021351E-2</v>
      </c>
      <c r="AE40" s="307">
        <f t="shared" si="15"/>
        <v>0.9</v>
      </c>
      <c r="AF40" s="179">
        <f t="shared" si="22"/>
        <v>0.30127300001633917</v>
      </c>
      <c r="AG40" s="839">
        <f t="shared" si="23"/>
        <v>-1</v>
      </c>
      <c r="AH40" s="178">
        <f t="shared" si="16"/>
        <v>5</v>
      </c>
      <c r="AI40" s="227">
        <f t="shared" si="17"/>
        <v>-0.69872699998366083</v>
      </c>
      <c r="AJ40" s="267" t="b">
        <f t="shared" si="18"/>
        <v>1</v>
      </c>
      <c r="AK40" s="267" t="b">
        <f t="shared" si="19"/>
        <v>0</v>
      </c>
      <c r="AL40" s="267"/>
      <c r="AM40" s="267"/>
      <c r="AN40" s="75"/>
    </row>
    <row r="41" spans="1:40" s="6" customFormat="1" ht="11.25" x14ac:dyDescent="0.2">
      <c r="A41" s="56">
        <f t="shared" si="20"/>
        <v>44223</v>
      </c>
      <c r="B41" s="620">
        <v>6.0360000000000005</v>
      </c>
      <c r="C41" s="392"/>
      <c r="D41" s="395">
        <f t="shared" si="0"/>
        <v>6.1651891458891459</v>
      </c>
      <c r="E41" s="387">
        <f t="shared" si="1"/>
        <v>7.0318463165099345</v>
      </c>
      <c r="F41" s="387">
        <f t="shared" si="2"/>
        <v>7.0318463165099345</v>
      </c>
      <c r="G41" s="110">
        <f t="shared" si="21"/>
        <v>0.28179476055236341</v>
      </c>
      <c r="H41" s="416" t="b">
        <f>Wh_hp&gt;='2020'!Maxi_hp</f>
        <v>0</v>
      </c>
      <c r="I41" s="382">
        <f>IF(H41,Wh_hp,'2020'!Maxi_hp)</f>
        <v>13.04455621767182</v>
      </c>
      <c r="J41" s="85">
        <f>IF(H41,An,'2020'!An_max)</f>
        <v>2019</v>
      </c>
      <c r="K41" s="199">
        <f t="shared" si="3"/>
        <v>44223</v>
      </c>
      <c r="L41" s="147">
        <f>IF(t&lt;Tvie,1-EXP((T0-t)*PertePVj)+'2020'!Pspv,1-EXP((T0-t)*PertePVj)+Pspv)</f>
        <v>2.0954611907614717E-2</v>
      </c>
      <c r="M41" s="872"/>
      <c r="N41" s="872"/>
      <c r="O41" s="48">
        <f>IF(t&lt;Tnet,'2020'!Resal+('2020'!Salim-'2020'!Resal)*(1-EXP(('2020'!Tnet-t)/('2020'!Tau_j))),Resal+(Salim-Resal)*(1-EXP((Tnet-t)/(Tau_j))))*Salcycl</f>
        <v>0.12324745616040853</v>
      </c>
      <c r="P41" s="171">
        <f>(INDEX(Models!$BJ41:$BT41,,T41)*(1-R41)+INDEX(Models!$BJ41:$BT41,,T41+1)*R41-ERP_i)*Q41*Ramure*Pc/MaxiM</f>
        <v>3.3709642589337924E-2</v>
      </c>
      <c r="Q41" s="307">
        <f t="shared" si="4"/>
        <v>0.9</v>
      </c>
      <c r="R41" s="179">
        <f t="shared" si="5"/>
        <v>0.30137048206906114</v>
      </c>
      <c r="S41" s="839">
        <f t="shared" si="6"/>
        <v>-1</v>
      </c>
      <c r="T41" s="178">
        <f t="shared" si="7"/>
        <v>5</v>
      </c>
      <c r="U41" s="253">
        <f t="shared" si="8"/>
        <v>-0.69862951793093886</v>
      </c>
      <c r="V41" s="385">
        <f t="shared" si="9"/>
        <v>20.697789362364489</v>
      </c>
      <c r="W41" s="404"/>
      <c r="X41" s="157">
        <f t="shared" si="10"/>
        <v>44223</v>
      </c>
      <c r="Y41" s="387">
        <f t="shared" si="11"/>
        <v>6.0360000000000005</v>
      </c>
      <c r="Z41" s="387">
        <f t="shared" si="12"/>
        <v>6.1651891458891459</v>
      </c>
      <c r="AA41" s="388">
        <f t="shared" si="13"/>
        <v>7.0318463165099345</v>
      </c>
      <c r="AB41" s="199">
        <f t="shared" si="14"/>
        <v>44223</v>
      </c>
      <c r="AC41" s="119">
        <f>IF(OR(t&lt;Tnet,NoTnet),'2020'!Resal_s+('2020'!Salim-'2020'!Resal_s)*(1-EXP(('2020'!Tnet_s-t)/'2020'!Tau_j)),Resal_s+(Salim-Resal_s)*(1-EXP((Tnet_s-t)/Tau_j)))*Salcycl</f>
        <v>0.12324745616040853</v>
      </c>
      <c r="AD41" s="233">
        <f>(INDEX(Models!$BJ41:$BT41,,AH41)*(1-AF41)+INDEX(Models!$BJ41:$BT41,,AH41+1)*AF41-ERP_i)*AE41*Ramure*Pc/MaxiM</f>
        <v>3.3709642589337924E-2</v>
      </c>
      <c r="AE41" s="307">
        <f t="shared" si="15"/>
        <v>0.9</v>
      </c>
      <c r="AF41" s="179">
        <f t="shared" si="22"/>
        <v>0.30137048206906114</v>
      </c>
      <c r="AG41" s="839">
        <f t="shared" si="23"/>
        <v>-1</v>
      </c>
      <c r="AH41" s="178">
        <f t="shared" si="16"/>
        <v>5</v>
      </c>
      <c r="AI41" s="227">
        <f t="shared" si="17"/>
        <v>-0.69862951793093886</v>
      </c>
      <c r="AJ41" s="267" t="b">
        <f t="shared" si="18"/>
        <v>1</v>
      </c>
      <c r="AK41" s="267" t="b">
        <f t="shared" si="19"/>
        <v>0</v>
      </c>
      <c r="AL41" s="267"/>
      <c r="AM41" s="267"/>
      <c r="AN41" s="75"/>
    </row>
    <row r="42" spans="1:40" s="6" customFormat="1" ht="11.25" x14ac:dyDescent="0.2">
      <c r="A42" s="56">
        <f t="shared" si="20"/>
        <v>44224</v>
      </c>
      <c r="B42" s="620">
        <v>14.030000000000001</v>
      </c>
      <c r="C42" s="392"/>
      <c r="D42" s="395">
        <f t="shared" si="0"/>
        <v>14.330619067142624</v>
      </c>
      <c r="E42" s="387">
        <f t="shared" si="1"/>
        <v>16.345956974149264</v>
      </c>
      <c r="F42" s="387">
        <f t="shared" si="2"/>
        <v>16.635051340680512</v>
      </c>
      <c r="G42" s="110">
        <f t="shared" si="21"/>
        <v>0.65825850188633195</v>
      </c>
      <c r="H42" s="416" t="b">
        <f>Wh_hp&gt;='2020'!Maxi_hp</f>
        <v>0</v>
      </c>
      <c r="I42" s="382">
        <f>IF(H42,Wh_hp,'2020'!Maxi_hp)</f>
        <v>17.183861490086507</v>
      </c>
      <c r="J42" s="85">
        <f>IF(H42,An,'2020'!An_max)</f>
        <v>2020</v>
      </c>
      <c r="K42" s="199">
        <f t="shared" si="3"/>
        <v>44224</v>
      </c>
      <c r="L42" s="147">
        <f>IF(t&lt;Tvie,1-EXP((T0-t)*PertePVj)+'2020'!Pspv,1-EXP((T0-t)*PertePVj)+Pspv)</f>
        <v>2.0977395724088854E-2</v>
      </c>
      <c r="M42" s="872"/>
      <c r="N42" s="872"/>
      <c r="O42" s="48">
        <f>IF(t&lt;Tnet,'2020'!Resal+('2020'!Salim-'2020'!Resal)*(1-EXP(('2020'!Tnet-t)/('2020'!Tau_j))),Resal+(Salim-Resal)*(1-EXP((Tnet-t)/(Tau_j))))*Salcycl</f>
        <v>0.12329274512308142</v>
      </c>
      <c r="P42" s="171">
        <f>(INDEX(Models!$BJ42:$BT42,,T42)*(1-R42)+INDEX(Models!$BJ42:$BT42,,T42+1)*R42-ERP_i)*Q42*Ramure*Pc/MaxiM</f>
        <v>3.2978537278764979E-2</v>
      </c>
      <c r="Q42" s="307">
        <f t="shared" si="4"/>
        <v>0.9</v>
      </c>
      <c r="R42" s="179">
        <f t="shared" si="5"/>
        <v>0.30147201993849926</v>
      </c>
      <c r="S42" s="839">
        <f t="shared" si="6"/>
        <v>-1</v>
      </c>
      <c r="T42" s="178">
        <f t="shared" si="7"/>
        <v>5</v>
      </c>
      <c r="U42" s="253">
        <f t="shared" si="8"/>
        <v>-0.69852798006150074</v>
      </c>
      <c r="V42" s="385">
        <f t="shared" si="9"/>
        <v>20.97544104215444</v>
      </c>
      <c r="W42" s="404"/>
      <c r="X42" s="157">
        <f t="shared" si="10"/>
        <v>44224</v>
      </c>
      <c r="Y42" s="387">
        <f t="shared" si="11"/>
        <v>14.03</v>
      </c>
      <c r="Z42" s="387">
        <f t="shared" si="12"/>
        <v>14.330619067142623</v>
      </c>
      <c r="AA42" s="388">
        <f t="shared" si="13"/>
        <v>16.345956974149264</v>
      </c>
      <c r="AB42" s="199">
        <f t="shared" si="14"/>
        <v>44224</v>
      </c>
      <c r="AC42" s="119">
        <f>IF(OR(t&lt;Tnet,NoTnet),'2020'!Resal_s+('2020'!Salim-'2020'!Resal_s)*(1-EXP(('2020'!Tnet_s-t)/'2020'!Tau_j)),Resal_s+(Salim-Resal_s)*(1-EXP((Tnet_s-t)/Tau_j)))*Salcycl</f>
        <v>0.12329274512308142</v>
      </c>
      <c r="AD42" s="233">
        <f>(INDEX(Models!$BJ42:$BT42,,AH42)*(1-AF42)+INDEX(Models!$BJ42:$BT42,,AH42+1)*AF42-ERP_i)*AE42*Ramure*Pc/MaxiM</f>
        <v>3.2978537278764979E-2</v>
      </c>
      <c r="AE42" s="307">
        <f t="shared" si="15"/>
        <v>0.9</v>
      </c>
      <c r="AF42" s="179">
        <f t="shared" si="22"/>
        <v>0.30147201993849926</v>
      </c>
      <c r="AG42" s="839">
        <f t="shared" si="23"/>
        <v>-1</v>
      </c>
      <c r="AH42" s="178">
        <f t="shared" si="16"/>
        <v>5</v>
      </c>
      <c r="AI42" s="227">
        <f t="shared" si="17"/>
        <v>-0.69852798006150074</v>
      </c>
      <c r="AJ42" s="267" t="b">
        <f t="shared" si="18"/>
        <v>1</v>
      </c>
      <c r="AK42" s="267" t="b">
        <f t="shared" si="19"/>
        <v>0</v>
      </c>
      <c r="AL42" s="267"/>
      <c r="AM42" s="267"/>
      <c r="AN42" s="75"/>
    </row>
    <row r="43" spans="1:40" s="6" customFormat="1" ht="11.25" x14ac:dyDescent="0.2">
      <c r="A43" s="56">
        <f t="shared" si="20"/>
        <v>44225</v>
      </c>
      <c r="B43" s="620">
        <v>11.552</v>
      </c>
      <c r="C43" s="392"/>
      <c r="D43" s="395">
        <f t="shared" si="0"/>
        <v>11.799797867503523</v>
      </c>
      <c r="E43" s="387">
        <f t="shared" si="1"/>
        <v>13.459919900564651</v>
      </c>
      <c r="F43" s="387">
        <f t="shared" si="2"/>
        <v>13.612482359518143</v>
      </c>
      <c r="G43" s="110">
        <f t="shared" si="21"/>
        <v>0.53187055983043019</v>
      </c>
      <c r="H43" s="416" t="b">
        <f>Wh_hp&gt;='2020'!Maxi_hp</f>
        <v>0</v>
      </c>
      <c r="I43" s="382">
        <f>IF(H43,Wh_hp,'2020'!Maxi_hp)</f>
        <v>19.986344451656461</v>
      </c>
      <c r="J43" s="85">
        <f>IF(H43,An,'2020'!An_max)</f>
        <v>2020</v>
      </c>
      <c r="K43" s="199">
        <f t="shared" si="3"/>
        <v>44225</v>
      </c>
      <c r="L43" s="147">
        <f>IF(t&lt;Tvie,1-EXP((T0-t)*PertePVj)+'2020'!Pspv,1-EXP((T0-t)*PertePVj)+Pspv)</f>
        <v>2.1000179010350339E-2</v>
      </c>
      <c r="M43" s="872"/>
      <c r="N43" s="872"/>
      <c r="O43" s="48">
        <f>IF(t&lt;Tnet,'2020'!Resal+('2020'!Salim-'2020'!Resal)*(1-EXP(('2020'!Tnet-t)/('2020'!Tau_j))),Resal+(Salim-Resal)*(1-EXP((Tnet-t)/(Tau_j))))*Salcycl</f>
        <v>0.1233381807117206</v>
      </c>
      <c r="P43" s="171">
        <f>(INDEX(Models!$BJ43:$BT43,,T43)*(1-R43)+INDEX(Models!$BJ43:$BT43,,T43+1)*R43-ERP_i)*Q43*Ramure*Pc/MaxiM</f>
        <v>3.2228922826470545E-2</v>
      </c>
      <c r="Q43" s="307">
        <f t="shared" si="4"/>
        <v>0.9</v>
      </c>
      <c r="R43" s="179">
        <f t="shared" si="5"/>
        <v>0.30157778090167264</v>
      </c>
      <c r="S43" s="839">
        <f t="shared" si="6"/>
        <v>-1</v>
      </c>
      <c r="T43" s="178">
        <f t="shared" si="7"/>
        <v>5</v>
      </c>
      <c r="U43" s="253">
        <f t="shared" si="8"/>
        <v>-0.69842221909832736</v>
      </c>
      <c r="V43" s="385">
        <f t="shared" si="9"/>
        <v>21.257819812775764</v>
      </c>
      <c r="W43" s="404"/>
      <c r="X43" s="157">
        <f t="shared" si="10"/>
        <v>44225</v>
      </c>
      <c r="Y43" s="387">
        <f t="shared" si="11"/>
        <v>11.552</v>
      </c>
      <c r="Z43" s="387">
        <f t="shared" si="12"/>
        <v>11.799797867503523</v>
      </c>
      <c r="AA43" s="388">
        <f t="shared" si="13"/>
        <v>13.459919900564651</v>
      </c>
      <c r="AB43" s="199">
        <f t="shared" si="14"/>
        <v>44225</v>
      </c>
      <c r="AC43" s="119">
        <f>IF(OR(t&lt;Tnet,NoTnet),'2020'!Resal_s+('2020'!Salim-'2020'!Resal_s)*(1-EXP(('2020'!Tnet_s-t)/'2020'!Tau_j)),Resal_s+(Salim-Resal_s)*(1-EXP((Tnet_s-t)/Tau_j)))*Salcycl</f>
        <v>0.1233381807117206</v>
      </c>
      <c r="AD43" s="233">
        <f>(INDEX(Models!$BJ43:$BT43,,AH43)*(1-AF43)+INDEX(Models!$BJ43:$BT43,,AH43+1)*AF43-ERP_i)*AE43*Ramure*Pc/MaxiM</f>
        <v>3.2228922826470545E-2</v>
      </c>
      <c r="AE43" s="307">
        <f t="shared" si="15"/>
        <v>0.9</v>
      </c>
      <c r="AF43" s="179">
        <f t="shared" si="22"/>
        <v>0.30157778090167264</v>
      </c>
      <c r="AG43" s="839">
        <f t="shared" si="23"/>
        <v>-1</v>
      </c>
      <c r="AH43" s="178">
        <f t="shared" si="16"/>
        <v>5</v>
      </c>
      <c r="AI43" s="227">
        <f t="shared" si="17"/>
        <v>-0.69842221909832736</v>
      </c>
      <c r="AJ43" s="267" t="b">
        <f t="shared" si="18"/>
        <v>1</v>
      </c>
      <c r="AK43" s="267" t="b">
        <f t="shared" si="19"/>
        <v>0</v>
      </c>
      <c r="AL43" s="267"/>
      <c r="AM43" s="267"/>
      <c r="AN43" s="75"/>
    </row>
    <row r="44" spans="1:40" s="6" customFormat="1" ht="11.25" x14ac:dyDescent="0.2">
      <c r="A44" s="56">
        <f t="shared" si="20"/>
        <v>44226</v>
      </c>
      <c r="B44" s="620">
        <v>6.7320000000000002</v>
      </c>
      <c r="C44" s="392"/>
      <c r="D44" s="395">
        <f t="shared" si="0"/>
        <v>6.8765657794659258</v>
      </c>
      <c r="E44" s="387">
        <f t="shared" si="1"/>
        <v>7.8444426153999727</v>
      </c>
      <c r="F44" s="387">
        <f t="shared" si="2"/>
        <v>7.8488323087975855</v>
      </c>
      <c r="G44" s="110">
        <f t="shared" si="21"/>
        <v>0.3028059648357202</v>
      </c>
      <c r="H44" s="416" t="b">
        <f>Wh_hp&gt;='2020'!Maxi_hp</f>
        <v>0</v>
      </c>
      <c r="I44" s="382">
        <f>IF(H44,Wh_hp,'2020'!Maxi_hp)</f>
        <v>10.95637555418933</v>
      </c>
      <c r="J44" s="85">
        <f>IF(H44,An,'2020'!An_max)</f>
        <v>2020</v>
      </c>
      <c r="K44" s="199">
        <f t="shared" si="3"/>
        <v>44226</v>
      </c>
      <c r="L44" s="147">
        <f>IF(t&lt;Tvie,1-EXP((T0-t)*PertePVj)+'2020'!Pspv,1-EXP((T0-t)*PertePVj)+Pspv)</f>
        <v>2.1022961766411496E-2</v>
      </c>
      <c r="M44" s="872"/>
      <c r="N44" s="872"/>
      <c r="O44" s="48">
        <f>IF(t&lt;Tnet,'2020'!Resal+('2020'!Salim-'2020'!Resal)*(1-EXP(('2020'!Tnet-t)/('2020'!Tau_j))),Resal+(Salim-Resal)*(1-EXP((Tnet-t)/(Tau_j))))*Salcycl</f>
        <v>0.12338376139484272</v>
      </c>
      <c r="P44" s="171">
        <f>(INDEX(Models!$BJ44:$BT44,,T44)*(1-R44)+INDEX(Models!$BJ44:$BT44,,T44+1)*R44-ERP_i)*Q44*Ramure*Pc/MaxiM</f>
        <v>3.1428582462799858E-2</v>
      </c>
      <c r="Q44" s="307">
        <f t="shared" si="4"/>
        <v>0.9</v>
      </c>
      <c r="R44" s="179">
        <f t="shared" si="5"/>
        <v>0.3016879390095567</v>
      </c>
      <c r="S44" s="839">
        <f t="shared" si="6"/>
        <v>-1</v>
      </c>
      <c r="T44" s="178">
        <f t="shared" si="7"/>
        <v>5</v>
      </c>
      <c r="U44" s="253">
        <f t="shared" si="8"/>
        <v>-0.6983120609904433</v>
      </c>
      <c r="V44" s="385">
        <f t="shared" si="9"/>
        <v>21.545386557585189</v>
      </c>
      <c r="W44" s="404"/>
      <c r="X44" s="157">
        <f t="shared" si="10"/>
        <v>44226</v>
      </c>
      <c r="Y44" s="387">
        <f t="shared" si="11"/>
        <v>6.7320000000000002</v>
      </c>
      <c r="Z44" s="387">
        <f t="shared" si="12"/>
        <v>6.8765657794659258</v>
      </c>
      <c r="AA44" s="388">
        <f t="shared" si="13"/>
        <v>7.8444426153999727</v>
      </c>
      <c r="AB44" s="199">
        <f t="shared" si="14"/>
        <v>44226</v>
      </c>
      <c r="AC44" s="119">
        <f>IF(OR(t&lt;Tnet,NoTnet),'2020'!Resal_s+('2020'!Salim-'2020'!Resal_s)*(1-EXP(('2020'!Tnet_s-t)/'2020'!Tau_j)),Resal_s+(Salim-Resal_s)*(1-EXP((Tnet_s-t)/Tau_j)))*Salcycl</f>
        <v>0.12338376139484272</v>
      </c>
      <c r="AD44" s="233">
        <f>(INDEX(Models!$BJ44:$BT44,,AH44)*(1-AF44)+INDEX(Models!$BJ44:$BT44,,AH44+1)*AF44-ERP_i)*AE44*Ramure*Pc/MaxiM</f>
        <v>3.1428582462799858E-2</v>
      </c>
      <c r="AE44" s="307">
        <f t="shared" si="15"/>
        <v>0.9</v>
      </c>
      <c r="AF44" s="179">
        <f t="shared" si="22"/>
        <v>0.3016879390095567</v>
      </c>
      <c r="AG44" s="839">
        <f t="shared" si="23"/>
        <v>-1</v>
      </c>
      <c r="AH44" s="178">
        <f t="shared" si="16"/>
        <v>5</v>
      </c>
      <c r="AI44" s="227">
        <f t="shared" si="17"/>
        <v>-0.6983120609904433</v>
      </c>
      <c r="AJ44" s="267" t="b">
        <f t="shared" si="18"/>
        <v>1</v>
      </c>
      <c r="AK44" s="267" t="b">
        <f t="shared" si="19"/>
        <v>0</v>
      </c>
      <c r="AL44" s="267"/>
      <c r="AM44" s="267"/>
      <c r="AN44" s="75"/>
    </row>
    <row r="45" spans="1:40" s="6" customFormat="1" ht="11.25" x14ac:dyDescent="0.2">
      <c r="A45" s="56">
        <f t="shared" si="20"/>
        <v>44227</v>
      </c>
      <c r="B45" s="620">
        <v>8.0609999999999999</v>
      </c>
      <c r="C45" s="392"/>
      <c r="D45" s="395">
        <f t="shared" si="0"/>
        <v>8.2342969046109022</v>
      </c>
      <c r="E45" s="387">
        <f t="shared" si="1"/>
        <v>9.393764394587885</v>
      </c>
      <c r="F45" s="387">
        <f t="shared" si="2"/>
        <v>9.4222236280378446</v>
      </c>
      <c r="G45" s="110">
        <f t="shared" si="21"/>
        <v>0.35892576338081811</v>
      </c>
      <c r="H45" s="416" t="b">
        <f>Wh_hp&gt;='2020'!Maxi_hp</f>
        <v>0</v>
      </c>
      <c r="I45" s="382">
        <f>IF(H45,Wh_hp,'2020'!Maxi_hp)</f>
        <v>19.362829984004698</v>
      </c>
      <c r="J45" s="85">
        <f>IF(H45,An,'2020'!An_max)</f>
        <v>2020</v>
      </c>
      <c r="K45" s="199">
        <f t="shared" si="3"/>
        <v>44227</v>
      </c>
      <c r="L45" s="147">
        <f>IF(t&lt;Tvie,1-EXP((T0-t)*PertePVj)+'2020'!Pspv,1-EXP((T0-t)*PertePVj)+Pspv)</f>
        <v>2.1045743992284538E-2</v>
      </c>
      <c r="M45" s="872"/>
      <c r="N45" s="872"/>
      <c r="O45" s="48">
        <f>IF(t&lt;Tnet,'2020'!Resal+('2020'!Salim-'2020'!Resal)*(1-EXP(('2020'!Tnet-t)/('2020'!Tau_j))),Resal+(Salim-Resal)*(1-EXP((Tnet-t)/(Tau_j))))*Salcycl</f>
        <v>0.1234294837802188</v>
      </c>
      <c r="P45" s="171">
        <f>(INDEX(Models!$BJ45:$BT45,,T45)*(1-R45)+INDEX(Models!$BJ45:$BT45,,T45+1)*R45-ERP_i)*Q45*Ramure*Pc/MaxiM</f>
        <v>3.0583982738912097E-2</v>
      </c>
      <c r="Q45" s="307">
        <f t="shared" si="4"/>
        <v>0.9</v>
      </c>
      <c r="R45" s="179">
        <f t="shared" si="5"/>
        <v>0.30180267535070837</v>
      </c>
      <c r="S45" s="839">
        <f t="shared" si="6"/>
        <v>-1</v>
      </c>
      <c r="T45" s="178">
        <f t="shared" si="7"/>
        <v>5</v>
      </c>
      <c r="U45" s="253">
        <f t="shared" si="8"/>
        <v>-0.69819732464929163</v>
      </c>
      <c r="V45" s="385">
        <f t="shared" si="9"/>
        <v>21.837766788176626</v>
      </c>
      <c r="W45" s="404"/>
      <c r="X45" s="157">
        <f t="shared" si="10"/>
        <v>44227</v>
      </c>
      <c r="Y45" s="387">
        <f t="shared" si="11"/>
        <v>8.0609999999999999</v>
      </c>
      <c r="Z45" s="387">
        <f t="shared" si="12"/>
        <v>8.2342969046109022</v>
      </c>
      <c r="AA45" s="388">
        <f t="shared" si="13"/>
        <v>9.393764394587885</v>
      </c>
      <c r="AB45" s="199">
        <f t="shared" si="14"/>
        <v>44227</v>
      </c>
      <c r="AC45" s="119">
        <f>IF(OR(t&lt;Tnet,NoTnet),'2020'!Resal_s+('2020'!Salim-'2020'!Resal_s)*(1-EXP(('2020'!Tnet_s-t)/'2020'!Tau_j)),Resal_s+(Salim-Resal_s)*(1-EXP((Tnet_s-t)/Tau_j)))*Salcycl</f>
        <v>0.1234294837802188</v>
      </c>
      <c r="AD45" s="233">
        <f>(INDEX(Models!$BJ45:$BT45,,AH45)*(1-AF45)+INDEX(Models!$BJ45:$BT45,,AH45+1)*AF45-ERP_i)*AE45*Ramure*Pc/MaxiM</f>
        <v>3.0583982738912097E-2</v>
      </c>
      <c r="AE45" s="307">
        <f t="shared" si="15"/>
        <v>0.9</v>
      </c>
      <c r="AF45" s="179">
        <f t="shared" si="22"/>
        <v>0.30180267535070837</v>
      </c>
      <c r="AG45" s="839">
        <f t="shared" si="23"/>
        <v>-1</v>
      </c>
      <c r="AH45" s="178">
        <f t="shared" si="16"/>
        <v>5</v>
      </c>
      <c r="AI45" s="227">
        <f t="shared" si="17"/>
        <v>-0.69819732464929163</v>
      </c>
      <c r="AJ45" s="267" t="b">
        <f t="shared" si="18"/>
        <v>1</v>
      </c>
      <c r="AK45" s="267" t="b">
        <f t="shared" si="19"/>
        <v>0</v>
      </c>
      <c r="AL45" s="267"/>
      <c r="AM45" s="267"/>
      <c r="AN45" s="75"/>
    </row>
    <row r="46" spans="1:40" s="6" customFormat="1" ht="11.25" x14ac:dyDescent="0.2">
      <c r="A46" s="56">
        <f t="shared" si="20"/>
        <v>44228</v>
      </c>
      <c r="B46" s="620">
        <v>9.1140000000000008</v>
      </c>
      <c r="C46" s="392"/>
      <c r="D46" s="395">
        <f t="shared" si="0"/>
        <v>9.3101511588492105</v>
      </c>
      <c r="E46" s="387">
        <f t="shared" si="1"/>
        <v>10.621664867232409</v>
      </c>
      <c r="F46" s="387">
        <f t="shared" si="2"/>
        <v>10.672263197211642</v>
      </c>
      <c r="G46" s="110">
        <f t="shared" si="21"/>
        <v>0.40142740037440211</v>
      </c>
      <c r="H46" s="416" t="b">
        <f>Wh_hp&gt;='2020'!Maxi_hp</f>
        <v>0</v>
      </c>
      <c r="I46" s="382">
        <f>IF(H46,Wh_hp,'2020'!Maxi_hp)</f>
        <v>21.665220022404377</v>
      </c>
      <c r="J46" s="85">
        <f>IF(H46,An,'2020'!An_max)</f>
        <v>2019</v>
      </c>
      <c r="K46" s="199">
        <f t="shared" si="3"/>
        <v>44228</v>
      </c>
      <c r="L46" s="147">
        <f>IF(t&lt;Tvie,1-EXP((T0-t)*PertePVj)+'2020'!Pspv,1-EXP((T0-t)*PertePVj)+Pspv)</f>
        <v>2.1068525687982009E-2</v>
      </c>
      <c r="M46" s="872"/>
      <c r="N46" s="872"/>
      <c r="O46" s="48">
        <f>IF(t&lt;Tnet,'2020'!Resal+('2020'!Salim-'2020'!Resal)*(1-EXP(('2020'!Tnet-t)/('2020'!Tau_j))),Resal+(Salim-Resal)*(1-EXP((Tnet-t)/(Tau_j))))*Salcycl</f>
        <v>0.12347534259240166</v>
      </c>
      <c r="P46" s="171">
        <f>(INDEX(Models!$BJ46:$BT46,,T46)*(1-R46)+INDEX(Models!$BJ46:$BT46,,T46+1)*R46-ERP_i)*Q46*Ramure*Pc/MaxiM</f>
        <v>2.9697605520540869E-2</v>
      </c>
      <c r="Q46" s="307">
        <f t="shared" si="4"/>
        <v>0.9</v>
      </c>
      <c r="R46" s="179">
        <f t="shared" si="5"/>
        <v>0.30192217832423163</v>
      </c>
      <c r="S46" s="839">
        <f t="shared" si="6"/>
        <v>-1</v>
      </c>
      <c r="T46" s="178">
        <f t="shared" si="7"/>
        <v>5</v>
      </c>
      <c r="U46" s="253">
        <f t="shared" si="8"/>
        <v>-0.69807782167576837</v>
      </c>
      <c r="V46" s="385">
        <f t="shared" si="9"/>
        <v>22.134669770326145</v>
      </c>
      <c r="W46" s="404"/>
      <c r="X46" s="157">
        <f t="shared" si="10"/>
        <v>44228</v>
      </c>
      <c r="Y46" s="387">
        <f t="shared" si="11"/>
        <v>9.1140000000000008</v>
      </c>
      <c r="Z46" s="387">
        <f t="shared" si="12"/>
        <v>9.3101511588492105</v>
      </c>
      <c r="AA46" s="388">
        <f t="shared" si="13"/>
        <v>10.621664867232409</v>
      </c>
      <c r="AB46" s="199">
        <f t="shared" si="14"/>
        <v>44228</v>
      </c>
      <c r="AC46" s="119">
        <f>IF(OR(t&lt;Tnet,NoTnet),'2020'!Resal_s+('2020'!Salim-'2020'!Resal_s)*(1-EXP(('2020'!Tnet_s-t)/'2020'!Tau_j)),Resal_s+(Salim-Resal_s)*(1-EXP((Tnet_s-t)/Tau_j)))*Salcycl</f>
        <v>0.12347534259240166</v>
      </c>
      <c r="AD46" s="233">
        <f>(INDEX(Models!$BJ46:$BT46,,AH46)*(1-AF46)+INDEX(Models!$BJ46:$BT46,,AH46+1)*AF46-ERP_i)*AE46*Ramure*Pc/MaxiM</f>
        <v>2.9697605520540869E-2</v>
      </c>
      <c r="AE46" s="307">
        <f t="shared" si="15"/>
        <v>0.9</v>
      </c>
      <c r="AF46" s="179">
        <f t="shared" si="22"/>
        <v>0.30192217832423163</v>
      </c>
      <c r="AG46" s="839">
        <f t="shared" si="23"/>
        <v>-1</v>
      </c>
      <c r="AH46" s="178">
        <f t="shared" si="16"/>
        <v>5</v>
      </c>
      <c r="AI46" s="227">
        <f t="shared" si="17"/>
        <v>-0.69807782167576837</v>
      </c>
      <c r="AJ46" s="267" t="b">
        <f t="shared" si="18"/>
        <v>1</v>
      </c>
      <c r="AK46" s="267" t="b">
        <f t="shared" si="19"/>
        <v>0</v>
      </c>
      <c r="AL46" s="267"/>
      <c r="AM46" s="267"/>
      <c r="AN46" s="75"/>
    </row>
    <row r="47" spans="1:40" s="6" customFormat="1" ht="11.25" x14ac:dyDescent="0.2">
      <c r="A47" s="56">
        <f t="shared" si="20"/>
        <v>44229</v>
      </c>
      <c r="B47" s="620">
        <v>20.164999999999999</v>
      </c>
      <c r="C47" s="392"/>
      <c r="D47" s="395">
        <f t="shared" si="0"/>
        <v>20.599469737248015</v>
      </c>
      <c r="E47" s="387">
        <f t="shared" si="1"/>
        <v>23.502534012947539</v>
      </c>
      <c r="F47" s="387">
        <f t="shared" si="2"/>
        <v>24.095566163036541</v>
      </c>
      <c r="G47" s="110">
        <f t="shared" si="21"/>
        <v>0.8949531474071426</v>
      </c>
      <c r="H47" s="416" t="b">
        <f>Wh_hp&gt;='2020'!Maxi_hp</f>
        <v>1</v>
      </c>
      <c r="I47" s="382">
        <f>IF(H47,Wh_hp,'2020'!Maxi_hp)</f>
        <v>24.095566163036541</v>
      </c>
      <c r="J47" s="85">
        <f>IF(H47,An,'2020'!An_max)</f>
        <v>2021</v>
      </c>
      <c r="K47" s="199">
        <f t="shared" si="3"/>
        <v>44229</v>
      </c>
      <c r="L47" s="147">
        <f>IF(t&lt;Tvie,1-EXP((T0-t)*PertePVj)+'2020'!Pspv,1-EXP((T0-t)*PertePVj)+Pspv)</f>
        <v>2.1091306853516123E-2</v>
      </c>
      <c r="M47" s="872"/>
      <c r="N47" s="872"/>
      <c r="O47" s="48">
        <f>IF(t&lt;Tnet,'2020'!Resal+('2020'!Salim-'2020'!Resal)*(1-EXP(('2020'!Tnet-t)/('2020'!Tau_j))),Resal+(Salim-Resal)*(1-EXP((Tnet-t)/(Tau_j))))*Salcycl</f>
        <v>0.1235213306829054</v>
      </c>
      <c r="P47" s="171">
        <f>(INDEX(Models!$BJ47:$BT47,,T47)*(1-R47)+INDEX(Models!$BJ47:$BT47,,T47+1)*R47-ERP_i)*Q47*Ramure*Pc/MaxiM</f>
        <v>2.8771804131899944E-2</v>
      </c>
      <c r="Q47" s="307">
        <f t="shared" si="4"/>
        <v>0.9</v>
      </c>
      <c r="R47" s="179">
        <f t="shared" si="5"/>
        <v>0.3020466439223326</v>
      </c>
      <c r="S47" s="839">
        <f t="shared" si="6"/>
        <v>-1</v>
      </c>
      <c r="T47" s="178">
        <f t="shared" si="7"/>
        <v>5</v>
      </c>
      <c r="U47" s="253">
        <f t="shared" si="8"/>
        <v>-0.6979533560776674</v>
      </c>
      <c r="V47" s="385">
        <f t="shared" si="9"/>
        <v>22.435804856378251</v>
      </c>
      <c r="W47" s="404"/>
      <c r="X47" s="157">
        <f t="shared" si="10"/>
        <v>44229</v>
      </c>
      <c r="Y47" s="387">
        <f t="shared" si="11"/>
        <v>20.164999999999999</v>
      </c>
      <c r="Z47" s="387">
        <f t="shared" si="12"/>
        <v>20.599469737248015</v>
      </c>
      <c r="AA47" s="388">
        <f t="shared" si="13"/>
        <v>23.502534012947539</v>
      </c>
      <c r="AB47" s="199">
        <f t="shared" si="14"/>
        <v>44229</v>
      </c>
      <c r="AC47" s="119">
        <f>IF(OR(t&lt;Tnet,NoTnet),'2020'!Resal_s+('2020'!Salim-'2020'!Resal_s)*(1-EXP(('2020'!Tnet_s-t)/'2020'!Tau_j)),Resal_s+(Salim-Resal_s)*(1-EXP((Tnet_s-t)/Tau_j)))*Salcycl</f>
        <v>0.1235213306829054</v>
      </c>
      <c r="AD47" s="233">
        <f>(INDEX(Models!$BJ47:$BT47,,AH47)*(1-AF47)+INDEX(Models!$BJ47:$BT47,,AH47+1)*AF47-ERP_i)*AE47*Ramure*Pc/MaxiM</f>
        <v>2.8771804131899944E-2</v>
      </c>
      <c r="AE47" s="307">
        <f t="shared" si="15"/>
        <v>0.9</v>
      </c>
      <c r="AF47" s="179">
        <f t="shared" si="22"/>
        <v>0.3020466439223326</v>
      </c>
      <c r="AG47" s="839">
        <f t="shared" si="23"/>
        <v>-1</v>
      </c>
      <c r="AH47" s="178">
        <f t="shared" si="16"/>
        <v>5</v>
      </c>
      <c r="AI47" s="227">
        <f t="shared" si="17"/>
        <v>-0.6979533560776674</v>
      </c>
      <c r="AJ47" s="267" t="b">
        <f t="shared" si="18"/>
        <v>1</v>
      </c>
      <c r="AK47" s="267" t="b">
        <f t="shared" si="19"/>
        <v>0</v>
      </c>
      <c r="AL47" s="267"/>
      <c r="AM47" s="267"/>
      <c r="AN47" s="75"/>
    </row>
    <row r="48" spans="1:40" s="6" customFormat="1" ht="11.25" x14ac:dyDescent="0.2">
      <c r="A48" s="56">
        <f t="shared" si="20"/>
        <v>44230</v>
      </c>
      <c r="B48" s="620">
        <v>16.405999999999999</v>
      </c>
      <c r="C48" s="392"/>
      <c r="D48" s="395">
        <f t="shared" si="0"/>
        <v>16.759869347710069</v>
      </c>
      <c r="E48" s="387">
        <f t="shared" si="1"/>
        <v>19.122828264127151</v>
      </c>
      <c r="F48" s="387">
        <f t="shared" si="2"/>
        <v>19.44843732695978</v>
      </c>
      <c r="G48" s="110">
        <f t="shared" si="21"/>
        <v>0.71331225159165068</v>
      </c>
      <c r="H48" s="416" t="b">
        <f>Wh_hp&gt;='2020'!Maxi_hp</f>
        <v>0</v>
      </c>
      <c r="I48" s="382">
        <f>IF(H48,Wh_hp,'2020'!Maxi_hp)</f>
        <v>22.364236578915285</v>
      </c>
      <c r="J48" s="85">
        <f>IF(H48,An,'2020'!An_max)</f>
        <v>2020</v>
      </c>
      <c r="K48" s="199">
        <f t="shared" si="3"/>
        <v>44230</v>
      </c>
      <c r="L48" s="147">
        <f>IF(t&lt;Tvie,1-EXP((T0-t)*PertePVj)+'2020'!Pspv,1-EXP((T0-t)*PertePVj)+Pspv)</f>
        <v>2.1114087488899203E-2</v>
      </c>
      <c r="M48" s="872"/>
      <c r="N48" s="872"/>
      <c r="O48" s="48">
        <f>IF(t&lt;Tnet,'2020'!Resal+('2020'!Salim-'2020'!Resal)*(1-EXP(('2020'!Tnet-t)/('2020'!Tau_j))),Resal+(Salim-Resal)*(1-EXP((Tnet-t)/(Tau_j))))*Salcycl</f>
        <v>0.12356743907227352</v>
      </c>
      <c r="P48" s="171">
        <f>(INDEX(Models!$BJ48:$BT48,,T48)*(1-R48)+INDEX(Models!$BJ48:$BT48,,T48+1)*R48-ERP_i)*Q48*Ramure*Pc/MaxiM</f>
        <v>2.7808802428688238E-2</v>
      </c>
      <c r="Q48" s="307">
        <f t="shared" si="4"/>
        <v>0.9</v>
      </c>
      <c r="R48" s="179">
        <f t="shared" si="5"/>
        <v>0.30217627602271224</v>
      </c>
      <c r="S48" s="839">
        <f t="shared" si="6"/>
        <v>-1</v>
      </c>
      <c r="T48" s="178">
        <f t="shared" si="7"/>
        <v>5</v>
      </c>
      <c r="U48" s="253">
        <f t="shared" si="8"/>
        <v>-0.69782372397728776</v>
      </c>
      <c r="V48" s="385">
        <f t="shared" si="9"/>
        <v>22.740881508838498</v>
      </c>
      <c r="W48" s="404"/>
      <c r="X48" s="157">
        <f t="shared" si="10"/>
        <v>44230</v>
      </c>
      <c r="Y48" s="387">
        <f t="shared" si="11"/>
        <v>16.405999999999999</v>
      </c>
      <c r="Z48" s="387">
        <f t="shared" si="12"/>
        <v>16.759869347710069</v>
      </c>
      <c r="AA48" s="388">
        <f t="shared" si="13"/>
        <v>19.122828264127151</v>
      </c>
      <c r="AB48" s="199">
        <f t="shared" si="14"/>
        <v>44230</v>
      </c>
      <c r="AC48" s="119">
        <f>IF(OR(t&lt;Tnet,NoTnet),'2020'!Resal_s+('2020'!Salim-'2020'!Resal_s)*(1-EXP(('2020'!Tnet_s-t)/'2020'!Tau_j)),Resal_s+(Salim-Resal_s)*(1-EXP((Tnet_s-t)/Tau_j)))*Salcycl</f>
        <v>0.12356743907227352</v>
      </c>
      <c r="AD48" s="233">
        <f>(INDEX(Models!$BJ48:$BT48,,AH48)*(1-AF48)+INDEX(Models!$BJ48:$BT48,,AH48+1)*AF48-ERP_i)*AE48*Ramure*Pc/MaxiM</f>
        <v>2.7808802428688238E-2</v>
      </c>
      <c r="AE48" s="307">
        <f t="shared" si="15"/>
        <v>0.9</v>
      </c>
      <c r="AF48" s="179">
        <f t="shared" si="22"/>
        <v>0.30217627602271224</v>
      </c>
      <c r="AG48" s="839">
        <f t="shared" si="23"/>
        <v>-1</v>
      </c>
      <c r="AH48" s="178">
        <f t="shared" si="16"/>
        <v>5</v>
      </c>
      <c r="AI48" s="227">
        <f t="shared" si="17"/>
        <v>-0.69782372397728776</v>
      </c>
      <c r="AJ48" s="267" t="b">
        <f t="shared" si="18"/>
        <v>1</v>
      </c>
      <c r="AK48" s="267" t="b">
        <f t="shared" si="19"/>
        <v>0</v>
      </c>
      <c r="AL48" s="267"/>
      <c r="AM48" s="267"/>
      <c r="AN48" s="75"/>
    </row>
    <row r="49" spans="1:40" s="6" customFormat="1" ht="11.25" x14ac:dyDescent="0.2">
      <c r="A49" s="56">
        <f t="shared" si="20"/>
        <v>44231</v>
      </c>
      <c r="B49" s="620">
        <v>13.152000000000001</v>
      </c>
      <c r="C49" s="392"/>
      <c r="D49" s="395">
        <f t="shared" si="0"/>
        <v>13.435994844013511</v>
      </c>
      <c r="E49" s="387">
        <f t="shared" si="1"/>
        <v>15.331132156135663</v>
      </c>
      <c r="F49" s="387">
        <f t="shared" si="2"/>
        <v>15.491689116600892</v>
      </c>
      <c r="G49" s="110">
        <f t="shared" si="21"/>
        <v>0.56111270849702188</v>
      </c>
      <c r="H49" s="416" t="b">
        <f>Wh_hp&gt;='2020'!Maxi_hp</f>
        <v>0</v>
      </c>
      <c r="I49" s="382">
        <f>IF(H49,Wh_hp,'2020'!Maxi_hp)</f>
        <v>23.372565339149336</v>
      </c>
      <c r="J49" s="85">
        <f>IF(H49,An,'2020'!An_max)</f>
        <v>2019</v>
      </c>
      <c r="K49" s="199">
        <f t="shared" si="3"/>
        <v>44231</v>
      </c>
      <c r="L49" s="147">
        <f>IF(t&lt;Tvie,1-EXP((T0-t)*PertePVj)+'2020'!Pspv,1-EXP((T0-t)*PertePVj)+Pspv)</f>
        <v>2.1136867594143571E-2</v>
      </c>
      <c r="M49" s="872"/>
      <c r="N49" s="872"/>
      <c r="O49" s="48">
        <f>IF(t&lt;Tnet,'2020'!Resal+('2020'!Salim-'2020'!Resal)*(1-EXP(('2020'!Tnet-t)/('2020'!Tau_j))),Resal+(Salim-Resal)*(1-EXP((Tnet-t)/(Tau_j))))*Salcycl</f>
        <v>0.12361365702295511</v>
      </c>
      <c r="P49" s="171">
        <f>(INDEX(Models!$BJ49:$BT49,,T49)*(1-R49)+INDEX(Models!$BJ49:$BT49,,T49+1)*R49-ERP_i)*Q49*Ramure*Pc/MaxiM</f>
        <v>2.6810694750731726E-2</v>
      </c>
      <c r="Q49" s="307">
        <f t="shared" si="4"/>
        <v>0.9</v>
      </c>
      <c r="R49" s="179">
        <f t="shared" si="5"/>
        <v>0.30231128669104546</v>
      </c>
      <c r="S49" s="839">
        <f t="shared" si="6"/>
        <v>-1</v>
      </c>
      <c r="T49" s="178">
        <f t="shared" si="7"/>
        <v>5</v>
      </c>
      <c r="U49" s="253">
        <f t="shared" si="8"/>
        <v>-0.69768871330895454</v>
      </c>
      <c r="V49" s="385">
        <f t="shared" si="9"/>
        <v>23.049609313201746</v>
      </c>
      <c r="W49" s="404"/>
      <c r="X49" s="157">
        <f t="shared" si="10"/>
        <v>44231</v>
      </c>
      <c r="Y49" s="387">
        <f t="shared" si="11"/>
        <v>13.152000000000001</v>
      </c>
      <c r="Z49" s="387">
        <f t="shared" si="12"/>
        <v>13.435994844013511</v>
      </c>
      <c r="AA49" s="388">
        <f t="shared" si="13"/>
        <v>15.331132156135663</v>
      </c>
      <c r="AB49" s="199">
        <f t="shared" si="14"/>
        <v>44231</v>
      </c>
      <c r="AC49" s="119">
        <f>IF(OR(t&lt;Tnet,NoTnet),'2020'!Resal_s+('2020'!Salim-'2020'!Resal_s)*(1-EXP(('2020'!Tnet_s-t)/'2020'!Tau_j)),Resal_s+(Salim-Resal_s)*(1-EXP((Tnet_s-t)/Tau_j)))*Salcycl</f>
        <v>0.12361365702295511</v>
      </c>
      <c r="AD49" s="233">
        <f>(INDEX(Models!$BJ49:$BT49,,AH49)*(1-AF49)+INDEX(Models!$BJ49:$BT49,,AH49+1)*AF49-ERP_i)*AE49*Ramure*Pc/MaxiM</f>
        <v>2.6810694750731726E-2</v>
      </c>
      <c r="AE49" s="307">
        <f t="shared" si="15"/>
        <v>0.9</v>
      </c>
      <c r="AF49" s="179">
        <f t="shared" si="22"/>
        <v>0.30231128669104546</v>
      </c>
      <c r="AG49" s="839">
        <f t="shared" si="23"/>
        <v>-1</v>
      </c>
      <c r="AH49" s="178">
        <f t="shared" si="16"/>
        <v>5</v>
      </c>
      <c r="AI49" s="227">
        <f t="shared" si="17"/>
        <v>-0.69768871330895454</v>
      </c>
      <c r="AJ49" s="267" t="b">
        <f t="shared" si="18"/>
        <v>1</v>
      </c>
      <c r="AK49" s="267" t="b">
        <f t="shared" si="19"/>
        <v>0</v>
      </c>
      <c r="AL49" s="267"/>
      <c r="AM49" s="267"/>
      <c r="AN49" s="75"/>
    </row>
    <row r="50" spans="1:40" s="6" customFormat="1" ht="11.25" x14ac:dyDescent="0.2">
      <c r="A50" s="56">
        <f t="shared" si="20"/>
        <v>44232</v>
      </c>
      <c r="B50" s="620">
        <v>8.6150000000000002</v>
      </c>
      <c r="C50" s="392"/>
      <c r="D50" s="395">
        <f t="shared" si="0"/>
        <v>8.8012309413746763</v>
      </c>
      <c r="E50" s="387">
        <f t="shared" si="1"/>
        <v>10.043168931679666</v>
      </c>
      <c r="F50" s="387">
        <f t="shared" si="2"/>
        <v>10.06866782589486</v>
      </c>
      <c r="G50" s="110">
        <f t="shared" si="21"/>
        <v>0.36017155399083417</v>
      </c>
      <c r="H50" s="416" t="b">
        <f>Wh_hp&gt;='2020'!Maxi_hp</f>
        <v>0</v>
      </c>
      <c r="I50" s="382">
        <f>IF(H50,Wh_hp,'2020'!Maxi_hp)</f>
        <v>27.755080564710749</v>
      </c>
      <c r="J50" s="85">
        <f>IF(H50,An,'2020'!An_max)</f>
        <v>2020</v>
      </c>
      <c r="K50" s="199">
        <f t="shared" si="3"/>
        <v>44232</v>
      </c>
      <c r="L50" s="147">
        <f>IF(t&lt;Tvie,1-EXP((T0-t)*PertePVj)+'2020'!Pspv,1-EXP((T0-t)*PertePVj)+Pspv)</f>
        <v>2.1159647169261664E-2</v>
      </c>
      <c r="M50" s="872"/>
      <c r="N50" s="872"/>
      <c r="O50" s="48">
        <f>IF(t&lt;Tnet,'2020'!Resal+('2020'!Salim-'2020'!Resal)*(1-EXP(('2020'!Tnet-t)/('2020'!Tau_j))),Resal+(Salim-Resal)*(1-EXP((Tnet-t)/(Tau_j))))*Salcycl</f>
        <v>0.12365997214160995</v>
      </c>
      <c r="P50" s="171">
        <f>(INDEX(Models!$BJ50:$BT50,,T50)*(1-R50)+INDEX(Models!$BJ50:$BT50,,T50+1)*R50-ERP_i)*Q50*Ramure*Pc/MaxiM</f>
        <v>2.5779446604477032E-2</v>
      </c>
      <c r="Q50" s="307">
        <f t="shared" si="4"/>
        <v>0.9</v>
      </c>
      <c r="R50" s="179">
        <f t="shared" si="5"/>
        <v>0.30245189649378845</v>
      </c>
      <c r="S50" s="839">
        <f t="shared" si="6"/>
        <v>-1</v>
      </c>
      <c r="T50" s="178">
        <f t="shared" si="7"/>
        <v>5</v>
      </c>
      <c r="U50" s="253">
        <f t="shared" si="8"/>
        <v>-0.69754810350621155</v>
      </c>
      <c r="V50" s="385">
        <f t="shared" si="9"/>
        <v>23.361697996894222</v>
      </c>
      <c r="W50" s="404"/>
      <c r="X50" s="157">
        <f t="shared" si="10"/>
        <v>44232</v>
      </c>
      <c r="Y50" s="387">
        <f t="shared" si="11"/>
        <v>8.6150000000000002</v>
      </c>
      <c r="Z50" s="387">
        <f t="shared" si="12"/>
        <v>8.8012309413746763</v>
      </c>
      <c r="AA50" s="388">
        <f t="shared" si="13"/>
        <v>10.043168931679666</v>
      </c>
      <c r="AB50" s="199">
        <f t="shared" si="14"/>
        <v>44232</v>
      </c>
      <c r="AC50" s="119">
        <f>IF(OR(t&lt;Tnet,NoTnet),'2020'!Resal_s+('2020'!Salim-'2020'!Resal_s)*(1-EXP(('2020'!Tnet_s-t)/'2020'!Tau_j)),Resal_s+(Salim-Resal_s)*(1-EXP((Tnet_s-t)/Tau_j)))*Salcycl</f>
        <v>0.12365997214160995</v>
      </c>
      <c r="AD50" s="233">
        <f>(INDEX(Models!$BJ50:$BT50,,AH50)*(1-AF50)+INDEX(Models!$BJ50:$BT50,,AH50+1)*AF50-ERP_i)*AE50*Ramure*Pc/MaxiM</f>
        <v>2.5779446604477032E-2</v>
      </c>
      <c r="AE50" s="307">
        <f t="shared" si="15"/>
        <v>0.9</v>
      </c>
      <c r="AF50" s="179">
        <f t="shared" si="22"/>
        <v>0.30245189649378845</v>
      </c>
      <c r="AG50" s="839">
        <f t="shared" si="23"/>
        <v>-1</v>
      </c>
      <c r="AH50" s="178">
        <f t="shared" si="16"/>
        <v>5</v>
      </c>
      <c r="AI50" s="227">
        <f t="shared" si="17"/>
        <v>-0.69754810350621155</v>
      </c>
      <c r="AJ50" s="267" t="b">
        <f t="shared" si="18"/>
        <v>1</v>
      </c>
      <c r="AK50" s="267" t="b">
        <f t="shared" si="19"/>
        <v>0</v>
      </c>
      <c r="AL50" s="267"/>
      <c r="AM50" s="267"/>
      <c r="AN50" s="75"/>
    </row>
    <row r="51" spans="1:40" s="6" customFormat="1" ht="11.25" x14ac:dyDescent="0.2">
      <c r="A51" s="56">
        <f t="shared" si="20"/>
        <v>44233</v>
      </c>
      <c r="B51" s="620">
        <v>7.1779999999999999</v>
      </c>
      <c r="C51" s="392"/>
      <c r="D51" s="395">
        <f t="shared" si="0"/>
        <v>7.3333378887323528</v>
      </c>
      <c r="E51" s="387">
        <f t="shared" si="1"/>
        <v>8.3685851887266427</v>
      </c>
      <c r="F51" s="387">
        <f t="shared" si="2"/>
        <v>8.3695186411746683</v>
      </c>
      <c r="G51" s="110">
        <f t="shared" si="21"/>
        <v>0.29569867124594373</v>
      </c>
      <c r="H51" s="416" t="b">
        <f>Wh_hp&gt;='2020'!Maxi_hp</f>
        <v>0</v>
      </c>
      <c r="I51" s="382">
        <f>IF(H51,Wh_hp,'2020'!Maxi_hp)</f>
        <v>28.804501994668065</v>
      </c>
      <c r="J51" s="85">
        <f>IF(H51,An,'2020'!An_max)</f>
        <v>2020</v>
      </c>
      <c r="K51" s="199">
        <f t="shared" si="3"/>
        <v>44233</v>
      </c>
      <c r="L51" s="147">
        <f>IF(t&lt;Tvie,1-EXP((T0-t)*PertePVj)+'2020'!Pspv,1-EXP((T0-t)*PertePVj)+Pspv)</f>
        <v>2.1182426214265804E-2</v>
      </c>
      <c r="M51" s="872"/>
      <c r="N51" s="872"/>
      <c r="O51" s="48">
        <f>IF(t&lt;Tnet,'2020'!Resal+('2020'!Salim-'2020'!Resal)*(1-EXP(('2020'!Tnet-t)/('2020'!Tau_j))),Resal+(Salim-Resal)*(1-EXP((Tnet-t)/(Tau_j))))*Salcycl</f>
        <v>0.12370637050918419</v>
      </c>
      <c r="P51" s="171">
        <f>(INDEX(Models!$BJ51:$BT51,,T51)*(1-R51)+INDEX(Models!$BJ51:$BT51,,T51+1)*R51-ERP_i)*Q51*Ramure*Pc/MaxiM</f>
        <v>2.47163745558385E-2</v>
      </c>
      <c r="Q51" s="307">
        <f t="shared" si="4"/>
        <v>0.9</v>
      </c>
      <c r="R51" s="179">
        <f t="shared" si="5"/>
        <v>0.30259833482155574</v>
      </c>
      <c r="S51" s="839">
        <f t="shared" si="6"/>
        <v>-1</v>
      </c>
      <c r="T51" s="178">
        <f t="shared" si="7"/>
        <v>5</v>
      </c>
      <c r="U51" s="253">
        <f t="shared" si="8"/>
        <v>-0.69740166517844426</v>
      </c>
      <c r="V51" s="385">
        <f t="shared" si="9"/>
        <v>23.677369588428927</v>
      </c>
      <c r="W51" s="404"/>
      <c r="X51" s="157">
        <f t="shared" si="10"/>
        <v>44233</v>
      </c>
      <c r="Y51" s="387">
        <f t="shared" si="11"/>
        <v>7.1780000000000008</v>
      </c>
      <c r="Z51" s="387">
        <f t="shared" si="12"/>
        <v>7.3333378887323537</v>
      </c>
      <c r="AA51" s="388">
        <f t="shared" si="13"/>
        <v>8.3685851887266427</v>
      </c>
      <c r="AB51" s="199">
        <f t="shared" si="14"/>
        <v>44233</v>
      </c>
      <c r="AC51" s="119">
        <f>IF(OR(t&lt;Tnet,NoTnet),'2020'!Resal_s+('2020'!Salim-'2020'!Resal_s)*(1-EXP(('2020'!Tnet_s-t)/'2020'!Tau_j)),Resal_s+(Salim-Resal_s)*(1-EXP((Tnet_s-t)/Tau_j)))*Salcycl</f>
        <v>0.12370637050918419</v>
      </c>
      <c r="AD51" s="233">
        <f>(INDEX(Models!$BJ51:$BT51,,AH51)*(1-AF51)+INDEX(Models!$BJ51:$BT51,,AH51+1)*AF51-ERP_i)*AE51*Ramure*Pc/MaxiM</f>
        <v>2.47163745558385E-2</v>
      </c>
      <c r="AE51" s="307">
        <f t="shared" si="15"/>
        <v>0.9</v>
      </c>
      <c r="AF51" s="179">
        <f t="shared" si="22"/>
        <v>0.30259833482155574</v>
      </c>
      <c r="AG51" s="839">
        <f t="shared" si="23"/>
        <v>-1</v>
      </c>
      <c r="AH51" s="178">
        <f t="shared" si="16"/>
        <v>5</v>
      </c>
      <c r="AI51" s="227">
        <f t="shared" si="17"/>
        <v>-0.69740166517844426</v>
      </c>
      <c r="AJ51" s="267" t="b">
        <f t="shared" si="18"/>
        <v>1</v>
      </c>
      <c r="AK51" s="267" t="b">
        <f t="shared" si="19"/>
        <v>0</v>
      </c>
      <c r="AL51" s="267"/>
      <c r="AM51" s="267"/>
      <c r="AN51" s="75"/>
    </row>
    <row r="52" spans="1:40" s="6" customFormat="1" ht="11.25" x14ac:dyDescent="0.2">
      <c r="A52" s="56">
        <f t="shared" si="20"/>
        <v>44234</v>
      </c>
      <c r="B52" s="620">
        <v>17.277999999999999</v>
      </c>
      <c r="C52" s="392"/>
      <c r="D52" s="395">
        <f t="shared" si="0"/>
        <v>17.652321082499412</v>
      </c>
      <c r="E52" s="387">
        <f t="shared" si="1"/>
        <v>20.14536745405994</v>
      </c>
      <c r="F52" s="387">
        <f t="shared" si="2"/>
        <v>20.435045615049184</v>
      </c>
      <c r="G52" s="110">
        <f t="shared" si="21"/>
        <v>0.71310393352227219</v>
      </c>
      <c r="H52" s="416" t="b">
        <f>Wh_hp&gt;='2020'!Maxi_hp</f>
        <v>1</v>
      </c>
      <c r="I52" s="382">
        <f>IF(H52,Wh_hp,'2020'!Maxi_hp)</f>
        <v>20.435045615049184</v>
      </c>
      <c r="J52" s="85">
        <f>IF(H52,An,'2020'!An_max)</f>
        <v>2021</v>
      </c>
      <c r="K52" s="199">
        <f t="shared" si="3"/>
        <v>44234</v>
      </c>
      <c r="L52" s="147">
        <f>IF(t&lt;Tvie,1-EXP((T0-t)*PertePVj)+'2020'!Pspv,1-EXP((T0-t)*PertePVj)+Pspv)</f>
        <v>2.1205204729168203E-2</v>
      </c>
      <c r="M52" s="872"/>
      <c r="N52" s="872"/>
      <c r="O52" s="48">
        <f>IF(t&lt;Tnet,'2020'!Resal+('2020'!Salim-'2020'!Resal)*(1-EXP(('2020'!Tnet-t)/('2020'!Tau_j))),Resal+(Salim-Resal)*(1-EXP((Tnet-t)/(Tau_j))))*Salcycl</f>
        <v>0.12375283683684296</v>
      </c>
      <c r="P52" s="171">
        <f>(INDEX(Models!$BJ52:$BT52,,T52)*(1-R52)+INDEX(Models!$BJ52:$BT52,,T52+1)*R52-ERP_i)*Q52*Ramure*Pc/MaxiM</f>
        <v>2.3625599401825594E-2</v>
      </c>
      <c r="Q52" s="307">
        <f t="shared" si="4"/>
        <v>0.9</v>
      </c>
      <c r="R52" s="179">
        <f t="shared" si="5"/>
        <v>0.30275084022329912</v>
      </c>
      <c r="S52" s="839">
        <f t="shared" si="6"/>
        <v>-1</v>
      </c>
      <c r="T52" s="178">
        <f t="shared" si="7"/>
        <v>5</v>
      </c>
      <c r="U52" s="253">
        <f t="shared" si="8"/>
        <v>-0.69724915977670088</v>
      </c>
      <c r="V52" s="385">
        <f t="shared" si="9"/>
        <v>23.99702698701963</v>
      </c>
      <c r="W52" s="404"/>
      <c r="X52" s="157">
        <f t="shared" si="10"/>
        <v>44234</v>
      </c>
      <c r="Y52" s="387">
        <f t="shared" si="11"/>
        <v>17.277999999999999</v>
      </c>
      <c r="Z52" s="387">
        <f t="shared" si="12"/>
        <v>17.652321082499412</v>
      </c>
      <c r="AA52" s="388">
        <f t="shared" si="13"/>
        <v>20.14536745405994</v>
      </c>
      <c r="AB52" s="199">
        <f t="shared" si="14"/>
        <v>44234</v>
      </c>
      <c r="AC52" s="119">
        <f>IF(OR(t&lt;Tnet,NoTnet),'2020'!Resal_s+('2020'!Salim-'2020'!Resal_s)*(1-EXP(('2020'!Tnet_s-t)/'2020'!Tau_j)),Resal_s+(Salim-Resal_s)*(1-EXP((Tnet_s-t)/Tau_j)))*Salcycl</f>
        <v>0.12375283683684296</v>
      </c>
      <c r="AD52" s="233">
        <f>(INDEX(Models!$BJ52:$BT52,,AH52)*(1-AF52)+INDEX(Models!$BJ52:$BT52,,AH52+1)*AF52-ERP_i)*AE52*Ramure*Pc/MaxiM</f>
        <v>2.3625599401825594E-2</v>
      </c>
      <c r="AE52" s="307">
        <f t="shared" si="15"/>
        <v>0.9</v>
      </c>
      <c r="AF52" s="179">
        <f t="shared" si="22"/>
        <v>0.30275084022329912</v>
      </c>
      <c r="AG52" s="839">
        <f t="shared" si="23"/>
        <v>-1</v>
      </c>
      <c r="AH52" s="178">
        <f t="shared" si="16"/>
        <v>5</v>
      </c>
      <c r="AI52" s="227">
        <f t="shared" si="17"/>
        <v>-0.69724915977670088</v>
      </c>
      <c r="AJ52" s="267" t="b">
        <f t="shared" si="18"/>
        <v>1</v>
      </c>
      <c r="AK52" s="267" t="b">
        <f t="shared" si="19"/>
        <v>0</v>
      </c>
      <c r="AL52" s="267"/>
      <c r="AM52" s="267"/>
      <c r="AN52" s="75"/>
    </row>
    <row r="53" spans="1:40" s="6" customFormat="1" ht="11.25" x14ac:dyDescent="0.2">
      <c r="A53" s="56">
        <f t="shared" si="20"/>
        <v>44235</v>
      </c>
      <c r="B53" s="620">
        <v>3.7760000000000002</v>
      </c>
      <c r="C53" s="392"/>
      <c r="D53" s="395">
        <f t="shared" si="0"/>
        <v>3.8578953354942205</v>
      </c>
      <c r="E53" s="387">
        <f t="shared" si="1"/>
        <v>4.4029816183642234</v>
      </c>
      <c r="F53" s="387">
        <f t="shared" si="2"/>
        <v>4.4029816183642234</v>
      </c>
      <c r="G53" s="110">
        <f t="shared" si="21"/>
        <v>0.15176365317062535</v>
      </c>
      <c r="H53" s="416" t="b">
        <f>Wh_hp&gt;='2020'!Maxi_hp</f>
        <v>0</v>
      </c>
      <c r="I53" s="382">
        <f>IF(H53,Wh_hp,'2020'!Maxi_hp)</f>
        <v>25.0429236886139</v>
      </c>
      <c r="J53" s="85">
        <f>IF(H53,An,'2020'!An_max)</f>
        <v>2020</v>
      </c>
      <c r="K53" s="199">
        <f t="shared" si="3"/>
        <v>44235</v>
      </c>
      <c r="L53" s="147">
        <f>IF(t&lt;Tvie,1-EXP((T0-t)*PertePVj)+'2020'!Pspv,1-EXP((T0-t)*PertePVj)+Pspv)</f>
        <v>2.1227982713981297E-2</v>
      </c>
      <c r="M53" s="872"/>
      <c r="N53" s="872"/>
      <c r="O53" s="48">
        <f>IF(t&lt;Tnet,'2020'!Resal+('2020'!Salim-'2020'!Resal)*(1-EXP(('2020'!Tnet-t)/('2020'!Tau_j))),Resal+(Salim-Resal)*(1-EXP((Tnet-t)/(Tau_j))))*Salcycl</f>
        <v>0.12379935464561638</v>
      </c>
      <c r="P53" s="171">
        <f>(INDEX(Models!$BJ53:$BT53,,T53)*(1-R53)+INDEX(Models!$BJ53:$BT53,,T53+1)*R53-ERP_i)*Q53*Ramure*Pc/MaxiM</f>
        <v>2.2531678547050644E-2</v>
      </c>
      <c r="Q53" s="307">
        <f t="shared" si="4"/>
        <v>0.9</v>
      </c>
      <c r="R53" s="179">
        <f t="shared" si="5"/>
        <v>0.30290966075151893</v>
      </c>
      <c r="S53" s="839">
        <f t="shared" si="6"/>
        <v>-1</v>
      </c>
      <c r="T53" s="178">
        <f t="shared" si="7"/>
        <v>5</v>
      </c>
      <c r="U53" s="253">
        <f t="shared" si="8"/>
        <v>-0.69709033924848107</v>
      </c>
      <c r="V53" s="385">
        <f t="shared" si="9"/>
        <v>24.320186715963516</v>
      </c>
      <c r="W53" s="404"/>
      <c r="X53" s="157">
        <f t="shared" si="10"/>
        <v>44235</v>
      </c>
      <c r="Y53" s="387">
        <f t="shared" si="11"/>
        <v>3.7760000000000007</v>
      </c>
      <c r="Z53" s="387">
        <f t="shared" si="12"/>
        <v>3.8578953354942209</v>
      </c>
      <c r="AA53" s="388">
        <f t="shared" si="13"/>
        <v>4.4029816183642234</v>
      </c>
      <c r="AB53" s="199">
        <f t="shared" si="14"/>
        <v>44235</v>
      </c>
      <c r="AC53" s="119">
        <f>IF(OR(t&lt;Tnet,NoTnet),'2020'!Resal_s+('2020'!Salim-'2020'!Resal_s)*(1-EXP(('2020'!Tnet_s-t)/'2020'!Tau_j)),Resal_s+(Salim-Resal_s)*(1-EXP((Tnet_s-t)/Tau_j)))*Salcycl</f>
        <v>0.12379935464561638</v>
      </c>
      <c r="AD53" s="233">
        <f>(INDEX(Models!$BJ53:$BT53,,AH53)*(1-AF53)+INDEX(Models!$BJ53:$BT53,,AH53+1)*AF53-ERP_i)*AE53*Ramure*Pc/MaxiM</f>
        <v>2.2531678547050644E-2</v>
      </c>
      <c r="AE53" s="307">
        <f t="shared" si="15"/>
        <v>0.9</v>
      </c>
      <c r="AF53" s="179">
        <f t="shared" si="22"/>
        <v>0.30290966075151893</v>
      </c>
      <c r="AG53" s="839">
        <f t="shared" si="23"/>
        <v>-1</v>
      </c>
      <c r="AH53" s="178">
        <f t="shared" si="16"/>
        <v>5</v>
      </c>
      <c r="AI53" s="227">
        <f t="shared" si="17"/>
        <v>-0.69709033924848107</v>
      </c>
      <c r="AJ53" s="267" t="b">
        <f t="shared" si="18"/>
        <v>1</v>
      </c>
      <c r="AK53" s="267" t="b">
        <f t="shared" si="19"/>
        <v>0</v>
      </c>
      <c r="AL53" s="267"/>
      <c r="AM53" s="267"/>
      <c r="AN53" s="75"/>
    </row>
    <row r="54" spans="1:40" s="6" customFormat="1" ht="11.25" x14ac:dyDescent="0.2">
      <c r="A54" s="56">
        <f t="shared" si="20"/>
        <v>44236</v>
      </c>
      <c r="B54" s="620">
        <v>11.749000000000001</v>
      </c>
      <c r="C54" s="392"/>
      <c r="D54" s="395">
        <f t="shared" si="0"/>
        <v>12.00409616872377</v>
      </c>
      <c r="E54" s="387">
        <f t="shared" si="1"/>
        <v>13.700896060787823</v>
      </c>
      <c r="F54" s="387">
        <f t="shared" si="2"/>
        <v>13.77542908608992</v>
      </c>
      <c r="G54" s="110">
        <f t="shared" si="21"/>
        <v>0.46901167298940266</v>
      </c>
      <c r="H54" s="416" t="b">
        <f>Wh_hp&gt;='2020'!Maxi_hp</f>
        <v>0</v>
      </c>
      <c r="I54" s="382">
        <f>IF(H54,Wh_hp,'2020'!Maxi_hp)</f>
        <v>25.896841805449608</v>
      </c>
      <c r="J54" s="85">
        <f>IF(H54,An,'2020'!An_max)</f>
        <v>2019</v>
      </c>
      <c r="K54" s="199">
        <f t="shared" si="3"/>
        <v>44236</v>
      </c>
      <c r="L54" s="147">
        <f>IF(t&lt;Tvie,1-EXP((T0-t)*PertePVj)+'2020'!Pspv,1-EXP((T0-t)*PertePVj)+Pspv)</f>
        <v>2.1250760168717409E-2</v>
      </c>
      <c r="M54" s="872"/>
      <c r="N54" s="872"/>
      <c r="O54" s="48">
        <f>IF(t&lt;Tnet,'2020'!Resal+('2020'!Salim-'2020'!Resal)*(1-EXP(('2020'!Tnet-t)/('2020'!Tau_j))),Resal+(Salim-Resal)*(1-EXP((Tnet-t)/(Tau_j))))*Salcycl</f>
        <v>0.12384590646741134</v>
      </c>
      <c r="P54" s="171">
        <f>(INDEX(Models!$BJ54:$BT54,,T54)*(1-R54)+INDEX(Models!$BJ54:$BT54,,T54+1)*R54-ERP_i)*Q54*Ramure*Pc/MaxiM</f>
        <v>2.1435066423327945E-2</v>
      </c>
      <c r="Q54" s="307">
        <f t="shared" si="4"/>
        <v>0.9</v>
      </c>
      <c r="R54" s="179">
        <f t="shared" si="5"/>
        <v>0.3030750543187235</v>
      </c>
      <c r="S54" s="839">
        <f t="shared" si="6"/>
        <v>-1</v>
      </c>
      <c r="T54" s="178">
        <f t="shared" si="7"/>
        <v>5</v>
      </c>
      <c r="U54" s="253">
        <f t="shared" si="8"/>
        <v>-0.6969249456812765</v>
      </c>
      <c r="V54" s="385">
        <f t="shared" si="9"/>
        <v>24.646943229707926</v>
      </c>
      <c r="W54" s="404"/>
      <c r="X54" s="157">
        <f t="shared" si="10"/>
        <v>44236</v>
      </c>
      <c r="Y54" s="387">
        <f t="shared" si="11"/>
        <v>11.749000000000001</v>
      </c>
      <c r="Z54" s="387">
        <f t="shared" si="12"/>
        <v>12.00409616872377</v>
      </c>
      <c r="AA54" s="388">
        <f t="shared" si="13"/>
        <v>13.700896060787823</v>
      </c>
      <c r="AB54" s="199">
        <f t="shared" si="14"/>
        <v>44236</v>
      </c>
      <c r="AC54" s="119">
        <f>IF(OR(t&lt;Tnet,NoTnet),'2020'!Resal_s+('2020'!Salim-'2020'!Resal_s)*(1-EXP(('2020'!Tnet_s-t)/'2020'!Tau_j)),Resal_s+(Salim-Resal_s)*(1-EXP((Tnet_s-t)/Tau_j)))*Salcycl</f>
        <v>0.12384590646741134</v>
      </c>
      <c r="AD54" s="233">
        <f>(INDEX(Models!$BJ54:$BT54,,AH54)*(1-AF54)+INDEX(Models!$BJ54:$BT54,,AH54+1)*AF54-ERP_i)*AE54*Ramure*Pc/MaxiM</f>
        <v>2.1435066423327945E-2</v>
      </c>
      <c r="AE54" s="307">
        <f t="shared" si="15"/>
        <v>0.9</v>
      </c>
      <c r="AF54" s="179">
        <f t="shared" si="22"/>
        <v>0.3030750543187235</v>
      </c>
      <c r="AG54" s="839">
        <f t="shared" si="23"/>
        <v>-1</v>
      </c>
      <c r="AH54" s="178">
        <f t="shared" si="16"/>
        <v>5</v>
      </c>
      <c r="AI54" s="227">
        <f t="shared" si="17"/>
        <v>-0.6969249456812765</v>
      </c>
      <c r="AJ54" s="267" t="b">
        <f t="shared" si="18"/>
        <v>1</v>
      </c>
      <c r="AK54" s="267" t="b">
        <f t="shared" si="19"/>
        <v>0</v>
      </c>
      <c r="AL54" s="267"/>
      <c r="AM54" s="267"/>
      <c r="AN54" s="75"/>
    </row>
    <row r="55" spans="1:40" s="6" customFormat="1" ht="11.25" x14ac:dyDescent="0.2">
      <c r="A55" s="56">
        <f t="shared" si="20"/>
        <v>44237</v>
      </c>
      <c r="B55" s="620">
        <v>12.111000000000001</v>
      </c>
      <c r="C55" s="392"/>
      <c r="D55" s="395">
        <f t="shared" si="0"/>
        <v>12.37424393740503</v>
      </c>
      <c r="E55" s="387">
        <f t="shared" si="1"/>
        <v>14.124115557844471</v>
      </c>
      <c r="F55" s="387">
        <f t="shared" si="2"/>
        <v>14.20038640499601</v>
      </c>
      <c r="G55" s="110">
        <f t="shared" si="21"/>
        <v>0.47758302940711062</v>
      </c>
      <c r="H55" s="416" t="b">
        <f>Wh_hp&gt;='2020'!Maxi_hp</f>
        <v>0</v>
      </c>
      <c r="I55" s="382">
        <f>IF(H55,Wh_hp,'2020'!Maxi_hp)</f>
        <v>14.428393443814791</v>
      </c>
      <c r="J55" s="85">
        <f>IF(H55,An,'2020'!An_max)</f>
        <v>2020</v>
      </c>
      <c r="K55" s="199">
        <f t="shared" si="3"/>
        <v>44237</v>
      </c>
      <c r="L55" s="147">
        <f>IF(t&lt;Tvie,1-EXP((T0-t)*PertePVj)+'2020'!Pspv,1-EXP((T0-t)*PertePVj)+Pspv)</f>
        <v>2.1273537093388972E-2</v>
      </c>
      <c r="M55" s="872"/>
      <c r="N55" s="872"/>
      <c r="O55" s="48">
        <f>IF(t&lt;Tnet,'2020'!Resal+('2020'!Salim-'2020'!Resal)*(1-EXP(('2020'!Tnet-t)/('2020'!Tau_j))),Resal+(Salim-Resal)*(1-EXP((Tnet-t)/(Tau_j))))*Salcycl</f>
        <v>0.12389247406486766</v>
      </c>
      <c r="P55" s="171">
        <f>(INDEX(Models!$BJ55:$BT55,,T55)*(1-R55)+INDEX(Models!$BJ55:$BT55,,T55+1)*R55-ERP_i)*Q55*Ramure*Pc/MaxiM</f>
        <v>2.033621065659514E-2</v>
      </c>
      <c r="Q55" s="307">
        <f t="shared" si="4"/>
        <v>0.9</v>
      </c>
      <c r="R55" s="179">
        <f t="shared" si="5"/>
        <v>0.30324728906534804</v>
      </c>
      <c r="S55" s="839">
        <f t="shared" si="6"/>
        <v>-1</v>
      </c>
      <c r="T55" s="178">
        <f t="shared" si="7"/>
        <v>5</v>
      </c>
      <c r="U55" s="253">
        <f t="shared" si="8"/>
        <v>-0.69675271093465196</v>
      </c>
      <c r="V55" s="385">
        <f t="shared" si="9"/>
        <v>24.977391083239294</v>
      </c>
      <c r="W55" s="404"/>
      <c r="X55" s="157">
        <f t="shared" si="10"/>
        <v>44237</v>
      </c>
      <c r="Y55" s="387">
        <f t="shared" si="11"/>
        <v>12.111000000000001</v>
      </c>
      <c r="Z55" s="387">
        <f t="shared" si="12"/>
        <v>12.37424393740503</v>
      </c>
      <c r="AA55" s="388">
        <f t="shared" si="13"/>
        <v>14.124115557844471</v>
      </c>
      <c r="AB55" s="199">
        <f t="shared" si="14"/>
        <v>44237</v>
      </c>
      <c r="AC55" s="119">
        <f>IF(OR(t&lt;Tnet,NoTnet),'2020'!Resal_s+('2020'!Salim-'2020'!Resal_s)*(1-EXP(('2020'!Tnet_s-t)/'2020'!Tau_j)),Resal_s+(Salim-Resal_s)*(1-EXP((Tnet_s-t)/Tau_j)))*Salcycl</f>
        <v>0.12389247406486766</v>
      </c>
      <c r="AD55" s="233">
        <f>(INDEX(Models!$BJ55:$BT55,,AH55)*(1-AF55)+INDEX(Models!$BJ55:$BT55,,AH55+1)*AF55-ERP_i)*AE55*Ramure*Pc/MaxiM</f>
        <v>2.033621065659514E-2</v>
      </c>
      <c r="AE55" s="307">
        <f t="shared" si="15"/>
        <v>0.9</v>
      </c>
      <c r="AF55" s="179">
        <f t="shared" si="22"/>
        <v>0.30324728906534804</v>
      </c>
      <c r="AG55" s="839">
        <f t="shared" si="23"/>
        <v>-1</v>
      </c>
      <c r="AH55" s="178">
        <f t="shared" si="16"/>
        <v>5</v>
      </c>
      <c r="AI55" s="227">
        <f t="shared" si="17"/>
        <v>-0.69675271093465196</v>
      </c>
      <c r="AJ55" s="267" t="b">
        <f t="shared" si="18"/>
        <v>1</v>
      </c>
      <c r="AK55" s="267" t="b">
        <f t="shared" si="19"/>
        <v>0</v>
      </c>
      <c r="AL55" s="267"/>
      <c r="AM55" s="267"/>
      <c r="AN55" s="75"/>
    </row>
    <row r="56" spans="1:40" s="6" customFormat="1" ht="11.25" x14ac:dyDescent="0.2">
      <c r="A56" s="56">
        <f t="shared" si="20"/>
        <v>44238</v>
      </c>
      <c r="B56" s="620">
        <v>22.641000000000002</v>
      </c>
      <c r="C56" s="392"/>
      <c r="D56" s="395">
        <f t="shared" si="0"/>
        <v>23.13366171194307</v>
      </c>
      <c r="E56" s="387">
        <f t="shared" si="1"/>
        <v>26.406451985662773</v>
      </c>
      <c r="F56" s="387">
        <f t="shared" si="2"/>
        <v>26.844997488492737</v>
      </c>
      <c r="G56" s="110">
        <f t="shared" si="21"/>
        <v>0.89185367830466211</v>
      </c>
      <c r="H56" s="416" t="b">
        <f>Wh_hp&gt;='2020'!Maxi_hp</f>
        <v>1</v>
      </c>
      <c r="I56" s="382">
        <f>IF(H56,Wh_hp,'2020'!Maxi_hp)</f>
        <v>26.844997488492737</v>
      </c>
      <c r="J56" s="85">
        <f>IF(H56,An,'2020'!An_max)</f>
        <v>2021</v>
      </c>
      <c r="K56" s="199">
        <f t="shared" si="3"/>
        <v>44238</v>
      </c>
      <c r="L56" s="147">
        <f>IF(t&lt;Tvie,1-EXP((T0-t)*PertePVj)+'2020'!Pspv,1-EXP((T0-t)*PertePVj)+Pspv)</f>
        <v>2.129631348800809E-2</v>
      </c>
      <c r="M56" s="872"/>
      <c r="N56" s="872"/>
      <c r="O56" s="48">
        <f>IF(t&lt;Tnet,'2020'!Resal+('2020'!Salim-'2020'!Resal)*(1-EXP(('2020'!Tnet-t)/('2020'!Tau_j))),Resal+(Salim-Resal)*(1-EXP((Tnet-t)/(Tau_j))))*Salcycl</f>
        <v>0.1239390386673925</v>
      </c>
      <c r="P56" s="171">
        <f>(INDEX(Models!$BJ56:$BT56,,T56)*(1-R56)+INDEX(Models!$BJ56:$BT56,,T56+1)*R56-ERP_i)*Q56*Ramure*Pc/MaxiM</f>
        <v>1.923555172642797E-2</v>
      </c>
      <c r="Q56" s="307">
        <f t="shared" si="4"/>
        <v>0.9</v>
      </c>
      <c r="R56" s="179">
        <f t="shared" si="5"/>
        <v>0.30342664373932893</v>
      </c>
      <c r="S56" s="839">
        <f t="shared" si="6"/>
        <v>-1</v>
      </c>
      <c r="T56" s="178">
        <f t="shared" si="7"/>
        <v>5</v>
      </c>
      <c r="U56" s="253">
        <f t="shared" si="8"/>
        <v>-0.69657335626067107</v>
      </c>
      <c r="V56" s="385">
        <f t="shared" si="9"/>
        <v>25.311624942437298</v>
      </c>
      <c r="W56" s="404"/>
      <c r="X56" s="157">
        <f t="shared" si="10"/>
        <v>44238</v>
      </c>
      <c r="Y56" s="387">
        <f t="shared" si="11"/>
        <v>22.641000000000002</v>
      </c>
      <c r="Z56" s="387">
        <f t="shared" si="12"/>
        <v>23.13366171194307</v>
      </c>
      <c r="AA56" s="388">
        <f t="shared" si="13"/>
        <v>26.406451985662773</v>
      </c>
      <c r="AB56" s="199">
        <f t="shared" si="14"/>
        <v>44238</v>
      </c>
      <c r="AC56" s="119">
        <f>IF(OR(t&lt;Tnet,NoTnet),'2020'!Resal_s+('2020'!Salim-'2020'!Resal_s)*(1-EXP(('2020'!Tnet_s-t)/'2020'!Tau_j)),Resal_s+(Salim-Resal_s)*(1-EXP((Tnet_s-t)/Tau_j)))*Salcycl</f>
        <v>0.1239390386673925</v>
      </c>
      <c r="AD56" s="233">
        <f>(INDEX(Models!$BJ56:$BT56,,AH56)*(1-AF56)+INDEX(Models!$BJ56:$BT56,,AH56+1)*AF56-ERP_i)*AE56*Ramure*Pc/MaxiM</f>
        <v>1.923555172642797E-2</v>
      </c>
      <c r="AE56" s="307">
        <f t="shared" si="15"/>
        <v>0.9</v>
      </c>
      <c r="AF56" s="179">
        <f t="shared" si="22"/>
        <v>0.30342664373932893</v>
      </c>
      <c r="AG56" s="839">
        <f t="shared" si="23"/>
        <v>-1</v>
      </c>
      <c r="AH56" s="178">
        <f t="shared" si="16"/>
        <v>5</v>
      </c>
      <c r="AI56" s="227">
        <f t="shared" si="17"/>
        <v>-0.69657335626067107</v>
      </c>
      <c r="AJ56" s="267" t="b">
        <f t="shared" si="18"/>
        <v>1</v>
      </c>
      <c r="AK56" s="267" t="b">
        <f t="shared" si="19"/>
        <v>0</v>
      </c>
      <c r="AL56" s="267"/>
      <c r="AM56" s="267"/>
      <c r="AN56" s="75"/>
    </row>
    <row r="57" spans="1:40" s="6" customFormat="1" ht="11.25" x14ac:dyDescent="0.2">
      <c r="A57" s="56">
        <f t="shared" si="20"/>
        <v>44239</v>
      </c>
      <c r="B57" s="620">
        <v>3.96</v>
      </c>
      <c r="C57" s="392"/>
      <c r="D57" s="395">
        <f t="shared" si="0"/>
        <v>4.0462626346521855</v>
      </c>
      <c r="E57" s="387">
        <f t="shared" si="1"/>
        <v>4.6189452455474891</v>
      </c>
      <c r="F57" s="387">
        <f t="shared" si="2"/>
        <v>4.6189452455474891</v>
      </c>
      <c r="G57" s="110">
        <f t="shared" si="21"/>
        <v>0.15158794258236802</v>
      </c>
      <c r="H57" s="416" t="b">
        <f>Wh_hp&gt;='2020'!Maxi_hp</f>
        <v>0</v>
      </c>
      <c r="I57" s="382">
        <f>IF(H57,Wh_hp,'2020'!Maxi_hp)</f>
        <v>30.627768501609644</v>
      </c>
      <c r="J57" s="85">
        <f>IF(H57,An,'2020'!An_max)</f>
        <v>2019</v>
      </c>
      <c r="K57" s="199">
        <f t="shared" si="3"/>
        <v>44239</v>
      </c>
      <c r="L57" s="147">
        <f>IF(t&lt;Tvie,1-EXP((T0-t)*PertePVj)+'2020'!Pspv,1-EXP((T0-t)*PertePVj)+Pspv)</f>
        <v>2.1319089352587306E-2</v>
      </c>
      <c r="M57" s="872"/>
      <c r="N57" s="872"/>
      <c r="O57" s="48">
        <f>IF(t&lt;Tnet,'2020'!Resal+('2020'!Salim-'2020'!Resal)*(1-EXP(('2020'!Tnet-t)/('2020'!Tau_j))),Resal+(Salim-Resal)*(1-EXP((Tnet-t)/(Tau_j))))*Salcycl</f>
        <v>0.12398558122059379</v>
      </c>
      <c r="P57" s="171">
        <f>(INDEX(Models!$BJ57:$BT57,,T57)*(1-R57)+INDEX(Models!$BJ57:$BT57,,T57+1)*R57-ERP_i)*Q57*Ramure*Pc/MaxiM</f>
        <v>1.8133522643642097E-2</v>
      </c>
      <c r="Q57" s="307">
        <f t="shared" si="4"/>
        <v>0.9</v>
      </c>
      <c r="R57" s="179">
        <f t="shared" si="5"/>
        <v>0.30361340808751669</v>
      </c>
      <c r="S57" s="839">
        <f t="shared" si="6"/>
        <v>-1</v>
      </c>
      <c r="T57" s="178">
        <f t="shared" si="7"/>
        <v>5</v>
      </c>
      <c r="U57" s="253">
        <f t="shared" si="8"/>
        <v>-0.69638659191248331</v>
      </c>
      <c r="V57" s="385">
        <f t="shared" si="9"/>
        <v>25.649739577529125</v>
      </c>
      <c r="W57" s="404"/>
      <c r="X57" s="157">
        <f t="shared" si="10"/>
        <v>44239</v>
      </c>
      <c r="Y57" s="387">
        <f t="shared" si="11"/>
        <v>3.9600000000000004</v>
      </c>
      <c r="Z57" s="387">
        <f t="shared" si="12"/>
        <v>4.0462626346521855</v>
      </c>
      <c r="AA57" s="388">
        <f t="shared" si="13"/>
        <v>4.6189452455474891</v>
      </c>
      <c r="AB57" s="199">
        <f t="shared" si="14"/>
        <v>44239</v>
      </c>
      <c r="AC57" s="119">
        <f>IF(OR(t&lt;Tnet,NoTnet),'2020'!Resal_s+('2020'!Salim-'2020'!Resal_s)*(1-EXP(('2020'!Tnet_s-t)/'2020'!Tau_j)),Resal_s+(Salim-Resal_s)*(1-EXP((Tnet_s-t)/Tau_j)))*Salcycl</f>
        <v>0.12398558122059379</v>
      </c>
      <c r="AD57" s="233">
        <f>(INDEX(Models!$BJ57:$BT57,,AH57)*(1-AF57)+INDEX(Models!$BJ57:$BT57,,AH57+1)*AF57-ERP_i)*AE57*Ramure*Pc/MaxiM</f>
        <v>1.8133522643642097E-2</v>
      </c>
      <c r="AE57" s="307">
        <f t="shared" si="15"/>
        <v>0.9</v>
      </c>
      <c r="AF57" s="179">
        <f t="shared" si="22"/>
        <v>0.30361340808751669</v>
      </c>
      <c r="AG57" s="839">
        <f t="shared" si="23"/>
        <v>-1</v>
      </c>
      <c r="AH57" s="178">
        <f t="shared" si="16"/>
        <v>5</v>
      </c>
      <c r="AI57" s="227">
        <f t="shared" si="17"/>
        <v>-0.69638659191248331</v>
      </c>
      <c r="AJ57" s="267" t="b">
        <f t="shared" si="18"/>
        <v>1</v>
      </c>
      <c r="AK57" s="267" t="b">
        <f t="shared" si="19"/>
        <v>0</v>
      </c>
      <c r="AL57" s="267"/>
      <c r="AM57" s="267"/>
      <c r="AN57" s="75"/>
    </row>
    <row r="58" spans="1:40" s="6" customFormat="1" ht="11.25" x14ac:dyDescent="0.2">
      <c r="A58" s="56">
        <f t="shared" si="20"/>
        <v>44240</v>
      </c>
      <c r="B58" s="620">
        <v>7.5949999999999998</v>
      </c>
      <c r="C58" s="392"/>
      <c r="D58" s="395">
        <f t="shared" si="0"/>
        <v>7.7606262349947164</v>
      </c>
      <c r="E58" s="387">
        <f t="shared" si="1"/>
        <v>8.8594868387864452</v>
      </c>
      <c r="F58" s="387">
        <f t="shared" si="2"/>
        <v>8.8594868387864452</v>
      </c>
      <c r="G58" s="110">
        <f t="shared" si="21"/>
        <v>0.28723075750749166</v>
      </c>
      <c r="H58" s="416" t="b">
        <f>Wh_hp&gt;='2020'!Maxi_hp</f>
        <v>0</v>
      </c>
      <c r="I58" s="382">
        <f>IF(H58,Wh_hp,'2020'!Maxi_hp)</f>
        <v>31.571868913069107</v>
      </c>
      <c r="J58" s="85">
        <f>IF(H58,An,'2020'!An_max)</f>
        <v>2019</v>
      </c>
      <c r="K58" s="199">
        <f t="shared" si="3"/>
        <v>44240</v>
      </c>
      <c r="L58" s="147">
        <f>IF(t&lt;Tvie,1-EXP((T0-t)*PertePVj)+'2020'!Pspv,1-EXP((T0-t)*PertePVj)+Pspv)</f>
        <v>2.1341864687138834E-2</v>
      </c>
      <c r="M58" s="872"/>
      <c r="N58" s="872"/>
      <c r="O58" s="48">
        <f>IF(t&lt;Tnet,'2020'!Resal+('2020'!Salim-'2020'!Resal)*(1-EXP(('2020'!Tnet-t)/('2020'!Tau_j))),Resal+(Salim-Resal)*(1-EXP((Tnet-t)/(Tau_j))))*Salcycl</f>
        <v>0.12403208264625054</v>
      </c>
      <c r="P58" s="171">
        <f>(INDEX(Models!$BJ58:$BT58,,T58)*(1-R58)+INDEX(Models!$BJ58:$BT58,,T58+1)*R58-ERP_i)*Q58*Ramure*Pc/MaxiM</f>
        <v>1.7060345211536515E-2</v>
      </c>
      <c r="Q58" s="307">
        <f t="shared" si="4"/>
        <v>0.9</v>
      </c>
      <c r="R58" s="179">
        <f t="shared" si="5"/>
        <v>0.30380788325909314</v>
      </c>
      <c r="S58" s="839">
        <f t="shared" si="6"/>
        <v>-1</v>
      </c>
      <c r="T58" s="178">
        <f t="shared" si="7"/>
        <v>5</v>
      </c>
      <c r="U58" s="253">
        <f t="shared" si="8"/>
        <v>-0.69619211674090686</v>
      </c>
      <c r="V58" s="385">
        <f t="shared" si="9"/>
        <v>25.991041986245719</v>
      </c>
      <c r="W58" s="404"/>
      <c r="X58" s="157">
        <f t="shared" si="10"/>
        <v>44240</v>
      </c>
      <c r="Y58" s="387">
        <f t="shared" si="11"/>
        <v>7.5949999999999989</v>
      </c>
      <c r="Z58" s="387">
        <f t="shared" si="12"/>
        <v>7.7606262349947155</v>
      </c>
      <c r="AA58" s="388">
        <f t="shared" si="13"/>
        <v>8.8594868387864452</v>
      </c>
      <c r="AB58" s="199">
        <f t="shared" si="14"/>
        <v>44240</v>
      </c>
      <c r="AC58" s="119">
        <f>IF(OR(t&lt;Tnet,NoTnet),'2020'!Resal_s+('2020'!Salim-'2020'!Resal_s)*(1-EXP(('2020'!Tnet_s-t)/'2020'!Tau_j)),Resal_s+(Salim-Resal_s)*(1-EXP((Tnet_s-t)/Tau_j)))*Salcycl</f>
        <v>0.12403208264625054</v>
      </c>
      <c r="AD58" s="233">
        <f>(INDEX(Models!$BJ58:$BT58,,AH58)*(1-AF58)+INDEX(Models!$BJ58:$BT58,,AH58+1)*AF58-ERP_i)*AE58*Ramure*Pc/MaxiM</f>
        <v>1.7060345211536515E-2</v>
      </c>
      <c r="AE58" s="307">
        <f t="shared" si="15"/>
        <v>0.9</v>
      </c>
      <c r="AF58" s="179">
        <f t="shared" si="22"/>
        <v>0.30380788325909314</v>
      </c>
      <c r="AG58" s="839">
        <f t="shared" si="23"/>
        <v>-1</v>
      </c>
      <c r="AH58" s="178">
        <f t="shared" si="16"/>
        <v>5</v>
      </c>
      <c r="AI58" s="227">
        <f t="shared" si="17"/>
        <v>-0.69619211674090686</v>
      </c>
      <c r="AJ58" s="267" t="b">
        <f t="shared" si="18"/>
        <v>1</v>
      </c>
      <c r="AK58" s="267" t="b">
        <f t="shared" si="19"/>
        <v>0</v>
      </c>
      <c r="AL58" s="267"/>
      <c r="AM58" s="267"/>
      <c r="AN58" s="75"/>
    </row>
    <row r="59" spans="1:40" s="6" customFormat="1" ht="11.25" x14ac:dyDescent="0.2">
      <c r="A59" s="56">
        <f t="shared" si="20"/>
        <v>44241</v>
      </c>
      <c r="B59" s="620">
        <v>24.530999999999999</v>
      </c>
      <c r="C59" s="392"/>
      <c r="D59" s="395">
        <f t="shared" si="0"/>
        <v>25.066537537799629</v>
      </c>
      <c r="E59" s="387">
        <f t="shared" si="1"/>
        <v>28.617334119280031</v>
      </c>
      <c r="F59" s="387">
        <f t="shared" si="2"/>
        <v>29.037607356586587</v>
      </c>
      <c r="G59" s="110">
        <f t="shared" si="21"/>
        <v>0.93001844178138293</v>
      </c>
      <c r="H59" s="416" t="b">
        <f>Wh_hp&gt;='2020'!Maxi_hp</f>
        <v>0</v>
      </c>
      <c r="I59" s="382">
        <f>IF(H59,Wh_hp,'2020'!Maxi_hp)</f>
        <v>31.764389384281085</v>
      </c>
      <c r="J59" s="85">
        <f>IF(H59,An,'2020'!An_max)</f>
        <v>2019</v>
      </c>
      <c r="K59" s="199">
        <f t="shared" si="3"/>
        <v>44241</v>
      </c>
      <c r="L59" s="147">
        <f>IF(t&lt;Tvie,1-EXP((T0-t)*PertePVj)+'2020'!Pspv,1-EXP((T0-t)*PertePVj)+Pspv)</f>
        <v>2.1364639491675108E-2</v>
      </c>
      <c r="M59" s="872"/>
      <c r="N59" s="872"/>
      <c r="O59" s="48">
        <f>IF(t&lt;Tnet,'2020'!Resal+('2020'!Salim-'2020'!Resal)*(1-EXP(('2020'!Tnet-t)/('2020'!Tau_j))),Resal+(Salim-Resal)*(1-EXP((Tnet-t)/(Tau_j))))*Salcycl</f>
        <v>0.12407852410990873</v>
      </c>
      <c r="P59" s="171">
        <f>(INDEX(Models!$BJ59:$BT59,,T59)*(1-R59)+INDEX(Models!$BJ59:$BT59,,T59+1)*R59-ERP_i)*Q59*Ramure*Pc/MaxiM</f>
        <v>1.604331170248004E-2</v>
      </c>
      <c r="Q59" s="307">
        <f t="shared" si="4"/>
        <v>0.9</v>
      </c>
      <c r="R59" s="179">
        <f t="shared" si="5"/>
        <v>0.30401038222114318</v>
      </c>
      <c r="S59" s="839">
        <f t="shared" si="6"/>
        <v>-1</v>
      </c>
      <c r="T59" s="178">
        <f t="shared" si="7"/>
        <v>5</v>
      </c>
      <c r="U59" s="253">
        <f t="shared" si="8"/>
        <v>-0.69598961777885682</v>
      </c>
      <c r="V59" s="385">
        <f t="shared" si="9"/>
        <v>26.33487907417075</v>
      </c>
      <c r="W59" s="404"/>
      <c r="X59" s="157">
        <f t="shared" si="10"/>
        <v>44241</v>
      </c>
      <c r="Y59" s="387">
        <f t="shared" si="11"/>
        <v>24.530999999999999</v>
      </c>
      <c r="Z59" s="387">
        <f t="shared" si="12"/>
        <v>25.066537537799629</v>
      </c>
      <c r="AA59" s="388">
        <f t="shared" si="13"/>
        <v>28.617334119280031</v>
      </c>
      <c r="AB59" s="199">
        <f t="shared" si="14"/>
        <v>44241</v>
      </c>
      <c r="AC59" s="119">
        <f>IF(OR(t&lt;Tnet,NoTnet),'2020'!Resal_s+('2020'!Salim-'2020'!Resal_s)*(1-EXP(('2020'!Tnet_s-t)/'2020'!Tau_j)),Resal_s+(Salim-Resal_s)*(1-EXP((Tnet_s-t)/Tau_j)))*Salcycl</f>
        <v>0.12407852410990873</v>
      </c>
      <c r="AD59" s="233">
        <f>(INDEX(Models!$BJ59:$BT59,,AH59)*(1-AF59)+INDEX(Models!$BJ59:$BT59,,AH59+1)*AF59-ERP_i)*AE59*Ramure*Pc/MaxiM</f>
        <v>1.604331170248004E-2</v>
      </c>
      <c r="AE59" s="307">
        <f t="shared" si="15"/>
        <v>0.9</v>
      </c>
      <c r="AF59" s="179">
        <f t="shared" si="22"/>
        <v>0.30401038222114318</v>
      </c>
      <c r="AG59" s="839">
        <f t="shared" si="23"/>
        <v>-1</v>
      </c>
      <c r="AH59" s="178">
        <f t="shared" si="16"/>
        <v>5</v>
      </c>
      <c r="AI59" s="227">
        <f t="shared" si="17"/>
        <v>-0.69598961777885682</v>
      </c>
      <c r="AJ59" s="267" t="b">
        <f t="shared" si="18"/>
        <v>1</v>
      </c>
      <c r="AK59" s="267" t="b">
        <f t="shared" si="19"/>
        <v>0</v>
      </c>
      <c r="AL59" s="267"/>
      <c r="AM59" s="267"/>
      <c r="AN59" s="75"/>
    </row>
    <row r="60" spans="1:40" s="6" customFormat="1" ht="11.25" x14ac:dyDescent="0.2">
      <c r="A60" s="56">
        <f t="shared" si="20"/>
        <v>44242</v>
      </c>
      <c r="B60" s="620">
        <v>25.387</v>
      </c>
      <c r="C60" s="392"/>
      <c r="D60" s="395">
        <f t="shared" si="0"/>
        <v>25.94182862260369</v>
      </c>
      <c r="E60" s="387">
        <f t="shared" si="1"/>
        <v>29.618182142922606</v>
      </c>
      <c r="F60" s="387">
        <f t="shared" si="2"/>
        <v>30.039808889008253</v>
      </c>
      <c r="G60" s="110">
        <f t="shared" si="21"/>
        <v>0.95048010163520702</v>
      </c>
      <c r="H60" s="416" t="b">
        <f>Wh_hp&gt;='2020'!Maxi_hp</f>
        <v>0</v>
      </c>
      <c r="I60" s="382">
        <f>IF(H60,Wh_hp,'2020'!Maxi_hp)</f>
        <v>31.923977618483878</v>
      </c>
      <c r="J60" s="85">
        <f>IF(H60,An,'2020'!An_max)</f>
        <v>2019</v>
      </c>
      <c r="K60" s="199">
        <f t="shared" si="3"/>
        <v>44242</v>
      </c>
      <c r="L60" s="147">
        <f>IF(t&lt;Tvie,1-EXP((T0-t)*PertePVj)+'2020'!Pspv,1-EXP((T0-t)*PertePVj)+Pspv)</f>
        <v>2.1387413766208341E-2</v>
      </c>
      <c r="M60" s="872"/>
      <c r="N60" s="872"/>
      <c r="O60" s="48">
        <f>IF(t&lt;Tnet,'2020'!Resal+('2020'!Salim-'2020'!Resal)*(1-EXP(('2020'!Tnet-t)/('2020'!Tau_j))),Resal+(Salim-Resal)*(1-EXP((Tnet-t)/(Tau_j))))*Salcycl</f>
        <v>0.12412488729317227</v>
      </c>
      <c r="P60" s="171">
        <f>(INDEX(Models!$BJ60:$BT60,,T60)*(1-R60)+INDEX(Models!$BJ60:$BT60,,T60+1)*R60-ERP_i)*Q60*Ramure*Pc/MaxiM</f>
        <v>1.5080722669313653E-2</v>
      </c>
      <c r="Q60" s="307">
        <f t="shared" si="4"/>
        <v>0.9</v>
      </c>
      <c r="R60" s="179">
        <f t="shared" si="5"/>
        <v>0.30422123018650482</v>
      </c>
      <c r="S60" s="839">
        <f t="shared" si="6"/>
        <v>-1</v>
      </c>
      <c r="T60" s="178">
        <f t="shared" si="7"/>
        <v>5</v>
      </c>
      <c r="U60" s="253">
        <f t="shared" si="8"/>
        <v>-0.69577876981349518</v>
      </c>
      <c r="V60" s="385">
        <f t="shared" si="9"/>
        <v>26.681347384062658</v>
      </c>
      <c r="W60" s="404"/>
      <c r="X60" s="157">
        <f t="shared" si="10"/>
        <v>44242</v>
      </c>
      <c r="Y60" s="387">
        <f t="shared" si="11"/>
        <v>25.387</v>
      </c>
      <c r="Z60" s="387">
        <f t="shared" si="12"/>
        <v>25.94182862260369</v>
      </c>
      <c r="AA60" s="388">
        <f t="shared" si="13"/>
        <v>29.618182142922606</v>
      </c>
      <c r="AB60" s="199">
        <f t="shared" si="14"/>
        <v>44242</v>
      </c>
      <c r="AC60" s="119">
        <f>IF(OR(t&lt;Tnet,NoTnet),'2020'!Resal_s+('2020'!Salim-'2020'!Resal_s)*(1-EXP(('2020'!Tnet_s-t)/'2020'!Tau_j)),Resal_s+(Salim-Resal_s)*(1-EXP((Tnet_s-t)/Tau_j)))*Salcycl</f>
        <v>0.12412488729317227</v>
      </c>
      <c r="AD60" s="233">
        <f>(INDEX(Models!$BJ60:$BT60,,AH60)*(1-AF60)+INDEX(Models!$BJ60:$BT60,,AH60+1)*AF60-ERP_i)*AE60*Ramure*Pc/MaxiM</f>
        <v>1.5080722669313653E-2</v>
      </c>
      <c r="AE60" s="307">
        <f t="shared" si="15"/>
        <v>0.9</v>
      </c>
      <c r="AF60" s="179">
        <f t="shared" si="22"/>
        <v>0.30422123018650482</v>
      </c>
      <c r="AG60" s="839">
        <f t="shared" si="23"/>
        <v>-1</v>
      </c>
      <c r="AH60" s="178">
        <f t="shared" si="16"/>
        <v>5</v>
      </c>
      <c r="AI60" s="227">
        <f t="shared" si="17"/>
        <v>-0.69577876981349518</v>
      </c>
      <c r="AJ60" s="267" t="b">
        <f t="shared" si="18"/>
        <v>1</v>
      </c>
      <c r="AK60" s="267" t="b">
        <f t="shared" si="19"/>
        <v>0</v>
      </c>
      <c r="AL60" s="267"/>
      <c r="AM60" s="267"/>
      <c r="AN60" s="75"/>
    </row>
    <row r="61" spans="1:40" s="6" customFormat="1" ht="11.25" x14ac:dyDescent="0.2">
      <c r="A61" s="56">
        <f t="shared" si="20"/>
        <v>44243</v>
      </c>
      <c r="B61" s="620">
        <v>24.269000000000002</v>
      </c>
      <c r="C61" s="392"/>
      <c r="D61" s="395">
        <f t="shared" si="0"/>
        <v>24.7999720518924</v>
      </c>
      <c r="E61" s="387">
        <f t="shared" si="1"/>
        <v>28.316002817291324</v>
      </c>
      <c r="F61" s="387">
        <f t="shared" si="2"/>
        <v>28.662901415385651</v>
      </c>
      <c r="G61" s="110">
        <f t="shared" si="21"/>
        <v>0.89595650655169468</v>
      </c>
      <c r="H61" s="416" t="b">
        <f>Wh_hp&gt;='2020'!Maxi_hp</f>
        <v>0</v>
      </c>
      <c r="I61" s="382">
        <f>IF(H61,Wh_hp,'2020'!Maxi_hp)</f>
        <v>32.585872870752389</v>
      </c>
      <c r="J61" s="85">
        <f>IF(H61,An,'2020'!An_max)</f>
        <v>2019</v>
      </c>
      <c r="K61" s="199">
        <f t="shared" si="3"/>
        <v>44243</v>
      </c>
      <c r="L61" s="147">
        <f>IF(t&lt;Tvie,1-EXP((T0-t)*PertePVj)+'2020'!Pspv,1-EXP((T0-t)*PertePVj)+Pspv)</f>
        <v>2.1410187510750966E-2</v>
      </c>
      <c r="M61" s="872"/>
      <c r="N61" s="872"/>
      <c r="O61" s="48">
        <f>IF(t&lt;Tnet,'2020'!Resal+('2020'!Salim-'2020'!Resal)*(1-EXP(('2020'!Tnet-t)/('2020'!Tau_j))),Resal+(Salim-Resal)*(1-EXP((Tnet-t)/(Tau_j))))*Salcycl</f>
        <v>0.12417115466777101</v>
      </c>
      <c r="P61" s="171">
        <f>(INDEX(Models!$BJ61:$BT61,,T61)*(1-R61)+INDEX(Models!$BJ61:$BT61,,T61+1)*R61-ERP_i)*Q61*Ramure*Pc/MaxiM</f>
        <v>1.4170926317159882E-2</v>
      </c>
      <c r="Q61" s="307">
        <f t="shared" si="4"/>
        <v>0.9</v>
      </c>
      <c r="R61" s="179">
        <f t="shared" si="5"/>
        <v>0.30444076505400031</v>
      </c>
      <c r="S61" s="839">
        <f t="shared" si="6"/>
        <v>-1</v>
      </c>
      <c r="T61" s="178">
        <f t="shared" si="7"/>
        <v>5</v>
      </c>
      <c r="U61" s="253">
        <f t="shared" si="8"/>
        <v>-0.69555923494599969</v>
      </c>
      <c r="V61" s="385">
        <f t="shared" si="9"/>
        <v>27.030543561403789</v>
      </c>
      <c r="W61" s="404"/>
      <c r="X61" s="157">
        <f t="shared" si="10"/>
        <v>44243</v>
      </c>
      <c r="Y61" s="387">
        <f t="shared" si="11"/>
        <v>24.269000000000002</v>
      </c>
      <c r="Z61" s="387">
        <f t="shared" si="12"/>
        <v>24.7999720518924</v>
      </c>
      <c r="AA61" s="388">
        <f t="shared" si="13"/>
        <v>28.316002817291324</v>
      </c>
      <c r="AB61" s="199">
        <f t="shared" si="14"/>
        <v>44243</v>
      </c>
      <c r="AC61" s="119">
        <f>IF(OR(t&lt;Tnet,NoTnet),'2020'!Resal_s+('2020'!Salim-'2020'!Resal_s)*(1-EXP(('2020'!Tnet_s-t)/'2020'!Tau_j)),Resal_s+(Salim-Resal_s)*(1-EXP((Tnet_s-t)/Tau_j)))*Salcycl</f>
        <v>0.12417115466777101</v>
      </c>
      <c r="AD61" s="233">
        <f>(INDEX(Models!$BJ61:$BT61,,AH61)*(1-AF61)+INDEX(Models!$BJ61:$BT61,,AH61+1)*AF61-ERP_i)*AE61*Ramure*Pc/MaxiM</f>
        <v>1.4170926317159882E-2</v>
      </c>
      <c r="AE61" s="307">
        <f t="shared" si="15"/>
        <v>0.9</v>
      </c>
      <c r="AF61" s="179">
        <f t="shared" si="22"/>
        <v>0.30444076505400031</v>
      </c>
      <c r="AG61" s="839">
        <f t="shared" si="23"/>
        <v>-1</v>
      </c>
      <c r="AH61" s="178">
        <f t="shared" si="16"/>
        <v>5</v>
      </c>
      <c r="AI61" s="227">
        <f t="shared" si="17"/>
        <v>-0.69555923494599969</v>
      </c>
      <c r="AJ61" s="267" t="b">
        <f t="shared" si="18"/>
        <v>1</v>
      </c>
      <c r="AK61" s="267" t="b">
        <f t="shared" si="19"/>
        <v>0</v>
      </c>
      <c r="AL61" s="267"/>
      <c r="AM61" s="267"/>
      <c r="AN61" s="75"/>
    </row>
    <row r="62" spans="1:40" s="6" customFormat="1" ht="11.25" x14ac:dyDescent="0.2">
      <c r="A62" s="56">
        <f t="shared" si="20"/>
        <v>44244</v>
      </c>
      <c r="B62" s="620">
        <v>25.754000000000001</v>
      </c>
      <c r="C62" s="392"/>
      <c r="D62" s="395">
        <f t="shared" si="0"/>
        <v>26.318074251804866</v>
      </c>
      <c r="E62" s="387">
        <f t="shared" si="1"/>
        <v>30.050918504508243</v>
      </c>
      <c r="F62" s="387">
        <f t="shared" si="2"/>
        <v>30.421490415206364</v>
      </c>
      <c r="G62" s="110">
        <f t="shared" si="21"/>
        <v>0.93944858850521229</v>
      </c>
      <c r="H62" s="416" t="b">
        <f>Wh_hp&gt;='2020'!Maxi_hp</f>
        <v>0</v>
      </c>
      <c r="I62" s="382">
        <f>IF(H62,Wh_hp,'2020'!Maxi_hp)</f>
        <v>33.205489118694373</v>
      </c>
      <c r="J62" s="85">
        <f>IF(H62,An,'2020'!An_max)</f>
        <v>2019</v>
      </c>
      <c r="K62" s="199">
        <f t="shared" si="3"/>
        <v>44244</v>
      </c>
      <c r="L62" s="147">
        <f>IF(t&lt;Tvie,1-EXP((T0-t)*PertePVj)+'2020'!Pspv,1-EXP((T0-t)*PertePVj)+Pspv)</f>
        <v>2.1432960725315309E-2</v>
      </c>
      <c r="M62" s="872"/>
      <c r="N62" s="872"/>
      <c r="O62" s="48">
        <f>IF(t&lt;Tnet,'2020'!Resal+('2020'!Salim-'2020'!Resal)*(1-EXP(('2020'!Tnet-t)/('2020'!Tau_j))),Resal+(Salim-Resal)*(1-EXP((Tnet-t)/(Tau_j))))*Salcycl</f>
        <v>0.12421730976853088</v>
      </c>
      <c r="P62" s="171">
        <f>(INDEX(Models!$BJ62:$BT62,,T62)*(1-R62)+INDEX(Models!$BJ62:$BT62,,T62+1)*R62-ERP_i)*Q62*Ramure*Pc/MaxiM</f>
        <v>1.3312316238542718E-2</v>
      </c>
      <c r="Q62" s="307">
        <f t="shared" si="4"/>
        <v>0.9</v>
      </c>
      <c r="R62" s="179">
        <f t="shared" si="5"/>
        <v>0.30466933786112493</v>
      </c>
      <c r="S62" s="839">
        <f t="shared" si="6"/>
        <v>-1</v>
      </c>
      <c r="T62" s="178">
        <f t="shared" si="7"/>
        <v>5</v>
      </c>
      <c r="U62" s="253">
        <f t="shared" si="8"/>
        <v>-0.69533066213887507</v>
      </c>
      <c r="V62" s="385">
        <f t="shared" si="9"/>
        <v>27.382564344164379</v>
      </c>
      <c r="W62" s="404"/>
      <c r="X62" s="157">
        <f t="shared" si="10"/>
        <v>44244</v>
      </c>
      <c r="Y62" s="387">
        <f t="shared" si="11"/>
        <v>25.754000000000001</v>
      </c>
      <c r="Z62" s="387">
        <f t="shared" si="12"/>
        <v>26.318074251804866</v>
      </c>
      <c r="AA62" s="388">
        <f t="shared" si="13"/>
        <v>30.050918504508243</v>
      </c>
      <c r="AB62" s="199">
        <f t="shared" si="14"/>
        <v>44244</v>
      </c>
      <c r="AC62" s="119">
        <f>IF(OR(t&lt;Tnet,NoTnet),'2020'!Resal_s+('2020'!Salim-'2020'!Resal_s)*(1-EXP(('2020'!Tnet_s-t)/'2020'!Tau_j)),Resal_s+(Salim-Resal_s)*(1-EXP((Tnet_s-t)/Tau_j)))*Salcycl</f>
        <v>0.12421730976853088</v>
      </c>
      <c r="AD62" s="233">
        <f>(INDEX(Models!$BJ62:$BT62,,AH62)*(1-AF62)+INDEX(Models!$BJ62:$BT62,,AH62+1)*AF62-ERP_i)*AE62*Ramure*Pc/MaxiM</f>
        <v>1.3312316238542718E-2</v>
      </c>
      <c r="AE62" s="307">
        <f t="shared" si="15"/>
        <v>0.9</v>
      </c>
      <c r="AF62" s="179">
        <f t="shared" si="22"/>
        <v>0.30466933786112493</v>
      </c>
      <c r="AG62" s="839">
        <f t="shared" si="23"/>
        <v>-1</v>
      </c>
      <c r="AH62" s="178">
        <f t="shared" si="16"/>
        <v>5</v>
      </c>
      <c r="AI62" s="227">
        <f t="shared" si="17"/>
        <v>-0.69533066213887507</v>
      </c>
      <c r="AJ62" s="267" t="b">
        <f t="shared" si="18"/>
        <v>1</v>
      </c>
      <c r="AK62" s="267" t="b">
        <f t="shared" si="19"/>
        <v>0</v>
      </c>
      <c r="AL62" s="267"/>
      <c r="AM62" s="267"/>
      <c r="AN62" s="75"/>
    </row>
    <row r="63" spans="1:40" s="6" customFormat="1" ht="11.25" x14ac:dyDescent="0.2">
      <c r="A63" s="56">
        <f t="shared" si="20"/>
        <v>44245</v>
      </c>
      <c r="B63" s="620">
        <v>12.734</v>
      </c>
      <c r="C63" s="392"/>
      <c r="D63" s="395">
        <f t="shared" si="0"/>
        <v>13.013207919937967</v>
      </c>
      <c r="E63" s="387">
        <f t="shared" si="1"/>
        <v>14.859727217803776</v>
      </c>
      <c r="F63" s="387">
        <f t="shared" si="2"/>
        <v>14.902073574034318</v>
      </c>
      <c r="G63" s="110">
        <f t="shared" si="21"/>
        <v>0.45464135161980951</v>
      </c>
      <c r="H63" s="416" t="b">
        <f>Wh_hp&gt;='2020'!Maxi_hp</f>
        <v>0</v>
      </c>
      <c r="I63" s="382">
        <f>IF(H63,Wh_hp,'2020'!Maxi_hp)</f>
        <v>33.121421529464264</v>
      </c>
      <c r="J63" s="85">
        <f>IF(H63,An,'2020'!An_max)</f>
        <v>2019</v>
      </c>
      <c r="K63" s="199">
        <f t="shared" si="3"/>
        <v>44245</v>
      </c>
      <c r="L63" s="147">
        <f>IF(t&lt;Tvie,1-EXP((T0-t)*PertePVj)+'2020'!Pspv,1-EXP((T0-t)*PertePVj)+Pspv)</f>
        <v>2.1455733409913691E-2</v>
      </c>
      <c r="M63" s="872"/>
      <c r="N63" s="872"/>
      <c r="O63" s="48">
        <f>IF(t&lt;Tnet,'2020'!Resal+('2020'!Salim-'2020'!Resal)*(1-EXP(('2020'!Tnet-t)/('2020'!Tau_j))),Resal+(Salim-Resal)*(1-EXP((Tnet-t)/(Tau_j))))*Salcycl</f>
        <v>0.12426333746244367</v>
      </c>
      <c r="P63" s="171">
        <f>(INDEX(Models!$BJ63:$BT63,,T63)*(1-R63)+INDEX(Models!$BJ63:$BT63,,T63+1)*R63-ERP_i)*Q63*Ramure*Pc/MaxiM</f>
        <v>1.2503329330440731E-2</v>
      </c>
      <c r="Q63" s="307">
        <f t="shared" si="4"/>
        <v>0.9</v>
      </c>
      <c r="R63" s="179">
        <f t="shared" si="5"/>
        <v>0.30490731324923437</v>
      </c>
      <c r="S63" s="839">
        <f t="shared" si="6"/>
        <v>-1</v>
      </c>
      <c r="T63" s="178">
        <f t="shared" si="7"/>
        <v>5</v>
      </c>
      <c r="U63" s="253">
        <f t="shared" si="8"/>
        <v>-0.69509268675076563</v>
      </c>
      <c r="V63" s="385">
        <f t="shared" si="9"/>
        <v>27.737506537794292</v>
      </c>
      <c r="W63" s="404"/>
      <c r="X63" s="157">
        <f t="shared" si="10"/>
        <v>44245</v>
      </c>
      <c r="Y63" s="387">
        <f t="shared" si="11"/>
        <v>12.734</v>
      </c>
      <c r="Z63" s="387">
        <f t="shared" si="12"/>
        <v>13.013207919937967</v>
      </c>
      <c r="AA63" s="388">
        <f t="shared" si="13"/>
        <v>14.859727217803776</v>
      </c>
      <c r="AB63" s="199">
        <f t="shared" si="14"/>
        <v>44245</v>
      </c>
      <c r="AC63" s="119">
        <f>IF(OR(t&lt;Tnet,NoTnet),'2020'!Resal_s+('2020'!Salim-'2020'!Resal_s)*(1-EXP(('2020'!Tnet_s-t)/'2020'!Tau_j)),Resal_s+(Salim-Resal_s)*(1-EXP((Tnet_s-t)/Tau_j)))*Salcycl</f>
        <v>0.12426333746244367</v>
      </c>
      <c r="AD63" s="233">
        <f>(INDEX(Models!$BJ63:$BT63,,AH63)*(1-AF63)+INDEX(Models!$BJ63:$BT63,,AH63+1)*AF63-ERP_i)*AE63*Ramure*Pc/MaxiM</f>
        <v>1.2503329330440731E-2</v>
      </c>
      <c r="AE63" s="307">
        <f t="shared" si="15"/>
        <v>0.9</v>
      </c>
      <c r="AF63" s="179">
        <f t="shared" si="22"/>
        <v>0.30490731324923437</v>
      </c>
      <c r="AG63" s="839">
        <f t="shared" si="23"/>
        <v>-1</v>
      </c>
      <c r="AH63" s="178">
        <f t="shared" si="16"/>
        <v>5</v>
      </c>
      <c r="AI63" s="227">
        <f t="shared" si="17"/>
        <v>-0.69509268675076563</v>
      </c>
      <c r="AJ63" s="267" t="b">
        <f t="shared" si="18"/>
        <v>1</v>
      </c>
      <c r="AK63" s="267" t="b">
        <f t="shared" si="19"/>
        <v>0</v>
      </c>
      <c r="AL63" s="267"/>
      <c r="AM63" s="267"/>
      <c r="AN63" s="75"/>
    </row>
    <row r="64" spans="1:40" s="6" customFormat="1" ht="11.25" x14ac:dyDescent="0.2">
      <c r="A64" s="56">
        <f t="shared" si="20"/>
        <v>44246</v>
      </c>
      <c r="B64" s="620">
        <v>27.277000000000001</v>
      </c>
      <c r="C64" s="392"/>
      <c r="D64" s="395">
        <f t="shared" si="0"/>
        <v>27.875729000452338</v>
      </c>
      <c r="E64" s="387">
        <f t="shared" si="1"/>
        <v>31.832845304714411</v>
      </c>
      <c r="F64" s="387">
        <f t="shared" si="2"/>
        <v>32.195162026357977</v>
      </c>
      <c r="G64" s="110">
        <f t="shared" si="21"/>
        <v>0.97038851593562891</v>
      </c>
      <c r="H64" s="416" t="b">
        <f>Wh_hp&gt;='2020'!Maxi_hp</f>
        <v>1</v>
      </c>
      <c r="I64" s="382">
        <f>IF(H64,Wh_hp,'2020'!Maxi_hp)</f>
        <v>32.195162026357977</v>
      </c>
      <c r="J64" s="85">
        <f>IF(H64,An,'2020'!An_max)</f>
        <v>2021</v>
      </c>
      <c r="K64" s="199">
        <f t="shared" si="3"/>
        <v>44246</v>
      </c>
      <c r="L64" s="147">
        <f>IF(t&lt;Tvie,1-EXP((T0-t)*PertePVj)+'2020'!Pspv,1-EXP((T0-t)*PertePVj)+Pspv)</f>
        <v>2.1478505564558437E-2</v>
      </c>
      <c r="M64" s="872"/>
      <c r="N64" s="872"/>
      <c r="O64" s="48">
        <f>IF(t&lt;Tnet,'2020'!Resal+('2020'!Salim-'2020'!Resal)*(1-EXP(('2020'!Tnet-t)/('2020'!Tau_j))),Resal+(Salim-Resal)*(1-EXP((Tnet-t)/(Tau_j))))*Salcycl</f>
        <v>0.12430922421113352</v>
      </c>
      <c r="P64" s="171">
        <f>(INDEX(Models!$BJ64:$BT64,,T64)*(1-R64)+INDEX(Models!$BJ64:$BT64,,T64+1)*R64-ERP_i)*Q64*Ramure*Pc/MaxiM</f>
        <v>1.174244386274218E-2</v>
      </c>
      <c r="Q64" s="307">
        <f t="shared" si="4"/>
        <v>0.9</v>
      </c>
      <c r="R64" s="179">
        <f t="shared" si="5"/>
        <v>0.30515506994124086</v>
      </c>
      <c r="S64" s="839">
        <f t="shared" si="6"/>
        <v>-1</v>
      </c>
      <c r="T64" s="178">
        <f t="shared" si="7"/>
        <v>5</v>
      </c>
      <c r="U64" s="253">
        <f t="shared" si="8"/>
        <v>-0.69484493005875914</v>
      </c>
      <c r="V64" s="385">
        <f t="shared" si="9"/>
        <v>28.095467007130996</v>
      </c>
      <c r="W64" s="404"/>
      <c r="X64" s="157">
        <f t="shared" si="10"/>
        <v>44246</v>
      </c>
      <c r="Y64" s="387">
        <f t="shared" si="11"/>
        <v>27.276999999999997</v>
      </c>
      <c r="Z64" s="387">
        <f t="shared" si="12"/>
        <v>27.875729000452335</v>
      </c>
      <c r="AA64" s="388">
        <f t="shared" si="13"/>
        <v>31.832845304714407</v>
      </c>
      <c r="AB64" s="199">
        <f t="shared" si="14"/>
        <v>44246</v>
      </c>
      <c r="AC64" s="119">
        <f>IF(OR(t&lt;Tnet,NoTnet),'2020'!Resal_s+('2020'!Salim-'2020'!Resal_s)*(1-EXP(('2020'!Tnet_s-t)/'2020'!Tau_j)),Resal_s+(Salim-Resal_s)*(1-EXP((Tnet_s-t)/Tau_j)))*Salcycl</f>
        <v>0.12430922421113352</v>
      </c>
      <c r="AD64" s="233">
        <f>(INDEX(Models!$BJ64:$BT64,,AH64)*(1-AF64)+INDEX(Models!$BJ64:$BT64,,AH64+1)*AF64-ERP_i)*AE64*Ramure*Pc/MaxiM</f>
        <v>1.174244386274218E-2</v>
      </c>
      <c r="AE64" s="307">
        <f t="shared" si="15"/>
        <v>0.9</v>
      </c>
      <c r="AF64" s="179">
        <f t="shared" si="22"/>
        <v>0.30515506994124086</v>
      </c>
      <c r="AG64" s="839">
        <f t="shared" si="23"/>
        <v>-1</v>
      </c>
      <c r="AH64" s="178">
        <f t="shared" si="16"/>
        <v>5</v>
      </c>
      <c r="AI64" s="227">
        <f t="shared" si="17"/>
        <v>-0.69484493005875914</v>
      </c>
      <c r="AJ64" s="267" t="b">
        <f t="shared" si="18"/>
        <v>1</v>
      </c>
      <c r="AK64" s="267" t="b">
        <f t="shared" si="19"/>
        <v>0</v>
      </c>
      <c r="AL64" s="267"/>
      <c r="AM64" s="267"/>
      <c r="AN64" s="75"/>
    </row>
    <row r="65" spans="1:40" s="6" customFormat="1" ht="11.25" x14ac:dyDescent="0.2">
      <c r="A65" s="56">
        <f t="shared" si="20"/>
        <v>44247</v>
      </c>
      <c r="B65" s="620">
        <v>23.471</v>
      </c>
      <c r="C65" s="392"/>
      <c r="D65" s="395">
        <f t="shared" si="0"/>
        <v>23.986745667464479</v>
      </c>
      <c r="E65" s="387">
        <f t="shared" si="1"/>
        <v>27.393229591704607</v>
      </c>
      <c r="F65" s="387">
        <f t="shared" si="2"/>
        <v>27.621592946813827</v>
      </c>
      <c r="G65" s="110">
        <f t="shared" si="21"/>
        <v>0.8224886862102132</v>
      </c>
      <c r="H65" s="416" t="b">
        <f>Wh_hp&gt;='2020'!Maxi_hp</f>
        <v>0</v>
      </c>
      <c r="I65" s="382">
        <f>IF(H65,Wh_hp,'2020'!Maxi_hp)</f>
        <v>33.58083461156118</v>
      </c>
      <c r="J65" s="85">
        <f>IF(H65,An,'2020'!An_max)</f>
        <v>2020</v>
      </c>
      <c r="K65" s="199">
        <f t="shared" si="3"/>
        <v>44247</v>
      </c>
      <c r="L65" s="147">
        <f>IF(t&lt;Tvie,1-EXP((T0-t)*PertePVj)+'2020'!Pspv,1-EXP((T0-t)*PertePVj)+Pspv)</f>
        <v>2.1501277189261869E-2</v>
      </c>
      <c r="M65" s="872"/>
      <c r="N65" s="872"/>
      <c r="O65" s="48">
        <f>IF(t&lt;Tnet,'2020'!Resal+('2020'!Salim-'2020'!Resal)*(1-EXP(('2020'!Tnet-t)/('2020'!Tau_j))),Resal+(Salim-Resal)*(1-EXP((Tnet-t)/(Tau_j))))*Salcycl</f>
        <v>0.12435495832414377</v>
      </c>
      <c r="P65" s="171">
        <f>(INDEX(Models!$BJ65:$BT65,,T65)*(1-R65)+INDEX(Models!$BJ65:$BT65,,T65+1)*R65-ERP_i)*Q65*Ramure*Pc/MaxiM</f>
        <v>1.1027950992396398E-2</v>
      </c>
      <c r="Q65" s="307">
        <f t="shared" si="4"/>
        <v>0.9</v>
      </c>
      <c r="R65" s="179">
        <f t="shared" si="5"/>
        <v>0.30541300123178983</v>
      </c>
      <c r="S65" s="839">
        <f t="shared" si="6"/>
        <v>-1</v>
      </c>
      <c r="T65" s="178">
        <f t="shared" si="7"/>
        <v>5</v>
      </c>
      <c r="U65" s="253">
        <f t="shared" si="8"/>
        <v>-0.69458699876821017</v>
      </c>
      <c r="V65" s="385">
        <f t="shared" si="9"/>
        <v>28.457134175987747</v>
      </c>
      <c r="W65" s="404"/>
      <c r="X65" s="157">
        <f t="shared" si="10"/>
        <v>44247</v>
      </c>
      <c r="Y65" s="387">
        <f t="shared" si="11"/>
        <v>23.471</v>
      </c>
      <c r="Z65" s="387">
        <f t="shared" si="12"/>
        <v>23.986745667464479</v>
      </c>
      <c r="AA65" s="388">
        <f t="shared" si="13"/>
        <v>27.393229591704607</v>
      </c>
      <c r="AB65" s="199">
        <f t="shared" si="14"/>
        <v>44247</v>
      </c>
      <c r="AC65" s="119">
        <f>IF(OR(t&lt;Tnet,NoTnet),'2020'!Resal_s+('2020'!Salim-'2020'!Resal_s)*(1-EXP(('2020'!Tnet_s-t)/'2020'!Tau_j)),Resal_s+(Salim-Resal_s)*(1-EXP((Tnet_s-t)/Tau_j)))*Salcycl</f>
        <v>0.12435495832414377</v>
      </c>
      <c r="AD65" s="233">
        <f>(INDEX(Models!$BJ65:$BT65,,AH65)*(1-AF65)+INDEX(Models!$BJ65:$BT65,,AH65+1)*AF65-ERP_i)*AE65*Ramure*Pc/MaxiM</f>
        <v>1.1027950992396398E-2</v>
      </c>
      <c r="AE65" s="307">
        <f t="shared" si="15"/>
        <v>0.9</v>
      </c>
      <c r="AF65" s="179">
        <f t="shared" si="22"/>
        <v>0.30541300123178983</v>
      </c>
      <c r="AG65" s="839">
        <f t="shared" si="23"/>
        <v>-1</v>
      </c>
      <c r="AH65" s="178">
        <f t="shared" si="16"/>
        <v>5</v>
      </c>
      <c r="AI65" s="227">
        <f t="shared" si="17"/>
        <v>-0.69458699876821017</v>
      </c>
      <c r="AJ65" s="267" t="b">
        <f t="shared" si="18"/>
        <v>1</v>
      </c>
      <c r="AK65" s="267" t="b">
        <f t="shared" si="19"/>
        <v>0</v>
      </c>
      <c r="AL65" s="267"/>
      <c r="AM65" s="267"/>
      <c r="AN65" s="75"/>
    </row>
    <row r="66" spans="1:40" s="6" customFormat="1" ht="11.25" x14ac:dyDescent="0.2">
      <c r="A66" s="56">
        <f t="shared" si="20"/>
        <v>44248</v>
      </c>
      <c r="B66" s="620">
        <v>9.1300000000000008</v>
      </c>
      <c r="C66" s="392"/>
      <c r="D66" s="395">
        <f t="shared" si="0"/>
        <v>9.3308373946121232</v>
      </c>
      <c r="E66" s="387">
        <f t="shared" si="1"/>
        <v>10.656513299111543</v>
      </c>
      <c r="F66" s="387">
        <f t="shared" si="2"/>
        <v>10.659162852401909</v>
      </c>
      <c r="G66" s="110">
        <f t="shared" si="21"/>
        <v>0.31355908051163001</v>
      </c>
      <c r="H66" s="416" t="b">
        <f>Wh_hp&gt;='2020'!Maxi_hp</f>
        <v>0</v>
      </c>
      <c r="I66" s="382">
        <f>IF(H66,Wh_hp,'2020'!Maxi_hp)</f>
        <v>33.349979242504801</v>
      </c>
      <c r="J66" s="85">
        <f>IF(H66,An,'2020'!An_max)</f>
        <v>2019</v>
      </c>
      <c r="K66" s="199">
        <f t="shared" si="3"/>
        <v>44248</v>
      </c>
      <c r="L66" s="147">
        <f>IF(t&lt;Tvie,1-EXP((T0-t)*PertePVj)+'2020'!Pspv,1-EXP((T0-t)*PertePVj)+Pspv)</f>
        <v>2.1524048284036312E-2</v>
      </c>
      <c r="M66" s="872"/>
      <c r="N66" s="872"/>
      <c r="O66" s="48">
        <f>IF(t&lt;Tnet,'2020'!Resal+('2020'!Salim-'2020'!Resal)*(1-EXP(('2020'!Tnet-t)/('2020'!Tau_j))),Resal+(Salim-Resal)*(1-EXP((Tnet-t)/(Tau_j))))*Salcycl</f>
        <v>0.12440053020061866</v>
      </c>
      <c r="P66" s="171">
        <f>(INDEX(Models!$BJ66:$BT66,,T66)*(1-R66)+INDEX(Models!$BJ66:$BT66,,T66+1)*R66-ERP_i)*Q66*Ramure*Pc/MaxiM</f>
        <v>1.0376765163477433E-2</v>
      </c>
      <c r="Q66" s="307">
        <f t="shared" si="4"/>
        <v>0.9</v>
      </c>
      <c r="R66" s="179">
        <f t="shared" si="5"/>
        <v>0.30568151548984157</v>
      </c>
      <c r="S66" s="839">
        <f t="shared" si="6"/>
        <v>-1</v>
      </c>
      <c r="T66" s="178">
        <f t="shared" si="7"/>
        <v>5</v>
      </c>
      <c r="U66" s="253">
        <f t="shared" si="8"/>
        <v>-0.69431848451015843</v>
      </c>
      <c r="V66" s="385">
        <f t="shared" si="9"/>
        <v>28.82234051942163</v>
      </c>
      <c r="W66" s="404"/>
      <c r="X66" s="157">
        <f t="shared" si="10"/>
        <v>44248</v>
      </c>
      <c r="Y66" s="387">
        <f t="shared" si="11"/>
        <v>9.1300000000000008</v>
      </c>
      <c r="Z66" s="387">
        <f t="shared" si="12"/>
        <v>9.3308373946121232</v>
      </c>
      <c r="AA66" s="388">
        <f t="shared" si="13"/>
        <v>10.656513299111543</v>
      </c>
      <c r="AB66" s="199">
        <f t="shared" si="14"/>
        <v>44248</v>
      </c>
      <c r="AC66" s="119">
        <f>IF(OR(t&lt;Tnet,NoTnet),'2020'!Resal_s+('2020'!Salim-'2020'!Resal_s)*(1-EXP(('2020'!Tnet_s-t)/'2020'!Tau_j)),Resal_s+(Salim-Resal_s)*(1-EXP((Tnet_s-t)/Tau_j)))*Salcycl</f>
        <v>0.12440053020061866</v>
      </c>
      <c r="AD66" s="233">
        <f>(INDEX(Models!$BJ66:$BT66,,AH66)*(1-AF66)+INDEX(Models!$BJ66:$BT66,,AH66+1)*AF66-ERP_i)*AE66*Ramure*Pc/MaxiM</f>
        <v>1.0376765163477433E-2</v>
      </c>
      <c r="AE66" s="307">
        <f t="shared" si="15"/>
        <v>0.9</v>
      </c>
      <c r="AF66" s="179">
        <f t="shared" si="22"/>
        <v>0.30568151548984157</v>
      </c>
      <c r="AG66" s="839">
        <f t="shared" si="23"/>
        <v>-1</v>
      </c>
      <c r="AH66" s="178">
        <f t="shared" si="16"/>
        <v>5</v>
      </c>
      <c r="AI66" s="227">
        <f t="shared" si="17"/>
        <v>-0.69431848451015843</v>
      </c>
      <c r="AJ66" s="267" t="b">
        <f t="shared" si="18"/>
        <v>1</v>
      </c>
      <c r="AK66" s="267" t="b">
        <f t="shared" si="19"/>
        <v>0</v>
      </c>
      <c r="AL66" s="267"/>
      <c r="AM66" s="267"/>
      <c r="AN66" s="75"/>
    </row>
    <row r="67" spans="1:40" s="6" customFormat="1" ht="11.25" x14ac:dyDescent="0.2">
      <c r="A67" s="56">
        <f t="shared" si="20"/>
        <v>44249</v>
      </c>
      <c r="B67" s="620">
        <v>7.4939999999999998</v>
      </c>
      <c r="C67" s="392"/>
      <c r="D67" s="395">
        <f t="shared" si="0"/>
        <v>7.6590276820232193</v>
      </c>
      <c r="E67" s="387">
        <f t="shared" si="1"/>
        <v>8.7476353166766998</v>
      </c>
      <c r="F67" s="387">
        <f t="shared" si="2"/>
        <v>8.7476353166766998</v>
      </c>
      <c r="G67" s="110">
        <f t="shared" si="21"/>
        <v>0.2542129905215903</v>
      </c>
      <c r="H67" s="416" t="b">
        <f>Wh_hp&gt;='2020'!Maxi_hp</f>
        <v>0</v>
      </c>
      <c r="I67" s="382">
        <f>IF(H67,Wh_hp,'2020'!Maxi_hp)</f>
        <v>33.437622553718462</v>
      </c>
      <c r="J67" s="85">
        <f>IF(H67,An,'2020'!An_max)</f>
        <v>2020</v>
      </c>
      <c r="K67" s="199">
        <f t="shared" si="3"/>
        <v>44249</v>
      </c>
      <c r="L67" s="147">
        <f>IF(t&lt;Tvie,1-EXP((T0-t)*PertePVj)+'2020'!Pspv,1-EXP((T0-t)*PertePVj)+Pspv)</f>
        <v>2.1546818848894089E-2</v>
      </c>
      <c r="M67" s="872"/>
      <c r="N67" s="872"/>
      <c r="O67" s="48">
        <f>IF(t&lt;Tnet,'2020'!Resal+('2020'!Salim-'2020'!Resal)*(1-EXP(('2020'!Tnet-t)/('2020'!Tau_j))),Resal+(Salim-Resal)*(1-EXP((Tnet-t)/(Tau_j))))*Salcycl</f>
        <v>0.12444593255712588</v>
      </c>
      <c r="P67" s="171">
        <f>(INDEX(Models!$BJ67:$BT67,,T67)*(1-R67)+INDEX(Models!$BJ67:$BT67,,T67+1)*R67-ERP_i)*Q67*Ramure*Pc/MaxiM</f>
        <v>9.7844424024733472E-3</v>
      </c>
      <c r="Q67" s="307">
        <f t="shared" si="4"/>
        <v>0.9</v>
      </c>
      <c r="R67" s="179">
        <f t="shared" si="5"/>
        <v>0.30596103667354091</v>
      </c>
      <c r="S67" s="839">
        <f t="shared" si="6"/>
        <v>-1</v>
      </c>
      <c r="T67" s="178">
        <f t="shared" si="7"/>
        <v>5</v>
      </c>
      <c r="U67" s="253">
        <f t="shared" si="8"/>
        <v>-0.69403896332645909</v>
      </c>
      <c r="V67" s="385">
        <f t="shared" si="9"/>
        <v>29.190779642732799</v>
      </c>
      <c r="W67" s="404"/>
      <c r="X67" s="157">
        <f t="shared" si="10"/>
        <v>44249</v>
      </c>
      <c r="Y67" s="387">
        <f t="shared" si="11"/>
        <v>7.4939999999999989</v>
      </c>
      <c r="Z67" s="387">
        <f t="shared" si="12"/>
        <v>7.6590276820232184</v>
      </c>
      <c r="AA67" s="388">
        <f t="shared" si="13"/>
        <v>8.7476353166766998</v>
      </c>
      <c r="AB67" s="199">
        <f t="shared" si="14"/>
        <v>44249</v>
      </c>
      <c r="AC67" s="119">
        <f>IF(OR(t&lt;Tnet,NoTnet),'2020'!Resal_s+('2020'!Salim-'2020'!Resal_s)*(1-EXP(('2020'!Tnet_s-t)/'2020'!Tau_j)),Resal_s+(Salim-Resal_s)*(1-EXP((Tnet_s-t)/Tau_j)))*Salcycl</f>
        <v>0.12444593255712588</v>
      </c>
      <c r="AD67" s="233">
        <f>(INDEX(Models!$BJ67:$BT67,,AH67)*(1-AF67)+INDEX(Models!$BJ67:$BT67,,AH67+1)*AF67-ERP_i)*AE67*Ramure*Pc/MaxiM</f>
        <v>9.7844424024733472E-3</v>
      </c>
      <c r="AE67" s="307">
        <f t="shared" si="15"/>
        <v>0.9</v>
      </c>
      <c r="AF67" s="179">
        <f t="shared" si="22"/>
        <v>0.30596103667354091</v>
      </c>
      <c r="AG67" s="839">
        <f t="shared" si="23"/>
        <v>-1</v>
      </c>
      <c r="AH67" s="178">
        <f t="shared" si="16"/>
        <v>5</v>
      </c>
      <c r="AI67" s="227">
        <f t="shared" si="17"/>
        <v>-0.69403896332645909</v>
      </c>
      <c r="AJ67" s="267" t="b">
        <f t="shared" si="18"/>
        <v>1</v>
      </c>
      <c r="AK67" s="267" t="b">
        <f t="shared" si="19"/>
        <v>0</v>
      </c>
      <c r="AL67" s="267"/>
      <c r="AM67" s="267"/>
      <c r="AN67" s="75"/>
    </row>
    <row r="68" spans="1:40" s="6" customFormat="1" ht="11.25" x14ac:dyDescent="0.2">
      <c r="A68" s="56">
        <f t="shared" si="20"/>
        <v>44250</v>
      </c>
      <c r="B68" s="620">
        <v>24.658000000000001</v>
      </c>
      <c r="C68" s="392"/>
      <c r="D68" s="395">
        <f t="shared" si="0"/>
        <v>25.201587890007616</v>
      </c>
      <c r="E68" s="387">
        <f t="shared" si="1"/>
        <v>28.785075326500863</v>
      </c>
      <c r="F68" s="387">
        <f t="shared" si="2"/>
        <v>28.989662291900547</v>
      </c>
      <c r="G68" s="110">
        <f t="shared" si="21"/>
        <v>0.83226806822576804</v>
      </c>
      <c r="H68" s="416" t="b">
        <f>Wh_hp&gt;='2020'!Maxi_hp</f>
        <v>0</v>
      </c>
      <c r="I68" s="382">
        <f>IF(H68,Wh_hp,'2020'!Maxi_hp)</f>
        <v>34.132199878754932</v>
      </c>
      <c r="J68" s="85">
        <f>IF(H68,An,'2020'!An_max)</f>
        <v>2020</v>
      </c>
      <c r="K68" s="199">
        <f t="shared" si="3"/>
        <v>44250</v>
      </c>
      <c r="L68" s="147">
        <f>IF(t&lt;Tvie,1-EXP((T0-t)*PertePVj)+'2020'!Pspv,1-EXP((T0-t)*PertePVj)+Pspv)</f>
        <v>2.1569588883847524E-2</v>
      </c>
      <c r="M68" s="872"/>
      <c r="N68" s="872"/>
      <c r="O68" s="48">
        <f>IF(t&lt;Tnet,'2020'!Resal+('2020'!Salim-'2020'!Resal)*(1-EXP(('2020'!Tnet-t)/('2020'!Tau_j))),Resal+(Salim-Resal)*(1-EXP((Tnet-t)/(Tau_j))))*Salcycl</f>
        <v>0.12449116063955978</v>
      </c>
      <c r="P68" s="171">
        <f>(INDEX(Models!$BJ68:$BT68,,T68)*(1-R68)+INDEX(Models!$BJ68:$BT68,,T68+1)*R68-ERP_i)*Q68*Ramure*Pc/MaxiM</f>
        <v>9.2491675433627324E-3</v>
      </c>
      <c r="Q68" s="307">
        <f t="shared" si="4"/>
        <v>0.9</v>
      </c>
      <c r="R68" s="179">
        <f t="shared" si="5"/>
        <v>0.30625200485719939</v>
      </c>
      <c r="S68" s="839">
        <f t="shared" si="6"/>
        <v>-1</v>
      </c>
      <c r="T68" s="178">
        <f t="shared" si="7"/>
        <v>5</v>
      </c>
      <c r="U68" s="253">
        <f t="shared" si="8"/>
        <v>-0.69374799514280061</v>
      </c>
      <c r="V68" s="385">
        <f t="shared" si="9"/>
        <v>29.56207045794784</v>
      </c>
      <c r="W68" s="404"/>
      <c r="X68" s="157">
        <f t="shared" si="10"/>
        <v>44250</v>
      </c>
      <c r="Y68" s="387">
        <f t="shared" si="11"/>
        <v>24.658000000000001</v>
      </c>
      <c r="Z68" s="387">
        <f t="shared" si="12"/>
        <v>25.201587890007616</v>
      </c>
      <c r="AA68" s="388">
        <f t="shared" si="13"/>
        <v>28.785075326500863</v>
      </c>
      <c r="AB68" s="199">
        <f t="shared" si="14"/>
        <v>44250</v>
      </c>
      <c r="AC68" s="119">
        <f>IF(OR(t&lt;Tnet,NoTnet),'2020'!Resal_s+('2020'!Salim-'2020'!Resal_s)*(1-EXP(('2020'!Tnet_s-t)/'2020'!Tau_j)),Resal_s+(Salim-Resal_s)*(1-EXP((Tnet_s-t)/Tau_j)))*Salcycl</f>
        <v>0.12449116063955978</v>
      </c>
      <c r="AD68" s="233">
        <f>(INDEX(Models!$BJ68:$BT68,,AH68)*(1-AF68)+INDEX(Models!$BJ68:$BT68,,AH68+1)*AF68-ERP_i)*AE68*Ramure*Pc/MaxiM</f>
        <v>9.2491675433627324E-3</v>
      </c>
      <c r="AE68" s="307">
        <f t="shared" si="15"/>
        <v>0.9</v>
      </c>
      <c r="AF68" s="179">
        <f t="shared" si="22"/>
        <v>0.30625200485719939</v>
      </c>
      <c r="AG68" s="839">
        <f t="shared" si="23"/>
        <v>-1</v>
      </c>
      <c r="AH68" s="178">
        <f t="shared" si="16"/>
        <v>5</v>
      </c>
      <c r="AI68" s="227">
        <f t="shared" si="17"/>
        <v>-0.69374799514280061</v>
      </c>
      <c r="AJ68" s="267" t="b">
        <f t="shared" si="18"/>
        <v>1</v>
      </c>
      <c r="AK68" s="267" t="b">
        <f t="shared" si="19"/>
        <v>0</v>
      </c>
      <c r="AL68" s="267"/>
      <c r="AM68" s="267"/>
      <c r="AN68" s="75"/>
    </row>
    <row r="69" spans="1:40" s="6" customFormat="1" ht="11.25" x14ac:dyDescent="0.2">
      <c r="A69" s="56">
        <f t="shared" si="20"/>
        <v>44251</v>
      </c>
      <c r="B69" s="620">
        <v>28.626000000000001</v>
      </c>
      <c r="C69" s="392"/>
      <c r="D69" s="395">
        <f t="shared" si="0"/>
        <v>29.257743687348061</v>
      </c>
      <c r="E69" s="387">
        <f t="shared" si="1"/>
        <v>33.419707476573763</v>
      </c>
      <c r="F69" s="387">
        <f t="shared" si="2"/>
        <v>33.696730126601622</v>
      </c>
      <c r="G69" s="110">
        <f t="shared" si="21"/>
        <v>0.95571690393280206</v>
      </c>
      <c r="H69" s="416" t="b">
        <f>Wh_hp&gt;='2020'!Maxi_hp</f>
        <v>0</v>
      </c>
      <c r="I69" s="382">
        <f>IF(H69,Wh_hp,'2020'!Maxi_hp)</f>
        <v>35.33766783326174</v>
      </c>
      <c r="J69" s="85">
        <f>IF(H69,An,'2020'!An_max)</f>
        <v>2020</v>
      </c>
      <c r="K69" s="199">
        <f t="shared" si="3"/>
        <v>44251</v>
      </c>
      <c r="L69" s="147">
        <f>IF(t&lt;Tvie,1-EXP((T0-t)*PertePVj)+'2020'!Pspv,1-EXP((T0-t)*PertePVj)+Pspv)</f>
        <v>2.159235838890905E-2</v>
      </c>
      <c r="M69" s="872"/>
      <c r="N69" s="872"/>
      <c r="O69" s="48">
        <f>IF(t&lt;Tnet,'2020'!Resal+('2020'!Salim-'2020'!Resal)*(1-EXP(('2020'!Tnet-t)/('2020'!Tau_j))),Resal+(Salim-Resal)*(1-EXP((Tnet-t)/(Tau_j))))*Salcycl</f>
        <v>0.12453621241727268</v>
      </c>
      <c r="P69" s="171">
        <f>(INDEX(Models!$BJ69:$BT69,,T69)*(1-R69)+INDEX(Models!$BJ69:$BT69,,T69+1)*R69-ERP_i)*Q69*Ramure*Pc/MaxiM</f>
        <v>8.7691861526733219E-3</v>
      </c>
      <c r="Q69" s="307">
        <f t="shared" si="4"/>
        <v>0.9</v>
      </c>
      <c r="R69" s="179">
        <f t="shared" si="5"/>
        <v>0.30655487677016069</v>
      </c>
      <c r="S69" s="839">
        <f t="shared" si="6"/>
        <v>-1</v>
      </c>
      <c r="T69" s="178">
        <f t="shared" si="7"/>
        <v>5</v>
      </c>
      <c r="U69" s="253">
        <f t="shared" si="8"/>
        <v>-0.69344512322983931</v>
      </c>
      <c r="V69" s="385">
        <f t="shared" si="9"/>
        <v>29.935830366850265</v>
      </c>
      <c r="W69" s="404"/>
      <c r="X69" s="157">
        <f t="shared" si="10"/>
        <v>44251</v>
      </c>
      <c r="Y69" s="387">
        <f t="shared" si="11"/>
        <v>28.625999999999998</v>
      </c>
      <c r="Z69" s="387">
        <f t="shared" si="12"/>
        <v>29.257743687348057</v>
      </c>
      <c r="AA69" s="388">
        <f t="shared" si="13"/>
        <v>33.419707476573763</v>
      </c>
      <c r="AB69" s="199">
        <f t="shared" si="14"/>
        <v>44251</v>
      </c>
      <c r="AC69" s="119">
        <f>IF(OR(t&lt;Tnet,NoTnet),'2020'!Resal_s+('2020'!Salim-'2020'!Resal_s)*(1-EXP(('2020'!Tnet_s-t)/'2020'!Tau_j)),Resal_s+(Salim-Resal_s)*(1-EXP((Tnet_s-t)/Tau_j)))*Salcycl</f>
        <v>0.12453621241727268</v>
      </c>
      <c r="AD69" s="233">
        <f>(INDEX(Models!$BJ69:$BT69,,AH69)*(1-AF69)+INDEX(Models!$BJ69:$BT69,,AH69+1)*AF69-ERP_i)*AE69*Ramure*Pc/MaxiM</f>
        <v>8.7691861526733219E-3</v>
      </c>
      <c r="AE69" s="307">
        <f t="shared" si="15"/>
        <v>0.9</v>
      </c>
      <c r="AF69" s="179">
        <f t="shared" si="22"/>
        <v>0.30655487677016069</v>
      </c>
      <c r="AG69" s="839">
        <f t="shared" si="23"/>
        <v>-1</v>
      </c>
      <c r="AH69" s="178">
        <f t="shared" si="16"/>
        <v>5</v>
      </c>
      <c r="AI69" s="227">
        <f t="shared" si="17"/>
        <v>-0.69344512322983931</v>
      </c>
      <c r="AJ69" s="267" t="b">
        <f t="shared" si="18"/>
        <v>1</v>
      </c>
      <c r="AK69" s="267" t="b">
        <f t="shared" si="19"/>
        <v>0</v>
      </c>
      <c r="AL69" s="267"/>
      <c r="AM69" s="267"/>
      <c r="AN69" s="75"/>
    </row>
    <row r="70" spans="1:40" s="6" customFormat="1" ht="11.25" x14ac:dyDescent="0.2">
      <c r="A70" s="56">
        <f t="shared" si="20"/>
        <v>44252</v>
      </c>
      <c r="B70" s="620">
        <v>27.233000000000001</v>
      </c>
      <c r="C70" s="392"/>
      <c r="D70" s="395">
        <f t="shared" si="0"/>
        <v>27.834649493946483</v>
      </c>
      <c r="E70" s="387">
        <f t="shared" si="1"/>
        <v>31.795805569758553</v>
      </c>
      <c r="F70" s="387">
        <f t="shared" si="2"/>
        <v>32.024210430564537</v>
      </c>
      <c r="G70" s="110">
        <f t="shared" si="21"/>
        <v>0.89733727746758252</v>
      </c>
      <c r="H70" s="416" t="b">
        <f>Wh_hp&gt;='2020'!Maxi_hp</f>
        <v>0</v>
      </c>
      <c r="I70" s="382">
        <f>IF(H70,Wh_hp,'2020'!Maxi_hp)</f>
        <v>35.142931851813223</v>
      </c>
      <c r="J70" s="85">
        <f>IF(H70,An,'2020'!An_max)</f>
        <v>2019</v>
      </c>
      <c r="K70" s="199">
        <f t="shared" si="3"/>
        <v>44252</v>
      </c>
      <c r="L70" s="147">
        <f>IF(t&lt;Tvie,1-EXP((T0-t)*PertePVj)+'2020'!Pspv,1-EXP((T0-t)*PertePVj)+Pspv)</f>
        <v>2.161512736409088E-2</v>
      </c>
      <c r="M70" s="872"/>
      <c r="N70" s="872"/>
      <c r="O70" s="48">
        <f>IF(t&lt;Tnet,'2020'!Resal+('2020'!Salim-'2020'!Resal)*(1-EXP(('2020'!Tnet-t)/('2020'!Tau_j))),Resal+(Salim-Resal)*(1-EXP((Tnet-t)/(Tau_j))))*Salcycl</f>
        <v>0.12458108875780712</v>
      </c>
      <c r="P70" s="171">
        <f>(INDEX(Models!$BJ70:$BT70,,T70)*(1-R70)+INDEX(Models!$BJ70:$BT70,,T70+1)*R70-ERP_i)*Q70*Ramure*Pc/MaxiM</f>
        <v>8.3427585473994422E-3</v>
      </c>
      <c r="Q70" s="307">
        <f t="shared" si="4"/>
        <v>0.9</v>
      </c>
      <c r="R70" s="179">
        <f t="shared" si="5"/>
        <v>0.30687012634725386</v>
      </c>
      <c r="S70" s="839">
        <f t="shared" si="6"/>
        <v>-1</v>
      </c>
      <c r="T70" s="178">
        <f t="shared" si="7"/>
        <v>5</v>
      </c>
      <c r="U70" s="253">
        <f t="shared" si="8"/>
        <v>-0.69312987365274614</v>
      </c>
      <c r="V70" s="385">
        <f t="shared" si="9"/>
        <v>30.311676839517116</v>
      </c>
      <c r="W70" s="404"/>
      <c r="X70" s="157">
        <f t="shared" si="10"/>
        <v>44252</v>
      </c>
      <c r="Y70" s="387">
        <f t="shared" si="11"/>
        <v>27.233000000000001</v>
      </c>
      <c r="Z70" s="387">
        <f t="shared" si="12"/>
        <v>27.834649493946483</v>
      </c>
      <c r="AA70" s="388">
        <f t="shared" si="13"/>
        <v>31.795805569758553</v>
      </c>
      <c r="AB70" s="199">
        <f t="shared" si="14"/>
        <v>44252</v>
      </c>
      <c r="AC70" s="119">
        <f>IF(OR(t&lt;Tnet,NoTnet),'2020'!Resal_s+('2020'!Salim-'2020'!Resal_s)*(1-EXP(('2020'!Tnet_s-t)/'2020'!Tau_j)),Resal_s+(Salim-Resal_s)*(1-EXP((Tnet_s-t)/Tau_j)))*Salcycl</f>
        <v>0.12458108875780712</v>
      </c>
      <c r="AD70" s="233">
        <f>(INDEX(Models!$BJ70:$BT70,,AH70)*(1-AF70)+INDEX(Models!$BJ70:$BT70,,AH70+1)*AF70-ERP_i)*AE70*Ramure*Pc/MaxiM</f>
        <v>8.3427585473994422E-3</v>
      </c>
      <c r="AE70" s="307">
        <f t="shared" si="15"/>
        <v>0.9</v>
      </c>
      <c r="AF70" s="179">
        <f t="shared" si="22"/>
        <v>0.30687012634725386</v>
      </c>
      <c r="AG70" s="839">
        <f t="shared" si="23"/>
        <v>-1</v>
      </c>
      <c r="AH70" s="178">
        <f t="shared" si="16"/>
        <v>5</v>
      </c>
      <c r="AI70" s="227">
        <f t="shared" si="17"/>
        <v>-0.69312987365274614</v>
      </c>
      <c r="AJ70" s="267" t="b">
        <f t="shared" si="18"/>
        <v>1</v>
      </c>
      <c r="AK70" s="267" t="b">
        <f t="shared" si="19"/>
        <v>0</v>
      </c>
      <c r="AL70" s="267"/>
      <c r="AM70" s="267"/>
      <c r="AN70" s="75"/>
    </row>
    <row r="71" spans="1:40" s="6" customFormat="1" ht="11.25" x14ac:dyDescent="0.2">
      <c r="A71" s="56">
        <f t="shared" si="20"/>
        <v>44253</v>
      </c>
      <c r="B71" s="620">
        <v>8.0190000000000001</v>
      </c>
      <c r="C71" s="392"/>
      <c r="D71" s="395">
        <f t="shared" si="0"/>
        <v>8.1963518064042074</v>
      </c>
      <c r="E71" s="387">
        <f t="shared" si="1"/>
        <v>9.3632548758004663</v>
      </c>
      <c r="F71" s="387">
        <f t="shared" si="2"/>
        <v>9.3632548758004663</v>
      </c>
      <c r="G71" s="110">
        <f t="shared" si="21"/>
        <v>0.25921484308137965</v>
      </c>
      <c r="H71" s="416" t="b">
        <f>Wh_hp&gt;='2020'!Maxi_hp</f>
        <v>0</v>
      </c>
      <c r="I71" s="382">
        <f>IF(H71,Wh_hp,'2020'!Maxi_hp)</f>
        <v>33.525359587323479</v>
      </c>
      <c r="J71" s="85">
        <f>IF(H71,An,'2020'!An_max)</f>
        <v>2019</v>
      </c>
      <c r="K71" s="199">
        <f t="shared" si="3"/>
        <v>44253</v>
      </c>
      <c r="L71" s="147">
        <f>IF(t&lt;Tvie,1-EXP((T0-t)*PertePVj)+'2020'!Pspv,1-EXP((T0-t)*PertePVj)+Pspv)</f>
        <v>2.163789580940545E-2</v>
      </c>
      <c r="M71" s="872"/>
      <c r="N71" s="872"/>
      <c r="O71" s="48">
        <f>IF(t&lt;Tnet,'2020'!Resal+('2020'!Salim-'2020'!Resal)*(1-EXP(('2020'!Tnet-t)/('2020'!Tau_j))),Resal+(Salim-Resal)*(1-EXP((Tnet-t)/(Tau_j))))*Salcycl</f>
        <v>0.12462579358083541</v>
      </c>
      <c r="P71" s="171">
        <f>(INDEX(Models!$BJ71:$BT71,,T71)*(1-R71)+INDEX(Models!$BJ71:$BT71,,T71+1)*R71-ERP_i)*Q71*Ramure*Pc/MaxiM</f>
        <v>7.9681673974878204E-3</v>
      </c>
      <c r="Q71" s="307">
        <f t="shared" si="4"/>
        <v>0.9</v>
      </c>
      <c r="R71" s="179">
        <f t="shared" si="5"/>
        <v>0.30719824529046935</v>
      </c>
      <c r="S71" s="839">
        <f t="shared" si="6"/>
        <v>-1</v>
      </c>
      <c r="T71" s="178">
        <f t="shared" si="7"/>
        <v>5</v>
      </c>
      <c r="U71" s="253">
        <f t="shared" si="8"/>
        <v>-0.69280175470953065</v>
      </c>
      <c r="V71" s="385">
        <f t="shared" si="9"/>
        <v>30.689227403316821</v>
      </c>
      <c r="W71" s="404"/>
      <c r="X71" s="157">
        <f t="shared" si="10"/>
        <v>44253</v>
      </c>
      <c r="Y71" s="387">
        <f t="shared" si="11"/>
        <v>8.0190000000000001</v>
      </c>
      <c r="Z71" s="387">
        <f t="shared" si="12"/>
        <v>8.1963518064042074</v>
      </c>
      <c r="AA71" s="388">
        <f t="shared" si="13"/>
        <v>9.3632548758004663</v>
      </c>
      <c r="AB71" s="199">
        <f t="shared" si="14"/>
        <v>44253</v>
      </c>
      <c r="AC71" s="119">
        <f>IF(OR(t&lt;Tnet,NoTnet),'2020'!Resal_s+('2020'!Salim-'2020'!Resal_s)*(1-EXP(('2020'!Tnet_s-t)/'2020'!Tau_j)),Resal_s+(Salim-Resal_s)*(1-EXP((Tnet_s-t)/Tau_j)))*Salcycl</f>
        <v>0.12462579358083541</v>
      </c>
      <c r="AD71" s="233">
        <f>(INDEX(Models!$BJ71:$BT71,,AH71)*(1-AF71)+INDEX(Models!$BJ71:$BT71,,AH71+1)*AF71-ERP_i)*AE71*Ramure*Pc/MaxiM</f>
        <v>7.9681673974878204E-3</v>
      </c>
      <c r="AE71" s="307">
        <f t="shared" si="15"/>
        <v>0.9</v>
      </c>
      <c r="AF71" s="179">
        <f t="shared" si="22"/>
        <v>0.30719824529046935</v>
      </c>
      <c r="AG71" s="839">
        <f t="shared" si="23"/>
        <v>-1</v>
      </c>
      <c r="AH71" s="178">
        <f t="shared" si="16"/>
        <v>5</v>
      </c>
      <c r="AI71" s="227">
        <f t="shared" si="17"/>
        <v>-0.69280175470953065</v>
      </c>
      <c r="AJ71" s="267" t="b">
        <f t="shared" si="18"/>
        <v>1</v>
      </c>
      <c r="AK71" s="267" t="b">
        <f t="shared" si="19"/>
        <v>0</v>
      </c>
      <c r="AL71" s="267"/>
      <c r="AM71" s="267"/>
      <c r="AN71" s="75"/>
    </row>
    <row r="72" spans="1:40" s="6" customFormat="1" ht="11.25" x14ac:dyDescent="0.2">
      <c r="A72" s="56">
        <f t="shared" si="20"/>
        <v>44254</v>
      </c>
      <c r="B72" s="620">
        <v>30.206</v>
      </c>
      <c r="C72" s="392"/>
      <c r="D72" s="395">
        <f t="shared" si="0"/>
        <v>30.874767966505711</v>
      </c>
      <c r="E72" s="387">
        <f t="shared" si="1"/>
        <v>35.272159924896918</v>
      </c>
      <c r="F72" s="387">
        <f t="shared" si="2"/>
        <v>35.533278293804834</v>
      </c>
      <c r="G72" s="110">
        <f t="shared" si="21"/>
        <v>0.97196219131223316</v>
      </c>
      <c r="H72" s="416" t="b">
        <f>Wh_hp&gt;='2020'!Maxi_hp</f>
        <v>0</v>
      </c>
      <c r="I72" s="382">
        <f>IF(H72,Wh_hp,'2020'!Maxi_hp)</f>
        <v>35.739850450809598</v>
      </c>
      <c r="J72" s="85">
        <f>IF(H72,An,'2020'!An_max)</f>
        <v>2019</v>
      </c>
      <c r="K72" s="199">
        <f t="shared" si="3"/>
        <v>44254</v>
      </c>
      <c r="L72" s="147">
        <f>IF(t&lt;Tvie,1-EXP((T0-t)*PertePVj)+'2020'!Pspv,1-EXP((T0-t)*PertePVj)+Pspv)</f>
        <v>2.166066372486497E-2</v>
      </c>
      <c r="M72" s="872"/>
      <c r="N72" s="872"/>
      <c r="O72" s="48">
        <f>IF(t&lt;Tnet,'2020'!Resal+('2020'!Salim-'2020'!Resal)*(1-EXP(('2020'!Tnet-t)/('2020'!Tau_j))),Resal+(Salim-Resal)*(1-EXP((Tnet-t)/(Tau_j))))*Salcycl</f>
        <v>0.12467033399015923</v>
      </c>
      <c r="P72" s="171">
        <f>(INDEX(Models!$BJ72:$BT72,,T72)*(1-R72)+INDEX(Models!$BJ72:$BT72,,T72+1)*R72-ERP_i)*Q72*Ramure*Pc/MaxiM</f>
        <v>7.6517968699725382E-3</v>
      </c>
      <c r="Q72" s="307">
        <f t="shared" si="4"/>
        <v>0.9</v>
      </c>
      <c r="R72" s="179">
        <f t="shared" si="5"/>
        <v>0.30753974364141723</v>
      </c>
      <c r="S72" s="839">
        <f t="shared" si="6"/>
        <v>-1</v>
      </c>
      <c r="T72" s="178">
        <f t="shared" si="7"/>
        <v>5</v>
      </c>
      <c r="U72" s="253">
        <f t="shared" si="8"/>
        <v>-0.69246025635858277</v>
      </c>
      <c r="V72" s="385">
        <f t="shared" si="9"/>
        <v>31.067846917153421</v>
      </c>
      <c r="W72" s="404"/>
      <c r="X72" s="157">
        <f t="shared" si="10"/>
        <v>44254</v>
      </c>
      <c r="Y72" s="387">
        <f t="shared" si="11"/>
        <v>30.205999999999996</v>
      </c>
      <c r="Z72" s="387">
        <f t="shared" si="12"/>
        <v>30.874767966505708</v>
      </c>
      <c r="AA72" s="388">
        <f t="shared" si="13"/>
        <v>35.272159924896918</v>
      </c>
      <c r="AB72" s="199">
        <f t="shared" si="14"/>
        <v>44254</v>
      </c>
      <c r="AC72" s="119">
        <f>IF(OR(t&lt;Tnet,NoTnet),'2020'!Resal_s+('2020'!Salim-'2020'!Resal_s)*(1-EXP(('2020'!Tnet_s-t)/'2020'!Tau_j)),Resal_s+(Salim-Resal_s)*(1-EXP((Tnet_s-t)/Tau_j)))*Salcycl</f>
        <v>0.12467033399015923</v>
      </c>
      <c r="AD72" s="233">
        <f>(INDEX(Models!$BJ72:$BT72,,AH72)*(1-AF72)+INDEX(Models!$BJ72:$BT72,,AH72+1)*AF72-ERP_i)*AE72*Ramure*Pc/MaxiM</f>
        <v>7.6517968699725382E-3</v>
      </c>
      <c r="AE72" s="307">
        <f t="shared" si="15"/>
        <v>0.9</v>
      </c>
      <c r="AF72" s="179">
        <f t="shared" si="22"/>
        <v>0.30753974364141723</v>
      </c>
      <c r="AG72" s="839">
        <f t="shared" si="23"/>
        <v>-1</v>
      </c>
      <c r="AH72" s="178">
        <f t="shared" si="16"/>
        <v>5</v>
      </c>
      <c r="AI72" s="227">
        <f t="shared" si="17"/>
        <v>-0.69246025635858277</v>
      </c>
      <c r="AJ72" s="267" t="b">
        <f t="shared" si="18"/>
        <v>1</v>
      </c>
      <c r="AK72" s="267" t="b">
        <f t="shared" si="19"/>
        <v>0</v>
      </c>
      <c r="AL72" s="267"/>
      <c r="AM72" s="267"/>
      <c r="AN72" s="75"/>
    </row>
    <row r="73" spans="1:40" s="6" customFormat="1" ht="11.25" x14ac:dyDescent="0.2">
      <c r="A73" s="56">
        <f t="shared" si="20"/>
        <v>44255</v>
      </c>
      <c r="B73" s="620">
        <v>26.405999999999999</v>
      </c>
      <c r="C73" s="392"/>
      <c r="D73" s="395">
        <f t="shared" si="0"/>
        <v>26.991263196097464</v>
      </c>
      <c r="E73" s="387">
        <f t="shared" si="1"/>
        <v>30.8371039987146</v>
      </c>
      <c r="F73" s="387">
        <f t="shared" si="2"/>
        <v>31.013249607300796</v>
      </c>
      <c r="G73" s="110">
        <f t="shared" si="21"/>
        <v>0.8382486701645</v>
      </c>
      <c r="H73" s="416" t="b">
        <f>Wh_hp&gt;='2020'!Maxi_hp</f>
        <v>0</v>
      </c>
      <c r="I73" s="382">
        <f>IF(H73,Wh_hp,'2020'!Maxi_hp)</f>
        <v>31.138574306786101</v>
      </c>
      <c r="J73" s="85">
        <f>IF(H73,An,'2020'!An_max)</f>
        <v>2019</v>
      </c>
      <c r="K73" s="199">
        <f t="shared" si="3"/>
        <v>44255</v>
      </c>
      <c r="L73" s="147">
        <f>IF(t&lt;Tvie,1-EXP((T0-t)*PertePVj)+'2020'!Pspv,1-EXP((T0-t)*PertePVj)+Pspv)</f>
        <v>2.1683431110481877E-2</v>
      </c>
      <c r="M73" s="872"/>
      <c r="N73" s="872"/>
      <c r="O73" s="48">
        <f>IF(t&lt;Tnet,'2020'!Resal+('2020'!Salim-'2020'!Resal)*(1-EXP(('2020'!Tnet-t)/('2020'!Tau_j))),Resal+(Salim-Resal)*(1-EXP((Tnet-t)/(Tau_j))))*Salcycl</f>
        <v>0.12471472038286881</v>
      </c>
      <c r="P73" s="171">
        <f>(INDEX(Models!$BJ73:$BT73,,T73)*(1-R73)+INDEX(Models!$BJ73:$BT73,,T73+1)*R73-ERP_i)*Q73*Ramure*Pc/MaxiM</f>
        <v>7.3670130773342011E-3</v>
      </c>
      <c r="Q73" s="307">
        <f t="shared" si="4"/>
        <v>0.9</v>
      </c>
      <c r="R73" s="179">
        <f t="shared" si="5"/>
        <v>0.30789515036404025</v>
      </c>
      <c r="S73" s="839">
        <f t="shared" si="6"/>
        <v>-1</v>
      </c>
      <c r="T73" s="178">
        <f t="shared" si="7"/>
        <v>5</v>
      </c>
      <c r="U73" s="253">
        <f t="shared" si="8"/>
        <v>-0.69210484963595975</v>
      </c>
      <c r="V73" s="385">
        <f t="shared" si="9"/>
        <v>31.447935378151055</v>
      </c>
      <c r="W73" s="404"/>
      <c r="X73" s="157">
        <f t="shared" si="10"/>
        <v>44255</v>
      </c>
      <c r="Y73" s="387">
        <f t="shared" si="11"/>
        <v>26.405999999999999</v>
      </c>
      <c r="Z73" s="387">
        <f t="shared" si="12"/>
        <v>26.991263196097464</v>
      </c>
      <c r="AA73" s="388">
        <f t="shared" si="13"/>
        <v>30.8371039987146</v>
      </c>
      <c r="AB73" s="199">
        <f t="shared" si="14"/>
        <v>44255</v>
      </c>
      <c r="AC73" s="119">
        <f>IF(OR(t&lt;Tnet,NoTnet),'2020'!Resal_s+('2020'!Salim-'2020'!Resal_s)*(1-EXP(('2020'!Tnet_s-t)/'2020'!Tau_j)),Resal_s+(Salim-Resal_s)*(1-EXP((Tnet_s-t)/Tau_j)))*Salcycl</f>
        <v>0.12471472038286881</v>
      </c>
      <c r="AD73" s="233">
        <f>(INDEX(Models!$BJ73:$BT73,,AH73)*(1-AF73)+INDEX(Models!$BJ73:$BT73,,AH73+1)*AF73-ERP_i)*AE73*Ramure*Pc/MaxiM</f>
        <v>7.3670130773342011E-3</v>
      </c>
      <c r="AE73" s="307">
        <f t="shared" si="15"/>
        <v>0.9</v>
      </c>
      <c r="AF73" s="179">
        <f t="shared" si="22"/>
        <v>0.30789515036404025</v>
      </c>
      <c r="AG73" s="839">
        <f t="shared" si="23"/>
        <v>-1</v>
      </c>
      <c r="AH73" s="178">
        <f t="shared" si="16"/>
        <v>5</v>
      </c>
      <c r="AI73" s="227">
        <f t="shared" si="17"/>
        <v>-0.69210484963595975</v>
      </c>
      <c r="AJ73" s="267" t="b">
        <f t="shared" si="18"/>
        <v>1</v>
      </c>
      <c r="AK73" s="267" t="b">
        <f t="shared" si="19"/>
        <v>0</v>
      </c>
      <c r="AL73" s="267"/>
      <c r="AM73" s="267"/>
      <c r="AN73" s="75"/>
    </row>
    <row r="74" spans="1:40" s="6" customFormat="1" ht="11.25" x14ac:dyDescent="0.2">
      <c r="A74" s="56">
        <f t="shared" si="20"/>
        <v>44256</v>
      </c>
      <c r="B74" s="620">
        <v>28.622</v>
      </c>
      <c r="C74" s="392"/>
      <c r="D74" s="395">
        <f t="shared" si="0"/>
        <v>29.257059525981862</v>
      </c>
      <c r="E74" s="387">
        <f t="shared" si="1"/>
        <v>33.427431310157345</v>
      </c>
      <c r="F74" s="387">
        <f t="shared" si="2"/>
        <v>33.6322182801417</v>
      </c>
      <c r="G74" s="110">
        <f t="shared" si="21"/>
        <v>0.89831344067812413</v>
      </c>
      <c r="H74" s="416" t="b">
        <f>Wh_hp&gt;='2020'!Maxi_hp</f>
        <v>1</v>
      </c>
      <c r="I74" s="382">
        <f>IF(H74,Wh_hp,'2020'!Maxi_hp)</f>
        <v>33.6322182801417</v>
      </c>
      <c r="J74" s="85">
        <f>IF(H74,An,'2020'!An_max)</f>
        <v>2021</v>
      </c>
      <c r="K74" s="199">
        <f t="shared" si="3"/>
        <v>44256</v>
      </c>
      <c r="L74" s="147">
        <f>IF(t&lt;Tvie,1-EXP((T0-t)*PertePVj)+'2020'!Pspv,1-EXP((T0-t)*PertePVj)+Pspv)</f>
        <v>2.1706197966268492E-2</v>
      </c>
      <c r="M74" s="872"/>
      <c r="N74" s="872"/>
      <c r="O74" s="48">
        <f>IF(t&lt;Tnet,'2020'!Resal+('2020'!Salim-'2020'!Resal)*(1-EXP(('2020'!Tnet-t)/('2020'!Tau_j))),Resal+(Salim-Resal)*(1-EXP((Tnet-t)/(Tau_j))))*Salcycl</f>
        <v>0.12475896653501649</v>
      </c>
      <c r="P74" s="171">
        <f>(INDEX(Models!$BJ74:$BT74,,T74)*(1-R74)+INDEX(Models!$BJ74:$BT74,,T74+1)*R74-ERP_i)*Q74*Ramure*Pc/MaxiM</f>
        <v>7.1128593620746654E-3</v>
      </c>
      <c r="Q74" s="307">
        <f t="shared" si="4"/>
        <v>0.9</v>
      </c>
      <c r="R74" s="179">
        <f t="shared" si="5"/>
        <v>0.30826501393696815</v>
      </c>
      <c r="S74" s="839">
        <f t="shared" si="6"/>
        <v>-1</v>
      </c>
      <c r="T74" s="178">
        <f t="shared" si="7"/>
        <v>5</v>
      </c>
      <c r="U74" s="253">
        <f t="shared" si="8"/>
        <v>-0.69173498606303185</v>
      </c>
      <c r="V74" s="385">
        <f t="shared" si="9"/>
        <v>31.829108424661911</v>
      </c>
      <c r="W74" s="404"/>
      <c r="X74" s="157">
        <f t="shared" si="10"/>
        <v>44256</v>
      </c>
      <c r="Y74" s="387">
        <f t="shared" si="11"/>
        <v>28.622</v>
      </c>
      <c r="Z74" s="387">
        <f t="shared" si="12"/>
        <v>29.257059525981862</v>
      </c>
      <c r="AA74" s="388">
        <f t="shared" si="13"/>
        <v>33.427431310157345</v>
      </c>
      <c r="AB74" s="199">
        <f t="shared" si="14"/>
        <v>44256</v>
      </c>
      <c r="AC74" s="119">
        <f>IF(OR(t&lt;Tnet,NoTnet),'2020'!Resal_s+('2020'!Salim-'2020'!Resal_s)*(1-EXP(('2020'!Tnet_s-t)/'2020'!Tau_j)),Resal_s+(Salim-Resal_s)*(1-EXP((Tnet_s-t)/Tau_j)))*Salcycl</f>
        <v>0.12475896653501649</v>
      </c>
      <c r="AD74" s="233">
        <f>(INDEX(Models!$BJ74:$BT74,,AH74)*(1-AF74)+INDEX(Models!$BJ74:$BT74,,AH74+1)*AF74-ERP_i)*AE74*Ramure*Pc/MaxiM</f>
        <v>7.1128593620746654E-3</v>
      </c>
      <c r="AE74" s="307">
        <f t="shared" si="15"/>
        <v>0.9</v>
      </c>
      <c r="AF74" s="179">
        <f t="shared" si="22"/>
        <v>0.30826501393696815</v>
      </c>
      <c r="AG74" s="839">
        <f t="shared" si="23"/>
        <v>-1</v>
      </c>
      <c r="AH74" s="178">
        <f t="shared" si="16"/>
        <v>5</v>
      </c>
      <c r="AI74" s="227">
        <f t="shared" si="17"/>
        <v>-0.69173498606303185</v>
      </c>
      <c r="AJ74" s="267" t="b">
        <f t="shared" si="18"/>
        <v>1</v>
      </c>
      <c r="AK74" s="267" t="b">
        <f t="shared" si="19"/>
        <v>0</v>
      </c>
      <c r="AL74" s="267"/>
      <c r="AM74" s="267"/>
      <c r="AN74" s="75"/>
    </row>
    <row r="75" spans="1:40" s="6" customFormat="1" ht="11.25" x14ac:dyDescent="0.2">
      <c r="A75" s="56">
        <f t="shared" si="20"/>
        <v>44257</v>
      </c>
      <c r="B75" s="620">
        <v>13.72</v>
      </c>
      <c r="C75" s="392"/>
      <c r="D75" s="395">
        <f t="shared" si="0"/>
        <v>14.024743142961203</v>
      </c>
      <c r="E75" s="387">
        <f t="shared" si="1"/>
        <v>16.024671679390931</v>
      </c>
      <c r="F75" s="387">
        <f t="shared" si="2"/>
        <v>16.044556316223243</v>
      </c>
      <c r="G75" s="110">
        <f t="shared" si="21"/>
        <v>0.42353253453074746</v>
      </c>
      <c r="H75" s="416" t="b">
        <f>Wh_hp&gt;='2020'!Maxi_hp</f>
        <v>0</v>
      </c>
      <c r="I75" s="382">
        <f>IF(H75,Wh_hp,'2020'!Maxi_hp)</f>
        <v>26.224711056387971</v>
      </c>
      <c r="J75" s="85">
        <f>IF(H75,An,'2020'!An_max)</f>
        <v>2020</v>
      </c>
      <c r="K75" s="199">
        <f t="shared" si="3"/>
        <v>44257</v>
      </c>
      <c r="L75" s="147">
        <f>IF(t&lt;Tvie,1-EXP((T0-t)*PertePVj)+'2020'!Pspv,1-EXP((T0-t)*PertePVj)+Pspv)</f>
        <v>2.1728964292237141E-2</v>
      </c>
      <c r="M75" s="872"/>
      <c r="N75" s="872"/>
      <c r="O75" s="48">
        <f>IF(t&lt;Tnet,'2020'!Resal+('2020'!Salim-'2020'!Resal)*(1-EXP(('2020'!Tnet-t)/('2020'!Tau_j))),Resal+(Salim-Resal)*(1-EXP((Tnet-t)/(Tau_j))))*Salcycl</f>
        <v>0.12480308966340967</v>
      </c>
      <c r="P75" s="171">
        <f>(INDEX(Models!$BJ75:$BT75,,T75)*(1-R75)+INDEX(Models!$BJ75:$BT75,,T75+1)*R75-ERP_i)*Q75*Ramure*Pc/MaxiM</f>
        <v>6.888401751832255E-3</v>
      </c>
      <c r="Q75" s="307">
        <f t="shared" si="4"/>
        <v>0.9</v>
      </c>
      <c r="R75" s="179">
        <f t="shared" si="5"/>
        <v>0.30864990295479489</v>
      </c>
      <c r="S75" s="839">
        <f t="shared" si="6"/>
        <v>-1</v>
      </c>
      <c r="T75" s="178">
        <f t="shared" si="7"/>
        <v>5</v>
      </c>
      <c r="U75" s="253">
        <f t="shared" si="8"/>
        <v>-0.69135009704520511</v>
      </c>
      <c r="V75" s="385">
        <f t="shared" si="9"/>
        <v>32.210981603567937</v>
      </c>
      <c r="W75" s="404"/>
      <c r="X75" s="157">
        <f t="shared" si="10"/>
        <v>44257</v>
      </c>
      <c r="Y75" s="387">
        <f t="shared" si="11"/>
        <v>13.72</v>
      </c>
      <c r="Z75" s="387">
        <f t="shared" si="12"/>
        <v>14.024743142961203</v>
      </c>
      <c r="AA75" s="388">
        <f t="shared" si="13"/>
        <v>16.024671679390931</v>
      </c>
      <c r="AB75" s="199">
        <f t="shared" si="14"/>
        <v>44257</v>
      </c>
      <c r="AC75" s="119">
        <f>IF(OR(t&lt;Tnet,NoTnet),'2020'!Resal_s+('2020'!Salim-'2020'!Resal_s)*(1-EXP(('2020'!Tnet_s-t)/'2020'!Tau_j)),Resal_s+(Salim-Resal_s)*(1-EXP((Tnet_s-t)/Tau_j)))*Salcycl</f>
        <v>0.12480308966340967</v>
      </c>
      <c r="AD75" s="233">
        <f>(INDEX(Models!$BJ75:$BT75,,AH75)*(1-AF75)+INDEX(Models!$BJ75:$BT75,,AH75+1)*AF75-ERP_i)*AE75*Ramure*Pc/MaxiM</f>
        <v>6.888401751832255E-3</v>
      </c>
      <c r="AE75" s="307">
        <f t="shared" si="15"/>
        <v>0.9</v>
      </c>
      <c r="AF75" s="179">
        <f t="shared" si="22"/>
        <v>0.30864990295479489</v>
      </c>
      <c r="AG75" s="839">
        <f t="shared" si="23"/>
        <v>-1</v>
      </c>
      <c r="AH75" s="178">
        <f t="shared" si="16"/>
        <v>5</v>
      </c>
      <c r="AI75" s="227">
        <f t="shared" si="17"/>
        <v>-0.69135009704520511</v>
      </c>
      <c r="AJ75" s="267" t="b">
        <f t="shared" si="18"/>
        <v>1</v>
      </c>
      <c r="AK75" s="267" t="b">
        <f t="shared" si="19"/>
        <v>0</v>
      </c>
      <c r="AL75" s="267"/>
      <c r="AM75" s="267"/>
      <c r="AN75" s="75"/>
    </row>
    <row r="76" spans="1:40" s="6" customFormat="1" ht="11.25" x14ac:dyDescent="0.2">
      <c r="A76" s="56">
        <f t="shared" si="20"/>
        <v>44258</v>
      </c>
      <c r="B76" s="620">
        <v>15.528</v>
      </c>
      <c r="C76" s="392"/>
      <c r="D76" s="395">
        <f t="shared" si="0"/>
        <v>15.873271108778141</v>
      </c>
      <c r="E76" s="387">
        <f t="shared" si="1"/>
        <v>18.137712048443071</v>
      </c>
      <c r="F76" s="387">
        <f t="shared" si="2"/>
        <v>18.168357496296156</v>
      </c>
      <c r="G76" s="110">
        <f t="shared" si="21"/>
        <v>0.47402985307845791</v>
      </c>
      <c r="H76" s="416" t="b">
        <f>Wh_hp&gt;='2020'!Maxi_hp</f>
        <v>0</v>
      </c>
      <c r="I76" s="382">
        <f>IF(H76,Wh_hp,'2020'!Maxi_hp)</f>
        <v>33.302992587893023</v>
      </c>
      <c r="J76" s="85">
        <f>IF(H76,An,'2020'!An_max)</f>
        <v>2019</v>
      </c>
      <c r="K76" s="199">
        <f t="shared" si="3"/>
        <v>44258</v>
      </c>
      <c r="L76" s="147">
        <f>IF(t&lt;Tvie,1-EXP((T0-t)*PertePVj)+'2020'!Pspv,1-EXP((T0-t)*PertePVj)+Pspv)</f>
        <v>2.1751730088400034E-2</v>
      </c>
      <c r="M76" s="872"/>
      <c r="N76" s="872"/>
      <c r="O76" s="48">
        <f>IF(t&lt;Tnet,'2020'!Resal+('2020'!Salim-'2020'!Resal)*(1-EXP(('2020'!Tnet-t)/('2020'!Tau_j))),Resal+(Salim-Resal)*(1-EXP((Tnet-t)/(Tau_j))))*Salcycl</f>
        <v>0.12484711046337889</v>
      </c>
      <c r="P76" s="171">
        <f>(INDEX(Models!$BJ76:$BT76,,T76)*(1-R76)+INDEX(Models!$BJ76:$BT76,,T76+1)*R76-ERP_i)*Q76*Ramure*Pc/MaxiM</f>
        <v>6.692731690604109E-3</v>
      </c>
      <c r="Q76" s="307">
        <f t="shared" si="4"/>
        <v>0.9</v>
      </c>
      <c r="R76" s="179">
        <f t="shared" si="5"/>
        <v>0.30905040673745454</v>
      </c>
      <c r="S76" s="839">
        <f t="shared" si="6"/>
        <v>-1</v>
      </c>
      <c r="T76" s="178">
        <f t="shared" si="7"/>
        <v>5</v>
      </c>
      <c r="U76" s="253">
        <f t="shared" si="8"/>
        <v>-0.69094959326254546</v>
      </c>
      <c r="V76" s="385">
        <f t="shared" si="9"/>
        <v>32.593170353433749</v>
      </c>
      <c r="W76" s="404"/>
      <c r="X76" s="157">
        <f t="shared" si="10"/>
        <v>44258</v>
      </c>
      <c r="Y76" s="387">
        <f t="shared" si="11"/>
        <v>15.527999999999999</v>
      </c>
      <c r="Z76" s="387">
        <f t="shared" si="12"/>
        <v>15.873271108778139</v>
      </c>
      <c r="AA76" s="388">
        <f t="shared" si="13"/>
        <v>18.137712048443071</v>
      </c>
      <c r="AB76" s="199">
        <f t="shared" si="14"/>
        <v>44258</v>
      </c>
      <c r="AC76" s="119">
        <f>IF(OR(t&lt;Tnet,NoTnet),'2020'!Resal_s+('2020'!Salim-'2020'!Resal_s)*(1-EXP(('2020'!Tnet_s-t)/'2020'!Tau_j)),Resal_s+(Salim-Resal_s)*(1-EXP((Tnet_s-t)/Tau_j)))*Salcycl</f>
        <v>0.12484711046337889</v>
      </c>
      <c r="AD76" s="233">
        <f>(INDEX(Models!$BJ76:$BT76,,AH76)*(1-AF76)+INDEX(Models!$BJ76:$BT76,,AH76+1)*AF76-ERP_i)*AE76*Ramure*Pc/MaxiM</f>
        <v>6.692731690604109E-3</v>
      </c>
      <c r="AE76" s="307">
        <f t="shared" si="15"/>
        <v>0.9</v>
      </c>
      <c r="AF76" s="179">
        <f t="shared" si="22"/>
        <v>0.30905040673745454</v>
      </c>
      <c r="AG76" s="839">
        <f t="shared" si="23"/>
        <v>-1</v>
      </c>
      <c r="AH76" s="178">
        <f t="shared" si="16"/>
        <v>5</v>
      </c>
      <c r="AI76" s="227">
        <f t="shared" si="17"/>
        <v>-0.69094959326254546</v>
      </c>
      <c r="AJ76" s="267" t="b">
        <f t="shared" si="18"/>
        <v>1</v>
      </c>
      <c r="AK76" s="267" t="b">
        <f t="shared" si="19"/>
        <v>0</v>
      </c>
      <c r="AL76" s="267"/>
      <c r="AM76" s="267"/>
      <c r="AN76" s="75"/>
    </row>
    <row r="77" spans="1:40" s="6" customFormat="1" ht="11.25" x14ac:dyDescent="0.2">
      <c r="A77" s="56">
        <f t="shared" si="20"/>
        <v>44259</v>
      </c>
      <c r="B77" s="620">
        <v>25.321000000000002</v>
      </c>
      <c r="C77" s="392"/>
      <c r="D77" s="395">
        <f t="shared" si="0"/>
        <v>25.884624638961014</v>
      </c>
      <c r="E77" s="387">
        <f t="shared" si="1"/>
        <v>29.578745288028607</v>
      </c>
      <c r="F77" s="387">
        <f t="shared" si="2"/>
        <v>29.708311263077956</v>
      </c>
      <c r="G77" s="110">
        <f t="shared" si="21"/>
        <v>0.7662092741092198</v>
      </c>
      <c r="H77" s="416" t="b">
        <f>Wh_hp&gt;='2020'!Maxi_hp</f>
        <v>1</v>
      </c>
      <c r="I77" s="382">
        <f>IF(H77,Wh_hp,'2020'!Maxi_hp)</f>
        <v>29.708311263077956</v>
      </c>
      <c r="J77" s="85">
        <f>IF(H77,An,'2020'!An_max)</f>
        <v>2021</v>
      </c>
      <c r="K77" s="199">
        <f t="shared" si="3"/>
        <v>44259</v>
      </c>
      <c r="L77" s="147">
        <f>IF(t&lt;Tvie,1-EXP((T0-t)*PertePVj)+'2020'!Pspv,1-EXP((T0-t)*PertePVj)+Pspv)</f>
        <v>2.1774495354769607E-2</v>
      </c>
      <c r="M77" s="872"/>
      <c r="N77" s="872"/>
      <c r="O77" s="48">
        <f>IF(t&lt;Tnet,'2020'!Resal+('2020'!Salim-'2020'!Resal)*(1-EXP(('2020'!Tnet-t)/('2020'!Tau_j))),Resal+(Salim-Resal)*(1-EXP((Tnet-t)/(Tau_j))))*Salcycl</f>
        <v>0.12489105312261889</v>
      </c>
      <c r="P77" s="171">
        <f>(INDEX(Models!$BJ77:$BT77,,T77)*(1-R77)+INDEX(Models!$BJ77:$BT77,,T77+1)*R77-ERP_i)*Q77*Ramure*Pc/MaxiM</f>
        <v>6.5249683569612591E-3</v>
      </c>
      <c r="Q77" s="307">
        <f t="shared" si="4"/>
        <v>0.9</v>
      </c>
      <c r="R77" s="179">
        <f t="shared" si="5"/>
        <v>0.3094671359467589</v>
      </c>
      <c r="S77" s="839">
        <f t="shared" si="6"/>
        <v>-1</v>
      </c>
      <c r="T77" s="178">
        <f t="shared" si="7"/>
        <v>5</v>
      </c>
      <c r="U77" s="253">
        <f t="shared" si="8"/>
        <v>-0.6905328640532411</v>
      </c>
      <c r="V77" s="385">
        <f t="shared" si="9"/>
        <v>32.975289998759891</v>
      </c>
      <c r="W77" s="404"/>
      <c r="X77" s="157">
        <f t="shared" si="10"/>
        <v>44259</v>
      </c>
      <c r="Y77" s="387">
        <f t="shared" si="11"/>
        <v>25.321000000000002</v>
      </c>
      <c r="Z77" s="387">
        <f t="shared" si="12"/>
        <v>25.884624638961014</v>
      </c>
      <c r="AA77" s="388">
        <f t="shared" si="13"/>
        <v>29.578745288028607</v>
      </c>
      <c r="AB77" s="199">
        <f t="shared" si="14"/>
        <v>44259</v>
      </c>
      <c r="AC77" s="119">
        <f>IF(OR(t&lt;Tnet,NoTnet),'2020'!Resal_s+('2020'!Salim-'2020'!Resal_s)*(1-EXP(('2020'!Tnet_s-t)/'2020'!Tau_j)),Resal_s+(Salim-Resal_s)*(1-EXP((Tnet_s-t)/Tau_j)))*Salcycl</f>
        <v>0.12489105312261889</v>
      </c>
      <c r="AD77" s="233">
        <f>(INDEX(Models!$BJ77:$BT77,,AH77)*(1-AF77)+INDEX(Models!$BJ77:$BT77,,AH77+1)*AF77-ERP_i)*AE77*Ramure*Pc/MaxiM</f>
        <v>6.5249683569612591E-3</v>
      </c>
      <c r="AE77" s="307">
        <f t="shared" si="15"/>
        <v>0.9</v>
      </c>
      <c r="AF77" s="179">
        <f t="shared" si="22"/>
        <v>0.3094671359467589</v>
      </c>
      <c r="AG77" s="839">
        <f t="shared" si="23"/>
        <v>-1</v>
      </c>
      <c r="AH77" s="178">
        <f t="shared" si="16"/>
        <v>5</v>
      </c>
      <c r="AI77" s="227">
        <f t="shared" si="17"/>
        <v>-0.6905328640532411</v>
      </c>
      <c r="AJ77" s="267" t="b">
        <f t="shared" si="18"/>
        <v>1</v>
      </c>
      <c r="AK77" s="267" t="b">
        <f t="shared" si="19"/>
        <v>0</v>
      </c>
      <c r="AL77" s="267"/>
      <c r="AM77" s="267"/>
      <c r="AN77" s="75"/>
    </row>
    <row r="78" spans="1:40" s="6" customFormat="1" ht="11.25" x14ac:dyDescent="0.2">
      <c r="A78" s="56">
        <f t="shared" si="20"/>
        <v>44260</v>
      </c>
      <c r="B78" s="620">
        <v>26.384</v>
      </c>
      <c r="C78" s="392"/>
      <c r="D78" s="395">
        <f t="shared" si="0"/>
        <v>26.971913820711752</v>
      </c>
      <c r="E78" s="387">
        <f t="shared" si="1"/>
        <v>30.82275274986392</v>
      </c>
      <c r="F78" s="387">
        <f t="shared" si="2"/>
        <v>30.961389590222311</v>
      </c>
      <c r="G78" s="110">
        <f t="shared" si="21"/>
        <v>0.78944470030216218</v>
      </c>
      <c r="H78" s="416" t="b">
        <f>Wh_hp&gt;='2020'!Maxi_hp</f>
        <v>0</v>
      </c>
      <c r="I78" s="382">
        <f>IF(H78,Wh_hp,'2020'!Maxi_hp)</f>
        <v>38.591105820273576</v>
      </c>
      <c r="J78" s="85">
        <f>IF(H78,An,'2020'!An_max)</f>
        <v>2019</v>
      </c>
      <c r="K78" s="199">
        <f t="shared" si="3"/>
        <v>44260</v>
      </c>
      <c r="L78" s="147">
        <f>IF(t&lt;Tvie,1-EXP((T0-t)*PertePVj)+'2020'!Pspv,1-EXP((T0-t)*PertePVj)+Pspv)</f>
        <v>2.1797260091358184E-2</v>
      </c>
      <c r="M78" s="872"/>
      <c r="N78" s="872"/>
      <c r="O78" s="48">
        <f>IF(t&lt;Tnet,'2020'!Resal+('2020'!Salim-'2020'!Resal)*(1-EXP(('2020'!Tnet-t)/('2020'!Tau_j))),Resal+(Salim-Resal)*(1-EXP((Tnet-t)/(Tau_j))))*Salcycl</f>
        <v>0.1249349453114362</v>
      </c>
      <c r="P78" s="171">
        <f>(INDEX(Models!$BJ78:$BT78,,T78)*(1-R78)+INDEX(Models!$BJ78:$BT78,,T78+1)*R78-ERP_i)*Q78*Ramure*Pc/MaxiM</f>
        <v>6.3842606140182287E-3</v>
      </c>
      <c r="Q78" s="307">
        <f t="shared" si="4"/>
        <v>0.9</v>
      </c>
      <c r="R78" s="179">
        <f t="shared" si="5"/>
        <v>0.30990072320902429</v>
      </c>
      <c r="S78" s="839">
        <f t="shared" si="6"/>
        <v>-1</v>
      </c>
      <c r="T78" s="178">
        <f t="shared" si="7"/>
        <v>5</v>
      </c>
      <c r="U78" s="253">
        <f t="shared" si="8"/>
        <v>-0.69009927679097571</v>
      </c>
      <c r="V78" s="385">
        <f t="shared" si="9"/>
        <v>33.356955741085166</v>
      </c>
      <c r="W78" s="404"/>
      <c r="X78" s="157">
        <f t="shared" si="10"/>
        <v>44260</v>
      </c>
      <c r="Y78" s="387">
        <f t="shared" si="11"/>
        <v>26.384</v>
      </c>
      <c r="Z78" s="387">
        <f t="shared" si="12"/>
        <v>26.971913820711752</v>
      </c>
      <c r="AA78" s="388">
        <f t="shared" si="13"/>
        <v>30.82275274986392</v>
      </c>
      <c r="AB78" s="199">
        <f t="shared" si="14"/>
        <v>44260</v>
      </c>
      <c r="AC78" s="119">
        <f>IF(OR(t&lt;Tnet,NoTnet),'2020'!Resal_s+('2020'!Salim-'2020'!Resal_s)*(1-EXP(('2020'!Tnet_s-t)/'2020'!Tau_j)),Resal_s+(Salim-Resal_s)*(1-EXP((Tnet_s-t)/Tau_j)))*Salcycl</f>
        <v>0.1249349453114362</v>
      </c>
      <c r="AD78" s="233">
        <f>(INDEX(Models!$BJ78:$BT78,,AH78)*(1-AF78)+INDEX(Models!$BJ78:$BT78,,AH78+1)*AF78-ERP_i)*AE78*Ramure*Pc/MaxiM</f>
        <v>6.3842606140182287E-3</v>
      </c>
      <c r="AE78" s="307">
        <f t="shared" si="15"/>
        <v>0.9</v>
      </c>
      <c r="AF78" s="179">
        <f t="shared" si="22"/>
        <v>0.30990072320902429</v>
      </c>
      <c r="AG78" s="839">
        <f t="shared" si="23"/>
        <v>-1</v>
      </c>
      <c r="AH78" s="178">
        <f t="shared" si="16"/>
        <v>5</v>
      </c>
      <c r="AI78" s="227">
        <f t="shared" si="17"/>
        <v>-0.69009927679097571</v>
      </c>
      <c r="AJ78" s="267" t="b">
        <f t="shared" si="18"/>
        <v>1</v>
      </c>
      <c r="AK78" s="267" t="b">
        <f t="shared" si="19"/>
        <v>0</v>
      </c>
      <c r="AL78" s="267"/>
      <c r="AM78" s="267"/>
      <c r="AN78" s="75"/>
    </row>
    <row r="79" spans="1:40" s="6" customFormat="1" ht="11.25" x14ac:dyDescent="0.2">
      <c r="A79" s="56">
        <f t="shared" si="20"/>
        <v>44261</v>
      </c>
      <c r="B79" s="620">
        <v>9.8759999999999994</v>
      </c>
      <c r="C79" s="392"/>
      <c r="D79" s="395">
        <f t="shared" ref="D79:D142" si="24">Wh/(1-Ppv)</f>
        <v>10.096301545034382</v>
      </c>
      <c r="E79" s="387">
        <f t="shared" si="1"/>
        <v>11.538351018758171</v>
      </c>
      <c r="F79" s="387">
        <f t="shared" ref="F79:F142" si="25">Wh_sa/(1-Pvg*MEDIAN((-Sdif+Wh/Env_an)/Csdif,0,1))</f>
        <v>11.538351018758171</v>
      </c>
      <c r="G79" s="110">
        <f t="shared" si="21"/>
        <v>0.29087396218948697</v>
      </c>
      <c r="H79" s="416" t="b">
        <f>Wh_hp&gt;='2020'!Maxi_hp</f>
        <v>0</v>
      </c>
      <c r="I79" s="382">
        <f>IF(H79,Wh_hp,'2020'!Maxi_hp)</f>
        <v>24.167812123505598</v>
      </c>
      <c r="J79" s="85">
        <f>IF(H79,An,'2020'!An_max)</f>
        <v>2019</v>
      </c>
      <c r="K79" s="199">
        <f t="shared" ref="K79:K142" si="26">t</f>
        <v>44261</v>
      </c>
      <c r="L79" s="147">
        <f>IF(t&lt;Tvie,1-EXP((T0-t)*PertePVj)+'2020'!Pspv,1-EXP((T0-t)*PertePVj)+Pspv)</f>
        <v>2.1820024298178087E-2</v>
      </c>
      <c r="M79" s="872"/>
      <c r="N79" s="872"/>
      <c r="O79" s="48">
        <f>IF(t&lt;Tnet,'2020'!Resal+('2020'!Salim-'2020'!Resal)*(1-EXP(('2020'!Tnet-t)/('2020'!Tau_j))),Resal+(Salim-Resal)*(1-EXP((Tnet-t)/(Tau_j))))*Salcycl</f>
        <v>0.12497881814996042</v>
      </c>
      <c r="P79" s="171">
        <f>(INDEX(Models!$BJ79:$BT79,,T79)*(1-R79)+INDEX(Models!$BJ79:$BT79,,T79+1)*R79-ERP_i)*Q79*Ramure*Pc/MaxiM</f>
        <v>6.2693816445299807E-3</v>
      </c>
      <c r="Q79" s="307">
        <f t="shared" ref="Q79:Q142" si="27">IF(OR(t&lt;Ttai,Notai),Dd+PousD*Croivg,Dens+PousD*(Croivg-Croi_tai))</f>
        <v>0.9</v>
      </c>
      <c r="R79" s="179">
        <f t="shared" ref="R79:R142" si="28">(Hp_vg-S79)/(INDEX(Echel_vg,T79+1)-S79)</f>
        <v>0.31035182374258896</v>
      </c>
      <c r="S79" s="839">
        <f t="shared" ref="S79:S142" si="29">INDEX(Echel_vg,T79)</f>
        <v>-1</v>
      </c>
      <c r="T79" s="178">
        <f t="shared" ref="T79:T142" si="30">MIN(MATCH(Hp_vg,Echel_vg),10)</f>
        <v>5</v>
      </c>
      <c r="U79" s="253">
        <f t="shared" ref="U79:U142" si="31">IF(OR(t&lt;Ttai,Notai),Hdd+PousH*Croivg,Hdtf+PousH*(Croivg-Croi_tai))</f>
        <v>-0.68964817625741104</v>
      </c>
      <c r="V79" s="385">
        <f t="shared" ref="V79:V142" si="32">MaxiM*(1-Ppv)*(1-Pvg)*(1-Psa)</f>
        <v>33.739986601087836</v>
      </c>
      <c r="W79" s="404"/>
      <c r="X79" s="157">
        <f t="shared" ref="X79:X142" si="33">t</f>
        <v>44261</v>
      </c>
      <c r="Y79" s="387">
        <f t="shared" ref="Y79:Y142" si="34">Wh_pvt_s*(1-Ppv)</f>
        <v>9.8759999999999994</v>
      </c>
      <c r="Z79" s="387">
        <f t="shared" ref="Z79:Z142" si="35">Wh_sa_s*(1-Psa_s)</f>
        <v>10.096301545034382</v>
      </c>
      <c r="AA79" s="388">
        <f t="shared" ref="AA79:AA142" si="36">Wh_hp*(1-Pvg_s*MEDIAN((-Sdif+Wh/Env_an)/Csdif,0,1))</f>
        <v>11.538351018758171</v>
      </c>
      <c r="AB79" s="199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0.12497881814996042</v>
      </c>
      <c r="AD79" s="233">
        <f>(INDEX(Models!$BJ79:$BT79,,AH79)*(1-AF79)+INDEX(Models!$BJ79:$BT79,,AH79+1)*AF79-ERP_i)*AE79*Ramure*Pc/MaxiM</f>
        <v>6.2693816445299807E-3</v>
      </c>
      <c r="AE79" s="307">
        <f t="shared" ref="AE79:AE142" si="38">IF(OR(t&lt;Ttai,Notai),Dd_s+PousD*Croivg,Dens_s+PousD*(Croivg-Croi_tai))</f>
        <v>0.9</v>
      </c>
      <c r="AF79" s="179">
        <f t="shared" ref="AF79:AF142" si="39">(Hp_vg_s-AG79)/(INDEX(Echel_vg,AH79+1)-AG79)</f>
        <v>0.31035182374258896</v>
      </c>
      <c r="AG79" s="839">
        <f t="shared" si="23"/>
        <v>-1</v>
      </c>
      <c r="AH79" s="178">
        <f t="shared" ref="AH79:AH142" si="40">MIN(MATCH(Hp_vg_s,Echel_vg),10)</f>
        <v>5</v>
      </c>
      <c r="AI79" s="227">
        <f t="shared" ref="AI79:AI142" si="41">IF(OR(t&lt;Ttai,Notai),Hdd_s+PousH*Croivg,Hdtai_s+PousH*(Croivg-Croi_tai))</f>
        <v>-0.68964817625741104</v>
      </c>
      <c r="AJ79" s="267" t="b">
        <f t="shared" ref="AJ79:AJ142" si="42">t&lt;Tnet</f>
        <v>1</v>
      </c>
      <c r="AK79" s="267" t="b">
        <f t="shared" ref="AK79:AK142" si="43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4">A79+1</f>
        <v>44262</v>
      </c>
      <c r="B80" s="620">
        <v>9.8759999999999994</v>
      </c>
      <c r="C80" s="392"/>
      <c r="D80" s="395">
        <f t="shared" si="24"/>
        <v>10.096536506188972</v>
      </c>
      <c r="E80" s="387">
        <f t="shared" ref="E80:E143" si="45">Wh_pvt/(1-Psa)</f>
        <v>11.539198305133917</v>
      </c>
      <c r="F80" s="387">
        <f t="shared" si="25"/>
        <v>11.539198305133917</v>
      </c>
      <c r="G80" s="110">
        <f t="shared" ref="G80:G143" si="46">+Wh_hp/MaxiM</f>
        <v>0.28760924788330344</v>
      </c>
      <c r="H80" s="416" t="b">
        <f>Wh_hp&gt;='2020'!Maxi_hp</f>
        <v>0</v>
      </c>
      <c r="I80" s="382">
        <f>IF(H80,Wh_hp,'2020'!Maxi_hp)</f>
        <v>36.40417096783824</v>
      </c>
      <c r="J80" s="85">
        <f>IF(H80,An,'2020'!An_max)</f>
        <v>2019</v>
      </c>
      <c r="K80" s="199">
        <f t="shared" si="26"/>
        <v>44262</v>
      </c>
      <c r="L80" s="147">
        <f>IF(t&lt;Tvie,1-EXP((T0-t)*PertePVj)+'2020'!Pspv,1-EXP((T0-t)*PertePVj)+Pspv)</f>
        <v>2.184278797524164E-2</v>
      </c>
      <c r="M80" s="872"/>
      <c r="N80" s="872"/>
      <c r="O80" s="48">
        <f>IF(t&lt;Tnet,'2020'!Resal+('2020'!Salim-'2020'!Resal)*(1-EXP(('2020'!Tnet-t)/('2020'!Tau_j))),Resal+(Salim-Resal)*(1-EXP((Tnet-t)/(Tau_j))))*Salcycl</f>
        <v>0.12502270615308603</v>
      </c>
      <c r="P80" s="171">
        <f>(INDEX(Models!$BJ80:$BT80,,T80)*(1-R80)+INDEX(Models!$BJ80:$BT80,,T80+1)*R80-ERP_i)*Q80*Ramure*Pc/MaxiM</f>
        <v>6.1803940703264873E-3</v>
      </c>
      <c r="Q80" s="307">
        <f t="shared" si="27"/>
        <v>0.9</v>
      </c>
      <c r="R80" s="179">
        <f t="shared" si="28"/>
        <v>0.31082111598886664</v>
      </c>
      <c r="S80" s="839">
        <f t="shared" si="29"/>
        <v>-1</v>
      </c>
      <c r="T80" s="178">
        <f t="shared" si="30"/>
        <v>5</v>
      </c>
      <c r="U80" s="253">
        <f t="shared" si="31"/>
        <v>-0.68917888401113336</v>
      </c>
      <c r="V80" s="385">
        <f t="shared" si="32"/>
        <v>34.12603210917559</v>
      </c>
      <c r="W80" s="404"/>
      <c r="X80" s="157">
        <f t="shared" si="33"/>
        <v>44262</v>
      </c>
      <c r="Y80" s="387">
        <f t="shared" si="34"/>
        <v>9.8759999999999994</v>
      </c>
      <c r="Z80" s="387">
        <f t="shared" si="35"/>
        <v>10.096536506188972</v>
      </c>
      <c r="AA80" s="388">
        <f t="shared" si="36"/>
        <v>11.539198305133917</v>
      </c>
      <c r="AB80" s="199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0.12502270615308603</v>
      </c>
      <c r="AD80" s="233">
        <f>(INDEX(Models!$BJ80:$BT80,,AH80)*(1-AF80)+INDEX(Models!$BJ80:$BT80,,AH80+1)*AF80-ERP_i)*AE80*Ramure*Pc/MaxiM</f>
        <v>6.1803940703264873E-3</v>
      </c>
      <c r="AE80" s="307">
        <f t="shared" si="38"/>
        <v>0.9</v>
      </c>
      <c r="AF80" s="179">
        <f t="shared" si="39"/>
        <v>0.31082111598886664</v>
      </c>
      <c r="AG80" s="839">
        <f t="shared" ref="AG80:AG143" si="47">INDEX(Echel_vg,AH80)</f>
        <v>-1</v>
      </c>
      <c r="AH80" s="178">
        <f t="shared" si="40"/>
        <v>5</v>
      </c>
      <c r="AI80" s="227">
        <f t="shared" si="41"/>
        <v>-0.68917888401113336</v>
      </c>
      <c r="AJ80" s="267" t="b">
        <f t="shared" si="42"/>
        <v>1</v>
      </c>
      <c r="AK80" s="267" t="b">
        <f t="shared" si="43"/>
        <v>0</v>
      </c>
      <c r="AL80" s="267"/>
      <c r="AM80" s="267"/>
      <c r="AN80" s="75"/>
    </row>
    <row r="81" spans="1:40" s="6" customFormat="1" ht="11.25" x14ac:dyDescent="0.2">
      <c r="A81" s="56">
        <f t="shared" si="44"/>
        <v>44263</v>
      </c>
      <c r="B81" s="620">
        <v>20.462</v>
      </c>
      <c r="C81" s="392"/>
      <c r="D81" s="395">
        <f t="shared" si="24"/>
        <v>20.91941452781192</v>
      </c>
      <c r="E81" s="387">
        <f t="shared" si="45"/>
        <v>23.90972347752821</v>
      </c>
      <c r="F81" s="387">
        <f t="shared" si="25"/>
        <v>23.970907073143547</v>
      </c>
      <c r="G81" s="110">
        <f t="shared" si="46"/>
        <v>0.59073359685016025</v>
      </c>
      <c r="H81" s="416" t="b">
        <f>Wh_hp&gt;='2020'!Maxi_hp</f>
        <v>0</v>
      </c>
      <c r="I81" s="382">
        <f>IF(H81,Wh_hp,'2020'!Maxi_hp)</f>
        <v>30.079041680931038</v>
      </c>
      <c r="J81" s="85">
        <f>IF(H81,An,'2020'!An_max)</f>
        <v>2020</v>
      </c>
      <c r="K81" s="199">
        <f t="shared" si="26"/>
        <v>44263</v>
      </c>
      <c r="L81" s="147">
        <f>IF(t&lt;Tvie,1-EXP((T0-t)*PertePVj)+'2020'!Pspv,1-EXP((T0-t)*PertePVj)+Pspv)</f>
        <v>2.1865551122561167E-2</v>
      </c>
      <c r="M81" s="872"/>
      <c r="N81" s="872"/>
      <c r="O81" s="48">
        <f>IF(t&lt;Tnet,'2020'!Resal+('2020'!Salim-'2020'!Resal)*(1-EXP(('2020'!Tnet-t)/('2020'!Tau_j))),Resal+(Salim-Resal)*(1-EXP((Tnet-t)/(Tau_j))))*Salcycl</f>
        <v>0.12506664715410709</v>
      </c>
      <c r="P81" s="171">
        <f>(INDEX(Models!$BJ81:$BT81,,T81)*(1-R81)+INDEX(Models!$BJ81:$BT81,,T81+1)*R81-ERP_i)*Q81*Ramure*Pc/MaxiM</f>
        <v>6.101181596122573E-3</v>
      </c>
      <c r="Q81" s="307">
        <f t="shared" si="27"/>
        <v>0.9</v>
      </c>
      <c r="R81" s="179">
        <f t="shared" si="28"/>
        <v>0.31130930224542996</v>
      </c>
      <c r="S81" s="839">
        <f t="shared" si="29"/>
        <v>-1</v>
      </c>
      <c r="T81" s="178">
        <f t="shared" si="30"/>
        <v>5</v>
      </c>
      <c r="U81" s="253">
        <f t="shared" si="31"/>
        <v>-0.68869069775457004</v>
      </c>
      <c r="V81" s="385">
        <f t="shared" si="32"/>
        <v>34.515049317826659</v>
      </c>
      <c r="W81" s="404"/>
      <c r="X81" s="157">
        <f t="shared" si="33"/>
        <v>44263</v>
      </c>
      <c r="Y81" s="387">
        <f t="shared" si="34"/>
        <v>20.462</v>
      </c>
      <c r="Z81" s="387">
        <f t="shared" si="35"/>
        <v>20.91941452781192</v>
      </c>
      <c r="AA81" s="388">
        <f t="shared" si="36"/>
        <v>23.90972347752821</v>
      </c>
      <c r="AB81" s="199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0.12506664715410709</v>
      </c>
      <c r="AD81" s="233">
        <f>(INDEX(Models!$BJ81:$BT81,,AH81)*(1-AF81)+INDEX(Models!$BJ81:$BT81,,AH81+1)*AF81-ERP_i)*AE81*Ramure*Pc/MaxiM</f>
        <v>6.101181596122573E-3</v>
      </c>
      <c r="AE81" s="307">
        <f t="shared" si="38"/>
        <v>0.9</v>
      </c>
      <c r="AF81" s="179">
        <f t="shared" si="39"/>
        <v>0.31130930224542996</v>
      </c>
      <c r="AG81" s="839">
        <f t="shared" si="47"/>
        <v>-1</v>
      </c>
      <c r="AH81" s="178">
        <f t="shared" si="40"/>
        <v>5</v>
      </c>
      <c r="AI81" s="227">
        <f t="shared" si="41"/>
        <v>-0.68869069775457004</v>
      </c>
      <c r="AJ81" s="267" t="b">
        <f t="shared" si="42"/>
        <v>1</v>
      </c>
      <c r="AK81" s="267" t="b">
        <f t="shared" si="43"/>
        <v>0</v>
      </c>
      <c r="AL81" s="267"/>
      <c r="AM81" s="267"/>
      <c r="AN81" s="75"/>
    </row>
    <row r="82" spans="1:40" s="6" customFormat="1" ht="11.25" x14ac:dyDescent="0.2">
      <c r="A82" s="56">
        <f t="shared" si="44"/>
        <v>44264</v>
      </c>
      <c r="B82" s="620">
        <v>33.305999999999997</v>
      </c>
      <c r="C82" s="392"/>
      <c r="D82" s="395">
        <f t="shared" si="24"/>
        <v>34.051326109145094</v>
      </c>
      <c r="E82" s="387">
        <f t="shared" si="45"/>
        <v>38.920724503859773</v>
      </c>
      <c r="F82" s="387">
        <f t="shared" si="25"/>
        <v>39.141345127163731</v>
      </c>
      <c r="G82" s="110">
        <f t="shared" si="46"/>
        <v>0.95377095355350627</v>
      </c>
      <c r="H82" s="416" t="b">
        <f>Wh_hp&gt;='2020'!Maxi_hp</f>
        <v>1</v>
      </c>
      <c r="I82" s="382">
        <f>IF(H82,Wh_hp,'2020'!Maxi_hp)</f>
        <v>39.141345127163731</v>
      </c>
      <c r="J82" s="85">
        <f>IF(H82,An,'2020'!An_max)</f>
        <v>2021</v>
      </c>
      <c r="K82" s="199">
        <f t="shared" si="26"/>
        <v>44264</v>
      </c>
      <c r="L82" s="147">
        <f>IF(t&lt;Tvie,1-EXP((T0-t)*PertePVj)+'2020'!Pspv,1-EXP((T0-t)*PertePVj)+Pspv)</f>
        <v>2.188831374014899E-2</v>
      </c>
      <c r="M82" s="872"/>
      <c r="N82" s="872"/>
      <c r="O82" s="48">
        <f>IF(t&lt;Tnet,'2020'!Resal+('2020'!Salim-'2020'!Resal)*(1-EXP(('2020'!Tnet-t)/('2020'!Tau_j))),Resal+(Salim-Resal)*(1-EXP((Tnet-t)/(Tau_j))))*Salcycl</f>
        <v>0.125110682208184</v>
      </c>
      <c r="P82" s="171">
        <f>(INDEX(Models!$BJ82:$BT82,,T82)*(1-R82)+INDEX(Models!$BJ82:$BT82,,T82+1)*R82-ERP_i)*Q82*Ramure*Pc/MaxiM</f>
        <v>6.031579069664633E-3</v>
      </c>
      <c r="Q82" s="307">
        <f t="shared" si="27"/>
        <v>0.9</v>
      </c>
      <c r="R82" s="179">
        <f t="shared" si="28"/>
        <v>0.31181710929944306</v>
      </c>
      <c r="S82" s="839">
        <f t="shared" si="29"/>
        <v>-1</v>
      </c>
      <c r="T82" s="178">
        <f t="shared" si="30"/>
        <v>5</v>
      </c>
      <c r="U82" s="253">
        <f t="shared" si="31"/>
        <v>-0.68818289070055694</v>
      </c>
      <c r="V82" s="385">
        <f t="shared" si="32"/>
        <v>34.906459620356166</v>
      </c>
      <c r="W82" s="404"/>
      <c r="X82" s="157">
        <f t="shared" si="33"/>
        <v>44264</v>
      </c>
      <c r="Y82" s="387">
        <f t="shared" si="34"/>
        <v>33.305999999999997</v>
      </c>
      <c r="Z82" s="387">
        <f t="shared" si="35"/>
        <v>34.051326109145094</v>
      </c>
      <c r="AA82" s="388">
        <f t="shared" si="36"/>
        <v>38.920724503859773</v>
      </c>
      <c r="AB82" s="199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0.125110682208184</v>
      </c>
      <c r="AD82" s="233">
        <f>(INDEX(Models!$BJ82:$BT82,,AH82)*(1-AF82)+INDEX(Models!$BJ82:$BT82,,AH82+1)*AF82-ERP_i)*AE82*Ramure*Pc/MaxiM</f>
        <v>6.031579069664633E-3</v>
      </c>
      <c r="AE82" s="307">
        <f t="shared" si="38"/>
        <v>0.9</v>
      </c>
      <c r="AF82" s="179">
        <f t="shared" si="39"/>
        <v>0.31181710929944306</v>
      </c>
      <c r="AG82" s="839">
        <f t="shared" si="47"/>
        <v>-1</v>
      </c>
      <c r="AH82" s="178">
        <f t="shared" si="40"/>
        <v>5</v>
      </c>
      <c r="AI82" s="227">
        <f t="shared" si="41"/>
        <v>-0.68818289070055694</v>
      </c>
      <c r="AJ82" s="267" t="b">
        <f t="shared" si="42"/>
        <v>1</v>
      </c>
      <c r="AK82" s="267" t="b">
        <f t="shared" si="43"/>
        <v>0</v>
      </c>
      <c r="AL82" s="267"/>
      <c r="AM82" s="267"/>
      <c r="AN82" s="75"/>
    </row>
    <row r="83" spans="1:40" s="6" customFormat="1" ht="11.25" x14ac:dyDescent="0.2">
      <c r="A83" s="56">
        <f t="shared" si="44"/>
        <v>44265</v>
      </c>
      <c r="B83" s="620">
        <v>33.302999999999997</v>
      </c>
      <c r="C83" s="392"/>
      <c r="D83" s="395">
        <f t="shared" si="24"/>
        <v>34.049051345912339</v>
      </c>
      <c r="E83" s="387">
        <f t="shared" si="45"/>
        <v>38.920089525643832</v>
      </c>
      <c r="F83" s="387">
        <f t="shared" si="25"/>
        <v>39.134897044525324</v>
      </c>
      <c r="G83" s="110">
        <f t="shared" si="46"/>
        <v>0.94297845822188664</v>
      </c>
      <c r="H83" s="416" t="b">
        <f>Wh_hp&gt;='2020'!Maxi_hp</f>
        <v>1</v>
      </c>
      <c r="I83" s="382">
        <f>IF(H83,Wh_hp,'2020'!Maxi_hp)</f>
        <v>39.134897044525324</v>
      </c>
      <c r="J83" s="85">
        <f>IF(H83,An,'2020'!An_max)</f>
        <v>2021</v>
      </c>
      <c r="K83" s="199">
        <f t="shared" si="26"/>
        <v>44265</v>
      </c>
      <c r="L83" s="147">
        <f>IF(t&lt;Tvie,1-EXP((T0-t)*PertePVj)+'2020'!Pspv,1-EXP((T0-t)*PertePVj)+Pspv)</f>
        <v>2.1911075828017434E-2</v>
      </c>
      <c r="M83" s="872"/>
      <c r="N83" s="872"/>
      <c r="O83" s="48">
        <f>IF(t&lt;Tnet,'2020'!Resal+('2020'!Salim-'2020'!Resal)*(1-EXP(('2020'!Tnet-t)/('2020'!Tau_j))),Resal+(Salim-Resal)*(1-EXP((Tnet-t)/(Tau_j))))*Salcycl</f>
        <v>0.12515485547693925</v>
      </c>
      <c r="P83" s="171">
        <f>(INDEX(Models!$BJ83:$BT83,,T83)*(1-R83)+INDEX(Models!$BJ83:$BT83,,T83+1)*R83-ERP_i)*Q83*Ramure*Pc/MaxiM</f>
        <v>5.9714229357609363E-3</v>
      </c>
      <c r="Q83" s="307">
        <f t="shared" si="27"/>
        <v>0.9</v>
      </c>
      <c r="R83" s="179">
        <f t="shared" si="28"/>
        <v>0.31234528905958414</v>
      </c>
      <c r="S83" s="839">
        <f t="shared" si="29"/>
        <v>-1</v>
      </c>
      <c r="T83" s="178">
        <f t="shared" si="30"/>
        <v>5</v>
      </c>
      <c r="U83" s="253">
        <f t="shared" si="31"/>
        <v>-0.68765471094041586</v>
      </c>
      <c r="V83" s="385">
        <f t="shared" si="32"/>
        <v>35.299684253641757</v>
      </c>
      <c r="W83" s="404"/>
      <c r="X83" s="157">
        <f t="shared" si="33"/>
        <v>44265</v>
      </c>
      <c r="Y83" s="387">
        <f t="shared" si="34"/>
        <v>33.302999999999997</v>
      </c>
      <c r="Z83" s="387">
        <f t="shared" si="35"/>
        <v>34.049051345912339</v>
      </c>
      <c r="AA83" s="388">
        <f t="shared" si="36"/>
        <v>38.920089525643832</v>
      </c>
      <c r="AB83" s="199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0.12515485547693925</v>
      </c>
      <c r="AD83" s="233">
        <f>(INDEX(Models!$BJ83:$BT83,,AH83)*(1-AF83)+INDEX(Models!$BJ83:$BT83,,AH83+1)*AF83-ERP_i)*AE83*Ramure*Pc/MaxiM</f>
        <v>5.9714229357609363E-3</v>
      </c>
      <c r="AE83" s="307">
        <f t="shared" si="38"/>
        <v>0.9</v>
      </c>
      <c r="AF83" s="179">
        <f t="shared" si="39"/>
        <v>0.31234528905958414</v>
      </c>
      <c r="AG83" s="839">
        <f t="shared" si="47"/>
        <v>-1</v>
      </c>
      <c r="AH83" s="178">
        <f t="shared" si="40"/>
        <v>5</v>
      </c>
      <c r="AI83" s="227">
        <f t="shared" si="41"/>
        <v>-0.68765471094041586</v>
      </c>
      <c r="AJ83" s="267" t="b">
        <f t="shared" si="42"/>
        <v>1</v>
      </c>
      <c r="AK83" s="267" t="b">
        <f t="shared" si="43"/>
        <v>0</v>
      </c>
      <c r="AL83" s="267"/>
      <c r="AM83" s="267"/>
      <c r="AN83" s="75"/>
    </row>
    <row r="84" spans="1:40" s="6" customFormat="1" ht="11.25" x14ac:dyDescent="0.2">
      <c r="A84" s="56">
        <f t="shared" si="44"/>
        <v>44266</v>
      </c>
      <c r="B84" s="620">
        <v>27.286000000000001</v>
      </c>
      <c r="C84" s="392"/>
      <c r="D84" s="395">
        <f t="shared" si="24"/>
        <v>27.897908181466846</v>
      </c>
      <c r="E84" s="387">
        <f t="shared" si="45"/>
        <v>31.890584268995074</v>
      </c>
      <c r="F84" s="387">
        <f t="shared" si="25"/>
        <v>32.016350732523946</v>
      </c>
      <c r="G84" s="110">
        <f t="shared" si="46"/>
        <v>0.76291007019688706</v>
      </c>
      <c r="H84" s="416" t="b">
        <f>Wh_hp&gt;='2020'!Maxi_hp</f>
        <v>0</v>
      </c>
      <c r="I84" s="382">
        <f>IF(H84,Wh_hp,'2020'!Maxi_hp)</f>
        <v>33.079373904008349</v>
      </c>
      <c r="J84" s="85">
        <f>IF(H84,An,'2020'!An_max)</f>
        <v>2019</v>
      </c>
      <c r="K84" s="199">
        <f t="shared" si="26"/>
        <v>44266</v>
      </c>
      <c r="L84" s="147">
        <f>IF(t&lt;Tvie,1-EXP((T0-t)*PertePVj)+'2020'!Pspv,1-EXP((T0-t)*PertePVj)+Pspv)</f>
        <v>2.1933837386178934E-2</v>
      </c>
      <c r="M84" s="872"/>
      <c r="N84" s="872"/>
      <c r="O84" s="48">
        <f>IF(t&lt;Tnet,'2020'!Resal+('2020'!Salim-'2020'!Resal)*(1-EXP(('2020'!Tnet-t)/('2020'!Tau_j))),Resal+(Salim-Resal)*(1-EXP((Tnet-t)/(Tau_j))))*Salcycl</f>
        <v>0.12519921409561696</v>
      </c>
      <c r="P84" s="171">
        <f>(INDEX(Models!$BJ84:$BT84,,T84)*(1-R84)+INDEX(Models!$BJ84:$BT84,,T84+1)*R84-ERP_i)*Q84*Ramure*Pc/MaxiM</f>
        <v>5.920552997914259E-3</v>
      </c>
      <c r="Q84" s="307">
        <f t="shared" si="27"/>
        <v>0.9</v>
      </c>
      <c r="R84" s="179">
        <f t="shared" si="28"/>
        <v>0.31289461918440198</v>
      </c>
      <c r="S84" s="839">
        <f t="shared" si="29"/>
        <v>-1</v>
      </c>
      <c r="T84" s="178">
        <f t="shared" si="30"/>
        <v>5</v>
      </c>
      <c r="U84" s="253">
        <f t="shared" si="31"/>
        <v>-0.68710538081559802</v>
      </c>
      <c r="V84" s="385">
        <f t="shared" si="32"/>
        <v>35.694144285651859</v>
      </c>
      <c r="W84" s="404"/>
      <c r="X84" s="157">
        <f t="shared" si="33"/>
        <v>44266</v>
      </c>
      <c r="Y84" s="387">
        <f t="shared" si="34"/>
        <v>27.286000000000005</v>
      </c>
      <c r="Z84" s="387">
        <f t="shared" si="35"/>
        <v>27.89790818146685</v>
      </c>
      <c r="AA84" s="388">
        <f t="shared" si="36"/>
        <v>31.890584268995077</v>
      </c>
      <c r="AB84" s="199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0.12519921409561696</v>
      </c>
      <c r="AD84" s="233">
        <f>(INDEX(Models!$BJ84:$BT84,,AH84)*(1-AF84)+INDEX(Models!$BJ84:$BT84,,AH84+1)*AF84-ERP_i)*AE84*Ramure*Pc/MaxiM</f>
        <v>5.920552997914259E-3</v>
      </c>
      <c r="AE84" s="307">
        <f t="shared" si="38"/>
        <v>0.9</v>
      </c>
      <c r="AF84" s="179">
        <f t="shared" si="39"/>
        <v>0.31289461918440198</v>
      </c>
      <c r="AG84" s="839">
        <f t="shared" si="47"/>
        <v>-1</v>
      </c>
      <c r="AH84" s="178">
        <f t="shared" si="40"/>
        <v>5</v>
      </c>
      <c r="AI84" s="227">
        <f t="shared" si="41"/>
        <v>-0.68710538081559802</v>
      </c>
      <c r="AJ84" s="267" t="b">
        <f t="shared" si="42"/>
        <v>1</v>
      </c>
      <c r="AK84" s="267" t="b">
        <f t="shared" si="43"/>
        <v>0</v>
      </c>
      <c r="AL84" s="267"/>
      <c r="AM84" s="267"/>
      <c r="AN84" s="75"/>
    </row>
    <row r="85" spans="1:40" s="6" customFormat="1" ht="11.25" x14ac:dyDescent="0.2">
      <c r="A85" s="56">
        <f t="shared" si="44"/>
        <v>44267</v>
      </c>
      <c r="B85" s="620">
        <v>23.544</v>
      </c>
      <c r="C85" s="392"/>
      <c r="D85" s="395">
        <f t="shared" si="24"/>
        <v>24.072551342646424</v>
      </c>
      <c r="E85" s="387">
        <f t="shared" si="45"/>
        <v>27.519155123987598</v>
      </c>
      <c r="F85" s="387">
        <f t="shared" si="25"/>
        <v>27.600837470074801</v>
      </c>
      <c r="G85" s="110">
        <f t="shared" si="46"/>
        <v>0.65047222544436778</v>
      </c>
      <c r="H85" s="416" t="b">
        <f>Wh_hp&gt;='2020'!Maxi_hp</f>
        <v>0</v>
      </c>
      <c r="I85" s="382">
        <f>IF(H85,Wh_hp,'2020'!Maxi_hp)</f>
        <v>39.985849154638863</v>
      </c>
      <c r="J85" s="85">
        <f>IF(H85,An,'2020'!An_max)</f>
        <v>2020</v>
      </c>
      <c r="K85" s="199">
        <f t="shared" si="26"/>
        <v>44267</v>
      </c>
      <c r="L85" s="147">
        <f>IF(t&lt;Tvie,1-EXP((T0-t)*PertePVj)+'2020'!Pspv,1-EXP((T0-t)*PertePVj)+Pspv)</f>
        <v>2.1956598414645589E-2</v>
      </c>
      <c r="M85" s="872"/>
      <c r="N85" s="872"/>
      <c r="O85" s="48">
        <f>IF(t&lt;Tnet,'2020'!Resal+('2020'!Salim-'2020'!Resal)*(1-EXP(('2020'!Tnet-t)/('2020'!Tau_j))),Resal+(Salim-Resal)*(1-EXP((Tnet-t)/(Tau_j))))*Salcycl</f>
        <v>0.125243808024356</v>
      </c>
      <c r="P85" s="171">
        <f>(INDEX(Models!$BJ85:$BT85,,T85)*(1-R85)+INDEX(Models!$BJ85:$BT85,,T85+1)*R85-ERP_i)*Q85*Ramure*Pc/MaxiM</f>
        <v>5.8788140222016056E-3</v>
      </c>
      <c r="Q85" s="307">
        <f t="shared" si="27"/>
        <v>0.9</v>
      </c>
      <c r="R85" s="179">
        <f t="shared" si="28"/>
        <v>0.31346590370484295</v>
      </c>
      <c r="S85" s="839">
        <f t="shared" si="29"/>
        <v>-1</v>
      </c>
      <c r="T85" s="178">
        <f t="shared" si="30"/>
        <v>5</v>
      </c>
      <c r="U85" s="253">
        <f t="shared" si="31"/>
        <v>-0.68653409629515705</v>
      </c>
      <c r="V85" s="385">
        <f t="shared" si="32"/>
        <v>36.089260610414833</v>
      </c>
      <c r="W85" s="404"/>
      <c r="X85" s="157">
        <f t="shared" si="33"/>
        <v>44267</v>
      </c>
      <c r="Y85" s="387">
        <f t="shared" si="34"/>
        <v>23.544</v>
      </c>
      <c r="Z85" s="387">
        <f t="shared" si="35"/>
        <v>24.072551342646424</v>
      </c>
      <c r="AA85" s="388">
        <f t="shared" si="36"/>
        <v>27.519155123987598</v>
      </c>
      <c r="AB85" s="199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0.125243808024356</v>
      </c>
      <c r="AD85" s="233">
        <f>(INDEX(Models!$BJ85:$BT85,,AH85)*(1-AF85)+INDEX(Models!$BJ85:$BT85,,AH85+1)*AF85-ERP_i)*AE85*Ramure*Pc/MaxiM</f>
        <v>5.8788140222016056E-3</v>
      </c>
      <c r="AE85" s="307">
        <f t="shared" si="38"/>
        <v>0.9</v>
      </c>
      <c r="AF85" s="179">
        <f t="shared" si="39"/>
        <v>0.31346590370484295</v>
      </c>
      <c r="AG85" s="839">
        <f t="shared" si="47"/>
        <v>-1</v>
      </c>
      <c r="AH85" s="178">
        <f t="shared" si="40"/>
        <v>5</v>
      </c>
      <c r="AI85" s="227">
        <f t="shared" si="41"/>
        <v>-0.68653409629515705</v>
      </c>
      <c r="AJ85" s="267" t="b">
        <f t="shared" si="42"/>
        <v>1</v>
      </c>
      <c r="AK85" s="267" t="b">
        <f t="shared" si="43"/>
        <v>0</v>
      </c>
      <c r="AL85" s="267"/>
      <c r="AM85" s="267"/>
      <c r="AN85" s="75"/>
    </row>
    <row r="86" spans="1:40" s="6" customFormat="1" ht="11.25" x14ac:dyDescent="0.2">
      <c r="A86" s="56">
        <f t="shared" si="44"/>
        <v>44268</v>
      </c>
      <c r="B86" s="620">
        <v>34.084000000000003</v>
      </c>
      <c r="C86" s="392"/>
      <c r="D86" s="395">
        <f t="shared" si="24"/>
        <v>34.849980223457308</v>
      </c>
      <c r="E86" s="387">
        <f t="shared" si="45"/>
        <v>39.841693848550172</v>
      </c>
      <c r="F86" s="387">
        <f t="shared" si="25"/>
        <v>40.053703033892276</v>
      </c>
      <c r="G86" s="110">
        <f t="shared" si="46"/>
        <v>0.93368681275547505</v>
      </c>
      <c r="H86" s="416" t="b">
        <f>Wh_hp&gt;='2020'!Maxi_hp</f>
        <v>1</v>
      </c>
      <c r="I86" s="382">
        <f>IF(H86,Wh_hp,'2020'!Maxi_hp)</f>
        <v>40.053703033892276</v>
      </c>
      <c r="J86" s="85">
        <f>IF(H86,An,'2020'!An_max)</f>
        <v>2021</v>
      </c>
      <c r="K86" s="199">
        <f t="shared" si="26"/>
        <v>44268</v>
      </c>
      <c r="L86" s="147">
        <f>IF(t&lt;Tvie,1-EXP((T0-t)*PertePVj)+'2020'!Pspv,1-EXP((T0-t)*PertePVj)+Pspv)</f>
        <v>2.1979358913429947E-2</v>
      </c>
      <c r="M86" s="872"/>
      <c r="N86" s="872"/>
      <c r="O86" s="48">
        <f>IF(t&lt;Tnet,'2020'!Resal+('2020'!Salim-'2020'!Resal)*(1-EXP(('2020'!Tnet-t)/('2020'!Tau_j))),Resal+(Salim-Resal)*(1-EXP((Tnet-t)/(Tau_j))))*Salcycl</f>
        <v>0.12528868988521957</v>
      </c>
      <c r="P86" s="171">
        <f>(INDEX(Models!$BJ86:$BT86,,T86)*(1-R86)+INDEX(Models!$BJ86:$BT86,,T86+1)*R86-ERP_i)*Q86*Ramure*Pc/MaxiM</f>
        <v>5.8422757485789524E-3</v>
      </c>
      <c r="Q86" s="307">
        <f t="shared" si="27"/>
        <v>0.9</v>
      </c>
      <c r="R86" s="179">
        <f t="shared" si="28"/>
        <v>0.31405997363846538</v>
      </c>
      <c r="S86" s="839">
        <f t="shared" si="29"/>
        <v>-1</v>
      </c>
      <c r="T86" s="178">
        <f t="shared" si="30"/>
        <v>5</v>
      </c>
      <c r="U86" s="253">
        <f t="shared" si="31"/>
        <v>-0.68594002636153462</v>
      </c>
      <c r="V86" s="385">
        <f t="shared" si="32"/>
        <v>36.484592712875454</v>
      </c>
      <c r="W86" s="404"/>
      <c r="X86" s="157">
        <f t="shared" si="33"/>
        <v>44268</v>
      </c>
      <c r="Y86" s="387">
        <f t="shared" si="34"/>
        <v>34.084000000000003</v>
      </c>
      <c r="Z86" s="387">
        <f t="shared" si="35"/>
        <v>34.849980223457308</v>
      </c>
      <c r="AA86" s="388">
        <f t="shared" si="36"/>
        <v>39.841693848550172</v>
      </c>
      <c r="AB86" s="199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0.12528868988521957</v>
      </c>
      <c r="AD86" s="233">
        <f>(INDEX(Models!$BJ86:$BT86,,AH86)*(1-AF86)+INDEX(Models!$BJ86:$BT86,,AH86+1)*AF86-ERP_i)*AE86*Ramure*Pc/MaxiM</f>
        <v>5.8422757485789524E-3</v>
      </c>
      <c r="AE86" s="307">
        <f t="shared" si="38"/>
        <v>0.9</v>
      </c>
      <c r="AF86" s="179">
        <f t="shared" si="39"/>
        <v>0.31405997363846538</v>
      </c>
      <c r="AG86" s="839">
        <f t="shared" si="47"/>
        <v>-1</v>
      </c>
      <c r="AH86" s="178">
        <f t="shared" si="40"/>
        <v>5</v>
      </c>
      <c r="AI86" s="227">
        <f t="shared" si="41"/>
        <v>-0.68594002636153462</v>
      </c>
      <c r="AJ86" s="267" t="b">
        <f t="shared" si="42"/>
        <v>1</v>
      </c>
      <c r="AK86" s="267" t="b">
        <f t="shared" si="43"/>
        <v>0</v>
      </c>
      <c r="AL86" s="267"/>
      <c r="AM86" s="267"/>
      <c r="AN86" s="75"/>
    </row>
    <row r="87" spans="1:40" s="6" customFormat="1" ht="11.25" x14ac:dyDescent="0.2">
      <c r="A87" s="56">
        <f t="shared" si="44"/>
        <v>44269</v>
      </c>
      <c r="B87" s="620">
        <v>21.911000000000001</v>
      </c>
      <c r="C87" s="392"/>
      <c r="D87" s="395">
        <f t="shared" si="24"/>
        <v>22.403934019738976</v>
      </c>
      <c r="E87" s="387">
        <f t="shared" si="45"/>
        <v>25.614270861177033</v>
      </c>
      <c r="F87" s="387">
        <f t="shared" si="25"/>
        <v>25.676887565828103</v>
      </c>
      <c r="G87" s="110">
        <f t="shared" si="46"/>
        <v>0.59211467643630755</v>
      </c>
      <c r="H87" s="416" t="b">
        <f>Wh_hp&gt;='2020'!Maxi_hp</f>
        <v>0</v>
      </c>
      <c r="I87" s="382">
        <f>IF(H87,Wh_hp,'2020'!Maxi_hp)</f>
        <v>37.84988818165337</v>
      </c>
      <c r="J87" s="85">
        <f>IF(H87,An,'2020'!An_max)</f>
        <v>2020</v>
      </c>
      <c r="K87" s="199">
        <f t="shared" si="26"/>
        <v>44269</v>
      </c>
      <c r="L87" s="147">
        <f>IF(t&lt;Tvie,1-EXP((T0-t)*PertePVj)+'2020'!Pspv,1-EXP((T0-t)*PertePVj)+Pspv)</f>
        <v>2.2002118882544219E-2</v>
      </c>
      <c r="M87" s="872"/>
      <c r="N87" s="872"/>
      <c r="O87" s="48">
        <f>IF(t&lt;Tnet,'2020'!Resal+('2020'!Salim-'2020'!Resal)*(1-EXP(('2020'!Tnet-t)/('2020'!Tau_j))),Resal+(Salim-Resal)*(1-EXP((Tnet-t)/(Tau_j))))*Salcycl</f>
        <v>0.12533391478669392</v>
      </c>
      <c r="P87" s="171">
        <f>(INDEX(Models!$BJ87:$BT87,,T87)*(1-R87)+INDEX(Models!$BJ87:$BT87,,T87+1)*R87-ERP_i)*Q87*Ramure*Pc/MaxiM</f>
        <v>5.8039392665367017E-3</v>
      </c>
      <c r="Q87" s="307">
        <f t="shared" si="27"/>
        <v>0.9</v>
      </c>
      <c r="R87" s="179">
        <f t="shared" si="28"/>
        <v>0.31467768759262071</v>
      </c>
      <c r="S87" s="839">
        <f t="shared" si="29"/>
        <v>-1</v>
      </c>
      <c r="T87" s="178">
        <f t="shared" si="30"/>
        <v>5</v>
      </c>
      <c r="U87" s="253">
        <f t="shared" si="31"/>
        <v>-0.68532231240737929</v>
      </c>
      <c r="V87" s="385">
        <f t="shared" si="32"/>
        <v>36.879820000603871</v>
      </c>
      <c r="W87" s="404"/>
      <c r="X87" s="157">
        <f t="shared" si="33"/>
        <v>44269</v>
      </c>
      <c r="Y87" s="387">
        <f t="shared" si="34"/>
        <v>21.911000000000001</v>
      </c>
      <c r="Z87" s="387">
        <f t="shared" si="35"/>
        <v>22.403934019738976</v>
      </c>
      <c r="AA87" s="388">
        <f t="shared" si="36"/>
        <v>25.614270861177033</v>
      </c>
      <c r="AB87" s="199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0.12533391478669392</v>
      </c>
      <c r="AD87" s="233">
        <f>(INDEX(Models!$BJ87:$BT87,,AH87)*(1-AF87)+INDEX(Models!$BJ87:$BT87,,AH87+1)*AF87-ERP_i)*AE87*Ramure*Pc/MaxiM</f>
        <v>5.8039392665367017E-3</v>
      </c>
      <c r="AE87" s="307">
        <f t="shared" si="38"/>
        <v>0.9</v>
      </c>
      <c r="AF87" s="179">
        <f t="shared" si="39"/>
        <v>0.31467768759262071</v>
      </c>
      <c r="AG87" s="839">
        <f t="shared" si="47"/>
        <v>-1</v>
      </c>
      <c r="AH87" s="178">
        <f t="shared" si="40"/>
        <v>5</v>
      </c>
      <c r="AI87" s="227">
        <f t="shared" si="41"/>
        <v>-0.68532231240737929</v>
      </c>
      <c r="AJ87" s="267" t="b">
        <f t="shared" si="42"/>
        <v>1</v>
      </c>
      <c r="AK87" s="267" t="b">
        <f t="shared" si="43"/>
        <v>0</v>
      </c>
      <c r="AL87" s="267"/>
      <c r="AM87" s="267"/>
      <c r="AN87" s="75"/>
    </row>
    <row r="88" spans="1:40" s="6" customFormat="1" ht="11.25" x14ac:dyDescent="0.2">
      <c r="A88" s="56">
        <f t="shared" si="44"/>
        <v>44270</v>
      </c>
      <c r="B88" s="620">
        <v>15.933</v>
      </c>
      <c r="C88" s="392"/>
      <c r="D88" s="395">
        <f t="shared" si="24"/>
        <v>16.29182547370155</v>
      </c>
      <c r="E88" s="387">
        <f t="shared" si="45"/>
        <v>18.627308897234364</v>
      </c>
      <c r="F88" s="387">
        <f t="shared" si="25"/>
        <v>18.646878221648759</v>
      </c>
      <c r="G88" s="110">
        <f t="shared" si="46"/>
        <v>0.42543461867217858</v>
      </c>
      <c r="H88" s="416" t="b">
        <f>Wh_hp&gt;='2020'!Maxi_hp</f>
        <v>0</v>
      </c>
      <c r="I88" s="382">
        <f>IF(H88,Wh_hp,'2020'!Maxi_hp)</f>
        <v>32.044042478479284</v>
      </c>
      <c r="J88" s="85">
        <f>IF(H88,An,'2020'!An_max)</f>
        <v>2020</v>
      </c>
      <c r="K88" s="199">
        <f t="shared" si="26"/>
        <v>44270</v>
      </c>
      <c r="L88" s="147">
        <f>IF(t&lt;Tvie,1-EXP((T0-t)*PertePVj)+'2020'!Pspv,1-EXP((T0-t)*PertePVj)+Pspv)</f>
        <v>2.202487832200084E-2</v>
      </c>
      <c r="M88" s="872"/>
      <c r="N88" s="872"/>
      <c r="O88" s="48">
        <f>IF(t&lt;Tnet,'2020'!Resal+('2020'!Salim-'2020'!Resal)*(1-EXP(('2020'!Tnet-t)/('2020'!Tau_j))),Resal+(Salim-Resal)*(1-EXP((Tnet-t)/(Tau_j))))*Salcycl</f>
        <v>0.12537954013741442</v>
      </c>
      <c r="P88" s="171">
        <f>(INDEX(Models!$BJ88:$BT88,,T88)*(1-R88)+INDEX(Models!$BJ88:$BT88,,T88+1)*R88-ERP_i)*Q88*Ramure*Pc/MaxiM</f>
        <v>5.7639636656399923E-3</v>
      </c>
      <c r="Q88" s="307">
        <f t="shared" si="27"/>
        <v>0.9</v>
      </c>
      <c r="R88" s="179">
        <f t="shared" si="28"/>
        <v>0.31531993235363343</v>
      </c>
      <c r="S88" s="839">
        <f t="shared" si="29"/>
        <v>-1</v>
      </c>
      <c r="T88" s="178">
        <f t="shared" si="30"/>
        <v>5</v>
      </c>
      <c r="U88" s="253">
        <f t="shared" si="31"/>
        <v>-0.68468006764636657</v>
      </c>
      <c r="V88" s="385">
        <f t="shared" si="32"/>
        <v>37.27436449441106</v>
      </c>
      <c r="W88" s="404"/>
      <c r="X88" s="157">
        <f t="shared" si="33"/>
        <v>44270</v>
      </c>
      <c r="Y88" s="387">
        <f t="shared" si="34"/>
        <v>15.933</v>
      </c>
      <c r="Z88" s="387">
        <f t="shared" si="35"/>
        <v>16.29182547370155</v>
      </c>
      <c r="AA88" s="388">
        <f t="shared" si="36"/>
        <v>18.627308897234364</v>
      </c>
      <c r="AB88" s="199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0.12537954013741442</v>
      </c>
      <c r="AD88" s="233">
        <f>(INDEX(Models!$BJ88:$BT88,,AH88)*(1-AF88)+INDEX(Models!$BJ88:$BT88,,AH88+1)*AF88-ERP_i)*AE88*Ramure*Pc/MaxiM</f>
        <v>5.7639636656399923E-3</v>
      </c>
      <c r="AE88" s="307">
        <f t="shared" si="38"/>
        <v>0.9</v>
      </c>
      <c r="AF88" s="179">
        <f t="shared" si="39"/>
        <v>0.31531993235363343</v>
      </c>
      <c r="AG88" s="839">
        <f t="shared" si="47"/>
        <v>-1</v>
      </c>
      <c r="AH88" s="178">
        <f t="shared" si="40"/>
        <v>5</v>
      </c>
      <c r="AI88" s="227">
        <f t="shared" si="41"/>
        <v>-0.68468006764636657</v>
      </c>
      <c r="AJ88" s="267" t="b">
        <f t="shared" si="42"/>
        <v>1</v>
      </c>
      <c r="AK88" s="267" t="b">
        <f t="shared" si="43"/>
        <v>0</v>
      </c>
      <c r="AL88" s="267"/>
      <c r="AM88" s="267"/>
      <c r="AN88" s="75"/>
    </row>
    <row r="89" spans="1:40" s="6" customFormat="1" ht="11.25" x14ac:dyDescent="0.2">
      <c r="A89" s="56">
        <f t="shared" si="44"/>
        <v>44271</v>
      </c>
      <c r="B89" s="620">
        <v>28.667999999999999</v>
      </c>
      <c r="C89" s="392"/>
      <c r="D89" s="395">
        <f t="shared" si="24"/>
        <v>29.314311301270823</v>
      </c>
      <c r="E89" s="387">
        <f t="shared" si="45"/>
        <v>33.518374370829555</v>
      </c>
      <c r="F89" s="387">
        <f t="shared" si="25"/>
        <v>33.645193491548689</v>
      </c>
      <c r="G89" s="110">
        <f t="shared" si="46"/>
        <v>0.75958535933967353</v>
      </c>
      <c r="H89" s="416" t="b">
        <f>Wh_hp&gt;='2020'!Maxi_hp</f>
        <v>0</v>
      </c>
      <c r="I89" s="382">
        <f>IF(H89,Wh_hp,'2020'!Maxi_hp)</f>
        <v>45.869563285625219</v>
      </c>
      <c r="J89" s="85">
        <f>IF(H89,An,'2020'!An_max)</f>
        <v>2020</v>
      </c>
      <c r="K89" s="199">
        <f t="shared" si="26"/>
        <v>44271</v>
      </c>
      <c r="L89" s="147">
        <f>IF(t&lt;Tvie,1-EXP((T0-t)*PertePVj)+'2020'!Pspv,1-EXP((T0-t)*PertePVj)+Pspv)</f>
        <v>2.2047637231811912E-2</v>
      </c>
      <c r="M89" s="872"/>
      <c r="N89" s="872"/>
      <c r="O89" s="48">
        <f>IF(t&lt;Tnet,'2020'!Resal+('2020'!Salim-'2020'!Resal)*(1-EXP(('2020'!Tnet-t)/('2020'!Tau_j))),Resal+(Salim-Resal)*(1-EXP((Tnet-t)/(Tau_j))))*Salcycl</f>
        <v>0.12542562545090058</v>
      </c>
      <c r="P89" s="171">
        <f>(INDEX(Models!$BJ89:$BT89,,T89)*(1-R89)+INDEX(Models!$BJ89:$BT89,,T89+1)*R89-ERP_i)*Q89*Ramure*Pc/MaxiM</f>
        <v>5.7225000462658117E-3</v>
      </c>
      <c r="Q89" s="307">
        <f t="shared" si="27"/>
        <v>0.9</v>
      </c>
      <c r="R89" s="179">
        <f t="shared" si="28"/>
        <v>0.3159876234587472</v>
      </c>
      <c r="S89" s="839">
        <f t="shared" si="29"/>
        <v>-1</v>
      </c>
      <c r="T89" s="178">
        <f t="shared" si="30"/>
        <v>5</v>
      </c>
      <c r="U89" s="253">
        <f t="shared" si="31"/>
        <v>-0.6840123765412528</v>
      </c>
      <c r="V89" s="385">
        <f t="shared" si="32"/>
        <v>37.667648146806094</v>
      </c>
      <c r="W89" s="404"/>
      <c r="X89" s="157">
        <f t="shared" si="33"/>
        <v>44271</v>
      </c>
      <c r="Y89" s="387">
        <f t="shared" si="34"/>
        <v>28.667999999999999</v>
      </c>
      <c r="Z89" s="387">
        <f t="shared" si="35"/>
        <v>29.314311301270823</v>
      </c>
      <c r="AA89" s="388">
        <f t="shared" si="36"/>
        <v>33.518374370829555</v>
      </c>
      <c r="AB89" s="199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0.12542562545090058</v>
      </c>
      <c r="AD89" s="233">
        <f>(INDEX(Models!$BJ89:$BT89,,AH89)*(1-AF89)+INDEX(Models!$BJ89:$BT89,,AH89+1)*AF89-ERP_i)*AE89*Ramure*Pc/MaxiM</f>
        <v>5.7225000462658117E-3</v>
      </c>
      <c r="AE89" s="307">
        <f t="shared" si="38"/>
        <v>0.9</v>
      </c>
      <c r="AF89" s="179">
        <f t="shared" si="39"/>
        <v>0.3159876234587472</v>
      </c>
      <c r="AG89" s="839">
        <f t="shared" si="47"/>
        <v>-1</v>
      </c>
      <c r="AH89" s="178">
        <f t="shared" si="40"/>
        <v>5</v>
      </c>
      <c r="AI89" s="227">
        <f t="shared" si="41"/>
        <v>-0.6840123765412528</v>
      </c>
      <c r="AJ89" s="267" t="b">
        <f t="shared" si="42"/>
        <v>1</v>
      </c>
      <c r="AK89" s="267" t="b">
        <f t="shared" si="43"/>
        <v>0</v>
      </c>
      <c r="AL89" s="267"/>
      <c r="AM89" s="267"/>
      <c r="AN89" s="75"/>
    </row>
    <row r="90" spans="1:40" s="6" customFormat="1" ht="11.25" x14ac:dyDescent="0.2">
      <c r="A90" s="56">
        <f t="shared" si="44"/>
        <v>44272</v>
      </c>
      <c r="B90" s="620">
        <v>21.314</v>
      </c>
      <c r="C90" s="392"/>
      <c r="D90" s="395">
        <f t="shared" si="24"/>
        <v>21.795024820153937</v>
      </c>
      <c r="E90" s="387">
        <f t="shared" si="45"/>
        <v>24.922050072308014</v>
      </c>
      <c r="F90" s="387">
        <f t="shared" si="25"/>
        <v>24.974741617292128</v>
      </c>
      <c r="G90" s="110">
        <f t="shared" si="46"/>
        <v>0.5580204026237654</v>
      </c>
      <c r="H90" s="416" t="b">
        <f>Wh_hp&gt;='2020'!Maxi_hp</f>
        <v>1</v>
      </c>
      <c r="I90" s="382">
        <f>IF(H90,Wh_hp,'2020'!Maxi_hp)</f>
        <v>24.974741617292128</v>
      </c>
      <c r="J90" s="85">
        <f>IF(H90,An,'2020'!An_max)</f>
        <v>2021</v>
      </c>
      <c r="K90" s="199">
        <f t="shared" si="26"/>
        <v>44272</v>
      </c>
      <c r="L90" s="147">
        <f>IF(t&lt;Tvie,1-EXP((T0-t)*PertePVj)+'2020'!Pspv,1-EXP((T0-t)*PertePVj)+Pspv)</f>
        <v>2.2070395611989979E-2</v>
      </c>
      <c r="M90" s="872"/>
      <c r="N90" s="872"/>
      <c r="O90" s="48">
        <f>IF(t&lt;Tnet,'2020'!Resal+('2020'!Salim-'2020'!Resal)*(1-EXP(('2020'!Tnet-t)/('2020'!Tau_j))),Resal+(Salim-Resal)*(1-EXP((Tnet-t)/(Tau_j))))*Salcycl</f>
        <v>0.12547223214307929</v>
      </c>
      <c r="P90" s="171">
        <f>(INDEX(Models!$BJ90:$BT90,,T90)*(1-R90)+INDEX(Models!$BJ90:$BT90,,T90+1)*R90-ERP_i)*Q90*Ramure*Pc/MaxiM</f>
        <v>5.6796918223381175E-3</v>
      </c>
      <c r="Q90" s="307">
        <f t="shared" si="27"/>
        <v>0.9</v>
      </c>
      <c r="R90" s="179">
        <f t="shared" si="28"/>
        <v>0.31668170574732413</v>
      </c>
      <c r="S90" s="839">
        <f t="shared" si="29"/>
        <v>-1</v>
      </c>
      <c r="T90" s="178">
        <f t="shared" si="30"/>
        <v>5</v>
      </c>
      <c r="U90" s="253">
        <f t="shared" si="31"/>
        <v>-0.68331829425267587</v>
      </c>
      <c r="V90" s="385">
        <f t="shared" si="32"/>
        <v>38.059092846863521</v>
      </c>
      <c r="W90" s="404"/>
      <c r="X90" s="157">
        <f t="shared" si="33"/>
        <v>44272</v>
      </c>
      <c r="Y90" s="387">
        <f t="shared" si="34"/>
        <v>21.314</v>
      </c>
      <c r="Z90" s="387">
        <f t="shared" si="35"/>
        <v>21.795024820153937</v>
      </c>
      <c r="AA90" s="388">
        <f t="shared" si="36"/>
        <v>24.922050072308014</v>
      </c>
      <c r="AB90" s="199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0.12547223214307929</v>
      </c>
      <c r="AD90" s="233">
        <f>(INDEX(Models!$BJ90:$BT90,,AH90)*(1-AF90)+INDEX(Models!$BJ90:$BT90,,AH90+1)*AF90-ERP_i)*AE90*Ramure*Pc/MaxiM</f>
        <v>5.6796918223381175E-3</v>
      </c>
      <c r="AE90" s="307">
        <f t="shared" si="38"/>
        <v>0.9</v>
      </c>
      <c r="AF90" s="179">
        <f t="shared" si="39"/>
        <v>0.31668170574732413</v>
      </c>
      <c r="AG90" s="839">
        <f t="shared" si="47"/>
        <v>-1</v>
      </c>
      <c r="AH90" s="178">
        <f t="shared" si="40"/>
        <v>5</v>
      </c>
      <c r="AI90" s="227">
        <f t="shared" si="41"/>
        <v>-0.68331829425267587</v>
      </c>
      <c r="AJ90" s="267" t="b">
        <f t="shared" si="42"/>
        <v>1</v>
      </c>
      <c r="AK90" s="267" t="b">
        <f t="shared" si="43"/>
        <v>0</v>
      </c>
      <c r="AL90" s="267"/>
      <c r="AM90" s="267"/>
      <c r="AN90" s="75"/>
    </row>
    <row r="91" spans="1:40" s="6" customFormat="1" ht="11.25" x14ac:dyDescent="0.2">
      <c r="A91" s="56">
        <f t="shared" si="44"/>
        <v>44273</v>
      </c>
      <c r="B91" s="620">
        <v>16.925000000000001</v>
      </c>
      <c r="C91" s="392"/>
      <c r="D91" s="395">
        <f t="shared" si="24"/>
        <v>17.307374480429914</v>
      </c>
      <c r="E91" s="387">
        <f t="shared" si="45"/>
        <v>19.791605373585579</v>
      </c>
      <c r="F91" s="387">
        <f t="shared" si="25"/>
        <v>19.813970868172625</v>
      </c>
      <c r="G91" s="110">
        <f t="shared" si="46"/>
        <v>0.438217377415485</v>
      </c>
      <c r="H91" s="416" t="b">
        <f>Wh_hp&gt;='2020'!Maxi_hp</f>
        <v>0</v>
      </c>
      <c r="I91" s="382">
        <f>IF(H91,Wh_hp,'2020'!Maxi_hp)</f>
        <v>30.155899568656967</v>
      </c>
      <c r="J91" s="85">
        <f>IF(H91,An,'2020'!An_max)</f>
        <v>2019</v>
      </c>
      <c r="K91" s="199">
        <f t="shared" si="26"/>
        <v>44273</v>
      </c>
      <c r="L91" s="147">
        <f>IF(t&lt;Tvie,1-EXP((T0-t)*PertePVj)+'2020'!Pspv,1-EXP((T0-t)*PertePVj)+Pspv)</f>
        <v>2.2093153462547366E-2</v>
      </c>
      <c r="M91" s="872"/>
      <c r="N91" s="872"/>
      <c r="O91" s="48">
        <f>IF(t&lt;Tnet,'2020'!Resal+('2020'!Salim-'2020'!Resal)*(1-EXP(('2020'!Tnet-t)/('2020'!Tau_j))),Resal+(Salim-Resal)*(1-EXP((Tnet-t)/(Tau_j))))*Salcycl</f>
        <v>0.12551942332435487</v>
      </c>
      <c r="P91" s="171">
        <f>(INDEX(Models!$BJ91:$BT91,,T91)*(1-R91)+INDEX(Models!$BJ91:$BT91,,T91+1)*R91-ERP_i)*Q91*Ramure*Pc/MaxiM</f>
        <v>5.6356750486995675E-3</v>
      </c>
      <c r="Q91" s="307">
        <f t="shared" si="27"/>
        <v>0.9</v>
      </c>
      <c r="R91" s="179">
        <f t="shared" si="28"/>
        <v>0.31740315388749507</v>
      </c>
      <c r="S91" s="839">
        <f t="shared" si="29"/>
        <v>-1</v>
      </c>
      <c r="T91" s="178">
        <f t="shared" si="30"/>
        <v>5</v>
      </c>
      <c r="U91" s="253">
        <f t="shared" si="31"/>
        <v>-0.68259684611250493</v>
      </c>
      <c r="V91" s="385">
        <f t="shared" si="32"/>
        <v>38.448120426552748</v>
      </c>
      <c r="W91" s="404"/>
      <c r="X91" s="157">
        <f t="shared" si="33"/>
        <v>44273</v>
      </c>
      <c r="Y91" s="387">
        <f t="shared" si="34"/>
        <v>16.925000000000001</v>
      </c>
      <c r="Z91" s="387">
        <f t="shared" si="35"/>
        <v>17.307374480429914</v>
      </c>
      <c r="AA91" s="388">
        <f t="shared" si="36"/>
        <v>19.791605373585579</v>
      </c>
      <c r="AB91" s="199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0.12551942332435487</v>
      </c>
      <c r="AD91" s="233">
        <f>(INDEX(Models!$BJ91:$BT91,,AH91)*(1-AF91)+INDEX(Models!$BJ91:$BT91,,AH91+1)*AF91-ERP_i)*AE91*Ramure*Pc/MaxiM</f>
        <v>5.6356750486995675E-3</v>
      </c>
      <c r="AE91" s="307">
        <f t="shared" si="38"/>
        <v>0.9</v>
      </c>
      <c r="AF91" s="179">
        <f t="shared" si="39"/>
        <v>0.31740315388749507</v>
      </c>
      <c r="AG91" s="839">
        <f t="shared" si="47"/>
        <v>-1</v>
      </c>
      <c r="AH91" s="178">
        <f t="shared" si="40"/>
        <v>5</v>
      </c>
      <c r="AI91" s="227">
        <f t="shared" si="41"/>
        <v>-0.68259684611250493</v>
      </c>
      <c r="AJ91" s="267" t="b">
        <f t="shared" si="42"/>
        <v>1</v>
      </c>
      <c r="AK91" s="267" t="b">
        <f t="shared" si="43"/>
        <v>0</v>
      </c>
      <c r="AL91" s="267"/>
      <c r="AM91" s="267"/>
      <c r="AN91" s="75"/>
    </row>
    <row r="92" spans="1:40" s="6" customFormat="1" ht="11.25" x14ac:dyDescent="0.2">
      <c r="A92" s="56">
        <f t="shared" si="44"/>
        <v>44274</v>
      </c>
      <c r="B92" s="620">
        <v>11.249000000000001</v>
      </c>
      <c r="C92" s="392"/>
      <c r="D92" s="395">
        <f t="shared" si="24"/>
        <v>11.503408352837479</v>
      </c>
      <c r="E92" s="387">
        <f t="shared" si="45"/>
        <v>13.155280988264222</v>
      </c>
      <c r="F92" s="387">
        <f t="shared" si="25"/>
        <v>13.155280988264222</v>
      </c>
      <c r="G92" s="110">
        <f t="shared" si="46"/>
        <v>0.28804829798440118</v>
      </c>
      <c r="H92" s="416" t="b">
        <f>Wh_hp&gt;='2020'!Maxi_hp</f>
        <v>0</v>
      </c>
      <c r="I92" s="382">
        <f>IF(H92,Wh_hp,'2020'!Maxi_hp)</f>
        <v>42.600345506877346</v>
      </c>
      <c r="J92" s="85">
        <f>IF(H92,An,'2020'!An_max)</f>
        <v>2020</v>
      </c>
      <c r="K92" s="199">
        <f t="shared" si="26"/>
        <v>44274</v>
      </c>
      <c r="L92" s="147">
        <f>IF(t&lt;Tvie,1-EXP((T0-t)*PertePVj)+'2020'!Pspv,1-EXP((T0-t)*PertePVj)+Pspv)</f>
        <v>2.2115910783496173E-2</v>
      </c>
      <c r="M92" s="872"/>
      <c r="N92" s="872"/>
      <c r="O92" s="48">
        <f>IF(t&lt;Tnet,'2020'!Resal+('2020'!Salim-'2020'!Resal)*(1-EXP(('2020'!Tnet-t)/('2020'!Tau_j))),Resal+(Salim-Resal)*(1-EXP((Tnet-t)/(Tau_j))))*Salcycl</f>
        <v>0.12556726358793646</v>
      </c>
      <c r="P92" s="171">
        <f>(INDEX(Models!$BJ92:$BT92,,T92)*(1-R92)+INDEX(Models!$BJ92:$BT92,,T92+1)*R92-ERP_i)*Q92*Ramure*Pc/MaxiM</f>
        <v>5.5905787680644364E-3</v>
      </c>
      <c r="Q92" s="307">
        <f t="shared" si="27"/>
        <v>0.9</v>
      </c>
      <c r="R92" s="179">
        <f t="shared" si="28"/>
        <v>0.31815297287414734</v>
      </c>
      <c r="S92" s="839">
        <f t="shared" si="29"/>
        <v>-1</v>
      </c>
      <c r="T92" s="178">
        <f t="shared" si="30"/>
        <v>5</v>
      </c>
      <c r="U92" s="253">
        <f t="shared" si="31"/>
        <v>-0.68184702712585266</v>
      </c>
      <c r="V92" s="385">
        <f t="shared" si="32"/>
        <v>38.834152667146853</v>
      </c>
      <c r="W92" s="404"/>
      <c r="X92" s="157">
        <f t="shared" si="33"/>
        <v>44274</v>
      </c>
      <c r="Y92" s="387">
        <f t="shared" si="34"/>
        <v>11.249000000000001</v>
      </c>
      <c r="Z92" s="387">
        <f t="shared" si="35"/>
        <v>11.503408352837479</v>
      </c>
      <c r="AA92" s="388">
        <f t="shared" si="36"/>
        <v>13.155280988264222</v>
      </c>
      <c r="AB92" s="199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0.12556726358793646</v>
      </c>
      <c r="AD92" s="233">
        <f>(INDEX(Models!$BJ92:$BT92,,AH92)*(1-AF92)+INDEX(Models!$BJ92:$BT92,,AH92+1)*AF92-ERP_i)*AE92*Ramure*Pc/MaxiM</f>
        <v>5.5905787680644364E-3</v>
      </c>
      <c r="AE92" s="307">
        <f t="shared" si="38"/>
        <v>0.9</v>
      </c>
      <c r="AF92" s="179">
        <f t="shared" si="39"/>
        <v>0.31815297287414734</v>
      </c>
      <c r="AG92" s="839">
        <f t="shared" si="47"/>
        <v>-1</v>
      </c>
      <c r="AH92" s="178">
        <f t="shared" si="40"/>
        <v>5</v>
      </c>
      <c r="AI92" s="227">
        <f t="shared" si="41"/>
        <v>-0.68184702712585266</v>
      </c>
      <c r="AJ92" s="267" t="b">
        <f t="shared" si="42"/>
        <v>1</v>
      </c>
      <c r="AK92" s="267" t="b">
        <f t="shared" si="43"/>
        <v>0</v>
      </c>
      <c r="AL92" s="267"/>
      <c r="AM92" s="267"/>
      <c r="AN92" s="75"/>
    </row>
    <row r="93" spans="1:40" s="6" customFormat="1" ht="11.25" x14ac:dyDescent="0.2">
      <c r="A93" s="56">
        <f t="shared" si="44"/>
        <v>44275</v>
      </c>
      <c r="B93" s="620">
        <v>32.963999999999999</v>
      </c>
      <c r="C93" s="392"/>
      <c r="D93" s="395">
        <f t="shared" si="24"/>
        <v>33.710301151030713</v>
      </c>
      <c r="E93" s="387">
        <f t="shared" si="45"/>
        <v>38.553191921445048</v>
      </c>
      <c r="F93" s="387">
        <f t="shared" si="25"/>
        <v>38.718939838027275</v>
      </c>
      <c r="G93" s="110">
        <f t="shared" si="46"/>
        <v>0.83942948135185591</v>
      </c>
      <c r="H93" s="416" t="b">
        <f>Wh_hp&gt;='2020'!Maxi_hp</f>
        <v>0</v>
      </c>
      <c r="I93" s="382">
        <f>IF(H93,Wh_hp,'2020'!Maxi_hp)</f>
        <v>46.71339553405334</v>
      </c>
      <c r="J93" s="85">
        <f>IF(H93,An,'2020'!An_max)</f>
        <v>2019</v>
      </c>
      <c r="K93" s="199">
        <f t="shared" si="26"/>
        <v>44275</v>
      </c>
      <c r="L93" s="147">
        <f>IF(t&lt;Tvie,1-EXP((T0-t)*PertePVj)+'2020'!Pspv,1-EXP((T0-t)*PertePVj)+Pspv)</f>
        <v>2.2138667574848947E-2</v>
      </c>
      <c r="M93" s="872"/>
      <c r="N93" s="872"/>
      <c r="O93" s="48">
        <f>IF(t&lt;Tnet,'2020'!Resal+('2020'!Salim-'2020'!Resal)*(1-EXP(('2020'!Tnet-t)/('2020'!Tau_j))),Resal+(Salim-Resal)*(1-EXP((Tnet-t)/(Tau_j))))*Salcycl</f>
        <v>0.12561581879606956</v>
      </c>
      <c r="P93" s="171">
        <f>(INDEX(Models!$BJ93:$BT93,,T93)*(1-R93)+INDEX(Models!$BJ93:$BT93,,T93+1)*R93-ERP_i)*Q93*Ramure*Pc/MaxiM</f>
        <v>5.5440904328286937E-3</v>
      </c>
      <c r="Q93" s="307">
        <f t="shared" si="27"/>
        <v>0.9</v>
      </c>
      <c r="R93" s="179">
        <f t="shared" si="28"/>
        <v>0.31893219849381305</v>
      </c>
      <c r="S93" s="839">
        <f t="shared" si="29"/>
        <v>-1</v>
      </c>
      <c r="T93" s="178">
        <f t="shared" si="30"/>
        <v>5</v>
      </c>
      <c r="U93" s="253">
        <f t="shared" si="31"/>
        <v>-0.68106780150618695</v>
      </c>
      <c r="V93" s="385">
        <f t="shared" si="32"/>
        <v>39.219706348116524</v>
      </c>
      <c r="W93" s="404"/>
      <c r="X93" s="157">
        <f t="shared" si="33"/>
        <v>44275</v>
      </c>
      <c r="Y93" s="387">
        <f t="shared" si="34"/>
        <v>32.963999999999999</v>
      </c>
      <c r="Z93" s="387">
        <f t="shared" si="35"/>
        <v>33.710301151030713</v>
      </c>
      <c r="AA93" s="388">
        <f t="shared" si="36"/>
        <v>38.553191921445048</v>
      </c>
      <c r="AB93" s="199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0.12561581879606956</v>
      </c>
      <c r="AD93" s="233">
        <f>(INDEX(Models!$BJ93:$BT93,,AH93)*(1-AF93)+INDEX(Models!$BJ93:$BT93,,AH93+1)*AF93-ERP_i)*AE93*Ramure*Pc/MaxiM</f>
        <v>5.5440904328286937E-3</v>
      </c>
      <c r="AE93" s="307">
        <f t="shared" si="38"/>
        <v>0.9</v>
      </c>
      <c r="AF93" s="179">
        <f t="shared" si="39"/>
        <v>0.31893219849381305</v>
      </c>
      <c r="AG93" s="839">
        <f t="shared" si="47"/>
        <v>-1</v>
      </c>
      <c r="AH93" s="178">
        <f t="shared" si="40"/>
        <v>5</v>
      </c>
      <c r="AI93" s="227">
        <f t="shared" si="41"/>
        <v>-0.68106780150618695</v>
      </c>
      <c r="AJ93" s="267" t="b">
        <f t="shared" si="42"/>
        <v>1</v>
      </c>
      <c r="AK93" s="267" t="b">
        <f t="shared" si="43"/>
        <v>0</v>
      </c>
      <c r="AL93" s="267"/>
      <c r="AM93" s="267"/>
      <c r="AN93" s="75"/>
    </row>
    <row r="94" spans="1:40" s="6" customFormat="1" ht="11.25" x14ac:dyDescent="0.2">
      <c r="A94" s="56">
        <f t="shared" si="44"/>
        <v>44276</v>
      </c>
      <c r="B94" s="620">
        <v>34.633000000000003</v>
      </c>
      <c r="C94" s="392"/>
      <c r="D94" s="395">
        <f t="shared" si="24"/>
        <v>35.417911344718064</v>
      </c>
      <c r="E94" s="387">
        <f t="shared" si="45"/>
        <v>40.508406570239714</v>
      </c>
      <c r="F94" s="387">
        <f t="shared" si="25"/>
        <v>40.691853995928554</v>
      </c>
      <c r="G94" s="110">
        <f t="shared" si="46"/>
        <v>0.87354479904780502</v>
      </c>
      <c r="H94" s="416" t="b">
        <f>Wh_hp&gt;='2020'!Maxi_hp</f>
        <v>0</v>
      </c>
      <c r="I94" s="382">
        <f>IF(H94,Wh_hp,'2020'!Maxi_hp)</f>
        <v>47.074007170656884</v>
      </c>
      <c r="J94" s="85">
        <f>IF(H94,An,'2020'!An_max)</f>
        <v>2020</v>
      </c>
      <c r="K94" s="199">
        <f t="shared" si="26"/>
        <v>44276</v>
      </c>
      <c r="L94" s="147">
        <f>IF(t&lt;Tvie,1-EXP((T0-t)*PertePVj)+'2020'!Pspv,1-EXP((T0-t)*PertePVj)+Pspv)</f>
        <v>2.2161423836618011E-2</v>
      </c>
      <c r="M94" s="872"/>
      <c r="N94" s="872"/>
      <c r="O94" s="48">
        <f>IF(t&lt;Tnet,'2020'!Resal+('2020'!Salim-'2020'!Resal)*(1-EXP(('2020'!Tnet-t)/('2020'!Tau_j))),Resal+(Salim-Resal)*(1-EXP((Tnet-t)/(Tau_j))))*Salcycl</f>
        <v>0.12566515586573276</v>
      </c>
      <c r="P94" s="171">
        <f>(INDEX(Models!$BJ94:$BT94,,T94)*(1-R94)+INDEX(Models!$BJ94:$BT94,,T94+1)*R94-ERP_i)*Q94*Ramure*Pc/MaxiM</f>
        <v>5.4938873096066609E-3</v>
      </c>
      <c r="Q94" s="307">
        <f t="shared" si="27"/>
        <v>0.9</v>
      </c>
      <c r="R94" s="179">
        <f t="shared" si="28"/>
        <v>0.31974189775168904</v>
      </c>
      <c r="S94" s="839">
        <f t="shared" si="29"/>
        <v>-1</v>
      </c>
      <c r="T94" s="178">
        <f t="shared" si="30"/>
        <v>5</v>
      </c>
      <c r="U94" s="253">
        <f t="shared" si="31"/>
        <v>-0.68025810224831096</v>
      </c>
      <c r="V94" s="385">
        <f t="shared" si="32"/>
        <v>39.6072513786632</v>
      </c>
      <c r="W94" s="404"/>
      <c r="X94" s="157">
        <f t="shared" si="33"/>
        <v>44276</v>
      </c>
      <c r="Y94" s="387">
        <f t="shared" si="34"/>
        <v>34.633000000000003</v>
      </c>
      <c r="Z94" s="387">
        <f t="shared" si="35"/>
        <v>35.417911344718064</v>
      </c>
      <c r="AA94" s="388">
        <f t="shared" si="36"/>
        <v>40.508406570239714</v>
      </c>
      <c r="AB94" s="199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0.12566515586573276</v>
      </c>
      <c r="AD94" s="233">
        <f>(INDEX(Models!$BJ94:$BT94,,AH94)*(1-AF94)+INDEX(Models!$BJ94:$BT94,,AH94+1)*AF94-ERP_i)*AE94*Ramure*Pc/MaxiM</f>
        <v>5.4938873096066609E-3</v>
      </c>
      <c r="AE94" s="307">
        <f t="shared" si="38"/>
        <v>0.9</v>
      </c>
      <c r="AF94" s="179">
        <f t="shared" si="39"/>
        <v>0.31974189775168904</v>
      </c>
      <c r="AG94" s="839">
        <f t="shared" si="47"/>
        <v>-1</v>
      </c>
      <c r="AH94" s="178">
        <f t="shared" si="40"/>
        <v>5</v>
      </c>
      <c r="AI94" s="227">
        <f t="shared" si="41"/>
        <v>-0.68025810224831096</v>
      </c>
      <c r="AJ94" s="267" t="b">
        <f t="shared" si="42"/>
        <v>1</v>
      </c>
      <c r="AK94" s="267" t="b">
        <f t="shared" si="43"/>
        <v>0</v>
      </c>
      <c r="AL94" s="267"/>
      <c r="AM94" s="267"/>
      <c r="AN94" s="75"/>
    </row>
    <row r="95" spans="1:40" s="6" customFormat="1" ht="11.25" x14ac:dyDescent="0.2">
      <c r="A95" s="56">
        <f t="shared" si="44"/>
        <v>44277</v>
      </c>
      <c r="B95" s="620">
        <v>32.366999999999997</v>
      </c>
      <c r="C95" s="392"/>
      <c r="D95" s="395">
        <f t="shared" si="24"/>
        <v>33.101325754503769</v>
      </c>
      <c r="E95" s="387">
        <f t="shared" si="45"/>
        <v>37.861039276668187</v>
      </c>
      <c r="F95" s="387">
        <f t="shared" si="25"/>
        <v>38.011450397693253</v>
      </c>
      <c r="G95" s="110">
        <f t="shared" si="46"/>
        <v>0.80805052149755108</v>
      </c>
      <c r="H95" s="416" t="b">
        <f>Wh_hp&gt;='2020'!Maxi_hp</f>
        <v>0</v>
      </c>
      <c r="I95" s="382">
        <f>IF(H95,Wh_hp,'2020'!Maxi_hp)</f>
        <v>46.536327342743263</v>
      </c>
      <c r="J95" s="85">
        <f>IF(H95,An,'2020'!An_max)</f>
        <v>2020</v>
      </c>
      <c r="K95" s="199">
        <f t="shared" si="26"/>
        <v>44277</v>
      </c>
      <c r="L95" s="147">
        <f>IF(t&lt;Tvie,1-EXP((T0-t)*PertePVj)+'2020'!Pspv,1-EXP((T0-t)*PertePVj)+Pspv)</f>
        <v>2.2184179568815576E-2</v>
      </c>
      <c r="M95" s="872"/>
      <c r="N95" s="872"/>
      <c r="O95" s="48">
        <f>IF(t&lt;Tnet,'2020'!Resal+('2020'!Salim-'2020'!Resal)*(1-EXP(('2020'!Tnet-t)/('2020'!Tau_j))),Resal+(Salim-Resal)*(1-EXP((Tnet-t)/(Tau_j))))*Salcycl</f>
        <v>0.1257153425552579</v>
      </c>
      <c r="P95" s="171">
        <f>(INDEX(Models!$BJ95:$BT95,,T95)*(1-R95)+INDEX(Models!$BJ95:$BT95,,T95+1)*R95-ERP_i)*Q95*Ramure*Pc/MaxiM</f>
        <v>5.4391182360828422E-3</v>
      </c>
      <c r="Q95" s="307">
        <f t="shared" si="27"/>
        <v>0.9</v>
      </c>
      <c r="R95" s="179">
        <f t="shared" si="28"/>
        <v>0.32058316925566166</v>
      </c>
      <c r="S95" s="839">
        <f t="shared" si="29"/>
        <v>-1</v>
      </c>
      <c r="T95" s="178">
        <f t="shared" si="30"/>
        <v>5</v>
      </c>
      <c r="U95" s="253">
        <f t="shared" si="31"/>
        <v>-0.67941683074433834</v>
      </c>
      <c r="V95" s="385">
        <f t="shared" si="32"/>
        <v>39.99606049419927</v>
      </c>
      <c r="W95" s="404"/>
      <c r="X95" s="157">
        <f t="shared" si="33"/>
        <v>44277</v>
      </c>
      <c r="Y95" s="387">
        <f t="shared" si="34"/>
        <v>32.366999999999997</v>
      </c>
      <c r="Z95" s="387">
        <f t="shared" si="35"/>
        <v>33.101325754503769</v>
      </c>
      <c r="AA95" s="388">
        <f t="shared" si="36"/>
        <v>37.861039276668187</v>
      </c>
      <c r="AB95" s="199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0.1257153425552579</v>
      </c>
      <c r="AD95" s="233">
        <f>(INDEX(Models!$BJ95:$BT95,,AH95)*(1-AF95)+INDEX(Models!$BJ95:$BT95,,AH95+1)*AF95-ERP_i)*AE95*Ramure*Pc/MaxiM</f>
        <v>5.4391182360828422E-3</v>
      </c>
      <c r="AE95" s="307">
        <f t="shared" si="38"/>
        <v>0.9</v>
      </c>
      <c r="AF95" s="179">
        <f t="shared" si="39"/>
        <v>0.32058316925566166</v>
      </c>
      <c r="AG95" s="839">
        <f t="shared" si="47"/>
        <v>-1</v>
      </c>
      <c r="AH95" s="178">
        <f t="shared" si="40"/>
        <v>5</v>
      </c>
      <c r="AI95" s="227">
        <f t="shared" si="41"/>
        <v>-0.67941683074433834</v>
      </c>
      <c r="AJ95" s="267" t="b">
        <f t="shared" si="42"/>
        <v>1</v>
      </c>
      <c r="AK95" s="267" t="b">
        <f t="shared" si="43"/>
        <v>0</v>
      </c>
      <c r="AL95" s="267"/>
      <c r="AM95" s="267"/>
      <c r="AN95" s="75"/>
    </row>
    <row r="96" spans="1:40" s="6" customFormat="1" ht="11.25" x14ac:dyDescent="0.2">
      <c r="A96" s="56">
        <f t="shared" si="44"/>
        <v>44278</v>
      </c>
      <c r="B96" s="620">
        <v>40.332000000000001</v>
      </c>
      <c r="C96" s="392"/>
      <c r="D96" s="395">
        <f t="shared" si="24"/>
        <v>41.247991455710455</v>
      </c>
      <c r="E96" s="387">
        <f t="shared" si="45"/>
        <v>47.181890155224394</v>
      </c>
      <c r="F96" s="387">
        <f t="shared" si="25"/>
        <v>47.436618423189778</v>
      </c>
      <c r="G96" s="110">
        <f t="shared" si="46"/>
        <v>0.99866844612017425</v>
      </c>
      <c r="H96" s="416" t="b">
        <f>Wh_hp&gt;='2020'!Maxi_hp</f>
        <v>1</v>
      </c>
      <c r="I96" s="382">
        <f>IF(H96,Wh_hp,'2020'!Maxi_hp)</f>
        <v>47.436618423189778</v>
      </c>
      <c r="J96" s="85">
        <f>IF(H96,An,'2020'!An_max)</f>
        <v>2021</v>
      </c>
      <c r="K96" s="199">
        <f t="shared" si="26"/>
        <v>44278</v>
      </c>
      <c r="L96" s="147">
        <f>IF(t&lt;Tvie,1-EXP((T0-t)*PertePVj)+'2020'!Pspv,1-EXP((T0-t)*PertePVj)+Pspv)</f>
        <v>2.2206934771453968E-2</v>
      </c>
      <c r="M96" s="872"/>
      <c r="N96" s="872"/>
      <c r="O96" s="48">
        <f>IF(t&lt;Tnet,'2020'!Resal+('2020'!Salim-'2020'!Resal)*(1-EXP(('2020'!Tnet-t)/('2020'!Tau_j))),Resal+(Salim-Resal)*(1-EXP((Tnet-t)/(Tau_j))))*Salcycl</f>
        <v>0.12576644725321334</v>
      </c>
      <c r="P96" s="171">
        <f>(INDEX(Models!$BJ96:$BT96,,T96)*(1-R96)+INDEX(Models!$BJ96:$BT96,,T96+1)*R96-ERP_i)*Q96*Ramure*Pc/MaxiM</f>
        <v>5.3800212649851758E-3</v>
      </c>
      <c r="Q96" s="307">
        <f t="shared" si="27"/>
        <v>0.9</v>
      </c>
      <c r="R96" s="179">
        <f t="shared" si="28"/>
        <v>0.3214571435518544</v>
      </c>
      <c r="S96" s="839">
        <f t="shared" si="29"/>
        <v>-1</v>
      </c>
      <c r="T96" s="178">
        <f t="shared" si="30"/>
        <v>5</v>
      </c>
      <c r="U96" s="253">
        <f t="shared" si="31"/>
        <v>-0.6785428564481456</v>
      </c>
      <c r="V96" s="385">
        <f t="shared" si="32"/>
        <v>40.385363479936586</v>
      </c>
      <c r="W96" s="404"/>
      <c r="X96" s="157">
        <f t="shared" si="33"/>
        <v>44278</v>
      </c>
      <c r="Y96" s="387">
        <f t="shared" si="34"/>
        <v>40.332000000000001</v>
      </c>
      <c r="Z96" s="387">
        <f t="shared" si="35"/>
        <v>41.247991455710455</v>
      </c>
      <c r="AA96" s="388">
        <f t="shared" si="36"/>
        <v>47.181890155224394</v>
      </c>
      <c r="AB96" s="199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0.12576644725321334</v>
      </c>
      <c r="AD96" s="233">
        <f>(INDEX(Models!$BJ96:$BT96,,AH96)*(1-AF96)+INDEX(Models!$BJ96:$BT96,,AH96+1)*AF96-ERP_i)*AE96*Ramure*Pc/MaxiM</f>
        <v>5.3800212649851758E-3</v>
      </c>
      <c r="AE96" s="307">
        <f t="shared" si="38"/>
        <v>0.9</v>
      </c>
      <c r="AF96" s="179">
        <f t="shared" si="39"/>
        <v>0.3214571435518544</v>
      </c>
      <c r="AG96" s="839">
        <f t="shared" si="47"/>
        <v>-1</v>
      </c>
      <c r="AH96" s="178">
        <f t="shared" si="40"/>
        <v>5</v>
      </c>
      <c r="AI96" s="227">
        <f t="shared" si="41"/>
        <v>-0.6785428564481456</v>
      </c>
      <c r="AJ96" s="267" t="b">
        <f t="shared" si="42"/>
        <v>1</v>
      </c>
      <c r="AK96" s="267" t="b">
        <f t="shared" si="43"/>
        <v>0</v>
      </c>
      <c r="AL96" s="267"/>
      <c r="AM96" s="267"/>
      <c r="AN96" s="75"/>
    </row>
    <row r="97" spans="1:40" s="6" customFormat="1" ht="11.25" x14ac:dyDescent="0.2">
      <c r="A97" s="56">
        <f t="shared" si="44"/>
        <v>44279</v>
      </c>
      <c r="B97" s="620">
        <v>40.003999999999998</v>
      </c>
      <c r="C97" s="392"/>
      <c r="D97" s="395">
        <f t="shared" si="24"/>
        <v>40.913494271752242</v>
      </c>
      <c r="E97" s="387">
        <f t="shared" si="45"/>
        <v>46.802061226763144</v>
      </c>
      <c r="F97" s="387">
        <f t="shared" si="25"/>
        <v>47.045442014338271</v>
      </c>
      <c r="G97" s="110">
        <f t="shared" si="46"/>
        <v>0.9809644978304245</v>
      </c>
      <c r="H97" s="416" t="b">
        <f>Wh_hp&gt;='2020'!Maxi_hp</f>
        <v>1</v>
      </c>
      <c r="I97" s="382">
        <f>IF(H97,Wh_hp,'2020'!Maxi_hp)</f>
        <v>47.045442014338271</v>
      </c>
      <c r="J97" s="85">
        <f>IF(H97,An,'2020'!An_max)</f>
        <v>2021</v>
      </c>
      <c r="K97" s="199">
        <f t="shared" si="26"/>
        <v>44279</v>
      </c>
      <c r="L97" s="147">
        <f>IF(t&lt;Tvie,1-EXP((T0-t)*PertePVj)+'2020'!Pspv,1-EXP((T0-t)*PertePVj)+Pspv)</f>
        <v>2.2229689444545508E-2</v>
      </c>
      <c r="M97" s="872"/>
      <c r="N97" s="872"/>
      <c r="O97" s="48">
        <f>IF(t&lt;Tnet,'2020'!Resal+('2020'!Salim-'2020'!Resal)*(1-EXP(('2020'!Tnet-t)/('2020'!Tau_j))),Resal+(Salim-Resal)*(1-EXP((Tnet-t)/(Tau_j))))*Salcycl</f>
        <v>0.12581853877075824</v>
      </c>
      <c r="P97" s="171">
        <f>(INDEX(Models!$BJ97:$BT97,,T97)*(1-R97)+INDEX(Models!$BJ97:$BT97,,T97+1)*R97-ERP_i)*Q97*Ramure*Pc/MaxiM</f>
        <v>5.3168211995834923E-3</v>
      </c>
      <c r="Q97" s="307">
        <f t="shared" si="27"/>
        <v>0.9</v>
      </c>
      <c r="R97" s="179">
        <f t="shared" si="28"/>
        <v>0.32236498340583242</v>
      </c>
      <c r="S97" s="839">
        <f t="shared" si="29"/>
        <v>-1</v>
      </c>
      <c r="T97" s="178">
        <f t="shared" si="30"/>
        <v>5</v>
      </c>
      <c r="U97" s="253">
        <f t="shared" si="31"/>
        <v>-0.67763501659416758</v>
      </c>
      <c r="V97" s="385">
        <f t="shared" si="32"/>
        <v>40.774390229888645</v>
      </c>
      <c r="W97" s="404"/>
      <c r="X97" s="157">
        <f t="shared" si="33"/>
        <v>44279</v>
      </c>
      <c r="Y97" s="387">
        <f t="shared" si="34"/>
        <v>40.003999999999998</v>
      </c>
      <c r="Z97" s="387">
        <f t="shared" si="35"/>
        <v>40.913494271752242</v>
      </c>
      <c r="AA97" s="388">
        <f t="shared" si="36"/>
        <v>46.802061226763144</v>
      </c>
      <c r="AB97" s="199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0.12581853877075824</v>
      </c>
      <c r="AD97" s="233">
        <f>(INDEX(Models!$BJ97:$BT97,,AH97)*(1-AF97)+INDEX(Models!$BJ97:$BT97,,AH97+1)*AF97-ERP_i)*AE97*Ramure*Pc/MaxiM</f>
        <v>5.3168211995834923E-3</v>
      </c>
      <c r="AE97" s="307">
        <f t="shared" si="38"/>
        <v>0.9</v>
      </c>
      <c r="AF97" s="179">
        <f t="shared" si="39"/>
        <v>0.32236498340583242</v>
      </c>
      <c r="AG97" s="839">
        <f t="shared" si="47"/>
        <v>-1</v>
      </c>
      <c r="AH97" s="178">
        <f t="shared" si="40"/>
        <v>5</v>
      </c>
      <c r="AI97" s="227">
        <f t="shared" si="41"/>
        <v>-0.67763501659416758</v>
      </c>
      <c r="AJ97" s="267" t="b">
        <f t="shared" si="42"/>
        <v>1</v>
      </c>
      <c r="AK97" s="267" t="b">
        <f t="shared" si="43"/>
        <v>0</v>
      </c>
      <c r="AL97" s="267"/>
      <c r="AM97" s="267"/>
      <c r="AN97" s="75"/>
    </row>
    <row r="98" spans="1:40" s="6" customFormat="1" ht="11.25" x14ac:dyDescent="0.2">
      <c r="A98" s="56">
        <f t="shared" si="44"/>
        <v>44280</v>
      </c>
      <c r="B98" s="620">
        <v>29.972000000000001</v>
      </c>
      <c r="C98" s="392"/>
      <c r="D98" s="395">
        <f t="shared" si="24"/>
        <v>30.654129282603542</v>
      </c>
      <c r="E98" s="387">
        <f t="shared" si="45"/>
        <v>35.068226021862429</v>
      </c>
      <c r="F98" s="387">
        <f t="shared" si="25"/>
        <v>35.181188957820467</v>
      </c>
      <c r="G98" s="110">
        <f t="shared" si="46"/>
        <v>0.72665141765418506</v>
      </c>
      <c r="H98" s="416" t="b">
        <f>Wh_hp&gt;='2020'!Maxi_hp</f>
        <v>0</v>
      </c>
      <c r="I98" s="382">
        <f>IF(H98,Wh_hp,'2020'!Maxi_hp)</f>
        <v>46.654104834621393</v>
      </c>
      <c r="J98" s="85">
        <f>IF(H98,An,'2020'!An_max)</f>
        <v>2020</v>
      </c>
      <c r="K98" s="199">
        <f t="shared" si="26"/>
        <v>44280</v>
      </c>
      <c r="L98" s="147">
        <f>IF(t&lt;Tvie,1-EXP((T0-t)*PertePVj)+'2020'!Pspv,1-EXP((T0-t)*PertePVj)+Pspv)</f>
        <v>2.2252443588102633E-2</v>
      </c>
      <c r="M98" s="872"/>
      <c r="N98" s="872"/>
      <c r="O98" s="48">
        <f>IF(t&lt;Tnet,'2020'!Resal+('2020'!Salim-'2020'!Resal)*(1-EXP(('2020'!Tnet-t)/('2020'!Tau_j))),Resal+(Salim-Resal)*(1-EXP((Tnet-t)/(Tau_j))))*Salcycl</f>
        <v>0.12587168613852967</v>
      </c>
      <c r="P98" s="171">
        <f>(INDEX(Models!$BJ98:$BT98,,T98)*(1-R98)+INDEX(Models!$BJ98:$BT98,,T98+1)*R98-ERP_i)*Q98*Ramure*Pc/MaxiM</f>
        <v>5.2497294419906523E-3</v>
      </c>
      <c r="Q98" s="307">
        <f t="shared" si="27"/>
        <v>0.9</v>
      </c>
      <c r="R98" s="179">
        <f t="shared" si="28"/>
        <v>0.32330788402321819</v>
      </c>
      <c r="S98" s="839">
        <f t="shared" si="29"/>
        <v>-1</v>
      </c>
      <c r="T98" s="178">
        <f t="shared" si="30"/>
        <v>5</v>
      </c>
      <c r="U98" s="253">
        <f t="shared" si="31"/>
        <v>-0.67669211597678181</v>
      </c>
      <c r="V98" s="385">
        <f t="shared" si="32"/>
        <v>41.162370761396375</v>
      </c>
      <c r="W98" s="404"/>
      <c r="X98" s="157">
        <f t="shared" si="33"/>
        <v>44280</v>
      </c>
      <c r="Y98" s="387">
        <f t="shared" si="34"/>
        <v>29.972000000000005</v>
      </c>
      <c r="Z98" s="387">
        <f t="shared" si="35"/>
        <v>30.654129282603545</v>
      </c>
      <c r="AA98" s="388">
        <f t="shared" si="36"/>
        <v>35.068226021862429</v>
      </c>
      <c r="AB98" s="199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0.12587168613852967</v>
      </c>
      <c r="AD98" s="233">
        <f>(INDEX(Models!$BJ98:$BT98,,AH98)*(1-AF98)+INDEX(Models!$BJ98:$BT98,,AH98+1)*AF98-ERP_i)*AE98*Ramure*Pc/MaxiM</f>
        <v>5.2497294419906523E-3</v>
      </c>
      <c r="AE98" s="307">
        <f t="shared" si="38"/>
        <v>0.9</v>
      </c>
      <c r="AF98" s="179">
        <f t="shared" si="39"/>
        <v>0.32330788402321819</v>
      </c>
      <c r="AG98" s="839">
        <f t="shared" si="47"/>
        <v>-1</v>
      </c>
      <c r="AH98" s="178">
        <f t="shared" si="40"/>
        <v>5</v>
      </c>
      <c r="AI98" s="227">
        <f t="shared" si="41"/>
        <v>-0.67669211597678181</v>
      </c>
      <c r="AJ98" s="267" t="b">
        <f t="shared" si="42"/>
        <v>1</v>
      </c>
      <c r="AK98" s="267" t="b">
        <f t="shared" si="43"/>
        <v>0</v>
      </c>
      <c r="AL98" s="267"/>
      <c r="AM98" s="267"/>
      <c r="AN98" s="75"/>
    </row>
    <row r="99" spans="1:40" s="6" customFormat="1" ht="11.25" x14ac:dyDescent="0.2">
      <c r="A99" s="56">
        <f t="shared" si="44"/>
        <v>44281</v>
      </c>
      <c r="B99" s="620">
        <v>34.170999999999999</v>
      </c>
      <c r="C99" s="392"/>
      <c r="D99" s="395">
        <f t="shared" si="24"/>
        <v>34.949507164200078</v>
      </c>
      <c r="E99" s="387">
        <f t="shared" si="45"/>
        <v>39.984607139898003</v>
      </c>
      <c r="F99" s="387">
        <f t="shared" si="25"/>
        <v>40.139756782140154</v>
      </c>
      <c r="G99" s="110">
        <f t="shared" si="46"/>
        <v>0.82135109968238473</v>
      </c>
      <c r="H99" s="416" t="b">
        <f>Wh_hp&gt;='2020'!Maxi_hp</f>
        <v>0</v>
      </c>
      <c r="I99" s="382">
        <f>IF(H99,Wh_hp,'2020'!Maxi_hp)</f>
        <v>49.888240917785708</v>
      </c>
      <c r="J99" s="85">
        <f>IF(H99,An,'2020'!An_max)</f>
        <v>2019</v>
      </c>
      <c r="K99" s="199">
        <f t="shared" si="26"/>
        <v>44281</v>
      </c>
      <c r="L99" s="147">
        <f>IF(t&lt;Tvie,1-EXP((T0-t)*PertePVj)+'2020'!Pspv,1-EXP((T0-t)*PertePVj)+Pspv)</f>
        <v>2.2275197202137664E-2</v>
      </c>
      <c r="M99" s="872"/>
      <c r="N99" s="872"/>
      <c r="O99" s="48">
        <f>IF(t&lt;Tnet,'2020'!Resal+('2020'!Salim-'2020'!Resal)*(1-EXP(('2020'!Tnet-t)/('2020'!Tau_j))),Resal+(Salim-Resal)*(1-EXP((Tnet-t)/(Tau_j))))*Salcycl</f>
        <v>0.12592595840897305</v>
      </c>
      <c r="P99" s="171">
        <f>(INDEX(Models!$BJ99:$BT99,,T99)*(1-R99)+INDEX(Models!$BJ99:$BT99,,T99+1)*R99-ERP_i)*Q99*Ramure*Pc/MaxiM</f>
        <v>5.1789439263008391E-3</v>
      </c>
      <c r="Q99" s="307">
        <f t="shared" si="27"/>
        <v>0.9</v>
      </c>
      <c r="R99" s="179">
        <f t="shared" si="28"/>
        <v>0.32428707320307204</v>
      </c>
      <c r="S99" s="839">
        <f t="shared" si="29"/>
        <v>-1</v>
      </c>
      <c r="T99" s="178">
        <f t="shared" si="30"/>
        <v>5</v>
      </c>
      <c r="U99" s="253">
        <f t="shared" si="31"/>
        <v>-0.67571292679692796</v>
      </c>
      <c r="V99" s="385">
        <f t="shared" si="32"/>
        <v>41.548535237984503</v>
      </c>
      <c r="W99" s="404"/>
      <c r="X99" s="157">
        <f t="shared" si="33"/>
        <v>44281</v>
      </c>
      <c r="Y99" s="387">
        <f t="shared" si="34"/>
        <v>34.170999999999999</v>
      </c>
      <c r="Z99" s="387">
        <f t="shared" si="35"/>
        <v>34.949507164200078</v>
      </c>
      <c r="AA99" s="388">
        <f t="shared" si="36"/>
        <v>39.984607139898003</v>
      </c>
      <c r="AB99" s="199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0.12592595840897305</v>
      </c>
      <c r="AD99" s="233">
        <f>(INDEX(Models!$BJ99:$BT99,,AH99)*(1-AF99)+INDEX(Models!$BJ99:$BT99,,AH99+1)*AF99-ERP_i)*AE99*Ramure*Pc/MaxiM</f>
        <v>5.1789439263008391E-3</v>
      </c>
      <c r="AE99" s="307">
        <f t="shared" si="38"/>
        <v>0.9</v>
      </c>
      <c r="AF99" s="179">
        <f t="shared" si="39"/>
        <v>0.32428707320307204</v>
      </c>
      <c r="AG99" s="839">
        <f t="shared" si="47"/>
        <v>-1</v>
      </c>
      <c r="AH99" s="178">
        <f t="shared" si="40"/>
        <v>5</v>
      </c>
      <c r="AI99" s="227">
        <f t="shared" si="41"/>
        <v>-0.67571292679692796</v>
      </c>
      <c r="AJ99" s="267" t="b">
        <f t="shared" si="42"/>
        <v>1</v>
      </c>
      <c r="AK99" s="267" t="b">
        <f t="shared" si="43"/>
        <v>0</v>
      </c>
      <c r="AL99" s="267"/>
      <c r="AM99" s="267"/>
      <c r="AN99" s="75"/>
    </row>
    <row r="100" spans="1:40" s="6" customFormat="1" ht="11.25" x14ac:dyDescent="0.2">
      <c r="A100" s="56">
        <f t="shared" si="44"/>
        <v>44282</v>
      </c>
      <c r="B100" s="620">
        <v>35.109000000000002</v>
      </c>
      <c r="C100" s="392"/>
      <c r="D100" s="395">
        <f t="shared" si="24"/>
        <v>35.909712995174736</v>
      </c>
      <c r="E100" s="387">
        <f t="shared" si="45"/>
        <v>41.085754925961666</v>
      </c>
      <c r="F100" s="387">
        <f t="shared" si="25"/>
        <v>41.247322277659237</v>
      </c>
      <c r="G100" s="110">
        <f t="shared" si="46"/>
        <v>0.83628362323465788</v>
      </c>
      <c r="H100" s="416" t="b">
        <f>Wh_hp&gt;='2020'!Maxi_hp</f>
        <v>0</v>
      </c>
      <c r="I100" s="382">
        <f>IF(H100,Wh_hp,'2020'!Maxi_hp)</f>
        <v>49.214148253624103</v>
      </c>
      <c r="J100" s="85">
        <f>IF(H100,An,'2020'!An_max)</f>
        <v>2019</v>
      </c>
      <c r="K100" s="199">
        <f t="shared" si="26"/>
        <v>44282</v>
      </c>
      <c r="L100" s="147">
        <f>IF(t&lt;Tvie,1-EXP((T0-t)*PertePVj)+'2020'!Pspv,1-EXP((T0-t)*PertePVj)+Pspv)</f>
        <v>2.2297950286662704E-2</v>
      </c>
      <c r="M100" s="872"/>
      <c r="N100" s="872"/>
      <c r="O100" s="48">
        <f>IF(t&lt;Tnet,'2020'!Resal+('2020'!Salim-'2020'!Resal)*(1-EXP(('2020'!Tnet-t)/('2020'!Tau_j))),Resal+(Salim-Resal)*(1-EXP((Tnet-t)/(Tau_j))))*Salcycl</f>
        <v>0.12598142446486352</v>
      </c>
      <c r="P100" s="171">
        <f>(INDEX(Models!$BJ100:$BT100,,T100)*(1-R100)+INDEX(Models!$BJ100:$BT100,,T100+1)*R100-ERP_i)*Q100*Ramure*Pc/MaxiM</f>
        <v>5.1033407545628242E-3</v>
      </c>
      <c r="Q100" s="307">
        <f t="shared" si="27"/>
        <v>0.9</v>
      </c>
      <c r="R100" s="179">
        <f t="shared" si="28"/>
        <v>0.32530381141698883</v>
      </c>
      <c r="S100" s="839">
        <f t="shared" si="29"/>
        <v>-1</v>
      </c>
      <c r="T100" s="178">
        <f t="shared" si="30"/>
        <v>5</v>
      </c>
      <c r="U100" s="253">
        <f t="shared" si="31"/>
        <v>-0.67469618858301117</v>
      </c>
      <c r="V100" s="385">
        <f t="shared" si="32"/>
        <v>41.932169130278872</v>
      </c>
      <c r="W100" s="404"/>
      <c r="X100" s="157">
        <f t="shared" si="33"/>
        <v>44282</v>
      </c>
      <c r="Y100" s="387">
        <f t="shared" si="34"/>
        <v>35.109000000000002</v>
      </c>
      <c r="Z100" s="387">
        <f t="shared" si="35"/>
        <v>35.909712995174736</v>
      </c>
      <c r="AA100" s="388">
        <f t="shared" si="36"/>
        <v>41.085754925961666</v>
      </c>
      <c r="AB100" s="199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0.12598142446486352</v>
      </c>
      <c r="AD100" s="233">
        <f>(INDEX(Models!$BJ100:$BT100,,AH100)*(1-AF100)+INDEX(Models!$BJ100:$BT100,,AH100+1)*AF100-ERP_i)*AE100*Ramure*Pc/MaxiM</f>
        <v>5.1033407545628242E-3</v>
      </c>
      <c r="AE100" s="307">
        <f t="shared" si="38"/>
        <v>0.9</v>
      </c>
      <c r="AF100" s="179">
        <f t="shared" si="39"/>
        <v>0.32530381141698883</v>
      </c>
      <c r="AG100" s="839">
        <f t="shared" si="47"/>
        <v>-1</v>
      </c>
      <c r="AH100" s="178">
        <f t="shared" si="40"/>
        <v>5</v>
      </c>
      <c r="AI100" s="227">
        <f t="shared" si="41"/>
        <v>-0.67469618858301117</v>
      </c>
      <c r="AJ100" s="267" t="b">
        <f t="shared" si="42"/>
        <v>1</v>
      </c>
      <c r="AK100" s="267" t="b">
        <f t="shared" si="43"/>
        <v>0</v>
      </c>
      <c r="AL100" s="267"/>
      <c r="AM100" s="267"/>
      <c r="AN100" s="75"/>
    </row>
    <row r="101" spans="1:40" s="6" customFormat="1" ht="11.25" x14ac:dyDescent="0.2">
      <c r="A101" s="56">
        <f t="shared" si="44"/>
        <v>44283</v>
      </c>
      <c r="B101" s="620">
        <v>41.093000000000004</v>
      </c>
      <c r="C101" s="392"/>
      <c r="D101" s="395">
        <f t="shared" si="24"/>
        <v>42.031165147343877</v>
      </c>
      <c r="E101" s="387">
        <f t="shared" si="45"/>
        <v>48.092677367630458</v>
      </c>
      <c r="F101" s="387">
        <f t="shared" si="25"/>
        <v>48.325580600194776</v>
      </c>
      <c r="G101" s="110">
        <f t="shared" si="46"/>
        <v>0.97097990865864992</v>
      </c>
      <c r="H101" s="416" t="b">
        <f>Wh_hp&gt;='2020'!Maxi_hp</f>
        <v>1</v>
      </c>
      <c r="I101" s="382">
        <f>IF(H101,Wh_hp,'2020'!Maxi_hp)</f>
        <v>48.325580600194776</v>
      </c>
      <c r="J101" s="85">
        <f>IF(H101,An,'2020'!An_max)</f>
        <v>2021</v>
      </c>
      <c r="K101" s="199">
        <f t="shared" si="26"/>
        <v>44283</v>
      </c>
      <c r="L101" s="147">
        <f>IF(t&lt;Tvie,1-EXP((T0-t)*PertePVj)+'2020'!Pspv,1-EXP((T0-t)*PertePVj)+Pspv)</f>
        <v>2.2320702841690299E-2</v>
      </c>
      <c r="M101" s="872"/>
      <c r="N101" s="872"/>
      <c r="O101" s="48">
        <f>IF(t&lt;Tnet,'2020'!Resal+('2020'!Salim-'2020'!Resal)*(1-EXP(('2020'!Tnet-t)/('2020'!Tau_j))),Resal+(Salim-Resal)*(1-EXP((Tnet-t)/(Tau_j))))*Salcycl</f>
        <v>0.12603815283460143</v>
      </c>
      <c r="P101" s="171">
        <f>(INDEX(Models!$BJ101:$BT101,,T101)*(1-R101)+INDEX(Models!$BJ101:$BT101,,T101+1)*R101-ERP_i)*Q101*Ramure*Pc/MaxiM</f>
        <v>5.0263910414855501E-3</v>
      </c>
      <c r="Q101" s="307">
        <f t="shared" si="27"/>
        <v>0.9</v>
      </c>
      <c r="R101" s="179">
        <f t="shared" si="28"/>
        <v>0.32635939180645479</v>
      </c>
      <c r="S101" s="839">
        <f t="shared" si="29"/>
        <v>-1</v>
      </c>
      <c r="T101" s="178">
        <f t="shared" si="30"/>
        <v>5</v>
      </c>
      <c r="U101" s="253">
        <f t="shared" si="31"/>
        <v>-0.67364060819354521</v>
      </c>
      <c r="V101" s="385">
        <f t="shared" si="32"/>
        <v>42.312364098914664</v>
      </c>
      <c r="W101" s="404"/>
      <c r="X101" s="157">
        <f t="shared" si="33"/>
        <v>44283</v>
      </c>
      <c r="Y101" s="387">
        <f t="shared" si="34"/>
        <v>41.093000000000004</v>
      </c>
      <c r="Z101" s="387">
        <f t="shared" si="35"/>
        <v>42.031165147343877</v>
      </c>
      <c r="AA101" s="388">
        <f t="shared" si="36"/>
        <v>48.092677367630458</v>
      </c>
      <c r="AB101" s="199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0.12603815283460143</v>
      </c>
      <c r="AD101" s="233">
        <f>(INDEX(Models!$BJ101:$BT101,,AH101)*(1-AF101)+INDEX(Models!$BJ101:$BT101,,AH101+1)*AF101-ERP_i)*AE101*Ramure*Pc/MaxiM</f>
        <v>5.0263910414855501E-3</v>
      </c>
      <c r="AE101" s="307">
        <f t="shared" si="38"/>
        <v>0.9</v>
      </c>
      <c r="AF101" s="179">
        <f t="shared" si="39"/>
        <v>0.32635939180645479</v>
      </c>
      <c r="AG101" s="839">
        <f t="shared" si="47"/>
        <v>-1</v>
      </c>
      <c r="AH101" s="178">
        <f t="shared" si="40"/>
        <v>5</v>
      </c>
      <c r="AI101" s="227">
        <f t="shared" si="41"/>
        <v>-0.67364060819354521</v>
      </c>
      <c r="AJ101" s="267" t="b">
        <f t="shared" si="42"/>
        <v>1</v>
      </c>
      <c r="AK101" s="267" t="b">
        <f t="shared" si="43"/>
        <v>0</v>
      </c>
      <c r="AL101" s="267"/>
      <c r="AM101" s="267"/>
      <c r="AN101" s="75"/>
    </row>
    <row r="102" spans="1:40" s="6" customFormat="1" ht="11.25" x14ac:dyDescent="0.2">
      <c r="A102" s="56">
        <f t="shared" si="44"/>
        <v>44284</v>
      </c>
      <c r="B102" s="620">
        <v>42.800000000000004</v>
      </c>
      <c r="C102" s="392"/>
      <c r="D102" s="395">
        <f t="shared" si="24"/>
        <v>43.778155235679108</v>
      </c>
      <c r="E102" s="387">
        <f t="shared" si="45"/>
        <v>50.094937008521015</v>
      </c>
      <c r="F102" s="387">
        <f t="shared" si="25"/>
        <v>50.344049299154825</v>
      </c>
      <c r="G102" s="110">
        <f t="shared" si="46"/>
        <v>1.0026154447900124</v>
      </c>
      <c r="H102" s="416" t="b">
        <f>Wh_hp&gt;='2020'!Maxi_hp</f>
        <v>1</v>
      </c>
      <c r="I102" s="382">
        <f>IF(H102,Wh_hp,'2020'!Maxi_hp)</f>
        <v>50.344049299154825</v>
      </c>
      <c r="J102" s="85">
        <f>IF(H102,An,'2020'!An_max)</f>
        <v>2021</v>
      </c>
      <c r="K102" s="199">
        <f t="shared" si="26"/>
        <v>44284</v>
      </c>
      <c r="L102" s="147">
        <f>IF(t&lt;Tvie,1-EXP((T0-t)*PertePVj)+'2020'!Pspv,1-EXP((T0-t)*PertePVj)+Pspv)</f>
        <v>2.234345486723277E-2</v>
      </c>
      <c r="M102" s="872"/>
      <c r="N102" s="872"/>
      <c r="O102" s="48">
        <f>IF(t&lt;Tnet,'2020'!Resal+('2020'!Salim-'2020'!Resal)*(1-EXP(('2020'!Tnet-t)/('2020'!Tau_j))),Resal+(Salim-Resal)*(1-EXP((Tnet-t)/(Tau_j))))*Salcycl</f>
        <v>0.12609621151469741</v>
      </c>
      <c r="P102" s="171">
        <f>(INDEX(Models!$BJ102:$BT102,,T102)*(1-R102)+INDEX(Models!$BJ102:$BT102,,T102+1)*R102-ERP_i)*Q102*Ramure*Pc/MaxiM</f>
        <v>4.9481973361645074E-3</v>
      </c>
      <c r="Q102" s="307">
        <f t="shared" si="27"/>
        <v>0.9</v>
      </c>
      <c r="R102" s="179">
        <f t="shared" si="28"/>
        <v>0.32745514009059296</v>
      </c>
      <c r="S102" s="839">
        <f t="shared" si="29"/>
        <v>-1</v>
      </c>
      <c r="T102" s="178">
        <f t="shared" si="30"/>
        <v>5</v>
      </c>
      <c r="U102" s="253">
        <f t="shared" si="31"/>
        <v>-0.67254485990940704</v>
      </c>
      <c r="V102" s="385">
        <f t="shared" si="32"/>
        <v>42.688350974848618</v>
      </c>
      <c r="W102" s="404"/>
      <c r="X102" s="157">
        <f t="shared" si="33"/>
        <v>44284</v>
      </c>
      <c r="Y102" s="387">
        <f t="shared" si="34"/>
        <v>42.800000000000004</v>
      </c>
      <c r="Z102" s="387">
        <f t="shared" si="35"/>
        <v>43.778155235679108</v>
      </c>
      <c r="AA102" s="388">
        <f t="shared" si="36"/>
        <v>50.094937008521015</v>
      </c>
      <c r="AB102" s="199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0.12609621151469741</v>
      </c>
      <c r="AD102" s="233">
        <f>(INDEX(Models!$BJ102:$BT102,,AH102)*(1-AF102)+INDEX(Models!$BJ102:$BT102,,AH102+1)*AF102-ERP_i)*AE102*Ramure*Pc/MaxiM</f>
        <v>4.9481973361645074E-3</v>
      </c>
      <c r="AE102" s="307">
        <f t="shared" si="38"/>
        <v>0.9</v>
      </c>
      <c r="AF102" s="179">
        <f t="shared" si="39"/>
        <v>0.32745514009059296</v>
      </c>
      <c r="AG102" s="839">
        <f t="shared" si="47"/>
        <v>-1</v>
      </c>
      <c r="AH102" s="178">
        <f t="shared" si="40"/>
        <v>5</v>
      </c>
      <c r="AI102" s="227">
        <f t="shared" si="41"/>
        <v>-0.67254485990940704</v>
      </c>
      <c r="AJ102" s="267" t="b">
        <f t="shared" si="42"/>
        <v>1</v>
      </c>
      <c r="AK102" s="267" t="b">
        <f t="shared" si="43"/>
        <v>0</v>
      </c>
      <c r="AL102" s="267"/>
      <c r="AM102" s="267"/>
      <c r="AN102" s="75"/>
    </row>
    <row r="103" spans="1:40" s="6" customFormat="1" ht="11.25" x14ac:dyDescent="0.2">
      <c r="A103" s="56">
        <f t="shared" si="44"/>
        <v>44285</v>
      </c>
      <c r="B103" s="620">
        <v>40.03</v>
      </c>
      <c r="C103" s="392"/>
      <c r="D103" s="395">
        <f t="shared" si="24"/>
        <v>40.945802263128094</v>
      </c>
      <c r="E103" s="387">
        <f t="shared" si="45"/>
        <v>46.85708970615871</v>
      </c>
      <c r="F103" s="387">
        <f t="shared" si="25"/>
        <v>47.063203507776926</v>
      </c>
      <c r="G103" s="110">
        <f t="shared" si="46"/>
        <v>0.92918995374567959</v>
      </c>
      <c r="H103" s="416" t="b">
        <f>Wh_hp&gt;='2020'!Maxi_hp</f>
        <v>0</v>
      </c>
      <c r="I103" s="382">
        <f>IF(H103,Wh_hp,'2020'!Maxi_hp)</f>
        <v>50.446118707020261</v>
      </c>
      <c r="J103" s="85">
        <f>IF(H103,An,'2020'!An_max)</f>
        <v>2019</v>
      </c>
      <c r="K103" s="199">
        <f t="shared" si="26"/>
        <v>44285</v>
      </c>
      <c r="L103" s="147">
        <f>IF(t&lt;Tvie,1-EXP((T0-t)*PertePVj)+'2020'!Pspv,1-EXP((T0-t)*PertePVj)+Pspv)</f>
        <v>2.2366206363302221E-2</v>
      </c>
      <c r="M103" s="872"/>
      <c r="N103" s="872"/>
      <c r="O103" s="48">
        <f>IF(t&lt;Tnet,'2020'!Resal+('2020'!Salim-'2020'!Resal)*(1-EXP(('2020'!Tnet-t)/('2020'!Tau_j))),Resal+(Salim-Resal)*(1-EXP((Tnet-t)/(Tau_j))))*Salcycl</f>
        <v>0.12615566779969387</v>
      </c>
      <c r="P103" s="171">
        <f>(INDEX(Models!$BJ103:$BT103,,T103)*(1-R103)+INDEX(Models!$BJ103:$BT103,,T103+1)*R103-ERP_i)*Q103*Ramure*Pc/MaxiM</f>
        <v>4.8688520706004724E-3</v>
      </c>
      <c r="Q103" s="307">
        <f t="shared" si="27"/>
        <v>0.9</v>
      </c>
      <c r="R103" s="179">
        <f t="shared" si="28"/>
        <v>0.32859241437601583</v>
      </c>
      <c r="S103" s="839">
        <f t="shared" si="29"/>
        <v>-1</v>
      </c>
      <c r="T103" s="178">
        <f t="shared" si="30"/>
        <v>5</v>
      </c>
      <c r="U103" s="253">
        <f t="shared" si="31"/>
        <v>-0.67140758562398417</v>
      </c>
      <c r="V103" s="385">
        <f t="shared" si="32"/>
        <v>43.059360830901312</v>
      </c>
      <c r="W103" s="404"/>
      <c r="X103" s="157">
        <f t="shared" si="33"/>
        <v>44285</v>
      </c>
      <c r="Y103" s="387">
        <f t="shared" si="34"/>
        <v>40.03</v>
      </c>
      <c r="Z103" s="387">
        <f t="shared" si="35"/>
        <v>40.945802263128094</v>
      </c>
      <c r="AA103" s="388">
        <f t="shared" si="36"/>
        <v>46.85708970615871</v>
      </c>
      <c r="AB103" s="199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0.12615566779969387</v>
      </c>
      <c r="AD103" s="233">
        <f>(INDEX(Models!$BJ103:$BT103,,AH103)*(1-AF103)+INDEX(Models!$BJ103:$BT103,,AH103+1)*AF103-ERP_i)*AE103*Ramure*Pc/MaxiM</f>
        <v>4.8688520706004724E-3</v>
      </c>
      <c r="AE103" s="307">
        <f t="shared" si="38"/>
        <v>0.9</v>
      </c>
      <c r="AF103" s="179">
        <f t="shared" si="39"/>
        <v>0.32859241437601583</v>
      </c>
      <c r="AG103" s="839">
        <f t="shared" si="47"/>
        <v>-1</v>
      </c>
      <c r="AH103" s="178">
        <f t="shared" si="40"/>
        <v>5</v>
      </c>
      <c r="AI103" s="227">
        <f t="shared" si="41"/>
        <v>-0.67140758562398417</v>
      </c>
      <c r="AJ103" s="267" t="b">
        <f t="shared" si="42"/>
        <v>1</v>
      </c>
      <c r="AK103" s="267" t="b">
        <f t="shared" si="43"/>
        <v>0</v>
      </c>
      <c r="AL103" s="267"/>
      <c r="AM103" s="267"/>
      <c r="AN103" s="75"/>
    </row>
    <row r="104" spans="1:40" s="6" customFormat="1" ht="11.25" x14ac:dyDescent="0.2">
      <c r="A104" s="56">
        <f t="shared" si="44"/>
        <v>44286</v>
      </c>
      <c r="B104" s="620">
        <v>38.808999999999997</v>
      </c>
      <c r="C104" s="392"/>
      <c r="D104" s="395">
        <f t="shared" si="24"/>
        <v>39.697792175099991</v>
      </c>
      <c r="E104" s="387">
        <f t="shared" si="45"/>
        <v>45.432073481081375</v>
      </c>
      <c r="F104" s="387">
        <f t="shared" si="25"/>
        <v>45.61734121324757</v>
      </c>
      <c r="G104" s="110">
        <f t="shared" si="46"/>
        <v>0.89305704207880543</v>
      </c>
      <c r="H104" s="416" t="b">
        <f>Wh_hp&gt;='2020'!Maxi_hp</f>
        <v>1</v>
      </c>
      <c r="I104" s="382">
        <f>IF(H104,Wh_hp,'2020'!Maxi_hp)</f>
        <v>45.61734121324757</v>
      </c>
      <c r="J104" s="85">
        <f>IF(H104,An,'2020'!An_max)</f>
        <v>2021</v>
      </c>
      <c r="K104" s="199">
        <f t="shared" si="26"/>
        <v>44286</v>
      </c>
      <c r="L104" s="147">
        <f>IF(t&lt;Tvie,1-EXP((T0-t)*PertePVj)+'2020'!Pspv,1-EXP((T0-t)*PertePVj)+Pspv)</f>
        <v>2.2388957329911197E-2</v>
      </c>
      <c r="M104" s="872"/>
      <c r="N104" s="872"/>
      <c r="O104" s="48">
        <f>IF(t&lt;Tnet,'2020'!Resal+('2020'!Salim-'2020'!Resal)*(1-EXP(('2020'!Tnet-t)/('2020'!Tau_j))),Resal+(Salim-Resal)*(1-EXP((Tnet-t)/(Tau_j))))*Salcycl</f>
        <v>0.12621658811960729</v>
      </c>
      <c r="P104" s="171">
        <f>(INDEX(Models!$BJ104:$BT104,,T104)*(1-R104)+INDEX(Models!$BJ104:$BT104,,T104+1)*R104-ERP_i)*Q104*Ramure*Pc/MaxiM</f>
        <v>4.7884378671263182E-3</v>
      </c>
      <c r="Q104" s="307">
        <f t="shared" si="27"/>
        <v>0.9</v>
      </c>
      <c r="R104" s="179">
        <f t="shared" si="28"/>
        <v>0.32977260486009541</v>
      </c>
      <c r="S104" s="839">
        <f t="shared" si="29"/>
        <v>-1</v>
      </c>
      <c r="T104" s="178">
        <f t="shared" si="30"/>
        <v>5</v>
      </c>
      <c r="U104" s="253">
        <f t="shared" si="31"/>
        <v>-0.67022739513990459</v>
      </c>
      <c r="V104" s="385">
        <f t="shared" si="32"/>
        <v>43.424625003787654</v>
      </c>
      <c r="W104" s="404"/>
      <c r="X104" s="157">
        <f t="shared" si="33"/>
        <v>44286</v>
      </c>
      <c r="Y104" s="387">
        <f t="shared" si="34"/>
        <v>38.808999999999997</v>
      </c>
      <c r="Z104" s="387">
        <f t="shared" si="35"/>
        <v>39.697792175099991</v>
      </c>
      <c r="AA104" s="388">
        <f t="shared" si="36"/>
        <v>45.432073481081375</v>
      </c>
      <c r="AB104" s="199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0.12621658811960729</v>
      </c>
      <c r="AD104" s="233">
        <f>(INDEX(Models!$BJ104:$BT104,,AH104)*(1-AF104)+INDEX(Models!$BJ104:$BT104,,AH104+1)*AF104-ERP_i)*AE104*Ramure*Pc/MaxiM</f>
        <v>4.7884378671263182E-3</v>
      </c>
      <c r="AE104" s="307">
        <f t="shared" si="38"/>
        <v>0.9</v>
      </c>
      <c r="AF104" s="179">
        <f t="shared" si="39"/>
        <v>0.32977260486009541</v>
      </c>
      <c r="AG104" s="839">
        <f t="shared" si="47"/>
        <v>-1</v>
      </c>
      <c r="AH104" s="178">
        <f t="shared" si="40"/>
        <v>5</v>
      </c>
      <c r="AI104" s="227">
        <f t="shared" si="41"/>
        <v>-0.67022739513990459</v>
      </c>
      <c r="AJ104" s="267" t="b">
        <f t="shared" si="42"/>
        <v>1</v>
      </c>
      <c r="AK104" s="267" t="b">
        <f t="shared" si="43"/>
        <v>0</v>
      </c>
      <c r="AL104" s="267"/>
      <c r="AM104" s="267"/>
      <c r="AN104" s="75"/>
    </row>
    <row r="105" spans="1:40" s="6" customFormat="1" ht="11.25" x14ac:dyDescent="0.2">
      <c r="A105" s="56">
        <f t="shared" si="44"/>
        <v>44287</v>
      </c>
      <c r="B105" s="620">
        <v>40.055</v>
      </c>
      <c r="C105" s="392"/>
      <c r="D105" s="395">
        <f t="shared" si="24"/>
        <v>40.973281204615915</v>
      </c>
      <c r="E105" s="387">
        <f t="shared" si="45"/>
        <v>46.895156441507275</v>
      </c>
      <c r="F105" s="387">
        <f t="shared" si="25"/>
        <v>47.089845528934916</v>
      </c>
      <c r="G105" s="110">
        <f t="shared" si="46"/>
        <v>0.91431893427721889</v>
      </c>
      <c r="H105" s="416" t="b">
        <f>Wh_hp&gt;='2020'!Maxi_hp</f>
        <v>0</v>
      </c>
      <c r="I105" s="382">
        <f>IF(H105,Wh_hp,'2020'!Maxi_hp)</f>
        <v>47.773310266895436</v>
      </c>
      <c r="J105" s="85">
        <f>IF(H105,An,'2020'!An_max)</f>
        <v>2020</v>
      </c>
      <c r="K105" s="199">
        <f t="shared" si="26"/>
        <v>44287</v>
      </c>
      <c r="L105" s="147">
        <f>IF(t&lt;Tvie,1-EXP((T0-t)*PertePVj)+'2020'!Pspv,1-EXP((T0-t)*PertePVj)+Pspv)</f>
        <v>2.241170776707202E-2</v>
      </c>
      <c r="M105" s="872"/>
      <c r="N105" s="872"/>
      <c r="O105" s="48">
        <f>IF(t&lt;Tnet,'2020'!Resal+('2020'!Salim-'2020'!Resal)*(1-EXP(('2020'!Tnet-t)/('2020'!Tau_j))),Resal+(Salim-Resal)*(1-EXP((Tnet-t)/(Tau_j))))*Salcycl</f>
        <v>0.12627903788481368</v>
      </c>
      <c r="P105" s="171">
        <f>(INDEX(Models!$BJ105:$BT105,,T105)*(1-R105)+INDEX(Models!$BJ105:$BT105,,T105+1)*R105-ERP_i)*Q105*Ramure*Pc/MaxiM</f>
        <v>4.7070278425188593E-3</v>
      </c>
      <c r="Q105" s="307">
        <f t="shared" si="27"/>
        <v>0.9</v>
      </c>
      <c r="R105" s="179">
        <f t="shared" si="28"/>
        <v>0.33099713341855685</v>
      </c>
      <c r="S105" s="839">
        <f t="shared" si="29"/>
        <v>-1</v>
      </c>
      <c r="T105" s="178">
        <f t="shared" si="30"/>
        <v>5</v>
      </c>
      <c r="U105" s="253">
        <f t="shared" si="31"/>
        <v>-0.66900286658144315</v>
      </c>
      <c r="V105" s="385">
        <f t="shared" si="32"/>
        <v>43.783375118663244</v>
      </c>
      <c r="W105" s="404"/>
      <c r="X105" s="157">
        <f t="shared" si="33"/>
        <v>44287</v>
      </c>
      <c r="Y105" s="387">
        <f t="shared" si="34"/>
        <v>40.055</v>
      </c>
      <c r="Z105" s="387">
        <f t="shared" si="35"/>
        <v>40.973281204615915</v>
      </c>
      <c r="AA105" s="388">
        <f t="shared" si="36"/>
        <v>46.895156441507275</v>
      </c>
      <c r="AB105" s="199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0.12627903788481368</v>
      </c>
      <c r="AD105" s="233">
        <f>(INDEX(Models!$BJ105:$BT105,,AH105)*(1-AF105)+INDEX(Models!$BJ105:$BT105,,AH105+1)*AF105-ERP_i)*AE105*Ramure*Pc/MaxiM</f>
        <v>4.7070278425188593E-3</v>
      </c>
      <c r="AE105" s="307">
        <f t="shared" si="38"/>
        <v>0.9</v>
      </c>
      <c r="AF105" s="179">
        <f t="shared" si="39"/>
        <v>0.33099713341855685</v>
      </c>
      <c r="AG105" s="839">
        <f t="shared" si="47"/>
        <v>-1</v>
      </c>
      <c r="AH105" s="178">
        <f t="shared" si="40"/>
        <v>5</v>
      </c>
      <c r="AI105" s="227">
        <f t="shared" si="41"/>
        <v>-0.66900286658144315</v>
      </c>
      <c r="AJ105" s="267" t="b">
        <f t="shared" si="42"/>
        <v>1</v>
      </c>
      <c r="AK105" s="267" t="b">
        <f t="shared" si="43"/>
        <v>0</v>
      </c>
      <c r="AL105" s="267"/>
      <c r="AM105" s="267"/>
      <c r="AN105" s="75"/>
    </row>
    <row r="106" spans="1:40" s="6" customFormat="1" ht="11.25" x14ac:dyDescent="0.2">
      <c r="A106" s="56">
        <f t="shared" si="44"/>
        <v>44288</v>
      </c>
      <c r="B106" s="620">
        <v>34.615000000000002</v>
      </c>
      <c r="C106" s="392"/>
      <c r="D106" s="395">
        <f t="shared" si="24"/>
        <v>35.40939047183064</v>
      </c>
      <c r="E106" s="387">
        <f t="shared" si="45"/>
        <v>40.530086485282965</v>
      </c>
      <c r="F106" s="387">
        <f t="shared" si="25"/>
        <v>40.66018396232797</v>
      </c>
      <c r="G106" s="110">
        <f t="shared" si="46"/>
        <v>0.78317970217582444</v>
      </c>
      <c r="H106" s="416" t="b">
        <f>Wh_hp&gt;='2020'!Maxi_hp</f>
        <v>0</v>
      </c>
      <c r="I106" s="382">
        <f>IF(H106,Wh_hp,'2020'!Maxi_hp)</f>
        <v>42.352590855929826</v>
      </c>
      <c r="J106" s="85">
        <f>IF(H106,An,'2020'!An_max)</f>
        <v>2020</v>
      </c>
      <c r="K106" s="199">
        <f t="shared" si="26"/>
        <v>44288</v>
      </c>
      <c r="L106" s="147">
        <f>IF(t&lt;Tvie,1-EXP((T0-t)*PertePVj)+'2020'!Pspv,1-EXP((T0-t)*PertePVj)+Pspv)</f>
        <v>2.2434457674796793E-2</v>
      </c>
      <c r="M106" s="872"/>
      <c r="N106" s="872"/>
      <c r="O106" s="48">
        <f>IF(t&lt;Tnet,'2020'!Resal+('2020'!Salim-'2020'!Resal)*(1-EXP(('2020'!Tnet-t)/('2020'!Tau_j))),Resal+(Salim-Resal)*(1-EXP((Tnet-t)/(Tau_j))))*Salcycl</f>
        <v>0.12634308133814906</v>
      </c>
      <c r="P106" s="171">
        <f>(INDEX(Models!$BJ106:$BT106,,T106)*(1-R106)+INDEX(Models!$BJ106:$BT106,,T106+1)*R106-ERP_i)*Q106*Ramure*Pc/MaxiM</f>
        <v>4.6246859031434107E-3</v>
      </c>
      <c r="Q106" s="307">
        <f t="shared" si="27"/>
        <v>0.9</v>
      </c>
      <c r="R106" s="179">
        <f t="shared" si="28"/>
        <v>0.33226745306791394</v>
      </c>
      <c r="S106" s="839">
        <f t="shared" si="29"/>
        <v>-1</v>
      </c>
      <c r="T106" s="178">
        <f t="shared" si="30"/>
        <v>5</v>
      </c>
      <c r="U106" s="253">
        <f t="shared" si="31"/>
        <v>-0.66773254693208606</v>
      </c>
      <c r="V106" s="385">
        <f t="shared" si="32"/>
        <v>44.134843124079502</v>
      </c>
      <c r="W106" s="404"/>
      <c r="X106" s="157">
        <f t="shared" si="33"/>
        <v>44288</v>
      </c>
      <c r="Y106" s="387">
        <f t="shared" si="34"/>
        <v>34.615000000000002</v>
      </c>
      <c r="Z106" s="387">
        <f t="shared" si="35"/>
        <v>35.40939047183064</v>
      </c>
      <c r="AA106" s="388">
        <f t="shared" si="36"/>
        <v>40.530086485282965</v>
      </c>
      <c r="AB106" s="199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0.12634308133814906</v>
      </c>
      <c r="AD106" s="233">
        <f>(INDEX(Models!$BJ106:$BT106,,AH106)*(1-AF106)+INDEX(Models!$BJ106:$BT106,,AH106+1)*AF106-ERP_i)*AE106*Ramure*Pc/MaxiM</f>
        <v>4.6246859031434107E-3</v>
      </c>
      <c r="AE106" s="307">
        <f t="shared" si="38"/>
        <v>0.9</v>
      </c>
      <c r="AF106" s="179">
        <f t="shared" si="39"/>
        <v>0.33226745306791394</v>
      </c>
      <c r="AG106" s="839">
        <f t="shared" si="47"/>
        <v>-1</v>
      </c>
      <c r="AH106" s="178">
        <f t="shared" si="40"/>
        <v>5</v>
      </c>
      <c r="AI106" s="227">
        <f t="shared" si="41"/>
        <v>-0.66773254693208606</v>
      </c>
      <c r="AJ106" s="267" t="b">
        <f t="shared" si="42"/>
        <v>1</v>
      </c>
      <c r="AK106" s="267" t="b">
        <f t="shared" si="43"/>
        <v>0</v>
      </c>
      <c r="AL106" s="267"/>
      <c r="AM106" s="267"/>
      <c r="AN106" s="75"/>
    </row>
    <row r="107" spans="1:40" s="6" customFormat="1" ht="11.25" x14ac:dyDescent="0.2">
      <c r="A107" s="56">
        <f t="shared" si="44"/>
        <v>44289</v>
      </c>
      <c r="B107" s="620">
        <v>41.596000000000004</v>
      </c>
      <c r="C107" s="392"/>
      <c r="D107" s="395">
        <f t="shared" si="24"/>
        <v>42.551589864014687</v>
      </c>
      <c r="E107" s="387">
        <f t="shared" si="45"/>
        <v>48.708811351013644</v>
      </c>
      <c r="F107" s="387">
        <f t="shared" si="25"/>
        <v>48.910344837500652</v>
      </c>
      <c r="G107" s="110">
        <f t="shared" si="46"/>
        <v>0.93475007680095679</v>
      </c>
      <c r="H107" s="416" t="b">
        <f>Wh_hp&gt;='2020'!Maxi_hp</f>
        <v>1</v>
      </c>
      <c r="I107" s="382">
        <f>IF(H107,Wh_hp,'2020'!Maxi_hp)</f>
        <v>48.910344837500652</v>
      </c>
      <c r="J107" s="85">
        <f>IF(H107,An,'2020'!An_max)</f>
        <v>2021</v>
      </c>
      <c r="K107" s="199">
        <f t="shared" si="26"/>
        <v>44289</v>
      </c>
      <c r="L107" s="147">
        <f>IF(t&lt;Tvie,1-EXP((T0-t)*PertePVj)+'2020'!Pspv,1-EXP((T0-t)*PertePVj)+Pspv)</f>
        <v>2.2457207053098061E-2</v>
      </c>
      <c r="M107" s="872"/>
      <c r="N107" s="872"/>
      <c r="O107" s="48">
        <f>IF(t&lt;Tnet,'2020'!Resal+('2020'!Salim-'2020'!Resal)*(1-EXP(('2020'!Tnet-t)/('2020'!Tau_j))),Resal+(Salim-Resal)*(1-EXP((Tnet-t)/(Tau_j))))*Salcycl</f>
        <v>0.12640878141385445</v>
      </c>
      <c r="P107" s="171">
        <f>(INDEX(Models!$BJ107:$BT107,,T107)*(1-R107)+INDEX(Models!$BJ107:$BT107,,T107+1)*R107-ERP_i)*Q107*Ramure*Pc/MaxiM</f>
        <v>4.5412095311652525E-3</v>
      </c>
      <c r="Q107" s="307">
        <f t="shared" si="27"/>
        <v>0.9</v>
      </c>
      <c r="R107" s="179">
        <f t="shared" si="28"/>
        <v>0.33358504729289284</v>
      </c>
      <c r="S107" s="839">
        <f t="shared" si="29"/>
        <v>-1</v>
      </c>
      <c r="T107" s="178">
        <f t="shared" si="30"/>
        <v>5</v>
      </c>
      <c r="U107" s="253">
        <f t="shared" si="31"/>
        <v>-0.66641495270710716</v>
      </c>
      <c r="V107" s="385">
        <f t="shared" si="32"/>
        <v>44.480794851044948</v>
      </c>
      <c r="W107" s="404"/>
      <c r="X107" s="157">
        <f t="shared" si="33"/>
        <v>44289</v>
      </c>
      <c r="Y107" s="387">
        <f t="shared" si="34"/>
        <v>41.596000000000004</v>
      </c>
      <c r="Z107" s="387">
        <f t="shared" si="35"/>
        <v>42.551589864014687</v>
      </c>
      <c r="AA107" s="388">
        <f t="shared" si="36"/>
        <v>48.708811351013644</v>
      </c>
      <c r="AB107" s="199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0.12640878141385445</v>
      </c>
      <c r="AD107" s="233">
        <f>(INDEX(Models!$BJ107:$BT107,,AH107)*(1-AF107)+INDEX(Models!$BJ107:$BT107,,AH107+1)*AF107-ERP_i)*AE107*Ramure*Pc/MaxiM</f>
        <v>4.5412095311652525E-3</v>
      </c>
      <c r="AE107" s="307">
        <f t="shared" si="38"/>
        <v>0.9</v>
      </c>
      <c r="AF107" s="179">
        <f t="shared" si="39"/>
        <v>0.33358504729289284</v>
      </c>
      <c r="AG107" s="839">
        <f t="shared" si="47"/>
        <v>-1</v>
      </c>
      <c r="AH107" s="178">
        <f t="shared" si="40"/>
        <v>5</v>
      </c>
      <c r="AI107" s="227">
        <f t="shared" si="41"/>
        <v>-0.66641495270710716</v>
      </c>
      <c r="AJ107" s="267" t="b">
        <f t="shared" si="42"/>
        <v>1</v>
      </c>
      <c r="AK107" s="267" t="b">
        <f t="shared" si="43"/>
        <v>0</v>
      </c>
      <c r="AL107" s="267"/>
      <c r="AM107" s="267"/>
      <c r="AN107" s="75"/>
    </row>
    <row r="108" spans="1:40" s="6" customFormat="1" ht="11.25" x14ac:dyDescent="0.2">
      <c r="A108" s="56">
        <f t="shared" si="44"/>
        <v>44290</v>
      </c>
      <c r="B108" s="620">
        <v>42.883000000000003</v>
      </c>
      <c r="C108" s="392"/>
      <c r="D108" s="395">
        <f t="shared" si="24"/>
        <v>43.869177168197588</v>
      </c>
      <c r="E108" s="387">
        <f t="shared" si="45"/>
        <v>50.220929467809576</v>
      </c>
      <c r="F108" s="387">
        <f t="shared" si="25"/>
        <v>50.431680438008819</v>
      </c>
      <c r="G108" s="110">
        <f t="shared" si="46"/>
        <v>0.95644539708854004</v>
      </c>
      <c r="H108" s="416" t="b">
        <f>Wh_hp&gt;='2020'!Maxi_hp</f>
        <v>0</v>
      </c>
      <c r="I108" s="382">
        <f>IF(H108,Wh_hp,'2020'!Maxi_hp)</f>
        <v>53.219609194847415</v>
      </c>
      <c r="J108" s="85">
        <f>IF(H108,An,'2020'!An_max)</f>
        <v>2020</v>
      </c>
      <c r="K108" s="199">
        <f t="shared" si="26"/>
        <v>44290</v>
      </c>
      <c r="L108" s="147">
        <f>IF(t&lt;Tvie,1-EXP((T0-t)*PertePVj)+'2020'!Pspv,1-EXP((T0-t)*PertePVj)+Pspv)</f>
        <v>2.2479955901988036E-2</v>
      </c>
      <c r="M108" s="872"/>
      <c r="N108" s="872"/>
      <c r="O108" s="48">
        <f>IF(t&lt;Tnet,'2020'!Resal+('2020'!Salim-'2020'!Resal)*(1-EXP(('2020'!Tnet-t)/('2020'!Tau_j))),Resal+(Salim-Resal)*(1-EXP((Tnet-t)/(Tau_j))))*Salcycl</f>
        <v>0.12647619960286299</v>
      </c>
      <c r="P108" s="171">
        <f>(INDEX(Models!$BJ108:$BT108,,T108)*(1-R108)+INDEX(Models!$BJ108:$BT108,,T108+1)*R108-ERP_i)*Q108*Ramure*Pc/MaxiM</f>
        <v>4.454413396132971E-3</v>
      </c>
      <c r="Q108" s="307">
        <f t="shared" si="27"/>
        <v>0.9</v>
      </c>
      <c r="R108" s="179">
        <f t="shared" si="28"/>
        <v>0.33495142922863508</v>
      </c>
      <c r="S108" s="839">
        <f t="shared" si="29"/>
        <v>-1</v>
      </c>
      <c r="T108" s="178">
        <f t="shared" si="30"/>
        <v>5</v>
      </c>
      <c r="U108" s="253">
        <f t="shared" si="31"/>
        <v>-0.66504857077136492</v>
      </c>
      <c r="V108" s="385">
        <f t="shared" si="32"/>
        <v>44.823402814606382</v>
      </c>
      <c r="W108" s="404"/>
      <c r="X108" s="157">
        <f t="shared" si="33"/>
        <v>44290</v>
      </c>
      <c r="Y108" s="387">
        <f t="shared" si="34"/>
        <v>42.883000000000003</v>
      </c>
      <c r="Z108" s="387">
        <f t="shared" si="35"/>
        <v>43.869177168197588</v>
      </c>
      <c r="AA108" s="388">
        <f t="shared" si="36"/>
        <v>50.220929467809576</v>
      </c>
      <c r="AB108" s="199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0.12647619960286299</v>
      </c>
      <c r="AD108" s="233">
        <f>(INDEX(Models!$BJ108:$BT108,,AH108)*(1-AF108)+INDEX(Models!$BJ108:$BT108,,AH108+1)*AF108-ERP_i)*AE108*Ramure*Pc/MaxiM</f>
        <v>4.454413396132971E-3</v>
      </c>
      <c r="AE108" s="307">
        <f t="shared" si="38"/>
        <v>0.9</v>
      </c>
      <c r="AF108" s="179">
        <f t="shared" si="39"/>
        <v>0.33495142922863508</v>
      </c>
      <c r="AG108" s="839">
        <f t="shared" si="47"/>
        <v>-1</v>
      </c>
      <c r="AH108" s="178">
        <f t="shared" si="40"/>
        <v>5</v>
      </c>
      <c r="AI108" s="227">
        <f t="shared" si="41"/>
        <v>-0.66504857077136492</v>
      </c>
      <c r="AJ108" s="267" t="b">
        <f t="shared" si="42"/>
        <v>1</v>
      </c>
      <c r="AK108" s="267" t="b">
        <f t="shared" si="43"/>
        <v>0</v>
      </c>
      <c r="AL108" s="267"/>
      <c r="AM108" s="267"/>
      <c r="AN108" s="75"/>
    </row>
    <row r="109" spans="1:40" s="6" customFormat="1" ht="11.25" x14ac:dyDescent="0.2">
      <c r="A109" s="56">
        <f t="shared" si="44"/>
        <v>44291</v>
      </c>
      <c r="B109" s="620">
        <v>42.069000000000003</v>
      </c>
      <c r="C109" s="392"/>
      <c r="D109" s="395">
        <f t="shared" si="24"/>
        <v>43.037459215162777</v>
      </c>
      <c r="E109" s="387">
        <f t="shared" si="45"/>
        <v>49.272691459167682</v>
      </c>
      <c r="F109" s="387">
        <f t="shared" si="25"/>
        <v>49.467542942449327</v>
      </c>
      <c r="G109" s="110">
        <f t="shared" si="46"/>
        <v>0.93110762812482728</v>
      </c>
      <c r="H109" s="416" t="b">
        <f>Wh_hp&gt;='2020'!Maxi_hp</f>
        <v>0</v>
      </c>
      <c r="I109" s="382">
        <f>IF(H109,Wh_hp,'2020'!Maxi_hp)</f>
        <v>55.117663879347624</v>
      </c>
      <c r="J109" s="85">
        <f>IF(H109,An,'2020'!An_max)</f>
        <v>2020</v>
      </c>
      <c r="K109" s="199">
        <f t="shared" si="26"/>
        <v>44291</v>
      </c>
      <c r="L109" s="147">
        <f>IF(t&lt;Tvie,1-EXP((T0-t)*PertePVj)+'2020'!Pspv,1-EXP((T0-t)*PertePVj)+Pspv)</f>
        <v>2.2502704221479042E-2</v>
      </c>
      <c r="M109" s="872"/>
      <c r="N109" s="872"/>
      <c r="O109" s="48">
        <f>IF(t&lt;Tnet,'2020'!Resal+('2020'!Salim-'2020'!Resal)*(1-EXP(('2020'!Tnet-t)/('2020'!Tau_j))),Resal+(Salim-Resal)*(1-EXP((Tnet-t)/(Tau_j))))*Salcycl</f>
        <v>0.12654539582381136</v>
      </c>
      <c r="P109" s="171">
        <f>(INDEX(Models!$BJ109:$BT109,,T109)*(1-R109)+INDEX(Models!$BJ109:$BT109,,T109+1)*R109-ERP_i)*Q109*Ramure*Pc/MaxiM</f>
        <v>4.3661951044371696E-3</v>
      </c>
      <c r="Q109" s="307">
        <f t="shared" si="27"/>
        <v>0.9</v>
      </c>
      <c r="R109" s="179">
        <f t="shared" si="28"/>
        <v>0.33636814068715515</v>
      </c>
      <c r="S109" s="839">
        <f t="shared" si="29"/>
        <v>-1</v>
      </c>
      <c r="T109" s="178">
        <f t="shared" si="30"/>
        <v>5</v>
      </c>
      <c r="U109" s="253">
        <f t="shared" si="31"/>
        <v>-0.66363185931284485</v>
      </c>
      <c r="V109" s="385">
        <f t="shared" si="32"/>
        <v>45.162293800939175</v>
      </c>
      <c r="W109" s="404"/>
      <c r="X109" s="157">
        <f t="shared" si="33"/>
        <v>44291</v>
      </c>
      <c r="Y109" s="387">
        <f t="shared" si="34"/>
        <v>42.069000000000003</v>
      </c>
      <c r="Z109" s="387">
        <f t="shared" si="35"/>
        <v>43.037459215162777</v>
      </c>
      <c r="AA109" s="388">
        <f t="shared" si="36"/>
        <v>49.272691459167682</v>
      </c>
      <c r="AB109" s="199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0.12654539582381136</v>
      </c>
      <c r="AD109" s="233">
        <f>(INDEX(Models!$BJ109:$BT109,,AH109)*(1-AF109)+INDEX(Models!$BJ109:$BT109,,AH109+1)*AF109-ERP_i)*AE109*Ramure*Pc/MaxiM</f>
        <v>4.3661951044371696E-3</v>
      </c>
      <c r="AE109" s="307">
        <f t="shared" si="38"/>
        <v>0.9</v>
      </c>
      <c r="AF109" s="179">
        <f t="shared" si="39"/>
        <v>0.33636814068715515</v>
      </c>
      <c r="AG109" s="839">
        <f t="shared" si="47"/>
        <v>-1</v>
      </c>
      <c r="AH109" s="178">
        <f t="shared" si="40"/>
        <v>5</v>
      </c>
      <c r="AI109" s="227">
        <f t="shared" si="41"/>
        <v>-0.66363185931284485</v>
      </c>
      <c r="AJ109" s="267" t="b">
        <f t="shared" si="42"/>
        <v>1</v>
      </c>
      <c r="AK109" s="267" t="b">
        <f t="shared" si="43"/>
        <v>0</v>
      </c>
      <c r="AL109" s="267"/>
      <c r="AM109" s="267"/>
      <c r="AN109" s="75"/>
    </row>
    <row r="110" spans="1:40" s="6" customFormat="1" ht="11.25" x14ac:dyDescent="0.2">
      <c r="A110" s="56">
        <f t="shared" si="44"/>
        <v>44292</v>
      </c>
      <c r="B110" s="620">
        <v>28.307000000000002</v>
      </c>
      <c r="C110" s="392"/>
      <c r="D110" s="395">
        <f t="shared" si="24"/>
        <v>28.959321813804866</v>
      </c>
      <c r="E110" s="387">
        <f t="shared" si="45"/>
        <v>33.157621407287948</v>
      </c>
      <c r="F110" s="387">
        <f t="shared" si="25"/>
        <v>33.223013228860637</v>
      </c>
      <c r="G110" s="110">
        <f t="shared" si="46"/>
        <v>0.62073146647274358</v>
      </c>
      <c r="H110" s="416" t="b">
        <f>Wh_hp&gt;='2020'!Maxi_hp</f>
        <v>0</v>
      </c>
      <c r="I110" s="382">
        <f>IF(H110,Wh_hp,'2020'!Maxi_hp)</f>
        <v>55.281205017406521</v>
      </c>
      <c r="J110" s="85">
        <f>IF(H110,An,'2020'!An_max)</f>
        <v>2020</v>
      </c>
      <c r="K110" s="199">
        <f t="shared" si="26"/>
        <v>44292</v>
      </c>
      <c r="L110" s="147">
        <f>IF(t&lt;Tvie,1-EXP((T0-t)*PertePVj)+'2020'!Pspv,1-EXP((T0-t)*PertePVj)+Pspv)</f>
        <v>2.2525452011583513E-2</v>
      </c>
      <c r="M110" s="872"/>
      <c r="N110" s="872"/>
      <c r="O110" s="48">
        <f>IF(t&lt;Tnet,'2020'!Resal+('2020'!Salim-'2020'!Resal)*(1-EXP(('2020'!Tnet-t)/('2020'!Tau_j))),Resal+(Salim-Resal)*(1-EXP((Tnet-t)/(Tau_j))))*Salcycl</f>
        <v>0.12661642829905498</v>
      </c>
      <c r="P110" s="171">
        <f>(INDEX(Models!$BJ110:$BT110,,T110)*(1-R110)+INDEX(Models!$BJ110:$BT110,,T110+1)*R110-ERP_i)*Q110*Ramure*Pc/MaxiM</f>
        <v>4.2765813283004231E-3</v>
      </c>
      <c r="Q110" s="307">
        <f t="shared" si="27"/>
        <v>0.9</v>
      </c>
      <c r="R110" s="179">
        <f t="shared" si="28"/>
        <v>0.33783675101723354</v>
      </c>
      <c r="S110" s="839">
        <f t="shared" si="29"/>
        <v>-1</v>
      </c>
      <c r="T110" s="178">
        <f t="shared" si="30"/>
        <v>5</v>
      </c>
      <c r="U110" s="253">
        <f t="shared" si="31"/>
        <v>-0.66216324898276646</v>
      </c>
      <c r="V110" s="385">
        <f t="shared" si="32"/>
        <v>45.497177540677328</v>
      </c>
      <c r="W110" s="404"/>
      <c r="X110" s="157">
        <f t="shared" si="33"/>
        <v>44292</v>
      </c>
      <c r="Y110" s="387">
        <f t="shared" si="34"/>
        <v>28.306999999999999</v>
      </c>
      <c r="Z110" s="387">
        <f t="shared" si="35"/>
        <v>28.959321813804863</v>
      </c>
      <c r="AA110" s="388">
        <f t="shared" si="36"/>
        <v>33.157621407287948</v>
      </c>
      <c r="AB110" s="199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0.12661642829905498</v>
      </c>
      <c r="AD110" s="233">
        <f>(INDEX(Models!$BJ110:$BT110,,AH110)*(1-AF110)+INDEX(Models!$BJ110:$BT110,,AH110+1)*AF110-ERP_i)*AE110*Ramure*Pc/MaxiM</f>
        <v>4.2765813283004231E-3</v>
      </c>
      <c r="AE110" s="307">
        <f t="shared" si="38"/>
        <v>0.9</v>
      </c>
      <c r="AF110" s="179">
        <f t="shared" si="39"/>
        <v>0.33783675101723354</v>
      </c>
      <c r="AG110" s="839">
        <f t="shared" si="47"/>
        <v>-1</v>
      </c>
      <c r="AH110" s="178">
        <f t="shared" si="40"/>
        <v>5</v>
      </c>
      <c r="AI110" s="227">
        <f t="shared" si="41"/>
        <v>-0.66216324898276646</v>
      </c>
      <c r="AJ110" s="267" t="b">
        <f t="shared" si="42"/>
        <v>1</v>
      </c>
      <c r="AK110" s="267" t="b">
        <f t="shared" si="43"/>
        <v>0</v>
      </c>
      <c r="AL110" s="267"/>
      <c r="AM110" s="267"/>
      <c r="AN110" s="75"/>
    </row>
    <row r="111" spans="1:40" s="6" customFormat="1" ht="11.25" x14ac:dyDescent="0.2">
      <c r="A111" s="56">
        <f t="shared" si="44"/>
        <v>44293</v>
      </c>
      <c r="B111" s="620">
        <v>45.983000000000004</v>
      </c>
      <c r="C111" s="392"/>
      <c r="D111" s="395">
        <f t="shared" si="24"/>
        <v>47.043751892182208</v>
      </c>
      <c r="E111" s="387">
        <f t="shared" si="45"/>
        <v>53.868290827798141</v>
      </c>
      <c r="F111" s="387">
        <f t="shared" si="25"/>
        <v>54.094709331029712</v>
      </c>
      <c r="G111" s="110">
        <f t="shared" si="46"/>
        <v>1.0033873794376587</v>
      </c>
      <c r="H111" s="416" t="b">
        <f>Wh_hp&gt;='2020'!Maxi_hp</f>
        <v>1</v>
      </c>
      <c r="I111" s="382">
        <f>IF(H111,Wh_hp,'2020'!Maxi_hp)</f>
        <v>54.094709331029712</v>
      </c>
      <c r="J111" s="85">
        <f>IF(H111,An,'2020'!An_max)</f>
        <v>2021</v>
      </c>
      <c r="K111" s="199">
        <f t="shared" si="26"/>
        <v>44293</v>
      </c>
      <c r="L111" s="147">
        <f>IF(t&lt;Tvie,1-EXP((T0-t)*PertePVj)+'2020'!Pspv,1-EXP((T0-t)*PertePVj)+Pspv)</f>
        <v>2.2548199272313552E-2</v>
      </c>
      <c r="M111" s="872"/>
      <c r="N111" s="872"/>
      <c r="O111" s="48">
        <f>IF(t&lt;Tnet,'2020'!Resal+('2020'!Salim-'2020'!Resal)*(1-EXP(('2020'!Tnet-t)/('2020'!Tau_j))),Resal+(Salim-Resal)*(1-EXP((Tnet-t)/(Tau_j))))*Salcycl</f>
        <v>0.12668935343488202</v>
      </c>
      <c r="P111" s="171">
        <f>(INDEX(Models!$BJ111:$BT111,,T111)*(1-R111)+INDEX(Models!$BJ111:$BT111,,T111+1)*R111-ERP_i)*Q111*Ramure*Pc/MaxiM</f>
        <v>4.1855942296688152E-3</v>
      </c>
      <c r="Q111" s="307">
        <f t="shared" si="27"/>
        <v>0.9</v>
      </c>
      <c r="R111" s="179">
        <f t="shared" si="28"/>
        <v>0.33935885578668867</v>
      </c>
      <c r="S111" s="839">
        <f t="shared" si="29"/>
        <v>-1</v>
      </c>
      <c r="T111" s="178">
        <f t="shared" si="30"/>
        <v>5</v>
      </c>
      <c r="U111" s="253">
        <f t="shared" si="31"/>
        <v>-0.66064114421331133</v>
      </c>
      <c r="V111" s="385">
        <f t="shared" si="32"/>
        <v>45.827763974638437</v>
      </c>
      <c r="W111" s="404"/>
      <c r="X111" s="157">
        <f t="shared" si="33"/>
        <v>44293</v>
      </c>
      <c r="Y111" s="387">
        <f t="shared" si="34"/>
        <v>45.983000000000004</v>
      </c>
      <c r="Z111" s="387">
        <f t="shared" si="35"/>
        <v>47.043751892182208</v>
      </c>
      <c r="AA111" s="388">
        <f t="shared" si="36"/>
        <v>53.868290827798141</v>
      </c>
      <c r="AB111" s="199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0.12668935343488202</v>
      </c>
      <c r="AD111" s="233">
        <f>(INDEX(Models!$BJ111:$BT111,,AH111)*(1-AF111)+INDEX(Models!$BJ111:$BT111,,AH111+1)*AF111-ERP_i)*AE111*Ramure*Pc/MaxiM</f>
        <v>4.1855942296688152E-3</v>
      </c>
      <c r="AE111" s="307">
        <f t="shared" si="38"/>
        <v>0.9</v>
      </c>
      <c r="AF111" s="179">
        <f t="shared" si="39"/>
        <v>0.33935885578668867</v>
      </c>
      <c r="AG111" s="839">
        <f t="shared" si="47"/>
        <v>-1</v>
      </c>
      <c r="AH111" s="178">
        <f t="shared" si="40"/>
        <v>5</v>
      </c>
      <c r="AI111" s="227">
        <f t="shared" si="41"/>
        <v>-0.66064114421331133</v>
      </c>
      <c r="AJ111" s="267" t="b">
        <f t="shared" si="42"/>
        <v>1</v>
      </c>
      <c r="AK111" s="267" t="b">
        <f t="shared" si="43"/>
        <v>0</v>
      </c>
      <c r="AL111" s="267"/>
      <c r="AM111" s="267"/>
      <c r="AN111" s="75"/>
    </row>
    <row r="112" spans="1:40" s="6" customFormat="1" ht="11.25" x14ac:dyDescent="0.2">
      <c r="A112" s="56">
        <f t="shared" si="44"/>
        <v>44294</v>
      </c>
      <c r="B112" s="620">
        <v>44.197000000000003</v>
      </c>
      <c r="C112" s="392"/>
      <c r="D112" s="395">
        <f t="shared" si="24"/>
        <v>45.217604100569822</v>
      </c>
      <c r="E112" s="387">
        <f t="shared" si="45"/>
        <v>51.781667026959276</v>
      </c>
      <c r="F112" s="387">
        <f t="shared" si="25"/>
        <v>51.981553630280644</v>
      </c>
      <c r="G112" s="110">
        <f t="shared" si="46"/>
        <v>0.95736506645619479</v>
      </c>
      <c r="H112" s="416" t="b">
        <f>Wh_hp&gt;='2020'!Maxi_hp</f>
        <v>1</v>
      </c>
      <c r="I112" s="382">
        <f>IF(H112,Wh_hp,'2020'!Maxi_hp)</f>
        <v>51.981553630280644</v>
      </c>
      <c r="J112" s="85">
        <f>IF(H112,An,'2020'!An_max)</f>
        <v>2021</v>
      </c>
      <c r="K112" s="199">
        <f t="shared" si="26"/>
        <v>44294</v>
      </c>
      <c r="L112" s="147">
        <f>IF(t&lt;Tvie,1-EXP((T0-t)*PertePVj)+'2020'!Pspv,1-EXP((T0-t)*PertePVj)+Pspv)</f>
        <v>2.2570946003681702E-2</v>
      </c>
      <c r="M112" s="872"/>
      <c r="N112" s="872"/>
      <c r="O112" s="48">
        <f>IF(t&lt;Tnet,'2020'!Resal+('2020'!Salim-'2020'!Resal)*(1-EXP(('2020'!Tnet-t)/('2020'!Tau_j))),Resal+(Salim-Resal)*(1-EXP((Tnet-t)/(Tau_j))))*Salcycl</f>
        <v>0.12676422570505469</v>
      </c>
      <c r="P112" s="171">
        <f>(INDEX(Models!$BJ112:$BT112,,T112)*(1-R112)+INDEX(Models!$BJ112:$BT112,,T112+1)*R112-ERP_i)*Q112*Ramure*Pc/MaxiM</f>
        <v>4.0932515172540183E-3</v>
      </c>
      <c r="Q112" s="307">
        <f t="shared" si="27"/>
        <v>0.9</v>
      </c>
      <c r="R112" s="179">
        <f t="shared" si="28"/>
        <v>0.34093607527577341</v>
      </c>
      <c r="S112" s="839">
        <f t="shared" si="29"/>
        <v>-1</v>
      </c>
      <c r="T112" s="178">
        <f t="shared" si="30"/>
        <v>5</v>
      </c>
      <c r="U112" s="253">
        <f t="shared" si="31"/>
        <v>-0.65906392472422659</v>
      </c>
      <c r="V112" s="385">
        <f t="shared" si="32"/>
        <v>46.153763265495336</v>
      </c>
      <c r="W112" s="404"/>
      <c r="X112" s="157">
        <f t="shared" si="33"/>
        <v>44294</v>
      </c>
      <c r="Y112" s="387">
        <f t="shared" si="34"/>
        <v>44.197000000000003</v>
      </c>
      <c r="Z112" s="387">
        <f t="shared" si="35"/>
        <v>45.217604100569822</v>
      </c>
      <c r="AA112" s="388">
        <f t="shared" si="36"/>
        <v>51.781667026959276</v>
      </c>
      <c r="AB112" s="199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0.12676422570505469</v>
      </c>
      <c r="AD112" s="233">
        <f>(INDEX(Models!$BJ112:$BT112,,AH112)*(1-AF112)+INDEX(Models!$BJ112:$BT112,,AH112+1)*AF112-ERP_i)*AE112*Ramure*Pc/MaxiM</f>
        <v>4.0932515172540183E-3</v>
      </c>
      <c r="AE112" s="307">
        <f t="shared" si="38"/>
        <v>0.9</v>
      </c>
      <c r="AF112" s="179">
        <f t="shared" si="39"/>
        <v>0.34093607527577341</v>
      </c>
      <c r="AG112" s="839">
        <f t="shared" si="47"/>
        <v>-1</v>
      </c>
      <c r="AH112" s="178">
        <f t="shared" si="40"/>
        <v>5</v>
      </c>
      <c r="AI112" s="227">
        <f t="shared" si="41"/>
        <v>-0.65906392472422659</v>
      </c>
      <c r="AJ112" s="267" t="b">
        <f t="shared" si="42"/>
        <v>1</v>
      </c>
      <c r="AK112" s="267" t="b">
        <f t="shared" si="43"/>
        <v>0</v>
      </c>
      <c r="AL112" s="267"/>
      <c r="AM112" s="267"/>
      <c r="AN112" s="75"/>
    </row>
    <row r="113" spans="1:40" s="6" customFormat="1" ht="11.25" x14ac:dyDescent="0.2">
      <c r="A113" s="56">
        <f t="shared" si="44"/>
        <v>44295</v>
      </c>
      <c r="B113" s="620">
        <v>26.923999999999999</v>
      </c>
      <c r="C113" s="392"/>
      <c r="D113" s="395">
        <f t="shared" si="24"/>
        <v>27.546374302370772</v>
      </c>
      <c r="E113" s="387">
        <f t="shared" si="45"/>
        <v>31.547951036931035</v>
      </c>
      <c r="F113" s="387">
        <f t="shared" si="25"/>
        <v>31.598380855163605</v>
      </c>
      <c r="G113" s="110">
        <f t="shared" si="46"/>
        <v>0.57792894868504663</v>
      </c>
      <c r="H113" s="416" t="b">
        <f>Wh_hp&gt;='2020'!Maxi_hp</f>
        <v>0</v>
      </c>
      <c r="I113" s="382">
        <f>IF(H113,Wh_hp,'2020'!Maxi_hp)</f>
        <v>51.372515344218137</v>
      </c>
      <c r="J113" s="85">
        <f>IF(H113,An,'2020'!An_max)</f>
        <v>2020</v>
      </c>
      <c r="K113" s="199">
        <f t="shared" si="26"/>
        <v>44295</v>
      </c>
      <c r="L113" s="147">
        <f>IF(t&lt;Tvie,1-EXP((T0-t)*PertePVj)+'2020'!Pspv,1-EXP((T0-t)*PertePVj)+Pspv)</f>
        <v>2.2593692205700178E-2</v>
      </c>
      <c r="M113" s="872"/>
      <c r="N113" s="872"/>
      <c r="O113" s="48">
        <f>IF(t&lt;Tnet,'2020'!Resal+('2020'!Salim-'2020'!Resal)*(1-EXP(('2020'!Tnet-t)/('2020'!Tau_j))),Resal+(Salim-Resal)*(1-EXP((Tnet-t)/(Tau_j))))*Salcycl</f>
        <v>0.12684109753675893</v>
      </c>
      <c r="P113" s="171">
        <f>(INDEX(Models!$BJ113:$BT113,,T113)*(1-R113)+INDEX(Models!$BJ113:$BT113,,T113+1)*R113-ERP_i)*Q113*Ramure*Pc/MaxiM</f>
        <v>3.9995664943933132E-3</v>
      </c>
      <c r="Q113" s="307">
        <f t="shared" si="27"/>
        <v>0.9</v>
      </c>
      <c r="R113" s="179">
        <f t="shared" si="28"/>
        <v>0.34257005277030983</v>
      </c>
      <c r="S113" s="839">
        <f t="shared" si="29"/>
        <v>-1</v>
      </c>
      <c r="T113" s="178">
        <f t="shared" si="30"/>
        <v>5</v>
      </c>
      <c r="U113" s="253">
        <f t="shared" si="31"/>
        <v>-0.65742994722969017</v>
      </c>
      <c r="V113" s="385">
        <f t="shared" si="32"/>
        <v>46.474885830085007</v>
      </c>
      <c r="W113" s="404"/>
      <c r="X113" s="157">
        <f t="shared" si="33"/>
        <v>44295</v>
      </c>
      <c r="Y113" s="387">
        <f t="shared" si="34"/>
        <v>26.923999999999999</v>
      </c>
      <c r="Z113" s="387">
        <f t="shared" si="35"/>
        <v>27.546374302370772</v>
      </c>
      <c r="AA113" s="388">
        <f t="shared" si="36"/>
        <v>31.547951036931035</v>
      </c>
      <c r="AB113" s="199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0.12684109753675893</v>
      </c>
      <c r="AD113" s="233">
        <f>(INDEX(Models!$BJ113:$BT113,,AH113)*(1-AF113)+INDEX(Models!$BJ113:$BT113,,AH113+1)*AF113-ERP_i)*AE113*Ramure*Pc/MaxiM</f>
        <v>3.9995664943933132E-3</v>
      </c>
      <c r="AE113" s="307">
        <f t="shared" si="38"/>
        <v>0.9</v>
      </c>
      <c r="AF113" s="179">
        <f t="shared" si="39"/>
        <v>0.34257005277030983</v>
      </c>
      <c r="AG113" s="839">
        <f t="shared" si="47"/>
        <v>-1</v>
      </c>
      <c r="AH113" s="178">
        <f t="shared" si="40"/>
        <v>5</v>
      </c>
      <c r="AI113" s="227">
        <f t="shared" si="41"/>
        <v>-0.65742994722969017</v>
      </c>
      <c r="AJ113" s="267" t="b">
        <f t="shared" si="42"/>
        <v>1</v>
      </c>
      <c r="AK113" s="267" t="b">
        <f t="shared" si="43"/>
        <v>0</v>
      </c>
      <c r="AL113" s="267"/>
      <c r="AM113" s="267"/>
      <c r="AN113" s="75"/>
    </row>
    <row r="114" spans="1:40" s="6" customFormat="1" ht="11.25" x14ac:dyDescent="0.2">
      <c r="A114" s="56">
        <f t="shared" si="44"/>
        <v>44296</v>
      </c>
      <c r="B114" s="620">
        <v>26.733000000000001</v>
      </c>
      <c r="C114" s="392"/>
      <c r="D114" s="395">
        <f t="shared" si="24"/>
        <v>27.351595664214305</v>
      </c>
      <c r="E114" s="387">
        <f t="shared" si="45"/>
        <v>31.327709105287184</v>
      </c>
      <c r="F114" s="387">
        <f t="shared" si="25"/>
        <v>31.375174000914917</v>
      </c>
      <c r="G114" s="110">
        <f t="shared" si="46"/>
        <v>0.56996120687992946</v>
      </c>
      <c r="H114" s="416" t="b">
        <f>Wh_hp&gt;='2020'!Maxi_hp</f>
        <v>0</v>
      </c>
      <c r="I114" s="382">
        <f>IF(H114,Wh_hp,'2020'!Maxi_hp)</f>
        <v>54.155643775849079</v>
      </c>
      <c r="J114" s="85">
        <f>IF(H114,An,'2020'!An_max)</f>
        <v>2020</v>
      </c>
      <c r="K114" s="199">
        <f t="shared" si="26"/>
        <v>44296</v>
      </c>
      <c r="L114" s="147">
        <f>IF(t&lt;Tvie,1-EXP((T0-t)*PertePVj)+'2020'!Pspv,1-EXP((T0-t)*PertePVj)+Pspv)</f>
        <v>2.261643787838119E-2</v>
      </c>
      <c r="M114" s="872"/>
      <c r="N114" s="872"/>
      <c r="O114" s="48">
        <f>IF(t&lt;Tnet,'2020'!Resal+('2020'!Salim-'2020'!Resal)*(1-EXP(('2020'!Tnet-t)/('2020'!Tau_j))),Resal+(Salim-Resal)*(1-EXP((Tnet-t)/(Tau_j))))*Salcycl</f>
        <v>0.12692001919801499</v>
      </c>
      <c r="P114" s="171">
        <f>(INDEX(Models!$BJ114:$BT114,,T114)*(1-R114)+INDEX(Models!$BJ114:$BT114,,T114+1)*R114-ERP_i)*Q114*Ramure*Pc/MaxiM</f>
        <v>3.9029098999136583E-3</v>
      </c>
      <c r="Q114" s="307">
        <f t="shared" si="27"/>
        <v>0.9</v>
      </c>
      <c r="R114" s="179">
        <f t="shared" si="28"/>
        <v>0.34426245264311273</v>
      </c>
      <c r="S114" s="839">
        <f t="shared" si="29"/>
        <v>-1</v>
      </c>
      <c r="T114" s="178">
        <f t="shared" si="30"/>
        <v>5</v>
      </c>
      <c r="U114" s="253">
        <f t="shared" si="31"/>
        <v>-0.65573754735688727</v>
      </c>
      <c r="V114" s="385">
        <f t="shared" si="32"/>
        <v>46.790919306155956</v>
      </c>
      <c r="W114" s="404"/>
      <c r="X114" s="157">
        <f t="shared" si="33"/>
        <v>44296</v>
      </c>
      <c r="Y114" s="387">
        <f t="shared" si="34"/>
        <v>26.733000000000001</v>
      </c>
      <c r="Z114" s="387">
        <f t="shared" si="35"/>
        <v>27.351595664214305</v>
      </c>
      <c r="AA114" s="388">
        <f t="shared" si="36"/>
        <v>31.327709105287184</v>
      </c>
      <c r="AB114" s="199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0.12692001919801499</v>
      </c>
      <c r="AD114" s="233">
        <f>(INDEX(Models!$BJ114:$BT114,,AH114)*(1-AF114)+INDEX(Models!$BJ114:$BT114,,AH114+1)*AF114-ERP_i)*AE114*Ramure*Pc/MaxiM</f>
        <v>3.9029098999136583E-3</v>
      </c>
      <c r="AE114" s="307">
        <f t="shared" si="38"/>
        <v>0.9</v>
      </c>
      <c r="AF114" s="179">
        <f t="shared" si="39"/>
        <v>0.34426245264311273</v>
      </c>
      <c r="AG114" s="839">
        <f t="shared" si="47"/>
        <v>-1</v>
      </c>
      <c r="AH114" s="178">
        <f t="shared" si="40"/>
        <v>5</v>
      </c>
      <c r="AI114" s="227">
        <f t="shared" si="41"/>
        <v>-0.65573754735688727</v>
      </c>
      <c r="AJ114" s="267" t="b">
        <f t="shared" si="42"/>
        <v>1</v>
      </c>
      <c r="AK114" s="267" t="b">
        <f t="shared" si="43"/>
        <v>0</v>
      </c>
      <c r="AL114" s="267"/>
      <c r="AM114" s="267"/>
      <c r="AN114" s="75"/>
    </row>
    <row r="115" spans="1:40" s="6" customFormat="1" ht="11.25" x14ac:dyDescent="0.2">
      <c r="A115" s="56">
        <f t="shared" si="44"/>
        <v>44297</v>
      </c>
      <c r="B115" s="620">
        <v>6.8520000000000003</v>
      </c>
      <c r="C115" s="392"/>
      <c r="D115" s="395">
        <f t="shared" si="24"/>
        <v>7.0107169030824714</v>
      </c>
      <c r="E115" s="387">
        <f t="shared" si="45"/>
        <v>8.0306131092378443</v>
      </c>
      <c r="F115" s="387">
        <f t="shared" si="25"/>
        <v>8.0306131092378443</v>
      </c>
      <c r="G115" s="110">
        <f t="shared" si="46"/>
        <v>0.14491956396711031</v>
      </c>
      <c r="H115" s="416" t="b">
        <f>Wh_hp&gt;='2020'!Maxi_hp</f>
        <v>0</v>
      </c>
      <c r="I115" s="382">
        <f>IF(H115,Wh_hp,'2020'!Maxi_hp)</f>
        <v>55.083209342837009</v>
      </c>
      <c r="J115" s="85">
        <f>IF(H115,An,'2020'!An_max)</f>
        <v>2020</v>
      </c>
      <c r="K115" s="199">
        <f t="shared" si="26"/>
        <v>44297</v>
      </c>
      <c r="L115" s="147">
        <f>IF(t&lt;Tvie,1-EXP((T0-t)*PertePVj)+'2020'!Pspv,1-EXP((T0-t)*PertePVj)+Pspv)</f>
        <v>2.2639183021737286E-2</v>
      </c>
      <c r="M115" s="872"/>
      <c r="N115" s="872"/>
      <c r="O115" s="48">
        <f>IF(t&lt;Tnet,'2020'!Resal+('2020'!Salim-'2020'!Resal)*(1-EXP(('2020'!Tnet-t)/('2020'!Tau_j))),Resal+(Salim-Resal)*(1-EXP((Tnet-t)/(Tau_j))))*Salcycl</f>
        <v>0.12700103868559628</v>
      </c>
      <c r="P115" s="171">
        <f>(INDEX(Models!$BJ115:$BT115,,T115)*(1-R115)+INDEX(Models!$BJ115:$BT115,,T115+1)*R115-ERP_i)*Q115*Ramure*Pc/MaxiM</f>
        <v>3.8045015661311433E-3</v>
      </c>
      <c r="Q115" s="307">
        <f t="shared" si="27"/>
        <v>0.9</v>
      </c>
      <c r="R115" s="179">
        <f t="shared" si="28"/>
        <v>0.34601495821226647</v>
      </c>
      <c r="S115" s="839">
        <f t="shared" si="29"/>
        <v>-1</v>
      </c>
      <c r="T115" s="178">
        <f t="shared" si="30"/>
        <v>5</v>
      </c>
      <c r="U115" s="253">
        <f t="shared" si="31"/>
        <v>-0.65398504178773353</v>
      </c>
      <c r="V115" s="385">
        <f t="shared" si="32"/>
        <v>47.101518721226789</v>
      </c>
      <c r="W115" s="404"/>
      <c r="X115" s="157">
        <f t="shared" si="33"/>
        <v>44297</v>
      </c>
      <c r="Y115" s="387">
        <f t="shared" si="34"/>
        <v>6.8520000000000012</v>
      </c>
      <c r="Z115" s="387">
        <f t="shared" si="35"/>
        <v>7.0107169030824723</v>
      </c>
      <c r="AA115" s="388">
        <f t="shared" si="36"/>
        <v>8.0306131092378443</v>
      </c>
      <c r="AB115" s="199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0.12700103868559628</v>
      </c>
      <c r="AD115" s="233">
        <f>(INDEX(Models!$BJ115:$BT115,,AH115)*(1-AF115)+INDEX(Models!$BJ115:$BT115,,AH115+1)*AF115-ERP_i)*AE115*Ramure*Pc/MaxiM</f>
        <v>3.8045015661311433E-3</v>
      </c>
      <c r="AE115" s="307">
        <f t="shared" si="38"/>
        <v>0.9</v>
      </c>
      <c r="AF115" s="179">
        <f t="shared" si="39"/>
        <v>0.34601495821226647</v>
      </c>
      <c r="AG115" s="839">
        <f t="shared" si="47"/>
        <v>-1</v>
      </c>
      <c r="AH115" s="178">
        <f t="shared" si="40"/>
        <v>5</v>
      </c>
      <c r="AI115" s="227">
        <f t="shared" si="41"/>
        <v>-0.65398504178773353</v>
      </c>
      <c r="AJ115" s="267" t="b">
        <f t="shared" si="42"/>
        <v>1</v>
      </c>
      <c r="AK115" s="267" t="b">
        <f t="shared" si="43"/>
        <v>0</v>
      </c>
      <c r="AL115" s="267"/>
      <c r="AM115" s="267"/>
      <c r="AN115" s="75"/>
    </row>
    <row r="116" spans="1:40" s="6" customFormat="1" ht="11.25" x14ac:dyDescent="0.2">
      <c r="A116" s="56">
        <f t="shared" si="44"/>
        <v>44298</v>
      </c>
      <c r="B116" s="620">
        <v>38.105000000000004</v>
      </c>
      <c r="C116" s="392"/>
      <c r="D116" s="395">
        <f t="shared" si="24"/>
        <v>38.988555830862602</v>
      </c>
      <c r="E116" s="387">
        <f t="shared" si="45"/>
        <v>44.66473845803359</v>
      </c>
      <c r="F116" s="387">
        <f t="shared" si="25"/>
        <v>44.784134891072462</v>
      </c>
      <c r="G116" s="110">
        <f t="shared" si="46"/>
        <v>0.8029576872078652</v>
      </c>
      <c r="H116" s="416" t="b">
        <f>Wh_hp&gt;='2020'!Maxi_hp</f>
        <v>0</v>
      </c>
      <c r="I116" s="382">
        <f>IF(H116,Wh_hp,'2020'!Maxi_hp)</f>
        <v>55.421173257782392</v>
      </c>
      <c r="J116" s="85">
        <f>IF(H116,An,'2020'!An_max)</f>
        <v>2019</v>
      </c>
      <c r="K116" s="199">
        <f t="shared" si="26"/>
        <v>44298</v>
      </c>
      <c r="L116" s="147">
        <f>IF(t&lt;Tvie,1-EXP((T0-t)*PertePVj)+'2020'!Pspv,1-EXP((T0-t)*PertePVj)+Pspv)</f>
        <v>2.2661927635780565E-2</v>
      </c>
      <c r="M116" s="872"/>
      <c r="N116" s="872"/>
      <c r="O116" s="48">
        <f>IF(t&lt;Tnet,'2020'!Resal+('2020'!Salim-'2020'!Resal)*(1-EXP(('2020'!Tnet-t)/('2020'!Tau_j))),Resal+(Salim-Resal)*(1-EXP((Tnet-t)/(Tau_j))))*Salcycl</f>
        <v>0.12708420161251482</v>
      </c>
      <c r="P116" s="171">
        <f>(INDEX(Models!$BJ116:$BT116,,T116)*(1-R116)+INDEX(Models!$BJ116:$BT116,,T116+1)*R116-ERP_i)*Q116*Ramure*Pc/MaxiM</f>
        <v>3.704348004045403E-3</v>
      </c>
      <c r="Q116" s="307">
        <f t="shared" si="27"/>
        <v>0.9</v>
      </c>
      <c r="R116" s="179">
        <f t="shared" si="28"/>
        <v>0.34782926936492675</v>
      </c>
      <c r="S116" s="839">
        <f t="shared" si="29"/>
        <v>-1</v>
      </c>
      <c r="T116" s="178">
        <f t="shared" si="30"/>
        <v>5</v>
      </c>
      <c r="U116" s="253">
        <f t="shared" si="31"/>
        <v>-0.65217073063507325</v>
      </c>
      <c r="V116" s="385">
        <f t="shared" si="32"/>
        <v>47.406395423418395</v>
      </c>
      <c r="W116" s="404"/>
      <c r="X116" s="157">
        <f t="shared" si="33"/>
        <v>44298</v>
      </c>
      <c r="Y116" s="387">
        <f t="shared" si="34"/>
        <v>38.105000000000004</v>
      </c>
      <c r="Z116" s="387">
        <f t="shared" si="35"/>
        <v>38.988555830862602</v>
      </c>
      <c r="AA116" s="388">
        <f t="shared" si="36"/>
        <v>44.66473845803359</v>
      </c>
      <c r="AB116" s="199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0.12708420161251482</v>
      </c>
      <c r="AD116" s="233">
        <f>(INDEX(Models!$BJ116:$BT116,,AH116)*(1-AF116)+INDEX(Models!$BJ116:$BT116,,AH116+1)*AF116-ERP_i)*AE116*Ramure*Pc/MaxiM</f>
        <v>3.704348004045403E-3</v>
      </c>
      <c r="AE116" s="307">
        <f t="shared" si="38"/>
        <v>0.9</v>
      </c>
      <c r="AF116" s="179">
        <f t="shared" si="39"/>
        <v>0.34782926936492675</v>
      </c>
      <c r="AG116" s="839">
        <f t="shared" si="47"/>
        <v>-1</v>
      </c>
      <c r="AH116" s="178">
        <f t="shared" si="40"/>
        <v>5</v>
      </c>
      <c r="AI116" s="227">
        <f t="shared" si="41"/>
        <v>-0.65217073063507325</v>
      </c>
      <c r="AJ116" s="267" t="b">
        <f t="shared" si="42"/>
        <v>1</v>
      </c>
      <c r="AK116" s="267" t="b">
        <f t="shared" si="43"/>
        <v>0</v>
      </c>
      <c r="AL116" s="267"/>
      <c r="AM116" s="267"/>
      <c r="AN116" s="75"/>
    </row>
    <row r="117" spans="1:40" s="6" customFormat="1" ht="11.25" x14ac:dyDescent="0.2">
      <c r="A117" s="56">
        <f t="shared" si="44"/>
        <v>44299</v>
      </c>
      <c r="B117" s="620">
        <v>42.017000000000003</v>
      </c>
      <c r="C117" s="392"/>
      <c r="D117" s="395">
        <f t="shared" si="24"/>
        <v>42.992265427750127</v>
      </c>
      <c r="E117" s="387">
        <f t="shared" si="45"/>
        <v>49.256147607641992</v>
      </c>
      <c r="F117" s="387">
        <f t="shared" si="25"/>
        <v>49.403806266938801</v>
      </c>
      <c r="G117" s="110">
        <f t="shared" si="46"/>
        <v>0.88022030384372163</v>
      </c>
      <c r="H117" s="416" t="b">
        <f>Wh_hp&gt;='2020'!Maxi_hp</f>
        <v>0</v>
      </c>
      <c r="I117" s="382">
        <f>IF(H117,Wh_hp,'2020'!Maxi_hp)</f>
        <v>56.406019342238785</v>
      </c>
      <c r="J117" s="85">
        <f>IF(H117,An,'2020'!An_max)</f>
        <v>2019</v>
      </c>
      <c r="K117" s="199">
        <f t="shared" si="26"/>
        <v>44299</v>
      </c>
      <c r="L117" s="147">
        <f>IF(t&lt;Tvie,1-EXP((T0-t)*PertePVj)+'2020'!Pspv,1-EXP((T0-t)*PertePVj)+Pspv)</f>
        <v>2.2684671720523575E-2</v>
      </c>
      <c r="M117" s="872"/>
      <c r="N117" s="872"/>
      <c r="O117" s="48">
        <f>IF(t&lt;Tnet,'2020'!Resal+('2020'!Salim-'2020'!Resal)*(1-EXP(('2020'!Tnet-t)/('2020'!Tau_j))),Resal+(Salim-Resal)*(1-EXP((Tnet-t)/(Tau_j))))*Salcycl</f>
        <v>0.12716955109416708</v>
      </c>
      <c r="P117" s="171">
        <f>(INDEX(Models!$BJ117:$BT117,,T117)*(1-R117)+INDEX(Models!$BJ117:$BT117,,T117+1)*R117-ERP_i)*Q117*Ramure*Pc/MaxiM</f>
        <v>3.6024508445516384E-3</v>
      </c>
      <c r="Q117" s="307">
        <f t="shared" si="27"/>
        <v>0.9</v>
      </c>
      <c r="R117" s="179">
        <f t="shared" si="28"/>
        <v>0.3497070999355244</v>
      </c>
      <c r="S117" s="839">
        <f t="shared" si="29"/>
        <v>-1</v>
      </c>
      <c r="T117" s="178">
        <f t="shared" si="30"/>
        <v>5</v>
      </c>
      <c r="U117" s="253">
        <f t="shared" si="31"/>
        <v>-0.6502929000644756</v>
      </c>
      <c r="V117" s="385">
        <f t="shared" si="32"/>
        <v>47.705261098417736</v>
      </c>
      <c r="W117" s="404"/>
      <c r="X117" s="157">
        <f t="shared" si="33"/>
        <v>44299</v>
      </c>
      <c r="Y117" s="387">
        <f t="shared" si="34"/>
        <v>42.017000000000003</v>
      </c>
      <c r="Z117" s="387">
        <f t="shared" si="35"/>
        <v>42.992265427750127</v>
      </c>
      <c r="AA117" s="388">
        <f t="shared" si="36"/>
        <v>49.256147607641992</v>
      </c>
      <c r="AB117" s="199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0.12716955109416708</v>
      </c>
      <c r="AD117" s="233">
        <f>(INDEX(Models!$BJ117:$BT117,,AH117)*(1-AF117)+INDEX(Models!$BJ117:$BT117,,AH117+1)*AF117-ERP_i)*AE117*Ramure*Pc/MaxiM</f>
        <v>3.6024508445516384E-3</v>
      </c>
      <c r="AE117" s="307">
        <f t="shared" si="38"/>
        <v>0.9</v>
      </c>
      <c r="AF117" s="179">
        <f t="shared" si="39"/>
        <v>0.3497070999355244</v>
      </c>
      <c r="AG117" s="839">
        <f t="shared" si="47"/>
        <v>-1</v>
      </c>
      <c r="AH117" s="178">
        <f t="shared" si="40"/>
        <v>5</v>
      </c>
      <c r="AI117" s="227">
        <f t="shared" si="41"/>
        <v>-0.6502929000644756</v>
      </c>
      <c r="AJ117" s="267" t="b">
        <f t="shared" si="42"/>
        <v>1</v>
      </c>
      <c r="AK117" s="267" t="b">
        <f t="shared" si="43"/>
        <v>0</v>
      </c>
      <c r="AL117" s="267"/>
      <c r="AM117" s="267"/>
      <c r="AN117" s="75"/>
    </row>
    <row r="118" spans="1:40" s="6" customFormat="1" ht="11.25" x14ac:dyDescent="0.2">
      <c r="A118" s="56">
        <f t="shared" si="44"/>
        <v>44300</v>
      </c>
      <c r="B118" s="620">
        <v>47.728999999999999</v>
      </c>
      <c r="C118" s="392"/>
      <c r="D118" s="395">
        <f t="shared" si="24"/>
        <v>48.837984392850203</v>
      </c>
      <c r="E118" s="387">
        <f t="shared" si="45"/>
        <v>55.959190202671017</v>
      </c>
      <c r="F118" s="387">
        <f t="shared" si="25"/>
        <v>56.154090506679154</v>
      </c>
      <c r="G118" s="110">
        <f t="shared" si="46"/>
        <v>0.99437123270535577</v>
      </c>
      <c r="H118" s="416" t="b">
        <f>Wh_hp&gt;='2020'!Maxi_hp</f>
        <v>1</v>
      </c>
      <c r="I118" s="382">
        <f>IF(H118,Wh_hp,'2020'!Maxi_hp)</f>
        <v>56.154090506679154</v>
      </c>
      <c r="J118" s="85">
        <f>IF(H118,An,'2020'!An_max)</f>
        <v>2021</v>
      </c>
      <c r="K118" s="199">
        <f t="shared" si="26"/>
        <v>44300</v>
      </c>
      <c r="L118" s="147">
        <f>IF(t&lt;Tvie,1-EXP((T0-t)*PertePVj)+'2020'!Pspv,1-EXP((T0-t)*PertePVj)+Pspv)</f>
        <v>2.2707415275978415E-2</v>
      </c>
      <c r="M118" s="872"/>
      <c r="N118" s="872"/>
      <c r="O118" s="48">
        <f>IF(t&lt;Tnet,'2020'!Resal+('2020'!Salim-'2020'!Resal)*(1-EXP(('2020'!Tnet-t)/('2020'!Tau_j))),Resal+(Salim-Resal)*(1-EXP((Tnet-t)/(Tau_j))))*Salcycl</f>
        <v>0.12725712763228852</v>
      </c>
      <c r="P118" s="171">
        <f>(INDEX(Models!$BJ118:$BT118,,T118)*(1-R118)+INDEX(Models!$BJ118:$BT118,,T118+1)*R118-ERP_i)*Q118*Ramure*Pc/MaxiM</f>
        <v>3.4988068443645576E-3</v>
      </c>
      <c r="Q118" s="307">
        <f t="shared" si="27"/>
        <v>0.9</v>
      </c>
      <c r="R118" s="179">
        <f t="shared" si="28"/>
        <v>0.35165017482757166</v>
      </c>
      <c r="S118" s="839">
        <f t="shared" si="29"/>
        <v>-1</v>
      </c>
      <c r="T118" s="178">
        <f t="shared" si="30"/>
        <v>5</v>
      </c>
      <c r="U118" s="253">
        <f t="shared" si="31"/>
        <v>-0.64834982517242834</v>
      </c>
      <c r="V118" s="385">
        <f t="shared" si="32"/>
        <v>47.997827794585909</v>
      </c>
      <c r="W118" s="404"/>
      <c r="X118" s="157">
        <f t="shared" si="33"/>
        <v>44300</v>
      </c>
      <c r="Y118" s="387">
        <f t="shared" si="34"/>
        <v>47.728999999999999</v>
      </c>
      <c r="Z118" s="387">
        <f t="shared" si="35"/>
        <v>48.837984392850203</v>
      </c>
      <c r="AA118" s="388">
        <f t="shared" si="36"/>
        <v>55.959190202671017</v>
      </c>
      <c r="AB118" s="199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0.12725712763228852</v>
      </c>
      <c r="AD118" s="233">
        <f>(INDEX(Models!$BJ118:$BT118,,AH118)*(1-AF118)+INDEX(Models!$BJ118:$BT118,,AH118+1)*AF118-ERP_i)*AE118*Ramure*Pc/MaxiM</f>
        <v>3.4988068443645576E-3</v>
      </c>
      <c r="AE118" s="307">
        <f t="shared" si="38"/>
        <v>0.9</v>
      </c>
      <c r="AF118" s="179">
        <f t="shared" si="39"/>
        <v>0.35165017482757166</v>
      </c>
      <c r="AG118" s="839">
        <f t="shared" si="47"/>
        <v>-1</v>
      </c>
      <c r="AH118" s="178">
        <f t="shared" si="40"/>
        <v>5</v>
      </c>
      <c r="AI118" s="227">
        <f t="shared" si="41"/>
        <v>-0.64834982517242834</v>
      </c>
      <c r="AJ118" s="267" t="b">
        <f t="shared" si="42"/>
        <v>1</v>
      </c>
      <c r="AK118" s="267" t="b">
        <f t="shared" si="43"/>
        <v>0</v>
      </c>
      <c r="AL118" s="267"/>
      <c r="AM118" s="267"/>
      <c r="AN118" s="75"/>
    </row>
    <row r="119" spans="1:40" s="6" customFormat="1" ht="11.25" x14ac:dyDescent="0.2">
      <c r="A119" s="56">
        <f t="shared" si="44"/>
        <v>44301</v>
      </c>
      <c r="B119" s="620">
        <v>47.686999999999998</v>
      </c>
      <c r="C119" s="392"/>
      <c r="D119" s="395">
        <f t="shared" si="24"/>
        <v>48.796144079461037</v>
      </c>
      <c r="E119" s="387">
        <f t="shared" si="45"/>
        <v>55.917005208034233</v>
      </c>
      <c r="F119" s="387">
        <f t="shared" si="25"/>
        <v>56.104027308625504</v>
      </c>
      <c r="G119" s="110">
        <f t="shared" si="46"/>
        <v>0.98758020689377146</v>
      </c>
      <c r="H119" s="416" t="b">
        <f>Wh_hp&gt;='2020'!Maxi_hp</f>
        <v>1</v>
      </c>
      <c r="I119" s="382">
        <f>IF(H119,Wh_hp,'2020'!Maxi_hp)</f>
        <v>56.104027308625504</v>
      </c>
      <c r="J119" s="85">
        <f>IF(H119,An,'2020'!An_max)</f>
        <v>2021</v>
      </c>
      <c r="K119" s="199">
        <f t="shared" si="26"/>
        <v>44301</v>
      </c>
      <c r="L119" s="147">
        <f>IF(t&lt;Tvie,1-EXP((T0-t)*PertePVj)+'2020'!Pspv,1-EXP((T0-t)*PertePVj)+Pspv)</f>
        <v>2.2730158302157522E-2</v>
      </c>
      <c r="M119" s="872"/>
      <c r="N119" s="872"/>
      <c r="O119" s="48">
        <f>IF(t&lt;Tnet,'2020'!Resal+('2020'!Salim-'2020'!Resal)*(1-EXP(('2020'!Tnet-t)/('2020'!Tau_j))),Resal+(Salim-Resal)*(1-EXP((Tnet-t)/(Tau_j))))*Salcycl</f>
        <v>0.12734696899593717</v>
      </c>
      <c r="P119" s="171">
        <f>(INDEX(Models!$BJ119:$BT119,,T119)*(1-R119)+INDEX(Models!$BJ119:$BT119,,T119+1)*R119-ERP_i)*Q119*Ramure*Pc/MaxiM</f>
        <v>3.3934078826687443E-3</v>
      </c>
      <c r="Q119" s="307">
        <f t="shared" si="27"/>
        <v>0.9</v>
      </c>
      <c r="R119" s="179">
        <f t="shared" si="28"/>
        <v>0.3536602268687149</v>
      </c>
      <c r="S119" s="839">
        <f t="shared" si="29"/>
        <v>-1</v>
      </c>
      <c r="T119" s="178">
        <f t="shared" si="30"/>
        <v>5</v>
      </c>
      <c r="U119" s="253">
        <f t="shared" si="31"/>
        <v>-0.6463397731312851</v>
      </c>
      <c r="V119" s="385">
        <f t="shared" si="32"/>
        <v>48.283807947663291</v>
      </c>
      <c r="W119" s="404"/>
      <c r="X119" s="157">
        <f t="shared" si="33"/>
        <v>44301</v>
      </c>
      <c r="Y119" s="387">
        <f t="shared" si="34"/>
        <v>47.686999999999998</v>
      </c>
      <c r="Z119" s="387">
        <f t="shared" si="35"/>
        <v>48.796144079461037</v>
      </c>
      <c r="AA119" s="388">
        <f t="shared" si="36"/>
        <v>55.917005208034233</v>
      </c>
      <c r="AB119" s="199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0.12734696899593717</v>
      </c>
      <c r="AD119" s="233">
        <f>(INDEX(Models!$BJ119:$BT119,,AH119)*(1-AF119)+INDEX(Models!$BJ119:$BT119,,AH119+1)*AF119-ERP_i)*AE119*Ramure*Pc/MaxiM</f>
        <v>3.3934078826687443E-3</v>
      </c>
      <c r="AE119" s="307">
        <f t="shared" si="38"/>
        <v>0.9</v>
      </c>
      <c r="AF119" s="179">
        <f t="shared" si="39"/>
        <v>0.3536602268687149</v>
      </c>
      <c r="AG119" s="839">
        <f t="shared" si="47"/>
        <v>-1</v>
      </c>
      <c r="AH119" s="178">
        <f t="shared" si="40"/>
        <v>5</v>
      </c>
      <c r="AI119" s="227">
        <f t="shared" si="41"/>
        <v>-0.6463397731312851</v>
      </c>
      <c r="AJ119" s="267" t="b">
        <f t="shared" si="42"/>
        <v>1</v>
      </c>
      <c r="AK119" s="267" t="b">
        <f t="shared" si="43"/>
        <v>0</v>
      </c>
      <c r="AL119" s="267"/>
      <c r="AM119" s="267"/>
      <c r="AN119" s="75"/>
    </row>
    <row r="120" spans="1:40" s="6" customFormat="1" ht="11.25" x14ac:dyDescent="0.2">
      <c r="A120" s="56">
        <f t="shared" si="44"/>
        <v>44302</v>
      </c>
      <c r="B120" s="620">
        <v>39.49</v>
      </c>
      <c r="C120" s="392"/>
      <c r="D120" s="395">
        <f t="shared" si="24"/>
        <v>40.409431792931485</v>
      </c>
      <c r="E120" s="387">
        <f t="shared" si="45"/>
        <v>46.311303039846329</v>
      </c>
      <c r="F120" s="387">
        <f t="shared" si="25"/>
        <v>46.423143467968742</v>
      </c>
      <c r="G120" s="110">
        <f t="shared" si="46"/>
        <v>0.81245700794194431</v>
      </c>
      <c r="H120" s="416" t="b">
        <f>Wh_hp&gt;='2020'!Maxi_hp</f>
        <v>0</v>
      </c>
      <c r="I120" s="382">
        <f>IF(H120,Wh_hp,'2020'!Maxi_hp)</f>
        <v>48.562803955350965</v>
      </c>
      <c r="J120" s="85">
        <f>IF(H120,An,'2020'!An_max)</f>
        <v>2020</v>
      </c>
      <c r="K120" s="199">
        <f t="shared" si="26"/>
        <v>44302</v>
      </c>
      <c r="L120" s="147">
        <f>IF(t&lt;Tvie,1-EXP((T0-t)*PertePVj)+'2020'!Pspv,1-EXP((T0-t)*PertePVj)+Pspv)</f>
        <v>2.2752900799073217E-2</v>
      </c>
      <c r="M120" s="872"/>
      <c r="N120" s="872"/>
      <c r="O120" s="48">
        <f>IF(t&lt;Tnet,'2020'!Resal+('2020'!Salim-'2020'!Resal)*(1-EXP(('2020'!Tnet-t)/('2020'!Tau_j))),Resal+(Salim-Resal)*(1-EXP((Tnet-t)/(Tau_j))))*Salcycl</f>
        <v>0.12743911009882108</v>
      </c>
      <c r="P120" s="171">
        <f>(INDEX(Models!$BJ120:$BT120,,T120)*(1-R120)+INDEX(Models!$BJ120:$BT120,,T120+1)*R120-ERP_i)*Q120*Ramure*Pc/MaxiM</f>
        <v>3.286240948500089E-3</v>
      </c>
      <c r="Q120" s="307">
        <f t="shared" si="27"/>
        <v>0.9</v>
      </c>
      <c r="R120" s="179">
        <f t="shared" si="28"/>
        <v>0.35573899338926385</v>
      </c>
      <c r="S120" s="839">
        <f t="shared" si="29"/>
        <v>-1</v>
      </c>
      <c r="T120" s="178">
        <f t="shared" si="30"/>
        <v>5</v>
      </c>
      <c r="U120" s="253">
        <f t="shared" si="31"/>
        <v>-0.64426100661073615</v>
      </c>
      <c r="V120" s="385">
        <f t="shared" si="32"/>
        <v>48.56291439744048</v>
      </c>
      <c r="W120" s="404"/>
      <c r="X120" s="157">
        <f t="shared" si="33"/>
        <v>44302</v>
      </c>
      <c r="Y120" s="387">
        <f t="shared" si="34"/>
        <v>39.49</v>
      </c>
      <c r="Z120" s="387">
        <f t="shared" si="35"/>
        <v>40.409431792931485</v>
      </c>
      <c r="AA120" s="388">
        <f t="shared" si="36"/>
        <v>46.311303039846329</v>
      </c>
      <c r="AB120" s="199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0.12743911009882108</v>
      </c>
      <c r="AD120" s="233">
        <f>(INDEX(Models!$BJ120:$BT120,,AH120)*(1-AF120)+INDEX(Models!$BJ120:$BT120,,AH120+1)*AF120-ERP_i)*AE120*Ramure*Pc/MaxiM</f>
        <v>3.286240948500089E-3</v>
      </c>
      <c r="AE120" s="307">
        <f t="shared" si="38"/>
        <v>0.9</v>
      </c>
      <c r="AF120" s="179">
        <f t="shared" si="39"/>
        <v>0.35573899338926385</v>
      </c>
      <c r="AG120" s="839">
        <f t="shared" si="47"/>
        <v>-1</v>
      </c>
      <c r="AH120" s="178">
        <f t="shared" si="40"/>
        <v>5</v>
      </c>
      <c r="AI120" s="227">
        <f t="shared" si="41"/>
        <v>-0.64426100661073615</v>
      </c>
      <c r="AJ120" s="267" t="b">
        <f t="shared" si="42"/>
        <v>1</v>
      </c>
      <c r="AK120" s="267" t="b">
        <f t="shared" si="43"/>
        <v>0</v>
      </c>
      <c r="AL120" s="267"/>
      <c r="AM120" s="267"/>
      <c r="AN120" s="75"/>
    </row>
    <row r="121" spans="1:40" s="6" customFormat="1" ht="11.25" x14ac:dyDescent="0.2">
      <c r="A121" s="56">
        <f t="shared" si="44"/>
        <v>44303</v>
      </c>
      <c r="B121" s="620">
        <v>45.006999999999998</v>
      </c>
      <c r="C121" s="392"/>
      <c r="D121" s="395">
        <f t="shared" si="24"/>
        <v>46.055953954550155</v>
      </c>
      <c r="E121" s="387">
        <f t="shared" si="45"/>
        <v>52.788225484000485</v>
      </c>
      <c r="F121" s="387">
        <f t="shared" si="25"/>
        <v>52.937579021960495</v>
      </c>
      <c r="G121" s="110">
        <f t="shared" si="46"/>
        <v>0.92126210203275205</v>
      </c>
      <c r="H121" s="416" t="b">
        <f>Wh_hp&gt;='2020'!Maxi_hp</f>
        <v>1</v>
      </c>
      <c r="I121" s="382">
        <f>IF(H121,Wh_hp,'2020'!Maxi_hp)</f>
        <v>52.937579021960495</v>
      </c>
      <c r="J121" s="85">
        <f>IF(H121,An,'2020'!An_max)</f>
        <v>2021</v>
      </c>
      <c r="K121" s="199">
        <f t="shared" si="26"/>
        <v>44303</v>
      </c>
      <c r="L121" s="147">
        <f>IF(t&lt;Tvie,1-EXP((T0-t)*PertePVj)+'2020'!Pspv,1-EXP((T0-t)*PertePVj)+Pspv)</f>
        <v>2.2775642766737714E-2</v>
      </c>
      <c r="M121" s="872"/>
      <c r="N121" s="872"/>
      <c r="O121" s="48">
        <f>IF(t&lt;Tnet,'2020'!Resal+('2020'!Salim-'2020'!Resal)*(1-EXP(('2020'!Tnet-t)/('2020'!Tau_j))),Resal+(Salim-Resal)*(1-EXP((Tnet-t)/(Tau_j))))*Salcycl</f>
        <v>0.12753358287239264</v>
      </c>
      <c r="P121" s="171">
        <f>(INDEX(Models!$BJ121:$BT121,,T121)*(1-R121)+INDEX(Models!$BJ121:$BT121,,T121+1)*R121-ERP_i)*Q121*Ramure*Pc/MaxiM</f>
        <v>3.1772014523777426E-3</v>
      </c>
      <c r="Q121" s="307">
        <f t="shared" si="27"/>
        <v>0.9</v>
      </c>
      <c r="R121" s="179">
        <f t="shared" si="28"/>
        <v>0.35788821251516245</v>
      </c>
      <c r="S121" s="839">
        <f t="shared" si="29"/>
        <v>-1</v>
      </c>
      <c r="T121" s="178">
        <f t="shared" si="30"/>
        <v>5</v>
      </c>
      <c r="U121" s="253">
        <f t="shared" si="31"/>
        <v>-0.64211178748483755</v>
      </c>
      <c r="V121" s="385">
        <f t="shared" si="32"/>
        <v>48.836196735427222</v>
      </c>
      <c r="W121" s="404"/>
      <c r="X121" s="157">
        <f t="shared" si="33"/>
        <v>44303</v>
      </c>
      <c r="Y121" s="387">
        <f t="shared" si="34"/>
        <v>45.006999999999998</v>
      </c>
      <c r="Z121" s="387">
        <f t="shared" si="35"/>
        <v>46.055953954550155</v>
      </c>
      <c r="AA121" s="388">
        <f t="shared" si="36"/>
        <v>52.788225484000485</v>
      </c>
      <c r="AB121" s="199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0.12753358287239264</v>
      </c>
      <c r="AD121" s="233">
        <f>(INDEX(Models!$BJ121:$BT121,,AH121)*(1-AF121)+INDEX(Models!$BJ121:$BT121,,AH121+1)*AF121-ERP_i)*AE121*Ramure*Pc/MaxiM</f>
        <v>3.1772014523777426E-3</v>
      </c>
      <c r="AE121" s="307">
        <f t="shared" si="38"/>
        <v>0.9</v>
      </c>
      <c r="AF121" s="179">
        <f t="shared" si="39"/>
        <v>0.35788821251516245</v>
      </c>
      <c r="AG121" s="839">
        <f t="shared" si="47"/>
        <v>-1</v>
      </c>
      <c r="AH121" s="178">
        <f t="shared" si="40"/>
        <v>5</v>
      </c>
      <c r="AI121" s="227">
        <f t="shared" si="41"/>
        <v>-0.64211178748483755</v>
      </c>
      <c r="AJ121" s="267" t="b">
        <f t="shared" si="42"/>
        <v>1</v>
      </c>
      <c r="AK121" s="267" t="b">
        <f t="shared" si="43"/>
        <v>0</v>
      </c>
      <c r="AL121" s="267"/>
      <c r="AM121" s="267"/>
      <c r="AN121" s="75"/>
    </row>
    <row r="122" spans="1:40" s="18" customFormat="1" ht="11.25" x14ac:dyDescent="0.2">
      <c r="A122" s="56">
        <f t="shared" si="44"/>
        <v>44304</v>
      </c>
      <c r="B122" s="620">
        <v>30.34</v>
      </c>
      <c r="C122" s="392"/>
      <c r="D122" s="395">
        <f t="shared" si="24"/>
        <v>31.047840598710064</v>
      </c>
      <c r="E122" s="387">
        <f t="shared" si="45"/>
        <v>35.590237409616556</v>
      </c>
      <c r="F122" s="387">
        <f t="shared" si="25"/>
        <v>35.639845808532499</v>
      </c>
      <c r="G122" s="110">
        <f t="shared" si="46"/>
        <v>0.61682750490608951</v>
      </c>
      <c r="H122" s="416" t="b">
        <f>Wh_hp&gt;='2020'!Maxi_hp</f>
        <v>1</v>
      </c>
      <c r="I122" s="382">
        <f>IF(H122,Wh_hp,'2020'!Maxi_hp)</f>
        <v>35.639845808532499</v>
      </c>
      <c r="J122" s="85">
        <f>IF(H122,An,'2020'!An_max)</f>
        <v>2021</v>
      </c>
      <c r="K122" s="199">
        <f t="shared" si="26"/>
        <v>44304</v>
      </c>
      <c r="L122" s="147">
        <f>IF(t&lt;Tvie,1-EXP((T0-t)*PertePVj)+'2020'!Pspv,1-EXP((T0-t)*PertePVj)+Pspv)</f>
        <v>2.2798384205163447E-2</v>
      </c>
      <c r="M122" s="872"/>
      <c r="N122" s="872"/>
      <c r="O122" s="48">
        <f>IF(t&lt;Tnet,'2020'!Resal+('2020'!Salim-'2020'!Resal)*(1-EXP(('2020'!Tnet-t)/('2020'!Tau_j))),Resal+(Salim-Resal)*(1-EXP((Tnet-t)/(Tau_j))))*Salcycl</f>
        <v>0.12763041613426074</v>
      </c>
      <c r="P122" s="171">
        <f>(INDEX(Models!$BJ122:$BT122,,T122)*(1-R122)+INDEX(Models!$BJ122:$BT122,,T122+1)*R122-ERP_i)*Q122*Ramure*Pc/MaxiM</f>
        <v>3.0653327573947802E-3</v>
      </c>
      <c r="Q122" s="307">
        <f t="shared" si="27"/>
        <v>0.9</v>
      </c>
      <c r="R122" s="179">
        <f t="shared" si="28"/>
        <v>0.36010961916726247</v>
      </c>
      <c r="S122" s="839">
        <f t="shared" si="29"/>
        <v>-1</v>
      </c>
      <c r="T122" s="178">
        <f t="shared" si="30"/>
        <v>5</v>
      </c>
      <c r="U122" s="253">
        <f t="shared" si="31"/>
        <v>-0.63989038083273753</v>
      </c>
      <c r="V122" s="385">
        <f t="shared" si="32"/>
        <v>49.10474670068978</v>
      </c>
      <c r="W122" s="404"/>
      <c r="X122" s="157">
        <f t="shared" si="33"/>
        <v>44304</v>
      </c>
      <c r="Y122" s="387">
        <f t="shared" si="34"/>
        <v>30.339999999999996</v>
      </c>
      <c r="Z122" s="387">
        <f t="shared" si="35"/>
        <v>31.04784059871006</v>
      </c>
      <c r="AA122" s="388">
        <f t="shared" si="36"/>
        <v>35.590237409616556</v>
      </c>
      <c r="AB122" s="199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0.12763041613426074</v>
      </c>
      <c r="AD122" s="233">
        <f>(INDEX(Models!$BJ122:$BT122,,AH122)*(1-AF122)+INDEX(Models!$BJ122:$BT122,,AH122+1)*AF122-ERP_i)*AE122*Ramure*Pc/MaxiM</f>
        <v>3.0653327573947802E-3</v>
      </c>
      <c r="AE122" s="307">
        <f t="shared" si="38"/>
        <v>0.9</v>
      </c>
      <c r="AF122" s="179">
        <f t="shared" si="39"/>
        <v>0.36010961916726247</v>
      </c>
      <c r="AG122" s="839">
        <f t="shared" si="47"/>
        <v>-1</v>
      </c>
      <c r="AH122" s="178">
        <f t="shared" si="40"/>
        <v>5</v>
      </c>
      <c r="AI122" s="227">
        <f t="shared" si="41"/>
        <v>-0.63989038083273753</v>
      </c>
      <c r="AJ122" s="267" t="b">
        <f t="shared" si="42"/>
        <v>1</v>
      </c>
      <c r="AK122" s="267" t="b">
        <f t="shared" si="43"/>
        <v>0</v>
      </c>
      <c r="AL122" s="267"/>
      <c r="AM122" s="267"/>
      <c r="AN122" s="267"/>
    </row>
    <row r="123" spans="1:40" s="18" customFormat="1" ht="11.25" x14ac:dyDescent="0.2">
      <c r="A123" s="56">
        <f t="shared" si="44"/>
        <v>44305</v>
      </c>
      <c r="B123" s="620">
        <v>48.005000000000003</v>
      </c>
      <c r="C123" s="392"/>
      <c r="D123" s="395">
        <f t="shared" si="24"/>
        <v>49.126113175152497</v>
      </c>
      <c r="E123" s="387">
        <f t="shared" si="45"/>
        <v>56.319823728721005</v>
      </c>
      <c r="F123" s="387">
        <f t="shared" si="25"/>
        <v>56.480000775881308</v>
      </c>
      <c r="G123" s="110">
        <f t="shared" si="46"/>
        <v>0.97227376191739234</v>
      </c>
      <c r="H123" s="416" t="b">
        <f>Wh_hp&gt;='2020'!Maxi_hp</f>
        <v>1</v>
      </c>
      <c r="I123" s="382">
        <f>IF(H123,Wh_hp,'2020'!Maxi_hp)</f>
        <v>56.480000775881308</v>
      </c>
      <c r="J123" s="85">
        <f>IF(H123,An,'2020'!An_max)</f>
        <v>2021</v>
      </c>
      <c r="K123" s="199">
        <f t="shared" si="26"/>
        <v>44305</v>
      </c>
      <c r="L123" s="147">
        <f>IF(t&lt;Tvie,1-EXP((T0-t)*PertePVj)+'2020'!Pspv,1-EXP((T0-t)*PertePVj)+Pspv)</f>
        <v>2.2821125114362628E-2</v>
      </c>
      <c r="M123" s="872"/>
      <c r="N123" s="872"/>
      <c r="O123" s="48">
        <f>IF(t&lt;Tnet,'2020'!Resal+('2020'!Salim-'2020'!Resal)*(1-EXP(('2020'!Tnet-t)/('2020'!Tau_j))),Resal+(Salim-Resal)*(1-EXP((Tnet-t)/(Tau_j))))*Salcycl</f>
        <v>0.1277296354516107</v>
      </c>
      <c r="P123" s="171">
        <f>(INDEX(Models!$BJ123:$BT123,,T123)*(1-R123)+INDEX(Models!$BJ123:$BT123,,T123+1)*R123-ERP_i)*Q123*Ramure*Pc/MaxiM</f>
        <v>2.9524605685322101E-3</v>
      </c>
      <c r="Q123" s="307">
        <f t="shared" si="27"/>
        <v>0.9</v>
      </c>
      <c r="R123" s="179">
        <f t="shared" si="28"/>
        <v>0.3624049407598372</v>
      </c>
      <c r="S123" s="839">
        <f t="shared" si="29"/>
        <v>-1</v>
      </c>
      <c r="T123" s="178">
        <f t="shared" si="30"/>
        <v>5</v>
      </c>
      <c r="U123" s="253">
        <f t="shared" si="31"/>
        <v>-0.6375950592401628</v>
      </c>
      <c r="V123" s="385">
        <f t="shared" si="32"/>
        <v>49.36818732529013</v>
      </c>
      <c r="W123" s="404"/>
      <c r="X123" s="157">
        <f t="shared" si="33"/>
        <v>44305</v>
      </c>
      <c r="Y123" s="387">
        <f t="shared" si="34"/>
        <v>48.005000000000003</v>
      </c>
      <c r="Z123" s="387">
        <f t="shared" si="35"/>
        <v>49.126113175152497</v>
      </c>
      <c r="AA123" s="388">
        <f t="shared" si="36"/>
        <v>56.319823728721005</v>
      </c>
      <c r="AB123" s="199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0.1277296354516107</v>
      </c>
      <c r="AD123" s="233">
        <f>(INDEX(Models!$BJ123:$BT123,,AH123)*(1-AF123)+INDEX(Models!$BJ123:$BT123,,AH123+1)*AF123-ERP_i)*AE123*Ramure*Pc/MaxiM</f>
        <v>2.9524605685322101E-3</v>
      </c>
      <c r="AE123" s="307">
        <f t="shared" si="38"/>
        <v>0.9</v>
      </c>
      <c r="AF123" s="179">
        <f t="shared" si="39"/>
        <v>0.3624049407598372</v>
      </c>
      <c r="AG123" s="839">
        <f t="shared" si="47"/>
        <v>-1</v>
      </c>
      <c r="AH123" s="178">
        <f t="shared" si="40"/>
        <v>5</v>
      </c>
      <c r="AI123" s="227">
        <f t="shared" si="41"/>
        <v>-0.6375950592401628</v>
      </c>
      <c r="AJ123" s="267" t="b">
        <f t="shared" si="42"/>
        <v>1</v>
      </c>
      <c r="AK123" s="267" t="b">
        <f t="shared" si="43"/>
        <v>0</v>
      </c>
      <c r="AL123" s="267"/>
      <c r="AM123" s="267"/>
      <c r="AN123" s="267"/>
    </row>
    <row r="124" spans="1:40" s="6" customFormat="1" ht="11.25" x14ac:dyDescent="0.2">
      <c r="A124" s="56">
        <f t="shared" si="44"/>
        <v>44306</v>
      </c>
      <c r="B124" s="620">
        <v>38.661000000000001</v>
      </c>
      <c r="C124" s="392"/>
      <c r="D124" s="395">
        <f t="shared" si="24"/>
        <v>39.564813272710786</v>
      </c>
      <c r="E124" s="387">
        <f t="shared" si="45"/>
        <v>40.588968733648834</v>
      </c>
      <c r="F124" s="387">
        <f t="shared" si="25"/>
        <v>40.654424603691162</v>
      </c>
      <c r="G124" s="110">
        <f t="shared" si="46"/>
        <v>0.69618789993778951</v>
      </c>
      <c r="H124" s="416" t="b">
        <f>Wh_hp&gt;='2020'!Maxi_hp</f>
        <v>0</v>
      </c>
      <c r="I124" s="382">
        <f>IF(H124,Wh_hp,'2020'!Maxi_hp)</f>
        <v>48.589941916916572</v>
      </c>
      <c r="J124" s="85">
        <f>IF(H124,An,'2020'!An_max)</f>
        <v>2019</v>
      </c>
      <c r="K124" s="199">
        <f t="shared" si="26"/>
        <v>44306</v>
      </c>
      <c r="L124" s="147">
        <f>IF(t&lt;Tvie,1-EXP((T0-t)*PertePVj)+'2020'!Pspv,1-EXP((T0-t)*PertePVj)+Pspv)</f>
        <v>2.2843865494347693E-2</v>
      </c>
      <c r="M124" s="872"/>
      <c r="N124" s="872"/>
      <c r="O124" s="48">
        <f>IF(t&lt;Tnet,'2020'!Resal+('2020'!Salim-'2020'!Resal)*(1-EXP(('2020'!Tnet-t)/('2020'!Tau_j))),Resal+(Salim-Resal)*(1-EXP((Tnet-t)/(Tau_j))))*Salcycl</f>
        <v>2.5232359749239194E-2</v>
      </c>
      <c r="P124" s="171">
        <f>(INDEX(Models!$BJ124:$BT124,,T124)*(1-R124)+INDEX(Models!$BJ124:$BT124,,T124+1)*R124-ERP_i)*Q124*Ramure*Pc/MaxiM</f>
        <v>2.8385622754426841E-3</v>
      </c>
      <c r="Q124" s="307">
        <f t="shared" si="27"/>
        <v>0.9</v>
      </c>
      <c r="R124" s="179">
        <f t="shared" si="28"/>
        <v>0.36477589259253285</v>
      </c>
      <c r="S124" s="839">
        <f t="shared" si="29"/>
        <v>-1</v>
      </c>
      <c r="T124" s="178">
        <f t="shared" si="30"/>
        <v>5</v>
      </c>
      <c r="U124" s="253">
        <f t="shared" si="31"/>
        <v>-0.63522410740746715</v>
      </c>
      <c r="V124" s="385">
        <f t="shared" si="32"/>
        <v>55.464089651955945</v>
      </c>
      <c r="W124" s="404"/>
      <c r="X124" s="157">
        <f t="shared" si="33"/>
        <v>44306</v>
      </c>
      <c r="Y124" s="387">
        <f t="shared" si="34"/>
        <v>34.591746944433844</v>
      </c>
      <c r="Z124" s="387">
        <f t="shared" si="35"/>
        <v>35.400429596580246</v>
      </c>
      <c r="AA124" s="388">
        <f t="shared" si="36"/>
        <v>40.588968733648834</v>
      </c>
      <c r="AB124" s="199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0.12783126299947645</v>
      </c>
      <c r="AD124" s="233">
        <f>(INDEX(Models!$BJ124:$BT124,,AH124)*(1-AF124)+INDEX(Models!$BJ124:$BT124,,AH124+1)*AF124-ERP_i)*AE124*Ramure*Pc/MaxiM</f>
        <v>2.8385622754426841E-3</v>
      </c>
      <c r="AE124" s="307">
        <f t="shared" si="38"/>
        <v>0.9</v>
      </c>
      <c r="AF124" s="179">
        <f t="shared" si="39"/>
        <v>0.36477589259253285</v>
      </c>
      <c r="AG124" s="839">
        <f t="shared" si="47"/>
        <v>-1</v>
      </c>
      <c r="AH124" s="178">
        <f t="shared" si="40"/>
        <v>5</v>
      </c>
      <c r="AI124" s="227">
        <f t="shared" si="41"/>
        <v>-0.63522410740746715</v>
      </c>
      <c r="AJ124" s="267" t="b">
        <f t="shared" si="42"/>
        <v>0</v>
      </c>
      <c r="AK124" s="267" t="b">
        <f t="shared" si="43"/>
        <v>0</v>
      </c>
      <c r="AL124" s="267"/>
      <c r="AM124" s="267"/>
      <c r="AN124" s="75"/>
    </row>
    <row r="125" spans="1:40" s="6" customFormat="1" ht="11.25" x14ac:dyDescent="0.2">
      <c r="A125" s="56">
        <f t="shared" si="44"/>
        <v>44307</v>
      </c>
      <c r="B125" s="620">
        <v>52.526000000000003</v>
      </c>
      <c r="C125" s="392"/>
      <c r="D125" s="395">
        <f t="shared" si="24"/>
        <v>53.755198918928137</v>
      </c>
      <c r="E125" s="387">
        <f t="shared" si="45"/>
        <v>55.170104371586199</v>
      </c>
      <c r="F125" s="387">
        <f t="shared" si="25"/>
        <v>55.308374448877338</v>
      </c>
      <c r="G125" s="110">
        <f t="shared" si="46"/>
        <v>0.94231212481301641</v>
      </c>
      <c r="H125" s="416" t="b">
        <f>Wh_hp&gt;='2020'!Maxi_hp</f>
        <v>1</v>
      </c>
      <c r="I125" s="382">
        <f>IF(H125,Wh_hp,'2020'!Maxi_hp)</f>
        <v>55.308374448877338</v>
      </c>
      <c r="J125" s="85">
        <f>IF(H125,An,'2020'!An_max)</f>
        <v>2021</v>
      </c>
      <c r="K125" s="199">
        <f t="shared" si="26"/>
        <v>44307</v>
      </c>
      <c r="L125" s="147">
        <f>IF(t&lt;Tvie,1-EXP((T0-t)*PertePVj)+'2020'!Pspv,1-EXP((T0-t)*PertePVj)+Pspv)</f>
        <v>2.2866605345130853E-2</v>
      </c>
      <c r="M125" s="872"/>
      <c r="N125" s="872"/>
      <c r="O125" s="48">
        <f>IF(t&lt;Tnet,'2020'!Resal+('2020'!Salim-'2020'!Resal)*(1-EXP(('2020'!Tnet-t)/('2020'!Tau_j))),Resal+(Salim-Resal)*(1-EXP((Tnet-t)/(Tau_j))))*Salcycl</f>
        <v>2.564623483632136E-2</v>
      </c>
      <c r="P125" s="171">
        <f>(INDEX(Models!$BJ125:$BT125,,T125)*(1-R125)+INDEX(Models!$BJ125:$BT125,,T125+1)*R125-ERP_i)*Q125*Ramure*Pc/MaxiM</f>
        <v>2.7236191518299341E-3</v>
      </c>
      <c r="Q125" s="307">
        <f t="shared" si="27"/>
        <v>0.9</v>
      </c>
      <c r="R125" s="179">
        <f t="shared" si="28"/>
        <v>0.36722417293141318</v>
      </c>
      <c r="S125" s="839">
        <f t="shared" si="29"/>
        <v>-1</v>
      </c>
      <c r="T125" s="178">
        <f t="shared" si="30"/>
        <v>5</v>
      </c>
      <c r="U125" s="253">
        <f t="shared" si="31"/>
        <v>-0.63277582706858682</v>
      </c>
      <c r="V125" s="385">
        <f t="shared" si="32"/>
        <v>55.729118348360487</v>
      </c>
      <c r="W125" s="404"/>
      <c r="X125" s="157">
        <f t="shared" si="33"/>
        <v>44307</v>
      </c>
      <c r="Y125" s="387">
        <f t="shared" si="34"/>
        <v>47.007275489100415</v>
      </c>
      <c r="Z125" s="387">
        <f t="shared" si="35"/>
        <v>48.107326743963895</v>
      </c>
      <c r="AA125" s="388">
        <f t="shared" si="36"/>
        <v>55.170104371586199</v>
      </c>
      <c r="AB125" s="199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0.12801820312052531</v>
      </c>
      <c r="AD125" s="233">
        <f>(INDEX(Models!$BJ125:$BT125,,AH125)*(1-AF125)+INDEX(Models!$BJ125:$BT125,,AH125+1)*AF125-ERP_i)*AE125*Ramure*Pc/MaxiM</f>
        <v>2.7236191518299341E-3</v>
      </c>
      <c r="AE125" s="307">
        <f t="shared" si="38"/>
        <v>0.9</v>
      </c>
      <c r="AF125" s="179">
        <f t="shared" si="39"/>
        <v>0.36722417293141318</v>
      </c>
      <c r="AG125" s="839">
        <f t="shared" si="47"/>
        <v>-1</v>
      </c>
      <c r="AH125" s="178">
        <f t="shared" si="40"/>
        <v>5</v>
      </c>
      <c r="AI125" s="227">
        <f t="shared" si="41"/>
        <v>-0.63277582706858682</v>
      </c>
      <c r="AJ125" s="267" t="b">
        <f t="shared" si="42"/>
        <v>0</v>
      </c>
      <c r="AK125" s="267" t="b">
        <f t="shared" si="43"/>
        <v>0</v>
      </c>
      <c r="AL125" s="267"/>
      <c r="AM125" s="267"/>
      <c r="AN125" s="75"/>
    </row>
    <row r="126" spans="1:40" s="6" customFormat="1" ht="11.25" x14ac:dyDescent="0.2">
      <c r="A126" s="56">
        <f t="shared" si="44"/>
        <v>44308</v>
      </c>
      <c r="B126" s="620">
        <v>56.244</v>
      </c>
      <c r="C126" s="392"/>
      <c r="D126" s="395">
        <f t="shared" si="24"/>
        <v>57.56154606748828</v>
      </c>
      <c r="E126" s="387">
        <f t="shared" si="45"/>
        <v>59.101733930640506</v>
      </c>
      <c r="F126" s="387">
        <f t="shared" si="25"/>
        <v>59.256250971912621</v>
      </c>
      <c r="G126" s="110">
        <f t="shared" si="46"/>
        <v>1.0045819100298758</v>
      </c>
      <c r="H126" s="416" t="b">
        <f>Wh_hp&gt;='2020'!Maxi_hp</f>
        <v>1</v>
      </c>
      <c r="I126" s="382">
        <f>IF(H126,Wh_hp,'2020'!Maxi_hp)</f>
        <v>59.256250971912621</v>
      </c>
      <c r="J126" s="85">
        <f>IF(H126,An,'2020'!An_max)</f>
        <v>2021</v>
      </c>
      <c r="K126" s="199">
        <f t="shared" si="26"/>
        <v>44308</v>
      </c>
      <c r="L126" s="147">
        <f>IF(t&lt;Tvie,1-EXP((T0-t)*PertePVj)+'2020'!Pspv,1-EXP((T0-t)*PertePVj)+Pspv)</f>
        <v>2.2889344666724543E-2</v>
      </c>
      <c r="M126" s="872"/>
      <c r="N126" s="872"/>
      <c r="O126" s="48">
        <f>IF(t&lt;Tnet,'2020'!Resal+('2020'!Salim-'2020'!Resal)*(1-EXP(('2020'!Tnet-t)/('2020'!Tau_j))),Resal+(Salim-Resal)*(1-EXP((Tnet-t)/(Tau_j))))*Salcycl</f>
        <v>2.6059943773557137E-2</v>
      </c>
      <c r="P126" s="171">
        <f>(INDEX(Models!$BJ126:$BT126,,T126)*(1-R126)+INDEX(Models!$BJ126:$BT126,,T126+1)*R126-ERP_i)*Q126*Ramure*Pc/MaxiM</f>
        <v>2.6076074462651408E-3</v>
      </c>
      <c r="Q126" s="307">
        <f t="shared" si="27"/>
        <v>0.9</v>
      </c>
      <c r="R126" s="179">
        <f t="shared" si="28"/>
        <v>0.36975145777642016</v>
      </c>
      <c r="S126" s="839">
        <f t="shared" si="29"/>
        <v>-1</v>
      </c>
      <c r="T126" s="178">
        <f t="shared" si="30"/>
        <v>5</v>
      </c>
      <c r="U126" s="253">
        <f t="shared" si="31"/>
        <v>-0.63024854222357984</v>
      </c>
      <c r="V126" s="385">
        <f t="shared" si="32"/>
        <v>55.987470447608729</v>
      </c>
      <c r="W126" s="404"/>
      <c r="X126" s="157">
        <f t="shared" si="33"/>
        <v>44308</v>
      </c>
      <c r="Y126" s="387">
        <f t="shared" si="34"/>
        <v>50.345090495548057</v>
      </c>
      <c r="Z126" s="387">
        <f t="shared" si="35"/>
        <v>51.524451422931442</v>
      </c>
      <c r="AA126" s="388">
        <f t="shared" si="36"/>
        <v>59.101733930640506</v>
      </c>
      <c r="AB126" s="199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0.12820744847522528</v>
      </c>
      <c r="AD126" s="233">
        <f>(INDEX(Models!$BJ126:$BT126,,AH126)*(1-AF126)+INDEX(Models!$BJ126:$BT126,,AH126+1)*AF126-ERP_i)*AE126*Ramure*Pc/MaxiM</f>
        <v>2.6076074462651408E-3</v>
      </c>
      <c r="AE126" s="307">
        <f t="shared" si="38"/>
        <v>0.9</v>
      </c>
      <c r="AF126" s="179">
        <f t="shared" si="39"/>
        <v>0.36975145777642016</v>
      </c>
      <c r="AG126" s="839">
        <f t="shared" si="47"/>
        <v>-1</v>
      </c>
      <c r="AH126" s="178">
        <f t="shared" si="40"/>
        <v>5</v>
      </c>
      <c r="AI126" s="227">
        <f t="shared" si="41"/>
        <v>-0.63024854222357984</v>
      </c>
      <c r="AJ126" s="267" t="b">
        <f t="shared" si="42"/>
        <v>0</v>
      </c>
      <c r="AK126" s="267" t="b">
        <f t="shared" si="43"/>
        <v>0</v>
      </c>
      <c r="AL126" s="267"/>
      <c r="AM126" s="267"/>
      <c r="AN126" s="75"/>
    </row>
    <row r="127" spans="1:40" s="6" customFormat="1" ht="11.25" x14ac:dyDescent="0.2">
      <c r="A127" s="56">
        <f t="shared" si="44"/>
        <v>44309</v>
      </c>
      <c r="B127" s="620">
        <v>55.462000000000003</v>
      </c>
      <c r="C127" s="392"/>
      <c r="D127" s="395">
        <f t="shared" si="24"/>
        <v>56.762548242690031</v>
      </c>
      <c r="E127" s="387">
        <f t="shared" si="45"/>
        <v>58.30611596440383</v>
      </c>
      <c r="F127" s="387">
        <f t="shared" si="25"/>
        <v>58.448809737185101</v>
      </c>
      <c r="G127" s="110">
        <f t="shared" si="46"/>
        <v>0.98613827033272339</v>
      </c>
      <c r="H127" s="416" t="b">
        <f>Wh_hp&gt;='2020'!Maxi_hp</f>
        <v>1</v>
      </c>
      <c r="I127" s="382">
        <f>IF(H127,Wh_hp,'2020'!Maxi_hp)</f>
        <v>58.448809737185101</v>
      </c>
      <c r="J127" s="85">
        <f>IF(H127,An,'2020'!An_max)</f>
        <v>2021</v>
      </c>
      <c r="K127" s="199">
        <f t="shared" si="26"/>
        <v>44309</v>
      </c>
      <c r="L127" s="147">
        <f>IF(t&lt;Tvie,1-EXP((T0-t)*PertePVj)+'2020'!Pspv,1-EXP((T0-t)*PertePVj)+Pspv)</f>
        <v>2.2912083459140975E-2</v>
      </c>
      <c r="M127" s="872"/>
      <c r="N127" s="872"/>
      <c r="O127" s="48">
        <f>IF(t&lt;Tnet,'2020'!Resal+('2020'!Salim-'2020'!Resal)*(1-EXP(('2020'!Tnet-t)/('2020'!Tau_j))),Resal+(Salim-Resal)*(1-EXP((Tnet-t)/(Tau_j))))*Salcycl</f>
        <v>2.6473513047175927E-2</v>
      </c>
      <c r="P127" s="171">
        <f>(INDEX(Models!$BJ127:$BT127,,T127)*(1-R127)+INDEX(Models!$BJ127:$BT127,,T127+1)*R127-ERP_i)*Q127*Ramure*Pc/MaxiM</f>
        <v>2.490491104910543E-3</v>
      </c>
      <c r="Q127" s="307">
        <f t="shared" si="27"/>
        <v>0.9</v>
      </c>
      <c r="R127" s="179">
        <f t="shared" si="28"/>
        <v>0.37235939531446405</v>
      </c>
      <c r="S127" s="839">
        <f t="shared" si="29"/>
        <v>-1</v>
      </c>
      <c r="T127" s="178">
        <f t="shared" si="30"/>
        <v>5</v>
      </c>
      <c r="U127" s="253">
        <f t="shared" si="31"/>
        <v>-0.62764060468553595</v>
      </c>
      <c r="V127" s="385">
        <f t="shared" si="32"/>
        <v>56.238835178292199</v>
      </c>
      <c r="W127" s="404"/>
      <c r="X127" s="157">
        <f t="shared" si="33"/>
        <v>44309</v>
      </c>
      <c r="Y127" s="387">
        <f t="shared" si="34"/>
        <v>49.65528361306739</v>
      </c>
      <c r="Z127" s="387">
        <f t="shared" si="35"/>
        <v>50.819668089704543</v>
      </c>
      <c r="AA127" s="388">
        <f t="shared" si="36"/>
        <v>58.30611596440383</v>
      </c>
      <c r="AB127" s="199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0.1283990152811722</v>
      </c>
      <c r="AD127" s="233">
        <f>(INDEX(Models!$BJ127:$BT127,,AH127)*(1-AF127)+INDEX(Models!$BJ127:$BT127,,AH127+1)*AF127-ERP_i)*AE127*Ramure*Pc/MaxiM</f>
        <v>2.490491104910543E-3</v>
      </c>
      <c r="AE127" s="307">
        <f t="shared" si="38"/>
        <v>0.9</v>
      </c>
      <c r="AF127" s="179">
        <f t="shared" si="39"/>
        <v>0.37235939531446405</v>
      </c>
      <c r="AG127" s="839">
        <f t="shared" si="47"/>
        <v>-1</v>
      </c>
      <c r="AH127" s="178">
        <f t="shared" si="40"/>
        <v>5</v>
      </c>
      <c r="AI127" s="227">
        <f t="shared" si="41"/>
        <v>-0.62764060468553595</v>
      </c>
      <c r="AJ127" s="267" t="b">
        <f t="shared" si="42"/>
        <v>0</v>
      </c>
      <c r="AK127" s="267" t="b">
        <f t="shared" si="43"/>
        <v>0</v>
      </c>
      <c r="AL127" s="267"/>
      <c r="AM127" s="267"/>
      <c r="AN127" s="75"/>
    </row>
    <row r="128" spans="1:40" s="6" customFormat="1" ht="11.25" x14ac:dyDescent="0.2">
      <c r="A128" s="56">
        <f t="shared" si="44"/>
        <v>44310</v>
      </c>
      <c r="B128" s="620">
        <v>51.889000000000003</v>
      </c>
      <c r="C128" s="392"/>
      <c r="D128" s="395">
        <f t="shared" si="24"/>
        <v>53.106999567286906</v>
      </c>
      <c r="E128" s="387">
        <f t="shared" si="45"/>
        <v>54.574338063897677</v>
      </c>
      <c r="F128" s="387">
        <f t="shared" si="25"/>
        <v>54.689071133466982</v>
      </c>
      <c r="G128" s="110">
        <f t="shared" si="46"/>
        <v>0.91841484698870735</v>
      </c>
      <c r="H128" s="416" t="b">
        <f>Wh_hp&gt;='2020'!Maxi_hp</f>
        <v>1</v>
      </c>
      <c r="I128" s="382">
        <f>IF(H128,Wh_hp,'2020'!Maxi_hp)</f>
        <v>54.689071133466982</v>
      </c>
      <c r="J128" s="85">
        <f>IF(H128,An,'2020'!An_max)</f>
        <v>2021</v>
      </c>
      <c r="K128" s="199">
        <f t="shared" si="26"/>
        <v>44310</v>
      </c>
      <c r="L128" s="147">
        <f>IF(t&lt;Tvie,1-EXP((T0-t)*PertePVj)+'2020'!Pspv,1-EXP((T0-t)*PertePVj)+Pspv)</f>
        <v>2.2934821722392473E-2</v>
      </c>
      <c r="M128" s="872"/>
      <c r="N128" s="872"/>
      <c r="O128" s="48">
        <f>IF(t&lt;Tnet,'2020'!Resal+('2020'!Salim-'2020'!Resal)*(1-EXP(('2020'!Tnet-t)/('2020'!Tau_j))),Resal+(Salim-Resal)*(1-EXP((Tnet-t)/(Tau_j))))*Salcycl</f>
        <v>2.6886968283385441E-2</v>
      </c>
      <c r="P128" s="171">
        <f>(INDEX(Models!$BJ128:$BT128,,T128)*(1-R128)+INDEX(Models!$BJ128:$BT128,,T128+1)*R128-ERP_i)*Q128*Ramure*Pc/MaxiM</f>
        <v>2.3737114788485729E-3</v>
      </c>
      <c r="Q128" s="307">
        <f t="shared" si="27"/>
        <v>0.9</v>
      </c>
      <c r="R128" s="179">
        <f t="shared" si="28"/>
        <v>0.37504960005945631</v>
      </c>
      <c r="S128" s="839">
        <f t="shared" si="29"/>
        <v>-1</v>
      </c>
      <c r="T128" s="178">
        <f t="shared" si="30"/>
        <v>5</v>
      </c>
      <c r="U128" s="253">
        <f t="shared" si="31"/>
        <v>-0.62495039994054369</v>
      </c>
      <c r="V128" s="385">
        <f t="shared" si="32"/>
        <v>56.482818548949204</v>
      </c>
      <c r="W128" s="404"/>
      <c r="X128" s="157">
        <f t="shared" si="33"/>
        <v>44310</v>
      </c>
      <c r="Y128" s="387">
        <f t="shared" si="34"/>
        <v>46.465765765906241</v>
      </c>
      <c r="Z128" s="387">
        <f t="shared" si="35"/>
        <v>47.556464808025538</v>
      </c>
      <c r="AA128" s="388">
        <f t="shared" si="36"/>
        <v>54.574338063897677</v>
      </c>
      <c r="AB128" s="199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0.12859291573367973</v>
      </c>
      <c r="AD128" s="233">
        <f>(INDEX(Models!$BJ128:$BT128,,AH128)*(1-AF128)+INDEX(Models!$BJ128:$BT128,,AH128+1)*AF128-ERP_i)*AE128*Ramure*Pc/MaxiM</f>
        <v>2.3737114788485729E-3</v>
      </c>
      <c r="AE128" s="307">
        <f t="shared" si="38"/>
        <v>0.9</v>
      </c>
      <c r="AF128" s="179">
        <f t="shared" si="39"/>
        <v>0.37504960005945631</v>
      </c>
      <c r="AG128" s="839">
        <f t="shared" si="47"/>
        <v>-1</v>
      </c>
      <c r="AH128" s="178">
        <f t="shared" si="40"/>
        <v>5</v>
      </c>
      <c r="AI128" s="227">
        <f t="shared" si="41"/>
        <v>-0.62495039994054369</v>
      </c>
      <c r="AJ128" s="267" t="b">
        <f t="shared" si="42"/>
        <v>0</v>
      </c>
      <c r="AK128" s="267" t="b">
        <f t="shared" si="43"/>
        <v>0</v>
      </c>
      <c r="AL128" s="267"/>
      <c r="AM128" s="267"/>
      <c r="AN128" s="75"/>
    </row>
    <row r="129" spans="1:40" s="6" customFormat="1" ht="11.25" x14ac:dyDescent="0.2">
      <c r="A129" s="56">
        <f t="shared" si="44"/>
        <v>44311</v>
      </c>
      <c r="B129" s="620">
        <v>27.455000000000002</v>
      </c>
      <c r="C129" s="392"/>
      <c r="D129" s="395">
        <f t="shared" si="24"/>
        <v>28.100109944791495</v>
      </c>
      <c r="E129" s="387">
        <f t="shared" si="45"/>
        <v>28.88878338444912</v>
      </c>
      <c r="F129" s="387">
        <f t="shared" si="25"/>
        <v>28.905950679176552</v>
      </c>
      <c r="G129" s="110">
        <f t="shared" si="46"/>
        <v>0.48324641020631559</v>
      </c>
      <c r="H129" s="416" t="b">
        <f>Wh_hp&gt;='2020'!Maxi_hp</f>
        <v>0</v>
      </c>
      <c r="I129" s="382">
        <f>IF(H129,Wh_hp,'2020'!Maxi_hp)</f>
        <v>56.298016159754951</v>
      </c>
      <c r="J129" s="85">
        <f>IF(H129,An,'2020'!An_max)</f>
        <v>2020</v>
      </c>
      <c r="K129" s="199">
        <f t="shared" si="26"/>
        <v>44311</v>
      </c>
      <c r="L129" s="147">
        <f>IF(t&lt;Tvie,1-EXP((T0-t)*PertePVj)+'2020'!Pspv,1-EXP((T0-t)*PertePVj)+Pspv)</f>
        <v>2.295755945649125E-2</v>
      </c>
      <c r="M129" s="872"/>
      <c r="N129" s="872"/>
      <c r="O129" s="48">
        <f>IF(t&lt;Tnet,'2020'!Resal+('2020'!Salim-'2020'!Resal)*(1-EXP(('2020'!Tnet-t)/('2020'!Tau_j))),Resal+(Salim-Resal)*(1-EXP((Tnet-t)/(Tau_j))))*Salcycl</f>
        <v>2.7300334152602863E-2</v>
      </c>
      <c r="P129" s="171">
        <f>(INDEX(Models!$BJ129:$BT129,,T129)*(1-R129)+INDEX(Models!$BJ129:$BT129,,T129+1)*R129-ERP_i)*Q129*Ramure*Pc/MaxiM</f>
        <v>2.258761052026075E-3</v>
      </c>
      <c r="Q129" s="307">
        <f t="shared" si="27"/>
        <v>0.9</v>
      </c>
      <c r="R129" s="179">
        <f t="shared" si="28"/>
        <v>0.37782364668294399</v>
      </c>
      <c r="S129" s="839">
        <f t="shared" si="29"/>
        <v>-1</v>
      </c>
      <c r="T129" s="178">
        <f t="shared" si="30"/>
        <v>5</v>
      </c>
      <c r="U129" s="253">
        <f t="shared" si="31"/>
        <v>-0.62217635331705601</v>
      </c>
      <c r="V129" s="385">
        <f t="shared" si="32"/>
        <v>56.719022731232997</v>
      </c>
      <c r="W129" s="404"/>
      <c r="X129" s="157">
        <f t="shared" si="33"/>
        <v>44311</v>
      </c>
      <c r="Y129" s="387">
        <f t="shared" si="34"/>
        <v>24.590420364725915</v>
      </c>
      <c r="Z129" s="387">
        <f t="shared" si="35"/>
        <v>25.168221301673206</v>
      </c>
      <c r="AA129" s="388">
        <f t="shared" si="36"/>
        <v>28.88878338444912</v>
      </c>
      <c r="AB129" s="199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0.12878915782859518</v>
      </c>
      <c r="AD129" s="233">
        <f>(INDEX(Models!$BJ129:$BT129,,AH129)*(1-AF129)+INDEX(Models!$BJ129:$BT129,,AH129+1)*AF129-ERP_i)*AE129*Ramure*Pc/MaxiM</f>
        <v>2.258761052026075E-3</v>
      </c>
      <c r="AE129" s="307">
        <f t="shared" si="38"/>
        <v>0.9</v>
      </c>
      <c r="AF129" s="179">
        <f t="shared" si="39"/>
        <v>0.37782364668294399</v>
      </c>
      <c r="AG129" s="839">
        <f t="shared" si="47"/>
        <v>-1</v>
      </c>
      <c r="AH129" s="178">
        <f t="shared" si="40"/>
        <v>5</v>
      </c>
      <c r="AI129" s="227">
        <f t="shared" si="41"/>
        <v>-0.62217635331705601</v>
      </c>
      <c r="AJ129" s="267" t="b">
        <f t="shared" si="42"/>
        <v>0</v>
      </c>
      <c r="AK129" s="267" t="b">
        <f t="shared" si="43"/>
        <v>0</v>
      </c>
      <c r="AL129" s="267"/>
      <c r="AM129" s="267"/>
      <c r="AN129" s="75"/>
    </row>
    <row r="130" spans="1:40" s="6" customFormat="1" ht="11.25" x14ac:dyDescent="0.2">
      <c r="A130" s="56">
        <f t="shared" si="44"/>
        <v>44312</v>
      </c>
      <c r="B130" s="620">
        <v>6.3390000000000004</v>
      </c>
      <c r="C130" s="392"/>
      <c r="D130" s="395">
        <f t="shared" si="24"/>
        <v>6.4880984266122352</v>
      </c>
      <c r="E130" s="387">
        <f t="shared" si="45"/>
        <v>6.6730324061946762</v>
      </c>
      <c r="F130" s="387">
        <f t="shared" si="25"/>
        <v>6.6730324061946762</v>
      </c>
      <c r="G130" s="110">
        <f t="shared" si="46"/>
        <v>0.11107492723670598</v>
      </c>
      <c r="H130" s="416" t="b">
        <f>Wh_hp&gt;='2020'!Maxi_hp</f>
        <v>0</v>
      </c>
      <c r="I130" s="382">
        <f>IF(H130,Wh_hp,'2020'!Maxi_hp)</f>
        <v>43.392870551420849</v>
      </c>
      <c r="J130" s="85">
        <f>IF(H130,An,'2020'!An_max)</f>
        <v>2020</v>
      </c>
      <c r="K130" s="199">
        <f t="shared" si="26"/>
        <v>44312</v>
      </c>
      <c r="L130" s="147">
        <f>IF(t&lt;Tvie,1-EXP((T0-t)*PertePVj)+'2020'!Pspv,1-EXP((T0-t)*PertePVj)+Pspv)</f>
        <v>2.2980296661449851E-2</v>
      </c>
      <c r="M130" s="872"/>
      <c r="N130" s="872"/>
      <c r="O130" s="48">
        <f>IF(t&lt;Tnet,'2020'!Resal+('2020'!Salim-'2020'!Resal)*(1-EXP(('2020'!Tnet-t)/('2020'!Tau_j))),Resal+(Salim-Resal)*(1-EXP((Tnet-t)/(Tau_j))))*Salcycl</f>
        <v>2.7713634270794728E-2</v>
      </c>
      <c r="P130" s="171">
        <f>(INDEX(Models!$BJ130:$BT130,,T130)*(1-R130)+INDEX(Models!$BJ130:$BT130,,T130+1)*R130-ERP_i)*Q130*Ramure*Pc/MaxiM</f>
        <v>2.1455690211879693E-3</v>
      </c>
      <c r="Q130" s="307">
        <f t="shared" si="27"/>
        <v>0.9</v>
      </c>
      <c r="R130" s="179">
        <f t="shared" si="28"/>
        <v>0.38068306354157044</v>
      </c>
      <c r="S130" s="839">
        <f t="shared" si="29"/>
        <v>-1</v>
      </c>
      <c r="T130" s="178">
        <f t="shared" si="30"/>
        <v>5</v>
      </c>
      <c r="U130" s="253">
        <f t="shared" si="31"/>
        <v>-0.61931693645842956</v>
      </c>
      <c r="V130" s="385">
        <f t="shared" si="32"/>
        <v>56.947138254657247</v>
      </c>
      <c r="W130" s="404"/>
      <c r="X130" s="157">
        <f t="shared" si="33"/>
        <v>44312</v>
      </c>
      <c r="Y130" s="387">
        <f t="shared" si="34"/>
        <v>5.6787247851091616</v>
      </c>
      <c r="Z130" s="387">
        <f t="shared" si="35"/>
        <v>5.8122930025919946</v>
      </c>
      <c r="AA130" s="388">
        <f t="shared" si="36"/>
        <v>6.6730324061946762</v>
      </c>
      <c r="AB130" s="199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0.12898774518218203</v>
      </c>
      <c r="AD130" s="233">
        <f>(INDEX(Models!$BJ130:$BT130,,AH130)*(1-AF130)+INDEX(Models!$BJ130:$BT130,,AH130+1)*AF130-ERP_i)*AE130*Ramure*Pc/MaxiM</f>
        <v>2.1455690211879693E-3</v>
      </c>
      <c r="AE130" s="307">
        <f t="shared" si="38"/>
        <v>0.9</v>
      </c>
      <c r="AF130" s="179">
        <f t="shared" si="39"/>
        <v>0.38068306354157044</v>
      </c>
      <c r="AG130" s="839">
        <f t="shared" si="47"/>
        <v>-1</v>
      </c>
      <c r="AH130" s="178">
        <f t="shared" si="40"/>
        <v>5</v>
      </c>
      <c r="AI130" s="227">
        <f t="shared" si="41"/>
        <v>-0.61931693645842956</v>
      </c>
      <c r="AJ130" s="267" t="b">
        <f t="shared" si="42"/>
        <v>0</v>
      </c>
      <c r="AK130" s="267" t="b">
        <f t="shared" si="43"/>
        <v>0</v>
      </c>
      <c r="AL130" s="267"/>
      <c r="AM130" s="267"/>
      <c r="AN130" s="75"/>
    </row>
    <row r="131" spans="1:40" s="6" customFormat="1" ht="11.25" x14ac:dyDescent="0.2">
      <c r="A131" s="56">
        <f t="shared" si="44"/>
        <v>44313</v>
      </c>
      <c r="B131" s="620">
        <v>20.199000000000002</v>
      </c>
      <c r="C131" s="392"/>
      <c r="D131" s="395">
        <f t="shared" si="24"/>
        <v>20.674578007132272</v>
      </c>
      <c r="E131" s="387">
        <f t="shared" si="45"/>
        <v>21.272919085592282</v>
      </c>
      <c r="F131" s="387">
        <f t="shared" si="25"/>
        <v>21.276216443300701</v>
      </c>
      <c r="G131" s="110">
        <f t="shared" si="46"/>
        <v>0.3526700569620152</v>
      </c>
      <c r="H131" s="416" t="b">
        <f>Wh_hp&gt;='2020'!Maxi_hp</f>
        <v>0</v>
      </c>
      <c r="I131" s="382">
        <f>IF(H131,Wh_hp,'2020'!Maxi_hp)</f>
        <v>33.87097653103303</v>
      </c>
      <c r="J131" s="85">
        <f>IF(H131,An,'2020'!An_max)</f>
        <v>2019</v>
      </c>
      <c r="K131" s="199">
        <f t="shared" si="26"/>
        <v>44313</v>
      </c>
      <c r="L131" s="147">
        <f>IF(t&lt;Tvie,1-EXP((T0-t)*PertePVj)+'2020'!Pspv,1-EXP((T0-t)*PertePVj)+Pspv)</f>
        <v>2.3003033337280487E-2</v>
      </c>
      <c r="M131" s="872"/>
      <c r="N131" s="872"/>
      <c r="O131" s="48">
        <f>IF(t&lt;Tnet,'2020'!Resal+('2020'!Salim-'2020'!Resal)*(1-EXP(('2020'!Tnet-t)/('2020'!Tau_j))),Resal+(Salim-Resal)*(1-EXP((Tnet-t)/(Tau_j))))*Salcycl</f>
        <v>2.8126891098140518E-2</v>
      </c>
      <c r="P131" s="171">
        <f>(INDEX(Models!$BJ131:$BT131,,T131)*(1-R131)+INDEX(Models!$BJ131:$BT131,,T131+1)*R131-ERP_i)*Q131*Ramure*Pc/MaxiM</f>
        <v>2.0340643691886063E-3</v>
      </c>
      <c r="Q131" s="307">
        <f t="shared" si="27"/>
        <v>0.9</v>
      </c>
      <c r="R131" s="179">
        <f t="shared" si="28"/>
        <v>0.38362932591038867</v>
      </c>
      <c r="S131" s="839">
        <f t="shared" si="29"/>
        <v>-1</v>
      </c>
      <c r="T131" s="178">
        <f t="shared" si="30"/>
        <v>5</v>
      </c>
      <c r="U131" s="253">
        <f t="shared" si="31"/>
        <v>-0.61637067408961133</v>
      </c>
      <c r="V131" s="385">
        <f t="shared" si="32"/>
        <v>57.166856286277316</v>
      </c>
      <c r="W131" s="404"/>
      <c r="X131" s="157">
        <f t="shared" si="33"/>
        <v>44313</v>
      </c>
      <c r="Y131" s="387">
        <f t="shared" si="34"/>
        <v>18.098574551773265</v>
      </c>
      <c r="Z131" s="387">
        <f t="shared" si="35"/>
        <v>18.524698816205522</v>
      </c>
      <c r="AA131" s="388">
        <f t="shared" si="36"/>
        <v>21.272919085592282</v>
      </c>
      <c r="AB131" s="199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0.12918867684915289</v>
      </c>
      <c r="AD131" s="233">
        <f>(INDEX(Models!$BJ131:$BT131,,AH131)*(1-AF131)+INDEX(Models!$BJ131:$BT131,,AH131+1)*AF131-ERP_i)*AE131*Ramure*Pc/MaxiM</f>
        <v>2.0340643691886063E-3</v>
      </c>
      <c r="AE131" s="307">
        <f t="shared" si="38"/>
        <v>0.9</v>
      </c>
      <c r="AF131" s="179">
        <f t="shared" si="39"/>
        <v>0.38362932591038867</v>
      </c>
      <c r="AG131" s="839">
        <f t="shared" si="47"/>
        <v>-1</v>
      </c>
      <c r="AH131" s="178">
        <f t="shared" si="40"/>
        <v>5</v>
      </c>
      <c r="AI131" s="227">
        <f t="shared" si="41"/>
        <v>-0.61637067408961133</v>
      </c>
      <c r="AJ131" s="267" t="b">
        <f t="shared" si="42"/>
        <v>0</v>
      </c>
      <c r="AK131" s="267" t="b">
        <f t="shared" si="43"/>
        <v>0</v>
      </c>
      <c r="AL131" s="267"/>
      <c r="AM131" s="267"/>
      <c r="AN131" s="75"/>
    </row>
    <row r="132" spans="1:40" s="6" customFormat="1" ht="11.25" x14ac:dyDescent="0.2">
      <c r="A132" s="56">
        <f t="shared" si="44"/>
        <v>44314</v>
      </c>
      <c r="B132" s="620">
        <v>15.522</v>
      </c>
      <c r="C132" s="392"/>
      <c r="D132" s="395">
        <f t="shared" si="24"/>
        <v>15.887829499660199</v>
      </c>
      <c r="E132" s="387">
        <f t="shared" si="45"/>
        <v>16.354591601965218</v>
      </c>
      <c r="F132" s="387">
        <f t="shared" si="25"/>
        <v>16.354591601965218</v>
      </c>
      <c r="G132" s="110">
        <f t="shared" si="46"/>
        <v>0.2700018894356605</v>
      </c>
      <c r="H132" s="416" t="b">
        <f>Wh_hp&gt;='2020'!Maxi_hp</f>
        <v>0</v>
      </c>
      <c r="I132" s="382">
        <f>IF(H132,Wh_hp,'2020'!Maxi_hp)</f>
        <v>48.054004151723234</v>
      </c>
      <c r="J132" s="85">
        <f>IF(H132,An,'2020'!An_max)</f>
        <v>2019</v>
      </c>
      <c r="K132" s="199">
        <f t="shared" si="26"/>
        <v>44314</v>
      </c>
      <c r="L132" s="147">
        <f>IF(t&lt;Tvie,1-EXP((T0-t)*PertePVj)+'2020'!Pspv,1-EXP((T0-t)*PertePVj)+Pspv)</f>
        <v>2.3025769483995484E-2</v>
      </c>
      <c r="M132" s="872"/>
      <c r="N132" s="872"/>
      <c r="O132" s="48">
        <f>IF(t&lt;Tnet,'2020'!Resal+('2020'!Salim-'2020'!Resal)*(1-EXP(('2020'!Tnet-t)/('2020'!Tau_j))),Resal+(Salim-Resal)*(1-EXP((Tnet-t)/(Tau_j))))*Salcycl</f>
        <v>2.8540125835299558E-2</v>
      </c>
      <c r="P132" s="171">
        <f>(INDEX(Models!$BJ132:$BT132,,T132)*(1-R132)+INDEX(Models!$BJ132:$BT132,,T132+1)*R132-ERP_i)*Q132*Ramure*Pc/MaxiM</f>
        <v>1.9241758753556204E-3</v>
      </c>
      <c r="Q132" s="307">
        <f t="shared" si="27"/>
        <v>0.9</v>
      </c>
      <c r="R132" s="179">
        <f t="shared" si="28"/>
        <v>0.38666384893407757</v>
      </c>
      <c r="S132" s="839">
        <f t="shared" si="29"/>
        <v>-1</v>
      </c>
      <c r="T132" s="178">
        <f t="shared" si="30"/>
        <v>5</v>
      </c>
      <c r="U132" s="253">
        <f t="shared" si="31"/>
        <v>-0.61333615106592243</v>
      </c>
      <c r="V132" s="385">
        <f t="shared" si="32"/>
        <v>57.377868630635611</v>
      </c>
      <c r="W132" s="404"/>
      <c r="X132" s="157">
        <f t="shared" si="33"/>
        <v>44314</v>
      </c>
      <c r="Y132" s="387">
        <f t="shared" si="34"/>
        <v>13.910588132227895</v>
      </c>
      <c r="Z132" s="387">
        <f t="shared" si="35"/>
        <v>14.238439149905517</v>
      </c>
      <c r="AA132" s="388">
        <f t="shared" si="36"/>
        <v>16.354591601965218</v>
      </c>
      <c r="AB132" s="199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0.12939194714011801</v>
      </c>
      <c r="AD132" s="233">
        <f>(INDEX(Models!$BJ132:$BT132,,AH132)*(1-AF132)+INDEX(Models!$BJ132:$BT132,,AH132+1)*AF132-ERP_i)*AE132*Ramure*Pc/MaxiM</f>
        <v>1.9241758753556204E-3</v>
      </c>
      <c r="AE132" s="307">
        <f t="shared" si="38"/>
        <v>0.9</v>
      </c>
      <c r="AF132" s="179">
        <f t="shared" si="39"/>
        <v>0.38666384893407757</v>
      </c>
      <c r="AG132" s="839">
        <f t="shared" si="47"/>
        <v>-1</v>
      </c>
      <c r="AH132" s="178">
        <f t="shared" si="40"/>
        <v>5</v>
      </c>
      <c r="AI132" s="227">
        <f t="shared" si="41"/>
        <v>-0.61333615106592243</v>
      </c>
      <c r="AJ132" s="267" t="b">
        <f t="shared" si="42"/>
        <v>0</v>
      </c>
      <c r="AK132" s="267" t="b">
        <f t="shared" si="43"/>
        <v>0</v>
      </c>
      <c r="AL132" s="267"/>
      <c r="AM132" s="267"/>
      <c r="AN132" s="75"/>
    </row>
    <row r="133" spans="1:40" s="6" customFormat="1" ht="11.25" x14ac:dyDescent="0.2">
      <c r="A133" s="56">
        <f t="shared" si="44"/>
        <v>44315</v>
      </c>
      <c r="B133" s="620">
        <v>24.664000000000001</v>
      </c>
      <c r="C133" s="392"/>
      <c r="D133" s="395">
        <f t="shared" si="24"/>
        <v>25.245879789113953</v>
      </c>
      <c r="E133" s="387">
        <f t="shared" si="45"/>
        <v>25.998627362919027</v>
      </c>
      <c r="F133" s="387">
        <f t="shared" si="25"/>
        <v>26.007285985198639</v>
      </c>
      <c r="G133" s="110">
        <f t="shared" si="46"/>
        <v>0.42770875492072175</v>
      </c>
      <c r="H133" s="416" t="b">
        <f>Wh_hp&gt;='2020'!Maxi_hp</f>
        <v>0</v>
      </c>
      <c r="I133" s="382">
        <f>IF(H133,Wh_hp,'2020'!Maxi_hp)</f>
        <v>54.78185076677125</v>
      </c>
      <c r="J133" s="85">
        <f>IF(H133,An,'2020'!An_max)</f>
        <v>2019</v>
      </c>
      <c r="K133" s="199">
        <f t="shared" si="26"/>
        <v>44315</v>
      </c>
      <c r="L133" s="147">
        <f>IF(t&lt;Tvie,1-EXP((T0-t)*PertePVj)+'2020'!Pspv,1-EXP((T0-t)*PertePVj)+Pspv)</f>
        <v>2.3048505101607053E-2</v>
      </c>
      <c r="M133" s="872"/>
      <c r="N133" s="872"/>
      <c r="O133" s="48">
        <f>IF(t&lt;Tnet,'2020'!Resal+('2020'!Salim-'2020'!Resal)*(1-EXP(('2020'!Tnet-t)/('2020'!Tau_j))),Resal+(Salim-Resal)*(1-EXP((Tnet-t)/(Tau_j))))*Salcycl</f>
        <v>2.8953358317627721E-2</v>
      </c>
      <c r="P133" s="171">
        <f>(INDEX(Models!$BJ133:$BT133,,T133)*(1-R133)+INDEX(Models!$BJ133:$BT133,,T133+1)*R133-ERP_i)*Q133*Ramure*Pc/MaxiM</f>
        <v>1.8158321194554222E-3</v>
      </c>
      <c r="Q133" s="307">
        <f t="shared" si="27"/>
        <v>0.9</v>
      </c>
      <c r="R133" s="179">
        <f t="shared" si="28"/>
        <v>0.38978798031136286</v>
      </c>
      <c r="S133" s="839">
        <f t="shared" si="29"/>
        <v>-1</v>
      </c>
      <c r="T133" s="178">
        <f t="shared" si="30"/>
        <v>5</v>
      </c>
      <c r="U133" s="253">
        <f t="shared" si="31"/>
        <v>-0.61021201968863714</v>
      </c>
      <c r="V133" s="385">
        <f t="shared" si="32"/>
        <v>57.579867734149126</v>
      </c>
      <c r="W133" s="404"/>
      <c r="X133" s="157">
        <f t="shared" si="33"/>
        <v>44315</v>
      </c>
      <c r="Y133" s="387">
        <f t="shared" si="34"/>
        <v>22.107698248229767</v>
      </c>
      <c r="Z133" s="387">
        <f t="shared" si="35"/>
        <v>22.6292690718786</v>
      </c>
      <c r="AA133" s="388">
        <f t="shared" si="36"/>
        <v>25.998627362919027</v>
      </c>
      <c r="AB133" s="199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0.12959754543988078</v>
      </c>
      <c r="AD133" s="233">
        <f>(INDEX(Models!$BJ133:$BT133,,AH133)*(1-AF133)+INDEX(Models!$BJ133:$BT133,,AH133+1)*AF133-ERP_i)*AE133*Ramure*Pc/MaxiM</f>
        <v>1.8158321194554222E-3</v>
      </c>
      <c r="AE133" s="307">
        <f t="shared" si="38"/>
        <v>0.9</v>
      </c>
      <c r="AF133" s="179">
        <f t="shared" si="39"/>
        <v>0.38978798031136286</v>
      </c>
      <c r="AG133" s="839">
        <f t="shared" si="47"/>
        <v>-1</v>
      </c>
      <c r="AH133" s="178">
        <f t="shared" si="40"/>
        <v>5</v>
      </c>
      <c r="AI133" s="227">
        <f t="shared" si="41"/>
        <v>-0.61021201968863714</v>
      </c>
      <c r="AJ133" s="267" t="b">
        <f t="shared" si="42"/>
        <v>0</v>
      </c>
      <c r="AK133" s="267" t="b">
        <f t="shared" si="43"/>
        <v>0</v>
      </c>
      <c r="AL133" s="267"/>
      <c r="AM133" s="267"/>
      <c r="AN133" s="75"/>
    </row>
    <row r="134" spans="1:40" s="6" customFormat="1" ht="11.25" x14ac:dyDescent="0.2">
      <c r="A134" s="56">
        <f t="shared" si="44"/>
        <v>44316</v>
      </c>
      <c r="B134" s="620">
        <v>17.413</v>
      </c>
      <c r="C134" s="392"/>
      <c r="D134" s="395">
        <f t="shared" si="24"/>
        <v>17.824227022847477</v>
      </c>
      <c r="E134" s="387">
        <f t="shared" si="45"/>
        <v>18.363500730242833</v>
      </c>
      <c r="F134" s="387">
        <f t="shared" si="25"/>
        <v>18.363563770526309</v>
      </c>
      <c r="G134" s="110">
        <f t="shared" si="46"/>
        <v>0.30089207625741327</v>
      </c>
      <c r="H134" s="416" t="b">
        <f>Wh_hp&gt;='2020'!Maxi_hp</f>
        <v>0</v>
      </c>
      <c r="I134" s="382">
        <f>IF(H134,Wh_hp,'2020'!Maxi_hp)</f>
        <v>60.84592314154898</v>
      </c>
      <c r="J134" s="85">
        <f>IF(H134,An,'2020'!An_max)</f>
        <v>2019</v>
      </c>
      <c r="K134" s="199">
        <f t="shared" si="26"/>
        <v>44316</v>
      </c>
      <c r="L134" s="147">
        <f>IF(t&lt;Tvie,1-EXP((T0-t)*PertePVj)+'2020'!Pspv,1-EXP((T0-t)*PertePVj)+Pspv)</f>
        <v>2.3071240190127629E-2</v>
      </c>
      <c r="M134" s="872"/>
      <c r="N134" s="872"/>
      <c r="O134" s="48">
        <f>IF(t&lt;Tnet,'2020'!Resal+('2020'!Salim-'2020'!Resal)*(1-EXP(('2020'!Tnet-t)/('2020'!Tau_j))),Resal+(Salim-Resal)*(1-EXP((Tnet-t)/(Tau_j))))*Salcycl</f>
        <v>2.9366606907757376E-2</v>
      </c>
      <c r="P134" s="171">
        <f>(INDEX(Models!$BJ134:$BT134,,T134)*(1-R134)+INDEX(Models!$BJ134:$BT134,,T134+1)*R134-ERP_i)*Q134*Ramure*Pc/MaxiM</f>
        <v>1.7089614792970527E-3</v>
      </c>
      <c r="Q134" s="307">
        <f t="shared" si="27"/>
        <v>0.9</v>
      </c>
      <c r="R134" s="179">
        <f t="shared" si="28"/>
        <v>0.39300299273139117</v>
      </c>
      <c r="S134" s="839">
        <f t="shared" si="29"/>
        <v>-1</v>
      </c>
      <c r="T134" s="178">
        <f t="shared" si="30"/>
        <v>5</v>
      </c>
      <c r="U134" s="253">
        <f t="shared" si="31"/>
        <v>-0.60699700726860883</v>
      </c>
      <c r="V134" s="385">
        <f t="shared" si="32"/>
        <v>57.772546705518813</v>
      </c>
      <c r="W134" s="404"/>
      <c r="X134" s="157">
        <f t="shared" si="33"/>
        <v>44316</v>
      </c>
      <c r="Y134" s="387">
        <f t="shared" si="34"/>
        <v>15.611143921092589</v>
      </c>
      <c r="Z134" s="387">
        <f t="shared" si="35"/>
        <v>15.97981814367999</v>
      </c>
      <c r="AA134" s="388">
        <f t="shared" si="36"/>
        <v>18.363500730242833</v>
      </c>
      <c r="AB134" s="199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0.1298054560281722</v>
      </c>
      <c r="AD134" s="233">
        <f>(INDEX(Models!$BJ134:$BT134,,AH134)*(1-AF134)+INDEX(Models!$BJ134:$BT134,,AH134+1)*AF134-ERP_i)*AE134*Ramure*Pc/MaxiM</f>
        <v>1.7089614792970527E-3</v>
      </c>
      <c r="AE134" s="307">
        <f t="shared" si="38"/>
        <v>0.9</v>
      </c>
      <c r="AF134" s="179">
        <f t="shared" si="39"/>
        <v>0.39300299273139117</v>
      </c>
      <c r="AG134" s="839">
        <f t="shared" si="47"/>
        <v>-1</v>
      </c>
      <c r="AH134" s="178">
        <f t="shared" si="40"/>
        <v>5</v>
      </c>
      <c r="AI134" s="227">
        <f t="shared" si="41"/>
        <v>-0.60699700726860883</v>
      </c>
      <c r="AJ134" s="267" t="b">
        <f t="shared" si="42"/>
        <v>0</v>
      </c>
      <c r="AK134" s="267" t="b">
        <f t="shared" si="43"/>
        <v>0</v>
      </c>
      <c r="AL134" s="267"/>
      <c r="AM134" s="267"/>
      <c r="AN134" s="75"/>
    </row>
    <row r="135" spans="1:40" s="6" customFormat="1" ht="11.25" x14ac:dyDescent="0.2">
      <c r="A135" s="56">
        <f t="shared" si="44"/>
        <v>44317</v>
      </c>
      <c r="B135" s="620">
        <v>20.716000000000001</v>
      </c>
      <c r="C135" s="392"/>
      <c r="D135" s="395">
        <f t="shared" si="24"/>
        <v>21.2057244653491</v>
      </c>
      <c r="E135" s="387">
        <f t="shared" si="45"/>
        <v>21.856611929116685</v>
      </c>
      <c r="F135" s="387">
        <f t="shared" si="25"/>
        <v>21.85948850377299</v>
      </c>
      <c r="G135" s="110">
        <f t="shared" si="46"/>
        <v>0.35692061680191917</v>
      </c>
      <c r="H135" s="416" t="b">
        <f>Wh_hp&gt;='2020'!Maxi_hp</f>
        <v>0</v>
      </c>
      <c r="I135" s="382">
        <f>IF(H135,Wh_hp,'2020'!Maxi_hp)</f>
        <v>56.845620095734738</v>
      </c>
      <c r="J135" s="85">
        <f>IF(H135,An,'2020'!An_max)</f>
        <v>2019</v>
      </c>
      <c r="K135" s="199">
        <f t="shared" si="26"/>
        <v>44317</v>
      </c>
      <c r="L135" s="147">
        <f>IF(t&lt;Tvie,1-EXP((T0-t)*PertePVj)+'2020'!Pspv,1-EXP((T0-t)*PertePVj)+Pspv)</f>
        <v>2.3093974749569424E-2</v>
      </c>
      <c r="M135" s="872"/>
      <c r="N135" s="872"/>
      <c r="O135" s="48">
        <f>IF(t&lt;Tnet,'2020'!Resal+('2020'!Salim-'2020'!Resal)*(1-EXP(('2020'!Tnet-t)/('2020'!Tau_j))),Resal+(Salim-Resal)*(1-EXP((Tnet-t)/(Tau_j))))*Salcycl</f>
        <v>2.9779888387023699E-2</v>
      </c>
      <c r="P135" s="171">
        <f>(INDEX(Models!$BJ135:$BT135,,T135)*(1-R135)+INDEX(Models!$BJ135:$BT135,,T135+1)*R135-ERP_i)*Q135*Ramure*Pc/MaxiM</f>
        <v>1.6034955429061676E-3</v>
      </c>
      <c r="Q135" s="307">
        <f t="shared" si="27"/>
        <v>0.9</v>
      </c>
      <c r="R135" s="179">
        <f t="shared" si="28"/>
        <v>0.3963100760844519</v>
      </c>
      <c r="S135" s="839">
        <f t="shared" si="29"/>
        <v>-1</v>
      </c>
      <c r="T135" s="178">
        <f t="shared" si="30"/>
        <v>5</v>
      </c>
      <c r="U135" s="253">
        <f t="shared" si="31"/>
        <v>-0.6036899239155481</v>
      </c>
      <c r="V135" s="385">
        <f t="shared" si="32"/>
        <v>57.955475526134528</v>
      </c>
      <c r="W135" s="404"/>
      <c r="X135" s="157">
        <f t="shared" si="33"/>
        <v>44317</v>
      </c>
      <c r="Y135" s="387">
        <f t="shared" si="34"/>
        <v>18.575780294727981</v>
      </c>
      <c r="Z135" s="387">
        <f t="shared" si="35"/>
        <v>19.014910149587894</v>
      </c>
      <c r="AA135" s="388">
        <f t="shared" si="36"/>
        <v>21.856611929116685</v>
      </c>
      <c r="AB135" s="199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0.13001565790456138</v>
      </c>
      <c r="AD135" s="233">
        <f>(INDEX(Models!$BJ135:$BT135,,AH135)*(1-AF135)+INDEX(Models!$BJ135:$BT135,,AH135+1)*AF135-ERP_i)*AE135*Ramure*Pc/MaxiM</f>
        <v>1.6034955429061676E-3</v>
      </c>
      <c r="AE135" s="307">
        <f t="shared" si="38"/>
        <v>0.9</v>
      </c>
      <c r="AF135" s="179">
        <f t="shared" si="39"/>
        <v>0.3963100760844519</v>
      </c>
      <c r="AG135" s="839">
        <f t="shared" si="47"/>
        <v>-1</v>
      </c>
      <c r="AH135" s="178">
        <f t="shared" si="40"/>
        <v>5</v>
      </c>
      <c r="AI135" s="227">
        <f t="shared" si="41"/>
        <v>-0.6036899239155481</v>
      </c>
      <c r="AJ135" s="267" t="b">
        <f t="shared" si="42"/>
        <v>0</v>
      </c>
      <c r="AK135" s="267" t="b">
        <f t="shared" si="43"/>
        <v>0</v>
      </c>
      <c r="AL135" s="267"/>
      <c r="AM135" s="267"/>
      <c r="AN135" s="75"/>
    </row>
    <row r="136" spans="1:40" s="6" customFormat="1" ht="11.25" x14ac:dyDescent="0.2">
      <c r="A136" s="56">
        <f t="shared" si="44"/>
        <v>44318</v>
      </c>
      <c r="B136" s="620">
        <v>37.628</v>
      </c>
      <c r="C136" s="392"/>
      <c r="D136" s="395">
        <f t="shared" si="24"/>
        <v>38.518419076454265</v>
      </c>
      <c r="E136" s="387">
        <f t="shared" si="45"/>
        <v>39.717621886406981</v>
      </c>
      <c r="F136" s="387">
        <f t="shared" si="25"/>
        <v>39.747246661532351</v>
      </c>
      <c r="G136" s="110">
        <f t="shared" si="46"/>
        <v>0.64683355218463656</v>
      </c>
      <c r="H136" s="416" t="b">
        <f>Wh_hp&gt;='2020'!Maxi_hp</f>
        <v>1</v>
      </c>
      <c r="I136" s="382">
        <f>IF(H136,Wh_hp,'2020'!Maxi_hp)</f>
        <v>39.747246661532351</v>
      </c>
      <c r="J136" s="85">
        <f>IF(H136,An,'2020'!An_max)</f>
        <v>2021</v>
      </c>
      <c r="K136" s="199">
        <f t="shared" si="26"/>
        <v>44318</v>
      </c>
      <c r="L136" s="147">
        <f>IF(t&lt;Tvie,1-EXP((T0-t)*PertePVj)+'2020'!Pspv,1-EXP((T0-t)*PertePVj)+Pspv)</f>
        <v>2.3116708779944872E-2</v>
      </c>
      <c r="M136" s="872"/>
      <c r="N136" s="872"/>
      <c r="O136" s="48">
        <f>IF(t&lt;Tnet,'2020'!Resal+('2020'!Salim-'2020'!Resal)*(1-EXP(('2020'!Tnet-t)/('2020'!Tau_j))),Resal+(Salim-Resal)*(1-EXP((Tnet-t)/(Tau_j))))*Salcycl</f>
        <v>3.0193217846286279E-2</v>
      </c>
      <c r="P136" s="171">
        <f>(INDEX(Models!$BJ136:$BT136,,T136)*(1-R136)+INDEX(Models!$BJ136:$BT136,,T136+1)*R136-ERP_i)*Q136*Ramure*Pc/MaxiM</f>
        <v>1.5021437021771639E-3</v>
      </c>
      <c r="Q136" s="307">
        <f t="shared" si="27"/>
        <v>0.9</v>
      </c>
      <c r="R136" s="179">
        <f t="shared" si="28"/>
        <v>0.3997103294732548</v>
      </c>
      <c r="S136" s="839">
        <f t="shared" si="29"/>
        <v>-1</v>
      </c>
      <c r="T136" s="178">
        <f t="shared" si="30"/>
        <v>5</v>
      </c>
      <c r="U136" s="253">
        <f t="shared" si="31"/>
        <v>-0.6002896705267452</v>
      </c>
      <c r="V136" s="385">
        <f t="shared" si="32"/>
        <v>58.128557506115229</v>
      </c>
      <c r="W136" s="404"/>
      <c r="X136" s="157">
        <f t="shared" si="33"/>
        <v>44318</v>
      </c>
      <c r="Y136" s="387">
        <f t="shared" si="34"/>
        <v>33.746697516530261</v>
      </c>
      <c r="Z136" s="387">
        <f t="shared" si="35"/>
        <v>34.545270473797466</v>
      </c>
      <c r="AA136" s="388">
        <f t="shared" si="36"/>
        <v>39.717621886406981</v>
      </c>
      <c r="AB136" s="199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0.13022812461940741</v>
      </c>
      <c r="AD136" s="233">
        <f>(INDEX(Models!$BJ136:$BT136,,AH136)*(1-AF136)+INDEX(Models!$BJ136:$BT136,,AH136+1)*AF136-ERP_i)*AE136*Ramure*Pc/MaxiM</f>
        <v>1.5021437021771639E-3</v>
      </c>
      <c r="AE136" s="307">
        <f t="shared" si="38"/>
        <v>0.9</v>
      </c>
      <c r="AF136" s="179">
        <f t="shared" si="39"/>
        <v>0.3997103294732548</v>
      </c>
      <c r="AG136" s="839">
        <f t="shared" si="47"/>
        <v>-1</v>
      </c>
      <c r="AH136" s="178">
        <f t="shared" si="40"/>
        <v>5</v>
      </c>
      <c r="AI136" s="227">
        <f t="shared" si="41"/>
        <v>-0.6002896705267452</v>
      </c>
      <c r="AJ136" s="267" t="b">
        <f t="shared" si="42"/>
        <v>0</v>
      </c>
      <c r="AK136" s="267" t="b">
        <f t="shared" si="43"/>
        <v>0</v>
      </c>
      <c r="AL136" s="267"/>
      <c r="AM136" s="267"/>
      <c r="AN136" s="75"/>
    </row>
    <row r="137" spans="1:40" s="6" customFormat="1" ht="11.25" x14ac:dyDescent="0.2">
      <c r="A137" s="56">
        <f t="shared" si="44"/>
        <v>44319</v>
      </c>
      <c r="B137" s="620">
        <v>56.5</v>
      </c>
      <c r="C137" s="392"/>
      <c r="D137" s="395">
        <f t="shared" si="24"/>
        <v>57.838347094230791</v>
      </c>
      <c r="E137" s="387">
        <f t="shared" si="45"/>
        <v>59.66447430522922</v>
      </c>
      <c r="F137" s="387">
        <f t="shared" si="25"/>
        <v>59.744764721426584</v>
      </c>
      <c r="G137" s="110">
        <f t="shared" si="46"/>
        <v>0.96919528929142074</v>
      </c>
      <c r="H137" s="416" t="b">
        <f>Wh_hp&gt;='2020'!Maxi_hp</f>
        <v>1</v>
      </c>
      <c r="I137" s="382">
        <f>IF(H137,Wh_hp,'2020'!Maxi_hp)</f>
        <v>59.744764721426584</v>
      </c>
      <c r="J137" s="85">
        <f>IF(H137,An,'2020'!An_max)</f>
        <v>2021</v>
      </c>
      <c r="K137" s="199">
        <f t="shared" si="26"/>
        <v>44319</v>
      </c>
      <c r="L137" s="147">
        <f>IF(t&lt;Tvie,1-EXP((T0-t)*PertePVj)+'2020'!Pspv,1-EXP((T0-t)*PertePVj)+Pspv)</f>
        <v>2.3139442281266187E-2</v>
      </c>
      <c r="M137" s="872"/>
      <c r="N137" s="872"/>
      <c r="O137" s="48">
        <f>IF(t&lt;Tnet,'2020'!Resal+('2020'!Salim-'2020'!Resal)*(1-EXP(('2020'!Tnet-t)/('2020'!Tau_j))),Resal+(Salim-Resal)*(1-EXP((Tnet-t)/(Tau_j))))*Salcycl</f>
        <v>3.0606608576762097E-2</v>
      </c>
      <c r="P137" s="171">
        <f>(INDEX(Models!$BJ137:$BT137,,T137)*(1-R137)+INDEX(Models!$BJ137:$BT137,,T137+1)*R137-ERP_i)*Q137*Ramure*Pc/MaxiM</f>
        <v>1.4056271407836694E-3</v>
      </c>
      <c r="Q137" s="307">
        <f t="shared" si="27"/>
        <v>0.9</v>
      </c>
      <c r="R137" s="179">
        <f t="shared" si="28"/>
        <v>0.40320475305491932</v>
      </c>
      <c r="S137" s="839">
        <f t="shared" si="29"/>
        <v>-1</v>
      </c>
      <c r="T137" s="178">
        <f t="shared" si="30"/>
        <v>5</v>
      </c>
      <c r="U137" s="253">
        <f t="shared" si="31"/>
        <v>-0.59679524694508068</v>
      </c>
      <c r="V137" s="385">
        <f t="shared" si="32"/>
        <v>58.292180951372607</v>
      </c>
      <c r="W137" s="404"/>
      <c r="X137" s="157">
        <f t="shared" si="33"/>
        <v>44319</v>
      </c>
      <c r="Y137" s="387">
        <f t="shared" si="34"/>
        <v>50.68115882809321</v>
      </c>
      <c r="Z137" s="387">
        <f t="shared" si="35"/>
        <v>51.881671777647682</v>
      </c>
      <c r="AA137" s="388">
        <f t="shared" si="36"/>
        <v>59.66447430522922</v>
      </c>
      <c r="AB137" s="199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0.13044282411283095</v>
      </c>
      <c r="AD137" s="233">
        <f>(INDEX(Models!$BJ137:$BT137,,AH137)*(1-AF137)+INDEX(Models!$BJ137:$BT137,,AH137+1)*AF137-ERP_i)*AE137*Ramure*Pc/MaxiM</f>
        <v>1.4056271407836694E-3</v>
      </c>
      <c r="AE137" s="307">
        <f t="shared" si="38"/>
        <v>0.9</v>
      </c>
      <c r="AF137" s="179">
        <f t="shared" si="39"/>
        <v>0.40320475305491932</v>
      </c>
      <c r="AG137" s="839">
        <f t="shared" si="47"/>
        <v>-1</v>
      </c>
      <c r="AH137" s="178">
        <f t="shared" si="40"/>
        <v>5</v>
      </c>
      <c r="AI137" s="227">
        <f t="shared" si="41"/>
        <v>-0.59679524694508068</v>
      </c>
      <c r="AJ137" s="267" t="b">
        <f t="shared" si="42"/>
        <v>0</v>
      </c>
      <c r="AK137" s="267" t="b">
        <f t="shared" si="43"/>
        <v>0</v>
      </c>
      <c r="AL137" s="267"/>
      <c r="AM137" s="267"/>
      <c r="AN137" s="75"/>
    </row>
    <row r="138" spans="1:40" s="6" customFormat="1" ht="11.25" x14ac:dyDescent="0.2">
      <c r="A138" s="56">
        <f t="shared" si="44"/>
        <v>44320</v>
      </c>
      <c r="B138" s="620">
        <v>49.078000000000003</v>
      </c>
      <c r="C138" s="392"/>
      <c r="D138" s="395">
        <f t="shared" si="24"/>
        <v>50.241707227848771</v>
      </c>
      <c r="E138" s="387">
        <f t="shared" si="45"/>
        <v>51.850101095030141</v>
      </c>
      <c r="F138" s="387">
        <f t="shared" si="25"/>
        <v>51.902677527708505</v>
      </c>
      <c r="G138" s="110">
        <f t="shared" si="46"/>
        <v>0.8394511705820954</v>
      </c>
      <c r="H138" s="416" t="b">
        <f>Wh_hp&gt;='2020'!Maxi_hp</f>
        <v>0</v>
      </c>
      <c r="I138" s="382">
        <f>IF(H138,Wh_hp,'2020'!Maxi_hp)</f>
        <v>56.648586728820725</v>
      </c>
      <c r="J138" s="85">
        <f>IF(H138,An,'2020'!An_max)</f>
        <v>2020</v>
      </c>
      <c r="K138" s="199">
        <f t="shared" si="26"/>
        <v>44320</v>
      </c>
      <c r="L138" s="147">
        <f>IF(t&lt;Tvie,1-EXP((T0-t)*PertePVj)+'2020'!Pspv,1-EXP((T0-t)*PertePVj)+Pspv)</f>
        <v>2.3162175253545692E-2</v>
      </c>
      <c r="M138" s="872"/>
      <c r="N138" s="872"/>
      <c r="O138" s="48">
        <f>IF(t&lt;Tnet,'2020'!Resal+('2020'!Salim-'2020'!Resal)*(1-EXP(('2020'!Tnet-t)/('2020'!Tau_j))),Resal+(Salim-Resal)*(1-EXP((Tnet-t)/(Tau_j))))*Salcycl</f>
        <v>3.1020071961547956E-2</v>
      </c>
      <c r="P138" s="171">
        <f>(INDEX(Models!$BJ138:$BT138,,T138)*(1-R138)+INDEX(Models!$BJ138:$BT138,,T138+1)*R138-ERP_i)*Q138*Ramure*Pc/MaxiM</f>
        <v>1.3138437101401156E-3</v>
      </c>
      <c r="Q138" s="307">
        <f t="shared" si="27"/>
        <v>0.9</v>
      </c>
      <c r="R138" s="179">
        <f t="shared" si="28"/>
        <v>0.40679423974789686</v>
      </c>
      <c r="S138" s="839">
        <f t="shared" si="29"/>
        <v>-1</v>
      </c>
      <c r="T138" s="178">
        <f t="shared" si="30"/>
        <v>5</v>
      </c>
      <c r="U138" s="253">
        <f t="shared" si="31"/>
        <v>-0.59320576025210314</v>
      </c>
      <c r="V138" s="385">
        <f t="shared" si="32"/>
        <v>58.446781674571596</v>
      </c>
      <c r="W138" s="404"/>
      <c r="X138" s="157">
        <f t="shared" si="33"/>
        <v>44320</v>
      </c>
      <c r="Y138" s="387">
        <f t="shared" si="34"/>
        <v>44.031337593025931</v>
      </c>
      <c r="Z138" s="387">
        <f t="shared" si="35"/>
        <v>45.075381478450225</v>
      </c>
      <c r="AA138" s="388">
        <f t="shared" si="36"/>
        <v>51.850101095030141</v>
      </c>
      <c r="AB138" s="199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0.13065971856377487</v>
      </c>
      <c r="AD138" s="233">
        <f>(INDEX(Models!$BJ138:$BT138,,AH138)*(1-AF138)+INDEX(Models!$BJ138:$BT138,,AH138+1)*AF138-ERP_i)*AE138*Ramure*Pc/MaxiM</f>
        <v>1.3138437101401156E-3</v>
      </c>
      <c r="AE138" s="307">
        <f t="shared" si="38"/>
        <v>0.9</v>
      </c>
      <c r="AF138" s="179">
        <f t="shared" si="39"/>
        <v>0.40679423974789686</v>
      </c>
      <c r="AG138" s="839">
        <f t="shared" si="47"/>
        <v>-1</v>
      </c>
      <c r="AH138" s="178">
        <f t="shared" si="40"/>
        <v>5</v>
      </c>
      <c r="AI138" s="227">
        <f t="shared" si="41"/>
        <v>-0.59320576025210314</v>
      </c>
      <c r="AJ138" s="267" t="b">
        <f t="shared" si="42"/>
        <v>0</v>
      </c>
      <c r="AK138" s="267" t="b">
        <f t="shared" si="43"/>
        <v>0</v>
      </c>
      <c r="AL138" s="267"/>
      <c r="AM138" s="267"/>
      <c r="AN138" s="75"/>
    </row>
    <row r="139" spans="1:40" s="6" customFormat="1" ht="11.25" x14ac:dyDescent="0.2">
      <c r="A139" s="56">
        <f t="shared" si="44"/>
        <v>44321</v>
      </c>
      <c r="B139" s="620">
        <v>34.927999999999997</v>
      </c>
      <c r="C139" s="392"/>
      <c r="D139" s="395">
        <f t="shared" si="24"/>
        <v>35.757023284360066</v>
      </c>
      <c r="E139" s="387">
        <f t="shared" si="45"/>
        <v>36.917473005014202</v>
      </c>
      <c r="F139" s="387">
        <f t="shared" si="25"/>
        <v>36.936640129719891</v>
      </c>
      <c r="G139" s="110">
        <f t="shared" si="46"/>
        <v>0.5956921139030199</v>
      </c>
      <c r="H139" s="416" t="b">
        <f>Wh_hp&gt;='2020'!Maxi_hp</f>
        <v>0</v>
      </c>
      <c r="I139" s="382">
        <f>IF(H139,Wh_hp,'2020'!Maxi_hp)</f>
        <v>58.989313810464012</v>
      </c>
      <c r="J139" s="85">
        <f>IF(H139,An,'2020'!An_max)</f>
        <v>2020</v>
      </c>
      <c r="K139" s="199">
        <f t="shared" si="26"/>
        <v>44321</v>
      </c>
      <c r="L139" s="147">
        <f>IF(t&lt;Tvie,1-EXP((T0-t)*PertePVj)+'2020'!Pspv,1-EXP((T0-t)*PertePVj)+Pspv)</f>
        <v>2.318490769679582E-2</v>
      </c>
      <c r="M139" s="872"/>
      <c r="N139" s="872"/>
      <c r="O139" s="48">
        <f>IF(t&lt;Tnet,'2020'!Resal+('2020'!Salim-'2020'!Resal)*(1-EXP(('2020'!Tnet-t)/('2020'!Tau_j))),Resal+(Salim-Resal)*(1-EXP((Tnet-t)/(Tau_j))))*Salcycl</f>
        <v>3.1433617368570234E-2</v>
      </c>
      <c r="P139" s="171">
        <f>(INDEX(Models!$BJ139:$BT139,,T139)*(1-R139)+INDEX(Models!$BJ139:$BT139,,T139+1)*R139-ERP_i)*Q139*Ramure*Pc/MaxiM</f>
        <v>1.2266998467207991E-3</v>
      </c>
      <c r="Q139" s="307">
        <f t="shared" si="27"/>
        <v>0.9</v>
      </c>
      <c r="R139" s="179">
        <f t="shared" si="28"/>
        <v>0.41047956684217579</v>
      </c>
      <c r="S139" s="839">
        <f t="shared" si="29"/>
        <v>-1</v>
      </c>
      <c r="T139" s="178">
        <f t="shared" si="30"/>
        <v>5</v>
      </c>
      <c r="U139" s="253">
        <f t="shared" si="31"/>
        <v>-0.58952043315782421</v>
      </c>
      <c r="V139" s="385">
        <f t="shared" si="32"/>
        <v>58.592794803301281</v>
      </c>
      <c r="W139" s="404"/>
      <c r="X139" s="157">
        <f t="shared" si="33"/>
        <v>44321</v>
      </c>
      <c r="Y139" s="387">
        <f t="shared" si="34"/>
        <v>31.341854380447277</v>
      </c>
      <c r="Z139" s="387">
        <f t="shared" si="35"/>
        <v>32.08575975883749</v>
      </c>
      <c r="AA139" s="388">
        <f t="shared" si="36"/>
        <v>36.917473005014202</v>
      </c>
      <c r="AB139" s="199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0.13087876425129252</v>
      </c>
      <c r="AD139" s="233">
        <f>(INDEX(Models!$BJ139:$BT139,,AH139)*(1-AF139)+INDEX(Models!$BJ139:$BT139,,AH139+1)*AF139-ERP_i)*AE139*Ramure*Pc/MaxiM</f>
        <v>1.2266998467207991E-3</v>
      </c>
      <c r="AE139" s="307">
        <f t="shared" si="38"/>
        <v>0.9</v>
      </c>
      <c r="AF139" s="179">
        <f t="shared" si="39"/>
        <v>0.41047956684217579</v>
      </c>
      <c r="AG139" s="839">
        <f t="shared" si="47"/>
        <v>-1</v>
      </c>
      <c r="AH139" s="178">
        <f t="shared" si="40"/>
        <v>5</v>
      </c>
      <c r="AI139" s="227">
        <f t="shared" si="41"/>
        <v>-0.58952043315782421</v>
      </c>
      <c r="AJ139" s="267" t="b">
        <f t="shared" si="42"/>
        <v>0</v>
      </c>
      <c r="AK139" s="267" t="b">
        <f t="shared" si="43"/>
        <v>0</v>
      </c>
      <c r="AL139" s="267"/>
      <c r="AM139" s="267"/>
      <c r="AN139" s="75"/>
    </row>
    <row r="140" spans="1:40" s="6" customFormat="1" ht="11.25" x14ac:dyDescent="0.2">
      <c r="A140" s="56">
        <f t="shared" si="44"/>
        <v>44322</v>
      </c>
      <c r="B140" s="620">
        <v>36.480000000000004</v>
      </c>
      <c r="C140" s="392"/>
      <c r="D140" s="395">
        <f t="shared" si="24"/>
        <v>37.346729437434583</v>
      </c>
      <c r="E140" s="387">
        <f t="shared" si="45"/>
        <v>38.575244987270899</v>
      </c>
      <c r="F140" s="387">
        <f t="shared" si="25"/>
        <v>38.595503231310182</v>
      </c>
      <c r="G140" s="110">
        <f t="shared" si="46"/>
        <v>0.62075587219221806</v>
      </c>
      <c r="H140" s="416" t="b">
        <f>Wh_hp&gt;='2020'!Maxi_hp</f>
        <v>0</v>
      </c>
      <c r="I140" s="382">
        <f>IF(H140,Wh_hp,'2020'!Maxi_hp)</f>
        <v>64.322746160656237</v>
      </c>
      <c r="J140" s="85">
        <f>IF(H140,An,'2020'!An_max)</f>
        <v>2019</v>
      </c>
      <c r="K140" s="199">
        <f t="shared" si="26"/>
        <v>44322</v>
      </c>
      <c r="L140" s="147">
        <f>IF(t&lt;Tvie,1-EXP((T0-t)*PertePVj)+'2020'!Pspv,1-EXP((T0-t)*PertePVj)+Pspv)</f>
        <v>2.3207639611028674E-2</v>
      </c>
      <c r="M140" s="872"/>
      <c r="N140" s="872"/>
      <c r="O140" s="48">
        <f>IF(t&lt;Tnet,'2020'!Resal+('2020'!Salim-'2020'!Resal)*(1-EXP(('2020'!Tnet-t)/('2020'!Tau_j))),Resal+(Salim-Resal)*(1-EXP((Tnet-t)/(Tau_j))))*Salcycl</f>
        <v>3.1847252045753817E-2</v>
      </c>
      <c r="P140" s="171">
        <f>(INDEX(Models!$BJ140:$BT140,,T140)*(1-R140)+INDEX(Models!$BJ140:$BT140,,T140+1)*R140-ERP_i)*Q140*Ramure*Pc/MaxiM</f>
        <v>1.1441100008545769E-3</v>
      </c>
      <c r="Q140" s="307">
        <f t="shared" si="27"/>
        <v>0.9</v>
      </c>
      <c r="R140" s="179">
        <f t="shared" si="28"/>
        <v>0.41426138755527497</v>
      </c>
      <c r="S140" s="839">
        <f t="shared" si="29"/>
        <v>-1</v>
      </c>
      <c r="T140" s="178">
        <f t="shared" si="30"/>
        <v>5</v>
      </c>
      <c r="U140" s="253">
        <f t="shared" si="31"/>
        <v>-0.58573861244472503</v>
      </c>
      <c r="V140" s="385">
        <f t="shared" si="32"/>
        <v>58.730654808208776</v>
      </c>
      <c r="W140" s="404"/>
      <c r="X140" s="157">
        <f t="shared" si="33"/>
        <v>44322</v>
      </c>
      <c r="Y140" s="387">
        <f t="shared" si="34"/>
        <v>32.740159337462806</v>
      </c>
      <c r="Z140" s="387">
        <f t="shared" si="35"/>
        <v>33.518033786039496</v>
      </c>
      <c r="AA140" s="388">
        <f t="shared" si="36"/>
        <v>38.575244987270899</v>
      </c>
      <c r="AB140" s="199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0.13109991143024979</v>
      </c>
      <c r="AD140" s="233">
        <f>(INDEX(Models!$BJ140:$BT140,,AH140)*(1-AF140)+INDEX(Models!$BJ140:$BT140,,AH140+1)*AF140-ERP_i)*AE140*Ramure*Pc/MaxiM</f>
        <v>1.1441100008545769E-3</v>
      </c>
      <c r="AE140" s="307">
        <f t="shared" si="38"/>
        <v>0.9</v>
      </c>
      <c r="AF140" s="179">
        <f t="shared" si="39"/>
        <v>0.41426138755527497</v>
      </c>
      <c r="AG140" s="839">
        <f t="shared" si="47"/>
        <v>-1</v>
      </c>
      <c r="AH140" s="178">
        <f t="shared" si="40"/>
        <v>5</v>
      </c>
      <c r="AI140" s="227">
        <f t="shared" si="41"/>
        <v>-0.58573861244472503</v>
      </c>
      <c r="AJ140" s="267" t="b">
        <f t="shared" si="42"/>
        <v>0</v>
      </c>
      <c r="AK140" s="267" t="b">
        <f t="shared" si="43"/>
        <v>0</v>
      </c>
      <c r="AL140" s="267"/>
      <c r="AM140" s="267"/>
      <c r="AN140" s="75"/>
    </row>
    <row r="141" spans="1:40" s="6" customFormat="1" ht="11.25" x14ac:dyDescent="0.2">
      <c r="A141" s="56">
        <f t="shared" si="44"/>
        <v>44323</v>
      </c>
      <c r="B141" s="620">
        <v>33.375999999999998</v>
      </c>
      <c r="C141" s="392"/>
      <c r="D141" s="395">
        <f t="shared" si="24"/>
        <v>34.169776586974628</v>
      </c>
      <c r="E141" s="387">
        <f t="shared" si="45"/>
        <v>35.308875550934417</v>
      </c>
      <c r="F141" s="387">
        <f t="shared" si="25"/>
        <v>35.323239791533695</v>
      </c>
      <c r="G141" s="110">
        <f t="shared" si="46"/>
        <v>0.56665874921288151</v>
      </c>
      <c r="H141" s="416" t="b">
        <f>Wh_hp&gt;='2020'!Maxi_hp</f>
        <v>0</v>
      </c>
      <c r="I141" s="382">
        <f>IF(H141,Wh_hp,'2020'!Maxi_hp)</f>
        <v>59.596399989587596</v>
      </c>
      <c r="J141" s="85">
        <f>IF(H141,An,'2020'!An_max)</f>
        <v>2020</v>
      </c>
      <c r="K141" s="199">
        <f t="shared" si="26"/>
        <v>44323</v>
      </c>
      <c r="L141" s="147">
        <f>IF(t&lt;Tvie,1-EXP((T0-t)*PertePVj)+'2020'!Pspv,1-EXP((T0-t)*PertePVj)+Pspv)</f>
        <v>2.3230370996256799E-2</v>
      </c>
      <c r="M141" s="872"/>
      <c r="N141" s="872"/>
      <c r="O141" s="48">
        <f>IF(t&lt;Tnet,'2020'!Resal+('2020'!Salim-'2020'!Resal)*(1-EXP(('2020'!Tnet-t)/('2020'!Tau_j))),Resal+(Salim-Resal)*(1-EXP((Tnet-t)/(Tau_j))))*Salcycl</f>
        <v>3.2260981019250859E-2</v>
      </c>
      <c r="P141" s="171">
        <f>(INDEX(Models!$BJ141:$BT141,,T141)*(1-R141)+INDEX(Models!$BJ141:$BT141,,T141+1)*R141-ERP_i)*Q141*Ramure*Pc/MaxiM</f>
        <v>1.0659961059109248E-3</v>
      </c>
      <c r="Q141" s="307">
        <f t="shared" si="27"/>
        <v>0.9</v>
      </c>
      <c r="R141" s="179">
        <f t="shared" si="28"/>
        <v>0.41814022258066219</v>
      </c>
      <c r="S141" s="839">
        <f t="shared" si="29"/>
        <v>-1</v>
      </c>
      <c r="T141" s="178">
        <f t="shared" si="30"/>
        <v>5</v>
      </c>
      <c r="U141" s="253">
        <f t="shared" si="31"/>
        <v>-0.58185977741933781</v>
      </c>
      <c r="V141" s="385">
        <f t="shared" si="32"/>
        <v>58.860795497857531</v>
      </c>
      <c r="W141" s="404"/>
      <c r="X141" s="157">
        <f t="shared" si="33"/>
        <v>44323</v>
      </c>
      <c r="Y141" s="387">
        <f t="shared" si="34"/>
        <v>29.959482365367244</v>
      </c>
      <c r="Z141" s="387">
        <f t="shared" si="35"/>
        <v>30.672004406939266</v>
      </c>
      <c r="AA141" s="388">
        <f t="shared" si="36"/>
        <v>35.308875550934417</v>
      </c>
      <c r="AB141" s="199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0.13132310422364726</v>
      </c>
      <c r="AD141" s="233">
        <f>(INDEX(Models!$BJ141:$BT141,,AH141)*(1-AF141)+INDEX(Models!$BJ141:$BT141,,AH141+1)*AF141-ERP_i)*AE141*Ramure*Pc/MaxiM</f>
        <v>1.0659961059109248E-3</v>
      </c>
      <c r="AE141" s="307">
        <f t="shared" si="38"/>
        <v>0.9</v>
      </c>
      <c r="AF141" s="179">
        <f t="shared" si="39"/>
        <v>0.41814022258066219</v>
      </c>
      <c r="AG141" s="839">
        <f t="shared" si="47"/>
        <v>-1</v>
      </c>
      <c r="AH141" s="178">
        <f t="shared" si="40"/>
        <v>5</v>
      </c>
      <c r="AI141" s="227">
        <f t="shared" si="41"/>
        <v>-0.58185977741933781</v>
      </c>
      <c r="AJ141" s="267" t="b">
        <f t="shared" si="42"/>
        <v>0</v>
      </c>
      <c r="AK141" s="267" t="b">
        <f t="shared" si="43"/>
        <v>0</v>
      </c>
      <c r="AL141" s="267"/>
      <c r="AM141" s="267"/>
      <c r="AN141" s="75"/>
    </row>
    <row r="142" spans="1:40" s="6" customFormat="1" ht="11.25" x14ac:dyDescent="0.2">
      <c r="A142" s="56">
        <f t="shared" si="44"/>
        <v>44324</v>
      </c>
      <c r="B142" s="620">
        <v>54.282000000000004</v>
      </c>
      <c r="C142" s="392"/>
      <c r="D142" s="395">
        <f t="shared" si="24"/>
        <v>55.574274259740079</v>
      </c>
      <c r="E142" s="387">
        <f t="shared" si="45"/>
        <v>57.451490627607321</v>
      </c>
      <c r="F142" s="387">
        <f t="shared" si="25"/>
        <v>57.502129764921655</v>
      </c>
      <c r="G142" s="110">
        <f t="shared" si="46"/>
        <v>0.92018609633666926</v>
      </c>
      <c r="H142" s="416" t="b">
        <f>Wh_hp&gt;='2020'!Maxi_hp</f>
        <v>1</v>
      </c>
      <c r="I142" s="382">
        <f>IF(H142,Wh_hp,'2020'!Maxi_hp)</f>
        <v>57.502129764921655</v>
      </c>
      <c r="J142" s="85">
        <f>IF(H142,An,'2020'!An_max)</f>
        <v>2021</v>
      </c>
      <c r="K142" s="199">
        <f t="shared" si="26"/>
        <v>44324</v>
      </c>
      <c r="L142" s="147">
        <f>IF(t&lt;Tvie,1-EXP((T0-t)*PertePVj)+'2020'!Pspv,1-EXP((T0-t)*PertePVj)+Pspv)</f>
        <v>2.3253101852492297E-2</v>
      </c>
      <c r="M142" s="872"/>
      <c r="N142" s="872"/>
      <c r="O142" s="48">
        <f>IF(t&lt;Tnet,'2020'!Resal+('2020'!Salim-'2020'!Resal)*(1-EXP(('2020'!Tnet-t)/('2020'!Tau_j))),Resal+(Salim-Resal)*(1-EXP((Tnet-t)/(Tau_j))))*Salcycl</f>
        <v>3.2674806995611358E-2</v>
      </c>
      <c r="P142" s="171">
        <f>(INDEX(Models!$BJ142:$BT142,,T142)*(1-R142)+INDEX(Models!$BJ142:$BT142,,T142+1)*R142-ERP_i)*Q142*Ramure*Pc/MaxiM</f>
        <v>9.9381464957293817E-4</v>
      </c>
      <c r="Q142" s="307">
        <f t="shared" si="27"/>
        <v>0.9</v>
      </c>
      <c r="R142" s="179">
        <f t="shared" si="28"/>
        <v>0.42211645167927903</v>
      </c>
      <c r="S142" s="839">
        <f t="shared" si="29"/>
        <v>-1</v>
      </c>
      <c r="T142" s="178">
        <f t="shared" si="30"/>
        <v>5</v>
      </c>
      <c r="U142" s="253">
        <f t="shared" si="31"/>
        <v>-0.57788354832072097</v>
      </c>
      <c r="V142" s="385">
        <f t="shared" si="32"/>
        <v>58.983559837664941</v>
      </c>
      <c r="W142" s="404"/>
      <c r="X142" s="157">
        <f t="shared" si="33"/>
        <v>44324</v>
      </c>
      <c r="Y142" s="387">
        <f t="shared" si="34"/>
        <v>48.733659142745225</v>
      </c>
      <c r="Z142" s="387">
        <f t="shared" si="35"/>
        <v>49.893845821443804</v>
      </c>
      <c r="AA142" s="388">
        <f t="shared" si="36"/>
        <v>57.451490627607321</v>
      </c>
      <c r="AB142" s="199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0.13154828053376594</v>
      </c>
      <c r="AD142" s="233">
        <f>(INDEX(Models!$BJ142:$BT142,,AH142)*(1-AF142)+INDEX(Models!$BJ142:$BT142,,AH142+1)*AF142-ERP_i)*AE142*Ramure*Pc/MaxiM</f>
        <v>9.9381464957293817E-4</v>
      </c>
      <c r="AE142" s="307">
        <f t="shared" si="38"/>
        <v>0.9</v>
      </c>
      <c r="AF142" s="179">
        <f t="shared" si="39"/>
        <v>0.42211645167927903</v>
      </c>
      <c r="AG142" s="839">
        <f t="shared" si="47"/>
        <v>-1</v>
      </c>
      <c r="AH142" s="178">
        <f t="shared" si="40"/>
        <v>5</v>
      </c>
      <c r="AI142" s="227">
        <f t="shared" si="41"/>
        <v>-0.57788354832072097</v>
      </c>
      <c r="AJ142" s="267" t="b">
        <f t="shared" si="42"/>
        <v>0</v>
      </c>
      <c r="AK142" s="267" t="b">
        <f t="shared" si="43"/>
        <v>0</v>
      </c>
      <c r="AL142" s="267"/>
      <c r="AM142" s="267"/>
      <c r="AN142" s="75"/>
    </row>
    <row r="143" spans="1:40" s="6" customFormat="1" ht="11.25" x14ac:dyDescent="0.2">
      <c r="A143" s="56">
        <f t="shared" si="44"/>
        <v>44325</v>
      </c>
      <c r="B143" s="620">
        <v>21.091000000000001</v>
      </c>
      <c r="C143" s="392"/>
      <c r="D143" s="395">
        <f t="shared" ref="D143:D206" si="48">Wh/(1-Ppv)</f>
        <v>21.593609224463666</v>
      </c>
      <c r="E143" s="387">
        <f t="shared" si="45"/>
        <v>22.33256545915215</v>
      </c>
      <c r="F143" s="387">
        <f t="shared" ref="F143:F206" si="49">Wh_sa/(1-Pvg*MEDIAN((-Sdif+Wh/Env_an)/Csdif,0,1))</f>
        <v>22.334245897158699</v>
      </c>
      <c r="G143" s="110">
        <f t="shared" si="46"/>
        <v>0.35656928516990788</v>
      </c>
      <c r="H143" s="416" t="b">
        <f>Wh_hp&gt;='2020'!Maxi_hp</f>
        <v>0</v>
      </c>
      <c r="I143" s="382">
        <f>IF(H143,Wh_hp,'2020'!Maxi_hp)</f>
        <v>54.244087817030419</v>
      </c>
      <c r="J143" s="85">
        <f>IF(H143,An,'2020'!An_max)</f>
        <v>2020</v>
      </c>
      <c r="K143" s="199">
        <f t="shared" ref="K143:K206" si="50">t</f>
        <v>44325</v>
      </c>
      <c r="L143" s="147">
        <f>IF(t&lt;Tvie,1-EXP((T0-t)*PertePVj)+'2020'!Pspv,1-EXP((T0-t)*PertePVj)+Pspv)</f>
        <v>2.3275832179747491E-2</v>
      </c>
      <c r="M143" s="872"/>
      <c r="N143" s="872"/>
      <c r="O143" s="48">
        <f>IF(t&lt;Tnet,'2020'!Resal+('2020'!Salim-'2020'!Resal)*(1-EXP(('2020'!Tnet-t)/('2020'!Tau_j))),Resal+(Salim-Resal)*(1-EXP((Tnet-t)/(Tau_j))))*Salcycl</f>
        <v>3.3088730268812441E-2</v>
      </c>
      <c r="P143" s="171">
        <f>(INDEX(Models!$BJ143:$BT143,,T143)*(1-R143)+INDEX(Models!$BJ143:$BT143,,T143+1)*R143-ERP_i)*Q143*Ramure*Pc/MaxiM</f>
        <v>9.2606936586924057E-4</v>
      </c>
      <c r="Q143" s="307">
        <f t="shared" ref="Q143:Q206" si="51">IF(OR(t&lt;Ttai,Notai),Dd+PousD*Croivg,Dens+PousD*(Croivg-Croi_tai))</f>
        <v>0.9</v>
      </c>
      <c r="R143" s="179">
        <f t="shared" ref="R143:R206" si="52">(Hp_vg-S143)/(INDEX(Echel_vg,T143+1)-S143)</f>
        <v>0.42619030536876124</v>
      </c>
      <c r="S143" s="839">
        <f t="shared" ref="S143:S206" si="53">INDEX(Echel_vg,T143)</f>
        <v>-1</v>
      </c>
      <c r="T143" s="178">
        <f t="shared" ref="T143:T206" si="54">MIN(MATCH(Hp_vg,Echel_vg),10)</f>
        <v>5</v>
      </c>
      <c r="U143" s="253">
        <f t="shared" ref="U143:U206" si="55">IF(OR(t&lt;Ttai,Notai),Hdd+PousH*Croivg,Hdtf+PousH*(Croivg-Croi_tai))</f>
        <v>-0.57380969463123876</v>
      </c>
      <c r="V143" s="385">
        <f t="shared" ref="V143:V206" si="56">MaxiM*(1-Ppv)*(1-Pvg)*(1-Psa)</f>
        <v>59.099464515990668</v>
      </c>
      <c r="W143" s="404"/>
      <c r="X143" s="157">
        <f t="shared" ref="X143:X206" si="57">t</f>
        <v>44325</v>
      </c>
      <c r="Y143" s="387">
        <f t="shared" ref="Y143:Y206" si="58">Wh_pvt_s*(1-Ppv)</f>
        <v>18.938372323223337</v>
      </c>
      <c r="Z143" s="387">
        <f t="shared" ref="Z143:Z206" si="59">Wh_sa_s*(1-Psa_s)</f>
        <v>19.389683338631777</v>
      </c>
      <c r="AA143" s="388">
        <f t="shared" ref="AA143:AA206" si="60">Wh_hp*(1-Pvg_s*MEDIAN((-Sdif+Wh/Env_an)/Csdif,0,1))</f>
        <v>22.33256545915215</v>
      </c>
      <c r="AB143" s="199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0.13177537197430864</v>
      </c>
      <c r="AD143" s="233">
        <f>(INDEX(Models!$BJ143:$BT143,,AH143)*(1-AF143)+INDEX(Models!$BJ143:$BT143,,AH143+1)*AF143-ERP_i)*AE143*Ramure*Pc/MaxiM</f>
        <v>9.2606936586924057E-4</v>
      </c>
      <c r="AE143" s="307">
        <f t="shared" ref="AE143:AE206" si="62">IF(OR(t&lt;Ttai,Notai),Dd_s+PousD*Croivg,Dens_s+PousD*(Croivg-Croi_tai))</f>
        <v>0.9</v>
      </c>
      <c r="AF143" s="179">
        <f t="shared" ref="AF143:AF206" si="63">(Hp_vg_s-AG143)/(INDEX(Echel_vg,AH143+1)-AG143)</f>
        <v>0.42619030536876124</v>
      </c>
      <c r="AG143" s="839">
        <f t="shared" si="47"/>
        <v>-1</v>
      </c>
      <c r="AH143" s="178">
        <f t="shared" ref="AH143:AH206" si="64">MIN(MATCH(Hp_vg_s,Echel_vg),10)</f>
        <v>5</v>
      </c>
      <c r="AI143" s="227">
        <f t="shared" ref="AI143:AI206" si="65">IF(OR(t&lt;Ttai,Notai),Hdd_s+PousH*Croivg,Hdtai_s+PousH*(Croivg-Croi_tai))</f>
        <v>-0.57380969463123876</v>
      </c>
      <c r="AJ143" s="267" t="b">
        <f t="shared" ref="AJ143:AJ206" si="66">t&lt;Tnet</f>
        <v>0</v>
      </c>
      <c r="AK143" s="267" t="b">
        <f t="shared" ref="AK143:AK206" si="67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68">A143+1</f>
        <v>44326</v>
      </c>
      <c r="B144" s="620">
        <v>41.518999999999998</v>
      </c>
      <c r="C144" s="392"/>
      <c r="D144" s="395">
        <f t="shared" si="48"/>
        <v>42.509408078772864</v>
      </c>
      <c r="E144" s="387">
        <f t="shared" ref="E144:E169" si="69">Wh_pvt/(1-Psa)</f>
        <v>43.982958067032293</v>
      </c>
      <c r="F144" s="387">
        <f t="shared" si="49"/>
        <v>44.004718022515235</v>
      </c>
      <c r="G144" s="110">
        <f t="shared" ref="G144:G169" si="70">+Wh_hp/MaxiM</f>
        <v>0.70097022052779456</v>
      </c>
      <c r="H144" s="416" t="b">
        <f>Wh_hp&gt;='2020'!Maxi_hp</f>
        <v>0</v>
      </c>
      <c r="I144" s="382">
        <f>IF(H144,Wh_hp,'2020'!Maxi_hp)</f>
        <v>44.487412893988662</v>
      </c>
      <c r="J144" s="85">
        <f>IF(H144,An,'2020'!An_max)</f>
        <v>2020</v>
      </c>
      <c r="K144" s="199">
        <f t="shared" si="50"/>
        <v>44326</v>
      </c>
      <c r="L144" s="147">
        <f>IF(t&lt;Tvie,1-EXP((T0-t)*PertePVj)+'2020'!Pspv,1-EXP((T0-t)*PertePVj)+Pspv)</f>
        <v>2.3298561978034926E-2</v>
      </c>
      <c r="M144" s="872"/>
      <c r="N144" s="872"/>
      <c r="O144" s="48">
        <f>IF(t&lt;Tnet,'2020'!Resal+('2020'!Salim-'2020'!Resal)*(1-EXP(('2020'!Tnet-t)/('2020'!Tau_j))),Resal+(Salim-Resal)*(1-EXP((Tnet-t)/(Tau_j))))*Salcycl</f>
        <v>3.3502748633087845E-2</v>
      </c>
      <c r="P144" s="171">
        <f>(INDEX(Models!$BJ144:$BT144,,T144)*(1-R144)+INDEX(Models!$BJ144:$BT144,,T144+1)*R144-ERP_i)*Q144*Ramure*Pc/MaxiM</f>
        <v>8.6271026921476478E-4</v>
      </c>
      <c r="Q144" s="307">
        <f t="shared" si="51"/>
        <v>0.9</v>
      </c>
      <c r="R144" s="179">
        <f t="shared" si="52"/>
        <v>0.43036185676862992</v>
      </c>
      <c r="S144" s="839">
        <f t="shared" si="53"/>
        <v>-1</v>
      </c>
      <c r="T144" s="178">
        <f t="shared" si="54"/>
        <v>5</v>
      </c>
      <c r="U144" s="253">
        <f t="shared" si="55"/>
        <v>-0.56963814323137008</v>
      </c>
      <c r="V144" s="385">
        <f t="shared" si="56"/>
        <v>59.208940897329306</v>
      </c>
      <c r="W144" s="404"/>
      <c r="X144" s="157">
        <f t="shared" si="57"/>
        <v>44326</v>
      </c>
      <c r="Y144" s="387">
        <f t="shared" si="58"/>
        <v>37.287548680034007</v>
      </c>
      <c r="Z144" s="387">
        <f t="shared" si="59"/>
        <v>38.177018307200903</v>
      </c>
      <c r="AA144" s="388">
        <f t="shared" si="60"/>
        <v>43.982958067032293</v>
      </c>
      <c r="AB144" s="199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0.13200430382565079</v>
      </c>
      <c r="AD144" s="233">
        <f>(INDEX(Models!$BJ144:$BT144,,AH144)*(1-AF144)+INDEX(Models!$BJ144:$BT144,,AH144+1)*AF144-ERP_i)*AE144*Ramure*Pc/MaxiM</f>
        <v>8.6271026921476478E-4</v>
      </c>
      <c r="AE144" s="307">
        <f t="shared" si="62"/>
        <v>0.9</v>
      </c>
      <c r="AF144" s="179">
        <f t="shared" si="63"/>
        <v>0.43036185676862992</v>
      </c>
      <c r="AG144" s="839">
        <f t="shared" ref="AG144:AG207" si="71">INDEX(Echel_vg,AH144)</f>
        <v>-1</v>
      </c>
      <c r="AH144" s="178">
        <f t="shared" si="64"/>
        <v>5</v>
      </c>
      <c r="AI144" s="227">
        <f t="shared" si="65"/>
        <v>-0.56963814323137008</v>
      </c>
      <c r="AJ144" s="267" t="b">
        <f t="shared" si="66"/>
        <v>0</v>
      </c>
      <c r="AK144" s="267" t="b">
        <f t="shared" si="67"/>
        <v>0</v>
      </c>
      <c r="AL144" s="267"/>
      <c r="AM144" s="267"/>
      <c r="AN144" s="75"/>
    </row>
    <row r="145" spans="1:40" s="6" customFormat="1" ht="11.25" x14ac:dyDescent="0.2">
      <c r="A145" s="56">
        <f t="shared" si="68"/>
        <v>44327</v>
      </c>
      <c r="B145" s="620">
        <v>35.090000000000003</v>
      </c>
      <c r="C145" s="392"/>
      <c r="D145" s="395">
        <f t="shared" si="48"/>
        <v>35.927884662106791</v>
      </c>
      <c r="E145" s="387">
        <f t="shared" si="69"/>
        <v>37.189226345249601</v>
      </c>
      <c r="F145" s="387">
        <f t="shared" si="49"/>
        <v>37.201681864323817</v>
      </c>
      <c r="G145" s="110">
        <f t="shared" si="70"/>
        <v>0.59133553445004028</v>
      </c>
      <c r="H145" s="416" t="b">
        <f>Wh_hp&gt;='2020'!Maxi_hp</f>
        <v>0</v>
      </c>
      <c r="I145" s="382">
        <f>IF(H145,Wh_hp,'2020'!Maxi_hp)</f>
        <v>40.354955774710767</v>
      </c>
      <c r="J145" s="85">
        <f>IF(H145,An,'2020'!An_max)</f>
        <v>2019</v>
      </c>
      <c r="K145" s="199">
        <f t="shared" si="50"/>
        <v>44327</v>
      </c>
      <c r="L145" s="147">
        <f>IF(t&lt;Tvie,1-EXP((T0-t)*PertePVj)+'2020'!Pspv,1-EXP((T0-t)*PertePVj)+Pspv)</f>
        <v>2.3321291247366593E-2</v>
      </c>
      <c r="M145" s="872"/>
      <c r="N145" s="872"/>
      <c r="O145" s="48">
        <f>IF(t&lt;Tnet,'2020'!Resal+('2020'!Salim-'2020'!Resal)*(1-EXP(('2020'!Tnet-t)/('2020'!Tau_j))),Resal+(Salim-Resal)*(1-EXP((Tnet-t)/(Tau_j))))*Salcycl</f>
        <v>3.3916857302516285E-2</v>
      </c>
      <c r="P145" s="171">
        <f>(INDEX(Models!$BJ145:$BT145,,T145)*(1-R145)+INDEX(Models!$BJ145:$BT145,,T145+1)*R145-ERP_i)*Q145*Ramure*Pc/MaxiM</f>
        <v>8.036933584618022E-4</v>
      </c>
      <c r="Q145" s="307">
        <f t="shared" si="51"/>
        <v>0.9</v>
      </c>
      <c r="R145" s="179">
        <f t="shared" si="52"/>
        <v>0.43463101366314683</v>
      </c>
      <c r="S145" s="839">
        <f t="shared" si="53"/>
        <v>-1</v>
      </c>
      <c r="T145" s="178">
        <f t="shared" si="54"/>
        <v>5</v>
      </c>
      <c r="U145" s="253">
        <f t="shared" si="55"/>
        <v>-0.56536898633685317</v>
      </c>
      <c r="V145" s="385">
        <f t="shared" si="56"/>
        <v>59.31241968684251</v>
      </c>
      <c r="W145" s="404"/>
      <c r="X145" s="157">
        <f t="shared" si="57"/>
        <v>44327</v>
      </c>
      <c r="Y145" s="387">
        <f t="shared" si="58"/>
        <v>31.518895920172938</v>
      </c>
      <c r="Z145" s="387">
        <f t="shared" si="59"/>
        <v>32.271509184865245</v>
      </c>
      <c r="AA145" s="388">
        <f t="shared" si="60"/>
        <v>37.189226345249601</v>
      </c>
      <c r="AB145" s="199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0.13223499501523037</v>
      </c>
      <c r="AD145" s="233">
        <f>(INDEX(Models!$BJ145:$BT145,,AH145)*(1-AF145)+INDEX(Models!$BJ145:$BT145,,AH145+1)*AF145-ERP_i)*AE145*Ramure*Pc/MaxiM</f>
        <v>8.036933584618022E-4</v>
      </c>
      <c r="AE145" s="307">
        <f t="shared" si="62"/>
        <v>0.9</v>
      </c>
      <c r="AF145" s="179">
        <f t="shared" si="63"/>
        <v>0.43463101366314683</v>
      </c>
      <c r="AG145" s="839">
        <f t="shared" si="71"/>
        <v>-1</v>
      </c>
      <c r="AH145" s="178">
        <f t="shared" si="64"/>
        <v>5</v>
      </c>
      <c r="AI145" s="227">
        <f t="shared" si="65"/>
        <v>-0.56536898633685317</v>
      </c>
      <c r="AJ145" s="267" t="b">
        <f t="shared" si="66"/>
        <v>0</v>
      </c>
      <c r="AK145" s="267" t="b">
        <f t="shared" si="67"/>
        <v>0</v>
      </c>
      <c r="AL145" s="267"/>
      <c r="AM145" s="267"/>
      <c r="AN145" s="75"/>
    </row>
    <row r="146" spans="1:40" s="6" customFormat="1" ht="11.25" x14ac:dyDescent="0.2">
      <c r="A146" s="56">
        <f t="shared" si="68"/>
        <v>44328</v>
      </c>
      <c r="B146" s="620">
        <v>35.834000000000003</v>
      </c>
      <c r="C146" s="392"/>
      <c r="D146" s="395">
        <f t="shared" si="48"/>
        <v>36.69050385536034</v>
      </c>
      <c r="E146" s="387">
        <f t="shared" si="69"/>
        <v>37.994908929424454</v>
      </c>
      <c r="F146" s="387">
        <f t="shared" si="49"/>
        <v>38.007237481449835</v>
      </c>
      <c r="G146" s="110">
        <f t="shared" si="70"/>
        <v>0.60290490142709396</v>
      </c>
      <c r="H146" s="416" t="b">
        <f>Wh_hp&gt;='2020'!Maxi_hp</f>
        <v>0</v>
      </c>
      <c r="I146" s="382">
        <f>IF(H146,Wh_hp,'2020'!Maxi_hp)</f>
        <v>58.685038325386628</v>
      </c>
      <c r="J146" s="85">
        <f>IF(H146,An,'2020'!An_max)</f>
        <v>2019</v>
      </c>
      <c r="K146" s="199">
        <f t="shared" si="50"/>
        <v>44328</v>
      </c>
      <c r="L146" s="147">
        <f>IF(t&lt;Tvie,1-EXP((T0-t)*PertePVj)+'2020'!Pspv,1-EXP((T0-t)*PertePVj)+Pspv)</f>
        <v>2.3344019987755038E-2</v>
      </c>
      <c r="M146" s="872"/>
      <c r="N146" s="872"/>
      <c r="O146" s="48">
        <f>IF(t&lt;Tnet,'2020'!Resal+('2020'!Salim-'2020'!Resal)*(1-EXP(('2020'!Tnet-t)/('2020'!Tau_j))),Resal+(Salim-Resal)*(1-EXP((Tnet-t)/(Tau_j))))*Salcycl</f>
        <v>3.4331048838333801E-2</v>
      </c>
      <c r="P146" s="171">
        <f>(INDEX(Models!$BJ146:$BT146,,T146)*(1-R146)+INDEX(Models!$BJ146:$BT146,,T146+1)*R146-ERP_i)*Q146*Ramure*Pc/MaxiM</f>
        <v>7.4898021744862519E-4</v>
      </c>
      <c r="Q146" s="307">
        <f t="shared" si="51"/>
        <v>0.9</v>
      </c>
      <c r="R146" s="179">
        <f t="shared" si="52"/>
        <v>0.4389975108465719</v>
      </c>
      <c r="S146" s="839">
        <f t="shared" si="53"/>
        <v>-1</v>
      </c>
      <c r="T146" s="178">
        <f t="shared" si="54"/>
        <v>5</v>
      </c>
      <c r="U146" s="253">
        <f t="shared" si="55"/>
        <v>-0.5610024891534281</v>
      </c>
      <c r="V146" s="385">
        <f t="shared" si="56"/>
        <v>59.410330935723437</v>
      </c>
      <c r="W146" s="404"/>
      <c r="X146" s="157">
        <f t="shared" si="57"/>
        <v>44328</v>
      </c>
      <c r="Y146" s="387">
        <f t="shared" si="58"/>
        <v>32.192362249559963</v>
      </c>
      <c r="Z146" s="387">
        <f t="shared" si="59"/>
        <v>32.961823721343869</v>
      </c>
      <c r="AA146" s="388">
        <f t="shared" si="60"/>
        <v>37.994908929424454</v>
      </c>
      <c r="AB146" s="199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0.13246735812499369</v>
      </c>
      <c r="AD146" s="233">
        <f>(INDEX(Models!$BJ146:$BT146,,AH146)*(1-AF146)+INDEX(Models!$BJ146:$BT146,,AH146+1)*AF146-ERP_i)*AE146*Ramure*Pc/MaxiM</f>
        <v>7.4898021744862519E-4</v>
      </c>
      <c r="AE146" s="307">
        <f t="shared" si="62"/>
        <v>0.9</v>
      </c>
      <c r="AF146" s="179">
        <f t="shared" si="63"/>
        <v>0.4389975108465719</v>
      </c>
      <c r="AG146" s="839">
        <f t="shared" si="71"/>
        <v>-1</v>
      </c>
      <c r="AH146" s="178">
        <f t="shared" si="64"/>
        <v>5</v>
      </c>
      <c r="AI146" s="227">
        <f t="shared" si="65"/>
        <v>-0.5610024891534281</v>
      </c>
      <c r="AJ146" s="267" t="b">
        <f t="shared" si="66"/>
        <v>0</v>
      </c>
      <c r="AK146" s="267" t="b">
        <f t="shared" si="67"/>
        <v>0</v>
      </c>
      <c r="AL146" s="267"/>
      <c r="AM146" s="267"/>
      <c r="AN146" s="75"/>
    </row>
    <row r="147" spans="1:40" s="6" customFormat="1" ht="11.25" x14ac:dyDescent="0.2">
      <c r="A147" s="56">
        <f t="shared" si="68"/>
        <v>44329</v>
      </c>
      <c r="B147" s="620">
        <v>45.780999999999999</v>
      </c>
      <c r="C147" s="392"/>
      <c r="D147" s="395">
        <f t="shared" si="48"/>
        <v>46.876347815913142</v>
      </c>
      <c r="E147" s="387">
        <f t="shared" si="69"/>
        <v>48.563709092911871</v>
      </c>
      <c r="F147" s="387">
        <f t="shared" si="49"/>
        <v>48.586467374887206</v>
      </c>
      <c r="G147" s="110">
        <f t="shared" si="70"/>
        <v>0.76921129111867104</v>
      </c>
      <c r="H147" s="416" t="b">
        <f>Wh_hp&gt;='2020'!Maxi_hp</f>
        <v>0</v>
      </c>
      <c r="I147" s="382">
        <f>IF(H147,Wh_hp,'2020'!Maxi_hp)</f>
        <v>65.198747930481261</v>
      </c>
      <c r="J147" s="85">
        <f>IF(H147,An,'2020'!An_max)</f>
        <v>2019</v>
      </c>
      <c r="K147" s="199">
        <f t="shared" si="50"/>
        <v>44329</v>
      </c>
      <c r="L147" s="147">
        <f>IF(t&lt;Tvie,1-EXP((T0-t)*PertePVj)+'2020'!Pspv,1-EXP((T0-t)*PertePVj)+Pspv)</f>
        <v>2.3366748199212473E-2</v>
      </c>
      <c r="M147" s="872"/>
      <c r="N147" s="872"/>
      <c r="O147" s="48">
        <f>IF(t&lt;Tnet,'2020'!Resal+('2020'!Salim-'2020'!Resal)*(1-EXP(('2020'!Tnet-t)/('2020'!Tau_j))),Resal+(Salim-Resal)*(1-EXP((Tnet-t)/(Tau_j))))*Salcycl</f>
        <v>3.4745313084930951E-2</v>
      </c>
      <c r="P147" s="171">
        <f>(INDEX(Models!$BJ147:$BT147,,T147)*(1-R147)+INDEX(Models!$BJ147:$BT147,,T147+1)*R147-ERP_i)*Q147*Ramure*Pc/MaxiM</f>
        <v>6.9853763105554869E-4</v>
      </c>
      <c r="Q147" s="307">
        <f t="shared" si="51"/>
        <v>0.9</v>
      </c>
      <c r="R147" s="179">
        <f t="shared" si="52"/>
        <v>0.44346090281818684</v>
      </c>
      <c r="S147" s="839">
        <f t="shared" si="53"/>
        <v>-1</v>
      </c>
      <c r="T147" s="178">
        <f t="shared" si="54"/>
        <v>5</v>
      </c>
      <c r="U147" s="253">
        <f t="shared" si="55"/>
        <v>-0.55653909718181316</v>
      </c>
      <c r="V147" s="385">
        <f t="shared" si="56"/>
        <v>59.503104048262443</v>
      </c>
      <c r="W147" s="404"/>
      <c r="X147" s="157">
        <f t="shared" si="57"/>
        <v>44329</v>
      </c>
      <c r="Y147" s="387">
        <f t="shared" si="58"/>
        <v>41.135052073976865</v>
      </c>
      <c r="Z147" s="387">
        <f t="shared" si="59"/>
        <v>42.119241791254865</v>
      </c>
      <c r="AA147" s="388">
        <f t="shared" si="60"/>
        <v>48.563709092911871</v>
      </c>
      <c r="AB147" s="199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0.13270129942767514</v>
      </c>
      <c r="AD147" s="233">
        <f>(INDEX(Models!$BJ147:$BT147,,AH147)*(1-AF147)+INDEX(Models!$BJ147:$BT147,,AH147+1)*AF147-ERP_i)*AE147*Ramure*Pc/MaxiM</f>
        <v>6.9853763105554869E-4</v>
      </c>
      <c r="AE147" s="307">
        <f t="shared" si="62"/>
        <v>0.9</v>
      </c>
      <c r="AF147" s="179">
        <f t="shared" si="63"/>
        <v>0.44346090281818684</v>
      </c>
      <c r="AG147" s="839">
        <f t="shared" si="71"/>
        <v>-1</v>
      </c>
      <c r="AH147" s="178">
        <f t="shared" si="64"/>
        <v>5</v>
      </c>
      <c r="AI147" s="227">
        <f t="shared" si="65"/>
        <v>-0.55653909718181316</v>
      </c>
      <c r="AJ147" s="267" t="b">
        <f t="shared" si="66"/>
        <v>0</v>
      </c>
      <c r="AK147" s="267" t="b">
        <f t="shared" si="67"/>
        <v>0</v>
      </c>
      <c r="AL147" s="267"/>
      <c r="AM147" s="267"/>
      <c r="AN147" s="75"/>
    </row>
    <row r="148" spans="1:40" s="6" customFormat="1" ht="11.25" x14ac:dyDescent="0.2">
      <c r="A148" s="56">
        <f t="shared" si="68"/>
        <v>44330</v>
      </c>
      <c r="B148" s="620">
        <v>43.622999999999998</v>
      </c>
      <c r="C148" s="392"/>
      <c r="D148" s="395">
        <f t="shared" si="48"/>
        <v>44.667755387323773</v>
      </c>
      <c r="E148" s="387">
        <f t="shared" si="69"/>
        <v>46.295487943501421</v>
      </c>
      <c r="F148" s="387">
        <f t="shared" si="49"/>
        <v>46.314134971834996</v>
      </c>
      <c r="G148" s="110">
        <f t="shared" si="70"/>
        <v>0.73185513647792433</v>
      </c>
      <c r="H148" s="416" t="b">
        <f>Wh_hp&gt;='2020'!Maxi_hp</f>
        <v>0</v>
      </c>
      <c r="I148" s="382">
        <f>IF(H148,Wh_hp,'2020'!Maxi_hp)</f>
        <v>63.557422198043149</v>
      </c>
      <c r="J148" s="85">
        <f>IF(H148,An,'2020'!An_max)</f>
        <v>2019</v>
      </c>
      <c r="K148" s="199">
        <f t="shared" si="50"/>
        <v>44330</v>
      </c>
      <c r="L148" s="147">
        <f>IF(t&lt;Tvie,1-EXP((T0-t)*PertePVj)+'2020'!Pspv,1-EXP((T0-t)*PertePVj)+Pspv)</f>
        <v>2.338947588175122E-2</v>
      </c>
      <c r="M148" s="872"/>
      <c r="N148" s="872"/>
      <c r="O148" s="48">
        <f>IF(t&lt;Tnet,'2020'!Resal+('2020'!Salim-'2020'!Resal)*(1-EXP(('2020'!Tnet-t)/('2020'!Tau_j))),Resal+(Salim-Resal)*(1-EXP((Tnet-t)/(Tau_j))))*Salcycl</f>
        <v>3.5159637115481285E-2</v>
      </c>
      <c r="P148" s="171">
        <f>(INDEX(Models!$BJ148:$BT148,,T148)*(1-R148)+INDEX(Models!$BJ148:$BT148,,T148+1)*R148-ERP_i)*Q148*Ramure*Pc/MaxiM</f>
        <v>6.5233721419471948E-4</v>
      </c>
      <c r="Q148" s="307">
        <f t="shared" si="51"/>
        <v>0.9</v>
      </c>
      <c r="R148" s="179">
        <f t="shared" si="52"/>
        <v>0.4480205568965554</v>
      </c>
      <c r="S148" s="839">
        <f t="shared" si="53"/>
        <v>-1</v>
      </c>
      <c r="T148" s="178">
        <f t="shared" si="54"/>
        <v>5</v>
      </c>
      <c r="U148" s="253">
        <f t="shared" si="55"/>
        <v>-0.5519794431034446</v>
      </c>
      <c r="V148" s="385">
        <f t="shared" si="56"/>
        <v>59.591167779013226</v>
      </c>
      <c r="W148" s="404"/>
      <c r="X148" s="157">
        <f t="shared" si="57"/>
        <v>44330</v>
      </c>
      <c r="Y148" s="387">
        <f t="shared" si="58"/>
        <v>39.202237970238762</v>
      </c>
      <c r="Z148" s="387">
        <f t="shared" si="59"/>
        <v>40.141117673939917</v>
      </c>
      <c r="AA148" s="388">
        <f t="shared" si="60"/>
        <v>46.295487943501421</v>
      </c>
      <c r="AB148" s="199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0.13293671895352402</v>
      </c>
      <c r="AD148" s="233">
        <f>(INDEX(Models!$BJ148:$BT148,,AH148)*(1-AF148)+INDEX(Models!$BJ148:$BT148,,AH148+1)*AF148-ERP_i)*AE148*Ramure*Pc/MaxiM</f>
        <v>6.5233721419471948E-4</v>
      </c>
      <c r="AE148" s="307">
        <f t="shared" si="62"/>
        <v>0.9</v>
      </c>
      <c r="AF148" s="179">
        <f t="shared" si="63"/>
        <v>0.4480205568965554</v>
      </c>
      <c r="AG148" s="839">
        <f t="shared" si="71"/>
        <v>-1</v>
      </c>
      <c r="AH148" s="178">
        <f t="shared" si="64"/>
        <v>5</v>
      </c>
      <c r="AI148" s="227">
        <f t="shared" si="65"/>
        <v>-0.5519794431034446</v>
      </c>
      <c r="AJ148" s="267" t="b">
        <f t="shared" si="66"/>
        <v>0</v>
      </c>
      <c r="AK148" s="267" t="b">
        <f t="shared" si="67"/>
        <v>0</v>
      </c>
      <c r="AL148" s="267"/>
      <c r="AM148" s="267"/>
      <c r="AN148" s="75"/>
    </row>
    <row r="149" spans="1:40" s="6" customFormat="1" ht="11.25" x14ac:dyDescent="0.2">
      <c r="A149" s="56">
        <f t="shared" si="68"/>
        <v>44331</v>
      </c>
      <c r="B149" s="620">
        <v>20.536999999999999</v>
      </c>
      <c r="C149" s="392"/>
      <c r="D149" s="395">
        <f t="shared" si="48"/>
        <v>21.029343253962544</v>
      </c>
      <c r="E149" s="387">
        <f t="shared" si="69"/>
        <v>21.805035707342743</v>
      </c>
      <c r="F149" s="387">
        <f t="shared" si="49"/>
        <v>21.80587531806081</v>
      </c>
      <c r="G149" s="110">
        <f t="shared" si="70"/>
        <v>0.34396096545948546</v>
      </c>
      <c r="H149" s="416" t="b">
        <f>Wh_hp&gt;='2020'!Maxi_hp</f>
        <v>0</v>
      </c>
      <c r="I149" s="382">
        <f>IF(H149,Wh_hp,'2020'!Maxi_hp)</f>
        <v>64.50696341655771</v>
      </c>
      <c r="J149" s="85">
        <f>IF(H149,An,'2020'!An_max)</f>
        <v>2019</v>
      </c>
      <c r="K149" s="199">
        <f t="shared" si="50"/>
        <v>44331</v>
      </c>
      <c r="L149" s="147">
        <f>IF(t&lt;Tvie,1-EXP((T0-t)*PertePVj)+'2020'!Pspv,1-EXP((T0-t)*PertePVj)+Pspv)</f>
        <v>2.3412203035383605E-2</v>
      </c>
      <c r="M149" s="872"/>
      <c r="N149" s="872"/>
      <c r="O149" s="48">
        <f>IF(t&lt;Tnet,'2020'!Resal+('2020'!Salim-'2020'!Resal)*(1-EXP(('2020'!Tnet-t)/('2020'!Tau_j))),Resal+(Salim-Resal)*(1-EXP((Tnet-t)/(Tau_j))))*Salcycl</f>
        <v>3.5574005188122149E-2</v>
      </c>
      <c r="P149" s="171">
        <f>(INDEX(Models!$BJ149:$BT149,,T149)*(1-R149)+INDEX(Models!$BJ149:$BT149,,T149+1)*R149-ERP_i)*Q149*Ramure*Pc/MaxiM</f>
        <v>6.1037283531611291E-4</v>
      </c>
      <c r="Q149" s="307">
        <f t="shared" si="51"/>
        <v>0.9</v>
      </c>
      <c r="R149" s="179">
        <f t="shared" si="52"/>
        <v>0.45267564682400285</v>
      </c>
      <c r="S149" s="839">
        <f t="shared" si="53"/>
        <v>-1</v>
      </c>
      <c r="T149" s="178">
        <f t="shared" si="54"/>
        <v>5</v>
      </c>
      <c r="U149" s="253">
        <f t="shared" si="55"/>
        <v>-0.54732435317599715</v>
      </c>
      <c r="V149" s="385">
        <f t="shared" si="56"/>
        <v>59.673210439845221</v>
      </c>
      <c r="W149" s="404"/>
      <c r="X149" s="157">
        <f t="shared" si="57"/>
        <v>44331</v>
      </c>
      <c r="Y149" s="387">
        <f t="shared" si="58"/>
        <v>18.45866423012394</v>
      </c>
      <c r="Z149" s="387">
        <f t="shared" si="59"/>
        <v>18.901182553679536</v>
      </c>
      <c r="AA149" s="388">
        <f t="shared" si="60"/>
        <v>21.805035707342743</v>
      </c>
      <c r="AB149" s="199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0.13317351058890248</v>
      </c>
      <c r="AD149" s="233">
        <f>(INDEX(Models!$BJ149:$BT149,,AH149)*(1-AF149)+INDEX(Models!$BJ149:$BT149,,AH149+1)*AF149-ERP_i)*AE149*Ramure*Pc/MaxiM</f>
        <v>6.1037283531611291E-4</v>
      </c>
      <c r="AE149" s="307">
        <f t="shared" si="62"/>
        <v>0.9</v>
      </c>
      <c r="AF149" s="179">
        <f t="shared" si="63"/>
        <v>0.45267564682400285</v>
      </c>
      <c r="AG149" s="839">
        <f t="shared" si="71"/>
        <v>-1</v>
      </c>
      <c r="AH149" s="178">
        <f t="shared" si="64"/>
        <v>5</v>
      </c>
      <c r="AI149" s="227">
        <f t="shared" si="65"/>
        <v>-0.54732435317599715</v>
      </c>
      <c r="AJ149" s="267" t="b">
        <f t="shared" si="66"/>
        <v>0</v>
      </c>
      <c r="AK149" s="267" t="b">
        <f t="shared" si="67"/>
        <v>0</v>
      </c>
      <c r="AL149" s="267"/>
      <c r="AM149" s="267"/>
      <c r="AN149" s="75"/>
    </row>
    <row r="150" spans="1:40" s="6" customFormat="1" ht="11.25" x14ac:dyDescent="0.2">
      <c r="A150" s="56">
        <f t="shared" si="68"/>
        <v>44332</v>
      </c>
      <c r="B150" s="620">
        <v>13.355</v>
      </c>
      <c r="C150" s="392"/>
      <c r="D150" s="395">
        <f t="shared" si="48"/>
        <v>13.675484005742703</v>
      </c>
      <c r="E150" s="387">
        <f t="shared" si="69"/>
        <v>14.186016005920877</v>
      </c>
      <c r="F150" s="387">
        <f t="shared" si="49"/>
        <v>14.186016005920877</v>
      </c>
      <c r="G150" s="110">
        <f t="shared" si="70"/>
        <v>0.22339468003908522</v>
      </c>
      <c r="H150" s="416" t="b">
        <f>Wh_hp&gt;='2020'!Maxi_hp</f>
        <v>0</v>
      </c>
      <c r="I150" s="382">
        <f>IF(H150,Wh_hp,'2020'!Maxi_hp)</f>
        <v>53.412009546178766</v>
      </c>
      <c r="J150" s="85">
        <f>IF(H150,An,'2020'!An_max)</f>
        <v>2019</v>
      </c>
      <c r="K150" s="199">
        <f t="shared" si="50"/>
        <v>44332</v>
      </c>
      <c r="L150" s="147">
        <f>IF(t&lt;Tvie,1-EXP((T0-t)*PertePVj)+'2020'!Pspv,1-EXP((T0-t)*PertePVj)+Pspv)</f>
        <v>2.343492966012195E-2</v>
      </c>
      <c r="M150" s="872"/>
      <c r="N150" s="872"/>
      <c r="O150" s="48">
        <f>IF(t&lt;Tnet,'2020'!Resal+('2020'!Salim-'2020'!Resal)*(1-EXP(('2020'!Tnet-t)/('2020'!Tau_j))),Resal+(Salim-Resal)*(1-EXP((Tnet-t)/(Tau_j))))*Salcycl</f>
        <v>3.5988398713570464E-2</v>
      </c>
      <c r="P150" s="171">
        <f>(INDEX(Models!$BJ150:$BT150,,T150)*(1-R150)+INDEX(Models!$BJ150:$BT150,,T150+1)*R150-ERP_i)*Q150*Ramure*Pc/MaxiM</f>
        <v>5.7302492403281022E-4</v>
      </c>
      <c r="Q150" s="307">
        <f t="shared" si="51"/>
        <v>0.9</v>
      </c>
      <c r="R150" s="179">
        <f t="shared" si="52"/>
        <v>0.45742514693315861</v>
      </c>
      <c r="S150" s="839">
        <f t="shared" si="53"/>
        <v>-1</v>
      </c>
      <c r="T150" s="178">
        <f t="shared" si="54"/>
        <v>5</v>
      </c>
      <c r="U150" s="253">
        <f t="shared" si="55"/>
        <v>-0.54257485306684139</v>
      </c>
      <c r="V150" s="385">
        <f t="shared" si="56"/>
        <v>59.747829490855757</v>
      </c>
      <c r="W150" s="404"/>
      <c r="X150" s="157">
        <f t="shared" si="57"/>
        <v>44332</v>
      </c>
      <c r="Y150" s="387">
        <f t="shared" si="58"/>
        <v>12.005341607163846</v>
      </c>
      <c r="Z150" s="387">
        <f t="shared" si="59"/>
        <v>12.293437449063765</v>
      </c>
      <c r="AA150" s="388">
        <f t="shared" si="60"/>
        <v>14.186016005920877</v>
      </c>
      <c r="AB150" s="199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0.13341156220796577</v>
      </c>
      <c r="AD150" s="233">
        <f>(INDEX(Models!$BJ150:$BT150,,AH150)*(1-AF150)+INDEX(Models!$BJ150:$BT150,,AH150+1)*AF150-ERP_i)*AE150*Ramure*Pc/MaxiM</f>
        <v>5.7302492403281022E-4</v>
      </c>
      <c r="AE150" s="307">
        <f t="shared" si="62"/>
        <v>0.9</v>
      </c>
      <c r="AF150" s="179">
        <f t="shared" si="63"/>
        <v>0.45742514693315861</v>
      </c>
      <c r="AG150" s="839">
        <f t="shared" si="71"/>
        <v>-1</v>
      </c>
      <c r="AH150" s="178">
        <f t="shared" si="64"/>
        <v>5</v>
      </c>
      <c r="AI150" s="227">
        <f t="shared" si="65"/>
        <v>-0.54257485306684139</v>
      </c>
      <c r="AJ150" s="267" t="b">
        <f t="shared" si="66"/>
        <v>0</v>
      </c>
      <c r="AK150" s="267" t="b">
        <f t="shared" si="67"/>
        <v>0</v>
      </c>
      <c r="AL150" s="267"/>
      <c r="AM150" s="267"/>
      <c r="AN150" s="75"/>
    </row>
    <row r="151" spans="1:40" s="6" customFormat="1" ht="11.25" x14ac:dyDescent="0.2">
      <c r="A151" s="56">
        <f t="shared" si="68"/>
        <v>44333</v>
      </c>
      <c r="B151" s="620">
        <v>55.688000000000002</v>
      </c>
      <c r="C151" s="392"/>
      <c r="D151" s="395">
        <f t="shared" si="48"/>
        <v>57.025688981372532</v>
      </c>
      <c r="E151" s="387">
        <f t="shared" si="69"/>
        <v>59.180006706703146</v>
      </c>
      <c r="F151" s="387">
        <f t="shared" si="49"/>
        <v>59.208696526908184</v>
      </c>
      <c r="G151" s="110">
        <f t="shared" si="70"/>
        <v>0.93094656398593745</v>
      </c>
      <c r="H151" s="416" t="b">
        <f>Wh_hp&gt;='2020'!Maxi_hp</f>
        <v>1</v>
      </c>
      <c r="I151" s="382">
        <f>IF(H151,Wh_hp,'2020'!Maxi_hp)</f>
        <v>59.208696526908184</v>
      </c>
      <c r="J151" s="85">
        <f>IF(H151,An,'2020'!An_max)</f>
        <v>2021</v>
      </c>
      <c r="K151" s="199">
        <f t="shared" si="50"/>
        <v>44333</v>
      </c>
      <c r="L151" s="147">
        <f>IF(t&lt;Tvie,1-EXP((T0-t)*PertePVj)+'2020'!Pspv,1-EXP((T0-t)*PertePVj)+Pspv)</f>
        <v>2.3457655755978468E-2</v>
      </c>
      <c r="M151" s="872"/>
      <c r="N151" s="872"/>
      <c r="O151" s="48">
        <f>IF(t&lt;Tnet,'2020'!Resal+('2020'!Salim-'2020'!Resal)*(1-EXP(('2020'!Tnet-t)/('2020'!Tau_j))),Resal+(Salim-Resal)*(1-EXP((Tnet-t)/(Tau_j))))*Salcycl</f>
        <v>3.6402796235009492E-2</v>
      </c>
      <c r="P151" s="171">
        <f>(INDEX(Models!$BJ151:$BT151,,T151)*(1-R151)+INDEX(Models!$BJ151:$BT151,,T151+1)*R151-ERP_i)*Q151*Ramure*Pc/MaxiM</f>
        <v>5.3754374735862196E-4</v>
      </c>
      <c r="Q151" s="307">
        <f t="shared" si="51"/>
        <v>0.9</v>
      </c>
      <c r="R151" s="179">
        <f t="shared" si="52"/>
        <v>0.46226782694751245</v>
      </c>
      <c r="S151" s="839">
        <f t="shared" si="53"/>
        <v>-1</v>
      </c>
      <c r="T151" s="178">
        <f t="shared" si="54"/>
        <v>5</v>
      </c>
      <c r="U151" s="253">
        <f t="shared" si="55"/>
        <v>-0.53773217305248755</v>
      </c>
      <c r="V151" s="385">
        <f t="shared" si="56"/>
        <v>59.815514487616745</v>
      </c>
      <c r="W151" s="404"/>
      <c r="X151" s="157">
        <f t="shared" si="57"/>
        <v>44333</v>
      </c>
      <c r="Y151" s="387">
        <f t="shared" si="58"/>
        <v>50.067867071807719</v>
      </c>
      <c r="Z151" s="387">
        <f t="shared" si="59"/>
        <v>51.27055407983066</v>
      </c>
      <c r="AA151" s="388">
        <f t="shared" si="60"/>
        <v>59.180006706703146</v>
      </c>
      <c r="AB151" s="199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0.13365075583840044</v>
      </c>
      <c r="AD151" s="233">
        <f>(INDEX(Models!$BJ151:$BT151,,AH151)*(1-AF151)+INDEX(Models!$BJ151:$BT151,,AH151+1)*AF151-ERP_i)*AE151*Ramure*Pc/MaxiM</f>
        <v>5.3754374735862196E-4</v>
      </c>
      <c r="AE151" s="307">
        <f t="shared" si="62"/>
        <v>0.9</v>
      </c>
      <c r="AF151" s="179">
        <f t="shared" si="63"/>
        <v>0.46226782694751245</v>
      </c>
      <c r="AG151" s="839">
        <f t="shared" si="71"/>
        <v>-1</v>
      </c>
      <c r="AH151" s="178">
        <f t="shared" si="64"/>
        <v>5</v>
      </c>
      <c r="AI151" s="227">
        <f t="shared" si="65"/>
        <v>-0.53773217305248755</v>
      </c>
      <c r="AJ151" s="267" t="b">
        <f t="shared" si="66"/>
        <v>0</v>
      </c>
      <c r="AK151" s="267" t="b">
        <f t="shared" si="67"/>
        <v>0</v>
      </c>
      <c r="AL151" s="267"/>
      <c r="AM151" s="267"/>
      <c r="AN151" s="75"/>
    </row>
    <row r="152" spans="1:40" s="6" customFormat="1" ht="11.25" x14ac:dyDescent="0.2">
      <c r="A152" s="56">
        <f t="shared" si="68"/>
        <v>44334</v>
      </c>
      <c r="B152" s="620">
        <v>35.975000000000001</v>
      </c>
      <c r="C152" s="392"/>
      <c r="D152" s="395">
        <f t="shared" si="48"/>
        <v>36.840017662664145</v>
      </c>
      <c r="E152" s="387">
        <f t="shared" si="69"/>
        <v>38.248208591417757</v>
      </c>
      <c r="F152" s="387">
        <f t="shared" si="49"/>
        <v>38.256493297519384</v>
      </c>
      <c r="G152" s="110">
        <f t="shared" si="70"/>
        <v>0.60064641426240839</v>
      </c>
      <c r="H152" s="416" t="b">
        <f>Wh_hp&gt;='2020'!Maxi_hp</f>
        <v>0</v>
      </c>
      <c r="I152" s="382">
        <f>IF(H152,Wh_hp,'2020'!Maxi_hp)</f>
        <v>64.728321842872035</v>
      </c>
      <c r="J152" s="85">
        <f>IF(H152,An,'2020'!An_max)</f>
        <v>2020</v>
      </c>
      <c r="K152" s="199">
        <f t="shared" si="50"/>
        <v>44334</v>
      </c>
      <c r="L152" s="147">
        <f>IF(t&lt;Tvie,1-EXP((T0-t)*PertePVj)+'2020'!Pspv,1-EXP((T0-t)*PertePVj)+Pspv)</f>
        <v>2.3480381322965593E-2</v>
      </c>
      <c r="M152" s="872"/>
      <c r="N152" s="872"/>
      <c r="O152" s="48">
        <f>IF(t&lt;Tnet,'2020'!Resal+('2020'!Salim-'2020'!Resal)*(1-EXP(('2020'!Tnet-t)/('2020'!Tau_j))),Resal+(Salim-Resal)*(1-EXP((Tnet-t)/(Tau_j))))*Salcycl</f>
        <v>3.6817173421021025E-2</v>
      </c>
      <c r="P152" s="171">
        <f>(INDEX(Models!$BJ152:$BT152,,T152)*(1-R152)+INDEX(Models!$BJ152:$BT152,,T152+1)*R152-ERP_i)*Q152*Ramure*Pc/MaxiM</f>
        <v>5.0392345159522777E-4</v>
      </c>
      <c r="Q152" s="307">
        <f t="shared" si="51"/>
        <v>0.9</v>
      </c>
      <c r="R152" s="179">
        <f t="shared" si="52"/>
        <v>0.4672022474872497</v>
      </c>
      <c r="S152" s="839">
        <f t="shared" si="53"/>
        <v>-1</v>
      </c>
      <c r="T152" s="178">
        <f t="shared" si="54"/>
        <v>5</v>
      </c>
      <c r="U152" s="253">
        <f t="shared" si="55"/>
        <v>-0.5327977525127503</v>
      </c>
      <c r="V152" s="385">
        <f t="shared" si="56"/>
        <v>59.876591108623288</v>
      </c>
      <c r="W152" s="404"/>
      <c r="X152" s="157">
        <f t="shared" si="57"/>
        <v>44334</v>
      </c>
      <c r="Y152" s="387">
        <f t="shared" si="58"/>
        <v>32.349281539657589</v>
      </c>
      <c r="Z152" s="387">
        <f t="shared" si="59"/>
        <v>33.127118924127331</v>
      </c>
      <c r="AA152" s="388">
        <f t="shared" si="60"/>
        <v>38.248208591417757</v>
      </c>
      <c r="AB152" s="199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0.13389096786194352</v>
      </c>
      <c r="AD152" s="233">
        <f>(INDEX(Models!$BJ152:$BT152,,AH152)*(1-AF152)+INDEX(Models!$BJ152:$BT152,,AH152+1)*AF152-ERP_i)*AE152*Ramure*Pc/MaxiM</f>
        <v>5.0392345159522777E-4</v>
      </c>
      <c r="AE152" s="307">
        <f t="shared" si="62"/>
        <v>0.9</v>
      </c>
      <c r="AF152" s="179">
        <f t="shared" si="63"/>
        <v>0.4672022474872497</v>
      </c>
      <c r="AG152" s="839">
        <f t="shared" si="71"/>
        <v>-1</v>
      </c>
      <c r="AH152" s="178">
        <f t="shared" si="64"/>
        <v>5</v>
      </c>
      <c r="AI152" s="227">
        <f t="shared" si="65"/>
        <v>-0.5327977525127503</v>
      </c>
      <c r="AJ152" s="267" t="b">
        <f t="shared" si="66"/>
        <v>0</v>
      </c>
      <c r="AK152" s="267" t="b">
        <f t="shared" si="67"/>
        <v>0</v>
      </c>
      <c r="AL152" s="267"/>
      <c r="AM152" s="267"/>
      <c r="AN152" s="75"/>
    </row>
    <row r="153" spans="1:40" s="6" customFormat="1" ht="11.25" x14ac:dyDescent="0.2">
      <c r="A153" s="56">
        <f t="shared" si="68"/>
        <v>44335</v>
      </c>
      <c r="B153" s="620">
        <v>51.048999999999999</v>
      </c>
      <c r="C153" s="392"/>
      <c r="D153" s="395">
        <f t="shared" si="48"/>
        <v>52.277688062853414</v>
      </c>
      <c r="E153" s="387">
        <f t="shared" si="69"/>
        <v>54.299333878991185</v>
      </c>
      <c r="F153" s="387">
        <f t="shared" si="49"/>
        <v>54.319551164523439</v>
      </c>
      <c r="G153" s="110">
        <f t="shared" si="70"/>
        <v>0.85170558149841791</v>
      </c>
      <c r="H153" s="416" t="b">
        <f>Wh_hp&gt;='2020'!Maxi_hp</f>
        <v>0</v>
      </c>
      <c r="I153" s="382">
        <f>IF(H153,Wh_hp,'2020'!Maxi_hp)</f>
        <v>63.647951946144374</v>
      </c>
      <c r="J153" s="85">
        <f>IF(H153,An,'2020'!An_max)</f>
        <v>2020</v>
      </c>
      <c r="K153" s="199">
        <f t="shared" si="50"/>
        <v>44335</v>
      </c>
      <c r="L153" s="147">
        <f>IF(t&lt;Tvie,1-EXP((T0-t)*PertePVj)+'2020'!Pspv,1-EXP((T0-t)*PertePVj)+Pspv)</f>
        <v>2.3503106361095538E-2</v>
      </c>
      <c r="M153" s="872"/>
      <c r="N153" s="872"/>
      <c r="O153" s="48">
        <f>IF(t&lt;Tnet,'2020'!Resal+('2020'!Salim-'2020'!Resal)*(1-EXP(('2020'!Tnet-t)/('2020'!Tau_j))),Resal+(Salim-Resal)*(1-EXP((Tnet-t)/(Tau_j))))*Salcycl</f>
        <v>3.7231503072268114E-2</v>
      </c>
      <c r="P153" s="171">
        <f>(INDEX(Models!$BJ153:$BT153,,T153)*(1-R153)+INDEX(Models!$BJ153:$BT153,,T153+1)*R153-ERP_i)*Q153*Ramure*Pc/MaxiM</f>
        <v>4.7216118628755279E-4</v>
      </c>
      <c r="Q153" s="307">
        <f t="shared" si="51"/>
        <v>0.9</v>
      </c>
      <c r="R153" s="179">
        <f t="shared" si="52"/>
        <v>0.4722267563500766</v>
      </c>
      <c r="S153" s="839">
        <f t="shared" si="53"/>
        <v>-1</v>
      </c>
      <c r="T153" s="178">
        <f t="shared" si="54"/>
        <v>5</v>
      </c>
      <c r="U153" s="253">
        <f t="shared" si="55"/>
        <v>-0.5277732436499234</v>
      </c>
      <c r="V153" s="385">
        <f t="shared" si="56"/>
        <v>59.931384583905142</v>
      </c>
      <c r="W153" s="404"/>
      <c r="X153" s="157">
        <f t="shared" si="57"/>
        <v>44335</v>
      </c>
      <c r="Y153" s="387">
        <f t="shared" si="58"/>
        <v>45.911028599191773</v>
      </c>
      <c r="Z153" s="387">
        <f t="shared" si="59"/>
        <v>47.016051866898266</v>
      </c>
      <c r="AA153" s="388">
        <f t="shared" si="60"/>
        <v>54.299333878991185</v>
      </c>
      <c r="AB153" s="199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0.13413206925013263</v>
      </c>
      <c r="AD153" s="233">
        <f>(INDEX(Models!$BJ153:$BT153,,AH153)*(1-AF153)+INDEX(Models!$BJ153:$BT153,,AH153+1)*AF153-ERP_i)*AE153*Ramure*Pc/MaxiM</f>
        <v>4.7216118628755279E-4</v>
      </c>
      <c r="AE153" s="307">
        <f t="shared" si="62"/>
        <v>0.9</v>
      </c>
      <c r="AF153" s="179">
        <f t="shared" si="63"/>
        <v>0.4722267563500766</v>
      </c>
      <c r="AG153" s="839">
        <f t="shared" si="71"/>
        <v>-1</v>
      </c>
      <c r="AH153" s="178">
        <f t="shared" si="64"/>
        <v>5</v>
      </c>
      <c r="AI153" s="227">
        <f t="shared" si="65"/>
        <v>-0.5277732436499234</v>
      </c>
      <c r="AJ153" s="267" t="b">
        <f t="shared" si="66"/>
        <v>0</v>
      </c>
      <c r="AK153" s="267" t="b">
        <f t="shared" si="67"/>
        <v>0</v>
      </c>
      <c r="AL153" s="267"/>
      <c r="AM153" s="267"/>
      <c r="AN153" s="75"/>
    </row>
    <row r="154" spans="1:40" s="6" customFormat="1" ht="11.25" x14ac:dyDescent="0.2">
      <c r="A154" s="56">
        <f t="shared" si="68"/>
        <v>44336</v>
      </c>
      <c r="B154" s="620">
        <v>59.570999999999998</v>
      </c>
      <c r="C154" s="392"/>
      <c r="D154" s="395">
        <f t="shared" si="48"/>
        <v>61.006222062278042</v>
      </c>
      <c r="E154" s="387">
        <f t="shared" si="69"/>
        <v>63.392687659745015</v>
      </c>
      <c r="F154" s="387">
        <f t="shared" si="49"/>
        <v>63.420462429144116</v>
      </c>
      <c r="G154" s="110">
        <f t="shared" si="70"/>
        <v>0.99317313958302444</v>
      </c>
      <c r="H154" s="416" t="b">
        <f>Wh_hp&gt;='2020'!Maxi_hp</f>
        <v>1</v>
      </c>
      <c r="I154" s="382">
        <f>IF(H154,Wh_hp,'2020'!Maxi_hp)</f>
        <v>63.420462429144116</v>
      </c>
      <c r="J154" s="85">
        <f>IF(H154,An,'2020'!An_max)</f>
        <v>2021</v>
      </c>
      <c r="K154" s="199">
        <f t="shared" si="50"/>
        <v>44336</v>
      </c>
      <c r="L154" s="147">
        <f>IF(t&lt;Tvie,1-EXP((T0-t)*PertePVj)+'2020'!Pspv,1-EXP((T0-t)*PertePVj)+Pspv)</f>
        <v>2.3525830870380737E-2</v>
      </c>
      <c r="M154" s="872"/>
      <c r="N154" s="872"/>
      <c r="O154" s="48">
        <f>IF(t&lt;Tnet,'2020'!Resal+('2020'!Salim-'2020'!Resal)*(1-EXP(('2020'!Tnet-t)/('2020'!Tau_j))),Resal+(Salim-Resal)*(1-EXP((Tnet-t)/(Tau_j))))*Salcycl</f>
        <v>3.7645755142551023E-2</v>
      </c>
      <c r="P154" s="171">
        <f>(INDEX(Models!$BJ154:$BT154,,T154)*(1-R154)+INDEX(Models!$BJ154:$BT154,,T154+1)*R154-ERP_i)*Q154*Ramure*Pc/MaxiM</f>
        <v>4.4225697257458096E-4</v>
      </c>
      <c r="Q154" s="307">
        <f t="shared" si="51"/>
        <v>0.9</v>
      </c>
      <c r="R154" s="179">
        <f t="shared" si="52"/>
        <v>0.47733948563428297</v>
      </c>
      <c r="S154" s="839">
        <f t="shared" si="53"/>
        <v>-1</v>
      </c>
      <c r="T154" s="178">
        <f t="shared" si="54"/>
        <v>5</v>
      </c>
      <c r="U154" s="253">
        <f t="shared" si="55"/>
        <v>-0.52266051436571703</v>
      </c>
      <c r="V154" s="385">
        <f t="shared" si="56"/>
        <v>59.980219695835373</v>
      </c>
      <c r="W154" s="404"/>
      <c r="X154" s="157">
        <f t="shared" si="57"/>
        <v>44336</v>
      </c>
      <c r="Y154" s="387">
        <f t="shared" si="58"/>
        <v>53.583398358360988</v>
      </c>
      <c r="Z154" s="387">
        <f t="shared" si="59"/>
        <v>54.874363349644547</v>
      </c>
      <c r="AA154" s="388">
        <f t="shared" si="60"/>
        <v>63.392687659745015</v>
      </c>
      <c r="AB154" s="199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0.13437392583545071</v>
      </c>
      <c r="AD154" s="233">
        <f>(INDEX(Models!$BJ154:$BT154,,AH154)*(1-AF154)+INDEX(Models!$BJ154:$BT154,,AH154+1)*AF154-ERP_i)*AE154*Ramure*Pc/MaxiM</f>
        <v>4.4225697257458096E-4</v>
      </c>
      <c r="AE154" s="307">
        <f t="shared" si="62"/>
        <v>0.9</v>
      </c>
      <c r="AF154" s="179">
        <f t="shared" si="63"/>
        <v>0.47733948563428297</v>
      </c>
      <c r="AG154" s="839">
        <f t="shared" si="71"/>
        <v>-1</v>
      </c>
      <c r="AH154" s="178">
        <f t="shared" si="64"/>
        <v>5</v>
      </c>
      <c r="AI154" s="227">
        <f t="shared" si="65"/>
        <v>-0.52266051436571703</v>
      </c>
      <c r="AJ154" s="267" t="b">
        <f t="shared" si="66"/>
        <v>0</v>
      </c>
      <c r="AK154" s="267" t="b">
        <f t="shared" si="67"/>
        <v>0</v>
      </c>
      <c r="AL154" s="267"/>
      <c r="AM154" s="267"/>
      <c r="AN154" s="75"/>
    </row>
    <row r="155" spans="1:40" s="6" customFormat="1" ht="11.25" x14ac:dyDescent="0.2">
      <c r="A155" s="56">
        <f t="shared" si="68"/>
        <v>44337</v>
      </c>
      <c r="B155" s="620">
        <v>39.204999999999998</v>
      </c>
      <c r="C155" s="392"/>
      <c r="D155" s="395">
        <f t="shared" si="48"/>
        <v>40.150485919974116</v>
      </c>
      <c r="E155" s="387">
        <f t="shared" si="69"/>
        <v>41.739070640007583</v>
      </c>
      <c r="F155" s="387">
        <f t="shared" si="49"/>
        <v>41.747794997123648</v>
      </c>
      <c r="G155" s="110">
        <f t="shared" si="70"/>
        <v>0.65302762721610241</v>
      </c>
      <c r="H155" s="416" t="b">
        <f>Wh_hp&gt;='2020'!Maxi_hp</f>
        <v>0</v>
      </c>
      <c r="I155" s="382">
        <f>IF(H155,Wh_hp,'2020'!Maxi_hp)</f>
        <v>62.068839464913452</v>
      </c>
      <c r="J155" s="85">
        <f>IF(H155,An,'2020'!An_max)</f>
        <v>2020</v>
      </c>
      <c r="K155" s="199">
        <f t="shared" si="50"/>
        <v>44337</v>
      </c>
      <c r="L155" s="147">
        <f>IF(t&lt;Tvie,1-EXP((T0-t)*PertePVj)+'2020'!Pspv,1-EXP((T0-t)*PertePVj)+Pspv)</f>
        <v>2.3548554850833292E-2</v>
      </c>
      <c r="M155" s="872"/>
      <c r="N155" s="872"/>
      <c r="O155" s="48">
        <f>IF(t&lt;Tnet,'2020'!Resal+('2020'!Salim-'2020'!Resal)*(1-EXP(('2020'!Tnet-t)/('2020'!Tau_j))),Resal+(Salim-Resal)*(1-EXP((Tnet-t)/(Tau_j))))*Salcycl</f>
        <v>3.8059896774768724E-2</v>
      </c>
      <c r="P155" s="171">
        <f>(INDEX(Models!$BJ155:$BT155,,T155)*(1-R155)+INDEX(Models!$BJ155:$BT155,,T155+1)*R155-ERP_i)*Q155*Ramure*Pc/MaxiM</f>
        <v>4.1421357155255282E-4</v>
      </c>
      <c r="Q155" s="307">
        <f t="shared" si="51"/>
        <v>0.9</v>
      </c>
      <c r="R155" s="179">
        <f t="shared" si="52"/>
        <v>0.48253834976787435</v>
      </c>
      <c r="S155" s="839">
        <f t="shared" si="53"/>
        <v>-1</v>
      </c>
      <c r="T155" s="178">
        <f t="shared" si="54"/>
        <v>5</v>
      </c>
      <c r="U155" s="253">
        <f t="shared" si="55"/>
        <v>-0.51746165023212565</v>
      </c>
      <c r="V155" s="385">
        <f t="shared" si="56"/>
        <v>60.023420773044606</v>
      </c>
      <c r="W155" s="404"/>
      <c r="X155" s="157">
        <f t="shared" si="57"/>
        <v>44337</v>
      </c>
      <c r="Y155" s="387">
        <f t="shared" si="58"/>
        <v>35.269726231850449</v>
      </c>
      <c r="Z155" s="387">
        <f t="shared" si="59"/>
        <v>36.120307268798705</v>
      </c>
      <c r="AA155" s="388">
        <f t="shared" si="60"/>
        <v>41.739070640007583</v>
      </c>
      <c r="AB155" s="199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0.1346163986177307</v>
      </c>
      <c r="AD155" s="233">
        <f>(INDEX(Models!$BJ155:$BT155,,AH155)*(1-AF155)+INDEX(Models!$BJ155:$BT155,,AH155+1)*AF155-ERP_i)*AE155*Ramure*Pc/MaxiM</f>
        <v>4.1421357155255282E-4</v>
      </c>
      <c r="AE155" s="307">
        <f t="shared" si="62"/>
        <v>0.9</v>
      </c>
      <c r="AF155" s="179">
        <f t="shared" si="63"/>
        <v>0.48253834976787435</v>
      </c>
      <c r="AG155" s="839">
        <f t="shared" si="71"/>
        <v>-1</v>
      </c>
      <c r="AH155" s="178">
        <f t="shared" si="64"/>
        <v>5</v>
      </c>
      <c r="AI155" s="227">
        <f t="shared" si="65"/>
        <v>-0.51746165023212565</v>
      </c>
      <c r="AJ155" s="267" t="b">
        <f t="shared" si="66"/>
        <v>0</v>
      </c>
      <c r="AK155" s="267" t="b">
        <f t="shared" si="67"/>
        <v>0</v>
      </c>
      <c r="AL155" s="267"/>
      <c r="AM155" s="267"/>
      <c r="AN155" s="75"/>
    </row>
    <row r="156" spans="1:40" s="18" customFormat="1" ht="11.25" x14ac:dyDescent="0.2">
      <c r="A156" s="56">
        <f t="shared" si="68"/>
        <v>44338</v>
      </c>
      <c r="B156" s="620">
        <v>34.116</v>
      </c>
      <c r="C156" s="392"/>
      <c r="D156" s="395">
        <f t="shared" si="48"/>
        <v>34.939570336162255</v>
      </c>
      <c r="E156" s="387">
        <f t="shared" si="69"/>
        <v>36.337620017033323</v>
      </c>
      <c r="F156" s="387">
        <f t="shared" si="49"/>
        <v>36.343029260429155</v>
      </c>
      <c r="G156" s="110">
        <f t="shared" si="70"/>
        <v>0.56788367337427181</v>
      </c>
      <c r="H156" s="416" t="b">
        <f>Wh_hp&gt;='2020'!Maxi_hp</f>
        <v>0</v>
      </c>
      <c r="I156" s="382">
        <f>IF(H156,Wh_hp,'2020'!Maxi_hp)</f>
        <v>63.02960296513583</v>
      </c>
      <c r="J156" s="85">
        <f>IF(H156,An,'2020'!An_max)</f>
        <v>2019</v>
      </c>
      <c r="K156" s="199">
        <f t="shared" si="50"/>
        <v>44338</v>
      </c>
      <c r="L156" s="147">
        <f>IF(t&lt;Tvie,1-EXP((T0-t)*PertePVj)+'2020'!Pspv,1-EXP((T0-t)*PertePVj)+Pspv)</f>
        <v>2.3571278302465637E-2</v>
      </c>
      <c r="M156" s="872"/>
      <c r="N156" s="872"/>
      <c r="O156" s="48">
        <f>IF(t&lt;Tnet,'2020'!Resal+('2020'!Salim-'2020'!Resal)*(1-EXP(('2020'!Tnet-t)/('2020'!Tau_j))),Resal+(Salim-Resal)*(1-EXP((Tnet-t)/(Tau_j))))*Salcycl</f>
        <v>3.8473892352215926E-2</v>
      </c>
      <c r="P156" s="171">
        <f>(INDEX(Models!$BJ156:$BT156,,T156)*(1-R156)+INDEX(Models!$BJ156:$BT156,,T156+1)*R156-ERP_i)*Q156*Ramure*Pc/MaxiM</f>
        <v>3.8872843364338929E-4</v>
      </c>
      <c r="Q156" s="307">
        <f t="shared" si="51"/>
        <v>0.9</v>
      </c>
      <c r="R156" s="179">
        <f t="shared" si="52"/>
        <v>0.4878210445032205</v>
      </c>
      <c r="S156" s="839">
        <f t="shared" si="53"/>
        <v>-1</v>
      </c>
      <c r="T156" s="178">
        <f t="shared" si="54"/>
        <v>5</v>
      </c>
      <c r="U156" s="253">
        <f t="shared" si="55"/>
        <v>-0.5121789554967795</v>
      </c>
      <c r="V156" s="385">
        <f t="shared" si="56"/>
        <v>60.061270110865657</v>
      </c>
      <c r="W156" s="404"/>
      <c r="X156" s="157">
        <f t="shared" si="57"/>
        <v>44338</v>
      </c>
      <c r="Y156" s="387">
        <f t="shared" si="58"/>
        <v>30.696138546570449</v>
      </c>
      <c r="Z156" s="387">
        <f t="shared" si="59"/>
        <v>31.437152415185825</v>
      </c>
      <c r="AA156" s="388">
        <f t="shared" si="60"/>
        <v>36.337620017033323</v>
      </c>
      <c r="AB156" s="199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0.13485934410537598</v>
      </c>
      <c r="AD156" s="233">
        <f>(INDEX(Models!$BJ156:$BT156,,AH156)*(1-AF156)+INDEX(Models!$BJ156:$BT156,,AH156+1)*AF156-ERP_i)*AE156*Ramure*Pc/MaxiM</f>
        <v>3.8872843364338929E-4</v>
      </c>
      <c r="AE156" s="307">
        <f t="shared" si="62"/>
        <v>0.9</v>
      </c>
      <c r="AF156" s="179">
        <f t="shared" si="63"/>
        <v>0.4878210445032205</v>
      </c>
      <c r="AG156" s="839">
        <f t="shared" si="71"/>
        <v>-1</v>
      </c>
      <c r="AH156" s="178">
        <f t="shared" si="64"/>
        <v>5</v>
      </c>
      <c r="AI156" s="227">
        <f t="shared" si="65"/>
        <v>-0.5121789554967795</v>
      </c>
      <c r="AJ156" s="267" t="b">
        <f t="shared" si="66"/>
        <v>0</v>
      </c>
      <c r="AK156" s="267" t="b">
        <f t="shared" si="67"/>
        <v>0</v>
      </c>
      <c r="AL156" s="267"/>
      <c r="AM156" s="267"/>
      <c r="AN156" s="267"/>
    </row>
    <row r="157" spans="1:40" s="18" customFormat="1" ht="11.25" x14ac:dyDescent="0.2">
      <c r="A157" s="56">
        <f t="shared" si="68"/>
        <v>44339</v>
      </c>
      <c r="B157" s="620">
        <v>35.953000000000003</v>
      </c>
      <c r="C157" s="392"/>
      <c r="D157" s="395">
        <f t="shared" si="48"/>
        <v>36.821772956247052</v>
      </c>
      <c r="E157" s="387">
        <f t="shared" si="69"/>
        <v>38.311624034827751</v>
      </c>
      <c r="F157" s="387">
        <f t="shared" si="49"/>
        <v>38.317571127769519</v>
      </c>
      <c r="G157" s="110">
        <f t="shared" si="70"/>
        <v>0.5981524362858468</v>
      </c>
      <c r="H157" s="416" t="b">
        <f>Wh_hp&gt;='2020'!Maxi_hp</f>
        <v>0</v>
      </c>
      <c r="I157" s="382">
        <f>IF(H157,Wh_hp,'2020'!Maxi_hp)</f>
        <v>57.069920377095102</v>
      </c>
      <c r="J157" s="85">
        <f>IF(H157,An,'2020'!An_max)</f>
        <v>2020</v>
      </c>
      <c r="K157" s="199">
        <f t="shared" si="50"/>
        <v>44339</v>
      </c>
      <c r="L157" s="147">
        <f>IF(t&lt;Tvie,1-EXP((T0-t)*PertePVj)+'2020'!Pspv,1-EXP((T0-t)*PertePVj)+Pspv)</f>
        <v>2.3594001225290095E-2</v>
      </c>
      <c r="M157" s="872"/>
      <c r="N157" s="872"/>
      <c r="O157" s="48">
        <f>IF(t&lt;Tnet,'2020'!Resal+('2020'!Salim-'2020'!Resal)*(1-EXP(('2020'!Tnet-t)/('2020'!Tau_j))),Resal+(Salim-Resal)*(1-EXP((Tnet-t)/(Tau_j))))*Salcycl</f>
        <v>3.8887703565537349E-2</v>
      </c>
      <c r="P157" s="171">
        <f>(INDEX(Models!$BJ157:$BT157,,T157)*(1-R157)+INDEX(Models!$BJ157:$BT157,,T157+1)*R157-ERP_i)*Q157*Ramure*Pc/MaxiM</f>
        <v>3.6423718230399113E-4</v>
      </c>
      <c r="Q157" s="307">
        <f t="shared" si="51"/>
        <v>0.9</v>
      </c>
      <c r="R157" s="179">
        <f t="shared" si="52"/>
        <v>0.49318504693129284</v>
      </c>
      <c r="S157" s="839">
        <f t="shared" si="53"/>
        <v>-1</v>
      </c>
      <c r="T157" s="178">
        <f t="shared" si="54"/>
        <v>5</v>
      </c>
      <c r="U157" s="253">
        <f t="shared" si="55"/>
        <v>-0.50681495306870716</v>
      </c>
      <c r="V157" s="385">
        <f t="shared" si="56"/>
        <v>60.094185582492905</v>
      </c>
      <c r="W157" s="404"/>
      <c r="X157" s="157">
        <f t="shared" si="57"/>
        <v>44339</v>
      </c>
      <c r="Y157" s="387">
        <f t="shared" si="58"/>
        <v>32.353821514287404</v>
      </c>
      <c r="Z157" s="387">
        <f t="shared" si="59"/>
        <v>33.135623454677827</v>
      </c>
      <c r="AA157" s="388">
        <f t="shared" si="60"/>
        <v>38.311624034827751</v>
      </c>
      <c r="AB157" s="199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0.13510261469063825</v>
      </c>
      <c r="AD157" s="233">
        <f>(INDEX(Models!$BJ157:$BT157,,AH157)*(1-AF157)+INDEX(Models!$BJ157:$BT157,,AH157+1)*AF157-ERP_i)*AE157*Ramure*Pc/MaxiM</f>
        <v>3.6423718230399113E-4</v>
      </c>
      <c r="AE157" s="307">
        <f t="shared" si="62"/>
        <v>0.9</v>
      </c>
      <c r="AF157" s="179">
        <f t="shared" si="63"/>
        <v>0.49318504693129284</v>
      </c>
      <c r="AG157" s="839">
        <f t="shared" si="71"/>
        <v>-1</v>
      </c>
      <c r="AH157" s="178">
        <f t="shared" si="64"/>
        <v>5</v>
      </c>
      <c r="AI157" s="227">
        <f t="shared" si="65"/>
        <v>-0.50681495306870716</v>
      </c>
      <c r="AJ157" s="267" t="b">
        <f t="shared" si="66"/>
        <v>0</v>
      </c>
      <c r="AK157" s="267" t="b">
        <f t="shared" si="67"/>
        <v>0</v>
      </c>
      <c r="AL157" s="267"/>
      <c r="AM157" s="267"/>
      <c r="AN157" s="267"/>
    </row>
    <row r="158" spans="1:40" s="6" customFormat="1" ht="11.25" x14ac:dyDescent="0.2">
      <c r="A158" s="56">
        <f t="shared" si="68"/>
        <v>44340</v>
      </c>
      <c r="B158" s="620">
        <v>26.771000000000001</v>
      </c>
      <c r="C158" s="392"/>
      <c r="D158" s="395">
        <f t="shared" si="48"/>
        <v>27.418535986438059</v>
      </c>
      <c r="E158" s="387">
        <f t="shared" si="69"/>
        <v>28.540202757262723</v>
      </c>
      <c r="F158" s="387">
        <f t="shared" si="49"/>
        <v>28.542221114543629</v>
      </c>
      <c r="G158" s="110">
        <f t="shared" si="70"/>
        <v>0.4451540558860681</v>
      </c>
      <c r="H158" s="416" t="b">
        <f>Wh_hp&gt;='2020'!Maxi_hp</f>
        <v>1</v>
      </c>
      <c r="I158" s="382">
        <f>IF(H158,Wh_hp,'2020'!Maxi_hp)</f>
        <v>28.542221114543629</v>
      </c>
      <c r="J158" s="85">
        <f>IF(H158,An,'2020'!An_max)</f>
        <v>2021</v>
      </c>
      <c r="K158" s="199">
        <f t="shared" si="50"/>
        <v>44340</v>
      </c>
      <c r="L158" s="147">
        <f>IF(t&lt;Tvie,1-EXP((T0-t)*PertePVj)+'2020'!Pspv,1-EXP((T0-t)*PertePVj)+Pspv)</f>
        <v>2.3616723619318991E-2</v>
      </c>
      <c r="M158" s="872"/>
      <c r="N158" s="872"/>
      <c r="O158" s="48">
        <f>IF(t&lt;Tnet,'2020'!Resal+('2020'!Salim-'2020'!Resal)*(1-EXP(('2020'!Tnet-t)/('2020'!Tau_j))),Resal+(Salim-Resal)*(1-EXP((Tnet-t)/(Tau_j))))*Salcycl</f>
        <v>3.9301289495542575E-2</v>
      </c>
      <c r="P158" s="171">
        <f>(INDEX(Models!$BJ158:$BT158,,T158)*(1-R158)+INDEX(Models!$BJ158:$BT158,,T158+1)*R158-ERP_i)*Q158*Ramure*Pc/MaxiM</f>
        <v>3.4073718615811152E-4</v>
      </c>
      <c r="Q158" s="307">
        <f t="shared" si="51"/>
        <v>0.9</v>
      </c>
      <c r="R158" s="179">
        <f t="shared" si="52"/>
        <v>0.49862761656322474</v>
      </c>
      <c r="S158" s="839">
        <f t="shared" si="53"/>
        <v>-1</v>
      </c>
      <c r="T158" s="178">
        <f t="shared" si="54"/>
        <v>5</v>
      </c>
      <c r="U158" s="253">
        <f t="shared" si="55"/>
        <v>-0.50137238343677526</v>
      </c>
      <c r="V158" s="385">
        <f t="shared" si="56"/>
        <v>60.122491001558217</v>
      </c>
      <c r="W158" s="404"/>
      <c r="X158" s="157">
        <f t="shared" si="57"/>
        <v>44340</v>
      </c>
      <c r="Y158" s="387">
        <f t="shared" si="58"/>
        <v>24.094599482502563</v>
      </c>
      <c r="Z158" s="387">
        <f t="shared" si="59"/>
        <v>24.677398789354463</v>
      </c>
      <c r="AA158" s="388">
        <f t="shared" si="60"/>
        <v>28.540202757262723</v>
      </c>
      <c r="AB158" s="199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0.13534605905787672</v>
      </c>
      <c r="AD158" s="233">
        <f>(INDEX(Models!$BJ158:$BT158,,AH158)*(1-AF158)+INDEX(Models!$BJ158:$BT158,,AH158+1)*AF158-ERP_i)*AE158*Ramure*Pc/MaxiM</f>
        <v>3.4073718615811152E-4</v>
      </c>
      <c r="AE158" s="307">
        <f t="shared" si="62"/>
        <v>0.9</v>
      </c>
      <c r="AF158" s="179">
        <f t="shared" si="63"/>
        <v>0.49862761656322474</v>
      </c>
      <c r="AG158" s="839">
        <f t="shared" si="71"/>
        <v>-1</v>
      </c>
      <c r="AH158" s="178">
        <f t="shared" si="64"/>
        <v>5</v>
      </c>
      <c r="AI158" s="227">
        <f t="shared" si="65"/>
        <v>-0.50137238343677526</v>
      </c>
      <c r="AJ158" s="267" t="b">
        <f t="shared" si="66"/>
        <v>0</v>
      </c>
      <c r="AK158" s="267" t="b">
        <f t="shared" si="67"/>
        <v>0</v>
      </c>
      <c r="AL158" s="267"/>
      <c r="AM158" s="267"/>
      <c r="AN158" s="75"/>
    </row>
    <row r="159" spans="1:40" s="6" customFormat="1" ht="11.25" x14ac:dyDescent="0.2">
      <c r="A159" s="56">
        <f t="shared" si="68"/>
        <v>44341</v>
      </c>
      <c r="B159" s="620">
        <v>48.471000000000004</v>
      </c>
      <c r="C159" s="392"/>
      <c r="D159" s="395">
        <f t="shared" si="48"/>
        <v>49.644570108689003</v>
      </c>
      <c r="E159" s="387">
        <f t="shared" si="69"/>
        <v>51.69772492186398</v>
      </c>
      <c r="F159" s="387">
        <f t="shared" si="49"/>
        <v>51.709617150296843</v>
      </c>
      <c r="G159" s="110">
        <f t="shared" si="70"/>
        <v>0.80581104105720813</v>
      </c>
      <c r="H159" s="416" t="b">
        <f>Wh_hp&gt;='2020'!Maxi_hp</f>
        <v>0</v>
      </c>
      <c r="I159" s="382">
        <f>IF(H159,Wh_hp,'2020'!Maxi_hp)</f>
        <v>59.272001912813224</v>
      </c>
      <c r="J159" s="85">
        <f>IF(H159,An,'2020'!An_max)</f>
        <v>2020</v>
      </c>
      <c r="K159" s="199">
        <f t="shared" si="50"/>
        <v>44341</v>
      </c>
      <c r="L159" s="147">
        <f>IF(t&lt;Tvie,1-EXP((T0-t)*PertePVj)+'2020'!Pspv,1-EXP((T0-t)*PertePVj)+Pspv)</f>
        <v>2.3639445484564536E-2</v>
      </c>
      <c r="M159" s="872"/>
      <c r="N159" s="872"/>
      <c r="O159" s="48">
        <f>IF(t&lt;Tnet,'2020'!Resal+('2020'!Salim-'2020'!Resal)*(1-EXP(('2020'!Tnet-t)/('2020'!Tau_j))),Resal+(Salim-Resal)*(1-EXP((Tnet-t)/(Tau_j))))*Salcycl</f>
        <v>3.9714606711961163E-2</v>
      </c>
      <c r="P159" s="171">
        <f>(INDEX(Models!$BJ159:$BT159,,T159)*(1-R159)+INDEX(Models!$BJ159:$BT159,,T159+1)*R159-ERP_i)*Q159*Ramure*Pc/MaxiM</f>
        <v>3.1822960739688908E-4</v>
      </c>
      <c r="Q159" s="307">
        <f t="shared" si="51"/>
        <v>0.9</v>
      </c>
      <c r="R159" s="179">
        <f t="shared" si="52"/>
        <v>0.50414579751963406</v>
      </c>
      <c r="S159" s="839">
        <f t="shared" si="53"/>
        <v>-1</v>
      </c>
      <c r="T159" s="178">
        <f t="shared" si="54"/>
        <v>5</v>
      </c>
      <c r="U159" s="253">
        <f t="shared" si="55"/>
        <v>-0.49585420248036594</v>
      </c>
      <c r="V159" s="385">
        <f t="shared" si="56"/>
        <v>60.146509600103279</v>
      </c>
      <c r="W159" s="404"/>
      <c r="X159" s="157">
        <f t="shared" si="57"/>
        <v>44341</v>
      </c>
      <c r="Y159" s="387">
        <f t="shared" si="58"/>
        <v>43.631654237141326</v>
      </c>
      <c r="Z159" s="387">
        <f t="shared" si="59"/>
        <v>44.688055078992384</v>
      </c>
      <c r="AA159" s="388">
        <f t="shared" si="60"/>
        <v>51.69772492186398</v>
      </c>
      <c r="AB159" s="199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0.13558952262340401</v>
      </c>
      <c r="AD159" s="233">
        <f>(INDEX(Models!$BJ159:$BT159,,AH159)*(1-AF159)+INDEX(Models!$BJ159:$BT159,,AH159+1)*AF159-ERP_i)*AE159*Ramure*Pc/MaxiM</f>
        <v>3.1822960739688908E-4</v>
      </c>
      <c r="AE159" s="307">
        <f t="shared" si="62"/>
        <v>0.9</v>
      </c>
      <c r="AF159" s="179">
        <f t="shared" si="63"/>
        <v>0.50414579751963406</v>
      </c>
      <c r="AG159" s="839">
        <f t="shared" si="71"/>
        <v>-1</v>
      </c>
      <c r="AH159" s="178">
        <f t="shared" si="64"/>
        <v>5</v>
      </c>
      <c r="AI159" s="227">
        <f t="shared" si="65"/>
        <v>-0.49585420248036594</v>
      </c>
      <c r="AJ159" s="267" t="b">
        <f t="shared" si="66"/>
        <v>0</v>
      </c>
      <c r="AK159" s="267" t="b">
        <f t="shared" si="67"/>
        <v>0</v>
      </c>
      <c r="AL159" s="267"/>
      <c r="AM159" s="267"/>
      <c r="AN159" s="75"/>
    </row>
    <row r="160" spans="1:40" s="6" customFormat="1" ht="11.25" x14ac:dyDescent="0.2">
      <c r="A160" s="56">
        <f t="shared" si="68"/>
        <v>44342</v>
      </c>
      <c r="B160" s="620">
        <v>50.410000000000004</v>
      </c>
      <c r="C160" s="392"/>
      <c r="D160" s="395">
        <f t="shared" si="48"/>
        <v>51.631718332439078</v>
      </c>
      <c r="E160" s="387">
        <f t="shared" si="69"/>
        <v>53.790190068415441</v>
      </c>
      <c r="F160" s="387">
        <f t="shared" si="49"/>
        <v>53.802455984494976</v>
      </c>
      <c r="G160" s="110">
        <f t="shared" si="70"/>
        <v>0.8377831593075632</v>
      </c>
      <c r="H160" s="416" t="b">
        <f>Wh_hp&gt;='2020'!Maxi_hp</f>
        <v>0</v>
      </c>
      <c r="I160" s="382">
        <f>IF(H160,Wh_hp,'2020'!Maxi_hp)</f>
        <v>63.227502087912768</v>
      </c>
      <c r="J160" s="85">
        <f>IF(H160,An,'2020'!An_max)</f>
        <v>2020</v>
      </c>
      <c r="K160" s="199">
        <f t="shared" si="50"/>
        <v>44342</v>
      </c>
      <c r="L160" s="147">
        <f>IF(t&lt;Tvie,1-EXP((T0-t)*PertePVj)+'2020'!Pspv,1-EXP((T0-t)*PertePVj)+Pspv)</f>
        <v>2.3662166821039055E-2</v>
      </c>
      <c r="M160" s="872"/>
      <c r="N160" s="872"/>
      <c r="O160" s="48">
        <f>IF(t&lt;Tnet,'2020'!Resal+('2020'!Salim-'2020'!Resal)*(1-EXP(('2020'!Tnet-t)/('2020'!Tau_j))),Resal+(Salim-Resal)*(1-EXP((Tnet-t)/(Tau_j))))*Salcycl</f>
        <v>4.0127609388087626E-2</v>
      </c>
      <c r="P160" s="171">
        <f>(INDEX(Models!$BJ160:$BT160,,T160)*(1-R160)+INDEX(Models!$BJ160:$BT160,,T160+1)*R160-ERP_i)*Q160*Ramure*Pc/MaxiM</f>
        <v>2.9671685303149351E-4</v>
      </c>
      <c r="Q160" s="307">
        <f t="shared" si="51"/>
        <v>0.9</v>
      </c>
      <c r="R160" s="179">
        <f t="shared" si="52"/>
        <v>0.50973642185995605</v>
      </c>
      <c r="S160" s="839">
        <f t="shared" si="53"/>
        <v>-1</v>
      </c>
      <c r="T160" s="178">
        <f t="shared" si="54"/>
        <v>5</v>
      </c>
      <c r="U160" s="253">
        <f t="shared" si="55"/>
        <v>-0.4902635781400439</v>
      </c>
      <c r="V160" s="385">
        <f t="shared" si="56"/>
        <v>60.166564170261744</v>
      </c>
      <c r="W160" s="404"/>
      <c r="X160" s="157">
        <f t="shared" si="57"/>
        <v>44342</v>
      </c>
      <c r="Y160" s="387">
        <f t="shared" si="58"/>
        <v>45.383809929449555</v>
      </c>
      <c r="Z160" s="387">
        <f t="shared" si="59"/>
        <v>46.483715356681039</v>
      </c>
      <c r="AA160" s="388">
        <f t="shared" si="60"/>
        <v>53.790190068415441</v>
      </c>
      <c r="AB160" s="199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0.13583284800520948</v>
      </c>
      <c r="AD160" s="233">
        <f>(INDEX(Models!$BJ160:$BT160,,AH160)*(1-AF160)+INDEX(Models!$BJ160:$BT160,,AH160+1)*AF160-ERP_i)*AE160*Ramure*Pc/MaxiM</f>
        <v>2.9671685303149351E-4</v>
      </c>
      <c r="AE160" s="307">
        <f t="shared" si="62"/>
        <v>0.9</v>
      </c>
      <c r="AF160" s="179">
        <f t="shared" si="63"/>
        <v>0.50973642185995605</v>
      </c>
      <c r="AG160" s="839">
        <f t="shared" si="71"/>
        <v>-1</v>
      </c>
      <c r="AH160" s="178">
        <f t="shared" si="64"/>
        <v>5</v>
      </c>
      <c r="AI160" s="227">
        <f t="shared" si="65"/>
        <v>-0.4902635781400439</v>
      </c>
      <c r="AJ160" s="267" t="b">
        <f t="shared" si="66"/>
        <v>0</v>
      </c>
      <c r="AK160" s="267" t="b">
        <f t="shared" si="67"/>
        <v>0</v>
      </c>
      <c r="AL160" s="267"/>
      <c r="AM160" s="267"/>
      <c r="AN160" s="75"/>
    </row>
    <row r="161" spans="1:40" s="6" customFormat="1" ht="11.25" x14ac:dyDescent="0.2">
      <c r="A161" s="56">
        <f t="shared" si="68"/>
        <v>44343</v>
      </c>
      <c r="B161" s="620">
        <v>58.756</v>
      </c>
      <c r="C161" s="392"/>
      <c r="D161" s="395">
        <f t="shared" si="48"/>
        <v>60.181389446379839</v>
      </c>
      <c r="E161" s="387">
        <f t="shared" si="69"/>
        <v>62.724246025638919</v>
      </c>
      <c r="F161" s="387">
        <f t="shared" si="49"/>
        <v>62.740988263305802</v>
      </c>
      <c r="G161" s="110">
        <f t="shared" si="70"/>
        <v>0.97628022119421243</v>
      </c>
      <c r="H161" s="416" t="b">
        <f>Wh_hp&gt;='2020'!Maxi_hp</f>
        <v>0</v>
      </c>
      <c r="I161" s="382">
        <f>IF(H161,Wh_hp,'2020'!Maxi_hp)</f>
        <v>62.760133675554769</v>
      </c>
      <c r="J161" s="85">
        <f>IF(H161,An,'2020'!An_max)</f>
        <v>2020</v>
      </c>
      <c r="K161" s="199">
        <f t="shared" si="50"/>
        <v>44343</v>
      </c>
      <c r="L161" s="147">
        <f>IF(t&lt;Tvie,1-EXP((T0-t)*PertePVj)+'2020'!Pspv,1-EXP((T0-t)*PertePVj)+Pspv)</f>
        <v>2.3684887628754869E-2</v>
      </c>
      <c r="M161" s="872"/>
      <c r="N161" s="872"/>
      <c r="O161" s="48">
        <f>IF(t&lt;Tnet,'2020'!Resal+('2020'!Salim-'2020'!Resal)*(1-EXP(('2020'!Tnet-t)/('2020'!Tau_j))),Resal+(Salim-Resal)*(1-EXP((Tnet-t)/(Tau_j))))*Salcycl</f>
        <v>4.0540249431131797E-2</v>
      </c>
      <c r="P161" s="171">
        <f>(INDEX(Models!$BJ161:$BT161,,T161)*(1-R161)+INDEX(Models!$BJ161:$BT161,,T161+1)*R161-ERP_i)*Q161*Ramure*Pc/MaxiM</f>
        <v>2.7620251858922974E-4</v>
      </c>
      <c r="Q161" s="307">
        <f t="shared" si="51"/>
        <v>0.9</v>
      </c>
      <c r="R161" s="179">
        <f t="shared" si="52"/>
        <v>0.51539611407500685</v>
      </c>
      <c r="S161" s="839">
        <f t="shared" si="53"/>
        <v>-1</v>
      </c>
      <c r="T161" s="178">
        <f t="shared" si="54"/>
        <v>5</v>
      </c>
      <c r="U161" s="253">
        <f t="shared" si="55"/>
        <v>-0.48460388592499315</v>
      </c>
      <c r="V161" s="385">
        <f t="shared" si="56"/>
        <v>60.182977057713316</v>
      </c>
      <c r="W161" s="404"/>
      <c r="X161" s="157">
        <f t="shared" si="57"/>
        <v>44343</v>
      </c>
      <c r="Y161" s="387">
        <f t="shared" si="58"/>
        <v>52.905529208305708</v>
      </c>
      <c r="Z161" s="387">
        <f t="shared" si="59"/>
        <v>54.188989331334156</v>
      </c>
      <c r="AA161" s="388">
        <f t="shared" si="60"/>
        <v>62.724246025638919</v>
      </c>
      <c r="AB161" s="199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0.13607587552054315</v>
      </c>
      <c r="AD161" s="233">
        <f>(INDEX(Models!$BJ161:$BT161,,AH161)*(1-AF161)+INDEX(Models!$BJ161:$BT161,,AH161+1)*AF161-ERP_i)*AE161*Ramure*Pc/MaxiM</f>
        <v>2.7620251858922974E-4</v>
      </c>
      <c r="AE161" s="307">
        <f t="shared" si="62"/>
        <v>0.9</v>
      </c>
      <c r="AF161" s="179">
        <f t="shared" si="63"/>
        <v>0.51539611407500685</v>
      </c>
      <c r="AG161" s="839">
        <f t="shared" si="71"/>
        <v>-1</v>
      </c>
      <c r="AH161" s="178">
        <f t="shared" si="64"/>
        <v>5</v>
      </c>
      <c r="AI161" s="227">
        <f t="shared" si="65"/>
        <v>-0.48460388592499315</v>
      </c>
      <c r="AJ161" s="267" t="b">
        <f t="shared" si="66"/>
        <v>0</v>
      </c>
      <c r="AK161" s="267" t="b">
        <f t="shared" si="67"/>
        <v>0</v>
      </c>
      <c r="AL161" s="267"/>
      <c r="AM161" s="267"/>
      <c r="AN161" s="75"/>
    </row>
    <row r="162" spans="1:40" s="6" customFormat="1" ht="11.25" x14ac:dyDescent="0.2">
      <c r="A162" s="56">
        <f t="shared" si="68"/>
        <v>44344</v>
      </c>
      <c r="B162" s="620">
        <v>40.381</v>
      </c>
      <c r="C162" s="392"/>
      <c r="D162" s="395">
        <f t="shared" si="48"/>
        <v>41.361584221157521</v>
      </c>
      <c r="E162" s="387">
        <f t="shared" si="69"/>
        <v>43.127773351344104</v>
      </c>
      <c r="F162" s="387">
        <f t="shared" si="49"/>
        <v>43.133638752261078</v>
      </c>
      <c r="G162" s="110">
        <f t="shared" si="70"/>
        <v>0.67074353652420293</v>
      </c>
      <c r="H162" s="416" t="b">
        <f>Wh_hp&gt;='2020'!Maxi_hp</f>
        <v>0</v>
      </c>
      <c r="I162" s="382">
        <f>IF(H162,Wh_hp,'2020'!Maxi_hp)</f>
        <v>61.94834261618918</v>
      </c>
      <c r="J162" s="85">
        <f>IF(H162,An,'2020'!An_max)</f>
        <v>2020</v>
      </c>
      <c r="K162" s="199">
        <f t="shared" si="50"/>
        <v>44344</v>
      </c>
      <c r="L162" s="147">
        <f>IF(t&lt;Tvie,1-EXP((T0-t)*PertePVj)+'2020'!Pspv,1-EXP((T0-t)*PertePVj)+Pspv)</f>
        <v>2.3707607907724304E-2</v>
      </c>
      <c r="M162" s="872"/>
      <c r="N162" s="872"/>
      <c r="O162" s="48">
        <f>IF(t&lt;Tnet,'2020'!Resal+('2020'!Salim-'2020'!Resal)*(1-EXP(('2020'!Tnet-t)/('2020'!Tau_j))),Resal+(Salim-Resal)*(1-EXP((Tnet-t)/(Tau_j))))*Salcycl</f>
        <v>4.0952476627953247E-2</v>
      </c>
      <c r="P162" s="171">
        <f>(INDEX(Models!$BJ162:$BT162,,T162)*(1-R162)+INDEX(Models!$BJ162:$BT162,,T162+1)*R162-ERP_i)*Q162*Ramure*Pc/MaxiM</f>
        <v>2.5669132993331583E-4</v>
      </c>
      <c r="Q162" s="307">
        <f t="shared" si="51"/>
        <v>0.9</v>
      </c>
      <c r="R162" s="179">
        <f t="shared" si="52"/>
        <v>0.52112129675621477</v>
      </c>
      <c r="S162" s="839">
        <f t="shared" si="53"/>
        <v>-1</v>
      </c>
      <c r="T162" s="178">
        <f t="shared" si="54"/>
        <v>5</v>
      </c>
      <c r="U162" s="253">
        <f t="shared" si="55"/>
        <v>-0.47887870324378523</v>
      </c>
      <c r="V162" s="385">
        <f t="shared" si="56"/>
        <v>60.196070147998981</v>
      </c>
      <c r="W162" s="404"/>
      <c r="X162" s="157">
        <f t="shared" si="57"/>
        <v>44344</v>
      </c>
      <c r="Y162" s="387">
        <f t="shared" si="58"/>
        <v>36.365585724009343</v>
      </c>
      <c r="Z162" s="387">
        <f t="shared" si="59"/>
        <v>37.248662407452414</v>
      </c>
      <c r="AA162" s="388">
        <f t="shared" si="60"/>
        <v>43.127773351344104</v>
      </c>
      <c r="AB162" s="199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0.13631844370904589</v>
      </c>
      <c r="AD162" s="233">
        <f>(INDEX(Models!$BJ162:$BT162,,AH162)*(1-AF162)+INDEX(Models!$BJ162:$BT162,,AH162+1)*AF162-ERP_i)*AE162*Ramure*Pc/MaxiM</f>
        <v>2.5669132993331583E-4</v>
      </c>
      <c r="AE162" s="307">
        <f t="shared" si="62"/>
        <v>0.9</v>
      </c>
      <c r="AF162" s="179">
        <f t="shared" si="63"/>
        <v>0.52112129675621477</v>
      </c>
      <c r="AG162" s="839">
        <f t="shared" si="71"/>
        <v>-1</v>
      </c>
      <c r="AH162" s="178">
        <f t="shared" si="64"/>
        <v>5</v>
      </c>
      <c r="AI162" s="227">
        <f t="shared" si="65"/>
        <v>-0.47887870324378523</v>
      </c>
      <c r="AJ162" s="267" t="b">
        <f t="shared" si="66"/>
        <v>0</v>
      </c>
      <c r="AK162" s="267" t="b">
        <f t="shared" si="67"/>
        <v>0</v>
      </c>
      <c r="AL162" s="267"/>
      <c r="AM162" s="267"/>
      <c r="AN162" s="75"/>
    </row>
    <row r="163" spans="1:40" s="6" customFormat="1" ht="11.25" x14ac:dyDescent="0.2">
      <c r="A163" s="56">
        <f t="shared" si="68"/>
        <v>44345</v>
      </c>
      <c r="B163" s="620">
        <v>38.247999999999998</v>
      </c>
      <c r="C163" s="392"/>
      <c r="D163" s="395">
        <f t="shared" si="48"/>
        <v>39.177699649569412</v>
      </c>
      <c r="E163" s="387">
        <f t="shared" si="69"/>
        <v>40.868180841450446</v>
      </c>
      <c r="F163" s="387">
        <f t="shared" si="49"/>
        <v>40.872844181696394</v>
      </c>
      <c r="G163" s="110">
        <f t="shared" si="70"/>
        <v>0.63521801358064955</v>
      </c>
      <c r="H163" s="416" t="b">
        <f>Wh_hp&gt;='2020'!Maxi_hp</f>
        <v>0</v>
      </c>
      <c r="I163" s="382">
        <f>IF(H163,Wh_hp,'2020'!Maxi_hp)</f>
        <v>62.503074499597425</v>
      </c>
      <c r="J163" s="85">
        <f>IF(H163,An,'2020'!An_max)</f>
        <v>2020</v>
      </c>
      <c r="K163" s="199">
        <f t="shared" si="50"/>
        <v>44345</v>
      </c>
      <c r="L163" s="147">
        <f>IF(t&lt;Tvie,1-EXP((T0-t)*PertePVj)+'2020'!Pspv,1-EXP((T0-t)*PertePVj)+Pspv)</f>
        <v>2.3730327657959682E-2</v>
      </c>
      <c r="M163" s="872"/>
      <c r="N163" s="872"/>
      <c r="O163" s="48">
        <f>IF(t&lt;Tnet,'2020'!Resal+('2020'!Salim-'2020'!Resal)*(1-EXP(('2020'!Tnet-t)/('2020'!Tau_j))),Resal+(Salim-Resal)*(1-EXP((Tnet-t)/(Tau_j))))*Salcycl</f>
        <v>4.1364238805718302E-2</v>
      </c>
      <c r="P163" s="171">
        <f>(INDEX(Models!$BJ163:$BT163,,T163)*(1-R163)+INDEX(Models!$BJ163:$BT163,,T163+1)*R163-ERP_i)*Q163*Ramure*Pc/MaxiM</f>
        <v>2.3819398688718877E-4</v>
      </c>
      <c r="Q163" s="307">
        <f t="shared" si="51"/>
        <v>0.9</v>
      </c>
      <c r="R163" s="179">
        <f t="shared" si="52"/>
        <v>0.52690819744453488</v>
      </c>
      <c r="S163" s="839">
        <f t="shared" si="53"/>
        <v>-1</v>
      </c>
      <c r="T163" s="178">
        <f t="shared" si="54"/>
        <v>5</v>
      </c>
      <c r="U163" s="253">
        <f t="shared" si="55"/>
        <v>-0.47309180255546507</v>
      </c>
      <c r="V163" s="385">
        <f t="shared" si="56"/>
        <v>60.204925015996999</v>
      </c>
      <c r="W163" s="404"/>
      <c r="X163" s="157">
        <f t="shared" si="57"/>
        <v>44345</v>
      </c>
      <c r="Y163" s="387">
        <f t="shared" si="58"/>
        <v>34.449829168454876</v>
      </c>
      <c r="Z163" s="387">
        <f t="shared" si="59"/>
        <v>35.287206132103663</v>
      </c>
      <c r="AA163" s="388">
        <f t="shared" si="60"/>
        <v>40.868180841450446</v>
      </c>
      <c r="AB163" s="199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0.1365603898788246</v>
      </c>
      <c r="AD163" s="233">
        <f>(INDEX(Models!$BJ163:$BT163,,AH163)*(1-AF163)+INDEX(Models!$BJ163:$BT163,,AH163+1)*AF163-ERP_i)*AE163*Ramure*Pc/MaxiM</f>
        <v>2.3819398688718877E-4</v>
      </c>
      <c r="AE163" s="307">
        <f t="shared" si="62"/>
        <v>0.9</v>
      </c>
      <c r="AF163" s="179">
        <f t="shared" si="63"/>
        <v>0.52690819744453488</v>
      </c>
      <c r="AG163" s="839">
        <f t="shared" si="71"/>
        <v>-1</v>
      </c>
      <c r="AH163" s="178">
        <f t="shared" si="64"/>
        <v>5</v>
      </c>
      <c r="AI163" s="227">
        <f t="shared" si="65"/>
        <v>-0.47309180255546507</v>
      </c>
      <c r="AJ163" s="267" t="b">
        <f t="shared" si="66"/>
        <v>0</v>
      </c>
      <c r="AK163" s="267" t="b">
        <f t="shared" si="67"/>
        <v>0</v>
      </c>
      <c r="AL163" s="267"/>
      <c r="AM163" s="267"/>
      <c r="AN163" s="75"/>
    </row>
    <row r="164" spans="1:40" s="6" customFormat="1" ht="11.25" x14ac:dyDescent="0.2">
      <c r="A164" s="56">
        <f t="shared" si="68"/>
        <v>44346</v>
      </c>
      <c r="B164" s="620">
        <v>49.085999999999999</v>
      </c>
      <c r="C164" s="392"/>
      <c r="D164" s="395">
        <f t="shared" si="48"/>
        <v>50.280310574183048</v>
      </c>
      <c r="E164" s="387">
        <f t="shared" si="69"/>
        <v>52.472369084741032</v>
      </c>
      <c r="F164" s="387">
        <f t="shared" si="49"/>
        <v>52.480923450927868</v>
      </c>
      <c r="G164" s="110">
        <f t="shared" si="70"/>
        <v>0.81521913409373059</v>
      </c>
      <c r="H164" s="416" t="b">
        <f>Wh_hp&gt;='2020'!Maxi_hp</f>
        <v>0</v>
      </c>
      <c r="I164" s="382">
        <f>IF(H164,Wh_hp,'2020'!Maxi_hp)</f>
        <v>63.612298063151371</v>
      </c>
      <c r="J164" s="85">
        <f>IF(H164,An,'2020'!An_max)</f>
        <v>2019</v>
      </c>
      <c r="K164" s="199">
        <f t="shared" si="50"/>
        <v>44346</v>
      </c>
      <c r="L164" s="147">
        <f>IF(t&lt;Tvie,1-EXP((T0-t)*PertePVj)+'2020'!Pspv,1-EXP((T0-t)*PertePVj)+Pspv)</f>
        <v>2.3753046879473327E-2</v>
      </c>
      <c r="M164" s="872"/>
      <c r="N164" s="872"/>
      <c r="O164" s="48">
        <f>IF(t&lt;Tnet,'2020'!Resal+('2020'!Salim-'2020'!Resal)*(1-EXP(('2020'!Tnet-t)/('2020'!Tau_j))),Resal+(Salim-Resal)*(1-EXP((Tnet-t)/(Tau_j))))*Salcycl</f>
        <v>4.1775482006880277E-2</v>
      </c>
      <c r="P164" s="171">
        <f>(INDEX(Models!$BJ164:$BT164,,T164)*(1-R164)+INDEX(Models!$BJ164:$BT164,,T164+1)*R164-ERP_i)*Q164*Ramure*Pc/MaxiM</f>
        <v>2.2143805648328681E-4</v>
      </c>
      <c r="Q164" s="307">
        <f t="shared" si="51"/>
        <v>0.9</v>
      </c>
      <c r="R164" s="179">
        <f t="shared" si="52"/>
        <v>0.5327528566511065</v>
      </c>
      <c r="S164" s="839">
        <f t="shared" si="53"/>
        <v>-1</v>
      </c>
      <c r="T164" s="178">
        <f t="shared" si="54"/>
        <v>5</v>
      </c>
      <c r="U164" s="253">
        <f t="shared" si="55"/>
        <v>-0.4672471433488935</v>
      </c>
      <c r="V164" s="385">
        <f t="shared" si="56"/>
        <v>60.2085120017707</v>
      </c>
      <c r="W164" s="404"/>
      <c r="X164" s="157">
        <f t="shared" si="57"/>
        <v>44346</v>
      </c>
      <c r="Y164" s="387">
        <f t="shared" si="58"/>
        <v>44.21819551478923</v>
      </c>
      <c r="Z164" s="387">
        <f t="shared" si="59"/>
        <v>45.29406762648312</v>
      </c>
      <c r="AA164" s="388">
        <f t="shared" si="60"/>
        <v>52.472369084741032</v>
      </c>
      <c r="AB164" s="199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0.13680155067260646</v>
      </c>
      <c r="AD164" s="233">
        <f>(INDEX(Models!$BJ164:$BT164,,AH164)*(1-AF164)+INDEX(Models!$BJ164:$BT164,,AH164+1)*AF164-ERP_i)*AE164*Ramure*Pc/MaxiM</f>
        <v>2.2143805648328681E-4</v>
      </c>
      <c r="AE164" s="307">
        <f t="shared" si="62"/>
        <v>0.9</v>
      </c>
      <c r="AF164" s="179">
        <f t="shared" si="63"/>
        <v>0.5327528566511065</v>
      </c>
      <c r="AG164" s="839">
        <f t="shared" si="71"/>
        <v>-1</v>
      </c>
      <c r="AH164" s="178">
        <f t="shared" si="64"/>
        <v>5</v>
      </c>
      <c r="AI164" s="227">
        <f t="shared" si="65"/>
        <v>-0.4672471433488935</v>
      </c>
      <c r="AJ164" s="267" t="b">
        <f t="shared" si="66"/>
        <v>0</v>
      </c>
      <c r="AK164" s="267" t="b">
        <f t="shared" si="67"/>
        <v>0</v>
      </c>
      <c r="AL164" s="267"/>
      <c r="AM164" s="267"/>
      <c r="AN164" s="75"/>
    </row>
    <row r="165" spans="1:40" s="6" customFormat="1" ht="11.25" x14ac:dyDescent="0.2">
      <c r="A165" s="56">
        <f t="shared" si="68"/>
        <v>44347</v>
      </c>
      <c r="B165" s="620">
        <v>55.582999999999998</v>
      </c>
      <c r="C165" s="392"/>
      <c r="D165" s="395">
        <f t="shared" si="48"/>
        <v>56.936713963655691</v>
      </c>
      <c r="E165" s="387">
        <f t="shared" si="69"/>
        <v>59.444446333641807</v>
      </c>
      <c r="F165" s="387">
        <f t="shared" si="49"/>
        <v>59.455350800812774</v>
      </c>
      <c r="G165" s="110">
        <f t="shared" si="70"/>
        <v>0.9231762681058463</v>
      </c>
      <c r="H165" s="416" t="b">
        <f>Wh_hp&gt;='2020'!Maxi_hp</f>
        <v>0</v>
      </c>
      <c r="I165" s="382">
        <f>IF(H165,Wh_hp,'2020'!Maxi_hp)</f>
        <v>64.631023417183059</v>
      </c>
      <c r="J165" s="85">
        <f>IF(H165,An,'2020'!An_max)</f>
        <v>2019</v>
      </c>
      <c r="K165" s="199">
        <f t="shared" si="50"/>
        <v>44347</v>
      </c>
      <c r="L165" s="147">
        <f>IF(t&lt;Tvie,1-EXP((T0-t)*PertePVj)+'2020'!Pspv,1-EXP((T0-t)*PertePVj)+Pspv)</f>
        <v>2.3775765572277452E-2</v>
      </c>
      <c r="M165" s="872"/>
      <c r="N165" s="872"/>
      <c r="O165" s="48">
        <f>IF(t&lt;Tnet,'2020'!Resal+('2020'!Salim-'2020'!Resal)*(1-EXP(('2020'!Tnet-t)/('2020'!Tau_j))),Resal+(Salim-Resal)*(1-EXP((Tnet-t)/(Tau_j))))*Salcycl</f>
        <v>4.2186150677744595E-2</v>
      </c>
      <c r="P165" s="171">
        <f>(INDEX(Models!$BJ165:$BT165,,T165)*(1-R165)+INDEX(Models!$BJ165:$BT165,,T165+1)*R165-ERP_i)*Q165*Ramure*Pc/MaxiM</f>
        <v>2.0600895191543963E-4</v>
      </c>
      <c r="Q165" s="307">
        <f t="shared" si="51"/>
        <v>0.9</v>
      </c>
      <c r="R165" s="179">
        <f t="shared" si="52"/>
        <v>0.53865113703037859</v>
      </c>
      <c r="S165" s="839">
        <f t="shared" si="53"/>
        <v>-1</v>
      </c>
      <c r="T165" s="178">
        <f t="shared" si="54"/>
        <v>5</v>
      </c>
      <c r="U165" s="253">
        <f t="shared" si="55"/>
        <v>-0.46134886296962141</v>
      </c>
      <c r="V165" s="385">
        <f t="shared" si="56"/>
        <v>60.207075668076847</v>
      </c>
      <c r="W165" s="404"/>
      <c r="X165" s="157">
        <f t="shared" si="57"/>
        <v>44347</v>
      </c>
      <c r="Y165" s="387">
        <f t="shared" si="58"/>
        <v>50.078423631604352</v>
      </c>
      <c r="Z165" s="387">
        <f t="shared" si="59"/>
        <v>51.298074628275423</v>
      </c>
      <c r="AA165" s="388">
        <f t="shared" si="60"/>
        <v>59.444446333641807</v>
      </c>
      <c r="AB165" s="199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0.13704176265085416</v>
      </c>
      <c r="AD165" s="233">
        <f>(INDEX(Models!$BJ165:$BT165,,AH165)*(1-AF165)+INDEX(Models!$BJ165:$BT165,,AH165+1)*AF165-ERP_i)*AE165*Ramure*Pc/MaxiM</f>
        <v>2.0600895191543963E-4</v>
      </c>
      <c r="AE165" s="307">
        <f t="shared" si="62"/>
        <v>0.9</v>
      </c>
      <c r="AF165" s="179">
        <f t="shared" si="63"/>
        <v>0.53865113703037859</v>
      </c>
      <c r="AG165" s="839">
        <f t="shared" si="71"/>
        <v>-1</v>
      </c>
      <c r="AH165" s="178">
        <f t="shared" si="64"/>
        <v>5</v>
      </c>
      <c r="AI165" s="227">
        <f t="shared" si="65"/>
        <v>-0.46134886296962141</v>
      </c>
      <c r="AJ165" s="267" t="b">
        <f t="shared" si="66"/>
        <v>0</v>
      </c>
      <c r="AK165" s="267" t="b">
        <f t="shared" si="67"/>
        <v>0</v>
      </c>
      <c r="AL165" s="267"/>
      <c r="AM165" s="267"/>
      <c r="AN165" s="75"/>
    </row>
    <row r="166" spans="1:40" s="6" customFormat="1" ht="11.25" x14ac:dyDescent="0.2">
      <c r="A166" s="56">
        <f t="shared" si="68"/>
        <v>44348</v>
      </c>
      <c r="B166" s="620">
        <v>33.552</v>
      </c>
      <c r="C166" s="392"/>
      <c r="D166" s="395">
        <f t="shared" si="48"/>
        <v>34.369952761822532</v>
      </c>
      <c r="E166" s="387">
        <f t="shared" si="69"/>
        <v>35.899118351480396</v>
      </c>
      <c r="F166" s="387">
        <f t="shared" si="49"/>
        <v>35.901651237564444</v>
      </c>
      <c r="G166" s="110">
        <f t="shared" si="70"/>
        <v>0.55726681818459523</v>
      </c>
      <c r="H166" s="416" t="b">
        <f>Wh_hp&gt;='2020'!Maxi_hp</f>
        <v>0</v>
      </c>
      <c r="I166" s="382">
        <f>IF(H166,Wh_hp,'2020'!Maxi_hp)</f>
        <v>65.060642777484958</v>
      </c>
      <c r="J166" s="85">
        <f>IF(H166,An,'2020'!An_max)</f>
        <v>2019</v>
      </c>
      <c r="K166" s="199">
        <f t="shared" si="50"/>
        <v>44348</v>
      </c>
      <c r="L166" s="147">
        <f>IF(t&lt;Tvie,1-EXP((T0-t)*PertePVj)+'2020'!Pspv,1-EXP((T0-t)*PertePVj)+Pspv)</f>
        <v>2.3798483736384379E-2</v>
      </c>
      <c r="M166" s="872"/>
      <c r="N166" s="872"/>
      <c r="O166" s="48">
        <f>IF(t&lt;Tnet,'2020'!Resal+('2020'!Salim-'2020'!Resal)*(1-EXP(('2020'!Tnet-t)/('2020'!Tau_j))),Resal+(Salim-Resal)*(1-EXP((Tnet-t)/(Tau_j))))*Salcycl</f>
        <v>4.2596187869744957E-2</v>
      </c>
      <c r="P166" s="171">
        <f>(INDEX(Models!$BJ166:$BT166,,T166)*(1-R166)+INDEX(Models!$BJ166:$BT166,,T166+1)*R166-ERP_i)*Q166*Ramure*Pc/MaxiM</f>
        <v>1.9191164341719269E-4</v>
      </c>
      <c r="Q166" s="307">
        <f t="shared" si="51"/>
        <v>0.9</v>
      </c>
      <c r="R166" s="179">
        <f t="shared" si="52"/>
        <v>0.54459873367486455</v>
      </c>
      <c r="S166" s="839">
        <f t="shared" si="53"/>
        <v>-1</v>
      </c>
      <c r="T166" s="178">
        <f t="shared" si="54"/>
        <v>5</v>
      </c>
      <c r="U166" s="253">
        <f t="shared" si="55"/>
        <v>-0.45540126632513539</v>
      </c>
      <c r="V166" s="385">
        <f t="shared" si="56"/>
        <v>60.200835066966832</v>
      </c>
      <c r="W166" s="404"/>
      <c r="X166" s="157">
        <f t="shared" si="57"/>
        <v>44348</v>
      </c>
      <c r="Y166" s="387">
        <f t="shared" si="58"/>
        <v>30.233796984742874</v>
      </c>
      <c r="Z166" s="387">
        <f t="shared" si="59"/>
        <v>30.970856407252775</v>
      </c>
      <c r="AA166" s="388">
        <f t="shared" si="60"/>
        <v>35.899118351480396</v>
      </c>
      <c r="AB166" s="199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0.13728086288850014</v>
      </c>
      <c r="AD166" s="233">
        <f>(INDEX(Models!$BJ166:$BT166,,AH166)*(1-AF166)+INDEX(Models!$BJ166:$BT166,,AH166+1)*AF166-ERP_i)*AE166*Ramure*Pc/MaxiM</f>
        <v>1.9191164341719269E-4</v>
      </c>
      <c r="AE166" s="307">
        <f t="shared" si="62"/>
        <v>0.9</v>
      </c>
      <c r="AF166" s="179">
        <f t="shared" si="63"/>
        <v>0.54459873367486455</v>
      </c>
      <c r="AG166" s="839">
        <f t="shared" si="71"/>
        <v>-1</v>
      </c>
      <c r="AH166" s="178">
        <f t="shared" si="64"/>
        <v>5</v>
      </c>
      <c r="AI166" s="227">
        <f t="shared" si="65"/>
        <v>-0.45540126632513539</v>
      </c>
      <c r="AJ166" s="267" t="b">
        <f t="shared" si="66"/>
        <v>0</v>
      </c>
      <c r="AK166" s="267" t="b">
        <f t="shared" si="67"/>
        <v>0</v>
      </c>
      <c r="AL166" s="267"/>
      <c r="AM166" s="267"/>
      <c r="AN166" s="75"/>
    </row>
    <row r="167" spans="1:40" s="6" customFormat="1" ht="11.25" x14ac:dyDescent="0.2">
      <c r="A167" s="56">
        <f t="shared" si="68"/>
        <v>44349</v>
      </c>
      <c r="B167" s="620">
        <v>37.823</v>
      </c>
      <c r="C167" s="392"/>
      <c r="D167" s="395">
        <f t="shared" si="48"/>
        <v>38.745975689240517</v>
      </c>
      <c r="E167" s="387">
        <f t="shared" si="69"/>
        <v>40.487147130530126</v>
      </c>
      <c r="F167" s="387">
        <f t="shared" si="49"/>
        <v>40.490550209579382</v>
      </c>
      <c r="G167" s="110">
        <f t="shared" si="70"/>
        <v>0.62833355877702368</v>
      </c>
      <c r="H167" s="416" t="b">
        <f>Wh_hp&gt;='2020'!Maxi_hp</f>
        <v>0</v>
      </c>
      <c r="I167" s="382">
        <f>IF(H167,Wh_hp,'2020'!Maxi_hp)</f>
        <v>63.821113384817394</v>
      </c>
      <c r="J167" s="85">
        <f>IF(H167,An,'2020'!An_max)</f>
        <v>2019</v>
      </c>
      <c r="K167" s="199">
        <f t="shared" si="50"/>
        <v>44349</v>
      </c>
      <c r="L167" s="147">
        <f>IF(t&lt;Tvie,1-EXP((T0-t)*PertePVj)+'2020'!Pspv,1-EXP((T0-t)*PertePVj)+Pspv)</f>
        <v>2.3821201371806433E-2</v>
      </c>
      <c r="M167" s="872"/>
      <c r="N167" s="872"/>
      <c r="O167" s="48">
        <f>IF(t&lt;Tnet,'2020'!Resal+('2020'!Salim-'2020'!Resal)*(1-EXP(('2020'!Tnet-t)/('2020'!Tau_j))),Resal+(Salim-Resal)*(1-EXP((Tnet-t)/(Tau_j))))*Salcycl</f>
        <v>4.3005535452426108E-2</v>
      </c>
      <c r="P167" s="171">
        <f>(INDEX(Models!$BJ167:$BT167,,T167)*(1-R167)+INDEX(Models!$BJ167:$BT167,,T167+1)*R167-ERP_i)*Q167*Ramure*Pc/MaxiM</f>
        <v>1.7915217063662288E-4</v>
      </c>
      <c r="Q167" s="307">
        <f t="shared" si="51"/>
        <v>0.9</v>
      </c>
      <c r="R167" s="179">
        <f t="shared" si="52"/>
        <v>0.55059118548905117</v>
      </c>
      <c r="S167" s="839">
        <f t="shared" si="53"/>
        <v>-1</v>
      </c>
      <c r="T167" s="178">
        <f t="shared" si="54"/>
        <v>5</v>
      </c>
      <c r="U167" s="253">
        <f t="shared" si="55"/>
        <v>-0.44940881451094883</v>
      </c>
      <c r="V167" s="385">
        <f t="shared" si="56"/>
        <v>60.190008918436746</v>
      </c>
      <c r="W167" s="404"/>
      <c r="X167" s="157">
        <f t="shared" si="57"/>
        <v>44349</v>
      </c>
      <c r="Y167" s="387">
        <f t="shared" si="58"/>
        <v>34.087585469338514</v>
      </c>
      <c r="Z167" s="387">
        <f t="shared" si="59"/>
        <v>34.919407712235895</v>
      </c>
      <c r="AA167" s="388">
        <f t="shared" si="60"/>
        <v>40.487147130530126</v>
      </c>
      <c r="AB167" s="199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0.13751868958175539</v>
      </c>
      <c r="AD167" s="233">
        <f>(INDEX(Models!$BJ167:$BT167,,AH167)*(1-AF167)+INDEX(Models!$BJ167:$BT167,,AH167+1)*AF167-ERP_i)*AE167*Ramure*Pc/MaxiM</f>
        <v>1.7915217063662288E-4</v>
      </c>
      <c r="AE167" s="307">
        <f t="shared" si="62"/>
        <v>0.9</v>
      </c>
      <c r="AF167" s="179">
        <f t="shared" si="63"/>
        <v>0.55059118548905117</v>
      </c>
      <c r="AG167" s="839">
        <f t="shared" si="71"/>
        <v>-1</v>
      </c>
      <c r="AH167" s="178">
        <f t="shared" si="64"/>
        <v>5</v>
      </c>
      <c r="AI167" s="227">
        <f t="shared" si="65"/>
        <v>-0.44940881451094883</v>
      </c>
      <c r="AJ167" s="267" t="b">
        <f t="shared" si="66"/>
        <v>0</v>
      </c>
      <c r="AK167" s="267" t="b">
        <f t="shared" si="67"/>
        <v>0</v>
      </c>
      <c r="AL167" s="267"/>
      <c r="AM167" s="267"/>
      <c r="AN167" s="75"/>
    </row>
    <row r="168" spans="1:40" s="6" customFormat="1" ht="11.25" x14ac:dyDescent="0.2">
      <c r="A168" s="56">
        <f t="shared" si="68"/>
        <v>44350</v>
      </c>
      <c r="B168" s="620">
        <v>49.435000000000002</v>
      </c>
      <c r="C168" s="392"/>
      <c r="D168" s="395">
        <f t="shared" si="48"/>
        <v>50.642516023616075</v>
      </c>
      <c r="E168" s="387">
        <f t="shared" si="69"/>
        <v>52.940899339461168</v>
      </c>
      <c r="F168" s="387">
        <f t="shared" si="49"/>
        <v>52.947516192306189</v>
      </c>
      <c r="G168" s="110">
        <f t="shared" si="70"/>
        <v>0.82148794365519284</v>
      </c>
      <c r="H168" s="416" t="b">
        <f>Wh_hp&gt;='2020'!Maxi_hp</f>
        <v>0</v>
      </c>
      <c r="I168" s="382">
        <f>IF(H168,Wh_hp,'2020'!Maxi_hp)</f>
        <v>59.795155783954719</v>
      </c>
      <c r="J168" s="85">
        <f>IF(H168,An,'2020'!An_max)</f>
        <v>2020</v>
      </c>
      <c r="K168" s="199">
        <f t="shared" si="50"/>
        <v>44350</v>
      </c>
      <c r="L168" s="147">
        <f>IF(t&lt;Tvie,1-EXP((T0-t)*PertePVj)+'2020'!Pspv,1-EXP((T0-t)*PertePVj)+Pspv)</f>
        <v>2.3843918478556048E-2</v>
      </c>
      <c r="M168" s="872"/>
      <c r="N168" s="872"/>
      <c r="O168" s="48">
        <f>IF(t&lt;Tnet,'2020'!Resal+('2020'!Salim-'2020'!Resal)*(1-EXP(('2020'!Tnet-t)/('2020'!Tau_j))),Resal+(Salim-Resal)*(1-EXP((Tnet-t)/(Tau_j))))*Salcycl</f>
        <v>4.3414134337002502E-2</v>
      </c>
      <c r="P168" s="171">
        <f>(INDEX(Models!$BJ168:$BT168,,T168)*(1-R168)+INDEX(Models!$BJ168:$BT168,,T168+1)*R168-ERP_i)*Q168*Ramure*Pc/MaxiM</f>
        <v>1.6773758633435666E-4</v>
      </c>
      <c r="Q168" s="307">
        <f t="shared" si="51"/>
        <v>0.9</v>
      </c>
      <c r="R168" s="179">
        <f t="shared" si="52"/>
        <v>0.55662388758846837</v>
      </c>
      <c r="S168" s="839">
        <f t="shared" si="53"/>
        <v>-1</v>
      </c>
      <c r="T168" s="178">
        <f t="shared" si="54"/>
        <v>5</v>
      </c>
      <c r="U168" s="253">
        <f t="shared" si="55"/>
        <v>-0.44337611241153158</v>
      </c>
      <c r="V168" s="385">
        <f t="shared" si="56"/>
        <v>60.174815593523142</v>
      </c>
      <c r="W168" s="404"/>
      <c r="X168" s="157">
        <f t="shared" si="57"/>
        <v>44350</v>
      </c>
      <c r="Y168" s="387">
        <f t="shared" si="58"/>
        <v>44.559593674423503</v>
      </c>
      <c r="Z168" s="387">
        <f t="shared" si="59"/>
        <v>45.648021374791412</v>
      </c>
      <c r="AA168" s="388">
        <f t="shared" si="60"/>
        <v>52.940899339461168</v>
      </c>
      <c r="AB168" s="199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0.13775508266127581</v>
      </c>
      <c r="AD168" s="233">
        <f>(INDEX(Models!$BJ168:$BT168,,AH168)*(1-AF168)+INDEX(Models!$BJ168:$BT168,,AH168+1)*AF168-ERP_i)*AE168*Ramure*Pc/MaxiM</f>
        <v>1.6773758633435666E-4</v>
      </c>
      <c r="AE168" s="307">
        <f t="shared" si="62"/>
        <v>0.9</v>
      </c>
      <c r="AF168" s="179">
        <f t="shared" si="63"/>
        <v>0.55662388758846837</v>
      </c>
      <c r="AG168" s="839">
        <f t="shared" si="71"/>
        <v>-1</v>
      </c>
      <c r="AH168" s="178">
        <f t="shared" si="64"/>
        <v>5</v>
      </c>
      <c r="AI168" s="227">
        <f t="shared" si="65"/>
        <v>-0.44337611241153158</v>
      </c>
      <c r="AJ168" s="267" t="b">
        <f t="shared" si="66"/>
        <v>0</v>
      </c>
      <c r="AK168" s="267" t="b">
        <f t="shared" si="67"/>
        <v>0</v>
      </c>
      <c r="AL168" s="267"/>
      <c r="AM168" s="267"/>
      <c r="AN168" s="75"/>
    </row>
    <row r="169" spans="1:40" s="18" customFormat="1" ht="11.25" x14ac:dyDescent="0.2">
      <c r="A169" s="56">
        <f t="shared" si="68"/>
        <v>44351</v>
      </c>
      <c r="B169" s="620">
        <v>10.468999999999999</v>
      </c>
      <c r="C169" s="392"/>
      <c r="D169" s="395">
        <f t="shared" si="48"/>
        <v>10.724968919188125</v>
      </c>
      <c r="E169" s="387">
        <f t="shared" si="69"/>
        <v>11.216497424840929</v>
      </c>
      <c r="F169" s="387">
        <f t="shared" si="49"/>
        <v>11.216497424840929</v>
      </c>
      <c r="G169" s="110">
        <f t="shared" si="70"/>
        <v>0.17400493671800818</v>
      </c>
      <c r="H169" s="416" t="b">
        <f>Wh_hp&gt;='2020'!Maxi_hp</f>
        <v>0</v>
      </c>
      <c r="I169" s="382">
        <f>IF(H169,Wh_hp,'2020'!Maxi_hp)</f>
        <v>57.885419490334492</v>
      </c>
      <c r="J169" s="85">
        <f>IF(H169,An,'2020'!An_max)</f>
        <v>2019</v>
      </c>
      <c r="K169" s="199">
        <f t="shared" si="50"/>
        <v>44351</v>
      </c>
      <c r="L169" s="147">
        <f>IF(t&lt;Tvie,1-EXP((T0-t)*PertePVj)+'2020'!Pspv,1-EXP((T0-t)*PertePVj)+Pspv)</f>
        <v>2.3866635056645213E-2</v>
      </c>
      <c r="M169" s="872"/>
      <c r="N169" s="872"/>
      <c r="O169" s="48">
        <f>IF(t&lt;Tnet,'2020'!Resal+('2020'!Salim-'2020'!Resal)*(1-EXP(('2020'!Tnet-t)/('2020'!Tau_j))),Resal+(Salim-Resal)*(1-EXP((Tnet-t)/(Tau_j))))*Salcycl</f>
        <v>4.3821924709243669E-2</v>
      </c>
      <c r="P169" s="171">
        <f>(INDEX(Models!$BJ169:$BT169,,T169)*(1-R169)+INDEX(Models!$BJ169:$BT169,,T169+1)*R169-ERP_i)*Q169*Ramure*Pc/MaxiM</f>
        <v>1.5767589871659631E-4</v>
      </c>
      <c r="Q169" s="307">
        <f t="shared" si="51"/>
        <v>0.9</v>
      </c>
      <c r="R169" s="179">
        <f t="shared" si="52"/>
        <v>0.5626921046586969</v>
      </c>
      <c r="S169" s="839">
        <f t="shared" si="53"/>
        <v>-1</v>
      </c>
      <c r="T169" s="178">
        <f t="shared" si="54"/>
        <v>5</v>
      </c>
      <c r="U169" s="253">
        <f t="shared" si="55"/>
        <v>-0.4373078953413031</v>
      </c>
      <c r="V169" s="385">
        <f t="shared" si="56"/>
        <v>60.155473105798627</v>
      </c>
      <c r="W169" s="404"/>
      <c r="X169" s="157">
        <f t="shared" si="57"/>
        <v>44351</v>
      </c>
      <c r="Y169" s="387">
        <f t="shared" si="58"/>
        <v>9.4379740901194964</v>
      </c>
      <c r="Z169" s="387">
        <f t="shared" si="59"/>
        <v>9.6687342417264706</v>
      </c>
      <c r="AA169" s="388">
        <f t="shared" si="60"/>
        <v>11.216497424840929</v>
      </c>
      <c r="AB169" s="199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0.13798988440782434</v>
      </c>
      <c r="AD169" s="233">
        <f>(INDEX(Models!$BJ169:$BT169,,AH169)*(1-AF169)+INDEX(Models!$BJ169:$BT169,,AH169+1)*AF169-ERP_i)*AE169*Ramure*Pc/MaxiM</f>
        <v>1.5767589871659631E-4</v>
      </c>
      <c r="AE169" s="307">
        <f t="shared" si="62"/>
        <v>0.9</v>
      </c>
      <c r="AF169" s="179">
        <f t="shared" si="63"/>
        <v>0.5626921046586969</v>
      </c>
      <c r="AG169" s="839">
        <f t="shared" si="71"/>
        <v>-1</v>
      </c>
      <c r="AH169" s="178">
        <f t="shared" si="64"/>
        <v>5</v>
      </c>
      <c r="AI169" s="227">
        <f t="shared" si="65"/>
        <v>-0.4373078953413031</v>
      </c>
      <c r="AJ169" s="267" t="b">
        <f t="shared" si="66"/>
        <v>0</v>
      </c>
      <c r="AK169" s="267" t="b">
        <f t="shared" si="67"/>
        <v>0</v>
      </c>
      <c r="AL169" s="267"/>
      <c r="AM169" s="267"/>
      <c r="AN169" s="267"/>
    </row>
    <row r="170" spans="1:40" s="18" customFormat="1" ht="11.25" x14ac:dyDescent="0.2">
      <c r="A170" s="56">
        <f t="shared" si="68"/>
        <v>44352</v>
      </c>
      <c r="B170" s="620">
        <v>44.358000000000004</v>
      </c>
      <c r="C170" s="392"/>
      <c r="D170" s="395">
        <f t="shared" si="48"/>
        <v>45.443618559294052</v>
      </c>
      <c r="E170" s="387">
        <f t="shared" ref="E170:E232" si="72">Wh_pvt/(1-Psa)</f>
        <v>47.546547499326593</v>
      </c>
      <c r="F170" s="387">
        <f t="shared" si="49"/>
        <v>47.550981784469194</v>
      </c>
      <c r="G170" s="110">
        <f t="shared" ref="G170:G232" si="73">+Wh_hp/MaxiM</f>
        <v>0.73763355890797111</v>
      </c>
      <c r="H170" s="416" t="b">
        <f>Wh_hp&gt;='2020'!Maxi_hp</f>
        <v>1</v>
      </c>
      <c r="I170" s="382">
        <f>IF(H170,Wh_hp,'2020'!Maxi_hp)</f>
        <v>47.550981784469194</v>
      </c>
      <c r="J170" s="85">
        <f>IF(H170,An,'2020'!An_max)</f>
        <v>2021</v>
      </c>
      <c r="K170" s="199">
        <f t="shared" si="50"/>
        <v>44352</v>
      </c>
      <c r="L170" s="147">
        <f>IF(t&lt;Tvie,1-EXP((T0-t)*PertePVj)+'2020'!Pspv,1-EXP((T0-t)*PertePVj)+Pspv)</f>
        <v>2.3889351106086587E-2</v>
      </c>
      <c r="M170" s="872"/>
      <c r="N170" s="872"/>
      <c r="O170" s="48">
        <f>IF(t&lt;Tnet,'2020'!Resal+('2020'!Salim-'2020'!Resal)*(1-EXP(('2020'!Tnet-t)/('2020'!Tau_j))),Resal+(Salim-Resal)*(1-EXP((Tnet-t)/(Tau_j))))*Salcycl</f>
        <v>4.4228846270327499E-2</v>
      </c>
      <c r="P170" s="171">
        <f>(INDEX(Models!$BJ170:$BT170,,T170)*(1-R170)+INDEX(Models!$BJ170:$BT170,,T170+1)*R170-ERP_i)*Q170*Ramure*Pc/MaxiM</f>
        <v>1.4914566442057433E-4</v>
      </c>
      <c r="Q170" s="307">
        <f t="shared" si="51"/>
        <v>0.9</v>
      </c>
      <c r="R170" s="179">
        <f t="shared" si="52"/>
        <v>0.56879098519832616</v>
      </c>
      <c r="S170" s="839">
        <f t="shared" si="53"/>
        <v>-1</v>
      </c>
      <c r="T170" s="178">
        <f t="shared" si="54"/>
        <v>5</v>
      </c>
      <c r="U170" s="253">
        <f t="shared" si="55"/>
        <v>-0.43120901480167384</v>
      </c>
      <c r="V170" s="385">
        <f t="shared" si="56"/>
        <v>60.132188888167704</v>
      </c>
      <c r="W170" s="404"/>
      <c r="X170" s="157">
        <f t="shared" si="57"/>
        <v>44352</v>
      </c>
      <c r="Y170" s="387">
        <f t="shared" si="58"/>
        <v>39.995669125774874</v>
      </c>
      <c r="Z170" s="387">
        <f t="shared" si="59"/>
        <v>40.974523913960212</v>
      </c>
      <c r="AA170" s="388">
        <f t="shared" si="60"/>
        <v>47.546547499326593</v>
      </c>
      <c r="AB170" s="199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0.13822294006645716</v>
      </c>
      <c r="AD170" s="233">
        <f>(INDEX(Models!$BJ170:$BT170,,AH170)*(1-AF170)+INDEX(Models!$BJ170:$BT170,,AH170+1)*AF170-ERP_i)*AE170*Ramure*Pc/MaxiM</f>
        <v>1.4914566442057433E-4</v>
      </c>
      <c r="AE170" s="307">
        <f t="shared" si="62"/>
        <v>0.9</v>
      </c>
      <c r="AF170" s="179">
        <f t="shared" si="63"/>
        <v>0.56879098519832616</v>
      </c>
      <c r="AG170" s="839">
        <f t="shared" si="71"/>
        <v>-1</v>
      </c>
      <c r="AH170" s="178">
        <f t="shared" si="64"/>
        <v>5</v>
      </c>
      <c r="AI170" s="227">
        <f t="shared" si="65"/>
        <v>-0.43120901480167384</v>
      </c>
      <c r="AJ170" s="267" t="b">
        <f t="shared" si="66"/>
        <v>0</v>
      </c>
      <c r="AK170" s="267" t="b">
        <f t="shared" si="67"/>
        <v>0</v>
      </c>
      <c r="AL170" s="267"/>
      <c r="AM170" s="267"/>
      <c r="AN170" s="267"/>
    </row>
    <row r="171" spans="1:40" s="6" customFormat="1" ht="11.25" x14ac:dyDescent="0.2">
      <c r="A171" s="56">
        <f t="shared" si="68"/>
        <v>44353</v>
      </c>
      <c r="B171" s="620">
        <v>45.085000000000001</v>
      </c>
      <c r="C171" s="392"/>
      <c r="D171" s="395">
        <f t="shared" si="48"/>
        <v>46.18948606832776</v>
      </c>
      <c r="E171" s="387">
        <f t="shared" si="72"/>
        <v>48.34746746997007</v>
      </c>
      <c r="F171" s="387">
        <f t="shared" si="49"/>
        <v>48.351865175333586</v>
      </c>
      <c r="G171" s="110">
        <f t="shared" si="73"/>
        <v>0.75006332376469687</v>
      </c>
      <c r="H171" s="416" t="b">
        <f>Wh_hp&gt;='2020'!Maxi_hp</f>
        <v>0</v>
      </c>
      <c r="I171" s="382">
        <f>IF(H171,Wh_hp,'2020'!Maxi_hp)</f>
        <v>63.625581606461907</v>
      </c>
      <c r="J171" s="85">
        <f>IF(H171,An,'2020'!An_max)</f>
        <v>2019</v>
      </c>
      <c r="K171" s="199">
        <f t="shared" si="50"/>
        <v>44353</v>
      </c>
      <c r="L171" s="147">
        <f>IF(t&lt;Tvie,1-EXP((T0-t)*PertePVj)+'2020'!Pspv,1-EXP((T0-t)*PertePVj)+Pspv)</f>
        <v>2.3912066626892159E-2</v>
      </c>
      <c r="M171" s="872"/>
      <c r="N171" s="872"/>
      <c r="O171" s="48">
        <f>IF(t&lt;Tnet,'2020'!Resal+('2020'!Salim-'2020'!Resal)*(1-EXP(('2020'!Tnet-t)/('2020'!Tau_j))),Resal+(Salim-Resal)*(1-EXP((Tnet-t)/(Tau_j))))*Salcycl</f>
        <v>4.4634838484201723E-2</v>
      </c>
      <c r="P171" s="171">
        <f>(INDEX(Models!$BJ171:$BT171,,T171)*(1-R171)+INDEX(Models!$BJ171:$BT171,,T171+1)*R171-ERP_i)*Q171*Ramure*Pc/MaxiM</f>
        <v>1.4144928671227586E-4</v>
      </c>
      <c r="Q171" s="307">
        <f t="shared" si="51"/>
        <v>0.9</v>
      </c>
      <c r="R171" s="179">
        <f t="shared" si="52"/>
        <v>0.57491557655977998</v>
      </c>
      <c r="S171" s="839">
        <f t="shared" si="53"/>
        <v>-1</v>
      </c>
      <c r="T171" s="178">
        <f t="shared" si="54"/>
        <v>5</v>
      </c>
      <c r="U171" s="253">
        <f t="shared" si="55"/>
        <v>-0.42508442344022007</v>
      </c>
      <c r="V171" s="385">
        <f t="shared" si="56"/>
        <v>60.105222719790866</v>
      </c>
      <c r="W171" s="404"/>
      <c r="X171" s="157">
        <f t="shared" si="57"/>
        <v>44353</v>
      </c>
      <c r="Y171" s="387">
        <f t="shared" si="58"/>
        <v>40.657539688300453</v>
      </c>
      <c r="Z171" s="387">
        <f t="shared" si="59"/>
        <v>41.653562448824147</v>
      </c>
      <c r="AA171" s="388">
        <f t="shared" si="60"/>
        <v>48.34746746997007</v>
      </c>
      <c r="AB171" s="199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0.1384540984551815</v>
      </c>
      <c r="AD171" s="233">
        <f>(INDEX(Models!$BJ171:$BT171,,AH171)*(1-AF171)+INDEX(Models!$BJ171:$BT171,,AH171+1)*AF171-ERP_i)*AE171*Ramure*Pc/MaxiM</f>
        <v>1.4144928671227586E-4</v>
      </c>
      <c r="AE171" s="307">
        <f t="shared" si="62"/>
        <v>0.9</v>
      </c>
      <c r="AF171" s="179">
        <f t="shared" si="63"/>
        <v>0.57491557655977998</v>
      </c>
      <c r="AG171" s="839">
        <f t="shared" si="71"/>
        <v>-1</v>
      </c>
      <c r="AH171" s="178">
        <f t="shared" si="64"/>
        <v>5</v>
      </c>
      <c r="AI171" s="227">
        <f t="shared" si="65"/>
        <v>-0.42508442344022007</v>
      </c>
      <c r="AJ171" s="267" t="b">
        <f t="shared" si="66"/>
        <v>0</v>
      </c>
      <c r="AK171" s="267" t="b">
        <f t="shared" si="67"/>
        <v>0</v>
      </c>
      <c r="AL171" s="267"/>
      <c r="AM171" s="267"/>
      <c r="AN171" s="75"/>
    </row>
    <row r="172" spans="1:40" s="6" customFormat="1" ht="11.25" x14ac:dyDescent="0.2">
      <c r="A172" s="56">
        <f t="shared" si="68"/>
        <v>44354</v>
      </c>
      <c r="B172" s="620">
        <v>53.442999999999998</v>
      </c>
      <c r="C172" s="392"/>
      <c r="D172" s="395">
        <f t="shared" si="48"/>
        <v>54.753513385765366</v>
      </c>
      <c r="E172" s="387">
        <f t="shared" si="72"/>
        <v>57.335913817963629</v>
      </c>
      <c r="F172" s="387">
        <f t="shared" si="49"/>
        <v>57.342414657537475</v>
      </c>
      <c r="G172" s="110">
        <f t="shared" si="73"/>
        <v>0.88958886279537408</v>
      </c>
      <c r="H172" s="416" t="b">
        <f>Wh_hp&gt;='2020'!Maxi_hp</f>
        <v>1</v>
      </c>
      <c r="I172" s="382">
        <f>IF(H172,Wh_hp,'2020'!Maxi_hp)</f>
        <v>57.342414657537475</v>
      </c>
      <c r="J172" s="85">
        <f>IF(H172,An,'2020'!An_max)</f>
        <v>2021</v>
      </c>
      <c r="K172" s="199">
        <f t="shared" si="50"/>
        <v>44354</v>
      </c>
      <c r="L172" s="147">
        <f>IF(t&lt;Tvie,1-EXP((T0-t)*PertePVj)+'2020'!Pspv,1-EXP((T0-t)*PertePVj)+Pspv)</f>
        <v>2.3934781619074474E-2</v>
      </c>
      <c r="M172" s="872"/>
      <c r="N172" s="872"/>
      <c r="O172" s="48">
        <f>IF(t&lt;Tnet,'2020'!Resal+('2020'!Salim-'2020'!Resal)*(1-EXP(('2020'!Tnet-t)/('2020'!Tau_j))),Resal+(Salim-Resal)*(1-EXP((Tnet-t)/(Tau_j))))*Salcycl</f>
        <v>4.5039840829905586E-2</v>
      </c>
      <c r="P172" s="171">
        <f>(INDEX(Models!$BJ172:$BT172,,T172)*(1-R172)+INDEX(Models!$BJ172:$BT172,,T172+1)*R172-ERP_i)*Q172*Ramure*Pc/MaxiM</f>
        <v>1.3459481507360676E-4</v>
      </c>
      <c r="Q172" s="307">
        <f t="shared" si="51"/>
        <v>0.9</v>
      </c>
      <c r="R172" s="179">
        <f t="shared" si="52"/>
        <v>0.5810608406926363</v>
      </c>
      <c r="S172" s="839">
        <f t="shared" si="53"/>
        <v>-1</v>
      </c>
      <c r="T172" s="178">
        <f t="shared" si="54"/>
        <v>5</v>
      </c>
      <c r="U172" s="253">
        <f t="shared" si="55"/>
        <v>-0.41893915930736364</v>
      </c>
      <c r="V172" s="385">
        <f t="shared" si="56"/>
        <v>60.07479153958937</v>
      </c>
      <c r="W172" s="404"/>
      <c r="X172" s="157">
        <f t="shared" si="57"/>
        <v>44354</v>
      </c>
      <c r="Y172" s="387">
        <f t="shared" si="58"/>
        <v>48.202380621769599</v>
      </c>
      <c r="Z172" s="387">
        <f t="shared" si="59"/>
        <v>49.384385094396251</v>
      </c>
      <c r="AA172" s="388">
        <f t="shared" si="60"/>
        <v>57.335913817963629</v>
      </c>
      <c r="AB172" s="199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0.13868321256399213</v>
      </c>
      <c r="AD172" s="233">
        <f>(INDEX(Models!$BJ172:$BT172,,AH172)*(1-AF172)+INDEX(Models!$BJ172:$BT172,,AH172+1)*AF172-ERP_i)*AE172*Ramure*Pc/MaxiM</f>
        <v>1.3459481507360676E-4</v>
      </c>
      <c r="AE172" s="307">
        <f t="shared" si="62"/>
        <v>0.9</v>
      </c>
      <c r="AF172" s="179">
        <f t="shared" si="63"/>
        <v>0.5810608406926363</v>
      </c>
      <c r="AG172" s="839">
        <f t="shared" si="71"/>
        <v>-1</v>
      </c>
      <c r="AH172" s="178">
        <f t="shared" si="64"/>
        <v>5</v>
      </c>
      <c r="AI172" s="227">
        <f t="shared" si="65"/>
        <v>-0.41893915930736364</v>
      </c>
      <c r="AJ172" s="267" t="b">
        <f t="shared" si="66"/>
        <v>0</v>
      </c>
      <c r="AK172" s="267" t="b">
        <f t="shared" si="67"/>
        <v>0</v>
      </c>
      <c r="AL172" s="267"/>
      <c r="AM172" s="267"/>
      <c r="AN172" s="75"/>
    </row>
    <row r="173" spans="1:40" s="6" customFormat="1" ht="11.25" x14ac:dyDescent="0.2">
      <c r="A173" s="56">
        <f t="shared" si="68"/>
        <v>44355</v>
      </c>
      <c r="B173" s="620">
        <v>59.395000000000003</v>
      </c>
      <c r="C173" s="392"/>
      <c r="D173" s="395">
        <f t="shared" si="48"/>
        <v>60.85288269887603</v>
      </c>
      <c r="E173" s="387">
        <f t="shared" si="72"/>
        <v>63.749920912225726</v>
      </c>
      <c r="F173" s="387">
        <f t="shared" si="49"/>
        <v>63.75799356602392</v>
      </c>
      <c r="G173" s="110">
        <f t="shared" si="73"/>
        <v>0.98923688662454112</v>
      </c>
      <c r="H173" s="416" t="b">
        <f>Wh_hp&gt;='2020'!Maxi_hp</f>
        <v>0</v>
      </c>
      <c r="I173" s="382">
        <f>IF(H173,Wh_hp,'2020'!Maxi_hp)</f>
        <v>65.985446784364868</v>
      </c>
      <c r="J173" s="85">
        <f>IF(H173,An,'2020'!An_max)</f>
        <v>2019</v>
      </c>
      <c r="K173" s="199">
        <f t="shared" si="50"/>
        <v>44355</v>
      </c>
      <c r="L173" s="147">
        <f>IF(t&lt;Tvie,1-EXP((T0-t)*PertePVj)+'2020'!Pspv,1-EXP((T0-t)*PertePVj)+Pspv)</f>
        <v>2.3957496082645746E-2</v>
      </c>
      <c r="M173" s="872"/>
      <c r="N173" s="872"/>
      <c r="O173" s="48">
        <f>IF(t&lt;Tnet,'2020'!Resal+('2020'!Salim-'2020'!Resal)*(1-EXP(('2020'!Tnet-t)/('2020'!Tau_j))),Resal+(Salim-Resal)*(1-EXP((Tnet-t)/(Tau_j))))*Salcycl</f>
        <v>4.5443793057225748E-2</v>
      </c>
      <c r="P173" s="171">
        <f>(INDEX(Models!$BJ173:$BT173,,T173)*(1-R173)+INDEX(Models!$BJ173:$BT173,,T173+1)*R173-ERP_i)*Q173*Ramure*Pc/MaxiM</f>
        <v>1.2859082478952749E-4</v>
      </c>
      <c r="Q173" s="307">
        <f t="shared" si="51"/>
        <v>0.9</v>
      </c>
      <c r="R173" s="179">
        <f t="shared" si="52"/>
        <v>0.58722167048578577</v>
      </c>
      <c r="S173" s="839">
        <f t="shared" si="53"/>
        <v>-1</v>
      </c>
      <c r="T173" s="178">
        <f t="shared" si="54"/>
        <v>5</v>
      </c>
      <c r="U173" s="253">
        <f t="shared" si="55"/>
        <v>-0.41277832951421428</v>
      </c>
      <c r="V173" s="385">
        <f t="shared" si="56"/>
        <v>60.041111865071343</v>
      </c>
      <c r="W173" s="404"/>
      <c r="X173" s="157">
        <f t="shared" si="57"/>
        <v>44355</v>
      </c>
      <c r="Y173" s="387">
        <f t="shared" si="58"/>
        <v>53.579277840723257</v>
      </c>
      <c r="Z173" s="387">
        <f t="shared" si="59"/>
        <v>54.894410464382858</v>
      </c>
      <c r="AA173" s="388">
        <f t="shared" si="60"/>
        <v>63.749920912225726</v>
      </c>
      <c r="AB173" s="199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0.13891014014018307</v>
      </c>
      <c r="AD173" s="233">
        <f>(INDEX(Models!$BJ173:$BT173,,AH173)*(1-AF173)+INDEX(Models!$BJ173:$BT173,,AH173+1)*AF173-ERP_i)*AE173*Ramure*Pc/MaxiM</f>
        <v>1.2859082478952749E-4</v>
      </c>
      <c r="AE173" s="307">
        <f t="shared" si="62"/>
        <v>0.9</v>
      </c>
      <c r="AF173" s="179">
        <f t="shared" si="63"/>
        <v>0.58722167048578577</v>
      </c>
      <c r="AG173" s="839">
        <f t="shared" si="71"/>
        <v>-1</v>
      </c>
      <c r="AH173" s="178">
        <f t="shared" si="64"/>
        <v>5</v>
      </c>
      <c r="AI173" s="227">
        <f t="shared" si="65"/>
        <v>-0.41277832951421428</v>
      </c>
      <c r="AJ173" s="267" t="b">
        <f t="shared" si="66"/>
        <v>0</v>
      </c>
      <c r="AK173" s="267" t="b">
        <f t="shared" si="67"/>
        <v>0</v>
      </c>
      <c r="AL173" s="267"/>
      <c r="AM173" s="267"/>
      <c r="AN173" s="75"/>
    </row>
    <row r="174" spans="1:40" s="6" customFormat="1" ht="11.25" x14ac:dyDescent="0.2">
      <c r="A174" s="56">
        <f t="shared" si="68"/>
        <v>44356</v>
      </c>
      <c r="B174" s="620">
        <v>55.822000000000003</v>
      </c>
      <c r="C174" s="392"/>
      <c r="D174" s="395">
        <f t="shared" si="48"/>
        <v>57.193512439955391</v>
      </c>
      <c r="E174" s="387">
        <f t="shared" si="72"/>
        <v>59.941634714634553</v>
      </c>
      <c r="F174" s="387">
        <f t="shared" si="49"/>
        <v>59.948298229793359</v>
      </c>
      <c r="G174" s="110">
        <f t="shared" si="73"/>
        <v>0.930287011718261</v>
      </c>
      <c r="H174" s="416" t="b">
        <f>Wh_hp&gt;='2020'!Maxi_hp</f>
        <v>1</v>
      </c>
      <c r="I174" s="382">
        <f>IF(H174,Wh_hp,'2020'!Maxi_hp)</f>
        <v>59.948298229793359</v>
      </c>
      <c r="J174" s="85">
        <f>IF(H174,An,'2020'!An_max)</f>
        <v>2021</v>
      </c>
      <c r="K174" s="199">
        <f t="shared" si="50"/>
        <v>44356</v>
      </c>
      <c r="L174" s="147">
        <f>IF(t&lt;Tvie,1-EXP((T0-t)*PertePVj)+'2020'!Pspv,1-EXP((T0-t)*PertePVj)+Pspv)</f>
        <v>2.3980210017618186E-2</v>
      </c>
      <c r="M174" s="872"/>
      <c r="N174" s="872"/>
      <c r="O174" s="48">
        <f>IF(t&lt;Tnet,'2020'!Resal+('2020'!Salim-'2020'!Resal)*(1-EXP(('2020'!Tnet-t)/('2020'!Tau_j))),Resal+(Salim-Resal)*(1-EXP((Tnet-t)/(Tau_j))))*Salcycl</f>
        <v>4.5846635443998258E-2</v>
      </c>
      <c r="P174" s="171">
        <f>(INDEX(Models!$BJ174:$BT174,,T174)*(1-R174)+INDEX(Models!$BJ174:$BT174,,T174+1)*R174-ERP_i)*Q174*Ramure*Pc/MaxiM</f>
        <v>1.2344637260369422E-4</v>
      </c>
      <c r="Q174" s="307">
        <f t="shared" si="51"/>
        <v>0.9</v>
      </c>
      <c r="R174" s="179">
        <f t="shared" si="52"/>
        <v>0.59339290659761001</v>
      </c>
      <c r="S174" s="839">
        <f t="shared" si="53"/>
        <v>-1</v>
      </c>
      <c r="T174" s="178">
        <f t="shared" si="54"/>
        <v>5</v>
      </c>
      <c r="U174" s="253">
        <f t="shared" si="55"/>
        <v>-0.40660709340239004</v>
      </c>
      <c r="V174" s="385">
        <f t="shared" si="56"/>
        <v>60.004399777974498</v>
      </c>
      <c r="W174" s="404"/>
      <c r="X174" s="157">
        <f t="shared" si="57"/>
        <v>44356</v>
      </c>
      <c r="Y174" s="387">
        <f t="shared" si="58"/>
        <v>50.36425179772948</v>
      </c>
      <c r="Z174" s="387">
        <f t="shared" si="59"/>
        <v>51.601670698335539</v>
      </c>
      <c r="AA174" s="388">
        <f t="shared" si="60"/>
        <v>59.941634714634553</v>
      </c>
      <c r="AB174" s="199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0.13913474425586261</v>
      </c>
      <c r="AD174" s="233">
        <f>(INDEX(Models!$BJ174:$BT174,,AH174)*(1-AF174)+INDEX(Models!$BJ174:$BT174,,AH174+1)*AF174-ERP_i)*AE174*Ramure*Pc/MaxiM</f>
        <v>1.2344637260369422E-4</v>
      </c>
      <c r="AE174" s="307">
        <f t="shared" si="62"/>
        <v>0.9</v>
      </c>
      <c r="AF174" s="179">
        <f t="shared" si="63"/>
        <v>0.59339290659761001</v>
      </c>
      <c r="AG174" s="839">
        <f t="shared" si="71"/>
        <v>-1</v>
      </c>
      <c r="AH174" s="178">
        <f t="shared" si="64"/>
        <v>5</v>
      </c>
      <c r="AI174" s="227">
        <f t="shared" si="65"/>
        <v>-0.40660709340239004</v>
      </c>
      <c r="AJ174" s="267" t="b">
        <f t="shared" si="66"/>
        <v>0</v>
      </c>
      <c r="AK174" s="267" t="b">
        <f t="shared" si="67"/>
        <v>0</v>
      </c>
      <c r="AL174" s="267"/>
      <c r="AM174" s="267"/>
      <c r="AN174" s="75"/>
    </row>
    <row r="175" spans="1:40" s="6" customFormat="1" ht="11.25" x14ac:dyDescent="0.2">
      <c r="A175" s="56">
        <f t="shared" si="68"/>
        <v>44357</v>
      </c>
      <c r="B175" s="620">
        <v>56.725000000000001</v>
      </c>
      <c r="C175" s="392"/>
      <c r="D175" s="395">
        <f t="shared" si="48"/>
        <v>58.1200511368367</v>
      </c>
      <c r="E175" s="387">
        <f t="shared" si="72"/>
        <v>60.938346624735679</v>
      </c>
      <c r="F175" s="387">
        <f t="shared" si="49"/>
        <v>60.945048919037703</v>
      </c>
      <c r="G175" s="110">
        <f t="shared" si="73"/>
        <v>0.94596181585968142</v>
      </c>
      <c r="H175" s="416" t="b">
        <f>Wh_hp&gt;='2020'!Maxi_hp</f>
        <v>1</v>
      </c>
      <c r="I175" s="382">
        <f>IF(H175,Wh_hp,'2020'!Maxi_hp)</f>
        <v>60.945048919037703</v>
      </c>
      <c r="J175" s="85">
        <f>IF(H175,An,'2020'!An_max)</f>
        <v>2021</v>
      </c>
      <c r="K175" s="199">
        <f t="shared" si="50"/>
        <v>44357</v>
      </c>
      <c r="L175" s="147">
        <f>IF(t&lt;Tvie,1-EXP((T0-t)*PertePVj)+'2020'!Pspv,1-EXP((T0-t)*PertePVj)+Pspv)</f>
        <v>2.400292342400423E-2</v>
      </c>
      <c r="M175" s="872"/>
      <c r="N175" s="872"/>
      <c r="O175" s="48">
        <f>IF(t&lt;Tnet,'2020'!Resal+('2020'!Salim-'2020'!Resal)*(1-EXP(('2020'!Tnet-t)/('2020'!Tau_j))),Resal+(Salim-Resal)*(1-EXP((Tnet-t)/(Tau_j))))*Salcycl</f>
        <v>4.6248309053317782E-2</v>
      </c>
      <c r="P175" s="171">
        <f>(INDEX(Models!$BJ175:$BT175,,T175)*(1-R175)+INDEX(Models!$BJ175:$BT175,,T175+1)*R175-ERP_i)*Q175*Ramure*Pc/MaxiM</f>
        <v>1.191709514584962E-4</v>
      </c>
      <c r="Q175" s="307">
        <f t="shared" si="51"/>
        <v>0.9</v>
      </c>
      <c r="R175" s="179">
        <f t="shared" si="52"/>
        <v>0.59956935465747963</v>
      </c>
      <c r="S175" s="839">
        <f t="shared" si="53"/>
        <v>-1</v>
      </c>
      <c r="T175" s="178">
        <f t="shared" si="54"/>
        <v>5</v>
      </c>
      <c r="U175" s="253">
        <f t="shared" si="55"/>
        <v>-0.40043064534252032</v>
      </c>
      <c r="V175" s="385">
        <f t="shared" si="56"/>
        <v>59.964870910546317</v>
      </c>
      <c r="W175" s="404"/>
      <c r="X175" s="157">
        <f t="shared" si="57"/>
        <v>44357</v>
      </c>
      <c r="Y175" s="387">
        <f t="shared" si="58"/>
        <v>51.187306570007586</v>
      </c>
      <c r="Z175" s="387">
        <f t="shared" si="59"/>
        <v>52.446167922534649</v>
      </c>
      <c r="AA175" s="388">
        <f t="shared" si="60"/>
        <v>60.938346624735679</v>
      </c>
      <c r="AB175" s="199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0.1393568938536634</v>
      </c>
      <c r="AD175" s="233">
        <f>(INDEX(Models!$BJ175:$BT175,,AH175)*(1-AF175)+INDEX(Models!$BJ175:$BT175,,AH175+1)*AF175-ERP_i)*AE175*Ramure*Pc/MaxiM</f>
        <v>1.191709514584962E-4</v>
      </c>
      <c r="AE175" s="307">
        <f t="shared" si="62"/>
        <v>0.9</v>
      </c>
      <c r="AF175" s="179">
        <f t="shared" si="63"/>
        <v>0.59956935465747963</v>
      </c>
      <c r="AG175" s="839">
        <f t="shared" si="71"/>
        <v>-1</v>
      </c>
      <c r="AH175" s="178">
        <f t="shared" si="64"/>
        <v>5</v>
      </c>
      <c r="AI175" s="227">
        <f t="shared" si="65"/>
        <v>-0.40043064534252032</v>
      </c>
      <c r="AJ175" s="267" t="b">
        <f t="shared" si="66"/>
        <v>0</v>
      </c>
      <c r="AK175" s="267" t="b">
        <f t="shared" si="67"/>
        <v>0</v>
      </c>
      <c r="AL175" s="267"/>
      <c r="AM175" s="267"/>
      <c r="AN175" s="75"/>
    </row>
    <row r="176" spans="1:40" s="6" customFormat="1" ht="11.25" x14ac:dyDescent="0.2">
      <c r="A176" s="56">
        <f t="shared" si="68"/>
        <v>44358</v>
      </c>
      <c r="B176" s="620">
        <v>44.243000000000002</v>
      </c>
      <c r="C176" s="392"/>
      <c r="D176" s="395">
        <f t="shared" si="48"/>
        <v>45.332133348619358</v>
      </c>
      <c r="E176" s="387">
        <f t="shared" si="72"/>
        <v>47.550295479648739</v>
      </c>
      <c r="F176" s="387">
        <f t="shared" si="49"/>
        <v>47.553742982119623</v>
      </c>
      <c r="G176" s="110">
        <f t="shared" si="73"/>
        <v>0.73830210063341262</v>
      </c>
      <c r="H176" s="416" t="b">
        <f>Wh_hp&gt;='2020'!Maxi_hp</f>
        <v>0</v>
      </c>
      <c r="I176" s="382">
        <f>IF(H176,Wh_hp,'2020'!Maxi_hp)</f>
        <v>48.423242202897121</v>
      </c>
      <c r="J176" s="85">
        <f>IF(H176,An,'2020'!An_max)</f>
        <v>2020</v>
      </c>
      <c r="K176" s="199">
        <f t="shared" si="50"/>
        <v>44358</v>
      </c>
      <c r="L176" s="147">
        <f>IF(t&lt;Tvie,1-EXP((T0-t)*PertePVj)+'2020'!Pspv,1-EXP((T0-t)*PertePVj)+Pspv)</f>
        <v>2.4025636301816089E-2</v>
      </c>
      <c r="M176" s="872"/>
      <c r="N176" s="872"/>
      <c r="O176" s="48">
        <f>IF(t&lt;Tnet,'2020'!Resal+('2020'!Salim-'2020'!Resal)*(1-EXP(('2020'!Tnet-t)/('2020'!Tau_j))),Resal+(Salim-Resal)*(1-EXP((Tnet-t)/(Tau_j))))*Salcycl</f>
        <v>4.6648755988882171E-2</v>
      </c>
      <c r="P176" s="171">
        <f>(INDEX(Models!$BJ176:$BT176,,T176)*(1-R176)+INDEX(Models!$BJ176:$BT176,,T176+1)*R176-ERP_i)*Q176*Ramure*Pc/MaxiM</f>
        <v>1.1577444444108267E-4</v>
      </c>
      <c r="Q176" s="307">
        <f t="shared" si="51"/>
        <v>0.9</v>
      </c>
      <c r="R176" s="179">
        <f t="shared" si="52"/>
        <v>0.60574580271734946</v>
      </c>
      <c r="S176" s="839">
        <f t="shared" si="53"/>
        <v>-1</v>
      </c>
      <c r="T176" s="178">
        <f t="shared" si="54"/>
        <v>5</v>
      </c>
      <c r="U176" s="253">
        <f t="shared" si="55"/>
        <v>-0.3942541972826506</v>
      </c>
      <c r="V176" s="385">
        <f t="shared" si="56"/>
        <v>59.922740431186313</v>
      </c>
      <c r="W176" s="404"/>
      <c r="X176" s="157">
        <f t="shared" si="57"/>
        <v>44358</v>
      </c>
      <c r="Y176" s="387">
        <f t="shared" si="58"/>
        <v>39.930423052977652</v>
      </c>
      <c r="Z176" s="387">
        <f t="shared" si="59"/>
        <v>40.913393361760448</v>
      </c>
      <c r="AA176" s="388">
        <f t="shared" si="60"/>
        <v>47.550295479648739</v>
      </c>
      <c r="AB176" s="199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0.13957646426674353</v>
      </c>
      <c r="AD176" s="233">
        <f>(INDEX(Models!$BJ176:$BT176,,AH176)*(1-AF176)+INDEX(Models!$BJ176:$BT176,,AH176+1)*AF176-ERP_i)*AE176*Ramure*Pc/MaxiM</f>
        <v>1.1577444444108267E-4</v>
      </c>
      <c r="AE176" s="307">
        <f t="shared" si="62"/>
        <v>0.9</v>
      </c>
      <c r="AF176" s="179">
        <f t="shared" si="63"/>
        <v>0.60574580271734946</v>
      </c>
      <c r="AG176" s="839">
        <f t="shared" si="71"/>
        <v>-1</v>
      </c>
      <c r="AH176" s="178">
        <f t="shared" si="64"/>
        <v>5</v>
      </c>
      <c r="AI176" s="227">
        <f t="shared" si="65"/>
        <v>-0.3942541972826506</v>
      </c>
      <c r="AJ176" s="267" t="b">
        <f t="shared" si="66"/>
        <v>0</v>
      </c>
      <c r="AK176" s="267" t="b">
        <f t="shared" si="67"/>
        <v>0</v>
      </c>
      <c r="AL176" s="267"/>
      <c r="AM176" s="267"/>
      <c r="AN176" s="75"/>
    </row>
    <row r="177" spans="1:40" s="6" customFormat="1" ht="11.25" x14ac:dyDescent="0.2">
      <c r="A177" s="56">
        <f t="shared" si="68"/>
        <v>44359</v>
      </c>
      <c r="B177" s="620">
        <v>48.768000000000001</v>
      </c>
      <c r="C177" s="392"/>
      <c r="D177" s="395">
        <f t="shared" si="48"/>
        <v>49.969688490812224</v>
      </c>
      <c r="E177" s="387">
        <f t="shared" si="72"/>
        <v>52.436727429447771</v>
      </c>
      <c r="F177" s="387">
        <f t="shared" si="49"/>
        <v>52.441093003157654</v>
      </c>
      <c r="G177" s="110">
        <f t="shared" si="73"/>
        <v>0.81444179172689291</v>
      </c>
      <c r="H177" s="416" t="b">
        <f>Wh_hp&gt;='2020'!Maxi_hp</f>
        <v>0</v>
      </c>
      <c r="I177" s="382">
        <f>IF(H177,Wh_hp,'2020'!Maxi_hp)</f>
        <v>60.838298485220825</v>
      </c>
      <c r="J177" s="85">
        <f>IF(H177,An,'2020'!An_max)</f>
        <v>2019</v>
      </c>
      <c r="K177" s="199">
        <f t="shared" si="50"/>
        <v>44359</v>
      </c>
      <c r="L177" s="147">
        <f>IF(t&lt;Tvie,1-EXP((T0-t)*PertePVj)+'2020'!Pspv,1-EXP((T0-t)*PertePVj)+Pspv)</f>
        <v>2.4048348651066198E-2</v>
      </c>
      <c r="M177" s="872"/>
      <c r="N177" s="872"/>
      <c r="O177" s="48">
        <f>IF(t&lt;Tnet,'2020'!Resal+('2020'!Salim-'2020'!Resal)*(1-EXP(('2020'!Tnet-t)/('2020'!Tau_j))),Resal+(Salim-Resal)*(1-EXP((Tnet-t)/(Tau_j))))*Salcycl</f>
        <v>4.7047919646680571E-2</v>
      </c>
      <c r="P177" s="171">
        <f>(INDEX(Models!$BJ177:$BT177,,T177)*(1-R177)+INDEX(Models!$BJ177:$BT177,,T177+1)*R177-ERP_i)*Q177*Ramure*Pc/MaxiM</f>
        <v>1.1326891616655924E-4</v>
      </c>
      <c r="Q177" s="307">
        <f t="shared" si="51"/>
        <v>0.9</v>
      </c>
      <c r="R177" s="179">
        <f t="shared" si="52"/>
        <v>0.6119170388291737</v>
      </c>
      <c r="S177" s="839">
        <f t="shared" si="53"/>
        <v>-1</v>
      </c>
      <c r="T177" s="178">
        <f t="shared" si="54"/>
        <v>5</v>
      </c>
      <c r="U177" s="253">
        <f t="shared" si="55"/>
        <v>-0.3880829611708263</v>
      </c>
      <c r="V177" s="385">
        <f t="shared" si="56"/>
        <v>59.87725123392287</v>
      </c>
      <c r="W177" s="404"/>
      <c r="X177" s="157">
        <f t="shared" si="57"/>
        <v>44359</v>
      </c>
      <c r="Y177" s="387">
        <f t="shared" si="58"/>
        <v>44.021687314055285</v>
      </c>
      <c r="Z177" s="387">
        <f t="shared" si="59"/>
        <v>45.106422283531884</v>
      </c>
      <c r="AA177" s="388">
        <f t="shared" si="60"/>
        <v>52.436727429447771</v>
      </c>
      <c r="AB177" s="199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0.13979333770931104</v>
      </c>
      <c r="AD177" s="233">
        <f>(INDEX(Models!$BJ177:$BT177,,AH177)*(1-AF177)+INDEX(Models!$BJ177:$BT177,,AH177+1)*AF177-ERP_i)*AE177*Ramure*Pc/MaxiM</f>
        <v>1.1326891616655924E-4</v>
      </c>
      <c r="AE177" s="307">
        <f t="shared" si="62"/>
        <v>0.9</v>
      </c>
      <c r="AF177" s="179">
        <f t="shared" si="63"/>
        <v>0.6119170388291737</v>
      </c>
      <c r="AG177" s="839">
        <f t="shared" si="71"/>
        <v>-1</v>
      </c>
      <c r="AH177" s="178">
        <f t="shared" si="64"/>
        <v>5</v>
      </c>
      <c r="AI177" s="227">
        <f t="shared" si="65"/>
        <v>-0.3880829611708263</v>
      </c>
      <c r="AJ177" s="267" t="b">
        <f t="shared" si="66"/>
        <v>0</v>
      </c>
      <c r="AK177" s="267" t="b">
        <f t="shared" si="67"/>
        <v>0</v>
      </c>
      <c r="AL177" s="267"/>
      <c r="AM177" s="267"/>
      <c r="AN177" s="75"/>
    </row>
    <row r="178" spans="1:40" s="6" customFormat="1" ht="11.25" x14ac:dyDescent="0.2">
      <c r="A178" s="56">
        <f t="shared" si="68"/>
        <v>44360</v>
      </c>
      <c r="B178" s="620">
        <v>56.935000000000002</v>
      </c>
      <c r="C178" s="392"/>
      <c r="D178" s="395">
        <f t="shared" si="48"/>
        <v>58.339288542383564</v>
      </c>
      <c r="E178" s="387">
        <f t="shared" si="72"/>
        <v>61.245108332447948</v>
      </c>
      <c r="F178" s="387">
        <f t="shared" si="49"/>
        <v>61.251479122955359</v>
      </c>
      <c r="G178" s="110">
        <f t="shared" si="73"/>
        <v>0.951643035990826</v>
      </c>
      <c r="H178" s="416" t="b">
        <f>Wh_hp&gt;='2020'!Maxi_hp</f>
        <v>0</v>
      </c>
      <c r="I178" s="382">
        <f>IF(H178,Wh_hp,'2020'!Maxi_hp)</f>
        <v>63.47863553055479</v>
      </c>
      <c r="J178" s="85">
        <f>IF(H178,An,'2020'!An_max)</f>
        <v>2019</v>
      </c>
      <c r="K178" s="199">
        <f t="shared" si="50"/>
        <v>44360</v>
      </c>
      <c r="L178" s="147">
        <f>IF(t&lt;Tvie,1-EXP((T0-t)*PertePVj)+'2020'!Pspv,1-EXP((T0-t)*PertePVj)+Pspv)</f>
        <v>2.4071060471766659E-2</v>
      </c>
      <c r="M178" s="872"/>
      <c r="N178" s="872"/>
      <c r="O178" s="48">
        <f>IF(t&lt;Tnet,'2020'!Resal+('2020'!Salim-'2020'!Resal)*(1-EXP(('2020'!Tnet-t)/('2020'!Tau_j))),Resal+(Salim-Resal)*(1-EXP((Tnet-t)/(Tau_j))))*Salcycl</f>
        <v>4.7445744961232515E-2</v>
      </c>
      <c r="P178" s="171">
        <f>(INDEX(Models!$BJ178:$BT178,,T178)*(1-R178)+INDEX(Models!$BJ178:$BT178,,T178+1)*R178-ERP_i)*Q178*Ramure*Pc/MaxiM</f>
        <v>1.1172751263844672E-4</v>
      </c>
      <c r="Q178" s="307">
        <f t="shared" si="51"/>
        <v>0.9</v>
      </c>
      <c r="R178" s="179">
        <f t="shared" si="52"/>
        <v>0.61807786862232306</v>
      </c>
      <c r="S178" s="839">
        <f t="shared" si="53"/>
        <v>-1</v>
      </c>
      <c r="T178" s="178">
        <f t="shared" si="54"/>
        <v>5</v>
      </c>
      <c r="U178" s="253">
        <f t="shared" si="55"/>
        <v>-0.38192213137767694</v>
      </c>
      <c r="V178" s="385">
        <f t="shared" si="56"/>
        <v>59.827643798071719</v>
      </c>
      <c r="W178" s="404"/>
      <c r="X178" s="157">
        <f t="shared" si="57"/>
        <v>44360</v>
      </c>
      <c r="Y178" s="387">
        <f t="shared" si="58"/>
        <v>51.402508790858711</v>
      </c>
      <c r="Z178" s="387">
        <f t="shared" si="59"/>
        <v>52.670339723409391</v>
      </c>
      <c r="AA178" s="388">
        <f t="shared" si="60"/>
        <v>61.245108332447948</v>
      </c>
      <c r="AB178" s="199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0.14000740373408077</v>
      </c>
      <c r="AD178" s="233">
        <f>(INDEX(Models!$BJ178:$BT178,,AH178)*(1-AF178)+INDEX(Models!$BJ178:$BT178,,AH178+1)*AF178-ERP_i)*AE178*Ramure*Pc/MaxiM</f>
        <v>1.1172751263844672E-4</v>
      </c>
      <c r="AE178" s="307">
        <f t="shared" si="62"/>
        <v>0.9</v>
      </c>
      <c r="AF178" s="179">
        <f t="shared" si="63"/>
        <v>0.61807786862232306</v>
      </c>
      <c r="AG178" s="839">
        <f t="shared" si="71"/>
        <v>-1</v>
      </c>
      <c r="AH178" s="178">
        <f t="shared" si="64"/>
        <v>5</v>
      </c>
      <c r="AI178" s="227">
        <f t="shared" si="65"/>
        <v>-0.38192213137767694</v>
      </c>
      <c r="AJ178" s="267" t="b">
        <f t="shared" si="66"/>
        <v>0</v>
      </c>
      <c r="AK178" s="267" t="b">
        <f t="shared" si="67"/>
        <v>0</v>
      </c>
      <c r="AL178" s="267"/>
      <c r="AM178" s="267"/>
      <c r="AN178" s="75"/>
    </row>
    <row r="179" spans="1:40" s="6" customFormat="1" ht="11.25" x14ac:dyDescent="0.2">
      <c r="A179" s="56">
        <f t="shared" si="68"/>
        <v>44361</v>
      </c>
      <c r="B179" s="620">
        <v>50.631999999999998</v>
      </c>
      <c r="C179" s="392"/>
      <c r="D179" s="395">
        <f t="shared" si="48"/>
        <v>51.882033883026104</v>
      </c>
      <c r="E179" s="387">
        <f t="shared" si="72"/>
        <v>54.488901649908954</v>
      </c>
      <c r="F179" s="387">
        <f t="shared" si="49"/>
        <v>54.493603449574607</v>
      </c>
      <c r="G179" s="110">
        <f t="shared" si="73"/>
        <v>0.84703426861222919</v>
      </c>
      <c r="H179" s="416" t="b">
        <f>Wh_hp&gt;='2020'!Maxi_hp</f>
        <v>1</v>
      </c>
      <c r="I179" s="382">
        <f>IF(H179,Wh_hp,'2020'!Maxi_hp)</f>
        <v>54.493603449574607</v>
      </c>
      <c r="J179" s="85">
        <f>IF(H179,An,'2020'!An_max)</f>
        <v>2021</v>
      </c>
      <c r="K179" s="199">
        <f t="shared" si="50"/>
        <v>44361</v>
      </c>
      <c r="L179" s="147">
        <f>IF(t&lt;Tvie,1-EXP((T0-t)*PertePVj)+'2020'!Pspv,1-EXP((T0-t)*PertePVj)+Pspv)</f>
        <v>2.4093771763929905E-2</v>
      </c>
      <c r="M179" s="872"/>
      <c r="N179" s="872"/>
      <c r="O179" s="48">
        <f>IF(t&lt;Tnet,'2020'!Resal+('2020'!Salim-'2020'!Resal)*(1-EXP(('2020'!Tnet-t)/('2020'!Tau_j))),Resal+(Salim-Resal)*(1-EXP((Tnet-t)/(Tau_j))))*Salcycl</f>
        <v>4.7842178644597548E-2</v>
      </c>
      <c r="P179" s="171">
        <f>(INDEX(Models!$BJ179:$BT179,,T179)*(1-R179)+INDEX(Models!$BJ179:$BT179,,T179+1)*R179-ERP_i)*Q179*Ramure*Pc/MaxiM</f>
        <v>1.1040427172752836E-4</v>
      </c>
      <c r="Q179" s="307">
        <f t="shared" si="51"/>
        <v>0.9</v>
      </c>
      <c r="R179" s="179">
        <f t="shared" si="52"/>
        <v>0.62422313275517949</v>
      </c>
      <c r="S179" s="839">
        <f t="shared" si="53"/>
        <v>-1</v>
      </c>
      <c r="T179" s="178">
        <f t="shared" si="54"/>
        <v>5</v>
      </c>
      <c r="U179" s="253">
        <f t="shared" si="55"/>
        <v>-0.37577686724482051</v>
      </c>
      <c r="V179" s="385">
        <f t="shared" si="56"/>
        <v>59.774179623815144</v>
      </c>
      <c r="W179" s="404"/>
      <c r="X179" s="157">
        <f t="shared" si="57"/>
        <v>44361</v>
      </c>
      <c r="Y179" s="387">
        <f t="shared" si="58"/>
        <v>45.719788160398167</v>
      </c>
      <c r="Z179" s="387">
        <f t="shared" si="59"/>
        <v>46.848546343469614</v>
      </c>
      <c r="AA179" s="388">
        <f t="shared" si="60"/>
        <v>54.488901649908954</v>
      </c>
      <c r="AB179" s="199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0.14021855965327762</v>
      </c>
      <c r="AD179" s="233">
        <f>(INDEX(Models!$BJ179:$BT179,,AH179)*(1-AF179)+INDEX(Models!$BJ179:$BT179,,AH179+1)*AF179-ERP_i)*AE179*Ramure*Pc/MaxiM</f>
        <v>1.1040427172752836E-4</v>
      </c>
      <c r="AE179" s="307">
        <f t="shared" si="62"/>
        <v>0.9</v>
      </c>
      <c r="AF179" s="179">
        <f t="shared" si="63"/>
        <v>0.62422313275517949</v>
      </c>
      <c r="AG179" s="839">
        <f t="shared" si="71"/>
        <v>-1</v>
      </c>
      <c r="AH179" s="178">
        <f t="shared" si="64"/>
        <v>5</v>
      </c>
      <c r="AI179" s="227">
        <f t="shared" si="65"/>
        <v>-0.37577686724482051</v>
      </c>
      <c r="AJ179" s="267" t="b">
        <f t="shared" si="66"/>
        <v>0</v>
      </c>
      <c r="AK179" s="267" t="b">
        <f t="shared" si="67"/>
        <v>0</v>
      </c>
      <c r="AL179" s="267"/>
      <c r="AM179" s="267"/>
      <c r="AN179" s="75"/>
    </row>
    <row r="180" spans="1:40" s="6" customFormat="1" ht="11.25" x14ac:dyDescent="0.2">
      <c r="A180" s="56">
        <f t="shared" si="68"/>
        <v>44362</v>
      </c>
      <c r="B180" s="620">
        <v>51.433</v>
      </c>
      <c r="C180" s="392"/>
      <c r="D180" s="395">
        <f t="shared" si="48"/>
        <v>52.704035962420029</v>
      </c>
      <c r="E180" s="387">
        <f t="shared" si="72"/>
        <v>55.375177795190297</v>
      </c>
      <c r="F180" s="387">
        <f t="shared" si="49"/>
        <v>55.380031401043752</v>
      </c>
      <c r="G180" s="110">
        <f t="shared" si="73"/>
        <v>0.86125929672837853</v>
      </c>
      <c r="H180" s="416" t="b">
        <f>Wh_hp&gt;='2020'!Maxi_hp</f>
        <v>1</v>
      </c>
      <c r="I180" s="382">
        <f>IF(H180,Wh_hp,'2020'!Maxi_hp)</f>
        <v>55.380031401043752</v>
      </c>
      <c r="J180" s="85">
        <f>IF(H180,An,'2020'!An_max)</f>
        <v>2021</v>
      </c>
      <c r="K180" s="199">
        <f t="shared" si="50"/>
        <v>44362</v>
      </c>
      <c r="L180" s="147">
        <f>IF(t&lt;Tvie,1-EXP((T0-t)*PertePVj)+'2020'!Pspv,1-EXP((T0-t)*PertePVj)+Pspv)</f>
        <v>2.411648252756815E-2</v>
      </c>
      <c r="M180" s="872"/>
      <c r="N180" s="872"/>
      <c r="O180" s="48">
        <f>IF(t&lt;Tnet,'2020'!Resal+('2020'!Salim-'2020'!Resal)*(1-EXP(('2020'!Tnet-t)/('2020'!Tau_j))),Resal+(Salim-Resal)*(1-EXP((Tnet-t)/(Tau_j))))*Salcycl</f>
        <v>4.8237169416407197E-2</v>
      </c>
      <c r="P180" s="171">
        <f>(INDEX(Models!$BJ180:$BT180,,T180)*(1-R180)+INDEX(Models!$BJ180:$BT180,,T180+1)*R180-ERP_i)*Q180*Ramure*Pc/MaxiM</f>
        <v>1.0930281913663499E-4</v>
      </c>
      <c r="Q180" s="307">
        <f t="shared" si="51"/>
        <v>0.9</v>
      </c>
      <c r="R180" s="179">
        <f t="shared" si="52"/>
        <v>0.63034772411663331</v>
      </c>
      <c r="S180" s="839">
        <f t="shared" si="53"/>
        <v>-1</v>
      </c>
      <c r="T180" s="178">
        <f t="shared" si="54"/>
        <v>5</v>
      </c>
      <c r="U180" s="253">
        <f t="shared" si="55"/>
        <v>-0.36965227588336674</v>
      </c>
      <c r="V180" s="385">
        <f t="shared" si="56"/>
        <v>59.717074761023568</v>
      </c>
      <c r="W180" s="404"/>
      <c r="X180" s="157">
        <f t="shared" si="57"/>
        <v>44362</v>
      </c>
      <c r="Y180" s="387">
        <f t="shared" si="58"/>
        <v>46.451102687148307</v>
      </c>
      <c r="Z180" s="387">
        <f t="shared" si="59"/>
        <v>47.599023710799095</v>
      </c>
      <c r="AA180" s="388">
        <f t="shared" si="60"/>
        <v>55.375177795190297</v>
      </c>
      <c r="AB180" s="199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0.14042671092004358</v>
      </c>
      <c r="AD180" s="233">
        <f>(INDEX(Models!$BJ180:$BT180,,AH180)*(1-AF180)+INDEX(Models!$BJ180:$BT180,,AH180+1)*AF180-ERP_i)*AE180*Ramure*Pc/MaxiM</f>
        <v>1.0930281913663499E-4</v>
      </c>
      <c r="AE180" s="307">
        <f t="shared" si="62"/>
        <v>0.9</v>
      </c>
      <c r="AF180" s="179">
        <f t="shared" si="63"/>
        <v>0.63034772411663331</v>
      </c>
      <c r="AG180" s="839">
        <f t="shared" si="71"/>
        <v>-1</v>
      </c>
      <c r="AH180" s="178">
        <f t="shared" si="64"/>
        <v>5</v>
      </c>
      <c r="AI180" s="227">
        <f t="shared" si="65"/>
        <v>-0.36965227588336674</v>
      </c>
      <c r="AJ180" s="267" t="b">
        <f t="shared" si="66"/>
        <v>0</v>
      </c>
      <c r="AK180" s="267" t="b">
        <f t="shared" si="67"/>
        <v>0</v>
      </c>
      <c r="AL180" s="267"/>
      <c r="AM180" s="267"/>
      <c r="AN180" s="75"/>
    </row>
    <row r="181" spans="1:40" s="6" customFormat="1" ht="11.25" x14ac:dyDescent="0.2">
      <c r="A181" s="56">
        <f t="shared" si="68"/>
        <v>44363</v>
      </c>
      <c r="B181" s="620">
        <v>47.806000000000004</v>
      </c>
      <c r="C181" s="392"/>
      <c r="D181" s="395">
        <f t="shared" si="48"/>
        <v>48.988543904473786</v>
      </c>
      <c r="E181" s="387">
        <f t="shared" si="72"/>
        <v>51.49266669441878</v>
      </c>
      <c r="F181" s="387">
        <f t="shared" si="49"/>
        <v>51.49666579584725</v>
      </c>
      <c r="G181" s="110">
        <f t="shared" si="73"/>
        <v>0.80132916098647899</v>
      </c>
      <c r="H181" s="416" t="b">
        <f>Wh_hp&gt;='2020'!Maxi_hp</f>
        <v>0</v>
      </c>
      <c r="I181" s="382">
        <f>IF(H181,Wh_hp,'2020'!Maxi_hp)</f>
        <v>65.039285563897309</v>
      </c>
      <c r="J181" s="85">
        <f>IF(H181,An,'2020'!An_max)</f>
        <v>2019</v>
      </c>
      <c r="K181" s="199">
        <f t="shared" si="50"/>
        <v>44363</v>
      </c>
      <c r="L181" s="147">
        <f>IF(t&lt;Tvie,1-EXP((T0-t)*PertePVj)+'2020'!Pspv,1-EXP((T0-t)*PertePVj)+Pspv)</f>
        <v>2.4139192762693829E-2</v>
      </c>
      <c r="M181" s="872"/>
      <c r="N181" s="872"/>
      <c r="O181" s="48">
        <f>IF(t&lt;Tnet,'2020'!Resal+('2020'!Salim-'2020'!Resal)*(1-EXP(('2020'!Tnet-t)/('2020'!Tau_j))),Resal+(Salim-Resal)*(1-EXP((Tnet-t)/(Tau_j))))*Salcycl</f>
        <v>4.8630668223217377E-2</v>
      </c>
      <c r="P181" s="171">
        <f>(INDEX(Models!$BJ181:$BT181,,T181)*(1-R181)+INDEX(Models!$BJ181:$BT181,,T181+1)*R181-ERP_i)*Q181*Ramure*Pc/MaxiM</f>
        <v>1.084268946369128E-4</v>
      </c>
      <c r="Q181" s="307">
        <f t="shared" si="51"/>
        <v>0.9</v>
      </c>
      <c r="R181" s="179">
        <f t="shared" si="52"/>
        <v>0.63644660465626246</v>
      </c>
      <c r="S181" s="839">
        <f t="shared" si="53"/>
        <v>-1</v>
      </c>
      <c r="T181" s="178">
        <f t="shared" si="54"/>
        <v>5</v>
      </c>
      <c r="U181" s="253">
        <f t="shared" si="55"/>
        <v>-0.36355339534373748</v>
      </c>
      <c r="V181" s="385">
        <f t="shared" si="56"/>
        <v>59.656544714282646</v>
      </c>
      <c r="W181" s="404"/>
      <c r="X181" s="157">
        <f t="shared" si="57"/>
        <v>44363</v>
      </c>
      <c r="Y181" s="387">
        <f t="shared" si="58"/>
        <v>43.182974435915348</v>
      </c>
      <c r="Z181" s="387">
        <f t="shared" si="59"/>
        <v>44.251161759603562</v>
      </c>
      <c r="AA181" s="388">
        <f t="shared" si="60"/>
        <v>51.49266669441878</v>
      </c>
      <c r="AB181" s="199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0.14063177146737504</v>
      </c>
      <c r="AD181" s="233">
        <f>(INDEX(Models!$BJ181:$BT181,,AH181)*(1-AF181)+INDEX(Models!$BJ181:$BT181,,AH181+1)*AF181-ERP_i)*AE181*Ramure*Pc/MaxiM</f>
        <v>1.084268946369128E-4</v>
      </c>
      <c r="AE181" s="307">
        <f t="shared" si="62"/>
        <v>0.9</v>
      </c>
      <c r="AF181" s="179">
        <f t="shared" si="63"/>
        <v>0.63644660465626246</v>
      </c>
      <c r="AG181" s="839">
        <f t="shared" si="71"/>
        <v>-1</v>
      </c>
      <c r="AH181" s="178">
        <f t="shared" si="64"/>
        <v>5</v>
      </c>
      <c r="AI181" s="227">
        <f t="shared" si="65"/>
        <v>-0.36355339534373748</v>
      </c>
      <c r="AJ181" s="267" t="b">
        <f t="shared" si="66"/>
        <v>0</v>
      </c>
      <c r="AK181" s="267" t="b">
        <f t="shared" si="67"/>
        <v>0</v>
      </c>
      <c r="AL181" s="267"/>
      <c r="AM181" s="267"/>
      <c r="AN181" s="75"/>
    </row>
    <row r="182" spans="1:40" s="6" customFormat="1" ht="11.25" x14ac:dyDescent="0.2">
      <c r="A182" s="56">
        <f t="shared" si="68"/>
        <v>44364</v>
      </c>
      <c r="B182" s="620">
        <v>15.699</v>
      </c>
      <c r="C182" s="392"/>
      <c r="D182" s="395">
        <f t="shared" si="48"/>
        <v>16.087709672050813</v>
      </c>
      <c r="E182" s="387">
        <f t="shared" si="72"/>
        <v>16.917026790820511</v>
      </c>
      <c r="F182" s="387">
        <f t="shared" si="49"/>
        <v>16.917026790820511</v>
      </c>
      <c r="G182" s="110">
        <f t="shared" si="73"/>
        <v>0.26340945196574272</v>
      </c>
      <c r="H182" s="416" t="b">
        <f>Wh_hp&gt;='2020'!Maxi_hp</f>
        <v>0</v>
      </c>
      <c r="I182" s="382">
        <f>IF(H182,Wh_hp,'2020'!Maxi_hp)</f>
        <v>64.172598180317252</v>
      </c>
      <c r="J182" s="85">
        <f>IF(H182,An,'2020'!An_max)</f>
        <v>2019</v>
      </c>
      <c r="K182" s="199">
        <f t="shared" si="50"/>
        <v>44364</v>
      </c>
      <c r="L182" s="147">
        <f>IF(t&lt;Tvie,1-EXP((T0-t)*PertePVj)+'2020'!Pspv,1-EXP((T0-t)*PertePVj)+Pspv)</f>
        <v>2.4161902469319152E-2</v>
      </c>
      <c r="M182" s="872"/>
      <c r="N182" s="872"/>
      <c r="O182" s="48">
        <f>IF(t&lt;Tnet,'2020'!Resal+('2020'!Salim-'2020'!Resal)*(1-EXP(('2020'!Tnet-t)/('2020'!Tau_j))),Resal+(Salim-Resal)*(1-EXP((Tnet-t)/(Tau_j))))*Salcycl</f>
        <v>4.9022628445543504E-2</v>
      </c>
      <c r="P182" s="171">
        <f>(INDEX(Models!$BJ182:$BT182,,T182)*(1-R182)+INDEX(Models!$BJ182:$BT182,,T182+1)*R182-ERP_i)*Q182*Ramure*Pc/MaxiM</f>
        <v>1.0778033829068885E-4</v>
      </c>
      <c r="Q182" s="307">
        <f t="shared" si="51"/>
        <v>0.9</v>
      </c>
      <c r="R182" s="179">
        <f t="shared" si="52"/>
        <v>0.64251482172649099</v>
      </c>
      <c r="S182" s="839">
        <f t="shared" si="53"/>
        <v>-1</v>
      </c>
      <c r="T182" s="178">
        <f t="shared" si="54"/>
        <v>5</v>
      </c>
      <c r="U182" s="253">
        <f t="shared" si="55"/>
        <v>-0.35748517827350901</v>
      </c>
      <c r="V182" s="385">
        <f t="shared" si="56"/>
        <v>59.592804431750835</v>
      </c>
      <c r="W182" s="404"/>
      <c r="X182" s="157">
        <f t="shared" si="57"/>
        <v>44364</v>
      </c>
      <c r="Y182" s="387">
        <f t="shared" si="58"/>
        <v>14.183357787772486</v>
      </c>
      <c r="Z182" s="387">
        <f t="shared" si="59"/>
        <v>14.53453992384895</v>
      </c>
      <c r="AA182" s="388">
        <f t="shared" si="60"/>
        <v>16.917026790820511</v>
      </c>
      <c r="AB182" s="199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0.14083366400201844</v>
      </c>
      <c r="AD182" s="233">
        <f>(INDEX(Models!$BJ182:$BT182,,AH182)*(1-AF182)+INDEX(Models!$BJ182:$BT182,,AH182+1)*AF182-ERP_i)*AE182*Ramure*Pc/MaxiM</f>
        <v>1.0778033829068885E-4</v>
      </c>
      <c r="AE182" s="307">
        <f t="shared" si="62"/>
        <v>0.9</v>
      </c>
      <c r="AF182" s="179">
        <f t="shared" si="63"/>
        <v>0.64251482172649099</v>
      </c>
      <c r="AG182" s="839">
        <f t="shared" si="71"/>
        <v>-1</v>
      </c>
      <c r="AH182" s="178">
        <f t="shared" si="64"/>
        <v>5</v>
      </c>
      <c r="AI182" s="227">
        <f t="shared" si="65"/>
        <v>-0.35748517827350901</v>
      </c>
      <c r="AJ182" s="267" t="b">
        <f t="shared" si="66"/>
        <v>0</v>
      </c>
      <c r="AK182" s="267" t="b">
        <f t="shared" si="67"/>
        <v>0</v>
      </c>
      <c r="AL182" s="267"/>
      <c r="AM182" s="267"/>
      <c r="AN182" s="75"/>
    </row>
    <row r="183" spans="1:40" s="6" customFormat="1" ht="11.25" x14ac:dyDescent="0.2">
      <c r="A183" s="56">
        <f t="shared" si="68"/>
        <v>44365</v>
      </c>
      <c r="B183" s="620">
        <v>40.069000000000003</v>
      </c>
      <c r="C183" s="392"/>
      <c r="D183" s="395">
        <f t="shared" si="48"/>
        <v>41.0620702217537</v>
      </c>
      <c r="E183" s="387">
        <f t="shared" si="72"/>
        <v>43.196541173890111</v>
      </c>
      <c r="F183" s="387">
        <f t="shared" si="49"/>
        <v>43.199013531804496</v>
      </c>
      <c r="G183" s="110">
        <f t="shared" si="73"/>
        <v>0.67309990669238418</v>
      </c>
      <c r="H183" s="416" t="b">
        <f>Wh_hp&gt;='2020'!Maxi_hp</f>
        <v>0</v>
      </c>
      <c r="I183" s="382">
        <f>IF(H183,Wh_hp,'2020'!Maxi_hp)</f>
        <v>62.517821200510539</v>
      </c>
      <c r="J183" s="85">
        <f>IF(H183,An,'2020'!An_max)</f>
        <v>2019</v>
      </c>
      <c r="K183" s="199">
        <f t="shared" si="50"/>
        <v>44365</v>
      </c>
      <c r="L183" s="147">
        <f>IF(t&lt;Tvie,1-EXP((T0-t)*PertePVj)+'2020'!Pspv,1-EXP((T0-t)*PertePVj)+Pspv)</f>
        <v>2.4184611647456333E-2</v>
      </c>
      <c r="M183" s="872"/>
      <c r="N183" s="872"/>
      <c r="O183" s="48">
        <f>IF(t&lt;Tnet,'2020'!Resal+('2020'!Salim-'2020'!Resal)*(1-EXP(('2020'!Tnet-t)/('2020'!Tau_j))),Resal+(Salim-Resal)*(1-EXP((Tnet-t)/(Tau_j))))*Salcycl</f>
        <v>4.9413006091019611E-2</v>
      </c>
      <c r="P183" s="171">
        <f>(INDEX(Models!$BJ183:$BT183,,T183)*(1-R183)+INDEX(Models!$BJ183:$BT183,,T183+1)*R183-ERP_i)*Q183*Ramure*Pc/MaxiM</f>
        <v>1.0736707673009759E-4</v>
      </c>
      <c r="Q183" s="307">
        <f t="shared" si="51"/>
        <v>0.9</v>
      </c>
      <c r="R183" s="179">
        <f t="shared" si="52"/>
        <v>0.6485475238259083</v>
      </c>
      <c r="S183" s="839">
        <f t="shared" si="53"/>
        <v>-1</v>
      </c>
      <c r="T183" s="178">
        <f t="shared" si="54"/>
        <v>5</v>
      </c>
      <c r="U183" s="253">
        <f t="shared" si="55"/>
        <v>-0.3514524761740917</v>
      </c>
      <c r="V183" s="385">
        <f t="shared" si="56"/>
        <v>59.526068295085111</v>
      </c>
      <c r="W183" s="404"/>
      <c r="X183" s="157">
        <f t="shared" si="57"/>
        <v>44365</v>
      </c>
      <c r="Y183" s="387">
        <f t="shared" si="58"/>
        <v>36.207076448970675</v>
      </c>
      <c r="Z183" s="387">
        <f t="shared" si="59"/>
        <v>37.104432745315286</v>
      </c>
      <c r="AA183" s="388">
        <f t="shared" si="60"/>
        <v>43.196541173890111</v>
      </c>
      <c r="AB183" s="199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0.14103232025107512</v>
      </c>
      <c r="AD183" s="233">
        <f>(INDEX(Models!$BJ183:$BT183,,AH183)*(1-AF183)+INDEX(Models!$BJ183:$BT183,,AH183+1)*AF183-ERP_i)*AE183*Ramure*Pc/MaxiM</f>
        <v>1.0736707673009759E-4</v>
      </c>
      <c r="AE183" s="307">
        <f t="shared" si="62"/>
        <v>0.9</v>
      </c>
      <c r="AF183" s="179">
        <f t="shared" si="63"/>
        <v>0.6485475238259083</v>
      </c>
      <c r="AG183" s="839">
        <f t="shared" si="71"/>
        <v>-1</v>
      </c>
      <c r="AH183" s="178">
        <f t="shared" si="64"/>
        <v>5</v>
      </c>
      <c r="AI183" s="227">
        <f t="shared" si="65"/>
        <v>-0.3514524761740917</v>
      </c>
      <c r="AJ183" s="267" t="b">
        <f t="shared" si="66"/>
        <v>0</v>
      </c>
      <c r="AK183" s="267" t="b">
        <f t="shared" si="67"/>
        <v>0</v>
      </c>
      <c r="AL183" s="267"/>
      <c r="AM183" s="267"/>
      <c r="AN183" s="75"/>
    </row>
    <row r="184" spans="1:40" s="6" customFormat="1" ht="11.25" x14ac:dyDescent="0.2">
      <c r="A184" s="56">
        <f t="shared" si="68"/>
        <v>44366</v>
      </c>
      <c r="B184" s="620">
        <v>32.505000000000003</v>
      </c>
      <c r="C184" s="392"/>
      <c r="D184" s="395">
        <f t="shared" si="48"/>
        <v>33.311379226474017</v>
      </c>
      <c r="E184" s="387">
        <f t="shared" si="72"/>
        <v>35.057294176318493</v>
      </c>
      <c r="F184" s="387">
        <f t="shared" si="49"/>
        <v>35.058619401134571</v>
      </c>
      <c r="G184" s="110">
        <f t="shared" si="73"/>
        <v>0.54666381254734597</v>
      </c>
      <c r="H184" s="416" t="b">
        <f>Wh_hp&gt;='2020'!Maxi_hp</f>
        <v>0</v>
      </c>
      <c r="I184" s="382">
        <f>IF(H184,Wh_hp,'2020'!Maxi_hp)</f>
        <v>50.746166815699091</v>
      </c>
      <c r="J184" s="85">
        <f>IF(H184,An,'2020'!An_max)</f>
        <v>2019</v>
      </c>
      <c r="K184" s="199">
        <f t="shared" si="50"/>
        <v>44366</v>
      </c>
      <c r="L184" s="147">
        <f>IF(t&lt;Tvie,1-EXP((T0-t)*PertePVj)+'2020'!Pspv,1-EXP((T0-t)*PertePVj)+Pspv)</f>
        <v>2.4207320297117918E-2</v>
      </c>
      <c r="M184" s="872"/>
      <c r="N184" s="872"/>
      <c r="O184" s="48">
        <f>IF(t&lt;Tnet,'2020'!Resal+('2020'!Salim-'2020'!Resal)*(1-EXP(('2020'!Tnet-t)/('2020'!Tau_j))),Resal+(Salim-Resal)*(1-EXP((Tnet-t)/(Tau_j))))*Salcycl</f>
        <v>4.9801759972218661E-2</v>
      </c>
      <c r="P184" s="171">
        <f>(INDEX(Models!$BJ184:$BT184,,T184)*(1-R184)+INDEX(Models!$BJ184:$BT184,,T184+1)*R184-ERP_i)*Q184*Ramure*Pc/MaxiM</f>
        <v>1.0725572864779958E-4</v>
      </c>
      <c r="Q184" s="307">
        <f t="shared" si="51"/>
        <v>0.9</v>
      </c>
      <c r="R184" s="179">
        <f t="shared" si="52"/>
        <v>0.6545399756400947</v>
      </c>
      <c r="S184" s="839">
        <f t="shared" si="53"/>
        <v>-1</v>
      </c>
      <c r="T184" s="178">
        <f t="shared" si="54"/>
        <v>5</v>
      </c>
      <c r="U184" s="253">
        <f t="shared" si="55"/>
        <v>-0.34546002435990525</v>
      </c>
      <c r="V184" s="385">
        <f t="shared" si="56"/>
        <v>59.456546269430021</v>
      </c>
      <c r="W184" s="404"/>
      <c r="X184" s="157">
        <f t="shared" si="57"/>
        <v>44366</v>
      </c>
      <c r="Y184" s="387">
        <f t="shared" si="58"/>
        <v>29.377442567244682</v>
      </c>
      <c r="Z184" s="387">
        <f t="shared" si="59"/>
        <v>30.106233812073466</v>
      </c>
      <c r="AA184" s="388">
        <f t="shared" si="60"/>
        <v>35.057294176318493</v>
      </c>
      <c r="AB184" s="199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0.14122768115941792</v>
      </c>
      <c r="AD184" s="233">
        <f>(INDEX(Models!$BJ184:$BT184,,AH184)*(1-AF184)+INDEX(Models!$BJ184:$BT184,,AH184+1)*AF184-ERP_i)*AE184*Ramure*Pc/MaxiM</f>
        <v>1.0725572864779958E-4</v>
      </c>
      <c r="AE184" s="307">
        <f t="shared" si="62"/>
        <v>0.9</v>
      </c>
      <c r="AF184" s="179">
        <f t="shared" si="63"/>
        <v>0.6545399756400947</v>
      </c>
      <c r="AG184" s="839">
        <f t="shared" si="71"/>
        <v>-1</v>
      </c>
      <c r="AH184" s="178">
        <f t="shared" si="64"/>
        <v>5</v>
      </c>
      <c r="AI184" s="227">
        <f t="shared" si="65"/>
        <v>-0.34546002435990525</v>
      </c>
      <c r="AJ184" s="267" t="b">
        <f t="shared" si="66"/>
        <v>0</v>
      </c>
      <c r="AK184" s="267" t="b">
        <f t="shared" si="67"/>
        <v>0</v>
      </c>
      <c r="AL184" s="267"/>
      <c r="AM184" s="267"/>
      <c r="AN184" s="75"/>
    </row>
    <row r="185" spans="1:40" s="6" customFormat="1" ht="11.25" x14ac:dyDescent="0.2">
      <c r="A185" s="56">
        <f t="shared" si="68"/>
        <v>44367</v>
      </c>
      <c r="B185" s="620">
        <v>34.221000000000004</v>
      </c>
      <c r="C185" s="392"/>
      <c r="D185" s="395">
        <f t="shared" si="48"/>
        <v>35.070765648310669</v>
      </c>
      <c r="E185" s="387">
        <f t="shared" si="72"/>
        <v>36.923935581590577</v>
      </c>
      <c r="F185" s="387">
        <f t="shared" si="49"/>
        <v>36.925498834349249</v>
      </c>
      <c r="G185" s="110">
        <f t="shared" si="73"/>
        <v>0.57622442718993894</v>
      </c>
      <c r="H185" s="416" t="b">
        <f>Wh_hp&gt;='2020'!Maxi_hp</f>
        <v>0</v>
      </c>
      <c r="I185" s="382">
        <f>IF(H185,Wh_hp,'2020'!Maxi_hp)</f>
        <v>61.778509370898874</v>
      </c>
      <c r="J185" s="85">
        <f>IF(H185,An,'2020'!An_max)</f>
        <v>2020</v>
      </c>
      <c r="K185" s="199">
        <f t="shared" si="50"/>
        <v>44367</v>
      </c>
      <c r="L185" s="147">
        <f>IF(t&lt;Tvie,1-EXP((T0-t)*PertePVj)+'2020'!Pspv,1-EXP((T0-t)*PertePVj)+Pspv)</f>
        <v>2.4230028418315896E-2</v>
      </c>
      <c r="M185" s="872"/>
      <c r="N185" s="872"/>
      <c r="O185" s="48">
        <f>IF(t&lt;Tnet,'2020'!Resal+('2020'!Salim-'2020'!Resal)*(1-EXP(('2020'!Tnet-t)/('2020'!Tau_j))),Resal+(Salim-Resal)*(1-EXP((Tnet-t)/(Tau_j))))*Salcycl</f>
        <v>5.0188851867780195E-2</v>
      </c>
      <c r="P185" s="171">
        <f>(INDEX(Models!$BJ185:$BT185,,T185)*(1-R185)+INDEX(Models!$BJ185:$BT185,,T185+1)*R185-ERP_i)*Q185*Ramure*Pc/MaxiM</f>
        <v>1.0727041468942834E-4</v>
      </c>
      <c r="Q185" s="307">
        <f t="shared" si="51"/>
        <v>0.9</v>
      </c>
      <c r="R185" s="179">
        <f t="shared" si="52"/>
        <v>0.66048757228458066</v>
      </c>
      <c r="S185" s="839">
        <f t="shared" si="53"/>
        <v>-1</v>
      </c>
      <c r="T185" s="178">
        <f t="shared" si="54"/>
        <v>5</v>
      </c>
      <c r="U185" s="253">
        <f t="shared" si="55"/>
        <v>-0.33951242771541928</v>
      </c>
      <c r="V185" s="385">
        <f t="shared" si="56"/>
        <v>59.384462281254748</v>
      </c>
      <c r="W185" s="404"/>
      <c r="X185" s="157">
        <f t="shared" si="57"/>
        <v>44367</v>
      </c>
      <c r="Y185" s="387">
        <f t="shared" si="58"/>
        <v>30.934019468497226</v>
      </c>
      <c r="Z185" s="387">
        <f t="shared" si="59"/>
        <v>31.70216379825095</v>
      </c>
      <c r="AA185" s="388">
        <f t="shared" si="60"/>
        <v>36.923935581590577</v>
      </c>
      <c r="AB185" s="199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0.14141969703638746</v>
      </c>
      <c r="AD185" s="233">
        <f>(INDEX(Models!$BJ185:$BT185,,AH185)*(1-AF185)+INDEX(Models!$BJ185:$BT185,,AH185+1)*AF185-ERP_i)*AE185*Ramure*Pc/MaxiM</f>
        <v>1.0727041468942834E-4</v>
      </c>
      <c r="AE185" s="307">
        <f t="shared" si="62"/>
        <v>0.9</v>
      </c>
      <c r="AF185" s="179">
        <f t="shared" si="63"/>
        <v>0.66048757228458066</v>
      </c>
      <c r="AG185" s="839">
        <f t="shared" si="71"/>
        <v>-1</v>
      </c>
      <c r="AH185" s="178">
        <f t="shared" si="64"/>
        <v>5</v>
      </c>
      <c r="AI185" s="227">
        <f t="shared" si="65"/>
        <v>-0.33951242771541928</v>
      </c>
      <c r="AJ185" s="267" t="b">
        <f t="shared" si="66"/>
        <v>0</v>
      </c>
      <c r="AK185" s="267" t="b">
        <f t="shared" si="67"/>
        <v>0</v>
      </c>
      <c r="AL185" s="267"/>
      <c r="AM185" s="267"/>
      <c r="AN185" s="75"/>
    </row>
    <row r="186" spans="1:40" s="6" customFormat="1" ht="11.25" x14ac:dyDescent="0.2">
      <c r="A186" s="56">
        <f t="shared" si="68"/>
        <v>44368</v>
      </c>
      <c r="B186" s="620">
        <v>35.709000000000003</v>
      </c>
      <c r="C186" s="392"/>
      <c r="D186" s="395">
        <f t="shared" si="48"/>
        <v>36.596566875338802</v>
      </c>
      <c r="E186" s="387">
        <f t="shared" si="72"/>
        <v>38.546001882518574</v>
      </c>
      <c r="F186" s="387">
        <f t="shared" si="49"/>
        <v>38.54778868695881</v>
      </c>
      <c r="G186" s="110">
        <f t="shared" si="73"/>
        <v>0.60203678974777963</v>
      </c>
      <c r="H186" s="416" t="b">
        <f>Wh_hp&gt;='2020'!Maxi_hp</f>
        <v>0</v>
      </c>
      <c r="I186" s="382">
        <f>IF(H186,Wh_hp,'2020'!Maxi_hp)</f>
        <v>55.37097904522787</v>
      </c>
      <c r="J186" s="85">
        <f>IF(H186,An,'2020'!An_max)</f>
        <v>2020</v>
      </c>
      <c r="K186" s="199">
        <f t="shared" si="50"/>
        <v>44368</v>
      </c>
      <c r="L186" s="147">
        <f>IF(t&lt;Tvie,1-EXP((T0-t)*PertePVj)+'2020'!Pspv,1-EXP((T0-t)*PertePVj)+Pspv)</f>
        <v>2.4252736011062814E-2</v>
      </c>
      <c r="M186" s="872"/>
      <c r="N186" s="872"/>
      <c r="O186" s="48">
        <f>IF(t&lt;Tnet,'2020'!Resal+('2020'!Salim-'2020'!Resal)*(1-EXP(('2020'!Tnet-t)/('2020'!Tau_j))),Resal+(Salim-Resal)*(1-EXP((Tnet-t)/(Tau_j))))*Salcycl</f>
        <v>5.0574246665615365E-2</v>
      </c>
      <c r="P186" s="171">
        <f>(INDEX(Models!$BJ186:$BT186,,T186)*(1-R186)+INDEX(Models!$BJ186:$BT186,,T186+1)*R186-ERP_i)*Q186*Ramure*Pc/MaxiM</f>
        <v>1.0741449396847875E-4</v>
      </c>
      <c r="Q186" s="307">
        <f t="shared" si="51"/>
        <v>0.9</v>
      </c>
      <c r="R186" s="179">
        <f t="shared" si="52"/>
        <v>0.66638585266385286</v>
      </c>
      <c r="S186" s="839">
        <f t="shared" si="53"/>
        <v>-1</v>
      </c>
      <c r="T186" s="178">
        <f t="shared" si="54"/>
        <v>5</v>
      </c>
      <c r="U186" s="253">
        <f t="shared" si="55"/>
        <v>-0.33361414733614719</v>
      </c>
      <c r="V186" s="385">
        <f t="shared" si="56"/>
        <v>59.310028989883662</v>
      </c>
      <c r="W186" s="404"/>
      <c r="X186" s="157">
        <f t="shared" si="57"/>
        <v>44368</v>
      </c>
      <c r="Y186" s="387">
        <f t="shared" si="58"/>
        <v>32.285102990173776</v>
      </c>
      <c r="Z186" s="387">
        <f t="shared" si="59"/>
        <v>33.08756701831738</v>
      </c>
      <c r="AA186" s="388">
        <f t="shared" si="60"/>
        <v>38.546001882518574</v>
      </c>
      <c r="AB186" s="199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0.14160832765062237</v>
      </c>
      <c r="AD186" s="233">
        <f>(INDEX(Models!$BJ186:$BT186,,AH186)*(1-AF186)+INDEX(Models!$BJ186:$BT186,,AH186+1)*AF186-ERP_i)*AE186*Ramure*Pc/MaxiM</f>
        <v>1.0741449396847875E-4</v>
      </c>
      <c r="AE186" s="307">
        <f t="shared" si="62"/>
        <v>0.9</v>
      </c>
      <c r="AF186" s="179">
        <f t="shared" si="63"/>
        <v>0.66638585266385286</v>
      </c>
      <c r="AG186" s="839">
        <f t="shared" si="71"/>
        <v>-1</v>
      </c>
      <c r="AH186" s="178">
        <f t="shared" si="64"/>
        <v>5</v>
      </c>
      <c r="AI186" s="227">
        <f t="shared" si="65"/>
        <v>-0.33361414733614719</v>
      </c>
      <c r="AJ186" s="267" t="b">
        <f t="shared" si="66"/>
        <v>0</v>
      </c>
      <c r="AK186" s="267" t="b">
        <f t="shared" si="67"/>
        <v>0</v>
      </c>
      <c r="AL186" s="267"/>
      <c r="AM186" s="267"/>
      <c r="AN186" s="75"/>
    </row>
    <row r="187" spans="1:40" s="6" customFormat="1" ht="11.25" x14ac:dyDescent="0.2">
      <c r="A187" s="56">
        <f t="shared" si="68"/>
        <v>44369</v>
      </c>
      <c r="B187" s="620">
        <v>39.161999999999999</v>
      </c>
      <c r="C187" s="392"/>
      <c r="D187" s="395">
        <f t="shared" si="48"/>
        <v>40.136327124361905</v>
      </c>
      <c r="E187" s="387">
        <f t="shared" si="72"/>
        <v>42.291409045456241</v>
      </c>
      <c r="F187" s="387">
        <f t="shared" si="49"/>
        <v>42.293758908300227</v>
      </c>
      <c r="G187" s="110">
        <f t="shared" si="73"/>
        <v>0.66111213756461407</v>
      </c>
      <c r="H187" s="416" t="b">
        <f>Wh_hp&gt;='2020'!Maxi_hp</f>
        <v>0</v>
      </c>
      <c r="I187" s="382">
        <f>IF(H187,Wh_hp,'2020'!Maxi_hp)</f>
        <v>63.646514520182144</v>
      </c>
      <c r="J187" s="85">
        <f>IF(H187,An,'2020'!An_max)</f>
        <v>2020</v>
      </c>
      <c r="K187" s="199">
        <f t="shared" si="50"/>
        <v>44369</v>
      </c>
      <c r="L187" s="147">
        <f>IF(t&lt;Tvie,1-EXP((T0-t)*PertePVj)+'2020'!Pspv,1-EXP((T0-t)*PertePVj)+Pspv)</f>
        <v>2.4275443075370773E-2</v>
      </c>
      <c r="M187" s="872"/>
      <c r="N187" s="872"/>
      <c r="O187" s="48">
        <f>IF(t&lt;Tnet,'2020'!Resal+('2020'!Salim-'2020'!Resal)*(1-EXP(('2020'!Tnet-t)/('2020'!Tau_j))),Resal+(Salim-Resal)*(1-EXP((Tnet-t)/(Tau_j))))*Salcycl</f>
        <v>5.0957912487095879E-2</v>
      </c>
      <c r="P187" s="171">
        <f>(INDEX(Models!$BJ187:$BT187,,T187)*(1-R187)+INDEX(Models!$BJ187:$BT187,,T187+1)*R187-ERP_i)*Q187*Ramure*Pc/MaxiM</f>
        <v>1.0769132779154846E-4</v>
      </c>
      <c r="Q187" s="307">
        <f t="shared" si="51"/>
        <v>0.9</v>
      </c>
      <c r="R187" s="179">
        <f t="shared" si="52"/>
        <v>0.67223051187042449</v>
      </c>
      <c r="S187" s="839">
        <f t="shared" si="53"/>
        <v>-1</v>
      </c>
      <c r="T187" s="178">
        <f t="shared" si="54"/>
        <v>5</v>
      </c>
      <c r="U187" s="253">
        <f t="shared" si="55"/>
        <v>-0.32776948812957551</v>
      </c>
      <c r="V187" s="385">
        <f t="shared" si="56"/>
        <v>59.233458462525491</v>
      </c>
      <c r="W187" s="404"/>
      <c r="X187" s="157">
        <f t="shared" si="57"/>
        <v>44369</v>
      </c>
      <c r="Y187" s="387">
        <f t="shared" si="58"/>
        <v>35.41368896042367</v>
      </c>
      <c r="Z187" s="387">
        <f t="shared" si="59"/>
        <v>36.294760349215267</v>
      </c>
      <c r="AA187" s="388">
        <f t="shared" si="60"/>
        <v>42.291409045456241</v>
      </c>
      <c r="AB187" s="199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0.14179354227227506</v>
      </c>
      <c r="AD187" s="233">
        <f>(INDEX(Models!$BJ187:$BT187,,AH187)*(1-AF187)+INDEX(Models!$BJ187:$BT187,,AH187+1)*AF187-ERP_i)*AE187*Ramure*Pc/MaxiM</f>
        <v>1.0769132779154846E-4</v>
      </c>
      <c r="AE187" s="307">
        <f t="shared" si="62"/>
        <v>0.9</v>
      </c>
      <c r="AF187" s="179">
        <f t="shared" si="63"/>
        <v>0.67223051187042449</v>
      </c>
      <c r="AG187" s="839">
        <f t="shared" si="71"/>
        <v>-1</v>
      </c>
      <c r="AH187" s="178">
        <f t="shared" si="64"/>
        <v>5</v>
      </c>
      <c r="AI187" s="227">
        <f t="shared" si="65"/>
        <v>-0.32776948812957551</v>
      </c>
      <c r="AJ187" s="267" t="b">
        <f t="shared" si="66"/>
        <v>0</v>
      </c>
      <c r="AK187" s="267" t="b">
        <f t="shared" si="67"/>
        <v>0</v>
      </c>
      <c r="AL187" s="267"/>
      <c r="AM187" s="267"/>
      <c r="AN187" s="75"/>
    </row>
    <row r="188" spans="1:40" s="6" customFormat="1" ht="11.25" x14ac:dyDescent="0.2">
      <c r="A188" s="56">
        <f t="shared" si="68"/>
        <v>44370</v>
      </c>
      <c r="B188" s="620">
        <v>24.852</v>
      </c>
      <c r="C188" s="392"/>
      <c r="D188" s="395">
        <f t="shared" si="48"/>
        <v>25.470895632818827</v>
      </c>
      <c r="E188" s="387">
        <f t="shared" si="72"/>
        <v>26.849335716888834</v>
      </c>
      <c r="F188" s="387">
        <f t="shared" si="49"/>
        <v>26.849833782004513</v>
      </c>
      <c r="G188" s="110">
        <f t="shared" si="73"/>
        <v>0.42007928738564304</v>
      </c>
      <c r="H188" s="416" t="b">
        <f>Wh_hp&gt;='2020'!Maxi_hp</f>
        <v>0</v>
      </c>
      <c r="I188" s="382">
        <f>IF(H188,Wh_hp,'2020'!Maxi_hp)</f>
        <v>56.737228376806002</v>
      </c>
      <c r="J188" s="85">
        <f>IF(H188,An,'2020'!An_max)</f>
        <v>2020</v>
      </c>
      <c r="K188" s="199">
        <f t="shared" si="50"/>
        <v>44370</v>
      </c>
      <c r="L188" s="147">
        <f>IF(t&lt;Tvie,1-EXP((T0-t)*PertePVj)+'2020'!Pspv,1-EXP((T0-t)*PertePVj)+Pspv)</f>
        <v>2.4298149611252318E-2</v>
      </c>
      <c r="M188" s="872"/>
      <c r="N188" s="872"/>
      <c r="O188" s="48">
        <f>IF(t&lt;Tnet,'2020'!Resal+('2020'!Salim-'2020'!Resal)*(1-EXP(('2020'!Tnet-t)/('2020'!Tau_j))),Resal+(Salim-Resal)*(1-EXP((Tnet-t)/(Tau_j))))*Salcycl</f>
        <v>5.1339820791280771E-2</v>
      </c>
      <c r="P188" s="171">
        <f>(INDEX(Models!$BJ188:$BT188,,T188)*(1-R188)+INDEX(Models!$BJ188:$BT188,,T188+1)*R188-ERP_i)*Q188*Ramure*Pc/MaxiM</f>
        <v>1.0810316490731795E-4</v>
      </c>
      <c r="Q188" s="307">
        <f t="shared" si="51"/>
        <v>0.9</v>
      </c>
      <c r="R188" s="179">
        <f t="shared" si="52"/>
        <v>0.67801741255874459</v>
      </c>
      <c r="S188" s="839">
        <f t="shared" si="53"/>
        <v>-1</v>
      </c>
      <c r="T188" s="178">
        <f t="shared" si="54"/>
        <v>5</v>
      </c>
      <c r="U188" s="253">
        <f t="shared" si="55"/>
        <v>-0.32198258744125535</v>
      </c>
      <c r="V188" s="385">
        <f t="shared" si="56"/>
        <v>59.154962242389274</v>
      </c>
      <c r="W188" s="404"/>
      <c r="X188" s="157">
        <f t="shared" si="57"/>
        <v>44370</v>
      </c>
      <c r="Y188" s="387">
        <f t="shared" si="58"/>
        <v>22.477626681389037</v>
      </c>
      <c r="Z188" s="387">
        <f t="shared" si="59"/>
        <v>23.037392695763877</v>
      </c>
      <c r="AA188" s="388">
        <f t="shared" si="60"/>
        <v>26.849335716888834</v>
      </c>
      <c r="AB188" s="199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0.14197531966227231</v>
      </c>
      <c r="AD188" s="233">
        <f>(INDEX(Models!$BJ188:$BT188,,AH188)*(1-AF188)+INDEX(Models!$BJ188:$BT188,,AH188+1)*AF188-ERP_i)*AE188*Ramure*Pc/MaxiM</f>
        <v>1.0810316490731795E-4</v>
      </c>
      <c r="AE188" s="307">
        <f t="shared" si="62"/>
        <v>0.9</v>
      </c>
      <c r="AF188" s="179">
        <f t="shared" si="63"/>
        <v>0.67801741255874459</v>
      </c>
      <c r="AG188" s="839">
        <f t="shared" si="71"/>
        <v>-1</v>
      </c>
      <c r="AH188" s="178">
        <f t="shared" si="64"/>
        <v>5</v>
      </c>
      <c r="AI188" s="227">
        <f t="shared" si="65"/>
        <v>-0.32198258744125535</v>
      </c>
      <c r="AJ188" s="267" t="b">
        <f t="shared" si="66"/>
        <v>0</v>
      </c>
      <c r="AK188" s="267" t="b">
        <f t="shared" si="67"/>
        <v>0</v>
      </c>
      <c r="AL188" s="267"/>
      <c r="AM188" s="267"/>
      <c r="AN188" s="75"/>
    </row>
    <row r="189" spans="1:40" s="6" customFormat="1" ht="11.25" x14ac:dyDescent="0.2">
      <c r="A189" s="56">
        <f t="shared" si="68"/>
        <v>44371</v>
      </c>
      <c r="B189" s="620">
        <v>38.573</v>
      </c>
      <c r="C189" s="392"/>
      <c r="D189" s="395">
        <f t="shared" si="48"/>
        <v>39.534513187181815</v>
      </c>
      <c r="E189" s="387">
        <f t="shared" si="72"/>
        <v>41.690756901961123</v>
      </c>
      <c r="F189" s="387">
        <f t="shared" si="49"/>
        <v>41.693041027713107</v>
      </c>
      <c r="G189" s="110">
        <f t="shared" si="73"/>
        <v>0.65291721431848848</v>
      </c>
      <c r="H189" s="416" t="b">
        <f>Wh_hp&gt;='2020'!Maxi_hp</f>
        <v>0</v>
      </c>
      <c r="I189" s="382">
        <f>IF(H189,Wh_hp,'2020'!Maxi_hp)</f>
        <v>62.884228215867878</v>
      </c>
      <c r="J189" s="85">
        <f>IF(H189,An,'2020'!An_max)</f>
        <v>2020</v>
      </c>
      <c r="K189" s="199">
        <f t="shared" si="50"/>
        <v>44371</v>
      </c>
      <c r="L189" s="147">
        <f>IF(t&lt;Tvie,1-EXP((T0-t)*PertePVj)+'2020'!Pspv,1-EXP((T0-t)*PertePVj)+Pspv)</f>
        <v>2.432085561871955E-2</v>
      </c>
      <c r="M189" s="872"/>
      <c r="N189" s="872"/>
      <c r="O189" s="48">
        <f>IF(t&lt;Tnet,'2020'!Resal+('2020'!Salim-'2020'!Resal)*(1-EXP(('2020'!Tnet-t)/('2020'!Tau_j))),Resal+(Salim-Resal)*(1-EXP((Tnet-t)/(Tau_j))))*Salcycl</f>
        <v>5.1719946458393104E-2</v>
      </c>
      <c r="P189" s="171">
        <f>(INDEX(Models!$BJ189:$BT189,,T189)*(1-R189)+INDEX(Models!$BJ189:$BT189,,T189+1)*R189-ERP_i)*Q189*Ramure*Pc/MaxiM</f>
        <v>1.086521565961112E-4</v>
      </c>
      <c r="Q189" s="307">
        <f t="shared" si="51"/>
        <v>0.9</v>
      </c>
      <c r="R189" s="179">
        <f t="shared" si="52"/>
        <v>0.68374259523995251</v>
      </c>
      <c r="S189" s="839">
        <f t="shared" si="53"/>
        <v>-1</v>
      </c>
      <c r="T189" s="178">
        <f t="shared" si="54"/>
        <v>5</v>
      </c>
      <c r="U189" s="253">
        <f t="shared" si="55"/>
        <v>-0.31625740476004749</v>
      </c>
      <c r="V189" s="385">
        <f t="shared" si="56"/>
        <v>59.074751280905488</v>
      </c>
      <c r="W189" s="404"/>
      <c r="X189" s="157">
        <f t="shared" si="57"/>
        <v>44371</v>
      </c>
      <c r="Y189" s="387">
        <f t="shared" si="58"/>
        <v>34.894446225857379</v>
      </c>
      <c r="Z189" s="387">
        <f t="shared" si="59"/>
        <v>35.764263720103834</v>
      </c>
      <c r="AA189" s="388">
        <f t="shared" si="60"/>
        <v>41.690756901961123</v>
      </c>
      <c r="AB189" s="199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0.14215364800869118</v>
      </c>
      <c r="AD189" s="233">
        <f>(INDEX(Models!$BJ189:$BT189,,AH189)*(1-AF189)+INDEX(Models!$BJ189:$BT189,,AH189+1)*AF189-ERP_i)*AE189*Ramure*Pc/MaxiM</f>
        <v>1.086521565961112E-4</v>
      </c>
      <c r="AE189" s="307">
        <f t="shared" si="62"/>
        <v>0.9</v>
      </c>
      <c r="AF189" s="179">
        <f t="shared" si="63"/>
        <v>0.68374259523995251</v>
      </c>
      <c r="AG189" s="839">
        <f t="shared" si="71"/>
        <v>-1</v>
      </c>
      <c r="AH189" s="178">
        <f t="shared" si="64"/>
        <v>5</v>
      </c>
      <c r="AI189" s="227">
        <f t="shared" si="65"/>
        <v>-0.31625740476004749</v>
      </c>
      <c r="AJ189" s="267" t="b">
        <f t="shared" si="66"/>
        <v>0</v>
      </c>
      <c r="AK189" s="267" t="b">
        <f t="shared" si="67"/>
        <v>0</v>
      </c>
      <c r="AL189" s="267"/>
      <c r="AM189" s="267"/>
      <c r="AN189" s="75"/>
    </row>
    <row r="190" spans="1:40" s="6" customFormat="1" ht="11.25" x14ac:dyDescent="0.2">
      <c r="A190" s="56">
        <f t="shared" si="68"/>
        <v>44372</v>
      </c>
      <c r="B190" s="620">
        <v>53.660000000000004</v>
      </c>
      <c r="C190" s="392"/>
      <c r="D190" s="395">
        <f t="shared" si="48"/>
        <v>54.998868311038798</v>
      </c>
      <c r="E190" s="387">
        <f t="shared" si="72"/>
        <v>58.021698289762433</v>
      </c>
      <c r="F190" s="387">
        <f t="shared" si="49"/>
        <v>58.027223678853936</v>
      </c>
      <c r="G190" s="110">
        <f t="shared" si="73"/>
        <v>0.90958604532773446</v>
      </c>
      <c r="H190" s="416" t="b">
        <f>Wh_hp&gt;='2020'!Maxi_hp</f>
        <v>1</v>
      </c>
      <c r="I190" s="382">
        <f>IF(H190,Wh_hp,'2020'!Maxi_hp)</f>
        <v>58.027223678853936</v>
      </c>
      <c r="J190" s="85">
        <f>IF(H190,An,'2020'!An_max)</f>
        <v>2021</v>
      </c>
      <c r="K190" s="199">
        <f t="shared" si="50"/>
        <v>44372</v>
      </c>
      <c r="L190" s="147">
        <f>IF(t&lt;Tvie,1-EXP((T0-t)*PertePVj)+'2020'!Pspv,1-EXP((T0-t)*PertePVj)+Pspv)</f>
        <v>2.4343561097784794E-2</v>
      </c>
      <c r="M190" s="872"/>
      <c r="N190" s="872"/>
      <c r="O190" s="48">
        <f>IF(t&lt;Tnet,'2020'!Resal+('2020'!Salim-'2020'!Resal)*(1-EXP(('2020'!Tnet-t)/('2020'!Tau_j))),Resal+(Salim-Resal)*(1-EXP((Tnet-t)/(Tau_j))))*Salcycl</f>
        <v>5.2098267851925333E-2</v>
      </c>
      <c r="P190" s="171">
        <f>(INDEX(Models!$BJ190:$BT190,,T190)*(1-R190)+INDEX(Models!$BJ190:$BT190,,T190+1)*R190-ERP_i)*Q190*Ramure*Pc/MaxiM</f>
        <v>1.0934147939964091E-4</v>
      </c>
      <c r="Q190" s="307">
        <f t="shared" si="51"/>
        <v>0.9</v>
      </c>
      <c r="R190" s="179">
        <f t="shared" si="52"/>
        <v>0.68940228745500332</v>
      </c>
      <c r="S190" s="839">
        <f t="shared" si="53"/>
        <v>-1</v>
      </c>
      <c r="T190" s="178">
        <f t="shared" si="54"/>
        <v>5</v>
      </c>
      <c r="U190" s="253">
        <f t="shared" si="55"/>
        <v>-0.31059771254499668</v>
      </c>
      <c r="V190" s="385">
        <f t="shared" si="56"/>
        <v>58.993035874910206</v>
      </c>
      <c r="W190" s="404"/>
      <c r="X190" s="157">
        <f t="shared" si="57"/>
        <v>44372</v>
      </c>
      <c r="Y190" s="387">
        <f t="shared" si="58"/>
        <v>48.552133409823242</v>
      </c>
      <c r="Z190" s="387">
        <f t="shared" si="59"/>
        <v>49.763555565166889</v>
      </c>
      <c r="AA190" s="388">
        <f t="shared" si="60"/>
        <v>58.021698289762433</v>
      </c>
      <c r="AB190" s="199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0.14232852481073685</v>
      </c>
      <c r="AD190" s="233">
        <f>(INDEX(Models!$BJ190:$BT190,,AH190)*(1-AF190)+INDEX(Models!$BJ190:$BT190,,AH190+1)*AF190-ERP_i)*AE190*Ramure*Pc/MaxiM</f>
        <v>1.0934147939964091E-4</v>
      </c>
      <c r="AE190" s="307">
        <f t="shared" si="62"/>
        <v>0.9</v>
      </c>
      <c r="AF190" s="179">
        <f t="shared" si="63"/>
        <v>0.68940228745500332</v>
      </c>
      <c r="AG190" s="839">
        <f t="shared" si="71"/>
        <v>-1</v>
      </c>
      <c r="AH190" s="178">
        <f t="shared" si="64"/>
        <v>5</v>
      </c>
      <c r="AI190" s="227">
        <f t="shared" si="65"/>
        <v>-0.31059771254499668</v>
      </c>
      <c r="AJ190" s="267" t="b">
        <f t="shared" si="66"/>
        <v>0</v>
      </c>
      <c r="AK190" s="267" t="b">
        <f t="shared" si="67"/>
        <v>0</v>
      </c>
      <c r="AL190" s="267"/>
      <c r="AM190" s="267"/>
      <c r="AN190" s="75"/>
    </row>
    <row r="191" spans="1:40" s="6" customFormat="1" ht="11.25" x14ac:dyDescent="0.2">
      <c r="A191" s="56">
        <f t="shared" si="68"/>
        <v>44373</v>
      </c>
      <c r="B191" s="620">
        <v>55.934000000000005</v>
      </c>
      <c r="C191" s="392"/>
      <c r="D191" s="395">
        <f t="shared" si="48"/>
        <v>57.330940960245933</v>
      </c>
      <c r="E191" s="387">
        <f t="shared" si="72"/>
        <v>60.50597805210122</v>
      </c>
      <c r="F191" s="387">
        <f t="shared" si="49"/>
        <v>60.512163811682484</v>
      </c>
      <c r="G191" s="110">
        <f t="shared" si="73"/>
        <v>0.94947540826009647</v>
      </c>
      <c r="H191" s="416" t="b">
        <f>Wh_hp&gt;='2020'!Maxi_hp</f>
        <v>0</v>
      </c>
      <c r="I191" s="382">
        <f>IF(H191,Wh_hp,'2020'!Maxi_hp)</f>
        <v>61.058572386734099</v>
      </c>
      <c r="J191" s="85">
        <f>IF(H191,An,'2020'!An_max)</f>
        <v>2019</v>
      </c>
      <c r="K191" s="199">
        <f t="shared" si="50"/>
        <v>44373</v>
      </c>
      <c r="L191" s="147">
        <f>IF(t&lt;Tvie,1-EXP((T0-t)*PertePVj)+'2020'!Pspv,1-EXP((T0-t)*PertePVj)+Pspv)</f>
        <v>2.4366266048460372E-2</v>
      </c>
      <c r="M191" s="872"/>
      <c r="N191" s="872"/>
      <c r="O191" s="48">
        <f>IF(t&lt;Tnet,'2020'!Resal+('2020'!Salim-'2020'!Resal)*(1-EXP(('2020'!Tnet-t)/('2020'!Tau_j))),Resal+(Salim-Resal)*(1-EXP((Tnet-t)/(Tau_j))))*Salcycl</f>
        <v>5.2474766858925756E-2</v>
      </c>
      <c r="P191" s="171">
        <f>(INDEX(Models!$BJ191:$BT191,,T191)*(1-R191)+INDEX(Models!$BJ191:$BT191,,T191+1)*R191-ERP_i)*Q191*Ramure*Pc/MaxiM</f>
        <v>1.1017438463077945E-4</v>
      </c>
      <c r="Q191" s="307">
        <f t="shared" si="51"/>
        <v>0.9</v>
      </c>
      <c r="R191" s="179">
        <f t="shared" si="52"/>
        <v>0.6949929117953253</v>
      </c>
      <c r="S191" s="839">
        <f t="shared" si="53"/>
        <v>-1</v>
      </c>
      <c r="T191" s="178">
        <f t="shared" si="54"/>
        <v>5</v>
      </c>
      <c r="U191" s="253">
        <f t="shared" si="55"/>
        <v>-0.3050070882046747</v>
      </c>
      <c r="V191" s="385">
        <f t="shared" si="56"/>
        <v>58.909956738192406</v>
      </c>
      <c r="W191" s="404"/>
      <c r="X191" s="157">
        <f t="shared" si="57"/>
        <v>44373</v>
      </c>
      <c r="Y191" s="387">
        <f t="shared" si="58"/>
        <v>50.619662404466581</v>
      </c>
      <c r="Z191" s="387">
        <f t="shared" si="59"/>
        <v>51.883878798906814</v>
      </c>
      <c r="AA191" s="388">
        <f t="shared" si="60"/>
        <v>60.50597805210122</v>
      </c>
      <c r="AB191" s="199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0.14249995671121934</v>
      </c>
      <c r="AD191" s="233">
        <f>(INDEX(Models!$BJ191:$BT191,,AH191)*(1-AF191)+INDEX(Models!$BJ191:$BT191,,AH191+1)*AF191-ERP_i)*AE191*Ramure*Pc/MaxiM</f>
        <v>1.1017438463077945E-4</v>
      </c>
      <c r="AE191" s="307">
        <f t="shared" si="62"/>
        <v>0.9</v>
      </c>
      <c r="AF191" s="179">
        <f t="shared" si="63"/>
        <v>0.6949929117953253</v>
      </c>
      <c r="AG191" s="839">
        <f t="shared" si="71"/>
        <v>-1</v>
      </c>
      <c r="AH191" s="178">
        <f t="shared" si="64"/>
        <v>5</v>
      </c>
      <c r="AI191" s="227">
        <f t="shared" si="65"/>
        <v>-0.3050070882046747</v>
      </c>
      <c r="AJ191" s="267" t="b">
        <f t="shared" si="66"/>
        <v>0</v>
      </c>
      <c r="AK191" s="267" t="b">
        <f t="shared" si="67"/>
        <v>0</v>
      </c>
      <c r="AL191" s="267"/>
      <c r="AM191" s="267"/>
      <c r="AN191" s="75"/>
    </row>
    <row r="192" spans="1:40" s="6" customFormat="1" ht="11.25" x14ac:dyDescent="0.2">
      <c r="A192" s="56">
        <f t="shared" si="68"/>
        <v>44374</v>
      </c>
      <c r="B192" s="620">
        <v>8.2379999999999995</v>
      </c>
      <c r="C192" s="392"/>
      <c r="D192" s="395">
        <f t="shared" si="48"/>
        <v>8.4439389784011105</v>
      </c>
      <c r="E192" s="387">
        <f t="shared" si="72"/>
        <v>8.9150967503166783</v>
      </c>
      <c r="F192" s="387">
        <f t="shared" si="49"/>
        <v>8.9150967503166783</v>
      </c>
      <c r="G192" s="110">
        <f t="shared" si="73"/>
        <v>0.14002603220532844</v>
      </c>
      <c r="H192" s="416" t="b">
        <f>Wh_hp&gt;='2020'!Maxi_hp</f>
        <v>0</v>
      </c>
      <c r="I192" s="382">
        <f>IF(H192,Wh_hp,'2020'!Maxi_hp)</f>
        <v>60.869890690098934</v>
      </c>
      <c r="J192" s="85">
        <f>IF(H192,An,'2020'!An_max)</f>
        <v>2019</v>
      </c>
      <c r="K192" s="199">
        <f t="shared" si="50"/>
        <v>44374</v>
      </c>
      <c r="L192" s="147">
        <f>IF(t&lt;Tvie,1-EXP((T0-t)*PertePVj)+'2020'!Pspv,1-EXP((T0-t)*PertePVj)+Pspv)</f>
        <v>2.4388970470758498E-2</v>
      </c>
      <c r="M192" s="872"/>
      <c r="N192" s="872"/>
      <c r="O192" s="48">
        <f>IF(t&lt;Tnet,'2020'!Resal+('2020'!Salim-'2020'!Resal)*(1-EXP(('2020'!Tnet-t)/('2020'!Tau_j))),Resal+(Salim-Resal)*(1-EXP((Tnet-t)/(Tau_j))))*Salcycl</f>
        <v>5.2849428908197882E-2</v>
      </c>
      <c r="P192" s="171">
        <f>(INDEX(Models!$BJ192:$BT192,,T192)*(1-R192)+INDEX(Models!$BJ192:$BT192,,T192+1)*R192-ERP_i)*Q192*Ramure*Pc/MaxiM</f>
        <v>1.1134248536513658E-4</v>
      </c>
      <c r="Q192" s="307">
        <f t="shared" si="51"/>
        <v>0.9</v>
      </c>
      <c r="R192" s="179">
        <f t="shared" si="52"/>
        <v>0.70051109275173462</v>
      </c>
      <c r="S192" s="839">
        <f t="shared" si="53"/>
        <v>-1</v>
      </c>
      <c r="T192" s="178">
        <f t="shared" si="54"/>
        <v>5</v>
      </c>
      <c r="U192" s="253">
        <f t="shared" si="55"/>
        <v>-0.29948890724826532</v>
      </c>
      <c r="V192" s="385">
        <f t="shared" si="56"/>
        <v>58.825367189773971</v>
      </c>
      <c r="W192" s="404"/>
      <c r="X192" s="157">
        <f t="shared" si="57"/>
        <v>44374</v>
      </c>
      <c r="Y192" s="387">
        <f t="shared" si="58"/>
        <v>7.4567883576521918</v>
      </c>
      <c r="Z192" s="387">
        <f t="shared" si="59"/>
        <v>7.6431980901756438</v>
      </c>
      <c r="AA192" s="388">
        <f t="shared" si="60"/>
        <v>8.9150967503166783</v>
      </c>
      <c r="AB192" s="199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0.14266795927883277</v>
      </c>
      <c r="AD192" s="233">
        <f>(INDEX(Models!$BJ192:$BT192,,AH192)*(1-AF192)+INDEX(Models!$BJ192:$BT192,,AH192+1)*AF192-ERP_i)*AE192*Ramure*Pc/MaxiM</f>
        <v>1.1134248536513658E-4</v>
      </c>
      <c r="AE192" s="307">
        <f t="shared" si="62"/>
        <v>0.9</v>
      </c>
      <c r="AF192" s="179">
        <f t="shared" si="63"/>
        <v>0.70051109275173462</v>
      </c>
      <c r="AG192" s="839">
        <f t="shared" si="71"/>
        <v>-1</v>
      </c>
      <c r="AH192" s="178">
        <f t="shared" si="64"/>
        <v>5</v>
      </c>
      <c r="AI192" s="227">
        <f t="shared" si="65"/>
        <v>-0.29948890724826532</v>
      </c>
      <c r="AJ192" s="267" t="b">
        <f t="shared" si="66"/>
        <v>0</v>
      </c>
      <c r="AK192" s="267" t="b">
        <f t="shared" si="67"/>
        <v>0</v>
      </c>
      <c r="AL192" s="267"/>
      <c r="AM192" s="267"/>
      <c r="AN192" s="75"/>
    </row>
    <row r="193" spans="1:40" s="6" customFormat="1" ht="11.25" x14ac:dyDescent="0.2">
      <c r="A193" s="56">
        <f t="shared" si="68"/>
        <v>44375</v>
      </c>
      <c r="B193" s="620">
        <v>24.722999999999999</v>
      </c>
      <c r="C193" s="392"/>
      <c r="D193" s="395">
        <f t="shared" si="48"/>
        <v>25.341631659952728</v>
      </c>
      <c r="E193" s="387">
        <f t="shared" si="72"/>
        <v>26.7661882333928</v>
      </c>
      <c r="F193" s="387">
        <f t="shared" si="49"/>
        <v>26.766709603867561</v>
      </c>
      <c r="G193" s="110">
        <f t="shared" si="73"/>
        <v>0.42085607764510691</v>
      </c>
      <c r="H193" s="416" t="b">
        <f>Wh_hp&gt;='2020'!Maxi_hp</f>
        <v>0</v>
      </c>
      <c r="I193" s="382">
        <f>IF(H193,Wh_hp,'2020'!Maxi_hp)</f>
        <v>60.798892909051645</v>
      </c>
      <c r="J193" s="85">
        <f>IF(H193,An,'2020'!An_max)</f>
        <v>2019</v>
      </c>
      <c r="K193" s="199">
        <f t="shared" si="50"/>
        <v>44375</v>
      </c>
      <c r="L193" s="147">
        <f>IF(t&lt;Tvie,1-EXP((T0-t)*PertePVj)+'2020'!Pspv,1-EXP((T0-t)*PertePVj)+Pspv)</f>
        <v>2.4411674364691716E-2</v>
      </c>
      <c r="M193" s="872"/>
      <c r="N193" s="872"/>
      <c r="O193" s="48">
        <f>IF(t&lt;Tnet,'2020'!Resal+('2020'!Salim-'2020'!Resal)*(1-EXP(('2020'!Tnet-t)/('2020'!Tau_j))),Resal+(Salim-Resal)*(1-EXP((Tnet-t)/(Tau_j))))*Salcycl</f>
        <v>5.322224296632698E-2</v>
      </c>
      <c r="P193" s="171">
        <f>(INDEX(Models!$BJ193:$BT193,,T193)*(1-R193)+INDEX(Models!$BJ193:$BT193,,T193+1)*R193-ERP_i)*Q193*Ramure*Pc/MaxiM</f>
        <v>1.1278202577651315E-4</v>
      </c>
      <c r="Q193" s="307">
        <f t="shared" si="51"/>
        <v>0.9</v>
      </c>
      <c r="R193" s="179">
        <f t="shared" si="52"/>
        <v>0.70595366238366664</v>
      </c>
      <c r="S193" s="839">
        <f t="shared" si="53"/>
        <v>-1</v>
      </c>
      <c r="T193" s="178">
        <f t="shared" si="54"/>
        <v>5</v>
      </c>
      <c r="U193" s="253">
        <f t="shared" si="55"/>
        <v>-0.29404633761633342</v>
      </c>
      <c r="V193" s="385">
        <f t="shared" si="56"/>
        <v>58.739066680035187</v>
      </c>
      <c r="W193" s="404"/>
      <c r="X193" s="157">
        <f t="shared" si="57"/>
        <v>44375</v>
      </c>
      <c r="Y193" s="387">
        <f t="shared" si="58"/>
        <v>22.383025522340631</v>
      </c>
      <c r="Z193" s="387">
        <f t="shared" si="59"/>
        <v>22.94310513378139</v>
      </c>
      <c r="AA193" s="388">
        <f t="shared" si="60"/>
        <v>26.7661882333928</v>
      </c>
      <c r="AB193" s="199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0.14283255674193568</v>
      </c>
      <c r="AD193" s="233">
        <f>(INDEX(Models!$BJ193:$BT193,,AH193)*(1-AF193)+INDEX(Models!$BJ193:$BT193,,AH193+1)*AF193-ERP_i)*AE193*Ramure*Pc/MaxiM</f>
        <v>1.1278202577651315E-4</v>
      </c>
      <c r="AE193" s="307">
        <f t="shared" si="62"/>
        <v>0.9</v>
      </c>
      <c r="AF193" s="179">
        <f t="shared" si="63"/>
        <v>0.70595366238366664</v>
      </c>
      <c r="AG193" s="839">
        <f t="shared" si="71"/>
        <v>-1</v>
      </c>
      <c r="AH193" s="178">
        <f t="shared" si="64"/>
        <v>5</v>
      </c>
      <c r="AI193" s="227">
        <f t="shared" si="65"/>
        <v>-0.29404633761633342</v>
      </c>
      <c r="AJ193" s="267" t="b">
        <f t="shared" si="66"/>
        <v>0</v>
      </c>
      <c r="AK193" s="267" t="b">
        <f t="shared" si="67"/>
        <v>0</v>
      </c>
      <c r="AL193" s="267"/>
      <c r="AM193" s="267"/>
      <c r="AN193" s="75"/>
    </row>
    <row r="194" spans="1:40" s="6" customFormat="1" ht="11.25" x14ac:dyDescent="0.2">
      <c r="A194" s="56">
        <f t="shared" si="68"/>
        <v>44376</v>
      </c>
      <c r="B194" s="620">
        <v>37.445999999999998</v>
      </c>
      <c r="C194" s="392"/>
      <c r="D194" s="395">
        <f t="shared" si="48"/>
        <v>38.383886378528814</v>
      </c>
      <c r="E194" s="387">
        <f t="shared" si="72"/>
        <v>40.557492232554615</v>
      </c>
      <c r="F194" s="387">
        <f t="shared" si="49"/>
        <v>40.55973764335787</v>
      </c>
      <c r="G194" s="110">
        <f t="shared" si="73"/>
        <v>0.6384184536992038</v>
      </c>
      <c r="H194" s="416" t="b">
        <f>Wh_hp&gt;='2020'!Maxi_hp</f>
        <v>0</v>
      </c>
      <c r="I194" s="382">
        <f>IF(H194,Wh_hp,'2020'!Maxi_hp)</f>
        <v>58.56874819985623</v>
      </c>
      <c r="J194" s="85">
        <f>IF(H194,An,'2020'!An_max)</f>
        <v>2019</v>
      </c>
      <c r="K194" s="199">
        <f t="shared" si="50"/>
        <v>44376</v>
      </c>
      <c r="L194" s="147">
        <f>IF(t&lt;Tvie,1-EXP((T0-t)*PertePVj)+'2020'!Pspv,1-EXP((T0-t)*PertePVj)+Pspv)</f>
        <v>2.4434377730272017E-2</v>
      </c>
      <c r="M194" s="872"/>
      <c r="N194" s="872"/>
      <c r="O194" s="48">
        <f>IF(t&lt;Tnet,'2020'!Resal+('2020'!Salim-'2020'!Resal)*(1-EXP(('2020'!Tnet-t)/('2020'!Tau_j))),Resal+(Salim-Resal)*(1-EXP((Tnet-t)/(Tau_j))))*Salcycl</f>
        <v>5.3593201511633298E-2</v>
      </c>
      <c r="P194" s="171">
        <f>(INDEX(Models!$BJ194:$BT194,,T194)*(1-R194)+INDEX(Models!$BJ194:$BT194,,T194+1)*R194-ERP_i)*Q194*Ramure*Pc/MaxiM</f>
        <v>1.1449755716041115E-4</v>
      </c>
      <c r="Q194" s="307">
        <f t="shared" si="51"/>
        <v>0.9</v>
      </c>
      <c r="R194" s="179">
        <f t="shared" si="52"/>
        <v>0.71131766481173886</v>
      </c>
      <c r="S194" s="839">
        <f t="shared" si="53"/>
        <v>-1</v>
      </c>
      <c r="T194" s="178">
        <f t="shared" si="54"/>
        <v>5</v>
      </c>
      <c r="U194" s="253">
        <f t="shared" si="55"/>
        <v>-0.28868233518826114</v>
      </c>
      <c r="V194" s="385">
        <f t="shared" si="56"/>
        <v>58.650850734936085</v>
      </c>
      <c r="W194" s="404"/>
      <c r="X194" s="157">
        <f t="shared" si="57"/>
        <v>44376</v>
      </c>
      <c r="Y194" s="387">
        <f t="shared" si="58"/>
        <v>33.908732378741703</v>
      </c>
      <c r="Z194" s="387">
        <f t="shared" si="59"/>
        <v>34.758023042930155</v>
      </c>
      <c r="AA194" s="388">
        <f t="shared" si="60"/>
        <v>40.557492232554615</v>
      </c>
      <c r="AB194" s="199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0.14299378167591315</v>
      </c>
      <c r="AD194" s="233">
        <f>(INDEX(Models!$BJ194:$BT194,,AH194)*(1-AF194)+INDEX(Models!$BJ194:$BT194,,AH194+1)*AF194-ERP_i)*AE194*Ramure*Pc/MaxiM</f>
        <v>1.1449755716041115E-4</v>
      </c>
      <c r="AE194" s="307">
        <f t="shared" si="62"/>
        <v>0.9</v>
      </c>
      <c r="AF194" s="179">
        <f t="shared" si="63"/>
        <v>0.71131766481173886</v>
      </c>
      <c r="AG194" s="839">
        <f t="shared" si="71"/>
        <v>-1</v>
      </c>
      <c r="AH194" s="178">
        <f t="shared" si="64"/>
        <v>5</v>
      </c>
      <c r="AI194" s="227">
        <f t="shared" si="65"/>
        <v>-0.28868233518826114</v>
      </c>
      <c r="AJ194" s="267" t="b">
        <f t="shared" si="66"/>
        <v>0</v>
      </c>
      <c r="AK194" s="267" t="b">
        <f t="shared" si="67"/>
        <v>0</v>
      </c>
      <c r="AL194" s="267"/>
      <c r="AM194" s="267"/>
      <c r="AN194" s="75"/>
    </row>
    <row r="195" spans="1:40" s="6" customFormat="1" ht="11.25" x14ac:dyDescent="0.2">
      <c r="A195" s="56">
        <f t="shared" si="68"/>
        <v>44377</v>
      </c>
      <c r="B195" s="620">
        <v>48.052</v>
      </c>
      <c r="C195" s="392"/>
      <c r="D195" s="395">
        <f t="shared" si="48"/>
        <v>49.256674455649524</v>
      </c>
      <c r="E195" s="387">
        <f t="shared" si="72"/>
        <v>52.066291312673087</v>
      </c>
      <c r="F195" s="387">
        <f t="shared" si="49"/>
        <v>52.070802212796387</v>
      </c>
      <c r="G195" s="110">
        <f t="shared" si="73"/>
        <v>0.82052838644065007</v>
      </c>
      <c r="H195" s="416" t="b">
        <f>Wh_hp&gt;='2020'!Maxi_hp</f>
        <v>0</v>
      </c>
      <c r="I195" s="382">
        <f>IF(H195,Wh_hp,'2020'!Maxi_hp)</f>
        <v>57.379355434694759</v>
      </c>
      <c r="J195" s="85">
        <f>IF(H195,An,'2020'!An_max)</f>
        <v>2019</v>
      </c>
      <c r="K195" s="199">
        <f t="shared" si="50"/>
        <v>44377</v>
      </c>
      <c r="L195" s="147">
        <f>IF(t&lt;Tvie,1-EXP((T0-t)*PertePVj)+'2020'!Pspv,1-EXP((T0-t)*PertePVj)+Pspv)</f>
        <v>2.4457080567511835E-2</v>
      </c>
      <c r="M195" s="872"/>
      <c r="N195" s="872"/>
      <c r="O195" s="48">
        <f>IF(t&lt;Tnet,'2020'!Resal+('2020'!Salim-'2020'!Resal)*(1-EXP(('2020'!Tnet-t)/('2020'!Tau_j))),Resal+(Salim-Resal)*(1-EXP((Tnet-t)/(Tau_j))))*Salcycl</f>
        <v>5.3962300486335872E-2</v>
      </c>
      <c r="P195" s="171">
        <f>(INDEX(Models!$BJ195:$BT195,,T195)*(1-R195)+INDEX(Models!$BJ195:$BT195,,T195+1)*R195-ERP_i)*Q195*Ramure*Pc/MaxiM</f>
        <v>1.1649361390895848E-4</v>
      </c>
      <c r="Q195" s="307">
        <f t="shared" si="51"/>
        <v>0.9</v>
      </c>
      <c r="R195" s="179">
        <f t="shared" si="52"/>
        <v>0.71660035954708501</v>
      </c>
      <c r="S195" s="839">
        <f t="shared" si="53"/>
        <v>-1</v>
      </c>
      <c r="T195" s="178">
        <f t="shared" si="54"/>
        <v>5</v>
      </c>
      <c r="U195" s="253">
        <f t="shared" si="55"/>
        <v>-0.28339964045291499</v>
      </c>
      <c r="V195" s="385">
        <f t="shared" si="56"/>
        <v>58.560514991761089</v>
      </c>
      <c r="W195" s="404"/>
      <c r="X195" s="157">
        <f t="shared" si="57"/>
        <v>44377</v>
      </c>
      <c r="Y195" s="387">
        <f t="shared" si="58"/>
        <v>43.521812873894476</v>
      </c>
      <c r="Z195" s="387">
        <f t="shared" si="59"/>
        <v>44.612914518628081</v>
      </c>
      <c r="AA195" s="388">
        <f t="shared" si="60"/>
        <v>52.066291312673087</v>
      </c>
      <c r="AB195" s="199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0.14315167464656425</v>
      </c>
      <c r="AD195" s="233">
        <f>(INDEX(Models!$BJ195:$BT195,,AH195)*(1-AF195)+INDEX(Models!$BJ195:$BT195,,AH195+1)*AF195-ERP_i)*AE195*Ramure*Pc/MaxiM</f>
        <v>1.1649361390895848E-4</v>
      </c>
      <c r="AE195" s="307">
        <f t="shared" si="62"/>
        <v>0.9</v>
      </c>
      <c r="AF195" s="179">
        <f t="shared" si="63"/>
        <v>0.71660035954708501</v>
      </c>
      <c r="AG195" s="839">
        <f t="shared" si="71"/>
        <v>-1</v>
      </c>
      <c r="AH195" s="178">
        <f t="shared" si="64"/>
        <v>5</v>
      </c>
      <c r="AI195" s="227">
        <f t="shared" si="65"/>
        <v>-0.28339964045291499</v>
      </c>
      <c r="AJ195" s="267" t="b">
        <f t="shared" si="66"/>
        <v>0</v>
      </c>
      <c r="AK195" s="267" t="b">
        <f t="shared" si="67"/>
        <v>0</v>
      </c>
      <c r="AL195" s="267"/>
      <c r="AM195" s="267"/>
      <c r="AN195" s="75"/>
    </row>
    <row r="196" spans="1:40" s="6" customFormat="1" ht="11.25" x14ac:dyDescent="0.2">
      <c r="A196" s="56">
        <f t="shared" si="68"/>
        <v>44378</v>
      </c>
      <c r="B196" s="620">
        <v>54.118000000000002</v>
      </c>
      <c r="C196" s="392"/>
      <c r="D196" s="395">
        <f t="shared" si="48"/>
        <v>55.476041449527912</v>
      </c>
      <c r="E196" s="387">
        <f t="shared" si="72"/>
        <v>58.663185275137351</v>
      </c>
      <c r="F196" s="387">
        <f t="shared" si="49"/>
        <v>58.669413098495632</v>
      </c>
      <c r="G196" s="110">
        <f t="shared" si="73"/>
        <v>0.92559093501443745</v>
      </c>
      <c r="H196" s="416" t="b">
        <f>Wh_hp&gt;='2020'!Maxi_hp</f>
        <v>0</v>
      </c>
      <c r="I196" s="382">
        <f>IF(H196,Wh_hp,'2020'!Maxi_hp)</f>
        <v>59.453507668052801</v>
      </c>
      <c r="J196" s="85">
        <f>IF(H196,An,'2020'!An_max)</f>
        <v>2020</v>
      </c>
      <c r="K196" s="199">
        <f t="shared" si="50"/>
        <v>44378</v>
      </c>
      <c r="L196" s="147">
        <f>IF(t&lt;Tvie,1-EXP((T0-t)*PertePVj)+'2020'!Pspv,1-EXP((T0-t)*PertePVj)+Pspv)</f>
        <v>2.4479782876423495E-2</v>
      </c>
      <c r="M196" s="872"/>
      <c r="N196" s="872"/>
      <c r="O196" s="48">
        <f>IF(t&lt;Tnet,'2020'!Resal+('2020'!Salim-'2020'!Resal)*(1-EXP(('2020'!Tnet-t)/('2020'!Tau_j))),Resal+(Salim-Resal)*(1-EXP((Tnet-t)/(Tau_j))))*Salcycl</f>
        <v>5.4329539227393732E-2</v>
      </c>
      <c r="P196" s="171">
        <f>(INDEX(Models!$BJ196:$BT196,,T196)*(1-R196)+INDEX(Models!$BJ196:$BT196,,T196+1)*R196-ERP_i)*Q196*Ramure*Pc/MaxiM</f>
        <v>1.187747220944218E-4</v>
      </c>
      <c r="Q196" s="307">
        <f t="shared" si="51"/>
        <v>0.9</v>
      </c>
      <c r="R196" s="179">
        <f t="shared" si="52"/>
        <v>0.7217992236806765</v>
      </c>
      <c r="S196" s="839">
        <f t="shared" si="53"/>
        <v>-1</v>
      </c>
      <c r="T196" s="178">
        <f t="shared" si="54"/>
        <v>5</v>
      </c>
      <c r="U196" s="253">
        <f t="shared" si="55"/>
        <v>-0.27820077631932355</v>
      </c>
      <c r="V196" s="385">
        <f t="shared" si="56"/>
        <v>58.467855200010455</v>
      </c>
      <c r="W196" s="404"/>
      <c r="X196" s="157">
        <f t="shared" si="57"/>
        <v>44378</v>
      </c>
      <c r="Y196" s="387">
        <f t="shared" si="58"/>
        <v>49.026116872433491</v>
      </c>
      <c r="Z196" s="387">
        <f t="shared" si="59"/>
        <v>50.256382196764847</v>
      </c>
      <c r="AA196" s="388">
        <f t="shared" si="60"/>
        <v>58.663185275137351</v>
      </c>
      <c r="AB196" s="199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0.14330628381230232</v>
      </c>
      <c r="AD196" s="233">
        <f>(INDEX(Models!$BJ196:$BT196,,AH196)*(1-AF196)+INDEX(Models!$BJ196:$BT196,,AH196+1)*AF196-ERP_i)*AE196*Ramure*Pc/MaxiM</f>
        <v>1.187747220944218E-4</v>
      </c>
      <c r="AE196" s="307">
        <f t="shared" si="62"/>
        <v>0.9</v>
      </c>
      <c r="AF196" s="179">
        <f t="shared" si="63"/>
        <v>0.7217992236806765</v>
      </c>
      <c r="AG196" s="839">
        <f t="shared" si="71"/>
        <v>-1</v>
      </c>
      <c r="AH196" s="178">
        <f t="shared" si="64"/>
        <v>5</v>
      </c>
      <c r="AI196" s="227">
        <f t="shared" si="65"/>
        <v>-0.27820077631932355</v>
      </c>
      <c r="AJ196" s="267" t="b">
        <f t="shared" si="66"/>
        <v>0</v>
      </c>
      <c r="AK196" s="267" t="b">
        <f t="shared" si="67"/>
        <v>0</v>
      </c>
      <c r="AL196" s="267"/>
      <c r="AM196" s="267"/>
      <c r="AN196" s="75"/>
    </row>
    <row r="197" spans="1:40" s="6" customFormat="1" ht="11.25" x14ac:dyDescent="0.2">
      <c r="A197" s="56">
        <f t="shared" si="68"/>
        <v>44379</v>
      </c>
      <c r="B197" s="620">
        <v>52.317999999999998</v>
      </c>
      <c r="C197" s="392"/>
      <c r="D197" s="395">
        <f t="shared" si="48"/>
        <v>53.632120202382289</v>
      </c>
      <c r="E197" s="387">
        <f t="shared" si="72"/>
        <v>56.735250194310602</v>
      </c>
      <c r="F197" s="387">
        <f t="shared" si="49"/>
        <v>56.741115224464892</v>
      </c>
      <c r="G197" s="110">
        <f t="shared" si="73"/>
        <v>0.89625952829899469</v>
      </c>
      <c r="H197" s="416" t="b">
        <f>Wh_hp&gt;='2020'!Maxi_hp</f>
        <v>1</v>
      </c>
      <c r="I197" s="382">
        <f>IF(H197,Wh_hp,'2020'!Maxi_hp)</f>
        <v>56.741115224464892</v>
      </c>
      <c r="J197" s="85">
        <f>IF(H197,An,'2020'!An_max)</f>
        <v>2021</v>
      </c>
      <c r="K197" s="199">
        <f t="shared" si="50"/>
        <v>44379</v>
      </c>
      <c r="L197" s="147">
        <f>IF(t&lt;Tvie,1-EXP((T0-t)*PertePVj)+'2020'!Pspv,1-EXP((T0-t)*PertePVj)+Pspv)</f>
        <v>2.4502484657019319E-2</v>
      </c>
      <c r="M197" s="872"/>
      <c r="N197" s="872"/>
      <c r="O197" s="48">
        <f>IF(t&lt;Tnet,'2020'!Resal+('2020'!Salim-'2020'!Resal)*(1-EXP(('2020'!Tnet-t)/('2020'!Tau_j))),Resal+(Salim-Resal)*(1-EXP((Tnet-t)/(Tau_j))))*Salcycl</f>
        <v>5.4694920376670779E-2</v>
      </c>
      <c r="P197" s="171">
        <f>(INDEX(Models!$BJ197:$BT197,,T197)*(1-R197)+INDEX(Models!$BJ197:$BT197,,T197+1)*R197-ERP_i)*Q197*Ramure*Pc/MaxiM</f>
        <v>1.2134540921956207E-4</v>
      </c>
      <c r="Q197" s="307">
        <f t="shared" si="51"/>
        <v>0.9</v>
      </c>
      <c r="R197" s="179">
        <f t="shared" si="52"/>
        <v>0.72691195296488276</v>
      </c>
      <c r="S197" s="839">
        <f t="shared" si="53"/>
        <v>-1</v>
      </c>
      <c r="T197" s="178">
        <f t="shared" si="54"/>
        <v>5</v>
      </c>
      <c r="U197" s="253">
        <f t="shared" si="55"/>
        <v>-0.27308804703511724</v>
      </c>
      <c r="V197" s="385">
        <f t="shared" si="56"/>
        <v>58.372667221693789</v>
      </c>
      <c r="W197" s="404"/>
      <c r="X197" s="157">
        <f t="shared" si="57"/>
        <v>44379</v>
      </c>
      <c r="Y197" s="387">
        <f t="shared" si="58"/>
        <v>47.405417441699129</v>
      </c>
      <c r="Z197" s="387">
        <f t="shared" si="59"/>
        <v>48.596143707276987</v>
      </c>
      <c r="AA197" s="388">
        <f t="shared" si="60"/>
        <v>56.735250194310602</v>
      </c>
      <c r="AB197" s="199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0.1434576644882726</v>
      </c>
      <c r="AD197" s="233">
        <f>(INDEX(Models!$BJ197:$BT197,,AH197)*(1-AF197)+INDEX(Models!$BJ197:$BT197,,AH197+1)*AF197-ERP_i)*AE197*Ramure*Pc/MaxiM</f>
        <v>1.2134540921956207E-4</v>
      </c>
      <c r="AE197" s="307">
        <f t="shared" si="62"/>
        <v>0.9</v>
      </c>
      <c r="AF197" s="179">
        <f t="shared" si="63"/>
        <v>0.72691195296488276</v>
      </c>
      <c r="AG197" s="839">
        <f t="shared" si="71"/>
        <v>-1</v>
      </c>
      <c r="AH197" s="178">
        <f t="shared" si="64"/>
        <v>5</v>
      </c>
      <c r="AI197" s="227">
        <f t="shared" si="65"/>
        <v>-0.27308804703511724</v>
      </c>
      <c r="AJ197" s="267" t="b">
        <f t="shared" si="66"/>
        <v>0</v>
      </c>
      <c r="AK197" s="267" t="b">
        <f t="shared" si="67"/>
        <v>0</v>
      </c>
      <c r="AL197" s="267"/>
      <c r="AM197" s="267"/>
      <c r="AN197" s="75"/>
    </row>
    <row r="198" spans="1:40" s="6" customFormat="1" ht="11.25" x14ac:dyDescent="0.2">
      <c r="A198" s="56">
        <f t="shared" si="68"/>
        <v>44380</v>
      </c>
      <c r="B198" s="620">
        <v>33.305999999999997</v>
      </c>
      <c r="C198" s="392"/>
      <c r="D198" s="395">
        <f t="shared" si="48"/>
        <v>34.143372559594951</v>
      </c>
      <c r="E198" s="387">
        <f t="shared" si="72"/>
        <v>36.132787844210412</v>
      </c>
      <c r="F198" s="387">
        <f t="shared" si="49"/>
        <v>36.134540380566833</v>
      </c>
      <c r="G198" s="110">
        <f t="shared" si="73"/>
        <v>0.5714907395552371</v>
      </c>
      <c r="H198" s="416" t="b">
        <f>Wh_hp&gt;='2020'!Maxi_hp</f>
        <v>0</v>
      </c>
      <c r="I198" s="382">
        <f>IF(H198,Wh_hp,'2020'!Maxi_hp)</f>
        <v>51.509935845707219</v>
      </c>
      <c r="J198" s="85">
        <f>IF(H198,An,'2020'!An_max)</f>
        <v>2019</v>
      </c>
      <c r="K198" s="199">
        <f t="shared" si="50"/>
        <v>44380</v>
      </c>
      <c r="L198" s="147">
        <f>IF(t&lt;Tvie,1-EXP((T0-t)*PertePVj)+'2020'!Pspv,1-EXP((T0-t)*PertePVj)+Pspv)</f>
        <v>2.452518590931152E-2</v>
      </c>
      <c r="M198" s="872"/>
      <c r="N198" s="872"/>
      <c r="O198" s="48">
        <f>IF(t&lt;Tnet,'2020'!Resal+('2020'!Salim-'2020'!Resal)*(1-EXP(('2020'!Tnet-t)/('2020'!Tau_j))),Resal+(Salim-Resal)*(1-EXP((Tnet-t)/(Tau_j))))*Salcycl</f>
        <v>5.5058449771243655E-2</v>
      </c>
      <c r="P198" s="171">
        <f>(INDEX(Models!$BJ198:$BT198,,T198)*(1-R198)+INDEX(Models!$BJ198:$BT198,,T198+1)*R198-ERP_i)*Q198*Ramure*Pc/MaxiM</f>
        <v>1.2503095651477723E-4</v>
      </c>
      <c r="Q198" s="307">
        <f t="shared" si="51"/>
        <v>0.9</v>
      </c>
      <c r="R198" s="179">
        <f t="shared" si="52"/>
        <v>0.73193646182770977</v>
      </c>
      <c r="S198" s="839">
        <f t="shared" si="53"/>
        <v>-1</v>
      </c>
      <c r="T198" s="178">
        <f t="shared" si="54"/>
        <v>5</v>
      </c>
      <c r="U198" s="253">
        <f t="shared" si="55"/>
        <v>-0.26806353817229028</v>
      </c>
      <c r="V198" s="385">
        <f t="shared" si="56"/>
        <v>58.274699206020706</v>
      </c>
      <c r="W198" s="404"/>
      <c r="X198" s="157">
        <f t="shared" si="57"/>
        <v>44380</v>
      </c>
      <c r="Y198" s="387">
        <f t="shared" si="58"/>
        <v>30.185002022526557</v>
      </c>
      <c r="Z198" s="387">
        <f t="shared" si="59"/>
        <v>30.943907096836949</v>
      </c>
      <c r="AA198" s="388">
        <f t="shared" si="60"/>
        <v>36.132787844210412</v>
      </c>
      <c r="AB198" s="199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0.14360587867578234</v>
      </c>
      <c r="AD198" s="233">
        <f>(INDEX(Models!$BJ198:$BT198,,AH198)*(1-AF198)+INDEX(Models!$BJ198:$BT198,,AH198+1)*AF198-ERP_i)*AE198*Ramure*Pc/MaxiM</f>
        <v>1.2503095651477723E-4</v>
      </c>
      <c r="AE198" s="307">
        <f t="shared" si="62"/>
        <v>0.9</v>
      </c>
      <c r="AF198" s="179">
        <f t="shared" si="63"/>
        <v>0.73193646182770977</v>
      </c>
      <c r="AG198" s="839">
        <f t="shared" si="71"/>
        <v>-1</v>
      </c>
      <c r="AH198" s="178">
        <f t="shared" si="64"/>
        <v>5</v>
      </c>
      <c r="AI198" s="227">
        <f t="shared" si="65"/>
        <v>-0.26806353817229028</v>
      </c>
      <c r="AJ198" s="267" t="b">
        <f t="shared" si="66"/>
        <v>0</v>
      </c>
      <c r="AK198" s="267" t="b">
        <f t="shared" si="67"/>
        <v>0</v>
      </c>
      <c r="AL198" s="267"/>
      <c r="AM198" s="267"/>
      <c r="AN198" s="75"/>
    </row>
    <row r="199" spans="1:40" s="6" customFormat="1" ht="11.25" x14ac:dyDescent="0.2">
      <c r="A199" s="56">
        <f t="shared" si="68"/>
        <v>44381</v>
      </c>
      <c r="B199" s="620">
        <v>34.670999999999999</v>
      </c>
      <c r="C199" s="392"/>
      <c r="D199" s="395">
        <f t="shared" si="48"/>
        <v>35.543518256714904</v>
      </c>
      <c r="E199" s="387">
        <f t="shared" si="72"/>
        <v>37.628918022925333</v>
      </c>
      <c r="F199" s="387">
        <f t="shared" si="49"/>
        <v>37.630982959841589</v>
      </c>
      <c r="G199" s="110">
        <f t="shared" si="73"/>
        <v>0.59594580571391464</v>
      </c>
      <c r="H199" s="416" t="b">
        <f>Wh_hp&gt;='2020'!Maxi_hp</f>
        <v>0</v>
      </c>
      <c r="I199" s="382">
        <f>IF(H199,Wh_hp,'2020'!Maxi_hp)</f>
        <v>59.188715550013768</v>
      </c>
      <c r="J199" s="85">
        <f>IF(H199,An,'2020'!An_max)</f>
        <v>2019</v>
      </c>
      <c r="K199" s="199">
        <f t="shared" si="50"/>
        <v>44381</v>
      </c>
      <c r="L199" s="147">
        <f>IF(t&lt;Tvie,1-EXP((T0-t)*PertePVj)+'2020'!Pspv,1-EXP((T0-t)*PertePVj)+Pspv)</f>
        <v>2.4547886633312421E-2</v>
      </c>
      <c r="M199" s="872"/>
      <c r="N199" s="872"/>
      <c r="O199" s="48">
        <f>IF(t&lt;Tnet,'2020'!Resal+('2020'!Salim-'2020'!Resal)*(1-EXP(('2020'!Tnet-t)/('2020'!Tau_j))),Resal+(Salim-Resal)*(1-EXP((Tnet-t)/(Tau_j))))*Salcycl</f>
        <v>5.5420136314839066E-2</v>
      </c>
      <c r="P199" s="171">
        <f>(INDEX(Models!$BJ199:$BT199,,T199)*(1-R199)+INDEX(Models!$BJ199:$BT199,,T199+1)*R199-ERP_i)*Q199*Ramure*Pc/MaxiM</f>
        <v>1.2977217126650622E-4</v>
      </c>
      <c r="Q199" s="307">
        <f t="shared" si="51"/>
        <v>0.9</v>
      </c>
      <c r="R199" s="179">
        <f t="shared" si="52"/>
        <v>0.73687088236744702</v>
      </c>
      <c r="S199" s="839">
        <f t="shared" si="53"/>
        <v>-1</v>
      </c>
      <c r="T199" s="178">
        <f t="shared" si="54"/>
        <v>5</v>
      </c>
      <c r="U199" s="253">
        <f t="shared" si="55"/>
        <v>-0.26312911763255303</v>
      </c>
      <c r="V199" s="385">
        <f t="shared" si="56"/>
        <v>58.173751215252537</v>
      </c>
      <c r="W199" s="404"/>
      <c r="X199" s="157">
        <f t="shared" si="57"/>
        <v>44381</v>
      </c>
      <c r="Y199" s="387">
        <f t="shared" si="58"/>
        <v>31.428797509790041</v>
      </c>
      <c r="Z199" s="387">
        <f t="shared" si="59"/>
        <v>32.219723632886804</v>
      </c>
      <c r="AA199" s="388">
        <f t="shared" si="60"/>
        <v>37.628918022925333</v>
      </c>
      <c r="AB199" s="199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0.1437509945606989</v>
      </c>
      <c r="AD199" s="233">
        <f>(INDEX(Models!$BJ199:$BT199,,AH199)*(1-AF199)+INDEX(Models!$BJ199:$BT199,,AH199+1)*AF199-ERP_i)*AE199*Ramure*Pc/MaxiM</f>
        <v>1.2977217126650622E-4</v>
      </c>
      <c r="AE199" s="307">
        <f t="shared" si="62"/>
        <v>0.9</v>
      </c>
      <c r="AF199" s="179">
        <f t="shared" si="63"/>
        <v>0.73687088236744702</v>
      </c>
      <c r="AG199" s="839">
        <f t="shared" si="71"/>
        <v>-1</v>
      </c>
      <c r="AH199" s="178">
        <f t="shared" si="64"/>
        <v>5</v>
      </c>
      <c r="AI199" s="227">
        <f t="shared" si="65"/>
        <v>-0.26312911763255303</v>
      </c>
      <c r="AJ199" s="267" t="b">
        <f t="shared" si="66"/>
        <v>0</v>
      </c>
      <c r="AK199" s="267" t="b">
        <f t="shared" si="67"/>
        <v>0</v>
      </c>
      <c r="AL199" s="267"/>
      <c r="AM199" s="267"/>
      <c r="AN199" s="75"/>
    </row>
    <row r="200" spans="1:40" s="6" customFormat="1" ht="11.25" x14ac:dyDescent="0.2">
      <c r="A200" s="56">
        <f t="shared" si="68"/>
        <v>44382</v>
      </c>
      <c r="B200" s="620">
        <v>57.122</v>
      </c>
      <c r="C200" s="392"/>
      <c r="D200" s="395">
        <f t="shared" si="48"/>
        <v>58.560875065583133</v>
      </c>
      <c r="E200" s="387">
        <f t="shared" si="72"/>
        <v>62.020370844689154</v>
      </c>
      <c r="F200" s="387">
        <f t="shared" si="49"/>
        <v>62.028584740771763</v>
      </c>
      <c r="G200" s="110">
        <f t="shared" si="73"/>
        <v>0.98367821533520372</v>
      </c>
      <c r="H200" s="416" t="b">
        <f>Wh_hp&gt;='2020'!Maxi_hp</f>
        <v>1</v>
      </c>
      <c r="I200" s="382">
        <f>IF(H200,Wh_hp,'2020'!Maxi_hp)</f>
        <v>62.028584740771763</v>
      </c>
      <c r="J200" s="85">
        <f>IF(H200,An,'2020'!An_max)</f>
        <v>2021</v>
      </c>
      <c r="K200" s="199">
        <f t="shared" si="50"/>
        <v>44382</v>
      </c>
      <c r="L200" s="147">
        <f>IF(t&lt;Tvie,1-EXP((T0-t)*PertePVj)+'2020'!Pspv,1-EXP((T0-t)*PertePVj)+Pspv)</f>
        <v>2.4570586829034236E-2</v>
      </c>
      <c r="M200" s="872"/>
      <c r="N200" s="872"/>
      <c r="O200" s="48">
        <f>IF(t&lt;Tnet,'2020'!Resal+('2020'!Salim-'2020'!Resal)*(1-EXP(('2020'!Tnet-t)/('2020'!Tau_j))),Resal+(Salim-Resal)*(1-EXP((Tnet-t)/(Tau_j))))*Salcycl</f>
        <v>5.5779991831542905E-2</v>
      </c>
      <c r="P200" s="171">
        <f>(INDEX(Models!$BJ200:$BT200,,T200)*(1-R200)+INDEX(Models!$BJ200:$BT200,,T200+1)*R200-ERP_i)*Q200*Ramure*Pc/MaxiM</f>
        <v>1.3558188097193355E-4</v>
      </c>
      <c r="Q200" s="307">
        <f t="shared" si="51"/>
        <v>0.9</v>
      </c>
      <c r="R200" s="179">
        <f t="shared" si="52"/>
        <v>0.74171356238180075</v>
      </c>
      <c r="S200" s="839">
        <f t="shared" si="53"/>
        <v>-1</v>
      </c>
      <c r="T200" s="178">
        <f t="shared" si="54"/>
        <v>5</v>
      </c>
      <c r="U200" s="253">
        <f t="shared" si="55"/>
        <v>-0.25828643761819919</v>
      </c>
      <c r="V200" s="385">
        <f t="shared" si="56"/>
        <v>58.069619249362013</v>
      </c>
      <c r="W200" s="404"/>
      <c r="X200" s="157">
        <f t="shared" si="57"/>
        <v>44382</v>
      </c>
      <c r="Y200" s="387">
        <f t="shared" si="58"/>
        <v>51.791466733733408</v>
      </c>
      <c r="Z200" s="387">
        <f t="shared" si="59"/>
        <v>53.096068289931502</v>
      </c>
      <c r="AA200" s="388">
        <f t="shared" si="60"/>
        <v>62.020370844689154</v>
      </c>
      <c r="AB200" s="199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0.14389308598469702</v>
      </c>
      <c r="AD200" s="233">
        <f>(INDEX(Models!$BJ200:$BT200,,AH200)*(1-AF200)+INDEX(Models!$BJ200:$BT200,,AH200+1)*AF200-ERP_i)*AE200*Ramure*Pc/MaxiM</f>
        <v>1.3558188097193355E-4</v>
      </c>
      <c r="AE200" s="307">
        <f t="shared" si="62"/>
        <v>0.9</v>
      </c>
      <c r="AF200" s="179">
        <f t="shared" si="63"/>
        <v>0.74171356238180075</v>
      </c>
      <c r="AG200" s="839">
        <f t="shared" si="71"/>
        <v>-1</v>
      </c>
      <c r="AH200" s="178">
        <f t="shared" si="64"/>
        <v>5</v>
      </c>
      <c r="AI200" s="227">
        <f t="shared" si="65"/>
        <v>-0.25828643761819919</v>
      </c>
      <c r="AJ200" s="267" t="b">
        <f t="shared" si="66"/>
        <v>0</v>
      </c>
      <c r="AK200" s="267" t="b">
        <f t="shared" si="67"/>
        <v>0</v>
      </c>
      <c r="AL200" s="267"/>
      <c r="AM200" s="267"/>
      <c r="AN200" s="75"/>
    </row>
    <row r="201" spans="1:40" s="6" customFormat="1" ht="11.25" x14ac:dyDescent="0.2">
      <c r="A201" s="56">
        <f t="shared" si="68"/>
        <v>44383</v>
      </c>
      <c r="B201" s="620">
        <v>21.157</v>
      </c>
      <c r="C201" s="392"/>
      <c r="D201" s="395">
        <f t="shared" si="48"/>
        <v>21.690439185114194</v>
      </c>
      <c r="E201" s="387">
        <f t="shared" si="72"/>
        <v>22.980520346494355</v>
      </c>
      <c r="F201" s="387">
        <f t="shared" si="49"/>
        <v>22.980824441879385</v>
      </c>
      <c r="G201" s="110">
        <f t="shared" si="73"/>
        <v>0.36496720821775364</v>
      </c>
      <c r="H201" s="416" t="b">
        <f>Wh_hp&gt;='2020'!Maxi_hp</f>
        <v>0</v>
      </c>
      <c r="I201" s="382">
        <f>IF(H201,Wh_hp,'2020'!Maxi_hp)</f>
        <v>61.321046316933298</v>
      </c>
      <c r="J201" s="85">
        <f>IF(H201,An,'2020'!An_max)</f>
        <v>2020</v>
      </c>
      <c r="K201" s="199">
        <f t="shared" si="50"/>
        <v>44383</v>
      </c>
      <c r="L201" s="147">
        <f>IF(t&lt;Tvie,1-EXP((T0-t)*PertePVj)+'2020'!Pspv,1-EXP((T0-t)*PertePVj)+Pspv)</f>
        <v>2.4593286496489397E-2</v>
      </c>
      <c r="M201" s="872"/>
      <c r="N201" s="872"/>
      <c r="O201" s="48">
        <f>IF(t&lt;Tnet,'2020'!Resal+('2020'!Salim-'2020'!Resal)*(1-EXP(('2020'!Tnet-t)/('2020'!Tau_j))),Resal+(Salim-Resal)*(1-EXP((Tnet-t)/(Tau_j))))*Salcycl</f>
        <v>5.6138030903071463E-2</v>
      </c>
      <c r="P201" s="171">
        <f>(INDEX(Models!$BJ201:$BT201,,T201)*(1-R201)+INDEX(Models!$BJ201:$BT201,,T201+1)*R201-ERP_i)*Q201*Ramure*Pc/MaxiM</f>
        <v>1.4247308086730212E-4</v>
      </c>
      <c r="Q201" s="307">
        <f t="shared" si="51"/>
        <v>0.9</v>
      </c>
      <c r="R201" s="179">
        <f t="shared" si="52"/>
        <v>0.74646306249095651</v>
      </c>
      <c r="S201" s="839">
        <f t="shared" si="53"/>
        <v>-1</v>
      </c>
      <c r="T201" s="178">
        <f t="shared" si="54"/>
        <v>5</v>
      </c>
      <c r="U201" s="253">
        <f t="shared" si="55"/>
        <v>-0.25353693750904344</v>
      </c>
      <c r="V201" s="385">
        <f t="shared" si="56"/>
        <v>57.96209945996813</v>
      </c>
      <c r="W201" s="404"/>
      <c r="X201" s="157">
        <f t="shared" si="57"/>
        <v>44383</v>
      </c>
      <c r="Y201" s="387">
        <f t="shared" si="58"/>
        <v>19.18682038556739</v>
      </c>
      <c r="Z201" s="387">
        <f t="shared" si="59"/>
        <v>19.670584710916422</v>
      </c>
      <c r="AA201" s="388">
        <f t="shared" si="60"/>
        <v>22.980520346494355</v>
      </c>
      <c r="AB201" s="199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0.14403223189342873</v>
      </c>
      <c r="AD201" s="233">
        <f>(INDEX(Models!$BJ201:$BT201,,AH201)*(1-AF201)+INDEX(Models!$BJ201:$BT201,,AH201+1)*AF201-ERP_i)*AE201*Ramure*Pc/MaxiM</f>
        <v>1.4247308086730212E-4</v>
      </c>
      <c r="AE201" s="307">
        <f t="shared" si="62"/>
        <v>0.9</v>
      </c>
      <c r="AF201" s="179">
        <f t="shared" si="63"/>
        <v>0.74646306249095651</v>
      </c>
      <c r="AG201" s="839">
        <f t="shared" si="71"/>
        <v>-1</v>
      </c>
      <c r="AH201" s="178">
        <f t="shared" si="64"/>
        <v>5</v>
      </c>
      <c r="AI201" s="227">
        <f t="shared" si="65"/>
        <v>-0.25353693750904344</v>
      </c>
      <c r="AJ201" s="267" t="b">
        <f t="shared" si="66"/>
        <v>0</v>
      </c>
      <c r="AK201" s="267" t="b">
        <f t="shared" si="67"/>
        <v>0</v>
      </c>
      <c r="AL201" s="267"/>
      <c r="AM201" s="267"/>
      <c r="AN201" s="75"/>
    </row>
    <row r="202" spans="1:40" s="6" customFormat="1" ht="11.25" x14ac:dyDescent="0.2">
      <c r="A202" s="56">
        <f t="shared" si="68"/>
        <v>44384</v>
      </c>
      <c r="B202" s="620">
        <v>35.736000000000004</v>
      </c>
      <c r="C202" s="392"/>
      <c r="D202" s="395">
        <f t="shared" si="48"/>
        <v>36.637877465410732</v>
      </c>
      <c r="E202" s="387">
        <f t="shared" si="72"/>
        <v>38.83164280543847</v>
      </c>
      <c r="F202" s="387">
        <f t="shared" si="49"/>
        <v>38.834294886879867</v>
      </c>
      <c r="G202" s="110">
        <f t="shared" si="73"/>
        <v>0.61767421140191436</v>
      </c>
      <c r="H202" s="416" t="b">
        <f>Wh_hp&gt;='2020'!Maxi_hp</f>
        <v>0</v>
      </c>
      <c r="I202" s="382">
        <f>IF(H202,Wh_hp,'2020'!Maxi_hp)</f>
        <v>52.999981342766986</v>
      </c>
      <c r="J202" s="85">
        <f>IF(H202,An,'2020'!An_max)</f>
        <v>2019</v>
      </c>
      <c r="K202" s="199">
        <f t="shared" si="50"/>
        <v>44384</v>
      </c>
      <c r="L202" s="147">
        <f>IF(t&lt;Tvie,1-EXP((T0-t)*PertePVj)+'2020'!Pspv,1-EXP((T0-t)*PertePVj)+Pspv)</f>
        <v>2.4615985635690119E-2</v>
      </c>
      <c r="M202" s="872"/>
      <c r="N202" s="872"/>
      <c r="O202" s="48">
        <f>IF(t&lt;Tnet,'2020'!Resal+('2020'!Salim-'2020'!Resal)*(1-EXP(('2020'!Tnet-t)/('2020'!Tau_j))),Resal+(Salim-Resal)*(1-EXP((Tnet-t)/(Tau_j))))*Salcycl</f>
        <v>5.6494270691027734E-2</v>
      </c>
      <c r="P202" s="171">
        <f>(INDEX(Models!$BJ202:$BT202,,T202)*(1-R202)+INDEX(Models!$BJ202:$BT202,,T202+1)*R202-ERP_i)*Q202*Ramure*Pc/MaxiM</f>
        <v>1.5045898344075495E-4</v>
      </c>
      <c r="Q202" s="307">
        <f t="shared" si="51"/>
        <v>0.9</v>
      </c>
      <c r="R202" s="179">
        <f t="shared" si="52"/>
        <v>0.75111815241840396</v>
      </c>
      <c r="S202" s="839">
        <f t="shared" si="53"/>
        <v>-1</v>
      </c>
      <c r="T202" s="178">
        <f t="shared" si="54"/>
        <v>5</v>
      </c>
      <c r="U202" s="253">
        <f t="shared" si="55"/>
        <v>-0.24888184758159604</v>
      </c>
      <c r="V202" s="385">
        <f t="shared" si="56"/>
        <v>57.850988157708258</v>
      </c>
      <c r="W202" s="404"/>
      <c r="X202" s="157">
        <f t="shared" si="57"/>
        <v>44384</v>
      </c>
      <c r="Y202" s="387">
        <f t="shared" si="58"/>
        <v>32.415271015886333</v>
      </c>
      <c r="Z202" s="387">
        <f t="shared" si="59"/>
        <v>33.233342497429014</v>
      </c>
      <c r="AA202" s="388">
        <f t="shared" si="60"/>
        <v>38.83164280543847</v>
      </c>
      <c r="AB202" s="199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0.1441685157658433</v>
      </c>
      <c r="AD202" s="233">
        <f>(INDEX(Models!$BJ202:$BT202,,AH202)*(1-AF202)+INDEX(Models!$BJ202:$BT202,,AH202+1)*AF202-ERP_i)*AE202*Ramure*Pc/MaxiM</f>
        <v>1.5045898344075495E-4</v>
      </c>
      <c r="AE202" s="307">
        <f t="shared" si="62"/>
        <v>0.9</v>
      </c>
      <c r="AF202" s="179">
        <f t="shared" si="63"/>
        <v>0.75111815241840396</v>
      </c>
      <c r="AG202" s="839">
        <f t="shared" si="71"/>
        <v>-1</v>
      </c>
      <c r="AH202" s="178">
        <f t="shared" si="64"/>
        <v>5</v>
      </c>
      <c r="AI202" s="227">
        <f t="shared" si="65"/>
        <v>-0.24888184758159604</v>
      </c>
      <c r="AJ202" s="267" t="b">
        <f t="shared" si="66"/>
        <v>0</v>
      </c>
      <c r="AK202" s="267" t="b">
        <f t="shared" si="67"/>
        <v>0</v>
      </c>
      <c r="AL202" s="267"/>
      <c r="AM202" s="267"/>
      <c r="AN202" s="75"/>
    </row>
    <row r="203" spans="1:40" s="6" customFormat="1" ht="11.25" x14ac:dyDescent="0.2">
      <c r="A203" s="56">
        <f t="shared" si="68"/>
        <v>44385</v>
      </c>
      <c r="B203" s="620">
        <v>50.313000000000002</v>
      </c>
      <c r="C203" s="392"/>
      <c r="D203" s="395">
        <f t="shared" si="48"/>
        <v>51.583960925433217</v>
      </c>
      <c r="E203" s="387">
        <f t="shared" si="72"/>
        <v>54.693199921384007</v>
      </c>
      <c r="F203" s="387">
        <f t="shared" si="49"/>
        <v>54.700324524515139</v>
      </c>
      <c r="G203" s="110">
        <f t="shared" si="73"/>
        <v>0.87140525979855388</v>
      </c>
      <c r="H203" s="416" t="b">
        <f>Wh_hp&gt;='2020'!Maxi_hp</f>
        <v>0</v>
      </c>
      <c r="I203" s="382">
        <f>IF(H203,Wh_hp,'2020'!Maxi_hp)</f>
        <v>62.733188340922247</v>
      </c>
      <c r="J203" s="85">
        <f>IF(H203,An,'2020'!An_max)</f>
        <v>2020</v>
      </c>
      <c r="K203" s="199">
        <f t="shared" si="50"/>
        <v>44385</v>
      </c>
      <c r="L203" s="147">
        <f>IF(t&lt;Tvie,1-EXP((T0-t)*PertePVj)+'2020'!Pspv,1-EXP((T0-t)*PertePVj)+Pspv)</f>
        <v>2.4638684246648723E-2</v>
      </c>
      <c r="M203" s="872"/>
      <c r="N203" s="872"/>
      <c r="O203" s="48">
        <f>IF(t&lt;Tnet,'2020'!Resal+('2020'!Salim-'2020'!Resal)*(1-EXP(('2020'!Tnet-t)/('2020'!Tau_j))),Resal+(Salim-Resal)*(1-EXP((Tnet-t)/(Tau_j))))*Salcycl</f>
        <v>5.6848730745686991E-2</v>
      </c>
      <c r="P203" s="171">
        <f>(INDEX(Models!$BJ203:$BT203,,T203)*(1-R203)+INDEX(Models!$BJ203:$BT203,,T203+1)*R203-ERP_i)*Q203*Ramure*Pc/MaxiM</f>
        <v>1.595530714954636E-4</v>
      </c>
      <c r="Q203" s="307">
        <f t="shared" si="51"/>
        <v>0.9</v>
      </c>
      <c r="R203" s="179">
        <f t="shared" si="52"/>
        <v>0.75567780649677263</v>
      </c>
      <c r="S203" s="839">
        <f t="shared" si="53"/>
        <v>-1</v>
      </c>
      <c r="T203" s="178">
        <f t="shared" si="54"/>
        <v>5</v>
      </c>
      <c r="U203" s="253">
        <f t="shared" si="55"/>
        <v>-0.24432219350322743</v>
      </c>
      <c r="V203" s="385">
        <f t="shared" si="56"/>
        <v>57.7360818193185</v>
      </c>
      <c r="W203" s="404"/>
      <c r="X203" s="157">
        <f t="shared" si="57"/>
        <v>44385</v>
      </c>
      <c r="Y203" s="387">
        <f t="shared" si="58"/>
        <v>45.6477487951163</v>
      </c>
      <c r="Z203" s="387">
        <f t="shared" si="59"/>
        <v>46.800860417412402</v>
      </c>
      <c r="AA203" s="388">
        <f t="shared" si="60"/>
        <v>54.693199921384007</v>
      </c>
      <c r="AB203" s="199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0.14430202502899897</v>
      </c>
      <c r="AD203" s="233">
        <f>(INDEX(Models!$BJ203:$BT203,,AH203)*(1-AF203)+INDEX(Models!$BJ203:$BT203,,AH203+1)*AF203-ERP_i)*AE203*Ramure*Pc/MaxiM</f>
        <v>1.595530714954636E-4</v>
      </c>
      <c r="AE203" s="307">
        <f t="shared" si="62"/>
        <v>0.9</v>
      </c>
      <c r="AF203" s="179">
        <f t="shared" si="63"/>
        <v>0.75567780649677263</v>
      </c>
      <c r="AG203" s="839">
        <f t="shared" si="71"/>
        <v>-1</v>
      </c>
      <c r="AH203" s="178">
        <f t="shared" si="64"/>
        <v>5</v>
      </c>
      <c r="AI203" s="227">
        <f t="shared" si="65"/>
        <v>-0.24432219350322743</v>
      </c>
      <c r="AJ203" s="267" t="b">
        <f t="shared" si="66"/>
        <v>0</v>
      </c>
      <c r="AK203" s="267" t="b">
        <f t="shared" si="67"/>
        <v>0</v>
      </c>
      <c r="AL203" s="267"/>
      <c r="AM203" s="267"/>
      <c r="AN203" s="75"/>
    </row>
    <row r="204" spans="1:40" s="6" customFormat="1" ht="11.25" x14ac:dyDescent="0.2">
      <c r="A204" s="56">
        <f t="shared" si="68"/>
        <v>44386</v>
      </c>
      <c r="B204" s="620">
        <v>56.79</v>
      </c>
      <c r="C204" s="392"/>
      <c r="D204" s="395">
        <f t="shared" si="48"/>
        <v>58.225931969791347</v>
      </c>
      <c r="E204" s="387">
        <f t="shared" si="72"/>
        <v>61.75861312867535</v>
      </c>
      <c r="F204" s="387">
        <f t="shared" si="49"/>
        <v>61.768884511378864</v>
      </c>
      <c r="G204" s="110">
        <f t="shared" si="73"/>
        <v>0.98564013531475558</v>
      </c>
      <c r="H204" s="416" t="b">
        <f>Wh_hp&gt;='2020'!Maxi_hp</f>
        <v>1</v>
      </c>
      <c r="I204" s="382">
        <f>IF(H204,Wh_hp,'2020'!Maxi_hp)</f>
        <v>61.768884511378864</v>
      </c>
      <c r="J204" s="85">
        <f>IF(H204,An,'2020'!An_max)</f>
        <v>2021</v>
      </c>
      <c r="K204" s="199">
        <f t="shared" si="50"/>
        <v>44386</v>
      </c>
      <c r="L204" s="147">
        <f>IF(t&lt;Tvie,1-EXP((T0-t)*PertePVj)+'2020'!Pspv,1-EXP((T0-t)*PertePVj)+Pspv)</f>
        <v>2.4661382329377424E-2</v>
      </c>
      <c r="M204" s="872"/>
      <c r="N204" s="872"/>
      <c r="O204" s="48">
        <f>IF(t&lt;Tnet,'2020'!Resal+('2020'!Salim-'2020'!Resal)*(1-EXP(('2020'!Tnet-t)/('2020'!Tau_j))),Resal+(Salim-Resal)*(1-EXP((Tnet-t)/(Tau_j))))*Salcycl</f>
        <v>5.7201432802961236E-2</v>
      </c>
      <c r="P204" s="171">
        <f>(INDEX(Models!$BJ204:$BT204,,T204)*(1-R204)+INDEX(Models!$BJ204:$BT204,,T204+1)*R204-ERP_i)*Q204*Ramure*Pc/MaxiM</f>
        <v>1.6976915477807415E-4</v>
      </c>
      <c r="Q204" s="307">
        <f t="shared" si="51"/>
        <v>0.9</v>
      </c>
      <c r="R204" s="179">
        <f t="shared" si="52"/>
        <v>0.76014119846838746</v>
      </c>
      <c r="S204" s="839">
        <f t="shared" si="53"/>
        <v>-1</v>
      </c>
      <c r="T204" s="178">
        <f t="shared" si="54"/>
        <v>5</v>
      </c>
      <c r="U204" s="253">
        <f t="shared" si="55"/>
        <v>-0.23985880153161249</v>
      </c>
      <c r="V204" s="385">
        <f t="shared" si="56"/>
        <v>57.617177100834105</v>
      </c>
      <c r="W204" s="404"/>
      <c r="X204" s="157">
        <f t="shared" si="57"/>
        <v>44386</v>
      </c>
      <c r="Y204" s="387">
        <f t="shared" si="58"/>
        <v>51.535566676422292</v>
      </c>
      <c r="Z204" s="387">
        <f t="shared" si="59"/>
        <v>52.838640593872341</v>
      </c>
      <c r="AA204" s="388">
        <f t="shared" si="60"/>
        <v>61.75861312867535</v>
      </c>
      <c r="AB204" s="199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0.14443285046278584</v>
      </c>
      <c r="AD204" s="233">
        <f>(INDEX(Models!$BJ204:$BT204,,AH204)*(1-AF204)+INDEX(Models!$BJ204:$BT204,,AH204+1)*AF204-ERP_i)*AE204*Ramure*Pc/MaxiM</f>
        <v>1.6976915477807415E-4</v>
      </c>
      <c r="AE204" s="307">
        <f t="shared" si="62"/>
        <v>0.9</v>
      </c>
      <c r="AF204" s="179">
        <f t="shared" si="63"/>
        <v>0.76014119846838746</v>
      </c>
      <c r="AG204" s="839">
        <f t="shared" si="71"/>
        <v>-1</v>
      </c>
      <c r="AH204" s="178">
        <f t="shared" si="64"/>
        <v>5</v>
      </c>
      <c r="AI204" s="227">
        <f t="shared" si="65"/>
        <v>-0.23985880153161249</v>
      </c>
      <c r="AJ204" s="267" t="b">
        <f t="shared" si="66"/>
        <v>0</v>
      </c>
      <c r="AK204" s="267" t="b">
        <f t="shared" si="67"/>
        <v>0</v>
      </c>
      <c r="AL204" s="267"/>
      <c r="AM204" s="267"/>
      <c r="AN204" s="75"/>
    </row>
    <row r="205" spans="1:40" s="6" customFormat="1" ht="11.25" x14ac:dyDescent="0.2">
      <c r="A205" s="56">
        <f t="shared" si="68"/>
        <v>44387</v>
      </c>
      <c r="B205" s="620">
        <v>49.432000000000002</v>
      </c>
      <c r="C205" s="392"/>
      <c r="D205" s="395">
        <f t="shared" si="48"/>
        <v>50.683064820796858</v>
      </c>
      <c r="E205" s="387">
        <f t="shared" si="72"/>
        <v>53.778125013549051</v>
      </c>
      <c r="F205" s="387">
        <f t="shared" si="49"/>
        <v>53.785915292744647</v>
      </c>
      <c r="G205" s="110">
        <f t="shared" si="73"/>
        <v>0.85974338764074543</v>
      </c>
      <c r="H205" s="416" t="b">
        <f>Wh_hp&gt;='2020'!Maxi_hp</f>
        <v>0</v>
      </c>
      <c r="I205" s="382">
        <f>IF(H205,Wh_hp,'2020'!Maxi_hp)</f>
        <v>62.966191858436069</v>
      </c>
      <c r="J205" s="85">
        <f>IF(H205,An,'2020'!An_max)</f>
        <v>2019</v>
      </c>
      <c r="K205" s="199">
        <f t="shared" si="50"/>
        <v>44387</v>
      </c>
      <c r="L205" s="147">
        <f>IF(t&lt;Tvie,1-EXP((T0-t)*PertePVj)+'2020'!Pspv,1-EXP((T0-t)*PertePVj)+Pspv)</f>
        <v>2.4684079883888654E-2</v>
      </c>
      <c r="M205" s="872"/>
      <c r="N205" s="872"/>
      <c r="O205" s="48">
        <f>IF(t&lt;Tnet,'2020'!Resal+('2020'!Salim-'2020'!Resal)*(1-EXP(('2020'!Tnet-t)/('2020'!Tau_j))),Resal+(Salim-Resal)*(1-EXP((Tnet-t)/(Tau_j))))*Salcycl</f>
        <v>5.7552400571280873E-2</v>
      </c>
      <c r="P205" s="171">
        <f>(INDEX(Models!$BJ205:$BT205,,T205)*(1-R205)+INDEX(Models!$BJ205:$BT205,,T205+1)*R205-ERP_i)*Q205*Ramure*Pc/MaxiM</f>
        <v>1.8112121417573196E-4</v>
      </c>
      <c r="Q205" s="307">
        <f t="shared" si="51"/>
        <v>0.9</v>
      </c>
      <c r="R205" s="179">
        <f t="shared" si="52"/>
        <v>0.76450769565181242</v>
      </c>
      <c r="S205" s="839">
        <f t="shared" si="53"/>
        <v>-1</v>
      </c>
      <c r="T205" s="178">
        <f t="shared" si="54"/>
        <v>5</v>
      </c>
      <c r="U205" s="253">
        <f t="shared" si="55"/>
        <v>-0.23549230434818752</v>
      </c>
      <c r="V205" s="385">
        <f t="shared" si="56"/>
        <v>57.494139450111099</v>
      </c>
      <c r="W205" s="404"/>
      <c r="X205" s="157">
        <f t="shared" si="57"/>
        <v>44387</v>
      </c>
      <c r="Y205" s="387">
        <f t="shared" si="58"/>
        <v>44.868336915815831</v>
      </c>
      <c r="Z205" s="387">
        <f t="shared" si="59"/>
        <v>46.00390088011099</v>
      </c>
      <c r="AA205" s="388">
        <f t="shared" si="60"/>
        <v>53.778125013549051</v>
      </c>
      <c r="AB205" s="199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0.14456108559901243</v>
      </c>
      <c r="AD205" s="233">
        <f>(INDEX(Models!$BJ205:$BT205,,AH205)*(1-AF205)+INDEX(Models!$BJ205:$BT205,,AH205+1)*AF205-ERP_i)*AE205*Ramure*Pc/MaxiM</f>
        <v>1.8112121417573196E-4</v>
      </c>
      <c r="AE205" s="307">
        <f t="shared" si="62"/>
        <v>0.9</v>
      </c>
      <c r="AF205" s="179">
        <f t="shared" si="63"/>
        <v>0.76450769565181242</v>
      </c>
      <c r="AG205" s="839">
        <f t="shared" si="71"/>
        <v>-1</v>
      </c>
      <c r="AH205" s="178">
        <f t="shared" si="64"/>
        <v>5</v>
      </c>
      <c r="AI205" s="227">
        <f t="shared" si="65"/>
        <v>-0.23549230434818752</v>
      </c>
      <c r="AJ205" s="267" t="b">
        <f t="shared" si="66"/>
        <v>0</v>
      </c>
      <c r="AK205" s="267" t="b">
        <f t="shared" si="67"/>
        <v>0</v>
      </c>
      <c r="AL205" s="267"/>
      <c r="AM205" s="267"/>
      <c r="AN205" s="75"/>
    </row>
    <row r="206" spans="1:40" s="6" customFormat="1" ht="11.25" x14ac:dyDescent="0.2">
      <c r="A206" s="56">
        <f t="shared" si="68"/>
        <v>44388</v>
      </c>
      <c r="B206" s="620">
        <v>48.47</v>
      </c>
      <c r="C206" s="392"/>
      <c r="D206" s="395">
        <f t="shared" si="48"/>
        <v>49.697874293069773</v>
      </c>
      <c r="E206" s="387">
        <f t="shared" si="72"/>
        <v>52.752321235628024</v>
      </c>
      <c r="F206" s="387">
        <f t="shared" si="49"/>
        <v>52.760305632743616</v>
      </c>
      <c r="G206" s="110">
        <f t="shared" si="73"/>
        <v>0.84487350006820605</v>
      </c>
      <c r="H206" s="416" t="b">
        <f>Wh_hp&gt;='2020'!Maxi_hp</f>
        <v>0</v>
      </c>
      <c r="I206" s="382">
        <f>IF(H206,Wh_hp,'2020'!Maxi_hp)</f>
        <v>62.533277298191116</v>
      </c>
      <c r="J206" s="85">
        <f>IF(H206,An,'2020'!An_max)</f>
        <v>2019</v>
      </c>
      <c r="K206" s="199">
        <f t="shared" si="50"/>
        <v>44388</v>
      </c>
      <c r="L206" s="147">
        <f>IF(t&lt;Tvie,1-EXP((T0-t)*PertePVj)+'2020'!Pspv,1-EXP((T0-t)*PertePVj)+Pspv)</f>
        <v>2.4706776910194628E-2</v>
      </c>
      <c r="M206" s="872"/>
      <c r="N206" s="872"/>
      <c r="O206" s="48">
        <f>IF(t&lt;Tnet,'2020'!Resal+('2020'!Salim-'2020'!Resal)*(1-EXP(('2020'!Tnet-t)/('2020'!Tau_j))),Resal+(Salim-Resal)*(1-EXP((Tnet-t)/(Tau_j))))*Salcycl</f>
        <v>5.7901659510204248E-2</v>
      </c>
      <c r="P206" s="171">
        <f>(INDEX(Models!$BJ206:$BT206,,T206)*(1-R206)+INDEX(Models!$BJ206:$BT206,,T206+1)*R206-ERP_i)*Q206*Ramure*Pc/MaxiM</f>
        <v>1.9440533105234093E-4</v>
      </c>
      <c r="Q206" s="307">
        <f t="shared" si="51"/>
        <v>0.9</v>
      </c>
      <c r="R206" s="179">
        <f t="shared" si="52"/>
        <v>0.76877685254632944</v>
      </c>
      <c r="S206" s="839">
        <f t="shared" si="53"/>
        <v>-1</v>
      </c>
      <c r="T206" s="178">
        <f t="shared" si="54"/>
        <v>5</v>
      </c>
      <c r="U206" s="253">
        <f t="shared" si="55"/>
        <v>-0.23122314745367051</v>
      </c>
      <c r="V206" s="385">
        <f t="shared" si="56"/>
        <v>57.36706380804592</v>
      </c>
      <c r="W206" s="404"/>
      <c r="X206" s="157">
        <f t="shared" si="57"/>
        <v>44388</v>
      </c>
      <c r="Y206" s="387">
        <f t="shared" si="58"/>
        <v>44.004991577040649</v>
      </c>
      <c r="Z206" s="387">
        <f t="shared" si="59"/>
        <v>45.119755305619151</v>
      </c>
      <c r="AA206" s="388">
        <f t="shared" si="60"/>
        <v>52.752321235628024</v>
      </c>
      <c r="AB206" s="199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0.144686826119302</v>
      </c>
      <c r="AD206" s="233">
        <f>(INDEX(Models!$BJ206:$BT206,,AH206)*(1-AF206)+INDEX(Models!$BJ206:$BT206,,AH206+1)*AF206-ERP_i)*AE206*Ramure*Pc/MaxiM</f>
        <v>1.9440533105234093E-4</v>
      </c>
      <c r="AE206" s="307">
        <f t="shared" si="62"/>
        <v>0.9</v>
      </c>
      <c r="AF206" s="179">
        <f t="shared" si="63"/>
        <v>0.76877685254632944</v>
      </c>
      <c r="AG206" s="839">
        <f t="shared" si="71"/>
        <v>-1</v>
      </c>
      <c r="AH206" s="178">
        <f t="shared" si="64"/>
        <v>5</v>
      </c>
      <c r="AI206" s="227">
        <f t="shared" si="65"/>
        <v>-0.23122314745367051</v>
      </c>
      <c r="AJ206" s="267" t="b">
        <f t="shared" si="66"/>
        <v>0</v>
      </c>
      <c r="AK206" s="267" t="b">
        <f t="shared" si="67"/>
        <v>0</v>
      </c>
      <c r="AL206" s="267"/>
      <c r="AM206" s="267"/>
      <c r="AN206" s="75"/>
    </row>
    <row r="207" spans="1:40" s="6" customFormat="1" ht="11.25" x14ac:dyDescent="0.2">
      <c r="A207" s="56">
        <f t="shared" si="68"/>
        <v>44389</v>
      </c>
      <c r="B207" s="620">
        <v>13.351000000000001</v>
      </c>
      <c r="C207" s="392"/>
      <c r="D207" s="395">
        <f t="shared" ref="D207:D270" si="74">Wh/(1-Ppv)</f>
        <v>13.689534991545523</v>
      </c>
      <c r="E207" s="387">
        <f t="shared" si="72"/>
        <v>14.536261103904312</v>
      </c>
      <c r="F207" s="387">
        <f t="shared" ref="F207:F270" si="75">Wh_sa/(1-Pvg*MEDIAN((-Sdif+Wh/Env_an)/Csdif,0,1))</f>
        <v>14.536261103904312</v>
      </c>
      <c r="G207" s="110">
        <f t="shared" si="73"/>
        <v>0.23321273654421537</v>
      </c>
      <c r="H207" s="416" t="b">
        <f>Wh_hp&gt;='2020'!Maxi_hp</f>
        <v>0</v>
      </c>
      <c r="I207" s="382">
        <f>IF(H207,Wh_hp,'2020'!Maxi_hp)</f>
        <v>63.366086116985848</v>
      </c>
      <c r="J207" s="85">
        <f>IF(H207,An,'2020'!An_max)</f>
        <v>2019</v>
      </c>
      <c r="K207" s="199">
        <f t="shared" ref="K207:K270" si="76">t</f>
        <v>44389</v>
      </c>
      <c r="L207" s="147">
        <f>IF(t&lt;Tvie,1-EXP((T0-t)*PertePVj)+'2020'!Pspv,1-EXP((T0-t)*PertePVj)+Pspv)</f>
        <v>2.4729473408307667E-2</v>
      </c>
      <c r="M207" s="872"/>
      <c r="N207" s="872"/>
      <c r="O207" s="48">
        <f>IF(t&lt;Tnet,'2020'!Resal+('2020'!Salim-'2020'!Resal)*(1-EXP(('2020'!Tnet-t)/('2020'!Tau_j))),Resal+(Salim-Resal)*(1-EXP((Tnet-t)/(Tau_j))))*Salcycl</f>
        <v>5.8249236602620394E-2</v>
      </c>
      <c r="P207" s="171">
        <f>(INDEX(Models!$BJ207:$BT207,,T207)*(1-R207)+INDEX(Models!$BJ207:$BT207,,T207+1)*R207-ERP_i)*Q207*Ramure*Pc/MaxiM</f>
        <v>2.0944163695665297E-4</v>
      </c>
      <c r="Q207" s="307">
        <f t="shared" ref="Q207:Q270" si="77">IF(OR(t&lt;Ttai,Notai),Dd+PousD*Croivg,Dens+PousD*(Croivg-Croi_tai))</f>
        <v>0.9</v>
      </c>
      <c r="R207" s="179">
        <f t="shared" ref="R207:R270" si="78">(Hp_vg-S207)/(INDEX(Echel_vg,T207+1)-S207)</f>
        <v>0.77294840394619824</v>
      </c>
      <c r="S207" s="839">
        <f t="shared" ref="S207:S270" si="79">INDEX(Echel_vg,T207)</f>
        <v>-1</v>
      </c>
      <c r="T207" s="178">
        <f t="shared" ref="T207:T270" si="80">MIN(MATCH(Hp_vg,Echel_vg),10)</f>
        <v>5</v>
      </c>
      <c r="U207" s="253">
        <f t="shared" ref="U207:U270" si="81">IF(OR(t&lt;Ttai,Notai),Hdd+PousH*Croivg,Hdtf+PousH*(Croivg-Croi_tai))</f>
        <v>-0.22705159605380182</v>
      </c>
      <c r="V207" s="385">
        <f t="shared" ref="V207:V270" si="82">MaxiM*(1-Ppv)*(1-Pvg)*(1-Psa)</f>
        <v>57.236169612778724</v>
      </c>
      <c r="W207" s="404"/>
      <c r="X207" s="157">
        <f t="shared" ref="X207:X270" si="83">t</f>
        <v>44389</v>
      </c>
      <c r="Y207" s="387">
        <f t="shared" ref="Y207:Y270" si="84">Wh_pvt_s*(1-Ppv)</f>
        <v>12.123844093389593</v>
      </c>
      <c r="Z207" s="387">
        <f t="shared" ref="Z207:Z270" si="85">Wh_sa_s*(1-Psa_s)</f>
        <v>12.431262673095599</v>
      </c>
      <c r="AA207" s="388">
        <f t="shared" ref="AA207:AA270" si="86">Wh_hp*(1-Pvg_s*MEDIAN((-Sdif+Wh/Env_an)/Csdif,0,1))</f>
        <v>14.536261103904312</v>
      </c>
      <c r="AB207" s="199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0.14481016925620099</v>
      </c>
      <c r="AD207" s="233">
        <f>(INDEX(Models!$BJ207:$BT207,,AH207)*(1-AF207)+INDEX(Models!$BJ207:$BT207,,AH207+1)*AF207-ERP_i)*AE207*Ramure*Pc/MaxiM</f>
        <v>2.0944163695665297E-4</v>
      </c>
      <c r="AE207" s="307">
        <f t="shared" ref="AE207:AE270" si="88">IF(OR(t&lt;Ttai,Notai),Dd_s+PousD*Croivg,Dens_s+PousD*(Croivg-Croi_tai))</f>
        <v>0.9</v>
      </c>
      <c r="AF207" s="179">
        <f t="shared" ref="AF207:AF270" si="89">(Hp_vg_s-AG207)/(INDEX(Echel_vg,AH207+1)-AG207)</f>
        <v>0.77294840394619824</v>
      </c>
      <c r="AG207" s="839">
        <f t="shared" si="71"/>
        <v>-1</v>
      </c>
      <c r="AH207" s="178">
        <f t="shared" ref="AH207:AH270" si="90">MIN(MATCH(Hp_vg_s,Echel_vg),10)</f>
        <v>5</v>
      </c>
      <c r="AI207" s="227">
        <f t="shared" ref="AI207:AI270" si="91">IF(OR(t&lt;Ttai,Notai),Hdd_s+PousH*Croivg,Hdtai_s+PousH*(Croivg-Croi_tai))</f>
        <v>-0.22705159605380182</v>
      </c>
      <c r="AJ207" s="267" t="b">
        <f t="shared" ref="AJ207:AJ270" si="92">t&lt;Tnet</f>
        <v>0</v>
      </c>
      <c r="AK207" s="267" t="b">
        <f t="shared" ref="AK207:AK270" si="93">t&lt;Ttai</f>
        <v>0</v>
      </c>
      <c r="AL207" s="267"/>
      <c r="AM207" s="267"/>
      <c r="AN207" s="75"/>
    </row>
    <row r="208" spans="1:40" s="6" customFormat="1" ht="11.25" x14ac:dyDescent="0.2">
      <c r="A208" s="56">
        <f t="shared" ref="A208:A271" si="94">A207+1</f>
        <v>44390</v>
      </c>
      <c r="B208" s="620">
        <v>29.574999999999999</v>
      </c>
      <c r="C208" s="392"/>
      <c r="D208" s="395">
        <f t="shared" si="74"/>
        <v>30.325625006665987</v>
      </c>
      <c r="E208" s="387">
        <f t="shared" si="72"/>
        <v>32.213160292027318</v>
      </c>
      <c r="F208" s="387">
        <f t="shared" si="75"/>
        <v>32.215429533541503</v>
      </c>
      <c r="G208" s="110">
        <f t="shared" si="73"/>
        <v>0.51785516052944003</v>
      </c>
      <c r="H208" s="416" t="b">
        <f>Wh_hp&gt;='2020'!Maxi_hp</f>
        <v>0</v>
      </c>
      <c r="I208" s="382">
        <f>IF(H208,Wh_hp,'2020'!Maxi_hp)</f>
        <v>54.665430222779129</v>
      </c>
      <c r="J208" s="85">
        <f>IF(H208,An,'2020'!An_max)</f>
        <v>2019</v>
      </c>
      <c r="K208" s="199">
        <f t="shared" si="76"/>
        <v>44390</v>
      </c>
      <c r="L208" s="147">
        <f>IF(t&lt;Tvie,1-EXP((T0-t)*PertePVj)+'2020'!Pspv,1-EXP((T0-t)*PertePVj)+Pspv)</f>
        <v>2.4752169378239985E-2</v>
      </c>
      <c r="M208" s="872"/>
      <c r="N208" s="872"/>
      <c r="O208" s="48">
        <f>IF(t&lt;Tnet,'2020'!Resal+('2020'!Salim-'2020'!Resal)*(1-EXP(('2020'!Tnet-t)/('2020'!Tau_j))),Resal+(Salim-Resal)*(1-EXP((Tnet-t)/(Tau_j))))*Salcycl</f>
        <v>5.8595160122445041E-2</v>
      </c>
      <c r="P208" s="171">
        <f>(INDEX(Models!$BJ208:$BT208,,T208)*(1-R208)+INDEX(Models!$BJ208:$BT208,,T208+1)*R208-ERP_i)*Q208*Ramure*Pc/MaxiM</f>
        <v>2.2624871777044369E-4</v>
      </c>
      <c r="Q208" s="307">
        <f t="shared" si="77"/>
        <v>0.9</v>
      </c>
      <c r="R208" s="179">
        <f t="shared" si="78"/>
        <v>0.77702225763568034</v>
      </c>
      <c r="S208" s="839">
        <f t="shared" si="79"/>
        <v>-1</v>
      </c>
      <c r="T208" s="178">
        <f t="shared" si="80"/>
        <v>5</v>
      </c>
      <c r="U208" s="253">
        <f t="shared" si="81"/>
        <v>-0.22297774236431966</v>
      </c>
      <c r="V208" s="385">
        <f t="shared" si="82"/>
        <v>57.101664469422424</v>
      </c>
      <c r="W208" s="404"/>
      <c r="X208" s="157">
        <f t="shared" si="83"/>
        <v>44390</v>
      </c>
      <c r="Y208" s="387">
        <f t="shared" si="84"/>
        <v>26.862682555196614</v>
      </c>
      <c r="Z208" s="387">
        <f t="shared" si="85"/>
        <v>27.54446788983941</v>
      </c>
      <c r="AA208" s="388">
        <f t="shared" si="86"/>
        <v>32.213160292027318</v>
      </c>
      <c r="AB208" s="199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0.14493121320181049</v>
      </c>
      <c r="AD208" s="233">
        <f>(INDEX(Models!$BJ208:$BT208,,AH208)*(1-AF208)+INDEX(Models!$BJ208:$BT208,,AH208+1)*AF208-ERP_i)*AE208*Ramure*Pc/MaxiM</f>
        <v>2.2624871777044369E-4</v>
      </c>
      <c r="AE208" s="307">
        <f t="shared" si="88"/>
        <v>0.9</v>
      </c>
      <c r="AF208" s="179">
        <f t="shared" si="89"/>
        <v>0.77702225763568034</v>
      </c>
      <c r="AG208" s="839">
        <f t="shared" ref="AG208:AG271" si="95">INDEX(Echel_vg,AH208)</f>
        <v>-1</v>
      </c>
      <c r="AH208" s="178">
        <f t="shared" si="90"/>
        <v>5</v>
      </c>
      <c r="AI208" s="227">
        <f t="shared" si="91"/>
        <v>-0.22297774236431966</v>
      </c>
      <c r="AJ208" s="267" t="b">
        <f t="shared" si="92"/>
        <v>0</v>
      </c>
      <c r="AK208" s="267" t="b">
        <f t="shared" si="93"/>
        <v>0</v>
      </c>
      <c r="AL208" s="267"/>
      <c r="AM208" s="267"/>
      <c r="AN208" s="75"/>
    </row>
    <row r="209" spans="1:40" s="6" customFormat="1" ht="11.25" x14ac:dyDescent="0.2">
      <c r="A209" s="56">
        <f t="shared" si="94"/>
        <v>44391</v>
      </c>
      <c r="B209" s="620">
        <v>30.906000000000002</v>
      </c>
      <c r="C209" s="392"/>
      <c r="D209" s="395">
        <f t="shared" si="74"/>
        <v>31.691143803728686</v>
      </c>
      <c r="E209" s="387">
        <f t="shared" si="72"/>
        <v>33.675988351943772</v>
      </c>
      <c r="F209" s="387">
        <f t="shared" si="75"/>
        <v>33.678845694394553</v>
      </c>
      <c r="G209" s="110">
        <f t="shared" si="73"/>
        <v>0.54246870061533348</v>
      </c>
      <c r="H209" s="416" t="b">
        <f>Wh_hp&gt;='2020'!Maxi_hp</f>
        <v>0</v>
      </c>
      <c r="I209" s="382">
        <f>IF(H209,Wh_hp,'2020'!Maxi_hp)</f>
        <v>62.288044884961785</v>
      </c>
      <c r="J209" s="85">
        <f>IF(H209,An,'2020'!An_max)</f>
        <v>2019</v>
      </c>
      <c r="K209" s="199">
        <f t="shared" si="76"/>
        <v>44391</v>
      </c>
      <c r="L209" s="147">
        <f>IF(t&lt;Tvie,1-EXP((T0-t)*PertePVj)+'2020'!Pspv,1-EXP((T0-t)*PertePVj)+Pspv)</f>
        <v>2.4774864820003906E-2</v>
      </c>
      <c r="M209" s="872"/>
      <c r="N209" s="872"/>
      <c r="O209" s="48">
        <f>IF(t&lt;Tnet,'2020'!Resal+('2020'!Salim-'2020'!Resal)*(1-EXP(('2020'!Tnet-t)/('2020'!Tau_j))),Resal+(Salim-Resal)*(1-EXP((Tnet-t)/(Tau_j))))*Salcycl</f>
        <v>5.8939459399727508E-2</v>
      </c>
      <c r="P209" s="171">
        <f>(INDEX(Models!$BJ209:$BT209,,T209)*(1-R209)+INDEX(Models!$BJ209:$BT209,,T209+1)*R209-ERP_i)*Q209*Ramure*Pc/MaxiM</f>
        <v>2.4484541394993986E-4</v>
      </c>
      <c r="Q209" s="307">
        <f t="shared" si="77"/>
        <v>0.9</v>
      </c>
      <c r="R209" s="179">
        <f t="shared" si="78"/>
        <v>0.78099848673429717</v>
      </c>
      <c r="S209" s="839">
        <f t="shared" si="79"/>
        <v>-1</v>
      </c>
      <c r="T209" s="178">
        <f t="shared" si="80"/>
        <v>5</v>
      </c>
      <c r="U209" s="253">
        <f t="shared" si="81"/>
        <v>-0.21900151326570283</v>
      </c>
      <c r="V209" s="385">
        <f t="shared" si="82"/>
        <v>56.963755595155988</v>
      </c>
      <c r="W209" s="404"/>
      <c r="X209" s="157">
        <f t="shared" si="83"/>
        <v>44391</v>
      </c>
      <c r="Y209" s="387">
        <f t="shared" si="84"/>
        <v>28.0779841603891</v>
      </c>
      <c r="Z209" s="387">
        <f t="shared" si="85"/>
        <v>28.791284337853721</v>
      </c>
      <c r="AA209" s="388">
        <f t="shared" si="86"/>
        <v>33.675988351943772</v>
      </c>
      <c r="AB209" s="199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0.14505005652812869</v>
      </c>
      <c r="AD209" s="233">
        <f>(INDEX(Models!$BJ209:$BT209,,AH209)*(1-AF209)+INDEX(Models!$BJ209:$BT209,,AH209+1)*AF209-ERP_i)*AE209*Ramure*Pc/MaxiM</f>
        <v>2.4484541394993986E-4</v>
      </c>
      <c r="AE209" s="307">
        <f t="shared" si="88"/>
        <v>0.9</v>
      </c>
      <c r="AF209" s="179">
        <f t="shared" si="89"/>
        <v>0.78099848673429717</v>
      </c>
      <c r="AG209" s="839">
        <f t="shared" si="95"/>
        <v>-1</v>
      </c>
      <c r="AH209" s="178">
        <f t="shared" si="90"/>
        <v>5</v>
      </c>
      <c r="AI209" s="227">
        <f t="shared" si="91"/>
        <v>-0.21900151326570283</v>
      </c>
      <c r="AJ209" s="267" t="b">
        <f t="shared" si="92"/>
        <v>0</v>
      </c>
      <c r="AK209" s="267" t="b">
        <f t="shared" si="93"/>
        <v>0</v>
      </c>
      <c r="AL209" s="267"/>
      <c r="AM209" s="267"/>
      <c r="AN209" s="75"/>
    </row>
    <row r="210" spans="1:40" s="6" customFormat="1" ht="11.25" x14ac:dyDescent="0.2">
      <c r="A210" s="56">
        <f t="shared" si="94"/>
        <v>44392</v>
      </c>
      <c r="B210" s="620">
        <v>36.911999999999999</v>
      </c>
      <c r="C210" s="392"/>
      <c r="D210" s="395">
        <f t="shared" si="74"/>
        <v>37.850602578390848</v>
      </c>
      <c r="E210" s="387">
        <f t="shared" si="72"/>
        <v>40.235872174886872</v>
      </c>
      <c r="F210" s="387">
        <f t="shared" si="75"/>
        <v>40.241203082710278</v>
      </c>
      <c r="G210" s="110">
        <f t="shared" si="73"/>
        <v>0.64951385406931306</v>
      </c>
      <c r="H210" s="416" t="b">
        <f>Wh_hp&gt;='2020'!Maxi_hp</f>
        <v>0</v>
      </c>
      <c r="I210" s="382">
        <f>IF(H210,Wh_hp,'2020'!Maxi_hp)</f>
        <v>63.922354684310292</v>
      </c>
      <c r="J210" s="85">
        <f>IF(H210,An,'2020'!An_max)</f>
        <v>2019</v>
      </c>
      <c r="K210" s="199">
        <f t="shared" si="76"/>
        <v>44392</v>
      </c>
      <c r="L210" s="147">
        <f>IF(t&lt;Tvie,1-EXP((T0-t)*PertePVj)+'2020'!Pspv,1-EXP((T0-t)*PertePVj)+Pspv)</f>
        <v>2.4797559733611751E-2</v>
      </c>
      <c r="M210" s="872"/>
      <c r="N210" s="872"/>
      <c r="O210" s="48">
        <f>IF(t&lt;Tnet,'2020'!Resal+('2020'!Salim-'2020'!Resal)*(1-EXP(('2020'!Tnet-t)/('2020'!Tau_j))),Resal+(Salim-Resal)*(1-EXP((Tnet-t)/(Tau_j))))*Salcycl</f>
        <v>5.9282164585083515E-2</v>
      </c>
      <c r="P210" s="171">
        <f>(INDEX(Models!$BJ210:$BT210,,T210)*(1-R210)+INDEX(Models!$BJ210:$BT210,,T210+1)*R210-ERP_i)*Q210*Ramure*Pc/MaxiM</f>
        <v>2.6525079069073849E-4</v>
      </c>
      <c r="Q210" s="307">
        <f t="shared" si="77"/>
        <v>0.9</v>
      </c>
      <c r="R210" s="179">
        <f t="shared" si="78"/>
        <v>0.78487732175968439</v>
      </c>
      <c r="S210" s="839">
        <f t="shared" si="79"/>
        <v>-1</v>
      </c>
      <c r="T210" s="178">
        <f t="shared" si="80"/>
        <v>5</v>
      </c>
      <c r="U210" s="253">
        <f t="shared" si="81"/>
        <v>-0.21512267824031561</v>
      </c>
      <c r="V210" s="385">
        <f t="shared" si="82"/>
        <v>56.822649829022254</v>
      </c>
      <c r="W210" s="404"/>
      <c r="X210" s="157">
        <f t="shared" si="83"/>
        <v>44392</v>
      </c>
      <c r="Y210" s="387">
        <f t="shared" si="84"/>
        <v>33.54204839989881</v>
      </c>
      <c r="Z210" s="387">
        <f t="shared" si="85"/>
        <v>34.394959461685104</v>
      </c>
      <c r="AA210" s="388">
        <f t="shared" si="86"/>
        <v>40.235872174886872</v>
      </c>
      <c r="AB210" s="199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0.14516679762312601</v>
      </c>
      <c r="AD210" s="233">
        <f>(INDEX(Models!$BJ210:$BT210,,AH210)*(1-AF210)+INDEX(Models!$BJ210:$BT210,,AH210+1)*AF210-ERP_i)*AE210*Ramure*Pc/MaxiM</f>
        <v>2.6525079069073849E-4</v>
      </c>
      <c r="AE210" s="307">
        <f t="shared" si="88"/>
        <v>0.9</v>
      </c>
      <c r="AF210" s="179">
        <f t="shared" si="89"/>
        <v>0.78487732175968439</v>
      </c>
      <c r="AG210" s="839">
        <f t="shared" si="95"/>
        <v>-1</v>
      </c>
      <c r="AH210" s="178">
        <f t="shared" si="90"/>
        <v>5</v>
      </c>
      <c r="AI210" s="227">
        <f t="shared" si="91"/>
        <v>-0.21512267824031561</v>
      </c>
      <c r="AJ210" s="267" t="b">
        <f t="shared" si="92"/>
        <v>0</v>
      </c>
      <c r="AK210" s="267" t="b">
        <f t="shared" si="93"/>
        <v>0</v>
      </c>
      <c r="AL210" s="267"/>
      <c r="AM210" s="267"/>
      <c r="AN210" s="75"/>
    </row>
    <row r="211" spans="1:40" s="6" customFormat="1" ht="11.25" x14ac:dyDescent="0.2">
      <c r="A211" s="56">
        <f t="shared" si="94"/>
        <v>44393</v>
      </c>
      <c r="B211" s="620">
        <v>39.752000000000002</v>
      </c>
      <c r="C211" s="392"/>
      <c r="D211" s="395">
        <f t="shared" si="74"/>
        <v>40.763767057210785</v>
      </c>
      <c r="E211" s="387">
        <f t="shared" si="72"/>
        <v>43.348338315172434</v>
      </c>
      <c r="F211" s="387">
        <f t="shared" si="75"/>
        <v>43.35548480192589</v>
      </c>
      <c r="G211" s="110">
        <f t="shared" si="73"/>
        <v>0.70127272260452378</v>
      </c>
      <c r="H211" s="416" t="b">
        <f>Wh_hp&gt;='2020'!Maxi_hp</f>
        <v>0</v>
      </c>
      <c r="I211" s="382">
        <f>IF(H211,Wh_hp,'2020'!Maxi_hp)</f>
        <v>61.80609820864801</v>
      </c>
      <c r="J211" s="85">
        <f>IF(H211,An,'2020'!An_max)</f>
        <v>2019</v>
      </c>
      <c r="K211" s="199">
        <f t="shared" si="76"/>
        <v>44393</v>
      </c>
      <c r="L211" s="147">
        <f>IF(t&lt;Tvie,1-EXP((T0-t)*PertePVj)+'2020'!Pspv,1-EXP((T0-t)*PertePVj)+Pspv)</f>
        <v>2.4820254119075846E-2</v>
      </c>
      <c r="M211" s="872"/>
      <c r="N211" s="872"/>
      <c r="O211" s="48">
        <f>IF(t&lt;Tnet,'2020'!Resal+('2020'!Salim-'2020'!Resal)*(1-EXP(('2020'!Tnet-t)/('2020'!Tau_j))),Resal+(Salim-Resal)*(1-EXP((Tnet-t)/(Tau_j))))*Salcycl</f>
        <v>5.962330641534682E-2</v>
      </c>
      <c r="P211" s="171">
        <f>(INDEX(Models!$BJ211:$BT211,,T211)*(1-R211)+INDEX(Models!$BJ211:$BT211,,T211+1)*R211-ERP_i)*Q211*Ramure*Pc/MaxiM</f>
        <v>2.8748410797347241E-4</v>
      </c>
      <c r="Q211" s="307">
        <f t="shared" si="77"/>
        <v>0.9</v>
      </c>
      <c r="R211" s="179">
        <f t="shared" si="78"/>
        <v>0.78865914247278368</v>
      </c>
      <c r="S211" s="839">
        <f t="shared" si="79"/>
        <v>-1</v>
      </c>
      <c r="T211" s="178">
        <f t="shared" si="80"/>
        <v>5</v>
      </c>
      <c r="U211" s="253">
        <f t="shared" si="81"/>
        <v>-0.21134085752721632</v>
      </c>
      <c r="V211" s="385">
        <f t="shared" si="82"/>
        <v>56.678553655806773</v>
      </c>
      <c r="W211" s="404"/>
      <c r="X211" s="157">
        <f t="shared" si="83"/>
        <v>44393</v>
      </c>
      <c r="Y211" s="387">
        <f t="shared" si="84"/>
        <v>36.131019288766289</v>
      </c>
      <c r="Z211" s="387">
        <f t="shared" si="85"/>
        <v>37.050625222048168</v>
      </c>
      <c r="AA211" s="388">
        <f t="shared" si="86"/>
        <v>43.348338315172434</v>
      </c>
      <c r="AB211" s="199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0.14528153414637326</v>
      </c>
      <c r="AD211" s="233">
        <f>(INDEX(Models!$BJ211:$BT211,,AH211)*(1-AF211)+INDEX(Models!$BJ211:$BT211,,AH211+1)*AF211-ERP_i)*AE211*Ramure*Pc/MaxiM</f>
        <v>2.8748410797347241E-4</v>
      </c>
      <c r="AE211" s="307">
        <f t="shared" si="88"/>
        <v>0.9</v>
      </c>
      <c r="AF211" s="179">
        <f t="shared" si="89"/>
        <v>0.78865914247278368</v>
      </c>
      <c r="AG211" s="839">
        <f t="shared" si="95"/>
        <v>-1</v>
      </c>
      <c r="AH211" s="178">
        <f t="shared" si="90"/>
        <v>5</v>
      </c>
      <c r="AI211" s="227">
        <f t="shared" si="91"/>
        <v>-0.21134085752721632</v>
      </c>
      <c r="AJ211" s="267" t="b">
        <f t="shared" si="92"/>
        <v>0</v>
      </c>
      <c r="AK211" s="267" t="b">
        <f t="shared" si="93"/>
        <v>0</v>
      </c>
      <c r="AL211" s="267"/>
      <c r="AM211" s="267"/>
      <c r="AN211" s="75"/>
    </row>
    <row r="212" spans="1:40" s="6" customFormat="1" ht="11.25" x14ac:dyDescent="0.2">
      <c r="A212" s="56">
        <f t="shared" si="94"/>
        <v>44394</v>
      </c>
      <c r="B212" s="620">
        <v>55.93</v>
      </c>
      <c r="C212" s="392"/>
      <c r="D212" s="395">
        <f t="shared" si="74"/>
        <v>57.354863900063258</v>
      </c>
      <c r="E212" s="387">
        <f t="shared" si="72"/>
        <v>61.013405614733095</v>
      </c>
      <c r="F212" s="387">
        <f t="shared" si="75"/>
        <v>61.03216766608417</v>
      </c>
      <c r="G212" s="110">
        <f t="shared" si="73"/>
        <v>0.98935277346909378</v>
      </c>
      <c r="H212" s="416" t="b">
        <f>Wh_hp&gt;='2020'!Maxi_hp</f>
        <v>1</v>
      </c>
      <c r="I212" s="382">
        <f>IF(H212,Wh_hp,'2020'!Maxi_hp)</f>
        <v>61.03216766608417</v>
      </c>
      <c r="J212" s="85">
        <f>IF(H212,An,'2020'!An_max)</f>
        <v>2021</v>
      </c>
      <c r="K212" s="199">
        <f t="shared" si="76"/>
        <v>44394</v>
      </c>
      <c r="L212" s="147">
        <f>IF(t&lt;Tvie,1-EXP((T0-t)*PertePVj)+'2020'!Pspv,1-EXP((T0-t)*PertePVj)+Pspv)</f>
        <v>2.4842947976408403E-2</v>
      </c>
      <c r="M212" s="872"/>
      <c r="N212" s="872"/>
      <c r="O212" s="48">
        <f>IF(t&lt;Tnet,'2020'!Resal+('2020'!Salim-'2020'!Resal)*(1-EXP(('2020'!Tnet-t)/('2020'!Tau_j))),Resal+(Salim-Resal)*(1-EXP((Tnet-t)/(Tau_j))))*Salcycl</f>
        <v>5.9962915982293565E-2</v>
      </c>
      <c r="P212" s="171">
        <f>(INDEX(Models!$BJ212:$BT212,,T212)*(1-R212)+INDEX(Models!$BJ212:$BT212,,T212+1)*R212-ERP_i)*Q212*Ramure*Pc/MaxiM</f>
        <v>3.1215843811379458E-4</v>
      </c>
      <c r="Q212" s="307">
        <f t="shared" si="77"/>
        <v>0.9</v>
      </c>
      <c r="R212" s="179">
        <f t="shared" si="78"/>
        <v>0.7923444695670625</v>
      </c>
      <c r="S212" s="839">
        <f t="shared" si="79"/>
        <v>-1</v>
      </c>
      <c r="T212" s="178">
        <f t="shared" si="80"/>
        <v>5</v>
      </c>
      <c r="U212" s="253">
        <f t="shared" si="81"/>
        <v>-0.2076555304329375</v>
      </c>
      <c r="V212" s="385">
        <f t="shared" si="82"/>
        <v>56.53163965169103</v>
      </c>
      <c r="W212" s="404"/>
      <c r="X212" s="157">
        <f t="shared" si="83"/>
        <v>44394</v>
      </c>
      <c r="Y212" s="387">
        <f t="shared" si="84"/>
        <v>50.847029460422718</v>
      </c>
      <c r="Z212" s="387">
        <f t="shared" si="85"/>
        <v>52.142400400948539</v>
      </c>
      <c r="AA212" s="388">
        <f t="shared" si="86"/>
        <v>61.013405614733095</v>
      </c>
      <c r="AB212" s="199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0.14539436250781004</v>
      </c>
      <c r="AD212" s="233">
        <f>(INDEX(Models!$BJ212:$BT212,,AH212)*(1-AF212)+INDEX(Models!$BJ212:$BT212,,AH212+1)*AF212-ERP_i)*AE212*Ramure*Pc/MaxiM</f>
        <v>3.1215843811379458E-4</v>
      </c>
      <c r="AE212" s="307">
        <f t="shared" si="88"/>
        <v>0.9</v>
      </c>
      <c r="AF212" s="179">
        <f t="shared" si="89"/>
        <v>0.7923444695670625</v>
      </c>
      <c r="AG212" s="839">
        <f t="shared" si="95"/>
        <v>-1</v>
      </c>
      <c r="AH212" s="178">
        <f t="shared" si="90"/>
        <v>5</v>
      </c>
      <c r="AI212" s="227">
        <f t="shared" si="91"/>
        <v>-0.2076555304329375</v>
      </c>
      <c r="AJ212" s="267" t="b">
        <f t="shared" si="92"/>
        <v>0</v>
      </c>
      <c r="AK212" s="267" t="b">
        <f t="shared" si="93"/>
        <v>0</v>
      </c>
      <c r="AL212" s="267"/>
      <c r="AM212" s="267"/>
      <c r="AN212" s="75"/>
    </row>
    <row r="213" spans="1:40" s="6" customFormat="1" ht="11.25" x14ac:dyDescent="0.2">
      <c r="A213" s="56">
        <f t="shared" si="94"/>
        <v>44395</v>
      </c>
      <c r="B213" s="620">
        <v>50.512</v>
      </c>
      <c r="C213" s="392"/>
      <c r="D213" s="395">
        <f t="shared" si="74"/>
        <v>51.800041245220051</v>
      </c>
      <c r="E213" s="387">
        <f t="shared" si="72"/>
        <v>55.124079727767672</v>
      </c>
      <c r="F213" s="387">
        <f t="shared" si="75"/>
        <v>55.13996527757579</v>
      </c>
      <c r="G213" s="110">
        <f t="shared" si="73"/>
        <v>0.89584106781495199</v>
      </c>
      <c r="H213" s="416" t="b">
        <f>Wh_hp&gt;='2020'!Maxi_hp</f>
        <v>1</v>
      </c>
      <c r="I213" s="382">
        <f>IF(H213,Wh_hp,'2020'!Maxi_hp)</f>
        <v>55.13996527757579</v>
      </c>
      <c r="J213" s="85">
        <f>IF(H213,An,'2020'!An_max)</f>
        <v>2021</v>
      </c>
      <c r="K213" s="199">
        <f t="shared" si="76"/>
        <v>44395</v>
      </c>
      <c r="L213" s="147">
        <f>IF(t&lt;Tvie,1-EXP((T0-t)*PertePVj)+'2020'!Pspv,1-EXP((T0-t)*PertePVj)+Pspv)</f>
        <v>2.4865641305621744E-2</v>
      </c>
      <c r="M213" s="872"/>
      <c r="N213" s="872"/>
      <c r="O213" s="48">
        <f>IF(t&lt;Tnet,'2020'!Resal+('2020'!Salim-'2020'!Resal)*(1-EXP(('2020'!Tnet-t)/('2020'!Tau_j))),Resal+(Salim-Resal)*(1-EXP((Tnet-t)/(Tau_j))))*Salcycl</f>
        <v>6.0301024506232363E-2</v>
      </c>
      <c r="P213" s="171">
        <f>(INDEX(Models!$BJ213:$BT213,,T213)*(1-R213)+INDEX(Models!$BJ213:$BT213,,T213+1)*R213-ERP_i)*Q213*Ramure*Pc/MaxiM</f>
        <v>3.3843127628831377E-4</v>
      </c>
      <c r="Q213" s="307">
        <f t="shared" si="77"/>
        <v>0.9</v>
      </c>
      <c r="R213" s="179">
        <f t="shared" si="78"/>
        <v>0.79593395626004004</v>
      </c>
      <c r="S213" s="839">
        <f t="shared" si="79"/>
        <v>-1</v>
      </c>
      <c r="T213" s="178">
        <f t="shared" si="80"/>
        <v>5</v>
      </c>
      <c r="U213" s="253">
        <f t="shared" si="81"/>
        <v>-0.2040660437399599</v>
      </c>
      <c r="V213" s="385">
        <f t="shared" si="82"/>
        <v>56.382162525633476</v>
      </c>
      <c r="W213" s="404"/>
      <c r="X213" s="157">
        <f t="shared" si="83"/>
        <v>44395</v>
      </c>
      <c r="Y213" s="387">
        <f t="shared" si="84"/>
        <v>45.931977690469182</v>
      </c>
      <c r="Z213" s="387">
        <f t="shared" si="85"/>
        <v>47.103229704641095</v>
      </c>
      <c r="AA213" s="388">
        <f t="shared" si="86"/>
        <v>55.124079727767672</v>
      </c>
      <c r="AB213" s="199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0.14550537737297112</v>
      </c>
      <c r="AD213" s="233">
        <f>(INDEX(Models!$BJ213:$BT213,,AH213)*(1-AF213)+INDEX(Models!$BJ213:$BT213,,AH213+1)*AF213-ERP_i)*AE213*Ramure*Pc/MaxiM</f>
        <v>3.3843127628831377E-4</v>
      </c>
      <c r="AE213" s="307">
        <f t="shared" si="88"/>
        <v>0.9</v>
      </c>
      <c r="AF213" s="179">
        <f t="shared" si="89"/>
        <v>0.79593395626004004</v>
      </c>
      <c r="AG213" s="839">
        <f t="shared" si="95"/>
        <v>-1</v>
      </c>
      <c r="AH213" s="178">
        <f t="shared" si="90"/>
        <v>5</v>
      </c>
      <c r="AI213" s="227">
        <f t="shared" si="91"/>
        <v>-0.2040660437399599</v>
      </c>
      <c r="AJ213" s="267" t="b">
        <f t="shared" si="92"/>
        <v>0</v>
      </c>
      <c r="AK213" s="267" t="b">
        <f t="shared" si="93"/>
        <v>0</v>
      </c>
      <c r="AL213" s="267"/>
      <c r="AM213" s="267"/>
      <c r="AN213" s="75"/>
    </row>
    <row r="214" spans="1:40" s="6" customFormat="1" ht="11.25" x14ac:dyDescent="0.2">
      <c r="A214" s="56">
        <f t="shared" si="94"/>
        <v>44396</v>
      </c>
      <c r="B214" s="620">
        <v>55.09</v>
      </c>
      <c r="C214" s="392"/>
      <c r="D214" s="395">
        <f t="shared" si="74"/>
        <v>56.496093654600713</v>
      </c>
      <c r="E214" s="387">
        <f t="shared" si="72"/>
        <v>60.143026217143337</v>
      </c>
      <c r="F214" s="387">
        <f t="shared" si="75"/>
        <v>60.16442723969196</v>
      </c>
      <c r="G214" s="110">
        <f t="shared" si="73"/>
        <v>0.97971001368539068</v>
      </c>
      <c r="H214" s="416" t="b">
        <f>Wh_hp&gt;='2020'!Maxi_hp</f>
        <v>0</v>
      </c>
      <c r="I214" s="382">
        <f>IF(H214,Wh_hp,'2020'!Maxi_hp)</f>
        <v>60.668630393036239</v>
      </c>
      <c r="J214" s="85">
        <f>IF(H214,An,'2020'!An_max)</f>
        <v>2020</v>
      </c>
      <c r="K214" s="199">
        <f t="shared" si="76"/>
        <v>44396</v>
      </c>
      <c r="L214" s="147">
        <f>IF(t&lt;Tvie,1-EXP((T0-t)*PertePVj)+'2020'!Pspv,1-EXP((T0-t)*PertePVj)+Pspv)</f>
        <v>2.4888334106728194E-2</v>
      </c>
      <c r="M214" s="872"/>
      <c r="N214" s="872"/>
      <c r="O214" s="48">
        <f>IF(t&lt;Tnet,'2020'!Resal+('2020'!Salim-'2020'!Resal)*(1-EXP(('2020'!Tnet-t)/('2020'!Tau_j))),Resal+(Salim-Resal)*(1-EXP((Tnet-t)/(Tau_j))))*Salcycl</f>
        <v>6.0637663116178457E-2</v>
      </c>
      <c r="P214" s="171">
        <f>(INDEX(Models!$BJ214:$BT214,,T214)*(1-R214)+INDEX(Models!$BJ214:$BT214,,T214+1)*R214-ERP_i)*Q214*Ramure*Pc/MaxiM</f>
        <v>3.6632154670260942E-4</v>
      </c>
      <c r="Q214" s="307">
        <f t="shared" si="77"/>
        <v>0.9</v>
      </c>
      <c r="R214" s="179">
        <f t="shared" si="78"/>
        <v>0.79942837984170456</v>
      </c>
      <c r="S214" s="839">
        <f t="shared" si="79"/>
        <v>-1</v>
      </c>
      <c r="T214" s="178">
        <f t="shared" si="80"/>
        <v>5</v>
      </c>
      <c r="U214" s="253">
        <f t="shared" si="81"/>
        <v>-0.20057162015829544</v>
      </c>
      <c r="V214" s="385">
        <f t="shared" si="82"/>
        <v>56.230327721477991</v>
      </c>
      <c r="W214" s="404"/>
      <c r="X214" s="157">
        <f t="shared" si="83"/>
        <v>44396</v>
      </c>
      <c r="Y214" s="387">
        <f t="shared" si="84"/>
        <v>50.106424236530039</v>
      </c>
      <c r="Z214" s="387">
        <f t="shared" si="85"/>
        <v>51.385319229699689</v>
      </c>
      <c r="AA214" s="388">
        <f t="shared" si="86"/>
        <v>60.143026217143337</v>
      </c>
      <c r="AB214" s="199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0.14561467119769453</v>
      </c>
      <c r="AD214" s="233">
        <f>(INDEX(Models!$BJ214:$BT214,,AH214)*(1-AF214)+INDEX(Models!$BJ214:$BT214,,AH214+1)*AF214-ERP_i)*AE214*Ramure*Pc/MaxiM</f>
        <v>3.6632154670260942E-4</v>
      </c>
      <c r="AE214" s="307">
        <f t="shared" si="88"/>
        <v>0.9</v>
      </c>
      <c r="AF214" s="179">
        <f t="shared" si="89"/>
        <v>0.79942837984170456</v>
      </c>
      <c r="AG214" s="839">
        <f t="shared" si="95"/>
        <v>-1</v>
      </c>
      <c r="AH214" s="178">
        <f t="shared" si="90"/>
        <v>5</v>
      </c>
      <c r="AI214" s="227">
        <f t="shared" si="91"/>
        <v>-0.20057162015829544</v>
      </c>
      <c r="AJ214" s="267" t="b">
        <f t="shared" si="92"/>
        <v>0</v>
      </c>
      <c r="AK214" s="267" t="b">
        <f t="shared" si="93"/>
        <v>0</v>
      </c>
      <c r="AL214" s="267"/>
      <c r="AM214" s="267"/>
      <c r="AN214" s="75"/>
    </row>
    <row r="215" spans="1:40" s="6" customFormat="1" ht="11.25" x14ac:dyDescent="0.2">
      <c r="A215" s="56">
        <f t="shared" si="94"/>
        <v>44397</v>
      </c>
      <c r="B215" s="620">
        <v>43.725000000000001</v>
      </c>
      <c r="C215" s="392"/>
      <c r="D215" s="395">
        <f t="shared" si="74"/>
        <v>44.842061784023748</v>
      </c>
      <c r="E215" s="387">
        <f t="shared" si="72"/>
        <v>47.753744274110481</v>
      </c>
      <c r="F215" s="387">
        <f t="shared" si="75"/>
        <v>47.766702998906844</v>
      </c>
      <c r="G215" s="110">
        <f t="shared" si="73"/>
        <v>0.77964346458915412</v>
      </c>
      <c r="H215" s="416" t="b">
        <f>Wh_hp&gt;='2020'!Maxi_hp</f>
        <v>0</v>
      </c>
      <c r="I215" s="382">
        <f>IF(H215,Wh_hp,'2020'!Maxi_hp)</f>
        <v>59.226165984778646</v>
      </c>
      <c r="J215" s="85">
        <f>IF(H215,An,'2020'!An_max)</f>
        <v>2020</v>
      </c>
      <c r="K215" s="199">
        <f t="shared" si="76"/>
        <v>44397</v>
      </c>
      <c r="L215" s="147">
        <f>IF(t&lt;Tvie,1-EXP((T0-t)*PertePVj)+'2020'!Pspv,1-EXP((T0-t)*PertePVj)+Pspv)</f>
        <v>2.4911026379739964E-2</v>
      </c>
      <c r="M215" s="872"/>
      <c r="N215" s="872"/>
      <c r="O215" s="48">
        <f>IF(t&lt;Tnet,'2020'!Resal+('2020'!Salim-'2020'!Resal)*(1-EXP(('2020'!Tnet-t)/('2020'!Tau_j))),Resal+(Salim-Resal)*(1-EXP((Tnet-t)/(Tau_j))))*Salcycl</f>
        <v>6.0972862638234857E-2</v>
      </c>
      <c r="P215" s="171">
        <f>(INDEX(Models!$BJ215:$BT215,,T215)*(1-R215)+INDEX(Models!$BJ215:$BT215,,T215+1)*R215-ERP_i)*Q215*Ramure*Pc/MaxiM</f>
        <v>3.9584809176938519E-4</v>
      </c>
      <c r="Q215" s="307">
        <f t="shared" si="77"/>
        <v>0.9</v>
      </c>
      <c r="R215" s="179">
        <f t="shared" si="78"/>
        <v>0.80282863323050757</v>
      </c>
      <c r="S215" s="839">
        <f t="shared" si="79"/>
        <v>-1</v>
      </c>
      <c r="T215" s="178">
        <f t="shared" si="80"/>
        <v>5</v>
      </c>
      <c r="U215" s="253">
        <f t="shared" si="81"/>
        <v>-0.19717136676949243</v>
      </c>
      <c r="V215" s="385">
        <f t="shared" si="82"/>
        <v>56.076340395391675</v>
      </c>
      <c r="W215" s="404"/>
      <c r="X215" s="157">
        <f t="shared" si="83"/>
        <v>44397</v>
      </c>
      <c r="Y215" s="387">
        <f t="shared" si="84"/>
        <v>39.778712955792429</v>
      </c>
      <c r="Z215" s="387">
        <f t="shared" si="85"/>
        <v>40.79495721103693</v>
      </c>
      <c r="AA215" s="388">
        <f t="shared" si="86"/>
        <v>47.753744274110481</v>
      </c>
      <c r="AB215" s="199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0.14572233379501168</v>
      </c>
      <c r="AD215" s="233">
        <f>(INDEX(Models!$BJ215:$BT215,,AH215)*(1-AF215)+INDEX(Models!$BJ215:$BT215,,AH215+1)*AF215-ERP_i)*AE215*Ramure*Pc/MaxiM</f>
        <v>3.9584809176938519E-4</v>
      </c>
      <c r="AE215" s="307">
        <f t="shared" si="88"/>
        <v>0.9</v>
      </c>
      <c r="AF215" s="179">
        <f t="shared" si="89"/>
        <v>0.80282863323050757</v>
      </c>
      <c r="AG215" s="839">
        <f t="shared" si="95"/>
        <v>-1</v>
      </c>
      <c r="AH215" s="178">
        <f t="shared" si="90"/>
        <v>5</v>
      </c>
      <c r="AI215" s="227">
        <f t="shared" si="91"/>
        <v>-0.19717136676949243</v>
      </c>
      <c r="AJ215" s="267" t="b">
        <f t="shared" si="92"/>
        <v>0</v>
      </c>
      <c r="AK215" s="267" t="b">
        <f t="shared" si="93"/>
        <v>0</v>
      </c>
      <c r="AL215" s="267"/>
      <c r="AM215" s="267"/>
      <c r="AN215" s="75"/>
    </row>
    <row r="216" spans="1:40" s="6" customFormat="1" ht="11.25" x14ac:dyDescent="0.2">
      <c r="A216" s="56">
        <f t="shared" si="94"/>
        <v>44398</v>
      </c>
      <c r="B216" s="620">
        <v>45.905999999999999</v>
      </c>
      <c r="C216" s="392"/>
      <c r="D216" s="395">
        <f t="shared" si="74"/>
        <v>47.07987636667086</v>
      </c>
      <c r="E216" s="387">
        <f t="shared" si="72"/>
        <v>50.15469272993203</v>
      </c>
      <c r="F216" s="387">
        <f t="shared" si="75"/>
        <v>50.170636020195971</v>
      </c>
      <c r="G216" s="110">
        <f t="shared" si="73"/>
        <v>0.82082708263036419</v>
      </c>
      <c r="H216" s="416" t="b">
        <f>Wh_hp&gt;='2020'!Maxi_hp</f>
        <v>1</v>
      </c>
      <c r="I216" s="382">
        <f>IF(H216,Wh_hp,'2020'!Maxi_hp)</f>
        <v>50.170636020195971</v>
      </c>
      <c r="J216" s="85">
        <f>IF(H216,An,'2020'!An_max)</f>
        <v>2021</v>
      </c>
      <c r="K216" s="199">
        <f t="shared" si="76"/>
        <v>44398</v>
      </c>
      <c r="L216" s="147">
        <f>IF(t&lt;Tvie,1-EXP((T0-t)*PertePVj)+'2020'!Pspv,1-EXP((T0-t)*PertePVj)+Pspv)</f>
        <v>2.4933718124669491E-2</v>
      </c>
      <c r="M216" s="872"/>
      <c r="N216" s="872"/>
      <c r="O216" s="48">
        <f>IF(t&lt;Tnet,'2020'!Resal+('2020'!Salim-'2020'!Resal)*(1-EXP(('2020'!Tnet-t)/('2020'!Tau_j))),Resal+(Salim-Resal)*(1-EXP((Tnet-t)/(Tau_j))))*Salcycl</f>
        <v>6.130665339369417E-2</v>
      </c>
      <c r="P216" s="171">
        <f>(INDEX(Models!$BJ216:$BT216,,T216)*(1-R216)+INDEX(Models!$BJ216:$BT216,,T216+1)*R216-ERP_i)*Q216*Ramure*Pc/MaxiM</f>
        <v>4.2702964606544533E-4</v>
      </c>
      <c r="Q216" s="307">
        <f t="shared" si="77"/>
        <v>0.9</v>
      </c>
      <c r="R216" s="179">
        <f t="shared" si="78"/>
        <v>0.80613571658356831</v>
      </c>
      <c r="S216" s="839">
        <f t="shared" si="79"/>
        <v>-1</v>
      </c>
      <c r="T216" s="178">
        <f t="shared" si="80"/>
        <v>5</v>
      </c>
      <c r="U216" s="253">
        <f t="shared" si="81"/>
        <v>-0.19386428341643169</v>
      </c>
      <c r="V216" s="385">
        <f t="shared" si="82"/>
        <v>55.920405433511476</v>
      </c>
      <c r="W216" s="404"/>
      <c r="X216" s="157">
        <f t="shared" si="83"/>
        <v>44398</v>
      </c>
      <c r="Y216" s="387">
        <f t="shared" si="84"/>
        <v>41.772533306177905</v>
      </c>
      <c r="Z216" s="387">
        <f t="shared" si="85"/>
        <v>42.840711531771369</v>
      </c>
      <c r="AA216" s="388">
        <f t="shared" si="86"/>
        <v>50.15469272993203</v>
      </c>
      <c r="AB216" s="199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0.1458284519365767</v>
      </c>
      <c r="AD216" s="233">
        <f>(INDEX(Models!$BJ216:$BT216,,AH216)*(1-AF216)+INDEX(Models!$BJ216:$BT216,,AH216+1)*AF216-ERP_i)*AE216*Ramure*Pc/MaxiM</f>
        <v>4.2702964606544533E-4</v>
      </c>
      <c r="AE216" s="307">
        <f t="shared" si="88"/>
        <v>0.9</v>
      </c>
      <c r="AF216" s="179">
        <f t="shared" si="89"/>
        <v>0.80613571658356831</v>
      </c>
      <c r="AG216" s="839">
        <f t="shared" si="95"/>
        <v>-1</v>
      </c>
      <c r="AH216" s="178">
        <f t="shared" si="90"/>
        <v>5</v>
      </c>
      <c r="AI216" s="227">
        <f t="shared" si="91"/>
        <v>-0.19386428341643169</v>
      </c>
      <c r="AJ216" s="267" t="b">
        <f t="shared" si="92"/>
        <v>0</v>
      </c>
      <c r="AK216" s="267" t="b">
        <f t="shared" si="93"/>
        <v>0</v>
      </c>
      <c r="AL216" s="267"/>
      <c r="AM216" s="267"/>
      <c r="AN216" s="75"/>
    </row>
    <row r="217" spans="1:40" s="6" customFormat="1" ht="11.25" x14ac:dyDescent="0.2">
      <c r="A217" s="56">
        <f t="shared" si="94"/>
        <v>44399</v>
      </c>
      <c r="B217" s="620">
        <v>51.035000000000004</v>
      </c>
      <c r="C217" s="392"/>
      <c r="D217" s="395">
        <f t="shared" si="74"/>
        <v>52.341249651756392</v>
      </c>
      <c r="E217" s="387">
        <f t="shared" si="72"/>
        <v>55.779442323242705</v>
      </c>
      <c r="F217" s="387">
        <f t="shared" si="75"/>
        <v>55.801996612148457</v>
      </c>
      <c r="G217" s="110">
        <f t="shared" si="73"/>
        <v>0.91516607054432642</v>
      </c>
      <c r="H217" s="416" t="b">
        <f>Wh_hp&gt;='2020'!Maxi_hp</f>
        <v>1</v>
      </c>
      <c r="I217" s="382">
        <f>IF(H217,Wh_hp,'2020'!Maxi_hp)</f>
        <v>55.801996612148457</v>
      </c>
      <c r="J217" s="85">
        <f>IF(H217,An,'2020'!An_max)</f>
        <v>2021</v>
      </c>
      <c r="K217" s="199">
        <f t="shared" si="76"/>
        <v>44399</v>
      </c>
      <c r="L217" s="147">
        <f>IF(t&lt;Tvie,1-EXP((T0-t)*PertePVj)+'2020'!Pspv,1-EXP((T0-t)*PertePVj)+Pspv)</f>
        <v>2.4956409341528873E-2</v>
      </c>
      <c r="M217" s="872"/>
      <c r="N217" s="872"/>
      <c r="O217" s="48">
        <f>IF(t&lt;Tnet,'2020'!Resal+('2020'!Salim-'2020'!Resal)*(1-EXP(('2020'!Tnet-t)/('2020'!Tau_j))),Resal+(Salim-Resal)*(1-EXP((Tnet-t)/(Tau_j))))*Salcycl</f>
        <v>6.1639065008250456E-2</v>
      </c>
      <c r="P217" s="171">
        <f>(INDEX(Models!$BJ217:$BT217,,T217)*(1-R217)+INDEX(Models!$BJ217:$BT217,,T217+1)*R217-ERP_i)*Q217*Ramure*Pc/MaxiM</f>
        <v>4.5988480917285039E-4</v>
      </c>
      <c r="Q217" s="307">
        <f t="shared" si="77"/>
        <v>0.9</v>
      </c>
      <c r="R217" s="179">
        <f t="shared" si="78"/>
        <v>0.8093507290035965</v>
      </c>
      <c r="S217" s="839">
        <f t="shared" si="79"/>
        <v>-1</v>
      </c>
      <c r="T217" s="178">
        <f t="shared" si="80"/>
        <v>5</v>
      </c>
      <c r="U217" s="253">
        <f t="shared" si="81"/>
        <v>-0.1906492709964035</v>
      </c>
      <c r="V217" s="385">
        <f t="shared" si="82"/>
        <v>55.762727460898326</v>
      </c>
      <c r="W217" s="404"/>
      <c r="X217" s="157">
        <f t="shared" si="83"/>
        <v>44399</v>
      </c>
      <c r="Y217" s="387">
        <f t="shared" si="84"/>
        <v>46.45046714678778</v>
      </c>
      <c r="Z217" s="387">
        <f t="shared" si="85"/>
        <v>47.639374887248508</v>
      </c>
      <c r="AA217" s="388">
        <f t="shared" si="86"/>
        <v>55.779442323242705</v>
      </c>
      <c r="AB217" s="199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0.14593310899062753</v>
      </c>
      <c r="AD217" s="233">
        <f>(INDEX(Models!$BJ217:$BT217,,AH217)*(1-AF217)+INDEX(Models!$BJ217:$BT217,,AH217+1)*AF217-ERP_i)*AE217*Ramure*Pc/MaxiM</f>
        <v>4.5988480917285039E-4</v>
      </c>
      <c r="AE217" s="307">
        <f t="shared" si="88"/>
        <v>0.9</v>
      </c>
      <c r="AF217" s="179">
        <f t="shared" si="89"/>
        <v>0.8093507290035965</v>
      </c>
      <c r="AG217" s="839">
        <f t="shared" si="95"/>
        <v>-1</v>
      </c>
      <c r="AH217" s="178">
        <f t="shared" si="90"/>
        <v>5</v>
      </c>
      <c r="AI217" s="227">
        <f t="shared" si="91"/>
        <v>-0.1906492709964035</v>
      </c>
      <c r="AJ217" s="267" t="b">
        <f t="shared" si="92"/>
        <v>0</v>
      </c>
      <c r="AK217" s="267" t="b">
        <f t="shared" si="93"/>
        <v>0</v>
      </c>
      <c r="AL217" s="267"/>
      <c r="AM217" s="267"/>
      <c r="AN217" s="75"/>
    </row>
    <row r="218" spans="1:40" s="6" customFormat="1" ht="11.25" x14ac:dyDescent="0.2">
      <c r="A218" s="56">
        <f t="shared" si="94"/>
        <v>44400</v>
      </c>
      <c r="B218" s="620">
        <v>41.771999999999998</v>
      </c>
      <c r="C218" s="392"/>
      <c r="D218" s="395">
        <f t="shared" si="74"/>
        <v>42.842158564292745</v>
      </c>
      <c r="E218" s="387">
        <f t="shared" si="72"/>
        <v>45.67248843820996</v>
      </c>
      <c r="F218" s="387">
        <f t="shared" si="75"/>
        <v>45.687050286417289</v>
      </c>
      <c r="G218" s="110">
        <f t="shared" si="73"/>
        <v>0.75111548898659519</v>
      </c>
      <c r="H218" s="416" t="b">
        <f>Wh_hp&gt;='2020'!Maxi_hp</f>
        <v>0</v>
      </c>
      <c r="I218" s="382">
        <f>IF(H218,Wh_hp,'2020'!Maxi_hp)</f>
        <v>56.868046767934125</v>
      </c>
      <c r="J218" s="85">
        <f>IF(H218,An,'2020'!An_max)</f>
        <v>2019</v>
      </c>
      <c r="K218" s="199">
        <f t="shared" si="76"/>
        <v>44400</v>
      </c>
      <c r="L218" s="147">
        <f>IF(t&lt;Tvie,1-EXP((T0-t)*PertePVj)+'2020'!Pspv,1-EXP((T0-t)*PertePVj)+Pspv)</f>
        <v>2.4979100030330437E-2</v>
      </c>
      <c r="M218" s="872"/>
      <c r="N218" s="872"/>
      <c r="O218" s="48">
        <f>IF(t&lt;Tnet,'2020'!Resal+('2020'!Salim-'2020'!Resal)*(1-EXP(('2020'!Tnet-t)/('2020'!Tau_j))),Resal+(Salim-Resal)*(1-EXP((Tnet-t)/(Tau_j))))*Salcycl</f>
        <v>6.1970126233571642E-2</v>
      </c>
      <c r="P218" s="171">
        <f>(INDEX(Models!$BJ218:$BT218,,T218)*(1-R218)+INDEX(Models!$BJ218:$BT218,,T218+1)*R218-ERP_i)*Q218*Ramure*Pc/MaxiM</f>
        <v>4.944320171109645E-4</v>
      </c>
      <c r="Q218" s="307">
        <f t="shared" si="77"/>
        <v>0.9</v>
      </c>
      <c r="R218" s="179">
        <f t="shared" si="78"/>
        <v>0.8124748603808819</v>
      </c>
      <c r="S218" s="839">
        <f t="shared" si="79"/>
        <v>-1</v>
      </c>
      <c r="T218" s="178">
        <f t="shared" si="80"/>
        <v>5</v>
      </c>
      <c r="U218" s="253">
        <f t="shared" si="81"/>
        <v>-0.1875251396191181</v>
      </c>
      <c r="V218" s="385">
        <f t="shared" si="82"/>
        <v>55.603510859646661</v>
      </c>
      <c r="W218" s="404"/>
      <c r="X218" s="157">
        <f t="shared" si="83"/>
        <v>44400</v>
      </c>
      <c r="Y218" s="387">
        <f t="shared" si="84"/>
        <v>38.028392421381284</v>
      </c>
      <c r="Z218" s="387">
        <f t="shared" si="85"/>
        <v>39.002643351095607</v>
      </c>
      <c r="AA218" s="388">
        <f t="shared" si="86"/>
        <v>45.67248843820996</v>
      </c>
      <c r="AB218" s="199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0.14603638459809232</v>
      </c>
      <c r="AD218" s="233">
        <f>(INDEX(Models!$BJ218:$BT218,,AH218)*(1-AF218)+INDEX(Models!$BJ218:$BT218,,AH218+1)*AF218-ERP_i)*AE218*Ramure*Pc/MaxiM</f>
        <v>4.944320171109645E-4</v>
      </c>
      <c r="AE218" s="307">
        <f t="shared" si="88"/>
        <v>0.9</v>
      </c>
      <c r="AF218" s="179">
        <f t="shared" si="89"/>
        <v>0.8124748603808819</v>
      </c>
      <c r="AG218" s="839">
        <f t="shared" si="95"/>
        <v>-1</v>
      </c>
      <c r="AH218" s="178">
        <f t="shared" si="90"/>
        <v>5</v>
      </c>
      <c r="AI218" s="227">
        <f t="shared" si="91"/>
        <v>-0.1875251396191181</v>
      </c>
      <c r="AJ218" s="267" t="b">
        <f t="shared" si="92"/>
        <v>0</v>
      </c>
      <c r="AK218" s="267" t="b">
        <f t="shared" si="93"/>
        <v>0</v>
      </c>
      <c r="AL218" s="267"/>
      <c r="AM218" s="267"/>
      <c r="AN218" s="75"/>
    </row>
    <row r="219" spans="1:40" s="6" customFormat="1" ht="11.25" x14ac:dyDescent="0.2">
      <c r="A219" s="56">
        <f t="shared" si="94"/>
        <v>44401</v>
      </c>
      <c r="B219" s="620">
        <v>32.413000000000004</v>
      </c>
      <c r="C219" s="392"/>
      <c r="D219" s="395">
        <f t="shared" si="74"/>
        <v>33.244163603492687</v>
      </c>
      <c r="E219" s="387">
        <f t="shared" si="72"/>
        <v>35.452872784086544</v>
      </c>
      <c r="F219" s="387">
        <f t="shared" si="75"/>
        <v>35.460524383498807</v>
      </c>
      <c r="G219" s="110">
        <f t="shared" si="73"/>
        <v>0.58443543704033141</v>
      </c>
      <c r="H219" s="416" t="b">
        <f>Wh_hp&gt;='2020'!Maxi_hp</f>
        <v>0</v>
      </c>
      <c r="I219" s="382">
        <f>IF(H219,Wh_hp,'2020'!Maxi_hp)</f>
        <v>57.12402573643886</v>
      </c>
      <c r="J219" s="85">
        <f>IF(H219,An,'2020'!An_max)</f>
        <v>2019</v>
      </c>
      <c r="K219" s="199">
        <f t="shared" si="76"/>
        <v>44401</v>
      </c>
      <c r="L219" s="147">
        <f>IF(t&lt;Tvie,1-EXP((T0-t)*PertePVj)+'2020'!Pspv,1-EXP((T0-t)*PertePVj)+Pspv)</f>
        <v>2.5001790191086615E-2</v>
      </c>
      <c r="M219" s="872"/>
      <c r="N219" s="872"/>
      <c r="O219" s="48">
        <f>IF(t&lt;Tnet,'2020'!Resal+('2020'!Salim-'2020'!Resal)*(1-EXP(('2020'!Tnet-t)/('2020'!Tau_j))),Resal+(Salim-Resal)*(1-EXP((Tnet-t)/(Tau_j))))*Salcycl</f>
        <v>6.2299864782333444E-2</v>
      </c>
      <c r="P219" s="171">
        <f>(INDEX(Models!$BJ219:$BT219,,T219)*(1-R219)+INDEX(Models!$BJ219:$BT219,,T219+1)*R219-ERP_i)*Q219*Ramure*Pc/MaxiM</f>
        <v>5.306893081443232E-4</v>
      </c>
      <c r="Q219" s="307">
        <f t="shared" si="77"/>
        <v>0.9</v>
      </c>
      <c r="R219" s="179">
        <f t="shared" si="78"/>
        <v>0.81550938340457069</v>
      </c>
      <c r="S219" s="839">
        <f t="shared" si="79"/>
        <v>-1</v>
      </c>
      <c r="T219" s="178">
        <f t="shared" si="80"/>
        <v>5</v>
      </c>
      <c r="U219" s="253">
        <f t="shared" si="81"/>
        <v>-0.18449061659542931</v>
      </c>
      <c r="V219" s="385">
        <f t="shared" si="82"/>
        <v>55.442891586817247</v>
      </c>
      <c r="W219" s="404"/>
      <c r="X219" s="157">
        <f t="shared" si="83"/>
        <v>44401</v>
      </c>
      <c r="Y219" s="387">
        <f t="shared" si="84"/>
        <v>29.514997897270408</v>
      </c>
      <c r="Z219" s="387">
        <f t="shared" si="85"/>
        <v>30.271848297090671</v>
      </c>
      <c r="AA219" s="388">
        <f t="shared" si="86"/>
        <v>35.452872784086544</v>
      </c>
      <c r="AB219" s="199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0.14613835438806641</v>
      </c>
      <c r="AD219" s="233">
        <f>(INDEX(Models!$BJ219:$BT219,,AH219)*(1-AF219)+INDEX(Models!$BJ219:$BT219,,AH219+1)*AF219-ERP_i)*AE219*Ramure*Pc/MaxiM</f>
        <v>5.306893081443232E-4</v>
      </c>
      <c r="AE219" s="307">
        <f t="shared" si="88"/>
        <v>0.9</v>
      </c>
      <c r="AF219" s="179">
        <f t="shared" si="89"/>
        <v>0.81550938340457069</v>
      </c>
      <c r="AG219" s="839">
        <f t="shared" si="95"/>
        <v>-1</v>
      </c>
      <c r="AH219" s="178">
        <f t="shared" si="90"/>
        <v>5</v>
      </c>
      <c r="AI219" s="227">
        <f t="shared" si="91"/>
        <v>-0.18449061659542931</v>
      </c>
      <c r="AJ219" s="267" t="b">
        <f t="shared" si="92"/>
        <v>0</v>
      </c>
      <c r="AK219" s="267" t="b">
        <f t="shared" si="93"/>
        <v>0</v>
      </c>
      <c r="AL219" s="267"/>
      <c r="AM219" s="267"/>
      <c r="AN219" s="75"/>
    </row>
    <row r="220" spans="1:40" s="6" customFormat="1" ht="11.25" x14ac:dyDescent="0.2">
      <c r="A220" s="56">
        <f t="shared" si="94"/>
        <v>44402</v>
      </c>
      <c r="B220" s="620">
        <v>35.039000000000001</v>
      </c>
      <c r="C220" s="392"/>
      <c r="D220" s="395">
        <f t="shared" si="74"/>
        <v>35.938338219679622</v>
      </c>
      <c r="E220" s="387">
        <f t="shared" si="72"/>
        <v>38.3394746127573</v>
      </c>
      <c r="F220" s="387">
        <f t="shared" si="75"/>
        <v>38.349912757491403</v>
      </c>
      <c r="G220" s="110">
        <f t="shared" si="73"/>
        <v>0.63364949391647918</v>
      </c>
      <c r="H220" s="416" t="b">
        <f>Wh_hp&gt;='2020'!Maxi_hp</f>
        <v>0</v>
      </c>
      <c r="I220" s="382">
        <f>IF(H220,Wh_hp,'2020'!Maxi_hp)</f>
        <v>58.709047096297212</v>
      </c>
      <c r="J220" s="85">
        <f>IF(H220,An,'2020'!An_max)</f>
        <v>2020</v>
      </c>
      <c r="K220" s="199">
        <f t="shared" si="76"/>
        <v>44402</v>
      </c>
      <c r="L220" s="147">
        <f>IF(t&lt;Tvie,1-EXP((T0-t)*PertePVj)+'2020'!Pspv,1-EXP((T0-t)*PertePVj)+Pspv)</f>
        <v>2.502447982380962E-2</v>
      </c>
      <c r="M220" s="872"/>
      <c r="N220" s="872"/>
      <c r="O220" s="48">
        <f>IF(t&lt;Tnet,'2020'!Resal+('2020'!Salim-'2020'!Resal)*(1-EXP(('2020'!Tnet-t)/('2020'!Tau_j))),Resal+(Salim-Resal)*(1-EXP((Tnet-t)/(Tau_j))))*Salcycl</f>
        <v>6.2628307177655232E-2</v>
      </c>
      <c r="P220" s="171">
        <f>(INDEX(Models!$BJ220:$BT220,,T220)*(1-R220)+INDEX(Models!$BJ220:$BT220,,T220+1)*R220-ERP_i)*Q220*Ramure*Pc/MaxiM</f>
        <v>5.707162060406331E-4</v>
      </c>
      <c r="Q220" s="307">
        <f t="shared" si="77"/>
        <v>0.9</v>
      </c>
      <c r="R220" s="179">
        <f t="shared" si="78"/>
        <v>0.81845564577338892</v>
      </c>
      <c r="S220" s="839">
        <f t="shared" si="79"/>
        <v>-1</v>
      </c>
      <c r="T220" s="178">
        <f t="shared" si="80"/>
        <v>5</v>
      </c>
      <c r="U220" s="253">
        <f t="shared" si="81"/>
        <v>-0.18154435422661108</v>
      </c>
      <c r="V220" s="385">
        <f t="shared" si="82"/>
        <v>55.280619866523708</v>
      </c>
      <c r="W220" s="404"/>
      <c r="X220" s="157">
        <f t="shared" si="83"/>
        <v>44402</v>
      </c>
      <c r="Y220" s="387">
        <f t="shared" si="84"/>
        <v>31.913624834090275</v>
      </c>
      <c r="Z220" s="387">
        <f t="shared" si="85"/>
        <v>32.732744744527615</v>
      </c>
      <c r="AA220" s="388">
        <f t="shared" si="86"/>
        <v>38.3394746127573</v>
      </c>
      <c r="AB220" s="199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0.14623908973348507</v>
      </c>
      <c r="AD220" s="233">
        <f>(INDEX(Models!$BJ220:$BT220,,AH220)*(1-AF220)+INDEX(Models!$BJ220:$BT220,,AH220+1)*AF220-ERP_i)*AE220*Ramure*Pc/MaxiM</f>
        <v>5.707162060406331E-4</v>
      </c>
      <c r="AE220" s="307">
        <f t="shared" si="88"/>
        <v>0.9</v>
      </c>
      <c r="AF220" s="179">
        <f t="shared" si="89"/>
        <v>0.81845564577338892</v>
      </c>
      <c r="AG220" s="839">
        <f t="shared" si="95"/>
        <v>-1</v>
      </c>
      <c r="AH220" s="178">
        <f t="shared" si="90"/>
        <v>5</v>
      </c>
      <c r="AI220" s="227">
        <f t="shared" si="91"/>
        <v>-0.18154435422661108</v>
      </c>
      <c r="AJ220" s="267" t="b">
        <f t="shared" si="92"/>
        <v>0</v>
      </c>
      <c r="AK220" s="267" t="b">
        <f t="shared" si="93"/>
        <v>0</v>
      </c>
      <c r="AL220" s="267"/>
      <c r="AM220" s="267"/>
      <c r="AN220" s="75"/>
    </row>
    <row r="221" spans="1:40" s="6" customFormat="1" ht="11.25" x14ac:dyDescent="0.2">
      <c r="A221" s="56">
        <f t="shared" si="94"/>
        <v>44403</v>
      </c>
      <c r="B221" s="620">
        <v>33.027000000000001</v>
      </c>
      <c r="C221" s="392"/>
      <c r="D221" s="395">
        <f t="shared" si="74"/>
        <v>33.875484995210293</v>
      </c>
      <c r="E221" s="387">
        <f t="shared" si="72"/>
        <v>36.151414604333347</v>
      </c>
      <c r="F221" s="387">
        <f t="shared" si="75"/>
        <v>36.16090132151654</v>
      </c>
      <c r="G221" s="110">
        <f t="shared" si="73"/>
        <v>0.59901064410090654</v>
      </c>
      <c r="H221" s="416" t="b">
        <f>Wh_hp&gt;='2020'!Maxi_hp</f>
        <v>0</v>
      </c>
      <c r="I221" s="382">
        <f>IF(H221,Wh_hp,'2020'!Maxi_hp)</f>
        <v>58.036306990108471</v>
      </c>
      <c r="J221" s="85">
        <f>IF(H221,An,'2020'!An_max)</f>
        <v>2020</v>
      </c>
      <c r="K221" s="199">
        <f t="shared" si="76"/>
        <v>44403</v>
      </c>
      <c r="L221" s="147">
        <f>IF(t&lt;Tvie,1-EXP((T0-t)*PertePVj)+'2020'!Pspv,1-EXP((T0-t)*PertePVj)+Pspv)</f>
        <v>2.5047168928511665E-2</v>
      </c>
      <c r="M221" s="872"/>
      <c r="N221" s="872"/>
      <c r="O221" s="48">
        <f>IF(t&lt;Tnet,'2020'!Resal+('2020'!Salim-'2020'!Resal)*(1-EXP(('2020'!Tnet-t)/('2020'!Tau_j))),Resal+(Salim-Resal)*(1-EXP((Tnet-t)/(Tau_j))))*Salcycl</f>
        <v>6.2955478617709365E-2</v>
      </c>
      <c r="P221" s="171">
        <f>(INDEX(Models!$BJ221:$BT221,,T221)*(1-R221)+INDEX(Models!$BJ221:$BT221,,T221+1)*R221-ERP_i)*Q221*Ramure*Pc/MaxiM</f>
        <v>6.1373699154576111E-4</v>
      </c>
      <c r="Q221" s="307">
        <f t="shared" si="77"/>
        <v>0.9</v>
      </c>
      <c r="R221" s="179">
        <f t="shared" si="78"/>
        <v>0.82131506263201537</v>
      </c>
      <c r="S221" s="839">
        <f t="shared" si="79"/>
        <v>-1</v>
      </c>
      <c r="T221" s="178">
        <f t="shared" si="80"/>
        <v>5</v>
      </c>
      <c r="U221" s="253">
        <f t="shared" si="81"/>
        <v>-0.17868493736798463</v>
      </c>
      <c r="V221" s="385">
        <f t="shared" si="82"/>
        <v>55.116535798680658</v>
      </c>
      <c r="W221" s="404"/>
      <c r="X221" s="157">
        <f t="shared" si="83"/>
        <v>44403</v>
      </c>
      <c r="Y221" s="387">
        <f t="shared" si="84"/>
        <v>30.088082811253098</v>
      </c>
      <c r="Z221" s="387">
        <f t="shared" si="85"/>
        <v>30.861065122695042</v>
      </c>
      <c r="AA221" s="388">
        <f t="shared" si="86"/>
        <v>36.151414604333347</v>
      </c>
      <c r="AB221" s="199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0.14633865754741912</v>
      </c>
      <c r="AD221" s="233">
        <f>(INDEX(Models!$BJ221:$BT221,,AH221)*(1-AF221)+INDEX(Models!$BJ221:$BT221,,AH221+1)*AF221-ERP_i)*AE221*Ramure*Pc/MaxiM</f>
        <v>6.1373699154576111E-4</v>
      </c>
      <c r="AE221" s="307">
        <f t="shared" si="88"/>
        <v>0.9</v>
      </c>
      <c r="AF221" s="179">
        <f t="shared" si="89"/>
        <v>0.82131506263201537</v>
      </c>
      <c r="AG221" s="839">
        <f t="shared" si="95"/>
        <v>-1</v>
      </c>
      <c r="AH221" s="178">
        <f t="shared" si="90"/>
        <v>5</v>
      </c>
      <c r="AI221" s="227">
        <f t="shared" si="91"/>
        <v>-0.17868493736798463</v>
      </c>
      <c r="AJ221" s="267" t="b">
        <f t="shared" si="92"/>
        <v>0</v>
      </c>
      <c r="AK221" s="267" t="b">
        <f t="shared" si="93"/>
        <v>0</v>
      </c>
      <c r="AL221" s="267"/>
      <c r="AM221" s="267"/>
      <c r="AN221" s="75"/>
    </row>
    <row r="222" spans="1:40" s="6" customFormat="1" ht="11.25" x14ac:dyDescent="0.2">
      <c r="A222" s="56">
        <f t="shared" si="94"/>
        <v>44404</v>
      </c>
      <c r="B222" s="620">
        <v>45.777000000000001</v>
      </c>
      <c r="C222" s="392"/>
      <c r="D222" s="395">
        <f t="shared" si="74"/>
        <v>46.95413343448287</v>
      </c>
      <c r="E222" s="387">
        <f t="shared" si="72"/>
        <v>50.126188993843293</v>
      </c>
      <c r="F222" s="387">
        <f t="shared" si="75"/>
        <v>50.151387092288985</v>
      </c>
      <c r="G222" s="110">
        <f t="shared" si="73"/>
        <v>0.83292868696879163</v>
      </c>
      <c r="H222" s="416" t="b">
        <f>Wh_hp&gt;='2020'!Maxi_hp</f>
        <v>1</v>
      </c>
      <c r="I222" s="382">
        <f>IF(H222,Wh_hp,'2020'!Maxi_hp)</f>
        <v>50.151387092288985</v>
      </c>
      <c r="J222" s="85">
        <f>IF(H222,An,'2020'!An_max)</f>
        <v>2021</v>
      </c>
      <c r="K222" s="199">
        <f t="shared" si="76"/>
        <v>44404</v>
      </c>
      <c r="L222" s="147">
        <f>IF(t&lt;Tvie,1-EXP((T0-t)*PertePVj)+'2020'!Pspv,1-EXP((T0-t)*PertePVj)+Pspv)</f>
        <v>2.5069857505205073E-2</v>
      </c>
      <c r="M222" s="872"/>
      <c r="N222" s="872"/>
      <c r="O222" s="48">
        <f>IF(t&lt;Tnet,'2020'!Resal+('2020'!Salim-'2020'!Resal)*(1-EXP(('2020'!Tnet-t)/('2020'!Tau_j))),Resal+(Salim-Resal)*(1-EXP((Tnet-t)/(Tau_j))))*Salcycl</f>
        <v>6.3281402856100358E-2</v>
      </c>
      <c r="P222" s="171">
        <f>(INDEX(Models!$BJ222:$BT222,,T222)*(1-R222)+INDEX(Models!$BJ222:$BT222,,T222+1)*R222-ERP_i)*Q222*Ramure*Pc/MaxiM</f>
        <v>6.597917759757348E-4</v>
      </c>
      <c r="Q222" s="307">
        <f t="shared" si="77"/>
        <v>0.9</v>
      </c>
      <c r="R222" s="179">
        <f t="shared" si="78"/>
        <v>0.82408910925550305</v>
      </c>
      <c r="S222" s="839">
        <f t="shared" si="79"/>
        <v>-1</v>
      </c>
      <c r="T222" s="178">
        <f t="shared" si="80"/>
        <v>5</v>
      </c>
      <c r="U222" s="253">
        <f t="shared" si="81"/>
        <v>-0.17591089074449695</v>
      </c>
      <c r="V222" s="385">
        <f t="shared" si="82"/>
        <v>54.950434575383497</v>
      </c>
      <c r="W222" s="404"/>
      <c r="X222" s="157">
        <f t="shared" si="83"/>
        <v>44404</v>
      </c>
      <c r="Y222" s="387">
        <f t="shared" si="84"/>
        <v>41.713218966083282</v>
      </c>
      <c r="Z222" s="387">
        <f t="shared" si="85"/>
        <v>42.785854234993032</v>
      </c>
      <c r="AA222" s="388">
        <f t="shared" si="86"/>
        <v>50.126188993843293</v>
      </c>
      <c r="AB222" s="199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0.14643712012002008</v>
      </c>
      <c r="AD222" s="233">
        <f>(INDEX(Models!$BJ222:$BT222,,AH222)*(1-AF222)+INDEX(Models!$BJ222:$BT222,,AH222+1)*AF222-ERP_i)*AE222*Ramure*Pc/MaxiM</f>
        <v>6.597917759757348E-4</v>
      </c>
      <c r="AE222" s="307">
        <f t="shared" si="88"/>
        <v>0.9</v>
      </c>
      <c r="AF222" s="179">
        <f t="shared" si="89"/>
        <v>0.82408910925550305</v>
      </c>
      <c r="AG222" s="839">
        <f t="shared" si="95"/>
        <v>-1</v>
      </c>
      <c r="AH222" s="178">
        <f t="shared" si="90"/>
        <v>5</v>
      </c>
      <c r="AI222" s="227">
        <f t="shared" si="91"/>
        <v>-0.17591089074449695</v>
      </c>
      <c r="AJ222" s="267" t="b">
        <f t="shared" si="92"/>
        <v>0</v>
      </c>
      <c r="AK222" s="267" t="b">
        <f t="shared" si="93"/>
        <v>0</v>
      </c>
      <c r="AL222" s="267"/>
      <c r="AM222" s="267"/>
      <c r="AN222" s="75"/>
    </row>
    <row r="223" spans="1:40" s="6" customFormat="1" ht="11.25" x14ac:dyDescent="0.2">
      <c r="A223" s="56">
        <f t="shared" si="94"/>
        <v>44405</v>
      </c>
      <c r="B223" s="620">
        <v>26.85</v>
      </c>
      <c r="C223" s="392"/>
      <c r="D223" s="395">
        <f t="shared" si="74"/>
        <v>27.541075696518359</v>
      </c>
      <c r="E223" s="387">
        <f t="shared" si="72"/>
        <v>29.411848751083337</v>
      </c>
      <c r="F223" s="387">
        <f t="shared" si="75"/>
        <v>29.41751299591461</v>
      </c>
      <c r="G223" s="110">
        <f t="shared" si="73"/>
        <v>0.48987035672970308</v>
      </c>
      <c r="H223" s="416" t="b">
        <f>Wh_hp&gt;='2020'!Maxi_hp</f>
        <v>0</v>
      </c>
      <c r="I223" s="382">
        <f>IF(H223,Wh_hp,'2020'!Maxi_hp)</f>
        <v>61.3460462503919</v>
      </c>
      <c r="J223" s="85">
        <f>IF(H223,An,'2020'!An_max)</f>
        <v>2019</v>
      </c>
      <c r="K223" s="199">
        <f t="shared" si="76"/>
        <v>44405</v>
      </c>
      <c r="L223" s="147">
        <f>IF(t&lt;Tvie,1-EXP((T0-t)*PertePVj)+'2020'!Pspv,1-EXP((T0-t)*PertePVj)+Pspv)</f>
        <v>2.5092545553902279E-2</v>
      </c>
      <c r="M223" s="872"/>
      <c r="N223" s="872"/>
      <c r="O223" s="48">
        <f>IF(t&lt;Tnet,'2020'!Resal+('2020'!Salim-'2020'!Resal)*(1-EXP(('2020'!Tnet-t)/('2020'!Tau_j))),Resal+(Salim-Resal)*(1-EXP((Tnet-t)/(Tau_j))))*Salcycl</f>
        <v>6.3606102098429609E-2</v>
      </c>
      <c r="P223" s="171">
        <f>(INDEX(Models!$BJ223:$BT223,,T223)*(1-R223)+INDEX(Models!$BJ223:$BT223,,T223+1)*R223-ERP_i)*Q223*Ramure*Pc/MaxiM</f>
        <v>7.0892177845420078E-4</v>
      </c>
      <c r="Q223" s="307">
        <f t="shared" si="77"/>
        <v>0.9</v>
      </c>
      <c r="R223" s="179">
        <f t="shared" si="78"/>
        <v>0.82677931400049531</v>
      </c>
      <c r="S223" s="839">
        <f t="shared" si="79"/>
        <v>-1</v>
      </c>
      <c r="T223" s="178">
        <f t="shared" si="80"/>
        <v>5</v>
      </c>
      <c r="U223" s="253">
        <f t="shared" si="81"/>
        <v>-0.17322068599950469</v>
      </c>
      <c r="V223" s="385">
        <f t="shared" si="82"/>
        <v>54.782111818292819</v>
      </c>
      <c r="W223" s="404"/>
      <c r="X223" s="157">
        <f t="shared" si="83"/>
        <v>44405</v>
      </c>
      <c r="Y223" s="387">
        <f t="shared" si="84"/>
        <v>24.472124163471413</v>
      </c>
      <c r="Z223" s="387">
        <f t="shared" si="85"/>
        <v>25.101997170978109</v>
      </c>
      <c r="AA223" s="388">
        <f t="shared" si="86"/>
        <v>29.411848751083337</v>
      </c>
      <c r="AB223" s="199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0.14653453499574667</v>
      </c>
      <c r="AD223" s="233">
        <f>(INDEX(Models!$BJ223:$BT223,,AH223)*(1-AF223)+INDEX(Models!$BJ223:$BT223,,AH223+1)*AF223-ERP_i)*AE223*Ramure*Pc/MaxiM</f>
        <v>7.0892177845420078E-4</v>
      </c>
      <c r="AE223" s="307">
        <f t="shared" si="88"/>
        <v>0.9</v>
      </c>
      <c r="AF223" s="179">
        <f t="shared" si="89"/>
        <v>0.82677931400049531</v>
      </c>
      <c r="AG223" s="839">
        <f t="shared" si="95"/>
        <v>-1</v>
      </c>
      <c r="AH223" s="178">
        <f t="shared" si="90"/>
        <v>5</v>
      </c>
      <c r="AI223" s="227">
        <f t="shared" si="91"/>
        <v>-0.17322068599950469</v>
      </c>
      <c r="AJ223" s="267" t="b">
        <f t="shared" si="92"/>
        <v>0</v>
      </c>
      <c r="AK223" s="267" t="b">
        <f t="shared" si="93"/>
        <v>0</v>
      </c>
      <c r="AL223" s="267"/>
      <c r="AM223" s="267"/>
      <c r="AN223" s="75"/>
    </row>
    <row r="224" spans="1:40" s="6" customFormat="1" ht="11.25" x14ac:dyDescent="0.2">
      <c r="A224" s="56">
        <f t="shared" si="94"/>
        <v>44406</v>
      </c>
      <c r="B224" s="620">
        <v>51.692999999999998</v>
      </c>
      <c r="C224" s="392"/>
      <c r="D224" s="395">
        <f t="shared" si="74"/>
        <v>53.024728412805793</v>
      </c>
      <c r="E224" s="387">
        <f t="shared" si="72"/>
        <v>56.646090121072547</v>
      </c>
      <c r="F224" s="387">
        <f t="shared" si="75"/>
        <v>56.685943796954191</v>
      </c>
      <c r="G224" s="110">
        <f t="shared" si="73"/>
        <v>0.94650619755873666</v>
      </c>
      <c r="H224" s="416" t="b">
        <f>Wh_hp&gt;='2020'!Maxi_hp</f>
        <v>0</v>
      </c>
      <c r="I224" s="382">
        <f>IF(H224,Wh_hp,'2020'!Maxi_hp)</f>
        <v>60.078998480863916</v>
      </c>
      <c r="J224" s="85">
        <f>IF(H224,An,'2020'!An_max)</f>
        <v>2019</v>
      </c>
      <c r="K224" s="199">
        <f t="shared" si="76"/>
        <v>44406</v>
      </c>
      <c r="L224" s="147">
        <f>IF(t&lt;Tvie,1-EXP((T0-t)*PertePVj)+'2020'!Pspv,1-EXP((T0-t)*PertePVj)+Pspv)</f>
        <v>2.5115233074615273E-2</v>
      </c>
      <c r="M224" s="872"/>
      <c r="N224" s="872"/>
      <c r="O224" s="48">
        <f>IF(t&lt;Tnet,'2020'!Resal+('2020'!Salim-'2020'!Resal)*(1-EXP(('2020'!Tnet-t)/('2020'!Tau_j))),Resal+(Salim-Resal)*(1-EXP((Tnet-t)/(Tau_j))))*Salcycl</f>
        <v>6.3929596915279302E-2</v>
      </c>
      <c r="P224" s="171">
        <f>(INDEX(Models!$BJ224:$BT224,,T224)*(1-R224)+INDEX(Models!$BJ224:$BT224,,T224+1)*R224-ERP_i)*Q224*Ramure*Pc/MaxiM</f>
        <v>7.6116949851313075E-4</v>
      </c>
      <c r="Q224" s="307">
        <f t="shared" si="77"/>
        <v>0.9</v>
      </c>
      <c r="R224" s="179">
        <f t="shared" si="78"/>
        <v>0.82938725153853932</v>
      </c>
      <c r="S224" s="839">
        <f t="shared" si="79"/>
        <v>-1</v>
      </c>
      <c r="T224" s="178">
        <f t="shared" si="80"/>
        <v>5</v>
      </c>
      <c r="U224" s="253">
        <f t="shared" si="81"/>
        <v>-0.17061274846146068</v>
      </c>
      <c r="V224" s="385">
        <f t="shared" si="82"/>
        <v>54.611363577918461</v>
      </c>
      <c r="W224" s="404"/>
      <c r="X224" s="157">
        <f t="shared" si="83"/>
        <v>44406</v>
      </c>
      <c r="Y224" s="387">
        <f t="shared" si="84"/>
        <v>47.125948970819458</v>
      </c>
      <c r="Z224" s="387">
        <f t="shared" si="85"/>
        <v>48.340019835827796</v>
      </c>
      <c r="AA224" s="388">
        <f t="shared" si="86"/>
        <v>56.646090121072547</v>
      </c>
      <c r="AB224" s="199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0.1466309548901216</v>
      </c>
      <c r="AD224" s="233">
        <f>(INDEX(Models!$BJ224:$BT224,,AH224)*(1-AF224)+INDEX(Models!$BJ224:$BT224,,AH224+1)*AF224-ERP_i)*AE224*Ramure*Pc/MaxiM</f>
        <v>7.6116949851313075E-4</v>
      </c>
      <c r="AE224" s="307">
        <f t="shared" si="88"/>
        <v>0.9</v>
      </c>
      <c r="AF224" s="179">
        <f t="shared" si="89"/>
        <v>0.82938725153853932</v>
      </c>
      <c r="AG224" s="839">
        <f t="shared" si="95"/>
        <v>-1</v>
      </c>
      <c r="AH224" s="178">
        <f t="shared" si="90"/>
        <v>5</v>
      </c>
      <c r="AI224" s="227">
        <f t="shared" si="91"/>
        <v>-0.17061274846146068</v>
      </c>
      <c r="AJ224" s="267" t="b">
        <f t="shared" si="92"/>
        <v>0</v>
      </c>
      <c r="AK224" s="267" t="b">
        <f t="shared" si="93"/>
        <v>0</v>
      </c>
      <c r="AL224" s="267"/>
      <c r="AM224" s="267"/>
      <c r="AN224" s="75"/>
    </row>
    <row r="225" spans="1:40" s="6" customFormat="1" ht="11.25" x14ac:dyDescent="0.2">
      <c r="A225" s="56">
        <f t="shared" si="94"/>
        <v>44407</v>
      </c>
      <c r="B225" s="620">
        <v>17.55</v>
      </c>
      <c r="C225" s="392"/>
      <c r="D225" s="395">
        <f t="shared" si="74"/>
        <v>18.00254657685792</v>
      </c>
      <c r="E225" s="387">
        <f t="shared" si="72"/>
        <v>19.23866764526964</v>
      </c>
      <c r="F225" s="387">
        <f t="shared" si="75"/>
        <v>19.239170042258174</v>
      </c>
      <c r="G225" s="110">
        <f t="shared" si="73"/>
        <v>0.32213033852585088</v>
      </c>
      <c r="H225" s="416" t="b">
        <f>Wh_hp&gt;='2020'!Maxi_hp</f>
        <v>0</v>
      </c>
      <c r="I225" s="382">
        <f>IF(H225,Wh_hp,'2020'!Maxi_hp)</f>
        <v>51.973078310921963</v>
      </c>
      <c r="J225" s="85">
        <f>IF(H225,An,'2020'!An_max)</f>
        <v>2020</v>
      </c>
      <c r="K225" s="199">
        <f t="shared" si="76"/>
        <v>44407</v>
      </c>
      <c r="L225" s="147">
        <f>IF(t&lt;Tvie,1-EXP((T0-t)*PertePVj)+'2020'!Pspv,1-EXP((T0-t)*PertePVj)+Pspv)</f>
        <v>2.5137920067356601E-2</v>
      </c>
      <c r="M225" s="872"/>
      <c r="N225" s="872"/>
      <c r="O225" s="48">
        <f>IF(t&lt;Tnet,'2020'!Resal+('2020'!Salim-'2020'!Resal)*(1-EXP(('2020'!Tnet-t)/('2020'!Tau_j))),Resal+(Salim-Resal)*(1-EXP((Tnet-t)/(Tau_j))))*Salcycl</f>
        <v>6.4251906171665332E-2</v>
      </c>
      <c r="P225" s="171">
        <f>(INDEX(Models!$BJ225:$BT225,,T225)*(1-R225)+INDEX(Models!$BJ225:$BT225,,T225+1)*R225-ERP_i)*Q225*Ramure*Pc/MaxiM</f>
        <v>8.1657889548442184E-4</v>
      </c>
      <c r="Q225" s="307">
        <f t="shared" si="77"/>
        <v>0.9</v>
      </c>
      <c r="R225" s="179">
        <f t="shared" si="78"/>
        <v>0.83191453638354629</v>
      </c>
      <c r="S225" s="839">
        <f t="shared" si="79"/>
        <v>-1</v>
      </c>
      <c r="T225" s="178">
        <f t="shared" si="80"/>
        <v>5</v>
      </c>
      <c r="U225" s="253">
        <f t="shared" si="81"/>
        <v>-0.16808546361645371</v>
      </c>
      <c r="V225" s="385">
        <f t="shared" si="82"/>
        <v>54.437986330802133</v>
      </c>
      <c r="W225" s="404"/>
      <c r="X225" s="157">
        <f t="shared" si="83"/>
        <v>44407</v>
      </c>
      <c r="Y225" s="387">
        <f t="shared" si="84"/>
        <v>16.003186427627725</v>
      </c>
      <c r="Z225" s="387">
        <f t="shared" si="85"/>
        <v>16.415846669031829</v>
      </c>
      <c r="AA225" s="388">
        <f t="shared" si="86"/>
        <v>19.23866764526964</v>
      </c>
      <c r="AB225" s="199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0.14672642764489352</v>
      </c>
      <c r="AD225" s="233">
        <f>(INDEX(Models!$BJ225:$BT225,,AH225)*(1-AF225)+INDEX(Models!$BJ225:$BT225,,AH225+1)*AF225-ERP_i)*AE225*Ramure*Pc/MaxiM</f>
        <v>8.1657889548442184E-4</v>
      </c>
      <c r="AE225" s="307">
        <f t="shared" si="88"/>
        <v>0.9</v>
      </c>
      <c r="AF225" s="179">
        <f t="shared" si="89"/>
        <v>0.83191453638354629</v>
      </c>
      <c r="AG225" s="839">
        <f t="shared" si="95"/>
        <v>-1</v>
      </c>
      <c r="AH225" s="178">
        <f t="shared" si="90"/>
        <v>5</v>
      </c>
      <c r="AI225" s="227">
        <f t="shared" si="91"/>
        <v>-0.16808546361645371</v>
      </c>
      <c r="AJ225" s="267" t="b">
        <f t="shared" si="92"/>
        <v>0</v>
      </c>
      <c r="AK225" s="267" t="b">
        <f t="shared" si="93"/>
        <v>0</v>
      </c>
      <c r="AL225" s="267"/>
      <c r="AM225" s="267"/>
      <c r="AN225" s="75"/>
    </row>
    <row r="226" spans="1:40" s="6" customFormat="1" ht="11.25" x14ac:dyDescent="0.2">
      <c r="A226" s="56">
        <f t="shared" si="94"/>
        <v>44408</v>
      </c>
      <c r="B226" s="620">
        <v>12.67</v>
      </c>
      <c r="C226" s="392"/>
      <c r="D226" s="395">
        <f t="shared" si="74"/>
        <v>12.997012723222191</v>
      </c>
      <c r="E226" s="387">
        <f t="shared" si="72"/>
        <v>13.894203797701191</v>
      </c>
      <c r="F226" s="387">
        <f t="shared" si="75"/>
        <v>13.894203797701191</v>
      </c>
      <c r="G226" s="110">
        <f t="shared" si="73"/>
        <v>0.23329334158350204</v>
      </c>
      <c r="H226" s="416" t="b">
        <f>Wh_hp&gt;='2020'!Maxi_hp</f>
        <v>0</v>
      </c>
      <c r="I226" s="382">
        <f>IF(H226,Wh_hp,'2020'!Maxi_hp)</f>
        <v>54.621174999858518</v>
      </c>
      <c r="J226" s="85">
        <f>IF(H226,An,'2020'!An_max)</f>
        <v>2019</v>
      </c>
      <c r="K226" s="199">
        <f t="shared" si="76"/>
        <v>44408</v>
      </c>
      <c r="L226" s="147">
        <f>IF(t&lt;Tvie,1-EXP((T0-t)*PertePVj)+'2020'!Pspv,1-EXP((T0-t)*PertePVj)+Pspv)</f>
        <v>2.5160606532138474E-2</v>
      </c>
      <c r="M226" s="872"/>
      <c r="N226" s="872"/>
      <c r="O226" s="48">
        <f>IF(t&lt;Tnet,'2020'!Resal+('2020'!Salim-'2020'!Resal)*(1-EXP(('2020'!Tnet-t)/('2020'!Tau_j))),Resal+(Salim-Resal)*(1-EXP((Tnet-t)/(Tau_j))))*Salcycl</f>
        <v>6.4573046972827702E-2</v>
      </c>
      <c r="P226" s="171">
        <f>(INDEX(Models!$BJ226:$BT226,,T226)*(1-R226)+INDEX(Models!$BJ226:$BT226,,T226+1)*R226-ERP_i)*Q226*Ramure*Pc/MaxiM</f>
        <v>8.7833148732793982E-4</v>
      </c>
      <c r="Q226" s="307">
        <f t="shared" si="77"/>
        <v>0.9</v>
      </c>
      <c r="R226" s="179">
        <f t="shared" si="78"/>
        <v>0.83436281672242651</v>
      </c>
      <c r="S226" s="839">
        <f t="shared" si="79"/>
        <v>-1</v>
      </c>
      <c r="T226" s="178">
        <f t="shared" si="80"/>
        <v>5</v>
      </c>
      <c r="U226" s="253">
        <f t="shared" si="81"/>
        <v>-0.16563718327757349</v>
      </c>
      <c r="V226" s="385">
        <f t="shared" si="82"/>
        <v>54.261606671378566</v>
      </c>
      <c r="W226" s="404"/>
      <c r="X226" s="157">
        <f t="shared" si="83"/>
        <v>44408</v>
      </c>
      <c r="Y226" s="387">
        <f t="shared" si="84"/>
        <v>11.555983011724264</v>
      </c>
      <c r="Z226" s="387">
        <f t="shared" si="85"/>
        <v>11.854242954437234</v>
      </c>
      <c r="AA226" s="388">
        <f t="shared" si="86"/>
        <v>13.894203797701191</v>
      </c>
      <c r="AB226" s="199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0.14682099622012684</v>
      </c>
      <c r="AD226" s="233">
        <f>(INDEX(Models!$BJ226:$BT226,,AH226)*(1-AF226)+INDEX(Models!$BJ226:$BT226,,AH226+1)*AF226-ERP_i)*AE226*Ramure*Pc/MaxiM</f>
        <v>8.7833148732793982E-4</v>
      </c>
      <c r="AE226" s="307">
        <f t="shared" si="88"/>
        <v>0.9</v>
      </c>
      <c r="AF226" s="179">
        <f t="shared" si="89"/>
        <v>0.83436281672242651</v>
      </c>
      <c r="AG226" s="839">
        <f t="shared" si="95"/>
        <v>-1</v>
      </c>
      <c r="AH226" s="178">
        <f t="shared" si="90"/>
        <v>5</v>
      </c>
      <c r="AI226" s="227">
        <f t="shared" si="91"/>
        <v>-0.16563718327757349</v>
      </c>
      <c r="AJ226" s="267" t="b">
        <f t="shared" si="92"/>
        <v>0</v>
      </c>
      <c r="AK226" s="267" t="b">
        <f t="shared" si="93"/>
        <v>0</v>
      </c>
      <c r="AL226" s="267"/>
      <c r="AM226" s="267"/>
      <c r="AN226" s="75"/>
    </row>
    <row r="227" spans="1:40" s="6" customFormat="1" ht="11.25" x14ac:dyDescent="0.2">
      <c r="A227" s="56">
        <f t="shared" si="94"/>
        <v>44409</v>
      </c>
      <c r="B227" s="620">
        <v>44.197000000000003</v>
      </c>
      <c r="C227" s="392"/>
      <c r="D227" s="395">
        <f t="shared" si="74"/>
        <v>45.338779750646907</v>
      </c>
      <c r="E227" s="387">
        <f t="shared" si="72"/>
        <v>48.485126760354959</v>
      </c>
      <c r="F227" s="387">
        <f t="shared" si="75"/>
        <v>48.519036061928745</v>
      </c>
      <c r="G227" s="110">
        <f t="shared" si="73"/>
        <v>0.81701916396416152</v>
      </c>
      <c r="H227" s="416" t="b">
        <f>Wh_hp&gt;='2020'!Maxi_hp</f>
        <v>0</v>
      </c>
      <c r="I227" s="382">
        <f>IF(H227,Wh_hp,'2020'!Maxi_hp)</f>
        <v>52.62300790248883</v>
      </c>
      <c r="J227" s="85">
        <f>IF(H227,An,'2020'!An_max)</f>
        <v>2020</v>
      </c>
      <c r="K227" s="199">
        <f t="shared" si="76"/>
        <v>44409</v>
      </c>
      <c r="L227" s="147">
        <f>IF(t&lt;Tvie,1-EXP((T0-t)*PertePVj)+'2020'!Pspv,1-EXP((T0-t)*PertePVj)+Pspv)</f>
        <v>2.5183292468973217E-2</v>
      </c>
      <c r="M227" s="872"/>
      <c r="N227" s="872"/>
      <c r="O227" s="48">
        <f>IF(t&lt;Tnet,'2020'!Resal+('2020'!Salim-'2020'!Resal)*(1-EXP(('2020'!Tnet-t)/('2020'!Tau_j))),Resal+(Salim-Resal)*(1-EXP((Tnet-t)/(Tau_j))))*Salcycl</f>
        <v>6.4893034626048243E-2</v>
      </c>
      <c r="P227" s="171">
        <f>(INDEX(Models!$BJ227:$BT227,,T227)*(1-R227)+INDEX(Models!$BJ227:$BT227,,T227+1)*R227-ERP_i)*Q227*Ramure*Pc/MaxiM</f>
        <v>9.4586347139634299E-4</v>
      </c>
      <c r="Q227" s="307">
        <f t="shared" si="77"/>
        <v>0.9</v>
      </c>
      <c r="R227" s="179">
        <f t="shared" si="78"/>
        <v>0.83673376855512227</v>
      </c>
      <c r="S227" s="839">
        <f t="shared" si="79"/>
        <v>-1</v>
      </c>
      <c r="T227" s="178">
        <f t="shared" si="80"/>
        <v>5</v>
      </c>
      <c r="U227" s="253">
        <f t="shared" si="81"/>
        <v>-0.16326623144487773</v>
      </c>
      <c r="V227" s="385">
        <f t="shared" si="82"/>
        <v>54.08205667092399</v>
      </c>
      <c r="W227" s="404"/>
      <c r="X227" s="157">
        <f t="shared" si="83"/>
        <v>44409</v>
      </c>
      <c r="Y227" s="387">
        <f t="shared" si="84"/>
        <v>40.32031891189277</v>
      </c>
      <c r="Z227" s="387">
        <f t="shared" si="85"/>
        <v>41.361948969888211</v>
      </c>
      <c r="AA227" s="388">
        <f t="shared" si="86"/>
        <v>48.485126760354959</v>
      </c>
      <c r="AB227" s="199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0.14691469872140642</v>
      </c>
      <c r="AD227" s="233">
        <f>(INDEX(Models!$BJ227:$BT227,,AH227)*(1-AF227)+INDEX(Models!$BJ227:$BT227,,AH227+1)*AF227-ERP_i)*AE227*Ramure*Pc/MaxiM</f>
        <v>9.4586347139634299E-4</v>
      </c>
      <c r="AE227" s="307">
        <f t="shared" si="88"/>
        <v>0.9</v>
      </c>
      <c r="AF227" s="179">
        <f t="shared" si="89"/>
        <v>0.83673376855512227</v>
      </c>
      <c r="AG227" s="839">
        <f t="shared" si="95"/>
        <v>-1</v>
      </c>
      <c r="AH227" s="178">
        <f t="shared" si="90"/>
        <v>5</v>
      </c>
      <c r="AI227" s="227">
        <f t="shared" si="91"/>
        <v>-0.16326623144487773</v>
      </c>
      <c r="AJ227" s="267" t="b">
        <f t="shared" si="92"/>
        <v>0</v>
      </c>
      <c r="AK227" s="267" t="b">
        <f t="shared" si="93"/>
        <v>0</v>
      </c>
      <c r="AL227" s="267"/>
      <c r="AM227" s="267"/>
      <c r="AN227" s="75"/>
    </row>
    <row r="228" spans="1:40" s="6" customFormat="1" ht="11.25" x14ac:dyDescent="0.2">
      <c r="A228" s="56">
        <f t="shared" si="94"/>
        <v>44410</v>
      </c>
      <c r="B228" s="620">
        <v>51.238</v>
      </c>
      <c r="C228" s="392"/>
      <c r="D228" s="395">
        <f t="shared" si="74"/>
        <v>52.562899276356717</v>
      </c>
      <c r="E228" s="387">
        <f t="shared" si="72"/>
        <v>56.229746932991588</v>
      </c>
      <c r="F228" s="387">
        <f t="shared" si="75"/>
        <v>56.283067143469061</v>
      </c>
      <c r="G228" s="110">
        <f t="shared" si="73"/>
        <v>0.95055910976750391</v>
      </c>
      <c r="H228" s="416" t="b">
        <f>Wh_hp&gt;='2020'!Maxi_hp</f>
        <v>0</v>
      </c>
      <c r="I228" s="382">
        <f>IF(H228,Wh_hp,'2020'!Maxi_hp)</f>
        <v>57.016794472934762</v>
      </c>
      <c r="J228" s="85">
        <f>IF(H228,An,'2020'!An_max)</f>
        <v>2019</v>
      </c>
      <c r="K228" s="199">
        <f t="shared" si="76"/>
        <v>44410</v>
      </c>
      <c r="L228" s="147">
        <f>IF(t&lt;Tvie,1-EXP((T0-t)*PertePVj)+'2020'!Pspv,1-EXP((T0-t)*PertePVj)+Pspv)</f>
        <v>2.5205977877873043E-2</v>
      </c>
      <c r="M228" s="872"/>
      <c r="N228" s="872"/>
      <c r="O228" s="48">
        <f>IF(t&lt;Tnet,'2020'!Resal+('2020'!Salim-'2020'!Resal)*(1-EXP(('2020'!Tnet-t)/('2020'!Tau_j))),Resal+(Salim-Resal)*(1-EXP((Tnet-t)/(Tau_j))))*Salcycl</f>
        <v>6.5211882618013819E-2</v>
      </c>
      <c r="P228" s="171">
        <f>(INDEX(Models!$BJ228:$BT228,,T228)*(1-R228)+INDEX(Models!$BJ228:$BT228,,T228+1)*R228-ERP_i)*Q228*Ramure*Pc/MaxiM</f>
        <v>1.0192476370352668E-3</v>
      </c>
      <c r="Q228" s="307">
        <f t="shared" si="77"/>
        <v>0.9</v>
      </c>
      <c r="R228" s="179">
        <f t="shared" si="78"/>
        <v>0.83902909014769689</v>
      </c>
      <c r="S228" s="839">
        <f t="shared" si="79"/>
        <v>-1</v>
      </c>
      <c r="T228" s="178">
        <f t="shared" si="80"/>
        <v>5</v>
      </c>
      <c r="U228" s="253">
        <f t="shared" si="81"/>
        <v>-0.16097090985230311</v>
      </c>
      <c r="V228" s="385">
        <f t="shared" si="82"/>
        <v>53.899134200381468</v>
      </c>
      <c r="W228" s="404"/>
      <c r="X228" s="157">
        <f t="shared" si="83"/>
        <v>44410</v>
      </c>
      <c r="Y228" s="387">
        <f t="shared" si="84"/>
        <v>46.754580417270112</v>
      </c>
      <c r="Z228" s="387">
        <f t="shared" si="85"/>
        <v>47.963548561249247</v>
      </c>
      <c r="AA228" s="388">
        <f t="shared" si="86"/>
        <v>56.229746932991588</v>
      </c>
      <c r="AB228" s="199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0.1470075684600374</v>
      </c>
      <c r="AD228" s="233">
        <f>(INDEX(Models!$BJ228:$BT228,,AH228)*(1-AF228)+INDEX(Models!$BJ228:$BT228,,AH228+1)*AF228-ERP_i)*AE228*Ramure*Pc/MaxiM</f>
        <v>1.0192476370352668E-3</v>
      </c>
      <c r="AE228" s="307">
        <f t="shared" si="88"/>
        <v>0.9</v>
      </c>
      <c r="AF228" s="179">
        <f t="shared" si="89"/>
        <v>0.83902909014769689</v>
      </c>
      <c r="AG228" s="839">
        <f t="shared" si="95"/>
        <v>-1</v>
      </c>
      <c r="AH228" s="178">
        <f t="shared" si="90"/>
        <v>5</v>
      </c>
      <c r="AI228" s="227">
        <f t="shared" si="91"/>
        <v>-0.16097090985230311</v>
      </c>
      <c r="AJ228" s="267" t="b">
        <f t="shared" si="92"/>
        <v>0</v>
      </c>
      <c r="AK228" s="267" t="b">
        <f t="shared" si="93"/>
        <v>0</v>
      </c>
      <c r="AL228" s="267"/>
      <c r="AM228" s="267"/>
      <c r="AN228" s="75"/>
    </row>
    <row r="229" spans="1:40" s="6" customFormat="1" ht="11.25" x14ac:dyDescent="0.2">
      <c r="A229" s="56">
        <f t="shared" si="94"/>
        <v>44411</v>
      </c>
      <c r="B229" s="620">
        <v>34.192</v>
      </c>
      <c r="C229" s="392"/>
      <c r="D229" s="395">
        <f t="shared" si="74"/>
        <v>35.076944400901276</v>
      </c>
      <c r="E229" s="387">
        <f t="shared" si="72"/>
        <v>37.536710096716149</v>
      </c>
      <c r="F229" s="387">
        <f t="shared" si="75"/>
        <v>37.556547758828764</v>
      </c>
      <c r="G229" s="110">
        <f t="shared" si="73"/>
        <v>0.63620946130815337</v>
      </c>
      <c r="H229" s="416" t="b">
        <f>Wh_hp&gt;='2020'!Maxi_hp</f>
        <v>0</v>
      </c>
      <c r="I229" s="382">
        <f>IF(H229,Wh_hp,'2020'!Maxi_hp)</f>
        <v>57.318775039173993</v>
      </c>
      <c r="J229" s="85">
        <f>IF(H229,An,'2020'!An_max)</f>
        <v>2019</v>
      </c>
      <c r="K229" s="199">
        <f t="shared" si="76"/>
        <v>44411</v>
      </c>
      <c r="L229" s="147">
        <f>IF(t&lt;Tvie,1-EXP((T0-t)*PertePVj)+'2020'!Pspv,1-EXP((T0-t)*PertePVj)+Pspv)</f>
        <v>2.5228662758850162E-2</v>
      </c>
      <c r="M229" s="872"/>
      <c r="N229" s="872"/>
      <c r="O229" s="48">
        <f>IF(t&lt;Tnet,'2020'!Resal+('2020'!Salim-'2020'!Resal)*(1-EXP(('2020'!Tnet-t)/('2020'!Tau_j))),Resal+(Salim-Resal)*(1-EXP((Tnet-t)/(Tau_j))))*Salcycl</f>
        <v>6.55296026070772E-2</v>
      </c>
      <c r="P229" s="171">
        <f>(INDEX(Models!$BJ229:$BT229,,T229)*(1-R229)+INDEX(Models!$BJ229:$BT229,,T229+1)*R229-ERP_i)*Q229*Ramure*Pc/MaxiM</f>
        <v>1.0985604166911201E-3</v>
      </c>
      <c r="Q229" s="307">
        <f t="shared" si="77"/>
        <v>0.9</v>
      </c>
      <c r="R229" s="179">
        <f t="shared" si="78"/>
        <v>0.84125049679979691</v>
      </c>
      <c r="S229" s="839">
        <f t="shared" si="79"/>
        <v>-1</v>
      </c>
      <c r="T229" s="178">
        <f t="shared" si="80"/>
        <v>5</v>
      </c>
      <c r="U229" s="253">
        <f t="shared" si="81"/>
        <v>-0.15874950320020309</v>
      </c>
      <c r="V229" s="385">
        <f t="shared" si="82"/>
        <v>53.712637544507288</v>
      </c>
      <c r="W229" s="404"/>
      <c r="X229" s="157">
        <f t="shared" si="83"/>
        <v>44411</v>
      </c>
      <c r="Y229" s="387">
        <f t="shared" si="84"/>
        <v>31.207376278727732</v>
      </c>
      <c r="Z229" s="387">
        <f t="shared" si="85"/>
        <v>32.015073778279657</v>
      </c>
      <c r="AA229" s="388">
        <f t="shared" si="86"/>
        <v>37.536710096716149</v>
      </c>
      <c r="AB229" s="199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0.14709963404383555</v>
      </c>
      <c r="AD229" s="233">
        <f>(INDEX(Models!$BJ229:$BT229,,AH229)*(1-AF229)+INDEX(Models!$BJ229:$BT229,,AH229+1)*AF229-ERP_i)*AE229*Ramure*Pc/MaxiM</f>
        <v>1.0985604166911201E-3</v>
      </c>
      <c r="AE229" s="307">
        <f t="shared" si="88"/>
        <v>0.9</v>
      </c>
      <c r="AF229" s="179">
        <f t="shared" si="89"/>
        <v>0.84125049679979691</v>
      </c>
      <c r="AG229" s="839">
        <f t="shared" si="95"/>
        <v>-1</v>
      </c>
      <c r="AH229" s="178">
        <f t="shared" si="90"/>
        <v>5</v>
      </c>
      <c r="AI229" s="227">
        <f t="shared" si="91"/>
        <v>-0.15874950320020309</v>
      </c>
      <c r="AJ229" s="267" t="b">
        <f t="shared" si="92"/>
        <v>0</v>
      </c>
      <c r="AK229" s="267" t="b">
        <f t="shared" si="93"/>
        <v>0</v>
      </c>
      <c r="AL229" s="267"/>
      <c r="AM229" s="267"/>
      <c r="AN229" s="75"/>
    </row>
    <row r="230" spans="1:40" s="6" customFormat="1" ht="11.25" x14ac:dyDescent="0.2">
      <c r="A230" s="56">
        <f t="shared" si="94"/>
        <v>44412</v>
      </c>
      <c r="B230" s="620">
        <v>32.395000000000003</v>
      </c>
      <c r="C230" s="392"/>
      <c r="D230" s="395">
        <f t="shared" si="74"/>
        <v>33.234208535725443</v>
      </c>
      <c r="E230" s="387">
        <f t="shared" si="72"/>
        <v>35.576806188999001</v>
      </c>
      <c r="F230" s="387">
        <f t="shared" si="75"/>
        <v>35.595183120947446</v>
      </c>
      <c r="G230" s="110">
        <f t="shared" si="73"/>
        <v>0.60485670774861378</v>
      </c>
      <c r="H230" s="416" t="b">
        <f>Wh_hp&gt;='2020'!Maxi_hp</f>
        <v>0</v>
      </c>
      <c r="I230" s="382">
        <f>IF(H230,Wh_hp,'2020'!Maxi_hp)</f>
        <v>52.926175209989978</v>
      </c>
      <c r="J230" s="85">
        <f>IF(H230,An,'2020'!An_max)</f>
        <v>2019</v>
      </c>
      <c r="K230" s="199">
        <f t="shared" si="76"/>
        <v>44412</v>
      </c>
      <c r="L230" s="147">
        <f>IF(t&lt;Tvie,1-EXP((T0-t)*PertePVj)+'2020'!Pspv,1-EXP((T0-t)*PertePVj)+Pspv)</f>
        <v>2.5251347111917122E-2</v>
      </c>
      <c r="M230" s="872"/>
      <c r="N230" s="872"/>
      <c r="O230" s="48">
        <f>IF(t&lt;Tnet,'2020'!Resal+('2020'!Salim-'2020'!Resal)*(1-EXP(('2020'!Tnet-t)/('2020'!Tau_j))),Resal+(Salim-Resal)*(1-EXP((Tnet-t)/(Tau_j))))*Salcycl</f>
        <v>6.584620442961317E-2</v>
      </c>
      <c r="P230" s="171">
        <f>(INDEX(Models!$BJ230:$BT230,,T230)*(1-R230)+INDEX(Models!$BJ230:$BT230,,T230+1)*R230-ERP_i)*Q230*Ramure*Pc/MaxiM</f>
        <v>1.1838822345137472E-3</v>
      </c>
      <c r="Q230" s="307">
        <f t="shared" si="77"/>
        <v>0.9</v>
      </c>
      <c r="R230" s="179">
        <f t="shared" si="78"/>
        <v>0.84339971592569551</v>
      </c>
      <c r="S230" s="839">
        <f t="shared" si="79"/>
        <v>-1</v>
      </c>
      <c r="T230" s="178">
        <f t="shared" si="80"/>
        <v>5</v>
      </c>
      <c r="U230" s="253">
        <f t="shared" si="81"/>
        <v>-0.15660028407430449</v>
      </c>
      <c r="V230" s="385">
        <f t="shared" si="82"/>
        <v>53.522365386359276</v>
      </c>
      <c r="W230" s="404"/>
      <c r="X230" s="157">
        <f t="shared" si="83"/>
        <v>44412</v>
      </c>
      <c r="Y230" s="387">
        <f t="shared" si="84"/>
        <v>29.574091861461749</v>
      </c>
      <c r="Z230" s="387">
        <f t="shared" si="85"/>
        <v>30.340223373314412</v>
      </c>
      <c r="AA230" s="388">
        <f t="shared" si="86"/>
        <v>35.576806188999001</v>
      </c>
      <c r="AB230" s="199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0.14719091949585503</v>
      </c>
      <c r="AD230" s="233">
        <f>(INDEX(Models!$BJ230:$BT230,,AH230)*(1-AF230)+INDEX(Models!$BJ230:$BT230,,AH230+1)*AF230-ERP_i)*AE230*Ramure*Pc/MaxiM</f>
        <v>1.1838822345137472E-3</v>
      </c>
      <c r="AE230" s="307">
        <f t="shared" si="88"/>
        <v>0.9</v>
      </c>
      <c r="AF230" s="179">
        <f t="shared" si="89"/>
        <v>0.84339971592569551</v>
      </c>
      <c r="AG230" s="839">
        <f t="shared" si="95"/>
        <v>-1</v>
      </c>
      <c r="AH230" s="178">
        <f t="shared" si="90"/>
        <v>5</v>
      </c>
      <c r="AI230" s="227">
        <f t="shared" si="91"/>
        <v>-0.15660028407430449</v>
      </c>
      <c r="AJ230" s="267" t="b">
        <f t="shared" si="92"/>
        <v>0</v>
      </c>
      <c r="AK230" s="267" t="b">
        <f t="shared" si="93"/>
        <v>0</v>
      </c>
      <c r="AL230" s="267"/>
      <c r="AM230" s="267"/>
      <c r="AN230" s="75"/>
    </row>
    <row r="231" spans="1:40" s="6" customFormat="1" ht="11.25" x14ac:dyDescent="0.2">
      <c r="A231" s="56">
        <f t="shared" si="94"/>
        <v>44413</v>
      </c>
      <c r="B231" s="620">
        <v>45.670999999999999</v>
      </c>
      <c r="C231" s="392"/>
      <c r="D231" s="395">
        <f t="shared" si="74"/>
        <v>46.855220287100146</v>
      </c>
      <c r="E231" s="387">
        <f t="shared" si="72"/>
        <v>50.174875128164821</v>
      </c>
      <c r="F231" s="387">
        <f t="shared" si="75"/>
        <v>50.225789361301366</v>
      </c>
      <c r="G231" s="110">
        <f t="shared" si="73"/>
        <v>0.85619075806228973</v>
      </c>
      <c r="H231" s="416" t="b">
        <f>Wh_hp&gt;='2020'!Maxi_hp</f>
        <v>0</v>
      </c>
      <c r="I231" s="382">
        <f>IF(H231,Wh_hp,'2020'!Maxi_hp)</f>
        <v>57.776003242992068</v>
      </c>
      <c r="J231" s="85">
        <f>IF(H231,An,'2020'!An_max)</f>
        <v>2020</v>
      </c>
      <c r="K231" s="199">
        <f t="shared" si="76"/>
        <v>44413</v>
      </c>
      <c r="L231" s="147">
        <f>IF(t&lt;Tvie,1-EXP((T0-t)*PertePVj)+'2020'!Pspv,1-EXP((T0-t)*PertePVj)+Pspv)</f>
        <v>2.5274030937085912E-2</v>
      </c>
      <c r="M231" s="872"/>
      <c r="N231" s="872"/>
      <c r="O231" s="48">
        <f>IF(t&lt;Tnet,'2020'!Resal+('2020'!Salim-'2020'!Resal)*(1-EXP(('2020'!Tnet-t)/('2020'!Tau_j))),Resal+(Salim-Resal)*(1-EXP((Tnet-t)/(Tau_j))))*Salcycl</f>
        <v>6.6161696119523342E-2</v>
      </c>
      <c r="P231" s="171">
        <f>(INDEX(Models!$BJ231:$BT231,,T231)*(1-R231)+INDEX(Models!$BJ231:$BT231,,T231+1)*R231-ERP_i)*Q231*Ramure*Pc/MaxiM</f>
        <v>1.2752978699276194E-3</v>
      </c>
      <c r="Q231" s="307">
        <f t="shared" si="77"/>
        <v>0.9</v>
      </c>
      <c r="R231" s="179">
        <f t="shared" si="78"/>
        <v>0.84547848244624446</v>
      </c>
      <c r="S231" s="839">
        <f t="shared" si="79"/>
        <v>-1</v>
      </c>
      <c r="T231" s="178">
        <f t="shared" si="80"/>
        <v>5</v>
      </c>
      <c r="U231" s="253">
        <f t="shared" si="81"/>
        <v>-0.15452151755375554</v>
      </c>
      <c r="V231" s="385">
        <f t="shared" si="82"/>
        <v>53.328116811877443</v>
      </c>
      <c r="W231" s="404"/>
      <c r="X231" s="157">
        <f t="shared" si="83"/>
        <v>44413</v>
      </c>
      <c r="Y231" s="387">
        <f t="shared" si="84"/>
        <v>41.703696444085139</v>
      </c>
      <c r="Z231" s="387">
        <f t="shared" si="85"/>
        <v>42.785047046790396</v>
      </c>
      <c r="AA231" s="388">
        <f t="shared" si="86"/>
        <v>50.174875128164821</v>
      </c>
      <c r="AB231" s="199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0.14728144439817978</v>
      </c>
      <c r="AD231" s="233">
        <f>(INDEX(Models!$BJ231:$BT231,,AH231)*(1-AF231)+INDEX(Models!$BJ231:$BT231,,AH231+1)*AF231-ERP_i)*AE231*Ramure*Pc/MaxiM</f>
        <v>1.2752978699276194E-3</v>
      </c>
      <c r="AE231" s="307">
        <f t="shared" si="88"/>
        <v>0.9</v>
      </c>
      <c r="AF231" s="179">
        <f t="shared" si="89"/>
        <v>0.84547848244624446</v>
      </c>
      <c r="AG231" s="839">
        <f t="shared" si="95"/>
        <v>-1</v>
      </c>
      <c r="AH231" s="178">
        <f t="shared" si="90"/>
        <v>5</v>
      </c>
      <c r="AI231" s="227">
        <f t="shared" si="91"/>
        <v>-0.15452151755375554</v>
      </c>
      <c r="AJ231" s="267" t="b">
        <f t="shared" si="92"/>
        <v>0</v>
      </c>
      <c r="AK231" s="267" t="b">
        <f t="shared" si="93"/>
        <v>0</v>
      </c>
      <c r="AL231" s="267"/>
      <c r="AM231" s="267"/>
      <c r="AN231" s="75"/>
    </row>
    <row r="232" spans="1:40" s="6" customFormat="1" ht="11.25" x14ac:dyDescent="0.2">
      <c r="A232" s="56">
        <f t="shared" si="94"/>
        <v>44414</v>
      </c>
      <c r="B232" s="620">
        <v>19.554000000000002</v>
      </c>
      <c r="C232" s="392"/>
      <c r="D232" s="395">
        <f t="shared" si="74"/>
        <v>20.061489773926741</v>
      </c>
      <c r="E232" s="387">
        <f t="shared" si="72"/>
        <v>21.490065148618317</v>
      </c>
      <c r="F232" s="387">
        <f t="shared" si="75"/>
        <v>21.49293340318064</v>
      </c>
      <c r="G232" s="110">
        <f t="shared" si="73"/>
        <v>0.36758656350986124</v>
      </c>
      <c r="H232" s="416" t="b">
        <f>Wh_hp&gt;='2020'!Maxi_hp</f>
        <v>0</v>
      </c>
      <c r="I232" s="382">
        <f>IF(H232,Wh_hp,'2020'!Maxi_hp)</f>
        <v>56.847097363544755</v>
      </c>
      <c r="J232" s="85">
        <f>IF(H232,An,'2020'!An_max)</f>
        <v>2020</v>
      </c>
      <c r="K232" s="199">
        <f t="shared" si="76"/>
        <v>44414</v>
      </c>
      <c r="L232" s="147">
        <f>IF(t&lt;Tvie,1-EXP((T0-t)*PertePVj)+'2020'!Pspv,1-EXP((T0-t)*PertePVj)+Pspv)</f>
        <v>2.5296714234368967E-2</v>
      </c>
      <c r="M232" s="872"/>
      <c r="N232" s="872"/>
      <c r="O232" s="48">
        <f>IF(t&lt;Tnet,'2020'!Resal+('2020'!Salim-'2020'!Resal)*(1-EXP(('2020'!Tnet-t)/('2020'!Tau_j))),Resal+(Salim-Resal)*(1-EXP((Tnet-t)/(Tau_j))))*Salcycl</f>
        <v>6.6476083939811706E-2</v>
      </c>
      <c r="P232" s="171">
        <f>(INDEX(Models!$BJ232:$BT232,,T232)*(1-R232)+INDEX(Models!$BJ232:$BT232,,T232+1)*R232-ERP_i)*Q232*Ramure*Pc/MaxiM</f>
        <v>1.3728968383267361E-3</v>
      </c>
      <c r="Q232" s="307">
        <f t="shared" si="77"/>
        <v>0.9</v>
      </c>
      <c r="R232" s="179">
        <f t="shared" si="78"/>
        <v>0.84748853448738781</v>
      </c>
      <c r="S232" s="839">
        <f t="shared" si="79"/>
        <v>-1</v>
      </c>
      <c r="T232" s="178">
        <f t="shared" si="80"/>
        <v>5</v>
      </c>
      <c r="U232" s="253">
        <f t="shared" si="81"/>
        <v>-0.15251146551261219</v>
      </c>
      <c r="V232" s="385">
        <f t="shared" si="82"/>
        <v>53.129691291865086</v>
      </c>
      <c r="W232" s="404"/>
      <c r="X232" s="157">
        <f t="shared" si="83"/>
        <v>44414</v>
      </c>
      <c r="Y232" s="387">
        <f t="shared" si="84"/>
        <v>17.859535034879986</v>
      </c>
      <c r="Z232" s="387">
        <f t="shared" si="85"/>
        <v>18.323047942586232</v>
      </c>
      <c r="AA232" s="388">
        <f t="shared" si="86"/>
        <v>21.490065148618317</v>
      </c>
      <c r="AB232" s="199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0.14737122405772266</v>
      </c>
      <c r="AD232" s="233">
        <f>(INDEX(Models!$BJ232:$BT232,,AH232)*(1-AF232)+INDEX(Models!$BJ232:$BT232,,AH232+1)*AF232-ERP_i)*AE232*Ramure*Pc/MaxiM</f>
        <v>1.3728968383267361E-3</v>
      </c>
      <c r="AE232" s="307">
        <f t="shared" si="88"/>
        <v>0.9</v>
      </c>
      <c r="AF232" s="179">
        <f t="shared" si="89"/>
        <v>0.84748853448738781</v>
      </c>
      <c r="AG232" s="839">
        <f t="shared" si="95"/>
        <v>-1</v>
      </c>
      <c r="AH232" s="178">
        <f t="shared" si="90"/>
        <v>5</v>
      </c>
      <c r="AI232" s="227">
        <f t="shared" si="91"/>
        <v>-0.15251146551261219</v>
      </c>
      <c r="AJ232" s="267" t="b">
        <f t="shared" si="92"/>
        <v>0</v>
      </c>
      <c r="AK232" s="267" t="b">
        <f t="shared" si="93"/>
        <v>0</v>
      </c>
      <c r="AL232" s="267"/>
      <c r="AM232" s="267"/>
      <c r="AN232" s="75"/>
    </row>
    <row r="233" spans="1:40" s="6" customFormat="1" ht="11.25" x14ac:dyDescent="0.2">
      <c r="A233" s="56">
        <f t="shared" si="94"/>
        <v>44415</v>
      </c>
      <c r="B233" s="620">
        <v>22.836000000000002</v>
      </c>
      <c r="C233" s="392"/>
      <c r="D233" s="395">
        <f t="shared" si="74"/>
        <v>23.429213559601877</v>
      </c>
      <c r="E233" s="387">
        <f t="shared" ref="E233:E296" si="96">Wh_pvt/(1-Psa)</f>
        <v>25.106029514992688</v>
      </c>
      <c r="F233" s="387">
        <f t="shared" si="75"/>
        <v>25.112993686263444</v>
      </c>
      <c r="G233" s="110">
        <f t="shared" ref="G233:G296" si="97">+Wh_hp/MaxiM</f>
        <v>0.43093412919124274</v>
      </c>
      <c r="H233" s="416" t="b">
        <f>Wh_hp&gt;='2020'!Maxi_hp</f>
        <v>0</v>
      </c>
      <c r="I233" s="382">
        <f>IF(H233,Wh_hp,'2020'!Maxi_hp)</f>
        <v>54.905580485726198</v>
      </c>
      <c r="J233" s="85">
        <f>IF(H233,An,'2020'!An_max)</f>
        <v>2020</v>
      </c>
      <c r="K233" s="199">
        <f t="shared" si="76"/>
        <v>44415</v>
      </c>
      <c r="L233" s="147">
        <f>IF(t&lt;Tvie,1-EXP((T0-t)*PertePVj)+'2020'!Pspv,1-EXP((T0-t)*PertePVj)+Pspv)</f>
        <v>2.531939700377861E-2</v>
      </c>
      <c r="M233" s="872"/>
      <c r="N233" s="872"/>
      <c r="O233" s="48">
        <f>IF(t&lt;Tnet,'2020'!Resal+('2020'!Salim-'2020'!Resal)*(1-EXP(('2020'!Tnet-t)/('2020'!Tau_j))),Resal+(Salim-Resal)*(1-EXP((Tnet-t)/(Tau_j))))*Salcycl</f>
        <v>6.6789372425036853E-2</v>
      </c>
      <c r="P233" s="171">
        <f>(INDEX(Models!$BJ233:$BT233,,T233)*(1-R233)+INDEX(Models!$BJ233:$BT233,,T233+1)*R233-ERP_i)*Q233*Ramure*Pc/MaxiM</f>
        <v>1.4767350167192406E-3</v>
      </c>
      <c r="Q233" s="307">
        <f t="shared" si="77"/>
        <v>0.9</v>
      </c>
      <c r="R233" s="179">
        <f t="shared" si="78"/>
        <v>0.84943160937943507</v>
      </c>
      <c r="S233" s="839">
        <f t="shared" si="79"/>
        <v>-1</v>
      </c>
      <c r="T233" s="178">
        <f t="shared" si="80"/>
        <v>5</v>
      </c>
      <c r="U233" s="253">
        <f t="shared" si="81"/>
        <v>-0.15056839062056493</v>
      </c>
      <c r="V233" s="385">
        <f t="shared" si="82"/>
        <v>52.928280372010242</v>
      </c>
      <c r="W233" s="404"/>
      <c r="X233" s="157">
        <f t="shared" si="83"/>
        <v>44415</v>
      </c>
      <c r="Y233" s="387">
        <f t="shared" si="84"/>
        <v>20.861954103470968</v>
      </c>
      <c r="Z233" s="387">
        <f t="shared" si="85"/>
        <v>21.403887631845944</v>
      </c>
      <c r="AA233" s="388">
        <f t="shared" si="86"/>
        <v>25.106029514992688</v>
      </c>
      <c r="AB233" s="199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0.14746026969082934</v>
      </c>
      <c r="AD233" s="233">
        <f>(INDEX(Models!$BJ233:$BT233,,AH233)*(1-AF233)+INDEX(Models!$BJ233:$BT233,,AH233+1)*AF233-ERP_i)*AE233*Ramure*Pc/MaxiM</f>
        <v>1.4767350167192406E-3</v>
      </c>
      <c r="AE233" s="307">
        <f t="shared" si="88"/>
        <v>0.9</v>
      </c>
      <c r="AF233" s="179">
        <f t="shared" si="89"/>
        <v>0.84943160937943507</v>
      </c>
      <c r="AG233" s="839">
        <f t="shared" si="95"/>
        <v>-1</v>
      </c>
      <c r="AH233" s="178">
        <f t="shared" si="90"/>
        <v>5</v>
      </c>
      <c r="AI233" s="227">
        <f t="shared" si="91"/>
        <v>-0.15056839062056493</v>
      </c>
      <c r="AJ233" s="267" t="b">
        <f t="shared" si="92"/>
        <v>0</v>
      </c>
      <c r="AK233" s="267" t="b">
        <f t="shared" si="93"/>
        <v>0</v>
      </c>
      <c r="AL233" s="267"/>
      <c r="AM233" s="267"/>
      <c r="AN233" s="75"/>
    </row>
    <row r="234" spans="1:40" s="6" customFormat="1" ht="11.25" x14ac:dyDescent="0.2">
      <c r="A234" s="56">
        <f t="shared" si="94"/>
        <v>44416</v>
      </c>
      <c r="B234" s="620">
        <v>33.94</v>
      </c>
      <c r="C234" s="392"/>
      <c r="D234" s="395">
        <f t="shared" si="74"/>
        <v>34.822473892912519</v>
      </c>
      <c r="E234" s="387">
        <f t="shared" si="96"/>
        <v>37.327186503170545</v>
      </c>
      <c r="F234" s="387">
        <f t="shared" si="75"/>
        <v>37.356326857120926</v>
      </c>
      <c r="G234" s="110">
        <f t="shared" si="97"/>
        <v>0.64319839754891195</v>
      </c>
      <c r="H234" s="416" t="b">
        <f>Wh_hp&gt;='2020'!Maxi_hp</f>
        <v>0</v>
      </c>
      <c r="I234" s="382">
        <f>IF(H234,Wh_hp,'2020'!Maxi_hp)</f>
        <v>54.4584975814522</v>
      </c>
      <c r="J234" s="85">
        <f>IF(H234,An,'2020'!An_max)</f>
        <v>2019</v>
      </c>
      <c r="K234" s="199">
        <f t="shared" si="76"/>
        <v>44416</v>
      </c>
      <c r="L234" s="147">
        <f>IF(t&lt;Tvie,1-EXP((T0-t)*PertePVj)+'2020'!Pspv,1-EXP((T0-t)*PertePVj)+Pspv)</f>
        <v>2.5342079245327054E-2</v>
      </c>
      <c r="M234" s="872"/>
      <c r="N234" s="872"/>
      <c r="O234" s="48">
        <f>IF(t&lt;Tnet,'2020'!Resal+('2020'!Salim-'2020'!Resal)*(1-EXP(('2020'!Tnet-t)/('2020'!Tau_j))),Resal+(Salim-Resal)*(1-EXP((Tnet-t)/(Tau_j))))*Salcycl</f>
        <v>6.7101564433346181E-2</v>
      </c>
      <c r="P234" s="171">
        <f>(INDEX(Models!$BJ234:$BT234,,T234)*(1-R234)+INDEX(Models!$BJ234:$BT234,,T234+1)*R234-ERP_i)*Q234*Ramure*Pc/MaxiM</f>
        <v>1.5886373911195347E-3</v>
      </c>
      <c r="Q234" s="307">
        <f t="shared" si="77"/>
        <v>0.9</v>
      </c>
      <c r="R234" s="179">
        <f t="shared" si="78"/>
        <v>0.85130943995003261</v>
      </c>
      <c r="S234" s="839">
        <f t="shared" si="79"/>
        <v>-1</v>
      </c>
      <c r="T234" s="178">
        <f t="shared" si="80"/>
        <v>5</v>
      </c>
      <c r="U234" s="253">
        <f t="shared" si="81"/>
        <v>-0.14869056004996739</v>
      </c>
      <c r="V234" s="385">
        <f t="shared" si="82"/>
        <v>52.724844697938593</v>
      </c>
      <c r="W234" s="404"/>
      <c r="X234" s="157">
        <f t="shared" si="83"/>
        <v>44416</v>
      </c>
      <c r="Y234" s="387">
        <f t="shared" si="84"/>
        <v>31.013237667773353</v>
      </c>
      <c r="Z234" s="387">
        <f t="shared" si="85"/>
        <v>31.819612817346165</v>
      </c>
      <c r="AA234" s="388">
        <f t="shared" si="86"/>
        <v>37.327186503170545</v>
      </c>
      <c r="AB234" s="199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0.14754858862337694</v>
      </c>
      <c r="AD234" s="233">
        <f>(INDEX(Models!$BJ234:$BT234,,AH234)*(1-AF234)+INDEX(Models!$BJ234:$BT234,,AH234+1)*AF234-ERP_i)*AE234*Ramure*Pc/MaxiM</f>
        <v>1.5886373911195347E-3</v>
      </c>
      <c r="AE234" s="307">
        <f t="shared" si="88"/>
        <v>0.9</v>
      </c>
      <c r="AF234" s="179">
        <f t="shared" si="89"/>
        <v>0.85130943995003261</v>
      </c>
      <c r="AG234" s="839">
        <f t="shared" si="95"/>
        <v>-1</v>
      </c>
      <c r="AH234" s="178">
        <f t="shared" si="90"/>
        <v>5</v>
      </c>
      <c r="AI234" s="227">
        <f t="shared" si="91"/>
        <v>-0.14869056004996739</v>
      </c>
      <c r="AJ234" s="267" t="b">
        <f t="shared" si="92"/>
        <v>0</v>
      </c>
      <c r="AK234" s="267" t="b">
        <f t="shared" si="93"/>
        <v>0</v>
      </c>
      <c r="AL234" s="267"/>
      <c r="AM234" s="267"/>
      <c r="AN234" s="75"/>
    </row>
    <row r="235" spans="1:40" s="6" customFormat="1" ht="11.25" x14ac:dyDescent="0.2">
      <c r="A235" s="56">
        <f t="shared" si="94"/>
        <v>44417</v>
      </c>
      <c r="B235" s="620">
        <v>50.850999999999999</v>
      </c>
      <c r="C235" s="392"/>
      <c r="D235" s="395">
        <f t="shared" si="74"/>
        <v>52.174390954750038</v>
      </c>
      <c r="E235" s="387">
        <f t="shared" si="96"/>
        <v>55.945849556847591</v>
      </c>
      <c r="F235" s="387">
        <f t="shared" si="75"/>
        <v>56.037140301395539</v>
      </c>
      <c r="G235" s="110">
        <f t="shared" si="97"/>
        <v>0.96816325737352338</v>
      </c>
      <c r="H235" s="416" t="b">
        <f>Wh_hp&gt;='2020'!Maxi_hp</f>
        <v>1</v>
      </c>
      <c r="I235" s="382">
        <f>IF(H235,Wh_hp,'2020'!Maxi_hp)</f>
        <v>56.037140301395539</v>
      </c>
      <c r="J235" s="85">
        <f>IF(H235,An,'2020'!An_max)</f>
        <v>2021</v>
      </c>
      <c r="K235" s="199">
        <f t="shared" si="76"/>
        <v>44417</v>
      </c>
      <c r="L235" s="147">
        <f>IF(t&lt;Tvie,1-EXP((T0-t)*PertePVj)+'2020'!Pspv,1-EXP((T0-t)*PertePVj)+Pspv)</f>
        <v>2.5364760959026622E-2</v>
      </c>
      <c r="M235" s="872"/>
      <c r="N235" s="872"/>
      <c r="O235" s="48">
        <f>IF(t&lt;Tnet,'2020'!Resal+('2020'!Salim-'2020'!Resal)*(1-EXP(('2020'!Tnet-t)/('2020'!Tau_j))),Resal+(Salim-Resal)*(1-EXP((Tnet-t)/(Tau_j))))*Salcycl</f>
        <v>6.7412661206713922E-2</v>
      </c>
      <c r="P235" s="171">
        <f>(INDEX(Models!$BJ235:$BT235,,T235)*(1-R235)+INDEX(Models!$BJ235:$BT235,,T235+1)*R235-ERP_i)*Q235*Ramure*Pc/MaxiM</f>
        <v>1.7065437521979422E-3</v>
      </c>
      <c r="Q235" s="307">
        <f t="shared" si="77"/>
        <v>0.9</v>
      </c>
      <c r="R235" s="179">
        <f t="shared" si="78"/>
        <v>0.8531237511026929</v>
      </c>
      <c r="S235" s="839">
        <f t="shared" si="79"/>
        <v>-1</v>
      </c>
      <c r="T235" s="178">
        <f t="shared" si="80"/>
        <v>5</v>
      </c>
      <c r="U235" s="253">
        <f t="shared" si="81"/>
        <v>-0.1468762488973071</v>
      </c>
      <c r="V235" s="385">
        <f t="shared" si="82"/>
        <v>52.51909290660587</v>
      </c>
      <c r="W235" s="404"/>
      <c r="X235" s="157">
        <f t="shared" si="83"/>
        <v>44417</v>
      </c>
      <c r="Y235" s="387">
        <f t="shared" si="84"/>
        <v>46.476668274225794</v>
      </c>
      <c r="Z235" s="387">
        <f t="shared" si="85"/>
        <v>47.686217789496453</v>
      </c>
      <c r="AA235" s="388">
        <f t="shared" si="86"/>
        <v>55.945849556847591</v>
      </c>
      <c r="AB235" s="199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0.14763618450298766</v>
      </c>
      <c r="AD235" s="233">
        <f>(INDEX(Models!$BJ235:$BT235,,AH235)*(1-AF235)+INDEX(Models!$BJ235:$BT235,,AH235+1)*AF235-ERP_i)*AE235*Ramure*Pc/MaxiM</f>
        <v>1.7065437521979422E-3</v>
      </c>
      <c r="AE235" s="307">
        <f t="shared" si="88"/>
        <v>0.9</v>
      </c>
      <c r="AF235" s="179">
        <f t="shared" si="89"/>
        <v>0.8531237511026929</v>
      </c>
      <c r="AG235" s="839">
        <f t="shared" si="95"/>
        <v>-1</v>
      </c>
      <c r="AH235" s="178">
        <f t="shared" si="90"/>
        <v>5</v>
      </c>
      <c r="AI235" s="227">
        <f t="shared" si="91"/>
        <v>-0.1468762488973071</v>
      </c>
      <c r="AJ235" s="267" t="b">
        <f t="shared" si="92"/>
        <v>0</v>
      </c>
      <c r="AK235" s="267" t="b">
        <f t="shared" si="93"/>
        <v>0</v>
      </c>
      <c r="AL235" s="267"/>
      <c r="AM235" s="267"/>
      <c r="AN235" s="75"/>
    </row>
    <row r="236" spans="1:40" s="6" customFormat="1" ht="11.25" x14ac:dyDescent="0.2">
      <c r="A236" s="56">
        <f t="shared" si="94"/>
        <v>44418</v>
      </c>
      <c r="B236" s="620">
        <v>46.613</v>
      </c>
      <c r="C236" s="392"/>
      <c r="D236" s="395">
        <f t="shared" si="74"/>
        <v>47.827210540549657</v>
      </c>
      <c r="E236" s="387">
        <f t="shared" si="96"/>
        <v>51.301483596736972</v>
      </c>
      <c r="F236" s="387">
        <f t="shared" si="75"/>
        <v>51.380903889395896</v>
      </c>
      <c r="G236" s="110">
        <f t="shared" si="97"/>
        <v>0.89082680651160417</v>
      </c>
      <c r="H236" s="416" t="b">
        <f>Wh_hp&gt;='2020'!Maxi_hp</f>
        <v>1</v>
      </c>
      <c r="I236" s="382">
        <f>IF(H236,Wh_hp,'2020'!Maxi_hp)</f>
        <v>51.380903889395896</v>
      </c>
      <c r="J236" s="85">
        <f>IF(H236,An,'2020'!An_max)</f>
        <v>2021</v>
      </c>
      <c r="K236" s="199">
        <f t="shared" si="76"/>
        <v>44418</v>
      </c>
      <c r="L236" s="147">
        <f>IF(t&lt;Tvie,1-EXP((T0-t)*PertePVj)+'2020'!Pspv,1-EXP((T0-t)*PertePVj)+Pspv)</f>
        <v>2.5387442144889527E-2</v>
      </c>
      <c r="M236" s="872"/>
      <c r="N236" s="872"/>
      <c r="O236" s="48">
        <f>IF(t&lt;Tnet,'2020'!Resal+('2020'!Salim-'2020'!Resal)*(1-EXP(('2020'!Tnet-t)/('2020'!Tau_j))),Resal+(Salim-Resal)*(1-EXP((Tnet-t)/(Tau_j))))*Salcycl</f>
        <v>6.7722662437939632E-2</v>
      </c>
      <c r="P236" s="171">
        <f>(INDEX(Models!$BJ236:$BT236,,T236)*(1-R236)+INDEX(Models!$BJ236:$BT236,,T236+1)*R236-ERP_i)*Q236*Ramure*Pc/MaxiM</f>
        <v>1.8305465569063355E-3</v>
      </c>
      <c r="Q236" s="307">
        <f t="shared" si="77"/>
        <v>0.9</v>
      </c>
      <c r="R236" s="179">
        <f t="shared" si="78"/>
        <v>0.85487625667184663</v>
      </c>
      <c r="S236" s="839">
        <f t="shared" si="79"/>
        <v>-1</v>
      </c>
      <c r="T236" s="178">
        <f t="shared" si="80"/>
        <v>5</v>
      </c>
      <c r="U236" s="253">
        <f t="shared" si="81"/>
        <v>-0.14512374332815337</v>
      </c>
      <c r="V236" s="385">
        <f t="shared" si="82"/>
        <v>52.310620095201486</v>
      </c>
      <c r="W236" s="404"/>
      <c r="X236" s="157">
        <f t="shared" si="83"/>
        <v>44418</v>
      </c>
      <c r="Y236" s="387">
        <f t="shared" si="84"/>
        <v>42.613054634268615</v>
      </c>
      <c r="Z236" s="387">
        <f t="shared" si="85"/>
        <v>43.723071584517413</v>
      </c>
      <c r="AA236" s="388">
        <f t="shared" si="86"/>
        <v>51.301483596736972</v>
      </c>
      <c r="AB236" s="199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0.1477230575199503</v>
      </c>
      <c r="AD236" s="233">
        <f>(INDEX(Models!$BJ236:$BT236,,AH236)*(1-AF236)+INDEX(Models!$BJ236:$BT236,,AH236+1)*AF236-ERP_i)*AE236*Ramure*Pc/MaxiM</f>
        <v>1.8305465569063355E-3</v>
      </c>
      <c r="AE236" s="307">
        <f t="shared" si="88"/>
        <v>0.9</v>
      </c>
      <c r="AF236" s="179">
        <f t="shared" si="89"/>
        <v>0.85487625667184663</v>
      </c>
      <c r="AG236" s="839">
        <f t="shared" si="95"/>
        <v>-1</v>
      </c>
      <c r="AH236" s="178">
        <f t="shared" si="90"/>
        <v>5</v>
      </c>
      <c r="AI236" s="227">
        <f t="shared" si="91"/>
        <v>-0.14512374332815337</v>
      </c>
      <c r="AJ236" s="267" t="b">
        <f t="shared" si="92"/>
        <v>0</v>
      </c>
      <c r="AK236" s="267" t="b">
        <f t="shared" si="93"/>
        <v>0</v>
      </c>
      <c r="AL236" s="267"/>
      <c r="AM236" s="267"/>
      <c r="AN236" s="75"/>
    </row>
    <row r="237" spans="1:40" s="6" customFormat="1" ht="11.25" x14ac:dyDescent="0.2">
      <c r="A237" s="56">
        <f t="shared" si="94"/>
        <v>44419</v>
      </c>
      <c r="B237" s="620">
        <v>46.283999999999999</v>
      </c>
      <c r="C237" s="392"/>
      <c r="D237" s="395">
        <f t="shared" si="74"/>
        <v>47.490745679724427</v>
      </c>
      <c r="E237" s="387">
        <f t="shared" si="96"/>
        <v>50.95746160990538</v>
      </c>
      <c r="F237" s="387">
        <f t="shared" si="75"/>
        <v>51.041583493059605</v>
      </c>
      <c r="G237" s="110">
        <f t="shared" si="97"/>
        <v>0.8881069949448045</v>
      </c>
      <c r="H237" s="416" t="b">
        <f>Wh_hp&gt;='2020'!Maxi_hp</f>
        <v>1</v>
      </c>
      <c r="I237" s="382">
        <f>IF(H237,Wh_hp,'2020'!Maxi_hp)</f>
        <v>51.041583493059605</v>
      </c>
      <c r="J237" s="85">
        <f>IF(H237,An,'2020'!An_max)</f>
        <v>2021</v>
      </c>
      <c r="K237" s="199">
        <f t="shared" si="76"/>
        <v>44419</v>
      </c>
      <c r="L237" s="147">
        <f>IF(t&lt;Tvie,1-EXP((T0-t)*PertePVj)+'2020'!Pspv,1-EXP((T0-t)*PertePVj)+Pspv)</f>
        <v>2.5410122802928092E-2</v>
      </c>
      <c r="M237" s="872"/>
      <c r="N237" s="872"/>
      <c r="O237" s="48">
        <f>IF(t&lt;Tnet,'2020'!Resal+('2020'!Salim-'2020'!Resal)*(1-EXP(('2020'!Tnet-t)/('2020'!Tau_j))),Resal+(Salim-Resal)*(1-EXP((Tnet-t)/(Tau_j))))*Salcycl</f>
        <v>6.8031566342917529E-2</v>
      </c>
      <c r="P237" s="171">
        <f>(INDEX(Models!$BJ237:$BT237,,T237)*(1-R237)+INDEX(Models!$BJ237:$BT237,,T237+1)*R237-ERP_i)*Q237*Ramure*Pc/MaxiM</f>
        <v>1.9607451435159308E-3</v>
      </c>
      <c r="Q237" s="307">
        <f t="shared" si="77"/>
        <v>0.9</v>
      </c>
      <c r="R237" s="179">
        <f t="shared" si="78"/>
        <v>0.85656865654464953</v>
      </c>
      <c r="S237" s="839">
        <f t="shared" si="79"/>
        <v>-1</v>
      </c>
      <c r="T237" s="178">
        <f t="shared" si="80"/>
        <v>5</v>
      </c>
      <c r="U237" s="253">
        <f t="shared" si="81"/>
        <v>-0.14343134345535047</v>
      </c>
      <c r="V237" s="385">
        <f t="shared" si="82"/>
        <v>52.09902200281654</v>
      </c>
      <c r="W237" s="404"/>
      <c r="X237" s="157">
        <f t="shared" si="83"/>
        <v>44419</v>
      </c>
      <c r="Y237" s="387">
        <f t="shared" si="84"/>
        <v>42.322032966256216</v>
      </c>
      <c r="Z237" s="387">
        <f t="shared" si="85"/>
        <v>43.425479739205493</v>
      </c>
      <c r="AA237" s="388">
        <f t="shared" si="86"/>
        <v>50.95746160990538</v>
      </c>
      <c r="AB237" s="199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0.14780920463345415</v>
      </c>
      <c r="AD237" s="233">
        <f>(INDEX(Models!$BJ237:$BT237,,AH237)*(1-AF237)+INDEX(Models!$BJ237:$BT237,,AH237+1)*AF237-ERP_i)*AE237*Ramure*Pc/MaxiM</f>
        <v>1.9607451435159308E-3</v>
      </c>
      <c r="AE237" s="307">
        <f t="shared" si="88"/>
        <v>0.9</v>
      </c>
      <c r="AF237" s="179">
        <f t="shared" si="89"/>
        <v>0.85656865654464953</v>
      </c>
      <c r="AG237" s="839">
        <f t="shared" si="95"/>
        <v>-1</v>
      </c>
      <c r="AH237" s="178">
        <f t="shared" si="90"/>
        <v>5</v>
      </c>
      <c r="AI237" s="227">
        <f t="shared" si="91"/>
        <v>-0.14343134345535047</v>
      </c>
      <c r="AJ237" s="267" t="b">
        <f t="shared" si="92"/>
        <v>0</v>
      </c>
      <c r="AK237" s="267" t="b">
        <f t="shared" si="93"/>
        <v>0</v>
      </c>
      <c r="AL237" s="267"/>
      <c r="AM237" s="267"/>
      <c r="AN237" s="75"/>
    </row>
    <row r="238" spans="1:40" s="6" customFormat="1" ht="11.25" x14ac:dyDescent="0.2">
      <c r="A238" s="56">
        <f t="shared" si="94"/>
        <v>44420</v>
      </c>
      <c r="B238" s="620">
        <v>44.838000000000001</v>
      </c>
      <c r="C238" s="392"/>
      <c r="D238" s="395">
        <f t="shared" si="74"/>
        <v>46.008115330527147</v>
      </c>
      <c r="E238" s="387">
        <f t="shared" si="96"/>
        <v>49.382912442616231</v>
      </c>
      <c r="F238" s="387">
        <f t="shared" si="75"/>
        <v>49.466529526765378</v>
      </c>
      <c r="G238" s="110">
        <f t="shared" si="97"/>
        <v>0.86384659245369133</v>
      </c>
      <c r="H238" s="416" t="b">
        <f>Wh_hp&gt;='2020'!Maxi_hp</f>
        <v>1</v>
      </c>
      <c r="I238" s="382">
        <f>IF(H238,Wh_hp,'2020'!Maxi_hp)</f>
        <v>49.466529526765378</v>
      </c>
      <c r="J238" s="85">
        <f>IF(H238,An,'2020'!An_max)</f>
        <v>2021</v>
      </c>
      <c r="K238" s="199">
        <f t="shared" si="76"/>
        <v>44420</v>
      </c>
      <c r="L238" s="147">
        <f>IF(t&lt;Tvie,1-EXP((T0-t)*PertePVj)+'2020'!Pspv,1-EXP((T0-t)*PertePVj)+Pspv)</f>
        <v>2.5432802933154641E-2</v>
      </c>
      <c r="M238" s="872"/>
      <c r="N238" s="872"/>
      <c r="O238" s="48">
        <f>IF(t&lt;Tnet,'2020'!Resal+('2020'!Salim-'2020'!Resal)*(1-EXP(('2020'!Tnet-t)/('2020'!Tau_j))),Resal+(Salim-Resal)*(1-EXP((Tnet-t)/(Tau_j))))*Salcycl</f>
        <v>6.8339369736660494E-2</v>
      </c>
      <c r="P238" s="171">
        <f>(INDEX(Models!$BJ238:$BT238,,T238)*(1-R238)+INDEX(Models!$BJ238:$BT238,,T238+1)*R238-ERP_i)*Q238*Ramure*Pc/MaxiM</f>
        <v>2.0972463909980765E-3</v>
      </c>
      <c r="Q238" s="307">
        <f t="shared" si="77"/>
        <v>0.9</v>
      </c>
      <c r="R238" s="179">
        <f t="shared" si="78"/>
        <v>0.85820263403918595</v>
      </c>
      <c r="S238" s="839">
        <f t="shared" si="79"/>
        <v>-1</v>
      </c>
      <c r="T238" s="178">
        <f t="shared" si="80"/>
        <v>5</v>
      </c>
      <c r="U238" s="253">
        <f t="shared" si="81"/>
        <v>-0.14179736596081405</v>
      </c>
      <c r="V238" s="385">
        <f t="shared" si="82"/>
        <v>51.883895001720838</v>
      </c>
      <c r="W238" s="404"/>
      <c r="X238" s="157">
        <f t="shared" si="83"/>
        <v>44420</v>
      </c>
      <c r="Y238" s="387">
        <f t="shared" si="84"/>
        <v>41.009247140364444</v>
      </c>
      <c r="Z238" s="387">
        <f t="shared" si="85"/>
        <v>42.07944538230916</v>
      </c>
      <c r="AA238" s="388">
        <f t="shared" si="86"/>
        <v>49.382912442616231</v>
      </c>
      <c r="AB238" s="199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0.14789461979979043</v>
      </c>
      <c r="AD238" s="233">
        <f>(INDEX(Models!$BJ238:$BT238,,AH238)*(1-AF238)+INDEX(Models!$BJ238:$BT238,,AH238+1)*AF238-ERP_i)*AE238*Ramure*Pc/MaxiM</f>
        <v>2.0972463909980765E-3</v>
      </c>
      <c r="AE238" s="307">
        <f t="shared" si="88"/>
        <v>0.9</v>
      </c>
      <c r="AF238" s="179">
        <f t="shared" si="89"/>
        <v>0.85820263403918595</v>
      </c>
      <c r="AG238" s="839">
        <f t="shared" si="95"/>
        <v>-1</v>
      </c>
      <c r="AH238" s="178">
        <f t="shared" si="90"/>
        <v>5</v>
      </c>
      <c r="AI238" s="227">
        <f t="shared" si="91"/>
        <v>-0.14179736596081405</v>
      </c>
      <c r="AJ238" s="267" t="b">
        <f t="shared" si="92"/>
        <v>0</v>
      </c>
      <c r="AK238" s="267" t="b">
        <f t="shared" si="93"/>
        <v>0</v>
      </c>
      <c r="AL238" s="267"/>
      <c r="AM238" s="267"/>
      <c r="AN238" s="75"/>
    </row>
    <row r="239" spans="1:40" s="6" customFormat="1" ht="11.25" x14ac:dyDescent="0.2">
      <c r="A239" s="56">
        <f t="shared" si="94"/>
        <v>44421</v>
      </c>
      <c r="B239" s="620">
        <v>30.603000000000002</v>
      </c>
      <c r="C239" s="392"/>
      <c r="D239" s="395">
        <f t="shared" si="74"/>
        <v>31.402362284714556</v>
      </c>
      <c r="E239" s="387">
        <f t="shared" si="96"/>
        <v>33.716894522624784</v>
      </c>
      <c r="F239" s="387">
        <f t="shared" si="75"/>
        <v>33.748467829209538</v>
      </c>
      <c r="G239" s="110">
        <f t="shared" si="97"/>
        <v>0.59156361884551467</v>
      </c>
      <c r="H239" s="416" t="b">
        <f>Wh_hp&gt;='2020'!Maxi_hp</f>
        <v>0</v>
      </c>
      <c r="I239" s="382">
        <f>IF(H239,Wh_hp,'2020'!Maxi_hp)</f>
        <v>52.03553309327885</v>
      </c>
      <c r="J239" s="85">
        <f>IF(H239,An,'2020'!An_max)</f>
        <v>2019</v>
      </c>
      <c r="K239" s="199">
        <f t="shared" si="76"/>
        <v>44421</v>
      </c>
      <c r="L239" s="147">
        <f>IF(t&lt;Tvie,1-EXP((T0-t)*PertePVj)+'2020'!Pspv,1-EXP((T0-t)*PertePVj)+Pspv)</f>
        <v>2.5455482535581497E-2</v>
      </c>
      <c r="M239" s="872"/>
      <c r="N239" s="872"/>
      <c r="O239" s="48">
        <f>IF(t&lt;Tnet,'2020'!Resal+('2020'!Salim-'2020'!Resal)*(1-EXP(('2020'!Tnet-t)/('2020'!Tau_j))),Resal+(Salim-Resal)*(1-EXP((Tnet-t)/(Tau_j))))*Salcycl</f>
        <v>6.8646068111555325E-2</v>
      </c>
      <c r="P239" s="171">
        <f>(INDEX(Models!$BJ239:$BT239,,T239)*(1-R239)+INDEX(Models!$BJ239:$BT239,,T239+1)*R239-ERP_i)*Q239*Ramure*Pc/MaxiM</f>
        <v>2.2401654144218832E-3</v>
      </c>
      <c r="Q239" s="307">
        <f t="shared" si="77"/>
        <v>0.9</v>
      </c>
      <c r="R239" s="179">
        <f t="shared" si="78"/>
        <v>0.8597798535282708</v>
      </c>
      <c r="S239" s="839">
        <f t="shared" si="79"/>
        <v>-1</v>
      </c>
      <c r="T239" s="178">
        <f t="shared" si="80"/>
        <v>5</v>
      </c>
      <c r="U239" s="253">
        <f t="shared" si="81"/>
        <v>-0.1402201464717292</v>
      </c>
      <c r="V239" s="385">
        <f t="shared" si="82"/>
        <v>51.664836085524605</v>
      </c>
      <c r="W239" s="404"/>
      <c r="X239" s="157">
        <f t="shared" si="83"/>
        <v>44421</v>
      </c>
      <c r="Y239" s="387">
        <f t="shared" si="84"/>
        <v>27.996220090841792</v>
      </c>
      <c r="Z239" s="387">
        <f t="shared" si="85"/>
        <v>28.72749226857557</v>
      </c>
      <c r="AA239" s="388">
        <f t="shared" si="86"/>
        <v>33.716894522624784</v>
      </c>
      <c r="AB239" s="199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0.14797929419926897</v>
      </c>
      <c r="AD239" s="233">
        <f>(INDEX(Models!$BJ239:$BT239,,AH239)*(1-AF239)+INDEX(Models!$BJ239:$BT239,,AH239+1)*AF239-ERP_i)*AE239*Ramure*Pc/MaxiM</f>
        <v>2.2401654144218832E-3</v>
      </c>
      <c r="AE239" s="307">
        <f t="shared" si="88"/>
        <v>0.9</v>
      </c>
      <c r="AF239" s="179">
        <f t="shared" si="89"/>
        <v>0.8597798535282708</v>
      </c>
      <c r="AG239" s="839">
        <f t="shared" si="95"/>
        <v>-1</v>
      </c>
      <c r="AH239" s="178">
        <f t="shared" si="90"/>
        <v>5</v>
      </c>
      <c r="AI239" s="227">
        <f t="shared" si="91"/>
        <v>-0.1402201464717292</v>
      </c>
      <c r="AJ239" s="267" t="b">
        <f t="shared" si="92"/>
        <v>0</v>
      </c>
      <c r="AK239" s="267" t="b">
        <f t="shared" si="93"/>
        <v>0</v>
      </c>
      <c r="AL239" s="267"/>
      <c r="AM239" s="267"/>
      <c r="AN239" s="75"/>
    </row>
    <row r="240" spans="1:40" s="6" customFormat="1" ht="11.25" x14ac:dyDescent="0.2">
      <c r="A240" s="56">
        <f t="shared" si="94"/>
        <v>44422</v>
      </c>
      <c r="B240" s="620">
        <v>44.997</v>
      </c>
      <c r="C240" s="392"/>
      <c r="D240" s="395">
        <f t="shared" si="74"/>
        <v>46.173413696248602</v>
      </c>
      <c r="E240" s="387">
        <f t="shared" si="96"/>
        <v>49.592928208012644</v>
      </c>
      <c r="F240" s="387">
        <f t="shared" si="75"/>
        <v>49.690371953660723</v>
      </c>
      <c r="G240" s="110">
        <f t="shared" si="97"/>
        <v>0.87434709341628192</v>
      </c>
      <c r="H240" s="416" t="b">
        <f>Wh_hp&gt;='2020'!Maxi_hp</f>
        <v>0</v>
      </c>
      <c r="I240" s="382">
        <f>IF(H240,Wh_hp,'2020'!Maxi_hp)</f>
        <v>56.382758921997223</v>
      </c>
      <c r="J240" s="85">
        <f>IF(H240,An,'2020'!An_max)</f>
        <v>2019</v>
      </c>
      <c r="K240" s="199">
        <f t="shared" si="76"/>
        <v>44422</v>
      </c>
      <c r="L240" s="147">
        <f>IF(t&lt;Tvie,1-EXP((T0-t)*PertePVj)+'2020'!Pspv,1-EXP((T0-t)*PertePVj)+Pspv)</f>
        <v>2.5478161610220762E-2</v>
      </c>
      <c r="M240" s="872"/>
      <c r="N240" s="872"/>
      <c r="O240" s="48">
        <f>IF(t&lt;Tnet,'2020'!Resal+('2020'!Salim-'2020'!Resal)*(1-EXP(('2020'!Tnet-t)/('2020'!Tau_j))),Resal+(Salim-Resal)*(1-EXP((Tnet-t)/(Tau_j))))*Salcycl</f>
        <v>6.895165571633978E-2</v>
      </c>
      <c r="P240" s="171">
        <f>(INDEX(Models!$BJ240:$BT240,,T240)*(1-R240)+INDEX(Models!$BJ240:$BT240,,T240+1)*R240-ERP_i)*Q240*Ramure*Pc/MaxiM</f>
        <v>2.388482898416487E-3</v>
      </c>
      <c r="Q240" s="307">
        <f t="shared" si="77"/>
        <v>0.9</v>
      </c>
      <c r="R240" s="179">
        <f t="shared" si="78"/>
        <v>0.86130195829772582</v>
      </c>
      <c r="S240" s="839">
        <f t="shared" si="79"/>
        <v>-1</v>
      </c>
      <c r="T240" s="178">
        <f t="shared" si="80"/>
        <v>5</v>
      </c>
      <c r="U240" s="253">
        <f t="shared" si="81"/>
        <v>-0.13869804170227418</v>
      </c>
      <c r="V240" s="385">
        <f t="shared" si="82"/>
        <v>51.441501819947703</v>
      </c>
      <c r="W240" s="404"/>
      <c r="X240" s="157">
        <f t="shared" si="83"/>
        <v>44422</v>
      </c>
      <c r="Y240" s="387">
        <f t="shared" si="84"/>
        <v>41.173586403293626</v>
      </c>
      <c r="Z240" s="387">
        <f t="shared" si="85"/>
        <v>42.250039743927665</v>
      </c>
      <c r="AA240" s="388">
        <f t="shared" si="86"/>
        <v>49.592928208012644</v>
      </c>
      <c r="AB240" s="199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0.14806321645872486</v>
      </c>
      <c r="AD240" s="233">
        <f>(INDEX(Models!$BJ240:$BT240,,AH240)*(1-AF240)+INDEX(Models!$BJ240:$BT240,,AH240+1)*AF240-ERP_i)*AE240*Ramure*Pc/MaxiM</f>
        <v>2.388482898416487E-3</v>
      </c>
      <c r="AE240" s="307">
        <f t="shared" si="88"/>
        <v>0.9</v>
      </c>
      <c r="AF240" s="179">
        <f t="shared" si="89"/>
        <v>0.86130195829772582</v>
      </c>
      <c r="AG240" s="839">
        <f t="shared" si="95"/>
        <v>-1</v>
      </c>
      <c r="AH240" s="178">
        <f t="shared" si="90"/>
        <v>5</v>
      </c>
      <c r="AI240" s="227">
        <f t="shared" si="91"/>
        <v>-0.13869804170227418</v>
      </c>
      <c r="AJ240" s="267" t="b">
        <f t="shared" si="92"/>
        <v>0</v>
      </c>
      <c r="AK240" s="267" t="b">
        <f t="shared" si="93"/>
        <v>0</v>
      </c>
      <c r="AL240" s="267"/>
      <c r="AM240" s="267"/>
      <c r="AN240" s="75"/>
    </row>
    <row r="241" spans="1:40" s="6" customFormat="1" ht="11.25" x14ac:dyDescent="0.2">
      <c r="A241" s="56">
        <f t="shared" si="94"/>
        <v>44423</v>
      </c>
      <c r="B241" s="620">
        <v>20.007999999999999</v>
      </c>
      <c r="C241" s="392"/>
      <c r="D241" s="395">
        <f t="shared" si="74"/>
        <v>20.531572344531522</v>
      </c>
      <c r="E241" s="387">
        <f t="shared" si="96"/>
        <v>22.059315038226046</v>
      </c>
      <c r="F241" s="387">
        <f t="shared" si="75"/>
        <v>22.06657268672372</v>
      </c>
      <c r="G241" s="110">
        <f t="shared" si="97"/>
        <v>0.38981329257501163</v>
      </c>
      <c r="H241" s="416" t="b">
        <f>Wh_hp&gt;='2020'!Maxi_hp</f>
        <v>0</v>
      </c>
      <c r="I241" s="382">
        <f>IF(H241,Wh_hp,'2020'!Maxi_hp)</f>
        <v>51.37885714144074</v>
      </c>
      <c r="J241" s="85">
        <f>IF(H241,An,'2020'!An_max)</f>
        <v>2020</v>
      </c>
      <c r="K241" s="199">
        <f t="shared" si="76"/>
        <v>44423</v>
      </c>
      <c r="L241" s="147">
        <f>IF(t&lt;Tvie,1-EXP((T0-t)*PertePVj)+'2020'!Pspv,1-EXP((T0-t)*PertePVj)+Pspv)</f>
        <v>2.550084015708487E-2</v>
      </c>
      <c r="M241" s="872"/>
      <c r="N241" s="872"/>
      <c r="O241" s="48">
        <f>IF(t&lt;Tnet,'2020'!Resal+('2020'!Salim-'2020'!Resal)*(1-EXP(('2020'!Tnet-t)/('2020'!Tau_j))),Resal+(Salim-Resal)*(1-EXP((Tnet-t)/(Tau_j))))*Salcycl</f>
        <v>6.9256125634324359E-2</v>
      </c>
      <c r="P241" s="171">
        <f>(INDEX(Models!$BJ241:$BT241,,T241)*(1-R241)+INDEX(Models!$BJ241:$BT241,,T241+1)*R241-ERP_i)*Q241*Ramure*Pc/MaxiM</f>
        <v>2.538995259820217E-3</v>
      </c>
      <c r="Q241" s="307">
        <f t="shared" si="77"/>
        <v>0.9</v>
      </c>
      <c r="R241" s="179">
        <f t="shared" si="78"/>
        <v>0.86277056862780421</v>
      </c>
      <c r="S241" s="839">
        <f t="shared" si="79"/>
        <v>-1</v>
      </c>
      <c r="T241" s="178">
        <f t="shared" si="80"/>
        <v>5</v>
      </c>
      <c r="U241" s="253">
        <f t="shared" si="81"/>
        <v>-0.13722943137219579</v>
      </c>
      <c r="V241" s="385">
        <f t="shared" si="82"/>
        <v>51.213661008810952</v>
      </c>
      <c r="W241" s="404"/>
      <c r="X241" s="157">
        <f t="shared" si="83"/>
        <v>44423</v>
      </c>
      <c r="Y241" s="387">
        <f t="shared" si="84"/>
        <v>18.312113397791361</v>
      </c>
      <c r="Z241" s="387">
        <f t="shared" si="85"/>
        <v>18.791307527389957</v>
      </c>
      <c r="AA241" s="388">
        <f t="shared" si="86"/>
        <v>22.059315038226046</v>
      </c>
      <c r="AB241" s="199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0.14814637286665694</v>
      </c>
      <c r="AD241" s="233">
        <f>(INDEX(Models!$BJ241:$BT241,,AH241)*(1-AF241)+INDEX(Models!$BJ241:$BT241,,AH241+1)*AF241-ERP_i)*AE241*Ramure*Pc/MaxiM</f>
        <v>2.538995259820217E-3</v>
      </c>
      <c r="AE241" s="307">
        <f t="shared" si="88"/>
        <v>0.9</v>
      </c>
      <c r="AF241" s="179">
        <f t="shared" si="89"/>
        <v>0.86277056862780421</v>
      </c>
      <c r="AG241" s="839">
        <f t="shared" si="95"/>
        <v>-1</v>
      </c>
      <c r="AH241" s="178">
        <f t="shared" si="90"/>
        <v>5</v>
      </c>
      <c r="AI241" s="227">
        <f t="shared" si="91"/>
        <v>-0.13722943137219579</v>
      </c>
      <c r="AJ241" s="267" t="b">
        <f t="shared" si="92"/>
        <v>0</v>
      </c>
      <c r="AK241" s="267" t="b">
        <f t="shared" si="93"/>
        <v>0</v>
      </c>
      <c r="AL241" s="267"/>
      <c r="AM241" s="267"/>
      <c r="AN241" s="75"/>
    </row>
    <row r="242" spans="1:40" s="6" customFormat="1" ht="11.25" x14ac:dyDescent="0.2">
      <c r="A242" s="56">
        <f t="shared" si="94"/>
        <v>44424</v>
      </c>
      <c r="B242" s="620">
        <v>30.35</v>
      </c>
      <c r="C242" s="392"/>
      <c r="D242" s="395">
        <f t="shared" si="74"/>
        <v>31.144928139463609</v>
      </c>
      <c r="E242" s="387">
        <f t="shared" si="96"/>
        <v>33.473314124394875</v>
      </c>
      <c r="F242" s="387">
        <f t="shared" si="75"/>
        <v>33.511370613460684</v>
      </c>
      <c r="G242" s="110">
        <f t="shared" si="97"/>
        <v>0.59439338079306681</v>
      </c>
      <c r="H242" s="416" t="b">
        <f>Wh_hp&gt;='2020'!Maxi_hp</f>
        <v>0</v>
      </c>
      <c r="I242" s="382">
        <f>IF(H242,Wh_hp,'2020'!Maxi_hp)</f>
        <v>55.398390259601427</v>
      </c>
      <c r="J242" s="85">
        <f>IF(H242,An,'2020'!An_max)</f>
        <v>2019</v>
      </c>
      <c r="K242" s="199">
        <f t="shared" si="76"/>
        <v>44424</v>
      </c>
      <c r="L242" s="147">
        <f>IF(t&lt;Tvie,1-EXP((T0-t)*PertePVj)+'2020'!Pspv,1-EXP((T0-t)*PertePVj)+Pspv)</f>
        <v>2.5523518176186033E-2</v>
      </c>
      <c r="M242" s="872"/>
      <c r="N242" s="872"/>
      <c r="O242" s="48">
        <f>IF(t&lt;Tnet,'2020'!Resal+('2020'!Salim-'2020'!Resal)*(1-EXP(('2020'!Tnet-t)/('2020'!Tau_j))),Resal+(Salim-Resal)*(1-EXP((Tnet-t)/(Tau_j))))*Salcycl</f>
        <v>6.9559469859435646E-2</v>
      </c>
      <c r="P242" s="171">
        <f>(INDEX(Models!$BJ242:$BT242,,T242)*(1-R242)+INDEX(Models!$BJ242:$BT242,,T242+1)*R242-ERP_i)*Q242*Ramure*Pc/MaxiM</f>
        <v>2.691785592539412E-3</v>
      </c>
      <c r="Q242" s="307">
        <f t="shared" si="77"/>
        <v>0.9</v>
      </c>
      <c r="R242" s="179">
        <f t="shared" si="78"/>
        <v>0.86418728008632428</v>
      </c>
      <c r="S242" s="839">
        <f t="shared" si="79"/>
        <v>-1</v>
      </c>
      <c r="T242" s="178">
        <f t="shared" si="80"/>
        <v>5</v>
      </c>
      <c r="U242" s="253">
        <f t="shared" si="81"/>
        <v>-0.13581271991367572</v>
      </c>
      <c r="V242" s="385">
        <f t="shared" si="82"/>
        <v>50.980912531865386</v>
      </c>
      <c r="W242" s="404"/>
      <c r="X242" s="157">
        <f t="shared" si="83"/>
        <v>44424</v>
      </c>
      <c r="Y242" s="387">
        <f t="shared" si="84"/>
        <v>27.783890182744983</v>
      </c>
      <c r="Z242" s="387">
        <f t="shared" si="85"/>
        <v>28.511606694442865</v>
      </c>
      <c r="AA242" s="388">
        <f t="shared" si="86"/>
        <v>33.473314124394875</v>
      </c>
      <c r="AB242" s="199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0.14822874757823848</v>
      </c>
      <c r="AD242" s="233">
        <f>(INDEX(Models!$BJ242:$BT242,,AH242)*(1-AF242)+INDEX(Models!$BJ242:$BT242,,AH242+1)*AF242-ERP_i)*AE242*Ramure*Pc/MaxiM</f>
        <v>2.691785592539412E-3</v>
      </c>
      <c r="AE242" s="307">
        <f t="shared" si="88"/>
        <v>0.9</v>
      </c>
      <c r="AF242" s="179">
        <f t="shared" si="89"/>
        <v>0.86418728008632428</v>
      </c>
      <c r="AG242" s="839">
        <f t="shared" si="95"/>
        <v>-1</v>
      </c>
      <c r="AH242" s="178">
        <f t="shared" si="90"/>
        <v>5</v>
      </c>
      <c r="AI242" s="227">
        <f t="shared" si="91"/>
        <v>-0.13581271991367572</v>
      </c>
      <c r="AJ242" s="267" t="b">
        <f t="shared" si="92"/>
        <v>0</v>
      </c>
      <c r="AK242" s="267" t="b">
        <f t="shared" si="93"/>
        <v>0</v>
      </c>
      <c r="AL242" s="267"/>
      <c r="AM242" s="267"/>
      <c r="AN242" s="75"/>
    </row>
    <row r="243" spans="1:40" s="6" customFormat="1" ht="11.25" x14ac:dyDescent="0.2">
      <c r="A243" s="56">
        <f t="shared" si="94"/>
        <v>44425</v>
      </c>
      <c r="B243" s="620">
        <v>39.215000000000003</v>
      </c>
      <c r="C243" s="392"/>
      <c r="D243" s="395">
        <f t="shared" si="74"/>
        <v>40.243057008601568</v>
      </c>
      <c r="E243" s="387">
        <f t="shared" si="96"/>
        <v>43.265669326782714</v>
      </c>
      <c r="F243" s="387">
        <f t="shared" si="75"/>
        <v>43.349028713540093</v>
      </c>
      <c r="G243" s="110">
        <f t="shared" si="97"/>
        <v>0.77210271926951368</v>
      </c>
      <c r="H243" s="416" t="b">
        <f>Wh_hp&gt;='2020'!Maxi_hp</f>
        <v>0</v>
      </c>
      <c r="I243" s="382">
        <f>IF(H243,Wh_hp,'2020'!Maxi_hp)</f>
        <v>54.145647175100791</v>
      </c>
      <c r="J243" s="85">
        <f>IF(H243,An,'2020'!An_max)</f>
        <v>2019</v>
      </c>
      <c r="K243" s="199">
        <f t="shared" si="76"/>
        <v>44425</v>
      </c>
      <c r="L243" s="147">
        <f>IF(t&lt;Tvie,1-EXP((T0-t)*PertePVj)+'2020'!Pspv,1-EXP((T0-t)*PertePVj)+Pspv)</f>
        <v>2.5546195667536575E-2</v>
      </c>
      <c r="M243" s="872"/>
      <c r="N243" s="872"/>
      <c r="O243" s="48">
        <f>IF(t&lt;Tnet,'2020'!Resal+('2020'!Salim-'2020'!Resal)*(1-EXP(('2020'!Tnet-t)/('2020'!Tau_j))),Resal+(Salim-Resal)*(1-EXP((Tnet-t)/(Tau_j))))*Salcycl</f>
        <v>6.9861679368728974E-2</v>
      </c>
      <c r="P243" s="171">
        <f>(INDEX(Models!$BJ243:$BT243,,T243)*(1-R243)+INDEX(Models!$BJ243:$BT243,,T243+1)*R243-ERP_i)*Q243*Ramure*Pc/MaxiM</f>
        <v>2.8469447578034325E-3</v>
      </c>
      <c r="Q243" s="307">
        <f t="shared" si="77"/>
        <v>0.9</v>
      </c>
      <c r="R243" s="179">
        <f t="shared" si="78"/>
        <v>0.86555366202206652</v>
      </c>
      <c r="S243" s="839">
        <f t="shared" si="79"/>
        <v>-1</v>
      </c>
      <c r="T243" s="178">
        <f t="shared" si="80"/>
        <v>5</v>
      </c>
      <c r="U243" s="253">
        <f t="shared" si="81"/>
        <v>-0.13444633797793348</v>
      </c>
      <c r="V243" s="385">
        <f t="shared" si="82"/>
        <v>50.742855838848847</v>
      </c>
      <c r="W243" s="404"/>
      <c r="X243" s="157">
        <f t="shared" si="83"/>
        <v>44425</v>
      </c>
      <c r="Y243" s="387">
        <f t="shared" si="84"/>
        <v>35.907574121265853</v>
      </c>
      <c r="Z243" s="387">
        <f t="shared" si="85"/>
        <v>36.848923942437537</v>
      </c>
      <c r="AA243" s="388">
        <f t="shared" si="86"/>
        <v>43.265669326782714</v>
      </c>
      <c r="AB243" s="199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0.14831032280767295</v>
      </c>
      <c r="AD243" s="233">
        <f>(INDEX(Models!$BJ243:$BT243,,AH243)*(1-AF243)+INDEX(Models!$BJ243:$BT243,,AH243+1)*AF243-ERP_i)*AE243*Ramure*Pc/MaxiM</f>
        <v>2.8469447578034325E-3</v>
      </c>
      <c r="AE243" s="307">
        <f t="shared" si="88"/>
        <v>0.9</v>
      </c>
      <c r="AF243" s="179">
        <f t="shared" si="89"/>
        <v>0.86555366202206652</v>
      </c>
      <c r="AG243" s="839">
        <f t="shared" si="95"/>
        <v>-1</v>
      </c>
      <c r="AH243" s="178">
        <f t="shared" si="90"/>
        <v>5</v>
      </c>
      <c r="AI243" s="227">
        <f t="shared" si="91"/>
        <v>-0.13444633797793348</v>
      </c>
      <c r="AJ243" s="267" t="b">
        <f t="shared" si="92"/>
        <v>0</v>
      </c>
      <c r="AK243" s="267" t="b">
        <f t="shared" si="93"/>
        <v>0</v>
      </c>
      <c r="AL243" s="267"/>
      <c r="AM243" s="267"/>
      <c r="AN243" s="75"/>
    </row>
    <row r="244" spans="1:40" s="6" customFormat="1" ht="11.25" x14ac:dyDescent="0.2">
      <c r="A244" s="56">
        <f t="shared" si="94"/>
        <v>44426</v>
      </c>
      <c r="B244" s="620">
        <v>48.224000000000004</v>
      </c>
      <c r="C244" s="392"/>
      <c r="D244" s="395">
        <f t="shared" si="74"/>
        <v>49.489387854649046</v>
      </c>
      <c r="E244" s="387">
        <f t="shared" si="96"/>
        <v>53.223709359272377</v>
      </c>
      <c r="F244" s="387">
        <f t="shared" si="75"/>
        <v>53.373753498683605</v>
      </c>
      <c r="G244" s="110">
        <f t="shared" si="97"/>
        <v>0.95476270000304675</v>
      </c>
      <c r="H244" s="416" t="b">
        <f>Wh_hp&gt;='2020'!Maxi_hp</f>
        <v>1</v>
      </c>
      <c r="I244" s="382">
        <f>IF(H244,Wh_hp,'2020'!Maxi_hp)</f>
        <v>53.373753498683605</v>
      </c>
      <c r="J244" s="85">
        <f>IF(H244,An,'2020'!An_max)</f>
        <v>2021</v>
      </c>
      <c r="K244" s="199">
        <f t="shared" si="76"/>
        <v>44426</v>
      </c>
      <c r="L244" s="147">
        <f>IF(t&lt;Tvie,1-EXP((T0-t)*PertePVj)+'2020'!Pspv,1-EXP((T0-t)*PertePVj)+Pspv)</f>
        <v>2.556887263114882E-2</v>
      </c>
      <c r="M244" s="872"/>
      <c r="N244" s="872"/>
      <c r="O244" s="48">
        <f>IF(t&lt;Tnet,'2020'!Resal+('2020'!Salim-'2020'!Resal)*(1-EXP(('2020'!Tnet-t)/('2020'!Tau_j))),Resal+(Salim-Resal)*(1-EXP((Tnet-t)/(Tau_j))))*Salcycl</f>
        <v>7.0162744190108858E-2</v>
      </c>
      <c r="P244" s="171">
        <f>(INDEX(Models!$BJ244:$BT244,,T244)*(1-R244)+INDEX(Models!$BJ244:$BT244,,T244+1)*R244-ERP_i)*Q244*Ramure*Pc/MaxiM</f>
        <v>3.0045718115737025E-3</v>
      </c>
      <c r="Q244" s="307">
        <f t="shared" si="77"/>
        <v>0.9</v>
      </c>
      <c r="R244" s="179">
        <f t="shared" si="78"/>
        <v>0.86687125624704542</v>
      </c>
      <c r="S244" s="839">
        <f t="shared" si="79"/>
        <v>-1</v>
      </c>
      <c r="T244" s="178">
        <f t="shared" si="80"/>
        <v>5</v>
      </c>
      <c r="U244" s="253">
        <f t="shared" si="81"/>
        <v>-0.13312874375295458</v>
      </c>
      <c r="V244" s="385">
        <f t="shared" si="82"/>
        <v>50.499090933383748</v>
      </c>
      <c r="W244" s="404"/>
      <c r="X244" s="157">
        <f t="shared" si="83"/>
        <v>44426</v>
      </c>
      <c r="Y244" s="387">
        <f t="shared" si="84"/>
        <v>44.166856457329402</v>
      </c>
      <c r="Z244" s="387">
        <f t="shared" si="85"/>
        <v>45.325785698767945</v>
      </c>
      <c r="AA244" s="388">
        <f t="shared" si="86"/>
        <v>53.223709359272377</v>
      </c>
      <c r="AB244" s="199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0.1483910790056292</v>
      </c>
      <c r="AD244" s="233">
        <f>(INDEX(Models!$BJ244:$BT244,,AH244)*(1-AF244)+INDEX(Models!$BJ244:$BT244,,AH244+1)*AF244-ERP_i)*AE244*Ramure*Pc/MaxiM</f>
        <v>3.0045718115737025E-3</v>
      </c>
      <c r="AE244" s="307">
        <f t="shared" si="88"/>
        <v>0.9</v>
      </c>
      <c r="AF244" s="179">
        <f t="shared" si="89"/>
        <v>0.86687125624704542</v>
      </c>
      <c r="AG244" s="839">
        <f t="shared" si="95"/>
        <v>-1</v>
      </c>
      <c r="AH244" s="178">
        <f t="shared" si="90"/>
        <v>5</v>
      </c>
      <c r="AI244" s="227">
        <f t="shared" si="91"/>
        <v>-0.13312874375295458</v>
      </c>
      <c r="AJ244" s="267" t="b">
        <f t="shared" si="92"/>
        <v>0</v>
      </c>
      <c r="AK244" s="267" t="b">
        <f t="shared" si="93"/>
        <v>0</v>
      </c>
      <c r="AL244" s="267"/>
      <c r="AM244" s="267"/>
      <c r="AN244" s="75"/>
    </row>
    <row r="245" spans="1:40" s="6" customFormat="1" ht="11.25" x14ac:dyDescent="0.2">
      <c r="A245" s="56">
        <f t="shared" si="94"/>
        <v>44427</v>
      </c>
      <c r="B245" s="620">
        <v>43.695</v>
      </c>
      <c r="C245" s="392"/>
      <c r="D245" s="395">
        <f t="shared" si="74"/>
        <v>44.842591377531086</v>
      </c>
      <c r="E245" s="387">
        <f t="shared" si="96"/>
        <v>48.241839388859226</v>
      </c>
      <c r="F245" s="387">
        <f t="shared" si="75"/>
        <v>48.36638609373653</v>
      </c>
      <c r="G245" s="110">
        <f t="shared" si="97"/>
        <v>0.86905165179301136</v>
      </c>
      <c r="H245" s="416" t="b">
        <f>Wh_hp&gt;='2020'!Maxi_hp</f>
        <v>1</v>
      </c>
      <c r="I245" s="382">
        <f>IF(H245,Wh_hp,'2020'!Maxi_hp)</f>
        <v>48.36638609373653</v>
      </c>
      <c r="J245" s="85">
        <f>IF(H245,An,'2020'!An_max)</f>
        <v>2021</v>
      </c>
      <c r="K245" s="199">
        <f t="shared" si="76"/>
        <v>44427</v>
      </c>
      <c r="L245" s="147">
        <f>IF(t&lt;Tvie,1-EXP((T0-t)*PertePVj)+'2020'!Pspv,1-EXP((T0-t)*PertePVj)+Pspv)</f>
        <v>2.559154906703498E-2</v>
      </c>
      <c r="M245" s="872"/>
      <c r="N245" s="872"/>
      <c r="O245" s="48">
        <f>IF(t&lt;Tnet,'2020'!Resal+('2020'!Salim-'2020'!Resal)*(1-EXP(('2020'!Tnet-t)/('2020'!Tau_j))),Resal+(Salim-Resal)*(1-EXP((Tnet-t)/(Tau_j))))*Salcycl</f>
        <v>7.0462653464103867E-2</v>
      </c>
      <c r="P245" s="171">
        <f>(INDEX(Models!$BJ245:$BT245,,T245)*(1-R245)+INDEX(Models!$BJ245:$BT245,,T245+1)*R245-ERP_i)*Q245*Ramure*Pc/MaxiM</f>
        <v>3.1647744704204816E-3</v>
      </c>
      <c r="Q245" s="307">
        <f t="shared" si="77"/>
        <v>0.9</v>
      </c>
      <c r="R245" s="179">
        <f t="shared" si="78"/>
        <v>0.86814157589640251</v>
      </c>
      <c r="S245" s="839">
        <f t="shared" si="79"/>
        <v>-1</v>
      </c>
      <c r="T245" s="178">
        <f t="shared" si="80"/>
        <v>5</v>
      </c>
      <c r="U245" s="253">
        <f t="shared" si="81"/>
        <v>-0.13185842410359749</v>
      </c>
      <c r="V245" s="385">
        <f t="shared" si="82"/>
        <v>50.249218370930429</v>
      </c>
      <c r="W245" s="404"/>
      <c r="X245" s="157">
        <f t="shared" si="83"/>
        <v>44427</v>
      </c>
      <c r="Y245" s="387">
        <f t="shared" si="84"/>
        <v>40.028041919210757</v>
      </c>
      <c r="Z245" s="387">
        <f t="shared" si="85"/>
        <v>41.079325493210966</v>
      </c>
      <c r="AA245" s="388">
        <f t="shared" si="86"/>
        <v>48.241839388859226</v>
      </c>
      <c r="AB245" s="199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0.14847099501977828</v>
      </c>
      <c r="AD245" s="233">
        <f>(INDEX(Models!$BJ245:$BT245,,AH245)*(1-AF245)+INDEX(Models!$BJ245:$BT245,,AH245+1)*AF245-ERP_i)*AE245*Ramure*Pc/MaxiM</f>
        <v>3.1647744704204816E-3</v>
      </c>
      <c r="AE245" s="307">
        <f t="shared" si="88"/>
        <v>0.9</v>
      </c>
      <c r="AF245" s="179">
        <f t="shared" si="89"/>
        <v>0.86814157589640251</v>
      </c>
      <c r="AG245" s="839">
        <f t="shared" si="95"/>
        <v>-1</v>
      </c>
      <c r="AH245" s="178">
        <f t="shared" si="90"/>
        <v>5</v>
      </c>
      <c r="AI245" s="227">
        <f t="shared" si="91"/>
        <v>-0.13185842410359749</v>
      </c>
      <c r="AJ245" s="267" t="b">
        <f t="shared" si="92"/>
        <v>0</v>
      </c>
      <c r="AK245" s="267" t="b">
        <f t="shared" si="93"/>
        <v>0</v>
      </c>
      <c r="AL245" s="267"/>
      <c r="AM245" s="267"/>
      <c r="AN245" s="75"/>
    </row>
    <row r="246" spans="1:40" s="6" customFormat="1" ht="11.25" x14ac:dyDescent="0.2">
      <c r="A246" s="56">
        <f t="shared" si="94"/>
        <v>44428</v>
      </c>
      <c r="B246" s="620">
        <v>47.02</v>
      </c>
      <c r="C246" s="392"/>
      <c r="D246" s="395">
        <f t="shared" si="74"/>
        <v>48.256041092968132</v>
      </c>
      <c r="E246" s="387">
        <f t="shared" si="96"/>
        <v>51.930732170629241</v>
      </c>
      <c r="F246" s="387">
        <f t="shared" si="75"/>
        <v>52.08934331759658</v>
      </c>
      <c r="G246" s="110">
        <f t="shared" si="97"/>
        <v>0.94026800986749026</v>
      </c>
      <c r="H246" s="416" t="b">
        <f>Wh_hp&gt;='2020'!Maxi_hp</f>
        <v>1</v>
      </c>
      <c r="I246" s="382">
        <f>IF(H246,Wh_hp,'2020'!Maxi_hp)</f>
        <v>52.08934331759658</v>
      </c>
      <c r="J246" s="85">
        <f>IF(H246,An,'2020'!An_max)</f>
        <v>2021</v>
      </c>
      <c r="K246" s="199">
        <f t="shared" si="76"/>
        <v>44428</v>
      </c>
      <c r="L246" s="147">
        <f>IF(t&lt;Tvie,1-EXP((T0-t)*PertePVj)+'2020'!Pspv,1-EXP((T0-t)*PertePVj)+Pspv)</f>
        <v>2.5614224975207267E-2</v>
      </c>
      <c r="M246" s="872"/>
      <c r="N246" s="872"/>
      <c r="O246" s="48">
        <f>IF(t&lt;Tnet,'2020'!Resal+('2020'!Salim-'2020'!Resal)*(1-EXP(('2020'!Tnet-t)/('2020'!Tau_j))),Resal+(Salim-Resal)*(1-EXP((Tnet-t)/(Tau_j))))*Salcycl</f>
        <v>7.0761395498664323E-2</v>
      </c>
      <c r="P246" s="171">
        <f>(INDEX(Models!$BJ246:$BT246,,T246)*(1-R246)+INDEX(Models!$BJ246:$BT246,,T246+1)*R246-ERP_i)*Q246*Ramure*Pc/MaxiM</f>
        <v>3.3276696221564393E-3</v>
      </c>
      <c r="Q246" s="307">
        <f t="shared" si="77"/>
        <v>0.9</v>
      </c>
      <c r="R246" s="179">
        <f t="shared" si="78"/>
        <v>0.86936610445486395</v>
      </c>
      <c r="S246" s="839">
        <f t="shared" si="79"/>
        <v>-1</v>
      </c>
      <c r="T246" s="178">
        <f t="shared" si="80"/>
        <v>5</v>
      </c>
      <c r="U246" s="253">
        <f t="shared" si="81"/>
        <v>-0.13063389554513605</v>
      </c>
      <c r="V246" s="385">
        <f t="shared" si="82"/>
        <v>49.992839241792282</v>
      </c>
      <c r="W246" s="404"/>
      <c r="X246" s="157">
        <f t="shared" si="83"/>
        <v>44428</v>
      </c>
      <c r="Y246" s="387">
        <f t="shared" si="84"/>
        <v>43.083850087558218</v>
      </c>
      <c r="Z246" s="387">
        <f t="shared" si="85"/>
        <v>44.216419401711782</v>
      </c>
      <c r="AA246" s="388">
        <f t="shared" si="86"/>
        <v>51.930732170629241</v>
      </c>
      <c r="AB246" s="199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0.14855004823676421</v>
      </c>
      <c r="AD246" s="233">
        <f>(INDEX(Models!$BJ246:$BT246,,AH246)*(1-AF246)+INDEX(Models!$BJ246:$BT246,,AH246+1)*AF246-ERP_i)*AE246*Ramure*Pc/MaxiM</f>
        <v>3.3276696221564393E-3</v>
      </c>
      <c r="AE246" s="307">
        <f t="shared" si="88"/>
        <v>0.9</v>
      </c>
      <c r="AF246" s="179">
        <f t="shared" si="89"/>
        <v>0.86936610445486395</v>
      </c>
      <c r="AG246" s="839">
        <f t="shared" si="95"/>
        <v>-1</v>
      </c>
      <c r="AH246" s="178">
        <f t="shared" si="90"/>
        <v>5</v>
      </c>
      <c r="AI246" s="227">
        <f t="shared" si="91"/>
        <v>-0.13063389554513605</v>
      </c>
      <c r="AJ246" s="267" t="b">
        <f t="shared" si="92"/>
        <v>0</v>
      </c>
      <c r="AK246" s="267" t="b">
        <f t="shared" si="93"/>
        <v>0</v>
      </c>
      <c r="AL246" s="267"/>
      <c r="AM246" s="267"/>
      <c r="AN246" s="75"/>
    </row>
    <row r="247" spans="1:40" s="6" customFormat="1" ht="11.25" x14ac:dyDescent="0.2">
      <c r="A247" s="56">
        <f t="shared" si="94"/>
        <v>44429</v>
      </c>
      <c r="B247" s="620">
        <v>43.865000000000002</v>
      </c>
      <c r="C247" s="392"/>
      <c r="D247" s="395">
        <f t="shared" si="74"/>
        <v>45.019151501131695</v>
      </c>
      <c r="E247" s="387">
        <f t="shared" si="96"/>
        <v>48.462872730106987</v>
      </c>
      <c r="F247" s="387">
        <f t="shared" si="75"/>
        <v>48.604050024955654</v>
      </c>
      <c r="G247" s="110">
        <f t="shared" si="97"/>
        <v>0.88152454853346174</v>
      </c>
      <c r="H247" s="416" t="b">
        <f>Wh_hp&gt;='2020'!Maxi_hp</f>
        <v>0</v>
      </c>
      <c r="I247" s="382">
        <f>IF(H247,Wh_hp,'2020'!Maxi_hp)</f>
        <v>51.212941565413232</v>
      </c>
      <c r="J247" s="85">
        <f>IF(H247,An,'2020'!An_max)</f>
        <v>2020</v>
      </c>
      <c r="K247" s="199">
        <f t="shared" si="76"/>
        <v>44429</v>
      </c>
      <c r="L247" s="147">
        <f>IF(t&lt;Tvie,1-EXP((T0-t)*PertePVj)+'2020'!Pspv,1-EXP((T0-t)*PertePVj)+Pspv)</f>
        <v>2.5636900355678116E-2</v>
      </c>
      <c r="M247" s="872"/>
      <c r="N247" s="872"/>
      <c r="O247" s="48">
        <f>IF(t&lt;Tnet,'2020'!Resal+('2020'!Salim-'2020'!Resal)*(1-EXP(('2020'!Tnet-t)/('2020'!Tau_j))),Resal+(Salim-Resal)*(1-EXP((Tnet-t)/(Tau_j))))*Salcycl</f>
        <v>7.1058957816091672E-2</v>
      </c>
      <c r="P247" s="171">
        <f>(INDEX(Models!$BJ247:$BT247,,T247)*(1-R247)+INDEX(Models!$BJ247:$BT247,,T247+1)*R247-ERP_i)*Q247*Ramure*Pc/MaxiM</f>
        <v>3.4932822148223759E-3</v>
      </c>
      <c r="Q247" s="307">
        <f t="shared" si="77"/>
        <v>0.9</v>
      </c>
      <c r="R247" s="179">
        <f t="shared" si="78"/>
        <v>0.87054629493894353</v>
      </c>
      <c r="S247" s="839">
        <f t="shared" si="79"/>
        <v>-1</v>
      </c>
      <c r="T247" s="178">
        <f t="shared" si="80"/>
        <v>5</v>
      </c>
      <c r="U247" s="253">
        <f t="shared" si="81"/>
        <v>-0.12945370506105647</v>
      </c>
      <c r="V247" s="385">
        <f t="shared" si="82"/>
        <v>49.731007591342014</v>
      </c>
      <c r="W247" s="404"/>
      <c r="X247" s="157">
        <f t="shared" si="83"/>
        <v>44429</v>
      </c>
      <c r="Y247" s="387">
        <f t="shared" si="84"/>
        <v>40.202145955570323</v>
      </c>
      <c r="Z247" s="387">
        <f t="shared" si="85"/>
        <v>41.259922476790813</v>
      </c>
      <c r="AA247" s="388">
        <f t="shared" si="86"/>
        <v>48.462872730106987</v>
      </c>
      <c r="AB247" s="199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0.14862821470427251</v>
      </c>
      <c r="AD247" s="233">
        <f>(INDEX(Models!$BJ247:$BT247,,AH247)*(1-AF247)+INDEX(Models!$BJ247:$BT247,,AH247+1)*AF247-ERP_i)*AE247*Ramure*Pc/MaxiM</f>
        <v>3.4932822148223759E-3</v>
      </c>
      <c r="AE247" s="307">
        <f t="shared" si="88"/>
        <v>0.9</v>
      </c>
      <c r="AF247" s="179">
        <f t="shared" si="89"/>
        <v>0.87054629493894353</v>
      </c>
      <c r="AG247" s="839">
        <f t="shared" si="95"/>
        <v>-1</v>
      </c>
      <c r="AH247" s="178">
        <f t="shared" si="90"/>
        <v>5</v>
      </c>
      <c r="AI247" s="227">
        <f t="shared" si="91"/>
        <v>-0.12945370506105647</v>
      </c>
      <c r="AJ247" s="267" t="b">
        <f t="shared" si="92"/>
        <v>0</v>
      </c>
      <c r="AK247" s="267" t="b">
        <f t="shared" si="93"/>
        <v>0</v>
      </c>
      <c r="AL247" s="267"/>
      <c r="AM247" s="267"/>
      <c r="AN247" s="75"/>
    </row>
    <row r="248" spans="1:40" s="6" customFormat="1" ht="11.25" x14ac:dyDescent="0.2">
      <c r="A248" s="56">
        <f t="shared" si="94"/>
        <v>44430</v>
      </c>
      <c r="B248" s="620">
        <v>18.937000000000001</v>
      </c>
      <c r="C248" s="392"/>
      <c r="D248" s="395">
        <f t="shared" si="74"/>
        <v>19.435712116790768</v>
      </c>
      <c r="E248" s="387">
        <f t="shared" si="96"/>
        <v>20.929116039624027</v>
      </c>
      <c r="F248" s="387">
        <f t="shared" si="75"/>
        <v>20.938182821118634</v>
      </c>
      <c r="G248" s="110">
        <f t="shared" si="97"/>
        <v>0.381600478111706</v>
      </c>
      <c r="H248" s="416" t="b">
        <f>Wh_hp&gt;='2020'!Maxi_hp</f>
        <v>0</v>
      </c>
      <c r="I248" s="382">
        <f>IF(H248,Wh_hp,'2020'!Maxi_hp)</f>
        <v>55.17534928654144</v>
      </c>
      <c r="J248" s="85">
        <f>IF(H248,An,'2020'!An_max)</f>
        <v>2019</v>
      </c>
      <c r="K248" s="199">
        <f t="shared" si="76"/>
        <v>44430</v>
      </c>
      <c r="L248" s="147">
        <f>IF(t&lt;Tvie,1-EXP((T0-t)*PertePVj)+'2020'!Pspv,1-EXP((T0-t)*PertePVj)+Pspv)</f>
        <v>2.5659575208459739E-2</v>
      </c>
      <c r="M248" s="872"/>
      <c r="N248" s="872"/>
      <c r="O248" s="48">
        <f>IF(t&lt;Tnet,'2020'!Resal+('2020'!Salim-'2020'!Resal)*(1-EXP(('2020'!Tnet-t)/('2020'!Tau_j))),Resal+(Salim-Resal)*(1-EXP((Tnet-t)/(Tau_j))))*Salcycl</f>
        <v>7.1355327191357412E-2</v>
      </c>
      <c r="P248" s="171">
        <f>(INDEX(Models!$BJ248:$BT248,,T248)*(1-R248)+INDEX(Models!$BJ248:$BT248,,T248+1)*R248-ERP_i)*Q248*Ramure*Pc/MaxiM</f>
        <v>3.6592527250768618E-3</v>
      </c>
      <c r="Q248" s="307">
        <f t="shared" si="77"/>
        <v>0.9</v>
      </c>
      <c r="R248" s="179">
        <f t="shared" si="78"/>
        <v>0.87168356922436652</v>
      </c>
      <c r="S248" s="839">
        <f t="shared" si="79"/>
        <v>-1</v>
      </c>
      <c r="T248" s="178">
        <f t="shared" si="80"/>
        <v>5</v>
      </c>
      <c r="U248" s="253">
        <f t="shared" si="81"/>
        <v>-0.12831643077563348</v>
      </c>
      <c r="V248" s="385">
        <f t="shared" si="82"/>
        <v>49.46502838323736</v>
      </c>
      <c r="W248" s="404"/>
      <c r="X248" s="157">
        <f t="shared" si="83"/>
        <v>44430</v>
      </c>
      <c r="Y248" s="387">
        <f t="shared" si="84"/>
        <v>17.359669420589732</v>
      </c>
      <c r="Z248" s="387">
        <f t="shared" si="85"/>
        <v>17.816842018336484</v>
      </c>
      <c r="AA248" s="388">
        <f t="shared" si="86"/>
        <v>20.929116039624027</v>
      </c>
      <c r="AB248" s="199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0.14870546923220426</v>
      </c>
      <c r="AD248" s="233">
        <f>(INDEX(Models!$BJ248:$BT248,,AH248)*(1-AF248)+INDEX(Models!$BJ248:$BT248,,AH248+1)*AF248-ERP_i)*AE248*Ramure*Pc/MaxiM</f>
        <v>3.6592527250768618E-3</v>
      </c>
      <c r="AE248" s="307">
        <f t="shared" si="88"/>
        <v>0.9</v>
      </c>
      <c r="AF248" s="179">
        <f t="shared" si="89"/>
        <v>0.87168356922436652</v>
      </c>
      <c r="AG248" s="839">
        <f t="shared" si="95"/>
        <v>-1</v>
      </c>
      <c r="AH248" s="178">
        <f t="shared" si="90"/>
        <v>5</v>
      </c>
      <c r="AI248" s="227">
        <f t="shared" si="91"/>
        <v>-0.12831643077563348</v>
      </c>
      <c r="AJ248" s="267" t="b">
        <f t="shared" si="92"/>
        <v>0</v>
      </c>
      <c r="AK248" s="267" t="b">
        <f t="shared" si="93"/>
        <v>0</v>
      </c>
      <c r="AL248" s="267"/>
      <c r="AM248" s="267"/>
      <c r="AN248" s="75"/>
    </row>
    <row r="249" spans="1:40" s="6" customFormat="1" ht="11.25" x14ac:dyDescent="0.2">
      <c r="A249" s="56">
        <f t="shared" si="94"/>
        <v>44431</v>
      </c>
      <c r="B249" s="620">
        <v>44.185000000000002</v>
      </c>
      <c r="C249" s="392"/>
      <c r="D249" s="395">
        <f t="shared" si="74"/>
        <v>45.349681845421877</v>
      </c>
      <c r="E249" s="387">
        <f t="shared" si="96"/>
        <v>48.849793468249047</v>
      </c>
      <c r="F249" s="387">
        <f t="shared" si="75"/>
        <v>49.009931486332576</v>
      </c>
      <c r="G249" s="110">
        <f t="shared" si="97"/>
        <v>0.89766281060994679</v>
      </c>
      <c r="H249" s="416" t="b">
        <f>Wh_hp&gt;='2020'!Maxi_hp</f>
        <v>0</v>
      </c>
      <c r="I249" s="382">
        <f>IF(H249,Wh_hp,'2020'!Maxi_hp)</f>
        <v>52.366514381661467</v>
      </c>
      <c r="J249" s="85">
        <f>IF(H249,An,'2020'!An_max)</f>
        <v>2019</v>
      </c>
      <c r="K249" s="199">
        <f t="shared" si="76"/>
        <v>44431</v>
      </c>
      <c r="L249" s="147">
        <f>IF(t&lt;Tvie,1-EXP((T0-t)*PertePVj)+'2020'!Pspv,1-EXP((T0-t)*PertePVj)+Pspv)</f>
        <v>2.568224953356435E-2</v>
      </c>
      <c r="M249" s="872"/>
      <c r="N249" s="872"/>
      <c r="O249" s="48">
        <f>IF(t&lt;Tnet,'2020'!Resal+('2020'!Salim-'2020'!Resal)*(1-EXP(('2020'!Tnet-t)/('2020'!Tau_j))),Resal+(Salim-Resal)*(1-EXP((Tnet-t)/(Tau_j))))*Salcycl</f>
        <v>7.165048968123354E-2</v>
      </c>
      <c r="P249" s="171">
        <f>(INDEX(Models!$BJ249:$BT249,,T249)*(1-R249)+INDEX(Models!$BJ249:$BT249,,T249+1)*R249-ERP_i)*Q249*Ramure*Pc/MaxiM</f>
        <v>3.8237374673860121E-3</v>
      </c>
      <c r="Q249" s="307">
        <f t="shared" si="77"/>
        <v>0.9</v>
      </c>
      <c r="R249" s="179">
        <f t="shared" si="78"/>
        <v>0.87277931750850446</v>
      </c>
      <c r="S249" s="839">
        <f t="shared" si="79"/>
        <v>-1</v>
      </c>
      <c r="T249" s="178">
        <f t="shared" si="80"/>
        <v>5</v>
      </c>
      <c r="U249" s="253">
        <f t="shared" si="81"/>
        <v>-0.12722068249149554</v>
      </c>
      <c r="V249" s="385">
        <f t="shared" si="82"/>
        <v>49.194797654874243</v>
      </c>
      <c r="W249" s="404"/>
      <c r="X249" s="157">
        <f t="shared" si="83"/>
        <v>44431</v>
      </c>
      <c r="Y249" s="387">
        <f t="shared" si="84"/>
        <v>40.513918939851607</v>
      </c>
      <c r="Z249" s="387">
        <f t="shared" si="85"/>
        <v>41.58183397608876</v>
      </c>
      <c r="AA249" s="388">
        <f t="shared" si="86"/>
        <v>48.849793468249047</v>
      </c>
      <c r="AB249" s="199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0.14878178547232249</v>
      </c>
      <c r="AD249" s="233">
        <f>(INDEX(Models!$BJ249:$BT249,,AH249)*(1-AF249)+INDEX(Models!$BJ249:$BT249,,AH249+1)*AF249-ERP_i)*AE249*Ramure*Pc/MaxiM</f>
        <v>3.8237374673860121E-3</v>
      </c>
      <c r="AE249" s="307">
        <f t="shared" si="88"/>
        <v>0.9</v>
      </c>
      <c r="AF249" s="179">
        <f t="shared" si="89"/>
        <v>0.87277931750850446</v>
      </c>
      <c r="AG249" s="839">
        <f t="shared" si="95"/>
        <v>-1</v>
      </c>
      <c r="AH249" s="178">
        <f t="shared" si="90"/>
        <v>5</v>
      </c>
      <c r="AI249" s="227">
        <f t="shared" si="91"/>
        <v>-0.12722068249149554</v>
      </c>
      <c r="AJ249" s="267" t="b">
        <f t="shared" si="92"/>
        <v>0</v>
      </c>
      <c r="AK249" s="267" t="b">
        <f t="shared" si="93"/>
        <v>0</v>
      </c>
      <c r="AL249" s="267"/>
      <c r="AM249" s="267"/>
      <c r="AN249" s="75"/>
    </row>
    <row r="250" spans="1:40" s="6" customFormat="1" ht="11.25" x14ac:dyDescent="0.2">
      <c r="A250" s="56">
        <f t="shared" si="94"/>
        <v>44432</v>
      </c>
      <c r="B250" s="620">
        <v>41.091000000000001</v>
      </c>
      <c r="C250" s="392"/>
      <c r="D250" s="395">
        <f t="shared" si="74"/>
        <v>42.175107915443306</v>
      </c>
      <c r="E250" s="387">
        <f t="shared" si="96"/>
        <v>45.44459330673677</v>
      </c>
      <c r="F250" s="387">
        <f t="shared" si="75"/>
        <v>45.584779547736176</v>
      </c>
      <c r="G250" s="110">
        <f t="shared" si="97"/>
        <v>0.83919321203415231</v>
      </c>
      <c r="H250" s="416" t="b">
        <f>Wh_hp&gt;='2020'!Maxi_hp</f>
        <v>0</v>
      </c>
      <c r="I250" s="382">
        <f>IF(H250,Wh_hp,'2020'!Maxi_hp)</f>
        <v>52.23999379446547</v>
      </c>
      <c r="J250" s="85">
        <f>IF(H250,An,'2020'!An_max)</f>
        <v>2019</v>
      </c>
      <c r="K250" s="199">
        <f t="shared" si="76"/>
        <v>44432</v>
      </c>
      <c r="L250" s="147">
        <f>IF(t&lt;Tvie,1-EXP((T0-t)*PertePVj)+'2020'!Pspv,1-EXP((T0-t)*PertePVj)+Pspv)</f>
        <v>2.5704923331004381E-2</v>
      </c>
      <c r="M250" s="872"/>
      <c r="N250" s="872"/>
      <c r="O250" s="48">
        <f>IF(t&lt;Tnet,'2020'!Resal+('2020'!Salim-'2020'!Resal)*(1-EXP(('2020'!Tnet-t)/('2020'!Tau_j))),Resal+(Salim-Resal)*(1-EXP((Tnet-t)/(Tau_j))))*Salcycl</f>
        <v>7.1944430643827398E-2</v>
      </c>
      <c r="P250" s="171">
        <f>(INDEX(Models!$BJ250:$BT250,,T250)*(1-R250)+INDEX(Models!$BJ250:$BT250,,T250+1)*R250-ERP_i)*Q250*Ramure*Pc/MaxiM</f>
        <v>3.9867686180863589E-3</v>
      </c>
      <c r="Q250" s="307">
        <f t="shared" si="77"/>
        <v>0.9</v>
      </c>
      <c r="R250" s="179">
        <f t="shared" si="78"/>
        <v>0.87383489789797053</v>
      </c>
      <c r="S250" s="839">
        <f t="shared" si="79"/>
        <v>-1</v>
      </c>
      <c r="T250" s="178">
        <f t="shared" si="80"/>
        <v>5</v>
      </c>
      <c r="U250" s="253">
        <f t="shared" si="81"/>
        <v>-0.12616510210202947</v>
      </c>
      <c r="V250" s="385">
        <f t="shared" si="82"/>
        <v>48.92011773782707</v>
      </c>
      <c r="W250" s="404"/>
      <c r="X250" s="157">
        <f t="shared" si="83"/>
        <v>44432</v>
      </c>
      <c r="Y250" s="387">
        <f t="shared" si="84"/>
        <v>37.685578946386805</v>
      </c>
      <c r="Z250" s="387">
        <f t="shared" si="85"/>
        <v>38.679841301497206</v>
      </c>
      <c r="AA250" s="388">
        <f t="shared" si="86"/>
        <v>45.44459330673677</v>
      </c>
      <c r="AB250" s="199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0.14885713597610181</v>
      </c>
      <c r="AD250" s="233">
        <f>(INDEX(Models!$BJ250:$BT250,,AH250)*(1-AF250)+INDEX(Models!$BJ250:$BT250,,AH250+1)*AF250-ERP_i)*AE250*Ramure*Pc/MaxiM</f>
        <v>3.9867686180863589E-3</v>
      </c>
      <c r="AE250" s="307">
        <f t="shared" si="88"/>
        <v>0.9</v>
      </c>
      <c r="AF250" s="179">
        <f t="shared" si="89"/>
        <v>0.87383489789797053</v>
      </c>
      <c r="AG250" s="839">
        <f t="shared" si="95"/>
        <v>-1</v>
      </c>
      <c r="AH250" s="178">
        <f t="shared" si="90"/>
        <v>5</v>
      </c>
      <c r="AI250" s="227">
        <f t="shared" si="91"/>
        <v>-0.12616510210202947</v>
      </c>
      <c r="AJ250" s="267" t="b">
        <f t="shared" si="92"/>
        <v>0</v>
      </c>
      <c r="AK250" s="267" t="b">
        <f t="shared" si="93"/>
        <v>0</v>
      </c>
      <c r="AL250" s="267"/>
      <c r="AM250" s="267"/>
      <c r="AN250" s="75"/>
    </row>
    <row r="251" spans="1:40" s="6" customFormat="1" ht="11.25" x14ac:dyDescent="0.2">
      <c r="A251" s="56">
        <f t="shared" si="94"/>
        <v>44433</v>
      </c>
      <c r="B251" s="620">
        <v>43.957999999999998</v>
      </c>
      <c r="C251" s="392"/>
      <c r="D251" s="395">
        <f t="shared" si="74"/>
        <v>45.118798240237346</v>
      </c>
      <c r="E251" s="387">
        <f t="shared" si="96"/>
        <v>48.631821697235495</v>
      </c>
      <c r="F251" s="387">
        <f t="shared" si="75"/>
        <v>48.806443569925385</v>
      </c>
      <c r="G251" s="110">
        <f t="shared" si="97"/>
        <v>0.90320961505839215</v>
      </c>
      <c r="H251" s="416" t="b">
        <f>Wh_hp&gt;='2020'!Maxi_hp</f>
        <v>1</v>
      </c>
      <c r="I251" s="382">
        <f>IF(H251,Wh_hp,'2020'!Maxi_hp)</f>
        <v>48.806443569925385</v>
      </c>
      <c r="J251" s="85">
        <f>IF(H251,An,'2020'!An_max)</f>
        <v>2021</v>
      </c>
      <c r="K251" s="199">
        <f t="shared" si="76"/>
        <v>44433</v>
      </c>
      <c r="L251" s="147">
        <f>IF(t&lt;Tvie,1-EXP((T0-t)*PertePVj)+'2020'!Pspv,1-EXP((T0-t)*PertePVj)+Pspv)</f>
        <v>2.5727596600791935E-2</v>
      </c>
      <c r="M251" s="872"/>
      <c r="N251" s="872"/>
      <c r="O251" s="48">
        <f>IF(t&lt;Tnet,'2020'!Resal+('2020'!Salim-'2020'!Resal)*(1-EXP(('2020'!Tnet-t)/('2020'!Tau_j))),Resal+(Salim-Resal)*(1-EXP((Tnet-t)/(Tau_j))))*Salcycl</f>
        <v>7.2237134748292783E-2</v>
      </c>
      <c r="P251" s="171">
        <f>(INDEX(Models!$BJ251:$BT251,,T251)*(1-R251)+INDEX(Models!$BJ251:$BT251,,T251+1)*R251-ERP_i)*Q251*Ramure*Pc/MaxiM</f>
        <v>4.1483831741079375E-3</v>
      </c>
      <c r="Q251" s="307">
        <f t="shared" si="77"/>
        <v>0.9</v>
      </c>
      <c r="R251" s="179">
        <f t="shared" si="78"/>
        <v>0.87485163611188732</v>
      </c>
      <c r="S251" s="839">
        <f t="shared" si="79"/>
        <v>-1</v>
      </c>
      <c r="T251" s="178">
        <f t="shared" si="80"/>
        <v>5</v>
      </c>
      <c r="U251" s="253">
        <f t="shared" si="81"/>
        <v>-0.12514836388811268</v>
      </c>
      <c r="V251" s="385">
        <f t="shared" si="82"/>
        <v>48.640791108984807</v>
      </c>
      <c r="W251" s="404"/>
      <c r="X251" s="157">
        <f t="shared" si="83"/>
        <v>44433</v>
      </c>
      <c r="Y251" s="387">
        <f t="shared" si="84"/>
        <v>40.324172119526601</v>
      </c>
      <c r="Z251" s="387">
        <f t="shared" si="85"/>
        <v>41.389011921960162</v>
      </c>
      <c r="AA251" s="388">
        <f t="shared" si="86"/>
        <v>48.631821697235495</v>
      </c>
      <c r="AB251" s="199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0.14893149223087923</v>
      </c>
      <c r="AD251" s="233">
        <f>(INDEX(Models!$BJ251:$BT251,,AH251)*(1-AF251)+INDEX(Models!$BJ251:$BT251,,AH251+1)*AF251-ERP_i)*AE251*Ramure*Pc/MaxiM</f>
        <v>4.1483831741079375E-3</v>
      </c>
      <c r="AE251" s="307">
        <f t="shared" si="88"/>
        <v>0.9</v>
      </c>
      <c r="AF251" s="179">
        <f t="shared" si="89"/>
        <v>0.87485163611188732</v>
      </c>
      <c r="AG251" s="839">
        <f t="shared" si="95"/>
        <v>-1</v>
      </c>
      <c r="AH251" s="178">
        <f t="shared" si="90"/>
        <v>5</v>
      </c>
      <c r="AI251" s="227">
        <f t="shared" si="91"/>
        <v>-0.12514836388811268</v>
      </c>
      <c r="AJ251" s="267" t="b">
        <f t="shared" si="92"/>
        <v>0</v>
      </c>
      <c r="AK251" s="267" t="b">
        <f t="shared" si="93"/>
        <v>0</v>
      </c>
      <c r="AL251" s="267"/>
      <c r="AM251" s="267"/>
      <c r="AN251" s="75"/>
    </row>
    <row r="252" spans="1:40" s="6" customFormat="1" ht="11.25" x14ac:dyDescent="0.2">
      <c r="A252" s="56">
        <f t="shared" si="94"/>
        <v>44434</v>
      </c>
      <c r="B252" s="620">
        <v>45.865000000000002</v>
      </c>
      <c r="C252" s="392"/>
      <c r="D252" s="395">
        <f t="shared" si="74"/>
        <v>47.077251916782565</v>
      </c>
      <c r="E252" s="387">
        <f t="shared" si="96"/>
        <v>50.758709330417204</v>
      </c>
      <c r="F252" s="387">
        <f t="shared" si="75"/>
        <v>50.962123018222243</v>
      </c>
      <c r="G252" s="110">
        <f t="shared" si="97"/>
        <v>0.9481720398926311</v>
      </c>
      <c r="H252" s="416" t="b">
        <f>Wh_hp&gt;='2020'!Maxi_hp</f>
        <v>1</v>
      </c>
      <c r="I252" s="382">
        <f>IF(H252,Wh_hp,'2020'!Maxi_hp)</f>
        <v>50.962123018222243</v>
      </c>
      <c r="J252" s="85">
        <f>IF(H252,An,'2020'!An_max)</f>
        <v>2021</v>
      </c>
      <c r="K252" s="199">
        <f t="shared" si="76"/>
        <v>44434</v>
      </c>
      <c r="L252" s="147">
        <f>IF(t&lt;Tvie,1-EXP((T0-t)*PertePVj)+'2020'!Pspv,1-EXP((T0-t)*PertePVj)+Pspv)</f>
        <v>2.5750269342939447E-2</v>
      </c>
      <c r="M252" s="872"/>
      <c r="N252" s="872"/>
      <c r="O252" s="48">
        <f>IF(t&lt;Tnet,'2020'!Resal+('2020'!Salim-'2020'!Resal)*(1-EXP(('2020'!Tnet-t)/('2020'!Tau_j))),Resal+(Salim-Resal)*(1-EXP((Tnet-t)/(Tau_j))))*Salcycl</f>
        <v>7.2528585974673709E-2</v>
      </c>
      <c r="P252" s="171">
        <f>(INDEX(Models!$BJ252:$BT252,,T252)*(1-R252)+INDEX(Models!$BJ252:$BT252,,T252+1)*R252-ERP_i)*Q252*Ramure*Pc/MaxiM</f>
        <v>4.3086190448345758E-3</v>
      </c>
      <c r="Q252" s="307">
        <f t="shared" si="77"/>
        <v>0.9</v>
      </c>
      <c r="R252" s="179">
        <f t="shared" si="78"/>
        <v>0.87583082529174128</v>
      </c>
      <c r="S252" s="839">
        <f t="shared" si="79"/>
        <v>-1</v>
      </c>
      <c r="T252" s="178">
        <f t="shared" si="80"/>
        <v>5</v>
      </c>
      <c r="U252" s="253">
        <f t="shared" si="81"/>
        <v>-0.12416917470825872</v>
      </c>
      <c r="V252" s="385">
        <f t="shared" si="82"/>
        <v>48.356620580740575</v>
      </c>
      <c r="W252" s="404"/>
      <c r="X252" s="157">
        <f t="shared" si="83"/>
        <v>44434</v>
      </c>
      <c r="Y252" s="387">
        <f t="shared" si="84"/>
        <v>42.083123130332723</v>
      </c>
      <c r="Z252" s="387">
        <f t="shared" si="85"/>
        <v>43.195416745920696</v>
      </c>
      <c r="AA252" s="388">
        <f t="shared" si="86"/>
        <v>50.758709330417204</v>
      </c>
      <c r="AB252" s="199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0.14900482467477164</v>
      </c>
      <c r="AD252" s="233">
        <f>(INDEX(Models!$BJ252:$BT252,,AH252)*(1-AF252)+INDEX(Models!$BJ252:$BT252,,AH252+1)*AF252-ERP_i)*AE252*Ramure*Pc/MaxiM</f>
        <v>4.3086190448345758E-3</v>
      </c>
      <c r="AE252" s="307">
        <f t="shared" si="88"/>
        <v>0.9</v>
      </c>
      <c r="AF252" s="179">
        <f t="shared" si="89"/>
        <v>0.87583082529174128</v>
      </c>
      <c r="AG252" s="839">
        <f t="shared" si="95"/>
        <v>-1</v>
      </c>
      <c r="AH252" s="178">
        <f t="shared" si="90"/>
        <v>5</v>
      </c>
      <c r="AI252" s="227">
        <f t="shared" si="91"/>
        <v>-0.12416917470825872</v>
      </c>
      <c r="AJ252" s="267" t="b">
        <f t="shared" si="92"/>
        <v>0</v>
      </c>
      <c r="AK252" s="267" t="b">
        <f t="shared" si="93"/>
        <v>0</v>
      </c>
      <c r="AL252" s="267"/>
      <c r="AM252" s="267"/>
      <c r="AN252" s="75"/>
    </row>
    <row r="253" spans="1:40" s="6" customFormat="1" ht="11.25" x14ac:dyDescent="0.2">
      <c r="A253" s="56">
        <f t="shared" si="94"/>
        <v>44435</v>
      </c>
      <c r="B253" s="620">
        <v>41.984999999999999</v>
      </c>
      <c r="C253" s="392"/>
      <c r="D253" s="395">
        <f t="shared" si="74"/>
        <v>43.095703035717143</v>
      </c>
      <c r="E253" s="387">
        <f t="shared" si="96"/>
        <v>46.480344435306726</v>
      </c>
      <c r="F253" s="387">
        <f t="shared" si="75"/>
        <v>46.651083825819839</v>
      </c>
      <c r="G253" s="110">
        <f t="shared" si="97"/>
        <v>0.87275285532458835</v>
      </c>
      <c r="H253" s="416" t="b">
        <f>Wh_hp&gt;='2020'!Maxi_hp</f>
        <v>1</v>
      </c>
      <c r="I253" s="382">
        <f>IF(H253,Wh_hp,'2020'!Maxi_hp)</f>
        <v>46.651083825819839</v>
      </c>
      <c r="J253" s="85">
        <f>IF(H253,An,'2020'!An_max)</f>
        <v>2021</v>
      </c>
      <c r="K253" s="199">
        <f t="shared" si="76"/>
        <v>44435</v>
      </c>
      <c r="L253" s="147">
        <f>IF(t&lt;Tvie,1-EXP((T0-t)*PertePVj)+'2020'!Pspv,1-EXP((T0-t)*PertePVj)+Pspv)</f>
        <v>2.5772941557459017E-2</v>
      </c>
      <c r="M253" s="872"/>
      <c r="N253" s="872"/>
      <c r="O253" s="48">
        <f>IF(t&lt;Tnet,'2020'!Resal+('2020'!Salim-'2020'!Resal)*(1-EXP(('2020'!Tnet-t)/('2020'!Tau_j))),Resal+(Salim-Resal)*(1-EXP((Tnet-t)/(Tau_j))))*Salcycl</f>
        <v>7.2818767604023796E-2</v>
      </c>
      <c r="P253" s="171">
        <f>(INDEX(Models!$BJ253:$BT253,,T253)*(1-R253)+INDEX(Models!$BJ253:$BT253,,T253+1)*R253-ERP_i)*Q253*Ramure*Pc/MaxiM</f>
        <v>4.4675174340540495E-3</v>
      </c>
      <c r="Q253" s="307">
        <f t="shared" si="77"/>
        <v>0.9</v>
      </c>
      <c r="R253" s="179">
        <f t="shared" si="78"/>
        <v>0.87677372590912694</v>
      </c>
      <c r="S253" s="839">
        <f t="shared" si="79"/>
        <v>-1</v>
      </c>
      <c r="T253" s="178">
        <f t="shared" si="80"/>
        <v>5</v>
      </c>
      <c r="U253" s="253">
        <f t="shared" si="81"/>
        <v>-0.12322627409087306</v>
      </c>
      <c r="V253" s="385">
        <f t="shared" si="82"/>
        <v>48.067409179731278</v>
      </c>
      <c r="W253" s="404"/>
      <c r="X253" s="157">
        <f t="shared" si="83"/>
        <v>44435</v>
      </c>
      <c r="Y253" s="387">
        <f t="shared" si="84"/>
        <v>38.531838863033457</v>
      </c>
      <c r="Z253" s="387">
        <f t="shared" si="85"/>
        <v>39.551189354802787</v>
      </c>
      <c r="AA253" s="388">
        <f t="shared" si="86"/>
        <v>46.480344435306726</v>
      </c>
      <c r="AB253" s="199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0.14907710269118643</v>
      </c>
      <c r="AD253" s="233">
        <f>(INDEX(Models!$BJ253:$BT253,,AH253)*(1-AF253)+INDEX(Models!$BJ253:$BT253,,AH253+1)*AF253-ERP_i)*AE253*Ramure*Pc/MaxiM</f>
        <v>4.4675174340540495E-3</v>
      </c>
      <c r="AE253" s="307">
        <f t="shared" si="88"/>
        <v>0.9</v>
      </c>
      <c r="AF253" s="179">
        <f t="shared" si="89"/>
        <v>0.87677372590912694</v>
      </c>
      <c r="AG253" s="839">
        <f t="shared" si="95"/>
        <v>-1</v>
      </c>
      <c r="AH253" s="178">
        <f t="shared" si="90"/>
        <v>5</v>
      </c>
      <c r="AI253" s="227">
        <f t="shared" si="91"/>
        <v>-0.12322627409087306</v>
      </c>
      <c r="AJ253" s="267" t="b">
        <f t="shared" si="92"/>
        <v>0</v>
      </c>
      <c r="AK253" s="267" t="b">
        <f t="shared" si="93"/>
        <v>0</v>
      </c>
      <c r="AL253" s="267"/>
      <c r="AM253" s="267"/>
      <c r="AN253" s="75"/>
    </row>
    <row r="254" spans="1:40" s="6" customFormat="1" ht="11.25" x14ac:dyDescent="0.2">
      <c r="A254" s="56">
        <f t="shared" si="94"/>
        <v>44436</v>
      </c>
      <c r="B254" s="620">
        <v>47.134</v>
      </c>
      <c r="C254" s="392"/>
      <c r="D254" s="395">
        <f t="shared" si="74"/>
        <v>48.382044508102581</v>
      </c>
      <c r="E254" s="387">
        <f t="shared" si="96"/>
        <v>52.198127587172792</v>
      </c>
      <c r="F254" s="387">
        <f t="shared" si="75"/>
        <v>52.43587821164941</v>
      </c>
      <c r="G254" s="110">
        <f t="shared" si="97"/>
        <v>0.98653487332363676</v>
      </c>
      <c r="H254" s="416" t="b">
        <f>Wh_hp&gt;='2020'!Maxi_hp</f>
        <v>1</v>
      </c>
      <c r="I254" s="382">
        <f>IF(H254,Wh_hp,'2020'!Maxi_hp)</f>
        <v>52.43587821164941</v>
      </c>
      <c r="J254" s="85">
        <f>IF(H254,An,'2020'!An_max)</f>
        <v>2021</v>
      </c>
      <c r="K254" s="199">
        <f t="shared" si="76"/>
        <v>44436</v>
      </c>
      <c r="L254" s="147">
        <f>IF(t&lt;Tvie,1-EXP((T0-t)*PertePVj)+'2020'!Pspv,1-EXP((T0-t)*PertePVj)+Pspv)</f>
        <v>2.5795613244363191E-2</v>
      </c>
      <c r="M254" s="872"/>
      <c r="N254" s="872"/>
      <c r="O254" s="48">
        <f>IF(t&lt;Tnet,'2020'!Resal+('2020'!Salim-'2020'!Resal)*(1-EXP(('2020'!Tnet-t)/('2020'!Tau_j))),Resal+(Salim-Resal)*(1-EXP((Tnet-t)/(Tau_j))))*Salcycl</f>
        <v>7.310766219913184E-2</v>
      </c>
      <c r="P254" s="171">
        <f>(INDEX(Models!$BJ254:$BT254,,T254)*(1-R254)+INDEX(Models!$BJ254:$BT254,,T254+1)*R254-ERP_i)*Q254*Ramure*Pc/MaxiM</f>
        <v>4.6224601447440415E-3</v>
      </c>
      <c r="Q254" s="307">
        <f t="shared" si="77"/>
        <v>0.9</v>
      </c>
      <c r="R254" s="179">
        <f t="shared" si="78"/>
        <v>0.87768156576310508</v>
      </c>
      <c r="S254" s="839">
        <f t="shared" si="79"/>
        <v>-1</v>
      </c>
      <c r="T254" s="178">
        <f t="shared" si="80"/>
        <v>5</v>
      </c>
      <c r="U254" s="253">
        <f t="shared" si="81"/>
        <v>-0.12231843423689492</v>
      </c>
      <c r="V254" s="385">
        <f t="shared" si="82"/>
        <v>47.77308794575692</v>
      </c>
      <c r="W254" s="404"/>
      <c r="X254" s="157">
        <f t="shared" si="83"/>
        <v>44436</v>
      </c>
      <c r="Y254" s="387">
        <f t="shared" si="84"/>
        <v>43.267208765824101</v>
      </c>
      <c r="Z254" s="387">
        <f t="shared" si="85"/>
        <v>44.412865877062586</v>
      </c>
      <c r="AA254" s="388">
        <f t="shared" si="86"/>
        <v>52.198127587172792</v>
      </c>
      <c r="AB254" s="199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0.14914829458410225</v>
      </c>
      <c r="AD254" s="233">
        <f>(INDEX(Models!$BJ254:$BT254,,AH254)*(1-AF254)+INDEX(Models!$BJ254:$BT254,,AH254+1)*AF254-ERP_i)*AE254*Ramure*Pc/MaxiM</f>
        <v>4.6224601447440415E-3</v>
      </c>
      <c r="AE254" s="307">
        <f t="shared" si="88"/>
        <v>0.9</v>
      </c>
      <c r="AF254" s="179">
        <f t="shared" si="89"/>
        <v>0.87768156576310508</v>
      </c>
      <c r="AG254" s="839">
        <f t="shared" si="95"/>
        <v>-1</v>
      </c>
      <c r="AH254" s="178">
        <f t="shared" si="90"/>
        <v>5</v>
      </c>
      <c r="AI254" s="227">
        <f t="shared" si="91"/>
        <v>-0.12231843423689492</v>
      </c>
      <c r="AJ254" s="267" t="b">
        <f t="shared" si="92"/>
        <v>0</v>
      </c>
      <c r="AK254" s="267" t="b">
        <f t="shared" si="93"/>
        <v>0</v>
      </c>
      <c r="AL254" s="267"/>
      <c r="AM254" s="267"/>
      <c r="AN254" s="75"/>
    </row>
    <row r="255" spans="1:40" s="6" customFormat="1" ht="11.25" x14ac:dyDescent="0.2">
      <c r="A255" s="56">
        <f t="shared" si="94"/>
        <v>44437</v>
      </c>
      <c r="B255" s="620">
        <v>46.454000000000001</v>
      </c>
      <c r="C255" s="392"/>
      <c r="D255" s="395">
        <f t="shared" si="74"/>
        <v>47.685148731788324</v>
      </c>
      <c r="E255" s="387">
        <f t="shared" si="96"/>
        <v>51.462232211643482</v>
      </c>
      <c r="F255" s="387">
        <f t="shared" si="75"/>
        <v>51.701518118132348</v>
      </c>
      <c r="G255" s="110">
        <f t="shared" si="97"/>
        <v>0.97838290900678615</v>
      </c>
      <c r="H255" s="416" t="b">
        <f>Wh_hp&gt;='2020'!Maxi_hp</f>
        <v>1</v>
      </c>
      <c r="I255" s="382">
        <f>IF(H255,Wh_hp,'2020'!Maxi_hp)</f>
        <v>51.701518118132348</v>
      </c>
      <c r="J255" s="85">
        <f>IF(H255,An,'2020'!An_max)</f>
        <v>2021</v>
      </c>
      <c r="K255" s="199">
        <f t="shared" si="76"/>
        <v>44437</v>
      </c>
      <c r="L255" s="147">
        <f>IF(t&lt;Tvie,1-EXP((T0-t)*PertePVj)+'2020'!Pspv,1-EXP((T0-t)*PertePVj)+Pspv)</f>
        <v>2.581828440366396E-2</v>
      </c>
      <c r="M255" s="872"/>
      <c r="N255" s="872"/>
      <c r="O255" s="48">
        <f>IF(t&lt;Tnet,'2020'!Resal+('2020'!Salim-'2020'!Resal)*(1-EXP(('2020'!Tnet-t)/('2020'!Tau_j))),Resal+(Salim-Resal)*(1-EXP((Tnet-t)/(Tau_j))))*Salcycl</f>
        <v>7.339525157637028E-2</v>
      </c>
      <c r="P255" s="171">
        <f>(INDEX(Models!$BJ255:$BT255,,T255)*(1-R255)+INDEX(Models!$BJ255:$BT255,,T255+1)*R255-ERP_i)*Q255*Ramure*Pc/MaxiM</f>
        <v>4.7746857810095824E-3</v>
      </c>
      <c r="Q255" s="307">
        <f t="shared" si="77"/>
        <v>0.9</v>
      </c>
      <c r="R255" s="179">
        <f t="shared" si="78"/>
        <v>0.8785555400592977</v>
      </c>
      <c r="S255" s="839">
        <f t="shared" si="79"/>
        <v>-1</v>
      </c>
      <c r="T255" s="178">
        <f t="shared" si="80"/>
        <v>5</v>
      </c>
      <c r="U255" s="253">
        <f t="shared" si="81"/>
        <v>-0.1214444599407023</v>
      </c>
      <c r="V255" s="385">
        <f t="shared" si="82"/>
        <v>47.473401190878924</v>
      </c>
      <c r="W255" s="404"/>
      <c r="X255" s="157">
        <f t="shared" si="83"/>
        <v>44437</v>
      </c>
      <c r="Y255" s="387">
        <f t="shared" si="84"/>
        <v>42.652716837180122</v>
      </c>
      <c r="Z255" s="387">
        <f t="shared" si="85"/>
        <v>43.783121931282267</v>
      </c>
      <c r="AA255" s="388">
        <f t="shared" si="86"/>
        <v>51.462232211643482</v>
      </c>
      <c r="AB255" s="199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0.14921836753563517</v>
      </c>
      <c r="AD255" s="233">
        <f>(INDEX(Models!$BJ255:$BT255,,AH255)*(1-AF255)+INDEX(Models!$BJ255:$BT255,,AH255+1)*AF255-ERP_i)*AE255*Ramure*Pc/MaxiM</f>
        <v>4.7746857810095824E-3</v>
      </c>
      <c r="AE255" s="307">
        <f t="shared" si="88"/>
        <v>0.9</v>
      </c>
      <c r="AF255" s="179">
        <f t="shared" si="89"/>
        <v>0.8785555400592977</v>
      </c>
      <c r="AG255" s="839">
        <f t="shared" si="95"/>
        <v>-1</v>
      </c>
      <c r="AH255" s="178">
        <f t="shared" si="90"/>
        <v>5</v>
      </c>
      <c r="AI255" s="227">
        <f t="shared" si="91"/>
        <v>-0.1214444599407023</v>
      </c>
      <c r="AJ255" s="267" t="b">
        <f t="shared" si="92"/>
        <v>0</v>
      </c>
      <c r="AK255" s="267" t="b">
        <f t="shared" si="93"/>
        <v>0</v>
      </c>
      <c r="AL255" s="267"/>
      <c r="AM255" s="267"/>
      <c r="AN255" s="75"/>
    </row>
    <row r="256" spans="1:40" s="6" customFormat="1" ht="11.25" x14ac:dyDescent="0.2">
      <c r="A256" s="56">
        <f t="shared" si="94"/>
        <v>44438</v>
      </c>
      <c r="B256" s="620">
        <v>44.889000000000003</v>
      </c>
      <c r="C256" s="392"/>
      <c r="D256" s="395">
        <f t="shared" si="74"/>
        <v>46.079744608468957</v>
      </c>
      <c r="E256" s="387">
        <f t="shared" si="96"/>
        <v>49.745034178483465</v>
      </c>
      <c r="F256" s="387">
        <f t="shared" si="75"/>
        <v>49.974130891350057</v>
      </c>
      <c r="G256" s="110">
        <f t="shared" si="97"/>
        <v>0.95135528998395147</v>
      </c>
      <c r="H256" s="416" t="b">
        <f>Wh_hp&gt;='2020'!Maxi_hp</f>
        <v>1</v>
      </c>
      <c r="I256" s="382">
        <f>IF(H256,Wh_hp,'2020'!Maxi_hp)</f>
        <v>49.974130891350057</v>
      </c>
      <c r="J256" s="85">
        <f>IF(H256,An,'2020'!An_max)</f>
        <v>2021</v>
      </c>
      <c r="K256" s="199">
        <f t="shared" si="76"/>
        <v>44438</v>
      </c>
      <c r="L256" s="147">
        <f>IF(t&lt;Tvie,1-EXP((T0-t)*PertePVj)+'2020'!Pspv,1-EXP((T0-t)*PertePVj)+Pspv)</f>
        <v>2.5840955035373758E-2</v>
      </c>
      <c r="M256" s="872"/>
      <c r="N256" s="872"/>
      <c r="O256" s="48">
        <f>IF(t&lt;Tnet,'2020'!Resal+('2020'!Salim-'2020'!Resal)*(1-EXP(('2020'!Tnet-t)/('2020'!Tau_j))),Resal+(Salim-Resal)*(1-EXP((Tnet-t)/(Tau_j))))*Salcycl</f>
        <v>7.3681516769363797E-2</v>
      </c>
      <c r="P256" s="171">
        <f>(INDEX(Models!$BJ256:$BT256,,T256)*(1-R256)+INDEX(Models!$BJ256:$BT256,,T256+1)*R256-ERP_i)*Q256*Ramure*Pc/MaxiM</f>
        <v>4.9242158134368726E-3</v>
      </c>
      <c r="Q256" s="307">
        <f t="shared" si="77"/>
        <v>0.9</v>
      </c>
      <c r="R256" s="179">
        <f t="shared" si="78"/>
        <v>0.87939681156327032</v>
      </c>
      <c r="S256" s="839">
        <f t="shared" si="79"/>
        <v>-1</v>
      </c>
      <c r="T256" s="178">
        <f t="shared" si="80"/>
        <v>5</v>
      </c>
      <c r="U256" s="253">
        <f t="shared" si="81"/>
        <v>-0.12060318843672968</v>
      </c>
      <c r="V256" s="385">
        <f t="shared" si="82"/>
        <v>47.168152628865016</v>
      </c>
      <c r="W256" s="404"/>
      <c r="X256" s="157">
        <f t="shared" si="83"/>
        <v>44438</v>
      </c>
      <c r="Y256" s="387">
        <f t="shared" si="84"/>
        <v>41.225176481512825</v>
      </c>
      <c r="Z256" s="387">
        <f t="shared" si="85"/>
        <v>42.318732957008883</v>
      </c>
      <c r="AA256" s="388">
        <f t="shared" si="86"/>
        <v>49.745034178483465</v>
      </c>
      <c r="AB256" s="199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0.14928728754772325</v>
      </c>
      <c r="AD256" s="233">
        <f>(INDEX(Models!$BJ256:$BT256,,AH256)*(1-AF256)+INDEX(Models!$BJ256:$BT256,,AH256+1)*AF256-ERP_i)*AE256*Ramure*Pc/MaxiM</f>
        <v>4.9242158134368726E-3</v>
      </c>
      <c r="AE256" s="307">
        <f t="shared" si="88"/>
        <v>0.9</v>
      </c>
      <c r="AF256" s="179">
        <f t="shared" si="89"/>
        <v>0.87939681156327032</v>
      </c>
      <c r="AG256" s="839">
        <f t="shared" si="95"/>
        <v>-1</v>
      </c>
      <c r="AH256" s="178">
        <f t="shared" si="90"/>
        <v>5</v>
      </c>
      <c r="AI256" s="227">
        <f t="shared" si="91"/>
        <v>-0.12060318843672968</v>
      </c>
      <c r="AJ256" s="267" t="b">
        <f t="shared" si="92"/>
        <v>0</v>
      </c>
      <c r="AK256" s="267" t="b">
        <f t="shared" si="93"/>
        <v>0</v>
      </c>
      <c r="AL256" s="267"/>
      <c r="AM256" s="267"/>
      <c r="AN256" s="75"/>
    </row>
    <row r="257" spans="1:40" s="6" customFormat="1" ht="11.25" x14ac:dyDescent="0.2">
      <c r="A257" s="56">
        <f t="shared" si="94"/>
        <v>44439</v>
      </c>
      <c r="B257" s="620">
        <v>44.777000000000001</v>
      </c>
      <c r="C257" s="392"/>
      <c r="D257" s="395">
        <f t="shared" si="74"/>
        <v>45.965843341403264</v>
      </c>
      <c r="E257" s="387">
        <f t="shared" si="96"/>
        <v>49.637340617980946</v>
      </c>
      <c r="F257" s="387">
        <f t="shared" si="75"/>
        <v>49.874216739239351</v>
      </c>
      <c r="G257" s="110">
        <f t="shared" si="97"/>
        <v>0.95529784709744581</v>
      </c>
      <c r="H257" s="416" t="b">
        <f>Wh_hp&gt;='2020'!Maxi_hp</f>
        <v>1</v>
      </c>
      <c r="I257" s="382">
        <f>IF(H257,Wh_hp,'2020'!Maxi_hp)</f>
        <v>49.874216739239351</v>
      </c>
      <c r="J257" s="85">
        <f>IF(H257,An,'2020'!An_max)</f>
        <v>2021</v>
      </c>
      <c r="K257" s="199">
        <f t="shared" si="76"/>
        <v>44439</v>
      </c>
      <c r="L257" s="147">
        <f>IF(t&lt;Tvie,1-EXP((T0-t)*PertePVj)+'2020'!Pspv,1-EXP((T0-t)*PertePVj)+Pspv)</f>
        <v>2.5863625139504909E-2</v>
      </c>
      <c r="M257" s="872"/>
      <c r="N257" s="872"/>
      <c r="O257" s="48">
        <f>IF(t&lt;Tnet,'2020'!Resal+('2020'!Salim-'2020'!Resal)*(1-EXP(('2020'!Tnet-t)/('2020'!Tau_j))),Resal+(Salim-Resal)*(1-EXP((Tnet-t)/(Tau_j))))*Salcycl</f>
        <v>7.3966437985351963E-2</v>
      </c>
      <c r="P257" s="171">
        <f>(INDEX(Models!$BJ257:$BT257,,T257)*(1-R257)+INDEX(Models!$BJ257:$BT257,,T257+1)*R257-ERP_i)*Q257*Ramure*Pc/MaxiM</f>
        <v>5.0710733413851152E-3</v>
      </c>
      <c r="Q257" s="307">
        <f t="shared" si="77"/>
        <v>0.9</v>
      </c>
      <c r="R257" s="179">
        <f t="shared" si="78"/>
        <v>0.88020651082114632</v>
      </c>
      <c r="S257" s="839">
        <f t="shared" si="79"/>
        <v>-1</v>
      </c>
      <c r="T257" s="178">
        <f t="shared" si="80"/>
        <v>5</v>
      </c>
      <c r="U257" s="253">
        <f t="shared" si="81"/>
        <v>-0.11979348917885368</v>
      </c>
      <c r="V257" s="385">
        <f t="shared" si="82"/>
        <v>46.857146182204595</v>
      </c>
      <c r="W257" s="404"/>
      <c r="X257" s="157">
        <f t="shared" si="83"/>
        <v>44439</v>
      </c>
      <c r="Y257" s="387">
        <f t="shared" si="84"/>
        <v>41.131695286292697</v>
      </c>
      <c r="Z257" s="387">
        <f t="shared" si="85"/>
        <v>42.223754648504034</v>
      </c>
      <c r="AA257" s="388">
        <f t="shared" si="86"/>
        <v>49.637340617980946</v>
      </c>
      <c r="AB257" s="199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0.14935501937006199</v>
      </c>
      <c r="AD257" s="233">
        <f>(INDEX(Models!$BJ257:$BT257,,AH257)*(1-AF257)+INDEX(Models!$BJ257:$BT257,,AH257+1)*AF257-ERP_i)*AE257*Ramure*Pc/MaxiM</f>
        <v>5.0710733413851152E-3</v>
      </c>
      <c r="AE257" s="307">
        <f t="shared" si="88"/>
        <v>0.9</v>
      </c>
      <c r="AF257" s="179">
        <f t="shared" si="89"/>
        <v>0.88020651082114632</v>
      </c>
      <c r="AG257" s="839">
        <f t="shared" si="95"/>
        <v>-1</v>
      </c>
      <c r="AH257" s="178">
        <f t="shared" si="90"/>
        <v>5</v>
      </c>
      <c r="AI257" s="227">
        <f t="shared" si="91"/>
        <v>-0.11979348917885368</v>
      </c>
      <c r="AJ257" s="267" t="b">
        <f t="shared" si="92"/>
        <v>0</v>
      </c>
      <c r="AK257" s="267" t="b">
        <f t="shared" si="93"/>
        <v>0</v>
      </c>
      <c r="AL257" s="267"/>
      <c r="AM257" s="267"/>
      <c r="AN257" s="75"/>
    </row>
    <row r="258" spans="1:40" s="6" customFormat="1" ht="11.25" x14ac:dyDescent="0.2">
      <c r="A258" s="56">
        <f t="shared" si="94"/>
        <v>44440</v>
      </c>
      <c r="B258" s="620">
        <v>27.41</v>
      </c>
      <c r="C258" s="392"/>
      <c r="D258" s="395">
        <f t="shared" si="74"/>
        <v>28.138398886411984</v>
      </c>
      <c r="E258" s="387">
        <f t="shared" si="96"/>
        <v>30.395245715277913</v>
      </c>
      <c r="F258" s="387">
        <f t="shared" si="75"/>
        <v>30.460822368529985</v>
      </c>
      <c r="G258" s="110">
        <f t="shared" si="97"/>
        <v>0.58714584392397551</v>
      </c>
      <c r="H258" s="416" t="b">
        <f>Wh_hp&gt;='2020'!Maxi_hp</f>
        <v>0</v>
      </c>
      <c r="I258" s="382">
        <f>IF(H258,Wh_hp,'2020'!Maxi_hp)</f>
        <v>42.637494628266452</v>
      </c>
      <c r="J258" s="85">
        <f>IF(H258,An,'2020'!An_max)</f>
        <v>2020</v>
      </c>
      <c r="K258" s="199">
        <f t="shared" si="76"/>
        <v>44440</v>
      </c>
      <c r="L258" s="147">
        <f>IF(t&lt;Tvie,1-EXP((T0-t)*PertePVj)+'2020'!Pspv,1-EXP((T0-t)*PertePVj)+Pspv)</f>
        <v>2.5886294716069513E-2</v>
      </c>
      <c r="M258" s="872"/>
      <c r="N258" s="872"/>
      <c r="O258" s="48">
        <f>IF(t&lt;Tnet,'2020'!Resal+('2020'!Salim-'2020'!Resal)*(1-EXP(('2020'!Tnet-t)/('2020'!Tau_j))),Resal+(Salim-Resal)*(1-EXP((Tnet-t)/(Tau_j))))*Salcycl</f>
        <v>7.4249994555284859E-2</v>
      </c>
      <c r="P258" s="171">
        <f>(INDEX(Models!$BJ258:$BT258,,T258)*(1-R258)+INDEX(Models!$BJ258:$BT258,,T258+1)*R258-ERP_i)*Q258*Ramure*Pc/MaxiM</f>
        <v>5.2152830051346985E-3</v>
      </c>
      <c r="Q258" s="307">
        <f t="shared" si="77"/>
        <v>0.9</v>
      </c>
      <c r="R258" s="179">
        <f t="shared" si="78"/>
        <v>0.88098573644081202</v>
      </c>
      <c r="S258" s="839">
        <f t="shared" si="79"/>
        <v>-1</v>
      </c>
      <c r="T258" s="178">
        <f t="shared" si="80"/>
        <v>5</v>
      </c>
      <c r="U258" s="253">
        <f t="shared" si="81"/>
        <v>-0.11901426355918798</v>
      </c>
      <c r="V258" s="385">
        <f t="shared" si="82"/>
        <v>46.54018598064453</v>
      </c>
      <c r="W258" s="404"/>
      <c r="X258" s="157">
        <f t="shared" si="83"/>
        <v>44440</v>
      </c>
      <c r="Y258" s="387">
        <f t="shared" si="84"/>
        <v>25.184289304668848</v>
      </c>
      <c r="Z258" s="387">
        <f t="shared" si="85"/>
        <v>25.853541704690667</v>
      </c>
      <c r="AA258" s="388">
        <f t="shared" si="86"/>
        <v>30.395245715277913</v>
      </c>
      <c r="AB258" s="199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0.14942152641669207</v>
      </c>
      <c r="AD258" s="233">
        <f>(INDEX(Models!$BJ258:$BT258,,AH258)*(1-AF258)+INDEX(Models!$BJ258:$BT258,,AH258+1)*AF258-ERP_i)*AE258*Ramure*Pc/MaxiM</f>
        <v>5.2152830051346985E-3</v>
      </c>
      <c r="AE258" s="307">
        <f t="shared" si="88"/>
        <v>0.9</v>
      </c>
      <c r="AF258" s="179">
        <f t="shared" si="89"/>
        <v>0.88098573644081202</v>
      </c>
      <c r="AG258" s="839">
        <f t="shared" si="95"/>
        <v>-1</v>
      </c>
      <c r="AH258" s="178">
        <f t="shared" si="90"/>
        <v>5</v>
      </c>
      <c r="AI258" s="227">
        <f t="shared" si="91"/>
        <v>-0.11901426355918798</v>
      </c>
      <c r="AJ258" s="267" t="b">
        <f t="shared" si="92"/>
        <v>0</v>
      </c>
      <c r="AK258" s="267" t="b">
        <f t="shared" si="93"/>
        <v>0</v>
      </c>
      <c r="AL258" s="267"/>
      <c r="AM258" s="267"/>
      <c r="AN258" s="75"/>
    </row>
    <row r="259" spans="1:40" s="6" customFormat="1" ht="11.25" x14ac:dyDescent="0.2">
      <c r="A259" s="56">
        <f t="shared" si="94"/>
        <v>44441</v>
      </c>
      <c r="B259" s="620">
        <v>20.096</v>
      </c>
      <c r="C259" s="392"/>
      <c r="D259" s="395">
        <f t="shared" si="74"/>
        <v>20.630515272654126</v>
      </c>
      <c r="E259" s="387">
        <f t="shared" si="96"/>
        <v>22.291985188176074</v>
      </c>
      <c r="F259" s="387">
        <f t="shared" si="75"/>
        <v>22.315007922458566</v>
      </c>
      <c r="G259" s="110">
        <f t="shared" si="97"/>
        <v>0.43293504220945883</v>
      </c>
      <c r="H259" s="416" t="b">
        <f>Wh_hp&gt;='2020'!Maxi_hp</f>
        <v>0</v>
      </c>
      <c r="I259" s="382">
        <f>IF(H259,Wh_hp,'2020'!Maxi_hp)</f>
        <v>49.068004680732784</v>
      </c>
      <c r="J259" s="85">
        <f>IF(H259,An,'2020'!An_max)</f>
        <v>2019</v>
      </c>
      <c r="K259" s="199">
        <f t="shared" si="76"/>
        <v>44441</v>
      </c>
      <c r="L259" s="147">
        <f>IF(t&lt;Tvie,1-EXP((T0-t)*PertePVj)+'2020'!Pspv,1-EXP((T0-t)*PertePVj)+Pspv)</f>
        <v>2.5908963765080006E-2</v>
      </c>
      <c r="M259" s="872"/>
      <c r="N259" s="872"/>
      <c r="O259" s="48">
        <f>IF(t&lt;Tnet,'2020'!Resal+('2020'!Salim-'2020'!Resal)*(1-EXP(('2020'!Tnet-t)/('2020'!Tau_j))),Resal+(Salim-Resal)*(1-EXP((Tnet-t)/(Tau_j))))*Salcycl</f>
        <v>7.4532164878846757E-2</v>
      </c>
      <c r="P259" s="171">
        <f>(INDEX(Models!$BJ259:$BT259,,T259)*(1-R259)+INDEX(Models!$BJ259:$BT259,,T259+1)*R259-ERP_i)*Q259*Ramure*Pc/MaxiM</f>
        <v>5.3568709016601594E-3</v>
      </c>
      <c r="Q259" s="307">
        <f t="shared" si="77"/>
        <v>0.9</v>
      </c>
      <c r="R259" s="179">
        <f t="shared" si="78"/>
        <v>0.8817355554274644</v>
      </c>
      <c r="S259" s="839">
        <f t="shared" si="79"/>
        <v>-1</v>
      </c>
      <c r="T259" s="178">
        <f t="shared" si="80"/>
        <v>5</v>
      </c>
      <c r="U259" s="253">
        <f t="shared" si="81"/>
        <v>-0.1182644445725356</v>
      </c>
      <c r="V259" s="385">
        <f t="shared" si="82"/>
        <v>46.21707636001058</v>
      </c>
      <c r="W259" s="404"/>
      <c r="X259" s="157">
        <f t="shared" si="83"/>
        <v>44441</v>
      </c>
      <c r="Y259" s="387">
        <f t="shared" si="84"/>
        <v>18.468403987589799</v>
      </c>
      <c r="Z259" s="387">
        <f t="shared" si="85"/>
        <v>18.959628310485552</v>
      </c>
      <c r="AA259" s="388">
        <f t="shared" si="86"/>
        <v>22.291985188176074</v>
      </c>
      <c r="AB259" s="199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0.14948677067388519</v>
      </c>
      <c r="AD259" s="233">
        <f>(INDEX(Models!$BJ259:$BT259,,AH259)*(1-AF259)+INDEX(Models!$BJ259:$BT259,,AH259+1)*AF259-ERP_i)*AE259*Ramure*Pc/MaxiM</f>
        <v>5.3568709016601594E-3</v>
      </c>
      <c r="AE259" s="307">
        <f t="shared" si="88"/>
        <v>0.9</v>
      </c>
      <c r="AF259" s="179">
        <f t="shared" si="89"/>
        <v>0.8817355554274644</v>
      </c>
      <c r="AG259" s="839">
        <f t="shared" si="95"/>
        <v>-1</v>
      </c>
      <c r="AH259" s="178">
        <f t="shared" si="90"/>
        <v>5</v>
      </c>
      <c r="AI259" s="227">
        <f t="shared" si="91"/>
        <v>-0.1182644445725356</v>
      </c>
      <c r="AJ259" s="267" t="b">
        <f t="shared" si="92"/>
        <v>0</v>
      </c>
      <c r="AK259" s="267" t="b">
        <f t="shared" si="93"/>
        <v>0</v>
      </c>
      <c r="AL259" s="267"/>
      <c r="AM259" s="267"/>
      <c r="AN259" s="75"/>
    </row>
    <row r="260" spans="1:40" s="6" customFormat="1" ht="11.25" x14ac:dyDescent="0.2">
      <c r="A260" s="56">
        <f t="shared" si="94"/>
        <v>44442</v>
      </c>
      <c r="B260" s="620">
        <v>26.44</v>
      </c>
      <c r="C260" s="392"/>
      <c r="D260" s="395">
        <f t="shared" si="74"/>
        <v>27.14388525116139</v>
      </c>
      <c r="E260" s="387">
        <f t="shared" si="96"/>
        <v>29.338807279847423</v>
      </c>
      <c r="F260" s="387">
        <f t="shared" si="75"/>
        <v>29.402564815938227</v>
      </c>
      <c r="G260" s="110">
        <f t="shared" si="97"/>
        <v>0.57426884403622336</v>
      </c>
      <c r="H260" s="416" t="b">
        <f>Wh_hp&gt;='2020'!Maxi_hp</f>
        <v>0</v>
      </c>
      <c r="I260" s="382">
        <f>IF(H260,Wh_hp,'2020'!Maxi_hp)</f>
        <v>51.035952311623831</v>
      </c>
      <c r="J260" s="85">
        <f>IF(H260,An,'2020'!An_max)</f>
        <v>2019</v>
      </c>
      <c r="K260" s="199">
        <f t="shared" si="76"/>
        <v>44442</v>
      </c>
      <c r="L260" s="147">
        <f>IF(t&lt;Tvie,1-EXP((T0-t)*PertePVj)+'2020'!Pspv,1-EXP((T0-t)*PertePVj)+Pspv)</f>
        <v>2.59316322865486E-2</v>
      </c>
      <c r="M260" s="872"/>
      <c r="N260" s="872"/>
      <c r="O260" s="48">
        <f>IF(t&lt;Tnet,'2020'!Resal+('2020'!Salim-'2020'!Resal)*(1-EXP(('2020'!Tnet-t)/('2020'!Tau_j))),Resal+(Salim-Resal)*(1-EXP((Tnet-t)/(Tau_j))))*Salcycl</f>
        <v>7.481292636574588E-2</v>
      </c>
      <c r="P260" s="171">
        <f>(INDEX(Models!$BJ260:$BT260,,T260)*(1-R260)+INDEX(Models!$BJ260:$BT260,,T260+1)*R260-ERP_i)*Q260*Ramure*Pc/MaxiM</f>
        <v>5.4958645037920277E-3</v>
      </c>
      <c r="Q260" s="307">
        <f t="shared" si="77"/>
        <v>0.9</v>
      </c>
      <c r="R260" s="179">
        <f t="shared" si="78"/>
        <v>0.88245700356763535</v>
      </c>
      <c r="S260" s="839">
        <f t="shared" si="79"/>
        <v>-1</v>
      </c>
      <c r="T260" s="178">
        <f t="shared" si="80"/>
        <v>5</v>
      </c>
      <c r="U260" s="253">
        <f t="shared" si="81"/>
        <v>-0.11754299643236465</v>
      </c>
      <c r="V260" s="385">
        <f t="shared" si="82"/>
        <v>45.887621863910525</v>
      </c>
      <c r="W260" s="404"/>
      <c r="X260" s="157">
        <f t="shared" si="83"/>
        <v>44442</v>
      </c>
      <c r="Y260" s="387">
        <f t="shared" si="84"/>
        <v>24.304143237184245</v>
      </c>
      <c r="Z260" s="387">
        <f t="shared" si="85"/>
        <v>24.951167744248078</v>
      </c>
      <c r="AA260" s="388">
        <f t="shared" si="86"/>
        <v>29.338807279847423</v>
      </c>
      <c r="AB260" s="199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0.14955071260218467</v>
      </c>
      <c r="AD260" s="233">
        <f>(INDEX(Models!$BJ260:$BT260,,AH260)*(1-AF260)+INDEX(Models!$BJ260:$BT260,,AH260+1)*AF260-ERP_i)*AE260*Ramure*Pc/MaxiM</f>
        <v>5.4958645037920277E-3</v>
      </c>
      <c r="AE260" s="307">
        <f t="shared" si="88"/>
        <v>0.9</v>
      </c>
      <c r="AF260" s="179">
        <f t="shared" si="89"/>
        <v>0.88245700356763535</v>
      </c>
      <c r="AG260" s="839">
        <f t="shared" si="95"/>
        <v>-1</v>
      </c>
      <c r="AH260" s="178">
        <f t="shared" si="90"/>
        <v>5</v>
      </c>
      <c r="AI260" s="227">
        <f t="shared" si="91"/>
        <v>-0.11754299643236465</v>
      </c>
      <c r="AJ260" s="267" t="b">
        <f t="shared" si="92"/>
        <v>0</v>
      </c>
      <c r="AK260" s="267" t="b">
        <f t="shared" si="93"/>
        <v>0</v>
      </c>
      <c r="AL260" s="267"/>
      <c r="AM260" s="267"/>
      <c r="AN260" s="75"/>
    </row>
    <row r="261" spans="1:40" s="6" customFormat="1" ht="11.25" x14ac:dyDescent="0.2">
      <c r="A261" s="56">
        <f t="shared" si="94"/>
        <v>44443</v>
      </c>
      <c r="B261" s="620">
        <v>38.380000000000003</v>
      </c>
      <c r="C261" s="392"/>
      <c r="D261" s="395">
        <f t="shared" si="74"/>
        <v>39.402668695166938</v>
      </c>
      <c r="E261" s="387">
        <f t="shared" si="96"/>
        <v>42.601728576866101</v>
      </c>
      <c r="F261" s="387">
        <f t="shared" si="75"/>
        <v>42.788528610104372</v>
      </c>
      <c r="G261" s="110">
        <f t="shared" si="97"/>
        <v>0.8414993709228149</v>
      </c>
      <c r="H261" s="416" t="b">
        <f>Wh_hp&gt;='2020'!Maxi_hp</f>
        <v>0</v>
      </c>
      <c r="I261" s="382">
        <f>IF(H261,Wh_hp,'2020'!Maxi_hp)</f>
        <v>50.502994047654042</v>
      </c>
      <c r="J261" s="85">
        <f>IF(H261,An,'2020'!An_max)</f>
        <v>2019</v>
      </c>
      <c r="K261" s="199">
        <f t="shared" si="76"/>
        <v>44443</v>
      </c>
      <c r="L261" s="147">
        <f>IF(t&lt;Tvie,1-EXP((T0-t)*PertePVj)+'2020'!Pspv,1-EXP((T0-t)*PertePVj)+Pspv)</f>
        <v>2.5954300280487619E-2</v>
      </c>
      <c r="M261" s="872"/>
      <c r="N261" s="872"/>
      <c r="O261" s="48">
        <f>IF(t&lt;Tnet,'2020'!Resal+('2020'!Salim-'2020'!Resal)*(1-EXP(('2020'!Tnet-t)/('2020'!Tau_j))),Resal+(Salim-Resal)*(1-EXP((Tnet-t)/(Tau_j))))*Salcycl</f>
        <v>7.509225537473474E-2</v>
      </c>
      <c r="P261" s="171">
        <f>(INDEX(Models!$BJ261:$BT261,,T261)*(1-R261)+INDEX(Models!$BJ261:$BT261,,T261+1)*R261-ERP_i)*Q261*Ramure*Pc/MaxiM</f>
        <v>5.6323649222344181E-3</v>
      </c>
      <c r="Q261" s="307">
        <f t="shared" si="77"/>
        <v>0.9</v>
      </c>
      <c r="R261" s="179">
        <f t="shared" si="78"/>
        <v>0.88315108585621216</v>
      </c>
      <c r="S261" s="839">
        <f t="shared" si="79"/>
        <v>-1</v>
      </c>
      <c r="T261" s="178">
        <f t="shared" si="80"/>
        <v>5</v>
      </c>
      <c r="U261" s="253">
        <f t="shared" si="81"/>
        <v>-0.11684891414378784</v>
      </c>
      <c r="V261" s="385">
        <f t="shared" si="82"/>
        <v>45.551038891227257</v>
      </c>
      <c r="W261" s="404"/>
      <c r="X261" s="157">
        <f t="shared" si="83"/>
        <v>44443</v>
      </c>
      <c r="Y261" s="387">
        <f t="shared" si="84"/>
        <v>35.287671999844697</v>
      </c>
      <c r="Z261" s="387">
        <f t="shared" si="85"/>
        <v>36.227942908639896</v>
      </c>
      <c r="AA261" s="388">
        <f t="shared" si="86"/>
        <v>42.601728576866101</v>
      </c>
      <c r="AB261" s="199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0.14961331103563114</v>
      </c>
      <c r="AD261" s="233">
        <f>(INDEX(Models!$BJ261:$BT261,,AH261)*(1-AF261)+INDEX(Models!$BJ261:$BT261,,AH261+1)*AF261-ERP_i)*AE261*Ramure*Pc/MaxiM</f>
        <v>5.6323649222344181E-3</v>
      </c>
      <c r="AE261" s="307">
        <f t="shared" si="88"/>
        <v>0.9</v>
      </c>
      <c r="AF261" s="179">
        <f t="shared" si="89"/>
        <v>0.88315108585621216</v>
      </c>
      <c r="AG261" s="839">
        <f t="shared" si="95"/>
        <v>-1</v>
      </c>
      <c r="AH261" s="178">
        <f t="shared" si="90"/>
        <v>5</v>
      </c>
      <c r="AI261" s="227">
        <f t="shared" si="91"/>
        <v>-0.11684891414378784</v>
      </c>
      <c r="AJ261" s="267" t="b">
        <f t="shared" si="92"/>
        <v>0</v>
      </c>
      <c r="AK261" s="267" t="b">
        <f t="shared" si="93"/>
        <v>0</v>
      </c>
      <c r="AL261" s="267"/>
      <c r="AM261" s="267"/>
      <c r="AN261" s="75"/>
    </row>
    <row r="262" spans="1:40" s="6" customFormat="1" ht="11.25" x14ac:dyDescent="0.2">
      <c r="A262" s="56">
        <f t="shared" si="94"/>
        <v>44444</v>
      </c>
      <c r="B262" s="620">
        <v>39.279000000000003</v>
      </c>
      <c r="C262" s="392"/>
      <c r="D262" s="395">
        <f t="shared" si="74"/>
        <v>40.326561795094925</v>
      </c>
      <c r="E262" s="387">
        <f t="shared" si="96"/>
        <v>43.613734510740237</v>
      </c>
      <c r="F262" s="387">
        <f t="shared" si="75"/>
        <v>43.819007709213253</v>
      </c>
      <c r="G262" s="110">
        <f t="shared" si="97"/>
        <v>0.8679251562607796</v>
      </c>
      <c r="H262" s="416" t="b">
        <f>Wh_hp&gt;='2020'!Maxi_hp</f>
        <v>0</v>
      </c>
      <c r="I262" s="382">
        <f>IF(H262,Wh_hp,'2020'!Maxi_hp)</f>
        <v>48.405506175605858</v>
      </c>
      <c r="J262" s="85">
        <f>IF(H262,An,'2020'!An_max)</f>
        <v>2020</v>
      </c>
      <c r="K262" s="199">
        <f t="shared" si="76"/>
        <v>44444</v>
      </c>
      <c r="L262" s="147">
        <f>IF(t&lt;Tvie,1-EXP((T0-t)*PertePVj)+'2020'!Pspv,1-EXP((T0-t)*PertePVj)+Pspv)</f>
        <v>2.5976967746909274E-2</v>
      </c>
      <c r="M262" s="872"/>
      <c r="N262" s="872"/>
      <c r="O262" s="48">
        <f>IF(t&lt;Tnet,'2020'!Resal+('2020'!Salim-'2020'!Resal)*(1-EXP(('2020'!Tnet-t)/('2020'!Tau_j))),Resal+(Salim-Resal)*(1-EXP((Tnet-t)/(Tau_j))))*Salcycl</f>
        <v>7.537012715193693E-2</v>
      </c>
      <c r="P262" s="171">
        <f>(INDEX(Models!$BJ262:$BT262,,T262)*(1-R262)+INDEX(Models!$BJ262:$BT262,,T262+1)*R262-ERP_i)*Q262*Ramure*Pc/MaxiM</f>
        <v>5.7644301018061495E-3</v>
      </c>
      <c r="Q262" s="307">
        <f t="shared" si="77"/>
        <v>0.9</v>
      </c>
      <c r="R262" s="179">
        <f t="shared" si="78"/>
        <v>0.88381877696132594</v>
      </c>
      <c r="S262" s="839">
        <f t="shared" si="79"/>
        <v>-1</v>
      </c>
      <c r="T262" s="178">
        <f t="shared" si="80"/>
        <v>5</v>
      </c>
      <c r="U262" s="253">
        <f t="shared" si="81"/>
        <v>-0.11618122303867406</v>
      </c>
      <c r="V262" s="385">
        <f t="shared" si="82"/>
        <v>45.207105990076919</v>
      </c>
      <c r="W262" s="404"/>
      <c r="X262" s="157">
        <f t="shared" si="83"/>
        <v>44444</v>
      </c>
      <c r="Y262" s="387">
        <f t="shared" si="84"/>
        <v>36.12249115963423</v>
      </c>
      <c r="Z262" s="387">
        <f t="shared" si="85"/>
        <v>37.085869598048831</v>
      </c>
      <c r="AA262" s="388">
        <f t="shared" si="86"/>
        <v>43.613734510740237</v>
      </c>
      <c r="AB262" s="199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0.14967452308134419</v>
      </c>
      <c r="AD262" s="233">
        <f>(INDEX(Models!$BJ262:$BT262,,AH262)*(1-AF262)+INDEX(Models!$BJ262:$BT262,,AH262+1)*AF262-ERP_i)*AE262*Ramure*Pc/MaxiM</f>
        <v>5.7644301018061495E-3</v>
      </c>
      <c r="AE262" s="307">
        <f t="shared" si="88"/>
        <v>0.9</v>
      </c>
      <c r="AF262" s="179">
        <f t="shared" si="89"/>
        <v>0.88381877696132594</v>
      </c>
      <c r="AG262" s="839">
        <f t="shared" si="95"/>
        <v>-1</v>
      </c>
      <c r="AH262" s="178">
        <f t="shared" si="90"/>
        <v>5</v>
      </c>
      <c r="AI262" s="227">
        <f t="shared" si="91"/>
        <v>-0.11618122303867406</v>
      </c>
      <c r="AJ262" s="267" t="b">
        <f t="shared" si="92"/>
        <v>0</v>
      </c>
      <c r="AK262" s="267" t="b">
        <f t="shared" si="93"/>
        <v>0</v>
      </c>
      <c r="AL262" s="267"/>
      <c r="AM262" s="267"/>
      <c r="AN262" s="75"/>
    </row>
    <row r="263" spans="1:40" s="6" customFormat="1" ht="11.25" x14ac:dyDescent="0.2">
      <c r="A263" s="56">
        <f t="shared" si="94"/>
        <v>44445</v>
      </c>
      <c r="B263" s="620">
        <v>42.808999999999997</v>
      </c>
      <c r="C263" s="392"/>
      <c r="D263" s="395">
        <f t="shared" si="74"/>
        <v>43.951728895082603</v>
      </c>
      <c r="E263" s="387">
        <f t="shared" si="96"/>
        <v>47.548616027235603</v>
      </c>
      <c r="F263" s="387">
        <f t="shared" si="75"/>
        <v>47.812072470645866</v>
      </c>
      <c r="G263" s="110">
        <f t="shared" si="97"/>
        <v>0.9539916533850723</v>
      </c>
      <c r="H263" s="416" t="b">
        <f>Wh_hp&gt;='2020'!Maxi_hp</f>
        <v>0</v>
      </c>
      <c r="I263" s="382">
        <f>IF(H263,Wh_hp,'2020'!Maxi_hp)</f>
        <v>51.846079488865243</v>
      </c>
      <c r="J263" s="85">
        <f>IF(H263,An,'2020'!An_max)</f>
        <v>2019</v>
      </c>
      <c r="K263" s="199">
        <f t="shared" si="76"/>
        <v>44445</v>
      </c>
      <c r="L263" s="147">
        <f>IF(t&lt;Tvie,1-EXP((T0-t)*PertePVj)+'2020'!Pspv,1-EXP((T0-t)*PertePVj)+Pspv)</f>
        <v>2.599963468582589E-2</v>
      </c>
      <c r="M263" s="872"/>
      <c r="N263" s="872"/>
      <c r="O263" s="48">
        <f>IF(t&lt;Tnet,'2020'!Resal+('2020'!Salim-'2020'!Resal)*(1-EXP(('2020'!Tnet-t)/('2020'!Tau_j))),Resal+(Salim-Resal)*(1-EXP((Tnet-t)/(Tau_j))))*Salcycl</f>
        <v>7.5646515770148276E-2</v>
      </c>
      <c r="P263" s="171">
        <f>(INDEX(Models!$BJ263:$BT263,,T263)*(1-R263)+INDEX(Models!$BJ263:$BT263,,T263+1)*R263-ERP_i)*Q263*Ramure*Pc/MaxiM</f>
        <v>5.8945715216998764E-3</v>
      </c>
      <c r="Q263" s="307">
        <f t="shared" si="77"/>
        <v>0.9</v>
      </c>
      <c r="R263" s="179">
        <f t="shared" si="78"/>
        <v>0.88446102172233876</v>
      </c>
      <c r="S263" s="839">
        <f t="shared" si="79"/>
        <v>-1</v>
      </c>
      <c r="T263" s="178">
        <f t="shared" si="80"/>
        <v>5</v>
      </c>
      <c r="U263" s="253">
        <f t="shared" si="81"/>
        <v>-0.11553897827766124</v>
      </c>
      <c r="V263" s="385">
        <f t="shared" si="82"/>
        <v>44.856216763375301</v>
      </c>
      <c r="W263" s="404"/>
      <c r="X263" s="157">
        <f t="shared" si="83"/>
        <v>44445</v>
      </c>
      <c r="Y263" s="387">
        <f t="shared" si="84"/>
        <v>39.377818983846595</v>
      </c>
      <c r="Z263" s="387">
        <f t="shared" si="85"/>
        <v>40.428957099153514</v>
      </c>
      <c r="AA263" s="388">
        <f t="shared" si="86"/>
        <v>47.548616027235603</v>
      </c>
      <c r="AB263" s="199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0.14973430402272866</v>
      </c>
      <c r="AD263" s="233">
        <f>(INDEX(Models!$BJ263:$BT263,,AH263)*(1-AF263)+INDEX(Models!$BJ263:$BT263,,AH263+1)*AF263-ERP_i)*AE263*Ramure*Pc/MaxiM</f>
        <v>5.8945715216998764E-3</v>
      </c>
      <c r="AE263" s="307">
        <f t="shared" si="88"/>
        <v>0.9</v>
      </c>
      <c r="AF263" s="179">
        <f t="shared" si="89"/>
        <v>0.88446102172233876</v>
      </c>
      <c r="AG263" s="839">
        <f t="shared" si="95"/>
        <v>-1</v>
      </c>
      <c r="AH263" s="178">
        <f t="shared" si="90"/>
        <v>5</v>
      </c>
      <c r="AI263" s="227">
        <f t="shared" si="91"/>
        <v>-0.11553897827766124</v>
      </c>
      <c r="AJ263" s="267" t="b">
        <f t="shared" si="92"/>
        <v>0</v>
      </c>
      <c r="AK263" s="267" t="b">
        <f t="shared" si="93"/>
        <v>0</v>
      </c>
      <c r="AL263" s="267"/>
      <c r="AM263" s="267"/>
      <c r="AN263" s="75"/>
    </row>
    <row r="264" spans="1:40" s="6" customFormat="1" ht="11.25" x14ac:dyDescent="0.2">
      <c r="A264" s="56">
        <f t="shared" si="94"/>
        <v>44446</v>
      </c>
      <c r="B264" s="620">
        <v>33.24</v>
      </c>
      <c r="C264" s="392"/>
      <c r="D264" s="395">
        <f t="shared" si="74"/>
        <v>34.128091472163106</v>
      </c>
      <c r="E264" s="387">
        <f t="shared" si="96"/>
        <v>36.932022073866548</v>
      </c>
      <c r="F264" s="387">
        <f t="shared" si="75"/>
        <v>37.074604358263208</v>
      </c>
      <c r="G264" s="110">
        <f t="shared" si="97"/>
        <v>0.74535265754587077</v>
      </c>
      <c r="H264" s="416" t="b">
        <f>Wh_hp&gt;='2020'!Maxi_hp</f>
        <v>0</v>
      </c>
      <c r="I264" s="382">
        <f>IF(H264,Wh_hp,'2020'!Maxi_hp)</f>
        <v>50.605106354797776</v>
      </c>
      <c r="J264" s="85">
        <f>IF(H264,An,'2020'!An_max)</f>
        <v>2019</v>
      </c>
      <c r="K264" s="199">
        <f t="shared" si="76"/>
        <v>44446</v>
      </c>
      <c r="L264" s="147">
        <f>IF(t&lt;Tvie,1-EXP((T0-t)*PertePVj)+'2020'!Pspv,1-EXP((T0-t)*PertePVj)+Pspv)</f>
        <v>2.6022301097249678E-2</v>
      </c>
      <c r="M264" s="872"/>
      <c r="N264" s="872"/>
      <c r="O264" s="48">
        <f>IF(t&lt;Tnet,'2020'!Resal+('2020'!Salim-'2020'!Resal)*(1-EXP(('2020'!Tnet-t)/('2020'!Tau_j))),Resal+(Salim-Resal)*(1-EXP((Tnet-t)/(Tau_j))))*Salcycl</f>
        <v>7.5921394070852424E-2</v>
      </c>
      <c r="P264" s="171">
        <f>(INDEX(Models!$BJ264:$BT264,,T264)*(1-R264)+INDEX(Models!$BJ264:$BT264,,T264+1)*R264-ERP_i)*Q264*Ramure*Pc/MaxiM</f>
        <v>6.0227394382421249E-3</v>
      </c>
      <c r="Q264" s="307">
        <f t="shared" si="77"/>
        <v>0.9</v>
      </c>
      <c r="R264" s="179">
        <f t="shared" si="78"/>
        <v>0.88507873567649409</v>
      </c>
      <c r="S264" s="839">
        <f t="shared" si="79"/>
        <v>-1</v>
      </c>
      <c r="T264" s="178">
        <f t="shared" si="80"/>
        <v>5</v>
      </c>
      <c r="U264" s="253">
        <f t="shared" si="81"/>
        <v>-0.11492126432350591</v>
      </c>
      <c r="V264" s="385">
        <f t="shared" si="82"/>
        <v>44.498881874986409</v>
      </c>
      <c r="W264" s="404"/>
      <c r="X264" s="157">
        <f t="shared" si="83"/>
        <v>44446</v>
      </c>
      <c r="Y264" s="387">
        <f t="shared" si="84"/>
        <v>30.582781112296235</v>
      </c>
      <c r="Z264" s="387">
        <f t="shared" si="85"/>
        <v>31.399878197159691</v>
      </c>
      <c r="AA264" s="388">
        <f t="shared" si="86"/>
        <v>36.932022073866548</v>
      </c>
      <c r="AB264" s="199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0.14979260722963389</v>
      </c>
      <c r="AD264" s="233">
        <f>(INDEX(Models!$BJ264:$BT264,,AH264)*(1-AF264)+INDEX(Models!$BJ264:$BT264,,AH264+1)*AF264-ERP_i)*AE264*Ramure*Pc/MaxiM</f>
        <v>6.0227394382421249E-3</v>
      </c>
      <c r="AE264" s="307">
        <f t="shared" si="88"/>
        <v>0.9</v>
      </c>
      <c r="AF264" s="179">
        <f t="shared" si="89"/>
        <v>0.88507873567649409</v>
      </c>
      <c r="AG264" s="839">
        <f t="shared" si="95"/>
        <v>-1</v>
      </c>
      <c r="AH264" s="178">
        <f t="shared" si="90"/>
        <v>5</v>
      </c>
      <c r="AI264" s="227">
        <f t="shared" si="91"/>
        <v>-0.11492126432350591</v>
      </c>
      <c r="AJ264" s="267" t="b">
        <f t="shared" si="92"/>
        <v>0</v>
      </c>
      <c r="AK264" s="267" t="b">
        <f t="shared" si="93"/>
        <v>0</v>
      </c>
      <c r="AL264" s="267"/>
      <c r="AM264" s="267"/>
      <c r="AN264" s="75"/>
    </row>
    <row r="265" spans="1:40" s="6" customFormat="1" ht="11.25" x14ac:dyDescent="0.2">
      <c r="A265" s="56">
        <f t="shared" si="94"/>
        <v>44447</v>
      </c>
      <c r="B265" s="620">
        <v>28.942</v>
      </c>
      <c r="C265" s="392"/>
      <c r="D265" s="395">
        <f t="shared" si="74"/>
        <v>29.715950961609877</v>
      </c>
      <c r="E265" s="387">
        <f t="shared" si="96"/>
        <v>32.166899283607954</v>
      </c>
      <c r="F265" s="387">
        <f t="shared" si="75"/>
        <v>32.26773468624765</v>
      </c>
      <c r="G265" s="110">
        <f t="shared" si="97"/>
        <v>0.65376249876542347</v>
      </c>
      <c r="H265" s="416" t="b">
        <f>Wh_hp&gt;='2020'!Maxi_hp</f>
        <v>0</v>
      </c>
      <c r="I265" s="382">
        <f>IF(H265,Wh_hp,'2020'!Maxi_hp)</f>
        <v>44.460234506845794</v>
      </c>
      <c r="J265" s="85">
        <f>IF(H265,An,'2020'!An_max)</f>
        <v>2019</v>
      </c>
      <c r="K265" s="199">
        <f t="shared" si="76"/>
        <v>44447</v>
      </c>
      <c r="L265" s="147">
        <f>IF(t&lt;Tvie,1-EXP((T0-t)*PertePVj)+'2020'!Pspv,1-EXP((T0-t)*PertePVj)+Pspv)</f>
        <v>2.6044966981192963E-2</v>
      </c>
      <c r="M265" s="872"/>
      <c r="N265" s="872"/>
      <c r="O265" s="48">
        <f>IF(t&lt;Tnet,'2020'!Resal+('2020'!Salim-'2020'!Resal)*(1-EXP(('2020'!Tnet-t)/('2020'!Tau_j))),Resal+(Salim-Resal)*(1-EXP((Tnet-t)/(Tau_j))))*Salcycl</f>
        <v>7.6194733610741999E-2</v>
      </c>
      <c r="P265" s="171">
        <f>(INDEX(Models!$BJ265:$BT265,,T265)*(1-R265)+INDEX(Models!$BJ265:$BT265,,T265+1)*R265-ERP_i)*Q265*Ramure*Pc/MaxiM</f>
        <v>6.1488751402230856E-3</v>
      </c>
      <c r="Q265" s="307">
        <f t="shared" si="77"/>
        <v>0.9</v>
      </c>
      <c r="R265" s="179">
        <f t="shared" si="78"/>
        <v>0.88567280561011652</v>
      </c>
      <c r="S265" s="839">
        <f t="shared" si="79"/>
        <v>-1</v>
      </c>
      <c r="T265" s="178">
        <f t="shared" si="80"/>
        <v>5</v>
      </c>
      <c r="U265" s="253">
        <f t="shared" si="81"/>
        <v>-0.11432719438988348</v>
      </c>
      <c r="V265" s="385">
        <f t="shared" si="82"/>
        <v>44.135611287878419</v>
      </c>
      <c r="W265" s="404"/>
      <c r="X265" s="157">
        <f t="shared" si="83"/>
        <v>44447</v>
      </c>
      <c r="Y265" s="387">
        <f t="shared" si="84"/>
        <v>26.634465099080135</v>
      </c>
      <c r="Z265" s="387">
        <f t="shared" si="85"/>
        <v>27.346709238234229</v>
      </c>
      <c r="AA265" s="388">
        <f t="shared" si="86"/>
        <v>32.166899283607954</v>
      </c>
      <c r="AB265" s="199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0.14984938407880863</v>
      </c>
      <c r="AD265" s="233">
        <f>(INDEX(Models!$BJ265:$BT265,,AH265)*(1-AF265)+INDEX(Models!$BJ265:$BT265,,AH265+1)*AF265-ERP_i)*AE265*Ramure*Pc/MaxiM</f>
        <v>6.1488751402230856E-3</v>
      </c>
      <c r="AE265" s="307">
        <f t="shared" si="88"/>
        <v>0.9</v>
      </c>
      <c r="AF265" s="179">
        <f t="shared" si="89"/>
        <v>0.88567280561011652</v>
      </c>
      <c r="AG265" s="839">
        <f t="shared" si="95"/>
        <v>-1</v>
      </c>
      <c r="AH265" s="178">
        <f t="shared" si="90"/>
        <v>5</v>
      </c>
      <c r="AI265" s="227">
        <f t="shared" si="91"/>
        <v>-0.11432719438988348</v>
      </c>
      <c r="AJ265" s="267" t="b">
        <f t="shared" si="92"/>
        <v>0</v>
      </c>
      <c r="AK265" s="267" t="b">
        <f t="shared" si="93"/>
        <v>0</v>
      </c>
      <c r="AL265" s="267"/>
      <c r="AM265" s="267"/>
      <c r="AN265" s="75"/>
    </row>
    <row r="266" spans="1:40" s="6" customFormat="1" ht="11.25" x14ac:dyDescent="0.2">
      <c r="A266" s="56">
        <f t="shared" si="94"/>
        <v>44448</v>
      </c>
      <c r="B266" s="620">
        <v>17.519000000000002</v>
      </c>
      <c r="C266" s="392"/>
      <c r="D266" s="395">
        <f t="shared" si="74"/>
        <v>17.987902016286558</v>
      </c>
      <c r="E266" s="387">
        <f t="shared" si="96"/>
        <v>19.477260008614348</v>
      </c>
      <c r="F266" s="387">
        <f t="shared" si="75"/>
        <v>19.494778700629595</v>
      </c>
      <c r="G266" s="110">
        <f t="shared" si="97"/>
        <v>0.39812638550916352</v>
      </c>
      <c r="H266" s="416" t="b">
        <f>Wh_hp&gt;='2020'!Maxi_hp</f>
        <v>0</v>
      </c>
      <c r="I266" s="382">
        <f>IF(H266,Wh_hp,'2020'!Maxi_hp)</f>
        <v>45.722632872468637</v>
      </c>
      <c r="J266" s="85">
        <f>IF(H266,An,'2020'!An_max)</f>
        <v>2020</v>
      </c>
      <c r="K266" s="199">
        <f t="shared" si="76"/>
        <v>44448</v>
      </c>
      <c r="L266" s="147">
        <f>IF(t&lt;Tvie,1-EXP((T0-t)*PertePVj)+'2020'!Pspv,1-EXP((T0-t)*PertePVj)+Pspv)</f>
        <v>2.6067632337668067E-2</v>
      </c>
      <c r="M266" s="872"/>
      <c r="N266" s="872"/>
      <c r="O266" s="48">
        <f>IF(t&lt;Tnet,'2020'!Resal+('2020'!Salim-'2020'!Resal)*(1-EXP(('2020'!Tnet-t)/('2020'!Tau_j))),Resal+(Salim-Resal)*(1-EXP((Tnet-t)/(Tau_j))))*Salcycl</f>
        <v>7.646650461456489E-2</v>
      </c>
      <c r="P266" s="171">
        <f>(INDEX(Models!$BJ266:$BT266,,T266)*(1-R266)+INDEX(Models!$BJ266:$BT266,,T266+1)*R266-ERP_i)*Q266*Ramure*Pc/MaxiM</f>
        <v>6.2729107074975411E-3</v>
      </c>
      <c r="Q266" s="307">
        <f t="shared" si="77"/>
        <v>0.9</v>
      </c>
      <c r="R266" s="179">
        <f t="shared" si="78"/>
        <v>0.88624409013055738</v>
      </c>
      <c r="S266" s="839">
        <f t="shared" si="79"/>
        <v>-1</v>
      </c>
      <c r="T266" s="178">
        <f t="shared" si="80"/>
        <v>5</v>
      </c>
      <c r="U266" s="253">
        <f t="shared" si="81"/>
        <v>-0.11375590986944262</v>
      </c>
      <c r="V266" s="385">
        <f t="shared" si="82"/>
        <v>43.766914264333145</v>
      </c>
      <c r="W266" s="404"/>
      <c r="X266" s="157">
        <f t="shared" si="83"/>
        <v>44448</v>
      </c>
      <c r="Y266" s="387">
        <f t="shared" si="84"/>
        <v>16.12591386157699</v>
      </c>
      <c r="Z266" s="387">
        <f t="shared" si="85"/>
        <v>16.557529451745193</v>
      </c>
      <c r="AA266" s="388">
        <f t="shared" si="86"/>
        <v>19.477260008614348</v>
      </c>
      <c r="AB266" s="199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0.14990458388797115</v>
      </c>
      <c r="AD266" s="233">
        <f>(INDEX(Models!$BJ266:$BT266,,AH266)*(1-AF266)+INDEX(Models!$BJ266:$BT266,,AH266+1)*AF266-ERP_i)*AE266*Ramure*Pc/MaxiM</f>
        <v>6.2729107074975411E-3</v>
      </c>
      <c r="AE266" s="307">
        <f t="shared" si="88"/>
        <v>0.9</v>
      </c>
      <c r="AF266" s="179">
        <f t="shared" si="89"/>
        <v>0.88624409013055738</v>
      </c>
      <c r="AG266" s="839">
        <f t="shared" si="95"/>
        <v>-1</v>
      </c>
      <c r="AH266" s="178">
        <f t="shared" si="90"/>
        <v>5</v>
      </c>
      <c r="AI266" s="227">
        <f t="shared" si="91"/>
        <v>-0.11375590986944262</v>
      </c>
      <c r="AJ266" s="267" t="b">
        <f t="shared" si="92"/>
        <v>0</v>
      </c>
      <c r="AK266" s="267" t="b">
        <f t="shared" si="93"/>
        <v>0</v>
      </c>
      <c r="AL266" s="267"/>
      <c r="AM266" s="267"/>
      <c r="AN266" s="75"/>
    </row>
    <row r="267" spans="1:40" s="6" customFormat="1" ht="11.25" x14ac:dyDescent="0.2">
      <c r="A267" s="56">
        <f t="shared" si="94"/>
        <v>44449</v>
      </c>
      <c r="B267" s="620">
        <v>36.542000000000002</v>
      </c>
      <c r="C267" s="392"/>
      <c r="D267" s="395">
        <f t="shared" si="74"/>
        <v>37.520932272973013</v>
      </c>
      <c r="E267" s="387">
        <f t="shared" si="96"/>
        <v>40.639470121935688</v>
      </c>
      <c r="F267" s="387">
        <f t="shared" si="75"/>
        <v>40.841734623800875</v>
      </c>
      <c r="G267" s="110">
        <f t="shared" si="97"/>
        <v>0.84089089931985039</v>
      </c>
      <c r="H267" s="416" t="b">
        <f>Wh_hp&gt;='2020'!Maxi_hp</f>
        <v>1</v>
      </c>
      <c r="I267" s="382">
        <f>IF(H267,Wh_hp,'2020'!Maxi_hp)</f>
        <v>40.841734623800875</v>
      </c>
      <c r="J267" s="85">
        <f>IF(H267,An,'2020'!An_max)</f>
        <v>2021</v>
      </c>
      <c r="K267" s="199">
        <f t="shared" si="76"/>
        <v>44449</v>
      </c>
      <c r="L267" s="147">
        <f>IF(t&lt;Tvie,1-EXP((T0-t)*PertePVj)+'2020'!Pspv,1-EXP((T0-t)*PertePVj)+Pspv)</f>
        <v>2.6090297166687204E-2</v>
      </c>
      <c r="M267" s="872"/>
      <c r="N267" s="872"/>
      <c r="O267" s="48">
        <f>IF(t&lt;Tnet,'2020'!Resal+('2020'!Salim-'2020'!Resal)*(1-EXP(('2020'!Tnet-t)/('2020'!Tau_j))),Resal+(Salim-Resal)*(1-EXP((Tnet-t)/(Tau_j))))*Salcycl</f>
        <v>7.673667593612167E-2</v>
      </c>
      <c r="P267" s="171">
        <f>(INDEX(Models!$BJ267:$BT267,,T267)*(1-R267)+INDEX(Models!$BJ267:$BT267,,T267+1)*R267-ERP_i)*Q267*Ramure*Pc/MaxiM</f>
        <v>6.3947687514477021E-3</v>
      </c>
      <c r="Q267" s="307">
        <f t="shared" si="77"/>
        <v>0.9</v>
      </c>
      <c r="R267" s="179">
        <f t="shared" si="78"/>
        <v>0.88679342025537522</v>
      </c>
      <c r="S267" s="839">
        <f t="shared" si="79"/>
        <v>-1</v>
      </c>
      <c r="T267" s="178">
        <f t="shared" si="80"/>
        <v>5</v>
      </c>
      <c r="U267" s="253">
        <f t="shared" si="81"/>
        <v>-0.11320657974462478</v>
      </c>
      <c r="V267" s="385">
        <f t="shared" si="82"/>
        <v>43.393299381791316</v>
      </c>
      <c r="W267" s="404"/>
      <c r="X267" s="157">
        <f t="shared" si="83"/>
        <v>44449</v>
      </c>
      <c r="Y267" s="387">
        <f t="shared" si="84"/>
        <v>33.643954364694785</v>
      </c>
      <c r="Z267" s="387">
        <f t="shared" si="85"/>
        <v>34.545250208327616</v>
      </c>
      <c r="AA267" s="388">
        <f t="shared" si="86"/>
        <v>40.639470121935688</v>
      </c>
      <c r="AB267" s="199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0.14995815386674141</v>
      </c>
      <c r="AD267" s="233">
        <f>(INDEX(Models!$BJ267:$BT267,,AH267)*(1-AF267)+INDEX(Models!$BJ267:$BT267,,AH267+1)*AF267-ERP_i)*AE267*Ramure*Pc/MaxiM</f>
        <v>6.3947687514477021E-3</v>
      </c>
      <c r="AE267" s="307">
        <f t="shared" si="88"/>
        <v>0.9</v>
      </c>
      <c r="AF267" s="179">
        <f t="shared" si="89"/>
        <v>0.88679342025537522</v>
      </c>
      <c r="AG267" s="839">
        <f t="shared" si="95"/>
        <v>-1</v>
      </c>
      <c r="AH267" s="178">
        <f t="shared" si="90"/>
        <v>5</v>
      </c>
      <c r="AI267" s="227">
        <f t="shared" si="91"/>
        <v>-0.11320657974462478</v>
      </c>
      <c r="AJ267" s="267" t="b">
        <f t="shared" si="92"/>
        <v>0</v>
      </c>
      <c r="AK267" s="267" t="b">
        <f t="shared" si="93"/>
        <v>0</v>
      </c>
      <c r="AL267" s="267"/>
      <c r="AM267" s="267"/>
      <c r="AN267" s="75"/>
    </row>
    <row r="268" spans="1:40" s="6" customFormat="1" ht="11.25" x14ac:dyDescent="0.2">
      <c r="A268" s="56">
        <f t="shared" si="94"/>
        <v>44450</v>
      </c>
      <c r="B268" s="620">
        <v>36.712000000000003</v>
      </c>
      <c r="C268" s="392"/>
      <c r="D268" s="395">
        <f t="shared" si="74"/>
        <v>37.696363692598439</v>
      </c>
      <c r="E268" s="387">
        <f t="shared" si="96"/>
        <v>40.841361518409748</v>
      </c>
      <c r="F268" s="387">
        <f t="shared" si="75"/>
        <v>41.052738053568426</v>
      </c>
      <c r="G268" s="110">
        <f t="shared" si="97"/>
        <v>0.85229287011685007</v>
      </c>
      <c r="H268" s="416" t="b">
        <f>Wh_hp&gt;='2020'!Maxi_hp</f>
        <v>0</v>
      </c>
      <c r="I268" s="382">
        <f>IF(H268,Wh_hp,'2020'!Maxi_hp)</f>
        <v>41.500569864252512</v>
      </c>
      <c r="J268" s="85">
        <f>IF(H268,An,'2020'!An_max)</f>
        <v>2019</v>
      </c>
      <c r="K268" s="199">
        <f t="shared" si="76"/>
        <v>44450</v>
      </c>
      <c r="L268" s="147">
        <f>IF(t&lt;Tvie,1-EXP((T0-t)*PertePVj)+'2020'!Pspv,1-EXP((T0-t)*PertePVj)+Pspv)</f>
        <v>2.6112961468262585E-2</v>
      </c>
      <c r="M268" s="872"/>
      <c r="N268" s="872"/>
      <c r="O268" s="48">
        <f>IF(t&lt;Tnet,'2020'!Resal+('2020'!Salim-'2020'!Resal)*(1-EXP(('2020'!Tnet-t)/('2020'!Tau_j))),Resal+(Salim-Resal)*(1-EXP((Tnet-t)/(Tau_j))))*Salcycl</f>
        <v>7.7005215029221308E-2</v>
      </c>
      <c r="P268" s="171">
        <f>(INDEX(Models!$BJ268:$BT268,,T268)*(1-R268)+INDEX(Models!$BJ268:$BT268,,T268+1)*R268-ERP_i)*Q268*Ramure*Pc/MaxiM</f>
        <v>6.5121528322653202E-3</v>
      </c>
      <c r="Q268" s="307">
        <f t="shared" si="77"/>
        <v>0.9</v>
      </c>
      <c r="R268" s="179">
        <f t="shared" si="78"/>
        <v>0.8873216000155163</v>
      </c>
      <c r="S268" s="839">
        <f t="shared" si="79"/>
        <v>-1</v>
      </c>
      <c r="T268" s="178">
        <f t="shared" si="80"/>
        <v>5</v>
      </c>
      <c r="U268" s="253">
        <f t="shared" si="81"/>
        <v>-0.1126783999844837</v>
      </c>
      <c r="V268" s="385">
        <f t="shared" si="82"/>
        <v>43.015370192250707</v>
      </c>
      <c r="W268" s="404"/>
      <c r="X268" s="157">
        <f t="shared" si="83"/>
        <v>44450</v>
      </c>
      <c r="Y268" s="387">
        <f t="shared" si="84"/>
        <v>33.808242422523428</v>
      </c>
      <c r="Z268" s="387">
        <f t="shared" si="85"/>
        <v>34.714747280643344</v>
      </c>
      <c r="AA268" s="388">
        <f t="shared" si="86"/>
        <v>40.841361518409748</v>
      </c>
      <c r="AB268" s="199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0.15001003908757443</v>
      </c>
      <c r="AD268" s="233">
        <f>(INDEX(Models!$BJ268:$BT268,,AH268)*(1-AF268)+INDEX(Models!$BJ268:$BT268,,AH268+1)*AF268-ERP_i)*AE268*Ramure*Pc/MaxiM</f>
        <v>6.5121528322653202E-3</v>
      </c>
      <c r="AE268" s="307">
        <f t="shared" si="88"/>
        <v>0.9</v>
      </c>
      <c r="AF268" s="179">
        <f t="shared" si="89"/>
        <v>0.8873216000155163</v>
      </c>
      <c r="AG268" s="839">
        <f t="shared" si="95"/>
        <v>-1</v>
      </c>
      <c r="AH268" s="178">
        <f t="shared" si="90"/>
        <v>5</v>
      </c>
      <c r="AI268" s="227">
        <f t="shared" si="91"/>
        <v>-0.1126783999844837</v>
      </c>
      <c r="AJ268" s="267" t="b">
        <f t="shared" si="92"/>
        <v>0</v>
      </c>
      <c r="AK268" s="267" t="b">
        <f t="shared" si="93"/>
        <v>0</v>
      </c>
      <c r="AL268" s="267"/>
      <c r="AM268" s="267"/>
      <c r="AN268" s="75"/>
    </row>
    <row r="269" spans="1:40" s="6" customFormat="1" ht="11.25" x14ac:dyDescent="0.2">
      <c r="A269" s="56">
        <f t="shared" si="94"/>
        <v>44451</v>
      </c>
      <c r="B269" s="620">
        <v>40.073999999999998</v>
      </c>
      <c r="C269" s="392"/>
      <c r="D269" s="395">
        <f t="shared" si="74"/>
        <v>41.149467049736678</v>
      </c>
      <c r="E269" s="387">
        <f t="shared" si="96"/>
        <v>44.595450632289023</v>
      </c>
      <c r="F269" s="387">
        <f t="shared" si="75"/>
        <v>44.867322208797788</v>
      </c>
      <c r="G269" s="110">
        <f t="shared" si="97"/>
        <v>0.93942735581943726</v>
      </c>
      <c r="H269" s="416" t="b">
        <f>Wh_hp&gt;='2020'!Maxi_hp</f>
        <v>0</v>
      </c>
      <c r="I269" s="382">
        <f>IF(H269,Wh_hp,'2020'!Maxi_hp)</f>
        <v>47.211932330727613</v>
      </c>
      <c r="J269" s="85">
        <f>IF(H269,An,'2020'!An_max)</f>
        <v>2019</v>
      </c>
      <c r="K269" s="199">
        <f t="shared" si="76"/>
        <v>44451</v>
      </c>
      <c r="L269" s="147">
        <f>IF(t&lt;Tvie,1-EXP((T0-t)*PertePVj)+'2020'!Pspv,1-EXP((T0-t)*PertePVj)+Pspv)</f>
        <v>2.6135625242406646E-2</v>
      </c>
      <c r="M269" s="872"/>
      <c r="N269" s="872"/>
      <c r="O269" s="48">
        <f>IF(t&lt;Tnet,'2020'!Resal+('2020'!Salim-'2020'!Resal)*(1-EXP(('2020'!Tnet-t)/('2020'!Tau_j))),Resal+(Salim-Resal)*(1-EXP((Tnet-t)/(Tau_j))))*Salcycl</f>
        <v>7.7272087930361777E-2</v>
      </c>
      <c r="P269" s="171">
        <f>(INDEX(Models!$BJ269:$BT269,,T269)*(1-R269)+INDEX(Models!$BJ269:$BT269,,T269+1)*R269-ERP_i)*Q269*Ramure*Pc/MaxiM</f>
        <v>6.6278935333525749E-3</v>
      </c>
      <c r="Q269" s="307">
        <f t="shared" si="77"/>
        <v>0.9</v>
      </c>
      <c r="R269" s="179">
        <f t="shared" si="78"/>
        <v>0.88782940706952951</v>
      </c>
      <c r="S269" s="839">
        <f t="shared" si="79"/>
        <v>-1</v>
      </c>
      <c r="T269" s="178">
        <f t="shared" si="80"/>
        <v>5</v>
      </c>
      <c r="U269" s="253">
        <f t="shared" si="81"/>
        <v>-0.11217059293047049</v>
      </c>
      <c r="V269" s="385">
        <f t="shared" si="82"/>
        <v>42.633505745242047</v>
      </c>
      <c r="W269" s="404"/>
      <c r="X269" s="157">
        <f t="shared" si="83"/>
        <v>44451</v>
      </c>
      <c r="Y269" s="387">
        <f t="shared" si="84"/>
        <v>36.912818829673462</v>
      </c>
      <c r="Z269" s="387">
        <f t="shared" si="85"/>
        <v>37.903449172644301</v>
      </c>
      <c r="AA269" s="388">
        <f t="shared" si="86"/>
        <v>44.595450632289023</v>
      </c>
      <c r="AB269" s="199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0.15006018247967709</v>
      </c>
      <c r="AD269" s="233">
        <f>(INDEX(Models!$BJ269:$BT269,,AH269)*(1-AF269)+INDEX(Models!$BJ269:$BT269,,AH269+1)*AF269-ERP_i)*AE269*Ramure*Pc/MaxiM</f>
        <v>6.6278935333525749E-3</v>
      </c>
      <c r="AE269" s="307">
        <f t="shared" si="88"/>
        <v>0.9</v>
      </c>
      <c r="AF269" s="179">
        <f t="shared" si="89"/>
        <v>0.88782940706952951</v>
      </c>
      <c r="AG269" s="839">
        <f t="shared" si="95"/>
        <v>-1</v>
      </c>
      <c r="AH269" s="178">
        <f t="shared" si="90"/>
        <v>5</v>
      </c>
      <c r="AI269" s="227">
        <f t="shared" si="91"/>
        <v>-0.11217059293047049</v>
      </c>
      <c r="AJ269" s="267" t="b">
        <f t="shared" si="92"/>
        <v>0</v>
      </c>
      <c r="AK269" s="267" t="b">
        <f t="shared" si="93"/>
        <v>0</v>
      </c>
      <c r="AL269" s="267"/>
      <c r="AM269" s="267"/>
      <c r="AN269" s="75"/>
    </row>
    <row r="270" spans="1:40" s="6" customFormat="1" ht="11.25" x14ac:dyDescent="0.2">
      <c r="A270" s="56">
        <f t="shared" si="94"/>
        <v>44452</v>
      </c>
      <c r="B270" s="620">
        <v>28.632000000000001</v>
      </c>
      <c r="C270" s="392"/>
      <c r="D270" s="395">
        <f t="shared" si="74"/>
        <v>29.401081984441632</v>
      </c>
      <c r="E270" s="387">
        <f t="shared" si="96"/>
        <v>31.872378889462201</v>
      </c>
      <c r="F270" s="387">
        <f t="shared" si="75"/>
        <v>31.988748411003183</v>
      </c>
      <c r="G270" s="110">
        <f t="shared" si="97"/>
        <v>0.67559780308862327</v>
      </c>
      <c r="H270" s="416" t="b">
        <f>Wh_hp&gt;='2020'!Maxi_hp</f>
        <v>0</v>
      </c>
      <c r="I270" s="382">
        <f>IF(H270,Wh_hp,'2020'!Maxi_hp)</f>
        <v>44.152198897789638</v>
      </c>
      <c r="J270" s="85">
        <f>IF(H270,An,'2020'!An_max)</f>
        <v>2020</v>
      </c>
      <c r="K270" s="199">
        <f t="shared" si="76"/>
        <v>44452</v>
      </c>
      <c r="L270" s="147">
        <f>IF(t&lt;Tvie,1-EXP((T0-t)*PertePVj)+'2020'!Pspv,1-EXP((T0-t)*PertePVj)+Pspv)</f>
        <v>2.6158288489131487E-2</v>
      </c>
      <c r="M270" s="872"/>
      <c r="N270" s="872"/>
      <c r="O270" s="48">
        <f>IF(t&lt;Tnet,'2020'!Resal+('2020'!Salim-'2020'!Resal)*(1-EXP(('2020'!Tnet-t)/('2020'!Tau_j))),Resal+(Salim-Resal)*(1-EXP((Tnet-t)/(Tau_j))))*Salcycl</f>
        <v>7.7537259254835192E-2</v>
      </c>
      <c r="P270" s="171">
        <f>(INDEX(Models!$BJ270:$BT270,,T270)*(1-R270)+INDEX(Models!$BJ270:$BT270,,T270+1)*R270-ERP_i)*Q270*Ramure*Pc/MaxiM</f>
        <v>6.7419036296233774E-3</v>
      </c>
      <c r="Q270" s="307">
        <f t="shared" si="77"/>
        <v>0.9</v>
      </c>
      <c r="R270" s="179">
        <f t="shared" si="78"/>
        <v>0.88831759332609284</v>
      </c>
      <c r="S270" s="839">
        <f t="shared" si="79"/>
        <v>-1</v>
      </c>
      <c r="T270" s="178">
        <f t="shared" si="80"/>
        <v>5</v>
      </c>
      <c r="U270" s="253">
        <f t="shared" si="81"/>
        <v>-0.11168240667390716</v>
      </c>
      <c r="V270" s="385">
        <f t="shared" si="82"/>
        <v>42.248212533849447</v>
      </c>
      <c r="W270" s="404"/>
      <c r="X270" s="157">
        <f t="shared" si="83"/>
        <v>44452</v>
      </c>
      <c r="Y270" s="387">
        <f t="shared" si="84"/>
        <v>26.379485741478295</v>
      </c>
      <c r="Z270" s="387">
        <f t="shared" si="85"/>
        <v>27.088063110946226</v>
      </c>
      <c r="AA270" s="388">
        <f t="shared" si="86"/>
        <v>31.872378889462201</v>
      </c>
      <c r="AB270" s="199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0.15010852484869869</v>
      </c>
      <c r="AD270" s="233">
        <f>(INDEX(Models!$BJ270:$BT270,,AH270)*(1-AF270)+INDEX(Models!$BJ270:$BT270,,AH270+1)*AF270-ERP_i)*AE270*Ramure*Pc/MaxiM</f>
        <v>6.7419036296233774E-3</v>
      </c>
      <c r="AE270" s="307">
        <f t="shared" si="88"/>
        <v>0.9</v>
      </c>
      <c r="AF270" s="179">
        <f t="shared" si="89"/>
        <v>0.88831759332609284</v>
      </c>
      <c r="AG270" s="839">
        <f t="shared" si="95"/>
        <v>-1</v>
      </c>
      <c r="AH270" s="178">
        <f t="shared" si="90"/>
        <v>5</v>
      </c>
      <c r="AI270" s="227">
        <f t="shared" si="91"/>
        <v>-0.11168240667390716</v>
      </c>
      <c r="AJ270" s="267" t="b">
        <f t="shared" si="92"/>
        <v>0</v>
      </c>
      <c r="AK270" s="267" t="b">
        <f t="shared" si="93"/>
        <v>0</v>
      </c>
      <c r="AL270" s="267"/>
      <c r="AM270" s="267"/>
      <c r="AN270" s="75"/>
    </row>
    <row r="271" spans="1:40" s="6" customFormat="1" ht="11.25" x14ac:dyDescent="0.2">
      <c r="A271" s="56">
        <f t="shared" si="94"/>
        <v>44453</v>
      </c>
      <c r="B271" s="620">
        <v>18.204000000000001</v>
      </c>
      <c r="C271" s="392"/>
      <c r="D271" s="395">
        <f t="shared" ref="D271:D334" si="98">Wh/(1-Ppv)</f>
        <v>18.693411288873477</v>
      </c>
      <c r="E271" s="387">
        <f t="shared" si="96"/>
        <v>20.270467707927498</v>
      </c>
      <c r="F271" s="387">
        <f t="shared" ref="F271:F334" si="99">Wh_sa/(1-Pvg*MEDIAN((-Sdif+Wh/Env_an)/Csdif,0,1))</f>
        <v>20.297273646029957</v>
      </c>
      <c r="G271" s="110">
        <f t="shared" si="97"/>
        <v>0.43246865713836885</v>
      </c>
      <c r="H271" s="416" t="b">
        <f>Wh_hp&gt;='2020'!Maxi_hp</f>
        <v>0</v>
      </c>
      <c r="I271" s="382">
        <f>IF(H271,Wh_hp,'2020'!Maxi_hp)</f>
        <v>43.575578607161226</v>
      </c>
      <c r="J271" s="85">
        <f>IF(H271,An,'2020'!An_max)</f>
        <v>2020</v>
      </c>
      <c r="K271" s="199">
        <f t="shared" ref="K271:K334" si="100">t</f>
        <v>44453</v>
      </c>
      <c r="L271" s="147">
        <f>IF(t&lt;Tvie,1-EXP((T0-t)*PertePVj)+'2020'!Pspv,1-EXP((T0-t)*PertePVj)+Pspv)</f>
        <v>2.6180951208449543E-2</v>
      </c>
      <c r="M271" s="872"/>
      <c r="N271" s="872"/>
      <c r="O271" s="48">
        <f>IF(t&lt;Tnet,'2020'!Resal+('2020'!Salim-'2020'!Resal)*(1-EXP(('2020'!Tnet-t)/('2020'!Tau_j))),Resal+(Salim-Resal)*(1-EXP((Tnet-t)/(Tau_j))))*Salcycl</f>
        <v>7.780069220786924E-2</v>
      </c>
      <c r="P271" s="171">
        <f>(INDEX(Models!$BJ271:$BT271,,T271)*(1-R271)+INDEX(Models!$BJ271:$BT271,,T271+1)*R271-ERP_i)*Q271*Ramure*Pc/MaxiM</f>
        <v>6.8540863718684316E-3</v>
      </c>
      <c r="Q271" s="307">
        <f t="shared" ref="Q271:Q334" si="101">IF(OR(t&lt;Ttai,Notai),Dd+PousD*Croivg,Dens+PousD*(Croivg-Croi_tai))</f>
        <v>0.9</v>
      </c>
      <c r="R271" s="179">
        <f t="shared" ref="R271:R334" si="102">(Hp_vg-S271)/(INDEX(Echel_vg,T271+1)-S271)</f>
        <v>0.88878688557237051</v>
      </c>
      <c r="S271" s="839">
        <f t="shared" ref="S271:S334" si="103">INDEX(Echel_vg,T271)</f>
        <v>-1</v>
      </c>
      <c r="T271" s="178">
        <f t="shared" ref="T271:T334" si="104">MIN(MATCH(Hp_vg,Echel_vg),10)</f>
        <v>5</v>
      </c>
      <c r="U271" s="253">
        <f t="shared" ref="U271:U334" si="105">IF(OR(t&lt;Ttai,Notai),Hdd+PousH*Croivg,Hdtf+PousH*(Croivg-Croi_tai))</f>
        <v>-0.11121311442762949</v>
      </c>
      <c r="V271" s="385">
        <f t="shared" ref="V271:V334" si="106">MaxiM*(1-Ppv)*(1-Pvg)*(1-Psa)</f>
        <v>41.859996387036297</v>
      </c>
      <c r="W271" s="404"/>
      <c r="X271" s="157">
        <f t="shared" ref="X271:X334" si="107">t</f>
        <v>44453</v>
      </c>
      <c r="Y271" s="387">
        <f t="shared" ref="Y271:Y334" si="108">Wh_pvt_s*(1-Ppv)</f>
        <v>16.775742683421079</v>
      </c>
      <c r="Z271" s="387">
        <f t="shared" ref="Z271:Z334" si="109">Wh_sa_s*(1-Psa_s)</f>
        <v>17.226755529416625</v>
      </c>
      <c r="AA271" s="388">
        <f t="shared" ref="AA271:AA334" si="110">Wh_hp*(1-Pvg_s*MEDIAN((-Sdif+Wh/Env_an)/Csdif,0,1))</f>
        <v>20.270467707927498</v>
      </c>
      <c r="AB271" s="199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0.15015500492475167</v>
      </c>
      <c r="AD271" s="233">
        <f>(INDEX(Models!$BJ271:$BT271,,AH271)*(1-AF271)+INDEX(Models!$BJ271:$BT271,,AH271+1)*AF271-ERP_i)*AE271*Ramure*Pc/MaxiM</f>
        <v>6.8540863718684316E-3</v>
      </c>
      <c r="AE271" s="307">
        <f t="shared" ref="AE271:AE334" si="112">IF(OR(t&lt;Ttai,Notai),Dd_s+PousD*Croivg,Dens_s+PousD*(Croivg-Croi_tai))</f>
        <v>0.9</v>
      </c>
      <c r="AF271" s="179">
        <f t="shared" ref="AF271:AF334" si="113">(Hp_vg_s-AG271)/(INDEX(Echel_vg,AH271+1)-AG271)</f>
        <v>0.88878688557237051</v>
      </c>
      <c r="AG271" s="839">
        <f t="shared" si="95"/>
        <v>-1</v>
      </c>
      <c r="AH271" s="178">
        <f t="shared" ref="AH271:AH334" si="114">MIN(MATCH(Hp_vg_s,Echel_vg),10)</f>
        <v>5</v>
      </c>
      <c r="AI271" s="227">
        <f t="shared" ref="AI271:AI334" si="115">IF(OR(t&lt;Ttai,Notai),Hdd_s+PousH*Croivg,Hdtai_s+PousH*(Croivg-Croi_tai))</f>
        <v>-0.11121311442762949</v>
      </c>
      <c r="AJ271" s="267" t="b">
        <f t="shared" ref="AJ271:AJ334" si="116">t&lt;Tnet</f>
        <v>0</v>
      </c>
      <c r="AK271" s="267" t="b">
        <f t="shared" ref="AK271:AK334" si="117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18">A271+1</f>
        <v>44454</v>
      </c>
      <c r="B272" s="620">
        <v>26.949000000000002</v>
      </c>
      <c r="C272" s="392"/>
      <c r="D272" s="395">
        <f t="shared" si="98"/>
        <v>27.674163070272296</v>
      </c>
      <c r="E272" s="387">
        <f t="shared" si="96"/>
        <v>30.017391120340154</v>
      </c>
      <c r="F272" s="387">
        <f t="shared" si="99"/>
        <v>30.122237821456245</v>
      </c>
      <c r="G272" s="110">
        <f t="shared" si="97"/>
        <v>0.64758149635762718</v>
      </c>
      <c r="H272" s="416" t="b">
        <f>Wh_hp&gt;='2020'!Maxi_hp</f>
        <v>0</v>
      </c>
      <c r="I272" s="382">
        <f>IF(H272,Wh_hp,'2020'!Maxi_hp)</f>
        <v>44.117844760090314</v>
      </c>
      <c r="J272" s="85">
        <f>IF(H272,An,'2020'!An_max)</f>
        <v>2020</v>
      </c>
      <c r="K272" s="199">
        <f t="shared" si="100"/>
        <v>44454</v>
      </c>
      <c r="L272" s="147">
        <f>IF(t&lt;Tvie,1-EXP((T0-t)*PertePVj)+'2020'!Pspv,1-EXP((T0-t)*PertePVj)+Pspv)</f>
        <v>2.6203613400373027E-2</v>
      </c>
      <c r="M272" s="872"/>
      <c r="N272" s="872"/>
      <c r="O272" s="48">
        <f>IF(t&lt;Tnet,'2020'!Resal+('2020'!Salim-'2020'!Resal)*(1-EXP(('2020'!Tnet-t)/('2020'!Tau_j))),Resal+(Salim-Resal)*(1-EXP((Tnet-t)/(Tau_j))))*Salcycl</f>
        <v>7.8062348612303489E-2</v>
      </c>
      <c r="P272" s="171">
        <f>(INDEX(Models!$BJ272:$BT272,,T272)*(1-R272)+INDEX(Models!$BJ272:$BT272,,T272+1)*R272-ERP_i)*Q272*Ramure*Pc/MaxiM</f>
        <v>6.964335172188676E-3</v>
      </c>
      <c r="Q272" s="307">
        <f t="shared" si="101"/>
        <v>0.9</v>
      </c>
      <c r="R272" s="179">
        <f t="shared" si="102"/>
        <v>0.88923798610593507</v>
      </c>
      <c r="S272" s="839">
        <f t="shared" si="103"/>
        <v>-1</v>
      </c>
      <c r="T272" s="178">
        <f t="shared" si="104"/>
        <v>5</v>
      </c>
      <c r="U272" s="253">
        <f t="shared" si="105"/>
        <v>-0.11076201389406493</v>
      </c>
      <c r="V272" s="385">
        <f t="shared" si="106"/>
        <v>41.469362481086975</v>
      </c>
      <c r="W272" s="404"/>
      <c r="X272" s="157">
        <f t="shared" si="107"/>
        <v>44454</v>
      </c>
      <c r="Y272" s="387">
        <f t="shared" si="108"/>
        <v>24.840369669415569</v>
      </c>
      <c r="Z272" s="387">
        <f t="shared" si="109"/>
        <v>25.508792198495392</v>
      </c>
      <c r="AA272" s="388">
        <f t="shared" si="110"/>
        <v>30.017391120340154</v>
      </c>
      <c r="AB272" s="199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0.15019955944104951</v>
      </c>
      <c r="AD272" s="233">
        <f>(INDEX(Models!$BJ272:$BT272,,AH272)*(1-AF272)+INDEX(Models!$BJ272:$BT272,,AH272+1)*AF272-ERP_i)*AE272*Ramure*Pc/MaxiM</f>
        <v>6.964335172188676E-3</v>
      </c>
      <c r="AE272" s="307">
        <f t="shared" si="112"/>
        <v>0.9</v>
      </c>
      <c r="AF272" s="179">
        <f t="shared" si="113"/>
        <v>0.88923798610593507</v>
      </c>
      <c r="AG272" s="839">
        <f t="shared" ref="AG272:AG335" si="119">INDEX(Echel_vg,AH272)</f>
        <v>-1</v>
      </c>
      <c r="AH272" s="178">
        <f t="shared" si="114"/>
        <v>5</v>
      </c>
      <c r="AI272" s="227">
        <f t="shared" si="115"/>
        <v>-0.11076201389406493</v>
      </c>
      <c r="AJ272" s="267" t="b">
        <f t="shared" si="116"/>
        <v>0</v>
      </c>
      <c r="AK272" s="267" t="b">
        <f t="shared" si="117"/>
        <v>0</v>
      </c>
      <c r="AL272" s="267"/>
      <c r="AM272" s="267"/>
      <c r="AN272" s="75"/>
    </row>
    <row r="273" spans="1:40" s="6" customFormat="1" ht="11.25" x14ac:dyDescent="0.2">
      <c r="A273" s="56">
        <f t="shared" si="118"/>
        <v>44455</v>
      </c>
      <c r="B273" s="620">
        <v>20.657</v>
      </c>
      <c r="C273" s="392"/>
      <c r="D273" s="395">
        <f t="shared" si="98"/>
        <v>21.213347075448198</v>
      </c>
      <c r="E273" s="387">
        <f t="shared" si="96"/>
        <v>23.016011475178356</v>
      </c>
      <c r="F273" s="387">
        <f t="shared" si="99"/>
        <v>23.063288768306109</v>
      </c>
      <c r="G273" s="110">
        <f t="shared" si="97"/>
        <v>0.50035607789834113</v>
      </c>
      <c r="H273" s="416" t="b">
        <f>Wh_hp&gt;='2020'!Maxi_hp</f>
        <v>0</v>
      </c>
      <c r="I273" s="382">
        <f>IF(H273,Wh_hp,'2020'!Maxi_hp)</f>
        <v>41.206187812934779</v>
      </c>
      <c r="J273" s="85">
        <f>IF(H273,An,'2020'!An_max)</f>
        <v>2019</v>
      </c>
      <c r="K273" s="199">
        <f t="shared" si="100"/>
        <v>44455</v>
      </c>
      <c r="L273" s="147">
        <f>IF(t&lt;Tvie,1-EXP((T0-t)*PertePVj)+'2020'!Pspv,1-EXP((T0-t)*PertePVj)+Pspv)</f>
        <v>2.6226275064914151E-2</v>
      </c>
      <c r="M273" s="872"/>
      <c r="N273" s="872"/>
      <c r="O273" s="48">
        <f>IF(t&lt;Tnet,'2020'!Resal+('2020'!Salim-'2020'!Resal)*(1-EXP(('2020'!Tnet-t)/('2020'!Tau_j))),Resal+(Salim-Resal)*(1-EXP((Tnet-t)/(Tau_j))))*Salcycl</f>
        <v>7.8322188954165373E-2</v>
      </c>
      <c r="P273" s="171">
        <f>(INDEX(Models!$BJ273:$BT273,,T273)*(1-R273)+INDEX(Models!$BJ273:$BT273,,T273+1)*R273-ERP_i)*Q273*Ramure*Pc/MaxiM</f>
        <v>7.0725332870461037E-3</v>
      </c>
      <c r="Q273" s="307">
        <f t="shared" si="101"/>
        <v>0.9</v>
      </c>
      <c r="R273" s="179">
        <f t="shared" si="102"/>
        <v>0.88967157336820057</v>
      </c>
      <c r="S273" s="839">
        <f t="shared" si="103"/>
        <v>-1</v>
      </c>
      <c r="T273" s="178">
        <f t="shared" si="104"/>
        <v>5</v>
      </c>
      <c r="U273" s="253">
        <f t="shared" si="105"/>
        <v>-0.11032842663179943</v>
      </c>
      <c r="V273" s="385">
        <f t="shared" si="106"/>
        <v>41.076815343296019</v>
      </c>
      <c r="W273" s="404"/>
      <c r="X273" s="157">
        <f t="shared" si="107"/>
        <v>44455</v>
      </c>
      <c r="Y273" s="387">
        <f t="shared" si="108"/>
        <v>19.045102583306257</v>
      </c>
      <c r="Z273" s="387">
        <f t="shared" si="109"/>
        <v>19.558037042512982</v>
      </c>
      <c r="AA273" s="388">
        <f t="shared" si="110"/>
        <v>23.016011475178356</v>
      </c>
      <c r="AB273" s="199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0.15024212324514305</v>
      </c>
      <c r="AD273" s="233">
        <f>(INDEX(Models!$BJ273:$BT273,,AH273)*(1-AF273)+INDEX(Models!$BJ273:$BT273,,AH273+1)*AF273-ERP_i)*AE273*Ramure*Pc/MaxiM</f>
        <v>7.0725332870461037E-3</v>
      </c>
      <c r="AE273" s="307">
        <f t="shared" si="112"/>
        <v>0.9</v>
      </c>
      <c r="AF273" s="179">
        <f t="shared" si="113"/>
        <v>0.88967157336820057</v>
      </c>
      <c r="AG273" s="839">
        <f t="shared" si="119"/>
        <v>-1</v>
      </c>
      <c r="AH273" s="178">
        <f t="shared" si="114"/>
        <v>5</v>
      </c>
      <c r="AI273" s="227">
        <f t="shared" si="115"/>
        <v>-0.11032842663179943</v>
      </c>
      <c r="AJ273" s="267" t="b">
        <f t="shared" si="116"/>
        <v>0</v>
      </c>
      <c r="AK273" s="267" t="b">
        <f t="shared" si="117"/>
        <v>0</v>
      </c>
      <c r="AL273" s="267"/>
      <c r="AM273" s="267"/>
      <c r="AN273" s="75"/>
    </row>
    <row r="274" spans="1:40" s="6" customFormat="1" ht="11.25" x14ac:dyDescent="0.2">
      <c r="A274" s="56">
        <f t="shared" si="118"/>
        <v>44456</v>
      </c>
      <c r="B274" s="620">
        <v>38.264000000000003</v>
      </c>
      <c r="C274" s="392"/>
      <c r="D274" s="395">
        <f t="shared" si="98"/>
        <v>39.295464131006113</v>
      </c>
      <c r="E274" s="387">
        <f t="shared" si="96"/>
        <v>42.646644836564398</v>
      </c>
      <c r="F274" s="387">
        <f t="shared" si="99"/>
        <v>42.928635441802115</v>
      </c>
      <c r="G274" s="110">
        <f t="shared" si="97"/>
        <v>0.939966267883794</v>
      </c>
      <c r="H274" s="416" t="b">
        <f>Wh_hp&gt;='2020'!Maxi_hp</f>
        <v>1</v>
      </c>
      <c r="I274" s="382">
        <f>IF(H274,Wh_hp,'2020'!Maxi_hp)</f>
        <v>42.928635441802115</v>
      </c>
      <c r="J274" s="85">
        <f>IF(H274,An,'2020'!An_max)</f>
        <v>2021</v>
      </c>
      <c r="K274" s="199">
        <f t="shared" si="100"/>
        <v>44456</v>
      </c>
      <c r="L274" s="147">
        <f>IF(t&lt;Tvie,1-EXP((T0-t)*PertePVj)+'2020'!Pspv,1-EXP((T0-t)*PertePVj)+Pspv)</f>
        <v>2.6248936202085238E-2</v>
      </c>
      <c r="M274" s="872"/>
      <c r="N274" s="872"/>
      <c r="O274" s="48">
        <f>IF(t&lt;Tnet,'2020'!Resal+('2020'!Salim-'2020'!Resal)*(1-EXP(('2020'!Tnet-t)/('2020'!Tau_j))),Resal+(Salim-Resal)*(1-EXP((Tnet-t)/(Tau_j))))*Salcycl</f>
        <v>7.8580172447353866E-2</v>
      </c>
      <c r="P274" s="171">
        <f>(INDEX(Models!$BJ274:$BT274,,T274)*(1-R274)+INDEX(Models!$BJ274:$BT274,,T274+1)*R274-ERP_i)*Q274*Ramure*Pc/MaxiM</f>
        <v>7.1785535011668266E-3</v>
      </c>
      <c r="Q274" s="307">
        <f t="shared" si="101"/>
        <v>0.9</v>
      </c>
      <c r="R274" s="179">
        <f t="shared" si="102"/>
        <v>0.89008830257750493</v>
      </c>
      <c r="S274" s="839">
        <f t="shared" si="103"/>
        <v>-1</v>
      </c>
      <c r="T274" s="178">
        <f t="shared" si="104"/>
        <v>5</v>
      </c>
      <c r="U274" s="253">
        <f t="shared" si="105"/>
        <v>-0.10991169742249507</v>
      </c>
      <c r="V274" s="385">
        <f t="shared" si="106"/>
        <v>40.682858850955434</v>
      </c>
      <c r="W274" s="404"/>
      <c r="X274" s="157">
        <f t="shared" si="107"/>
        <v>44456</v>
      </c>
      <c r="Y274" s="387">
        <f t="shared" si="108"/>
        <v>35.286396596541323</v>
      </c>
      <c r="Z274" s="387">
        <f t="shared" si="109"/>
        <v>36.237594913543944</v>
      </c>
      <c r="AA274" s="388">
        <f t="shared" si="110"/>
        <v>42.646644836564398</v>
      </c>
      <c r="AB274" s="199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0.1502826294444026</v>
      </c>
      <c r="AD274" s="233">
        <f>(INDEX(Models!$BJ274:$BT274,,AH274)*(1-AF274)+INDEX(Models!$BJ274:$BT274,,AH274+1)*AF274-ERP_i)*AE274*Ramure*Pc/MaxiM</f>
        <v>7.1785535011668266E-3</v>
      </c>
      <c r="AE274" s="307">
        <f t="shared" si="112"/>
        <v>0.9</v>
      </c>
      <c r="AF274" s="179">
        <f t="shared" si="113"/>
        <v>0.89008830257750493</v>
      </c>
      <c r="AG274" s="839">
        <f t="shared" si="119"/>
        <v>-1</v>
      </c>
      <c r="AH274" s="178">
        <f t="shared" si="114"/>
        <v>5</v>
      </c>
      <c r="AI274" s="227">
        <f t="shared" si="115"/>
        <v>-0.10991169742249507</v>
      </c>
      <c r="AJ274" s="267" t="b">
        <f t="shared" si="116"/>
        <v>0</v>
      </c>
      <c r="AK274" s="267" t="b">
        <f t="shared" si="117"/>
        <v>0</v>
      </c>
      <c r="AL274" s="267"/>
      <c r="AM274" s="267"/>
      <c r="AN274" s="75"/>
    </row>
    <row r="275" spans="1:40" s="6" customFormat="1" ht="11.25" x14ac:dyDescent="0.2">
      <c r="A275" s="56">
        <f t="shared" si="118"/>
        <v>44457</v>
      </c>
      <c r="B275" s="620">
        <v>8.2919999999999998</v>
      </c>
      <c r="C275" s="392"/>
      <c r="D275" s="395">
        <f t="shared" si="98"/>
        <v>8.515721604557303</v>
      </c>
      <c r="E275" s="387">
        <f t="shared" si="96"/>
        <v>9.2445253847257121</v>
      </c>
      <c r="F275" s="387">
        <f t="shared" si="99"/>
        <v>9.2445253847257121</v>
      </c>
      <c r="G275" s="110">
        <f t="shared" si="97"/>
        <v>0.20433548729304302</v>
      </c>
      <c r="H275" s="416" t="b">
        <f>Wh_hp&gt;='2020'!Maxi_hp</f>
        <v>0</v>
      </c>
      <c r="I275" s="382">
        <f>IF(H275,Wh_hp,'2020'!Maxi_hp)</f>
        <v>39.782445239132656</v>
      </c>
      <c r="J275" s="85">
        <f>IF(H275,An,'2020'!An_max)</f>
        <v>2020</v>
      </c>
      <c r="K275" s="199">
        <f t="shared" si="100"/>
        <v>44457</v>
      </c>
      <c r="L275" s="147">
        <f>IF(t&lt;Tvie,1-EXP((T0-t)*PertePVj)+'2020'!Pspv,1-EXP((T0-t)*PertePVj)+Pspv)</f>
        <v>2.6271596811898612E-2</v>
      </c>
      <c r="M275" s="872"/>
      <c r="N275" s="872"/>
      <c r="O275" s="48">
        <f>IF(t&lt;Tnet,'2020'!Resal+('2020'!Salim-'2020'!Resal)*(1-EXP(('2020'!Tnet-t)/('2020'!Tau_j))),Resal+(Salim-Resal)*(1-EXP((Tnet-t)/(Tau_j))))*Salcycl</f>
        <v>7.8836257118464634E-2</v>
      </c>
      <c r="P275" s="171">
        <f>(INDEX(Models!$BJ275:$BT275,,T275)*(1-R275)+INDEX(Models!$BJ275:$BT275,,T275+1)*R275-ERP_i)*Q275*Ramure*Pc/MaxiM</f>
        <v>7.2828344636143945E-3</v>
      </c>
      <c r="Q275" s="307">
        <f t="shared" si="101"/>
        <v>0.9</v>
      </c>
      <c r="R275" s="179">
        <f t="shared" si="102"/>
        <v>0.89048880636016459</v>
      </c>
      <c r="S275" s="839">
        <f t="shared" si="103"/>
        <v>-1</v>
      </c>
      <c r="T275" s="178">
        <f t="shared" si="104"/>
        <v>5</v>
      </c>
      <c r="U275" s="253">
        <f t="shared" si="105"/>
        <v>-0.10951119363983541</v>
      </c>
      <c r="V275" s="385">
        <f t="shared" si="106"/>
        <v>40.284782862129731</v>
      </c>
      <c r="W275" s="404"/>
      <c r="X275" s="157">
        <f t="shared" si="107"/>
        <v>44457</v>
      </c>
      <c r="Y275" s="387">
        <f t="shared" si="108"/>
        <v>7.6485187817584821</v>
      </c>
      <c r="Z275" s="387">
        <f t="shared" si="109"/>
        <v>7.8548789957408367</v>
      </c>
      <c r="AA275" s="388">
        <f t="shared" si="110"/>
        <v>9.2445253847257121</v>
      </c>
      <c r="AB275" s="199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0.15032100958702782</v>
      </c>
      <c r="AD275" s="233">
        <f>(INDEX(Models!$BJ275:$BT275,,AH275)*(1-AF275)+INDEX(Models!$BJ275:$BT275,,AH275+1)*AF275-ERP_i)*AE275*Ramure*Pc/MaxiM</f>
        <v>7.2828344636143945E-3</v>
      </c>
      <c r="AE275" s="307">
        <f t="shared" si="112"/>
        <v>0.9</v>
      </c>
      <c r="AF275" s="179">
        <f t="shared" si="113"/>
        <v>0.89048880636016459</v>
      </c>
      <c r="AG275" s="839">
        <f t="shared" si="119"/>
        <v>-1</v>
      </c>
      <c r="AH275" s="178">
        <f t="shared" si="114"/>
        <v>5</v>
      </c>
      <c r="AI275" s="227">
        <f t="shared" si="115"/>
        <v>-0.10951119363983541</v>
      </c>
      <c r="AJ275" s="267" t="b">
        <f t="shared" si="116"/>
        <v>0</v>
      </c>
      <c r="AK275" s="267" t="b">
        <f t="shared" si="117"/>
        <v>0</v>
      </c>
      <c r="AL275" s="267"/>
      <c r="AM275" s="267"/>
      <c r="AN275" s="75"/>
    </row>
    <row r="276" spans="1:40" s="6" customFormat="1" ht="11.25" x14ac:dyDescent="0.2">
      <c r="A276" s="56">
        <f t="shared" si="118"/>
        <v>44458</v>
      </c>
      <c r="B276" s="620">
        <v>26.262</v>
      </c>
      <c r="C276" s="392"/>
      <c r="D276" s="395">
        <f t="shared" si="98"/>
        <v>26.971187328357924</v>
      </c>
      <c r="E276" s="387">
        <f t="shared" si="96"/>
        <v>29.287551488004972</v>
      </c>
      <c r="F276" s="387">
        <f t="shared" si="99"/>
        <v>29.398699936085748</v>
      </c>
      <c r="G276" s="110">
        <f t="shared" si="97"/>
        <v>0.65614009047500366</v>
      </c>
      <c r="H276" s="416" t="b">
        <f>Wh_hp&gt;='2020'!Maxi_hp</f>
        <v>0</v>
      </c>
      <c r="I276" s="382">
        <f>IF(H276,Wh_hp,'2020'!Maxi_hp)</f>
        <v>40.666457586366796</v>
      </c>
      <c r="J276" s="85">
        <f>IF(H276,An,'2020'!An_max)</f>
        <v>2019</v>
      </c>
      <c r="K276" s="199">
        <f t="shared" si="100"/>
        <v>44458</v>
      </c>
      <c r="L276" s="147">
        <f>IF(t&lt;Tvie,1-EXP((T0-t)*PertePVj)+'2020'!Pspv,1-EXP((T0-t)*PertePVj)+Pspv)</f>
        <v>2.6294256894366375E-2</v>
      </c>
      <c r="M276" s="872"/>
      <c r="N276" s="872"/>
      <c r="O276" s="48">
        <f>IF(t&lt;Tnet,'2020'!Resal+('2020'!Salim-'2020'!Resal)*(1-EXP(('2020'!Tnet-t)/('2020'!Tau_j))),Resal+(Salim-Resal)*(1-EXP((Tnet-t)/(Tau_j))))*Salcycl</f>
        <v>7.909039991259556E-2</v>
      </c>
      <c r="P276" s="171">
        <f>(INDEX(Models!$BJ276:$BT276,,T276)*(1-R276)+INDEX(Models!$BJ276:$BT276,,T276+1)*R276-ERP_i)*Q276*Ramure*Pc/MaxiM</f>
        <v>7.3817511295269957E-3</v>
      </c>
      <c r="Q276" s="307">
        <f t="shared" si="101"/>
        <v>0.9</v>
      </c>
      <c r="R276" s="179">
        <f t="shared" si="102"/>
        <v>0.89087369537799121</v>
      </c>
      <c r="S276" s="839">
        <f t="shared" si="103"/>
        <v>-1</v>
      </c>
      <c r="T276" s="178">
        <f t="shared" si="104"/>
        <v>5</v>
      </c>
      <c r="U276" s="253">
        <f t="shared" si="105"/>
        <v>-0.10912630462200879</v>
      </c>
      <c r="V276" s="385">
        <f t="shared" si="106"/>
        <v>39.880311192899917</v>
      </c>
      <c r="W276" s="404"/>
      <c r="X276" s="157">
        <f t="shared" si="107"/>
        <v>44458</v>
      </c>
      <c r="Y276" s="387">
        <f t="shared" si="108"/>
        <v>24.229652261437316</v>
      </c>
      <c r="Z276" s="387">
        <f t="shared" si="109"/>
        <v>24.88395743066777</v>
      </c>
      <c r="AA276" s="388">
        <f t="shared" si="110"/>
        <v>29.287551488004972</v>
      </c>
      <c r="AB276" s="199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0.15035719387947954</v>
      </c>
      <c r="AD276" s="233">
        <f>(INDEX(Models!$BJ276:$BT276,,AH276)*(1-AF276)+INDEX(Models!$BJ276:$BT276,,AH276+1)*AF276-ERP_i)*AE276*Ramure*Pc/MaxiM</f>
        <v>7.3817511295269957E-3</v>
      </c>
      <c r="AE276" s="307">
        <f t="shared" si="112"/>
        <v>0.9</v>
      </c>
      <c r="AF276" s="179">
        <f t="shared" si="113"/>
        <v>0.89087369537799121</v>
      </c>
      <c r="AG276" s="839">
        <f t="shared" si="119"/>
        <v>-1</v>
      </c>
      <c r="AH276" s="178">
        <f t="shared" si="114"/>
        <v>5</v>
      </c>
      <c r="AI276" s="227">
        <f t="shared" si="115"/>
        <v>-0.10912630462200879</v>
      </c>
      <c r="AJ276" s="267" t="b">
        <f t="shared" si="116"/>
        <v>0</v>
      </c>
      <c r="AK276" s="267" t="b">
        <f t="shared" si="117"/>
        <v>0</v>
      </c>
      <c r="AL276" s="267"/>
      <c r="AM276" s="267"/>
      <c r="AN276" s="75"/>
    </row>
    <row r="277" spans="1:40" s="6" customFormat="1" ht="11.25" x14ac:dyDescent="0.2">
      <c r="A277" s="56">
        <f t="shared" si="118"/>
        <v>44459</v>
      </c>
      <c r="B277" s="620">
        <v>25.257000000000001</v>
      </c>
      <c r="C277" s="392"/>
      <c r="D277" s="395">
        <f t="shared" si="98"/>
        <v>25.939651645072537</v>
      </c>
      <c r="E277" s="387">
        <f t="shared" si="96"/>
        <v>28.175139230392848</v>
      </c>
      <c r="F277" s="387">
        <f t="shared" si="99"/>
        <v>28.277809234296917</v>
      </c>
      <c r="G277" s="110">
        <f t="shared" si="97"/>
        <v>0.63742910790036456</v>
      </c>
      <c r="H277" s="416" t="b">
        <f>Wh_hp&gt;='2020'!Maxi_hp</f>
        <v>0</v>
      </c>
      <c r="I277" s="382">
        <f>IF(H277,Wh_hp,'2020'!Maxi_hp)</f>
        <v>41.582562140317762</v>
      </c>
      <c r="J277" s="85">
        <f>IF(H277,An,'2020'!An_max)</f>
        <v>2019</v>
      </c>
      <c r="K277" s="199">
        <f t="shared" si="100"/>
        <v>44459</v>
      </c>
      <c r="L277" s="147">
        <f>IF(t&lt;Tvie,1-EXP((T0-t)*PertePVj)+'2020'!Pspv,1-EXP((T0-t)*PertePVj)+Pspv)</f>
        <v>2.631691644950096E-2</v>
      </c>
      <c r="M277" s="872"/>
      <c r="N277" s="872"/>
      <c r="O277" s="48">
        <f>IF(t&lt;Tnet,'2020'!Resal+('2020'!Salim-'2020'!Resal)*(1-EXP(('2020'!Tnet-t)/('2020'!Tau_j))),Resal+(Salim-Resal)*(1-EXP((Tnet-t)/(Tau_j))))*Salcycl</f>
        <v>7.9342556820761509E-2</v>
      </c>
      <c r="P277" s="171">
        <f>(INDEX(Models!$BJ277:$BT277,,T277)*(1-R277)+INDEX(Models!$BJ277:$BT277,,T277+1)*R277-ERP_i)*Q277*Ramure*Pc/MaxiM</f>
        <v>7.4773094954844587E-3</v>
      </c>
      <c r="Q277" s="307">
        <f t="shared" si="101"/>
        <v>0.9</v>
      </c>
      <c r="R277" s="179">
        <f t="shared" si="102"/>
        <v>0.89124355895091911</v>
      </c>
      <c r="S277" s="839">
        <f t="shared" si="103"/>
        <v>-1</v>
      </c>
      <c r="T277" s="178">
        <f t="shared" si="104"/>
        <v>5</v>
      </c>
      <c r="U277" s="253">
        <f t="shared" si="105"/>
        <v>-0.10875644104908089</v>
      </c>
      <c r="V277" s="385">
        <f t="shared" si="106"/>
        <v>39.470261749537137</v>
      </c>
      <c r="W277" s="404"/>
      <c r="X277" s="157">
        <f t="shared" si="107"/>
        <v>44459</v>
      </c>
      <c r="Y277" s="387">
        <f t="shared" si="108"/>
        <v>23.307878361617277</v>
      </c>
      <c r="Z277" s="387">
        <f t="shared" si="109"/>
        <v>23.937848726534273</v>
      </c>
      <c r="AA277" s="388">
        <f t="shared" si="110"/>
        <v>28.175139230392848</v>
      </c>
      <c r="AB277" s="199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0.15039111144081801</v>
      </c>
      <c r="AD277" s="233">
        <f>(INDEX(Models!$BJ277:$BT277,,AH277)*(1-AF277)+INDEX(Models!$BJ277:$BT277,,AH277+1)*AF277-ERP_i)*AE277*Ramure*Pc/MaxiM</f>
        <v>7.4773094954844587E-3</v>
      </c>
      <c r="AE277" s="307">
        <f t="shared" si="112"/>
        <v>0.9</v>
      </c>
      <c r="AF277" s="179">
        <f t="shared" si="113"/>
        <v>0.89124355895091911</v>
      </c>
      <c r="AG277" s="839">
        <f t="shared" si="119"/>
        <v>-1</v>
      </c>
      <c r="AH277" s="178">
        <f t="shared" si="114"/>
        <v>5</v>
      </c>
      <c r="AI277" s="227">
        <f t="shared" si="115"/>
        <v>-0.10875644104908089</v>
      </c>
      <c r="AJ277" s="267" t="b">
        <f t="shared" si="116"/>
        <v>0</v>
      </c>
      <c r="AK277" s="267" t="b">
        <f t="shared" si="117"/>
        <v>0</v>
      </c>
      <c r="AL277" s="267"/>
      <c r="AM277" s="267"/>
      <c r="AN277" s="75"/>
    </row>
    <row r="278" spans="1:40" s="6" customFormat="1" ht="11.25" x14ac:dyDescent="0.2">
      <c r="A278" s="56">
        <f t="shared" si="118"/>
        <v>44460</v>
      </c>
      <c r="B278" s="620">
        <v>12.683</v>
      </c>
      <c r="C278" s="392"/>
      <c r="D278" s="395">
        <f t="shared" si="98"/>
        <v>13.026101996717747</v>
      </c>
      <c r="E278" s="387">
        <f t="shared" si="96"/>
        <v>14.152540681217475</v>
      </c>
      <c r="F278" s="387">
        <f t="shared" si="99"/>
        <v>14.156328184258429</v>
      </c>
      <c r="G278" s="110">
        <f t="shared" si="97"/>
        <v>0.32237082643424442</v>
      </c>
      <c r="H278" s="416" t="b">
        <f>Wh_hp&gt;='2020'!Maxi_hp</f>
        <v>0</v>
      </c>
      <c r="I278" s="382">
        <f>IF(H278,Wh_hp,'2020'!Maxi_hp)</f>
        <v>35.175055691907069</v>
      </c>
      <c r="J278" s="85">
        <f>IF(H278,An,'2020'!An_max)</f>
        <v>2020</v>
      </c>
      <c r="K278" s="199">
        <f t="shared" si="100"/>
        <v>44460</v>
      </c>
      <c r="L278" s="147">
        <f>IF(t&lt;Tvie,1-EXP((T0-t)*PertePVj)+'2020'!Pspv,1-EXP((T0-t)*PertePVj)+Pspv)</f>
        <v>2.6339575477314692E-2</v>
      </c>
      <c r="M278" s="872"/>
      <c r="N278" s="872"/>
      <c r="O278" s="48">
        <f>IF(t&lt;Tnet,'2020'!Resal+('2020'!Salim-'2020'!Resal)*(1-EXP(('2020'!Tnet-t)/('2020'!Tau_j))),Resal+(Salim-Resal)*(1-EXP((Tnet-t)/(Tau_j))))*Salcycl</f>
        <v>7.9592683029322056E-2</v>
      </c>
      <c r="P278" s="171">
        <f>(INDEX(Models!$BJ278:$BT278,,T278)*(1-R278)+INDEX(Models!$BJ278:$BT278,,T278+1)*R278-ERP_i)*Q278*Ramure*Pc/MaxiM</f>
        <v>7.5692755550600659E-3</v>
      </c>
      <c r="Q278" s="307">
        <f t="shared" si="101"/>
        <v>0.9</v>
      </c>
      <c r="R278" s="179">
        <f t="shared" si="102"/>
        <v>0.89159896567354224</v>
      </c>
      <c r="S278" s="839">
        <f t="shared" si="103"/>
        <v>-1</v>
      </c>
      <c r="T278" s="178">
        <f t="shared" si="104"/>
        <v>5</v>
      </c>
      <c r="U278" s="253">
        <f t="shared" si="105"/>
        <v>-0.10840103432645776</v>
      </c>
      <c r="V278" s="385">
        <f t="shared" si="106"/>
        <v>39.055542184538893</v>
      </c>
      <c r="W278" s="404"/>
      <c r="X278" s="157">
        <f t="shared" si="107"/>
        <v>44460</v>
      </c>
      <c r="Y278" s="387">
        <f t="shared" si="108"/>
        <v>11.706978873940738</v>
      </c>
      <c r="Z278" s="387">
        <f t="shared" si="109"/>
        <v>12.023677433207595</v>
      </c>
      <c r="AA278" s="388">
        <f t="shared" si="110"/>
        <v>14.152540681217475</v>
      </c>
      <c r="AB278" s="199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0.15042269059400745</v>
      </c>
      <c r="AD278" s="233">
        <f>(INDEX(Models!$BJ278:$BT278,,AH278)*(1-AF278)+INDEX(Models!$BJ278:$BT278,,AH278+1)*AF278-ERP_i)*AE278*Ramure*Pc/MaxiM</f>
        <v>7.5692755550600659E-3</v>
      </c>
      <c r="AE278" s="307">
        <f t="shared" si="112"/>
        <v>0.9</v>
      </c>
      <c r="AF278" s="179">
        <f t="shared" si="113"/>
        <v>0.89159896567354224</v>
      </c>
      <c r="AG278" s="839">
        <f t="shared" si="119"/>
        <v>-1</v>
      </c>
      <c r="AH278" s="178">
        <f t="shared" si="114"/>
        <v>5</v>
      </c>
      <c r="AI278" s="227">
        <f t="shared" si="115"/>
        <v>-0.10840103432645776</v>
      </c>
      <c r="AJ278" s="267" t="b">
        <f t="shared" si="116"/>
        <v>0</v>
      </c>
      <c r="AK278" s="267" t="b">
        <f t="shared" si="117"/>
        <v>0</v>
      </c>
      <c r="AL278" s="267"/>
      <c r="AM278" s="267"/>
      <c r="AN278" s="75"/>
    </row>
    <row r="279" spans="1:40" s="6" customFormat="1" ht="11.25" x14ac:dyDescent="0.2">
      <c r="A279" s="56">
        <f t="shared" si="118"/>
        <v>44461</v>
      </c>
      <c r="B279" s="620">
        <v>35.630000000000003</v>
      </c>
      <c r="C279" s="392"/>
      <c r="D279" s="395">
        <f t="shared" si="98"/>
        <v>36.594718532300973</v>
      </c>
      <c r="E279" s="387">
        <f t="shared" si="96"/>
        <v>39.769983141346202</v>
      </c>
      <c r="F279" s="387">
        <f t="shared" si="99"/>
        <v>40.04251325469788</v>
      </c>
      <c r="G279" s="110">
        <f t="shared" si="97"/>
        <v>0.92138114522982706</v>
      </c>
      <c r="H279" s="416" t="b">
        <f>Wh_hp&gt;='2020'!Maxi_hp</f>
        <v>1</v>
      </c>
      <c r="I279" s="382">
        <f>IF(H279,Wh_hp,'2020'!Maxi_hp)</f>
        <v>40.04251325469788</v>
      </c>
      <c r="J279" s="85">
        <f>IF(H279,An,'2020'!An_max)</f>
        <v>2021</v>
      </c>
      <c r="K279" s="199">
        <f t="shared" si="100"/>
        <v>44461</v>
      </c>
      <c r="L279" s="147">
        <f>IF(t&lt;Tvie,1-EXP((T0-t)*PertePVj)+'2020'!Pspv,1-EXP((T0-t)*PertePVj)+Pspv)</f>
        <v>2.6362233977819671E-2</v>
      </c>
      <c r="M279" s="872"/>
      <c r="N279" s="872"/>
      <c r="O279" s="48">
        <f>IF(t&lt;Tnet,'2020'!Resal+('2020'!Salim-'2020'!Resal)*(1-EXP(('2020'!Tnet-t)/('2020'!Tau_j))),Resal+(Salim-Resal)*(1-EXP((Tnet-t)/(Tau_j))))*Salcycl</f>
        <v>7.984073309158933E-2</v>
      </c>
      <c r="P279" s="171">
        <f>(INDEX(Models!$BJ279:$BT279,,T279)*(1-R279)+INDEX(Models!$BJ279:$BT279,,T279+1)*R279-ERP_i)*Q279*Ramure*Pc/MaxiM</f>
        <v>7.6573940831126701E-3</v>
      </c>
      <c r="Q279" s="307">
        <f t="shared" si="101"/>
        <v>0.9</v>
      </c>
      <c r="R279" s="179">
        <f t="shared" si="102"/>
        <v>0.89194046402449012</v>
      </c>
      <c r="S279" s="839">
        <f t="shared" si="103"/>
        <v>-1</v>
      </c>
      <c r="T279" s="178">
        <f t="shared" si="104"/>
        <v>5</v>
      </c>
      <c r="U279" s="253">
        <f t="shared" si="105"/>
        <v>-0.10805953597550988</v>
      </c>
      <c r="V279" s="385">
        <f t="shared" si="106"/>
        <v>38.637058968195142</v>
      </c>
      <c r="W279" s="404"/>
      <c r="X279" s="157">
        <f t="shared" si="107"/>
        <v>44461</v>
      </c>
      <c r="Y279" s="387">
        <f t="shared" si="108"/>
        <v>32.895827217634817</v>
      </c>
      <c r="Z279" s="387">
        <f t="shared" si="109"/>
        <v>33.786515237624236</v>
      </c>
      <c r="AA279" s="388">
        <f t="shared" si="110"/>
        <v>39.769983141346202</v>
      </c>
      <c r="AB279" s="199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0.15045185919380874</v>
      </c>
      <c r="AD279" s="233">
        <f>(INDEX(Models!$BJ279:$BT279,,AH279)*(1-AF279)+INDEX(Models!$BJ279:$BT279,,AH279+1)*AF279-ERP_i)*AE279*Ramure*Pc/MaxiM</f>
        <v>7.6573940831126701E-3</v>
      </c>
      <c r="AE279" s="307">
        <f t="shared" si="112"/>
        <v>0.9</v>
      </c>
      <c r="AF279" s="179">
        <f t="shared" si="113"/>
        <v>0.89194046402449012</v>
      </c>
      <c r="AG279" s="839">
        <f t="shared" si="119"/>
        <v>-1</v>
      </c>
      <c r="AH279" s="178">
        <f t="shared" si="114"/>
        <v>5</v>
      </c>
      <c r="AI279" s="227">
        <f t="shared" si="115"/>
        <v>-0.10805953597550988</v>
      </c>
      <c r="AJ279" s="267" t="b">
        <f t="shared" si="116"/>
        <v>0</v>
      </c>
      <c r="AK279" s="267" t="b">
        <f t="shared" si="117"/>
        <v>0</v>
      </c>
      <c r="AL279" s="267"/>
      <c r="AM279" s="267"/>
      <c r="AN279" s="75"/>
    </row>
    <row r="280" spans="1:40" s="6" customFormat="1" ht="11.25" x14ac:dyDescent="0.2">
      <c r="A280" s="56">
        <f t="shared" si="118"/>
        <v>44462</v>
      </c>
      <c r="B280" s="620">
        <v>29.523</v>
      </c>
      <c r="C280" s="392"/>
      <c r="D280" s="395">
        <f t="shared" si="98"/>
        <v>30.323070950656433</v>
      </c>
      <c r="E280" s="387">
        <f t="shared" si="96"/>
        <v>32.962964737119222</v>
      </c>
      <c r="F280" s="387">
        <f t="shared" si="99"/>
        <v>33.136129448623308</v>
      </c>
      <c r="G280" s="110">
        <f t="shared" si="97"/>
        <v>0.77058199816404227</v>
      </c>
      <c r="H280" s="416" t="b">
        <f>Wh_hp&gt;='2020'!Maxi_hp</f>
        <v>0</v>
      </c>
      <c r="I280" s="382">
        <f>IF(H280,Wh_hp,'2020'!Maxi_hp)</f>
        <v>39.039212402737128</v>
      </c>
      <c r="J280" s="85">
        <f>IF(H280,An,'2020'!An_max)</f>
        <v>2019</v>
      </c>
      <c r="K280" s="199">
        <f t="shared" si="100"/>
        <v>44462</v>
      </c>
      <c r="L280" s="147">
        <f>IF(t&lt;Tvie,1-EXP((T0-t)*PertePVj)+'2020'!Pspv,1-EXP((T0-t)*PertePVj)+Pspv)</f>
        <v>2.6384891951028222E-2</v>
      </c>
      <c r="M280" s="872"/>
      <c r="N280" s="872"/>
      <c r="O280" s="48">
        <f>IF(t&lt;Tnet,'2020'!Resal+('2020'!Salim-'2020'!Resal)*(1-EXP(('2020'!Tnet-t)/('2020'!Tau_j))),Resal+(Salim-Resal)*(1-EXP((Tnet-t)/(Tau_j))))*Salcycl</f>
        <v>8.0086661121535341E-2</v>
      </c>
      <c r="P280" s="171">
        <f>(INDEX(Models!$BJ280:$BT280,,T280)*(1-R280)+INDEX(Models!$BJ280:$BT280,,T280+1)*R280-ERP_i)*Q280*Ramure*Pc/MaxiM</f>
        <v>7.7414291790258169E-3</v>
      </c>
      <c r="Q280" s="307">
        <f t="shared" si="101"/>
        <v>0.9</v>
      </c>
      <c r="R280" s="179">
        <f t="shared" si="102"/>
        <v>0.8922685829677055</v>
      </c>
      <c r="S280" s="839">
        <f t="shared" si="103"/>
        <v>-1</v>
      </c>
      <c r="T280" s="178">
        <f t="shared" si="104"/>
        <v>5</v>
      </c>
      <c r="U280" s="253">
        <f t="shared" si="105"/>
        <v>-0.1077314170322945</v>
      </c>
      <c r="V280" s="385">
        <f t="shared" si="106"/>
        <v>38.215715806199896</v>
      </c>
      <c r="W280" s="404"/>
      <c r="X280" s="157">
        <f t="shared" si="107"/>
        <v>44462</v>
      </c>
      <c r="Y280" s="387">
        <f t="shared" si="108"/>
        <v>27.263896343567268</v>
      </c>
      <c r="Z280" s="387">
        <f t="shared" si="109"/>
        <v>28.002745764906436</v>
      </c>
      <c r="AA280" s="388">
        <f t="shared" si="110"/>
        <v>32.962964737119222</v>
      </c>
      <c r="AB280" s="199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0.15047854499043714</v>
      </c>
      <c r="AD280" s="233">
        <f>(INDEX(Models!$BJ280:$BT280,,AH280)*(1-AF280)+INDEX(Models!$BJ280:$BT280,,AH280+1)*AF280-ERP_i)*AE280*Ramure*Pc/MaxiM</f>
        <v>7.7414291790258169E-3</v>
      </c>
      <c r="AE280" s="307">
        <f t="shared" si="112"/>
        <v>0.9</v>
      </c>
      <c r="AF280" s="179">
        <f t="shared" si="113"/>
        <v>0.8922685829677055</v>
      </c>
      <c r="AG280" s="839">
        <f t="shared" si="119"/>
        <v>-1</v>
      </c>
      <c r="AH280" s="178">
        <f t="shared" si="114"/>
        <v>5</v>
      </c>
      <c r="AI280" s="227">
        <f t="shared" si="115"/>
        <v>-0.1077314170322945</v>
      </c>
      <c r="AJ280" s="267" t="b">
        <f t="shared" si="116"/>
        <v>0</v>
      </c>
      <c r="AK280" s="267" t="b">
        <f t="shared" si="117"/>
        <v>0</v>
      </c>
      <c r="AL280" s="267"/>
      <c r="AM280" s="267"/>
      <c r="AN280" s="75"/>
    </row>
    <row r="281" spans="1:40" s="6" customFormat="1" ht="11.25" x14ac:dyDescent="0.2">
      <c r="A281" s="56">
        <f t="shared" si="118"/>
        <v>44463</v>
      </c>
      <c r="B281" s="620">
        <v>31.622</v>
      </c>
      <c r="C281" s="392"/>
      <c r="D281" s="395">
        <f t="shared" si="98"/>
        <v>32.479709533915546</v>
      </c>
      <c r="E281" s="387">
        <f t="shared" si="96"/>
        <v>35.316716216230006</v>
      </c>
      <c r="F281" s="387">
        <f t="shared" si="99"/>
        <v>35.529783803479539</v>
      </c>
      <c r="G281" s="110">
        <f t="shared" si="97"/>
        <v>0.8351931276227117</v>
      </c>
      <c r="H281" s="416" t="b">
        <f>Wh_hp&gt;='2020'!Maxi_hp</f>
        <v>1</v>
      </c>
      <c r="I281" s="382">
        <f>IF(H281,Wh_hp,'2020'!Maxi_hp)</f>
        <v>35.529783803479539</v>
      </c>
      <c r="J281" s="85">
        <f>IF(H281,An,'2020'!An_max)</f>
        <v>2021</v>
      </c>
      <c r="K281" s="199">
        <f t="shared" si="100"/>
        <v>44463</v>
      </c>
      <c r="L281" s="147">
        <f>IF(t&lt;Tvie,1-EXP((T0-t)*PertePVj)+'2020'!Pspv,1-EXP((T0-t)*PertePVj)+Pspv)</f>
        <v>2.6407549396952668E-2</v>
      </c>
      <c r="M281" s="872"/>
      <c r="N281" s="872"/>
      <c r="O281" s="48">
        <f>IF(t&lt;Tnet,'2020'!Resal+('2020'!Salim-'2020'!Resal)*(1-EXP(('2020'!Tnet-t)/('2020'!Tau_j))),Resal+(Salim-Resal)*(1-EXP((Tnet-t)/(Tau_j))))*Salcycl</f>
        <v>8.0330421009264033E-2</v>
      </c>
      <c r="P281" s="171">
        <f>(INDEX(Models!$BJ281:$BT281,,T281)*(1-R281)+INDEX(Models!$BJ281:$BT281,,T281+1)*R281-ERP_i)*Q281*Ramure*Pc/MaxiM</f>
        <v>7.8211033769732003E-3</v>
      </c>
      <c r="Q281" s="307">
        <f t="shared" si="101"/>
        <v>0.9</v>
      </c>
      <c r="R281" s="179">
        <f t="shared" si="102"/>
        <v>0.89258383254479867</v>
      </c>
      <c r="S281" s="839">
        <f t="shared" si="103"/>
        <v>-1</v>
      </c>
      <c r="T281" s="178">
        <f t="shared" si="104"/>
        <v>5</v>
      </c>
      <c r="U281" s="253">
        <f t="shared" si="105"/>
        <v>-0.10741616745520133</v>
      </c>
      <c r="V281" s="385">
        <f t="shared" si="106"/>
        <v>37.792416040193146</v>
      </c>
      <c r="W281" s="404"/>
      <c r="X281" s="157">
        <f t="shared" si="107"/>
        <v>44463</v>
      </c>
      <c r="Y281" s="387">
        <f t="shared" si="108"/>
        <v>29.209190988062648</v>
      </c>
      <c r="Z281" s="387">
        <f t="shared" si="109"/>
        <v>30.001455917175971</v>
      </c>
      <c r="AA281" s="388">
        <f t="shared" si="110"/>
        <v>35.316716216230006</v>
      </c>
      <c r="AB281" s="199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0.15050267602771564</v>
      </c>
      <c r="AD281" s="233">
        <f>(INDEX(Models!$BJ281:$BT281,,AH281)*(1-AF281)+INDEX(Models!$BJ281:$BT281,,AH281+1)*AF281-ERP_i)*AE281*Ramure*Pc/MaxiM</f>
        <v>7.8211033769732003E-3</v>
      </c>
      <c r="AE281" s="307">
        <f t="shared" si="112"/>
        <v>0.9</v>
      </c>
      <c r="AF281" s="179">
        <f t="shared" si="113"/>
        <v>0.89258383254479867</v>
      </c>
      <c r="AG281" s="839">
        <f t="shared" si="119"/>
        <v>-1</v>
      </c>
      <c r="AH281" s="178">
        <f t="shared" si="114"/>
        <v>5</v>
      </c>
      <c r="AI281" s="227">
        <f t="shared" si="115"/>
        <v>-0.10741616745520133</v>
      </c>
      <c r="AJ281" s="267" t="b">
        <f t="shared" si="116"/>
        <v>0</v>
      </c>
      <c r="AK281" s="267" t="b">
        <f t="shared" si="117"/>
        <v>0</v>
      </c>
      <c r="AL281" s="267"/>
      <c r="AM281" s="267"/>
      <c r="AN281" s="75"/>
    </row>
    <row r="282" spans="1:40" s="6" customFormat="1" ht="11.25" x14ac:dyDescent="0.2">
      <c r="A282" s="56">
        <f t="shared" si="118"/>
        <v>44464</v>
      </c>
      <c r="B282" s="620">
        <v>26.774000000000001</v>
      </c>
      <c r="C282" s="392"/>
      <c r="D282" s="395">
        <f t="shared" si="98"/>
        <v>27.500853224580851</v>
      </c>
      <c r="E282" s="387">
        <f t="shared" si="96"/>
        <v>29.910827413656857</v>
      </c>
      <c r="F282" s="387">
        <f t="shared" si="99"/>
        <v>30.052139977190851</v>
      </c>
      <c r="G282" s="110">
        <f t="shared" si="97"/>
        <v>0.7141950094829943</v>
      </c>
      <c r="H282" s="416" t="b">
        <f>Wh_hp&gt;='2020'!Maxi_hp</f>
        <v>1</v>
      </c>
      <c r="I282" s="382">
        <f>IF(H282,Wh_hp,'2020'!Maxi_hp)</f>
        <v>30.052139977190851</v>
      </c>
      <c r="J282" s="85">
        <f>IF(H282,An,'2020'!An_max)</f>
        <v>2021</v>
      </c>
      <c r="K282" s="199">
        <f t="shared" si="100"/>
        <v>44464</v>
      </c>
      <c r="L282" s="147">
        <f>IF(t&lt;Tvie,1-EXP((T0-t)*PertePVj)+'2020'!Pspv,1-EXP((T0-t)*PertePVj)+Pspv)</f>
        <v>2.643020631560522E-2</v>
      </c>
      <c r="M282" s="872"/>
      <c r="N282" s="872"/>
      <c r="O282" s="48">
        <f>IF(t&lt;Tnet,'2020'!Resal+('2020'!Salim-'2020'!Resal)*(1-EXP(('2020'!Tnet-t)/('2020'!Tau_j))),Resal+(Salim-Resal)*(1-EXP((Tnet-t)/(Tau_j))))*Salcycl</f>
        <v>8.0571966657654051E-2</v>
      </c>
      <c r="P282" s="171">
        <f>(INDEX(Models!$BJ282:$BT282,,T282)*(1-R282)+INDEX(Models!$BJ282:$BT282,,T282+1)*R282-ERP_i)*Q282*Ramure*Pc/MaxiM</f>
        <v>7.9029511280474148E-3</v>
      </c>
      <c r="Q282" s="307">
        <f t="shared" si="101"/>
        <v>0.9</v>
      </c>
      <c r="R282" s="179">
        <f t="shared" si="102"/>
        <v>0.89288670445775997</v>
      </c>
      <c r="S282" s="839">
        <f t="shared" si="103"/>
        <v>-1</v>
      </c>
      <c r="T282" s="178">
        <f t="shared" si="104"/>
        <v>5</v>
      </c>
      <c r="U282" s="253">
        <f t="shared" si="105"/>
        <v>-0.10711329554224003</v>
      </c>
      <c r="V282" s="385">
        <f t="shared" si="106"/>
        <v>37.367804462667252</v>
      </c>
      <c r="W282" s="404"/>
      <c r="X282" s="157">
        <f t="shared" si="107"/>
        <v>44464</v>
      </c>
      <c r="Y282" s="387">
        <f t="shared" si="108"/>
        <v>24.736972064300677</v>
      </c>
      <c r="Z282" s="387">
        <f t="shared" si="109"/>
        <v>25.408524611970183</v>
      </c>
      <c r="AA282" s="388">
        <f t="shared" si="110"/>
        <v>29.910827413656857</v>
      </c>
      <c r="AB282" s="199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0.15052418107400758</v>
      </c>
      <c r="AD282" s="233">
        <f>(INDEX(Models!$BJ282:$BT282,,AH282)*(1-AF282)+INDEX(Models!$BJ282:$BT282,,AH282+1)*AF282-ERP_i)*AE282*Ramure*Pc/MaxiM</f>
        <v>7.9029511280474148E-3</v>
      </c>
      <c r="AE282" s="307">
        <f t="shared" si="112"/>
        <v>0.9</v>
      </c>
      <c r="AF282" s="179">
        <f t="shared" si="113"/>
        <v>0.89288670445775997</v>
      </c>
      <c r="AG282" s="839">
        <f t="shared" si="119"/>
        <v>-1</v>
      </c>
      <c r="AH282" s="178">
        <f t="shared" si="114"/>
        <v>5</v>
      </c>
      <c r="AI282" s="227">
        <f t="shared" si="115"/>
        <v>-0.10711329554224003</v>
      </c>
      <c r="AJ282" s="267" t="b">
        <f t="shared" si="116"/>
        <v>0</v>
      </c>
      <c r="AK282" s="267" t="b">
        <f t="shared" si="117"/>
        <v>0</v>
      </c>
      <c r="AL282" s="267"/>
      <c r="AM282" s="267"/>
      <c r="AN282" s="75"/>
    </row>
    <row r="283" spans="1:40" s="6" customFormat="1" ht="11.25" x14ac:dyDescent="0.2">
      <c r="A283" s="56">
        <f t="shared" si="118"/>
        <v>44465</v>
      </c>
      <c r="B283" s="620">
        <v>28.007999999999999</v>
      </c>
      <c r="C283" s="392"/>
      <c r="D283" s="395">
        <f t="shared" si="98"/>
        <v>28.769023016058259</v>
      </c>
      <c r="E283" s="387">
        <f t="shared" si="96"/>
        <v>31.298275883103472</v>
      </c>
      <c r="F283" s="387">
        <f t="shared" si="99"/>
        <v>31.46279655509711</v>
      </c>
      <c r="G283" s="110">
        <f t="shared" si="97"/>
        <v>0.75604356389381344</v>
      </c>
      <c r="H283" s="416" t="b">
        <f>Wh_hp&gt;='2020'!Maxi_hp</f>
        <v>1</v>
      </c>
      <c r="I283" s="382">
        <f>IF(H283,Wh_hp,'2020'!Maxi_hp)</f>
        <v>31.46279655509711</v>
      </c>
      <c r="J283" s="85">
        <f>IF(H283,An,'2020'!An_max)</f>
        <v>2021</v>
      </c>
      <c r="K283" s="199">
        <f t="shared" si="100"/>
        <v>44465</v>
      </c>
      <c r="L283" s="147">
        <f>IF(t&lt;Tvie,1-EXP((T0-t)*PertePVj)+'2020'!Pspv,1-EXP((T0-t)*PertePVj)+Pspv)</f>
        <v>2.6452862706998204E-2</v>
      </c>
      <c r="M283" s="872"/>
      <c r="N283" s="872"/>
      <c r="O283" s="48">
        <f>IF(t&lt;Tnet,'2020'!Resal+('2020'!Salim-'2020'!Resal)*(1-EXP(('2020'!Tnet-t)/('2020'!Tau_j))),Resal+(Salim-Resal)*(1-EXP((Tnet-t)/(Tau_j))))*Salcycl</f>
        <v>8.0811252239317163E-2</v>
      </c>
      <c r="P283" s="171">
        <f>(INDEX(Models!$BJ283:$BT283,,T283)*(1-R283)+INDEX(Models!$BJ283:$BT283,,T283+1)*R283-ERP_i)*Q283*Ramure*Pc/MaxiM</f>
        <v>7.9894341935609972E-3</v>
      </c>
      <c r="Q283" s="307">
        <f t="shared" si="101"/>
        <v>0.9</v>
      </c>
      <c r="R283" s="179">
        <f t="shared" si="102"/>
        <v>0.89317767264141856</v>
      </c>
      <c r="S283" s="839">
        <f t="shared" si="103"/>
        <v>-1</v>
      </c>
      <c r="T283" s="178">
        <f t="shared" si="104"/>
        <v>5</v>
      </c>
      <c r="U283" s="253">
        <f t="shared" si="105"/>
        <v>-0.10682232735858144</v>
      </c>
      <c r="V283" s="385">
        <f t="shared" si="106"/>
        <v>36.942687189801624</v>
      </c>
      <c r="W283" s="404"/>
      <c r="X283" s="157">
        <f t="shared" si="107"/>
        <v>44465</v>
      </c>
      <c r="Y283" s="387">
        <f t="shared" si="108"/>
        <v>25.88324975876219</v>
      </c>
      <c r="Z283" s="387">
        <f t="shared" si="109"/>
        <v>26.586539847194153</v>
      </c>
      <c r="AA283" s="388">
        <f t="shared" si="110"/>
        <v>31.298275883103472</v>
      </c>
      <c r="AB283" s="199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0.15054299008377556</v>
      </c>
      <c r="AD283" s="233">
        <f>(INDEX(Models!$BJ283:$BT283,,AH283)*(1-AF283)+INDEX(Models!$BJ283:$BT283,,AH283+1)*AF283-ERP_i)*AE283*Ramure*Pc/MaxiM</f>
        <v>7.9894341935609972E-3</v>
      </c>
      <c r="AE283" s="307">
        <f t="shared" si="112"/>
        <v>0.9</v>
      </c>
      <c r="AF283" s="179">
        <f t="shared" si="113"/>
        <v>0.89317767264141856</v>
      </c>
      <c r="AG283" s="839">
        <f t="shared" si="119"/>
        <v>-1</v>
      </c>
      <c r="AH283" s="178">
        <f t="shared" si="114"/>
        <v>5</v>
      </c>
      <c r="AI283" s="227">
        <f t="shared" si="115"/>
        <v>-0.10682232735858144</v>
      </c>
      <c r="AJ283" s="267" t="b">
        <f t="shared" si="116"/>
        <v>0</v>
      </c>
      <c r="AK283" s="267" t="b">
        <f t="shared" si="117"/>
        <v>0</v>
      </c>
      <c r="AL283" s="267"/>
      <c r="AM283" s="267"/>
      <c r="AN283" s="75"/>
    </row>
    <row r="284" spans="1:40" s="6" customFormat="1" ht="11.25" x14ac:dyDescent="0.2">
      <c r="A284" s="56">
        <f t="shared" si="118"/>
        <v>44466</v>
      </c>
      <c r="B284" s="620">
        <v>22.265000000000001</v>
      </c>
      <c r="C284" s="392"/>
      <c r="D284" s="395">
        <f t="shared" si="98"/>
        <v>22.870508574495563</v>
      </c>
      <c r="E284" s="387">
        <f t="shared" si="96"/>
        <v>24.887604967599717</v>
      </c>
      <c r="F284" s="387">
        <f t="shared" si="99"/>
        <v>24.976898672922466</v>
      </c>
      <c r="G284" s="110">
        <f t="shared" si="97"/>
        <v>0.606943072570584</v>
      </c>
      <c r="H284" s="416" t="b">
        <f>Wh_hp&gt;='2020'!Maxi_hp</f>
        <v>0</v>
      </c>
      <c r="I284" s="382">
        <f>IF(H284,Wh_hp,'2020'!Maxi_hp)</f>
        <v>32.432173480535852</v>
      </c>
      <c r="J284" s="85">
        <f>IF(H284,An,'2020'!An_max)</f>
        <v>2019</v>
      </c>
      <c r="K284" s="199">
        <f t="shared" si="100"/>
        <v>44466</v>
      </c>
      <c r="L284" s="147">
        <f>IF(t&lt;Tvie,1-EXP((T0-t)*PertePVj)+'2020'!Pspv,1-EXP((T0-t)*PertePVj)+Pspv)</f>
        <v>2.647551857114383E-2</v>
      </c>
      <c r="M284" s="872"/>
      <c r="N284" s="872"/>
      <c r="O284" s="48">
        <f>IF(t&lt;Tnet,'2020'!Resal+('2020'!Salim-'2020'!Resal)*(1-EXP(('2020'!Tnet-t)/('2020'!Tau_j))),Resal+(Salim-Resal)*(1-EXP((Tnet-t)/(Tau_j))))*Salcycl</f>
        <v>8.1048232472756637E-2</v>
      </c>
      <c r="P284" s="171">
        <f>(INDEX(Models!$BJ284:$BT284,,T284)*(1-R284)+INDEX(Models!$BJ284:$BT284,,T284+1)*R284-ERP_i)*Q284*Ramure*Pc/MaxiM</f>
        <v>8.080519657924834E-3</v>
      </c>
      <c r="Q284" s="307">
        <f t="shared" si="101"/>
        <v>0.9</v>
      </c>
      <c r="R284" s="179">
        <f t="shared" si="102"/>
        <v>0.89345719382511779</v>
      </c>
      <c r="S284" s="839">
        <f t="shared" si="103"/>
        <v>-1</v>
      </c>
      <c r="T284" s="178">
        <f t="shared" si="104"/>
        <v>5</v>
      </c>
      <c r="U284" s="253">
        <f t="shared" si="105"/>
        <v>-0.10654280617488221</v>
      </c>
      <c r="V284" s="385">
        <f t="shared" si="106"/>
        <v>36.517964935068683</v>
      </c>
      <c r="W284" s="404"/>
      <c r="X284" s="157">
        <f t="shared" si="107"/>
        <v>44466</v>
      </c>
      <c r="Y284" s="387">
        <f t="shared" si="108"/>
        <v>20.580844132419717</v>
      </c>
      <c r="Z284" s="387">
        <f t="shared" si="109"/>
        <v>21.140551188001876</v>
      </c>
      <c r="AA284" s="388">
        <f t="shared" si="110"/>
        <v>24.887604967599717</v>
      </c>
      <c r="AB284" s="199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0.15055903468718662</v>
      </c>
      <c r="AD284" s="233">
        <f>(INDEX(Models!$BJ284:$BT284,,AH284)*(1-AF284)+INDEX(Models!$BJ284:$BT284,,AH284+1)*AF284-ERP_i)*AE284*Ramure*Pc/MaxiM</f>
        <v>8.080519657924834E-3</v>
      </c>
      <c r="AE284" s="307">
        <f t="shared" si="112"/>
        <v>0.9</v>
      </c>
      <c r="AF284" s="179">
        <f t="shared" si="113"/>
        <v>0.89345719382511779</v>
      </c>
      <c r="AG284" s="839">
        <f t="shared" si="119"/>
        <v>-1</v>
      </c>
      <c r="AH284" s="178">
        <f t="shared" si="114"/>
        <v>5</v>
      </c>
      <c r="AI284" s="227">
        <f t="shared" si="115"/>
        <v>-0.10654280617488221</v>
      </c>
      <c r="AJ284" s="267" t="b">
        <f t="shared" si="116"/>
        <v>0</v>
      </c>
      <c r="AK284" s="267" t="b">
        <f t="shared" si="117"/>
        <v>0</v>
      </c>
      <c r="AL284" s="267"/>
      <c r="AM284" s="267"/>
      <c r="AN284" s="75"/>
    </row>
    <row r="285" spans="1:40" s="6" customFormat="1" ht="11.25" x14ac:dyDescent="0.2">
      <c r="A285" s="56">
        <f t="shared" si="118"/>
        <v>44467</v>
      </c>
      <c r="B285" s="620">
        <v>22.994</v>
      </c>
      <c r="C285" s="392"/>
      <c r="D285" s="395">
        <f t="shared" si="98"/>
        <v>23.619883788310691</v>
      </c>
      <c r="E285" s="387">
        <f t="shared" si="96"/>
        <v>25.70963666062557</v>
      </c>
      <c r="F285" s="387">
        <f t="shared" si="99"/>
        <v>25.8112507743758</v>
      </c>
      <c r="G285" s="110">
        <f t="shared" si="97"/>
        <v>0.63433795938512771</v>
      </c>
      <c r="H285" s="416" t="b">
        <f>Wh_hp&gt;='2020'!Maxi_hp</f>
        <v>0</v>
      </c>
      <c r="I285" s="382">
        <f>IF(H285,Wh_hp,'2020'!Maxi_hp)</f>
        <v>28.532869501688754</v>
      </c>
      <c r="J285" s="85">
        <f>IF(H285,An,'2020'!An_max)</f>
        <v>2019</v>
      </c>
      <c r="K285" s="199">
        <f t="shared" si="100"/>
        <v>44467</v>
      </c>
      <c r="L285" s="147">
        <f>IF(t&lt;Tvie,1-EXP((T0-t)*PertePVj)+'2020'!Pspv,1-EXP((T0-t)*PertePVj)+Pspv)</f>
        <v>2.6498173908054423E-2</v>
      </c>
      <c r="M285" s="872"/>
      <c r="N285" s="872"/>
      <c r="O285" s="48">
        <f>IF(t&lt;Tnet,'2020'!Resal+('2020'!Salim-'2020'!Resal)*(1-EXP(('2020'!Tnet-t)/('2020'!Tau_j))),Resal+(Salim-Resal)*(1-EXP((Tnet-t)/(Tau_j))))*Salcycl</f>
        <v>8.128286291635331E-2</v>
      </c>
      <c r="P285" s="171">
        <f>(INDEX(Models!$BJ285:$BT285,,T285)*(1-R285)+INDEX(Models!$BJ285:$BT285,,T285+1)*R285-ERP_i)*Q285*Ramure*Pc/MaxiM</f>
        <v>8.1761638068894426E-3</v>
      </c>
      <c r="Q285" s="307">
        <f t="shared" si="101"/>
        <v>0.9</v>
      </c>
      <c r="R285" s="179">
        <f t="shared" si="102"/>
        <v>0.89372570808316965</v>
      </c>
      <c r="S285" s="839">
        <f t="shared" si="103"/>
        <v>-1</v>
      </c>
      <c r="T285" s="178">
        <f t="shared" si="104"/>
        <v>5</v>
      </c>
      <c r="U285" s="253">
        <f t="shared" si="105"/>
        <v>-0.10627429191683035</v>
      </c>
      <c r="V285" s="385">
        <f t="shared" si="106"/>
        <v>36.094537295231603</v>
      </c>
      <c r="W285" s="404"/>
      <c r="X285" s="157">
        <f t="shared" si="107"/>
        <v>44467</v>
      </c>
      <c r="Y285" s="387">
        <f t="shared" si="108"/>
        <v>21.259799044658642</v>
      </c>
      <c r="Z285" s="387">
        <f t="shared" si="109"/>
        <v>21.838478855252493</v>
      </c>
      <c r="AA285" s="388">
        <f t="shared" si="110"/>
        <v>25.70963666062557</v>
      </c>
      <c r="AB285" s="199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0.15057224870477362</v>
      </c>
      <c r="AD285" s="233">
        <f>(INDEX(Models!$BJ285:$BT285,,AH285)*(1-AF285)+INDEX(Models!$BJ285:$BT285,,AH285+1)*AF285-ERP_i)*AE285*Ramure*Pc/MaxiM</f>
        <v>8.1761638068894426E-3</v>
      </c>
      <c r="AE285" s="307">
        <f t="shared" si="112"/>
        <v>0.9</v>
      </c>
      <c r="AF285" s="179">
        <f t="shared" si="113"/>
        <v>0.89372570808316965</v>
      </c>
      <c r="AG285" s="839">
        <f t="shared" si="119"/>
        <v>-1</v>
      </c>
      <c r="AH285" s="178">
        <f t="shared" si="114"/>
        <v>5</v>
      </c>
      <c r="AI285" s="227">
        <f t="shared" si="115"/>
        <v>-0.10627429191683035</v>
      </c>
      <c r="AJ285" s="267" t="b">
        <f t="shared" si="116"/>
        <v>0</v>
      </c>
      <c r="AK285" s="267" t="b">
        <f t="shared" si="117"/>
        <v>0</v>
      </c>
      <c r="AL285" s="267"/>
      <c r="AM285" s="267"/>
      <c r="AN285" s="75"/>
    </row>
    <row r="286" spans="1:40" s="6" customFormat="1" ht="11.25" x14ac:dyDescent="0.2">
      <c r="A286" s="56">
        <f t="shared" si="118"/>
        <v>44468</v>
      </c>
      <c r="B286" s="620">
        <v>22.952999999999999</v>
      </c>
      <c r="C286" s="392"/>
      <c r="D286" s="395">
        <f t="shared" si="98"/>
        <v>23.578316493168025</v>
      </c>
      <c r="E286" s="387">
        <f t="shared" si="96"/>
        <v>25.67088092609778</v>
      </c>
      <c r="F286" s="387">
        <f t="shared" si="99"/>
        <v>25.77553955469098</v>
      </c>
      <c r="G286" s="110">
        <f t="shared" si="97"/>
        <v>0.64069866230510797</v>
      </c>
      <c r="H286" s="416" t="b">
        <f>Wh_hp&gt;='2020'!Maxi_hp</f>
        <v>0</v>
      </c>
      <c r="I286" s="382">
        <f>IF(H286,Wh_hp,'2020'!Maxi_hp)</f>
        <v>39.545102096867112</v>
      </c>
      <c r="J286" s="85">
        <f>IF(H286,An,'2020'!An_max)</f>
        <v>2019</v>
      </c>
      <c r="K286" s="199">
        <f t="shared" si="100"/>
        <v>44468</v>
      </c>
      <c r="L286" s="147">
        <f>IF(t&lt;Tvie,1-EXP((T0-t)*PertePVj)+'2020'!Pspv,1-EXP((T0-t)*PertePVj)+Pspv)</f>
        <v>2.6520828717742195E-2</v>
      </c>
      <c r="M286" s="872"/>
      <c r="N286" s="872"/>
      <c r="O286" s="48">
        <f>IF(t&lt;Tnet,'2020'!Resal+('2020'!Salim-'2020'!Resal)*(1-EXP(('2020'!Tnet-t)/('2020'!Tau_j))),Resal+(Salim-Resal)*(1-EXP((Tnet-t)/(Tau_j))))*Salcycl</f>
        <v>8.1515100278556907E-2</v>
      </c>
      <c r="P286" s="171">
        <f>(INDEX(Models!$BJ286:$BT286,,T286)*(1-R286)+INDEX(Models!$BJ286:$BT286,,T286+1)*R286-ERP_i)*Q286*Ramure*Pc/MaxiM</f>
        <v>8.2763103803310829E-3</v>
      </c>
      <c r="Q286" s="307">
        <f t="shared" si="101"/>
        <v>0.9</v>
      </c>
      <c r="R286" s="179">
        <f t="shared" si="102"/>
        <v>0.8939836393737185</v>
      </c>
      <c r="S286" s="839">
        <f t="shared" si="103"/>
        <v>-1</v>
      </c>
      <c r="T286" s="178">
        <f t="shared" si="104"/>
        <v>5</v>
      </c>
      <c r="U286" s="253">
        <f t="shared" si="105"/>
        <v>-0.1060163606262815</v>
      </c>
      <c r="V286" s="385">
        <f t="shared" si="106"/>
        <v>35.673302762288941</v>
      </c>
      <c r="W286" s="404"/>
      <c r="X286" s="157">
        <f t="shared" si="107"/>
        <v>44468</v>
      </c>
      <c r="Y286" s="387">
        <f t="shared" si="108"/>
        <v>21.226999275561571</v>
      </c>
      <c r="Z286" s="387">
        <f t="shared" si="109"/>
        <v>21.805293735870652</v>
      </c>
      <c r="AA286" s="388">
        <f t="shared" si="110"/>
        <v>25.67088092609778</v>
      </c>
      <c r="AB286" s="199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0.1505825686837749</v>
      </c>
      <c r="AD286" s="233">
        <f>(INDEX(Models!$BJ286:$BT286,,AH286)*(1-AF286)+INDEX(Models!$BJ286:$BT286,,AH286+1)*AF286-ERP_i)*AE286*Ramure*Pc/MaxiM</f>
        <v>8.2763103803310829E-3</v>
      </c>
      <c r="AE286" s="307">
        <f t="shared" si="112"/>
        <v>0.9</v>
      </c>
      <c r="AF286" s="179">
        <f t="shared" si="113"/>
        <v>0.8939836393737185</v>
      </c>
      <c r="AG286" s="839">
        <f t="shared" si="119"/>
        <v>-1</v>
      </c>
      <c r="AH286" s="178">
        <f t="shared" si="114"/>
        <v>5</v>
      </c>
      <c r="AI286" s="227">
        <f t="shared" si="115"/>
        <v>-0.1060163606262815</v>
      </c>
      <c r="AJ286" s="267" t="b">
        <f t="shared" si="116"/>
        <v>0</v>
      </c>
      <c r="AK286" s="267" t="b">
        <f t="shared" si="117"/>
        <v>0</v>
      </c>
      <c r="AL286" s="267"/>
      <c r="AM286" s="267"/>
      <c r="AN286" s="75"/>
    </row>
    <row r="287" spans="1:40" s="6" customFormat="1" ht="11.25" x14ac:dyDescent="0.2">
      <c r="A287" s="56">
        <f t="shared" si="118"/>
        <v>44469</v>
      </c>
      <c r="B287" s="620">
        <v>19.527999999999999</v>
      </c>
      <c r="C287" s="392"/>
      <c r="D287" s="395">
        <f t="shared" si="98"/>
        <v>20.060474873788738</v>
      </c>
      <c r="E287" s="387">
        <f t="shared" si="96"/>
        <v>21.846298412827174</v>
      </c>
      <c r="F287" s="387">
        <f t="shared" si="99"/>
        <v>21.912912021450754</v>
      </c>
      <c r="G287" s="110">
        <f t="shared" si="97"/>
        <v>0.55093734733783839</v>
      </c>
      <c r="H287" s="416" t="b">
        <f>Wh_hp&gt;='2020'!Maxi_hp</f>
        <v>0</v>
      </c>
      <c r="I287" s="382">
        <f>IF(H287,Wh_hp,'2020'!Maxi_hp)</f>
        <v>31.942652402822652</v>
      </c>
      <c r="J287" s="85">
        <f>IF(H287,An,'2020'!An_max)</f>
        <v>2020</v>
      </c>
      <c r="K287" s="199">
        <f t="shared" si="100"/>
        <v>44469</v>
      </c>
      <c r="L287" s="147">
        <f>IF(t&lt;Tvie,1-EXP((T0-t)*PertePVj)+'2020'!Pspv,1-EXP((T0-t)*PertePVj)+Pspv)</f>
        <v>2.654348300021947E-2</v>
      </c>
      <c r="M287" s="872"/>
      <c r="N287" s="872"/>
      <c r="O287" s="48">
        <f>IF(t&lt;Tnet,'2020'!Resal+('2020'!Salim-'2020'!Resal)*(1-EXP(('2020'!Tnet-t)/('2020'!Tau_j))),Resal+(Salim-Resal)*(1-EXP((Tnet-t)/(Tau_j))))*Salcycl</f>
        <v>8.1744902742419773E-2</v>
      </c>
      <c r="P287" s="171">
        <f>(INDEX(Models!$BJ287:$BT287,,T287)*(1-R287)+INDEX(Models!$BJ287:$BT287,,T287+1)*R287-ERP_i)*Q287*Ramure*Pc/MaxiM</f>
        <v>8.3808887323973021E-3</v>
      </c>
      <c r="Q287" s="307">
        <f t="shared" si="101"/>
        <v>0.9</v>
      </c>
      <c r="R287" s="179">
        <f t="shared" si="102"/>
        <v>0.8942313960657251</v>
      </c>
      <c r="S287" s="839">
        <f t="shared" si="103"/>
        <v>-1</v>
      </c>
      <c r="T287" s="178">
        <f t="shared" si="104"/>
        <v>5</v>
      </c>
      <c r="U287" s="253">
        <f t="shared" si="105"/>
        <v>-0.1057686039342749</v>
      </c>
      <c r="V287" s="385">
        <f t="shared" si="106"/>
        <v>35.255158735889474</v>
      </c>
      <c r="W287" s="404"/>
      <c r="X287" s="157">
        <f t="shared" si="107"/>
        <v>44469</v>
      </c>
      <c r="Y287" s="387">
        <f t="shared" si="108"/>
        <v>18.063912533186201</v>
      </c>
      <c r="Z287" s="387">
        <f t="shared" si="109"/>
        <v>18.556465766811723</v>
      </c>
      <c r="AA287" s="388">
        <f t="shared" si="110"/>
        <v>21.846298412827174</v>
      </c>
      <c r="AB287" s="199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0.15058993445241087</v>
      </c>
      <c r="AD287" s="233">
        <f>(INDEX(Models!$BJ287:$BT287,,AH287)*(1-AF287)+INDEX(Models!$BJ287:$BT287,,AH287+1)*AF287-ERP_i)*AE287*Ramure*Pc/MaxiM</f>
        <v>8.3808887323973021E-3</v>
      </c>
      <c r="AE287" s="307">
        <f t="shared" si="112"/>
        <v>0.9</v>
      </c>
      <c r="AF287" s="179">
        <f t="shared" si="113"/>
        <v>0.8942313960657251</v>
      </c>
      <c r="AG287" s="839">
        <f t="shared" si="119"/>
        <v>-1</v>
      </c>
      <c r="AH287" s="178">
        <f t="shared" si="114"/>
        <v>5</v>
      </c>
      <c r="AI287" s="227">
        <f t="shared" si="115"/>
        <v>-0.1057686039342749</v>
      </c>
      <c r="AJ287" s="267" t="b">
        <f t="shared" si="116"/>
        <v>0</v>
      </c>
      <c r="AK287" s="267" t="b">
        <f t="shared" si="117"/>
        <v>0</v>
      </c>
      <c r="AL287" s="267"/>
      <c r="AM287" s="267"/>
      <c r="AN287" s="75"/>
    </row>
    <row r="288" spans="1:40" s="6" customFormat="1" ht="11.25" x14ac:dyDescent="0.2">
      <c r="A288" s="56">
        <f t="shared" si="118"/>
        <v>44470</v>
      </c>
      <c r="B288" s="620">
        <v>26.873000000000001</v>
      </c>
      <c r="C288" s="392"/>
      <c r="D288" s="395">
        <f t="shared" si="98"/>
        <v>27.606395272125638</v>
      </c>
      <c r="E288" s="387">
        <f t="shared" si="96"/>
        <v>30.071416337676428</v>
      </c>
      <c r="F288" s="387">
        <f t="shared" si="99"/>
        <v>30.244296250777897</v>
      </c>
      <c r="G288" s="110">
        <f t="shared" si="97"/>
        <v>0.7691522280536266</v>
      </c>
      <c r="H288" s="416" t="b">
        <f>Wh_hp&gt;='2020'!Maxi_hp</f>
        <v>0</v>
      </c>
      <c r="I288" s="382">
        <f>IF(H288,Wh_hp,'2020'!Maxi_hp)</f>
        <v>37.95557881687494</v>
      </c>
      <c r="J288" s="85">
        <f>IF(H288,An,'2020'!An_max)</f>
        <v>2020</v>
      </c>
      <c r="K288" s="199">
        <f t="shared" si="100"/>
        <v>44470</v>
      </c>
      <c r="L288" s="147">
        <f>IF(t&lt;Tvie,1-EXP((T0-t)*PertePVj)+'2020'!Pspv,1-EXP((T0-t)*PertePVj)+Pspv)</f>
        <v>2.656613675549846E-2</v>
      </c>
      <c r="M288" s="872"/>
      <c r="N288" s="872"/>
      <c r="O288" s="48">
        <f>IF(t&lt;Tnet,'2020'!Resal+('2020'!Salim-'2020'!Resal)*(1-EXP(('2020'!Tnet-t)/('2020'!Tau_j))),Resal+(Salim-Resal)*(1-EXP((Tnet-t)/(Tau_j))))*Salcycl</f>
        <v>8.1972230302380877E-2</v>
      </c>
      <c r="P288" s="171">
        <f>(INDEX(Models!$BJ288:$BT288,,T288)*(1-R288)+INDEX(Models!$BJ288:$BT288,,T288+1)*R288-ERP_i)*Q288*Ramure*Pc/MaxiM</f>
        <v>8.4898119041372337E-3</v>
      </c>
      <c r="Q288" s="307">
        <f t="shared" si="101"/>
        <v>0.9</v>
      </c>
      <c r="R288" s="179">
        <f t="shared" si="102"/>
        <v>0.89446937145383443</v>
      </c>
      <c r="S288" s="839">
        <f t="shared" si="103"/>
        <v>-1</v>
      </c>
      <c r="T288" s="178">
        <f t="shared" si="104"/>
        <v>5</v>
      </c>
      <c r="U288" s="253">
        <f t="shared" si="105"/>
        <v>-0.10553062854616557</v>
      </c>
      <c r="V288" s="385">
        <f t="shared" si="106"/>
        <v>34.84100153979054</v>
      </c>
      <c r="W288" s="404"/>
      <c r="X288" s="157">
        <f t="shared" si="107"/>
        <v>44470</v>
      </c>
      <c r="Y288" s="387">
        <f t="shared" si="108"/>
        <v>24.864258366315216</v>
      </c>
      <c r="Z288" s="387">
        <f t="shared" si="109"/>
        <v>25.542832754391199</v>
      </c>
      <c r="AA288" s="388">
        <f t="shared" si="110"/>
        <v>30.071416337676428</v>
      </c>
      <c r="AB288" s="199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0.15059428968802421</v>
      </c>
      <c r="AD288" s="233">
        <f>(INDEX(Models!$BJ288:$BT288,,AH288)*(1-AF288)+INDEX(Models!$BJ288:$BT288,,AH288+1)*AF288-ERP_i)*AE288*Ramure*Pc/MaxiM</f>
        <v>8.4898119041372337E-3</v>
      </c>
      <c r="AE288" s="307">
        <f t="shared" si="112"/>
        <v>0.9</v>
      </c>
      <c r="AF288" s="179">
        <f t="shared" si="113"/>
        <v>0.89446937145383443</v>
      </c>
      <c r="AG288" s="839">
        <f t="shared" si="119"/>
        <v>-1</v>
      </c>
      <c r="AH288" s="178">
        <f t="shared" si="114"/>
        <v>5</v>
      </c>
      <c r="AI288" s="227">
        <f t="shared" si="115"/>
        <v>-0.10553062854616557</v>
      </c>
      <c r="AJ288" s="267" t="b">
        <f t="shared" si="116"/>
        <v>0</v>
      </c>
      <c r="AK288" s="267" t="b">
        <f t="shared" si="117"/>
        <v>0</v>
      </c>
      <c r="AL288" s="267"/>
      <c r="AM288" s="267"/>
      <c r="AN288" s="75"/>
    </row>
    <row r="289" spans="1:40" s="6" customFormat="1" ht="11.25" x14ac:dyDescent="0.2">
      <c r="A289" s="56">
        <f t="shared" si="118"/>
        <v>44471</v>
      </c>
      <c r="B289" s="620">
        <v>32.999000000000002</v>
      </c>
      <c r="C289" s="392"/>
      <c r="D289" s="395">
        <f t="shared" si="98"/>
        <v>33.900369813332794</v>
      </c>
      <c r="E289" s="387">
        <f t="shared" si="96"/>
        <v>36.936435683444202</v>
      </c>
      <c r="F289" s="387">
        <f t="shared" si="99"/>
        <v>37.237843335941406</v>
      </c>
      <c r="G289" s="110">
        <f t="shared" si="97"/>
        <v>0.95801954824201141</v>
      </c>
      <c r="H289" s="416" t="b">
        <f>Wh_hp&gt;='2020'!Maxi_hp</f>
        <v>1</v>
      </c>
      <c r="I289" s="382">
        <f>IF(H289,Wh_hp,'2020'!Maxi_hp)</f>
        <v>37.237843335941406</v>
      </c>
      <c r="J289" s="85">
        <f>IF(H289,An,'2020'!An_max)</f>
        <v>2021</v>
      </c>
      <c r="K289" s="199">
        <f t="shared" si="100"/>
        <v>44471</v>
      </c>
      <c r="L289" s="147">
        <f>IF(t&lt;Tvie,1-EXP((T0-t)*PertePVj)+'2020'!Pspv,1-EXP((T0-t)*PertePVj)+Pspv)</f>
        <v>2.6588789983591488E-2</v>
      </c>
      <c r="M289" s="872"/>
      <c r="N289" s="872"/>
      <c r="O289" s="48">
        <f>IF(t&lt;Tnet,'2020'!Resal+('2020'!Salim-'2020'!Resal)*(1-EXP(('2020'!Tnet-t)/('2020'!Tau_j))),Resal+(Salim-Resal)*(1-EXP((Tnet-t)/(Tau_j))))*Salcycl</f>
        <v>8.2197045110994474E-2</v>
      </c>
      <c r="P289" s="171">
        <f>(INDEX(Models!$BJ289:$BT289,,T289)*(1-R289)+INDEX(Models!$BJ289:$BT289,,T289+1)*R289-ERP_i)*Q289*Ramure*Pc/MaxiM</f>
        <v>8.6040690047717444E-3</v>
      </c>
      <c r="Q289" s="307">
        <f t="shared" si="101"/>
        <v>0.9</v>
      </c>
      <c r="R289" s="179">
        <f t="shared" si="102"/>
        <v>0.89469794426095917</v>
      </c>
      <c r="S289" s="839">
        <f t="shared" si="103"/>
        <v>-1</v>
      </c>
      <c r="T289" s="178">
        <f t="shared" si="104"/>
        <v>5</v>
      </c>
      <c r="U289" s="253">
        <f t="shared" si="105"/>
        <v>-0.10530205573904083</v>
      </c>
      <c r="V289" s="385">
        <f t="shared" si="106"/>
        <v>34.427308928077451</v>
      </c>
      <c r="W289" s="404"/>
      <c r="X289" s="157">
        <f t="shared" si="107"/>
        <v>44471</v>
      </c>
      <c r="Y289" s="387">
        <f t="shared" si="108"/>
        <v>30.539775693625693</v>
      </c>
      <c r="Z289" s="387">
        <f t="shared" si="109"/>
        <v>31.373971636417554</v>
      </c>
      <c r="AA289" s="388">
        <f t="shared" si="110"/>
        <v>36.936435683444202</v>
      </c>
      <c r="AB289" s="199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0.15059558249470933</v>
      </c>
      <c r="AD289" s="233">
        <f>(INDEX(Models!$BJ289:$BT289,,AH289)*(1-AF289)+INDEX(Models!$BJ289:$BT289,,AH289+1)*AF289-ERP_i)*AE289*Ramure*Pc/MaxiM</f>
        <v>8.6040690047717444E-3</v>
      </c>
      <c r="AE289" s="307">
        <f t="shared" si="112"/>
        <v>0.9</v>
      </c>
      <c r="AF289" s="179">
        <f t="shared" si="113"/>
        <v>0.89469794426095917</v>
      </c>
      <c r="AG289" s="839">
        <f t="shared" si="119"/>
        <v>-1</v>
      </c>
      <c r="AH289" s="178">
        <f t="shared" si="114"/>
        <v>5</v>
      </c>
      <c r="AI289" s="227">
        <f t="shared" si="115"/>
        <v>-0.10530205573904083</v>
      </c>
      <c r="AJ289" s="267" t="b">
        <f t="shared" si="116"/>
        <v>0</v>
      </c>
      <c r="AK289" s="267" t="b">
        <f t="shared" si="117"/>
        <v>0</v>
      </c>
      <c r="AL289" s="267"/>
      <c r="AM289" s="267"/>
      <c r="AN289" s="75"/>
    </row>
    <row r="290" spans="1:40" s="6" customFormat="1" ht="11.25" x14ac:dyDescent="0.2">
      <c r="A290" s="56">
        <f t="shared" si="118"/>
        <v>44472</v>
      </c>
      <c r="B290" s="620">
        <v>5.9610000000000003</v>
      </c>
      <c r="C290" s="392"/>
      <c r="D290" s="395">
        <f t="shared" si="98"/>
        <v>6.1239676131388459</v>
      </c>
      <c r="E290" s="387">
        <f t="shared" si="96"/>
        <v>6.6740371632853748</v>
      </c>
      <c r="F290" s="387">
        <f t="shared" si="99"/>
        <v>6.6740371632853748</v>
      </c>
      <c r="G290" s="110">
        <f t="shared" si="97"/>
        <v>0.17373956611474439</v>
      </c>
      <c r="H290" s="416" t="b">
        <f>Wh_hp&gt;='2020'!Maxi_hp</f>
        <v>0</v>
      </c>
      <c r="I290" s="382">
        <f>IF(H290,Wh_hp,'2020'!Maxi_hp)</f>
        <v>36.035375229537863</v>
      </c>
      <c r="J290" s="85">
        <f>IF(H290,An,'2020'!An_max)</f>
        <v>2018</v>
      </c>
      <c r="K290" s="199">
        <f t="shared" si="100"/>
        <v>44472</v>
      </c>
      <c r="L290" s="147">
        <f>IF(t&lt;Tvie,1-EXP((T0-t)*PertePVj)+'2020'!Pspv,1-EXP((T0-t)*PertePVj)+Pspv)</f>
        <v>2.6611442684510878E-2</v>
      </c>
      <c r="M290" s="872"/>
      <c r="N290" s="872"/>
      <c r="O290" s="48">
        <f>IF(t&lt;Tnet,'2020'!Resal+('2020'!Salim-'2020'!Resal)*(1-EXP(('2020'!Tnet-t)/('2020'!Tau_j))),Resal+(Salim-Resal)*(1-EXP((Tnet-t)/(Tau_j))))*Salcycl</f>
        <v>8.2419311833101971E-2</v>
      </c>
      <c r="P290" s="171">
        <f>(INDEX(Models!$BJ290:$BT290,,T290)*(1-R290)+INDEX(Models!$BJ290:$BT290,,T290+1)*R290-ERP_i)*Q290*Ramure*Pc/MaxiM</f>
        <v>8.7475709772059009E-3</v>
      </c>
      <c r="Q290" s="307">
        <f t="shared" si="101"/>
        <v>0.9</v>
      </c>
      <c r="R290" s="179">
        <f t="shared" si="102"/>
        <v>0.89491747912845465</v>
      </c>
      <c r="S290" s="839">
        <f t="shared" si="103"/>
        <v>-1</v>
      </c>
      <c r="T290" s="178">
        <f t="shared" si="104"/>
        <v>5</v>
      </c>
      <c r="U290" s="253">
        <f t="shared" si="105"/>
        <v>-0.10508252087154535</v>
      </c>
      <c r="V290" s="385">
        <f t="shared" si="106"/>
        <v>34.009845089071057</v>
      </c>
      <c r="W290" s="404"/>
      <c r="X290" s="157">
        <f t="shared" si="107"/>
        <v>44472</v>
      </c>
      <c r="Y290" s="387">
        <f t="shared" si="108"/>
        <v>5.5181093349664039</v>
      </c>
      <c r="Z290" s="387">
        <f t="shared" si="109"/>
        <v>5.6689687725370561</v>
      </c>
      <c r="AA290" s="388">
        <f t="shared" si="110"/>
        <v>6.6740371632853748</v>
      </c>
      <c r="AB290" s="199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0.15059376598579829</v>
      </c>
      <c r="AD290" s="233">
        <f>(INDEX(Models!$BJ290:$BT290,,AH290)*(1-AF290)+INDEX(Models!$BJ290:$BT290,,AH290+1)*AF290-ERP_i)*AE290*Ramure*Pc/MaxiM</f>
        <v>8.7475709772059009E-3</v>
      </c>
      <c r="AE290" s="307">
        <f t="shared" si="112"/>
        <v>0.9</v>
      </c>
      <c r="AF290" s="179">
        <f t="shared" si="113"/>
        <v>0.89491747912845465</v>
      </c>
      <c r="AG290" s="839">
        <f t="shared" si="119"/>
        <v>-1</v>
      </c>
      <c r="AH290" s="178">
        <f t="shared" si="114"/>
        <v>5</v>
      </c>
      <c r="AI290" s="227">
        <f t="shared" si="115"/>
        <v>-0.10508252087154535</v>
      </c>
      <c r="AJ290" s="267" t="b">
        <f t="shared" si="116"/>
        <v>0</v>
      </c>
      <c r="AK290" s="267" t="b">
        <f t="shared" si="117"/>
        <v>0</v>
      </c>
      <c r="AL290" s="267"/>
      <c r="AM290" s="267"/>
      <c r="AN290" s="75"/>
    </row>
    <row r="291" spans="1:40" s="6" customFormat="1" ht="11.25" x14ac:dyDescent="0.2">
      <c r="A291" s="56">
        <f t="shared" si="118"/>
        <v>44473</v>
      </c>
      <c r="B291" s="620">
        <v>30.236000000000001</v>
      </c>
      <c r="C291" s="392"/>
      <c r="D291" s="395">
        <f t="shared" si="98"/>
        <v>31.063344052098632</v>
      </c>
      <c r="E291" s="387">
        <f t="shared" si="96"/>
        <v>33.8616356968923</v>
      </c>
      <c r="F291" s="387">
        <f t="shared" si="99"/>
        <v>34.122776140718145</v>
      </c>
      <c r="G291" s="110">
        <f t="shared" si="97"/>
        <v>0.89900891639550073</v>
      </c>
      <c r="H291" s="416" t="b">
        <f>Wh_hp&gt;='2020'!Maxi_hp</f>
        <v>0</v>
      </c>
      <c r="I291" s="382">
        <f>IF(H291,Wh_hp,'2020'!Maxi_hp)</f>
        <v>35.9166178794583</v>
      </c>
      <c r="J291" s="85">
        <f>IF(H291,An,'2020'!An_max)</f>
        <v>2018</v>
      </c>
      <c r="K291" s="199">
        <f t="shared" si="100"/>
        <v>44473</v>
      </c>
      <c r="L291" s="147">
        <f>IF(t&lt;Tvie,1-EXP((T0-t)*PertePVj)+'2020'!Pspv,1-EXP((T0-t)*PertePVj)+Pspv)</f>
        <v>2.6634094858268731E-2</v>
      </c>
      <c r="M291" s="872"/>
      <c r="N291" s="872"/>
      <c r="O291" s="48">
        <f>IF(t&lt;Tnet,'2020'!Resal+('2020'!Salim-'2020'!Resal)*(1-EXP(('2020'!Tnet-t)/('2020'!Tau_j))),Resal+(Salim-Resal)*(1-EXP((Tnet-t)/(Tau_j))))*Salcycl</f>
        <v>8.2638998004768136E-2</v>
      </c>
      <c r="P291" s="171">
        <f>(INDEX(Models!$BJ291:$BT291,,T291)*(1-R291)+INDEX(Models!$BJ291:$BT291,,T291+1)*R291-ERP_i)*Q291*Ramure*Pc/MaxiM</f>
        <v>8.9260247261493154E-3</v>
      </c>
      <c r="Q291" s="307">
        <f t="shared" si="101"/>
        <v>0.9</v>
      </c>
      <c r="R291" s="179">
        <f t="shared" si="102"/>
        <v>0.89512832709381618</v>
      </c>
      <c r="S291" s="839">
        <f t="shared" si="103"/>
        <v>-1</v>
      </c>
      <c r="T291" s="178">
        <f t="shared" si="104"/>
        <v>5</v>
      </c>
      <c r="U291" s="253">
        <f t="shared" si="105"/>
        <v>-0.10487167290618382</v>
      </c>
      <c r="V291" s="385">
        <f t="shared" si="106"/>
        <v>33.58944543564828</v>
      </c>
      <c r="W291" s="404"/>
      <c r="X291" s="157">
        <f t="shared" si="107"/>
        <v>44473</v>
      </c>
      <c r="Y291" s="387">
        <f t="shared" si="108"/>
        <v>27.996390757420293</v>
      </c>
      <c r="Z291" s="387">
        <f t="shared" si="109"/>
        <v>28.762452649647468</v>
      </c>
      <c r="AA291" s="388">
        <f t="shared" si="110"/>
        <v>33.8616356968923</v>
      </c>
      <c r="AB291" s="199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0.15058879886634707</v>
      </c>
      <c r="AD291" s="233">
        <f>(INDEX(Models!$BJ291:$BT291,,AH291)*(1-AF291)+INDEX(Models!$BJ291:$BT291,,AH291+1)*AF291-ERP_i)*AE291*Ramure*Pc/MaxiM</f>
        <v>8.9260247261493154E-3</v>
      </c>
      <c r="AE291" s="307">
        <f t="shared" si="112"/>
        <v>0.9</v>
      </c>
      <c r="AF291" s="179">
        <f t="shared" si="113"/>
        <v>0.89512832709381618</v>
      </c>
      <c r="AG291" s="839">
        <f t="shared" si="119"/>
        <v>-1</v>
      </c>
      <c r="AH291" s="178">
        <f t="shared" si="114"/>
        <v>5</v>
      </c>
      <c r="AI291" s="227">
        <f t="shared" si="115"/>
        <v>-0.10487167290618382</v>
      </c>
      <c r="AJ291" s="267" t="b">
        <f t="shared" si="116"/>
        <v>0</v>
      </c>
      <c r="AK291" s="267" t="b">
        <f t="shared" si="117"/>
        <v>0</v>
      </c>
      <c r="AL291" s="267"/>
      <c r="AM291" s="267"/>
      <c r="AN291" s="75"/>
    </row>
    <row r="292" spans="1:40" s="6" customFormat="1" ht="11.25" x14ac:dyDescent="0.2">
      <c r="A292" s="56">
        <f t="shared" si="118"/>
        <v>44474</v>
      </c>
      <c r="B292" s="620">
        <v>11.391999999999999</v>
      </c>
      <c r="C292" s="392"/>
      <c r="D292" s="395">
        <f t="shared" si="98"/>
        <v>11.703990302591732</v>
      </c>
      <c r="E292" s="387">
        <f t="shared" si="96"/>
        <v>12.761345276162915</v>
      </c>
      <c r="F292" s="387">
        <f t="shared" si="99"/>
        <v>12.768593546612031</v>
      </c>
      <c r="G292" s="110">
        <f t="shared" si="97"/>
        <v>0.34052660171719579</v>
      </c>
      <c r="H292" s="416" t="b">
        <f>Wh_hp&gt;='2020'!Maxi_hp</f>
        <v>0</v>
      </c>
      <c r="I292" s="382">
        <f>IF(H292,Wh_hp,'2020'!Maxi_hp)</f>
        <v>35.362912438789422</v>
      </c>
      <c r="J292" s="85">
        <f>IF(H292,An,'2020'!An_max)</f>
        <v>2018</v>
      </c>
      <c r="K292" s="199">
        <f t="shared" si="100"/>
        <v>44474</v>
      </c>
      <c r="L292" s="147">
        <f>IF(t&lt;Tvie,1-EXP((T0-t)*PertePVj)+'2020'!Pspv,1-EXP((T0-t)*PertePVj)+Pspv)</f>
        <v>2.6656746504877482E-2</v>
      </c>
      <c r="M292" s="872"/>
      <c r="N292" s="872"/>
      <c r="O292" s="48">
        <f>IF(t&lt;Tnet,'2020'!Resal+('2020'!Salim-'2020'!Resal)*(1-EXP(('2020'!Tnet-t)/('2020'!Tau_j))),Resal+(Salim-Resal)*(1-EXP((Tnet-t)/(Tau_j))))*Salcycl</f>
        <v>8.2856074394149548E-2</v>
      </c>
      <c r="P292" s="171">
        <f>(INDEX(Models!$BJ292:$BT292,,T292)*(1-R292)+INDEX(Models!$BJ292:$BT292,,T292+1)*R292-ERP_i)*Q292*Ramure*Pc/MaxiM</f>
        <v>9.1405333144003714E-3</v>
      </c>
      <c r="Q292" s="307">
        <f t="shared" si="101"/>
        <v>0.9</v>
      </c>
      <c r="R292" s="179">
        <f t="shared" si="102"/>
        <v>0.89533082605586622</v>
      </c>
      <c r="S292" s="839">
        <f t="shared" si="103"/>
        <v>-1</v>
      </c>
      <c r="T292" s="178">
        <f t="shared" si="104"/>
        <v>5</v>
      </c>
      <c r="U292" s="253">
        <f t="shared" si="105"/>
        <v>-0.10466917394413378</v>
      </c>
      <c r="V292" s="385">
        <f t="shared" si="106"/>
        <v>33.167107487831508</v>
      </c>
      <c r="W292" s="404"/>
      <c r="X292" s="157">
        <f t="shared" si="107"/>
        <v>44474</v>
      </c>
      <c r="Y292" s="387">
        <f t="shared" si="108"/>
        <v>10.55078162814538</v>
      </c>
      <c r="Z292" s="387">
        <f t="shared" si="109"/>
        <v>10.839733660514092</v>
      </c>
      <c r="AA292" s="388">
        <f t="shared" si="110"/>
        <v>12.761345276162915</v>
      </c>
      <c r="AB292" s="199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0.15058064601059154</v>
      </c>
      <c r="AD292" s="233">
        <f>(INDEX(Models!$BJ292:$BT292,,AH292)*(1-AF292)+INDEX(Models!$BJ292:$BT292,,AH292+1)*AF292-ERP_i)*AE292*Ramure*Pc/MaxiM</f>
        <v>9.1405333144003714E-3</v>
      </c>
      <c r="AE292" s="307">
        <f t="shared" si="112"/>
        <v>0.9</v>
      </c>
      <c r="AF292" s="179">
        <f t="shared" si="113"/>
        <v>0.89533082605586622</v>
      </c>
      <c r="AG292" s="839">
        <f t="shared" si="119"/>
        <v>-1</v>
      </c>
      <c r="AH292" s="178">
        <f t="shared" si="114"/>
        <v>5</v>
      </c>
      <c r="AI292" s="227">
        <f t="shared" si="115"/>
        <v>-0.10466917394413378</v>
      </c>
      <c r="AJ292" s="267" t="b">
        <f t="shared" si="116"/>
        <v>0</v>
      </c>
      <c r="AK292" s="267" t="b">
        <f t="shared" si="117"/>
        <v>0</v>
      </c>
      <c r="AL292" s="267"/>
      <c r="AM292" s="267"/>
      <c r="AN292" s="75"/>
    </row>
    <row r="293" spans="1:40" s="6" customFormat="1" ht="11.25" x14ac:dyDescent="0.2">
      <c r="A293" s="56">
        <f t="shared" si="118"/>
        <v>44475</v>
      </c>
      <c r="B293" s="620">
        <v>27.939</v>
      </c>
      <c r="C293" s="392"/>
      <c r="D293" s="395">
        <f t="shared" si="98"/>
        <v>28.704827506792064</v>
      </c>
      <c r="E293" s="387">
        <f t="shared" si="96"/>
        <v>31.305381698030683</v>
      </c>
      <c r="F293" s="387">
        <f t="shared" si="99"/>
        <v>31.539510751204553</v>
      </c>
      <c r="G293" s="110">
        <f t="shared" si="97"/>
        <v>0.8515675211850956</v>
      </c>
      <c r="H293" s="416" t="b">
        <f>Wh_hp&gt;='2020'!Maxi_hp</f>
        <v>0</v>
      </c>
      <c r="I293" s="382">
        <f>IF(H293,Wh_hp,'2020'!Maxi_hp)</f>
        <v>33.977858149363783</v>
      </c>
      <c r="J293" s="85">
        <f>IF(H293,An,'2020'!An_max)</f>
        <v>2018</v>
      </c>
      <c r="K293" s="199">
        <f t="shared" si="100"/>
        <v>44475</v>
      </c>
      <c r="L293" s="147">
        <f>IF(t&lt;Tvie,1-EXP((T0-t)*PertePVj)+'2020'!Pspv,1-EXP((T0-t)*PertePVj)+Pspv)</f>
        <v>2.6679397624349233E-2</v>
      </c>
      <c r="M293" s="872"/>
      <c r="N293" s="872"/>
      <c r="O293" s="48">
        <f>IF(t&lt;Tnet,'2020'!Resal+('2020'!Salim-'2020'!Resal)*(1-EXP(('2020'!Tnet-t)/('2020'!Tau_j))),Resal+(Salim-Resal)*(1-EXP((Tnet-t)/(Tau_j))))*Salcycl</f>
        <v>8.3070515361331962E-2</v>
      </c>
      <c r="P293" s="171">
        <f>(INDEX(Models!$BJ293:$BT293,,T293)*(1-R293)+INDEX(Models!$BJ293:$BT293,,T293+1)*R293-ERP_i)*Q293*Ramure*Pc/MaxiM</f>
        <v>9.3922378661402892E-3</v>
      </c>
      <c r="Q293" s="307">
        <f t="shared" si="101"/>
        <v>0.9</v>
      </c>
      <c r="R293" s="179">
        <f t="shared" si="102"/>
        <v>0.89552530122744267</v>
      </c>
      <c r="S293" s="839">
        <f t="shared" si="103"/>
        <v>-1</v>
      </c>
      <c r="T293" s="178">
        <f t="shared" si="104"/>
        <v>5</v>
      </c>
      <c r="U293" s="253">
        <f t="shared" si="105"/>
        <v>-0.10447469877255733</v>
      </c>
      <c r="V293" s="385">
        <f t="shared" si="106"/>
        <v>32.743827525479809</v>
      </c>
      <c r="W293" s="404"/>
      <c r="X293" s="157">
        <f t="shared" si="107"/>
        <v>44475</v>
      </c>
      <c r="Y293" s="387">
        <f t="shared" si="108"/>
        <v>25.882300995648531</v>
      </c>
      <c r="Z293" s="387">
        <f t="shared" si="109"/>
        <v>26.591752946023966</v>
      </c>
      <c r="AA293" s="388">
        <f t="shared" si="110"/>
        <v>31.305381698030683</v>
      </c>
      <c r="AB293" s="199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0.1505692790292103</v>
      </c>
      <c r="AD293" s="233">
        <f>(INDEX(Models!$BJ293:$BT293,,AH293)*(1-AF293)+INDEX(Models!$BJ293:$BT293,,AH293+1)*AF293-ERP_i)*AE293*Ramure*Pc/MaxiM</f>
        <v>9.3922378661402892E-3</v>
      </c>
      <c r="AE293" s="307">
        <f t="shared" si="112"/>
        <v>0.9</v>
      </c>
      <c r="AF293" s="179">
        <f t="shared" si="113"/>
        <v>0.89552530122744267</v>
      </c>
      <c r="AG293" s="839">
        <f t="shared" si="119"/>
        <v>-1</v>
      </c>
      <c r="AH293" s="178">
        <f t="shared" si="114"/>
        <v>5</v>
      </c>
      <c r="AI293" s="227">
        <f t="shared" si="115"/>
        <v>-0.10447469877255733</v>
      </c>
      <c r="AJ293" s="267" t="b">
        <f t="shared" si="116"/>
        <v>0</v>
      </c>
      <c r="AK293" s="267" t="b">
        <f t="shared" si="117"/>
        <v>0</v>
      </c>
      <c r="AL293" s="267"/>
      <c r="AM293" s="267"/>
      <c r="AN293" s="75"/>
    </row>
    <row r="294" spans="1:40" s="6" customFormat="1" ht="11.25" x14ac:dyDescent="0.2">
      <c r="A294" s="56">
        <f t="shared" si="118"/>
        <v>44476</v>
      </c>
      <c r="B294" s="620">
        <v>32.383000000000003</v>
      </c>
      <c r="C294" s="392"/>
      <c r="D294" s="395">
        <f t="shared" si="98"/>
        <v>33.271414925580565</v>
      </c>
      <c r="E294" s="387">
        <f t="shared" si="96"/>
        <v>36.294068388835498</v>
      </c>
      <c r="F294" s="387">
        <f t="shared" si="99"/>
        <v>36.648914494338172</v>
      </c>
      <c r="G294" s="110">
        <f t="shared" si="97"/>
        <v>1.0019306381134199</v>
      </c>
      <c r="H294" s="416" t="b">
        <f>Wh_hp&gt;='2020'!Maxi_hp</f>
        <v>1</v>
      </c>
      <c r="I294" s="382">
        <f>IF(H294,Wh_hp,'2020'!Maxi_hp)</f>
        <v>36.648914494338172</v>
      </c>
      <c r="J294" s="85">
        <f>IF(H294,An,'2020'!An_max)</f>
        <v>2021</v>
      </c>
      <c r="K294" s="199">
        <f t="shared" si="100"/>
        <v>44476</v>
      </c>
      <c r="L294" s="147">
        <f>IF(t&lt;Tvie,1-EXP((T0-t)*PertePVj)+'2020'!Pspv,1-EXP((T0-t)*PertePVj)+Pspv)</f>
        <v>2.6702048216696417E-2</v>
      </c>
      <c r="M294" s="872"/>
      <c r="N294" s="872"/>
      <c r="O294" s="48">
        <f>IF(t&lt;Tnet,'2020'!Resal+('2020'!Salim-'2020'!Resal)*(1-EXP(('2020'!Tnet-t)/('2020'!Tau_j))),Resal+(Salim-Resal)*(1-EXP((Tnet-t)/(Tau_j))))*Salcycl</f>
        <v>8.3282299214070474E-2</v>
      </c>
      <c r="P294" s="171">
        <f>(INDEX(Models!$BJ294:$BT294,,T294)*(1-R294)+INDEX(Models!$BJ294:$BT294,,T294+1)*R294-ERP_i)*Q294*Ramure*Pc/MaxiM</f>
        <v>9.6823087504403719E-3</v>
      </c>
      <c r="Q294" s="307">
        <f t="shared" si="101"/>
        <v>0.9</v>
      </c>
      <c r="R294" s="179">
        <f t="shared" si="102"/>
        <v>0.89571206557563043</v>
      </c>
      <c r="S294" s="839">
        <f t="shared" si="103"/>
        <v>-1</v>
      </c>
      <c r="T294" s="178">
        <f t="shared" si="104"/>
        <v>5</v>
      </c>
      <c r="U294" s="253">
        <f t="shared" si="105"/>
        <v>-0.10428793442436957</v>
      </c>
      <c r="V294" s="385">
        <f t="shared" si="106"/>
        <v>32.320600616600963</v>
      </c>
      <c r="W294" s="404"/>
      <c r="X294" s="157">
        <f t="shared" si="107"/>
        <v>44476</v>
      </c>
      <c r="Y294" s="387">
        <f t="shared" si="108"/>
        <v>30.006607134254693</v>
      </c>
      <c r="Z294" s="387">
        <f t="shared" si="109"/>
        <v>30.829826652029581</v>
      </c>
      <c r="AA294" s="388">
        <f t="shared" si="110"/>
        <v>36.294068388835498</v>
      </c>
      <c r="AB294" s="199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0.15055467682115198</v>
      </c>
      <c r="AD294" s="233">
        <f>(INDEX(Models!$BJ294:$BT294,,AH294)*(1-AF294)+INDEX(Models!$BJ294:$BT294,,AH294+1)*AF294-ERP_i)*AE294*Ramure*Pc/MaxiM</f>
        <v>9.6823087504403719E-3</v>
      </c>
      <c r="AE294" s="307">
        <f t="shared" si="112"/>
        <v>0.9</v>
      </c>
      <c r="AF294" s="179">
        <f t="shared" si="113"/>
        <v>0.89571206557563043</v>
      </c>
      <c r="AG294" s="839">
        <f t="shared" si="119"/>
        <v>-1</v>
      </c>
      <c r="AH294" s="178">
        <f t="shared" si="114"/>
        <v>5</v>
      </c>
      <c r="AI294" s="227">
        <f t="shared" si="115"/>
        <v>-0.10428793442436957</v>
      </c>
      <c r="AJ294" s="267" t="b">
        <f t="shared" si="116"/>
        <v>0</v>
      </c>
      <c r="AK294" s="267" t="b">
        <f t="shared" si="117"/>
        <v>0</v>
      </c>
      <c r="AL294" s="267"/>
      <c r="AM294" s="267"/>
      <c r="AN294" s="75"/>
    </row>
    <row r="295" spans="1:40" s="6" customFormat="1" ht="11.25" x14ac:dyDescent="0.2">
      <c r="A295" s="56">
        <f t="shared" si="118"/>
        <v>44477</v>
      </c>
      <c r="B295" s="620">
        <v>31.577000000000002</v>
      </c>
      <c r="C295" s="392"/>
      <c r="D295" s="395">
        <f t="shared" si="98"/>
        <v>32.444057651785556</v>
      </c>
      <c r="E295" s="387">
        <f t="shared" si="96"/>
        <v>35.399621950819622</v>
      </c>
      <c r="F295" s="387">
        <f t="shared" si="99"/>
        <v>35.752420228658309</v>
      </c>
      <c r="G295" s="110">
        <f t="shared" si="97"/>
        <v>0.98977952881282882</v>
      </c>
      <c r="H295" s="416" t="b">
        <f>Wh_hp&gt;='2020'!Maxi_hp</f>
        <v>1</v>
      </c>
      <c r="I295" s="382">
        <f>IF(H295,Wh_hp,'2020'!Maxi_hp)</f>
        <v>35.752420228658309</v>
      </c>
      <c r="J295" s="85">
        <f>IF(H295,An,'2020'!An_max)</f>
        <v>2021</v>
      </c>
      <c r="K295" s="199">
        <f t="shared" si="100"/>
        <v>44477</v>
      </c>
      <c r="L295" s="147">
        <f>IF(t&lt;Tvie,1-EXP((T0-t)*PertePVj)+'2020'!Pspv,1-EXP((T0-t)*PertePVj)+Pspv)</f>
        <v>2.6724698281931247E-2</v>
      </c>
      <c r="M295" s="872"/>
      <c r="N295" s="872"/>
      <c r="O295" s="48">
        <f>IF(t&lt;Tnet,'2020'!Resal+('2020'!Salim-'2020'!Resal)*(1-EXP(('2020'!Tnet-t)/('2020'!Tau_j))),Resal+(Salim-Resal)*(1-EXP((Tnet-t)/(Tau_j))))*Salcycl</f>
        <v>8.3491408556289268E-2</v>
      </c>
      <c r="P295" s="171">
        <f>(INDEX(Models!$BJ295:$BT295,,T295)*(1-R295)+INDEX(Models!$BJ295:$BT295,,T295+1)*R295-ERP_i)*Q295*Ramure*Pc/MaxiM</f>
        <v>1.0011935371703789E-2</v>
      </c>
      <c r="Q295" s="307">
        <f t="shared" si="101"/>
        <v>0.9</v>
      </c>
      <c r="R295" s="179">
        <f t="shared" si="102"/>
        <v>0.89589142024961133</v>
      </c>
      <c r="S295" s="839">
        <f t="shared" si="103"/>
        <v>-1</v>
      </c>
      <c r="T295" s="178">
        <f t="shared" si="104"/>
        <v>5</v>
      </c>
      <c r="U295" s="253">
        <f t="shared" si="105"/>
        <v>-0.10410857975038867</v>
      </c>
      <c r="V295" s="385">
        <f t="shared" si="106"/>
        <v>31.898420653567857</v>
      </c>
      <c r="W295" s="404"/>
      <c r="X295" s="157">
        <f t="shared" si="107"/>
        <v>44477</v>
      </c>
      <c r="Y295" s="387">
        <f t="shared" si="108"/>
        <v>29.267045494725963</v>
      </c>
      <c r="Z295" s="387">
        <f t="shared" si="109"/>
        <v>30.070675217035177</v>
      </c>
      <c r="AA295" s="388">
        <f t="shared" si="110"/>
        <v>35.399621950819622</v>
      </c>
      <c r="AB295" s="199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0.15053682610475058</v>
      </c>
      <c r="AD295" s="233">
        <f>(INDEX(Models!$BJ295:$BT295,,AH295)*(1-AF295)+INDEX(Models!$BJ295:$BT295,,AH295+1)*AF295-ERP_i)*AE295*Ramure*Pc/MaxiM</f>
        <v>1.0011935371703789E-2</v>
      </c>
      <c r="AE295" s="307">
        <f t="shared" si="112"/>
        <v>0.9</v>
      </c>
      <c r="AF295" s="179">
        <f t="shared" si="113"/>
        <v>0.89589142024961133</v>
      </c>
      <c r="AG295" s="839">
        <f t="shared" si="119"/>
        <v>-1</v>
      </c>
      <c r="AH295" s="178">
        <f t="shared" si="114"/>
        <v>5</v>
      </c>
      <c r="AI295" s="227">
        <f t="shared" si="115"/>
        <v>-0.10410857975038867</v>
      </c>
      <c r="AJ295" s="267" t="b">
        <f t="shared" si="116"/>
        <v>0</v>
      </c>
      <c r="AK295" s="267" t="b">
        <f t="shared" si="117"/>
        <v>0</v>
      </c>
      <c r="AL295" s="267"/>
      <c r="AM295" s="267"/>
      <c r="AN295" s="75"/>
    </row>
    <row r="296" spans="1:40" s="6" customFormat="1" ht="11.25" x14ac:dyDescent="0.2">
      <c r="A296" s="56">
        <f t="shared" si="118"/>
        <v>44478</v>
      </c>
      <c r="B296" s="620">
        <v>14.040000000000001</v>
      </c>
      <c r="C296" s="392"/>
      <c r="D296" s="395">
        <f t="shared" si="98"/>
        <v>14.425853316251018</v>
      </c>
      <c r="E296" s="387">
        <f t="shared" si="96"/>
        <v>15.743554690161705</v>
      </c>
      <c r="F296" s="387">
        <f t="shared" si="99"/>
        <v>15.777781953410924</v>
      </c>
      <c r="G296" s="110">
        <f t="shared" si="97"/>
        <v>0.44235069008035999</v>
      </c>
      <c r="H296" s="416" t="b">
        <f>Wh_hp&gt;='2020'!Maxi_hp</f>
        <v>0</v>
      </c>
      <c r="I296" s="382">
        <f>IF(H296,Wh_hp,'2020'!Maxi_hp)</f>
        <v>32.366144036248471</v>
      </c>
      <c r="J296" s="85">
        <f>IF(H296,An,'2020'!An_max)</f>
        <v>2020</v>
      </c>
      <c r="K296" s="199">
        <f t="shared" si="100"/>
        <v>44478</v>
      </c>
      <c r="L296" s="147">
        <f>IF(t&lt;Tvie,1-EXP((T0-t)*PertePVj)+'2020'!Pspv,1-EXP((T0-t)*PertePVj)+Pspv)</f>
        <v>2.6747347820065936E-2</v>
      </c>
      <c r="M296" s="872"/>
      <c r="N296" s="872"/>
      <c r="O296" s="48">
        <f>IF(t&lt;Tnet,'2020'!Resal+('2020'!Salim-'2020'!Resal)*(1-EXP(('2020'!Tnet-t)/('2020'!Tau_j))),Resal+(Salim-Resal)*(1-EXP((Tnet-t)/(Tau_j))))*Salcycl</f>
        <v>8.3697830626150271E-2</v>
      </c>
      <c r="P296" s="171">
        <f>(INDEX(Models!$BJ296:$BT296,,T296)*(1-R296)+INDEX(Models!$BJ296:$BT296,,T296+1)*R296-ERP_i)*Q296*Ramure*Pc/MaxiM</f>
        <v>1.0398827277066819E-2</v>
      </c>
      <c r="Q296" s="307">
        <f t="shared" si="101"/>
        <v>0.9</v>
      </c>
      <c r="R296" s="179">
        <f t="shared" si="102"/>
        <v>0.89606365499623586</v>
      </c>
      <c r="S296" s="839">
        <f t="shared" si="103"/>
        <v>-1</v>
      </c>
      <c r="T296" s="178">
        <f t="shared" si="104"/>
        <v>5</v>
      </c>
      <c r="U296" s="253">
        <f t="shared" si="105"/>
        <v>-0.10393634500376414</v>
      </c>
      <c r="V296" s="385">
        <f t="shared" si="106"/>
        <v>31.477755135355828</v>
      </c>
      <c r="W296" s="404"/>
      <c r="X296" s="157">
        <f t="shared" si="107"/>
        <v>44478</v>
      </c>
      <c r="Y296" s="387">
        <f t="shared" si="108"/>
        <v>13.016185776743225</v>
      </c>
      <c r="Z296" s="387">
        <f t="shared" si="109"/>
        <v>13.373902190339784</v>
      </c>
      <c r="AA296" s="388">
        <f t="shared" si="110"/>
        <v>15.743554690161705</v>
      </c>
      <c r="AB296" s="199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0.15051572192287291</v>
      </c>
      <c r="AD296" s="233">
        <f>(INDEX(Models!$BJ296:$BT296,,AH296)*(1-AF296)+INDEX(Models!$BJ296:$BT296,,AH296+1)*AF296-ERP_i)*AE296*Ramure*Pc/MaxiM</f>
        <v>1.0398827277066819E-2</v>
      </c>
      <c r="AE296" s="307">
        <f t="shared" si="112"/>
        <v>0.9</v>
      </c>
      <c r="AF296" s="179">
        <f t="shared" si="113"/>
        <v>0.89606365499623586</v>
      </c>
      <c r="AG296" s="839">
        <f t="shared" si="119"/>
        <v>-1</v>
      </c>
      <c r="AH296" s="178">
        <f t="shared" si="114"/>
        <v>5</v>
      </c>
      <c r="AI296" s="227">
        <f t="shared" si="115"/>
        <v>-0.10393634500376414</v>
      </c>
      <c r="AJ296" s="267" t="b">
        <f t="shared" si="116"/>
        <v>0</v>
      </c>
      <c r="AK296" s="267" t="b">
        <f t="shared" si="117"/>
        <v>0</v>
      </c>
      <c r="AL296" s="267"/>
      <c r="AM296" s="267"/>
      <c r="AN296" s="75"/>
    </row>
    <row r="297" spans="1:40" s="6" customFormat="1" ht="11.25" x14ac:dyDescent="0.2">
      <c r="A297" s="56">
        <f t="shared" si="118"/>
        <v>44479</v>
      </c>
      <c r="B297" s="620">
        <v>21.03</v>
      </c>
      <c r="C297" s="392"/>
      <c r="D297" s="395">
        <f t="shared" si="98"/>
        <v>21.608458361872561</v>
      </c>
      <c r="E297" s="387">
        <f t="shared" ref="E297:E360" si="120">Wh_pvt/(1-Psa)</f>
        <v>23.587485102305997</v>
      </c>
      <c r="F297" s="387">
        <f t="shared" si="99"/>
        <v>23.725985079936592</v>
      </c>
      <c r="G297" s="110">
        <f t="shared" ref="G297:G360" si="121">+Wh_hp/MaxiM</f>
        <v>0.67367513544607305</v>
      </c>
      <c r="H297" s="416" t="b">
        <f>Wh_hp&gt;='2020'!Maxi_hp</f>
        <v>0</v>
      </c>
      <c r="I297" s="382">
        <f>IF(H297,Wh_hp,'2020'!Maxi_hp)</f>
        <v>25.602415817400519</v>
      </c>
      <c r="J297" s="85">
        <f>IF(H297,An,'2020'!An_max)</f>
        <v>2019</v>
      </c>
      <c r="K297" s="199">
        <f t="shared" si="100"/>
        <v>44479</v>
      </c>
      <c r="L297" s="147">
        <f>IF(t&lt;Tvie,1-EXP((T0-t)*PertePVj)+'2020'!Pspv,1-EXP((T0-t)*PertePVj)+Pspv)</f>
        <v>2.6769996831112697E-2</v>
      </c>
      <c r="M297" s="872"/>
      <c r="N297" s="872"/>
      <c r="O297" s="48">
        <f>IF(t&lt;Tnet,'2020'!Resal+('2020'!Salim-'2020'!Resal)*(1-EXP(('2020'!Tnet-t)/('2020'!Tau_j))),Resal+(Salim-Resal)*(1-EXP((Tnet-t)/(Tau_j))))*Salcycl</f>
        <v>8.3901557620484069E-2</v>
      </c>
      <c r="P297" s="171">
        <f>(INDEX(Models!$BJ297:$BT297,,T297)*(1-R297)+INDEX(Models!$BJ297:$BT297,,T297+1)*R297-ERP_i)*Q297*Ramure*Pc/MaxiM</f>
        <v>1.0836530607093999E-2</v>
      </c>
      <c r="Q297" s="307">
        <f t="shared" si="101"/>
        <v>0.9</v>
      </c>
      <c r="R297" s="179">
        <f t="shared" si="102"/>
        <v>0.89622904856344043</v>
      </c>
      <c r="S297" s="839">
        <f t="shared" si="103"/>
        <v>-1</v>
      </c>
      <c r="T297" s="178">
        <f t="shared" si="104"/>
        <v>5</v>
      </c>
      <c r="U297" s="253">
        <f t="shared" si="105"/>
        <v>-0.10377095143655957</v>
      </c>
      <c r="V297" s="385">
        <f t="shared" si="106"/>
        <v>31.059855974317216</v>
      </c>
      <c r="W297" s="404"/>
      <c r="X297" s="157">
        <f t="shared" si="107"/>
        <v>44479</v>
      </c>
      <c r="Y297" s="387">
        <f t="shared" si="108"/>
        <v>19.501361100557606</v>
      </c>
      <c r="Z297" s="387">
        <f t="shared" si="109"/>
        <v>20.037772198822648</v>
      </c>
      <c r="AA297" s="388">
        <f t="shared" si="110"/>
        <v>23.587485102305997</v>
      </c>
      <c r="AB297" s="199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0.15049136811691383</v>
      </c>
      <c r="AD297" s="233">
        <f>(INDEX(Models!$BJ297:$BT297,,AH297)*(1-AF297)+INDEX(Models!$BJ297:$BT297,,AH297+1)*AF297-ERP_i)*AE297*Ramure*Pc/MaxiM</f>
        <v>1.0836530607093999E-2</v>
      </c>
      <c r="AE297" s="307">
        <f t="shared" si="112"/>
        <v>0.9</v>
      </c>
      <c r="AF297" s="179">
        <f t="shared" si="113"/>
        <v>0.89622904856344043</v>
      </c>
      <c r="AG297" s="839">
        <f t="shared" si="119"/>
        <v>-1</v>
      </c>
      <c r="AH297" s="178">
        <f t="shared" si="114"/>
        <v>5</v>
      </c>
      <c r="AI297" s="227">
        <f t="shared" si="115"/>
        <v>-0.10377095143655957</v>
      </c>
      <c r="AJ297" s="267" t="b">
        <f t="shared" si="116"/>
        <v>0</v>
      </c>
      <c r="AK297" s="267" t="b">
        <f t="shared" si="117"/>
        <v>0</v>
      </c>
      <c r="AL297" s="267"/>
      <c r="AM297" s="267"/>
      <c r="AN297" s="75"/>
    </row>
    <row r="298" spans="1:40" s="6" customFormat="1" ht="11.25" x14ac:dyDescent="0.2">
      <c r="A298" s="56">
        <f t="shared" si="118"/>
        <v>44480</v>
      </c>
      <c r="B298" s="620">
        <v>30.654</v>
      </c>
      <c r="C298" s="392"/>
      <c r="D298" s="395">
        <f t="shared" si="98"/>
        <v>31.497912394963855</v>
      </c>
      <c r="E298" s="387">
        <f t="shared" si="120"/>
        <v>34.390218760281613</v>
      </c>
      <c r="F298" s="387">
        <f t="shared" si="99"/>
        <v>34.784203918251883</v>
      </c>
      <c r="G298" s="110">
        <f t="shared" si="121"/>
        <v>1.0002703898303638</v>
      </c>
      <c r="H298" s="416" t="b">
        <f>Wh_hp&gt;='2020'!Maxi_hp</f>
        <v>0</v>
      </c>
      <c r="I298" s="382">
        <f>IF(H298,Wh_hp,'2020'!Maxi_hp)</f>
        <v>35.147507739823403</v>
      </c>
      <c r="J298" s="85">
        <f>IF(H298,An,'2020'!An_max)</f>
        <v>2019</v>
      </c>
      <c r="K298" s="199">
        <f t="shared" si="100"/>
        <v>44480</v>
      </c>
      <c r="L298" s="147">
        <f>IF(t&lt;Tvie,1-EXP((T0-t)*PertePVj)+'2020'!Pspv,1-EXP((T0-t)*PertePVj)+Pspv)</f>
        <v>2.6792645315083963E-2</v>
      </c>
      <c r="M298" s="872"/>
      <c r="N298" s="872"/>
      <c r="O298" s="48">
        <f>IF(t&lt;Tnet,'2020'!Resal+('2020'!Salim-'2020'!Resal)*(1-EXP(('2020'!Tnet-t)/('2020'!Tau_j))),Resal+(Salim-Resal)*(1-EXP((Tnet-t)/(Tau_j))))*Salcycl</f>
        <v>8.4102587002388596E-2</v>
      </c>
      <c r="P298" s="171">
        <f>(INDEX(Models!$BJ298:$BT298,,T298)*(1-R298)+INDEX(Models!$BJ298:$BT298,,T298+1)*R298-ERP_i)*Q298*Ramure*Pc/MaxiM</f>
        <v>1.1326553825874346E-2</v>
      </c>
      <c r="Q298" s="307">
        <f t="shared" si="101"/>
        <v>0.9</v>
      </c>
      <c r="R298" s="179">
        <f t="shared" si="102"/>
        <v>0.89638786909166024</v>
      </c>
      <c r="S298" s="839">
        <f t="shared" si="103"/>
        <v>-1</v>
      </c>
      <c r="T298" s="178">
        <f t="shared" si="104"/>
        <v>5</v>
      </c>
      <c r="U298" s="253">
        <f t="shared" si="105"/>
        <v>-0.10361213090833976</v>
      </c>
      <c r="V298" s="385">
        <f t="shared" si="106"/>
        <v>30.645713710668403</v>
      </c>
      <c r="W298" s="404"/>
      <c r="X298" s="157">
        <f t="shared" si="107"/>
        <v>44480</v>
      </c>
      <c r="Y298" s="387">
        <f t="shared" si="108"/>
        <v>28.43296966106027</v>
      </c>
      <c r="Z298" s="387">
        <f t="shared" si="109"/>
        <v>29.215736527459434</v>
      </c>
      <c r="AA298" s="388">
        <f t="shared" si="110"/>
        <v>34.390218760281613</v>
      </c>
      <c r="AB298" s="199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0.15046377776457642</v>
      </c>
      <c r="AD298" s="233">
        <f>(INDEX(Models!$BJ298:$BT298,,AH298)*(1-AF298)+INDEX(Models!$BJ298:$BT298,,AH298+1)*AF298-ERP_i)*AE298*Ramure*Pc/MaxiM</f>
        <v>1.1326553825874346E-2</v>
      </c>
      <c r="AE298" s="307">
        <f t="shared" si="112"/>
        <v>0.9</v>
      </c>
      <c r="AF298" s="179">
        <f t="shared" si="113"/>
        <v>0.89638786909166024</v>
      </c>
      <c r="AG298" s="839">
        <f t="shared" si="119"/>
        <v>-1</v>
      </c>
      <c r="AH298" s="178">
        <f t="shared" si="114"/>
        <v>5</v>
      </c>
      <c r="AI298" s="227">
        <f t="shared" si="115"/>
        <v>-0.10361213090833976</v>
      </c>
      <c r="AJ298" s="267" t="b">
        <f t="shared" si="116"/>
        <v>0</v>
      </c>
      <c r="AK298" s="267" t="b">
        <f t="shared" si="117"/>
        <v>0</v>
      </c>
      <c r="AL298" s="267"/>
      <c r="AM298" s="267"/>
      <c r="AN298" s="75"/>
    </row>
    <row r="299" spans="1:40" s="6" customFormat="1" ht="11.25" x14ac:dyDescent="0.2">
      <c r="A299" s="56">
        <f t="shared" si="118"/>
        <v>44481</v>
      </c>
      <c r="B299" s="620">
        <v>29.843</v>
      </c>
      <c r="C299" s="392"/>
      <c r="D299" s="395">
        <f t="shared" si="98"/>
        <v>30.665298985571415</v>
      </c>
      <c r="E299" s="387">
        <f t="shared" si="120"/>
        <v>33.48840215660919</v>
      </c>
      <c r="F299" s="387">
        <f t="shared" si="99"/>
        <v>33.883133366229487</v>
      </c>
      <c r="G299" s="110">
        <f t="shared" si="121"/>
        <v>0.98677158914415419</v>
      </c>
      <c r="H299" s="416" t="b">
        <f>Wh_hp&gt;='2020'!Maxi_hp</f>
        <v>1</v>
      </c>
      <c r="I299" s="382">
        <f>IF(H299,Wh_hp,'2020'!Maxi_hp)</f>
        <v>33.883133366229487</v>
      </c>
      <c r="J299" s="85">
        <f>IF(H299,An,'2020'!An_max)</f>
        <v>2021</v>
      </c>
      <c r="K299" s="199">
        <f t="shared" si="100"/>
        <v>44481</v>
      </c>
      <c r="L299" s="147">
        <f>IF(t&lt;Tvie,1-EXP((T0-t)*PertePVj)+'2020'!Pspv,1-EXP((T0-t)*PertePVj)+Pspv)</f>
        <v>2.6815293271991947E-2</v>
      </c>
      <c r="M299" s="872"/>
      <c r="N299" s="872"/>
      <c r="O299" s="48">
        <f>IF(t&lt;Tnet,'2020'!Resal+('2020'!Salim-'2020'!Resal)*(1-EXP(('2020'!Tnet-t)/('2020'!Tau_j))),Resal+(Salim-Resal)*(1-EXP((Tnet-t)/(Tau_j))))*Salcycl</f>
        <v>8.430092178884728E-2</v>
      </c>
      <c r="P299" s="171">
        <f>(INDEX(Models!$BJ299:$BT299,,T299)*(1-R299)+INDEX(Models!$BJ299:$BT299,,T299+1)*R299-ERP_i)*Q299*Ramure*Pc/MaxiM</f>
        <v>1.1870372304779678E-2</v>
      </c>
      <c r="Q299" s="307">
        <f t="shared" si="101"/>
        <v>0.9</v>
      </c>
      <c r="R299" s="179">
        <f t="shared" si="102"/>
        <v>0.89654037449340374</v>
      </c>
      <c r="S299" s="839">
        <f t="shared" si="103"/>
        <v>-1</v>
      </c>
      <c r="T299" s="178">
        <f t="shared" si="104"/>
        <v>5</v>
      </c>
      <c r="U299" s="253">
        <f t="shared" si="105"/>
        <v>-0.10345962550659626</v>
      </c>
      <c r="V299" s="385">
        <f t="shared" si="106"/>
        <v>30.236317845738139</v>
      </c>
      <c r="W299" s="404"/>
      <c r="X299" s="157">
        <f t="shared" si="107"/>
        <v>44481</v>
      </c>
      <c r="Y299" s="387">
        <f t="shared" si="108"/>
        <v>27.687729924424666</v>
      </c>
      <c r="Z299" s="387">
        <f t="shared" si="109"/>
        <v>28.450642239863118</v>
      </c>
      <c r="AA299" s="388">
        <f t="shared" si="110"/>
        <v>33.48840215660919</v>
      </c>
      <c r="AB299" s="199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0.15043297357655006</v>
      </c>
      <c r="AD299" s="233">
        <f>(INDEX(Models!$BJ299:$BT299,,AH299)*(1-AF299)+INDEX(Models!$BJ299:$BT299,,AH299+1)*AF299-ERP_i)*AE299*Ramure*Pc/MaxiM</f>
        <v>1.1870372304779678E-2</v>
      </c>
      <c r="AE299" s="307">
        <f t="shared" si="112"/>
        <v>0.9</v>
      </c>
      <c r="AF299" s="179">
        <f t="shared" si="113"/>
        <v>0.89654037449340374</v>
      </c>
      <c r="AG299" s="839">
        <f t="shared" si="119"/>
        <v>-1</v>
      </c>
      <c r="AH299" s="178">
        <f t="shared" si="114"/>
        <v>5</v>
      </c>
      <c r="AI299" s="227">
        <f t="shared" si="115"/>
        <v>-0.10345962550659626</v>
      </c>
      <c r="AJ299" s="267" t="b">
        <f t="shared" si="116"/>
        <v>0</v>
      </c>
      <c r="AK299" s="267" t="b">
        <f t="shared" si="117"/>
        <v>0</v>
      </c>
      <c r="AL299" s="267"/>
      <c r="AM299" s="267"/>
      <c r="AN299" s="75"/>
    </row>
    <row r="300" spans="1:40" s="6" customFormat="1" ht="11.25" x14ac:dyDescent="0.2">
      <c r="A300" s="56">
        <f t="shared" si="118"/>
        <v>44482</v>
      </c>
      <c r="B300" s="620">
        <v>28.673999999999999</v>
      </c>
      <c r="C300" s="392"/>
      <c r="D300" s="395">
        <f t="shared" si="98"/>
        <v>29.464773853472892</v>
      </c>
      <c r="E300" s="387">
        <f t="shared" si="120"/>
        <v>32.184231007973956</v>
      </c>
      <c r="F300" s="387">
        <f t="shared" si="99"/>
        <v>32.567800155049106</v>
      </c>
      <c r="G300" s="110">
        <f t="shared" si="121"/>
        <v>0.96048855596879623</v>
      </c>
      <c r="H300" s="416" t="b">
        <f>Wh_hp&gt;='2020'!Maxi_hp</f>
        <v>1</v>
      </c>
      <c r="I300" s="382">
        <f>IF(H300,Wh_hp,'2020'!Maxi_hp)</f>
        <v>32.567800155049106</v>
      </c>
      <c r="J300" s="85">
        <f>IF(H300,An,'2020'!An_max)</f>
        <v>2021</v>
      </c>
      <c r="K300" s="199">
        <f t="shared" si="100"/>
        <v>44482</v>
      </c>
      <c r="L300" s="147">
        <f>IF(t&lt;Tvie,1-EXP((T0-t)*PertePVj)+'2020'!Pspv,1-EXP((T0-t)*PertePVj)+Pspv)</f>
        <v>2.6837940701848861E-2</v>
      </c>
      <c r="M300" s="872"/>
      <c r="N300" s="872"/>
      <c r="O300" s="48">
        <f>IF(t&lt;Tnet,'2020'!Resal+('2020'!Salim-'2020'!Resal)*(1-EXP(('2020'!Tnet-t)/('2020'!Tau_j))),Resal+(Salim-Resal)*(1-EXP((Tnet-t)/(Tau_j))))*Salcycl</f>
        <v>8.4496570815294395E-2</v>
      </c>
      <c r="P300" s="171">
        <f>(INDEX(Models!$BJ300:$BT300,,T300)*(1-R300)+INDEX(Models!$BJ300:$BT300,,T300+1)*R300-ERP_i)*Q300*Ramure*Pc/MaxiM</f>
        <v>1.2469405644014683E-2</v>
      </c>
      <c r="Q300" s="307">
        <f t="shared" si="101"/>
        <v>0.9</v>
      </c>
      <c r="R300" s="179">
        <f t="shared" si="102"/>
        <v>0.89668681282117091</v>
      </c>
      <c r="S300" s="839">
        <f t="shared" si="103"/>
        <v>-1</v>
      </c>
      <c r="T300" s="178">
        <f t="shared" si="104"/>
        <v>5</v>
      </c>
      <c r="U300" s="253">
        <f t="shared" si="105"/>
        <v>-0.10331318717882909</v>
      </c>
      <c r="V300" s="385">
        <f t="shared" si="106"/>
        <v>29.832656877688823</v>
      </c>
      <c r="W300" s="404"/>
      <c r="X300" s="157">
        <f t="shared" si="107"/>
        <v>44482</v>
      </c>
      <c r="Y300" s="387">
        <f t="shared" si="108"/>
        <v>26.609905145509167</v>
      </c>
      <c r="Z300" s="387">
        <f t="shared" si="109"/>
        <v>27.343755226853325</v>
      </c>
      <c r="AA300" s="388">
        <f t="shared" si="110"/>
        <v>32.184231007973956</v>
      </c>
      <c r="AB300" s="199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0.15039898824742326</v>
      </c>
      <c r="AD300" s="233">
        <f>(INDEX(Models!$BJ300:$BT300,,AH300)*(1-AF300)+INDEX(Models!$BJ300:$BT300,,AH300+1)*AF300-ERP_i)*AE300*Ramure*Pc/MaxiM</f>
        <v>1.2469405644014683E-2</v>
      </c>
      <c r="AE300" s="307">
        <f t="shared" si="112"/>
        <v>0.9</v>
      </c>
      <c r="AF300" s="179">
        <f t="shared" si="113"/>
        <v>0.89668681282117091</v>
      </c>
      <c r="AG300" s="839">
        <f t="shared" si="119"/>
        <v>-1</v>
      </c>
      <c r="AH300" s="178">
        <f t="shared" si="114"/>
        <v>5</v>
      </c>
      <c r="AI300" s="227">
        <f t="shared" si="115"/>
        <v>-0.10331318717882909</v>
      </c>
      <c r="AJ300" s="267" t="b">
        <f t="shared" si="116"/>
        <v>0</v>
      </c>
      <c r="AK300" s="267" t="b">
        <f t="shared" si="117"/>
        <v>0</v>
      </c>
      <c r="AL300" s="267"/>
      <c r="AM300" s="267"/>
      <c r="AN300" s="75"/>
    </row>
    <row r="301" spans="1:40" s="6" customFormat="1" ht="11.25" x14ac:dyDescent="0.2">
      <c r="A301" s="56">
        <f t="shared" si="118"/>
        <v>44483</v>
      </c>
      <c r="B301" s="620">
        <v>30.28</v>
      </c>
      <c r="C301" s="392"/>
      <c r="D301" s="395">
        <f t="shared" si="98"/>
        <v>31.115788359108102</v>
      </c>
      <c r="E301" s="387">
        <f t="shared" si="120"/>
        <v>33.994791957455519</v>
      </c>
      <c r="F301" s="387">
        <f t="shared" si="99"/>
        <v>34.446907354425804</v>
      </c>
      <c r="G301" s="110">
        <f t="shared" si="121"/>
        <v>1.0286822162874996</v>
      </c>
      <c r="H301" s="416" t="b">
        <f>Wh_hp&gt;='2020'!Maxi_hp</f>
        <v>1</v>
      </c>
      <c r="I301" s="382">
        <f>IF(H301,Wh_hp,'2020'!Maxi_hp)</f>
        <v>34.446907354425804</v>
      </c>
      <c r="J301" s="85">
        <f>IF(H301,An,'2020'!An_max)</f>
        <v>2021</v>
      </c>
      <c r="K301" s="199">
        <f t="shared" si="100"/>
        <v>44483</v>
      </c>
      <c r="L301" s="147">
        <f>IF(t&lt;Tvie,1-EXP((T0-t)*PertePVj)+'2020'!Pspv,1-EXP((T0-t)*PertePVj)+Pspv)</f>
        <v>2.686058760466703E-2</v>
      </c>
      <c r="M301" s="872"/>
      <c r="N301" s="872"/>
      <c r="O301" s="48">
        <f>IF(t&lt;Tnet,'2020'!Resal+('2020'!Salim-'2020'!Resal)*(1-EXP(('2020'!Tnet-t)/('2020'!Tau_j))),Resal+(Salim-Resal)*(1-EXP((Tnet-t)/(Tau_j))))*Salcycl</f>
        <v>8.468954897416317E-2</v>
      </c>
      <c r="P301" s="171">
        <f>(INDEX(Models!$BJ301:$BT301,,T301)*(1-R301)+INDEX(Models!$BJ301:$BT301,,T301+1)*R301-ERP_i)*Q301*Ramure*Pc/MaxiM</f>
        <v>1.3124992392450513E-2</v>
      </c>
      <c r="Q301" s="307">
        <f t="shared" si="101"/>
        <v>0.9</v>
      </c>
      <c r="R301" s="179">
        <f t="shared" si="102"/>
        <v>0.89682742262391391</v>
      </c>
      <c r="S301" s="839">
        <f t="shared" si="103"/>
        <v>-1</v>
      </c>
      <c r="T301" s="178">
        <f t="shared" si="104"/>
        <v>5</v>
      </c>
      <c r="U301" s="253">
        <f t="shared" si="105"/>
        <v>-0.10317257737608609</v>
      </c>
      <c r="V301" s="385">
        <f t="shared" si="106"/>
        <v>29.43571835943672</v>
      </c>
      <c r="W301" s="404"/>
      <c r="X301" s="157">
        <f t="shared" si="107"/>
        <v>44483</v>
      </c>
      <c r="Y301" s="387">
        <f t="shared" si="108"/>
        <v>28.107449998348933</v>
      </c>
      <c r="Z301" s="387">
        <f t="shared" si="109"/>
        <v>28.883271646725191</v>
      </c>
      <c r="AA301" s="388">
        <f t="shared" si="110"/>
        <v>33.994791957455519</v>
      </c>
      <c r="AB301" s="199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0.15036186475644256</v>
      </c>
      <c r="AD301" s="233">
        <f>(INDEX(Models!$BJ301:$BT301,,AH301)*(1-AF301)+INDEX(Models!$BJ301:$BT301,,AH301+1)*AF301-ERP_i)*AE301*Ramure*Pc/MaxiM</f>
        <v>1.3124992392450513E-2</v>
      </c>
      <c r="AE301" s="307">
        <f t="shared" si="112"/>
        <v>0.9</v>
      </c>
      <c r="AF301" s="179">
        <f t="shared" si="113"/>
        <v>0.89682742262391391</v>
      </c>
      <c r="AG301" s="839">
        <f t="shared" si="119"/>
        <v>-1</v>
      </c>
      <c r="AH301" s="178">
        <f t="shared" si="114"/>
        <v>5</v>
      </c>
      <c r="AI301" s="227">
        <f t="shared" si="115"/>
        <v>-0.10317257737608609</v>
      </c>
      <c r="AJ301" s="267" t="b">
        <f t="shared" si="116"/>
        <v>0</v>
      </c>
      <c r="AK301" s="267" t="b">
        <f t="shared" si="117"/>
        <v>0</v>
      </c>
      <c r="AL301" s="267"/>
      <c r="AM301" s="267"/>
      <c r="AN301" s="75"/>
    </row>
    <row r="302" spans="1:40" s="6" customFormat="1" ht="11.25" x14ac:dyDescent="0.2">
      <c r="A302" s="56">
        <f t="shared" si="118"/>
        <v>44484</v>
      </c>
      <c r="B302" s="620">
        <v>26.427</v>
      </c>
      <c r="C302" s="392"/>
      <c r="D302" s="395">
        <f t="shared" si="98"/>
        <v>27.15706986336038</v>
      </c>
      <c r="E302" s="387">
        <f t="shared" si="120"/>
        <v>29.675961869281871</v>
      </c>
      <c r="F302" s="387">
        <f t="shared" si="99"/>
        <v>30.038087036752088</v>
      </c>
      <c r="G302" s="110">
        <f t="shared" si="121"/>
        <v>0.9081755222955783</v>
      </c>
      <c r="H302" s="416" t="b">
        <f>Wh_hp&gt;='2020'!Maxi_hp</f>
        <v>1</v>
      </c>
      <c r="I302" s="382">
        <f>IF(H302,Wh_hp,'2020'!Maxi_hp)</f>
        <v>30.038087036752088</v>
      </c>
      <c r="J302" s="85">
        <f>IF(H302,An,'2020'!An_max)</f>
        <v>2021</v>
      </c>
      <c r="K302" s="199">
        <f t="shared" si="100"/>
        <v>44484</v>
      </c>
      <c r="L302" s="147">
        <f>IF(t&lt;Tvie,1-EXP((T0-t)*PertePVj)+'2020'!Pspv,1-EXP((T0-t)*PertePVj)+Pspv)</f>
        <v>2.6883233980458665E-2</v>
      </c>
      <c r="M302" s="872"/>
      <c r="N302" s="872"/>
      <c r="O302" s="48">
        <f>IF(t&lt;Tnet,'2020'!Resal+('2020'!Salim-'2020'!Resal)*(1-EXP(('2020'!Tnet-t)/('2020'!Tau_j))),Resal+(Salim-Resal)*(1-EXP((Tnet-t)/(Tau_j))))*Salcycl</f>
        <v>8.4879877424591244E-2</v>
      </c>
      <c r="P302" s="171">
        <f>(INDEX(Models!$BJ302:$BT302,,T302)*(1-R302)+INDEX(Models!$BJ302:$BT302,,T302+1)*R302-ERP_i)*Q302*Ramure*Pc/MaxiM</f>
        <v>1.3838362134667812E-2</v>
      </c>
      <c r="Q302" s="307">
        <f t="shared" si="101"/>
        <v>0.9</v>
      </c>
      <c r="R302" s="179">
        <f t="shared" si="102"/>
        <v>0.89696243329224712</v>
      </c>
      <c r="S302" s="839">
        <f t="shared" si="103"/>
        <v>-1</v>
      </c>
      <c r="T302" s="178">
        <f t="shared" si="104"/>
        <v>5</v>
      </c>
      <c r="U302" s="253">
        <f t="shared" si="105"/>
        <v>-0.10303756670775288</v>
      </c>
      <c r="V302" s="385">
        <f t="shared" si="106"/>
        <v>29.046488941215326</v>
      </c>
      <c r="W302" s="404"/>
      <c r="X302" s="157">
        <f t="shared" si="107"/>
        <v>44484</v>
      </c>
      <c r="Y302" s="387">
        <f t="shared" si="108"/>
        <v>24.537160780015768</v>
      </c>
      <c r="Z302" s="387">
        <f t="shared" si="109"/>
        <v>25.215022119476085</v>
      </c>
      <c r="AA302" s="388">
        <f t="shared" si="110"/>
        <v>29.675961869281871</v>
      </c>
      <c r="AB302" s="199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0.1503216566140485</v>
      </c>
      <c r="AD302" s="233">
        <f>(INDEX(Models!$BJ302:$BT302,,AH302)*(1-AF302)+INDEX(Models!$BJ302:$BT302,,AH302+1)*AF302-ERP_i)*AE302*Ramure*Pc/MaxiM</f>
        <v>1.3838362134667812E-2</v>
      </c>
      <c r="AE302" s="307">
        <f t="shared" si="112"/>
        <v>0.9</v>
      </c>
      <c r="AF302" s="179">
        <f t="shared" si="113"/>
        <v>0.89696243329224712</v>
      </c>
      <c r="AG302" s="839">
        <f t="shared" si="119"/>
        <v>-1</v>
      </c>
      <c r="AH302" s="178">
        <f t="shared" si="114"/>
        <v>5</v>
      </c>
      <c r="AI302" s="227">
        <f t="shared" si="115"/>
        <v>-0.10303756670775288</v>
      </c>
      <c r="AJ302" s="267" t="b">
        <f t="shared" si="116"/>
        <v>0</v>
      </c>
      <c r="AK302" s="267" t="b">
        <f t="shared" si="117"/>
        <v>0</v>
      </c>
      <c r="AL302" s="267"/>
      <c r="AM302" s="267"/>
      <c r="AN302" s="75"/>
    </row>
    <row r="303" spans="1:40" s="6" customFormat="1" ht="11.25" x14ac:dyDescent="0.2">
      <c r="A303" s="56">
        <f t="shared" si="118"/>
        <v>44485</v>
      </c>
      <c r="B303" s="620">
        <v>27.669</v>
      </c>
      <c r="C303" s="392"/>
      <c r="D303" s="395">
        <f t="shared" si="98"/>
        <v>28.434042942469418</v>
      </c>
      <c r="E303" s="387">
        <f t="shared" si="120"/>
        <v>31.077752234041505</v>
      </c>
      <c r="F303" s="387">
        <f t="shared" si="99"/>
        <v>31.515402769838211</v>
      </c>
      <c r="G303" s="110">
        <f t="shared" si="121"/>
        <v>0.96457440210615664</v>
      </c>
      <c r="H303" s="416" t="b">
        <f>Wh_hp&gt;='2020'!Maxi_hp</f>
        <v>1</v>
      </c>
      <c r="I303" s="382">
        <f>IF(H303,Wh_hp,'2020'!Maxi_hp)</f>
        <v>31.515402769838211</v>
      </c>
      <c r="J303" s="85">
        <f>IF(H303,An,'2020'!An_max)</f>
        <v>2021</v>
      </c>
      <c r="K303" s="199">
        <f t="shared" si="100"/>
        <v>44485</v>
      </c>
      <c r="L303" s="147">
        <f>IF(t&lt;Tvie,1-EXP((T0-t)*PertePVj)+'2020'!Pspv,1-EXP((T0-t)*PertePVj)+Pspv)</f>
        <v>2.6905879829235979E-2</v>
      </c>
      <c r="M303" s="872"/>
      <c r="N303" s="872"/>
      <c r="O303" s="48">
        <f>IF(t&lt;Tnet,'2020'!Resal+('2020'!Salim-'2020'!Resal)*(1-EXP(('2020'!Tnet-t)/('2020'!Tau_j))),Resal+(Salim-Resal)*(1-EXP((Tnet-t)/(Tau_j))))*Salcycl</f>
        <v>8.506758377062601E-2</v>
      </c>
      <c r="P303" s="171">
        <f>(INDEX(Models!$BJ303:$BT303,,T303)*(1-R303)+INDEX(Models!$BJ303:$BT303,,T303+1)*R303-ERP_i)*Q303*Ramure*Pc/MaxiM</f>
        <v>1.4611531127543719E-2</v>
      </c>
      <c r="Q303" s="307">
        <f t="shared" si="101"/>
        <v>0.9</v>
      </c>
      <c r="R303" s="179">
        <f t="shared" si="102"/>
        <v>0.89709206539262687</v>
      </c>
      <c r="S303" s="839">
        <f t="shared" si="103"/>
        <v>-1</v>
      </c>
      <c r="T303" s="178">
        <f t="shared" si="104"/>
        <v>5</v>
      </c>
      <c r="U303" s="253">
        <f t="shared" si="105"/>
        <v>-0.10290793460737313</v>
      </c>
      <c r="V303" s="385">
        <f t="shared" si="106"/>
        <v>28.664110448786381</v>
      </c>
      <c r="W303" s="404"/>
      <c r="X303" s="157">
        <f t="shared" si="107"/>
        <v>44485</v>
      </c>
      <c r="Y303" s="387">
        <f t="shared" si="108"/>
        <v>25.696921168412157</v>
      </c>
      <c r="Z303" s="387">
        <f t="shared" si="109"/>
        <v>26.407436480967245</v>
      </c>
      <c r="AA303" s="388">
        <f t="shared" si="110"/>
        <v>31.077752234041505</v>
      </c>
      <c r="AB303" s="199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0.15027842805048672</v>
      </c>
      <c r="AD303" s="233">
        <f>(INDEX(Models!$BJ303:$BT303,,AH303)*(1-AF303)+INDEX(Models!$BJ303:$BT303,,AH303+1)*AF303-ERP_i)*AE303*Ramure*Pc/MaxiM</f>
        <v>1.4611531127543719E-2</v>
      </c>
      <c r="AE303" s="307">
        <f t="shared" si="112"/>
        <v>0.9</v>
      </c>
      <c r="AF303" s="179">
        <f t="shared" si="113"/>
        <v>0.89709206539262687</v>
      </c>
      <c r="AG303" s="839">
        <f t="shared" si="119"/>
        <v>-1</v>
      </c>
      <c r="AH303" s="178">
        <f t="shared" si="114"/>
        <v>5</v>
      </c>
      <c r="AI303" s="227">
        <f t="shared" si="115"/>
        <v>-0.10290793460737313</v>
      </c>
      <c r="AJ303" s="267" t="b">
        <f t="shared" si="116"/>
        <v>0</v>
      </c>
      <c r="AK303" s="267" t="b">
        <f t="shared" si="117"/>
        <v>0</v>
      </c>
      <c r="AL303" s="267"/>
      <c r="AM303" s="267"/>
      <c r="AN303" s="75"/>
    </row>
    <row r="304" spans="1:40" s="6" customFormat="1" ht="11.25" x14ac:dyDescent="0.2">
      <c r="A304" s="56">
        <f t="shared" si="118"/>
        <v>44486</v>
      </c>
      <c r="B304" s="620">
        <v>25.927</v>
      </c>
      <c r="C304" s="392"/>
      <c r="D304" s="395">
        <f t="shared" si="98"/>
        <v>26.644497007810884</v>
      </c>
      <c r="E304" s="387">
        <f t="shared" si="120"/>
        <v>29.12771327343761</v>
      </c>
      <c r="F304" s="387">
        <f t="shared" si="99"/>
        <v>29.529771052990444</v>
      </c>
      <c r="G304" s="110">
        <f t="shared" si="121"/>
        <v>0.91487183293143581</v>
      </c>
      <c r="H304" s="416" t="b">
        <f>Wh_hp&gt;='2020'!Maxi_hp</f>
        <v>1</v>
      </c>
      <c r="I304" s="382">
        <f>IF(H304,Wh_hp,'2020'!Maxi_hp)</f>
        <v>29.529771052990444</v>
      </c>
      <c r="J304" s="85">
        <f>IF(H304,An,'2020'!An_max)</f>
        <v>2021</v>
      </c>
      <c r="K304" s="199">
        <f t="shared" si="100"/>
        <v>44486</v>
      </c>
      <c r="L304" s="147">
        <f>IF(t&lt;Tvie,1-EXP((T0-t)*PertePVj)+'2020'!Pspv,1-EXP((T0-t)*PertePVj)+Pspv)</f>
        <v>2.6928525151011407E-2</v>
      </c>
      <c r="M304" s="872"/>
      <c r="N304" s="872"/>
      <c r="O304" s="48">
        <f>IF(t&lt;Tnet,'2020'!Resal+('2020'!Salim-'2020'!Resal)*(1-EXP(('2020'!Tnet-t)/('2020'!Tau_j))),Resal+(Salim-Resal)*(1-EXP((Tnet-t)/(Tau_j))))*Salcycl</f>
        <v>8.5252702205471154E-2</v>
      </c>
      <c r="P304" s="171">
        <f>(INDEX(Models!$BJ304:$BT304,,T304)*(1-R304)+INDEX(Models!$BJ304:$BT304,,T304+1)*R304-ERP_i)*Q304*Ramure*Pc/MaxiM</f>
        <v>1.5457332364205042E-2</v>
      </c>
      <c r="Q304" s="307">
        <f t="shared" si="101"/>
        <v>0.9</v>
      </c>
      <c r="R304" s="179">
        <f t="shared" si="102"/>
        <v>0.89721653099072773</v>
      </c>
      <c r="S304" s="839">
        <f t="shared" si="103"/>
        <v>-1</v>
      </c>
      <c r="T304" s="178">
        <f t="shared" si="104"/>
        <v>5</v>
      </c>
      <c r="U304" s="253">
        <f t="shared" si="105"/>
        <v>-0.10278346900927227</v>
      </c>
      <c r="V304" s="385">
        <f t="shared" si="106"/>
        <v>28.286566972247318</v>
      </c>
      <c r="W304" s="404"/>
      <c r="X304" s="157">
        <f t="shared" si="107"/>
        <v>44486</v>
      </c>
      <c r="Y304" s="387">
        <f t="shared" si="108"/>
        <v>24.085262017115202</v>
      </c>
      <c r="Z304" s="387">
        <f t="shared" si="109"/>
        <v>24.75179125033236</v>
      </c>
      <c r="AA304" s="388">
        <f t="shared" si="110"/>
        <v>29.12771327343761</v>
      </c>
      <c r="AB304" s="199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0.15023225414319694</v>
      </c>
      <c r="AD304" s="233">
        <f>(INDEX(Models!$BJ304:$BT304,,AH304)*(1-AF304)+INDEX(Models!$BJ304:$BT304,,AH304+1)*AF304-ERP_i)*AE304*Ramure*Pc/MaxiM</f>
        <v>1.5457332364205042E-2</v>
      </c>
      <c r="AE304" s="307">
        <f t="shared" si="112"/>
        <v>0.9</v>
      </c>
      <c r="AF304" s="179">
        <f t="shared" si="113"/>
        <v>0.89721653099072773</v>
      </c>
      <c r="AG304" s="839">
        <f t="shared" si="119"/>
        <v>-1</v>
      </c>
      <c r="AH304" s="178">
        <f t="shared" si="114"/>
        <v>5</v>
      </c>
      <c r="AI304" s="227">
        <f t="shared" si="115"/>
        <v>-0.10278346900927227</v>
      </c>
      <c r="AJ304" s="267" t="b">
        <f t="shared" si="116"/>
        <v>0</v>
      </c>
      <c r="AK304" s="267" t="b">
        <f t="shared" si="117"/>
        <v>0</v>
      </c>
      <c r="AL304" s="267"/>
      <c r="AM304" s="267"/>
      <c r="AN304" s="75"/>
    </row>
    <row r="305" spans="1:40" s="6" customFormat="1" ht="11.25" x14ac:dyDescent="0.2">
      <c r="A305" s="56">
        <f t="shared" si="118"/>
        <v>44487</v>
      </c>
      <c r="B305" s="620">
        <v>26.995000000000001</v>
      </c>
      <c r="C305" s="392"/>
      <c r="D305" s="395">
        <f t="shared" si="98"/>
        <v>27.742698173221445</v>
      </c>
      <c r="E305" s="387">
        <f t="shared" si="120"/>
        <v>30.334319018641466</v>
      </c>
      <c r="F305" s="387">
        <f t="shared" si="99"/>
        <v>30.814440593225026</v>
      </c>
      <c r="G305" s="110">
        <f t="shared" si="121"/>
        <v>0.96630997042112632</v>
      </c>
      <c r="H305" s="416" t="b">
        <f>Wh_hp&gt;='2020'!Maxi_hp</f>
        <v>0</v>
      </c>
      <c r="I305" s="382">
        <f>IF(H305,Wh_hp,'2020'!Maxi_hp)</f>
        <v>32.248415453098012</v>
      </c>
      <c r="J305" s="85">
        <f>IF(H305,An,'2020'!An_max)</f>
        <v>2020</v>
      </c>
      <c r="K305" s="199">
        <f t="shared" si="100"/>
        <v>44487</v>
      </c>
      <c r="L305" s="147">
        <f>IF(t&lt;Tvie,1-EXP((T0-t)*PertePVj)+'2020'!Pspv,1-EXP((T0-t)*PertePVj)+Pspv)</f>
        <v>2.6951169945797049E-2</v>
      </c>
      <c r="M305" s="872"/>
      <c r="N305" s="872"/>
      <c r="O305" s="48">
        <f>IF(t&lt;Tnet,'2020'!Resal+('2020'!Salim-'2020'!Resal)*(1-EXP(('2020'!Tnet-t)/('2020'!Tau_j))),Resal+(Salim-Resal)*(1-EXP((Tnet-t)/(Tau_j))))*Salcycl</f>
        <v>8.5435273619539065E-2</v>
      </c>
      <c r="P305" s="171">
        <f>(INDEX(Models!$BJ305:$BT305,,T305)*(1-R305)+INDEX(Models!$BJ305:$BT305,,T305+1)*R305-ERP_i)*Q305*Ramure*Pc/MaxiM</f>
        <v>1.6350324589025154E-2</v>
      </c>
      <c r="Q305" s="307">
        <f t="shared" si="101"/>
        <v>0.9</v>
      </c>
      <c r="R305" s="179">
        <f t="shared" si="102"/>
        <v>0.89733603396425099</v>
      </c>
      <c r="S305" s="839">
        <f t="shared" si="103"/>
        <v>-1</v>
      </c>
      <c r="T305" s="178">
        <f t="shared" si="104"/>
        <v>5</v>
      </c>
      <c r="U305" s="253">
        <f t="shared" si="105"/>
        <v>-0.10266396603574901</v>
      </c>
      <c r="V305" s="385">
        <f t="shared" si="106"/>
        <v>27.914339891844797</v>
      </c>
      <c r="W305" s="404"/>
      <c r="X305" s="157">
        <f t="shared" si="107"/>
        <v>44487</v>
      </c>
      <c r="Y305" s="387">
        <f t="shared" si="108"/>
        <v>25.083849497599669</v>
      </c>
      <c r="Z305" s="387">
        <f t="shared" si="109"/>
        <v>25.778613285216522</v>
      </c>
      <c r="AA305" s="388">
        <f t="shared" si="110"/>
        <v>30.334319018641466</v>
      </c>
      <c r="AB305" s="199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0.15018322088012942</v>
      </c>
      <c r="AD305" s="233">
        <f>(INDEX(Models!$BJ305:$BT305,,AH305)*(1-AF305)+INDEX(Models!$BJ305:$BT305,,AH305+1)*AF305-ERP_i)*AE305*Ramure*Pc/MaxiM</f>
        <v>1.6350324589025154E-2</v>
      </c>
      <c r="AE305" s="307">
        <f t="shared" si="112"/>
        <v>0.9</v>
      </c>
      <c r="AF305" s="179">
        <f t="shared" si="113"/>
        <v>0.89733603396425099</v>
      </c>
      <c r="AG305" s="839">
        <f t="shared" si="119"/>
        <v>-1</v>
      </c>
      <c r="AH305" s="178">
        <f t="shared" si="114"/>
        <v>5</v>
      </c>
      <c r="AI305" s="227">
        <f t="shared" si="115"/>
        <v>-0.10266396603574901</v>
      </c>
      <c r="AJ305" s="267" t="b">
        <f t="shared" si="116"/>
        <v>0</v>
      </c>
      <c r="AK305" s="267" t="b">
        <f t="shared" si="117"/>
        <v>0</v>
      </c>
      <c r="AL305" s="267"/>
      <c r="AM305" s="267"/>
      <c r="AN305" s="75"/>
    </row>
    <row r="306" spans="1:40" s="6" customFormat="1" ht="11.25" x14ac:dyDescent="0.2">
      <c r="A306" s="56">
        <f t="shared" si="118"/>
        <v>44488</v>
      </c>
      <c r="B306" s="620">
        <v>25.779</v>
      </c>
      <c r="C306" s="392"/>
      <c r="D306" s="395">
        <f t="shared" si="98"/>
        <v>26.493634371376704</v>
      </c>
      <c r="E306" s="387">
        <f t="shared" si="120"/>
        <v>28.974277122792405</v>
      </c>
      <c r="F306" s="387">
        <f t="shared" si="99"/>
        <v>29.436618012405575</v>
      </c>
      <c r="G306" s="110">
        <f t="shared" si="121"/>
        <v>0.93430715845893886</v>
      </c>
      <c r="H306" s="416" t="b">
        <f>Wh_hp&gt;='2020'!Maxi_hp</f>
        <v>0</v>
      </c>
      <c r="I306" s="382">
        <f>IF(H306,Wh_hp,'2020'!Maxi_hp)</f>
        <v>30.51278811937587</v>
      </c>
      <c r="J306" s="85">
        <f>IF(H306,An,'2020'!An_max)</f>
        <v>2020</v>
      </c>
      <c r="K306" s="199">
        <f t="shared" si="100"/>
        <v>44488</v>
      </c>
      <c r="L306" s="147">
        <f>IF(t&lt;Tvie,1-EXP((T0-t)*PertePVj)+'2020'!Pspv,1-EXP((T0-t)*PertePVj)+Pspv)</f>
        <v>2.697381421360534E-2</v>
      </c>
      <c r="M306" s="872"/>
      <c r="N306" s="872"/>
      <c r="O306" s="48">
        <f>IF(t&lt;Tnet,'2020'!Resal+('2020'!Salim-'2020'!Resal)*(1-EXP(('2020'!Tnet-t)/('2020'!Tau_j))),Resal+(Salim-Resal)*(1-EXP((Tnet-t)/(Tau_j))))*Salcycl</f>
        <v>8.5615345670326345E-2</v>
      </c>
      <c r="P306" s="171">
        <f>(INDEX(Models!$BJ306:$BT306,,T306)*(1-R306)+INDEX(Models!$BJ306:$BT306,,T306+1)*R306-ERP_i)*Q306*Ramure*Pc/MaxiM</f>
        <v>1.7291868523353425E-2</v>
      </c>
      <c r="Q306" s="307">
        <f t="shared" si="101"/>
        <v>0.9</v>
      </c>
      <c r="R306" s="179">
        <f t="shared" si="102"/>
        <v>0.89745077030540277</v>
      </c>
      <c r="S306" s="839">
        <f t="shared" si="103"/>
        <v>-1</v>
      </c>
      <c r="T306" s="178">
        <f t="shared" si="104"/>
        <v>5</v>
      </c>
      <c r="U306" s="253">
        <f t="shared" si="105"/>
        <v>-0.10254922969459723</v>
      </c>
      <c r="V306" s="385">
        <f t="shared" si="106"/>
        <v>27.547122638426828</v>
      </c>
      <c r="W306" s="404"/>
      <c r="X306" s="157">
        <f t="shared" si="107"/>
        <v>44488</v>
      </c>
      <c r="Y306" s="387">
        <f t="shared" si="108"/>
        <v>23.960115567500054</v>
      </c>
      <c r="Z306" s="387">
        <f t="shared" si="109"/>
        <v>24.624327605464817</v>
      </c>
      <c r="AA306" s="388">
        <f t="shared" si="110"/>
        <v>28.974277122792405</v>
      </c>
      <c r="AB306" s="199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0.15013142515661693</v>
      </c>
      <c r="AD306" s="233">
        <f>(INDEX(Models!$BJ306:$BT306,,AH306)*(1-AF306)+INDEX(Models!$BJ306:$BT306,,AH306+1)*AF306-ERP_i)*AE306*Ramure*Pc/MaxiM</f>
        <v>1.7291868523353425E-2</v>
      </c>
      <c r="AE306" s="307">
        <f t="shared" si="112"/>
        <v>0.9</v>
      </c>
      <c r="AF306" s="179">
        <f t="shared" si="113"/>
        <v>0.89745077030540277</v>
      </c>
      <c r="AG306" s="839">
        <f t="shared" si="119"/>
        <v>-1</v>
      </c>
      <c r="AH306" s="178">
        <f t="shared" si="114"/>
        <v>5</v>
      </c>
      <c r="AI306" s="227">
        <f t="shared" si="115"/>
        <v>-0.10254922969459723</v>
      </c>
      <c r="AJ306" s="267" t="b">
        <f t="shared" si="116"/>
        <v>0</v>
      </c>
      <c r="AK306" s="267" t="b">
        <f t="shared" si="117"/>
        <v>0</v>
      </c>
      <c r="AL306" s="267"/>
      <c r="AM306" s="267"/>
      <c r="AN306" s="75"/>
    </row>
    <row r="307" spans="1:40" s="6" customFormat="1" ht="11.25" x14ac:dyDescent="0.2">
      <c r="A307" s="56">
        <f t="shared" si="118"/>
        <v>44489</v>
      </c>
      <c r="B307" s="620">
        <v>20.817</v>
      </c>
      <c r="C307" s="392"/>
      <c r="D307" s="395">
        <f t="shared" si="98"/>
        <v>21.39457782058664</v>
      </c>
      <c r="E307" s="387">
        <f t="shared" si="120"/>
        <v>23.402333590022188</v>
      </c>
      <c r="F307" s="387">
        <f t="shared" si="99"/>
        <v>23.690537055401816</v>
      </c>
      <c r="G307" s="110">
        <f t="shared" si="121"/>
        <v>0.76102152479662022</v>
      </c>
      <c r="H307" s="416" t="b">
        <f>Wh_hp&gt;='2020'!Maxi_hp</f>
        <v>0</v>
      </c>
      <c r="I307" s="382">
        <f>IF(H307,Wh_hp,'2020'!Maxi_hp)</f>
        <v>26.828949468096958</v>
      </c>
      <c r="J307" s="85">
        <f>IF(H307,An,'2020'!An_max)</f>
        <v>2020</v>
      </c>
      <c r="K307" s="199">
        <f t="shared" si="100"/>
        <v>44489</v>
      </c>
      <c r="L307" s="147">
        <f>IF(t&lt;Tvie,1-EXP((T0-t)*PertePVj)+'2020'!Pspv,1-EXP((T0-t)*PertePVj)+Pspv)</f>
        <v>2.6996457954448272E-2</v>
      </c>
      <c r="M307" s="872"/>
      <c r="N307" s="872"/>
      <c r="O307" s="48">
        <f>IF(t&lt;Tnet,'2020'!Resal+('2020'!Salim-'2020'!Resal)*(1-EXP(('2020'!Tnet-t)/('2020'!Tau_j))),Resal+(Salim-Resal)*(1-EXP((Tnet-t)/(Tau_j))))*Salcycl</f>
        <v>8.5792972812402446E-2</v>
      </c>
      <c r="P307" s="171">
        <f>(INDEX(Models!$BJ307:$BT307,,T307)*(1-R307)+INDEX(Models!$BJ307:$BT307,,T307+1)*R307-ERP_i)*Q307*Ramure*Pc/MaxiM</f>
        <v>1.8283369624102243E-2</v>
      </c>
      <c r="Q307" s="307">
        <f t="shared" si="101"/>
        <v>0.9</v>
      </c>
      <c r="R307" s="179">
        <f t="shared" si="102"/>
        <v>0.89756092841328661</v>
      </c>
      <c r="S307" s="839">
        <f t="shared" si="103"/>
        <v>-1</v>
      </c>
      <c r="T307" s="178">
        <f t="shared" si="104"/>
        <v>5</v>
      </c>
      <c r="U307" s="253">
        <f t="shared" si="105"/>
        <v>-0.10243907158671339</v>
      </c>
      <c r="V307" s="385">
        <f t="shared" si="106"/>
        <v>27.184608951101037</v>
      </c>
      <c r="W307" s="404"/>
      <c r="X307" s="157">
        <f t="shared" si="107"/>
        <v>44489</v>
      </c>
      <c r="Y307" s="387">
        <f t="shared" si="108"/>
        <v>19.353217697327388</v>
      </c>
      <c r="Z307" s="387">
        <f t="shared" si="109"/>
        <v>19.890182163819251</v>
      </c>
      <c r="AA307" s="388">
        <f t="shared" si="110"/>
        <v>23.402333590022188</v>
      </c>
      <c r="AB307" s="199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0.15007697470394046</v>
      </c>
      <c r="AD307" s="233">
        <f>(INDEX(Models!$BJ307:$BT307,,AH307)*(1-AF307)+INDEX(Models!$BJ307:$BT307,,AH307+1)*AF307-ERP_i)*AE307*Ramure*Pc/MaxiM</f>
        <v>1.8283369624102243E-2</v>
      </c>
      <c r="AE307" s="307">
        <f t="shared" si="112"/>
        <v>0.9</v>
      </c>
      <c r="AF307" s="179">
        <f t="shared" si="113"/>
        <v>0.89756092841328661</v>
      </c>
      <c r="AG307" s="839">
        <f t="shared" si="119"/>
        <v>-1</v>
      </c>
      <c r="AH307" s="178">
        <f t="shared" si="114"/>
        <v>5</v>
      </c>
      <c r="AI307" s="227">
        <f t="shared" si="115"/>
        <v>-0.10243907158671339</v>
      </c>
      <c r="AJ307" s="267" t="b">
        <f t="shared" si="116"/>
        <v>0</v>
      </c>
      <c r="AK307" s="267" t="b">
        <f t="shared" si="117"/>
        <v>0</v>
      </c>
      <c r="AL307" s="267"/>
      <c r="AM307" s="267"/>
      <c r="AN307" s="75"/>
    </row>
    <row r="308" spans="1:40" s="6" customFormat="1" ht="11.25" x14ac:dyDescent="0.2">
      <c r="A308" s="56">
        <f t="shared" si="118"/>
        <v>44490</v>
      </c>
      <c r="B308" s="620">
        <v>9.918000000000001</v>
      </c>
      <c r="C308" s="392"/>
      <c r="D308" s="395">
        <f t="shared" si="98"/>
        <v>10.193416964206966</v>
      </c>
      <c r="E308" s="387">
        <f t="shared" si="120"/>
        <v>11.152147163623775</v>
      </c>
      <c r="F308" s="387">
        <f t="shared" si="99"/>
        <v>11.173651955757842</v>
      </c>
      <c r="G308" s="110">
        <f t="shared" si="121"/>
        <v>0.36326318625671411</v>
      </c>
      <c r="H308" s="416" t="b">
        <f>Wh_hp&gt;='2020'!Maxi_hp</f>
        <v>0</v>
      </c>
      <c r="I308" s="382">
        <f>IF(H308,Wh_hp,'2020'!Maxi_hp)</f>
        <v>22.431533601951021</v>
      </c>
      <c r="J308" s="85">
        <f>IF(H308,An,'2020'!An_max)</f>
        <v>2019</v>
      </c>
      <c r="K308" s="199">
        <f t="shared" si="100"/>
        <v>44490</v>
      </c>
      <c r="L308" s="147">
        <f>IF(t&lt;Tvie,1-EXP((T0-t)*PertePVj)+'2020'!Pspv,1-EXP((T0-t)*PertePVj)+Pspv)</f>
        <v>2.7019101168338389E-2</v>
      </c>
      <c r="M308" s="872"/>
      <c r="N308" s="872"/>
      <c r="O308" s="48">
        <f>IF(t&lt;Tnet,'2020'!Resal+('2020'!Salim-'2020'!Resal)*(1-EXP(('2020'!Tnet-t)/('2020'!Tau_j))),Resal+(Salim-Resal)*(1-EXP((Tnet-t)/(Tau_j))))*Salcycl</f>
        <v>8.5968216286098506E-2</v>
      </c>
      <c r="P308" s="171">
        <f>(INDEX(Models!$BJ308:$BT308,,T308)*(1-R308)+INDEX(Models!$BJ308:$BT308,,T308+1)*R308-ERP_i)*Q308*Ramure*Pc/MaxiM</f>
        <v>1.9326283037867827E-2</v>
      </c>
      <c r="Q308" s="307">
        <f t="shared" si="101"/>
        <v>0.9</v>
      </c>
      <c r="R308" s="179">
        <f t="shared" si="102"/>
        <v>0.8976666893764601</v>
      </c>
      <c r="S308" s="839">
        <f t="shared" si="103"/>
        <v>-1</v>
      </c>
      <c r="T308" s="178">
        <f t="shared" si="104"/>
        <v>5</v>
      </c>
      <c r="U308" s="253">
        <f t="shared" si="105"/>
        <v>-0.1023333106235399</v>
      </c>
      <c r="V308" s="385">
        <f t="shared" si="106"/>
        <v>26.826492893283437</v>
      </c>
      <c r="W308" s="404"/>
      <c r="X308" s="157">
        <f t="shared" si="107"/>
        <v>44490</v>
      </c>
      <c r="Y308" s="387">
        <f t="shared" si="108"/>
        <v>9.2229853597386704</v>
      </c>
      <c r="Z308" s="387">
        <f t="shared" si="109"/>
        <v>9.4791021805396891</v>
      </c>
      <c r="AA308" s="388">
        <f t="shared" si="110"/>
        <v>11.152147163623775</v>
      </c>
      <c r="AB308" s="199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0.15001998794826235</v>
      </c>
      <c r="AD308" s="233">
        <f>(INDEX(Models!$BJ308:$BT308,,AH308)*(1-AF308)+INDEX(Models!$BJ308:$BT308,,AH308+1)*AF308-ERP_i)*AE308*Ramure*Pc/MaxiM</f>
        <v>1.9326283037867827E-2</v>
      </c>
      <c r="AE308" s="307">
        <f t="shared" si="112"/>
        <v>0.9</v>
      </c>
      <c r="AF308" s="179">
        <f t="shared" si="113"/>
        <v>0.8976666893764601</v>
      </c>
      <c r="AG308" s="839">
        <f t="shared" si="119"/>
        <v>-1</v>
      </c>
      <c r="AH308" s="178">
        <f t="shared" si="114"/>
        <v>5</v>
      </c>
      <c r="AI308" s="227">
        <f t="shared" si="115"/>
        <v>-0.1023333106235399</v>
      </c>
      <c r="AJ308" s="267" t="b">
        <f t="shared" si="116"/>
        <v>0</v>
      </c>
      <c r="AK308" s="267" t="b">
        <f t="shared" si="117"/>
        <v>0</v>
      </c>
      <c r="AL308" s="267"/>
      <c r="AM308" s="267"/>
      <c r="AN308" s="75"/>
    </row>
    <row r="309" spans="1:40" s="6" customFormat="1" ht="11.25" x14ac:dyDescent="0.2">
      <c r="A309" s="56">
        <f t="shared" si="118"/>
        <v>44491</v>
      </c>
      <c r="B309" s="620">
        <v>11.723000000000001</v>
      </c>
      <c r="C309" s="392"/>
      <c r="D309" s="395">
        <f t="shared" si="98"/>
        <v>12.048821134887815</v>
      </c>
      <c r="E309" s="387">
        <f t="shared" si="120"/>
        <v>13.184553672179936</v>
      </c>
      <c r="F309" s="387">
        <f t="shared" si="99"/>
        <v>13.239726315455611</v>
      </c>
      <c r="G309" s="110">
        <f t="shared" si="121"/>
        <v>0.43560902015888864</v>
      </c>
      <c r="H309" s="416" t="b">
        <f>Wh_hp&gt;='2020'!Maxi_hp</f>
        <v>0</v>
      </c>
      <c r="I309" s="382">
        <f>IF(H309,Wh_hp,'2020'!Maxi_hp)</f>
        <v>22.376105637632744</v>
      </c>
      <c r="J309" s="85">
        <f>IF(H309,An,'2020'!An_max)</f>
        <v>2020</v>
      </c>
      <c r="K309" s="199">
        <f t="shared" si="100"/>
        <v>44491</v>
      </c>
      <c r="L309" s="147">
        <f>IF(t&lt;Tvie,1-EXP((T0-t)*PertePVj)+'2020'!Pspv,1-EXP((T0-t)*PertePVj)+Pspv)</f>
        <v>2.7041743855287792E-2</v>
      </c>
      <c r="M309" s="872"/>
      <c r="N309" s="872"/>
      <c r="O309" s="48">
        <f>IF(t&lt;Tnet,'2020'!Resal+('2020'!Salim-'2020'!Resal)*(1-EXP(('2020'!Tnet-t)/('2020'!Tau_j))),Resal+(Salim-Resal)*(1-EXP((Tnet-t)/(Tau_j))))*Salcycl</f>
        <v>8.6141144063797401E-2</v>
      </c>
      <c r="P309" s="171">
        <f>(INDEX(Models!$BJ309:$BT309,,T309)*(1-R309)+INDEX(Models!$BJ309:$BT309,,T309+1)*R309-ERP_i)*Q309*Ramure*Pc/MaxiM</f>
        <v>2.0422119105264359E-2</v>
      </c>
      <c r="Q309" s="307">
        <f t="shared" si="101"/>
        <v>0.9</v>
      </c>
      <c r="R309" s="179">
        <f t="shared" si="102"/>
        <v>0.89776822724589822</v>
      </c>
      <c r="S309" s="839">
        <f t="shared" si="103"/>
        <v>-1</v>
      </c>
      <c r="T309" s="178">
        <f t="shared" si="104"/>
        <v>5</v>
      </c>
      <c r="U309" s="253">
        <f t="shared" si="105"/>
        <v>-0.10223177275410178</v>
      </c>
      <c r="V309" s="385">
        <f t="shared" si="106"/>
        <v>26.472468862649833</v>
      </c>
      <c r="W309" s="404"/>
      <c r="X309" s="157">
        <f t="shared" si="107"/>
        <v>44491</v>
      </c>
      <c r="Y309" s="387">
        <f t="shared" si="108"/>
        <v>10.904322800137267</v>
      </c>
      <c r="Z309" s="387">
        <f t="shared" si="109"/>
        <v>11.207390174522986</v>
      </c>
      <c r="AA309" s="388">
        <f t="shared" si="110"/>
        <v>13.184553672179936</v>
      </c>
      <c r="AB309" s="199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0.14996059379915624</v>
      </c>
      <c r="AD309" s="233">
        <f>(INDEX(Models!$BJ309:$BT309,,AH309)*(1-AF309)+INDEX(Models!$BJ309:$BT309,,AH309+1)*AF309-ERP_i)*AE309*Ramure*Pc/MaxiM</f>
        <v>2.0422119105264359E-2</v>
      </c>
      <c r="AE309" s="307">
        <f t="shared" si="112"/>
        <v>0.9</v>
      </c>
      <c r="AF309" s="179">
        <f t="shared" si="113"/>
        <v>0.89776822724589822</v>
      </c>
      <c r="AG309" s="839">
        <f t="shared" si="119"/>
        <v>-1</v>
      </c>
      <c r="AH309" s="178">
        <f t="shared" si="114"/>
        <v>5</v>
      </c>
      <c r="AI309" s="227">
        <f t="shared" si="115"/>
        <v>-0.10223177275410178</v>
      </c>
      <c r="AJ309" s="267" t="b">
        <f t="shared" si="116"/>
        <v>0</v>
      </c>
      <c r="AK309" s="267" t="b">
        <f t="shared" si="117"/>
        <v>0</v>
      </c>
      <c r="AL309" s="267"/>
      <c r="AM309" s="267"/>
      <c r="AN309" s="75"/>
    </row>
    <row r="310" spans="1:40" s="6" customFormat="1" ht="11.25" x14ac:dyDescent="0.2">
      <c r="A310" s="56">
        <f t="shared" si="118"/>
        <v>44492</v>
      </c>
      <c r="B310" s="620">
        <v>26.516999999999999</v>
      </c>
      <c r="C310" s="392"/>
      <c r="D310" s="395">
        <f t="shared" si="98"/>
        <v>27.25462982221271</v>
      </c>
      <c r="E310" s="387">
        <f t="shared" si="120"/>
        <v>29.829246716279421</v>
      </c>
      <c r="F310" s="387">
        <f t="shared" si="99"/>
        <v>30.486938678311564</v>
      </c>
      <c r="G310" s="110">
        <f t="shared" si="121"/>
        <v>1.0151128302703174</v>
      </c>
      <c r="H310" s="416" t="b">
        <f>Wh_hp&gt;='2020'!Maxi_hp</f>
        <v>1</v>
      </c>
      <c r="I310" s="382">
        <f>IF(H310,Wh_hp,'2020'!Maxi_hp)</f>
        <v>30.486938678311564</v>
      </c>
      <c r="J310" s="85">
        <f>IF(H310,An,'2020'!An_max)</f>
        <v>2021</v>
      </c>
      <c r="K310" s="199">
        <f t="shared" si="100"/>
        <v>44492</v>
      </c>
      <c r="L310" s="147">
        <f>IF(t&lt;Tvie,1-EXP((T0-t)*PertePVj)+'2020'!Pspv,1-EXP((T0-t)*PertePVj)+Pspv)</f>
        <v>2.7064386015308806E-2</v>
      </c>
      <c r="M310" s="872"/>
      <c r="N310" s="872"/>
      <c r="O310" s="48">
        <f>IF(t&lt;Tnet,'2020'!Resal+('2020'!Salim-'2020'!Resal)*(1-EXP(('2020'!Tnet-t)/('2020'!Tau_j))),Resal+(Salim-Resal)*(1-EXP((Tnet-t)/(Tau_j))))*Salcycl</f>
        <v>8.6311830753057747E-2</v>
      </c>
      <c r="P310" s="171">
        <f>(INDEX(Models!$BJ310:$BT310,,T310)*(1-R310)+INDEX(Models!$BJ310:$BT310,,T310+1)*R310-ERP_i)*Q310*Ramure*Pc/MaxiM</f>
        <v>2.157290927015983E-2</v>
      </c>
      <c r="Q310" s="307">
        <f t="shared" si="101"/>
        <v>0.9</v>
      </c>
      <c r="R310" s="179">
        <f t="shared" si="102"/>
        <v>0.8978657092986202</v>
      </c>
      <c r="S310" s="839">
        <f t="shared" si="103"/>
        <v>-1</v>
      </c>
      <c r="T310" s="178">
        <f t="shared" si="104"/>
        <v>5</v>
      </c>
      <c r="U310" s="253">
        <f t="shared" si="105"/>
        <v>-0.1021342907013798</v>
      </c>
      <c r="V310" s="385">
        <f t="shared" si="106"/>
        <v>26.122219332937309</v>
      </c>
      <c r="W310" s="404"/>
      <c r="X310" s="157">
        <f t="shared" si="107"/>
        <v>44492</v>
      </c>
      <c r="Y310" s="387">
        <f t="shared" si="108"/>
        <v>24.671579205743829</v>
      </c>
      <c r="Z310" s="387">
        <f t="shared" si="109"/>
        <v>25.357874510010515</v>
      </c>
      <c r="AA310" s="388">
        <f t="shared" si="110"/>
        <v>29.829246716279421</v>
      </c>
      <c r="AB310" s="199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0.14989893136753726</v>
      </c>
      <c r="AD310" s="233">
        <f>(INDEX(Models!$BJ310:$BT310,,AH310)*(1-AF310)+INDEX(Models!$BJ310:$BT310,,AH310+1)*AF310-ERP_i)*AE310*Ramure*Pc/MaxiM</f>
        <v>2.157290927015983E-2</v>
      </c>
      <c r="AE310" s="307">
        <f t="shared" si="112"/>
        <v>0.9</v>
      </c>
      <c r="AF310" s="179">
        <f t="shared" si="113"/>
        <v>0.8978657092986202</v>
      </c>
      <c r="AG310" s="839">
        <f t="shared" si="119"/>
        <v>-1</v>
      </c>
      <c r="AH310" s="178">
        <f t="shared" si="114"/>
        <v>5</v>
      </c>
      <c r="AI310" s="227">
        <f t="shared" si="115"/>
        <v>-0.1021342907013798</v>
      </c>
      <c r="AJ310" s="267" t="b">
        <f t="shared" si="116"/>
        <v>0</v>
      </c>
      <c r="AK310" s="267" t="b">
        <f t="shared" si="117"/>
        <v>0</v>
      </c>
      <c r="AL310" s="267"/>
      <c r="AM310" s="267"/>
      <c r="AN310" s="75"/>
    </row>
    <row r="311" spans="1:40" s="6" customFormat="1" ht="11.25" x14ac:dyDescent="0.2">
      <c r="A311" s="56">
        <f t="shared" si="118"/>
        <v>44493</v>
      </c>
      <c r="B311" s="620">
        <v>26.676000000000002</v>
      </c>
      <c r="C311" s="392"/>
      <c r="D311" s="395">
        <f t="shared" si="98"/>
        <v>27.418690836779149</v>
      </c>
      <c r="E311" s="387">
        <f t="shared" si="120"/>
        <v>30.014341848662504</v>
      </c>
      <c r="F311" s="387">
        <f t="shared" si="99"/>
        <v>30.713396956245166</v>
      </c>
      <c r="G311" s="110">
        <f t="shared" si="121"/>
        <v>1.0349178270250994</v>
      </c>
      <c r="H311" s="416" t="b">
        <f>Wh_hp&gt;='2020'!Maxi_hp</f>
        <v>1</v>
      </c>
      <c r="I311" s="382">
        <f>IF(H311,Wh_hp,'2020'!Maxi_hp)</f>
        <v>30.713396956245166</v>
      </c>
      <c r="J311" s="85">
        <f>IF(H311,An,'2020'!An_max)</f>
        <v>2021</v>
      </c>
      <c r="K311" s="199">
        <f t="shared" si="100"/>
        <v>44493</v>
      </c>
      <c r="L311" s="147">
        <f>IF(t&lt;Tvie,1-EXP((T0-t)*PertePVj)+'2020'!Pspv,1-EXP((T0-t)*PertePVj)+Pspv)</f>
        <v>2.7087027648413753E-2</v>
      </c>
      <c r="M311" s="872"/>
      <c r="N311" s="872"/>
      <c r="O311" s="48">
        <f>IF(t&lt;Tnet,'2020'!Resal+('2020'!Salim-'2020'!Resal)*(1-EXP(('2020'!Tnet-t)/('2020'!Tau_j))),Resal+(Salim-Resal)*(1-EXP((Tnet-t)/(Tau_j))))*Salcycl</f>
        <v>8.6480357456147974E-2</v>
      </c>
      <c r="P311" s="171">
        <f>(INDEX(Models!$BJ311:$BT311,,T311)*(1-R311)+INDEX(Models!$BJ311:$BT311,,T311+1)*R311-ERP_i)*Q311*Ramure*Pc/MaxiM</f>
        <v>2.2760592342766516E-2</v>
      </c>
      <c r="Q311" s="307">
        <f t="shared" si="101"/>
        <v>0.9</v>
      </c>
      <c r="R311" s="179">
        <f t="shared" si="102"/>
        <v>0.89795929629222415</v>
      </c>
      <c r="S311" s="839">
        <f t="shared" si="103"/>
        <v>-1</v>
      </c>
      <c r="T311" s="178">
        <f t="shared" si="104"/>
        <v>5</v>
      </c>
      <c r="U311" s="253">
        <f t="shared" si="105"/>
        <v>-0.10204070370777585</v>
      </c>
      <c r="V311" s="385">
        <f t="shared" si="106"/>
        <v>25.775959504611993</v>
      </c>
      <c r="W311" s="404"/>
      <c r="X311" s="157">
        <f t="shared" si="107"/>
        <v>44493</v>
      </c>
      <c r="Y311" s="387">
        <f t="shared" si="108"/>
        <v>24.825955012592839</v>
      </c>
      <c r="Z311" s="387">
        <f t="shared" si="109"/>
        <v>25.517138447221118</v>
      </c>
      <c r="AA311" s="388">
        <f t="shared" si="110"/>
        <v>30.014341848662504</v>
      </c>
      <c r="AB311" s="199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0.14983514961337691</v>
      </c>
      <c r="AD311" s="233">
        <f>(INDEX(Models!$BJ311:$BT311,,AH311)*(1-AF311)+INDEX(Models!$BJ311:$BT311,,AH311+1)*AF311-ERP_i)*AE311*Ramure*Pc/MaxiM</f>
        <v>2.2760592342766516E-2</v>
      </c>
      <c r="AE311" s="307">
        <f t="shared" si="112"/>
        <v>0.9</v>
      </c>
      <c r="AF311" s="179">
        <f t="shared" si="113"/>
        <v>0.89795929629222415</v>
      </c>
      <c r="AG311" s="839">
        <f t="shared" si="119"/>
        <v>-1</v>
      </c>
      <c r="AH311" s="178">
        <f t="shared" si="114"/>
        <v>5</v>
      </c>
      <c r="AI311" s="227">
        <f t="shared" si="115"/>
        <v>-0.10204070370777585</v>
      </c>
      <c r="AJ311" s="267" t="b">
        <f t="shared" si="116"/>
        <v>0</v>
      </c>
      <c r="AK311" s="267" t="b">
        <f t="shared" si="117"/>
        <v>0</v>
      </c>
      <c r="AL311" s="267"/>
      <c r="AM311" s="267"/>
      <c r="AN311" s="75"/>
    </row>
    <row r="312" spans="1:40" s="6" customFormat="1" ht="11.25" x14ac:dyDescent="0.2">
      <c r="A312" s="56">
        <f t="shared" si="118"/>
        <v>44494</v>
      </c>
      <c r="B312" s="620">
        <v>25.524000000000001</v>
      </c>
      <c r="C312" s="392"/>
      <c r="D312" s="395">
        <f t="shared" si="98"/>
        <v>26.235228350277708</v>
      </c>
      <c r="E312" s="387">
        <f t="shared" si="120"/>
        <v>28.724078136555079</v>
      </c>
      <c r="F312" s="387">
        <f t="shared" si="99"/>
        <v>29.429997890434077</v>
      </c>
      <c r="G312" s="110">
        <f t="shared" si="121"/>
        <v>1.0035630703902625</v>
      </c>
      <c r="H312" s="416" t="b">
        <f>Wh_hp&gt;='2020'!Maxi_hp</f>
        <v>1</v>
      </c>
      <c r="I312" s="382">
        <f>IF(H312,Wh_hp,'2020'!Maxi_hp)</f>
        <v>29.429997890434077</v>
      </c>
      <c r="J312" s="85">
        <f>IF(H312,An,'2020'!An_max)</f>
        <v>2021</v>
      </c>
      <c r="K312" s="199">
        <f t="shared" si="100"/>
        <v>44494</v>
      </c>
      <c r="L312" s="147">
        <f>IF(t&lt;Tvie,1-EXP((T0-t)*PertePVj)+'2020'!Pspv,1-EXP((T0-t)*PertePVj)+Pspv)</f>
        <v>2.7109668754614735E-2</v>
      </c>
      <c r="M312" s="872"/>
      <c r="N312" s="872"/>
      <c r="O312" s="48">
        <f>IF(t&lt;Tnet,'2020'!Resal+('2020'!Salim-'2020'!Resal)*(1-EXP(('2020'!Tnet-t)/('2020'!Tau_j))),Resal+(Salim-Resal)*(1-EXP((Tnet-t)/(Tau_j))))*Salcycl</f>
        <v>8.6646811585921302E-2</v>
      </c>
      <c r="P312" s="171">
        <f>(INDEX(Models!$BJ312:$BT312,,T312)*(1-R312)+INDEX(Models!$BJ312:$BT312,,T312+1)*R312-ERP_i)*Q312*Ramure*Pc/MaxiM</f>
        <v>2.3986401783210782E-2</v>
      </c>
      <c r="Q312" s="307">
        <f t="shared" si="101"/>
        <v>0.9</v>
      </c>
      <c r="R312" s="179">
        <f t="shared" si="102"/>
        <v>0.898049142710583</v>
      </c>
      <c r="S312" s="839">
        <f t="shared" si="103"/>
        <v>-1</v>
      </c>
      <c r="T312" s="178">
        <f t="shared" si="104"/>
        <v>5</v>
      </c>
      <c r="U312" s="253">
        <f t="shared" si="105"/>
        <v>-0.101950857289417</v>
      </c>
      <c r="V312" s="385">
        <f t="shared" si="106"/>
        <v>25.433379080075465</v>
      </c>
      <c r="W312" s="404"/>
      <c r="X312" s="157">
        <f t="shared" si="107"/>
        <v>44494</v>
      </c>
      <c r="Y312" s="387">
        <f t="shared" si="108"/>
        <v>23.760015219686075</v>
      </c>
      <c r="Z312" s="387">
        <f t="shared" si="109"/>
        <v>24.42208998959951</v>
      </c>
      <c r="AA312" s="388">
        <f t="shared" si="110"/>
        <v>28.724078136555079</v>
      </c>
      <c r="AB312" s="199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0.14976940692417687</v>
      </c>
      <c r="AD312" s="233">
        <f>(INDEX(Models!$BJ312:$BT312,,AH312)*(1-AF312)+INDEX(Models!$BJ312:$BT312,,AH312+1)*AF312-ERP_i)*AE312*Ramure*Pc/MaxiM</f>
        <v>2.3986401783210782E-2</v>
      </c>
      <c r="AE312" s="307">
        <f t="shared" si="112"/>
        <v>0.9</v>
      </c>
      <c r="AF312" s="179">
        <f t="shared" si="113"/>
        <v>0.898049142710583</v>
      </c>
      <c r="AG312" s="839">
        <f t="shared" si="119"/>
        <v>-1</v>
      </c>
      <c r="AH312" s="178">
        <f t="shared" si="114"/>
        <v>5</v>
      </c>
      <c r="AI312" s="227">
        <f t="shared" si="115"/>
        <v>-0.101950857289417</v>
      </c>
      <c r="AJ312" s="267" t="b">
        <f t="shared" si="116"/>
        <v>0</v>
      </c>
      <c r="AK312" s="267" t="b">
        <f t="shared" si="117"/>
        <v>0</v>
      </c>
      <c r="AL312" s="267"/>
      <c r="AM312" s="267"/>
      <c r="AN312" s="75"/>
    </row>
    <row r="313" spans="1:40" s="6" customFormat="1" ht="11.25" x14ac:dyDescent="0.2">
      <c r="A313" s="56">
        <f t="shared" si="118"/>
        <v>44495</v>
      </c>
      <c r="B313" s="620">
        <v>18.208000000000002</v>
      </c>
      <c r="C313" s="392"/>
      <c r="D313" s="395">
        <f t="shared" si="98"/>
        <v>18.715802955213629</v>
      </c>
      <c r="E313" s="387">
        <f t="shared" si="120"/>
        <v>20.495000300995923</v>
      </c>
      <c r="F313" s="387">
        <f t="shared" si="99"/>
        <v>20.814554065729762</v>
      </c>
      <c r="G313" s="110">
        <f t="shared" si="121"/>
        <v>0.71829216992324507</v>
      </c>
      <c r="H313" s="416" t="b">
        <f>Wh_hp&gt;='2020'!Maxi_hp</f>
        <v>0</v>
      </c>
      <c r="I313" s="382">
        <f>IF(H313,Wh_hp,'2020'!Maxi_hp)</f>
        <v>29.199862154592079</v>
      </c>
      <c r="J313" s="85">
        <f>IF(H313,An,'2020'!An_max)</f>
        <v>2019</v>
      </c>
      <c r="K313" s="199">
        <f t="shared" si="100"/>
        <v>44495</v>
      </c>
      <c r="L313" s="147">
        <f>IF(t&lt;Tvie,1-EXP((T0-t)*PertePVj)+'2020'!Pspv,1-EXP((T0-t)*PertePVj)+Pspv)</f>
        <v>2.7132309333924076E-2</v>
      </c>
      <c r="M313" s="872"/>
      <c r="N313" s="872"/>
      <c r="O313" s="48">
        <f>IF(t&lt;Tnet,'2020'!Resal+('2020'!Salim-'2020'!Resal)*(1-EXP(('2020'!Tnet-t)/('2020'!Tau_j))),Resal+(Salim-Resal)*(1-EXP((Tnet-t)/(Tau_j))))*Salcycl</f>
        <v>8.6811286638323881E-2</v>
      </c>
      <c r="P313" s="171">
        <f>(INDEX(Models!$BJ313:$BT313,,T313)*(1-R313)+INDEX(Models!$BJ313:$BT313,,T313+1)*R313-ERP_i)*Q313*Ramure*Pc/MaxiM</f>
        <v>2.5251474068382355E-2</v>
      </c>
      <c r="Q313" s="307">
        <f t="shared" si="101"/>
        <v>0.9</v>
      </c>
      <c r="R313" s="179">
        <f t="shared" si="102"/>
        <v>0.89813539700094669</v>
      </c>
      <c r="S313" s="839">
        <f t="shared" si="103"/>
        <v>-1</v>
      </c>
      <c r="T313" s="178">
        <f t="shared" si="104"/>
        <v>5</v>
      </c>
      <c r="U313" s="253">
        <f t="shared" si="105"/>
        <v>-0.10186460299905331</v>
      </c>
      <c r="V313" s="385">
        <f t="shared" si="106"/>
        <v>25.094172640176907</v>
      </c>
      <c r="W313" s="404"/>
      <c r="X313" s="157">
        <f t="shared" si="107"/>
        <v>44495</v>
      </c>
      <c r="Y313" s="387">
        <f t="shared" si="108"/>
        <v>16.954029449895561</v>
      </c>
      <c r="Z313" s="387">
        <f t="shared" si="109"/>
        <v>17.426860417461235</v>
      </c>
      <c r="AA313" s="388">
        <f t="shared" si="110"/>
        <v>20.495000300995923</v>
      </c>
      <c r="AB313" s="199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0.14970187062576412</v>
      </c>
      <c r="AD313" s="233">
        <f>(INDEX(Models!$BJ313:$BT313,,AH313)*(1-AF313)+INDEX(Models!$BJ313:$BT313,,AH313+1)*AF313-ERP_i)*AE313*Ramure*Pc/MaxiM</f>
        <v>2.5251474068382355E-2</v>
      </c>
      <c r="AE313" s="307">
        <f t="shared" si="112"/>
        <v>0.9</v>
      </c>
      <c r="AF313" s="179">
        <f t="shared" si="113"/>
        <v>0.89813539700094669</v>
      </c>
      <c r="AG313" s="839">
        <f t="shared" si="119"/>
        <v>-1</v>
      </c>
      <c r="AH313" s="178">
        <f t="shared" si="114"/>
        <v>5</v>
      </c>
      <c r="AI313" s="227">
        <f t="shared" si="115"/>
        <v>-0.10186460299905331</v>
      </c>
      <c r="AJ313" s="267" t="b">
        <f t="shared" si="116"/>
        <v>0</v>
      </c>
      <c r="AK313" s="267" t="b">
        <f t="shared" si="117"/>
        <v>0</v>
      </c>
      <c r="AL313" s="267"/>
      <c r="AM313" s="267"/>
      <c r="AN313" s="75"/>
    </row>
    <row r="314" spans="1:40" s="6" customFormat="1" ht="11.25" x14ac:dyDescent="0.2">
      <c r="A314" s="56">
        <f t="shared" si="118"/>
        <v>44496</v>
      </c>
      <c r="B314" s="620">
        <v>25.305</v>
      </c>
      <c r="C314" s="392"/>
      <c r="D314" s="395">
        <f t="shared" si="98"/>
        <v>26.011336526858258</v>
      </c>
      <c r="E314" s="387">
        <f t="shared" si="120"/>
        <v>28.489148351659303</v>
      </c>
      <c r="F314" s="387">
        <f t="shared" si="99"/>
        <v>29.266376232509479</v>
      </c>
      <c r="G314" s="110">
        <f t="shared" si="121"/>
        <v>1.0220924201580259</v>
      </c>
      <c r="H314" s="416" t="b">
        <f>Wh_hp&gt;='2020'!Maxi_hp</f>
        <v>1</v>
      </c>
      <c r="I314" s="382">
        <f>IF(H314,Wh_hp,'2020'!Maxi_hp)</f>
        <v>29.266376232509479</v>
      </c>
      <c r="J314" s="85">
        <f>IF(H314,An,'2020'!An_max)</f>
        <v>2021</v>
      </c>
      <c r="K314" s="199">
        <f t="shared" si="100"/>
        <v>44496</v>
      </c>
      <c r="L314" s="147">
        <f>IF(t&lt;Tvie,1-EXP((T0-t)*PertePVj)+'2020'!Pspv,1-EXP((T0-t)*PertePVj)+Pspv)</f>
        <v>2.7154949386354099E-2</v>
      </c>
      <c r="M314" s="872"/>
      <c r="N314" s="872"/>
      <c r="O314" s="48">
        <f>IF(t&lt;Tnet,'2020'!Resal+('2020'!Salim-'2020'!Resal)*(1-EXP(('2020'!Tnet-t)/('2020'!Tau_j))),Resal+(Salim-Resal)*(1-EXP((Tnet-t)/(Tau_j))))*Salcycl</f>
        <v>8.6973881922192589E-2</v>
      </c>
      <c r="P314" s="171">
        <f>(INDEX(Models!$BJ314:$BT314,,T314)*(1-R314)+INDEX(Models!$BJ314:$BT314,,T314+1)*R314-ERP_i)*Q314*Ramure*Pc/MaxiM</f>
        <v>2.6557024849110711E-2</v>
      </c>
      <c r="Q314" s="307">
        <f t="shared" si="101"/>
        <v>0.9</v>
      </c>
      <c r="R314" s="179">
        <f t="shared" si="102"/>
        <v>0.89821820180269962</v>
      </c>
      <c r="S314" s="839">
        <f t="shared" si="103"/>
        <v>-1</v>
      </c>
      <c r="T314" s="178">
        <f t="shared" si="104"/>
        <v>5</v>
      </c>
      <c r="U314" s="253">
        <f t="shared" si="105"/>
        <v>-0.10178179819730038</v>
      </c>
      <c r="V314" s="385">
        <f t="shared" si="106"/>
        <v>24.758035086580119</v>
      </c>
      <c r="W314" s="404"/>
      <c r="X314" s="157">
        <f t="shared" si="107"/>
        <v>44496</v>
      </c>
      <c r="Y314" s="387">
        <f t="shared" si="108"/>
        <v>23.568377382351098</v>
      </c>
      <c r="Z314" s="387">
        <f t="shared" si="109"/>
        <v>24.226239695093032</v>
      </c>
      <c r="AA314" s="388">
        <f t="shared" si="110"/>
        <v>28.489148351659303</v>
      </c>
      <c r="AB314" s="199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0.14963271642755099</v>
      </c>
      <c r="AD314" s="233">
        <f>(INDEX(Models!$BJ314:$BT314,,AH314)*(1-AF314)+INDEX(Models!$BJ314:$BT314,,AH314+1)*AF314-ERP_i)*AE314*Ramure*Pc/MaxiM</f>
        <v>2.6557024849110711E-2</v>
      </c>
      <c r="AE314" s="307">
        <f t="shared" si="112"/>
        <v>0.9</v>
      </c>
      <c r="AF314" s="179">
        <f t="shared" si="113"/>
        <v>0.89821820180269962</v>
      </c>
      <c r="AG314" s="839">
        <f t="shared" si="119"/>
        <v>-1</v>
      </c>
      <c r="AH314" s="178">
        <f t="shared" si="114"/>
        <v>5</v>
      </c>
      <c r="AI314" s="227">
        <f t="shared" si="115"/>
        <v>-0.10178179819730038</v>
      </c>
      <c r="AJ314" s="267" t="b">
        <f t="shared" si="116"/>
        <v>0</v>
      </c>
      <c r="AK314" s="267" t="b">
        <f t="shared" si="117"/>
        <v>0</v>
      </c>
      <c r="AL314" s="267"/>
      <c r="AM314" s="267"/>
      <c r="AN314" s="75"/>
    </row>
    <row r="315" spans="1:40" s="6" customFormat="1" ht="11.25" x14ac:dyDescent="0.2">
      <c r="A315" s="56">
        <f t="shared" si="118"/>
        <v>44497</v>
      </c>
      <c r="B315" s="620">
        <v>24.492000000000001</v>
      </c>
      <c r="C315" s="392"/>
      <c r="D315" s="395">
        <f t="shared" si="98"/>
        <v>25.17622920776072</v>
      </c>
      <c r="E315" s="387">
        <f t="shared" si="120"/>
        <v>27.579347434656089</v>
      </c>
      <c r="F315" s="387">
        <f t="shared" si="99"/>
        <v>28.371022569697843</v>
      </c>
      <c r="G315" s="110">
        <f t="shared" si="121"/>
        <v>1.0027569814020711</v>
      </c>
      <c r="H315" s="416" t="b">
        <f>Wh_hp&gt;='2020'!Maxi_hp</f>
        <v>1</v>
      </c>
      <c r="I315" s="382">
        <f>IF(H315,Wh_hp,'2020'!Maxi_hp)</f>
        <v>28.371022569697843</v>
      </c>
      <c r="J315" s="85">
        <f>IF(H315,An,'2020'!An_max)</f>
        <v>2021</v>
      </c>
      <c r="K315" s="199">
        <f t="shared" si="100"/>
        <v>44497</v>
      </c>
      <c r="L315" s="147">
        <f>IF(t&lt;Tvie,1-EXP((T0-t)*PertePVj)+'2020'!Pspv,1-EXP((T0-t)*PertePVj)+Pspv)</f>
        <v>2.7177588911917017E-2</v>
      </c>
      <c r="M315" s="872"/>
      <c r="N315" s="872"/>
      <c r="O315" s="48">
        <f>IF(t&lt;Tnet,'2020'!Resal+('2020'!Salim-'2020'!Resal)*(1-EXP(('2020'!Tnet-t)/('2020'!Tau_j))),Resal+(Salim-Resal)*(1-EXP((Tnet-t)/(Tau_j))))*Salcycl</f>
        <v>8.713470224736429E-2</v>
      </c>
      <c r="P315" s="171">
        <f>(INDEX(Models!$BJ315:$BT315,,T315)*(1-R315)+INDEX(Models!$BJ315:$BT315,,T315+1)*R315-ERP_i)*Q315*Ramure*Pc/MaxiM</f>
        <v>2.7904356746285067E-2</v>
      </c>
      <c r="Q315" s="307">
        <f t="shared" si="101"/>
        <v>0.9</v>
      </c>
      <c r="R315" s="179">
        <f t="shared" si="102"/>
        <v>0.89829769416801408</v>
      </c>
      <c r="S315" s="839">
        <f t="shared" si="103"/>
        <v>-1</v>
      </c>
      <c r="T315" s="178">
        <f t="shared" si="104"/>
        <v>5</v>
      </c>
      <c r="U315" s="253">
        <f t="shared" si="105"/>
        <v>-0.10170230583198592</v>
      </c>
      <c r="V315" s="385">
        <f t="shared" si="106"/>
        <v>24.42466166204586</v>
      </c>
      <c r="W315" s="404"/>
      <c r="X315" s="157">
        <f t="shared" si="107"/>
        <v>44497</v>
      </c>
      <c r="Y315" s="387">
        <f t="shared" si="108"/>
        <v>22.817084204075666</v>
      </c>
      <c r="Z315" s="387">
        <f t="shared" si="109"/>
        <v>23.454521548856178</v>
      </c>
      <c r="AA315" s="388">
        <f t="shared" si="110"/>
        <v>27.579347434656089</v>
      </c>
      <c r="AB315" s="199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0.14956212780497743</v>
      </c>
      <c r="AD315" s="233">
        <f>(INDEX(Models!$BJ315:$BT315,,AH315)*(1-AF315)+INDEX(Models!$BJ315:$BT315,,AH315+1)*AF315-ERP_i)*AE315*Ramure*Pc/MaxiM</f>
        <v>2.7904356746285067E-2</v>
      </c>
      <c r="AE315" s="307">
        <f t="shared" si="112"/>
        <v>0.9</v>
      </c>
      <c r="AF315" s="179">
        <f t="shared" si="113"/>
        <v>0.89829769416801408</v>
      </c>
      <c r="AG315" s="839">
        <f t="shared" si="119"/>
        <v>-1</v>
      </c>
      <c r="AH315" s="178">
        <f t="shared" si="114"/>
        <v>5</v>
      </c>
      <c r="AI315" s="227">
        <f t="shared" si="115"/>
        <v>-0.10170230583198592</v>
      </c>
      <c r="AJ315" s="267" t="b">
        <f t="shared" si="116"/>
        <v>0</v>
      </c>
      <c r="AK315" s="267" t="b">
        <f t="shared" si="117"/>
        <v>0</v>
      </c>
      <c r="AL315" s="267"/>
      <c r="AM315" s="267"/>
      <c r="AN315" s="75"/>
    </row>
    <row r="316" spans="1:40" s="6" customFormat="1" ht="11.25" x14ac:dyDescent="0.2">
      <c r="A316" s="56">
        <f t="shared" si="118"/>
        <v>44498</v>
      </c>
      <c r="B316" s="620">
        <v>14.891</v>
      </c>
      <c r="C316" s="392"/>
      <c r="D316" s="395">
        <f t="shared" si="98"/>
        <v>15.307363783625462</v>
      </c>
      <c r="E316" s="387">
        <f t="shared" si="120"/>
        <v>16.771404367798532</v>
      </c>
      <c r="F316" s="387">
        <f t="shared" si="99"/>
        <v>16.997644506684054</v>
      </c>
      <c r="G316" s="110">
        <f t="shared" si="121"/>
        <v>0.60803158291190251</v>
      </c>
      <c r="H316" s="416" t="b">
        <f>Wh_hp&gt;='2020'!Maxi_hp</f>
        <v>0</v>
      </c>
      <c r="I316" s="382">
        <f>IF(H316,Wh_hp,'2020'!Maxi_hp)</f>
        <v>25.15927908632538</v>
      </c>
      <c r="J316" s="85">
        <f>IF(H316,An,'2020'!An_max)</f>
        <v>2019</v>
      </c>
      <c r="K316" s="199">
        <f t="shared" si="100"/>
        <v>44498</v>
      </c>
      <c r="L316" s="147">
        <f>IF(t&lt;Tvie,1-EXP((T0-t)*PertePVj)+'2020'!Pspv,1-EXP((T0-t)*PertePVj)+Pspv)</f>
        <v>2.7200227910625152E-2</v>
      </c>
      <c r="M316" s="872"/>
      <c r="N316" s="872"/>
      <c r="O316" s="48">
        <f>IF(t&lt;Tnet,'2020'!Resal+('2020'!Salim-'2020'!Resal)*(1-EXP(('2020'!Tnet-t)/('2020'!Tau_j))),Resal+(Salim-Resal)*(1-EXP((Tnet-t)/(Tau_j))))*Salcycl</f>
        <v>8.7293857572479788E-2</v>
      </c>
      <c r="P316" s="171">
        <f>(INDEX(Models!$BJ316:$BT316,,T316)*(1-R316)+INDEX(Models!$BJ316:$BT316,,T316+1)*R316-ERP_i)*Q316*Ramure*Pc/MaxiM</f>
        <v>2.9294867878068984E-2</v>
      </c>
      <c r="Q316" s="307">
        <f t="shared" si="101"/>
        <v>0.9</v>
      </c>
      <c r="R316" s="179">
        <f t="shared" si="102"/>
        <v>0.89837400577464466</v>
      </c>
      <c r="S316" s="839">
        <f t="shared" si="103"/>
        <v>-1</v>
      </c>
      <c r="T316" s="178">
        <f t="shared" si="104"/>
        <v>5</v>
      </c>
      <c r="U316" s="253">
        <f t="shared" si="105"/>
        <v>-0.10162599422535534</v>
      </c>
      <c r="V316" s="385">
        <f t="shared" si="106"/>
        <v>24.093747957320439</v>
      </c>
      <c r="W316" s="404"/>
      <c r="X316" s="157">
        <f t="shared" si="107"/>
        <v>44498</v>
      </c>
      <c r="Y316" s="387">
        <f t="shared" si="108"/>
        <v>13.876251537728445</v>
      </c>
      <c r="Z316" s="387">
        <f t="shared" si="109"/>
        <v>14.264242175884865</v>
      </c>
      <c r="AA316" s="388">
        <f t="shared" si="110"/>
        <v>16.771404367798532</v>
      </c>
      <c r="AB316" s="199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0.14949029532240446</v>
      </c>
      <c r="AD316" s="233">
        <f>(INDEX(Models!$BJ316:$BT316,,AH316)*(1-AF316)+INDEX(Models!$BJ316:$BT316,,AH316+1)*AF316-ERP_i)*AE316*Ramure*Pc/MaxiM</f>
        <v>2.9294867878068984E-2</v>
      </c>
      <c r="AE316" s="307">
        <f t="shared" si="112"/>
        <v>0.9</v>
      </c>
      <c r="AF316" s="179">
        <f t="shared" si="113"/>
        <v>0.89837400577464466</v>
      </c>
      <c r="AG316" s="839">
        <f t="shared" si="119"/>
        <v>-1</v>
      </c>
      <c r="AH316" s="178">
        <f t="shared" si="114"/>
        <v>5</v>
      </c>
      <c r="AI316" s="227">
        <f t="shared" si="115"/>
        <v>-0.10162599422535534</v>
      </c>
      <c r="AJ316" s="267" t="b">
        <f t="shared" si="116"/>
        <v>0</v>
      </c>
      <c r="AK316" s="267" t="b">
        <f t="shared" si="117"/>
        <v>0</v>
      </c>
      <c r="AL316" s="267"/>
      <c r="AM316" s="267"/>
      <c r="AN316" s="75"/>
    </row>
    <row r="317" spans="1:40" s="6" customFormat="1" ht="11.25" x14ac:dyDescent="0.2">
      <c r="A317" s="56">
        <f t="shared" si="118"/>
        <v>44499</v>
      </c>
      <c r="B317" s="620">
        <v>10.71</v>
      </c>
      <c r="C317" s="392"/>
      <c r="D317" s="395">
        <f t="shared" si="98"/>
        <v>11.009716028348908</v>
      </c>
      <c r="E317" s="387">
        <f t="shared" si="120"/>
        <v>12.064800476135723</v>
      </c>
      <c r="F317" s="387">
        <f t="shared" si="99"/>
        <v>12.145131333427468</v>
      </c>
      <c r="G317" s="110">
        <f t="shared" si="121"/>
        <v>0.43972454177440029</v>
      </c>
      <c r="H317" s="416" t="b">
        <f>Wh_hp&gt;='2020'!Maxi_hp</f>
        <v>0</v>
      </c>
      <c r="I317" s="382">
        <f>IF(H317,Wh_hp,'2020'!Maxi_hp)</f>
        <v>25.463678721185552</v>
      </c>
      <c r="J317" s="85">
        <f>IF(H317,An,'2020'!An_max)</f>
        <v>2020</v>
      </c>
      <c r="K317" s="199">
        <f t="shared" si="100"/>
        <v>44499</v>
      </c>
      <c r="L317" s="147">
        <f>IF(t&lt;Tvie,1-EXP((T0-t)*PertePVj)+'2020'!Pspv,1-EXP((T0-t)*PertePVj)+Pspv)</f>
        <v>2.7222866382490607E-2</v>
      </c>
      <c r="M317" s="872"/>
      <c r="N317" s="872"/>
      <c r="O317" s="48">
        <f>IF(t&lt;Tnet,'2020'!Resal+('2020'!Salim-'2020'!Resal)*(1-EXP(('2020'!Tnet-t)/('2020'!Tau_j))),Resal+(Salim-Resal)*(1-EXP((Tnet-t)/(Tau_j))))*Salcycl</f>
        <v>8.7451462614220599E-2</v>
      </c>
      <c r="P317" s="171">
        <f>(INDEX(Models!$BJ317:$BT317,,T317)*(1-R317)+INDEX(Models!$BJ317:$BT317,,T317+1)*R317-ERP_i)*Q317*Ramure*Pc/MaxiM</f>
        <v>3.0730206492737628E-2</v>
      </c>
      <c r="Q317" s="307">
        <f t="shared" si="101"/>
        <v>0.9</v>
      </c>
      <c r="R317" s="179">
        <f t="shared" si="102"/>
        <v>0.8984472631310978</v>
      </c>
      <c r="S317" s="839">
        <f t="shared" si="103"/>
        <v>-1</v>
      </c>
      <c r="T317" s="178">
        <f t="shared" si="104"/>
        <v>5</v>
      </c>
      <c r="U317" s="253">
        <f t="shared" si="105"/>
        <v>-0.1015527368689022</v>
      </c>
      <c r="V317" s="385">
        <f t="shared" si="106"/>
        <v>23.764873984307354</v>
      </c>
      <c r="W317" s="404"/>
      <c r="X317" s="157">
        <f t="shared" si="107"/>
        <v>44499</v>
      </c>
      <c r="Y317" s="387">
        <f t="shared" si="108"/>
        <v>9.9827451390205226</v>
      </c>
      <c r="Z317" s="387">
        <f t="shared" si="109"/>
        <v>10.262109165639252</v>
      </c>
      <c r="AA317" s="388">
        <f t="shared" si="110"/>
        <v>12.064800476135723</v>
      </c>
      <c r="AB317" s="199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0.14941741590026369</v>
      </c>
      <c r="AD317" s="233">
        <f>(INDEX(Models!$BJ317:$BT317,,AH317)*(1-AF317)+INDEX(Models!$BJ317:$BT317,,AH317+1)*AF317-ERP_i)*AE317*Ramure*Pc/MaxiM</f>
        <v>3.0730206492737628E-2</v>
      </c>
      <c r="AE317" s="307">
        <f t="shared" si="112"/>
        <v>0.9</v>
      </c>
      <c r="AF317" s="179">
        <f t="shared" si="113"/>
        <v>0.8984472631310978</v>
      </c>
      <c r="AG317" s="839">
        <f t="shared" si="119"/>
        <v>-1</v>
      </c>
      <c r="AH317" s="178">
        <f t="shared" si="114"/>
        <v>5</v>
      </c>
      <c r="AI317" s="227">
        <f t="shared" si="115"/>
        <v>-0.1015527368689022</v>
      </c>
      <c r="AJ317" s="267" t="b">
        <f t="shared" si="116"/>
        <v>0</v>
      </c>
      <c r="AK317" s="267" t="b">
        <f t="shared" si="117"/>
        <v>0</v>
      </c>
      <c r="AL317" s="267"/>
      <c r="AM317" s="267"/>
      <c r="AN317" s="75"/>
    </row>
    <row r="318" spans="1:40" s="6" customFormat="1" ht="11.25" x14ac:dyDescent="0.2">
      <c r="A318" s="56">
        <f t="shared" si="118"/>
        <v>44500</v>
      </c>
      <c r="B318" s="620">
        <v>15.945</v>
      </c>
      <c r="C318" s="392"/>
      <c r="D318" s="395">
        <f t="shared" si="98"/>
        <v>16.391597336157336</v>
      </c>
      <c r="E318" s="387">
        <f t="shared" si="120"/>
        <v>17.965513512017903</v>
      </c>
      <c r="F318" s="387">
        <f t="shared" si="99"/>
        <v>18.285263822521237</v>
      </c>
      <c r="G318" s="110">
        <f t="shared" si="121"/>
        <v>0.67010745096003377</v>
      </c>
      <c r="H318" s="416" t="b">
        <f>Wh_hp&gt;='2020'!Maxi_hp</f>
        <v>0</v>
      </c>
      <c r="I318" s="382">
        <f>IF(H318,Wh_hp,'2020'!Maxi_hp)</f>
        <v>27.758372597474693</v>
      </c>
      <c r="J318" s="85">
        <f>IF(H318,An,'2020'!An_max)</f>
        <v>2020</v>
      </c>
      <c r="K318" s="199">
        <f t="shared" si="100"/>
        <v>44500</v>
      </c>
      <c r="L318" s="147">
        <f>IF(t&lt;Tvie,1-EXP((T0-t)*PertePVj)+'2020'!Pspv,1-EXP((T0-t)*PertePVj)+Pspv)</f>
        <v>2.7245504327525816E-2</v>
      </c>
      <c r="M318" s="872"/>
      <c r="N318" s="872"/>
      <c r="O318" s="48">
        <f>IF(t&lt;Tnet,'2020'!Resal+('2020'!Salim-'2020'!Resal)*(1-EXP(('2020'!Tnet-t)/('2020'!Tau_j))),Resal+(Salim-Resal)*(1-EXP((Tnet-t)/(Tau_j))))*Salcycl</f>
        <v>8.7607636420061544E-2</v>
      </c>
      <c r="P318" s="171">
        <f>(INDEX(Models!$BJ318:$BT318,,T318)*(1-R318)+INDEX(Models!$BJ318:$BT318,,T318+1)*R318-ERP_i)*Q318*Ramure*Pc/MaxiM</f>
        <v>3.2188202174162822E-2</v>
      </c>
      <c r="Q318" s="307">
        <f t="shared" si="101"/>
        <v>0.9</v>
      </c>
      <c r="R318" s="179">
        <f t="shared" si="102"/>
        <v>0.89851758777441249</v>
      </c>
      <c r="S318" s="839">
        <f t="shared" si="103"/>
        <v>-1</v>
      </c>
      <c r="T318" s="178">
        <f t="shared" si="104"/>
        <v>5</v>
      </c>
      <c r="U318" s="253">
        <f t="shared" si="105"/>
        <v>-0.10148241222558751</v>
      </c>
      <c r="V318" s="385">
        <f t="shared" si="106"/>
        <v>23.438649472339439</v>
      </c>
      <c r="W318" s="404"/>
      <c r="X318" s="157">
        <f t="shared" si="107"/>
        <v>44500</v>
      </c>
      <c r="Y318" s="387">
        <f t="shared" si="108"/>
        <v>14.866098590906264</v>
      </c>
      <c r="Z318" s="387">
        <f t="shared" si="109"/>
        <v>15.282477394904449</v>
      </c>
      <c r="AA318" s="388">
        <f t="shared" si="110"/>
        <v>17.965513512017903</v>
      </c>
      <c r="AB318" s="199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0.14934369203077086</v>
      </c>
      <c r="AD318" s="233">
        <f>(INDEX(Models!$BJ318:$BT318,,AH318)*(1-AF318)+INDEX(Models!$BJ318:$BT318,,AH318+1)*AF318-ERP_i)*AE318*Ramure*Pc/MaxiM</f>
        <v>3.2188202174162822E-2</v>
      </c>
      <c r="AE318" s="307">
        <f t="shared" si="112"/>
        <v>0.9</v>
      </c>
      <c r="AF318" s="179">
        <f t="shared" si="113"/>
        <v>0.89851758777441249</v>
      </c>
      <c r="AG318" s="839">
        <f t="shared" si="119"/>
        <v>-1</v>
      </c>
      <c r="AH318" s="178">
        <f t="shared" si="114"/>
        <v>5</v>
      </c>
      <c r="AI318" s="227">
        <f t="shared" si="115"/>
        <v>-0.10148241222558751</v>
      </c>
      <c r="AJ318" s="267" t="b">
        <f t="shared" si="116"/>
        <v>0</v>
      </c>
      <c r="AK318" s="267" t="b">
        <f t="shared" si="117"/>
        <v>0</v>
      </c>
      <c r="AL318" s="267"/>
      <c r="AM318" s="267"/>
      <c r="AN318" s="75"/>
    </row>
    <row r="319" spans="1:40" s="6" customFormat="1" ht="11.25" x14ac:dyDescent="0.2">
      <c r="A319" s="56">
        <f t="shared" si="118"/>
        <v>44501</v>
      </c>
      <c r="B319" s="620">
        <v>14.865</v>
      </c>
      <c r="C319" s="392"/>
      <c r="D319" s="395">
        <f t="shared" si="98"/>
        <v>15.281703661559854</v>
      </c>
      <c r="E319" s="387">
        <f t="shared" si="120"/>
        <v>16.751891578130607</v>
      </c>
      <c r="F319" s="387">
        <f t="shared" si="99"/>
        <v>17.032846061426536</v>
      </c>
      <c r="G319" s="110">
        <f t="shared" si="121"/>
        <v>0.63184662544400638</v>
      </c>
      <c r="H319" s="416" t="b">
        <f>Wh_hp&gt;='2020'!Maxi_hp</f>
        <v>0</v>
      </c>
      <c r="I319" s="382">
        <f>IF(H319,Wh_hp,'2020'!Maxi_hp)</f>
        <v>26.743008767740822</v>
      </c>
      <c r="J319" s="85">
        <f>IF(H319,An,'2020'!An_max)</f>
        <v>2020</v>
      </c>
      <c r="K319" s="199">
        <f t="shared" si="100"/>
        <v>44501</v>
      </c>
      <c r="L319" s="147">
        <f>IF(t&lt;Tvie,1-EXP((T0-t)*PertePVj)+'2020'!Pspv,1-EXP((T0-t)*PertePVj)+Pspv)</f>
        <v>2.7268141745742991E-2</v>
      </c>
      <c r="M319" s="872"/>
      <c r="N319" s="872"/>
      <c r="O319" s="48">
        <f>IF(t&lt;Tnet,'2020'!Resal+('2020'!Salim-'2020'!Resal)*(1-EXP(('2020'!Tnet-t)/('2020'!Tau_j))),Resal+(Salim-Resal)*(1-EXP((Tnet-t)/(Tau_j))))*Salcycl</f>
        <v>8.7762501906952783E-2</v>
      </c>
      <c r="P319" s="171">
        <f>(INDEX(Models!$BJ319:$BT319,,T319)*(1-R319)+INDEX(Models!$BJ319:$BT319,,T319+1)*R319-ERP_i)*Q319*Ramure*Pc/MaxiM</f>
        <v>3.3656344350874751E-2</v>
      </c>
      <c r="Q319" s="307">
        <f t="shared" si="101"/>
        <v>0.9</v>
      </c>
      <c r="R319" s="179">
        <f t="shared" si="102"/>
        <v>0.89858509646078244</v>
      </c>
      <c r="S319" s="839">
        <f t="shared" si="103"/>
        <v>-1</v>
      </c>
      <c r="T319" s="178">
        <f t="shared" si="104"/>
        <v>5</v>
      </c>
      <c r="U319" s="253">
        <f t="shared" si="105"/>
        <v>-0.10141490353921756</v>
      </c>
      <c r="V319" s="385">
        <f t="shared" si="106"/>
        <v>23.11576181246409</v>
      </c>
      <c r="W319" s="404"/>
      <c r="X319" s="157">
        <f t="shared" si="107"/>
        <v>44501</v>
      </c>
      <c r="Y319" s="387">
        <f t="shared" si="108"/>
        <v>13.862740154738901</v>
      </c>
      <c r="Z319" s="387">
        <f t="shared" si="109"/>
        <v>14.251347930166585</v>
      </c>
      <c r="AA319" s="388">
        <f t="shared" si="110"/>
        <v>16.751891578130607</v>
      </c>
      <c r="AB319" s="199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0.14926933094698708</v>
      </c>
      <c r="AD319" s="233">
        <f>(INDEX(Models!$BJ319:$BT319,,AH319)*(1-AF319)+INDEX(Models!$BJ319:$BT319,,AH319+1)*AF319-ERP_i)*AE319*Ramure*Pc/MaxiM</f>
        <v>3.3656344350874751E-2</v>
      </c>
      <c r="AE319" s="307">
        <f t="shared" si="112"/>
        <v>0.9</v>
      </c>
      <c r="AF319" s="179">
        <f t="shared" si="113"/>
        <v>0.89858509646078244</v>
      </c>
      <c r="AG319" s="839">
        <f t="shared" si="119"/>
        <v>-1</v>
      </c>
      <c r="AH319" s="178">
        <f t="shared" si="114"/>
        <v>5</v>
      </c>
      <c r="AI319" s="227">
        <f t="shared" si="115"/>
        <v>-0.10141490353921756</v>
      </c>
      <c r="AJ319" s="267" t="b">
        <f t="shared" si="116"/>
        <v>0</v>
      </c>
      <c r="AK319" s="267" t="b">
        <f t="shared" si="117"/>
        <v>0</v>
      </c>
      <c r="AL319" s="267"/>
      <c r="AM319" s="267"/>
      <c r="AN319" s="75"/>
    </row>
    <row r="320" spans="1:40" s="6" customFormat="1" ht="11.25" x14ac:dyDescent="0.2">
      <c r="A320" s="56">
        <f t="shared" si="118"/>
        <v>44502</v>
      </c>
      <c r="B320" s="620">
        <v>22.253</v>
      </c>
      <c r="C320" s="392"/>
      <c r="D320" s="395">
        <f t="shared" si="98"/>
        <v>22.877340433579644</v>
      </c>
      <c r="E320" s="387">
        <f t="shared" si="120"/>
        <v>25.082497975064445</v>
      </c>
      <c r="F320" s="387">
        <f t="shared" si="99"/>
        <v>25.963625869506139</v>
      </c>
      <c r="G320" s="110">
        <f t="shared" si="121"/>
        <v>0.97494484068396758</v>
      </c>
      <c r="H320" s="416" t="b">
        <f>Wh_hp&gt;='2020'!Maxi_hp</f>
        <v>1</v>
      </c>
      <c r="I320" s="382">
        <f>IF(H320,Wh_hp,'2020'!Maxi_hp)</f>
        <v>25.963625869506139</v>
      </c>
      <c r="J320" s="85">
        <f>IF(H320,An,'2020'!An_max)</f>
        <v>2021</v>
      </c>
      <c r="K320" s="199">
        <f t="shared" si="100"/>
        <v>44502</v>
      </c>
      <c r="L320" s="147">
        <f>IF(t&lt;Tvie,1-EXP((T0-t)*PertePVj)+'2020'!Pspv,1-EXP((T0-t)*PertePVj)+Pspv)</f>
        <v>2.7290778637154345E-2</v>
      </c>
      <c r="M320" s="872"/>
      <c r="N320" s="872"/>
      <c r="O320" s="48">
        <f>IF(t&lt;Tnet,'2020'!Resal+('2020'!Salim-'2020'!Resal)*(1-EXP(('2020'!Tnet-t)/('2020'!Tau_j))),Resal+(Salim-Resal)*(1-EXP((Tnet-t)/(Tau_j))))*Salcycl</f>
        <v>8.7916185368659916E-2</v>
      </c>
      <c r="P320" s="171">
        <f>(INDEX(Models!$BJ320:$BT320,,T320)*(1-R320)+INDEX(Models!$BJ320:$BT320,,T320+1)*R320-ERP_i)*Q320*Ramure*Pc/MaxiM</f>
        <v>3.5133862897083638E-2</v>
      </c>
      <c r="Q320" s="307">
        <f t="shared" si="101"/>
        <v>0.9</v>
      </c>
      <c r="R320" s="179">
        <f t="shared" si="102"/>
        <v>0.89864990134924572</v>
      </c>
      <c r="S320" s="839">
        <f t="shared" si="103"/>
        <v>-1</v>
      </c>
      <c r="T320" s="178">
        <f t="shared" si="104"/>
        <v>5</v>
      </c>
      <c r="U320" s="253">
        <f t="shared" si="105"/>
        <v>-0.10135009865075428</v>
      </c>
      <c r="V320" s="385">
        <f t="shared" si="106"/>
        <v>22.796603403392218</v>
      </c>
      <c r="W320" s="404"/>
      <c r="X320" s="157">
        <f t="shared" si="107"/>
        <v>44502</v>
      </c>
      <c r="Y320" s="387">
        <f t="shared" si="108"/>
        <v>20.757932016997728</v>
      </c>
      <c r="Z320" s="387">
        <f t="shared" si="109"/>
        <v>21.340326133553209</v>
      </c>
      <c r="AA320" s="388">
        <f t="shared" si="110"/>
        <v>25.082497975064445</v>
      </c>
      <c r="AB320" s="199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0.14919454375044652</v>
      </c>
      <c r="AD320" s="233">
        <f>(INDEX(Models!$BJ320:$BT320,,AH320)*(1-AF320)+INDEX(Models!$BJ320:$BT320,,AH320+1)*AF320-ERP_i)*AE320*Ramure*Pc/MaxiM</f>
        <v>3.5133862897083638E-2</v>
      </c>
      <c r="AE320" s="307">
        <f t="shared" si="112"/>
        <v>0.9</v>
      </c>
      <c r="AF320" s="179">
        <f t="shared" si="113"/>
        <v>0.89864990134924572</v>
      </c>
      <c r="AG320" s="839">
        <f t="shared" si="119"/>
        <v>-1</v>
      </c>
      <c r="AH320" s="178">
        <f t="shared" si="114"/>
        <v>5</v>
      </c>
      <c r="AI320" s="227">
        <f t="shared" si="115"/>
        <v>-0.10135009865075428</v>
      </c>
      <c r="AJ320" s="267" t="b">
        <f t="shared" si="116"/>
        <v>0</v>
      </c>
      <c r="AK320" s="267" t="b">
        <f t="shared" si="117"/>
        <v>0</v>
      </c>
      <c r="AL320" s="267"/>
      <c r="AM320" s="267"/>
      <c r="AN320" s="75"/>
    </row>
    <row r="321" spans="1:40" s="6" customFormat="1" ht="11.25" x14ac:dyDescent="0.2">
      <c r="A321" s="56">
        <f t="shared" si="118"/>
        <v>44503</v>
      </c>
      <c r="B321" s="620">
        <v>14.064</v>
      </c>
      <c r="C321" s="392"/>
      <c r="D321" s="395">
        <f t="shared" si="98"/>
        <v>14.458922552145227</v>
      </c>
      <c r="E321" s="387">
        <f t="shared" si="120"/>
        <v>15.855278123078552</v>
      </c>
      <c r="F321" s="387">
        <f t="shared" si="99"/>
        <v>16.130010376405572</v>
      </c>
      <c r="G321" s="110">
        <f t="shared" si="121"/>
        <v>0.61311334445947996</v>
      </c>
      <c r="H321" s="416" t="b">
        <f>Wh_hp&gt;='2020'!Maxi_hp</f>
        <v>0</v>
      </c>
      <c r="I321" s="382">
        <f>IF(H321,Wh_hp,'2020'!Maxi_hp)</f>
        <v>25.318145187066094</v>
      </c>
      <c r="J321" s="85">
        <f>IF(H321,An,'2020'!An_max)</f>
        <v>2020</v>
      </c>
      <c r="K321" s="199">
        <f t="shared" si="100"/>
        <v>44503</v>
      </c>
      <c r="L321" s="147">
        <f>IF(t&lt;Tvie,1-EXP((T0-t)*PertePVj)+'2020'!Pspv,1-EXP((T0-t)*PertePVj)+Pspv)</f>
        <v>2.7313415001772201E-2</v>
      </c>
      <c r="M321" s="872"/>
      <c r="N321" s="872"/>
      <c r="O321" s="48">
        <f>IF(t&lt;Tnet,'2020'!Resal+('2020'!Salim-'2020'!Resal)*(1-EXP(('2020'!Tnet-t)/('2020'!Tau_j))),Resal+(Salim-Resal)*(1-EXP((Tnet-t)/(Tau_j))))*Salcycl</f>
        <v>8.8068815954784455E-2</v>
      </c>
      <c r="P321" s="171">
        <f>(INDEX(Models!$BJ321:$BT321,,T321)*(1-R321)+INDEX(Models!$BJ321:$BT321,,T321+1)*R321-ERP_i)*Q321*Ramure*Pc/MaxiM</f>
        <v>3.6619837676887965E-2</v>
      </c>
      <c r="Q321" s="307">
        <f t="shared" si="101"/>
        <v>0.9</v>
      </c>
      <c r="R321" s="179">
        <f t="shared" si="102"/>
        <v>0.89871211017866226</v>
      </c>
      <c r="S321" s="839">
        <f t="shared" si="103"/>
        <v>-1</v>
      </c>
      <c r="T321" s="178">
        <f t="shared" si="104"/>
        <v>5</v>
      </c>
      <c r="U321" s="253">
        <f t="shared" si="105"/>
        <v>-0.10128788982133774</v>
      </c>
      <c r="V321" s="385">
        <f t="shared" si="106"/>
        <v>22.4815665606694</v>
      </c>
      <c r="W321" s="404"/>
      <c r="X321" s="157">
        <f t="shared" si="107"/>
        <v>44503</v>
      </c>
      <c r="Y321" s="387">
        <f t="shared" si="108"/>
        <v>13.12246245711993</v>
      </c>
      <c r="Z321" s="387">
        <f t="shared" si="109"/>
        <v>13.490946271397213</v>
      </c>
      <c r="AA321" s="388">
        <f t="shared" si="110"/>
        <v>15.855278123078552</v>
      </c>
      <c r="AB321" s="199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0.14911954450296749</v>
      </c>
      <c r="AD321" s="233">
        <f>(INDEX(Models!$BJ321:$BT321,,AH321)*(1-AF321)+INDEX(Models!$BJ321:$BT321,,AH321+1)*AF321-ERP_i)*AE321*Ramure*Pc/MaxiM</f>
        <v>3.6619837676887965E-2</v>
      </c>
      <c r="AE321" s="307">
        <f t="shared" si="112"/>
        <v>0.9</v>
      </c>
      <c r="AF321" s="179">
        <f t="shared" si="113"/>
        <v>0.89871211017866226</v>
      </c>
      <c r="AG321" s="839">
        <f t="shared" si="119"/>
        <v>-1</v>
      </c>
      <c r="AH321" s="178">
        <f t="shared" si="114"/>
        <v>5</v>
      </c>
      <c r="AI321" s="227">
        <f t="shared" si="115"/>
        <v>-0.10128788982133774</v>
      </c>
      <c r="AJ321" s="267" t="b">
        <f t="shared" si="116"/>
        <v>0</v>
      </c>
      <c r="AK321" s="267" t="b">
        <f t="shared" si="117"/>
        <v>0</v>
      </c>
      <c r="AL321" s="267"/>
      <c r="AM321" s="267"/>
      <c r="AN321" s="75"/>
    </row>
    <row r="322" spans="1:40" s="6" customFormat="1" ht="11.25" x14ac:dyDescent="0.2">
      <c r="A322" s="56">
        <f t="shared" si="118"/>
        <v>44504</v>
      </c>
      <c r="B322" s="620">
        <v>12.248000000000001</v>
      </c>
      <c r="C322" s="392"/>
      <c r="D322" s="395">
        <f t="shared" si="98"/>
        <v>12.592221610117802</v>
      </c>
      <c r="E322" s="387">
        <f t="shared" si="120"/>
        <v>13.810599993864528</v>
      </c>
      <c r="F322" s="387">
        <f t="shared" si="99"/>
        <v>14.003062059853407</v>
      </c>
      <c r="G322" s="110">
        <f t="shared" si="121"/>
        <v>0.53878249831222602</v>
      </c>
      <c r="H322" s="416" t="b">
        <f>Wh_hp&gt;='2020'!Maxi_hp</f>
        <v>0</v>
      </c>
      <c r="I322" s="382">
        <f>IF(H322,Wh_hp,'2020'!Maxi_hp)</f>
        <v>18.873766608269342</v>
      </c>
      <c r="J322" s="85">
        <f>IF(H322,An,'2020'!An_max)</f>
        <v>2018</v>
      </c>
      <c r="K322" s="199">
        <f t="shared" si="100"/>
        <v>44504</v>
      </c>
      <c r="L322" s="147">
        <f>IF(t&lt;Tvie,1-EXP((T0-t)*PertePVj)+'2020'!Pspv,1-EXP((T0-t)*PertePVj)+Pspv)</f>
        <v>2.7336050839608772E-2</v>
      </c>
      <c r="M322" s="872"/>
      <c r="N322" s="872"/>
      <c r="O322" s="48">
        <f>IF(t&lt;Tnet,'2020'!Resal+('2020'!Salim-'2020'!Resal)*(1-EXP(('2020'!Tnet-t)/('2020'!Tau_j))),Resal+(Salim-Resal)*(1-EXP((Tnet-t)/(Tau_j))))*Salcycl</f>
        <v>8.822052512475928E-2</v>
      </c>
      <c r="P322" s="171">
        <f>(INDEX(Models!$BJ322:$BT322,,T322)*(1-R322)+INDEX(Models!$BJ322:$BT322,,T322+1)*R322-ERP_i)*Q322*Ramure*Pc/MaxiM</f>
        <v>3.8113189123219968E-2</v>
      </c>
      <c r="Q322" s="307">
        <f t="shared" si="101"/>
        <v>0.9</v>
      </c>
      <c r="R322" s="179">
        <f t="shared" si="102"/>
        <v>0.89877182643820008</v>
      </c>
      <c r="S322" s="839">
        <f t="shared" si="103"/>
        <v>-1</v>
      </c>
      <c r="T322" s="178">
        <f t="shared" si="104"/>
        <v>5</v>
      </c>
      <c r="U322" s="253">
        <f t="shared" si="105"/>
        <v>-0.10122817356179992</v>
      </c>
      <c r="V322" s="385">
        <f t="shared" si="106"/>
        <v>22.171043531366816</v>
      </c>
      <c r="W322" s="404"/>
      <c r="X322" s="157">
        <f t="shared" si="107"/>
        <v>44504</v>
      </c>
      <c r="Y322" s="387">
        <f t="shared" si="108"/>
        <v>11.430946459657017</v>
      </c>
      <c r="Z322" s="387">
        <f t="shared" si="109"/>
        <v>11.752205342373665</v>
      </c>
      <c r="AA322" s="388">
        <f t="shared" si="110"/>
        <v>13.810599993864528</v>
      </c>
      <c r="AB322" s="199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0.14904454928861316</v>
      </c>
      <c r="AD322" s="233">
        <f>(INDEX(Models!$BJ322:$BT322,,AH322)*(1-AF322)+INDEX(Models!$BJ322:$BT322,,AH322+1)*AF322-ERP_i)*AE322*Ramure*Pc/MaxiM</f>
        <v>3.8113189123219968E-2</v>
      </c>
      <c r="AE322" s="307">
        <f t="shared" si="112"/>
        <v>0.9</v>
      </c>
      <c r="AF322" s="179">
        <f t="shared" si="113"/>
        <v>0.89877182643820008</v>
      </c>
      <c r="AG322" s="839">
        <f t="shared" si="119"/>
        <v>-1</v>
      </c>
      <c r="AH322" s="178">
        <f t="shared" si="114"/>
        <v>5</v>
      </c>
      <c r="AI322" s="227">
        <f t="shared" si="115"/>
        <v>-0.10122817356179992</v>
      </c>
      <c r="AJ322" s="267" t="b">
        <f t="shared" si="116"/>
        <v>0</v>
      </c>
      <c r="AK322" s="267" t="b">
        <f t="shared" si="117"/>
        <v>0</v>
      </c>
      <c r="AL322" s="267"/>
      <c r="AM322" s="267"/>
      <c r="AN322" s="75"/>
    </row>
    <row r="323" spans="1:40" s="6" customFormat="1" ht="11.25" x14ac:dyDescent="0.2">
      <c r="A323" s="56">
        <f t="shared" si="118"/>
        <v>44505</v>
      </c>
      <c r="B323" s="620">
        <v>10.967000000000001</v>
      </c>
      <c r="C323" s="392"/>
      <c r="D323" s="395">
        <f t="shared" si="98"/>
        <v>11.27548238373406</v>
      </c>
      <c r="E323" s="387">
        <f t="shared" si="120"/>
        <v>12.368505061907021</v>
      </c>
      <c r="F323" s="387">
        <f t="shared" si="99"/>
        <v>12.511216027865636</v>
      </c>
      <c r="G323" s="110">
        <f t="shared" si="121"/>
        <v>0.48725760328720513</v>
      </c>
      <c r="H323" s="416" t="b">
        <f>Wh_hp&gt;='2020'!Maxi_hp</f>
        <v>0</v>
      </c>
      <c r="I323" s="382">
        <f>IF(H323,Wh_hp,'2020'!Maxi_hp)</f>
        <v>14.085530672910426</v>
      </c>
      <c r="J323" s="85">
        <f>IF(H323,An,'2020'!An_max)</f>
        <v>2020</v>
      </c>
      <c r="K323" s="199">
        <f t="shared" si="100"/>
        <v>44505</v>
      </c>
      <c r="L323" s="147">
        <f>IF(t&lt;Tvie,1-EXP((T0-t)*PertePVj)+'2020'!Pspv,1-EXP((T0-t)*PertePVj)+Pspv)</f>
        <v>2.735868615067627E-2</v>
      </c>
      <c r="M323" s="872"/>
      <c r="N323" s="872"/>
      <c r="O323" s="48">
        <f>IF(t&lt;Tnet,'2020'!Resal+('2020'!Salim-'2020'!Resal)*(1-EXP(('2020'!Tnet-t)/('2020'!Tau_j))),Resal+(Salim-Resal)*(1-EXP((Tnet-t)/(Tau_j))))*Salcycl</f>
        <v>8.8371446080358754E-2</v>
      </c>
      <c r="P323" s="171">
        <f>(INDEX(Models!$BJ323:$BT323,,T323)*(1-R323)+INDEX(Models!$BJ323:$BT323,,T323+1)*R323-ERP_i)*Q323*Ramure*Pc/MaxiM</f>
        <v>3.9612668809315174E-2</v>
      </c>
      <c r="Q323" s="307">
        <f t="shared" si="101"/>
        <v>0.9</v>
      </c>
      <c r="R323" s="179">
        <f t="shared" si="102"/>
        <v>0.89882914953153725</v>
      </c>
      <c r="S323" s="839">
        <f t="shared" si="103"/>
        <v>-1</v>
      </c>
      <c r="T323" s="178">
        <f t="shared" si="104"/>
        <v>5</v>
      </c>
      <c r="U323" s="253">
        <f t="shared" si="105"/>
        <v>-0.10117085046846275</v>
      </c>
      <c r="V323" s="385">
        <f t="shared" si="106"/>
        <v>21.865426508642837</v>
      </c>
      <c r="W323" s="404"/>
      <c r="X323" s="157">
        <f t="shared" si="107"/>
        <v>44505</v>
      </c>
      <c r="Y323" s="387">
        <f t="shared" si="108"/>
        <v>10.237994888028968</v>
      </c>
      <c r="Z323" s="387">
        <f t="shared" si="109"/>
        <v>10.525971642630617</v>
      </c>
      <c r="AA323" s="388">
        <f t="shared" si="110"/>
        <v>12.368505061907021</v>
      </c>
      <c r="AB323" s="199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0.14896977525207206</v>
      </c>
      <c r="AD323" s="233">
        <f>(INDEX(Models!$BJ323:$BT323,,AH323)*(1-AF323)+INDEX(Models!$BJ323:$BT323,,AH323+1)*AF323-ERP_i)*AE323*Ramure*Pc/MaxiM</f>
        <v>3.9612668809315174E-2</v>
      </c>
      <c r="AE323" s="307">
        <f t="shared" si="112"/>
        <v>0.9</v>
      </c>
      <c r="AF323" s="179">
        <f t="shared" si="113"/>
        <v>0.89882914953153725</v>
      </c>
      <c r="AG323" s="839">
        <f t="shared" si="119"/>
        <v>-1</v>
      </c>
      <c r="AH323" s="178">
        <f t="shared" si="114"/>
        <v>5</v>
      </c>
      <c r="AI323" s="227">
        <f t="shared" si="115"/>
        <v>-0.10117085046846275</v>
      </c>
      <c r="AJ323" s="267" t="b">
        <f t="shared" si="116"/>
        <v>0</v>
      </c>
      <c r="AK323" s="267" t="b">
        <f t="shared" si="117"/>
        <v>0</v>
      </c>
      <c r="AL323" s="267"/>
      <c r="AM323" s="267"/>
      <c r="AN323" s="75"/>
    </row>
    <row r="324" spans="1:40" s="6" customFormat="1" ht="11.25" x14ac:dyDescent="0.2">
      <c r="A324" s="56">
        <f t="shared" si="118"/>
        <v>44506</v>
      </c>
      <c r="B324" s="620">
        <v>16.545999999999999</v>
      </c>
      <c r="C324" s="392"/>
      <c r="D324" s="395">
        <f t="shared" si="98"/>
        <v>17.011805711880648</v>
      </c>
      <c r="E324" s="387">
        <f t="shared" si="120"/>
        <v>18.663972535474294</v>
      </c>
      <c r="F324" s="387">
        <f t="shared" si="99"/>
        <v>19.190304243948876</v>
      </c>
      <c r="G324" s="110">
        <f t="shared" si="121"/>
        <v>0.75645805240973507</v>
      </c>
      <c r="H324" s="416" t="b">
        <f>Wh_hp&gt;='2020'!Maxi_hp</f>
        <v>0</v>
      </c>
      <c r="I324" s="382">
        <f>IF(H324,Wh_hp,'2020'!Maxi_hp)</f>
        <v>20.294383471659241</v>
      </c>
      <c r="J324" s="85">
        <f>IF(H324,An,'2020'!An_max)</f>
        <v>2020</v>
      </c>
      <c r="K324" s="199">
        <f t="shared" si="100"/>
        <v>44506</v>
      </c>
      <c r="L324" s="147">
        <f>IF(t&lt;Tvie,1-EXP((T0-t)*PertePVj)+'2020'!Pspv,1-EXP((T0-t)*PertePVj)+Pspv)</f>
        <v>2.7381320934987019E-2</v>
      </c>
      <c r="M324" s="872"/>
      <c r="N324" s="872"/>
      <c r="O324" s="48">
        <f>IF(t&lt;Tnet,'2020'!Resal+('2020'!Salim-'2020'!Resal)*(1-EXP(('2020'!Tnet-t)/('2020'!Tau_j))),Resal+(Salim-Resal)*(1-EXP((Tnet-t)/(Tau_j))))*Salcycl</f>
        <v>8.8521713180481895E-2</v>
      </c>
      <c r="P324" s="171">
        <f>(INDEX(Models!$BJ324:$BT324,,T324)*(1-R324)+INDEX(Models!$BJ324:$BT324,,T324+1)*R324-ERP_i)*Q324*Ramure*Pc/MaxiM</f>
        <v>4.1090252312066144E-2</v>
      </c>
      <c r="Q324" s="307">
        <f t="shared" si="101"/>
        <v>0.9</v>
      </c>
      <c r="R324" s="179">
        <f t="shared" si="102"/>
        <v>0.89888417493499395</v>
      </c>
      <c r="S324" s="839">
        <f t="shared" si="103"/>
        <v>-1</v>
      </c>
      <c r="T324" s="178">
        <f t="shared" si="104"/>
        <v>5</v>
      </c>
      <c r="U324" s="253">
        <f t="shared" si="105"/>
        <v>-0.10111582506500605</v>
      </c>
      <c r="V324" s="385">
        <f t="shared" si="106"/>
        <v>21.565705815209199</v>
      </c>
      <c r="W324" s="404"/>
      <c r="X324" s="157">
        <f t="shared" si="107"/>
        <v>44506</v>
      </c>
      <c r="Y324" s="387">
        <f t="shared" si="108"/>
        <v>15.450040071921396</v>
      </c>
      <c r="Z324" s="387">
        <f t="shared" si="109"/>
        <v>15.884992139749627</v>
      </c>
      <c r="AA324" s="388">
        <f t="shared" si="110"/>
        <v>18.663972535474294</v>
      </c>
      <c r="AB324" s="199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0.14889543961997945</v>
      </c>
      <c r="AD324" s="233">
        <f>(INDEX(Models!$BJ324:$BT324,,AH324)*(1-AF324)+INDEX(Models!$BJ324:$BT324,,AH324+1)*AF324-ERP_i)*AE324*Ramure*Pc/MaxiM</f>
        <v>4.1090252312066144E-2</v>
      </c>
      <c r="AE324" s="307">
        <f t="shared" si="112"/>
        <v>0.9</v>
      </c>
      <c r="AF324" s="179">
        <f t="shared" si="113"/>
        <v>0.89888417493499395</v>
      </c>
      <c r="AG324" s="839">
        <f t="shared" si="119"/>
        <v>-1</v>
      </c>
      <c r="AH324" s="178">
        <f t="shared" si="114"/>
        <v>5</v>
      </c>
      <c r="AI324" s="227">
        <f t="shared" si="115"/>
        <v>-0.10111582506500605</v>
      </c>
      <c r="AJ324" s="267" t="b">
        <f t="shared" si="116"/>
        <v>0</v>
      </c>
      <c r="AK324" s="267" t="b">
        <f t="shared" si="117"/>
        <v>0</v>
      </c>
      <c r="AL324" s="267"/>
      <c r="AM324" s="267"/>
      <c r="AN324" s="75"/>
    </row>
    <row r="325" spans="1:40" s="6" customFormat="1" ht="11.25" x14ac:dyDescent="0.2">
      <c r="A325" s="56">
        <f t="shared" si="118"/>
        <v>44507</v>
      </c>
      <c r="B325" s="620">
        <v>8.8729999999999993</v>
      </c>
      <c r="C325" s="392"/>
      <c r="D325" s="395">
        <f t="shared" si="98"/>
        <v>9.1230064602582921</v>
      </c>
      <c r="E325" s="387">
        <f t="shared" si="120"/>
        <v>10.010666925556984</v>
      </c>
      <c r="F325" s="387">
        <f t="shared" si="99"/>
        <v>10.082431051790092</v>
      </c>
      <c r="G325" s="110">
        <f t="shared" si="121"/>
        <v>0.40223322613658119</v>
      </c>
      <c r="H325" s="416" t="b">
        <f>Wh_hp&gt;='2020'!Maxi_hp</f>
        <v>0</v>
      </c>
      <c r="I325" s="382">
        <f>IF(H325,Wh_hp,'2020'!Maxi_hp)</f>
        <v>13.92937426105628</v>
      </c>
      <c r="J325" s="85">
        <f>IF(H325,An,'2020'!An_max)</f>
        <v>2020</v>
      </c>
      <c r="K325" s="199">
        <f t="shared" si="100"/>
        <v>44507</v>
      </c>
      <c r="L325" s="147">
        <f>IF(t&lt;Tvie,1-EXP((T0-t)*PertePVj)+'2020'!Pspv,1-EXP((T0-t)*PertePVj)+Pspv)</f>
        <v>2.7403955192553342E-2</v>
      </c>
      <c r="M325" s="872"/>
      <c r="N325" s="872"/>
      <c r="O325" s="48">
        <f>IF(t&lt;Tnet,'2020'!Resal+('2020'!Salim-'2020'!Resal)*(1-EXP(('2020'!Tnet-t)/('2020'!Tau_j))),Resal+(Salim-Resal)*(1-EXP((Tnet-t)/(Tau_j))))*Salcycl</f>
        <v>8.8671461342152591E-2</v>
      </c>
      <c r="P325" s="171">
        <f>(INDEX(Models!$BJ325:$BT325,,T325)*(1-R325)+INDEX(Models!$BJ325:$BT325,,T325+1)*R325-ERP_i)*Q325*Ramure*Pc/MaxiM</f>
        <v>4.2542778866747843E-2</v>
      </c>
      <c r="Q325" s="307">
        <f t="shared" si="101"/>
        <v>0.9</v>
      </c>
      <c r="R325" s="179">
        <f t="shared" si="102"/>
        <v>0.8989369943497908</v>
      </c>
      <c r="S325" s="839">
        <f t="shared" si="103"/>
        <v>-1</v>
      </c>
      <c r="T325" s="178">
        <f t="shared" si="104"/>
        <v>5</v>
      </c>
      <c r="U325" s="253">
        <f t="shared" si="105"/>
        <v>-0.1010630056502092</v>
      </c>
      <c r="V325" s="385">
        <f t="shared" si="106"/>
        <v>21.272286188913132</v>
      </c>
      <c r="W325" s="404"/>
      <c r="X325" s="157">
        <f t="shared" si="107"/>
        <v>44507</v>
      </c>
      <c r="Y325" s="387">
        <f t="shared" si="108"/>
        <v>8.2873565509889939</v>
      </c>
      <c r="Z325" s="387">
        <f t="shared" si="109"/>
        <v>8.520861867816576</v>
      </c>
      <c r="AA325" s="388">
        <f t="shared" si="110"/>
        <v>10.010666925556984</v>
      </c>
      <c r="AB325" s="199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0.14882175871189693</v>
      </c>
      <c r="AD325" s="233">
        <f>(INDEX(Models!$BJ325:$BT325,,AH325)*(1-AF325)+INDEX(Models!$BJ325:$BT325,,AH325+1)*AF325-ERP_i)*AE325*Ramure*Pc/MaxiM</f>
        <v>4.2542778866747843E-2</v>
      </c>
      <c r="AE325" s="307">
        <f t="shared" si="112"/>
        <v>0.9</v>
      </c>
      <c r="AF325" s="179">
        <f t="shared" si="113"/>
        <v>0.8989369943497908</v>
      </c>
      <c r="AG325" s="839">
        <f t="shared" si="119"/>
        <v>-1</v>
      </c>
      <c r="AH325" s="178">
        <f t="shared" si="114"/>
        <v>5</v>
      </c>
      <c r="AI325" s="227">
        <f t="shared" si="115"/>
        <v>-0.1010630056502092</v>
      </c>
      <c r="AJ325" s="267" t="b">
        <f t="shared" si="116"/>
        <v>0</v>
      </c>
      <c r="AK325" s="267" t="b">
        <f t="shared" si="117"/>
        <v>0</v>
      </c>
      <c r="AL325" s="267"/>
      <c r="AM325" s="267"/>
      <c r="AN325" s="75"/>
    </row>
    <row r="326" spans="1:40" s="6" customFormat="1" ht="11.25" x14ac:dyDescent="0.2">
      <c r="A326" s="56">
        <f t="shared" si="118"/>
        <v>44508</v>
      </c>
      <c r="B326" s="620">
        <v>17.332000000000001</v>
      </c>
      <c r="C326" s="392"/>
      <c r="D326" s="395">
        <f t="shared" si="98"/>
        <v>17.820762733801185</v>
      </c>
      <c r="E326" s="387">
        <f t="shared" si="120"/>
        <v>19.557912681934411</v>
      </c>
      <c r="F326" s="387">
        <f t="shared" si="99"/>
        <v>20.22602199592037</v>
      </c>
      <c r="G326" s="110">
        <f t="shared" si="121"/>
        <v>0.81656128069214862</v>
      </c>
      <c r="H326" s="416" t="b">
        <f>Wh_hp&gt;='2020'!Maxi_hp</f>
        <v>1</v>
      </c>
      <c r="I326" s="382">
        <f>IF(H326,Wh_hp,'2020'!Maxi_hp)</f>
        <v>20.22602199592037</v>
      </c>
      <c r="J326" s="85">
        <f>IF(H326,An,'2020'!An_max)</f>
        <v>2021</v>
      </c>
      <c r="K326" s="199">
        <f t="shared" si="100"/>
        <v>44508</v>
      </c>
      <c r="L326" s="147">
        <f>IF(t&lt;Tvie,1-EXP((T0-t)*PertePVj)+'2020'!Pspv,1-EXP((T0-t)*PertePVj)+Pspv)</f>
        <v>2.7426588923387341E-2</v>
      </c>
      <c r="M326" s="872"/>
      <c r="N326" s="872"/>
      <c r="O326" s="48">
        <f>IF(t&lt;Tnet,'2020'!Resal+('2020'!Salim-'2020'!Resal)*(1-EXP(('2020'!Tnet-t)/('2020'!Tau_j))),Resal+(Salim-Resal)*(1-EXP((Tnet-t)/(Tau_j))))*Salcycl</f>
        <v>8.8820825431837974E-2</v>
      </c>
      <c r="P326" s="171">
        <f>(INDEX(Models!$BJ326:$BT326,,T326)*(1-R326)+INDEX(Models!$BJ326:$BT326,,T326+1)*R326-ERP_i)*Q326*Ramure*Pc/MaxiM</f>
        <v>4.3967411919153036E-2</v>
      </c>
      <c r="Q326" s="307">
        <f t="shared" si="101"/>
        <v>0.9</v>
      </c>
      <c r="R326" s="179">
        <f t="shared" si="102"/>
        <v>0.89898769584863691</v>
      </c>
      <c r="S326" s="839">
        <f t="shared" si="103"/>
        <v>-1</v>
      </c>
      <c r="T326" s="178">
        <f t="shared" si="104"/>
        <v>5</v>
      </c>
      <c r="U326" s="253">
        <f t="shared" si="105"/>
        <v>-0.10101230415136309</v>
      </c>
      <c r="V326" s="385">
        <f t="shared" si="106"/>
        <v>20.985560153714399</v>
      </c>
      <c r="W326" s="404"/>
      <c r="X326" s="157">
        <f t="shared" si="107"/>
        <v>44508</v>
      </c>
      <c r="Y326" s="387">
        <f t="shared" si="108"/>
        <v>16.192076885968028</v>
      </c>
      <c r="Z326" s="387">
        <f t="shared" si="109"/>
        <v>16.648693765999457</v>
      </c>
      <c r="AA326" s="388">
        <f t="shared" si="110"/>
        <v>19.557912681934411</v>
      </c>
      <c r="AB326" s="199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0.14874894694780949</v>
      </c>
      <c r="AD326" s="233">
        <f>(INDEX(Models!$BJ326:$BT326,,AH326)*(1-AF326)+INDEX(Models!$BJ326:$BT326,,AH326+1)*AF326-ERP_i)*AE326*Ramure*Pc/MaxiM</f>
        <v>4.3967411919153036E-2</v>
      </c>
      <c r="AE326" s="307">
        <f t="shared" si="112"/>
        <v>0.9</v>
      </c>
      <c r="AF326" s="179">
        <f t="shared" si="113"/>
        <v>0.89898769584863691</v>
      </c>
      <c r="AG326" s="839">
        <f t="shared" si="119"/>
        <v>-1</v>
      </c>
      <c r="AH326" s="178">
        <f t="shared" si="114"/>
        <v>5</v>
      </c>
      <c r="AI326" s="227">
        <f t="shared" si="115"/>
        <v>-0.10101230415136309</v>
      </c>
      <c r="AJ326" s="267" t="b">
        <f t="shared" si="116"/>
        <v>0</v>
      </c>
      <c r="AK326" s="267" t="b">
        <f t="shared" si="117"/>
        <v>0</v>
      </c>
      <c r="AL326" s="267"/>
      <c r="AM326" s="267"/>
      <c r="AN326" s="75"/>
    </row>
    <row r="327" spans="1:40" s="6" customFormat="1" ht="11.25" x14ac:dyDescent="0.2">
      <c r="A327" s="56">
        <f t="shared" si="118"/>
        <v>44509</v>
      </c>
      <c r="B327" s="620">
        <v>15.175000000000001</v>
      </c>
      <c r="C327" s="392"/>
      <c r="D327" s="395">
        <f t="shared" si="98"/>
        <v>15.603298403807811</v>
      </c>
      <c r="E327" s="387">
        <f t="shared" si="120"/>
        <v>17.127095013567018</v>
      </c>
      <c r="F327" s="387">
        <f t="shared" si="99"/>
        <v>17.621400907989795</v>
      </c>
      <c r="G327" s="110">
        <f t="shared" si="121"/>
        <v>0.71983011444624367</v>
      </c>
      <c r="H327" s="416" t="b">
        <f>Wh_hp&gt;='2020'!Maxi_hp</f>
        <v>0</v>
      </c>
      <c r="I327" s="382">
        <f>IF(H327,Wh_hp,'2020'!Maxi_hp)</f>
        <v>19.543383638603277</v>
      </c>
      <c r="J327" s="85">
        <f>IF(H327,An,'2020'!An_max)</f>
        <v>2020</v>
      </c>
      <c r="K327" s="199">
        <f t="shared" si="100"/>
        <v>44509</v>
      </c>
      <c r="L327" s="147">
        <f>IF(t&lt;Tvie,1-EXP((T0-t)*PertePVj)+'2020'!Pspv,1-EXP((T0-t)*PertePVj)+Pspv)</f>
        <v>2.7449222127501449E-2</v>
      </c>
      <c r="M327" s="872"/>
      <c r="N327" s="872"/>
      <c r="O327" s="48">
        <f>IF(t&lt;Tnet,'2020'!Resal+('2020'!Salim-'2020'!Resal)*(1-EXP(('2020'!Tnet-t)/('2020'!Tau_j))),Resal+(Salim-Resal)*(1-EXP((Tnet-t)/(Tau_j))))*Salcycl</f>
        <v>8.8969939651303911E-2</v>
      </c>
      <c r="P327" s="171">
        <f>(INDEX(Models!$BJ327:$BT327,,T327)*(1-R327)+INDEX(Models!$BJ327:$BT327,,T327+1)*R327-ERP_i)*Q327*Ramure*Pc/MaxiM</f>
        <v>4.5361111212723973E-2</v>
      </c>
      <c r="Q327" s="307">
        <f t="shared" si="101"/>
        <v>0.9</v>
      </c>
      <c r="R327" s="179">
        <f t="shared" si="102"/>
        <v>0.89903636401683706</v>
      </c>
      <c r="S327" s="839">
        <f t="shared" si="103"/>
        <v>-1</v>
      </c>
      <c r="T327" s="178">
        <f t="shared" si="104"/>
        <v>5</v>
      </c>
      <c r="U327" s="253">
        <f t="shared" si="105"/>
        <v>-0.10096363598316294</v>
      </c>
      <c r="V327" s="385">
        <f t="shared" si="106"/>
        <v>20.705920167311266</v>
      </c>
      <c r="W327" s="404"/>
      <c r="X327" s="157">
        <f t="shared" si="107"/>
        <v>44509</v>
      </c>
      <c r="Y327" s="387">
        <f t="shared" si="108"/>
        <v>14.180457716613413</v>
      </c>
      <c r="Z327" s="387">
        <f t="shared" si="109"/>
        <v>14.580686211195927</v>
      </c>
      <c r="AA327" s="388">
        <f t="shared" si="110"/>
        <v>17.127095013567018</v>
      </c>
      <c r="AB327" s="199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0.14867721585908092</v>
      </c>
      <c r="AD327" s="233">
        <f>(INDEX(Models!$BJ327:$BT327,,AH327)*(1-AF327)+INDEX(Models!$BJ327:$BT327,,AH327+1)*AF327-ERP_i)*AE327*Ramure*Pc/MaxiM</f>
        <v>4.5361111212723973E-2</v>
      </c>
      <c r="AE327" s="307">
        <f t="shared" si="112"/>
        <v>0.9</v>
      </c>
      <c r="AF327" s="179">
        <f t="shared" si="113"/>
        <v>0.89903636401683706</v>
      </c>
      <c r="AG327" s="839">
        <f t="shared" si="119"/>
        <v>-1</v>
      </c>
      <c r="AH327" s="178">
        <f t="shared" si="114"/>
        <v>5</v>
      </c>
      <c r="AI327" s="227">
        <f t="shared" si="115"/>
        <v>-0.10096363598316294</v>
      </c>
      <c r="AJ327" s="267" t="b">
        <f t="shared" si="116"/>
        <v>0</v>
      </c>
      <c r="AK327" s="267" t="b">
        <f t="shared" si="117"/>
        <v>0</v>
      </c>
      <c r="AL327" s="267"/>
      <c r="AM327" s="267"/>
      <c r="AN327" s="75"/>
    </row>
    <row r="328" spans="1:40" s="6" customFormat="1" ht="11.25" x14ac:dyDescent="0.2">
      <c r="A328" s="56">
        <f t="shared" si="118"/>
        <v>44510</v>
      </c>
      <c r="B328" s="620">
        <v>5.6959999999999997</v>
      </c>
      <c r="C328" s="392"/>
      <c r="D328" s="395">
        <f t="shared" si="98"/>
        <v>5.8568999037630567</v>
      </c>
      <c r="E328" s="387">
        <f t="shared" si="120"/>
        <v>6.4299282762271464</v>
      </c>
      <c r="F328" s="387">
        <f t="shared" si="99"/>
        <v>6.4299282762271464</v>
      </c>
      <c r="G328" s="110">
        <f t="shared" si="121"/>
        <v>0.26573081189360598</v>
      </c>
      <c r="H328" s="416" t="b">
        <f>Wh_hp&gt;='2020'!Maxi_hp</f>
        <v>0</v>
      </c>
      <c r="I328" s="382">
        <f>IF(H328,Wh_hp,'2020'!Maxi_hp)</f>
        <v>19.690773151156435</v>
      </c>
      <c r="J328" s="85">
        <f>IF(H328,An,'2020'!An_max)</f>
        <v>2020</v>
      </c>
      <c r="K328" s="199">
        <f t="shared" si="100"/>
        <v>44510</v>
      </c>
      <c r="L328" s="147">
        <f>IF(t&lt;Tvie,1-EXP((T0-t)*PertePVj)+'2020'!Pspv,1-EXP((T0-t)*PertePVj)+Pspv)</f>
        <v>2.7471854804907769E-2</v>
      </c>
      <c r="M328" s="872"/>
      <c r="N328" s="872"/>
      <c r="O328" s="48">
        <f>IF(t&lt;Tnet,'2020'!Resal+('2020'!Salim-'2020'!Resal)*(1-EXP(('2020'!Tnet-t)/('2020'!Tau_j))),Resal+(Salim-Resal)*(1-EXP((Tnet-t)/(Tau_j))))*Salcycl</f>
        <v>8.9118936922313846E-2</v>
      </c>
      <c r="P328" s="171">
        <f>(INDEX(Models!$BJ328:$BT328,,T328)*(1-R328)+INDEX(Models!$BJ328:$BT328,,T328+1)*R328-ERP_i)*Q328*Ramure*Pc/MaxiM</f>
        <v>4.6720634250359959E-2</v>
      </c>
      <c r="Q328" s="307">
        <f t="shared" si="101"/>
        <v>0.9</v>
      </c>
      <c r="R328" s="179">
        <f t="shared" si="102"/>
        <v>0.89908308008810733</v>
      </c>
      <c r="S328" s="839">
        <f t="shared" si="103"/>
        <v>-1</v>
      </c>
      <c r="T328" s="178">
        <f t="shared" si="104"/>
        <v>5</v>
      </c>
      <c r="U328" s="253">
        <f t="shared" si="105"/>
        <v>-0.10091691991189267</v>
      </c>
      <c r="V328" s="385">
        <f t="shared" si="106"/>
        <v>20.433758616911838</v>
      </c>
      <c r="W328" s="404"/>
      <c r="X328" s="157">
        <f t="shared" si="107"/>
        <v>44510</v>
      </c>
      <c r="Y328" s="387">
        <f t="shared" si="108"/>
        <v>5.3240055336980827</v>
      </c>
      <c r="Z328" s="387">
        <f t="shared" si="109"/>
        <v>5.4743973837693618</v>
      </c>
      <c r="AA328" s="388">
        <f t="shared" si="110"/>
        <v>6.4299282762271464</v>
      </c>
      <c r="AB328" s="199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0.14860677310983264</v>
      </c>
      <c r="AD328" s="233">
        <f>(INDEX(Models!$BJ328:$BT328,,AH328)*(1-AF328)+INDEX(Models!$BJ328:$BT328,,AH328+1)*AF328-ERP_i)*AE328*Ramure*Pc/MaxiM</f>
        <v>4.6720634250359959E-2</v>
      </c>
      <c r="AE328" s="307">
        <f t="shared" si="112"/>
        <v>0.9</v>
      </c>
      <c r="AF328" s="179">
        <f t="shared" si="113"/>
        <v>0.89908308008810733</v>
      </c>
      <c r="AG328" s="839">
        <f t="shared" si="119"/>
        <v>-1</v>
      </c>
      <c r="AH328" s="178">
        <f t="shared" si="114"/>
        <v>5</v>
      </c>
      <c r="AI328" s="227">
        <f t="shared" si="115"/>
        <v>-0.10091691991189267</v>
      </c>
      <c r="AJ328" s="267" t="b">
        <f t="shared" si="116"/>
        <v>0</v>
      </c>
      <c r="AK328" s="267" t="b">
        <f t="shared" si="117"/>
        <v>0</v>
      </c>
      <c r="AL328" s="267"/>
      <c r="AM328" s="267"/>
      <c r="AN328" s="75"/>
    </row>
    <row r="329" spans="1:40" s="6" customFormat="1" ht="11.25" x14ac:dyDescent="0.2">
      <c r="A329" s="56">
        <f t="shared" si="118"/>
        <v>44511</v>
      </c>
      <c r="B329" s="620">
        <v>7.9379999999999997</v>
      </c>
      <c r="C329" s="392"/>
      <c r="D329" s="395">
        <f t="shared" si="98"/>
        <v>8.1624215940436944</v>
      </c>
      <c r="E329" s="387">
        <f t="shared" si="120"/>
        <v>8.9624841670820103</v>
      </c>
      <c r="F329" s="387">
        <f t="shared" si="99"/>
        <v>9.0204094783565996</v>
      </c>
      <c r="G329" s="110">
        <f t="shared" si="121"/>
        <v>0.37707874083611598</v>
      </c>
      <c r="H329" s="416" t="b">
        <f>Wh_hp&gt;='2020'!Maxi_hp</f>
        <v>0</v>
      </c>
      <c r="I329" s="382">
        <f>IF(H329,Wh_hp,'2020'!Maxi_hp)</f>
        <v>20.916488249439194</v>
      </c>
      <c r="J329" s="85">
        <f>IF(H329,An,'2020'!An_max)</f>
        <v>2019</v>
      </c>
      <c r="K329" s="199">
        <f t="shared" si="100"/>
        <v>44511</v>
      </c>
      <c r="L329" s="147">
        <f>IF(t&lt;Tvie,1-EXP((T0-t)*PertePVj)+'2020'!Pspv,1-EXP((T0-t)*PertePVj)+Pspv)</f>
        <v>2.7494486955618624E-2</v>
      </c>
      <c r="M329" s="872"/>
      <c r="N329" s="872"/>
      <c r="O329" s="48">
        <f>IF(t&lt;Tnet,'2020'!Resal+('2020'!Salim-'2020'!Resal)*(1-EXP(('2020'!Tnet-t)/('2020'!Tau_j))),Resal+(Salim-Resal)*(1-EXP((Tnet-t)/(Tau_j))))*Salcycl</f>
        <v>8.9267948274523903E-2</v>
      </c>
      <c r="P329" s="171">
        <f>(INDEX(Models!$BJ329:$BT329,,T329)*(1-R329)+INDEX(Models!$BJ329:$BT329,,T329+1)*R329-ERP_i)*Q329*Ramure*Pc/MaxiM</f>
        <v>4.8042539869631092E-2</v>
      </c>
      <c r="Q329" s="307">
        <f t="shared" si="101"/>
        <v>0.9</v>
      </c>
      <c r="R329" s="179">
        <f t="shared" si="102"/>
        <v>0.89912792207528114</v>
      </c>
      <c r="S329" s="839">
        <f t="shared" si="103"/>
        <v>-1</v>
      </c>
      <c r="T329" s="178">
        <f t="shared" si="104"/>
        <v>5</v>
      </c>
      <c r="U329" s="253">
        <f t="shared" si="105"/>
        <v>-0.10087207792471886</v>
      </c>
      <c r="V329" s="385">
        <f t="shared" si="106"/>
        <v>20.169467813188017</v>
      </c>
      <c r="W329" s="404"/>
      <c r="X329" s="157">
        <f t="shared" si="107"/>
        <v>44511</v>
      </c>
      <c r="Y329" s="387">
        <f t="shared" si="108"/>
        <v>7.4213999165224944</v>
      </c>
      <c r="Z329" s="387">
        <f t="shared" si="109"/>
        <v>7.6312162933556662</v>
      </c>
      <c r="AA329" s="388">
        <f t="shared" si="110"/>
        <v>8.9624841670820103</v>
      </c>
      <c r="AB329" s="199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0.14853782153567546</v>
      </c>
      <c r="AD329" s="233">
        <f>(INDEX(Models!$BJ329:$BT329,,AH329)*(1-AF329)+INDEX(Models!$BJ329:$BT329,,AH329+1)*AF329-ERP_i)*AE329*Ramure*Pc/MaxiM</f>
        <v>4.8042539869631092E-2</v>
      </c>
      <c r="AE329" s="307">
        <f t="shared" si="112"/>
        <v>0.9</v>
      </c>
      <c r="AF329" s="179">
        <f t="shared" si="113"/>
        <v>0.89912792207528114</v>
      </c>
      <c r="AG329" s="839">
        <f t="shared" si="119"/>
        <v>-1</v>
      </c>
      <c r="AH329" s="178">
        <f t="shared" si="114"/>
        <v>5</v>
      </c>
      <c r="AI329" s="227">
        <f t="shared" si="115"/>
        <v>-0.10087207792471886</v>
      </c>
      <c r="AJ329" s="267" t="b">
        <f t="shared" si="116"/>
        <v>0</v>
      </c>
      <c r="AK329" s="267" t="b">
        <f t="shared" si="117"/>
        <v>0</v>
      </c>
      <c r="AL329" s="267"/>
      <c r="AM329" s="267"/>
      <c r="AN329" s="75"/>
    </row>
    <row r="330" spans="1:40" s="6" customFormat="1" ht="11.25" x14ac:dyDescent="0.2">
      <c r="A330" s="56">
        <f t="shared" si="118"/>
        <v>44512</v>
      </c>
      <c r="B330" s="620">
        <v>7.7620000000000005</v>
      </c>
      <c r="C330" s="392"/>
      <c r="D330" s="395">
        <f t="shared" si="98"/>
        <v>7.9816315004571194</v>
      </c>
      <c r="E330" s="387">
        <f t="shared" si="120"/>
        <v>8.7654089705614613</v>
      </c>
      <c r="F330" s="387">
        <f t="shared" si="99"/>
        <v>8.8212167965089101</v>
      </c>
      <c r="G330" s="110">
        <f t="shared" si="121"/>
        <v>0.37292075878136</v>
      </c>
      <c r="H330" s="416" t="b">
        <f>Wh_hp&gt;='2020'!Maxi_hp</f>
        <v>0</v>
      </c>
      <c r="I330" s="382">
        <f>IF(H330,Wh_hp,'2020'!Maxi_hp)</f>
        <v>21.417505226128377</v>
      </c>
      <c r="J330" s="85">
        <f>IF(H330,An,'2020'!An_max)</f>
        <v>2018</v>
      </c>
      <c r="K330" s="199">
        <f t="shared" si="100"/>
        <v>44512</v>
      </c>
      <c r="L330" s="147">
        <f>IF(t&lt;Tvie,1-EXP((T0-t)*PertePVj)+'2020'!Pspv,1-EXP((T0-t)*PertePVj)+Pspv)</f>
        <v>2.7517118579646338E-2</v>
      </c>
      <c r="M330" s="872"/>
      <c r="N330" s="872"/>
      <c r="O330" s="48">
        <f>IF(t&lt;Tnet,'2020'!Resal+('2020'!Salim-'2020'!Resal)*(1-EXP(('2020'!Tnet-t)/('2020'!Tau_j))),Resal+(Salim-Resal)*(1-EXP((Tnet-t)/(Tau_j))))*Salcycl</f>
        <v>8.9417102240939461E-2</v>
      </c>
      <c r="P330" s="171">
        <f>(INDEX(Models!$BJ330:$BT330,,T330)*(1-R330)+INDEX(Models!$BJ330:$BT330,,T330+1)*R330-ERP_i)*Q330*Ramure*Pc/MaxiM</f>
        <v>4.9323194242972809E-2</v>
      </c>
      <c r="Q330" s="307">
        <f t="shared" si="101"/>
        <v>0.9</v>
      </c>
      <c r="R330" s="179">
        <f t="shared" si="102"/>
        <v>0.89917096489608439</v>
      </c>
      <c r="S330" s="839">
        <f t="shared" si="103"/>
        <v>-1</v>
      </c>
      <c r="T330" s="178">
        <f t="shared" si="104"/>
        <v>5</v>
      </c>
      <c r="U330" s="253">
        <f t="shared" si="105"/>
        <v>-0.10082903510391561</v>
      </c>
      <c r="V330" s="385">
        <f t="shared" si="106"/>
        <v>19.913439974509263</v>
      </c>
      <c r="W330" s="404"/>
      <c r="X330" s="157">
        <f t="shared" si="107"/>
        <v>44512</v>
      </c>
      <c r="Y330" s="387">
        <f t="shared" si="108"/>
        <v>7.2586159299348489</v>
      </c>
      <c r="Z330" s="387">
        <f t="shared" si="109"/>
        <v>7.4640038077928157</v>
      </c>
      <c r="AA330" s="388">
        <f t="shared" si="110"/>
        <v>8.7654089705614613</v>
      </c>
      <c r="AB330" s="199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0.14847055820662813</v>
      </c>
      <c r="AD330" s="233">
        <f>(INDEX(Models!$BJ330:$BT330,,AH330)*(1-AF330)+INDEX(Models!$BJ330:$BT330,,AH330+1)*AF330-ERP_i)*AE330*Ramure*Pc/MaxiM</f>
        <v>4.9323194242972809E-2</v>
      </c>
      <c r="AE330" s="307">
        <f t="shared" si="112"/>
        <v>0.9</v>
      </c>
      <c r="AF330" s="179">
        <f t="shared" si="113"/>
        <v>0.89917096489608439</v>
      </c>
      <c r="AG330" s="839">
        <f t="shared" si="119"/>
        <v>-1</v>
      </c>
      <c r="AH330" s="178">
        <f t="shared" si="114"/>
        <v>5</v>
      </c>
      <c r="AI330" s="227">
        <f t="shared" si="115"/>
        <v>-0.10082903510391561</v>
      </c>
      <c r="AJ330" s="267" t="b">
        <f t="shared" si="116"/>
        <v>0</v>
      </c>
      <c r="AK330" s="267" t="b">
        <f t="shared" si="117"/>
        <v>0</v>
      </c>
      <c r="AL330" s="267"/>
      <c r="AM330" s="267"/>
      <c r="AN330" s="75"/>
    </row>
    <row r="331" spans="1:40" s="6" customFormat="1" ht="11.25" x14ac:dyDescent="0.2">
      <c r="A331" s="56">
        <f t="shared" si="118"/>
        <v>44513</v>
      </c>
      <c r="B331" s="620">
        <v>5.4409999999999998</v>
      </c>
      <c r="C331" s="392"/>
      <c r="D331" s="395">
        <f t="shared" si="98"/>
        <v>5.5950873037667126</v>
      </c>
      <c r="E331" s="387">
        <f t="shared" si="120"/>
        <v>6.1455201866906446</v>
      </c>
      <c r="F331" s="387">
        <f t="shared" si="99"/>
        <v>6.1455201866906446</v>
      </c>
      <c r="G331" s="110">
        <f t="shared" si="121"/>
        <v>0.26268577981568419</v>
      </c>
      <c r="H331" s="416" t="b">
        <f>Wh_hp&gt;='2020'!Maxi_hp</f>
        <v>0</v>
      </c>
      <c r="I331" s="382">
        <f>IF(H331,Wh_hp,'2020'!Maxi_hp)</f>
        <v>23.366158746660897</v>
      </c>
      <c r="J331" s="85">
        <f>IF(H331,An,'2020'!An_max)</f>
        <v>2020</v>
      </c>
      <c r="K331" s="199">
        <f t="shared" si="100"/>
        <v>44513</v>
      </c>
      <c r="L331" s="147">
        <f>IF(t&lt;Tvie,1-EXP((T0-t)*PertePVj)+'2020'!Pspv,1-EXP((T0-t)*PertePVj)+Pspv)</f>
        <v>2.7539749677003011E-2</v>
      </c>
      <c r="M331" s="872"/>
      <c r="N331" s="872"/>
      <c r="O331" s="48">
        <f>IF(t&lt;Tnet,'2020'!Resal+('2020'!Salim-'2020'!Resal)*(1-EXP(('2020'!Tnet-t)/('2020'!Tau_j))),Resal+(Salim-Resal)*(1-EXP((Tnet-t)/(Tau_j))))*Salcycl</f>
        <v>8.9566524265269704E-2</v>
      </c>
      <c r="P331" s="171">
        <f>(INDEX(Models!$BJ331:$BT331,,T331)*(1-R331)+INDEX(Models!$BJ331:$BT331,,T331+1)*R331-ERP_i)*Q331*Ramure*Pc/MaxiM</f>
        <v>5.0559626358948929E-2</v>
      </c>
      <c r="Q331" s="307">
        <f t="shared" si="101"/>
        <v>0.9</v>
      </c>
      <c r="R331" s="179">
        <f t="shared" si="102"/>
        <v>0.89921228049415214</v>
      </c>
      <c r="S331" s="839">
        <f t="shared" si="103"/>
        <v>-1</v>
      </c>
      <c r="T331" s="178">
        <f t="shared" si="104"/>
        <v>5</v>
      </c>
      <c r="U331" s="253">
        <f t="shared" si="105"/>
        <v>-0.10078771950584786</v>
      </c>
      <c r="V331" s="385">
        <f t="shared" si="106"/>
        <v>19.665720301287955</v>
      </c>
      <c r="W331" s="404"/>
      <c r="X331" s="157">
        <f t="shared" si="107"/>
        <v>44513</v>
      </c>
      <c r="Y331" s="387">
        <f t="shared" si="108"/>
        <v>5.0893641044266928</v>
      </c>
      <c r="Z331" s="387">
        <f t="shared" si="109"/>
        <v>5.2334931970086078</v>
      </c>
      <c r="AA331" s="388">
        <f t="shared" si="110"/>
        <v>6.1455201866906446</v>
      </c>
      <c r="AB331" s="199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0.14840517352090282</v>
      </c>
      <c r="AD331" s="233">
        <f>(INDEX(Models!$BJ331:$BT331,,AH331)*(1-AF331)+INDEX(Models!$BJ331:$BT331,,AH331+1)*AF331-ERP_i)*AE331*Ramure*Pc/MaxiM</f>
        <v>5.0559626358948929E-2</v>
      </c>
      <c r="AE331" s="307">
        <f t="shared" si="112"/>
        <v>0.9</v>
      </c>
      <c r="AF331" s="179">
        <f t="shared" si="113"/>
        <v>0.89921228049415214</v>
      </c>
      <c r="AG331" s="839">
        <f t="shared" si="119"/>
        <v>-1</v>
      </c>
      <c r="AH331" s="178">
        <f t="shared" si="114"/>
        <v>5</v>
      </c>
      <c r="AI331" s="227">
        <f t="shared" si="115"/>
        <v>-0.10078771950584786</v>
      </c>
      <c r="AJ331" s="267" t="b">
        <f t="shared" si="116"/>
        <v>0</v>
      </c>
      <c r="AK331" s="267" t="b">
        <f t="shared" si="117"/>
        <v>0</v>
      </c>
      <c r="AL331" s="267"/>
      <c r="AM331" s="267"/>
      <c r="AN331" s="75"/>
    </row>
    <row r="332" spans="1:40" s="6" customFormat="1" ht="11.25" x14ac:dyDescent="0.2">
      <c r="A332" s="56">
        <f t="shared" si="118"/>
        <v>44514</v>
      </c>
      <c r="B332" s="620">
        <v>4.6850000000000005</v>
      </c>
      <c r="C332" s="392"/>
      <c r="D332" s="395">
        <f t="shared" si="98"/>
        <v>4.817789753129226</v>
      </c>
      <c r="E332" s="387">
        <f t="shared" si="120"/>
        <v>5.2926246447428396</v>
      </c>
      <c r="F332" s="387">
        <f t="shared" si="99"/>
        <v>5.2926246447428396</v>
      </c>
      <c r="G332" s="110">
        <f t="shared" si="121"/>
        <v>0.22869227461789307</v>
      </c>
      <c r="H332" s="416" t="b">
        <f>Wh_hp&gt;='2020'!Maxi_hp</f>
        <v>0</v>
      </c>
      <c r="I332" s="382">
        <f>IF(H332,Wh_hp,'2020'!Maxi_hp)</f>
        <v>17.041501964262778</v>
      </c>
      <c r="J332" s="85">
        <f>IF(H332,An,'2020'!An_max)</f>
        <v>2020</v>
      </c>
      <c r="K332" s="199">
        <f t="shared" si="100"/>
        <v>44514</v>
      </c>
      <c r="L332" s="147">
        <f>IF(t&lt;Tvie,1-EXP((T0-t)*PertePVj)+'2020'!Pspv,1-EXP((T0-t)*PertePVj)+Pspv)</f>
        <v>2.7562380247701079E-2</v>
      </c>
      <c r="M332" s="872"/>
      <c r="N332" s="872"/>
      <c r="O332" s="48">
        <f>IF(t&lt;Tnet,'2020'!Resal+('2020'!Salim-'2020'!Resal)*(1-EXP(('2020'!Tnet-t)/('2020'!Tau_j))),Resal+(Salim-Resal)*(1-EXP((Tnet-t)/(Tau_j))))*Salcycl</f>
        <v>8.9716336125454738E-2</v>
      </c>
      <c r="P332" s="171">
        <f>(INDEX(Models!$BJ332:$BT332,,T332)*(1-R332)+INDEX(Models!$BJ332:$BT332,,T332+1)*R332-ERP_i)*Q332*Ramure*Pc/MaxiM</f>
        <v>5.173374847998944E-2</v>
      </c>
      <c r="Q332" s="307">
        <f t="shared" si="101"/>
        <v>0.9</v>
      </c>
      <c r="R332" s="179">
        <f t="shared" si="102"/>
        <v>0.89925193795545399</v>
      </c>
      <c r="S332" s="839">
        <f t="shared" si="103"/>
        <v>-1</v>
      </c>
      <c r="T332" s="178">
        <f t="shared" si="104"/>
        <v>5</v>
      </c>
      <c r="U332" s="253">
        <f t="shared" si="105"/>
        <v>-0.10074806204454601</v>
      </c>
      <c r="V332" s="385">
        <f t="shared" si="106"/>
        <v>19.426224151183696</v>
      </c>
      <c r="W332" s="404"/>
      <c r="X332" s="157">
        <f t="shared" si="107"/>
        <v>44514</v>
      </c>
      <c r="Y332" s="387">
        <f t="shared" si="108"/>
        <v>4.3832692923352514</v>
      </c>
      <c r="Z332" s="387">
        <f t="shared" si="109"/>
        <v>4.5075069118076341</v>
      </c>
      <c r="AA332" s="388">
        <f t="shared" si="110"/>
        <v>5.2926246447428396</v>
      </c>
      <c r="AB332" s="199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0.14834185033602604</v>
      </c>
      <c r="AD332" s="233">
        <f>(INDEX(Models!$BJ332:$BT332,,AH332)*(1-AF332)+INDEX(Models!$BJ332:$BT332,,AH332+1)*AF332-ERP_i)*AE332*Ramure*Pc/MaxiM</f>
        <v>5.173374847998944E-2</v>
      </c>
      <c r="AE332" s="307">
        <f t="shared" si="112"/>
        <v>0.9</v>
      </c>
      <c r="AF332" s="179">
        <f t="shared" si="113"/>
        <v>0.89925193795545399</v>
      </c>
      <c r="AG332" s="839">
        <f t="shared" si="119"/>
        <v>-1</v>
      </c>
      <c r="AH332" s="178">
        <f t="shared" si="114"/>
        <v>5</v>
      </c>
      <c r="AI332" s="227">
        <f t="shared" si="115"/>
        <v>-0.10074806204454601</v>
      </c>
      <c r="AJ332" s="267" t="b">
        <f t="shared" si="116"/>
        <v>0</v>
      </c>
      <c r="AK332" s="267" t="b">
        <f t="shared" si="117"/>
        <v>0</v>
      </c>
      <c r="AL332" s="267"/>
      <c r="AM332" s="267"/>
      <c r="AN332" s="75"/>
    </row>
    <row r="333" spans="1:40" s="6" customFormat="1" ht="11.25" x14ac:dyDescent="0.2">
      <c r="A333" s="56">
        <f t="shared" si="118"/>
        <v>44515</v>
      </c>
      <c r="B333" s="620">
        <v>5.8710000000000004</v>
      </c>
      <c r="C333" s="392"/>
      <c r="D333" s="395">
        <f t="shared" si="98"/>
        <v>6.0375457619811792</v>
      </c>
      <c r="E333" s="387">
        <f t="shared" si="120"/>
        <v>6.6336936204503463</v>
      </c>
      <c r="F333" s="387">
        <f t="shared" si="99"/>
        <v>6.6366388081224272</v>
      </c>
      <c r="G333" s="110">
        <f t="shared" si="121"/>
        <v>0.28983219629622814</v>
      </c>
      <c r="H333" s="416" t="b">
        <f>Wh_hp&gt;='2020'!Maxi_hp</f>
        <v>0</v>
      </c>
      <c r="I333" s="382">
        <f>IF(H333,Wh_hp,'2020'!Maxi_hp)</f>
        <v>21.801305387637619</v>
      </c>
      <c r="J333" s="85">
        <f>IF(H333,An,'2020'!An_max)</f>
        <v>2020</v>
      </c>
      <c r="K333" s="199">
        <f t="shared" si="100"/>
        <v>44515</v>
      </c>
      <c r="L333" s="147">
        <f>IF(t&lt;Tvie,1-EXP((T0-t)*PertePVj)+'2020'!Pspv,1-EXP((T0-t)*PertePVj)+Pspv)</f>
        <v>2.7585010291752643E-2</v>
      </c>
      <c r="M333" s="872"/>
      <c r="N333" s="872"/>
      <c r="O333" s="48">
        <f>IF(t&lt;Tnet,'2020'!Resal+('2020'!Salim-'2020'!Resal)*(1-EXP(('2020'!Tnet-t)/('2020'!Tau_j))),Resal+(Salim-Resal)*(1-EXP((Tnet-t)/(Tau_j))))*Salcycl</f>
        <v>8.9866655377535479E-2</v>
      </c>
      <c r="P333" s="171">
        <f>(INDEX(Models!$BJ333:$BT333,,T333)*(1-R333)+INDEX(Models!$BJ333:$BT333,,T333+1)*R333-ERP_i)*Q333*Ramure*Pc/MaxiM</f>
        <v>5.2870968648076035E-2</v>
      </c>
      <c r="Q333" s="307">
        <f t="shared" si="101"/>
        <v>0.9</v>
      </c>
      <c r="R333" s="179">
        <f t="shared" si="102"/>
        <v>0.89929000362029188</v>
      </c>
      <c r="S333" s="839">
        <f t="shared" si="103"/>
        <v>-1</v>
      </c>
      <c r="T333" s="178">
        <f t="shared" si="104"/>
        <v>5</v>
      </c>
      <c r="U333" s="253">
        <f t="shared" si="105"/>
        <v>-0.10070999637970812</v>
      </c>
      <c r="V333" s="385">
        <f t="shared" si="106"/>
        <v>19.194083244410837</v>
      </c>
      <c r="W333" s="404"/>
      <c r="X333" s="157">
        <f t="shared" si="107"/>
        <v>44515</v>
      </c>
      <c r="Y333" s="387">
        <f t="shared" si="108"/>
        <v>5.4941879331525767</v>
      </c>
      <c r="Z333" s="387">
        <f t="shared" si="109"/>
        <v>5.6500444679498329</v>
      </c>
      <c r="AA333" s="388">
        <f t="shared" si="110"/>
        <v>6.6336936204503463</v>
      </c>
      <c r="AB333" s="199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0.14828076314349531</v>
      </c>
      <c r="AD333" s="233">
        <f>(INDEX(Models!$BJ333:$BT333,,AH333)*(1-AF333)+INDEX(Models!$BJ333:$BT333,,AH333+1)*AF333-ERP_i)*AE333*Ramure*Pc/MaxiM</f>
        <v>5.2870968648076035E-2</v>
      </c>
      <c r="AE333" s="307">
        <f t="shared" si="112"/>
        <v>0.9</v>
      </c>
      <c r="AF333" s="179">
        <f t="shared" si="113"/>
        <v>0.89929000362029188</v>
      </c>
      <c r="AG333" s="839">
        <f t="shared" si="119"/>
        <v>-1</v>
      </c>
      <c r="AH333" s="178">
        <f t="shared" si="114"/>
        <v>5</v>
      </c>
      <c r="AI333" s="227">
        <f t="shared" si="115"/>
        <v>-0.10070999637970812</v>
      </c>
      <c r="AJ333" s="267" t="b">
        <f t="shared" si="116"/>
        <v>0</v>
      </c>
      <c r="AK333" s="267" t="b">
        <f t="shared" si="117"/>
        <v>0</v>
      </c>
      <c r="AL333" s="267"/>
      <c r="AM333" s="267"/>
      <c r="AN333" s="75"/>
    </row>
    <row r="334" spans="1:40" s="6" customFormat="1" ht="11.25" x14ac:dyDescent="0.2">
      <c r="A334" s="56">
        <f t="shared" si="118"/>
        <v>44516</v>
      </c>
      <c r="B334" s="620">
        <v>7.9169999999999998</v>
      </c>
      <c r="C334" s="392"/>
      <c r="D334" s="395">
        <f t="shared" si="98"/>
        <v>8.1417751970473162</v>
      </c>
      <c r="E334" s="387">
        <f t="shared" si="120"/>
        <v>8.9471787044846334</v>
      </c>
      <c r="F334" s="387">
        <f t="shared" si="99"/>
        <v>9.0288792964547699</v>
      </c>
      <c r="G334" s="110">
        <f t="shared" si="121"/>
        <v>0.39844563109378028</v>
      </c>
      <c r="H334" s="416" t="b">
        <f>Wh_hp&gt;='2020'!Maxi_hp</f>
        <v>0</v>
      </c>
      <c r="I334" s="382">
        <f>IF(H334,Wh_hp,'2020'!Maxi_hp)</f>
        <v>20.767692594543572</v>
      </c>
      <c r="J334" s="85">
        <f>IF(H334,An,'2020'!An_max)</f>
        <v>2018</v>
      </c>
      <c r="K334" s="199">
        <f t="shared" si="100"/>
        <v>44516</v>
      </c>
      <c r="L334" s="147">
        <f>IF(t&lt;Tvie,1-EXP((T0-t)*PertePVj)+'2020'!Pspv,1-EXP((T0-t)*PertePVj)+Pspv)</f>
        <v>2.7607639809170026E-2</v>
      </c>
      <c r="M334" s="872"/>
      <c r="N334" s="872"/>
      <c r="O334" s="48">
        <f>IF(t&lt;Tnet,'2020'!Resal+('2020'!Salim-'2020'!Resal)*(1-EXP(('2020'!Tnet-t)/('2020'!Tau_j))),Resal+(Salim-Resal)*(1-EXP((Tnet-t)/(Tau_j))))*Salcycl</f>
        <v>9.0017594823899122E-2</v>
      </c>
      <c r="P334" s="171">
        <f>(INDEX(Models!$BJ334:$BT334,,T334)*(1-R334)+INDEX(Models!$BJ334:$BT334,,T334+1)*R334-ERP_i)*Q334*Ramure*Pc/MaxiM</f>
        <v>5.39696857220055E-2</v>
      </c>
      <c r="Q334" s="307">
        <f t="shared" si="101"/>
        <v>0.9</v>
      </c>
      <c r="R334" s="179">
        <f t="shared" si="102"/>
        <v>0.89932654119102828</v>
      </c>
      <c r="S334" s="839">
        <f t="shared" si="103"/>
        <v>-1</v>
      </c>
      <c r="T334" s="178">
        <f t="shared" si="104"/>
        <v>5</v>
      </c>
      <c r="U334" s="253">
        <f t="shared" si="105"/>
        <v>-0.10067345880897172</v>
      </c>
      <c r="V334" s="385">
        <f t="shared" si="106"/>
        <v>18.968996839939972</v>
      </c>
      <c r="W334" s="404"/>
      <c r="X334" s="157">
        <f t="shared" si="107"/>
        <v>44516</v>
      </c>
      <c r="Y334" s="387">
        <f t="shared" si="108"/>
        <v>7.4106112115074172</v>
      </c>
      <c r="Z334" s="387">
        <f t="shared" si="109"/>
        <v>7.6210092909955609</v>
      </c>
      <c r="AA334" s="388">
        <f t="shared" si="110"/>
        <v>8.9471787044846334</v>
      </c>
      <c r="AB334" s="199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0.14822207729285111</v>
      </c>
      <c r="AD334" s="233">
        <f>(INDEX(Models!$BJ334:$BT334,,AH334)*(1-AF334)+INDEX(Models!$BJ334:$BT334,,AH334+1)*AF334-ERP_i)*AE334*Ramure*Pc/MaxiM</f>
        <v>5.39696857220055E-2</v>
      </c>
      <c r="AE334" s="307">
        <f t="shared" si="112"/>
        <v>0.9</v>
      </c>
      <c r="AF334" s="179">
        <f t="shared" si="113"/>
        <v>0.89932654119102828</v>
      </c>
      <c r="AG334" s="839">
        <f t="shared" si="119"/>
        <v>-1</v>
      </c>
      <c r="AH334" s="178">
        <f t="shared" si="114"/>
        <v>5</v>
      </c>
      <c r="AI334" s="227">
        <f t="shared" si="115"/>
        <v>-0.10067345880897172</v>
      </c>
      <c r="AJ334" s="267" t="b">
        <f t="shared" si="116"/>
        <v>0</v>
      </c>
      <c r="AK334" s="267" t="b">
        <f t="shared" si="117"/>
        <v>0</v>
      </c>
      <c r="AL334" s="267"/>
      <c r="AM334" s="267"/>
      <c r="AN334" s="75"/>
    </row>
    <row r="335" spans="1:40" s="6" customFormat="1" ht="11.25" x14ac:dyDescent="0.2">
      <c r="A335" s="56">
        <f t="shared" si="118"/>
        <v>44517</v>
      </c>
      <c r="B335" s="620">
        <v>2.8559999999999999</v>
      </c>
      <c r="C335" s="392"/>
      <c r="D335" s="395">
        <f t="shared" ref="D335:D379" si="122">Wh/(1-Ppv)</f>
        <v>2.9371543646009148</v>
      </c>
      <c r="E335" s="387">
        <f t="shared" si="120"/>
        <v>3.2282426191589266</v>
      </c>
      <c r="F335" s="387">
        <f t="shared" ref="F335:F379" si="123">Wh_sa/(1-Pvg*MEDIAN((-Sdif+Wh/Env_an)/Csdif,0,1))</f>
        <v>3.2282426191589266</v>
      </c>
      <c r="G335" s="110">
        <f t="shared" si="121"/>
        <v>0.14393297733240698</v>
      </c>
      <c r="H335" s="416" t="b">
        <f>Wh_hp&gt;='2020'!Maxi_hp</f>
        <v>0</v>
      </c>
      <c r="I335" s="382">
        <f>IF(H335,Wh_hp,'2020'!Maxi_hp)</f>
        <v>21.918634591687038</v>
      </c>
      <c r="J335" s="85">
        <f>IF(H335,An,'2020'!An_max)</f>
        <v>2018</v>
      </c>
      <c r="K335" s="199">
        <f t="shared" ref="K335:K379" si="124">t</f>
        <v>44517</v>
      </c>
      <c r="L335" s="147">
        <f>IF(t&lt;Tvie,1-EXP((T0-t)*PertePVj)+'2020'!Pspv,1-EXP((T0-t)*PertePVj)+Pspv)</f>
        <v>2.7630268799965441E-2</v>
      </c>
      <c r="M335" s="872"/>
      <c r="N335" s="872"/>
      <c r="O335" s="48">
        <f>IF(t&lt;Tnet,'2020'!Resal+('2020'!Salim-'2020'!Resal)*(1-EXP(('2020'!Tnet-t)/('2020'!Tau_j))),Resal+(Salim-Resal)*(1-EXP((Tnet-t)/(Tau_j))))*Salcycl</f>
        <v>9.0169262009758999E-2</v>
      </c>
      <c r="P335" s="171">
        <f>(INDEX(Models!$BJ335:$BT335,,T335)*(1-R335)+INDEX(Models!$BJ335:$BT335,,T335+1)*R335-ERP_i)*Q335*Ramure*Pc/MaxiM</f>
        <v>5.5028368879810351E-2</v>
      </c>
      <c r="Q335" s="307">
        <f t="shared" ref="Q335:Q379" si="125">IF(OR(t&lt;Ttai,Notai),Dd+PousD*Croivg,Dens+PousD*(Croivg-Croi_tai))</f>
        <v>0.9</v>
      </c>
      <c r="R335" s="179">
        <f t="shared" ref="R335:R379" si="126">(Hp_vg-S335)/(INDEX(Echel_vg,T335+1)-S335)</f>
        <v>0.89936161183569741</v>
      </c>
      <c r="S335" s="839">
        <f t="shared" ref="S335:S379" si="127">INDEX(Echel_vg,T335)</f>
        <v>-1</v>
      </c>
      <c r="T335" s="178">
        <f t="shared" ref="T335:T379" si="128">MIN(MATCH(Hp_vg,Echel_vg),10)</f>
        <v>5</v>
      </c>
      <c r="U335" s="253">
        <f t="shared" ref="U335:U379" si="129">IF(OR(t&lt;Ttai,Notai),Hdd+PousH*Croivg,Hdtf+PousH*(Croivg-Croi_tai))</f>
        <v>-0.10063838816430259</v>
      </c>
      <c r="V335" s="385">
        <f t="shared" ref="V335:V379" si="130">MaxiM*(1-Ppv)*(1-Pvg)*(1-Psa)</f>
        <v>18.7506645697074</v>
      </c>
      <c r="W335" s="404"/>
      <c r="X335" s="157">
        <f t="shared" ref="X335:X379" si="131">t</f>
        <v>44517</v>
      </c>
      <c r="Y335" s="387">
        <f t="shared" ref="Y335:Y379" si="132">Wh_pvt_s*(1-Ppv)</f>
        <v>2.673945768322743</v>
      </c>
      <c r="Z335" s="387">
        <f t="shared" ref="Z335:Z379" si="133">Wh_sa_s*(1-Psa_s)</f>
        <v>2.7499269902434493</v>
      </c>
      <c r="AA335" s="388">
        <f t="shared" ref="AA335:AA379" si="134">Wh_hp*(1-Pvg_s*MEDIAN((-Sdif+Wh/Env_an)/Csdif,0,1))</f>
        <v>3.2282426191589266</v>
      </c>
      <c r="AB335" s="199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0.14816594827067112</v>
      </c>
      <c r="AD335" s="233">
        <f>(INDEX(Models!$BJ335:$BT335,,AH335)*(1-AF335)+INDEX(Models!$BJ335:$BT335,,AH335+1)*AF335-ERP_i)*AE335*Ramure*Pc/MaxiM</f>
        <v>5.5028368879810351E-2</v>
      </c>
      <c r="AE335" s="307">
        <f t="shared" ref="AE335:AE379" si="136">IF(OR(t&lt;Ttai,Notai),Dd_s+PousD*Croivg,Dens_s+PousD*(Croivg-Croi_tai))</f>
        <v>0.9</v>
      </c>
      <c r="AF335" s="179">
        <f t="shared" ref="AF335:AF379" si="137">(Hp_vg_s-AG335)/(INDEX(Echel_vg,AH335+1)-AG335)</f>
        <v>0.89936161183569741</v>
      </c>
      <c r="AG335" s="839">
        <f t="shared" si="119"/>
        <v>-1</v>
      </c>
      <c r="AH335" s="178">
        <f t="shared" ref="AH335:AH379" si="138">MIN(MATCH(Hp_vg_s,Echel_vg),10)</f>
        <v>5</v>
      </c>
      <c r="AI335" s="227">
        <f t="shared" ref="AI335:AI379" si="139">IF(OR(t&lt;Ttai,Notai),Hdd_s+PousH*Croivg,Hdtai_s+PousH*(Croivg-Croi_tai))</f>
        <v>-0.10063838816430259</v>
      </c>
      <c r="AJ335" s="267" t="b">
        <f t="shared" ref="AJ335:AJ380" si="140">t&lt;Tnet</f>
        <v>0</v>
      </c>
      <c r="AK335" s="267" t="b">
        <f t="shared" ref="AK335:AK380" si="141">t&lt;Ttai</f>
        <v>0</v>
      </c>
      <c r="AL335" s="267"/>
      <c r="AM335" s="267"/>
      <c r="AN335" s="75"/>
    </row>
    <row r="336" spans="1:40" s="6" customFormat="1" ht="11.25" x14ac:dyDescent="0.2">
      <c r="A336" s="56">
        <f t="shared" ref="A336:A379" si="142">A335+1</f>
        <v>44518</v>
      </c>
      <c r="B336" s="620">
        <v>15.101000000000001</v>
      </c>
      <c r="C336" s="392"/>
      <c r="D336" s="395">
        <f t="shared" si="122"/>
        <v>15.530462277833712</v>
      </c>
      <c r="E336" s="387">
        <f t="shared" si="120"/>
        <v>17.072478568377143</v>
      </c>
      <c r="F336" s="387">
        <f t="shared" si="123"/>
        <v>17.806061411993074</v>
      </c>
      <c r="G336" s="110">
        <f t="shared" si="121"/>
        <v>0.80194896314565556</v>
      </c>
      <c r="H336" s="416" t="b">
        <f>Wh_hp&gt;='2020'!Maxi_hp</f>
        <v>0</v>
      </c>
      <c r="I336" s="382">
        <f>IF(H336,Wh_hp,'2020'!Maxi_hp)</f>
        <v>20.767759562159952</v>
      </c>
      <c r="J336" s="85">
        <f>IF(H336,An,'2020'!An_max)</f>
        <v>2020</v>
      </c>
      <c r="K336" s="199">
        <f t="shared" si="124"/>
        <v>44518</v>
      </c>
      <c r="L336" s="147">
        <f>IF(t&lt;Tvie,1-EXP((T0-t)*PertePVj)+'2020'!Pspv,1-EXP((T0-t)*PertePVj)+Pspv)</f>
        <v>2.7652897264151211E-2</v>
      </c>
      <c r="M336" s="872"/>
      <c r="N336" s="872"/>
      <c r="O336" s="48">
        <f>IF(t&lt;Tnet,'2020'!Resal+('2020'!Salim-'2020'!Resal)*(1-EXP(('2020'!Tnet-t)/('2020'!Tau_j))),Resal+(Salim-Resal)*(1-EXP((Tnet-t)/(Tau_j))))*Salcycl</f>
        <v>9.0321758751518558E-2</v>
      </c>
      <c r="P336" s="171">
        <f>(INDEX(Models!$BJ336:$BT336,,T336)*(1-R336)+INDEX(Models!$BJ336:$BT336,,T336+1)*R336-ERP_i)*Q336*Ramure*Pc/MaxiM</f>
        <v>5.6045560450581157E-2</v>
      </c>
      <c r="Q336" s="307">
        <f t="shared" si="125"/>
        <v>0.9</v>
      </c>
      <c r="R336" s="179">
        <f t="shared" si="126"/>
        <v>0.89939527428764843</v>
      </c>
      <c r="S336" s="839">
        <f t="shared" si="127"/>
        <v>-1</v>
      </c>
      <c r="T336" s="178">
        <f t="shared" si="128"/>
        <v>5</v>
      </c>
      <c r="U336" s="253">
        <f t="shared" si="129"/>
        <v>-0.10060472571235157</v>
      </c>
      <c r="V336" s="385">
        <f t="shared" si="130"/>
        <v>18.538786432717895</v>
      </c>
      <c r="W336" s="404"/>
      <c r="X336" s="157">
        <f t="shared" si="131"/>
        <v>44518</v>
      </c>
      <c r="Y336" s="387">
        <f t="shared" si="132"/>
        <v>14.141651670293689</v>
      </c>
      <c r="Z336" s="387">
        <f t="shared" si="133"/>
        <v>14.54383072722073</v>
      </c>
      <c r="AA336" s="388">
        <f t="shared" si="134"/>
        <v>17.072478568377143</v>
      </c>
      <c r="AB336" s="199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0.1481125210395727</v>
      </c>
      <c r="AD336" s="233">
        <f>(INDEX(Models!$BJ336:$BT336,,AH336)*(1-AF336)+INDEX(Models!$BJ336:$BT336,,AH336+1)*AF336-ERP_i)*AE336*Ramure*Pc/MaxiM</f>
        <v>5.6045560450581157E-2</v>
      </c>
      <c r="AE336" s="307">
        <f t="shared" si="136"/>
        <v>0.9</v>
      </c>
      <c r="AF336" s="179">
        <f t="shared" si="137"/>
        <v>0.89939527428764843</v>
      </c>
      <c r="AG336" s="839">
        <f t="shared" ref="AG336:AG379" si="143">INDEX(Echel_vg,AH336)</f>
        <v>-1</v>
      </c>
      <c r="AH336" s="178">
        <f t="shared" si="138"/>
        <v>5</v>
      </c>
      <c r="AI336" s="227">
        <f t="shared" si="139"/>
        <v>-0.10060472571235157</v>
      </c>
      <c r="AJ336" s="267" t="b">
        <f t="shared" si="140"/>
        <v>0</v>
      </c>
      <c r="AK336" s="267" t="b">
        <f t="shared" si="141"/>
        <v>0</v>
      </c>
      <c r="AL336" s="267"/>
      <c r="AM336" s="267"/>
      <c r="AN336" s="75"/>
    </row>
    <row r="337" spans="1:40" s="6" customFormat="1" ht="11.25" x14ac:dyDescent="0.2">
      <c r="A337" s="56">
        <f t="shared" si="142"/>
        <v>44519</v>
      </c>
      <c r="B337" s="620">
        <v>18.172000000000001</v>
      </c>
      <c r="C337" s="392"/>
      <c r="D337" s="395">
        <f t="shared" si="122"/>
        <v>18.689234377001934</v>
      </c>
      <c r="E337" s="387">
        <f t="shared" si="120"/>
        <v>20.548350061952789</v>
      </c>
      <c r="F337" s="387">
        <f t="shared" si="123"/>
        <v>21.77433778544162</v>
      </c>
      <c r="G337" s="110">
        <f t="shared" si="121"/>
        <v>0.99046296332902817</v>
      </c>
      <c r="H337" s="416" t="b">
        <f>Wh_hp&gt;='2020'!Maxi_hp</f>
        <v>1</v>
      </c>
      <c r="I337" s="382">
        <f>IF(H337,Wh_hp,'2020'!Maxi_hp)</f>
        <v>21.77433778544162</v>
      </c>
      <c r="J337" s="85">
        <f>IF(H337,An,'2020'!An_max)</f>
        <v>2021</v>
      </c>
      <c r="K337" s="199">
        <f t="shared" si="124"/>
        <v>44519</v>
      </c>
      <c r="L337" s="147">
        <f>IF(t&lt;Tvie,1-EXP((T0-t)*PertePVj)+'2020'!Pspv,1-EXP((T0-t)*PertePVj)+Pspv)</f>
        <v>2.7675525201739548E-2</v>
      </c>
      <c r="M337" s="872"/>
      <c r="N337" s="872"/>
      <c r="O337" s="48">
        <f>IF(t&lt;Tnet,'2020'!Resal+('2020'!Salim-'2020'!Resal)*(1-EXP(('2020'!Tnet-t)/('2020'!Tau_j))),Resal+(Salim-Resal)*(1-EXP((Tnet-t)/(Tau_j))))*Salcycl</f>
        <v>9.0475180700429092E-2</v>
      </c>
      <c r="P337" s="171">
        <f>(INDEX(Models!$BJ337:$BT337,,T337)*(1-R337)+INDEX(Models!$BJ337:$BT337,,T337+1)*R337-ERP_i)*Q337*Ramure*Pc/MaxiM</f>
        <v>5.7019878181016198E-2</v>
      </c>
      <c r="Q337" s="307">
        <f t="shared" si="125"/>
        <v>0.9</v>
      </c>
      <c r="R337" s="179">
        <f t="shared" si="126"/>
        <v>0.89942758494136499</v>
      </c>
      <c r="S337" s="839">
        <f t="shared" si="127"/>
        <v>-1</v>
      </c>
      <c r="T337" s="178">
        <f t="shared" si="128"/>
        <v>5</v>
      </c>
      <c r="U337" s="253">
        <f t="shared" si="129"/>
        <v>-0.10057241505863501</v>
      </c>
      <c r="V337" s="385">
        <f t="shared" si="130"/>
        <v>18.333062777423894</v>
      </c>
      <c r="W337" s="404"/>
      <c r="X337" s="157">
        <f t="shared" si="131"/>
        <v>44519</v>
      </c>
      <c r="Y337" s="387">
        <f t="shared" si="132"/>
        <v>17.021436127608972</v>
      </c>
      <c r="Z337" s="387">
        <f t="shared" si="133"/>
        <v>17.505921704933538</v>
      </c>
      <c r="AA337" s="388">
        <f t="shared" si="134"/>
        <v>20.548350061952789</v>
      </c>
      <c r="AB337" s="199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0.14806192944184823</v>
      </c>
      <c r="AD337" s="233">
        <f>(INDEX(Models!$BJ337:$BT337,,AH337)*(1-AF337)+INDEX(Models!$BJ337:$BT337,,AH337+1)*AF337-ERP_i)*AE337*Ramure*Pc/MaxiM</f>
        <v>5.7019878181016198E-2</v>
      </c>
      <c r="AE337" s="307">
        <f t="shared" si="136"/>
        <v>0.9</v>
      </c>
      <c r="AF337" s="179">
        <f t="shared" si="137"/>
        <v>0.89942758494136499</v>
      </c>
      <c r="AG337" s="839">
        <f t="shared" si="143"/>
        <v>-1</v>
      </c>
      <c r="AH337" s="178">
        <f t="shared" si="138"/>
        <v>5</v>
      </c>
      <c r="AI337" s="227">
        <f t="shared" si="139"/>
        <v>-0.10057241505863501</v>
      </c>
      <c r="AJ337" s="267" t="b">
        <f t="shared" si="140"/>
        <v>0</v>
      </c>
      <c r="AK337" s="267" t="b">
        <f t="shared" si="141"/>
        <v>0</v>
      </c>
      <c r="AL337" s="267"/>
      <c r="AM337" s="267"/>
      <c r="AN337" s="75"/>
    </row>
    <row r="338" spans="1:40" s="6" customFormat="1" ht="11.25" x14ac:dyDescent="0.2">
      <c r="A338" s="56">
        <f t="shared" si="142"/>
        <v>44520</v>
      </c>
      <c r="B338" s="620">
        <v>14.737</v>
      </c>
      <c r="C338" s="392"/>
      <c r="D338" s="395">
        <f t="shared" si="122"/>
        <v>15.15681579707049</v>
      </c>
      <c r="E338" s="387">
        <f t="shared" si="120"/>
        <v>16.667373470143495</v>
      </c>
      <c r="F338" s="387">
        <f t="shared" si="123"/>
        <v>17.40624967285753</v>
      </c>
      <c r="G338" s="110">
        <f t="shared" si="121"/>
        <v>0.79955207809249118</v>
      </c>
      <c r="H338" s="416" t="b">
        <f>Wh_hp&gt;='2020'!Maxi_hp</f>
        <v>0</v>
      </c>
      <c r="I338" s="382">
        <f>IF(H338,Wh_hp,'2020'!Maxi_hp)</f>
        <v>22.468091458324675</v>
      </c>
      <c r="J338" s="85">
        <f>IF(H338,An,'2020'!An_max)</f>
        <v>2019</v>
      </c>
      <c r="K338" s="199">
        <f t="shared" si="124"/>
        <v>44520</v>
      </c>
      <c r="L338" s="147">
        <f>IF(t&lt;Tvie,1-EXP((T0-t)*PertePVj)+'2020'!Pspv,1-EXP((T0-t)*PertePVj)+Pspv)</f>
        <v>2.7698152612742777E-2</v>
      </c>
      <c r="M338" s="872"/>
      <c r="N338" s="872"/>
      <c r="O338" s="48">
        <f>IF(t&lt;Tnet,'2020'!Resal+('2020'!Salim-'2020'!Resal)*(1-EXP(('2020'!Tnet-t)/('2020'!Tau_j))),Resal+(Salim-Resal)*(1-EXP((Tnet-t)/(Tau_j))))*Salcycl</f>
        <v>9.0629616944678804E-2</v>
      </c>
      <c r="P338" s="171">
        <f>(INDEX(Models!$BJ338:$BT338,,T338)*(1-R338)+INDEX(Models!$BJ338:$BT338,,T338+1)*R338-ERP_i)*Q338*Ramure*Pc/MaxiM</f>
        <v>5.7954938557126918E-2</v>
      </c>
      <c r="Q338" s="307">
        <f t="shared" si="125"/>
        <v>0.9</v>
      </c>
      <c r="R338" s="179">
        <f t="shared" si="126"/>
        <v>0.89945859794459859</v>
      </c>
      <c r="S338" s="839">
        <f t="shared" si="127"/>
        <v>-1</v>
      </c>
      <c r="T338" s="178">
        <f t="shared" si="128"/>
        <v>5</v>
      </c>
      <c r="U338" s="253">
        <f t="shared" si="129"/>
        <v>-0.10054140205540141</v>
      </c>
      <c r="V338" s="385">
        <f t="shared" si="130"/>
        <v>18.133099563173072</v>
      </c>
      <c r="W338" s="404"/>
      <c r="X338" s="157">
        <f t="shared" si="131"/>
        <v>44520</v>
      </c>
      <c r="Y338" s="387">
        <f t="shared" si="132"/>
        <v>13.807040078102192</v>
      </c>
      <c r="Z338" s="387">
        <f t="shared" si="133"/>
        <v>14.200363925260545</v>
      </c>
      <c r="AA338" s="388">
        <f t="shared" si="134"/>
        <v>16.667373470143495</v>
      </c>
      <c r="AB338" s="199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0.14801429567184898</v>
      </c>
      <c r="AD338" s="233">
        <f>(INDEX(Models!$BJ338:$BT338,,AH338)*(1-AF338)+INDEX(Models!$BJ338:$BT338,,AH338+1)*AF338-ERP_i)*AE338*Ramure*Pc/MaxiM</f>
        <v>5.7954938557126918E-2</v>
      </c>
      <c r="AE338" s="307">
        <f t="shared" si="136"/>
        <v>0.9</v>
      </c>
      <c r="AF338" s="179">
        <f t="shared" si="137"/>
        <v>0.89945859794459859</v>
      </c>
      <c r="AG338" s="839">
        <f t="shared" si="143"/>
        <v>-1</v>
      </c>
      <c r="AH338" s="178">
        <f t="shared" si="138"/>
        <v>5</v>
      </c>
      <c r="AI338" s="227">
        <f t="shared" si="139"/>
        <v>-0.10054140205540141</v>
      </c>
      <c r="AJ338" s="267" t="b">
        <f t="shared" si="140"/>
        <v>0</v>
      </c>
      <c r="AK338" s="267" t="b">
        <f t="shared" si="141"/>
        <v>0</v>
      </c>
      <c r="AL338" s="267"/>
      <c r="AM338" s="267"/>
      <c r="AN338" s="75"/>
    </row>
    <row r="339" spans="1:40" s="6" customFormat="1" ht="11.25" x14ac:dyDescent="0.2">
      <c r="A339" s="56">
        <f t="shared" si="142"/>
        <v>44521</v>
      </c>
      <c r="B339" s="620">
        <v>7.8289999999999997</v>
      </c>
      <c r="C339" s="392"/>
      <c r="D339" s="395">
        <f t="shared" si="122"/>
        <v>8.0522136387437442</v>
      </c>
      <c r="E339" s="387">
        <f t="shared" si="120"/>
        <v>8.8562275854474279</v>
      </c>
      <c r="F339" s="387">
        <f t="shared" si="123"/>
        <v>8.959054528945984</v>
      </c>
      <c r="G339" s="110">
        <f t="shared" si="121"/>
        <v>0.41551835686515465</v>
      </c>
      <c r="H339" s="416" t="b">
        <f>Wh_hp&gt;='2020'!Maxi_hp</f>
        <v>0</v>
      </c>
      <c r="I339" s="382">
        <f>IF(H339,Wh_hp,'2020'!Maxi_hp)</f>
        <v>21.653761632843604</v>
      </c>
      <c r="J339" s="85">
        <f>IF(H339,An,'2020'!An_max)</f>
        <v>2019</v>
      </c>
      <c r="K339" s="199">
        <f t="shared" si="124"/>
        <v>44521</v>
      </c>
      <c r="L339" s="147">
        <f>IF(t&lt;Tvie,1-EXP((T0-t)*PertePVj)+'2020'!Pspv,1-EXP((T0-t)*PertePVj)+Pspv)</f>
        <v>2.7720779497172998E-2</v>
      </c>
      <c r="M339" s="872"/>
      <c r="N339" s="872"/>
      <c r="O339" s="48">
        <f>IF(t&lt;Tnet,'2020'!Resal+('2020'!Salim-'2020'!Resal)*(1-EXP(('2020'!Tnet-t)/('2020'!Tau_j))),Resal+(Salim-Resal)*(1-EXP((Tnet-t)/(Tau_j))))*Salcycl</f>
        <v>9.0785149652752931E-2</v>
      </c>
      <c r="P339" s="171">
        <f>(INDEX(Models!$BJ339:$BT339,,T339)*(1-R339)+INDEX(Models!$BJ339:$BT339,,T339+1)*R339-ERP_i)*Q339*Ramure*Pc/MaxiM</f>
        <v>5.8881137941670852E-2</v>
      </c>
      <c r="Q339" s="307">
        <f t="shared" si="125"/>
        <v>0.9</v>
      </c>
      <c r="R339" s="179">
        <f t="shared" si="126"/>
        <v>0.89948836528695375</v>
      </c>
      <c r="S339" s="839">
        <f t="shared" si="127"/>
        <v>-1</v>
      </c>
      <c r="T339" s="178">
        <f t="shared" si="128"/>
        <v>5</v>
      </c>
      <c r="U339" s="253">
        <f t="shared" si="129"/>
        <v>-0.10051163471304625</v>
      </c>
      <c r="V339" s="385">
        <f t="shared" si="130"/>
        <v>17.937997839039404</v>
      </c>
      <c r="W339" s="404"/>
      <c r="X339" s="157">
        <f t="shared" si="131"/>
        <v>44521</v>
      </c>
      <c r="Y339" s="387">
        <f t="shared" si="132"/>
        <v>7.3365992456965872</v>
      </c>
      <c r="Z339" s="387">
        <f t="shared" si="133"/>
        <v>7.5457739823981509</v>
      </c>
      <c r="AA339" s="388">
        <f t="shared" si="134"/>
        <v>8.8562275854474279</v>
      </c>
      <c r="AB339" s="199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0.14796972982069906</v>
      </c>
      <c r="AD339" s="233">
        <f>(INDEX(Models!$BJ339:$BT339,,AH339)*(1-AF339)+INDEX(Models!$BJ339:$BT339,,AH339+1)*AF339-ERP_i)*AE339*Ramure*Pc/MaxiM</f>
        <v>5.8881137941670852E-2</v>
      </c>
      <c r="AE339" s="307">
        <f t="shared" si="136"/>
        <v>0.9</v>
      </c>
      <c r="AF339" s="179">
        <f t="shared" si="137"/>
        <v>0.89948836528695375</v>
      </c>
      <c r="AG339" s="839">
        <f t="shared" si="143"/>
        <v>-1</v>
      </c>
      <c r="AH339" s="178">
        <f t="shared" si="138"/>
        <v>5</v>
      </c>
      <c r="AI339" s="227">
        <f t="shared" si="139"/>
        <v>-0.10051163471304625</v>
      </c>
      <c r="AJ339" s="267" t="b">
        <f t="shared" si="140"/>
        <v>0</v>
      </c>
      <c r="AK339" s="267" t="b">
        <f t="shared" si="141"/>
        <v>0</v>
      </c>
      <c r="AL339" s="267"/>
      <c r="AM339" s="267"/>
      <c r="AN339" s="75"/>
    </row>
    <row r="340" spans="1:40" s="6" customFormat="1" ht="11.25" x14ac:dyDescent="0.2">
      <c r="A340" s="56">
        <f t="shared" si="142"/>
        <v>44522</v>
      </c>
      <c r="B340" s="620">
        <v>13.764000000000001</v>
      </c>
      <c r="C340" s="392"/>
      <c r="D340" s="395">
        <f t="shared" si="122"/>
        <v>14.156756645198824</v>
      </c>
      <c r="E340" s="387">
        <f t="shared" si="120"/>
        <v>15.572993546960991</v>
      </c>
      <c r="F340" s="387">
        <f t="shared" si="123"/>
        <v>16.232423868552338</v>
      </c>
      <c r="G340" s="110">
        <f t="shared" si="121"/>
        <v>0.76004751558426475</v>
      </c>
      <c r="H340" s="416" t="b">
        <f>Wh_hp&gt;='2020'!Maxi_hp</f>
        <v>0</v>
      </c>
      <c r="I340" s="382">
        <f>IF(H340,Wh_hp,'2020'!Maxi_hp)</f>
        <v>21.944926765970493</v>
      </c>
      <c r="J340" s="85">
        <f>IF(H340,An,'2020'!An_max)</f>
        <v>2020</v>
      </c>
      <c r="K340" s="199">
        <f t="shared" si="124"/>
        <v>44522</v>
      </c>
      <c r="L340" s="147">
        <f>IF(t&lt;Tvie,1-EXP((T0-t)*PertePVj)+'2020'!Pspv,1-EXP((T0-t)*PertePVj)+Pspv)</f>
        <v>2.7743405855042647E-2</v>
      </c>
      <c r="M340" s="872"/>
      <c r="N340" s="872"/>
      <c r="O340" s="48">
        <f>IF(t&lt;Tnet,'2020'!Resal+('2020'!Salim-'2020'!Resal)*(1-EXP(('2020'!Tnet-t)/('2020'!Tau_j))),Resal+(Salim-Resal)*(1-EXP((Tnet-t)/(Tau_j))))*Salcycl</f>
        <v>9.094185376057895E-2</v>
      </c>
      <c r="P340" s="171">
        <f>(INDEX(Models!$BJ340:$BT340,,T340)*(1-R340)+INDEX(Models!$BJ340:$BT340,,T340+1)*R340-ERP_i)*Q340*Ramure*Pc/MaxiM</f>
        <v>5.9798396681386673E-2</v>
      </c>
      <c r="Q340" s="307">
        <f t="shared" si="125"/>
        <v>0.9</v>
      </c>
      <c r="R340" s="179">
        <f t="shared" si="126"/>
        <v>0.89951693688505219</v>
      </c>
      <c r="S340" s="839">
        <f t="shared" si="127"/>
        <v>-1</v>
      </c>
      <c r="T340" s="178">
        <f t="shared" si="128"/>
        <v>5</v>
      </c>
      <c r="U340" s="253">
        <f t="shared" si="129"/>
        <v>-0.10048306311494781</v>
      </c>
      <c r="V340" s="385">
        <f t="shared" si="130"/>
        <v>17.747458883401627</v>
      </c>
      <c r="W340" s="404"/>
      <c r="X340" s="157">
        <f t="shared" si="131"/>
        <v>44522</v>
      </c>
      <c r="Y340" s="387">
        <f t="shared" si="132"/>
        <v>12.901170867153166</v>
      </c>
      <c r="Z340" s="387">
        <f t="shared" si="133"/>
        <v>13.26930662630166</v>
      </c>
      <c r="AA340" s="388">
        <f t="shared" si="134"/>
        <v>15.572993546960989</v>
      </c>
      <c r="AB340" s="199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0.14792832949634696</v>
      </c>
      <c r="AD340" s="233">
        <f>(INDEX(Models!$BJ340:$BT340,,AH340)*(1-AF340)+INDEX(Models!$BJ340:$BT340,,AH340+1)*AF340-ERP_i)*AE340*Ramure*Pc/MaxiM</f>
        <v>5.9798396681386673E-2</v>
      </c>
      <c r="AE340" s="307">
        <f t="shared" si="136"/>
        <v>0.9</v>
      </c>
      <c r="AF340" s="179">
        <f t="shared" si="137"/>
        <v>0.89951693688505219</v>
      </c>
      <c r="AG340" s="839">
        <f t="shared" si="143"/>
        <v>-1</v>
      </c>
      <c r="AH340" s="178">
        <f t="shared" si="138"/>
        <v>5</v>
      </c>
      <c r="AI340" s="227">
        <f t="shared" si="139"/>
        <v>-0.10048306311494781</v>
      </c>
      <c r="AJ340" s="267" t="b">
        <f t="shared" si="140"/>
        <v>0</v>
      </c>
      <c r="AK340" s="267" t="b">
        <f t="shared" si="141"/>
        <v>0</v>
      </c>
      <c r="AL340" s="267"/>
      <c r="AM340" s="267"/>
      <c r="AN340" s="75"/>
    </row>
    <row r="341" spans="1:40" s="6" customFormat="1" ht="11.25" x14ac:dyDescent="0.2">
      <c r="A341" s="56">
        <f t="shared" si="142"/>
        <v>44523</v>
      </c>
      <c r="B341" s="620">
        <v>10.104000000000001</v>
      </c>
      <c r="C341" s="392"/>
      <c r="D341" s="395">
        <f t="shared" si="122"/>
        <v>10.392560154553783</v>
      </c>
      <c r="E341" s="387">
        <f t="shared" si="120"/>
        <v>11.434214798141479</v>
      </c>
      <c r="F341" s="387">
        <f t="shared" si="123"/>
        <v>11.713944962314839</v>
      </c>
      <c r="G341" s="110">
        <f t="shared" si="121"/>
        <v>0.55365291501034997</v>
      </c>
      <c r="H341" s="416" t="b">
        <f>Wh_hp&gt;='2020'!Maxi_hp</f>
        <v>0</v>
      </c>
      <c r="I341" s="382">
        <f>IF(H341,Wh_hp,'2020'!Maxi_hp)</f>
        <v>21.331642050489656</v>
      </c>
      <c r="J341" s="85">
        <f>IF(H341,An,'2020'!An_max)</f>
        <v>2020</v>
      </c>
      <c r="K341" s="199">
        <f t="shared" si="124"/>
        <v>44523</v>
      </c>
      <c r="L341" s="147">
        <f>IF(t&lt;Tvie,1-EXP((T0-t)*PertePVj)+'2020'!Pspv,1-EXP((T0-t)*PertePVj)+Pspv)</f>
        <v>2.7766031686363823E-2</v>
      </c>
      <c r="M341" s="872"/>
      <c r="N341" s="872"/>
      <c r="O341" s="48">
        <f>IF(t&lt;Tnet,'2020'!Resal+('2020'!Salim-'2020'!Resal)*(1-EXP(('2020'!Tnet-t)/('2020'!Tau_j))),Resal+(Salim-Resal)*(1-EXP((Tnet-t)/(Tau_j))))*Salcycl</f>
        <v>9.1099796704624258E-2</v>
      </c>
      <c r="P341" s="171">
        <f>(INDEX(Models!$BJ341:$BT341,,T341)*(1-R341)+INDEX(Models!$BJ341:$BT341,,T341+1)*R341-ERP_i)*Q341*Ramure*Pc/MaxiM</f>
        <v>6.0706325474376391E-2</v>
      </c>
      <c r="Q341" s="307">
        <f t="shared" si="125"/>
        <v>0.9</v>
      </c>
      <c r="R341" s="179">
        <f t="shared" si="126"/>
        <v>0.89954436066440335</v>
      </c>
      <c r="S341" s="839">
        <f t="shared" si="127"/>
        <v>-1</v>
      </c>
      <c r="T341" s="178">
        <f t="shared" si="128"/>
        <v>5</v>
      </c>
      <c r="U341" s="253">
        <f t="shared" si="129"/>
        <v>-0.10045563933559665</v>
      </c>
      <c r="V341" s="385">
        <f t="shared" si="130"/>
        <v>17.561191433589123</v>
      </c>
      <c r="W341" s="404"/>
      <c r="X341" s="157">
        <f t="shared" si="131"/>
        <v>44523</v>
      </c>
      <c r="Y341" s="387">
        <f t="shared" si="132"/>
        <v>9.4726765324730611</v>
      </c>
      <c r="Z341" s="387">
        <f t="shared" si="133"/>
        <v>9.7432067189584544</v>
      </c>
      <c r="AA341" s="388">
        <f t="shared" si="134"/>
        <v>11.434214798141479</v>
      </c>
      <c r="AB341" s="199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0.14789017952136796</v>
      </c>
      <c r="AD341" s="233">
        <f>(INDEX(Models!$BJ341:$BT341,,AH341)*(1-AF341)+INDEX(Models!$BJ341:$BT341,,AH341+1)*AF341-ERP_i)*AE341*Ramure*Pc/MaxiM</f>
        <v>6.0706325474376391E-2</v>
      </c>
      <c r="AE341" s="307">
        <f t="shared" si="136"/>
        <v>0.9</v>
      </c>
      <c r="AF341" s="179">
        <f t="shared" si="137"/>
        <v>0.89954436066440335</v>
      </c>
      <c r="AG341" s="839">
        <f t="shared" si="143"/>
        <v>-1</v>
      </c>
      <c r="AH341" s="178">
        <f t="shared" si="138"/>
        <v>5</v>
      </c>
      <c r="AI341" s="227">
        <f t="shared" si="139"/>
        <v>-0.10045563933559665</v>
      </c>
      <c r="AJ341" s="267" t="b">
        <f t="shared" si="140"/>
        <v>0</v>
      </c>
      <c r="AK341" s="267" t="b">
        <f t="shared" si="141"/>
        <v>0</v>
      </c>
      <c r="AL341" s="267"/>
      <c r="AM341" s="267"/>
      <c r="AN341" s="75"/>
    </row>
    <row r="342" spans="1:40" s="6" customFormat="1" ht="11.25" x14ac:dyDescent="0.2">
      <c r="A342" s="56">
        <f t="shared" si="142"/>
        <v>44524</v>
      </c>
      <c r="B342" s="620">
        <v>0.99299999999999999</v>
      </c>
      <c r="C342" s="392"/>
      <c r="D342" s="395">
        <f t="shared" si="122"/>
        <v>1.0213828578946746</v>
      </c>
      <c r="E342" s="387">
        <f t="shared" si="120"/>
        <v>1.1239538007339809</v>
      </c>
      <c r="F342" s="387">
        <f t="shared" si="123"/>
        <v>1.1239538007339809</v>
      </c>
      <c r="G342" s="110">
        <f t="shared" si="121"/>
        <v>5.3618260881283762E-2</v>
      </c>
      <c r="H342" s="416" t="b">
        <f>Wh_hp&gt;='2020'!Maxi_hp</f>
        <v>0</v>
      </c>
      <c r="I342" s="382">
        <f>IF(H342,Wh_hp,'2020'!Maxi_hp)</f>
        <v>20.115501391985529</v>
      </c>
      <c r="J342" s="85">
        <f>IF(H342,An,'2020'!An_max)</f>
        <v>2020</v>
      </c>
      <c r="K342" s="199">
        <f t="shared" si="124"/>
        <v>44524</v>
      </c>
      <c r="L342" s="147">
        <f>IF(t&lt;Tvie,1-EXP((T0-t)*PertePVj)+'2020'!Pspv,1-EXP((T0-t)*PertePVj)+Pspv)</f>
        <v>2.7788656991148963E-2</v>
      </c>
      <c r="M342" s="872"/>
      <c r="N342" s="872"/>
      <c r="O342" s="48">
        <f>IF(t&lt;Tnet,'2020'!Resal+('2020'!Salim-'2020'!Resal)*(1-EXP(('2020'!Tnet-t)/('2020'!Tau_j))),Resal+(Salim-Resal)*(1-EXP((Tnet-t)/(Tau_j))))*Salcycl</f>
        <v>9.1259038202748013E-2</v>
      </c>
      <c r="P342" s="171">
        <f>(INDEX(Models!$BJ342:$BT342,,T342)*(1-R342)+INDEX(Models!$BJ342:$BT342,,T342+1)*R342-ERP_i)*Q342*Ramure*Pc/MaxiM</f>
        <v>6.1604838178513255E-2</v>
      </c>
      <c r="Q342" s="307">
        <f t="shared" si="125"/>
        <v>0.9</v>
      </c>
      <c r="R342" s="179">
        <f t="shared" si="126"/>
        <v>0.89957068263810569</v>
      </c>
      <c r="S342" s="839">
        <f t="shared" si="127"/>
        <v>-1</v>
      </c>
      <c r="T342" s="178">
        <f t="shared" si="128"/>
        <v>5</v>
      </c>
      <c r="U342" s="253">
        <f t="shared" si="129"/>
        <v>-0.10042931736189431</v>
      </c>
      <c r="V342" s="385">
        <f t="shared" si="130"/>
        <v>17.378900030940841</v>
      </c>
      <c r="W342" s="404"/>
      <c r="X342" s="157">
        <f t="shared" si="131"/>
        <v>44524</v>
      </c>
      <c r="Y342" s="387">
        <f t="shared" si="132"/>
        <v>0.93115604041677136</v>
      </c>
      <c r="Z342" s="387">
        <f t="shared" si="133"/>
        <v>0.95777121622031325</v>
      </c>
      <c r="AA342" s="388">
        <f t="shared" si="134"/>
        <v>1.1239538007339809</v>
      </c>
      <c r="AB342" s="199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0.14785535171031461</v>
      </c>
      <c r="AD342" s="233">
        <f>(INDEX(Models!$BJ342:$BT342,,AH342)*(1-AF342)+INDEX(Models!$BJ342:$BT342,,AH342+1)*AF342-ERP_i)*AE342*Ramure*Pc/MaxiM</f>
        <v>6.1604838178513255E-2</v>
      </c>
      <c r="AE342" s="307">
        <f t="shared" si="136"/>
        <v>0.9</v>
      </c>
      <c r="AF342" s="179">
        <f t="shared" si="137"/>
        <v>0.89957068263810569</v>
      </c>
      <c r="AG342" s="839">
        <f t="shared" si="143"/>
        <v>-1</v>
      </c>
      <c r="AH342" s="178">
        <f t="shared" si="138"/>
        <v>5</v>
      </c>
      <c r="AI342" s="227">
        <f t="shared" si="139"/>
        <v>-0.10042931736189431</v>
      </c>
      <c r="AJ342" s="267" t="b">
        <f t="shared" si="140"/>
        <v>0</v>
      </c>
      <c r="AK342" s="267" t="b">
        <f t="shared" si="141"/>
        <v>0</v>
      </c>
      <c r="AL342" s="267"/>
      <c r="AM342" s="267"/>
      <c r="AN342" s="75"/>
    </row>
    <row r="343" spans="1:40" s="6" customFormat="1" ht="11.25" x14ac:dyDescent="0.2">
      <c r="A343" s="56">
        <f t="shared" si="142"/>
        <v>44525</v>
      </c>
      <c r="B343" s="620">
        <v>11.627000000000001</v>
      </c>
      <c r="C343" s="392"/>
      <c r="D343" s="395">
        <f t="shared" si="122"/>
        <v>11.959612143166462</v>
      </c>
      <c r="E343" s="387">
        <f t="shared" si="120"/>
        <v>13.162965588036107</v>
      </c>
      <c r="F343" s="387">
        <f t="shared" si="123"/>
        <v>13.620143373845158</v>
      </c>
      <c r="G343" s="110">
        <f t="shared" si="121"/>
        <v>0.65574342031547794</v>
      </c>
      <c r="H343" s="416" t="b">
        <f>Wh_hp&gt;='2020'!Maxi_hp</f>
        <v>0</v>
      </c>
      <c r="I343" s="382">
        <f>IF(H343,Wh_hp,'2020'!Maxi_hp)</f>
        <v>18.431846699348394</v>
      </c>
      <c r="J343" s="85">
        <f>IF(H343,An,'2020'!An_max)</f>
        <v>2020</v>
      </c>
      <c r="K343" s="199">
        <f t="shared" si="124"/>
        <v>44525</v>
      </c>
      <c r="L343" s="147">
        <f>IF(t&lt;Tvie,1-EXP((T0-t)*PertePVj)+'2020'!Pspv,1-EXP((T0-t)*PertePVj)+Pspv)</f>
        <v>2.7811281769410168E-2</v>
      </c>
      <c r="M343" s="872"/>
      <c r="N343" s="872"/>
      <c r="O343" s="48">
        <f>IF(t&lt;Tnet,'2020'!Resal+('2020'!Salim-'2020'!Resal)*(1-EXP(('2020'!Tnet-t)/('2020'!Tau_j))),Resal+(Salim-Resal)*(1-EXP((Tnet-t)/(Tau_j))))*Salcycl</f>
        <v>9.1419630084225045E-2</v>
      </c>
      <c r="P343" s="171">
        <f>(INDEX(Models!$BJ343:$BT343,,T343)*(1-R343)+INDEX(Models!$BJ343:$BT343,,T343+1)*R343-ERP_i)*Q343*Ramure*Pc/MaxiM</f>
        <v>6.2494233874626534E-2</v>
      </c>
      <c r="Q343" s="307">
        <f t="shared" si="125"/>
        <v>0.9</v>
      </c>
      <c r="R343" s="179">
        <f t="shared" si="126"/>
        <v>0.89959594698249157</v>
      </c>
      <c r="S343" s="839">
        <f t="shared" si="127"/>
        <v>-1</v>
      </c>
      <c r="T343" s="178">
        <f t="shared" si="128"/>
        <v>5</v>
      </c>
      <c r="U343" s="253">
        <f t="shared" si="129"/>
        <v>-0.10040405301750843</v>
      </c>
      <c r="V343" s="385">
        <f t="shared" si="130"/>
        <v>17.20028376098529</v>
      </c>
      <c r="W343" s="404"/>
      <c r="X343" s="157">
        <f t="shared" si="131"/>
        <v>44525</v>
      </c>
      <c r="Y343" s="387">
        <f t="shared" si="132"/>
        <v>10.905200891197516</v>
      </c>
      <c r="Z343" s="387">
        <f t="shared" si="133"/>
        <v>11.217164617015184</v>
      </c>
      <c r="AA343" s="388">
        <f t="shared" si="134"/>
        <v>13.162965588036107</v>
      </c>
      <c r="AB343" s="199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0.14782390472778212</v>
      </c>
      <c r="AD343" s="233">
        <f>(INDEX(Models!$BJ343:$BT343,,AH343)*(1-AF343)+INDEX(Models!$BJ343:$BT343,,AH343+1)*AF343-ERP_i)*AE343*Ramure*Pc/MaxiM</f>
        <v>6.2494233874626534E-2</v>
      </c>
      <c r="AE343" s="307">
        <f t="shared" si="136"/>
        <v>0.9</v>
      </c>
      <c r="AF343" s="179">
        <f t="shared" si="137"/>
        <v>0.89959594698249157</v>
      </c>
      <c r="AG343" s="839">
        <f t="shared" si="143"/>
        <v>-1</v>
      </c>
      <c r="AH343" s="178">
        <f t="shared" si="138"/>
        <v>5</v>
      </c>
      <c r="AI343" s="227">
        <f t="shared" si="139"/>
        <v>-0.10040405301750843</v>
      </c>
      <c r="AJ343" s="267" t="b">
        <f t="shared" si="140"/>
        <v>0</v>
      </c>
      <c r="AK343" s="267" t="b">
        <f t="shared" si="141"/>
        <v>0</v>
      </c>
      <c r="AL343" s="267"/>
      <c r="AM343" s="267"/>
      <c r="AN343" s="75"/>
    </row>
    <row r="344" spans="1:40" s="6" customFormat="1" ht="11.25" x14ac:dyDescent="0.2">
      <c r="A344" s="56">
        <f t="shared" si="142"/>
        <v>44526</v>
      </c>
      <c r="B344" s="620">
        <v>6.7160000000000002</v>
      </c>
      <c r="C344" s="392"/>
      <c r="D344" s="395">
        <f t="shared" si="122"/>
        <v>6.9082845427297705</v>
      </c>
      <c r="E344" s="387">
        <f t="shared" si="120"/>
        <v>7.6047388138528911</v>
      </c>
      <c r="F344" s="387">
        <f t="shared" si="123"/>
        <v>7.6703478641384919</v>
      </c>
      <c r="G344" s="110">
        <f t="shared" si="121"/>
        <v>0.37266537740133776</v>
      </c>
      <c r="H344" s="416" t="b">
        <f>Wh_hp&gt;='2020'!Maxi_hp</f>
        <v>0</v>
      </c>
      <c r="I344" s="382">
        <f>IF(H344,Wh_hp,'2020'!Maxi_hp)</f>
        <v>20.271977727485368</v>
      </c>
      <c r="J344" s="85">
        <f>IF(H344,An,'2020'!An_max)</f>
        <v>2020</v>
      </c>
      <c r="K344" s="199">
        <f t="shared" si="124"/>
        <v>44526</v>
      </c>
      <c r="L344" s="147">
        <f>IF(t&lt;Tvie,1-EXP((T0-t)*PertePVj)+'2020'!Pspv,1-EXP((T0-t)*PertePVj)+Pspv)</f>
        <v>2.7833906021159649E-2</v>
      </c>
      <c r="M344" s="872"/>
      <c r="N344" s="872"/>
      <c r="O344" s="48">
        <f>IF(t&lt;Tnet,'2020'!Resal+('2020'!Salim-'2020'!Resal)*(1-EXP(('2020'!Tnet-t)/('2020'!Tau_j))),Resal+(Salim-Resal)*(1-EXP((Tnet-t)/(Tau_j))))*Salcycl</f>
        <v>9.1581616169966337E-2</v>
      </c>
      <c r="P344" s="171">
        <f>(INDEX(Models!$BJ344:$BT344,,T344)*(1-R344)+INDEX(Models!$BJ344:$BT344,,T344+1)*R344-ERP_i)*Q344*Ramure*Pc/MaxiM</f>
        <v>6.3374896312364745E-2</v>
      </c>
      <c r="Q344" s="307">
        <f t="shared" si="125"/>
        <v>0.9</v>
      </c>
      <c r="R344" s="179">
        <f t="shared" si="126"/>
        <v>0.89962019610983479</v>
      </c>
      <c r="S344" s="839">
        <f t="shared" si="127"/>
        <v>-1</v>
      </c>
      <c r="T344" s="178">
        <f t="shared" si="128"/>
        <v>5</v>
      </c>
      <c r="U344" s="253">
        <f t="shared" si="129"/>
        <v>-0.10037980389016521</v>
      </c>
      <c r="V344" s="385">
        <f t="shared" si="130"/>
        <v>17.02504202099977</v>
      </c>
      <c r="W344" s="404"/>
      <c r="X344" s="157">
        <f t="shared" si="131"/>
        <v>44526</v>
      </c>
      <c r="Y344" s="387">
        <f t="shared" si="132"/>
        <v>6.3004040261042551</v>
      </c>
      <c r="Z344" s="387">
        <f t="shared" si="133"/>
        <v>6.4807897180596248</v>
      </c>
      <c r="AA344" s="388">
        <f t="shared" si="134"/>
        <v>7.6047388138528911</v>
      </c>
      <c r="AB344" s="199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0.1477958840277151</v>
      </c>
      <c r="AD344" s="233">
        <f>(INDEX(Models!$BJ344:$BT344,,AH344)*(1-AF344)+INDEX(Models!$BJ344:$BT344,,AH344+1)*AF344-ERP_i)*AE344*Ramure*Pc/MaxiM</f>
        <v>6.3374896312364745E-2</v>
      </c>
      <c r="AE344" s="307">
        <f t="shared" si="136"/>
        <v>0.9</v>
      </c>
      <c r="AF344" s="179">
        <f t="shared" si="137"/>
        <v>0.89962019610983479</v>
      </c>
      <c r="AG344" s="839">
        <f t="shared" si="143"/>
        <v>-1</v>
      </c>
      <c r="AH344" s="178">
        <f t="shared" si="138"/>
        <v>5</v>
      </c>
      <c r="AI344" s="227">
        <f t="shared" si="139"/>
        <v>-0.10037980389016521</v>
      </c>
      <c r="AJ344" s="267" t="b">
        <f t="shared" si="140"/>
        <v>0</v>
      </c>
      <c r="AK344" s="267" t="b">
        <f t="shared" si="141"/>
        <v>0</v>
      </c>
      <c r="AL344" s="267"/>
      <c r="AM344" s="267"/>
      <c r="AN344" s="75"/>
    </row>
    <row r="345" spans="1:40" s="6" customFormat="1" ht="11.25" x14ac:dyDescent="0.2">
      <c r="A345" s="56">
        <f t="shared" si="142"/>
        <v>44527</v>
      </c>
      <c r="B345" s="620">
        <v>9.4039999999999999</v>
      </c>
      <c r="C345" s="392"/>
      <c r="D345" s="395">
        <f t="shared" si="122"/>
        <v>9.6734692848853925</v>
      </c>
      <c r="E345" s="387">
        <f t="shared" si="120"/>
        <v>10.650609826395554</v>
      </c>
      <c r="F345" s="387">
        <f t="shared" si="123"/>
        <v>10.908993766873303</v>
      </c>
      <c r="G345" s="110">
        <f t="shared" si="121"/>
        <v>0.53485806404222946</v>
      </c>
      <c r="H345" s="416" t="b">
        <f>Wh_hp&gt;='2020'!Maxi_hp</f>
        <v>0</v>
      </c>
      <c r="I345" s="382">
        <f>IF(H345,Wh_hp,'2020'!Maxi_hp)</f>
        <v>18.707105113619761</v>
      </c>
      <c r="J345" s="85">
        <f>IF(H345,An,'2020'!An_max)</f>
        <v>2018</v>
      </c>
      <c r="K345" s="199">
        <f t="shared" si="124"/>
        <v>44527</v>
      </c>
      <c r="L345" s="147">
        <f>IF(t&lt;Tvie,1-EXP((T0-t)*PertePVj)+'2020'!Pspv,1-EXP((T0-t)*PertePVj)+Pspv)</f>
        <v>2.7856529746409842E-2</v>
      </c>
      <c r="M345" s="872"/>
      <c r="N345" s="872"/>
      <c r="O345" s="48">
        <f>IF(t&lt;Tnet,'2020'!Resal+('2020'!Salim-'2020'!Resal)*(1-EXP(('2020'!Tnet-t)/('2020'!Tau_j))),Resal+(Salim-Resal)*(1-EXP((Tnet-t)/(Tau_j))))*Salcycl</f>
        <v>9.1745032203555121E-2</v>
      </c>
      <c r="P345" s="171">
        <f>(INDEX(Models!$BJ345:$BT345,,T345)*(1-R345)+INDEX(Models!$BJ345:$BT345,,T345+1)*R345-ERP_i)*Q345*Ramure*Pc/MaxiM</f>
        <v>6.4251527308212389E-2</v>
      </c>
      <c r="Q345" s="307">
        <f t="shared" si="125"/>
        <v>0.9</v>
      </c>
      <c r="R345" s="179">
        <f t="shared" si="126"/>
        <v>0.89964347073822748</v>
      </c>
      <c r="S345" s="839">
        <f t="shared" si="127"/>
        <v>-1</v>
      </c>
      <c r="T345" s="178">
        <f t="shared" si="128"/>
        <v>5</v>
      </c>
      <c r="U345" s="253">
        <f t="shared" si="129"/>
        <v>-0.10035652926177252</v>
      </c>
      <c r="V345" s="385">
        <f t="shared" si="130"/>
        <v>16.851688314308866</v>
      </c>
      <c r="W345" s="404"/>
      <c r="X345" s="157">
        <f t="shared" si="131"/>
        <v>44527</v>
      </c>
      <c r="Y345" s="387">
        <f t="shared" si="132"/>
        <v>8.8239082342069324</v>
      </c>
      <c r="Z345" s="387">
        <f t="shared" si="133"/>
        <v>9.0767551335865644</v>
      </c>
      <c r="AA345" s="388">
        <f t="shared" si="134"/>
        <v>10.650609826395554</v>
      </c>
      <c r="AB345" s="199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0.14777132187384093</v>
      </c>
      <c r="AD345" s="233">
        <f>(INDEX(Models!$BJ345:$BT345,,AH345)*(1-AF345)+INDEX(Models!$BJ345:$BT345,,AH345+1)*AF345-ERP_i)*AE345*Ramure*Pc/MaxiM</f>
        <v>6.4251527308212389E-2</v>
      </c>
      <c r="AE345" s="307">
        <f t="shared" si="136"/>
        <v>0.9</v>
      </c>
      <c r="AF345" s="179">
        <f t="shared" si="137"/>
        <v>0.89964347073822748</v>
      </c>
      <c r="AG345" s="839">
        <f t="shared" si="143"/>
        <v>-1</v>
      </c>
      <c r="AH345" s="178">
        <f t="shared" si="138"/>
        <v>5</v>
      </c>
      <c r="AI345" s="227">
        <f t="shared" si="139"/>
        <v>-0.10035652926177252</v>
      </c>
      <c r="AJ345" s="267" t="b">
        <f t="shared" si="140"/>
        <v>0</v>
      </c>
      <c r="AK345" s="267" t="b">
        <f t="shared" si="141"/>
        <v>0</v>
      </c>
      <c r="AL345" s="267"/>
      <c r="AM345" s="267"/>
      <c r="AN345" s="75"/>
    </row>
    <row r="346" spans="1:40" s="6" customFormat="1" ht="11.25" x14ac:dyDescent="0.2">
      <c r="A346" s="56">
        <f t="shared" si="142"/>
        <v>44528</v>
      </c>
      <c r="B346" s="620">
        <v>5.681</v>
      </c>
      <c r="C346" s="392"/>
      <c r="D346" s="395">
        <f t="shared" si="122"/>
        <v>5.8439236409869872</v>
      </c>
      <c r="E346" s="387">
        <f t="shared" si="120"/>
        <v>6.4354007146721122</v>
      </c>
      <c r="F346" s="387">
        <f t="shared" si="123"/>
        <v>6.459801420546972</v>
      </c>
      <c r="G346" s="110">
        <f t="shared" si="121"/>
        <v>0.31962260922274882</v>
      </c>
      <c r="H346" s="416" t="b">
        <f>Wh_hp&gt;='2020'!Maxi_hp</f>
        <v>0</v>
      </c>
      <c r="I346" s="382">
        <f>IF(H346,Wh_hp,'2020'!Maxi_hp)</f>
        <v>15.033904025861062</v>
      </c>
      <c r="J346" s="85">
        <f>IF(H346,An,'2020'!An_max)</f>
        <v>2018</v>
      </c>
      <c r="K346" s="199">
        <f t="shared" si="124"/>
        <v>44528</v>
      </c>
      <c r="L346" s="147">
        <f>IF(t&lt;Tvie,1-EXP((T0-t)*PertePVj)+'2020'!Pspv,1-EXP((T0-t)*PertePVj)+Pspv)</f>
        <v>2.7879152945172847E-2</v>
      </c>
      <c r="M346" s="872"/>
      <c r="N346" s="872"/>
      <c r="O346" s="48">
        <f>IF(t&lt;Tnet,'2020'!Resal+('2020'!Salim-'2020'!Resal)*(1-EXP(('2020'!Tnet-t)/('2020'!Tau_j))),Resal+(Salim-Resal)*(1-EXP((Tnet-t)/(Tau_j))))*Salcycl</f>
        <v>9.1909905833309241E-2</v>
      </c>
      <c r="P346" s="171">
        <f>(INDEX(Models!$BJ346:$BT346,,T346)*(1-R346)+INDEX(Models!$BJ346:$BT346,,T346+1)*R346-ERP_i)*Q346*Ramure*Pc/MaxiM</f>
        <v>6.5129100042860807E-2</v>
      </c>
      <c r="Q346" s="307">
        <f t="shared" si="125"/>
        <v>0.9</v>
      </c>
      <c r="R346" s="179">
        <f t="shared" si="126"/>
        <v>0.89966580995873457</v>
      </c>
      <c r="S346" s="839">
        <f t="shared" si="127"/>
        <v>-1</v>
      </c>
      <c r="T346" s="178">
        <f t="shared" si="128"/>
        <v>5</v>
      </c>
      <c r="U346" s="253">
        <f t="shared" si="129"/>
        <v>-0.10033419004126543</v>
      </c>
      <c r="V346" s="385">
        <f t="shared" si="130"/>
        <v>16.679480177330991</v>
      </c>
      <c r="W346" s="404"/>
      <c r="X346" s="157">
        <f t="shared" si="131"/>
        <v>44528</v>
      </c>
      <c r="Y346" s="387">
        <f t="shared" si="132"/>
        <v>5.3316636005633304</v>
      </c>
      <c r="Z346" s="387">
        <f t="shared" si="133"/>
        <v>5.4845687310547175</v>
      </c>
      <c r="AA346" s="388">
        <f t="shared" si="134"/>
        <v>6.4354007146721122</v>
      </c>
      <c r="AB346" s="199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0.14775023744047311</v>
      </c>
      <c r="AD346" s="233">
        <f>(INDEX(Models!$BJ346:$BT346,,AH346)*(1-AF346)+INDEX(Models!$BJ346:$BT346,,AH346+1)*AF346-ERP_i)*AE346*Ramure*Pc/MaxiM</f>
        <v>6.5129100042860807E-2</v>
      </c>
      <c r="AE346" s="307">
        <f t="shared" si="136"/>
        <v>0.9</v>
      </c>
      <c r="AF346" s="179">
        <f t="shared" si="137"/>
        <v>0.89966580995873457</v>
      </c>
      <c r="AG346" s="839">
        <f t="shared" si="143"/>
        <v>-1</v>
      </c>
      <c r="AH346" s="178">
        <f t="shared" si="138"/>
        <v>5</v>
      </c>
      <c r="AI346" s="227">
        <f t="shared" si="139"/>
        <v>-0.10033419004126543</v>
      </c>
      <c r="AJ346" s="267" t="b">
        <f t="shared" si="140"/>
        <v>0</v>
      </c>
      <c r="AK346" s="267" t="b">
        <f t="shared" si="141"/>
        <v>0</v>
      </c>
      <c r="AL346" s="267"/>
      <c r="AM346" s="267"/>
      <c r="AN346" s="75"/>
    </row>
    <row r="347" spans="1:40" s="6" customFormat="1" ht="11.25" x14ac:dyDescent="0.2">
      <c r="A347" s="56">
        <f t="shared" si="142"/>
        <v>44529</v>
      </c>
      <c r="B347" s="620">
        <v>6.4290000000000003</v>
      </c>
      <c r="C347" s="392"/>
      <c r="D347" s="395">
        <f t="shared" si="122"/>
        <v>6.6135292080011725</v>
      </c>
      <c r="E347" s="387">
        <f t="shared" si="120"/>
        <v>7.2842342282665689</v>
      </c>
      <c r="F347" s="387">
        <f t="shared" si="123"/>
        <v>7.3461951224104594</v>
      </c>
      <c r="G347" s="110">
        <f t="shared" si="121"/>
        <v>0.36680739039377486</v>
      </c>
      <c r="H347" s="416" t="b">
        <f>Wh_hp&gt;='2020'!Maxi_hp</f>
        <v>0</v>
      </c>
      <c r="I347" s="382">
        <f>IF(H347,Wh_hp,'2020'!Maxi_hp)</f>
        <v>19.928845702990856</v>
      </c>
      <c r="J347" s="85">
        <f>IF(H347,An,'2020'!An_max)</f>
        <v>2018</v>
      </c>
      <c r="K347" s="199">
        <f t="shared" si="124"/>
        <v>44529</v>
      </c>
      <c r="L347" s="147">
        <f>IF(t&lt;Tvie,1-EXP((T0-t)*PertePVj)+'2020'!Pspv,1-EXP((T0-t)*PertePVj)+Pspv)</f>
        <v>2.7901775617460878E-2</v>
      </c>
      <c r="M347" s="872"/>
      <c r="N347" s="872"/>
      <c r="O347" s="48">
        <f>IF(t&lt;Tnet,'2020'!Resal+('2020'!Salim-'2020'!Resal)*(1-EXP(('2020'!Tnet-t)/('2020'!Tau_j))),Resal+(Salim-Resal)*(1-EXP((Tnet-t)/(Tau_j))))*Salcycl</f>
        <v>9.2076256645168969E-2</v>
      </c>
      <c r="P347" s="171">
        <f>(INDEX(Models!$BJ347:$BT347,,T347)*(1-R347)+INDEX(Models!$BJ347:$BT347,,T347+1)*R347-ERP_i)*Q347*Ramure*Pc/MaxiM</f>
        <v>6.6023138061897454E-2</v>
      </c>
      <c r="Q347" s="307">
        <f t="shared" si="125"/>
        <v>0.9</v>
      </c>
      <c r="R347" s="179">
        <f t="shared" si="126"/>
        <v>0.89968725129992699</v>
      </c>
      <c r="S347" s="839">
        <f t="shared" si="127"/>
        <v>-1</v>
      </c>
      <c r="T347" s="178">
        <f t="shared" si="128"/>
        <v>5</v>
      </c>
      <c r="U347" s="253">
        <f t="shared" si="129"/>
        <v>-0.10031274870007301</v>
      </c>
      <c r="V347" s="385">
        <f t="shared" si="130"/>
        <v>16.508971697863629</v>
      </c>
      <c r="W347" s="404"/>
      <c r="X347" s="157">
        <f t="shared" si="131"/>
        <v>44529</v>
      </c>
      <c r="Y347" s="387">
        <f t="shared" si="132"/>
        <v>6.0348976628042115</v>
      </c>
      <c r="Z347" s="387">
        <f t="shared" si="133"/>
        <v>6.2081150972551971</v>
      </c>
      <c r="AA347" s="388">
        <f t="shared" si="134"/>
        <v>7.2842342282665689</v>
      </c>
      <c r="AB347" s="199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0.1477326369922973</v>
      </c>
      <c r="AD347" s="233">
        <f>(INDEX(Models!$BJ347:$BT347,,AH347)*(1-AF347)+INDEX(Models!$BJ347:$BT347,,AH347+1)*AF347-ERP_i)*AE347*Ramure*Pc/MaxiM</f>
        <v>6.6023138061897454E-2</v>
      </c>
      <c r="AE347" s="307">
        <f t="shared" si="136"/>
        <v>0.9</v>
      </c>
      <c r="AF347" s="179">
        <f t="shared" si="137"/>
        <v>0.89968725129992699</v>
      </c>
      <c r="AG347" s="839">
        <f t="shared" si="143"/>
        <v>-1</v>
      </c>
      <c r="AH347" s="178">
        <f t="shared" si="138"/>
        <v>5</v>
      </c>
      <c r="AI347" s="227">
        <f t="shared" si="139"/>
        <v>-0.10031274870007301</v>
      </c>
      <c r="AJ347" s="267" t="b">
        <f t="shared" si="140"/>
        <v>0</v>
      </c>
      <c r="AK347" s="267" t="b">
        <f t="shared" si="141"/>
        <v>0</v>
      </c>
      <c r="AL347" s="267"/>
      <c r="AM347" s="267"/>
      <c r="AN347" s="75"/>
    </row>
    <row r="348" spans="1:40" s="6" customFormat="1" ht="11.25" x14ac:dyDescent="0.2">
      <c r="A348" s="56">
        <f t="shared" si="142"/>
        <v>44530</v>
      </c>
      <c r="B348" s="620">
        <v>16.058</v>
      </c>
      <c r="C348" s="392"/>
      <c r="D348" s="395">
        <f t="shared" si="122"/>
        <v>16.519291259909288</v>
      </c>
      <c r="E348" s="387">
        <f t="shared" si="120"/>
        <v>18.19794417374824</v>
      </c>
      <c r="F348" s="387">
        <f t="shared" si="123"/>
        <v>19.468754862857971</v>
      </c>
      <c r="G348" s="110">
        <f t="shared" si="121"/>
        <v>0.98093748198706487</v>
      </c>
      <c r="H348" s="416" t="b">
        <f>Wh_hp&gt;='2020'!Maxi_hp</f>
        <v>1</v>
      </c>
      <c r="I348" s="382">
        <f>IF(H348,Wh_hp,'2020'!Maxi_hp)</f>
        <v>19.468754862857971</v>
      </c>
      <c r="J348" s="85">
        <f>IF(H348,An,'2020'!An_max)</f>
        <v>2021</v>
      </c>
      <c r="K348" s="199">
        <f t="shared" si="124"/>
        <v>44530</v>
      </c>
      <c r="L348" s="147">
        <f>IF(t&lt;Tvie,1-EXP((T0-t)*PertePVj)+'2020'!Pspv,1-EXP((T0-t)*PertePVj)+Pspv)</f>
        <v>2.7924397763286368E-2</v>
      </c>
      <c r="M348" s="872"/>
      <c r="N348" s="872"/>
      <c r="O348" s="48">
        <f>IF(t&lt;Tnet,'2020'!Resal+('2020'!Salim-'2020'!Resal)*(1-EXP(('2020'!Tnet-t)/('2020'!Tau_j))),Resal+(Salim-Resal)*(1-EXP((Tnet-t)/(Tau_j))))*Salcycl</f>
        <v>9.2244096245801321E-2</v>
      </c>
      <c r="P348" s="171">
        <f>(INDEX(Models!$BJ348:$BT348,,T348)*(1-R348)+INDEX(Models!$BJ348:$BT348,,T348+1)*R348-ERP_i)*Q348*Ramure*Pc/MaxiM</f>
        <v>6.6930553017900726E-2</v>
      </c>
      <c r="Q348" s="307">
        <f t="shared" si="125"/>
        <v>0.9</v>
      </c>
      <c r="R348" s="179">
        <f t="shared" si="126"/>
        <v>0.8997078307898928</v>
      </c>
      <c r="S348" s="839">
        <f t="shared" si="127"/>
        <v>-1</v>
      </c>
      <c r="T348" s="178">
        <f t="shared" si="128"/>
        <v>5</v>
      </c>
      <c r="U348" s="253">
        <f t="shared" si="129"/>
        <v>-0.1002921692101072</v>
      </c>
      <c r="V348" s="385">
        <f t="shared" si="130"/>
        <v>16.341049345161061</v>
      </c>
      <c r="W348" s="404"/>
      <c r="X348" s="157">
        <f t="shared" si="131"/>
        <v>44530</v>
      </c>
      <c r="Y348" s="387">
        <f t="shared" si="132"/>
        <v>15.076669888150382</v>
      </c>
      <c r="Z348" s="387">
        <f t="shared" si="133"/>
        <v>15.509770899978836</v>
      </c>
      <c r="AA348" s="388">
        <f t="shared" si="134"/>
        <v>18.19794417374824</v>
      </c>
      <c r="AB348" s="199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0.14771851414113449</v>
      </c>
      <c r="AD348" s="233">
        <f>(INDEX(Models!$BJ348:$BT348,,AH348)*(1-AF348)+INDEX(Models!$BJ348:$BT348,,AH348+1)*AF348-ERP_i)*AE348*Ramure*Pc/MaxiM</f>
        <v>6.6930553017900726E-2</v>
      </c>
      <c r="AE348" s="307">
        <f t="shared" si="136"/>
        <v>0.9</v>
      </c>
      <c r="AF348" s="179">
        <f t="shared" si="137"/>
        <v>0.8997078307898928</v>
      </c>
      <c r="AG348" s="839">
        <f t="shared" si="143"/>
        <v>-1</v>
      </c>
      <c r="AH348" s="178">
        <f t="shared" si="138"/>
        <v>5</v>
      </c>
      <c r="AI348" s="227">
        <f t="shared" si="139"/>
        <v>-0.1002921692101072</v>
      </c>
      <c r="AJ348" s="267" t="b">
        <f t="shared" si="140"/>
        <v>0</v>
      </c>
      <c r="AK348" s="267" t="b">
        <f t="shared" si="141"/>
        <v>0</v>
      </c>
      <c r="AL348" s="267"/>
      <c r="AM348" s="267"/>
      <c r="AN348" s="75"/>
    </row>
    <row r="349" spans="1:40" s="6" customFormat="1" ht="11.25" x14ac:dyDescent="0.2">
      <c r="A349" s="56">
        <f t="shared" si="142"/>
        <v>44531</v>
      </c>
      <c r="B349" s="620">
        <v>4.2450000000000001</v>
      </c>
      <c r="C349" s="392"/>
      <c r="D349" s="395">
        <f t="shared" si="122"/>
        <v>4.367045916884134</v>
      </c>
      <c r="E349" s="387">
        <f t="shared" si="120"/>
        <v>4.8117127924897476</v>
      </c>
      <c r="F349" s="387">
        <f t="shared" si="123"/>
        <v>4.8117127924897476</v>
      </c>
      <c r="G349" s="110">
        <f t="shared" si="121"/>
        <v>0.24461170582597871</v>
      </c>
      <c r="H349" s="416" t="b">
        <f>Wh_hp&gt;='2020'!Maxi_hp</f>
        <v>0</v>
      </c>
      <c r="I349" s="382">
        <f>IF(H349,Wh_hp,'2020'!Maxi_hp)</f>
        <v>18.687325201357915</v>
      </c>
      <c r="J349" s="85">
        <f>IF(H349,An,'2020'!An_max)</f>
        <v>2020</v>
      </c>
      <c r="K349" s="199">
        <f t="shared" si="124"/>
        <v>44531</v>
      </c>
      <c r="L349" s="147">
        <f>IF(t&lt;Tvie,1-EXP((T0-t)*PertePVj)+'2020'!Pspv,1-EXP((T0-t)*PertePVj)+Pspv)</f>
        <v>2.7947019382661531E-2</v>
      </c>
      <c r="M349" s="872"/>
      <c r="N349" s="872"/>
      <c r="O349" s="48">
        <f>IF(t&lt;Tnet,'2020'!Resal+('2020'!Salim-'2020'!Resal)*(1-EXP(('2020'!Tnet-t)/('2020'!Tau_j))),Resal+(Salim-Resal)*(1-EXP((Tnet-t)/(Tau_j))))*Salcycl</f>
        <v>9.2413428394907932E-2</v>
      </c>
      <c r="P349" s="171">
        <f>(INDEX(Models!$BJ349:$BT349,,T349)*(1-R349)+INDEX(Models!$BJ349:$BT349,,T349+1)*R349-ERP_i)*Q349*Ramure*Pc/MaxiM</f>
        <v>6.7847947499360045E-2</v>
      </c>
      <c r="Q349" s="307">
        <f t="shared" si="125"/>
        <v>0.9</v>
      </c>
      <c r="R349" s="179">
        <f t="shared" si="126"/>
        <v>0.89972758301582323</v>
      </c>
      <c r="S349" s="839">
        <f t="shared" si="127"/>
        <v>-1</v>
      </c>
      <c r="T349" s="178">
        <f t="shared" si="128"/>
        <v>5</v>
      </c>
      <c r="U349" s="253">
        <f t="shared" si="129"/>
        <v>-0.10027241698417677</v>
      </c>
      <c r="V349" s="385">
        <f t="shared" si="130"/>
        <v>16.176598946905219</v>
      </c>
      <c r="W349" s="404"/>
      <c r="X349" s="157">
        <f t="shared" si="131"/>
        <v>44531</v>
      </c>
      <c r="Y349" s="387">
        <f t="shared" si="132"/>
        <v>3.9863747318339104</v>
      </c>
      <c r="Z349" s="387">
        <f t="shared" si="133"/>
        <v>4.1009850402415458</v>
      </c>
      <c r="AA349" s="388">
        <f t="shared" si="134"/>
        <v>4.8117127924897476</v>
      </c>
      <c r="AB349" s="199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0.1477078501770773</v>
      </c>
      <c r="AD349" s="233">
        <f>(INDEX(Models!$BJ349:$BT349,,AH349)*(1-AF349)+INDEX(Models!$BJ349:$BT349,,AH349+1)*AF349-ERP_i)*AE349*Ramure*Pc/MaxiM</f>
        <v>6.7847947499360045E-2</v>
      </c>
      <c r="AE349" s="307">
        <f t="shared" si="136"/>
        <v>0.9</v>
      </c>
      <c r="AF349" s="179">
        <f t="shared" si="137"/>
        <v>0.89972758301582323</v>
      </c>
      <c r="AG349" s="839">
        <f t="shared" si="143"/>
        <v>-1</v>
      </c>
      <c r="AH349" s="178">
        <f t="shared" si="138"/>
        <v>5</v>
      </c>
      <c r="AI349" s="227">
        <f t="shared" si="139"/>
        <v>-0.10027241698417677</v>
      </c>
      <c r="AJ349" s="267" t="b">
        <f t="shared" si="140"/>
        <v>0</v>
      </c>
      <c r="AK349" s="267" t="b">
        <f t="shared" si="141"/>
        <v>0</v>
      </c>
      <c r="AL349" s="267"/>
      <c r="AM349" s="267"/>
      <c r="AN349" s="75"/>
    </row>
    <row r="350" spans="1:40" s="6" customFormat="1" ht="11.25" x14ac:dyDescent="0.2">
      <c r="A350" s="56">
        <f t="shared" si="142"/>
        <v>44532</v>
      </c>
      <c r="B350" s="620">
        <v>7.1390000000000002</v>
      </c>
      <c r="C350" s="392"/>
      <c r="D350" s="395">
        <f t="shared" si="122"/>
        <v>7.344420809544463</v>
      </c>
      <c r="E350" s="387">
        <f t="shared" si="120"/>
        <v>8.0937770839339294</v>
      </c>
      <c r="F350" s="387">
        <f t="shared" si="123"/>
        <v>8.2113391342416708</v>
      </c>
      <c r="G350" s="110">
        <f t="shared" si="121"/>
        <v>0.42110322960217828</v>
      </c>
      <c r="H350" s="416" t="b">
        <f>Wh_hp&gt;='2020'!Maxi_hp</f>
        <v>1</v>
      </c>
      <c r="I350" s="382">
        <f>IF(H350,Wh_hp,'2020'!Maxi_hp)</f>
        <v>8.2113391342416708</v>
      </c>
      <c r="J350" s="85">
        <f>IF(H350,An,'2020'!An_max)</f>
        <v>2021</v>
      </c>
      <c r="K350" s="199">
        <f t="shared" si="124"/>
        <v>44532</v>
      </c>
      <c r="L350" s="147">
        <f>IF(t&lt;Tvie,1-EXP((T0-t)*PertePVj)+'2020'!Pspv,1-EXP((T0-t)*PertePVj)+Pspv)</f>
        <v>2.7969640475598467E-2</v>
      </c>
      <c r="M350" s="872"/>
      <c r="N350" s="872"/>
      <c r="O350" s="48">
        <f>IF(t&lt;Tnet,'2020'!Resal+('2020'!Salim-'2020'!Resal)*(1-EXP(('2020'!Tnet-t)/('2020'!Tau_j))),Resal+(Salim-Resal)*(1-EXP((Tnet-t)/(Tau_j))))*Salcycl</f>
        <v>9.2584249185331841E-2</v>
      </c>
      <c r="P350" s="171">
        <f>(INDEX(Models!$BJ350:$BT350,,T350)*(1-R350)+INDEX(Models!$BJ350:$BT350,,T350+1)*R350-ERP_i)*Q350*Ramure*Pc/MaxiM</f>
        <v>6.8771601079729808E-2</v>
      </c>
      <c r="Q350" s="307">
        <f t="shared" si="125"/>
        <v>0.9</v>
      </c>
      <c r="R350" s="179">
        <f t="shared" si="126"/>
        <v>0.89974654118126418</v>
      </c>
      <c r="S350" s="839">
        <f t="shared" si="127"/>
        <v>-1</v>
      </c>
      <c r="T350" s="178">
        <f t="shared" si="128"/>
        <v>5</v>
      </c>
      <c r="U350" s="253">
        <f t="shared" si="129"/>
        <v>-0.10025345881873582</v>
      </c>
      <c r="V350" s="385">
        <f t="shared" si="130"/>
        <v>16.016505667243344</v>
      </c>
      <c r="W350" s="404"/>
      <c r="X350" s="157">
        <f t="shared" si="131"/>
        <v>44532</v>
      </c>
      <c r="Y350" s="387">
        <f t="shared" si="132"/>
        <v>6.7053776704119867</v>
      </c>
      <c r="Z350" s="387">
        <f t="shared" si="133"/>
        <v>6.8983212352470327</v>
      </c>
      <c r="AA350" s="388">
        <f t="shared" si="134"/>
        <v>8.0937770839339294</v>
      </c>
      <c r="AB350" s="199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0.14770061447082178</v>
      </c>
      <c r="AD350" s="233">
        <f>(INDEX(Models!$BJ350:$BT350,,AH350)*(1-AF350)+INDEX(Models!$BJ350:$BT350,,AH350+1)*AF350-ERP_i)*AE350*Ramure*Pc/MaxiM</f>
        <v>6.8771601079729808E-2</v>
      </c>
      <c r="AE350" s="307">
        <f t="shared" si="136"/>
        <v>0.9</v>
      </c>
      <c r="AF350" s="179">
        <f t="shared" si="137"/>
        <v>0.89974654118126418</v>
      </c>
      <c r="AG350" s="839">
        <f t="shared" si="143"/>
        <v>-1</v>
      </c>
      <c r="AH350" s="178">
        <f t="shared" si="138"/>
        <v>5</v>
      </c>
      <c r="AI350" s="227">
        <f t="shared" si="139"/>
        <v>-0.10025345881873582</v>
      </c>
      <c r="AJ350" s="267" t="b">
        <f t="shared" si="140"/>
        <v>0</v>
      </c>
      <c r="AK350" s="267" t="b">
        <f t="shared" si="141"/>
        <v>0</v>
      </c>
      <c r="AL350" s="267"/>
      <c r="AM350" s="267"/>
      <c r="AN350" s="75"/>
    </row>
    <row r="351" spans="1:40" s="6" customFormat="1" ht="11.25" x14ac:dyDescent="0.2">
      <c r="A351" s="56">
        <f t="shared" si="142"/>
        <v>44533</v>
      </c>
      <c r="B351" s="620">
        <v>11.233000000000001</v>
      </c>
      <c r="C351" s="392"/>
      <c r="D351" s="395">
        <f t="shared" si="122"/>
        <v>11.556492350609401</v>
      </c>
      <c r="E351" s="387">
        <f t="shared" si="120"/>
        <v>12.738027831255328</v>
      </c>
      <c r="F351" s="387">
        <f t="shared" si="123"/>
        <v>13.277660836257485</v>
      </c>
      <c r="G351" s="110">
        <f t="shared" si="121"/>
        <v>0.68673767154576049</v>
      </c>
      <c r="H351" s="416" t="b">
        <f>Wh_hp&gt;='2020'!Maxi_hp</f>
        <v>1</v>
      </c>
      <c r="I351" s="382">
        <f>IF(H351,Wh_hp,'2020'!Maxi_hp)</f>
        <v>13.277660836257485</v>
      </c>
      <c r="J351" s="85">
        <f>IF(H351,An,'2020'!An_max)</f>
        <v>2021</v>
      </c>
      <c r="K351" s="199">
        <f t="shared" si="124"/>
        <v>44533</v>
      </c>
      <c r="L351" s="147">
        <f>IF(t&lt;Tvie,1-EXP((T0-t)*PertePVj)+'2020'!Pspv,1-EXP((T0-t)*PertePVj)+Pspv)</f>
        <v>2.7992261042109612E-2</v>
      </c>
      <c r="M351" s="872"/>
      <c r="N351" s="872"/>
      <c r="O351" s="48">
        <f>IF(t&lt;Tnet,'2020'!Resal+('2020'!Salim-'2020'!Resal)*(1-EXP(('2020'!Tnet-t)/('2020'!Tau_j))),Resal+(Salim-Resal)*(1-EXP((Tnet-t)/(Tau_j))))*Salcycl</f>
        <v>9.2756547269177009E-2</v>
      </c>
      <c r="P351" s="171">
        <f>(INDEX(Models!$BJ351:$BT351,,T351)*(1-R351)+INDEX(Models!$BJ351:$BT351,,T351+1)*R351-ERP_i)*Q351*Ramure*Pc/MaxiM</f>
        <v>6.9697460388281618E-2</v>
      </c>
      <c r="Q351" s="307">
        <f t="shared" si="125"/>
        <v>0.9</v>
      </c>
      <c r="R351" s="179">
        <f t="shared" si="126"/>
        <v>0.89976473716112215</v>
      </c>
      <c r="S351" s="839">
        <f t="shared" si="127"/>
        <v>-1</v>
      </c>
      <c r="T351" s="178">
        <f t="shared" si="128"/>
        <v>5</v>
      </c>
      <c r="U351" s="253">
        <f t="shared" si="129"/>
        <v>-0.10023526283887785</v>
      </c>
      <c r="V351" s="385">
        <f t="shared" si="130"/>
        <v>15.861653967251874</v>
      </c>
      <c r="W351" s="404"/>
      <c r="X351" s="157">
        <f t="shared" si="131"/>
        <v>44533</v>
      </c>
      <c r="Y351" s="387">
        <f t="shared" si="132"/>
        <v>10.552759802864648</v>
      </c>
      <c r="Z351" s="387">
        <f t="shared" si="133"/>
        <v>10.856662328818986</v>
      </c>
      <c r="AA351" s="388">
        <f t="shared" si="134"/>
        <v>12.738027831255328</v>
      </c>
      <c r="AB351" s="199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0.14769676494347353</v>
      </c>
      <c r="AD351" s="233">
        <f>(INDEX(Models!$BJ351:$BT351,,AH351)*(1-AF351)+INDEX(Models!$BJ351:$BT351,,AH351+1)*AF351-ERP_i)*AE351*Ramure*Pc/MaxiM</f>
        <v>6.9697460388281618E-2</v>
      </c>
      <c r="AE351" s="307">
        <f t="shared" si="136"/>
        <v>0.9</v>
      </c>
      <c r="AF351" s="179">
        <f t="shared" si="137"/>
        <v>0.89976473716112215</v>
      </c>
      <c r="AG351" s="839">
        <f t="shared" si="143"/>
        <v>-1</v>
      </c>
      <c r="AH351" s="178">
        <f t="shared" si="138"/>
        <v>5</v>
      </c>
      <c r="AI351" s="227">
        <f t="shared" si="139"/>
        <v>-0.10023526283887785</v>
      </c>
      <c r="AJ351" s="267" t="b">
        <f t="shared" si="140"/>
        <v>0</v>
      </c>
      <c r="AK351" s="267" t="b">
        <f t="shared" si="141"/>
        <v>0</v>
      </c>
      <c r="AL351" s="267"/>
      <c r="AM351" s="267"/>
      <c r="AN351" s="75"/>
    </row>
    <row r="352" spans="1:40" s="6" customFormat="1" ht="11.25" x14ac:dyDescent="0.2">
      <c r="A352" s="56">
        <f t="shared" si="142"/>
        <v>44534</v>
      </c>
      <c r="B352" s="620">
        <v>5.8159999999999998</v>
      </c>
      <c r="C352" s="392"/>
      <c r="D352" s="395">
        <f t="shared" si="122"/>
        <v>5.9836307025724089</v>
      </c>
      <c r="E352" s="387">
        <f t="shared" si="120"/>
        <v>6.5966603556507861</v>
      </c>
      <c r="F352" s="387">
        <f t="shared" si="123"/>
        <v>6.6436582936747985</v>
      </c>
      <c r="G352" s="110">
        <f t="shared" si="121"/>
        <v>0.34645213679821069</v>
      </c>
      <c r="H352" s="416" t="b">
        <f>Wh_hp&gt;='2020'!Maxi_hp</f>
        <v>0</v>
      </c>
      <c r="I352" s="382">
        <f>IF(H352,Wh_hp,'2020'!Maxi_hp)</f>
        <v>12.105211915249489</v>
      </c>
      <c r="J352" s="85">
        <f>IF(H352,An,'2020'!An_max)</f>
        <v>2020</v>
      </c>
      <c r="K352" s="199">
        <f t="shared" si="124"/>
        <v>44534</v>
      </c>
      <c r="L352" s="147">
        <f>IF(t&lt;Tvie,1-EXP((T0-t)*PertePVj)+'2020'!Pspv,1-EXP((T0-t)*PertePVj)+Pspv)</f>
        <v>2.8014881082207066E-2</v>
      </c>
      <c r="M352" s="872"/>
      <c r="N352" s="872"/>
      <c r="O352" s="48">
        <f>IF(t&lt;Tnet,'2020'!Resal+('2020'!Salim-'2020'!Resal)*(1-EXP(('2020'!Tnet-t)/('2020'!Tau_j))),Resal+(Salim-Resal)*(1-EXP((Tnet-t)/(Tau_j))))*Salcycl</f>
        <v>9.2930304127792171E-2</v>
      </c>
      <c r="P352" s="171">
        <f>(INDEX(Models!$BJ352:$BT352,,T352)*(1-R352)+INDEX(Models!$BJ352:$BT352,,T352+1)*R352-ERP_i)*Q352*Ramure*Pc/MaxiM</f>
        <v>7.0605166324386598E-2</v>
      </c>
      <c r="Q352" s="307">
        <f t="shared" si="125"/>
        <v>0.9</v>
      </c>
      <c r="R352" s="179">
        <f t="shared" si="126"/>
        <v>0.89978220155451205</v>
      </c>
      <c r="S352" s="839">
        <f t="shared" si="127"/>
        <v>-1</v>
      </c>
      <c r="T352" s="178">
        <f t="shared" si="128"/>
        <v>5</v>
      </c>
      <c r="U352" s="253">
        <f t="shared" si="129"/>
        <v>-0.10021779844548795</v>
      </c>
      <c r="V352" s="385">
        <f t="shared" si="130"/>
        <v>15.713197552955647</v>
      </c>
      <c r="W352" s="404"/>
      <c r="X352" s="157">
        <f t="shared" si="131"/>
        <v>44534</v>
      </c>
      <c r="Y352" s="387">
        <f t="shared" si="132"/>
        <v>5.4648486667590115</v>
      </c>
      <c r="Z352" s="387">
        <f t="shared" si="133"/>
        <v>5.6223583678354743</v>
      </c>
      <c r="AA352" s="388">
        <f t="shared" si="134"/>
        <v>6.5966603556507861</v>
      </c>
      <c r="AB352" s="199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0.14769624859959821</v>
      </c>
      <c r="AD352" s="233">
        <f>(INDEX(Models!$BJ352:$BT352,,AH352)*(1-AF352)+INDEX(Models!$BJ352:$BT352,,AH352+1)*AF352-ERP_i)*AE352*Ramure*Pc/MaxiM</f>
        <v>7.0605166324386598E-2</v>
      </c>
      <c r="AE352" s="307">
        <f t="shared" si="136"/>
        <v>0.9</v>
      </c>
      <c r="AF352" s="179">
        <f t="shared" si="137"/>
        <v>0.89978220155451205</v>
      </c>
      <c r="AG352" s="839">
        <f t="shared" si="143"/>
        <v>-1</v>
      </c>
      <c r="AH352" s="178">
        <f t="shared" si="138"/>
        <v>5</v>
      </c>
      <c r="AI352" s="227">
        <f t="shared" si="139"/>
        <v>-0.10021779844548795</v>
      </c>
      <c r="AJ352" s="267" t="b">
        <f t="shared" si="140"/>
        <v>0</v>
      </c>
      <c r="AK352" s="267" t="b">
        <f t="shared" si="141"/>
        <v>0</v>
      </c>
      <c r="AL352" s="267"/>
      <c r="AM352" s="267"/>
      <c r="AN352" s="75"/>
    </row>
    <row r="353" spans="1:40" s="6" customFormat="1" ht="11.25" x14ac:dyDescent="0.2">
      <c r="A353" s="56">
        <f t="shared" si="142"/>
        <v>44535</v>
      </c>
      <c r="B353" s="620">
        <v>6.2350000000000003</v>
      </c>
      <c r="C353" s="392"/>
      <c r="D353" s="395">
        <f t="shared" si="122"/>
        <v>6.4148565441800827</v>
      </c>
      <c r="E353" s="387">
        <f t="shared" si="120"/>
        <v>7.0734319200849818</v>
      </c>
      <c r="F353" s="387">
        <f t="shared" si="123"/>
        <v>7.1467024594129818</v>
      </c>
      <c r="G353" s="110">
        <f t="shared" si="121"/>
        <v>0.37562441823776033</v>
      </c>
      <c r="H353" s="416" t="b">
        <f>Wh_hp&gt;='2020'!Maxi_hp</f>
        <v>0</v>
      </c>
      <c r="I353" s="382">
        <f>IF(H353,Wh_hp,'2020'!Maxi_hp)</f>
        <v>15.930713554791836</v>
      </c>
      <c r="J353" s="85">
        <f>IF(H353,An,'2020'!An_max)</f>
        <v>2018</v>
      </c>
      <c r="K353" s="199">
        <f t="shared" si="124"/>
        <v>44535</v>
      </c>
      <c r="L353" s="147">
        <f>IF(t&lt;Tvie,1-EXP((T0-t)*PertePVj)+'2020'!Pspv,1-EXP((T0-t)*PertePVj)+Pspv)</f>
        <v>2.8037500595903153E-2</v>
      </c>
      <c r="M353" s="872"/>
      <c r="N353" s="872"/>
      <c r="O353" s="48">
        <f>IF(t&lt;Tnet,'2020'!Resal+('2020'!Salim-'2020'!Resal)*(1-EXP(('2020'!Tnet-t)/('2020'!Tau_j))),Resal+(Salim-Resal)*(1-EXP((Tnet-t)/(Tau_j))))*Salcycl</f>
        <v>9.3105494383126389E-2</v>
      </c>
      <c r="P353" s="171">
        <f>(INDEX(Models!$BJ353:$BT353,,T353)*(1-R353)+INDEX(Models!$BJ353:$BT353,,T353+1)*R353-ERP_i)*Q353*Ramure*Pc/MaxiM</f>
        <v>7.1483971797427007E-2</v>
      </c>
      <c r="Q353" s="307">
        <f t="shared" si="125"/>
        <v>0.9</v>
      </c>
      <c r="R353" s="179">
        <f t="shared" si="126"/>
        <v>0.89979896373552626</v>
      </c>
      <c r="S353" s="839">
        <f t="shared" si="127"/>
        <v>-1</v>
      </c>
      <c r="T353" s="178">
        <f t="shared" si="128"/>
        <v>5</v>
      </c>
      <c r="U353" s="253">
        <f t="shared" si="129"/>
        <v>-0.10020103626447374</v>
      </c>
      <c r="V353" s="385">
        <f t="shared" si="130"/>
        <v>15.572113825526699</v>
      </c>
      <c r="W353" s="404"/>
      <c r="X353" s="157">
        <f t="shared" si="131"/>
        <v>44535</v>
      </c>
      <c r="Y353" s="387">
        <f t="shared" si="132"/>
        <v>5.8596635979997593</v>
      </c>
      <c r="Z353" s="387">
        <f t="shared" si="133"/>
        <v>6.0286930839330495</v>
      </c>
      <c r="AA353" s="388">
        <f t="shared" si="134"/>
        <v>7.0734319200849818</v>
      </c>
      <c r="AB353" s="199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0.14769900211881601</v>
      </c>
      <c r="AD353" s="233">
        <f>(INDEX(Models!$BJ353:$BT353,,AH353)*(1-AF353)+INDEX(Models!$BJ353:$BT353,,AH353+1)*AF353-ERP_i)*AE353*Ramure*Pc/MaxiM</f>
        <v>7.1483971797427007E-2</v>
      </c>
      <c r="AE353" s="307">
        <f t="shared" si="136"/>
        <v>0.9</v>
      </c>
      <c r="AF353" s="179">
        <f t="shared" si="137"/>
        <v>0.89979896373552626</v>
      </c>
      <c r="AG353" s="839">
        <f t="shared" si="143"/>
        <v>-1</v>
      </c>
      <c r="AH353" s="178">
        <f t="shared" si="138"/>
        <v>5</v>
      </c>
      <c r="AI353" s="227">
        <f t="shared" si="139"/>
        <v>-0.10020103626447374</v>
      </c>
      <c r="AJ353" s="267" t="b">
        <f t="shared" si="140"/>
        <v>0</v>
      </c>
      <c r="AK353" s="267" t="b">
        <f t="shared" si="141"/>
        <v>0</v>
      </c>
      <c r="AL353" s="267"/>
      <c r="AM353" s="267"/>
      <c r="AN353" s="75"/>
    </row>
    <row r="354" spans="1:40" s="6" customFormat="1" ht="11.25" x14ac:dyDescent="0.2">
      <c r="A354" s="56">
        <f t="shared" si="142"/>
        <v>44536</v>
      </c>
      <c r="B354" s="620">
        <v>8.8949999999999996</v>
      </c>
      <c r="C354" s="392"/>
      <c r="D354" s="395">
        <f t="shared" si="122"/>
        <v>9.1518006197930895</v>
      </c>
      <c r="E354" s="387">
        <f t="shared" si="120"/>
        <v>10.093327241004864</v>
      </c>
      <c r="F354" s="387">
        <f t="shared" si="123"/>
        <v>10.389759884847308</v>
      </c>
      <c r="G354" s="110">
        <f t="shared" si="121"/>
        <v>0.55015392699488208</v>
      </c>
      <c r="H354" s="416" t="b">
        <f>Wh_hp&gt;='2020'!Maxi_hp</f>
        <v>0</v>
      </c>
      <c r="I354" s="382">
        <f>IF(H354,Wh_hp,'2020'!Maxi_hp)</f>
        <v>16.199835950430391</v>
      </c>
      <c r="J354" s="85">
        <f>IF(H354,An,'2020'!An_max)</f>
        <v>2020</v>
      </c>
      <c r="K354" s="199">
        <f t="shared" si="124"/>
        <v>44536</v>
      </c>
      <c r="L354" s="147">
        <f>IF(t&lt;Tvie,1-EXP((T0-t)*PertePVj)+'2020'!Pspv,1-EXP((T0-t)*PertePVj)+Pspv)</f>
        <v>2.8060119583210086E-2</v>
      </c>
      <c r="M354" s="872"/>
      <c r="N354" s="872"/>
      <c r="O354" s="48">
        <f>IF(t&lt;Tnet,'2020'!Resal+('2020'!Salim-'2020'!Resal)*(1-EXP(('2020'!Tnet-t)/('2020'!Tau_j))),Resal+(Salim-Resal)*(1-EXP((Tnet-t)/(Tau_j))))*Salcycl</f>
        <v>9.3282086147643731E-2</v>
      </c>
      <c r="P354" s="171">
        <f>(INDEX(Models!$BJ354:$BT354,,T354)*(1-R354)+INDEX(Models!$BJ354:$BT354,,T354+1)*R354-ERP_i)*Q354*Ramure*Pc/MaxiM</f>
        <v>7.2328347542560789E-2</v>
      </c>
      <c r="Q354" s="307">
        <f t="shared" si="125"/>
        <v>0.9</v>
      </c>
      <c r="R354" s="179">
        <f t="shared" si="126"/>
        <v>0.89981505190200817</v>
      </c>
      <c r="S354" s="839">
        <f t="shared" si="127"/>
        <v>-1</v>
      </c>
      <c r="T354" s="178">
        <f t="shared" si="128"/>
        <v>5</v>
      </c>
      <c r="U354" s="253">
        <f t="shared" si="129"/>
        <v>-0.10018494809799183</v>
      </c>
      <c r="V354" s="385">
        <f t="shared" si="130"/>
        <v>15.439284772548119</v>
      </c>
      <c r="W354" s="404"/>
      <c r="X354" s="157">
        <f t="shared" si="131"/>
        <v>44536</v>
      </c>
      <c r="Y354" s="387">
        <f t="shared" si="132"/>
        <v>8.3611058430458272</v>
      </c>
      <c r="Z354" s="387">
        <f t="shared" si="133"/>
        <v>8.6024928202970692</v>
      </c>
      <c r="AA354" s="388">
        <f t="shared" si="134"/>
        <v>10.093327241004864</v>
      </c>
      <c r="AB354" s="199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0.147704952500814</v>
      </c>
      <c r="AD354" s="233">
        <f>(INDEX(Models!$BJ354:$BT354,,AH354)*(1-AF354)+INDEX(Models!$BJ354:$BT354,,AH354+1)*AF354-ERP_i)*AE354*Ramure*Pc/MaxiM</f>
        <v>7.2328347542560789E-2</v>
      </c>
      <c r="AE354" s="307">
        <f t="shared" si="136"/>
        <v>0.9</v>
      </c>
      <c r="AF354" s="179">
        <f t="shared" si="137"/>
        <v>0.89981505190200817</v>
      </c>
      <c r="AG354" s="839">
        <f t="shared" si="143"/>
        <v>-1</v>
      </c>
      <c r="AH354" s="178">
        <f t="shared" si="138"/>
        <v>5</v>
      </c>
      <c r="AI354" s="227">
        <f t="shared" si="139"/>
        <v>-0.10018494809799183</v>
      </c>
      <c r="AJ354" s="267" t="b">
        <f t="shared" si="140"/>
        <v>0</v>
      </c>
      <c r="AK354" s="267" t="b">
        <f t="shared" si="141"/>
        <v>0</v>
      </c>
      <c r="AL354" s="267"/>
      <c r="AM354" s="267"/>
      <c r="AN354" s="75"/>
    </row>
    <row r="355" spans="1:40" s="6" customFormat="1" ht="11.25" x14ac:dyDescent="0.2">
      <c r="A355" s="56">
        <f t="shared" si="142"/>
        <v>44537</v>
      </c>
      <c r="B355" s="620">
        <v>5.351</v>
      </c>
      <c r="C355" s="392"/>
      <c r="D355" s="395">
        <f t="shared" si="122"/>
        <v>5.5056126786263606</v>
      </c>
      <c r="E355" s="387">
        <f t="shared" si="120"/>
        <v>6.0732156662875774</v>
      </c>
      <c r="F355" s="387">
        <f t="shared" si="123"/>
        <v>6.1047113353287532</v>
      </c>
      <c r="G355" s="110">
        <f t="shared" si="121"/>
        <v>0.32551068799995669</v>
      </c>
      <c r="H355" s="416" t="b">
        <f>Wh_hp&gt;='2020'!Maxi_hp</f>
        <v>0</v>
      </c>
      <c r="I355" s="382">
        <f>IF(H355,Wh_hp,'2020'!Maxi_hp)</f>
        <v>16.577783659150011</v>
      </c>
      <c r="J355" s="85">
        <f>IF(H355,An,'2020'!An_max)</f>
        <v>2018</v>
      </c>
      <c r="K355" s="199">
        <f t="shared" si="124"/>
        <v>44537</v>
      </c>
      <c r="L355" s="147">
        <f>IF(t&lt;Tvie,1-EXP((T0-t)*PertePVj)+'2020'!Pspv,1-EXP((T0-t)*PertePVj)+Pspv)</f>
        <v>2.8082738044140187E-2</v>
      </c>
      <c r="M355" s="872"/>
      <c r="N355" s="872"/>
      <c r="O355" s="48">
        <f>IF(t&lt;Tnet,'2020'!Resal+('2020'!Salim-'2020'!Resal)*(1-EXP(('2020'!Tnet-t)/('2020'!Tau_j))),Resal+(Salim-Resal)*(1-EXP((Tnet-t)/(Tau_j))))*Salcycl</f>
        <v>9.3460041409690345E-2</v>
      </c>
      <c r="P355" s="171">
        <f>(INDEX(Models!$BJ355:$BT355,,T355)*(1-R355)+INDEX(Models!$BJ355:$BT355,,T355+1)*R355-ERP_i)*Q355*Ramure*Pc/MaxiM</f>
        <v>7.3132510923500246E-2</v>
      </c>
      <c r="Q355" s="307">
        <f t="shared" si="125"/>
        <v>0.9</v>
      </c>
      <c r="R355" s="179">
        <f t="shared" si="126"/>
        <v>0.89983049312240426</v>
      </c>
      <c r="S355" s="839">
        <f t="shared" si="127"/>
        <v>-1</v>
      </c>
      <c r="T355" s="178">
        <f t="shared" si="128"/>
        <v>5</v>
      </c>
      <c r="U355" s="253">
        <f t="shared" si="129"/>
        <v>-0.10016950687759574</v>
      </c>
      <c r="V355" s="385">
        <f t="shared" si="130"/>
        <v>15.315591571529168</v>
      </c>
      <c r="W355" s="404"/>
      <c r="X355" s="157">
        <f t="shared" si="131"/>
        <v>44537</v>
      </c>
      <c r="Y355" s="387">
        <f t="shared" si="132"/>
        <v>5.0307570535195243</v>
      </c>
      <c r="Z355" s="387">
        <f t="shared" si="133"/>
        <v>5.1761165795077719</v>
      </c>
      <c r="AA355" s="388">
        <f t="shared" si="134"/>
        <v>6.0732156662875774</v>
      </c>
      <c r="AB355" s="199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0.14771401775826973</v>
      </c>
      <c r="AD355" s="233">
        <f>(INDEX(Models!$BJ355:$BT355,,AH355)*(1-AF355)+INDEX(Models!$BJ355:$BT355,,AH355+1)*AF355-ERP_i)*AE355*Ramure*Pc/MaxiM</f>
        <v>7.3132510923500246E-2</v>
      </c>
      <c r="AE355" s="307">
        <f t="shared" si="136"/>
        <v>0.9</v>
      </c>
      <c r="AF355" s="179">
        <f t="shared" si="137"/>
        <v>0.89983049312240426</v>
      </c>
      <c r="AG355" s="839">
        <f t="shared" si="143"/>
        <v>-1</v>
      </c>
      <c r="AH355" s="178">
        <f t="shared" si="138"/>
        <v>5</v>
      </c>
      <c r="AI355" s="227">
        <f t="shared" si="139"/>
        <v>-0.10016950687759574</v>
      </c>
      <c r="AJ355" s="267" t="b">
        <f t="shared" si="140"/>
        <v>0</v>
      </c>
      <c r="AK355" s="267" t="b">
        <f t="shared" si="141"/>
        <v>0</v>
      </c>
      <c r="AL355" s="267"/>
      <c r="AM355" s="267"/>
      <c r="AN355" s="75"/>
    </row>
    <row r="356" spans="1:40" s="6" customFormat="1" ht="11.25" x14ac:dyDescent="0.2">
      <c r="A356" s="56">
        <f t="shared" si="142"/>
        <v>44538</v>
      </c>
      <c r="B356" s="620">
        <v>8.3759999999999994</v>
      </c>
      <c r="C356" s="392"/>
      <c r="D356" s="395">
        <f t="shared" si="122"/>
        <v>8.6182180872441148</v>
      </c>
      <c r="E356" s="387">
        <f t="shared" si="120"/>
        <v>9.5085965705148929</v>
      </c>
      <c r="F356" s="387">
        <f t="shared" si="123"/>
        <v>9.7673657331298589</v>
      </c>
      <c r="G356" s="110">
        <f t="shared" si="121"/>
        <v>0.52415745184726548</v>
      </c>
      <c r="H356" s="416" t="b">
        <f>Wh_hp&gt;='2020'!Maxi_hp</f>
        <v>0</v>
      </c>
      <c r="I356" s="382">
        <f>IF(H356,Wh_hp,'2020'!Maxi_hp)</f>
        <v>15.165312115790208</v>
      </c>
      <c r="J356" s="85">
        <f>IF(H356,An,'2020'!An_max)</f>
        <v>2019</v>
      </c>
      <c r="K356" s="199">
        <f t="shared" si="124"/>
        <v>44538</v>
      </c>
      <c r="L356" s="147">
        <f>IF(t&lt;Tvie,1-EXP((T0-t)*PertePVj)+'2020'!Pspv,1-EXP((T0-t)*PertePVj)+Pspv)</f>
        <v>2.810535597870556E-2</v>
      </c>
      <c r="M356" s="872"/>
      <c r="N356" s="872"/>
      <c r="O356" s="48">
        <f>IF(t&lt;Tnet,'2020'!Resal+('2020'!Salim-'2020'!Resal)*(1-EXP(('2020'!Tnet-t)/('2020'!Tau_j))),Resal+(Salim-Resal)*(1-EXP((Tnet-t)/(Tau_j))))*Salcycl</f>
        <v>9.3639316450941104E-2</v>
      </c>
      <c r="P356" s="171">
        <f>(INDEX(Models!$BJ356:$BT356,,T356)*(1-R356)+INDEX(Models!$BJ356:$BT356,,T356+1)*R356-ERP_i)*Q356*Ramure*Pc/MaxiM</f>
        <v>7.3890466024630272E-2</v>
      </c>
      <c r="Q356" s="307">
        <f t="shared" si="125"/>
        <v>0.9</v>
      </c>
      <c r="R356" s="179">
        <f t="shared" si="126"/>
        <v>0.89984531338077078</v>
      </c>
      <c r="S356" s="839">
        <f t="shared" si="127"/>
        <v>-1</v>
      </c>
      <c r="T356" s="178">
        <f t="shared" si="128"/>
        <v>5</v>
      </c>
      <c r="U356" s="253">
        <f t="shared" si="129"/>
        <v>-0.10015468661922922</v>
      </c>
      <c r="V356" s="385">
        <f t="shared" si="130"/>
        <v>15.201914572157751</v>
      </c>
      <c r="W356" s="404"/>
      <c r="X356" s="157">
        <f t="shared" si="131"/>
        <v>44538</v>
      </c>
      <c r="Y356" s="387">
        <f t="shared" si="132"/>
        <v>7.8761648115131475</v>
      </c>
      <c r="Z356" s="387">
        <f t="shared" si="133"/>
        <v>8.1039286099209935</v>
      </c>
      <c r="AA356" s="388">
        <f t="shared" si="134"/>
        <v>9.5085965705148929</v>
      </c>
      <c r="AB356" s="199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0.14772610765185057</v>
      </c>
      <c r="AD356" s="233">
        <f>(INDEX(Models!$BJ356:$BT356,,AH356)*(1-AF356)+INDEX(Models!$BJ356:$BT356,,AH356+1)*AF356-ERP_i)*AE356*Ramure*Pc/MaxiM</f>
        <v>7.3890466024630272E-2</v>
      </c>
      <c r="AE356" s="307">
        <f t="shared" si="136"/>
        <v>0.9</v>
      </c>
      <c r="AF356" s="179">
        <f t="shared" si="137"/>
        <v>0.89984531338077078</v>
      </c>
      <c r="AG356" s="839">
        <f t="shared" si="143"/>
        <v>-1</v>
      </c>
      <c r="AH356" s="178">
        <f t="shared" si="138"/>
        <v>5</v>
      </c>
      <c r="AI356" s="227">
        <f t="shared" si="139"/>
        <v>-0.10015468661922922</v>
      </c>
      <c r="AJ356" s="267" t="b">
        <f t="shared" si="140"/>
        <v>0</v>
      </c>
      <c r="AK356" s="267" t="b">
        <f t="shared" si="141"/>
        <v>0</v>
      </c>
      <c r="AL356" s="267"/>
      <c r="AM356" s="267"/>
      <c r="AN356" s="75"/>
    </row>
    <row r="357" spans="1:40" s="6" customFormat="1" ht="11.25" x14ac:dyDescent="0.2">
      <c r="A357" s="56">
        <f t="shared" si="142"/>
        <v>44539</v>
      </c>
      <c r="B357" s="620">
        <v>7.0200000000000005</v>
      </c>
      <c r="C357" s="392"/>
      <c r="D357" s="395">
        <f t="shared" si="122"/>
        <v>7.2231732242199627</v>
      </c>
      <c r="E357" s="387">
        <f t="shared" si="120"/>
        <v>7.9710125212985368</v>
      </c>
      <c r="F357" s="387">
        <f t="shared" si="123"/>
        <v>8.1136142681814238</v>
      </c>
      <c r="G357" s="110">
        <f t="shared" si="121"/>
        <v>0.43794271468099283</v>
      </c>
      <c r="H357" s="416" t="b">
        <f>Wh_hp&gt;='2020'!Maxi_hp</f>
        <v>0</v>
      </c>
      <c r="I357" s="382">
        <f>IF(H357,Wh_hp,'2020'!Maxi_hp)</f>
        <v>9.1704580125425537</v>
      </c>
      <c r="J357" s="85">
        <f>IF(H357,An,'2020'!An_max)</f>
        <v>2020</v>
      </c>
      <c r="K357" s="199">
        <f t="shared" si="124"/>
        <v>44539</v>
      </c>
      <c r="L357" s="147">
        <f>IF(t&lt;Tvie,1-EXP((T0-t)*PertePVj)+'2020'!Pspv,1-EXP((T0-t)*PertePVj)+Pspv)</f>
        <v>2.8127973386918637E-2</v>
      </c>
      <c r="M357" s="872"/>
      <c r="N357" s="872"/>
      <c r="O357" s="48">
        <f>IF(t&lt;Tnet,'2020'!Resal+('2020'!Salim-'2020'!Resal)*(1-EXP(('2020'!Tnet-t)/('2020'!Tau_j))),Resal+(Salim-Resal)*(1-EXP((Tnet-t)/(Tau_j))))*Salcycl</f>
        <v>9.3819862292318271E-2</v>
      </c>
      <c r="P357" s="171">
        <f>(INDEX(Models!$BJ357:$BT357,,T357)*(1-R357)+INDEX(Models!$BJ357:$BT357,,T357+1)*R357-ERP_i)*Q357*Ramure*Pc/MaxiM</f>
        <v>7.4596053608978211E-2</v>
      </c>
      <c r="Q357" s="307">
        <f t="shared" si="125"/>
        <v>0.9</v>
      </c>
      <c r="R357" s="179">
        <f t="shared" si="126"/>
        <v>0.89985953762000259</v>
      </c>
      <c r="S357" s="839">
        <f t="shared" si="127"/>
        <v>-1</v>
      </c>
      <c r="T357" s="178">
        <f t="shared" si="128"/>
        <v>5</v>
      </c>
      <c r="U357" s="253">
        <f t="shared" si="129"/>
        <v>-0.10014046237999741</v>
      </c>
      <c r="V357" s="385">
        <f t="shared" si="130"/>
        <v>15.099133286218173</v>
      </c>
      <c r="W357" s="404"/>
      <c r="X357" s="157">
        <f t="shared" si="131"/>
        <v>44539</v>
      </c>
      <c r="Y357" s="387">
        <f t="shared" si="132"/>
        <v>6.6022825455180305</v>
      </c>
      <c r="Z357" s="387">
        <f t="shared" si="133"/>
        <v>6.7933661683077853</v>
      </c>
      <c r="AA357" s="388">
        <f t="shared" si="134"/>
        <v>7.9710125212985368</v>
      </c>
      <c r="AB357" s="199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0.1477411244611751</v>
      </c>
      <c r="AD357" s="233">
        <f>(INDEX(Models!$BJ357:$BT357,,AH357)*(1-AF357)+INDEX(Models!$BJ357:$BT357,,AH357+1)*AF357-ERP_i)*AE357*Ramure*Pc/MaxiM</f>
        <v>7.4596053608978211E-2</v>
      </c>
      <c r="AE357" s="307">
        <f t="shared" si="136"/>
        <v>0.9</v>
      </c>
      <c r="AF357" s="179">
        <f t="shared" si="137"/>
        <v>0.89985953762000259</v>
      </c>
      <c r="AG357" s="839">
        <f t="shared" si="143"/>
        <v>-1</v>
      </c>
      <c r="AH357" s="178">
        <f t="shared" si="138"/>
        <v>5</v>
      </c>
      <c r="AI357" s="227">
        <f t="shared" si="139"/>
        <v>-0.10014046237999741</v>
      </c>
      <c r="AJ357" s="267" t="b">
        <f t="shared" si="140"/>
        <v>0</v>
      </c>
      <c r="AK357" s="267" t="b">
        <f t="shared" si="141"/>
        <v>0</v>
      </c>
      <c r="AL357" s="267"/>
      <c r="AM357" s="267"/>
      <c r="AN357" s="75"/>
    </row>
    <row r="358" spans="1:40" s="6" customFormat="1" ht="11.25" x14ac:dyDescent="0.2">
      <c r="A358" s="56">
        <f t="shared" si="142"/>
        <v>44540</v>
      </c>
      <c r="B358" s="620">
        <v>2.39</v>
      </c>
      <c r="C358" s="392"/>
      <c r="D358" s="395">
        <f t="shared" si="122"/>
        <v>2.4592287406554276</v>
      </c>
      <c r="E358" s="387">
        <f t="shared" si="120"/>
        <v>2.7143853774595832</v>
      </c>
      <c r="F358" s="387">
        <f t="shared" si="123"/>
        <v>2.7143853774595832</v>
      </c>
      <c r="G358" s="110">
        <f t="shared" si="121"/>
        <v>0.14726483167021884</v>
      </c>
      <c r="H358" s="416" t="b">
        <f>Wh_hp&gt;='2020'!Maxi_hp</f>
        <v>0</v>
      </c>
      <c r="I358" s="382">
        <f>IF(H358,Wh_hp,'2020'!Maxi_hp)</f>
        <v>16.668106879337483</v>
      </c>
      <c r="J358" s="85">
        <f>IF(H358,An,'2020'!An_max)</f>
        <v>2019</v>
      </c>
      <c r="K358" s="199">
        <f t="shared" si="124"/>
        <v>44540</v>
      </c>
      <c r="L358" s="147">
        <f>IF(t&lt;Tvie,1-EXP((T0-t)*PertePVj)+'2020'!Pspv,1-EXP((T0-t)*PertePVj)+Pspv)</f>
        <v>2.8150590268791631E-2</v>
      </c>
      <c r="M358" s="872"/>
      <c r="N358" s="872"/>
      <c r="O358" s="48">
        <f>IF(t&lt;Tnet,'2020'!Resal+('2020'!Salim-'2020'!Resal)*(1-EXP(('2020'!Tnet-t)/('2020'!Tau_j))),Resal+(Salim-Resal)*(1-EXP((Tnet-t)/(Tau_j))))*Salcycl</f>
        <v>9.4001625164573638E-2</v>
      </c>
      <c r="P358" s="171">
        <f>(INDEX(Models!$BJ358:$BT358,,T358)*(1-R358)+INDEX(Models!$BJ358:$BT358,,T358+1)*R358-ERP_i)*Q358*Ramure*Pc/MaxiM</f>
        <v>7.5243011267159987E-2</v>
      </c>
      <c r="Q358" s="307">
        <f t="shared" si="125"/>
        <v>0.9</v>
      </c>
      <c r="R358" s="179">
        <f t="shared" si="126"/>
        <v>0.89987318978335873</v>
      </c>
      <c r="S358" s="839">
        <f t="shared" si="127"/>
        <v>-1</v>
      </c>
      <c r="T358" s="178">
        <f t="shared" si="128"/>
        <v>5</v>
      </c>
      <c r="U358" s="253">
        <f t="shared" si="129"/>
        <v>-0.10012681021664127</v>
      </c>
      <c r="V358" s="385">
        <f t="shared" si="130"/>
        <v>15.008126366659525</v>
      </c>
      <c r="W358" s="404"/>
      <c r="X358" s="157">
        <f t="shared" si="131"/>
        <v>44540</v>
      </c>
      <c r="Y358" s="387">
        <f t="shared" si="132"/>
        <v>2.2481895477162173</v>
      </c>
      <c r="Z358" s="387">
        <f t="shared" si="133"/>
        <v>2.3133106067719029</v>
      </c>
      <c r="AA358" s="388">
        <f t="shared" si="134"/>
        <v>2.7143853774595832</v>
      </c>
      <c r="AB358" s="199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0.14775896378540382</v>
      </c>
      <c r="AD358" s="233">
        <f>(INDEX(Models!$BJ358:$BT358,,AH358)*(1-AF358)+INDEX(Models!$BJ358:$BT358,,AH358+1)*AF358-ERP_i)*AE358*Ramure*Pc/MaxiM</f>
        <v>7.5243011267159987E-2</v>
      </c>
      <c r="AE358" s="307">
        <f t="shared" si="136"/>
        <v>0.9</v>
      </c>
      <c r="AF358" s="179">
        <f t="shared" si="137"/>
        <v>0.89987318978335873</v>
      </c>
      <c r="AG358" s="839">
        <f t="shared" si="143"/>
        <v>-1</v>
      </c>
      <c r="AH358" s="178">
        <f t="shared" si="138"/>
        <v>5</v>
      </c>
      <c r="AI358" s="227">
        <f t="shared" si="139"/>
        <v>-0.10012681021664127</v>
      </c>
      <c r="AJ358" s="267" t="b">
        <f t="shared" si="140"/>
        <v>0</v>
      </c>
      <c r="AK358" s="267" t="b">
        <f t="shared" si="141"/>
        <v>0</v>
      </c>
      <c r="AL358" s="267"/>
      <c r="AM358" s="267"/>
      <c r="AN358" s="75"/>
    </row>
    <row r="359" spans="1:40" s="6" customFormat="1" ht="11.25" x14ac:dyDescent="0.2">
      <c r="A359" s="56">
        <f t="shared" si="142"/>
        <v>44541</v>
      </c>
      <c r="B359" s="620">
        <v>9.0969999999999995</v>
      </c>
      <c r="C359" s="392"/>
      <c r="D359" s="395">
        <f t="shared" si="122"/>
        <v>9.3607215421601566</v>
      </c>
      <c r="E359" s="387">
        <f t="shared" si="120"/>
        <v>10.334027213991002</v>
      </c>
      <c r="F359" s="387">
        <f t="shared" si="123"/>
        <v>10.692458724547576</v>
      </c>
      <c r="G359" s="110">
        <f t="shared" si="121"/>
        <v>0.58273786494446633</v>
      </c>
      <c r="H359" s="416" t="b">
        <f>Wh_hp&gt;='2020'!Maxi_hp</f>
        <v>0</v>
      </c>
      <c r="I359" s="382">
        <f>IF(H359,Wh_hp,'2020'!Maxi_hp)</f>
        <v>15.154011286324524</v>
      </c>
      <c r="J359" s="85">
        <f>IF(H359,An,'2020'!An_max)</f>
        <v>2018</v>
      </c>
      <c r="K359" s="199">
        <f t="shared" si="124"/>
        <v>44541</v>
      </c>
      <c r="L359" s="147">
        <f>IF(t&lt;Tvie,1-EXP((T0-t)*PertePVj)+'2020'!Pspv,1-EXP((T0-t)*PertePVj)+Pspv)</f>
        <v>2.8173206624336644E-2</v>
      </c>
      <c r="M359" s="872"/>
      <c r="N359" s="872"/>
      <c r="O359" s="48">
        <f>IF(t&lt;Tnet,'2020'!Resal+('2020'!Salim-'2020'!Resal)*(1-EXP(('2020'!Tnet-t)/('2020'!Tau_j))),Resal+(Salim-Resal)*(1-EXP((Tnet-t)/(Tau_j))))*Salcycl</f>
        <v>9.4184546999557806E-2</v>
      </c>
      <c r="P359" s="171">
        <f>(INDEX(Models!$BJ359:$BT359,,T359)*(1-R359)+INDEX(Models!$BJ359:$BT359,,T359+1)*R359-ERP_i)*Q359*Ramure*Pc/MaxiM</f>
        <v>7.5836572910626482E-2</v>
      </c>
      <c r="Q359" s="307">
        <f t="shared" si="125"/>
        <v>0.9</v>
      </c>
      <c r="R359" s="179">
        <f t="shared" si="126"/>
        <v>0.89988629285434418</v>
      </c>
      <c r="S359" s="839">
        <f t="shared" si="127"/>
        <v>-1</v>
      </c>
      <c r="T359" s="178">
        <f t="shared" si="128"/>
        <v>5</v>
      </c>
      <c r="U359" s="253">
        <f t="shared" si="129"/>
        <v>-0.10011370714565582</v>
      </c>
      <c r="V359" s="385">
        <f t="shared" si="130"/>
        <v>14.927315619758328</v>
      </c>
      <c r="W359" s="404"/>
      <c r="X359" s="157">
        <f t="shared" si="131"/>
        <v>44541</v>
      </c>
      <c r="Y359" s="387">
        <f t="shared" si="132"/>
        <v>8.5587519212956131</v>
      </c>
      <c r="Z359" s="387">
        <f t="shared" si="133"/>
        <v>8.8068696805184654</v>
      </c>
      <c r="AA359" s="388">
        <f t="shared" si="134"/>
        <v>10.334027213991002</v>
      </c>
      <c r="AB359" s="199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0.1477795153669571</v>
      </c>
      <c r="AD359" s="233">
        <f>(INDEX(Models!$BJ359:$BT359,,AH359)*(1-AF359)+INDEX(Models!$BJ359:$BT359,,AH359+1)*AF359-ERP_i)*AE359*Ramure*Pc/MaxiM</f>
        <v>7.5836572910626482E-2</v>
      </c>
      <c r="AE359" s="307">
        <f t="shared" si="136"/>
        <v>0.9</v>
      </c>
      <c r="AF359" s="179">
        <f t="shared" si="137"/>
        <v>0.89988629285434418</v>
      </c>
      <c r="AG359" s="839">
        <f t="shared" si="143"/>
        <v>-1</v>
      </c>
      <c r="AH359" s="178">
        <f t="shared" si="138"/>
        <v>5</v>
      </c>
      <c r="AI359" s="227">
        <f t="shared" si="139"/>
        <v>-0.10011370714565582</v>
      </c>
      <c r="AJ359" s="267" t="b">
        <f t="shared" si="140"/>
        <v>0</v>
      </c>
      <c r="AK359" s="267" t="b">
        <f t="shared" si="141"/>
        <v>0</v>
      </c>
      <c r="AL359" s="267"/>
      <c r="AM359" s="267"/>
      <c r="AN359" s="75"/>
    </row>
    <row r="360" spans="1:40" s="6" customFormat="1" ht="11.25" x14ac:dyDescent="0.2">
      <c r="A360" s="56">
        <f t="shared" si="142"/>
        <v>44542</v>
      </c>
      <c r="B360" s="620">
        <v>14.519</v>
      </c>
      <c r="C360" s="392"/>
      <c r="D360" s="395">
        <f t="shared" si="122"/>
        <v>14.940252712904464</v>
      </c>
      <c r="E360" s="387">
        <f t="shared" si="120"/>
        <v>16.497056253772666</v>
      </c>
      <c r="F360" s="387">
        <f t="shared" si="123"/>
        <v>17.813849297428309</v>
      </c>
      <c r="G360" s="110">
        <f t="shared" si="121"/>
        <v>0.97480525839607413</v>
      </c>
      <c r="H360" s="416" t="b">
        <f>Wh_hp&gt;='2020'!Maxi_hp</f>
        <v>1</v>
      </c>
      <c r="I360" s="382">
        <f>IF(H360,Wh_hp,'2020'!Maxi_hp)</f>
        <v>17.813849297428309</v>
      </c>
      <c r="J360" s="85">
        <f>IF(H360,An,'2020'!An_max)</f>
        <v>2021</v>
      </c>
      <c r="K360" s="199">
        <f t="shared" si="124"/>
        <v>44542</v>
      </c>
      <c r="L360" s="147">
        <f>IF(t&lt;Tvie,1-EXP((T0-t)*PertePVj)+'2020'!Pspv,1-EXP((T0-t)*PertePVj)+Pspv)</f>
        <v>2.8195822453566111E-2</v>
      </c>
      <c r="M360" s="872"/>
      <c r="N360" s="872"/>
      <c r="O360" s="48">
        <f>IF(t&lt;Tnet,'2020'!Resal+('2020'!Salim-'2020'!Resal)*(1-EXP(('2020'!Tnet-t)/('2020'!Tau_j))),Resal+(Salim-Resal)*(1-EXP((Tnet-t)/(Tau_j))))*Salcycl</f>
        <v>9.4368565938070331E-2</v>
      </c>
      <c r="P360" s="171">
        <f>(INDEX(Models!$BJ360:$BT360,,T360)*(1-R360)+INDEX(Models!$BJ360:$BT360,,T360+1)*R360-ERP_i)*Q360*Ramure*Pc/MaxiM</f>
        <v>7.6384976492264181E-2</v>
      </c>
      <c r="Q360" s="307">
        <f t="shared" si="125"/>
        <v>0.9</v>
      </c>
      <c r="R360" s="179">
        <f t="shared" si="126"/>
        <v>0.89989886889501691</v>
      </c>
      <c r="S360" s="839">
        <f t="shared" si="127"/>
        <v>-1</v>
      </c>
      <c r="T360" s="178">
        <f t="shared" si="128"/>
        <v>5</v>
      </c>
      <c r="U360" s="253">
        <f t="shared" si="129"/>
        <v>-0.10010113110498309</v>
      </c>
      <c r="V360" s="385">
        <f t="shared" si="130"/>
        <v>14.854606409777714</v>
      </c>
      <c r="W360" s="404"/>
      <c r="X360" s="157">
        <f t="shared" si="131"/>
        <v>44542</v>
      </c>
      <c r="Y360" s="387">
        <f t="shared" si="132"/>
        <v>13.66234944703646</v>
      </c>
      <c r="Z360" s="387">
        <f t="shared" si="133"/>
        <v>14.058747392433038</v>
      </c>
      <c r="AA360" s="388">
        <f t="shared" si="134"/>
        <v>16.497056253772666</v>
      </c>
      <c r="AB360" s="199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0.14780266393175562</v>
      </c>
      <c r="AD360" s="233">
        <f>(INDEX(Models!$BJ360:$BT360,,AH360)*(1-AF360)+INDEX(Models!$BJ360:$BT360,,AH360+1)*AF360-ERP_i)*AE360*Ramure*Pc/MaxiM</f>
        <v>7.6384976492264181E-2</v>
      </c>
      <c r="AE360" s="307">
        <f t="shared" si="136"/>
        <v>0.9</v>
      </c>
      <c r="AF360" s="179">
        <f t="shared" si="137"/>
        <v>0.89989886889501691</v>
      </c>
      <c r="AG360" s="839">
        <f t="shared" si="143"/>
        <v>-1</v>
      </c>
      <c r="AH360" s="178">
        <f t="shared" si="138"/>
        <v>5</v>
      </c>
      <c r="AI360" s="227">
        <f t="shared" si="139"/>
        <v>-0.10010113110498309</v>
      </c>
      <c r="AJ360" s="267" t="b">
        <f t="shared" si="140"/>
        <v>0</v>
      </c>
      <c r="AK360" s="267" t="b">
        <f t="shared" si="141"/>
        <v>0</v>
      </c>
      <c r="AL360" s="267"/>
      <c r="AM360" s="267"/>
      <c r="AN360" s="75"/>
    </row>
    <row r="361" spans="1:40" s="6" customFormat="1" ht="11.25" x14ac:dyDescent="0.2">
      <c r="A361" s="56">
        <f t="shared" si="142"/>
        <v>44543</v>
      </c>
      <c r="B361" s="620">
        <v>14.739000000000001</v>
      </c>
      <c r="C361" s="392"/>
      <c r="D361" s="395">
        <f t="shared" si="122"/>
        <v>15.166988727356323</v>
      </c>
      <c r="E361" s="387">
        <f t="shared" ref="E361:E379" si="144">Wh_pvt/(1-Psa)</f>
        <v>16.750841363563346</v>
      </c>
      <c r="F361" s="387">
        <f t="shared" si="123"/>
        <v>18.138305430753984</v>
      </c>
      <c r="G361" s="110">
        <f t="shared" ref="G361:G379" si="145">+Wh_hp/MaxiM</f>
        <v>0.99612086987206949</v>
      </c>
      <c r="H361" s="416" t="b">
        <f>Wh_hp&gt;='2020'!Maxi_hp</f>
        <v>1</v>
      </c>
      <c r="I361" s="382">
        <f>IF(H361,Wh_hp,'2020'!Maxi_hp)</f>
        <v>18.138305430753984</v>
      </c>
      <c r="J361" s="85">
        <f>IF(H361,An,'2020'!An_max)</f>
        <v>2021</v>
      </c>
      <c r="K361" s="199">
        <f t="shared" si="124"/>
        <v>44543</v>
      </c>
      <c r="L361" s="147">
        <f>IF(t&lt;Tvie,1-EXP((T0-t)*PertePVj)+'2020'!Pspv,1-EXP((T0-t)*PertePVj)+Pspv)</f>
        <v>2.8218437756492132E-2</v>
      </c>
      <c r="M361" s="872"/>
      <c r="N361" s="872"/>
      <c r="O361" s="48">
        <f>IF(t&lt;Tnet,'2020'!Resal+('2020'!Salim-'2020'!Resal)*(1-EXP(('2020'!Tnet-t)/('2020'!Tau_j))),Resal+(Salim-Resal)*(1-EXP((Tnet-t)/(Tau_j))))*Salcycl</f>
        <v>9.4553616850090935E-2</v>
      </c>
      <c r="P361" s="171">
        <f>(INDEX(Models!$BJ361:$BT361,,T361)*(1-R361)+INDEX(Models!$BJ361:$BT361,,T361+1)*R361-ERP_i)*Q361*Ramure*Pc/MaxiM</f>
        <v>7.6874461621696422E-2</v>
      </c>
      <c r="Q361" s="307">
        <f t="shared" si="125"/>
        <v>0.9</v>
      </c>
      <c r="R361" s="179">
        <f t="shared" si="126"/>
        <v>0.89991093908277719</v>
      </c>
      <c r="S361" s="839">
        <f t="shared" si="127"/>
        <v>-1</v>
      </c>
      <c r="T361" s="178">
        <f t="shared" si="128"/>
        <v>5</v>
      </c>
      <c r="U361" s="253">
        <f t="shared" si="129"/>
        <v>-0.10008906091722281</v>
      </c>
      <c r="V361" s="385">
        <f t="shared" si="130"/>
        <v>14.790294806135762</v>
      </c>
      <c r="W361" s="404"/>
      <c r="X361" s="157">
        <f t="shared" si="131"/>
        <v>44543</v>
      </c>
      <c r="Y361" s="387">
        <f t="shared" si="132"/>
        <v>13.871786410384132</v>
      </c>
      <c r="Z361" s="387">
        <f t="shared" si="133"/>
        <v>14.274593128067762</v>
      </c>
      <c r="AA361" s="388">
        <f t="shared" si="134"/>
        <v>16.750841363563346</v>
      </c>
      <c r="AB361" s="199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0.14782829003932615</v>
      </c>
      <c r="AD361" s="233">
        <f>(INDEX(Models!$BJ361:$BT361,,AH361)*(1-AF361)+INDEX(Models!$BJ361:$BT361,,AH361+1)*AF361-ERP_i)*AE361*Ramure*Pc/MaxiM</f>
        <v>7.6874461621696422E-2</v>
      </c>
      <c r="AE361" s="307">
        <f t="shared" si="136"/>
        <v>0.9</v>
      </c>
      <c r="AF361" s="179">
        <f t="shared" si="137"/>
        <v>0.89991093908277719</v>
      </c>
      <c r="AG361" s="839">
        <f t="shared" si="143"/>
        <v>-1</v>
      </c>
      <c r="AH361" s="178">
        <f t="shared" si="138"/>
        <v>5</v>
      </c>
      <c r="AI361" s="227">
        <f t="shared" si="139"/>
        <v>-0.10008906091722281</v>
      </c>
      <c r="AJ361" s="267" t="b">
        <f t="shared" si="140"/>
        <v>0</v>
      </c>
      <c r="AK361" s="267" t="b">
        <f t="shared" si="141"/>
        <v>0</v>
      </c>
      <c r="AL361" s="267"/>
      <c r="AM361" s="267"/>
      <c r="AN361" s="75"/>
    </row>
    <row r="362" spans="1:40" s="6" customFormat="1" ht="11.25" x14ac:dyDescent="0.2">
      <c r="A362" s="56">
        <f t="shared" si="142"/>
        <v>44544</v>
      </c>
      <c r="B362" s="620">
        <v>14.703000000000001</v>
      </c>
      <c r="C362" s="392"/>
      <c r="D362" s="395">
        <f t="shared" si="122"/>
        <v>15.130295469187047</v>
      </c>
      <c r="E362" s="387">
        <f t="shared" si="144"/>
        <v>16.713749990322725</v>
      </c>
      <c r="F362" s="387">
        <f t="shared" si="123"/>
        <v>18.109392366943464</v>
      </c>
      <c r="G362" s="110">
        <f t="shared" si="145"/>
        <v>0.997608131632433</v>
      </c>
      <c r="H362" s="416" t="b">
        <f>Wh_hp&gt;='2020'!Maxi_hp</f>
        <v>1</v>
      </c>
      <c r="I362" s="382">
        <f>IF(H362,Wh_hp,'2020'!Maxi_hp)</f>
        <v>18.109392366943464</v>
      </c>
      <c r="J362" s="85">
        <f>IF(H362,An,'2020'!An_max)</f>
        <v>2021</v>
      </c>
      <c r="K362" s="199">
        <f t="shared" si="124"/>
        <v>44544</v>
      </c>
      <c r="L362" s="147">
        <f>IF(t&lt;Tvie,1-EXP((T0-t)*PertePVj)+'2020'!Pspv,1-EXP((T0-t)*PertePVj)+Pspv)</f>
        <v>2.8241052533127031E-2</v>
      </c>
      <c r="M362" s="872"/>
      <c r="N362" s="872"/>
      <c r="O362" s="48">
        <f>IF(t&lt;Tnet,'2020'!Resal+('2020'!Salim-'2020'!Resal)*(1-EXP(('2020'!Tnet-t)/('2020'!Tau_j))),Resal+(Salim-Resal)*(1-EXP((Tnet-t)/(Tau_j))))*Salcycl</f>
        <v>9.4739631863136622E-2</v>
      </c>
      <c r="P362" s="171">
        <f>(INDEX(Models!$BJ362:$BT362,,T362)*(1-R362)+INDEX(Models!$BJ362:$BT362,,T362+1)*R362-ERP_i)*Q362*Ramure*Pc/MaxiM</f>
        <v>7.7303289755415977E-2</v>
      </c>
      <c r="Q362" s="307">
        <f t="shared" si="125"/>
        <v>0.9</v>
      </c>
      <c r="R362" s="179">
        <f t="shared" si="126"/>
        <v>0.8999225237457017</v>
      </c>
      <c r="S362" s="839">
        <f t="shared" si="127"/>
        <v>-1</v>
      </c>
      <c r="T362" s="178">
        <f t="shared" si="128"/>
        <v>5</v>
      </c>
      <c r="U362" s="253">
        <f t="shared" si="129"/>
        <v>-0.1000774762542983</v>
      </c>
      <c r="V362" s="385">
        <f t="shared" si="130"/>
        <v>14.734483808298013</v>
      </c>
      <c r="W362" s="404"/>
      <c r="X362" s="157">
        <f t="shared" si="131"/>
        <v>44544</v>
      </c>
      <c r="Y362" s="387">
        <f t="shared" si="132"/>
        <v>13.840293565720195</v>
      </c>
      <c r="Z362" s="387">
        <f t="shared" si="133"/>
        <v>14.242517243394877</v>
      </c>
      <c r="AA362" s="388">
        <f t="shared" si="134"/>
        <v>16.713749990322725</v>
      </c>
      <c r="AB362" s="199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0.14785627093612705</v>
      </c>
      <c r="AD362" s="233">
        <f>(INDEX(Models!$BJ362:$BT362,,AH362)*(1-AF362)+INDEX(Models!$BJ362:$BT362,,AH362+1)*AF362-ERP_i)*AE362*Ramure*Pc/MaxiM</f>
        <v>7.7303289755415977E-2</v>
      </c>
      <c r="AE362" s="307">
        <f t="shared" si="136"/>
        <v>0.9</v>
      </c>
      <c r="AF362" s="179">
        <f t="shared" si="137"/>
        <v>0.8999225237457017</v>
      </c>
      <c r="AG362" s="839">
        <f t="shared" si="143"/>
        <v>-1</v>
      </c>
      <c r="AH362" s="178">
        <f t="shared" si="138"/>
        <v>5</v>
      </c>
      <c r="AI362" s="227">
        <f t="shared" si="139"/>
        <v>-0.1000774762542983</v>
      </c>
      <c r="AJ362" s="267" t="b">
        <f t="shared" si="140"/>
        <v>0</v>
      </c>
      <c r="AK362" s="267" t="b">
        <f t="shared" si="141"/>
        <v>0</v>
      </c>
      <c r="AL362" s="267"/>
      <c r="AM362" s="267"/>
      <c r="AN362" s="75"/>
    </row>
    <row r="363" spans="1:40" s="6" customFormat="1" ht="11.25" x14ac:dyDescent="0.2">
      <c r="A363" s="56">
        <f t="shared" si="142"/>
        <v>44545</v>
      </c>
      <c r="B363" s="620">
        <v>14.256</v>
      </c>
      <c r="C363" s="392"/>
      <c r="D363" s="395">
        <f t="shared" si="122"/>
        <v>14.670646257315108</v>
      </c>
      <c r="E363" s="387">
        <f t="shared" si="144"/>
        <v>16.209343130903324</v>
      </c>
      <c r="F363" s="387">
        <f t="shared" si="123"/>
        <v>17.512476970262838</v>
      </c>
      <c r="G363" s="110">
        <f t="shared" si="145"/>
        <v>0.9672193561654322</v>
      </c>
      <c r="H363" s="416" t="b">
        <f>Wh_hp&gt;='2020'!Maxi_hp</f>
        <v>0</v>
      </c>
      <c r="I363" s="382">
        <f>IF(H363,Wh_hp,'2020'!Maxi_hp)</f>
        <v>17.774835996132822</v>
      </c>
      <c r="J363" s="85">
        <f>IF(H363,An,'2020'!An_max)</f>
        <v>2019</v>
      </c>
      <c r="K363" s="199">
        <f t="shared" si="124"/>
        <v>44545</v>
      </c>
      <c r="L363" s="147">
        <f>IF(t&lt;Tvie,1-EXP((T0-t)*PertePVj)+'2020'!Pspv,1-EXP((T0-t)*PertePVj)+Pspv)</f>
        <v>2.8263666783483021E-2</v>
      </c>
      <c r="M363" s="872"/>
      <c r="N363" s="872"/>
      <c r="O363" s="48">
        <f>IF(t&lt;Tnet,'2020'!Resal+('2020'!Salim-'2020'!Resal)*(1-EXP(('2020'!Tnet-t)/('2020'!Tau_j))),Resal+(Salim-Resal)*(1-EXP((Tnet-t)/(Tau_j))))*Salcycl</f>
        <v>9.4926540894471556E-2</v>
      </c>
      <c r="P363" s="171">
        <f>(INDEX(Models!$BJ363:$BT363,,T363)*(1-R363)+INDEX(Models!$BJ363:$BT363,,T363+1)*R363-ERP_i)*Q363*Ramure*Pc/MaxiM</f>
        <v>7.7669870879765082E-2</v>
      </c>
      <c r="Q363" s="307">
        <f t="shared" si="125"/>
        <v>0.9</v>
      </c>
      <c r="R363" s="179">
        <f t="shared" si="126"/>
        <v>0.89993364239647577</v>
      </c>
      <c r="S363" s="839">
        <f t="shared" si="127"/>
        <v>-1</v>
      </c>
      <c r="T363" s="178">
        <f t="shared" si="128"/>
        <v>5</v>
      </c>
      <c r="U363" s="253">
        <f t="shared" si="129"/>
        <v>-0.10006635760352423</v>
      </c>
      <c r="V363" s="385">
        <f t="shared" si="130"/>
        <v>14.6872762872918</v>
      </c>
      <c r="W363" s="404"/>
      <c r="X363" s="157">
        <f t="shared" si="131"/>
        <v>44545</v>
      </c>
      <c r="Y363" s="387">
        <f t="shared" si="132"/>
        <v>13.421816979461999</v>
      </c>
      <c r="Z363" s="387">
        <f t="shared" si="133"/>
        <v>13.812200409379386</v>
      </c>
      <c r="AA363" s="388">
        <f t="shared" si="134"/>
        <v>16.209343130903324</v>
      </c>
      <c r="AB363" s="199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0.14788648140551439</v>
      </c>
      <c r="AD363" s="233">
        <f>(INDEX(Models!$BJ363:$BT363,,AH363)*(1-AF363)+INDEX(Models!$BJ363:$BT363,,AH363+1)*AF363-ERP_i)*AE363*Ramure*Pc/MaxiM</f>
        <v>7.7669870879765082E-2</v>
      </c>
      <c r="AE363" s="307">
        <f t="shared" si="136"/>
        <v>0.9</v>
      </c>
      <c r="AF363" s="179">
        <f t="shared" si="137"/>
        <v>0.89993364239647577</v>
      </c>
      <c r="AG363" s="839">
        <f t="shared" si="143"/>
        <v>-1</v>
      </c>
      <c r="AH363" s="178">
        <f t="shared" si="138"/>
        <v>5</v>
      </c>
      <c r="AI363" s="227">
        <f t="shared" si="139"/>
        <v>-0.10006635760352423</v>
      </c>
      <c r="AJ363" s="267" t="b">
        <f t="shared" si="140"/>
        <v>0</v>
      </c>
      <c r="AK363" s="267" t="b">
        <f t="shared" si="141"/>
        <v>0</v>
      </c>
      <c r="AL363" s="267"/>
      <c r="AM363" s="267"/>
      <c r="AN363" s="75"/>
    </row>
    <row r="364" spans="1:40" s="6" customFormat="1" ht="11.25" x14ac:dyDescent="0.2">
      <c r="A364" s="56">
        <f t="shared" si="142"/>
        <v>44546</v>
      </c>
      <c r="B364" s="620">
        <v>14.348000000000001</v>
      </c>
      <c r="C364" s="392"/>
      <c r="D364" s="395">
        <f t="shared" si="122"/>
        <v>14.765665763672294</v>
      </c>
      <c r="E364" s="387">
        <f t="shared" si="144"/>
        <v>16.317713176107389</v>
      </c>
      <c r="F364" s="387">
        <f t="shared" si="123"/>
        <v>17.653857308333976</v>
      </c>
      <c r="G364" s="110">
        <f t="shared" si="145"/>
        <v>0.97704399572990686</v>
      </c>
      <c r="H364" s="416" t="b">
        <f>Wh_hp&gt;='2020'!Maxi_hp</f>
        <v>1</v>
      </c>
      <c r="I364" s="382">
        <f>IF(H364,Wh_hp,'2020'!Maxi_hp)</f>
        <v>17.653857308333976</v>
      </c>
      <c r="J364" s="85">
        <f>IF(H364,An,'2020'!An_max)</f>
        <v>2021</v>
      </c>
      <c r="K364" s="199">
        <f t="shared" si="124"/>
        <v>44546</v>
      </c>
      <c r="L364" s="147">
        <f>IF(t&lt;Tvie,1-EXP((T0-t)*PertePVj)+'2020'!Pspv,1-EXP((T0-t)*PertePVj)+Pspv)</f>
        <v>2.8286280507572426E-2</v>
      </c>
      <c r="M364" s="872"/>
      <c r="N364" s="872"/>
      <c r="O364" s="48">
        <f>IF(t&lt;Tnet,'2020'!Resal+('2020'!Salim-'2020'!Resal)*(1-EXP(('2020'!Tnet-t)/('2020'!Tau_j))),Resal+(Salim-Resal)*(1-EXP((Tnet-t)/(Tau_j))))*Salcycl</f>
        <v>9.5114272182919929E-2</v>
      </c>
      <c r="P364" s="171">
        <f>(INDEX(Models!$BJ364:$BT364,,T364)*(1-R364)+INDEX(Models!$BJ364:$BT364,,T364+1)*R364-ERP_i)*Q364*Ramure*Pc/MaxiM</f>
        <v>7.797277765574126E-2</v>
      </c>
      <c r="Q364" s="307">
        <f t="shared" si="125"/>
        <v>0.9</v>
      </c>
      <c r="R364" s="179">
        <f t="shared" si="126"/>
        <v>0.89994431376498174</v>
      </c>
      <c r="S364" s="839">
        <f t="shared" si="127"/>
        <v>-1</v>
      </c>
      <c r="T364" s="178">
        <f t="shared" si="128"/>
        <v>5</v>
      </c>
      <c r="U364" s="253">
        <f t="shared" si="129"/>
        <v>-0.10005568623501826</v>
      </c>
      <c r="V364" s="385">
        <f t="shared" si="130"/>
        <v>14.648774993950845</v>
      </c>
      <c r="W364" s="404"/>
      <c r="X364" s="157">
        <f t="shared" si="131"/>
        <v>44546</v>
      </c>
      <c r="Y364" s="387">
        <f t="shared" si="132"/>
        <v>13.510723795432975</v>
      </c>
      <c r="Z364" s="387">
        <f t="shared" si="133"/>
        <v>13.904016712340205</v>
      </c>
      <c r="AA364" s="388">
        <f t="shared" si="134"/>
        <v>16.317713176107389</v>
      </c>
      <c r="AB364" s="199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0.14791879460789581</v>
      </c>
      <c r="AD364" s="233">
        <f>(INDEX(Models!$BJ364:$BT364,,AH364)*(1-AF364)+INDEX(Models!$BJ364:$BT364,,AH364+1)*AF364-ERP_i)*AE364*Ramure*Pc/MaxiM</f>
        <v>7.797277765574126E-2</v>
      </c>
      <c r="AE364" s="307">
        <f t="shared" si="136"/>
        <v>0.9</v>
      </c>
      <c r="AF364" s="179">
        <f t="shared" si="137"/>
        <v>0.89994431376498174</v>
      </c>
      <c r="AG364" s="839">
        <f t="shared" si="143"/>
        <v>-1</v>
      </c>
      <c r="AH364" s="178">
        <f t="shared" si="138"/>
        <v>5</v>
      </c>
      <c r="AI364" s="227">
        <f t="shared" si="139"/>
        <v>-0.10005568623501826</v>
      </c>
      <c r="AJ364" s="267" t="b">
        <f t="shared" si="140"/>
        <v>0</v>
      </c>
      <c r="AK364" s="267" t="b">
        <f t="shared" si="141"/>
        <v>0</v>
      </c>
      <c r="AL364" s="267"/>
      <c r="AM364" s="267"/>
      <c r="AN364" s="75"/>
    </row>
    <row r="365" spans="1:40" s="6" customFormat="1" ht="11.25" x14ac:dyDescent="0.2">
      <c r="A365" s="56">
        <f t="shared" si="142"/>
        <v>44547</v>
      </c>
      <c r="B365" s="620">
        <v>14.338000000000001</v>
      </c>
      <c r="C365" s="392"/>
      <c r="D365" s="395">
        <f t="shared" si="122"/>
        <v>14.75571805393583</v>
      </c>
      <c r="E365" s="387">
        <f t="shared" si="144"/>
        <v>16.310117113616247</v>
      </c>
      <c r="F365" s="387">
        <f t="shared" si="123"/>
        <v>17.652836359239622</v>
      </c>
      <c r="G365" s="110">
        <f t="shared" si="145"/>
        <v>0.97849251533284309</v>
      </c>
      <c r="H365" s="416" t="b">
        <f>Wh_hp&gt;='2020'!Maxi_hp</f>
        <v>1</v>
      </c>
      <c r="I365" s="382">
        <f>IF(H365,Wh_hp,'2020'!Maxi_hp)</f>
        <v>17.652836359239622</v>
      </c>
      <c r="J365" s="85">
        <f>IF(H365,An,'2020'!An_max)</f>
        <v>2021</v>
      </c>
      <c r="K365" s="199">
        <f t="shared" si="124"/>
        <v>44547</v>
      </c>
      <c r="L365" s="147">
        <f>IF(t&lt;Tvie,1-EXP((T0-t)*PertePVj)+'2020'!Pspv,1-EXP((T0-t)*PertePVj)+Pspv)</f>
        <v>2.8308893705407345E-2</v>
      </c>
      <c r="M365" s="872"/>
      <c r="N365" s="872"/>
      <c r="O365" s="48">
        <f>IF(t&lt;Tnet,'2020'!Resal+('2020'!Salim-'2020'!Resal)*(1-EXP(('2020'!Tnet-t)/('2020'!Tau_j))),Resal+(Salim-Resal)*(1-EXP((Tnet-t)/(Tau_j))))*Salcycl</f>
        <v>9.5302752816088146E-2</v>
      </c>
      <c r="P365" s="171">
        <f>(INDEX(Models!$BJ365:$BT365,,T365)*(1-R365)+INDEX(Models!$BJ365:$BT365,,T365+1)*R365-ERP_i)*Q365*Ramure*Pc/MaxiM</f>
        <v>7.8210758783720372E-2</v>
      </c>
      <c r="Q365" s="307">
        <f t="shared" si="125"/>
        <v>0.9</v>
      </c>
      <c r="R365" s="179">
        <f t="shared" si="126"/>
        <v>0.89995455582959327</v>
      </c>
      <c r="S365" s="839">
        <f t="shared" si="127"/>
        <v>-1</v>
      </c>
      <c r="T365" s="178">
        <f t="shared" si="128"/>
        <v>5</v>
      </c>
      <c r="U365" s="253">
        <f t="shared" si="129"/>
        <v>-0.10004544417040673</v>
      </c>
      <c r="V365" s="385">
        <f t="shared" si="130"/>
        <v>14.619082561964941</v>
      </c>
      <c r="W365" s="404"/>
      <c r="X365" s="157">
        <f t="shared" si="131"/>
        <v>44547</v>
      </c>
      <c r="Y365" s="387">
        <f t="shared" si="132"/>
        <v>13.503576732811215</v>
      </c>
      <c r="Z365" s="387">
        <f t="shared" si="133"/>
        <v>13.896985004118443</v>
      </c>
      <c r="AA365" s="388">
        <f t="shared" si="134"/>
        <v>16.310117113616247</v>
      </c>
      <c r="AB365" s="199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0.14795308290479645</v>
      </c>
      <c r="AD365" s="233">
        <f>(INDEX(Models!$BJ365:$BT365,,AH365)*(1-AF365)+INDEX(Models!$BJ365:$BT365,,AH365+1)*AF365-ERP_i)*AE365*Ramure*Pc/MaxiM</f>
        <v>7.8210758783720372E-2</v>
      </c>
      <c r="AE365" s="307">
        <f t="shared" si="136"/>
        <v>0.9</v>
      </c>
      <c r="AF365" s="179">
        <f t="shared" si="137"/>
        <v>0.89995455582959327</v>
      </c>
      <c r="AG365" s="839">
        <f t="shared" si="143"/>
        <v>-1</v>
      </c>
      <c r="AH365" s="178">
        <f t="shared" si="138"/>
        <v>5</v>
      </c>
      <c r="AI365" s="227">
        <f t="shared" si="139"/>
        <v>-0.10004544417040673</v>
      </c>
      <c r="AJ365" s="267" t="b">
        <f t="shared" si="140"/>
        <v>0</v>
      </c>
      <c r="AK365" s="267" t="b">
        <f t="shared" si="141"/>
        <v>0</v>
      </c>
      <c r="AL365" s="267"/>
      <c r="AM365" s="267"/>
      <c r="AN365" s="75"/>
    </row>
    <row r="366" spans="1:40" s="6" customFormat="1" ht="11.25" x14ac:dyDescent="0.2">
      <c r="A366" s="56">
        <f t="shared" si="142"/>
        <v>44548</v>
      </c>
      <c r="B366" s="620">
        <v>14.623000000000001</v>
      </c>
      <c r="C366" s="392"/>
      <c r="D366" s="395">
        <f t="shared" si="122"/>
        <v>15.049371360674805</v>
      </c>
      <c r="E366" s="387">
        <f t="shared" si="144"/>
        <v>16.63818324519119</v>
      </c>
      <c r="F366" s="387">
        <f t="shared" si="123"/>
        <v>18.053067103991125</v>
      </c>
      <c r="G366" s="110">
        <f t="shared" si="145"/>
        <v>1.0016819276599693</v>
      </c>
      <c r="H366" s="416" t="b">
        <f>Wh_hp&gt;='2020'!Maxi_hp</f>
        <v>1</v>
      </c>
      <c r="I366" s="382">
        <f>IF(H366,Wh_hp,'2020'!Maxi_hp)</f>
        <v>18.053067103991125</v>
      </c>
      <c r="J366" s="85">
        <f>IF(H366,An,'2020'!An_max)</f>
        <v>2021</v>
      </c>
      <c r="K366" s="199">
        <f t="shared" si="124"/>
        <v>44548</v>
      </c>
      <c r="L366" s="147">
        <f>IF(t&lt;Tvie,1-EXP((T0-t)*PertePVj)+'2020'!Pspv,1-EXP((T0-t)*PertePVj)+Pspv)</f>
        <v>2.8331506377000215E-2</v>
      </c>
      <c r="M366" s="872"/>
      <c r="N366" s="872"/>
      <c r="O366" s="48">
        <f>IF(t&lt;Tnet,'2020'!Resal+('2020'!Salim-'2020'!Resal)*(1-EXP(('2020'!Tnet-t)/('2020'!Tau_j))),Resal+(Salim-Resal)*(1-EXP((Tnet-t)/(Tau_j))))*Salcycl</f>
        <v>9.5491909248901191E-2</v>
      </c>
      <c r="P366" s="171">
        <f>(INDEX(Models!$BJ366:$BT366,,T366)*(1-R366)+INDEX(Models!$BJ366:$BT366,,T366+1)*R366-ERP_i)*Q366*Ramure*Pc/MaxiM</f>
        <v>7.8373599934558322E-2</v>
      </c>
      <c r="Q366" s="307">
        <f t="shared" si="125"/>
        <v>0.9</v>
      </c>
      <c r="R366" s="179">
        <f t="shared" si="126"/>
        <v>0.89996438584722793</v>
      </c>
      <c r="S366" s="839">
        <f t="shared" si="127"/>
        <v>-1</v>
      </c>
      <c r="T366" s="178">
        <f t="shared" si="128"/>
        <v>5</v>
      </c>
      <c r="U366" s="253">
        <f t="shared" si="129"/>
        <v>-0.10003561415277207</v>
      </c>
      <c r="V366" s="385">
        <f t="shared" si="130"/>
        <v>14.598446469091058</v>
      </c>
      <c r="W366" s="404"/>
      <c r="X366" s="157">
        <f t="shared" si="131"/>
        <v>44548</v>
      </c>
      <c r="Y366" s="387">
        <f t="shared" si="132"/>
        <v>13.774286579545484</v>
      </c>
      <c r="Z366" s="387">
        <f t="shared" si="133"/>
        <v>14.175911506800183</v>
      </c>
      <c r="AA366" s="388">
        <f t="shared" si="134"/>
        <v>16.63818324519119</v>
      </c>
      <c r="AB366" s="199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0.1479892186607969</v>
      </c>
      <c r="AD366" s="233">
        <f>(INDEX(Models!$BJ366:$BT366,,AH366)*(1-AF366)+INDEX(Models!$BJ366:$BT366,,AH366+1)*AF366-ERP_i)*AE366*Ramure*Pc/MaxiM</f>
        <v>7.8373599934558322E-2</v>
      </c>
      <c r="AE366" s="307">
        <f t="shared" si="136"/>
        <v>0.9</v>
      </c>
      <c r="AF366" s="179">
        <f t="shared" si="137"/>
        <v>0.89996438584722793</v>
      </c>
      <c r="AG366" s="839">
        <f t="shared" si="143"/>
        <v>-1</v>
      </c>
      <c r="AH366" s="178">
        <f t="shared" si="138"/>
        <v>5</v>
      </c>
      <c r="AI366" s="227">
        <f t="shared" si="139"/>
        <v>-0.10003561415277207</v>
      </c>
      <c r="AJ366" s="267" t="b">
        <f t="shared" si="140"/>
        <v>0</v>
      </c>
      <c r="AK366" s="267" t="b">
        <f t="shared" si="141"/>
        <v>0</v>
      </c>
      <c r="AL366" s="267"/>
      <c r="AM366" s="267"/>
      <c r="AN366" s="75"/>
    </row>
    <row r="367" spans="1:40" s="6" customFormat="1" ht="11.25" x14ac:dyDescent="0.2">
      <c r="A367" s="56">
        <f t="shared" si="142"/>
        <v>44549</v>
      </c>
      <c r="B367" s="620">
        <v>14.279</v>
      </c>
      <c r="C367" s="392"/>
      <c r="D367" s="395">
        <f t="shared" si="122"/>
        <v>14.69568314156297</v>
      </c>
      <c r="E367" s="387">
        <f t="shared" si="144"/>
        <v>16.250564229927669</v>
      </c>
      <c r="F367" s="387">
        <f t="shared" si="123"/>
        <v>17.589332525794376</v>
      </c>
      <c r="G367" s="110">
        <f t="shared" si="145"/>
        <v>0.97639970137067855</v>
      </c>
      <c r="H367" s="416" t="b">
        <f>Wh_hp&gt;='2020'!Maxi_hp</f>
        <v>1</v>
      </c>
      <c r="I367" s="382">
        <f>IF(H367,Wh_hp,'2020'!Maxi_hp)</f>
        <v>17.589332525794376</v>
      </c>
      <c r="J367" s="85">
        <f>IF(H367,An,'2020'!An_max)</f>
        <v>2021</v>
      </c>
      <c r="K367" s="199">
        <f t="shared" si="124"/>
        <v>44549</v>
      </c>
      <c r="L367" s="147">
        <f>IF(t&lt;Tvie,1-EXP((T0-t)*PertePVj)+'2020'!Pspv,1-EXP((T0-t)*PertePVj)+Pspv)</f>
        <v>2.8354118522363136E-2</v>
      </c>
      <c r="M367" s="872"/>
      <c r="N367" s="872"/>
      <c r="O367" s="48">
        <f>IF(t&lt;Tnet,'2020'!Resal+('2020'!Salim-'2020'!Resal)*(1-EXP(('2020'!Tnet-t)/('2020'!Tau_j))),Resal+(Salim-Resal)*(1-EXP((Tnet-t)/(Tau_j))))*Salcycl</f>
        <v>9.5681667809488696E-2</v>
      </c>
      <c r="P367" s="171">
        <f>(INDEX(Models!$BJ367:$BT367,,T367)*(1-R367)+INDEX(Models!$BJ367:$BT367,,T367+1)*R367-ERP_i)*Q367*Ramure*Pc/MaxiM</f>
        <v>7.8477435161866213E-2</v>
      </c>
      <c r="Q367" s="307">
        <f t="shared" si="125"/>
        <v>0.9</v>
      </c>
      <c r="R367" s="179">
        <f t="shared" si="126"/>
        <v>0.89997382038220475</v>
      </c>
      <c r="S367" s="839">
        <f t="shared" si="127"/>
        <v>-1</v>
      </c>
      <c r="T367" s="178">
        <f t="shared" si="128"/>
        <v>5</v>
      </c>
      <c r="U367" s="253">
        <f t="shared" si="129"/>
        <v>-0.10002617961779525</v>
      </c>
      <c r="V367" s="385">
        <f t="shared" si="130"/>
        <v>14.586699778412338</v>
      </c>
      <c r="W367" s="404"/>
      <c r="X367" s="157">
        <f t="shared" si="131"/>
        <v>44549</v>
      </c>
      <c r="Y367" s="387">
        <f t="shared" si="132"/>
        <v>13.452476813508902</v>
      </c>
      <c r="Z367" s="387">
        <f t="shared" si="133"/>
        <v>13.845040739586072</v>
      </c>
      <c r="AA367" s="388">
        <f t="shared" si="134"/>
        <v>16.250564229927669</v>
      </c>
      <c r="AB367" s="199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0.14802707501758558</v>
      </c>
      <c r="AD367" s="233">
        <f>(INDEX(Models!$BJ367:$BT367,,AH367)*(1-AF367)+INDEX(Models!$BJ367:$BT367,,AH367+1)*AF367-ERP_i)*AE367*Ramure*Pc/MaxiM</f>
        <v>7.8477435161866213E-2</v>
      </c>
      <c r="AE367" s="307">
        <f t="shared" si="136"/>
        <v>0.9</v>
      </c>
      <c r="AF367" s="179">
        <f t="shared" si="137"/>
        <v>0.89997382038220475</v>
      </c>
      <c r="AG367" s="839">
        <f t="shared" si="143"/>
        <v>-1</v>
      </c>
      <c r="AH367" s="178">
        <f t="shared" si="138"/>
        <v>5</v>
      </c>
      <c r="AI367" s="227">
        <f t="shared" si="139"/>
        <v>-0.10002617961779525</v>
      </c>
      <c r="AJ367" s="267" t="b">
        <f t="shared" si="140"/>
        <v>0</v>
      </c>
      <c r="AK367" s="267" t="b">
        <f t="shared" si="141"/>
        <v>0</v>
      </c>
      <c r="AL367" s="267"/>
      <c r="AM367" s="267"/>
      <c r="AN367" s="75"/>
    </row>
    <row r="368" spans="1:40" s="6" customFormat="1" ht="11.25" x14ac:dyDescent="0.2">
      <c r="A368" s="56">
        <f t="shared" si="142"/>
        <v>44550</v>
      </c>
      <c r="B368" s="620">
        <v>14.923</v>
      </c>
      <c r="C368" s="392"/>
      <c r="D368" s="395">
        <f t="shared" si="122"/>
        <v>15.358833472744434</v>
      </c>
      <c r="E368" s="387">
        <f t="shared" si="144"/>
        <v>16.987453890946014</v>
      </c>
      <c r="F368" s="387">
        <f t="shared" si="123"/>
        <v>18.435000096108368</v>
      </c>
      <c r="G368" s="110">
        <f t="shared" si="145"/>
        <v>1.0232485223540762</v>
      </c>
      <c r="H368" s="416" t="b">
        <f>Wh_hp&gt;='2020'!Maxi_hp</f>
        <v>1</v>
      </c>
      <c r="I368" s="382">
        <f>IF(H368,Wh_hp,'2020'!Maxi_hp)</f>
        <v>18.435000096108368</v>
      </c>
      <c r="J368" s="85">
        <f>IF(H368,An,'2020'!An_max)</f>
        <v>2021</v>
      </c>
      <c r="K368" s="199">
        <f t="shared" si="124"/>
        <v>44550</v>
      </c>
      <c r="L368" s="147">
        <f>IF(t&lt;Tvie,1-EXP((T0-t)*PertePVj)+'2020'!Pspv,1-EXP((T0-t)*PertePVj)+Pspv)</f>
        <v>2.8376730141508322E-2</v>
      </c>
      <c r="M368" s="872"/>
      <c r="N368" s="872"/>
      <c r="O368" s="48">
        <f>IF(t&lt;Tnet,'2020'!Resal+('2020'!Salim-'2020'!Resal)*(1-EXP(('2020'!Tnet-t)/('2020'!Tau_j))),Resal+(Salim-Resal)*(1-EXP((Tnet-t)/(Tau_j))))*Salcycl</f>
        <v>9.5871955188623209E-2</v>
      </c>
      <c r="P368" s="171">
        <f>(INDEX(Models!$BJ368:$BT368,,T368)*(1-R368)+INDEX(Models!$BJ368:$BT368,,T368+1)*R368-ERP_i)*Q368*Ramure*Pc/MaxiM</f>
        <v>7.8521627209968373E-2</v>
      </c>
      <c r="Q368" s="307">
        <f t="shared" si="125"/>
        <v>0.9</v>
      </c>
      <c r="R368" s="179">
        <f t="shared" si="126"/>
        <v>0.89998287533395638</v>
      </c>
      <c r="S368" s="839">
        <f t="shared" si="127"/>
        <v>-1</v>
      </c>
      <c r="T368" s="178">
        <f t="shared" si="128"/>
        <v>5</v>
      </c>
      <c r="U368" s="253">
        <f t="shared" si="129"/>
        <v>-0.10001712466604362</v>
      </c>
      <c r="V368" s="385">
        <f t="shared" si="130"/>
        <v>14.583944832549854</v>
      </c>
      <c r="W368" s="404"/>
      <c r="X368" s="157">
        <f t="shared" si="131"/>
        <v>44550</v>
      </c>
      <c r="Y368" s="387">
        <f t="shared" si="132"/>
        <v>14.061507433587806</v>
      </c>
      <c r="Z368" s="387">
        <f t="shared" si="133"/>
        <v>14.472180596946531</v>
      </c>
      <c r="AA368" s="388">
        <f t="shared" si="134"/>
        <v>16.987453890946014</v>
      </c>
      <c r="AB368" s="199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0.14806652663469921</v>
      </c>
      <c r="AD368" s="233">
        <f>(INDEX(Models!$BJ368:$BT368,,AH368)*(1-AF368)+INDEX(Models!$BJ368:$BT368,,AH368+1)*AF368-ERP_i)*AE368*Ramure*Pc/MaxiM</f>
        <v>7.8521627209968373E-2</v>
      </c>
      <c r="AE368" s="307">
        <f t="shared" si="136"/>
        <v>0.9</v>
      </c>
      <c r="AF368" s="179">
        <f t="shared" si="137"/>
        <v>0.89998287533395638</v>
      </c>
      <c r="AG368" s="839">
        <f t="shared" si="143"/>
        <v>-1</v>
      </c>
      <c r="AH368" s="178">
        <f t="shared" si="138"/>
        <v>5</v>
      </c>
      <c r="AI368" s="227">
        <f t="shared" si="139"/>
        <v>-0.10001712466604362</v>
      </c>
      <c r="AJ368" s="267" t="b">
        <f t="shared" si="140"/>
        <v>0</v>
      </c>
      <c r="AK368" s="267" t="b">
        <f t="shared" si="141"/>
        <v>0</v>
      </c>
      <c r="AL368" s="267"/>
      <c r="AM368" s="267"/>
      <c r="AN368" s="75"/>
    </row>
    <row r="369" spans="1:40" s="18" customFormat="1" ht="11.25" x14ac:dyDescent="0.2">
      <c r="A369" s="56">
        <f t="shared" si="142"/>
        <v>44551</v>
      </c>
      <c r="B369" s="620">
        <v>12.535</v>
      </c>
      <c r="C369" s="392"/>
      <c r="D369" s="395">
        <f t="shared" si="122"/>
        <v>12.901391005566113</v>
      </c>
      <c r="E369" s="387">
        <f t="shared" si="144"/>
        <v>14.272440123885236</v>
      </c>
      <c r="F369" s="387">
        <f t="shared" si="123"/>
        <v>15.227304712350294</v>
      </c>
      <c r="G369" s="110">
        <f t="shared" si="145"/>
        <v>0.84465244539307605</v>
      </c>
      <c r="H369" s="416" t="b">
        <f>Wh_hp&gt;='2020'!Maxi_hp</f>
        <v>0</v>
      </c>
      <c r="I369" s="382">
        <f>IF(H369,Wh_hp,'2020'!Maxi_hp)</f>
        <v>15.715179535002797</v>
      </c>
      <c r="J369" s="85">
        <f>IF(H369,An,'2020'!An_max)</f>
        <v>2019</v>
      </c>
      <c r="K369" s="199">
        <f t="shared" si="124"/>
        <v>44551</v>
      </c>
      <c r="L369" s="147">
        <f>IF(t&lt;Tvie,1-EXP((T0-t)*PertePVj)+'2020'!Pspv,1-EXP((T0-t)*PertePVj)+Pspv)</f>
        <v>2.8399341234448205E-2</v>
      </c>
      <c r="M369" s="872"/>
      <c r="N369" s="872"/>
      <c r="O369" s="48">
        <f>IF(t&lt;Tnet,'2020'!Resal+('2020'!Salim-'2020'!Resal)*(1-EXP(('2020'!Tnet-t)/('2020'!Tau_j))),Resal+(Salim-Resal)*(1-EXP((Tnet-t)/(Tau_j))))*Salcycl</f>
        <v>9.6062698909112398E-2</v>
      </c>
      <c r="P369" s="171">
        <f>(INDEX(Models!$BJ369:$BT369,,T369)*(1-R369)+INDEX(Models!$BJ369:$BT369,,T369+1)*R369-ERP_i)*Q369*Ramure*Pc/MaxiM</f>
        <v>7.8505731314010896E-2</v>
      </c>
      <c r="Q369" s="307">
        <f t="shared" si="125"/>
        <v>0.9</v>
      </c>
      <c r="R369" s="179">
        <f t="shared" si="126"/>
        <v>0.89999156596363872</v>
      </c>
      <c r="S369" s="839">
        <f t="shared" si="127"/>
        <v>-1</v>
      </c>
      <c r="T369" s="178">
        <f t="shared" si="128"/>
        <v>5</v>
      </c>
      <c r="U369" s="253">
        <f t="shared" si="129"/>
        <v>-0.10000843403636128</v>
      </c>
      <c r="V369" s="385">
        <f t="shared" si="130"/>
        <v>14.590283872158778</v>
      </c>
      <c r="W369" s="404"/>
      <c r="X369" s="157">
        <f t="shared" si="131"/>
        <v>44551</v>
      </c>
      <c r="Y369" s="387">
        <f t="shared" si="132"/>
        <v>11.813289590384809</v>
      </c>
      <c r="Z369" s="387">
        <f t="shared" si="133"/>
        <v>12.158585406265525</v>
      </c>
      <c r="AA369" s="388">
        <f t="shared" si="134"/>
        <v>14.272440123885236</v>
      </c>
      <c r="AB369" s="199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0.14810745039190112</v>
      </c>
      <c r="AD369" s="233">
        <f>(INDEX(Models!$BJ369:$BT369,,AH369)*(1-AF369)+INDEX(Models!$BJ369:$BT369,,AH369+1)*AF369-ERP_i)*AE369*Ramure*Pc/MaxiM</f>
        <v>7.8505731314010896E-2</v>
      </c>
      <c r="AE369" s="307">
        <f t="shared" si="136"/>
        <v>0.9</v>
      </c>
      <c r="AF369" s="179">
        <f t="shared" si="137"/>
        <v>0.89999156596363872</v>
      </c>
      <c r="AG369" s="839">
        <f t="shared" si="143"/>
        <v>-1</v>
      </c>
      <c r="AH369" s="178">
        <f t="shared" si="138"/>
        <v>5</v>
      </c>
      <c r="AI369" s="227">
        <f t="shared" si="139"/>
        <v>-0.10000843403636128</v>
      </c>
      <c r="AJ369" s="267" t="b">
        <f t="shared" si="140"/>
        <v>0</v>
      </c>
      <c r="AK369" s="267" t="b">
        <f t="shared" si="141"/>
        <v>0</v>
      </c>
      <c r="AL369" s="267"/>
      <c r="AM369" s="267"/>
      <c r="AN369" s="267"/>
    </row>
    <row r="370" spans="1:40" s="18" customFormat="1" ht="11.25" x14ac:dyDescent="0.2">
      <c r="A370" s="56">
        <f t="shared" si="142"/>
        <v>44552</v>
      </c>
      <c r="B370" s="620">
        <v>14.135</v>
      </c>
      <c r="C370" s="392"/>
      <c r="D370" s="395">
        <f t="shared" si="122"/>
        <v>14.548496671167774</v>
      </c>
      <c r="E370" s="387">
        <f t="shared" si="144"/>
        <v>16.097989809791237</v>
      </c>
      <c r="F370" s="387">
        <f t="shared" si="123"/>
        <v>17.399805301490186</v>
      </c>
      <c r="G370" s="110">
        <f t="shared" si="145"/>
        <v>0.96398705478744429</v>
      </c>
      <c r="H370" s="416" t="b">
        <f>Wh_hp&gt;='2020'!Maxi_hp</f>
        <v>1</v>
      </c>
      <c r="I370" s="382">
        <f>IF(H370,Wh_hp,'2020'!Maxi_hp)</f>
        <v>17.399805301490186</v>
      </c>
      <c r="J370" s="85">
        <f>IF(H370,An,'2020'!An_max)</f>
        <v>2021</v>
      </c>
      <c r="K370" s="199">
        <f t="shared" si="124"/>
        <v>44552</v>
      </c>
      <c r="L370" s="147">
        <f>IF(t&lt;Tvie,1-EXP((T0-t)*PertePVj)+'2020'!Pspv,1-EXP((T0-t)*PertePVj)+Pspv)</f>
        <v>2.8421951801194889E-2</v>
      </c>
      <c r="M370" s="872"/>
      <c r="N370" s="872"/>
      <c r="O370" s="48">
        <f>IF(t&lt;Tnet,'2020'!Resal+('2020'!Salim-'2020'!Resal)*(1-EXP(('2020'!Tnet-t)/('2020'!Tau_j))),Resal+(Salim-Resal)*(1-EXP((Tnet-t)/(Tau_j))))*Salcycl</f>
        <v>9.6253827771776809E-2</v>
      </c>
      <c r="P370" s="171">
        <f>(INDEX(Models!$BJ370:$BT370,,T370)*(1-R370)+INDEX(Models!$BJ370:$BT370,,T370+1)*R370-ERP_i)*Q370*Ramure*Pc/MaxiM</f>
        <v>7.842950142879225E-2</v>
      </c>
      <c r="Q370" s="307">
        <f t="shared" si="125"/>
        <v>0.9</v>
      </c>
      <c r="R370" s="179">
        <f t="shared" si="126"/>
        <v>0.89999990691968068</v>
      </c>
      <c r="S370" s="839">
        <f t="shared" si="127"/>
        <v>-1</v>
      </c>
      <c r="T370" s="178">
        <f t="shared" si="128"/>
        <v>5</v>
      </c>
      <c r="U370" s="253">
        <f t="shared" si="129"/>
        <v>-0.10000009308031932</v>
      </c>
      <c r="V370" s="385">
        <f t="shared" si="130"/>
        <v>14.60581902298293</v>
      </c>
      <c r="W370" s="404"/>
      <c r="X370" s="157">
        <f t="shared" si="131"/>
        <v>44552</v>
      </c>
      <c r="Y370" s="387">
        <f t="shared" si="132"/>
        <v>13.323324615158509</v>
      </c>
      <c r="Z370" s="387">
        <f t="shared" si="133"/>
        <v>13.713077029538114</v>
      </c>
      <c r="AA370" s="388">
        <f t="shared" si="134"/>
        <v>16.097989809791237</v>
      </c>
      <c r="AB370" s="199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0.14814972604856252</v>
      </c>
      <c r="AD370" s="233">
        <f>(INDEX(Models!$BJ370:$BT370,,AH370)*(1-AF370)+INDEX(Models!$BJ370:$BT370,,AH370+1)*AF370-ERP_i)*AE370*Ramure*Pc/MaxiM</f>
        <v>7.842950142879225E-2</v>
      </c>
      <c r="AE370" s="307">
        <f t="shared" si="136"/>
        <v>0.9</v>
      </c>
      <c r="AF370" s="179">
        <f t="shared" si="137"/>
        <v>0.89999990691968068</v>
      </c>
      <c r="AG370" s="839">
        <f t="shared" si="143"/>
        <v>-1</v>
      </c>
      <c r="AH370" s="178">
        <f t="shared" si="138"/>
        <v>5</v>
      </c>
      <c r="AI370" s="227">
        <f t="shared" si="139"/>
        <v>-0.10000009308031932</v>
      </c>
      <c r="AJ370" s="267" t="b">
        <f t="shared" si="140"/>
        <v>0</v>
      </c>
      <c r="AK370" s="267" t="b">
        <f t="shared" si="141"/>
        <v>0</v>
      </c>
      <c r="AL370" s="267"/>
      <c r="AM370" s="267"/>
      <c r="AN370" s="267"/>
    </row>
    <row r="371" spans="1:40" s="6" customFormat="1" ht="11.25" x14ac:dyDescent="0.2">
      <c r="A371" s="56">
        <f t="shared" si="142"/>
        <v>44553</v>
      </c>
      <c r="B371" s="620">
        <v>5.45</v>
      </c>
      <c r="C371" s="392"/>
      <c r="D371" s="395">
        <f t="shared" si="122"/>
        <v>5.6095615195479427</v>
      </c>
      <c r="E371" s="387">
        <f t="shared" si="144"/>
        <v>6.2083251267704362</v>
      </c>
      <c r="F371" s="387">
        <f t="shared" si="123"/>
        <v>6.2590831383422305</v>
      </c>
      <c r="G371" s="110">
        <f t="shared" si="145"/>
        <v>0.34614815023684997</v>
      </c>
      <c r="H371" s="416" t="b">
        <f>Wh_hp&gt;='2020'!Maxi_hp</f>
        <v>0</v>
      </c>
      <c r="I371" s="382">
        <f>IF(H371,Wh_hp,'2020'!Maxi_hp)</f>
        <v>16.064164889067985</v>
      </c>
      <c r="J371" s="85">
        <f>IF(H371,An,'2020'!An_max)</f>
        <v>2020</v>
      </c>
      <c r="K371" s="199">
        <f t="shared" si="124"/>
        <v>44553</v>
      </c>
      <c r="L371" s="147">
        <f>IF(t&lt;Tvie,1-EXP((T0-t)*PertePVj)+'2020'!Pspv,1-EXP((T0-t)*PertePVj)+Pspv)</f>
        <v>2.8444561841760696E-2</v>
      </c>
      <c r="M371" s="872"/>
      <c r="N371" s="872"/>
      <c r="O371" s="48">
        <f>IF(t&lt;Tnet,'2020'!Resal+('2020'!Salim-'2020'!Resal)*(1-EXP(('2020'!Tnet-t)/('2020'!Tau_j))),Resal+(Salim-Resal)*(1-EXP((Tnet-t)/(Tau_j))))*Salcycl</f>
        <v>9.6445272274902544E-2</v>
      </c>
      <c r="P371" s="171">
        <f>(INDEX(Models!$BJ371:$BT371,,T371)*(1-R371)+INDEX(Models!$BJ371:$BT371,,T371+1)*R371-ERP_i)*Q371*Ramure*Pc/MaxiM</f>
        <v>7.8292642152687886E-2</v>
      </c>
      <c r="Q371" s="307">
        <f t="shared" si="125"/>
        <v>0.9</v>
      </c>
      <c r="R371" s="179">
        <f t="shared" si="126"/>
        <v>0.89999990691968068</v>
      </c>
      <c r="S371" s="839">
        <f t="shared" si="127"/>
        <v>-1</v>
      </c>
      <c r="T371" s="178">
        <f t="shared" si="128"/>
        <v>5</v>
      </c>
      <c r="U371" s="253">
        <f t="shared" si="129"/>
        <v>-0.10000009308031932</v>
      </c>
      <c r="V371" s="385">
        <f t="shared" si="130"/>
        <v>14.630656336377983</v>
      </c>
      <c r="W371" s="404"/>
      <c r="X371" s="157">
        <f t="shared" si="131"/>
        <v>44553</v>
      </c>
      <c r="Y371" s="387">
        <f t="shared" si="132"/>
        <v>5.1378701440959746</v>
      </c>
      <c r="Z371" s="387">
        <f t="shared" si="133"/>
        <v>5.2882933307807383</v>
      </c>
      <c r="AA371" s="388">
        <f t="shared" si="134"/>
        <v>6.2083251267704362</v>
      </c>
      <c r="AB371" s="199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0.14819323685586314</v>
      </c>
      <c r="AD371" s="233">
        <f>(INDEX(Models!$BJ371:$BT371,,AH371)*(1-AF371)+INDEX(Models!$BJ371:$BT371,,AH371+1)*AF371-ERP_i)*AE371*Ramure*Pc/MaxiM</f>
        <v>7.8292642152687886E-2</v>
      </c>
      <c r="AE371" s="307">
        <f t="shared" si="136"/>
        <v>0.9</v>
      </c>
      <c r="AF371" s="179">
        <f t="shared" si="137"/>
        <v>0.89999990691968068</v>
      </c>
      <c r="AG371" s="839">
        <f t="shared" si="143"/>
        <v>-1</v>
      </c>
      <c r="AH371" s="178">
        <f t="shared" si="138"/>
        <v>5</v>
      </c>
      <c r="AI371" s="227">
        <f t="shared" si="139"/>
        <v>-0.10000009308031932</v>
      </c>
      <c r="AJ371" s="267" t="b">
        <f t="shared" si="140"/>
        <v>0</v>
      </c>
      <c r="AK371" s="267" t="b">
        <f t="shared" si="141"/>
        <v>0</v>
      </c>
      <c r="AL371" s="267"/>
      <c r="AM371" s="267"/>
      <c r="AN371" s="75"/>
    </row>
    <row r="372" spans="1:40" s="6" customFormat="1" ht="11.25" x14ac:dyDescent="0.2">
      <c r="A372" s="56">
        <f t="shared" si="142"/>
        <v>44554</v>
      </c>
      <c r="B372" s="620">
        <v>8.6</v>
      </c>
      <c r="C372" s="392"/>
      <c r="D372" s="395">
        <f t="shared" si="122"/>
        <v>8.8519911488783105</v>
      </c>
      <c r="E372" s="387">
        <f t="shared" si="144"/>
        <v>9.7989300048356078</v>
      </c>
      <c r="F372" s="387">
        <f t="shared" si="123"/>
        <v>10.122401931881758</v>
      </c>
      <c r="G372" s="110">
        <f t="shared" si="145"/>
        <v>0.55848351041730127</v>
      </c>
      <c r="H372" s="416" t="b">
        <f>Wh_hp&gt;='2020'!Maxi_hp</f>
        <v>0</v>
      </c>
      <c r="I372" s="382">
        <f>IF(H372,Wh_hp,'2020'!Maxi_hp)</f>
        <v>13.824735363965539</v>
      </c>
      <c r="J372" s="85">
        <f>IF(H372,An,'2020'!An_max)</f>
        <v>2019</v>
      </c>
      <c r="K372" s="199">
        <f t="shared" si="124"/>
        <v>44554</v>
      </c>
      <c r="L372" s="147">
        <f>IF(t&lt;Tvie,1-EXP((T0-t)*PertePVj)+'2020'!Pspv,1-EXP((T0-t)*PertePVj)+Pspv)</f>
        <v>2.8467171356157728E-2</v>
      </c>
      <c r="M372" s="872"/>
      <c r="N372" s="872"/>
      <c r="O372" s="48">
        <f>IF(t&lt;Tnet,'2020'!Resal+('2020'!Salim-'2020'!Resal)*(1-EXP(('2020'!Tnet-t)/('2020'!Tau_j))),Resal+(Salim-Resal)*(1-EXP((Tnet-t)/(Tau_j))))*Salcycl</f>
        <v>9.6636965004342282E-2</v>
      </c>
      <c r="P372" s="171">
        <f>(INDEX(Models!$BJ372:$BT372,,T372)*(1-R372)+INDEX(Models!$BJ372:$BT372,,T372+1)*R372-ERP_i)*Q372*Ramure*Pc/MaxiM</f>
        <v>7.8095461959858226E-2</v>
      </c>
      <c r="Q372" s="307">
        <f t="shared" si="125"/>
        <v>0.9</v>
      </c>
      <c r="R372" s="179">
        <f t="shared" si="126"/>
        <v>0.89999990691968068</v>
      </c>
      <c r="S372" s="839">
        <f t="shared" si="127"/>
        <v>-1</v>
      </c>
      <c r="T372" s="178">
        <f t="shared" si="128"/>
        <v>5</v>
      </c>
      <c r="U372" s="253">
        <f t="shared" si="129"/>
        <v>-0.10000009308031932</v>
      </c>
      <c r="V372" s="385">
        <f t="shared" si="130"/>
        <v>14.664895468435548</v>
      </c>
      <c r="W372" s="404"/>
      <c r="X372" s="157">
        <f t="shared" si="131"/>
        <v>44554</v>
      </c>
      <c r="Y372" s="387">
        <f t="shared" si="132"/>
        <v>8.1087603025725397</v>
      </c>
      <c r="Z372" s="387">
        <f t="shared" si="133"/>
        <v>8.3463574914823173</v>
      </c>
      <c r="AA372" s="388">
        <f t="shared" si="134"/>
        <v>9.7989300048356078</v>
      </c>
      <c r="AB372" s="199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0.14823787011811196</v>
      </c>
      <c r="AD372" s="233">
        <f>(INDEX(Models!$BJ372:$BT372,,AH372)*(1-AF372)+INDEX(Models!$BJ372:$BT372,,AH372+1)*AF372-ERP_i)*AE372*Ramure*Pc/MaxiM</f>
        <v>7.8095461959858226E-2</v>
      </c>
      <c r="AE372" s="307">
        <f t="shared" si="136"/>
        <v>0.9</v>
      </c>
      <c r="AF372" s="179">
        <f t="shared" si="137"/>
        <v>0.89999990691968068</v>
      </c>
      <c r="AG372" s="839">
        <f t="shared" si="143"/>
        <v>-1</v>
      </c>
      <c r="AH372" s="178">
        <f t="shared" si="138"/>
        <v>5</v>
      </c>
      <c r="AI372" s="227">
        <f t="shared" si="139"/>
        <v>-0.10000009308031932</v>
      </c>
      <c r="AJ372" s="267" t="b">
        <f t="shared" si="140"/>
        <v>0</v>
      </c>
      <c r="AK372" s="267" t="b">
        <f t="shared" si="141"/>
        <v>0</v>
      </c>
      <c r="AL372" s="267"/>
      <c r="AM372" s="267"/>
      <c r="AN372" s="75"/>
    </row>
    <row r="373" spans="1:40" s="6" customFormat="1" ht="11.25" x14ac:dyDescent="0.2">
      <c r="A373" s="56">
        <f t="shared" si="142"/>
        <v>44555</v>
      </c>
      <c r="B373" s="620">
        <v>8.06</v>
      </c>
      <c r="C373" s="392"/>
      <c r="D373" s="395">
        <f t="shared" si="122"/>
        <v>8.2963615172851757</v>
      </c>
      <c r="E373" s="387">
        <f t="shared" si="144"/>
        <v>9.1858131590419134</v>
      </c>
      <c r="F373" s="387">
        <f t="shared" si="123"/>
        <v>9.4462732856856295</v>
      </c>
      <c r="G373" s="110">
        <f t="shared" si="145"/>
        <v>0.51964336488196261</v>
      </c>
      <c r="H373" s="416" t="b">
        <f>Wh_hp&gt;='2020'!Maxi_hp</f>
        <v>0</v>
      </c>
      <c r="I373" s="382">
        <f>IF(H373,Wh_hp,'2020'!Maxi_hp)</f>
        <v>13.899256266993024</v>
      </c>
      <c r="J373" s="85">
        <f>IF(H373,An,'2020'!An_max)</f>
        <v>2018</v>
      </c>
      <c r="K373" s="199">
        <f t="shared" si="124"/>
        <v>44555</v>
      </c>
      <c r="L373" s="147">
        <f>IF(t&lt;Tvie,1-EXP((T0-t)*PertePVj)+'2020'!Pspv,1-EXP((T0-t)*PertePVj)+Pspv)</f>
        <v>2.8489780344398419E-2</v>
      </c>
      <c r="M373" s="872"/>
      <c r="N373" s="872"/>
      <c r="O373" s="48">
        <f>IF(t&lt;Tnet,'2020'!Resal+('2020'!Salim-'2020'!Resal)*(1-EXP(('2020'!Tnet-t)/('2020'!Tau_j))),Resal+(Salim-Resal)*(1-EXP((Tnet-t)/(Tau_j))))*Salcycl</f>
        <v>9.6828840991743978E-2</v>
      </c>
      <c r="P373" s="171">
        <f>(INDEX(Models!$BJ373:$BT373,,T373)*(1-R373)+INDEX(Models!$BJ373:$BT373,,T373+1)*R373-ERP_i)*Q373*Ramure*Pc/MaxiM</f>
        <v>7.7836689240402587E-2</v>
      </c>
      <c r="Q373" s="307">
        <f t="shared" si="125"/>
        <v>0.9</v>
      </c>
      <c r="R373" s="179">
        <f t="shared" si="126"/>
        <v>0.89999990691968068</v>
      </c>
      <c r="S373" s="839">
        <f t="shared" si="127"/>
        <v>-1</v>
      </c>
      <c r="T373" s="178">
        <f t="shared" si="128"/>
        <v>5</v>
      </c>
      <c r="U373" s="253">
        <f t="shared" si="129"/>
        <v>-0.10000009308031932</v>
      </c>
      <c r="V373" s="385">
        <f t="shared" si="130"/>
        <v>14.708906695964959</v>
      </c>
      <c r="W373" s="404"/>
      <c r="X373" s="157">
        <f t="shared" si="131"/>
        <v>44555</v>
      </c>
      <c r="Y373" s="387">
        <f t="shared" si="132"/>
        <v>7.6008127350701535</v>
      </c>
      <c r="Z373" s="387">
        <f t="shared" si="133"/>
        <v>7.823708470884255</v>
      </c>
      <c r="AA373" s="388">
        <f t="shared" si="134"/>
        <v>9.1858131590419134</v>
      </c>
      <c r="AB373" s="199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0.14828351769999717</v>
      </c>
      <c r="AD373" s="233">
        <f>(INDEX(Models!$BJ373:$BT373,,AH373)*(1-AF373)+INDEX(Models!$BJ373:$BT373,,AH373+1)*AF373-ERP_i)*AE373*Ramure*Pc/MaxiM</f>
        <v>7.7836689240402587E-2</v>
      </c>
      <c r="AE373" s="307">
        <f t="shared" si="136"/>
        <v>0.9</v>
      </c>
      <c r="AF373" s="179">
        <f t="shared" si="137"/>
        <v>0.89999990691968068</v>
      </c>
      <c r="AG373" s="839">
        <f t="shared" si="143"/>
        <v>-1</v>
      </c>
      <c r="AH373" s="178">
        <f t="shared" si="138"/>
        <v>5</v>
      </c>
      <c r="AI373" s="227">
        <f t="shared" si="139"/>
        <v>-0.10000009308031932</v>
      </c>
      <c r="AJ373" s="267" t="b">
        <f t="shared" si="140"/>
        <v>0</v>
      </c>
      <c r="AK373" s="267" t="b">
        <f t="shared" si="141"/>
        <v>0</v>
      </c>
      <c r="AL373" s="267"/>
      <c r="AM373" s="267"/>
      <c r="AN373" s="75"/>
    </row>
    <row r="374" spans="1:40" s="6" customFormat="1" ht="11.25" x14ac:dyDescent="0.2">
      <c r="A374" s="56">
        <f t="shared" si="142"/>
        <v>44556</v>
      </c>
      <c r="B374" s="620">
        <v>9.5839999999999996</v>
      </c>
      <c r="C374" s="392"/>
      <c r="D374" s="395">
        <f t="shared" si="122"/>
        <v>9.8652827782597594</v>
      </c>
      <c r="E374" s="387">
        <f t="shared" si="144"/>
        <v>10.925260730083945</v>
      </c>
      <c r="F374" s="387">
        <f t="shared" si="123"/>
        <v>11.364727643706745</v>
      </c>
      <c r="G374" s="110">
        <f t="shared" si="145"/>
        <v>0.62296401599972528</v>
      </c>
      <c r="H374" s="416" t="b">
        <f>Wh_hp&gt;='2020'!Maxi_hp</f>
        <v>0</v>
      </c>
      <c r="I374" s="382">
        <f>IF(H374,Wh_hp,'2020'!Maxi_hp)</f>
        <v>17.569018811526597</v>
      </c>
      <c r="J374" s="85">
        <f>IF(H374,An,'2020'!An_max)</f>
        <v>2018</v>
      </c>
      <c r="K374" s="199">
        <f t="shared" si="124"/>
        <v>44556</v>
      </c>
      <c r="L374" s="147">
        <f>IF(t&lt;Tvie,1-EXP((T0-t)*PertePVj)+'2020'!Pspv,1-EXP((T0-t)*PertePVj)+Pspv)</f>
        <v>2.8512388806494871E-2</v>
      </c>
      <c r="M374" s="872"/>
      <c r="N374" s="872"/>
      <c r="O374" s="48">
        <f>IF(t&lt;Tnet,'2020'!Resal+('2020'!Salim-'2020'!Resal)*(1-EXP(('2020'!Tnet-t)/('2020'!Tau_j))),Resal+(Salim-Resal)*(1-EXP((Tnet-t)/(Tau_j))))*Salcycl</f>
        <v>9.7020838038712975E-2</v>
      </c>
      <c r="P374" s="171">
        <f>(INDEX(Models!$BJ374:$BT374,,T374)*(1-R374)+INDEX(Models!$BJ374:$BT374,,T374+1)*R374-ERP_i)*Q374*Ramure*Pc/MaxiM</f>
        <v>7.7516401864047402E-2</v>
      </c>
      <c r="Q374" s="307">
        <f t="shared" si="125"/>
        <v>0.9</v>
      </c>
      <c r="R374" s="179">
        <f t="shared" si="126"/>
        <v>0.89999990691968068</v>
      </c>
      <c r="S374" s="839">
        <f t="shared" si="127"/>
        <v>-1</v>
      </c>
      <c r="T374" s="178">
        <f t="shared" si="128"/>
        <v>5</v>
      </c>
      <c r="U374" s="253">
        <f t="shared" si="129"/>
        <v>-0.10000009308031932</v>
      </c>
      <c r="V374" s="385">
        <f t="shared" si="130"/>
        <v>14.762833404596284</v>
      </c>
      <c r="W374" s="404"/>
      <c r="X374" s="157">
        <f t="shared" si="131"/>
        <v>44556</v>
      </c>
      <c r="Y374" s="387">
        <f t="shared" si="132"/>
        <v>9.0394162909745503</v>
      </c>
      <c r="Z374" s="387">
        <f t="shared" si="133"/>
        <v>9.3047159704582576</v>
      </c>
      <c r="AA374" s="388">
        <f t="shared" si="134"/>
        <v>10.925260730083945</v>
      </c>
      <c r="AB374" s="199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0.14833007647710722</v>
      </c>
      <c r="AD374" s="233">
        <f>(INDEX(Models!$BJ374:$BT374,,AH374)*(1-AF374)+INDEX(Models!$BJ374:$BT374,,AH374+1)*AF374-ERP_i)*AE374*Ramure*Pc/MaxiM</f>
        <v>7.7516401864047402E-2</v>
      </c>
      <c r="AE374" s="307">
        <f t="shared" si="136"/>
        <v>0.9</v>
      </c>
      <c r="AF374" s="179">
        <f t="shared" si="137"/>
        <v>0.89999990691968068</v>
      </c>
      <c r="AG374" s="839">
        <f t="shared" si="143"/>
        <v>-1</v>
      </c>
      <c r="AH374" s="178">
        <f t="shared" si="138"/>
        <v>5</v>
      </c>
      <c r="AI374" s="227">
        <f t="shared" si="139"/>
        <v>-0.10000009308031932</v>
      </c>
      <c r="AJ374" s="267" t="b">
        <f t="shared" si="140"/>
        <v>0</v>
      </c>
      <c r="AK374" s="267" t="b">
        <f t="shared" si="141"/>
        <v>0</v>
      </c>
      <c r="AL374" s="267"/>
      <c r="AM374" s="267"/>
      <c r="AN374" s="75"/>
    </row>
    <row r="375" spans="1:40" s="6" customFormat="1" ht="11.25" x14ac:dyDescent="0.2">
      <c r="A375" s="56">
        <f t="shared" si="142"/>
        <v>44557</v>
      </c>
      <c r="B375" s="620">
        <v>9.8140000000000001</v>
      </c>
      <c r="C375" s="392"/>
      <c r="D375" s="395">
        <f t="shared" si="122"/>
        <v>10.102268189889962</v>
      </c>
      <c r="E375" s="387">
        <f t="shared" si="144"/>
        <v>11.190089176480541</v>
      </c>
      <c r="F375" s="387">
        <f t="shared" si="123"/>
        <v>11.654794849210347</v>
      </c>
      <c r="G375" s="110">
        <f t="shared" si="145"/>
        <v>0.63623497045225796</v>
      </c>
      <c r="H375" s="416" t="b">
        <f>Wh_hp&gt;='2020'!Maxi_hp</f>
        <v>0</v>
      </c>
      <c r="I375" s="382">
        <f>IF(H375,Wh_hp,'2020'!Maxi_hp)</f>
        <v>17.805021501401317</v>
      </c>
      <c r="J375" s="85">
        <f>IF(H375,An,'2020'!An_max)</f>
        <v>2018</v>
      </c>
      <c r="K375" s="199">
        <f t="shared" si="124"/>
        <v>44557</v>
      </c>
      <c r="L375" s="147">
        <f>IF(t&lt;Tvie,1-EXP((T0-t)*PertePVj)+'2020'!Pspv,1-EXP((T0-t)*PertePVj)+Pspv)</f>
        <v>2.8534996742459406E-2</v>
      </c>
      <c r="M375" s="872"/>
      <c r="N375" s="872"/>
      <c r="O375" s="48">
        <f>IF(t&lt;Tnet,'2020'!Resal+('2020'!Salim-'2020'!Resal)*(1-EXP(('2020'!Tnet-t)/('2020'!Tau_j))),Resal+(Salim-Resal)*(1-EXP((Tnet-t)/(Tau_j))))*Salcycl</f>
        <v>9.7212897005054671E-2</v>
      </c>
      <c r="P375" s="171">
        <f>(INDEX(Models!$BJ375:$BT375,,T375)*(1-R375)+INDEX(Models!$BJ375:$BT375,,T375+1)*R375-ERP_i)*Q375*Ramure*Pc/MaxiM</f>
        <v>7.7119941148614743E-2</v>
      </c>
      <c r="Q375" s="307">
        <f t="shared" si="125"/>
        <v>0.9</v>
      </c>
      <c r="R375" s="179">
        <f t="shared" si="126"/>
        <v>0.89999990691968068</v>
      </c>
      <c r="S375" s="839">
        <f t="shared" si="127"/>
        <v>-1</v>
      </c>
      <c r="T375" s="178">
        <f t="shared" si="128"/>
        <v>5</v>
      </c>
      <c r="U375" s="253">
        <f t="shared" si="129"/>
        <v>-0.10000009308031932</v>
      </c>
      <c r="V375" s="385">
        <f t="shared" si="130"/>
        <v>14.826712461219817</v>
      </c>
      <c r="W375" s="404"/>
      <c r="X375" s="157">
        <f t="shared" si="131"/>
        <v>44557</v>
      </c>
      <c r="Y375" s="387">
        <f t="shared" si="132"/>
        <v>9.2578014134900766</v>
      </c>
      <c r="Z375" s="387">
        <f t="shared" si="133"/>
        <v>9.5297322934398938</v>
      </c>
      <c r="AA375" s="388">
        <f t="shared" si="134"/>
        <v>11.190089176480541</v>
      </c>
      <c r="AB375" s="199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0.14837744872761191</v>
      </c>
      <c r="AD375" s="233">
        <f>(INDEX(Models!$BJ375:$BT375,,AH375)*(1-AF375)+INDEX(Models!$BJ375:$BT375,,AH375+1)*AF375-ERP_i)*AE375*Ramure*Pc/MaxiM</f>
        <v>7.7119941148614743E-2</v>
      </c>
      <c r="AE375" s="307">
        <f t="shared" si="136"/>
        <v>0.9</v>
      </c>
      <c r="AF375" s="179">
        <f t="shared" si="137"/>
        <v>0.89999990691968068</v>
      </c>
      <c r="AG375" s="839">
        <f t="shared" si="143"/>
        <v>-1</v>
      </c>
      <c r="AH375" s="178">
        <f t="shared" si="138"/>
        <v>5</v>
      </c>
      <c r="AI375" s="227">
        <f t="shared" si="139"/>
        <v>-0.10000009308031932</v>
      </c>
      <c r="AJ375" s="267" t="b">
        <f t="shared" si="140"/>
        <v>0</v>
      </c>
      <c r="AK375" s="267" t="b">
        <f t="shared" si="141"/>
        <v>0</v>
      </c>
      <c r="AL375" s="267"/>
      <c r="AM375" s="267"/>
      <c r="AN375" s="75"/>
    </row>
    <row r="376" spans="1:40" s="6" customFormat="1" ht="11.25" x14ac:dyDescent="0.2">
      <c r="A376" s="56">
        <f t="shared" si="142"/>
        <v>44558</v>
      </c>
      <c r="B376" s="620">
        <v>5.0460000000000003</v>
      </c>
      <c r="C376" s="392"/>
      <c r="D376" s="395">
        <f t="shared" si="122"/>
        <v>5.1943378439817653</v>
      </c>
      <c r="E376" s="387">
        <f t="shared" si="144"/>
        <v>5.7548929759624565</v>
      </c>
      <c r="F376" s="387">
        <f t="shared" si="123"/>
        <v>5.7793575166815154</v>
      </c>
      <c r="G376" s="110">
        <f t="shared" si="145"/>
        <v>0.31402242060750479</v>
      </c>
      <c r="H376" s="416" t="b">
        <f>Wh_hp&gt;='2020'!Maxi_hp</f>
        <v>0</v>
      </c>
      <c r="I376" s="382">
        <f>IF(H376,Wh_hp,'2020'!Maxi_hp)</f>
        <v>6.5235305534292216</v>
      </c>
      <c r="J376" s="85">
        <f>IF(H376,An,'2020'!An_max)</f>
        <v>2020</v>
      </c>
      <c r="K376" s="199">
        <f t="shared" si="124"/>
        <v>44558</v>
      </c>
      <c r="L376" s="147">
        <f>IF(t&lt;Tvie,1-EXP((T0-t)*PertePVj)+'2020'!Pspv,1-EXP((T0-t)*PertePVj)+Pspv)</f>
        <v>2.8557604152304239E-2</v>
      </c>
      <c r="M376" s="872"/>
      <c r="N376" s="872"/>
      <c r="O376" s="48">
        <f>IF(t&lt;Tnet,'2020'!Resal+('2020'!Salim-'2020'!Resal)*(1-EXP(('2020'!Tnet-t)/('2020'!Tau_j))),Resal+(Salim-Resal)*(1-EXP((Tnet-t)/(Tau_j))))*Salcycl</f>
        <v>9.7404962059601669E-2</v>
      </c>
      <c r="P376" s="171">
        <f>(INDEX(Models!$BJ376:$BT376,,T376)*(1-R376)+INDEX(Models!$BJ376:$BT376,,T376+1)*R376-ERP_i)*Q376*Ramure*Pc/MaxiM</f>
        <v>7.6658775478412572E-2</v>
      </c>
      <c r="Q376" s="307">
        <f t="shared" si="125"/>
        <v>0.9</v>
      </c>
      <c r="R376" s="179">
        <f t="shared" si="126"/>
        <v>0.89999990691968068</v>
      </c>
      <c r="S376" s="839">
        <f t="shared" si="127"/>
        <v>-1</v>
      </c>
      <c r="T376" s="178">
        <f t="shared" si="128"/>
        <v>5</v>
      </c>
      <c r="U376" s="253">
        <f t="shared" si="129"/>
        <v>-0.10000009308031932</v>
      </c>
      <c r="V376" s="385">
        <f t="shared" si="130"/>
        <v>14.900166620424692</v>
      </c>
      <c r="W376" s="404"/>
      <c r="X376" s="157">
        <f t="shared" si="131"/>
        <v>44558</v>
      </c>
      <c r="Y376" s="387">
        <f t="shared" si="132"/>
        <v>4.760767046242794</v>
      </c>
      <c r="Z376" s="387">
        <f t="shared" si="133"/>
        <v>4.9007198641855387</v>
      </c>
      <c r="AA376" s="388">
        <f t="shared" si="134"/>
        <v>5.7548929759624565</v>
      </c>
      <c r="AB376" s="199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0.14842554246355286</v>
      </c>
      <c r="AD376" s="233">
        <f>(INDEX(Models!$BJ376:$BT376,,AH376)*(1-AF376)+INDEX(Models!$BJ376:$BT376,,AH376+1)*AF376-ERP_i)*AE376*Ramure*Pc/MaxiM</f>
        <v>7.6658775478412572E-2</v>
      </c>
      <c r="AE376" s="307">
        <f t="shared" si="136"/>
        <v>0.9</v>
      </c>
      <c r="AF376" s="179">
        <f t="shared" si="137"/>
        <v>0.89999990691968068</v>
      </c>
      <c r="AG376" s="839">
        <f t="shared" si="143"/>
        <v>-1</v>
      </c>
      <c r="AH376" s="178">
        <f t="shared" si="138"/>
        <v>5</v>
      </c>
      <c r="AI376" s="227">
        <f t="shared" si="139"/>
        <v>-0.10000009308031932</v>
      </c>
      <c r="AJ376" s="267" t="b">
        <f t="shared" si="140"/>
        <v>0</v>
      </c>
      <c r="AK376" s="267" t="b">
        <f t="shared" si="141"/>
        <v>0</v>
      </c>
      <c r="AL376" s="267"/>
      <c r="AM376" s="267"/>
      <c r="AN376" s="75"/>
    </row>
    <row r="377" spans="1:40" s="6" customFormat="1" ht="11.25" x14ac:dyDescent="0.2">
      <c r="A377" s="56">
        <f t="shared" si="142"/>
        <v>44559</v>
      </c>
      <c r="B377" s="620">
        <v>5.1290000000000004</v>
      </c>
      <c r="C377" s="392"/>
      <c r="D377" s="395">
        <f t="shared" si="122"/>
        <v>5.2799006755567506</v>
      </c>
      <c r="E377" s="387">
        <f t="shared" si="144"/>
        <v>5.8509341876744383</v>
      </c>
      <c r="F377" s="387">
        <f t="shared" si="123"/>
        <v>5.877991535507042</v>
      </c>
      <c r="G377" s="110">
        <f t="shared" si="145"/>
        <v>0.31772180465537825</v>
      </c>
      <c r="H377" s="416" t="b">
        <f>Wh_hp&gt;='2020'!Maxi_hp</f>
        <v>0</v>
      </c>
      <c r="I377" s="382">
        <f>IF(H377,Wh_hp,'2020'!Maxi_hp)</f>
        <v>18.983624487934243</v>
      </c>
      <c r="J377" s="85">
        <f>IF(H377,An,'2020'!An_max)</f>
        <v>2019</v>
      </c>
      <c r="K377" s="199">
        <f t="shared" si="124"/>
        <v>44559</v>
      </c>
      <c r="L377" s="147">
        <f>IF(t&lt;Tvie,1-EXP((T0-t)*PertePVj)+'2020'!Pspv,1-EXP((T0-t)*PertePVj)+Pspv)</f>
        <v>2.8580211036041581E-2</v>
      </c>
      <c r="M377" s="872"/>
      <c r="N377" s="872"/>
      <c r="O377" s="48">
        <f>IF(t&lt;Tnet,'2020'!Resal+('2020'!Salim-'2020'!Resal)*(1-EXP(('2020'!Tnet-t)/('2020'!Tau_j))),Resal+(Salim-Resal)*(1-EXP((Tnet-t)/(Tau_j))))*Salcycl</f>
        <v>9.7596980892491594E-2</v>
      </c>
      <c r="P377" s="171">
        <f>(INDEX(Models!$BJ377:$BT377,,T377)*(1-R377)+INDEX(Models!$BJ377:$BT377,,T377+1)*R377-ERP_i)*Q377*Ramure*Pc/MaxiM</f>
        <v>7.6135437642148557E-2</v>
      </c>
      <c r="Q377" s="307">
        <f t="shared" si="125"/>
        <v>0.9</v>
      </c>
      <c r="R377" s="179">
        <f t="shared" si="126"/>
        <v>0.89999990691968068</v>
      </c>
      <c r="S377" s="839">
        <f t="shared" si="127"/>
        <v>-1</v>
      </c>
      <c r="T377" s="178">
        <f t="shared" si="128"/>
        <v>5</v>
      </c>
      <c r="U377" s="253">
        <f t="shared" si="129"/>
        <v>-0.10000009308031932</v>
      </c>
      <c r="V377" s="385">
        <f t="shared" si="130"/>
        <v>14.982963804312424</v>
      </c>
      <c r="W377" s="404"/>
      <c r="X377" s="157">
        <f t="shared" si="131"/>
        <v>44559</v>
      </c>
      <c r="Y377" s="387">
        <f t="shared" si="132"/>
        <v>4.8398280679139676</v>
      </c>
      <c r="Z377" s="387">
        <f t="shared" si="133"/>
        <v>4.9822209953904233</v>
      </c>
      <c r="AA377" s="388">
        <f t="shared" si="134"/>
        <v>5.8509341876744383</v>
      </c>
      <c r="AB377" s="199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0.14847427170075561</v>
      </c>
      <c r="AD377" s="233">
        <f>(INDEX(Models!$BJ377:$BT377,,AH377)*(1-AF377)+INDEX(Models!$BJ377:$BT377,,AH377+1)*AF377-ERP_i)*AE377*Ramure*Pc/MaxiM</f>
        <v>7.6135437642148557E-2</v>
      </c>
      <c r="AE377" s="307">
        <f t="shared" si="136"/>
        <v>0.9</v>
      </c>
      <c r="AF377" s="179">
        <f t="shared" si="137"/>
        <v>0.89999990691968068</v>
      </c>
      <c r="AG377" s="839">
        <f t="shared" si="143"/>
        <v>-1</v>
      </c>
      <c r="AH377" s="178">
        <f t="shared" si="138"/>
        <v>5</v>
      </c>
      <c r="AI377" s="227">
        <f t="shared" si="139"/>
        <v>-0.10000009308031932</v>
      </c>
      <c r="AJ377" s="267" t="b">
        <f t="shared" si="140"/>
        <v>0</v>
      </c>
      <c r="AK377" s="267" t="b">
        <f t="shared" si="141"/>
        <v>0</v>
      </c>
      <c r="AL377" s="267"/>
      <c r="AM377" s="267"/>
      <c r="AN377" s="75"/>
    </row>
    <row r="378" spans="1:40" s="6" customFormat="1" ht="11.25" x14ac:dyDescent="0.2">
      <c r="A378" s="56">
        <f t="shared" si="142"/>
        <v>44560</v>
      </c>
      <c r="B378" s="620">
        <v>12.805</v>
      </c>
      <c r="C378" s="392"/>
      <c r="D378" s="395">
        <f t="shared" si="122"/>
        <v>13.182043585553156</v>
      </c>
      <c r="E378" s="387">
        <f t="shared" si="144"/>
        <v>14.610819637413929</v>
      </c>
      <c r="F378" s="387">
        <f t="shared" si="123"/>
        <v>15.531873357342477</v>
      </c>
      <c r="G378" s="110">
        <f t="shared" si="145"/>
        <v>0.83475190373111507</v>
      </c>
      <c r="H378" s="416" t="b">
        <f>Wh_hp&gt;='2020'!Maxi_hp</f>
        <v>0</v>
      </c>
      <c r="I378" s="382">
        <f>IF(H378,Wh_hp,'2020'!Maxi_hp)</f>
        <v>18.10568803478461</v>
      </c>
      <c r="J378" s="85">
        <f>IF(H378,An,'2020'!An_max)</f>
        <v>2019</v>
      </c>
      <c r="K378" s="199">
        <f t="shared" si="124"/>
        <v>44560</v>
      </c>
      <c r="L378" s="147">
        <f>IF(t&lt;Tvie,1-EXP((T0-t)*PertePVj)+'2020'!Pspv,1-EXP((T0-t)*PertePVj)+Pspv)</f>
        <v>2.8602817393683755E-2</v>
      </c>
      <c r="M378" s="872"/>
      <c r="N378" s="872"/>
      <c r="O378" s="48">
        <f>IF(t&lt;Tnet,'2020'!Resal+('2020'!Salim-'2020'!Resal)*(1-EXP(('2020'!Tnet-t)/('2020'!Tau_j))),Resal+(Salim-Resal)*(1-EXP((Tnet-t)/(Tau_j))))*Salcycl</f>
        <v>9.7788904888135547E-2</v>
      </c>
      <c r="P378" s="171">
        <f>(INDEX(Models!$BJ378:$BT378,,T378)*(1-R378)+INDEX(Models!$BJ378:$BT378,,T378+1)*R378-ERP_i)*Q378*Ramure*Pc/MaxiM</f>
        <v>7.5552587277209968E-2</v>
      </c>
      <c r="Q378" s="307">
        <f t="shared" si="125"/>
        <v>0.9</v>
      </c>
      <c r="R378" s="179">
        <f t="shared" si="126"/>
        <v>0.89999990691968068</v>
      </c>
      <c r="S378" s="839">
        <f t="shared" si="127"/>
        <v>-1</v>
      </c>
      <c r="T378" s="178">
        <f t="shared" si="128"/>
        <v>5</v>
      </c>
      <c r="U378" s="253">
        <f t="shared" si="129"/>
        <v>-0.10000009308031932</v>
      </c>
      <c r="V378" s="385">
        <f t="shared" si="130"/>
        <v>15.074872131855106</v>
      </c>
      <c r="W378" s="404"/>
      <c r="X378" s="157">
        <f t="shared" si="131"/>
        <v>44560</v>
      </c>
      <c r="Y378" s="387">
        <f t="shared" si="132"/>
        <v>12.084927702566004</v>
      </c>
      <c r="Z378" s="387">
        <f t="shared" si="133"/>
        <v>12.440768739045986</v>
      </c>
      <c r="AA378" s="388">
        <f t="shared" si="134"/>
        <v>14.610819637413929</v>
      </c>
      <c r="AB378" s="199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0.14852355666694386</v>
      </c>
      <c r="AD378" s="233">
        <f>(INDEX(Models!$BJ378:$BT378,,AH378)*(1-AF378)+INDEX(Models!$BJ378:$BT378,,AH378+1)*AF378-ERP_i)*AE378*Ramure*Pc/MaxiM</f>
        <v>7.5552587277209968E-2</v>
      </c>
      <c r="AE378" s="307">
        <f t="shared" si="136"/>
        <v>0.9</v>
      </c>
      <c r="AF378" s="179">
        <f t="shared" si="137"/>
        <v>0.89999990691968068</v>
      </c>
      <c r="AG378" s="839">
        <f t="shared" si="143"/>
        <v>-1</v>
      </c>
      <c r="AH378" s="178">
        <f t="shared" si="138"/>
        <v>5</v>
      </c>
      <c r="AI378" s="227">
        <f t="shared" si="139"/>
        <v>-0.10000009308031932</v>
      </c>
      <c r="AJ378" s="267" t="b">
        <f t="shared" si="140"/>
        <v>0</v>
      </c>
      <c r="AK378" s="267" t="b">
        <f t="shared" si="141"/>
        <v>0</v>
      </c>
      <c r="AL378" s="267"/>
      <c r="AM378" s="267"/>
      <c r="AN378" s="75"/>
    </row>
    <row r="379" spans="1:40" s="18" customFormat="1" ht="12.75" x14ac:dyDescent="0.2">
      <c r="A379" s="56">
        <f t="shared" si="142"/>
        <v>44561</v>
      </c>
      <c r="B379" s="620">
        <v>14.612</v>
      </c>
      <c r="C379" s="392"/>
      <c r="D379" s="395">
        <f t="shared" si="122"/>
        <v>15.042600814730031</v>
      </c>
      <c r="E379" s="387">
        <f t="shared" si="144"/>
        <v>16.676584010561953</v>
      </c>
      <c r="F379" s="387">
        <f t="shared" si="123"/>
        <v>17.949916308915405</v>
      </c>
      <c r="G379" s="110">
        <f t="shared" si="145"/>
        <v>0.95873811991490743</v>
      </c>
      <c r="H379" s="416" t="b">
        <f>Wh_hp&gt;='2020'!Maxi_hp</f>
        <v>1</v>
      </c>
      <c r="I379" s="382">
        <f>IF(H379,Wh_hp,'2020'!Maxi_hp)</f>
        <v>17.949916308915405</v>
      </c>
      <c r="J379" s="85">
        <f>IF(H379,An,'2020'!An_max)</f>
        <v>2021</v>
      </c>
      <c r="K379" s="199">
        <f t="shared" si="124"/>
        <v>44561</v>
      </c>
      <c r="L379" s="147">
        <f>IF(t&lt;Tvie,1-EXP((T0-t)*PertePVj)+'2020'!Pspv,1-EXP((T0-t)*PertePVj)+Pspv)</f>
        <v>2.8625423225242974E-2</v>
      </c>
      <c r="M379" s="872"/>
      <c r="N379" s="872"/>
      <c r="O379" s="48">
        <f>IF(t&lt;Tnet,'2020'!Resal+('2020'!Salim-'2020'!Resal)*(1-EXP(('2020'!Tnet-t)/('2020'!Tau_j))),Resal+(Salim-Resal)*(1-EXP((Tnet-t)/(Tau_j))))*Salcycl</f>
        <v>9.7980689258486894E-2</v>
      </c>
      <c r="P379" s="171">
        <f>(INDEX(Models!$BJ379:$BT379,,T379)*(1-R379)+INDEX(Models!$BJ379:$BT379,,T379+1)*R379-ERP_i)*Q379*Ramure*Pc/MaxiM</f>
        <v>7.4912985372924762E-2</v>
      </c>
      <c r="Q379" s="308">
        <f t="shared" si="125"/>
        <v>0.9</v>
      </c>
      <c r="R379" s="179">
        <f t="shared" si="126"/>
        <v>0.89999990691968068</v>
      </c>
      <c r="S379" s="839">
        <f t="shared" si="127"/>
        <v>-1</v>
      </c>
      <c r="T379" s="178">
        <f t="shared" si="128"/>
        <v>5</v>
      </c>
      <c r="U379" s="309">
        <f t="shared" si="129"/>
        <v>-0.10000009308031932</v>
      </c>
      <c r="V379" s="385">
        <f t="shared" si="130"/>
        <v>15.175659908347008</v>
      </c>
      <c r="W379" s="404"/>
      <c r="X379" s="157">
        <f t="shared" si="131"/>
        <v>44561</v>
      </c>
      <c r="Y379" s="387">
        <f t="shared" si="132"/>
        <v>13.792439299599597</v>
      </c>
      <c r="Z379" s="387">
        <f t="shared" si="133"/>
        <v>14.198888492011456</v>
      </c>
      <c r="AA379" s="388">
        <f t="shared" si="134"/>
        <v>16.676584010561953</v>
      </c>
      <c r="AB379" s="199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0.14857332394819422</v>
      </c>
      <c r="AD379" s="233">
        <f>(INDEX(Models!$BJ379:$BT379,,AH379)*(1-AF379)+INDEX(Models!$BJ379:$BT379,,AH379+1)*AF379-ERP_i)*AE379*Ramure*Pc/MaxiM</f>
        <v>7.4912985372924762E-2</v>
      </c>
      <c r="AE379" s="308">
        <f t="shared" si="136"/>
        <v>0.9</v>
      </c>
      <c r="AF379" s="179">
        <f t="shared" si="137"/>
        <v>0.89999990691968068</v>
      </c>
      <c r="AG379" s="839">
        <f t="shared" si="143"/>
        <v>-1</v>
      </c>
      <c r="AH379" s="178">
        <f t="shared" si="138"/>
        <v>5</v>
      </c>
      <c r="AI379" s="224">
        <f t="shared" si="139"/>
        <v>-0.10000009308031932</v>
      </c>
      <c r="AJ379" s="267" t="b">
        <f t="shared" si="140"/>
        <v>0</v>
      </c>
      <c r="AK379" s="267" t="b">
        <f t="shared" si="141"/>
        <v>0</v>
      </c>
      <c r="AL379" s="267"/>
      <c r="AM379" s="267"/>
      <c r="AN379" s="267"/>
    </row>
    <row r="380" spans="1:40" s="18" customFormat="1" ht="12" thickBot="1" x14ac:dyDescent="0.25">
      <c r="A380" s="121"/>
      <c r="B380" s="734"/>
      <c r="C380" s="396"/>
      <c r="D380" s="403"/>
      <c r="E380" s="389"/>
      <c r="F380" s="389"/>
      <c r="G380" s="122"/>
      <c r="H380" s="416" t="b">
        <f>Wh_hp&gt;='2020'!Maxi_hp</f>
        <v>0</v>
      </c>
      <c r="I380" s="382">
        <f>IF(H380,Wh_hp,'2020'!Maxi_hp)</f>
        <v>13.024115631411625</v>
      </c>
      <c r="J380" s="85">
        <f>IF(H380,An,'2020'!An_max)</f>
        <v>2020</v>
      </c>
      <c r="K380" s="236"/>
      <c r="L380" s="216"/>
      <c r="M380" s="877"/>
      <c r="N380" s="877"/>
      <c r="O380" s="153"/>
      <c r="P380" s="324"/>
      <c r="Q380" s="231"/>
      <c r="R380" s="231"/>
      <c r="S380" s="231"/>
      <c r="T380" s="231"/>
      <c r="U380" s="325"/>
      <c r="V380" s="399"/>
      <c r="W380" s="404"/>
      <c r="X380" s="121"/>
      <c r="Y380" s="389"/>
      <c r="Z380" s="389"/>
      <c r="AA380" s="390"/>
      <c r="AB380" s="201"/>
      <c r="AC380" s="152"/>
      <c r="AD380" s="152"/>
      <c r="AE380" s="231"/>
      <c r="AF380" s="231"/>
      <c r="AG380" s="231"/>
      <c r="AH380" s="231"/>
      <c r="AI380" s="311"/>
      <c r="AJ380" s="267" t="b">
        <f t="shared" si="140"/>
        <v>1</v>
      </c>
      <c r="AK380" s="267" t="b">
        <f t="shared" si="141"/>
        <v>1</v>
      </c>
      <c r="AL380" s="267"/>
      <c r="AM380" s="267"/>
      <c r="AN380" s="267"/>
    </row>
    <row r="381" spans="1:40" s="104" customFormat="1" ht="11.25" customHeight="1" x14ac:dyDescent="0.2">
      <c r="A381" s="112" t="s">
        <v>7</v>
      </c>
      <c r="B381" s="377">
        <f>MIN(B15:B380)</f>
        <v>0.99299999999999999</v>
      </c>
      <c r="C381" s="377"/>
      <c r="D381" s="375">
        <f>MIN(D15:D380)</f>
        <v>1.0213828578946746</v>
      </c>
      <c r="E381" s="375">
        <f>MIN(E15:E380)</f>
        <v>1.1239538007339809</v>
      </c>
      <c r="F381" s="376">
        <f>MIN(F15:F380)</f>
        <v>1.1239538007339809</v>
      </c>
      <c r="G381" s="125">
        <f>+MIN(G15:G380)</f>
        <v>5.3618260881283762E-2</v>
      </c>
      <c r="H381" s="94"/>
      <c r="I381" s="376">
        <f>MIN(I15:I380)</f>
        <v>6.5235305534292216</v>
      </c>
      <c r="J381" s="57">
        <f>MIN(J15:J380)</f>
        <v>2018</v>
      </c>
      <c r="K381" s="202" t="s">
        <v>7</v>
      </c>
      <c r="L381" s="146">
        <f t="shared" ref="L381:T381" si="146">MIN(L15:L380)</f>
        <v>2.0362046534201816E-2</v>
      </c>
      <c r="M381" s="874"/>
      <c r="N381" s="874"/>
      <c r="O381" s="47">
        <f t="shared" si="146"/>
        <v>2.5232359749239194E-2</v>
      </c>
      <c r="P381" s="170">
        <f t="shared" si="146"/>
        <v>1.0725572864779958E-4</v>
      </c>
      <c r="Q381" s="312">
        <f t="shared" si="146"/>
        <v>0.9</v>
      </c>
      <c r="R381" s="313">
        <f t="shared" si="146"/>
        <v>0.29977709747926196</v>
      </c>
      <c r="S381" s="839">
        <f t="shared" si="146"/>
        <v>-1</v>
      </c>
      <c r="T381" s="178">
        <f t="shared" si="146"/>
        <v>5</v>
      </c>
      <c r="U381" s="254">
        <f>+MIN(U15:U380)</f>
        <v>-0.70022290252073804</v>
      </c>
      <c r="V381" s="57">
        <f>MIN(V15:V380)</f>
        <v>14.583944832549854</v>
      </c>
      <c r="W381" s="58"/>
      <c r="X381" s="112" t="s">
        <v>7</v>
      </c>
      <c r="Y381" s="375">
        <f>MIN(Y15:Y380)</f>
        <v>0.93115604041677136</v>
      </c>
      <c r="Z381" s="375">
        <f>MIN(Z15:Z380)</f>
        <v>0.95777121622031325</v>
      </c>
      <c r="AA381" s="375">
        <f>MIN(AA15:AA380)</f>
        <v>1.1239538007339809</v>
      </c>
      <c r="AB381" s="202" t="s">
        <v>7</v>
      </c>
      <c r="AC381" s="47">
        <f t="shared" ref="AC381:AH381" si="147">MIN(AC15:AC380)</f>
        <v>0.12210732217810838</v>
      </c>
      <c r="AD381" s="170">
        <f t="shared" si="147"/>
        <v>1.0725572864779958E-4</v>
      </c>
      <c r="AE381" s="312">
        <f t="shared" si="147"/>
        <v>0.9</v>
      </c>
      <c r="AF381" s="313">
        <f t="shared" si="147"/>
        <v>0.29977709747926196</v>
      </c>
      <c r="AG381" s="839">
        <f t="shared" si="147"/>
        <v>-1</v>
      </c>
      <c r="AH381" s="178">
        <f t="shared" si="147"/>
        <v>5</v>
      </c>
      <c r="AI381" s="228">
        <f>MIN(AI15:AI380)</f>
        <v>-0.70022290252073804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27.064526027397275</v>
      </c>
      <c r="C382" s="377"/>
      <c r="D382" s="377">
        <f>AVERAGE(D15:D380)</f>
        <v>27.740156175355878</v>
      </c>
      <c r="E382" s="377">
        <f>AVERAGE(E15:E380)</f>
        <v>30.070001202091305</v>
      </c>
      <c r="F382" s="378">
        <f>AVERAGE(F15:F380)</f>
        <v>30.257282429411163</v>
      </c>
      <c r="G382" s="126">
        <f>AVERAGE(G15:G380)</f>
        <v>0.67913335497368887</v>
      </c>
      <c r="H382" s="94"/>
      <c r="I382" s="378">
        <f>AVERAGE(I15:I380)</f>
        <v>39.571471721284141</v>
      </c>
      <c r="J382" s="59">
        <f>AVERAGE(J15:J380)</f>
        <v>2019.8551912568305</v>
      </c>
      <c r="K382" s="202" t="s">
        <v>8</v>
      </c>
      <c r="L382" s="147">
        <f t="shared" ref="L382:V382" si="148">AVERAGE(L15:L380)</f>
        <v>2.4499552041093085E-2</v>
      </c>
      <c r="M382" s="872"/>
      <c r="N382" s="872"/>
      <c r="O382" s="48">
        <f t="shared" si="148"/>
        <v>8.5139759127048145E-2</v>
      </c>
      <c r="P382" s="171">
        <f t="shared" si="148"/>
        <v>1.8586583551663777E-2</v>
      </c>
      <c r="Q382" s="314">
        <f t="shared" si="148"/>
        <v>0.89999999999999813</v>
      </c>
      <c r="R382" s="179">
        <f t="shared" si="148"/>
        <v>0.635762990737884</v>
      </c>
      <c r="S382" s="839">
        <f t="shared" si="148"/>
        <v>-1</v>
      </c>
      <c r="T382" s="178">
        <f t="shared" si="148"/>
        <v>5</v>
      </c>
      <c r="U382" s="253">
        <f t="shared" si="148"/>
        <v>-0.36423700926211611</v>
      </c>
      <c r="V382" s="59">
        <f t="shared" si="148"/>
        <v>38.686622464258747</v>
      </c>
      <c r="X382" s="112" t="s">
        <v>8</v>
      </c>
      <c r="Y382" s="377">
        <f>AVERAGE(Y15:Y380)</f>
        <v>25.261354623775404</v>
      </c>
      <c r="Z382" s="377">
        <f>AVERAGE(Z15:Z380)</f>
        <v>25.890930179212024</v>
      </c>
      <c r="AA382" s="377">
        <f>AVERAGE(AA15:AA380)</f>
        <v>30.070001202091305</v>
      </c>
      <c r="AB382" s="202" t="s">
        <v>8</v>
      </c>
      <c r="AC382" s="48">
        <f t="shared" ref="AC382:AH382" si="149">AVERAGE(AC15:AC380)</f>
        <v>0.13874167594003667</v>
      </c>
      <c r="AD382" s="171">
        <f t="shared" si="149"/>
        <v>1.8586583551663777E-2</v>
      </c>
      <c r="AE382" s="314">
        <f t="shared" si="149"/>
        <v>0.89999999999999813</v>
      </c>
      <c r="AF382" s="179">
        <f t="shared" si="149"/>
        <v>0.635762990737884</v>
      </c>
      <c r="AG382" s="839">
        <f t="shared" si="149"/>
        <v>-1</v>
      </c>
      <c r="AH382" s="178">
        <f t="shared" si="149"/>
        <v>5</v>
      </c>
      <c r="AI382" s="227">
        <f>AVERAGE(AI15:AI380)</f>
        <v>-0.36423700926211611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59.570999999999998</v>
      </c>
      <c r="C383" s="379"/>
      <c r="D383" s="379">
        <f>MAX(D15:D380)</f>
        <v>61.006222062278042</v>
      </c>
      <c r="E383" s="379">
        <f>MAX(E15:E380)</f>
        <v>63.749920912225726</v>
      </c>
      <c r="F383" s="380">
        <f>MAX(F15:F380)</f>
        <v>63.75799356602392</v>
      </c>
      <c r="G383" s="127">
        <f>+MAX(G15:G380)</f>
        <v>1.0349178270250994</v>
      </c>
      <c r="H383" s="94"/>
      <c r="I383" s="380">
        <f>MAX(I15:I380)</f>
        <v>65.985446784364868</v>
      </c>
      <c r="J383" s="60">
        <f>MAX(J15:J380)</f>
        <v>2021</v>
      </c>
      <c r="K383" s="202" t="s">
        <v>9</v>
      </c>
      <c r="L383" s="148">
        <f t="shared" ref="L383:T383" si="150">MAX(L15:L380)</f>
        <v>2.8625423225242974E-2</v>
      </c>
      <c r="M383" s="875"/>
      <c r="N383" s="875"/>
      <c r="O383" s="49">
        <f t="shared" si="150"/>
        <v>0.1277296354516107</v>
      </c>
      <c r="P383" s="172">
        <f t="shared" si="150"/>
        <v>7.8521627209968373E-2</v>
      </c>
      <c r="Q383" s="315">
        <f t="shared" si="150"/>
        <v>0.9</v>
      </c>
      <c r="R383" s="316">
        <f t="shared" si="150"/>
        <v>0.89999990691968068</v>
      </c>
      <c r="S383" s="840">
        <f t="shared" si="150"/>
        <v>-1</v>
      </c>
      <c r="T383" s="235">
        <f t="shared" si="150"/>
        <v>5</v>
      </c>
      <c r="U383" s="255">
        <f>+MAX(U15:U380)</f>
        <v>-0.10000009308031932</v>
      </c>
      <c r="V383" s="60">
        <f>MAX(V15:V380)</f>
        <v>60.2085120017707</v>
      </c>
      <c r="X383" s="112" t="s">
        <v>9</v>
      </c>
      <c r="Y383" s="379">
        <f>MAX(Y15:Y380)</f>
        <v>53.583398358360988</v>
      </c>
      <c r="Z383" s="379">
        <f>MAX(Z15:Z380)</f>
        <v>54.894410464382858</v>
      </c>
      <c r="AA383" s="379">
        <f>MAX(AA15:AA380)</f>
        <v>63.749920912225726</v>
      </c>
      <c r="AB383" s="202" t="s">
        <v>9</v>
      </c>
      <c r="AC383" s="49">
        <f t="shared" ref="AC383:AH383" si="151">MAX(AC15:AC380)</f>
        <v>0.15059558249470933</v>
      </c>
      <c r="AD383" s="172">
        <f t="shared" si="151"/>
        <v>7.8521627209968373E-2</v>
      </c>
      <c r="AE383" s="315">
        <f t="shared" si="151"/>
        <v>0.9</v>
      </c>
      <c r="AF383" s="316">
        <f t="shared" si="151"/>
        <v>0.89999990691968068</v>
      </c>
      <c r="AG383" s="840">
        <f t="shared" si="151"/>
        <v>-1</v>
      </c>
      <c r="AH383" s="235">
        <f t="shared" si="151"/>
        <v>5</v>
      </c>
      <c r="AI383" s="229">
        <f>MAX(AI15:AI380)</f>
        <v>-0.10000009308031932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7"/>
      <c r="AK384" s="857"/>
      <c r="AL384" s="857"/>
      <c r="AM384" s="857"/>
      <c r="AN384" s="406"/>
    </row>
  </sheetData>
  <sheetProtection sheet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3" priority="7" stopIfTrue="1" operator="lessThan">
      <formula>0.01</formula>
    </cfRule>
    <cfRule type="cellIs" dxfId="12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9"/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379" sqref="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6">
        <f>'2021'!An+1</f>
        <v>2022</v>
      </c>
      <c r="K1" s="1267"/>
      <c r="L1" s="113" t="str">
        <f>"Calcul pertes et enveloppes en "&amp;TEXT(An,0)</f>
        <v>Calcul pertes et enveloppes en 2022</v>
      </c>
      <c r="M1" s="245"/>
      <c r="N1" s="245"/>
      <c r="V1" s="460"/>
      <c r="W1" s="458"/>
      <c r="X1" s="489" t="str">
        <f>"Prévision sans nettoyage ni taille végétation en "&amp;TEXT(An,0)</f>
        <v>Prévision sans nettoyage ni taille végétation en 2022</v>
      </c>
      <c r="Y1" s="490"/>
      <c r="Z1" s="491"/>
      <c r="AA1" s="492"/>
      <c r="AB1" s="493"/>
      <c r="AC1" s="494"/>
      <c r="AD1" s="494"/>
      <c r="AE1" s="494"/>
      <c r="AF1" s="494"/>
      <c r="AG1" s="494"/>
      <c r="AH1" s="494"/>
      <c r="AI1" s="494"/>
      <c r="AL1" s="856" t="s">
        <v>270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6" t="s">
        <v>24</v>
      </c>
      <c r="P2" s="18"/>
      <c r="Q2" s="812"/>
      <c r="R2" s="18"/>
      <c r="S2" s="497"/>
      <c r="T2" s="497"/>
      <c r="U2" s="296" t="s">
        <v>79</v>
      </c>
      <c r="V2" s="498">
        <f>PertePVan</f>
        <v>8.5000000000000006E-3</v>
      </c>
      <c r="W2" s="452" t="s">
        <v>14</v>
      </c>
      <c r="X2" s="499"/>
      <c r="Y2" s="500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862" t="s">
        <v>262</v>
      </c>
      <c r="AK2" s="862" t="s">
        <v>264</v>
      </c>
      <c r="AL2" s="862" t="s">
        <v>263</v>
      </c>
      <c r="AM2" s="862" t="s">
        <v>265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6">
        <f>Tmaj</f>
        <v>44926</v>
      </c>
      <c r="F3" s="1276"/>
      <c r="G3" s="8"/>
      <c r="H3" s="26"/>
      <c r="I3" s="6"/>
      <c r="J3" s="34"/>
      <c r="K3" s="193"/>
      <c r="L3" s="54"/>
      <c r="M3" s="34"/>
      <c r="N3" s="34"/>
      <c r="O3" s="503"/>
      <c r="P3" s="34"/>
      <c r="Q3" s="503"/>
      <c r="R3" s="34"/>
      <c r="S3" s="515"/>
      <c r="T3" s="452"/>
      <c r="U3" s="211" t="s">
        <v>165</v>
      </c>
      <c r="V3" s="637">
        <f>Salim_i</f>
        <v>0.21</v>
      </c>
      <c r="W3" s="452"/>
      <c r="X3" s="504" t="s">
        <v>96</v>
      </c>
      <c r="Y3" s="505"/>
      <c r="Z3" s="506"/>
      <c r="AA3" s="500"/>
      <c r="AB3" s="500"/>
      <c r="AC3" s="430"/>
      <c r="AD3" s="430"/>
      <c r="AE3" s="430"/>
      <c r="AF3" s="430"/>
      <c r="AG3" s="430"/>
      <c r="AH3" s="430"/>
      <c r="AI3" s="430"/>
      <c r="AJ3" s="860">
        <f>AL11-AJ11</f>
        <v>346.84345129413168</v>
      </c>
      <c r="AK3" s="861">
        <f>AM11-AK11</f>
        <v>0</v>
      </c>
      <c r="AL3" s="860"/>
      <c r="AM3" s="861"/>
      <c r="AN3" s="859" t="s">
        <v>271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6" t="str">
        <f>Station</f>
        <v>Crèche Ayguesvives</v>
      </c>
      <c r="F4" s="1217"/>
      <c r="G4" s="1217"/>
      <c r="H4" s="1217"/>
      <c r="I4" s="1218"/>
      <c r="J4" s="158"/>
      <c r="K4" s="193"/>
      <c r="L4" s="508"/>
      <c r="M4" s="507"/>
      <c r="N4" s="507"/>
      <c r="O4" s="430"/>
      <c r="P4" s="34"/>
      <c r="Q4" s="507"/>
      <c r="R4" s="34"/>
      <c r="S4" s="497"/>
      <c r="T4" s="411"/>
      <c r="U4" s="297" t="s">
        <v>82</v>
      </c>
      <c r="V4" s="636">
        <f>Persistant</f>
        <v>1</v>
      </c>
      <c r="W4" s="510" t="s">
        <v>54</v>
      </c>
      <c r="X4" s="511"/>
      <c r="Y4" s="512"/>
      <c r="Z4" s="513" t="s">
        <v>27</v>
      </c>
      <c r="AA4" s="514" t="s">
        <v>28</v>
      </c>
      <c r="AB4" s="507"/>
      <c r="AC4" s="430"/>
      <c r="AD4" s="430"/>
      <c r="AE4" s="430"/>
      <c r="AF4" s="430"/>
      <c r="AG4" s="430"/>
      <c r="AH4" s="430"/>
      <c r="AI4" s="430"/>
      <c r="AJ4" s="860">
        <f>AL12-AJ12</f>
        <v>105.09892350111284</v>
      </c>
      <c r="AK4" s="861">
        <f>AM12-AK12</f>
        <v>-4.2153874441492576</v>
      </c>
      <c r="AL4" s="860"/>
      <c r="AM4" s="861"/>
      <c r="AN4" s="859" t="s">
        <v>272</v>
      </c>
    </row>
    <row r="5" spans="1:40" s="35" customFormat="1" ht="16.5" customHeight="1" x14ac:dyDescent="0.25">
      <c r="D5" s="161" t="s">
        <v>20</v>
      </c>
      <c r="E5" s="1277">
        <f>T0</f>
        <v>43313</v>
      </c>
      <c r="F5" s="1277"/>
      <c r="G5" s="34"/>
      <c r="H5" s="158"/>
      <c r="I5" s="158"/>
      <c r="K5" s="194"/>
      <c r="L5" s="508"/>
      <c r="M5" s="507"/>
      <c r="N5" s="507"/>
      <c r="O5" s="19"/>
      <c r="R5" s="39"/>
      <c r="S5" s="180"/>
      <c r="T5" s="180"/>
      <c r="U5" s="41"/>
      <c r="V5" s="509"/>
      <c r="W5" s="510"/>
      <c r="X5" s="511"/>
      <c r="Y5" s="512"/>
      <c r="Z5" s="238">
        <f>Wh_Psa_s-Wh_Psa</f>
        <v>452.26827703952813</v>
      </c>
      <c r="AA5" s="239">
        <f>Wh_Pvg_s-Wh_Pvg</f>
        <v>-4.2493365285623383</v>
      </c>
      <c r="AB5" s="516" t="s">
        <v>6</v>
      </c>
      <c r="AC5" s="510"/>
      <c r="AD5" s="510"/>
      <c r="AE5" s="510"/>
      <c r="AF5" s="510"/>
      <c r="AG5" s="510"/>
      <c r="AH5" s="510"/>
      <c r="AI5" s="510"/>
      <c r="AJ5" s="518">
        <f>SUMIF(AJ15:AJ380,"VRAI",Wh)</f>
        <v>8866.1600000000035</v>
      </c>
      <c r="AK5" s="518">
        <f>SUMIF(AK15:AK380,"VRAI",Wh)</f>
        <v>3.6450000000000005</v>
      </c>
      <c r="AL5" s="518">
        <f>SUMIF(AJ15:AJ380,"VRAI",Wh_s)</f>
        <v>8515.0238514638568</v>
      </c>
      <c r="AM5" s="518">
        <f>SUMIF(AK15:AK380,"VRAI",Wh_s)</f>
        <v>0</v>
      </c>
      <c r="AN5" s="859" t="s">
        <v>268</v>
      </c>
    </row>
    <row r="6" spans="1:40" s="6" customFormat="1" ht="16.5" customHeight="1" x14ac:dyDescent="0.2">
      <c r="B6" s="8"/>
      <c r="C6" s="8"/>
      <c r="D6" s="161" t="s">
        <v>11</v>
      </c>
      <c r="E6" s="1278">
        <f>Tservice</f>
        <v>43354</v>
      </c>
      <c r="F6" s="1278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2"/>
      <c r="W6" s="464"/>
      <c r="X6" s="499"/>
      <c r="Y6" s="500"/>
      <c r="Z6" s="464"/>
      <c r="AA6" s="464"/>
      <c r="AB6" s="518"/>
      <c r="AC6" s="464"/>
      <c r="AD6" s="464"/>
      <c r="AE6" s="464"/>
      <c r="AF6" s="464"/>
      <c r="AG6" s="464"/>
      <c r="AH6" s="464"/>
      <c r="AI6" s="464"/>
      <c r="AJ6" s="518">
        <f>SUMIF(AJ15:AJ380,"FAUX",Wh)</f>
        <v>895.60300000000007</v>
      </c>
      <c r="AK6" s="518">
        <f>SUMIF(AK15:AK380,"FAUX",Wh)</f>
        <v>9758.1180000000058</v>
      </c>
      <c r="AL6" s="518">
        <f>SUMIF(AJ15:AJ380,"FAUX",Wh_s)</f>
        <v>790.50205365189163</v>
      </c>
      <c r="AM6" s="518">
        <f>SUMIF(AK15:AK380,"FAUX",Wh_s)</f>
        <v>9305.5259051157518</v>
      </c>
      <c r="AN6" s="859" t="s">
        <v>269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AND(YEAR(Tnet)=An,Resal_2022="I")</f>
        <v>0</v>
      </c>
      <c r="F7" s="322" t="b">
        <f>YEAR(Tnet)=An</f>
        <v>1</v>
      </c>
      <c r="J7" s="180"/>
      <c r="K7" s="193"/>
      <c r="L7" s="191" t="s">
        <v>81</v>
      </c>
      <c r="M7" s="870"/>
      <c r="N7" s="870"/>
      <c r="O7" s="18"/>
      <c r="P7" s="118"/>
      <c r="Q7" s="118"/>
      <c r="R7" s="141"/>
      <c r="S7" s="141"/>
      <c r="T7" s="141"/>
      <c r="U7" s="141"/>
      <c r="V7" s="430"/>
      <c r="W7" s="520"/>
      <c r="X7" s="521"/>
      <c r="Y7" s="250"/>
      <c r="Z7" s="520"/>
      <c r="AA7" s="520"/>
      <c r="AB7" s="520"/>
      <c r="AC7" s="520"/>
      <c r="AD7" s="250"/>
      <c r="AE7" s="250"/>
      <c r="AF7" s="495"/>
      <c r="AG7" s="495"/>
      <c r="AH7" s="495"/>
      <c r="AI7" s="520"/>
      <c r="AJ7" s="518">
        <f>SUMIF(AJ15:AJ380,"VRAI",Wh_pvt)</f>
        <v>9158.1972385631416</v>
      </c>
      <c r="AK7" s="518">
        <f>SUMIF(AK15:AK380,"VRAI",Wh_sa)</f>
        <v>0</v>
      </c>
      <c r="AL7" s="518">
        <f>SUMIF(AJ15:AJ380,"VRAI",Wh_pvt_s)</f>
        <v>8799.2085170561513</v>
      </c>
      <c r="AM7" s="518">
        <f>SUMIF(AK15:AK380,"VRAI",Wh_sa_s)</f>
        <v>0</v>
      </c>
      <c r="AN7" s="859" t="s">
        <v>260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AND(YEAR(Tnet)=An,Resal_2022&lt;&gt;"I")</f>
        <v>1</v>
      </c>
      <c r="F8" s="323" t="b">
        <f>YEAR(Ttai)=An</f>
        <v>0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20"/>
      <c r="W8" s="406"/>
      <c r="X8" s="1264" t="s">
        <v>102</v>
      </c>
      <c r="Y8" s="1265"/>
      <c r="Z8" s="500"/>
      <c r="AA8" s="500"/>
      <c r="AB8" s="464"/>
      <c r="AC8" s="522" t="s">
        <v>61</v>
      </c>
      <c r="AD8" s="464"/>
      <c r="AE8" s="464"/>
      <c r="AF8" s="464"/>
      <c r="AG8" s="464"/>
      <c r="AH8" s="464"/>
      <c r="AI8" s="464"/>
      <c r="AJ8" s="518">
        <f>SUMIF(AJ15:AJ380,"FAUX",Wh_pvt)</f>
        <v>928.98252939812414</v>
      </c>
      <c r="AK8" s="518">
        <f>SUMIF(AK15:AK380,"FAUX",Wh_sa)</f>
        <v>11464.114193609657</v>
      </c>
      <c r="AL8" s="518">
        <f>SUMIF(AJ15:AJ380,"FAUX",Wh_pvt_s)</f>
        <v>819.96622122138251</v>
      </c>
      <c r="AM8" s="518">
        <f>SUMIF(AK15:AK380,"FAUX",Wh_sa_s)</f>
        <v>11464.114193609657</v>
      </c>
      <c r="AN8" s="859" t="s">
        <v>261</v>
      </c>
    </row>
    <row r="9" spans="1:40" s="19" customFormat="1" ht="15" customHeight="1" x14ac:dyDescent="0.25">
      <c r="A9" s="34"/>
      <c r="B9" s="212"/>
      <c r="C9" s="212"/>
      <c r="D9" s="186">
        <f>SUM(D$15:D$380)</f>
        <v>10087.179767961266</v>
      </c>
      <c r="E9" s="186">
        <f>SUM(E$15:E$380)</f>
        <v>11464.114193609657</v>
      </c>
      <c r="F9" s="186">
        <f>SUM(F$15:F$380)</f>
        <v>11570.889551766088</v>
      </c>
      <c r="H9" s="1268">
        <f>+SUM(Wh)</f>
        <v>9761.7630000000063</v>
      </c>
      <c r="I9" s="1269"/>
      <c r="J9" s="1270"/>
      <c r="K9" s="193"/>
      <c r="L9" s="234"/>
      <c r="M9" s="234"/>
      <c r="N9" s="234"/>
      <c r="O9" s="225">
        <f>Tnet_2022</f>
        <v>44854</v>
      </c>
      <c r="P9" s="246" t="s">
        <v>91</v>
      </c>
      <c r="Q9" s="247"/>
      <c r="R9" s="247"/>
      <c r="S9" s="247"/>
      <c r="T9" s="247"/>
      <c r="U9" s="248"/>
      <c r="V9" s="464"/>
      <c r="W9" s="523"/>
      <c r="X9" s="1262">
        <f>+SUM(Wh_s)</f>
        <v>9305.5259051157518</v>
      </c>
      <c r="Y9" s="1263"/>
      <c r="Z9" s="518">
        <f>SUM(Z$15:Z$380)</f>
        <v>9619.1747382775357</v>
      </c>
      <c r="AA9" s="518">
        <f>SUM(AA$15:AA$380)</f>
        <v>11464.114193609657</v>
      </c>
      <c r="AB9" s="518">
        <f>F9</f>
        <v>11570.889551766088</v>
      </c>
      <c r="AC9" s="327">
        <f>IF(An_Tnet,Tnet,'2021'!Tnet_s)</f>
        <v>44854</v>
      </c>
      <c r="AD9" s="318" t="s">
        <v>91</v>
      </c>
      <c r="AE9" s="318"/>
      <c r="AF9" s="318"/>
      <c r="AG9" s="318"/>
      <c r="AH9" s="318"/>
      <c r="AI9" s="319"/>
      <c r="AJ9" s="518">
        <f>SUMIF(AJ15:AJ380,"VRAI",Wh_sa)</f>
        <v>10507.246173013722</v>
      </c>
      <c r="AK9" s="518">
        <f>SUMIF(AK15:AK380,"VRAI",Wh_hp)</f>
        <v>0</v>
      </c>
      <c r="AL9" s="518">
        <f>SUMIF(AJ15:AJ380,"VRAI",Wh_sa_s)</f>
        <v>10507.246173013722</v>
      </c>
      <c r="AM9" s="518">
        <f>SUMIF(AK15:AK380,"VRAI",Wh_hp)</f>
        <v>0</v>
      </c>
      <c r="AN9" s="859" t="s">
        <v>266</v>
      </c>
    </row>
    <row r="10" spans="1:40" s="19" customFormat="1" ht="15" customHeight="1" x14ac:dyDescent="0.25">
      <c r="A10" s="208"/>
      <c r="B10" s="209"/>
      <c r="C10" s="866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IF(Inflex,'2021'!Resal+('2021'!Salim-'2021'!Resal)*(1-EXP(-(Tnet-'2021'!Tnet)/('2021'!Tau_j))),IF(An_Tnet,Resal_2022,'2021'!Resal))</f>
        <v>2.1999999999999999E-2</v>
      </c>
      <c r="P10" s="423" t="b">
        <f>NOT(Acti_tai)</f>
        <v>1</v>
      </c>
      <c r="Q10" s="259">
        <f>IF(Acti_tai,'2021'!PousD,Dens-Dd)</f>
        <v>0</v>
      </c>
      <c r="R10" s="276"/>
      <c r="S10" s="277"/>
      <c r="T10" s="278"/>
      <c r="U10" s="268">
        <f>IF(Acti_tai,'2021'!PousH,Hdtf-Hdd)</f>
        <v>0.60022433765500383</v>
      </c>
      <c r="V10" s="430"/>
      <c r="W10" s="507"/>
      <c r="X10" s="508"/>
      <c r="Y10" s="524" t="s">
        <v>26</v>
      </c>
      <c r="Z10" s="514" t="s">
        <v>27</v>
      </c>
      <c r="AA10" s="514" t="s">
        <v>28</v>
      </c>
      <c r="AB10" s="430"/>
      <c r="AC10" s="320">
        <f>IF(OR(Inflex,GainD),'2021'!Resal_s+('2021'!Salim-'2021'!Resal_s)*(1-EXP(('2021'!Tnet_s-Tnet)/('2021'!Tau_j))),IF(Acti_net,'2021'!Resal+('2021'!Salim-'2021'!Resal)*(1-EXP(('2021'!Tnet-Tnet)/'2021'!Tau_j)),'2021'!Resal_s))</f>
        <v>0.13769041681018965</v>
      </c>
      <c r="AD10" s="430"/>
      <c r="AE10" s="430"/>
      <c r="AF10" s="262"/>
      <c r="AG10" s="263"/>
      <c r="AH10" s="264"/>
      <c r="AI10" s="475"/>
      <c r="AJ10" s="518">
        <f>SUMIF(AJ15:AJ380,"FAUX",Wh_sa)</f>
        <v>956.86802059594686</v>
      </c>
      <c r="AK10" s="518">
        <f>SUMIF(AK15:AK380,"FAUX",Wh_hp)</f>
        <v>11570.889551766088</v>
      </c>
      <c r="AL10" s="518">
        <f>SUMIF(AJ15:AJ380,"FAUX",Wh_sa_s)</f>
        <v>956.86802059594686</v>
      </c>
      <c r="AM10" s="518">
        <f>SUMIF(AK15:AK380,"FAUX",Wh_hp)</f>
        <v>11570.889551766088</v>
      </c>
      <c r="AN10" s="859" t="s">
        <v>267</v>
      </c>
    </row>
    <row r="11" spans="1:40" s="40" customFormat="1" ht="15" customHeight="1" x14ac:dyDescent="0.25">
      <c r="A11" s="218"/>
      <c r="B11" s="219" t="s">
        <v>43</v>
      </c>
      <c r="C11" s="867"/>
      <c r="D11" s="50">
        <f>D$9-Prod_an</f>
        <v>325.41676796126012</v>
      </c>
      <c r="E11" s="51">
        <f>(E$9-D$9)*Prod_an/D$9</f>
        <v>1332.513927471857</v>
      </c>
      <c r="F11" s="188">
        <f>(F$9-E$9)*Prod_an/E$9</f>
        <v>90.919867244884784</v>
      </c>
      <c r="G11" s="187" t="s">
        <v>6</v>
      </c>
      <c r="K11" s="196"/>
      <c r="L11" s="213">
        <f>Tvie_2022</f>
        <v>43313</v>
      </c>
      <c r="M11" s="871"/>
      <c r="N11" s="871"/>
      <c r="O11" s="204">
        <f>IF(An_Tnet,Salim_2022,'2021'!Salim)</f>
        <v>0.22</v>
      </c>
      <c r="P11" s="258">
        <f>Ttai_2022</f>
        <v>43101</v>
      </c>
      <c r="Q11" s="274">
        <f>Dens_2022</f>
        <v>0.9</v>
      </c>
      <c r="R11" s="279"/>
      <c r="S11" s="232"/>
      <c r="T11" s="232"/>
      <c r="U11" s="268">
        <f>Htf_2022</f>
        <v>0.50022424457468451</v>
      </c>
      <c r="V11" s="19"/>
      <c r="W11" s="863"/>
      <c r="X11" s="237" t="s">
        <v>43</v>
      </c>
      <c r="Y11" s="50">
        <f>Z$9-Prod_an_s</f>
        <v>313.64883316178384</v>
      </c>
      <c r="Z11" s="51">
        <f>(AA$9-Z$9)*Prod_an_s/Z$9</f>
        <v>1784.7822045113851</v>
      </c>
      <c r="AA11" s="188">
        <f>(AB$9-AA$9)*Prod_an_s/AA$9</f>
        <v>86.670530716322446</v>
      </c>
      <c r="AB11" s="187" t="s">
        <v>6</v>
      </c>
      <c r="AC11" s="327"/>
      <c r="AD11" s="19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60">
        <f>IF($AJ7=0,0,($AJ9-$AJ7)*$AJ5/$AJ7)</f>
        <v>1306.0303670141247</v>
      </c>
      <c r="AK11" s="861">
        <f>IF($AK7=0,0,($AK9-$AK7)*$AK5/$AK7)</f>
        <v>0</v>
      </c>
      <c r="AL11" s="860">
        <f>IF($AL7=0,0,($AL9-$AL7)*$AL5/$AL7)</f>
        <v>1652.8738183082564</v>
      </c>
      <c r="AM11" s="861">
        <f>IF($AM7=0,0,($AM9-$AM7)*$AM5/$AM7)</f>
        <v>0</v>
      </c>
      <c r="AN11" s="859" t="s">
        <v>273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3.7798110649190475E-2</v>
      </c>
      <c r="K12" s="193"/>
      <c r="L12" s="214">
        <f>Pspv_2022</f>
        <v>0</v>
      </c>
      <c r="M12" s="214"/>
      <c r="N12" s="214"/>
      <c r="O12" s="207">
        <f>IF(An_Tnet,Tau_2022*365,'2021'!Tau_j)</f>
        <v>912.5</v>
      </c>
      <c r="P12" s="283">
        <f>INDEX(Croivg,MIN(MAX(Ttai-$A$15,0)+1,366))</f>
        <v>2.3909964587625958E-6</v>
      </c>
      <c r="Q12" s="282">
        <f>'2021'!Df</f>
        <v>0.9</v>
      </c>
      <c r="R12" s="280"/>
      <c r="S12" s="281"/>
      <c r="T12" s="281"/>
      <c r="U12" s="269">
        <f>'2021'!Hdf</f>
        <v>-0.10000009308031932</v>
      </c>
      <c r="V12" s="40"/>
      <c r="W12" s="34"/>
      <c r="X12" s="54"/>
      <c r="Y12" s="34"/>
      <c r="AB12" s="321" t="s">
        <v>106</v>
      </c>
      <c r="AC12" s="320" t="b">
        <f>NOT(An_Tnet)</f>
        <v>0</v>
      </c>
      <c r="AE12" s="298">
        <f>'2021'!Df_s</f>
        <v>0.9</v>
      </c>
      <c r="AF12" s="205"/>
      <c r="AG12" s="205"/>
      <c r="AH12" s="205"/>
      <c r="AI12" s="299">
        <f>'2021'!Hdf_s</f>
        <v>-0.10000009308031932</v>
      </c>
      <c r="AJ12" s="860">
        <f>IF($AJ8=0,0,($AJ10-$AJ8)*$AJ6/$AJ8)</f>
        <v>26.883529865114006</v>
      </c>
      <c r="AK12" s="861">
        <f>IF($AK8=0,0,($AK10-$AK8)*$AK6/$AK8)</f>
        <v>90.885918160471704</v>
      </c>
      <c r="AL12" s="860">
        <f>IF($AL8=0,0,($AL10-$AL8)*$AL6/$AL8)</f>
        <v>131.98245336622685</v>
      </c>
      <c r="AM12" s="861">
        <f>IF($AM8=0,0,($AM10-$AM8)*$AM6/$AM8)</f>
        <v>86.670530716322446</v>
      </c>
      <c r="AN12" s="859" t="s">
        <v>274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205</v>
      </c>
      <c r="V13" s="124" t="s">
        <v>41</v>
      </c>
      <c r="W13" s="864" t="s">
        <v>46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209</v>
      </c>
      <c r="AJ13" s="73">
        <f>+AJ11+AJ12</f>
        <v>1332.9138968792388</v>
      </c>
      <c r="AK13" s="73">
        <f>+AK11+AK12</f>
        <v>90.885918160471704</v>
      </c>
      <c r="AL13" s="73">
        <f>+AL11+AL12</f>
        <v>1784.8562716744832</v>
      </c>
      <c r="AM13" s="73">
        <f>+AM11+AM12</f>
        <v>86.670530716322446</v>
      </c>
      <c r="AN13" s="858" t="s">
        <v>275</v>
      </c>
    </row>
    <row r="14" spans="1:40" s="46" customFormat="1" ht="40.5" customHeight="1" thickBot="1" x14ac:dyDescent="0.25">
      <c r="A14" s="45" t="s">
        <v>2</v>
      </c>
      <c r="B14" s="418" t="s">
        <v>190</v>
      </c>
      <c r="C14" s="418"/>
      <c r="D14" s="53" t="s">
        <v>30</v>
      </c>
      <c r="E14" s="162" t="s">
        <v>29</v>
      </c>
      <c r="F14" s="162" t="str">
        <f>"Hors pertes "&amp; TEXT(An,0)</f>
        <v>Hors pertes 2022</v>
      </c>
      <c r="G14" s="107" t="s">
        <v>42</v>
      </c>
      <c r="H14" s="415" t="s">
        <v>117</v>
      </c>
      <c r="I14" s="79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206</v>
      </c>
      <c r="S14" s="174" t="s">
        <v>207</v>
      </c>
      <c r="T14" s="174" t="s">
        <v>208</v>
      </c>
      <c r="U14" s="108" t="s">
        <v>204</v>
      </c>
      <c r="V14" s="45" t="str">
        <f>"Enveloppe "&amp; TEXT(An,0)</f>
        <v>Enveloppe 2022</v>
      </c>
      <c r="W14" s="865" t="s">
        <v>116</v>
      </c>
      <c r="X14" s="260" t="s">
        <v>2</v>
      </c>
      <c r="Y14" s="107" t="str">
        <f>"Wh / Jour "&amp; TEXT(An,0)</f>
        <v>Wh / Jour 2022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206</v>
      </c>
      <c r="AG14" s="174" t="s">
        <v>207</v>
      </c>
      <c r="AH14" s="174" t="s">
        <v>208</v>
      </c>
      <c r="AI14" s="108" t="s">
        <v>211</v>
      </c>
      <c r="AJ14" s="705" t="s">
        <v>258</v>
      </c>
      <c r="AK14" s="705" t="s">
        <v>259</v>
      </c>
      <c r="AL14" s="267"/>
      <c r="AM14" s="267"/>
      <c r="AN14" s="75"/>
    </row>
    <row r="15" spans="1:40" s="6" customFormat="1" ht="11.25" x14ac:dyDescent="0.2">
      <c r="A15" s="56">
        <f>DATE(An,1,1)</f>
        <v>44562</v>
      </c>
      <c r="B15" s="1140">
        <v>15.487</v>
      </c>
      <c r="C15" s="868"/>
      <c r="D15" s="395">
        <f t="shared" ref="D15:D78" si="0">Wh/(1-Ppv)</f>
        <v>15.94375721148158</v>
      </c>
      <c r="E15" s="402">
        <f t="shared" ref="E15:E79" si="1">Wh_pvt/(1-Psa)</f>
        <v>17.679382758082049</v>
      </c>
      <c r="F15" s="402">
        <f t="shared" ref="F15:F78" si="2">Wh_sa/(1-Pvg*MEDIAN((-Sdif+Wh/Env_an)/Csdif,0,1))</f>
        <v>19.096733183956804</v>
      </c>
      <c r="G15" s="123">
        <f>+Wh_hp/MaxiM</f>
        <v>1.0132092907872867</v>
      </c>
      <c r="H15" s="416" t="b">
        <f>Wh_hp&gt;='2021'!Maxi_hp</f>
        <v>1</v>
      </c>
      <c r="I15" s="381">
        <f>IF(H15,Wh_hp,'2021'!Maxi_hp)</f>
        <v>19.096733183956804</v>
      </c>
      <c r="J15" s="84">
        <f>IF(H15,An,'2021'!An_max)</f>
        <v>2022</v>
      </c>
      <c r="K15" s="199">
        <f t="shared" ref="K15:K78" si="3">t</f>
        <v>44562</v>
      </c>
      <c r="L15" s="146">
        <f>IF(t&lt;Tvie,1-EXP((T0-t)*PertePVj)+'2021'!Pspv,1-EXP((T0-t)*PertePVj)+Pspv)</f>
        <v>2.8648028530731451E-2</v>
      </c>
      <c r="M15" s="872"/>
      <c r="N15" s="872"/>
      <c r="O15" s="48">
        <f>IF(t&lt;Tnet,'2021'!Resal+('2021'!Salim-'2021'!Resal)*(1-EXP(('2021'!Tnet-t)/('2021'!Tau_j))),Resal+(Salim-Resal)*(1-EXP((Tnet-t)/(Tau_j))))*Salcycl</f>
        <v>9.817229313659355E-2</v>
      </c>
      <c r="P15" s="340">
        <f>(INDEX(Models!$BJ15:$BT15,,T15)*(1-R15)+INDEX(Models!$BJ15:$BT15,,T15+1)*R15-ERP_i)*Q15*Ramure*Pc/MaxiM</f>
        <v>7.4219522900674559E-2</v>
      </c>
      <c r="Q15" s="305">
        <f t="shared" ref="Q15:Q78" si="4">IF(OR(t&lt;Ttai,Notai),Dd+PousD*Croivg,Dens+PousD*(Croivg-Croi_tai))</f>
        <v>0.9</v>
      </c>
      <c r="R15" s="306">
        <f t="shared" ref="R15:R78" si="5">(Hp_vg-S15)/(INDEX(Echel_vg,T15+1)-S15)</f>
        <v>0.90000134205394644</v>
      </c>
      <c r="S15" s="838">
        <f t="shared" ref="S15:S78" si="6">INDEX(Echel_vg,T15)</f>
        <v>-1</v>
      </c>
      <c r="T15" s="251">
        <f t="shared" ref="T15:T78" si="7">MIN(MATCH(Hp_vg,Echel_vg),10)</f>
        <v>5</v>
      </c>
      <c r="U15" s="252">
        <f>IF(OR(t&lt;Ttai,Notai),Hdd+PousH*Croivg,Hdtf+PousH*(Croivg-Croi_tai))</f>
        <v>-9.9998657946053518E-2</v>
      </c>
      <c r="V15" s="384">
        <f t="shared" ref="V15:V78" si="8">MaxiM*(1-Ppv)*(1-Pvg)*(1-Psa)</f>
        <v>15.28509473888287</v>
      </c>
      <c r="W15" s="404">
        <f t="shared" ref="W15:W78" si="9">Wh*(A15&gt;Tmaj)</f>
        <v>0</v>
      </c>
      <c r="X15" s="156">
        <f t="shared" ref="X15:X78" si="10">t</f>
        <v>44562</v>
      </c>
      <c r="Y15" s="387">
        <f t="shared" ref="Y15:Y78" si="11">Wh_pvt_s*(1-Ppv)</f>
        <v>14.620606190444988</v>
      </c>
      <c r="Z15" s="387">
        <f>Wh_sa_s*(1-Psa_s)</f>
        <v>15.05181089850452</v>
      </c>
      <c r="AA15" s="388">
        <f t="shared" ref="AA15:AA78" si="12">Wh_hp*(1-Pvg_s*MEDIAN((-Sdif+Wh/Env_an)/Csdif,0,1))</f>
        <v>17.679382758082049</v>
      </c>
      <c r="AB15" s="199">
        <f t="shared" ref="AB15:AB78" si="13">t</f>
        <v>44562</v>
      </c>
      <c r="AC15" s="119">
        <f>IF(OR(t&lt;Tnet,NoTnet),'2021'!Resal_s+('2021'!Salim-'2021'!Resal_s)*(1-EXP(('2021'!Tnet_s-t)/'2021'!Tau_j)),Resal_s+(Salim-Resal_s)*(1-EXP((Tnet_s-t)/Tau_j)))*Salcycl</f>
        <v>0.14862350657442186</v>
      </c>
      <c r="AD15" s="233">
        <f>(INDEX(Models!$BJ15:$BT15,,AH15)*(1-AF15)+INDEX(Models!$BJ15:$BT15,,AH15+1)*AF15-ERP_i)*AE15*Ramure*Pc/MaxiM</f>
        <v>7.4219522900674559E-2</v>
      </c>
      <c r="AE15" s="305">
        <f t="shared" ref="AE15:AE78" si="14">IF(OR(t&lt;Ttai,Notai),Dd_s+PousD*Croivg,Dens_s+PousD*(Croivg-Croi_tai))</f>
        <v>0.9</v>
      </c>
      <c r="AF15" s="306">
        <f>(Hp_vg_s-AG15)/(INDEX(Echel_vg,AH15+1)-AG15)</f>
        <v>0.90000134205394644</v>
      </c>
      <c r="AG15" s="838">
        <f>INDEX(Echel_vg,AH15)</f>
        <v>-1</v>
      </c>
      <c r="AH15" s="251">
        <f t="shared" ref="AH15:AH78" si="15">MIN(MATCH(Hp_vg_s,Echel_vg),10)</f>
        <v>5</v>
      </c>
      <c r="AI15" s="226">
        <f>IF(OR(t&lt;Ttai,Notai),Hdd_s+PousH*Croivg,Hdtai_s+PousH*(Croivg-Croi_tai))</f>
        <v>-9.9998657946053518E-2</v>
      </c>
      <c r="AJ15" s="267" t="b">
        <f t="shared" ref="AJ15:AJ78" si="16">t&lt;Tnet</f>
        <v>1</v>
      </c>
      <c r="AK15" s="267" t="b">
        <f t="shared" ref="AK15:AK78" si="17">t&lt;Ttai</f>
        <v>0</v>
      </c>
      <c r="AL15" s="267"/>
      <c r="AM15" s="267"/>
      <c r="AN15" s="75"/>
    </row>
    <row r="16" spans="1:40" s="6" customFormat="1" ht="11.25" x14ac:dyDescent="0.2">
      <c r="A16" s="56">
        <f t="shared" ref="A16:A79" si="18">A15+1</f>
        <v>44563</v>
      </c>
      <c r="B16" s="1141">
        <v>13.262</v>
      </c>
      <c r="C16" s="868"/>
      <c r="D16" s="395">
        <f t="shared" si="0"/>
        <v>13.653453148642189</v>
      </c>
      <c r="E16" s="387">
        <f t="shared" si="1"/>
        <v>15.142971550936585</v>
      </c>
      <c r="F16" s="387">
        <f t="shared" si="2"/>
        <v>16.090663024543638</v>
      </c>
      <c r="G16" s="110">
        <f t="shared" ref="G16:G79" si="19">+Wh_hp/MaxiM</f>
        <v>0.84766682200869126</v>
      </c>
      <c r="H16" s="416" t="b">
        <f>Wh_hp&gt;='2021'!Maxi_hp</f>
        <v>0</v>
      </c>
      <c r="I16" s="382">
        <f>IF(H16,Wh_hp,'2021'!Maxi_hp)</f>
        <v>17.78447596879985</v>
      </c>
      <c r="J16" s="85">
        <f>IF(H16,An,'2021'!An_max)</f>
        <v>2020</v>
      </c>
      <c r="K16" s="199">
        <f t="shared" si="3"/>
        <v>44563</v>
      </c>
      <c r="L16" s="147">
        <f>IF(t&lt;Tvie,1-EXP((T0-t)*PertePVj)+'2021'!Pspv,1-EXP((T0-t)*PertePVj)+Pspv)</f>
        <v>2.8670633310161397E-2</v>
      </c>
      <c r="M16" s="872"/>
      <c r="N16" s="872"/>
      <c r="O16" s="48">
        <f>IF(t&lt;Tnet,'2021'!Resal+('2021'!Salim-'2021'!Resal)*(1-EXP(('2021'!Tnet-t)/('2021'!Tau_j))),Resal+(Salim-Resal)*(1-EXP((Tnet-t)/(Tau_j))))*Salcycl</f>
        <v>9.836367963078349E-2</v>
      </c>
      <c r="P16" s="341">
        <f>(INDEX(Models!$BJ16:$BT16,,T16)*(1-R16)+INDEX(Models!$BJ16:$BT16,,T16+1)*R16-ERP_i)*Q16*Ramure*Pc/MaxiM</f>
        <v>7.348789039713273E-2</v>
      </c>
      <c r="Q16" s="307">
        <f t="shared" si="4"/>
        <v>0.9</v>
      </c>
      <c r="R16" s="179">
        <f t="shared" si="5"/>
        <v>0.90003641269861556</v>
      </c>
      <c r="S16" s="839">
        <f t="shared" si="6"/>
        <v>-1</v>
      </c>
      <c r="T16" s="178">
        <f t="shared" si="7"/>
        <v>5</v>
      </c>
      <c r="U16" s="253">
        <f t="shared" ref="U16:U78" si="20">IF(OR(t&lt;Ttai,Notai),Hdd+PousH*Croivg,Hdtf+PousH*(Croivg-Croi_tai))</f>
        <v>-9.9963587301384452E-2</v>
      </c>
      <c r="V16" s="385">
        <f t="shared" si="8"/>
        <v>15.402732457131682</v>
      </c>
      <c r="W16" s="404">
        <f t="shared" si="9"/>
        <v>0</v>
      </c>
      <c r="X16" s="157">
        <f t="shared" si="10"/>
        <v>44563</v>
      </c>
      <c r="Y16" s="387">
        <f t="shared" si="11"/>
        <v>12.521994259559385</v>
      </c>
      <c r="Z16" s="387">
        <f t="shared" ref="Z16:Z78" si="21">Wh_sa_s*(1-Psa_s)</f>
        <v>12.891604731598589</v>
      </c>
      <c r="AA16" s="388">
        <f t="shared" si="12"/>
        <v>15.142971550936583</v>
      </c>
      <c r="AB16" s="199">
        <f t="shared" si="13"/>
        <v>44563</v>
      </c>
      <c r="AC16" s="119">
        <f>IF(OR(t&lt;Tnet,NoTnet),'2021'!Resal_s+('2021'!Salim-'2021'!Resal_s)*(1-EXP(('2021'!Tnet_s-t)/'2021'!Tau_j)),Resal_s+(Salim-Resal_s)*(1-EXP((Tnet_s-t)/Tau_j)))*Salcycl</f>
        <v>0.14867404404512333</v>
      </c>
      <c r="AD16" s="233">
        <f>(INDEX(Models!$BJ16:$BT16,,AH16)*(1-AF16)+INDEX(Models!$BJ16:$BT16,,AH16+1)*AF16-ERP_i)*AE16*Ramure*Pc/MaxiM</f>
        <v>7.348789039713273E-2</v>
      </c>
      <c r="AE16" s="307">
        <f>IF(OR(t&lt;Ttai,Notai),Dd_s+PousD*Croivg,Dens_s+PousD*(Croivg-Croi_tai))</f>
        <v>0.9</v>
      </c>
      <c r="AF16" s="179">
        <f t="shared" ref="AF16:AF78" si="22">(Hp_vg_s-AG16)/(INDEX(Echel_vg,AH16+1)-AG16)</f>
        <v>0.90003641269861556</v>
      </c>
      <c r="AG16" s="839">
        <f t="shared" ref="AG16:AG79" si="23">INDEX(Echel_vg,AH16)</f>
        <v>-1</v>
      </c>
      <c r="AH16" s="178">
        <f t="shared" si="15"/>
        <v>5</v>
      </c>
      <c r="AI16" s="227">
        <f t="shared" ref="AI16:AI78" si="24">IF(OR(t&lt;Ttai,Notai),Hdd_s+PousH*Croivg,Hdtai_s+PousH*(Croivg-Croi_tai))</f>
        <v>-9.9963587301384452E-2</v>
      </c>
      <c r="AJ16" s="267" t="b">
        <f t="shared" si="16"/>
        <v>1</v>
      </c>
      <c r="AK16" s="267" t="b">
        <f t="shared" si="17"/>
        <v>0</v>
      </c>
      <c r="AL16" s="267"/>
      <c r="AM16" s="267"/>
      <c r="AN16" s="75"/>
    </row>
    <row r="17" spans="1:40" s="6" customFormat="1" ht="11.25" x14ac:dyDescent="0.2">
      <c r="A17" s="56">
        <f t="shared" si="18"/>
        <v>44564</v>
      </c>
      <c r="B17" s="1141">
        <v>12.878</v>
      </c>
      <c r="C17" s="868"/>
      <c r="D17" s="395">
        <f t="shared" si="0"/>
        <v>13.258427201408997</v>
      </c>
      <c r="E17" s="387">
        <f t="shared" si="1"/>
        <v>14.707968309538977</v>
      </c>
      <c r="F17" s="387">
        <f t="shared" si="2"/>
        <v>15.56379957235079</v>
      </c>
      <c r="G17" s="110">
        <f t="shared" si="19"/>
        <v>0.81376092507898068</v>
      </c>
      <c r="H17" s="416" t="b">
        <f>Wh_hp&gt;='2021'!Maxi_hp</f>
        <v>0</v>
      </c>
      <c r="I17" s="382">
        <f>IF(H17,Wh_hp,'2021'!Maxi_hp)</f>
        <v>19.408966249247889</v>
      </c>
      <c r="J17" s="85">
        <f>IF(H17,An,'2021'!An_max)</f>
        <v>2019</v>
      </c>
      <c r="K17" s="199">
        <f t="shared" si="3"/>
        <v>44564</v>
      </c>
      <c r="L17" s="147">
        <f>IF(t&lt;Tvie,1-EXP((T0-t)*PertePVj)+'2021'!Pspv,1-EXP((T0-t)*PertePVj)+Pspv)</f>
        <v>2.8693237563545138E-2</v>
      </c>
      <c r="M17" s="872"/>
      <c r="N17" s="872"/>
      <c r="O17" s="48">
        <f>IF(t&lt;Tnet,'2021'!Resal+('2021'!Salim-'2021'!Resal)*(1-EXP(('2021'!Tnet-t)/('2021'!Tau_j))),Resal+(Salim-Resal)*(1-EXP((Tnet-t)/(Tau_j))))*Salcycl</f>
        <v>9.8554815840190935E-2</v>
      </c>
      <c r="P17" s="341">
        <f>(INDEX(Models!$BJ17:$BT17,,T17)*(1-R17)+INDEX(Models!$BJ17:$BT17,,T17+1)*R17-ERP_i)*Q17*Ramure*Pc/MaxiM</f>
        <v>7.2719558847174279E-2</v>
      </c>
      <c r="Q17" s="307">
        <f t="shared" si="4"/>
        <v>0.9</v>
      </c>
      <c r="R17" s="179">
        <f t="shared" si="5"/>
        <v>0.90007295026935197</v>
      </c>
      <c r="S17" s="839">
        <f t="shared" si="6"/>
        <v>-1</v>
      </c>
      <c r="T17" s="178">
        <f t="shared" si="7"/>
        <v>5</v>
      </c>
      <c r="U17" s="253">
        <f t="shared" si="20"/>
        <v>-9.9927049730648032E-2</v>
      </c>
      <c r="V17" s="385">
        <f t="shared" si="8"/>
        <v>15.528361467319153</v>
      </c>
      <c r="W17" s="404">
        <f t="shared" si="9"/>
        <v>0</v>
      </c>
      <c r="X17" s="157">
        <f t="shared" si="10"/>
        <v>44564</v>
      </c>
      <c r="Y17" s="387">
        <f t="shared" si="11"/>
        <v>12.161272985218206</v>
      </c>
      <c r="Z17" s="387">
        <f t="shared" si="21"/>
        <v>12.520527453873076</v>
      </c>
      <c r="AA17" s="388">
        <f t="shared" si="12"/>
        <v>14.707968309538977</v>
      </c>
      <c r="AB17" s="199">
        <f t="shared" si="13"/>
        <v>44564</v>
      </c>
      <c r="AC17" s="119">
        <f>IF(OR(t&lt;Tnet,NoTnet),'2021'!Resal_s+('2021'!Salim-'2021'!Resal_s)*(1-EXP(('2021'!Tnet_s-t)/'2021'!Tau_j)),Resal_s+(Salim-Resal_s)*(1-EXP((Tnet_s-t)/Tau_j)))*Salcycl</f>
        <v>0.14872488229711636</v>
      </c>
      <c r="AD17" s="233">
        <f>(INDEX(Models!$BJ17:$BT17,,AH17)*(1-AF17)+INDEX(Models!$BJ17:$BT17,,AH17+1)*AF17-ERP_i)*AE17*Ramure*Pc/MaxiM</f>
        <v>7.2719558847174279E-2</v>
      </c>
      <c r="AE17" s="307">
        <f t="shared" si="14"/>
        <v>0.9</v>
      </c>
      <c r="AF17" s="179">
        <f>(Hp_vg_s-AG17)/(INDEX(Echel_vg,AH17+1)-AG17)</f>
        <v>0.90007295026935197</v>
      </c>
      <c r="AG17" s="839">
        <f>INDEX(Echel_vg,AH17)</f>
        <v>-1</v>
      </c>
      <c r="AH17" s="178">
        <f t="shared" si="15"/>
        <v>5</v>
      </c>
      <c r="AI17" s="227">
        <f t="shared" si="24"/>
        <v>-9.9927049730648032E-2</v>
      </c>
      <c r="AJ17" s="267" t="b">
        <f t="shared" si="16"/>
        <v>1</v>
      </c>
      <c r="AK17" s="267" t="b">
        <f t="shared" si="17"/>
        <v>0</v>
      </c>
      <c r="AL17" s="267"/>
      <c r="AM17" s="267"/>
      <c r="AN17" s="75"/>
    </row>
    <row r="18" spans="1:40" s="6" customFormat="1" ht="11.25" x14ac:dyDescent="0.2">
      <c r="A18" s="56">
        <f t="shared" si="18"/>
        <v>44565</v>
      </c>
      <c r="B18" s="1141">
        <v>13.521000000000001</v>
      </c>
      <c r="C18" s="868"/>
      <c r="D18" s="395">
        <f t="shared" si="0"/>
        <v>13.920745930799717</v>
      </c>
      <c r="E18" s="387">
        <f t="shared" si="1"/>
        <v>15.445968481009308</v>
      </c>
      <c r="F18" s="387">
        <f t="shared" si="2"/>
        <v>16.394804220232615</v>
      </c>
      <c r="G18" s="110">
        <f t="shared" si="19"/>
        <v>0.85044519131680307</v>
      </c>
      <c r="H18" s="416" t="b">
        <f>Wh_hp&gt;='2021'!Maxi_hp</f>
        <v>0</v>
      </c>
      <c r="I18" s="382">
        <f>IF(H18,Wh_hp,'2021'!Maxi_hp)</f>
        <v>19.187961348193991</v>
      </c>
      <c r="J18" s="85">
        <f>IF(H18,An,'2021'!An_max)</f>
        <v>2019</v>
      </c>
      <c r="K18" s="199">
        <f t="shared" si="3"/>
        <v>44565</v>
      </c>
      <c r="L18" s="147">
        <f>IF(t&lt;Tvie,1-EXP((T0-t)*PertePVj)+'2021'!Pspv,1-EXP((T0-t)*PertePVj)+Pspv)</f>
        <v>2.8715841290894883E-2</v>
      </c>
      <c r="M18" s="872"/>
      <c r="N18" s="872"/>
      <c r="O18" s="48">
        <f>IF(t&lt;Tnet,'2021'!Resal+('2021'!Salim-'2021'!Resal)*(1-EXP(('2021'!Tnet-t)/('2021'!Tau_j))),Resal+(Salim-Resal)*(1-EXP((Tnet-t)/(Tau_j))))*Salcycl</f>
        <v>9.8745672832677309E-2</v>
      </c>
      <c r="P18" s="341">
        <f>(INDEX(Models!$BJ18:$BT18,,T18)*(1-R18)+INDEX(Models!$BJ18:$BT18,,T18+1)*R18-ERP_i)*Q18*Ramure*Pc/MaxiM</f>
        <v>7.1917190536163397E-2</v>
      </c>
      <c r="Q18" s="307">
        <f t="shared" si="4"/>
        <v>0.9</v>
      </c>
      <c r="R18" s="179">
        <f t="shared" si="5"/>
        <v>0.90011101593418985</v>
      </c>
      <c r="S18" s="839">
        <f t="shared" si="6"/>
        <v>-1</v>
      </c>
      <c r="T18" s="178">
        <f t="shared" si="7"/>
        <v>5</v>
      </c>
      <c r="U18" s="253">
        <f t="shared" si="20"/>
        <v>-9.9888984065810107E-2</v>
      </c>
      <c r="V18" s="385">
        <f t="shared" si="8"/>
        <v>15.66175053087122</v>
      </c>
      <c r="W18" s="404">
        <f t="shared" si="9"/>
        <v>0</v>
      </c>
      <c r="X18" s="157">
        <f t="shared" si="10"/>
        <v>44565</v>
      </c>
      <c r="Y18" s="387">
        <f t="shared" si="11"/>
        <v>12.770424189702014</v>
      </c>
      <c r="Z18" s="387">
        <f>Wh_sa_s*(1-Psa_s)</f>
        <v>13.147979481797247</v>
      </c>
      <c r="AA18" s="388">
        <f t="shared" si="12"/>
        <v>15.445968481009309</v>
      </c>
      <c r="AB18" s="199">
        <f>t</f>
        <v>44565</v>
      </c>
      <c r="AC18" s="119">
        <f>IF(OR(t&lt;Tnet,NoTnet),'2021'!Resal_s+('2021'!Salim-'2021'!Resal_s)*(1-EXP(('2021'!Tnet_s-t)/'2021'!Tau_j)),Resal_s+(Salim-Resal_s)*(1-EXP((Tnet_s-t)/Tau_j)))*Salcycl</f>
        <v>0.14877597361650852</v>
      </c>
      <c r="AD18" s="233">
        <f>(INDEX(Models!$BJ18:$BT18,,AH18)*(1-AF18)+INDEX(Models!$BJ18:$BT18,,AH18+1)*AF18-ERP_i)*AE18*Ramure*Pc/MaxiM</f>
        <v>7.1917190536163397E-2</v>
      </c>
      <c r="AE18" s="307">
        <f t="shared" si="14"/>
        <v>0.9</v>
      </c>
      <c r="AF18" s="179">
        <f t="shared" si="22"/>
        <v>0.90011101593418985</v>
      </c>
      <c r="AG18" s="839">
        <f t="shared" si="23"/>
        <v>-1</v>
      </c>
      <c r="AH18" s="178">
        <f t="shared" si="15"/>
        <v>5</v>
      </c>
      <c r="AI18" s="227">
        <f t="shared" si="24"/>
        <v>-9.9888984065810107E-2</v>
      </c>
      <c r="AJ18" s="267" t="b">
        <f t="shared" si="16"/>
        <v>1</v>
      </c>
      <c r="AK18" s="267" t="b">
        <f t="shared" si="17"/>
        <v>0</v>
      </c>
      <c r="AL18" s="267"/>
      <c r="AM18" s="267"/>
      <c r="AN18" s="75"/>
    </row>
    <row r="19" spans="1:40" s="6" customFormat="1" ht="11.25" x14ac:dyDescent="0.2">
      <c r="A19" s="56">
        <f t="shared" si="18"/>
        <v>44566</v>
      </c>
      <c r="B19" s="1141">
        <v>10.683</v>
      </c>
      <c r="C19" s="868"/>
      <c r="D19" s="395">
        <f t="shared" si="0"/>
        <v>10.999096936782298</v>
      </c>
      <c r="E19" s="387">
        <f t="shared" si="1"/>
        <v>12.206790739026209</v>
      </c>
      <c r="F19" s="387">
        <f t="shared" si="2"/>
        <v>12.691405658850044</v>
      </c>
      <c r="G19" s="110">
        <f t="shared" si="19"/>
        <v>0.65290160909315775</v>
      </c>
      <c r="H19" s="416" t="b">
        <f>Wh_hp&gt;='2021'!Maxi_hp</f>
        <v>0</v>
      </c>
      <c r="I19" s="382">
        <f>IF(H19,Wh_hp,'2021'!Maxi_hp)</f>
        <v>19.412334573306765</v>
      </c>
      <c r="J19" s="85">
        <f>IF(H19,An,'2021'!An_max)</f>
        <v>2019</v>
      </c>
      <c r="K19" s="199">
        <f t="shared" si="3"/>
        <v>44566</v>
      </c>
      <c r="L19" s="147">
        <f>IF(t&lt;Tvie,1-EXP((T0-t)*PertePVj)+'2021'!Pspv,1-EXP((T0-t)*PertePVj)+Pspv)</f>
        <v>2.8738444492222959E-2</v>
      </c>
      <c r="M19" s="872"/>
      <c r="N19" s="872"/>
      <c r="O19" s="48">
        <f>IF(t&lt;Tnet,'2021'!Resal+('2021'!Salim-'2021'!Resal)*(1-EXP(('2021'!Tnet-t)/('2021'!Tau_j))),Resal+(Salim-Resal)*(1-EXP((Tnet-t)/(Tau_j))))*Salcycl</f>
        <v>9.893622558653406E-2</v>
      </c>
      <c r="P19" s="341">
        <f>(INDEX(Models!$BJ19:$BT19,,T19)*(1-R19)+INDEX(Models!$BJ19:$BT19,,T19+1)*R19-ERP_i)*Q19*Ramure*Pc/MaxiM</f>
        <v>7.1083417997701417E-2</v>
      </c>
      <c r="Q19" s="307">
        <f t="shared" si="4"/>
        <v>0.9</v>
      </c>
      <c r="R19" s="179">
        <f t="shared" si="5"/>
        <v>0.90015067339549171</v>
      </c>
      <c r="S19" s="839">
        <f t="shared" si="6"/>
        <v>-1</v>
      </c>
      <c r="T19" s="178">
        <f t="shared" si="7"/>
        <v>5</v>
      </c>
      <c r="U19" s="253">
        <f t="shared" si="20"/>
        <v>-9.9849326604508293E-2</v>
      </c>
      <c r="V19" s="385">
        <f t="shared" si="8"/>
        <v>15.802668552085711</v>
      </c>
      <c r="W19" s="404">
        <f t="shared" si="9"/>
        <v>0</v>
      </c>
      <c r="X19" s="157">
        <f t="shared" si="10"/>
        <v>44566</v>
      </c>
      <c r="Y19" s="387">
        <f t="shared" si="11"/>
        <v>10.09149237088714</v>
      </c>
      <c r="Z19" s="387">
        <f t="shared" si="21"/>
        <v>10.390087318560953</v>
      </c>
      <c r="AA19" s="388">
        <f t="shared" si="12"/>
        <v>12.206790739026209</v>
      </c>
      <c r="AB19" s="199">
        <f t="shared" si="13"/>
        <v>44566</v>
      </c>
      <c r="AC19" s="119">
        <f>IF(OR(t&lt;Tnet,NoTnet),'2021'!Resal_s+('2021'!Salim-'2021'!Resal_s)*(1-EXP(('2021'!Tnet_s-t)/'2021'!Tau_j)),Resal_s+(Salim-Resal_s)*(1-EXP((Tnet_s-t)/Tau_j)))*Salcycl</f>
        <v>0.14882727649758837</v>
      </c>
      <c r="AD19" s="233">
        <f>(INDEX(Models!$BJ19:$BT19,,AH19)*(1-AF19)+INDEX(Models!$BJ19:$BT19,,AH19+1)*AF19-ERP_i)*AE19*Ramure*Pc/MaxiM</f>
        <v>7.1083417997701417E-2</v>
      </c>
      <c r="AE19" s="307">
        <f t="shared" si="14"/>
        <v>0.9</v>
      </c>
      <c r="AF19" s="179">
        <f t="shared" si="22"/>
        <v>0.90015067339549171</v>
      </c>
      <c r="AG19" s="839">
        <f t="shared" si="23"/>
        <v>-1</v>
      </c>
      <c r="AH19" s="178">
        <f t="shared" si="15"/>
        <v>5</v>
      </c>
      <c r="AI19" s="227">
        <f t="shared" si="24"/>
        <v>-9.9849326604508293E-2</v>
      </c>
      <c r="AJ19" s="267" t="b">
        <f t="shared" si="16"/>
        <v>1</v>
      </c>
      <c r="AK19" s="267" t="b">
        <f t="shared" si="17"/>
        <v>0</v>
      </c>
      <c r="AL19" s="267"/>
      <c r="AM19" s="267"/>
      <c r="AN19" s="75"/>
    </row>
    <row r="20" spans="1:40" s="6" customFormat="1" ht="11.25" x14ac:dyDescent="0.2">
      <c r="A20" s="56">
        <f t="shared" si="18"/>
        <v>44567</v>
      </c>
      <c r="B20" s="1141">
        <v>16.338999999999999</v>
      </c>
      <c r="C20" s="868"/>
      <c r="D20" s="395">
        <f t="shared" si="0"/>
        <v>16.82284256860785</v>
      </c>
      <c r="E20" s="387">
        <f t="shared" si="1"/>
        <v>18.67392224216</v>
      </c>
      <c r="F20" s="387">
        <f t="shared" si="2"/>
        <v>20.084255313401073</v>
      </c>
      <c r="G20" s="110">
        <f t="shared" si="19"/>
        <v>1.0243319064045415</v>
      </c>
      <c r="H20" s="416" t="b">
        <f>Wh_hp&gt;='2021'!Maxi_hp</f>
        <v>1</v>
      </c>
      <c r="I20" s="382">
        <f>IF(H20,Wh_hp,'2021'!Maxi_hp)</f>
        <v>20.084255313401073</v>
      </c>
      <c r="J20" s="85">
        <f>IF(H20,An,'2021'!An_max)</f>
        <v>2022</v>
      </c>
      <c r="K20" s="199">
        <f t="shared" si="3"/>
        <v>44567</v>
      </c>
      <c r="L20" s="147">
        <f>IF(t&lt;Tvie,1-EXP((T0-t)*PertePVj)+'2021'!Pspv,1-EXP((T0-t)*PertePVj)+Pspv)</f>
        <v>2.8761047167541354E-2</v>
      </c>
      <c r="M20" s="872"/>
      <c r="N20" s="872"/>
      <c r="O20" s="48">
        <f>IF(t&lt;Tnet,'2021'!Resal+('2021'!Salim-'2021'!Resal)*(1-EXP(('2021'!Tnet-t)/('2021'!Tau_j))),Resal+(Salim-Resal)*(1-EXP((Tnet-t)/(Tau_j))))*Salcycl</f>
        <v>9.9126452897666015E-2</v>
      </c>
      <c r="P20" s="341">
        <f>(INDEX(Models!$BJ20:$BT20,,T20)*(1-R20)+INDEX(Models!$BJ20:$BT20,,T20+1)*R20-ERP_i)*Q20*Ramure*Pc/MaxiM</f>
        <v>7.0220829661532883E-2</v>
      </c>
      <c r="Q20" s="307">
        <f t="shared" si="4"/>
        <v>0.9</v>
      </c>
      <c r="R20" s="179">
        <f t="shared" si="5"/>
        <v>0.90019198899355946</v>
      </c>
      <c r="S20" s="839">
        <f t="shared" si="6"/>
        <v>-1</v>
      </c>
      <c r="T20" s="178">
        <f t="shared" si="7"/>
        <v>5</v>
      </c>
      <c r="U20" s="253">
        <f t="shared" si="20"/>
        <v>-9.9808011006440489E-2</v>
      </c>
      <c r="V20" s="385">
        <f t="shared" si="8"/>
        <v>15.95088456958325</v>
      </c>
      <c r="W20" s="404">
        <f t="shared" si="9"/>
        <v>0</v>
      </c>
      <c r="X20" s="157">
        <f t="shared" si="10"/>
        <v>44567</v>
      </c>
      <c r="Y20" s="387">
        <f t="shared" si="11"/>
        <v>15.436650414926643</v>
      </c>
      <c r="Z20" s="387">
        <f t="shared" si="21"/>
        <v>15.893771939344269</v>
      </c>
      <c r="AA20" s="388">
        <f t="shared" si="12"/>
        <v>18.67392224216</v>
      </c>
      <c r="AB20" s="199">
        <f t="shared" si="13"/>
        <v>44567</v>
      </c>
      <c r="AC20" s="119">
        <f>IF(OR(t&lt;Tnet,NoTnet),'2021'!Resal_s+('2021'!Salim-'2021'!Resal_s)*(1-EXP(('2021'!Tnet_s-t)/'2021'!Tau_j)),Resal_s+(Salim-Resal_s)*(1-EXP((Tnet_s-t)/Tau_j)))*Salcycl</f>
        <v>0.14887875545176052</v>
      </c>
      <c r="AD20" s="233">
        <f>(INDEX(Models!$BJ20:$BT20,,AH20)*(1-AF20)+INDEX(Models!$BJ20:$BT20,,AH20+1)*AF20-ERP_i)*AE20*Ramure*Pc/MaxiM</f>
        <v>7.0220829661532883E-2</v>
      </c>
      <c r="AE20" s="307">
        <f t="shared" si="14"/>
        <v>0.9</v>
      </c>
      <c r="AF20" s="179">
        <f t="shared" si="22"/>
        <v>0.90019198899355946</v>
      </c>
      <c r="AG20" s="839">
        <f t="shared" si="23"/>
        <v>-1</v>
      </c>
      <c r="AH20" s="178">
        <f t="shared" si="15"/>
        <v>5</v>
      </c>
      <c r="AI20" s="227">
        <f t="shared" si="24"/>
        <v>-9.9808011006440489E-2</v>
      </c>
      <c r="AJ20" s="267" t="b">
        <f t="shared" si="16"/>
        <v>1</v>
      </c>
      <c r="AK20" s="267" t="b">
        <f t="shared" si="17"/>
        <v>0</v>
      </c>
      <c r="AL20" s="267"/>
      <c r="AM20" s="267"/>
      <c r="AN20" s="75"/>
    </row>
    <row r="21" spans="1:40" s="6" customFormat="1" ht="11.25" x14ac:dyDescent="0.2">
      <c r="A21" s="56">
        <f t="shared" si="18"/>
        <v>44568</v>
      </c>
      <c r="B21" s="1141">
        <v>8.1850000000000005</v>
      </c>
      <c r="C21" s="868"/>
      <c r="D21" s="395">
        <f t="shared" si="0"/>
        <v>8.4275764037979872</v>
      </c>
      <c r="E21" s="387">
        <f t="shared" si="1"/>
        <v>9.3568660700543429</v>
      </c>
      <c r="F21" s="387">
        <f t="shared" si="2"/>
        <v>9.5538702688159773</v>
      </c>
      <c r="G21" s="110">
        <f t="shared" si="19"/>
        <v>0.48291444245689108</v>
      </c>
      <c r="H21" s="416" t="b">
        <f>Wh_hp&gt;='2021'!Maxi_hp</f>
        <v>0</v>
      </c>
      <c r="I21" s="382">
        <f>IF(H21,Wh_hp,'2021'!Maxi_hp)</f>
        <v>11.638105968264961</v>
      </c>
      <c r="J21" s="85">
        <f>IF(H21,An,'2021'!An_max)</f>
        <v>2021</v>
      </c>
      <c r="K21" s="199">
        <f t="shared" si="3"/>
        <v>44568</v>
      </c>
      <c r="L21" s="147">
        <f>IF(t&lt;Tvie,1-EXP((T0-t)*PertePVj)+'2021'!Pspv,1-EXP((T0-t)*PertePVj)+Pspv)</f>
        <v>2.8783649316862614E-2</v>
      </c>
      <c r="M21" s="872"/>
      <c r="N21" s="872"/>
      <c r="O21" s="48">
        <f>IF(t&lt;Tnet,'2021'!Resal+('2021'!Salim-'2021'!Resal)*(1-EXP(('2021'!Tnet-t)/('2021'!Tau_j))),Resal+(Salim-Resal)*(1-EXP((Tnet-t)/(Tau_j))))*Salcycl</f>
        <v>9.9316337254248932E-2</v>
      </c>
      <c r="P21" s="341">
        <f>(INDEX(Models!$BJ21:$BT21,,T21)*(1-R21)+INDEX(Models!$BJ21:$BT21,,T21+1)*R21-ERP_i)*Q21*Ramure*Pc/MaxiM</f>
        <v>6.9331957203694575E-2</v>
      </c>
      <c r="Q21" s="307">
        <f t="shared" si="4"/>
        <v>0.9</v>
      </c>
      <c r="R21" s="179">
        <f t="shared" si="5"/>
        <v>0.90023503181436271</v>
      </c>
      <c r="S21" s="839">
        <f t="shared" si="6"/>
        <v>-1</v>
      </c>
      <c r="T21" s="178">
        <f t="shared" si="7"/>
        <v>5</v>
      </c>
      <c r="U21" s="253">
        <f t="shared" si="20"/>
        <v>-9.9764968185637251E-2</v>
      </c>
      <c r="V21" s="385">
        <f t="shared" si="8"/>
        <v>16.106167735484835</v>
      </c>
      <c r="W21" s="404">
        <f t="shared" si="9"/>
        <v>0</v>
      </c>
      <c r="X21" s="157">
        <f t="shared" si="10"/>
        <v>44568</v>
      </c>
      <c r="Y21" s="387">
        <f t="shared" si="11"/>
        <v>7.7341303295779094</v>
      </c>
      <c r="Z21" s="387">
        <f t="shared" si="21"/>
        <v>7.9633444434268954</v>
      </c>
      <c r="AA21" s="388">
        <f t="shared" si="12"/>
        <v>9.3568660700543429</v>
      </c>
      <c r="AB21" s="199">
        <f t="shared" si="13"/>
        <v>44568</v>
      </c>
      <c r="AC21" s="119">
        <f>IF(OR(t&lt;Tnet,NoTnet),'2021'!Resal_s+('2021'!Salim-'2021'!Resal_s)*(1-EXP(('2021'!Tnet_s-t)/'2021'!Tau_j)),Resal_s+(Salim-Resal_s)*(1-EXP((Tnet_s-t)/Tau_j)))*Salcycl</f>
        <v>0.14893038077003848</v>
      </c>
      <c r="AD21" s="233">
        <f>(INDEX(Models!$BJ21:$BT21,,AH21)*(1-AF21)+INDEX(Models!$BJ21:$BT21,,AH21+1)*AF21-ERP_i)*AE21*Ramure*Pc/MaxiM</f>
        <v>6.9331957203694575E-2</v>
      </c>
      <c r="AE21" s="307">
        <f t="shared" si="14"/>
        <v>0.9</v>
      </c>
      <c r="AF21" s="179">
        <f t="shared" si="22"/>
        <v>0.90023503181436271</v>
      </c>
      <c r="AG21" s="839">
        <f t="shared" si="23"/>
        <v>-1</v>
      </c>
      <c r="AH21" s="178">
        <f t="shared" si="15"/>
        <v>5</v>
      </c>
      <c r="AI21" s="227">
        <f t="shared" si="24"/>
        <v>-9.9764968185637251E-2</v>
      </c>
      <c r="AJ21" s="267" t="b">
        <f t="shared" si="16"/>
        <v>1</v>
      </c>
      <c r="AK21" s="267" t="b">
        <f t="shared" si="17"/>
        <v>0</v>
      </c>
      <c r="AL21" s="267"/>
      <c r="AM21" s="267"/>
      <c r="AN21" s="75"/>
    </row>
    <row r="22" spans="1:40" s="6" customFormat="1" ht="11.25" x14ac:dyDescent="0.2">
      <c r="A22" s="56">
        <f t="shared" si="18"/>
        <v>44569</v>
      </c>
      <c r="B22" s="1141">
        <v>6.6420000000000003</v>
      </c>
      <c r="C22" s="868"/>
      <c r="D22" s="395">
        <f t="shared" si="0"/>
        <v>6.8390061266663063</v>
      </c>
      <c r="E22" s="387">
        <f t="shared" si="1"/>
        <v>7.5947258937389099</v>
      </c>
      <c r="F22" s="387">
        <f t="shared" si="2"/>
        <v>7.6759635679501654</v>
      </c>
      <c r="G22" s="110">
        <f t="shared" si="19"/>
        <v>0.38441323956706785</v>
      </c>
      <c r="H22" s="416" t="b">
        <f>Wh_hp&gt;='2021'!Maxi_hp</f>
        <v>0</v>
      </c>
      <c r="I22" s="382">
        <f>IF(H22,Wh_hp,'2021'!Maxi_hp)</f>
        <v>14.643565191481343</v>
      </c>
      <c r="J22" s="85">
        <f>IF(H22,An,'2021'!An_max)</f>
        <v>2021</v>
      </c>
      <c r="K22" s="199">
        <f t="shared" si="3"/>
        <v>44569</v>
      </c>
      <c r="L22" s="147">
        <f>IF(t&lt;Tvie,1-EXP((T0-t)*PertePVj)+'2021'!Pspv,1-EXP((T0-t)*PertePVj)+Pspv)</f>
        <v>2.880625094019873E-2</v>
      </c>
      <c r="M22" s="872"/>
      <c r="N22" s="872"/>
      <c r="O22" s="48">
        <f>IF(t&lt;Tnet,'2021'!Resal+('2021'!Salim-'2021'!Resal)*(1-EXP(('2021'!Tnet-t)/('2021'!Tau_j))),Resal+(Salim-Resal)*(1-EXP((Tnet-t)/(Tau_j))))*Salcycl</f>
        <v>9.9505864681122921E-2</v>
      </c>
      <c r="P22" s="341">
        <f>(INDEX(Models!$BJ22:$BT22,,T22)*(1-R22)+INDEX(Models!$BJ22:$BT22,,T22+1)*R22-ERP_i)*Q22*Ramure*Pc/MaxiM</f>
        <v>6.8419264400204613E-2</v>
      </c>
      <c r="Q22" s="307">
        <f t="shared" si="4"/>
        <v>0.9</v>
      </c>
      <c r="R22" s="179">
        <f t="shared" si="5"/>
        <v>0.90027987380153662</v>
      </c>
      <c r="S22" s="839">
        <f t="shared" si="6"/>
        <v>-1</v>
      </c>
      <c r="T22" s="178">
        <f t="shared" si="7"/>
        <v>5</v>
      </c>
      <c r="U22" s="253">
        <f t="shared" si="20"/>
        <v>-9.9720126198463419E-2</v>
      </c>
      <c r="V22" s="385">
        <f t="shared" si="8"/>
        <v>16.26828732917042</v>
      </c>
      <c r="W22" s="404">
        <f t="shared" si="9"/>
        <v>0</v>
      </c>
      <c r="X22" s="157">
        <f t="shared" si="10"/>
        <v>44569</v>
      </c>
      <c r="Y22" s="387">
        <f t="shared" si="11"/>
        <v>6.2770655382543188</v>
      </c>
      <c r="Z22" s="387">
        <f t="shared" si="21"/>
        <v>6.4632474666677542</v>
      </c>
      <c r="AA22" s="388">
        <f t="shared" si="12"/>
        <v>7.5947258937389099</v>
      </c>
      <c r="AB22" s="199">
        <f t="shared" si="13"/>
        <v>44569</v>
      </c>
      <c r="AC22" s="119">
        <f>IF(OR(t&lt;Tnet,NoTnet),'2021'!Resal_s+('2021'!Salim-'2021'!Resal_s)*(1-EXP(('2021'!Tnet_s-t)/'2021'!Tau_j)),Resal_s+(Salim-Resal_s)*(1-EXP((Tnet_s-t)/Tau_j)))*Salcycl</f>
        <v>0.14898212824296214</v>
      </c>
      <c r="AD22" s="233">
        <f>(INDEX(Models!$BJ22:$BT22,,AH22)*(1-AF22)+INDEX(Models!$BJ22:$BT22,,AH22+1)*AF22-ERP_i)*AE22*Ramure*Pc/MaxiM</f>
        <v>6.8419264400204613E-2</v>
      </c>
      <c r="AE22" s="307">
        <f t="shared" si="14"/>
        <v>0.9</v>
      </c>
      <c r="AF22" s="179">
        <f t="shared" si="22"/>
        <v>0.90027987380153662</v>
      </c>
      <c r="AG22" s="839">
        <f t="shared" si="23"/>
        <v>-1</v>
      </c>
      <c r="AH22" s="178">
        <f t="shared" si="15"/>
        <v>5</v>
      </c>
      <c r="AI22" s="227">
        <f t="shared" si="24"/>
        <v>-9.9720126198463419E-2</v>
      </c>
      <c r="AJ22" s="267" t="b">
        <f t="shared" si="16"/>
        <v>1</v>
      </c>
      <c r="AK22" s="267" t="b">
        <f t="shared" si="17"/>
        <v>0</v>
      </c>
      <c r="AL22" s="267"/>
      <c r="AM22" s="267"/>
      <c r="AN22" s="75"/>
    </row>
    <row r="23" spans="1:40" s="6" customFormat="1" ht="11.25" x14ac:dyDescent="0.2">
      <c r="A23" s="56">
        <f t="shared" si="18"/>
        <v>44570</v>
      </c>
      <c r="B23" s="1141">
        <v>2.0020000000000002</v>
      </c>
      <c r="C23" s="868"/>
      <c r="D23" s="395">
        <f t="shared" si="0"/>
        <v>2.0614286206919235</v>
      </c>
      <c r="E23" s="387">
        <f t="shared" si="1"/>
        <v>2.289700353678791</v>
      </c>
      <c r="F23" s="387">
        <f t="shared" si="2"/>
        <v>2.289700353678791</v>
      </c>
      <c r="G23" s="110">
        <f t="shared" si="19"/>
        <v>0.1135657446891386</v>
      </c>
      <c r="H23" s="416" t="b">
        <f>Wh_hp&gt;='2021'!Maxi_hp</f>
        <v>0</v>
      </c>
      <c r="I23" s="382">
        <f>IF(H23,Wh_hp,'2021'!Maxi_hp)</f>
        <v>18.867508996859197</v>
      </c>
      <c r="J23" s="85">
        <f>IF(H23,An,'2021'!An_max)</f>
        <v>2020</v>
      </c>
      <c r="K23" s="199">
        <f t="shared" si="3"/>
        <v>44570</v>
      </c>
      <c r="L23" s="147">
        <f>IF(t&lt;Tvie,1-EXP((T0-t)*PertePVj)+'2021'!Pspv,1-EXP((T0-t)*PertePVj)+Pspv)</f>
        <v>2.8828852037562136E-2</v>
      </c>
      <c r="M23" s="872"/>
      <c r="N23" s="872"/>
      <c r="O23" s="48">
        <f>IF(t&lt;Tnet,'2021'!Resal+('2021'!Salim-'2021'!Resal)*(1-EXP(('2021'!Tnet-t)/('2021'!Tau_j))),Resal+(Salim-Resal)*(1-EXP((Tnet-t)/(Tau_j))))*Salcycl</f>
        <v>9.9695024556427342E-2</v>
      </c>
      <c r="P23" s="341">
        <f>(INDEX(Models!$BJ23:$BT23,,T23)*(1-R23)+INDEX(Models!$BJ23:$BT23,,T23+1)*R23-ERP_i)*Q23*Ramure*Pc/MaxiM</f>
        <v>6.7477432276089447E-2</v>
      </c>
      <c r="Q23" s="307">
        <f t="shared" si="4"/>
        <v>0.9</v>
      </c>
      <c r="R23" s="179">
        <f t="shared" si="5"/>
        <v>0.90032658987280678</v>
      </c>
      <c r="S23" s="839">
        <f t="shared" si="6"/>
        <v>-1</v>
      </c>
      <c r="T23" s="178">
        <f t="shared" si="7"/>
        <v>5</v>
      </c>
      <c r="U23" s="253">
        <f t="shared" si="20"/>
        <v>-9.967341012719319E-2</v>
      </c>
      <c r="V23" s="385">
        <f t="shared" si="8"/>
        <v>16.439025567908065</v>
      </c>
      <c r="W23" s="404">
        <f t="shared" si="9"/>
        <v>0</v>
      </c>
      <c r="X23" s="157">
        <f t="shared" si="10"/>
        <v>44570</v>
      </c>
      <c r="Y23" s="387">
        <f t="shared" si="11"/>
        <v>1.8922854153046551</v>
      </c>
      <c r="Z23" s="387">
        <f t="shared" si="21"/>
        <v>1.9484571996138453</v>
      </c>
      <c r="AA23" s="388">
        <f t="shared" si="12"/>
        <v>2.289700353678791</v>
      </c>
      <c r="AB23" s="199">
        <f t="shared" si="13"/>
        <v>44570</v>
      </c>
      <c r="AC23" s="119">
        <f>IF(OR(t&lt;Tnet,NoTnet),'2021'!Resal_s+('2021'!Salim-'2021'!Resal_s)*(1-EXP(('2021'!Tnet_s-t)/'2021'!Tau_j)),Resal_s+(Salim-Resal_s)*(1-EXP((Tnet_s-t)/Tau_j)))*Salcycl</f>
        <v>0.14903397884211389</v>
      </c>
      <c r="AD23" s="233">
        <f>(INDEX(Models!$BJ23:$BT23,,AH23)*(1-AF23)+INDEX(Models!$BJ23:$BT23,,AH23+1)*AF23-ERP_i)*AE23*Ramure*Pc/MaxiM</f>
        <v>6.7477432276089447E-2</v>
      </c>
      <c r="AE23" s="307">
        <f t="shared" si="14"/>
        <v>0.9</v>
      </c>
      <c r="AF23" s="179">
        <f t="shared" si="22"/>
        <v>0.90032658987280678</v>
      </c>
      <c r="AG23" s="839">
        <f t="shared" si="23"/>
        <v>-1</v>
      </c>
      <c r="AH23" s="178">
        <f t="shared" si="15"/>
        <v>5</v>
      </c>
      <c r="AI23" s="227">
        <f t="shared" si="24"/>
        <v>-9.967341012719319E-2</v>
      </c>
      <c r="AJ23" s="267" t="b">
        <f t="shared" si="16"/>
        <v>1</v>
      </c>
      <c r="AK23" s="267" t="b">
        <f t="shared" si="17"/>
        <v>0</v>
      </c>
      <c r="AL23" s="267"/>
      <c r="AM23" s="267"/>
      <c r="AN23" s="75"/>
    </row>
    <row r="24" spans="1:40" s="6" customFormat="1" ht="11.25" x14ac:dyDescent="0.2">
      <c r="A24" s="56">
        <f t="shared" si="18"/>
        <v>44571</v>
      </c>
      <c r="B24" s="1141">
        <v>1.694</v>
      </c>
      <c r="C24" s="868"/>
      <c r="D24" s="395">
        <f t="shared" si="0"/>
        <v>1.7443263489925267</v>
      </c>
      <c r="E24" s="387">
        <f t="shared" si="1"/>
        <v>1.9378902048589874</v>
      </c>
      <c r="F24" s="387">
        <f t="shared" si="2"/>
        <v>1.9378902048589874</v>
      </c>
      <c r="G24" s="110">
        <f t="shared" si="19"/>
        <v>9.5147723311419741E-2</v>
      </c>
      <c r="H24" s="416" t="b">
        <f>Wh_hp&gt;='2021'!Maxi_hp</f>
        <v>0</v>
      </c>
      <c r="I24" s="382">
        <f>IF(H24,Wh_hp,'2021'!Maxi_hp)</f>
        <v>10.733503548463755</v>
      </c>
      <c r="J24" s="85">
        <f>IF(H24,An,'2021'!An_max)</f>
        <v>2019</v>
      </c>
      <c r="K24" s="199">
        <f t="shared" si="3"/>
        <v>44571</v>
      </c>
      <c r="L24" s="147">
        <f>IF(t&lt;Tvie,1-EXP((T0-t)*PertePVj)+'2021'!Pspv,1-EXP((T0-t)*PertePVj)+Pspv)</f>
        <v>2.8851452608964934E-2</v>
      </c>
      <c r="M24" s="872"/>
      <c r="N24" s="872"/>
      <c r="O24" s="48">
        <f>IF(t&lt;Tnet,'2021'!Resal+('2021'!Salim-'2021'!Resal)*(1-EXP(('2021'!Tnet-t)/('2021'!Tau_j))),Resal+(Salim-Resal)*(1-EXP((Tnet-t)/(Tau_j))))*Salcycl</f>
        <v>9.9883809403198673E-2</v>
      </c>
      <c r="P24" s="341">
        <f>(INDEX(Models!$BJ24:$BT24,,T24)*(1-R24)+INDEX(Models!$BJ24:$BT24,,T24+1)*R24-ERP_i)*Q24*Ramure*Pc/MaxiM</f>
        <v>6.6508149876357447E-2</v>
      </c>
      <c r="Q24" s="307">
        <f t="shared" si="4"/>
        <v>0.9</v>
      </c>
      <c r="R24" s="179">
        <f t="shared" si="5"/>
        <v>0.90037525804100693</v>
      </c>
      <c r="S24" s="839">
        <f t="shared" si="6"/>
        <v>-1</v>
      </c>
      <c r="T24" s="178">
        <f t="shared" si="7"/>
        <v>5</v>
      </c>
      <c r="U24" s="253">
        <f t="shared" si="20"/>
        <v>-9.9624741958993027E-2</v>
      </c>
      <c r="V24" s="385">
        <f t="shared" si="8"/>
        <v>16.619790143939859</v>
      </c>
      <c r="W24" s="404">
        <f t="shared" si="9"/>
        <v>0</v>
      </c>
      <c r="X24" s="157">
        <f t="shared" si="10"/>
        <v>44571</v>
      </c>
      <c r="Y24" s="387">
        <f t="shared" si="11"/>
        <v>1.6014026515059572</v>
      </c>
      <c r="Z24" s="387">
        <f t="shared" si="21"/>
        <v>1.6489780639718641</v>
      </c>
      <c r="AA24" s="388">
        <f t="shared" si="12"/>
        <v>1.9378902048589874</v>
      </c>
      <c r="AB24" s="199">
        <f t="shared" si="13"/>
        <v>44571</v>
      </c>
      <c r="AC24" s="119">
        <f>IF(OR(t&lt;Tnet,NoTnet),'2021'!Resal_s+('2021'!Salim-'2021'!Resal_s)*(1-EXP(('2021'!Tnet_s-t)/'2021'!Tau_j)),Resal_s+(Salim-Resal_s)*(1-EXP((Tnet_s-t)/Tau_j)))*Salcycl</f>
        <v>0.14908591836767465</v>
      </c>
      <c r="AD24" s="233">
        <f>(INDEX(Models!$BJ24:$BT24,,AH24)*(1-AF24)+INDEX(Models!$BJ24:$BT24,,AH24+1)*AF24-ERP_i)*AE24*Ramure*Pc/MaxiM</f>
        <v>6.6508149876357447E-2</v>
      </c>
      <c r="AE24" s="307">
        <f t="shared" si="14"/>
        <v>0.9</v>
      </c>
      <c r="AF24" s="179">
        <f t="shared" si="22"/>
        <v>0.90037525804100693</v>
      </c>
      <c r="AG24" s="839">
        <f t="shared" si="23"/>
        <v>-1</v>
      </c>
      <c r="AH24" s="178">
        <f t="shared" si="15"/>
        <v>5</v>
      </c>
      <c r="AI24" s="227">
        <f t="shared" si="24"/>
        <v>-9.9624741958993027E-2</v>
      </c>
      <c r="AJ24" s="267" t="b">
        <f t="shared" si="16"/>
        <v>1</v>
      </c>
      <c r="AK24" s="267" t="b">
        <f t="shared" si="17"/>
        <v>0</v>
      </c>
      <c r="AL24" s="267"/>
      <c r="AM24" s="267"/>
      <c r="AN24" s="75"/>
    </row>
    <row r="25" spans="1:40" s="6" customFormat="1" ht="11.25" x14ac:dyDescent="0.2">
      <c r="A25" s="56">
        <f t="shared" si="18"/>
        <v>44572</v>
      </c>
      <c r="B25" s="1141">
        <v>17.167000000000002</v>
      </c>
      <c r="C25" s="868"/>
      <c r="D25" s="395">
        <f t="shared" si="0"/>
        <v>17.677418718883256</v>
      </c>
      <c r="E25" s="387">
        <f t="shared" si="1"/>
        <v>19.643152491598833</v>
      </c>
      <c r="F25" s="387">
        <f t="shared" si="2"/>
        <v>21.020658697052703</v>
      </c>
      <c r="G25" s="110">
        <f t="shared" si="19"/>
        <v>1.0212579859233322</v>
      </c>
      <c r="H25" s="416" t="b">
        <f>Wh_hp&gt;='2021'!Maxi_hp</f>
        <v>1</v>
      </c>
      <c r="I25" s="382">
        <f>IF(H25,Wh_hp,'2021'!Maxi_hp)</f>
        <v>21.020658697052703</v>
      </c>
      <c r="J25" s="85">
        <f>IF(H25,An,'2021'!An_max)</f>
        <v>2022</v>
      </c>
      <c r="K25" s="199">
        <f t="shared" si="3"/>
        <v>44572</v>
      </c>
      <c r="L25" s="147">
        <f>IF(t&lt;Tvie,1-EXP((T0-t)*PertePVj)+'2021'!Pspv,1-EXP((T0-t)*PertePVj)+Pspv)</f>
        <v>2.8874052654419446E-2</v>
      </c>
      <c r="M25" s="872"/>
      <c r="N25" s="872"/>
      <c r="O25" s="48">
        <f>IF(t&lt;Tnet,'2021'!Resal+('2021'!Salim-'2021'!Resal)*(1-EXP(('2021'!Tnet-t)/('2021'!Tau_j))),Resal+(Salim-Resal)*(1-EXP((Tnet-t)/(Tau_j))))*Salcycl</f>
        <v>0.10007221465883857</v>
      </c>
      <c r="P25" s="341">
        <f>(INDEX(Models!$BJ25:$BT25,,T25)*(1-R25)+INDEX(Models!$BJ25:$BT25,,T25+1)*R25-ERP_i)*Q25*Ramure*Pc/MaxiM</f>
        <v>6.5531067570542292E-2</v>
      </c>
      <c r="Q25" s="307">
        <f t="shared" si="4"/>
        <v>0.9</v>
      </c>
      <c r="R25" s="179">
        <f t="shared" si="5"/>
        <v>0.90042595953985316</v>
      </c>
      <c r="S25" s="839">
        <f t="shared" si="6"/>
        <v>-1</v>
      </c>
      <c r="T25" s="178">
        <f t="shared" si="7"/>
        <v>5</v>
      </c>
      <c r="U25" s="253">
        <f t="shared" si="20"/>
        <v>-9.9574040460146881E-2</v>
      </c>
      <c r="V25" s="385">
        <f t="shared" si="8"/>
        <v>16.809660474262145</v>
      </c>
      <c r="W25" s="404">
        <f t="shared" si="9"/>
        <v>0</v>
      </c>
      <c r="X25" s="157">
        <f t="shared" si="10"/>
        <v>44572</v>
      </c>
      <c r="Y25" s="387">
        <f t="shared" si="11"/>
        <v>16.231023502445794</v>
      </c>
      <c r="Z25" s="387">
        <f t="shared" si="21"/>
        <v>16.71361325151566</v>
      </c>
      <c r="AA25" s="388">
        <f t="shared" si="12"/>
        <v>19.643152491598833</v>
      </c>
      <c r="AB25" s="199">
        <f t="shared" si="13"/>
        <v>44572</v>
      </c>
      <c r="AC25" s="119">
        <f>IF(OR(t&lt;Tnet,NoTnet),'2021'!Resal_s+('2021'!Salim-'2021'!Resal_s)*(1-EXP(('2021'!Tnet_s-t)/'2021'!Tau_j)),Resal_s+(Salim-Resal_s)*(1-EXP((Tnet_s-t)/Tau_j)))*Salcycl</f>
        <v>0.14913793706667533</v>
      </c>
      <c r="AD25" s="233">
        <f>(INDEX(Models!$BJ25:$BT25,,AH25)*(1-AF25)+INDEX(Models!$BJ25:$BT25,,AH25+1)*AF25-ERP_i)*AE25*Ramure*Pc/MaxiM</f>
        <v>6.5531067570542292E-2</v>
      </c>
      <c r="AE25" s="307">
        <f t="shared" si="14"/>
        <v>0.9</v>
      </c>
      <c r="AF25" s="179">
        <f t="shared" si="22"/>
        <v>0.90042595953985316</v>
      </c>
      <c r="AG25" s="839">
        <f t="shared" si="23"/>
        <v>-1</v>
      </c>
      <c r="AH25" s="178">
        <f t="shared" si="15"/>
        <v>5</v>
      </c>
      <c r="AI25" s="227">
        <f t="shared" si="24"/>
        <v>-9.9574040460146881E-2</v>
      </c>
      <c r="AJ25" s="267" t="b">
        <f t="shared" si="16"/>
        <v>1</v>
      </c>
      <c r="AK25" s="267" t="b">
        <f t="shared" si="17"/>
        <v>0</v>
      </c>
      <c r="AL25" s="267"/>
      <c r="AM25" s="267"/>
      <c r="AN25" s="75"/>
    </row>
    <row r="26" spans="1:40" s="6" customFormat="1" ht="11.25" x14ac:dyDescent="0.2">
      <c r="A26" s="56">
        <f t="shared" si="18"/>
        <v>44573</v>
      </c>
      <c r="B26" s="1141">
        <v>15.641</v>
      </c>
      <c r="C26" s="868"/>
      <c r="D26" s="395">
        <f t="shared" si="0"/>
        <v>16.106421664608984</v>
      </c>
      <c r="E26" s="387">
        <f t="shared" si="1"/>
        <v>17.901200271980638</v>
      </c>
      <c r="F26" s="387">
        <f t="shared" si="2"/>
        <v>18.986034058708523</v>
      </c>
      <c r="G26" s="110">
        <f t="shared" si="19"/>
        <v>0.91239785061988854</v>
      </c>
      <c r="H26" s="416" t="b">
        <f>Wh_hp&gt;='2021'!Maxi_hp</f>
        <v>0</v>
      </c>
      <c r="I26" s="382">
        <f>IF(H26,Wh_hp,'2021'!Maxi_hp)</f>
        <v>20.696537437632458</v>
      </c>
      <c r="J26" s="85">
        <f>IF(H26,An,'2021'!An_max)</f>
        <v>2020</v>
      </c>
      <c r="K26" s="199">
        <f t="shared" si="3"/>
        <v>44573</v>
      </c>
      <c r="L26" s="147">
        <f>IF(t&lt;Tvie,1-EXP((T0-t)*PertePVj)+'2021'!Pspv,1-EXP((T0-t)*PertePVj)+Pspv)</f>
        <v>2.8896652173937887E-2</v>
      </c>
      <c r="M26" s="872"/>
      <c r="N26" s="872"/>
      <c r="O26" s="48">
        <f>IF(t&lt;Tnet,'2021'!Resal+('2021'!Salim-'2021'!Resal)*(1-EXP(('2021'!Tnet-t)/('2021'!Tau_j))),Resal+(Salim-Resal)*(1-EXP((Tnet-t)/(Tau_j))))*Salcycl</f>
        <v>0.10026023842551397</v>
      </c>
      <c r="P26" s="341">
        <f>(INDEX(Models!$BJ26:$BT26,,T26)*(1-R26)+INDEX(Models!$BJ26:$BT26,,T26+1)*R26-ERP_i)*Q26*Ramure*Pc/MaxiM</f>
        <v>6.4550083586481288E-2</v>
      </c>
      <c r="Q26" s="307">
        <f t="shared" si="4"/>
        <v>0.9</v>
      </c>
      <c r="R26" s="179">
        <f t="shared" si="5"/>
        <v>0.90047877895464989</v>
      </c>
      <c r="S26" s="839">
        <f t="shared" si="6"/>
        <v>-1</v>
      </c>
      <c r="T26" s="178">
        <f t="shared" si="7"/>
        <v>5</v>
      </c>
      <c r="U26" s="253">
        <f t="shared" si="20"/>
        <v>-9.9521221045350092E-2</v>
      </c>
      <c r="V26" s="385">
        <f t="shared" si="8"/>
        <v>17.007986690387046</v>
      </c>
      <c r="W26" s="404">
        <f t="shared" si="9"/>
        <v>0</v>
      </c>
      <c r="X26" s="157">
        <f t="shared" si="10"/>
        <v>44573</v>
      </c>
      <c r="Y26" s="387">
        <f t="shared" si="11"/>
        <v>14.790408650582254</v>
      </c>
      <c r="Z26" s="387">
        <f t="shared" si="21"/>
        <v>15.230519680209586</v>
      </c>
      <c r="AA26" s="388">
        <f t="shared" si="12"/>
        <v>17.901200271980638</v>
      </c>
      <c r="AB26" s="199">
        <f t="shared" si="13"/>
        <v>44573</v>
      </c>
      <c r="AC26" s="119">
        <f>IF(OR(t&lt;Tnet,NoTnet),'2021'!Resal_s+('2021'!Salim-'2021'!Resal_s)*(1-EXP(('2021'!Tnet_s-t)/'2021'!Tau_j)),Resal_s+(Salim-Resal_s)*(1-EXP((Tnet_s-t)/Tau_j)))*Salcycl</f>
        <v>0.14919002922676997</v>
      </c>
      <c r="AD26" s="233">
        <f>(INDEX(Models!$BJ26:$BT26,,AH26)*(1-AF26)+INDEX(Models!$BJ26:$BT26,,AH26+1)*AF26-ERP_i)*AE26*Ramure*Pc/MaxiM</f>
        <v>6.4550083586481288E-2</v>
      </c>
      <c r="AE26" s="307">
        <f t="shared" si="14"/>
        <v>0.9</v>
      </c>
      <c r="AF26" s="179">
        <f t="shared" si="22"/>
        <v>0.90047877895464989</v>
      </c>
      <c r="AG26" s="839">
        <f t="shared" si="23"/>
        <v>-1</v>
      </c>
      <c r="AH26" s="178">
        <f t="shared" si="15"/>
        <v>5</v>
      </c>
      <c r="AI26" s="227">
        <f t="shared" si="24"/>
        <v>-9.9521221045350092E-2</v>
      </c>
      <c r="AJ26" s="267" t="b">
        <f t="shared" si="16"/>
        <v>1</v>
      </c>
      <c r="AK26" s="267" t="b">
        <f t="shared" si="17"/>
        <v>0</v>
      </c>
      <c r="AL26" s="267"/>
      <c r="AM26" s="267"/>
      <c r="AN26" s="75"/>
    </row>
    <row r="27" spans="1:40" s="6" customFormat="1" ht="11.25" x14ac:dyDescent="0.2">
      <c r="A27" s="56">
        <f t="shared" si="18"/>
        <v>44574</v>
      </c>
      <c r="B27" s="1141">
        <v>5.75</v>
      </c>
      <c r="C27" s="868"/>
      <c r="D27" s="395">
        <f t="shared" si="0"/>
        <v>5.921237762063801</v>
      </c>
      <c r="E27" s="387">
        <f t="shared" si="1"/>
        <v>6.5824287868872826</v>
      </c>
      <c r="F27" s="387">
        <f t="shared" si="2"/>
        <v>6.6028327398574058</v>
      </c>
      <c r="G27" s="110">
        <f t="shared" si="19"/>
        <v>0.31376394032979699</v>
      </c>
      <c r="H27" s="416" t="b">
        <f>Wh_hp&gt;='2021'!Maxi_hp</f>
        <v>0</v>
      </c>
      <c r="I27" s="382">
        <f>IF(H27,Wh_hp,'2021'!Maxi_hp)</f>
        <v>14.73462756836317</v>
      </c>
      <c r="J27" s="85">
        <f>IF(H27,An,'2021'!An_max)</f>
        <v>2020</v>
      </c>
      <c r="K27" s="199">
        <f t="shared" si="3"/>
        <v>44574</v>
      </c>
      <c r="L27" s="147">
        <f>IF(t&lt;Tvie,1-EXP((T0-t)*PertePVj)+'2021'!Pspv,1-EXP((T0-t)*PertePVj)+Pspv)</f>
        <v>2.8919251167532467E-2</v>
      </c>
      <c r="M27" s="872"/>
      <c r="N27" s="872"/>
      <c r="O27" s="48">
        <f>IF(t&lt;Tnet,'2021'!Resal+('2021'!Salim-'2021'!Resal)*(1-EXP(('2021'!Tnet-t)/('2021'!Tau_j))),Resal+(Salim-Resal)*(1-EXP((Tnet-t)/(Tau_j))))*Salcycl</f>
        <v>0.10044788120467414</v>
      </c>
      <c r="P27" s="341">
        <f>(INDEX(Models!$BJ27:$BT27,,T27)*(1-R27)+INDEX(Models!$BJ27:$BT27,,T27+1)*R27-ERP_i)*Q27*Ramure*Pc/MaxiM</f>
        <v>6.3568808412070563E-2</v>
      </c>
      <c r="Q27" s="307">
        <f t="shared" si="4"/>
        <v>0.9</v>
      </c>
      <c r="R27" s="179">
        <f t="shared" si="5"/>
        <v>0.90053380435810659</v>
      </c>
      <c r="S27" s="839">
        <f t="shared" si="6"/>
        <v>-1</v>
      </c>
      <c r="T27" s="178">
        <f t="shared" si="7"/>
        <v>5</v>
      </c>
      <c r="U27" s="253">
        <f t="shared" si="20"/>
        <v>-9.9466195641893435E-2</v>
      </c>
      <c r="V27" s="385">
        <f t="shared" si="8"/>
        <v>17.214119450892476</v>
      </c>
      <c r="W27" s="404">
        <f t="shared" si="9"/>
        <v>0</v>
      </c>
      <c r="X27" s="157">
        <f t="shared" si="10"/>
        <v>44574</v>
      </c>
      <c r="Y27" s="387">
        <f t="shared" si="11"/>
        <v>5.4381033510719829</v>
      </c>
      <c r="Z27" s="387">
        <f t="shared" si="21"/>
        <v>5.6000526811083695</v>
      </c>
      <c r="AA27" s="388">
        <f t="shared" si="12"/>
        <v>6.5824287868872826</v>
      </c>
      <c r="AB27" s="199">
        <f t="shared" si="13"/>
        <v>44574</v>
      </c>
      <c r="AC27" s="119">
        <f>IF(OR(t&lt;Tnet,NoTnet),'2021'!Resal_s+('2021'!Salim-'2021'!Resal_s)*(1-EXP(('2021'!Tnet_s-t)/'2021'!Tau_j)),Resal_s+(Salim-Resal_s)*(1-EXP((Tnet_s-t)/Tau_j)))*Salcycl</f>
        <v>0.14924219275047587</v>
      </c>
      <c r="AD27" s="233">
        <f>(INDEX(Models!$BJ27:$BT27,,AH27)*(1-AF27)+INDEX(Models!$BJ27:$BT27,,AH27+1)*AF27-ERP_i)*AE27*Ramure*Pc/MaxiM</f>
        <v>6.3568808412070563E-2</v>
      </c>
      <c r="AE27" s="307">
        <f t="shared" si="14"/>
        <v>0.9</v>
      </c>
      <c r="AF27" s="179">
        <f t="shared" si="22"/>
        <v>0.90053380435810659</v>
      </c>
      <c r="AG27" s="839">
        <f t="shared" si="23"/>
        <v>-1</v>
      </c>
      <c r="AH27" s="178">
        <f t="shared" si="15"/>
        <v>5</v>
      </c>
      <c r="AI27" s="227">
        <f t="shared" si="24"/>
        <v>-9.9466195641893435E-2</v>
      </c>
      <c r="AJ27" s="267" t="b">
        <f t="shared" si="16"/>
        <v>1</v>
      </c>
      <c r="AK27" s="267" t="b">
        <f t="shared" si="17"/>
        <v>0</v>
      </c>
      <c r="AL27" s="267"/>
      <c r="AM27" s="267"/>
      <c r="AN27" s="75"/>
    </row>
    <row r="28" spans="1:40" s="6" customFormat="1" ht="11.25" x14ac:dyDescent="0.2">
      <c r="A28" s="56">
        <f t="shared" si="18"/>
        <v>44575</v>
      </c>
      <c r="B28" s="1141">
        <v>17.759</v>
      </c>
      <c r="C28" s="868"/>
      <c r="D28" s="395">
        <f t="shared" si="0"/>
        <v>18.288297146086165</v>
      </c>
      <c r="E28" s="387">
        <f t="shared" si="1"/>
        <v>20.33468069938365</v>
      </c>
      <c r="F28" s="387">
        <f t="shared" si="2"/>
        <v>21.692421575213363</v>
      </c>
      <c r="G28" s="110">
        <f t="shared" si="19"/>
        <v>1.0190269259145373</v>
      </c>
      <c r="H28" s="416" t="b">
        <f>Wh_hp&gt;='2021'!Maxi_hp</f>
        <v>1</v>
      </c>
      <c r="I28" s="382">
        <f>IF(H28,Wh_hp,'2021'!Maxi_hp)</f>
        <v>21.692421575213363</v>
      </c>
      <c r="J28" s="85">
        <f>IF(H28,An,'2021'!An_max)</f>
        <v>2022</v>
      </c>
      <c r="K28" s="199">
        <f t="shared" si="3"/>
        <v>44575</v>
      </c>
      <c r="L28" s="147">
        <f>IF(t&lt;Tvie,1-EXP((T0-t)*PertePVj)+'2021'!Pspv,1-EXP((T0-t)*PertePVj)+Pspv)</f>
        <v>2.8941849635215511E-2</v>
      </c>
      <c r="M28" s="872"/>
      <c r="N28" s="872"/>
      <c r="O28" s="48">
        <f>IF(t&lt;Tnet,'2021'!Resal+('2021'!Salim-'2021'!Resal)*(1-EXP(('2021'!Tnet-t)/('2021'!Tau_j))),Resal+(Salim-Resal)*(1-EXP((Tnet-t)/(Tau_j))))*Salcycl</f>
        <v>0.10063514561895787</v>
      </c>
      <c r="P28" s="341">
        <f>(INDEX(Models!$BJ28:$BT28,,T28)*(1-R28)+INDEX(Models!$BJ28:$BT28,,T28+1)*R28-ERP_i)*Q28*Ramure*Pc/MaxiM</f>
        <v>6.2590562843436559E-2</v>
      </c>
      <c r="Q28" s="307">
        <f t="shared" si="4"/>
        <v>0.9</v>
      </c>
      <c r="R28" s="179">
        <f t="shared" si="5"/>
        <v>0.90059112745144387</v>
      </c>
      <c r="S28" s="839">
        <f t="shared" si="6"/>
        <v>-1</v>
      </c>
      <c r="T28" s="178">
        <f t="shared" si="7"/>
        <v>5</v>
      </c>
      <c r="U28" s="253">
        <f t="shared" si="20"/>
        <v>-9.9408872548556168E-2</v>
      </c>
      <c r="V28" s="385">
        <f t="shared" si="8"/>
        <v>17.427409961775041</v>
      </c>
      <c r="W28" s="404">
        <f t="shared" si="9"/>
        <v>0</v>
      </c>
      <c r="X28" s="157">
        <f t="shared" si="10"/>
        <v>44575</v>
      </c>
      <c r="Y28" s="387">
        <f t="shared" si="11"/>
        <v>16.79816613564418</v>
      </c>
      <c r="Z28" s="387">
        <f t="shared" si="21"/>
        <v>17.298826161269371</v>
      </c>
      <c r="AA28" s="388">
        <f t="shared" si="12"/>
        <v>20.33468069938365</v>
      </c>
      <c r="AB28" s="199">
        <f t="shared" si="13"/>
        <v>44575</v>
      </c>
      <c r="AC28" s="119">
        <f>IF(OR(t&lt;Tnet,NoTnet),'2021'!Resal_s+('2021'!Salim-'2021'!Resal_s)*(1-EXP(('2021'!Tnet_s-t)/'2021'!Tau_j)),Resal_s+(Salim-Resal_s)*(1-EXP((Tnet_s-t)/Tau_j)))*Salcycl</f>
        <v>0.14929442871489479</v>
      </c>
      <c r="AD28" s="233">
        <f>(INDEX(Models!$BJ28:$BT28,,AH28)*(1-AF28)+INDEX(Models!$BJ28:$BT28,,AH28+1)*AF28-ERP_i)*AE28*Ramure*Pc/MaxiM</f>
        <v>6.2590562843436559E-2</v>
      </c>
      <c r="AE28" s="307">
        <f t="shared" si="14"/>
        <v>0.9</v>
      </c>
      <c r="AF28" s="179">
        <f t="shared" si="22"/>
        <v>0.90059112745144387</v>
      </c>
      <c r="AG28" s="839">
        <f t="shared" si="23"/>
        <v>-1</v>
      </c>
      <c r="AH28" s="178">
        <f t="shared" si="15"/>
        <v>5</v>
      </c>
      <c r="AI28" s="227">
        <f t="shared" si="24"/>
        <v>-9.9408872548556168E-2</v>
      </c>
      <c r="AJ28" s="267" t="b">
        <f t="shared" si="16"/>
        <v>1</v>
      </c>
      <c r="AK28" s="267" t="b">
        <f t="shared" si="17"/>
        <v>0</v>
      </c>
      <c r="AL28" s="267"/>
      <c r="AM28" s="267"/>
      <c r="AN28" s="75"/>
    </row>
    <row r="29" spans="1:40" s="6" customFormat="1" ht="11.25" x14ac:dyDescent="0.2">
      <c r="A29" s="56">
        <f t="shared" si="18"/>
        <v>44576</v>
      </c>
      <c r="B29" s="1141">
        <v>17.904</v>
      </c>
      <c r="C29" s="868"/>
      <c r="D29" s="395">
        <f t="shared" si="0"/>
        <v>18.438047870981237</v>
      </c>
      <c r="E29" s="387">
        <f t="shared" si="1"/>
        <v>20.50544898978502</v>
      </c>
      <c r="F29" s="387">
        <f t="shared" si="2"/>
        <v>21.851929496030461</v>
      </c>
      <c r="G29" s="110">
        <f t="shared" si="19"/>
        <v>1.0145513106600166</v>
      </c>
      <c r="H29" s="416" t="b">
        <f>Wh_hp&gt;='2021'!Maxi_hp</f>
        <v>1</v>
      </c>
      <c r="I29" s="382">
        <f>IF(H29,Wh_hp,'2021'!Maxi_hp)</f>
        <v>21.851929496030461</v>
      </c>
      <c r="J29" s="85">
        <f>IF(H29,An,'2021'!An_max)</f>
        <v>2022</v>
      </c>
      <c r="K29" s="199">
        <f t="shared" si="3"/>
        <v>44576</v>
      </c>
      <c r="L29" s="147">
        <f>IF(t&lt;Tvie,1-EXP((T0-t)*PertePVj)+'2021'!Pspv,1-EXP((T0-t)*PertePVj)+Pspv)</f>
        <v>2.8964447576999119E-2</v>
      </c>
      <c r="M29" s="872"/>
      <c r="N29" s="872"/>
      <c r="O29" s="48">
        <f>IF(t&lt;Tnet,'2021'!Resal+('2021'!Salim-'2021'!Resal)*(1-EXP(('2021'!Tnet-t)/('2021'!Tau_j))),Resal+(Salim-Resal)*(1-EXP((Tnet-t)/(Tau_j))))*Salcycl</f>
        <v>0.1008220361248212</v>
      </c>
      <c r="P29" s="341">
        <f>(INDEX(Models!$BJ29:$BT29,,T29)*(1-R29)+INDEX(Models!$BJ29:$BT29,,T29+1)*R29-ERP_i)*Q29*Ramure*Pc/MaxiM</f>
        <v>6.1618380495417541E-2</v>
      </c>
      <c r="Q29" s="307">
        <f t="shared" si="4"/>
        <v>0.9</v>
      </c>
      <c r="R29" s="179">
        <f t="shared" si="5"/>
        <v>0.90065084371098147</v>
      </c>
      <c r="S29" s="839">
        <f t="shared" si="6"/>
        <v>-1</v>
      </c>
      <c r="T29" s="178">
        <f t="shared" si="7"/>
        <v>5</v>
      </c>
      <c r="U29" s="253">
        <f t="shared" si="20"/>
        <v>-9.934915628901847E-2</v>
      </c>
      <c r="V29" s="385">
        <f t="shared" si="8"/>
        <v>17.647209965509333</v>
      </c>
      <c r="W29" s="404">
        <f t="shared" si="9"/>
        <v>0</v>
      </c>
      <c r="X29" s="157">
        <f t="shared" si="10"/>
        <v>44576</v>
      </c>
      <c r="Y29" s="387">
        <f t="shared" si="11"/>
        <v>16.93779937054552</v>
      </c>
      <c r="Z29" s="387">
        <f t="shared" si="21"/>
        <v>17.443027012019332</v>
      </c>
      <c r="AA29" s="388">
        <f t="shared" si="12"/>
        <v>20.50544898978502</v>
      </c>
      <c r="AB29" s="199">
        <f t="shared" si="13"/>
        <v>44576</v>
      </c>
      <c r="AC29" s="119">
        <f>IF(OR(t&lt;Tnet,NoTnet),'2021'!Resal_s+('2021'!Salim-'2021'!Resal_s)*(1-EXP(('2021'!Tnet_s-t)/'2021'!Tau_j)),Resal_s+(Salim-Resal_s)*(1-EXP((Tnet_s-t)/Tau_j)))*Salcycl</f>
        <v>0.14934674092195024</v>
      </c>
      <c r="AD29" s="233">
        <f>(INDEX(Models!$BJ29:$BT29,,AH29)*(1-AF29)+INDEX(Models!$BJ29:$BT29,,AH29+1)*AF29-ERP_i)*AE29*Ramure*Pc/MaxiM</f>
        <v>6.1618380495417541E-2</v>
      </c>
      <c r="AE29" s="307">
        <f t="shared" si="14"/>
        <v>0.9</v>
      </c>
      <c r="AF29" s="179">
        <f t="shared" si="22"/>
        <v>0.90065084371098147</v>
      </c>
      <c r="AG29" s="839">
        <f t="shared" si="23"/>
        <v>-1</v>
      </c>
      <c r="AH29" s="178">
        <f t="shared" si="15"/>
        <v>5</v>
      </c>
      <c r="AI29" s="227">
        <f t="shared" si="24"/>
        <v>-9.934915628901847E-2</v>
      </c>
      <c r="AJ29" s="267" t="b">
        <f t="shared" si="16"/>
        <v>1</v>
      </c>
      <c r="AK29" s="267" t="b">
        <f t="shared" si="17"/>
        <v>0</v>
      </c>
      <c r="AL29" s="267"/>
      <c r="AM29" s="267"/>
      <c r="AN29" s="75"/>
    </row>
    <row r="30" spans="1:40" s="6" customFormat="1" ht="11.25" x14ac:dyDescent="0.2">
      <c r="A30" s="56">
        <f t="shared" si="18"/>
        <v>44577</v>
      </c>
      <c r="B30" s="1141">
        <v>17.887</v>
      </c>
      <c r="C30" s="868"/>
      <c r="D30" s="395">
        <f t="shared" si="0"/>
        <v>18.420969470864712</v>
      </c>
      <c r="E30" s="387">
        <f t="shared" si="1"/>
        <v>20.490706168037562</v>
      </c>
      <c r="F30" s="387">
        <f t="shared" si="2"/>
        <v>21.813416600563912</v>
      </c>
      <c r="G30" s="110">
        <f t="shared" si="19"/>
        <v>1.0007717959974691</v>
      </c>
      <c r="H30" s="416" t="b">
        <f>Wh_hp&gt;='2021'!Maxi_hp</f>
        <v>1</v>
      </c>
      <c r="I30" s="382">
        <f>IF(H30,Wh_hp,'2021'!Maxi_hp)</f>
        <v>21.813416600563912</v>
      </c>
      <c r="J30" s="85">
        <f>IF(H30,An,'2021'!An_max)</f>
        <v>2022</v>
      </c>
      <c r="K30" s="199">
        <f t="shared" si="3"/>
        <v>44577</v>
      </c>
      <c r="L30" s="147">
        <f>IF(t&lt;Tvie,1-EXP((T0-t)*PertePVj)+'2021'!Pspv,1-EXP((T0-t)*PertePVj)+Pspv)</f>
        <v>2.8987044992895616E-2</v>
      </c>
      <c r="M30" s="872"/>
      <c r="N30" s="872"/>
      <c r="O30" s="48">
        <f>IF(t&lt;Tnet,'2021'!Resal+('2021'!Salim-'2021'!Resal)*(1-EXP(('2021'!Tnet-t)/('2021'!Tau_j))),Resal+(Salim-Resal)*(1-EXP((Tnet-t)/(Tau_j))))*Salcycl</f>
        <v>0.10100855871923679</v>
      </c>
      <c r="P30" s="341">
        <f>(INDEX(Models!$BJ30:$BT30,,T30)*(1-R30)+INDEX(Models!$BJ30:$BT30,,T30+1)*R30-ERP_i)*Q30*Ramure*Pc/MaxiM</f>
        <v>6.0637471733435609E-2</v>
      </c>
      <c r="Q30" s="307">
        <f t="shared" si="4"/>
        <v>0.9</v>
      </c>
      <c r="R30" s="179">
        <f t="shared" si="5"/>
        <v>0.90071305254039824</v>
      </c>
      <c r="S30" s="839">
        <f t="shared" si="6"/>
        <v>-1</v>
      </c>
      <c r="T30" s="178">
        <f t="shared" si="7"/>
        <v>5</v>
      </c>
      <c r="U30" s="253">
        <f t="shared" si="20"/>
        <v>-9.9286947459601774E-2</v>
      </c>
      <c r="V30" s="385">
        <f t="shared" si="8"/>
        <v>17.873205531508837</v>
      </c>
      <c r="W30" s="404">
        <f t="shared" si="9"/>
        <v>0</v>
      </c>
      <c r="X30" s="157">
        <f t="shared" si="10"/>
        <v>44577</v>
      </c>
      <c r="Y30" s="387">
        <f t="shared" si="11"/>
        <v>16.924185220979059</v>
      </c>
      <c r="Z30" s="387">
        <f t="shared" si="21"/>
        <v>17.429412381892714</v>
      </c>
      <c r="AA30" s="388">
        <f t="shared" si="12"/>
        <v>20.490706168037562</v>
      </c>
      <c r="AB30" s="199">
        <f t="shared" si="13"/>
        <v>44577</v>
      </c>
      <c r="AC30" s="119">
        <f>IF(OR(t&lt;Tnet,NoTnet),'2021'!Resal_s+('2021'!Salim-'2021'!Resal_s)*(1-EXP(('2021'!Tnet_s-t)/'2021'!Tau_j)),Resal_s+(Salim-Resal_s)*(1-EXP((Tnet_s-t)/Tau_j)))*Salcycl</f>
        <v>0.14939913544414632</v>
      </c>
      <c r="AD30" s="233">
        <f>(INDEX(Models!$BJ30:$BT30,,AH30)*(1-AF30)+INDEX(Models!$BJ30:$BT30,,AH30+1)*AF30-ERP_i)*AE30*Ramure*Pc/MaxiM</f>
        <v>6.0637471733435609E-2</v>
      </c>
      <c r="AE30" s="307">
        <f t="shared" si="14"/>
        <v>0.9</v>
      </c>
      <c r="AF30" s="179">
        <f t="shared" si="22"/>
        <v>0.90071305254039824</v>
      </c>
      <c r="AG30" s="839">
        <f t="shared" si="23"/>
        <v>-1</v>
      </c>
      <c r="AH30" s="178">
        <f t="shared" si="15"/>
        <v>5</v>
      </c>
      <c r="AI30" s="227">
        <f t="shared" si="24"/>
        <v>-9.9286947459601774E-2</v>
      </c>
      <c r="AJ30" s="267" t="b">
        <f t="shared" si="16"/>
        <v>1</v>
      </c>
      <c r="AK30" s="267" t="b">
        <f t="shared" si="17"/>
        <v>0</v>
      </c>
      <c r="AL30" s="267"/>
      <c r="AM30" s="267"/>
      <c r="AN30" s="75"/>
    </row>
    <row r="31" spans="1:40" s="6" customFormat="1" ht="11.25" x14ac:dyDescent="0.2">
      <c r="A31" s="56">
        <f t="shared" si="18"/>
        <v>44578</v>
      </c>
      <c r="B31" s="1141">
        <v>14.324</v>
      </c>
      <c r="C31" s="868"/>
      <c r="D31" s="395">
        <f t="shared" si="0"/>
        <v>14.75194875032199</v>
      </c>
      <c r="E31" s="387">
        <f t="shared" si="1"/>
        <v>16.412841678999332</v>
      </c>
      <c r="F31" s="387">
        <f t="shared" si="2"/>
        <v>17.129787184609615</v>
      </c>
      <c r="G31" s="110">
        <f t="shared" si="19"/>
        <v>0.77647785834187077</v>
      </c>
      <c r="H31" s="416" t="b">
        <f>Wh_hp&gt;='2021'!Maxi_hp</f>
        <v>1</v>
      </c>
      <c r="I31" s="382">
        <f>IF(H31,Wh_hp,'2021'!Maxi_hp)</f>
        <v>17.129787184609615</v>
      </c>
      <c r="J31" s="85">
        <f>IF(H31,An,'2021'!An_max)</f>
        <v>2022</v>
      </c>
      <c r="K31" s="199">
        <f t="shared" si="3"/>
        <v>44578</v>
      </c>
      <c r="L31" s="147">
        <f>IF(t&lt;Tvie,1-EXP((T0-t)*PertePVj)+'2021'!Pspv,1-EXP((T0-t)*PertePVj)+Pspv)</f>
        <v>2.9009641882917325E-2</v>
      </c>
      <c r="M31" s="872"/>
      <c r="N31" s="872"/>
      <c r="O31" s="48">
        <f>IF(t&lt;Tnet,'2021'!Resal+('2021'!Salim-'2021'!Resal)*(1-EXP(('2021'!Tnet-t)/('2021'!Tau_j))),Resal+(Salim-Resal)*(1-EXP((Tnet-t)/(Tau_j))))*Salcycl</f>
        <v>0.10119472064380533</v>
      </c>
      <c r="P31" s="341">
        <f>(INDEX(Models!$BJ31:$BT31,,T31)*(1-R31)+INDEX(Models!$BJ31:$BT31,,T31+1)*R31-ERP_i)*Q31*Ramure*Pc/MaxiM</f>
        <v>5.9648435257420848E-2</v>
      </c>
      <c r="Q31" s="307">
        <f t="shared" si="4"/>
        <v>0.9</v>
      </c>
      <c r="R31" s="179">
        <f t="shared" si="5"/>
        <v>0.90077785742886141</v>
      </c>
      <c r="S31" s="839">
        <f t="shared" si="6"/>
        <v>-1</v>
      </c>
      <c r="T31" s="178">
        <f t="shared" si="7"/>
        <v>5</v>
      </c>
      <c r="U31" s="253">
        <f t="shared" si="20"/>
        <v>-9.9222142571138539E-2</v>
      </c>
      <c r="V31" s="385">
        <f t="shared" si="8"/>
        <v>18.104797639646772</v>
      </c>
      <c r="W31" s="404">
        <f t="shared" si="9"/>
        <v>0</v>
      </c>
      <c r="X31" s="157">
        <f t="shared" si="10"/>
        <v>44578</v>
      </c>
      <c r="Y31" s="387">
        <f t="shared" si="11"/>
        <v>13.554943737536282</v>
      </c>
      <c r="Z31" s="387">
        <f t="shared" si="21"/>
        <v>13.959915898466438</v>
      </c>
      <c r="AA31" s="388">
        <f t="shared" si="12"/>
        <v>16.412841678999332</v>
      </c>
      <c r="AB31" s="199">
        <f t="shared" si="13"/>
        <v>44578</v>
      </c>
      <c r="AC31" s="119">
        <f>IF(OR(t&lt;Tnet,NoTnet),'2021'!Resal_s+('2021'!Salim-'2021'!Resal_s)*(1-EXP(('2021'!Tnet_s-t)/'2021'!Tau_j)),Resal_s+(Salim-Resal_s)*(1-EXP((Tnet_s-t)/Tau_j)))*Salcycl</f>
        <v>0.14945162017077623</v>
      </c>
      <c r="AD31" s="233">
        <f>(INDEX(Models!$BJ31:$BT31,,AH31)*(1-AF31)+INDEX(Models!$BJ31:$BT31,,AH31+1)*AF31-ERP_i)*AE31*Ramure*Pc/MaxiM</f>
        <v>5.9648435257420848E-2</v>
      </c>
      <c r="AE31" s="307">
        <f t="shared" si="14"/>
        <v>0.9</v>
      </c>
      <c r="AF31" s="179">
        <f t="shared" si="22"/>
        <v>0.90077785742886141</v>
      </c>
      <c r="AG31" s="839">
        <f t="shared" si="23"/>
        <v>-1</v>
      </c>
      <c r="AH31" s="178">
        <f t="shared" si="15"/>
        <v>5</v>
      </c>
      <c r="AI31" s="227">
        <f t="shared" si="24"/>
        <v>-9.9222142571138539E-2</v>
      </c>
      <c r="AJ31" s="267" t="b">
        <f t="shared" si="16"/>
        <v>1</v>
      </c>
      <c r="AK31" s="267" t="b">
        <f t="shared" si="17"/>
        <v>0</v>
      </c>
      <c r="AL31" s="267"/>
      <c r="AM31" s="267"/>
      <c r="AN31" s="75"/>
    </row>
    <row r="32" spans="1:40" s="6" customFormat="1" ht="11.25" x14ac:dyDescent="0.2">
      <c r="A32" s="56">
        <f t="shared" si="18"/>
        <v>44579</v>
      </c>
      <c r="B32" s="1141">
        <v>3.9670000000000001</v>
      </c>
      <c r="C32" s="868"/>
      <c r="D32" s="395">
        <f t="shared" si="0"/>
        <v>4.0856145345528567</v>
      </c>
      <c r="E32" s="387">
        <f t="shared" si="1"/>
        <v>4.5465457530762299</v>
      </c>
      <c r="F32" s="387">
        <f t="shared" si="2"/>
        <v>4.5465457530762299</v>
      </c>
      <c r="G32" s="110">
        <f t="shared" si="19"/>
        <v>0.20360120215922334</v>
      </c>
      <c r="H32" s="416" t="b">
        <f>Wh_hp&gt;='2021'!Maxi_hp</f>
        <v>0</v>
      </c>
      <c r="I32" s="382">
        <f>IF(H32,Wh_hp,'2021'!Maxi_hp)</f>
        <v>21.664293726015998</v>
      </c>
      <c r="J32" s="85">
        <f>IF(H32,An,'2021'!An_max)</f>
        <v>2021</v>
      </c>
      <c r="K32" s="199">
        <f t="shared" si="3"/>
        <v>44579</v>
      </c>
      <c r="L32" s="147">
        <f>IF(t&lt;Tvie,1-EXP((T0-t)*PertePVj)+'2021'!Pspv,1-EXP((T0-t)*PertePVj)+Pspv)</f>
        <v>2.9032238247076347E-2</v>
      </c>
      <c r="M32" s="872"/>
      <c r="N32" s="872"/>
      <c r="O32" s="48">
        <f>IF(t&lt;Tnet,'2021'!Resal+('2021'!Salim-'2021'!Resal)*(1-EXP(('2021'!Tnet-t)/('2021'!Tau_j))),Resal+(Salim-Resal)*(1-EXP((Tnet-t)/(Tau_j))))*Salcycl</f>
        <v>0.10138053008957479</v>
      </c>
      <c r="P32" s="341">
        <f>(INDEX(Models!$BJ32:$BT32,,T32)*(1-R32)+INDEX(Models!$BJ32:$BT32,,T32+1)*R32-ERP_i)*Q32*Ramure*Pc/MaxiM</f>
        <v>5.8654189339822402E-2</v>
      </c>
      <c r="Q32" s="307">
        <f t="shared" si="4"/>
        <v>0.9</v>
      </c>
      <c r="R32" s="179">
        <f t="shared" si="5"/>
        <v>0.90084536611523136</v>
      </c>
      <c r="S32" s="839">
        <f t="shared" si="6"/>
        <v>-1</v>
      </c>
      <c r="T32" s="178">
        <f t="shared" si="7"/>
        <v>5</v>
      </c>
      <c r="U32" s="253">
        <f t="shared" si="20"/>
        <v>-9.9154633884768598E-2</v>
      </c>
      <c r="V32" s="385">
        <f t="shared" si="8"/>
        <v>18.341339792132246</v>
      </c>
      <c r="W32" s="404">
        <f t="shared" si="9"/>
        <v>0</v>
      </c>
      <c r="X32" s="157">
        <f t="shared" si="10"/>
        <v>44579</v>
      </c>
      <c r="Y32" s="387">
        <f t="shared" si="11"/>
        <v>3.7545556648607201</v>
      </c>
      <c r="Z32" s="387">
        <f t="shared" si="21"/>
        <v>3.8668180476790326</v>
      </c>
      <c r="AA32" s="388">
        <f t="shared" si="12"/>
        <v>4.5465457530762299</v>
      </c>
      <c r="AB32" s="199">
        <f t="shared" si="13"/>
        <v>44579</v>
      </c>
      <c r="AC32" s="119">
        <f>IF(OR(t&lt;Tnet,NoTnet),'2021'!Resal_s+('2021'!Salim-'2021'!Resal_s)*(1-EXP(('2021'!Tnet_s-t)/'2021'!Tau_j)),Resal_s+(Salim-Resal_s)*(1-EXP((Tnet_s-t)/Tau_j)))*Salcycl</f>
        <v>0.14950420435938386</v>
      </c>
      <c r="AD32" s="233">
        <f>(INDEX(Models!$BJ32:$BT32,,AH32)*(1-AF32)+INDEX(Models!$BJ32:$BT32,,AH32+1)*AF32-ERP_i)*AE32*Ramure*Pc/MaxiM</f>
        <v>5.8654189339822402E-2</v>
      </c>
      <c r="AE32" s="307">
        <f t="shared" si="14"/>
        <v>0.9</v>
      </c>
      <c r="AF32" s="179">
        <f t="shared" si="22"/>
        <v>0.90084536611523136</v>
      </c>
      <c r="AG32" s="839">
        <f t="shared" si="23"/>
        <v>-1</v>
      </c>
      <c r="AH32" s="178">
        <f t="shared" si="15"/>
        <v>5</v>
      </c>
      <c r="AI32" s="227">
        <f t="shared" si="24"/>
        <v>-9.9154633884768598E-2</v>
      </c>
      <c r="AJ32" s="267" t="b">
        <f t="shared" si="16"/>
        <v>1</v>
      </c>
      <c r="AK32" s="267" t="b">
        <f t="shared" si="17"/>
        <v>0</v>
      </c>
      <c r="AL32" s="267"/>
      <c r="AM32" s="267"/>
      <c r="AN32" s="75"/>
    </row>
    <row r="33" spans="1:40" s="6" customFormat="1" ht="11.25" x14ac:dyDescent="0.2">
      <c r="A33" s="56">
        <f t="shared" si="18"/>
        <v>44580</v>
      </c>
      <c r="B33" s="1141">
        <v>9.7170000000000005</v>
      </c>
      <c r="C33" s="868"/>
      <c r="D33" s="395">
        <f t="shared" si="0"/>
        <v>10.007774219511912</v>
      </c>
      <c r="E33" s="387">
        <f t="shared" si="1"/>
        <v>11.139131170354128</v>
      </c>
      <c r="F33" s="387">
        <f t="shared" si="2"/>
        <v>11.347487200985833</v>
      </c>
      <c r="G33" s="110">
        <f t="shared" si="19"/>
        <v>0.50198716108816954</v>
      </c>
      <c r="H33" s="416" t="b">
        <f>Wh_hp&gt;='2021'!Maxi_hp</f>
        <v>0</v>
      </c>
      <c r="I33" s="382">
        <f>IF(H33,Wh_hp,'2021'!Maxi_hp)</f>
        <v>22.003301908530709</v>
      </c>
      <c r="J33" s="85">
        <f>IF(H33,An,'2021'!An_max)</f>
        <v>2021</v>
      </c>
      <c r="K33" s="199">
        <f t="shared" si="3"/>
        <v>44580</v>
      </c>
      <c r="L33" s="147">
        <f>IF(t&lt;Tvie,1-EXP((T0-t)*PertePVj)+'2021'!Pspv,1-EXP((T0-t)*PertePVj)+Pspv)</f>
        <v>2.9054834085384895E-2</v>
      </c>
      <c r="M33" s="872"/>
      <c r="N33" s="872"/>
      <c r="O33" s="48">
        <f>IF(t&lt;Tnet,'2021'!Resal+('2021'!Salim-'2021'!Resal)*(1-EXP(('2021'!Tnet-t)/('2021'!Tau_j))),Resal+(Salim-Resal)*(1-EXP((Tnet-t)/(Tau_j))))*Salcycl</f>
        <v>0.1015659959057874</v>
      </c>
      <c r="P33" s="341">
        <f>(INDEX(Models!$BJ33:$BT33,,T33)*(1-R33)+INDEX(Models!$BJ33:$BT33,,T33+1)*R33-ERP_i)*Q33*Ramure*Pc/MaxiM</f>
        <v>5.7657397071752228E-2</v>
      </c>
      <c r="Q33" s="307">
        <f t="shared" si="4"/>
        <v>0.9</v>
      </c>
      <c r="R33" s="179">
        <f t="shared" si="5"/>
        <v>0.90091569075854616</v>
      </c>
      <c r="S33" s="839">
        <f t="shared" si="6"/>
        <v>-1</v>
      </c>
      <c r="T33" s="178">
        <f t="shared" si="7"/>
        <v>5</v>
      </c>
      <c r="U33" s="253">
        <f t="shared" si="20"/>
        <v>-9.9084309241453852E-2</v>
      </c>
      <c r="V33" s="385">
        <f t="shared" si="8"/>
        <v>18.582185978695858</v>
      </c>
      <c r="W33" s="404">
        <f t="shared" si="9"/>
        <v>0</v>
      </c>
      <c r="X33" s="157">
        <f t="shared" si="10"/>
        <v>44580</v>
      </c>
      <c r="Y33" s="387">
        <f t="shared" si="11"/>
        <v>9.1979550891442727</v>
      </c>
      <c r="Z33" s="387">
        <f t="shared" si="21"/>
        <v>9.4731972639051598</v>
      </c>
      <c r="AA33" s="388">
        <f t="shared" si="12"/>
        <v>11.139131170354128</v>
      </c>
      <c r="AB33" s="199">
        <f t="shared" si="13"/>
        <v>44580</v>
      </c>
      <c r="AC33" s="119">
        <f>IF(OR(t&lt;Tnet,NoTnet),'2021'!Resal_s+('2021'!Salim-'2021'!Resal_s)*(1-EXP(('2021'!Tnet_s-t)/'2021'!Tau_j)),Resal_s+(Salim-Resal_s)*(1-EXP((Tnet_s-t)/Tau_j)))*Salcycl</f>
        <v>0.14955689819711551</v>
      </c>
      <c r="AD33" s="233">
        <f>(INDEX(Models!$BJ33:$BT33,,AH33)*(1-AF33)+INDEX(Models!$BJ33:$BT33,,AH33+1)*AF33-ERP_i)*AE33*Ramure*Pc/MaxiM</f>
        <v>5.7657397071752228E-2</v>
      </c>
      <c r="AE33" s="307">
        <f t="shared" si="14"/>
        <v>0.9</v>
      </c>
      <c r="AF33" s="179">
        <f t="shared" si="22"/>
        <v>0.90091569075854616</v>
      </c>
      <c r="AG33" s="839">
        <f t="shared" si="23"/>
        <v>-1</v>
      </c>
      <c r="AH33" s="178">
        <f t="shared" si="15"/>
        <v>5</v>
      </c>
      <c r="AI33" s="227">
        <f t="shared" si="24"/>
        <v>-9.9084309241453852E-2</v>
      </c>
      <c r="AJ33" s="267" t="b">
        <f t="shared" si="16"/>
        <v>1</v>
      </c>
      <c r="AK33" s="267" t="b">
        <f t="shared" si="17"/>
        <v>0</v>
      </c>
      <c r="AL33" s="267"/>
      <c r="AM33" s="267"/>
      <c r="AN33" s="75"/>
    </row>
    <row r="34" spans="1:40" s="6" customFormat="1" ht="11.25" x14ac:dyDescent="0.2">
      <c r="A34" s="56">
        <f t="shared" si="18"/>
        <v>44581</v>
      </c>
      <c r="B34" s="1141">
        <v>5.7350000000000003</v>
      </c>
      <c r="C34" s="868"/>
      <c r="D34" s="395">
        <f t="shared" si="0"/>
        <v>5.9067531991179072</v>
      </c>
      <c r="E34" s="387">
        <f t="shared" si="1"/>
        <v>6.5758537291186547</v>
      </c>
      <c r="F34" s="387">
        <f t="shared" si="2"/>
        <v>6.578314199309192</v>
      </c>
      <c r="G34" s="110">
        <f t="shared" si="19"/>
        <v>0.28746828311115591</v>
      </c>
      <c r="H34" s="416" t="b">
        <f>Wh_hp&gt;='2021'!Maxi_hp</f>
        <v>0</v>
      </c>
      <c r="I34" s="382">
        <f>IF(H34,Wh_hp,'2021'!Maxi_hp)</f>
        <v>9.8558030999389263</v>
      </c>
      <c r="J34" s="85">
        <f>IF(H34,An,'2021'!An_max)</f>
        <v>2020</v>
      </c>
      <c r="K34" s="199">
        <f t="shared" si="3"/>
        <v>44581</v>
      </c>
      <c r="L34" s="147">
        <f>IF(t&lt;Tvie,1-EXP((T0-t)*PertePVj)+'2021'!Pspv,1-EXP((T0-t)*PertePVj)+Pspv)</f>
        <v>2.9077429397855292E-2</v>
      </c>
      <c r="M34" s="872"/>
      <c r="N34" s="872"/>
      <c r="O34" s="48">
        <f>IF(t&lt;Tnet,'2021'!Resal+('2021'!Salim-'2021'!Resal)*(1-EXP(('2021'!Tnet-t)/('2021'!Tau_j))),Resal+(Salim-Resal)*(1-EXP((Tnet-t)/(Tau_j))))*Salcycl</f>
        <v>0.10175112731566568</v>
      </c>
      <c r="P34" s="341">
        <f>(INDEX(Models!$BJ34:$BT34,,T34)*(1-R34)+INDEX(Models!$BJ34:$BT34,,T34+1)*R34-ERP_i)*Q34*Ramure*Pc/MaxiM</f>
        <v>5.6660790492999449E-2</v>
      </c>
      <c r="Q34" s="307">
        <f t="shared" si="4"/>
        <v>0.9</v>
      </c>
      <c r="R34" s="179">
        <f t="shared" si="5"/>
        <v>0.90098894811499919</v>
      </c>
      <c r="S34" s="839">
        <f t="shared" si="6"/>
        <v>-1</v>
      </c>
      <c r="T34" s="178">
        <f t="shared" si="7"/>
        <v>5</v>
      </c>
      <c r="U34" s="253">
        <f t="shared" si="20"/>
        <v>-9.9011051885000825E-2</v>
      </c>
      <c r="V34" s="385">
        <f t="shared" si="8"/>
        <v>18.826684365001871</v>
      </c>
      <c r="W34" s="404">
        <f t="shared" si="9"/>
        <v>0</v>
      </c>
      <c r="X34" s="157">
        <f t="shared" si="10"/>
        <v>44581</v>
      </c>
      <c r="Y34" s="387">
        <f t="shared" si="11"/>
        <v>5.4294399334418317</v>
      </c>
      <c r="Z34" s="387">
        <f t="shared" si="21"/>
        <v>5.5920421440760339</v>
      </c>
      <c r="AA34" s="388">
        <f t="shared" si="12"/>
        <v>6.5758537291186547</v>
      </c>
      <c r="AB34" s="199">
        <f t="shared" si="13"/>
        <v>44581</v>
      </c>
      <c r="AC34" s="119">
        <f>IF(OR(t&lt;Tnet,NoTnet),'2021'!Resal_s+('2021'!Salim-'2021'!Resal_s)*(1-EXP(('2021'!Tnet_s-t)/'2021'!Tau_j)),Resal_s+(Salim-Resal_s)*(1-EXP((Tnet_s-t)/Tau_j)))*Salcycl</f>
        <v>0.14960971237638498</v>
      </c>
      <c r="AD34" s="233">
        <f>(INDEX(Models!$BJ34:$BT34,,AH34)*(1-AF34)+INDEX(Models!$BJ34:$BT34,,AH34+1)*AF34-ERP_i)*AE34*Ramure*Pc/MaxiM</f>
        <v>5.6660790492999449E-2</v>
      </c>
      <c r="AE34" s="307">
        <f t="shared" si="14"/>
        <v>0.9</v>
      </c>
      <c r="AF34" s="179">
        <f t="shared" si="22"/>
        <v>0.90098894811499919</v>
      </c>
      <c r="AG34" s="839">
        <f t="shared" si="23"/>
        <v>-1</v>
      </c>
      <c r="AH34" s="178">
        <f t="shared" si="15"/>
        <v>5</v>
      </c>
      <c r="AI34" s="227">
        <f t="shared" si="24"/>
        <v>-9.9011051885000825E-2</v>
      </c>
      <c r="AJ34" s="267" t="b">
        <f t="shared" si="16"/>
        <v>1</v>
      </c>
      <c r="AK34" s="267" t="b">
        <f t="shared" si="17"/>
        <v>0</v>
      </c>
      <c r="AL34" s="267"/>
      <c r="AM34" s="267"/>
      <c r="AN34" s="75"/>
    </row>
    <row r="35" spans="1:40" s="6" customFormat="1" ht="11.25" x14ac:dyDescent="0.2">
      <c r="A35" s="56">
        <f t="shared" si="18"/>
        <v>44582</v>
      </c>
      <c r="B35" s="1141">
        <v>14.041</v>
      </c>
      <c r="C35" s="868"/>
      <c r="D35" s="395">
        <f t="shared" si="0"/>
        <v>14.461839890567891</v>
      </c>
      <c r="E35" s="387">
        <f t="shared" si="1"/>
        <v>16.103349897095583</v>
      </c>
      <c r="F35" s="387">
        <f t="shared" si="2"/>
        <v>16.681922261721198</v>
      </c>
      <c r="G35" s="110">
        <f t="shared" si="19"/>
        <v>0.72012382569390165</v>
      </c>
      <c r="H35" s="416" t="b">
        <f>Wh_hp&gt;='2021'!Maxi_hp</f>
        <v>1</v>
      </c>
      <c r="I35" s="382">
        <f>IF(H35,Wh_hp,'2021'!Maxi_hp)</f>
        <v>16.681922261721198</v>
      </c>
      <c r="J35" s="85">
        <f>IF(H35,An,'2021'!An_max)</f>
        <v>2022</v>
      </c>
      <c r="K35" s="199">
        <f t="shared" si="3"/>
        <v>44582</v>
      </c>
      <c r="L35" s="147">
        <f>IF(t&lt;Tvie,1-EXP((T0-t)*PertePVj)+'2021'!Pspv,1-EXP((T0-t)*PertePVj)+Pspv)</f>
        <v>2.9100024184499862E-2</v>
      </c>
      <c r="M35" s="872"/>
      <c r="N35" s="872"/>
      <c r="O35" s="48">
        <f>IF(t&lt;Tnet,'2021'!Resal+('2021'!Salim-'2021'!Resal)*(1-EXP(('2021'!Tnet-t)/('2021'!Tau_j))),Resal+(Salim-Resal)*(1-EXP((Tnet-t)/(Tau_j))))*Salcycl</f>
        <v>0.10193593364221418</v>
      </c>
      <c r="P35" s="341">
        <f>(INDEX(Models!$BJ35:$BT35,,T35)*(1-R35)+INDEX(Models!$BJ35:$BT35,,T35+1)*R35-ERP_i)*Q35*Ramure*Pc/MaxiM</f>
        <v>5.5666982506228709E-2</v>
      </c>
      <c r="Q35" s="307">
        <f t="shared" si="4"/>
        <v>0.9</v>
      </c>
      <c r="R35" s="179">
        <f t="shared" si="5"/>
        <v>0.90106525972162976</v>
      </c>
      <c r="S35" s="839">
        <f t="shared" si="6"/>
        <v>-1</v>
      </c>
      <c r="T35" s="178">
        <f t="shared" si="7"/>
        <v>5</v>
      </c>
      <c r="U35" s="253">
        <f t="shared" si="20"/>
        <v>-9.8934740278370181E-2</v>
      </c>
      <c r="V35" s="385">
        <f t="shared" si="8"/>
        <v>19.074180910805222</v>
      </c>
      <c r="W35" s="404">
        <f t="shared" si="9"/>
        <v>0</v>
      </c>
      <c r="X35" s="157">
        <f t="shared" si="10"/>
        <v>44582</v>
      </c>
      <c r="Y35" s="387">
        <f t="shared" si="11"/>
        <v>13.294804981799222</v>
      </c>
      <c r="Z35" s="387">
        <f t="shared" si="21"/>
        <v>13.693279753799922</v>
      </c>
      <c r="AA35" s="388">
        <f t="shared" si="12"/>
        <v>16.103349897095583</v>
      </c>
      <c r="AB35" s="199">
        <f t="shared" si="13"/>
        <v>44582</v>
      </c>
      <c r="AC35" s="119">
        <f>IF(OR(t&lt;Tnet,NoTnet),'2021'!Resal_s+('2021'!Salim-'2021'!Resal_s)*(1-EXP(('2021'!Tnet_s-t)/'2021'!Tau_j)),Resal_s+(Salim-Resal_s)*(1-EXP((Tnet_s-t)/Tau_j)))*Salcycl</f>
        <v>0.14966265768902801</v>
      </c>
      <c r="AD35" s="233">
        <f>(INDEX(Models!$BJ35:$BT35,,AH35)*(1-AF35)+INDEX(Models!$BJ35:$BT35,,AH35+1)*AF35-ERP_i)*AE35*Ramure*Pc/MaxiM</f>
        <v>5.5666982506228709E-2</v>
      </c>
      <c r="AE35" s="307">
        <f t="shared" si="14"/>
        <v>0.9</v>
      </c>
      <c r="AF35" s="179">
        <f t="shared" si="22"/>
        <v>0.90106525972162976</v>
      </c>
      <c r="AG35" s="839">
        <f t="shared" si="23"/>
        <v>-1</v>
      </c>
      <c r="AH35" s="178">
        <f t="shared" si="15"/>
        <v>5</v>
      </c>
      <c r="AI35" s="227">
        <f t="shared" si="24"/>
        <v>-9.8934740278370181E-2</v>
      </c>
      <c r="AJ35" s="267" t="b">
        <f t="shared" si="16"/>
        <v>1</v>
      </c>
      <c r="AK35" s="267" t="b">
        <f t="shared" si="17"/>
        <v>0</v>
      </c>
      <c r="AL35" s="267"/>
      <c r="AM35" s="267"/>
      <c r="AN35" s="75"/>
    </row>
    <row r="36" spans="1:40" s="6" customFormat="1" ht="11.25" x14ac:dyDescent="0.2">
      <c r="A36" s="56">
        <f t="shared" si="18"/>
        <v>44583</v>
      </c>
      <c r="B36" s="1141">
        <v>19.2</v>
      </c>
      <c r="C36" s="868"/>
      <c r="D36" s="395">
        <f t="shared" si="0"/>
        <v>19.775926769717273</v>
      </c>
      <c r="E36" s="387">
        <f t="shared" si="1"/>
        <v>22.025143793613918</v>
      </c>
      <c r="F36" s="387">
        <f t="shared" si="2"/>
        <v>23.286743891331543</v>
      </c>
      <c r="G36" s="110">
        <f t="shared" si="19"/>
        <v>0.99305505814157402</v>
      </c>
      <c r="H36" s="416" t="b">
        <f>Wh_hp&gt;='2021'!Maxi_hp</f>
        <v>1</v>
      </c>
      <c r="I36" s="382">
        <f>IF(H36,Wh_hp,'2021'!Maxi_hp)</f>
        <v>23.286743891331543</v>
      </c>
      <c r="J36" s="85">
        <f>IF(H36,An,'2021'!An_max)</f>
        <v>2022</v>
      </c>
      <c r="K36" s="199">
        <f t="shared" si="3"/>
        <v>44583</v>
      </c>
      <c r="L36" s="147">
        <f>IF(t&lt;Tvie,1-EXP((T0-t)*PertePVj)+'2021'!Pspv,1-EXP((T0-t)*PertePVj)+Pspv)</f>
        <v>2.9122618445330595E-2</v>
      </c>
      <c r="M36" s="872"/>
      <c r="N36" s="872"/>
      <c r="O36" s="48">
        <f>IF(t&lt;Tnet,'2021'!Resal+('2021'!Salim-'2021'!Resal)*(1-EXP(('2021'!Tnet-t)/('2021'!Tau_j))),Resal+(Salim-Resal)*(1-EXP((Tnet-t)/(Tau_j))))*Salcycl</f>
        <v>0.10212042404684753</v>
      </c>
      <c r="P36" s="341">
        <f>(INDEX(Models!$BJ36:$BT36,,T36)*(1-R36)+INDEX(Models!$BJ36:$BT36,,T36+1)*R36-ERP_i)*Q36*Ramure*Pc/MaxiM</f>
        <v>5.4678092050602659E-2</v>
      </c>
      <c r="Q36" s="307">
        <f t="shared" si="4"/>
        <v>0.9</v>
      </c>
      <c r="R36" s="179">
        <f t="shared" si="5"/>
        <v>0.90114475208694433</v>
      </c>
      <c r="S36" s="839">
        <f t="shared" si="6"/>
        <v>-1</v>
      </c>
      <c r="T36" s="178">
        <f t="shared" si="7"/>
        <v>5</v>
      </c>
      <c r="U36" s="253">
        <f t="shared" si="20"/>
        <v>-9.8855247913055694E-2</v>
      </c>
      <c r="V36" s="385">
        <f t="shared" si="8"/>
        <v>19.324027109648124</v>
      </c>
      <c r="W36" s="404">
        <f t="shared" si="9"/>
        <v>0</v>
      </c>
      <c r="X36" s="157">
        <f t="shared" si="10"/>
        <v>44583</v>
      </c>
      <c r="Y36" s="387">
        <f t="shared" si="11"/>
        <v>18.182235279744681</v>
      </c>
      <c r="Z36" s="387">
        <f t="shared" si="21"/>
        <v>18.727632989687539</v>
      </c>
      <c r="AA36" s="388">
        <f t="shared" si="12"/>
        <v>22.025143793613918</v>
      </c>
      <c r="AB36" s="199">
        <f t="shared" si="13"/>
        <v>44583</v>
      </c>
      <c r="AC36" s="119">
        <f>IF(OR(t&lt;Tnet,NoTnet),'2021'!Resal_s+('2021'!Salim-'2021'!Resal_s)*(1-EXP(('2021'!Tnet_s-t)/'2021'!Tau_j)),Resal_s+(Salim-Resal_s)*(1-EXP((Tnet_s-t)/Tau_j)))*Salcycl</f>
        <v>0.14971574464283305</v>
      </c>
      <c r="AD36" s="233">
        <f>(INDEX(Models!$BJ36:$BT36,,AH36)*(1-AF36)+INDEX(Models!$BJ36:$BT36,,AH36+1)*AF36-ERP_i)*AE36*Ramure*Pc/MaxiM</f>
        <v>5.4678092050602659E-2</v>
      </c>
      <c r="AE36" s="307">
        <f t="shared" si="14"/>
        <v>0.9</v>
      </c>
      <c r="AF36" s="179">
        <f t="shared" si="22"/>
        <v>0.90114475208694433</v>
      </c>
      <c r="AG36" s="839">
        <f t="shared" si="23"/>
        <v>-1</v>
      </c>
      <c r="AH36" s="178">
        <f t="shared" si="15"/>
        <v>5</v>
      </c>
      <c r="AI36" s="227">
        <f t="shared" si="24"/>
        <v>-9.8855247913055694E-2</v>
      </c>
      <c r="AJ36" s="267" t="b">
        <f t="shared" si="16"/>
        <v>1</v>
      </c>
      <c r="AK36" s="267" t="b">
        <f t="shared" si="17"/>
        <v>0</v>
      </c>
      <c r="AL36" s="267"/>
      <c r="AM36" s="267"/>
      <c r="AN36" s="75"/>
    </row>
    <row r="37" spans="1:40" s="6" customFormat="1" ht="11.25" x14ac:dyDescent="0.2">
      <c r="A37" s="56">
        <f t="shared" si="18"/>
        <v>44584</v>
      </c>
      <c r="B37" s="1141">
        <v>19.242000000000001</v>
      </c>
      <c r="C37" s="868"/>
      <c r="D37" s="395">
        <f t="shared" si="0"/>
        <v>19.819647841685949</v>
      </c>
      <c r="E37" s="387">
        <f t="shared" si="1"/>
        <v>22.078366450906408</v>
      </c>
      <c r="F37" s="387">
        <f t="shared" si="2"/>
        <v>23.298620808792489</v>
      </c>
      <c r="G37" s="110">
        <f t="shared" si="19"/>
        <v>0.98148232262628343</v>
      </c>
      <c r="H37" s="416" t="b">
        <f>Wh_hp&gt;='2021'!Maxi_hp</f>
        <v>1</v>
      </c>
      <c r="I37" s="382">
        <f>IF(H37,Wh_hp,'2021'!Maxi_hp)</f>
        <v>23.298620808792489</v>
      </c>
      <c r="J37" s="85">
        <f>IF(H37,An,'2021'!An_max)</f>
        <v>2022</v>
      </c>
      <c r="K37" s="199">
        <f t="shared" si="3"/>
        <v>44584</v>
      </c>
      <c r="L37" s="147">
        <f>IF(t&lt;Tvie,1-EXP((T0-t)*PertePVj)+'2021'!Pspv,1-EXP((T0-t)*PertePVj)+Pspv)</f>
        <v>2.9145212180359925E-2</v>
      </c>
      <c r="M37" s="872"/>
      <c r="N37" s="872"/>
      <c r="O37" s="48">
        <f>IF(t&lt;Tnet,'2021'!Resal+('2021'!Salim-'2021'!Resal)*(1-EXP(('2021'!Tnet-t)/('2021'!Tau_j))),Resal+(Salim-Resal)*(1-EXP((Tnet-t)/(Tau_j))))*Salcycl</f>
        <v>0.10230460728346726</v>
      </c>
      <c r="P37" s="341">
        <f>(INDEX(Models!$BJ37:$BT37,,T37)*(1-R37)+INDEX(Models!$BJ37:$BT37,,T37+1)*R37-ERP_i)*Q37*Ramure*Pc/MaxiM</f>
        <v>5.3690181211084098E-2</v>
      </c>
      <c r="Q37" s="307">
        <f t="shared" si="4"/>
        <v>0.9</v>
      </c>
      <c r="R37" s="179">
        <f t="shared" si="5"/>
        <v>0.90122755688869716</v>
      </c>
      <c r="S37" s="839">
        <f t="shared" si="6"/>
        <v>-1</v>
      </c>
      <c r="T37" s="178">
        <f t="shared" si="7"/>
        <v>5</v>
      </c>
      <c r="U37" s="253">
        <f t="shared" si="20"/>
        <v>-9.8772443111302843E-2</v>
      </c>
      <c r="V37" s="385">
        <f t="shared" si="8"/>
        <v>19.577820865013361</v>
      </c>
      <c r="W37" s="404">
        <f t="shared" si="9"/>
        <v>0</v>
      </c>
      <c r="X37" s="157">
        <f t="shared" si="10"/>
        <v>44584</v>
      </c>
      <c r="Y37" s="387">
        <f t="shared" si="11"/>
        <v>18.224606430923924</v>
      </c>
      <c r="Z37" s="387">
        <f t="shared" si="21"/>
        <v>18.771711958956306</v>
      </c>
      <c r="AA37" s="388">
        <f t="shared" si="12"/>
        <v>22.078366450906408</v>
      </c>
      <c r="AB37" s="199">
        <f t="shared" si="13"/>
        <v>44584</v>
      </c>
      <c r="AC37" s="119">
        <f>IF(OR(t&lt;Tnet,NoTnet),'2021'!Resal_s+('2021'!Salim-'2021'!Resal_s)*(1-EXP(('2021'!Tnet_s-t)/'2021'!Tau_j)),Resal_s+(Salim-Resal_s)*(1-EXP((Tnet_s-t)/Tau_j)))*Salcycl</f>
        <v>0.14976898310401723</v>
      </c>
      <c r="AD37" s="233">
        <f>(INDEX(Models!$BJ37:$BT37,,AH37)*(1-AF37)+INDEX(Models!$BJ37:$BT37,,AH37+1)*AF37-ERP_i)*AE37*Ramure*Pc/MaxiM</f>
        <v>5.3690181211084098E-2</v>
      </c>
      <c r="AE37" s="307">
        <f t="shared" si="14"/>
        <v>0.9</v>
      </c>
      <c r="AF37" s="179">
        <f t="shared" si="22"/>
        <v>0.90122755688869716</v>
      </c>
      <c r="AG37" s="839">
        <f t="shared" si="23"/>
        <v>-1</v>
      </c>
      <c r="AH37" s="178">
        <f t="shared" si="15"/>
        <v>5</v>
      </c>
      <c r="AI37" s="227">
        <f t="shared" si="24"/>
        <v>-9.8772443111302843E-2</v>
      </c>
      <c r="AJ37" s="267" t="b">
        <f t="shared" si="16"/>
        <v>1</v>
      </c>
      <c r="AK37" s="267" t="b">
        <f t="shared" si="17"/>
        <v>0</v>
      </c>
      <c r="AL37" s="267"/>
      <c r="AM37" s="267"/>
      <c r="AN37" s="75"/>
    </row>
    <row r="38" spans="1:40" s="6" customFormat="1" ht="11.25" x14ac:dyDescent="0.2">
      <c r="A38" s="56">
        <f t="shared" si="18"/>
        <v>44585</v>
      </c>
      <c r="B38" s="1141">
        <v>19.664000000000001</v>
      </c>
      <c r="C38" s="868"/>
      <c r="D38" s="395">
        <f t="shared" si="0"/>
        <v>20.254787706016764</v>
      </c>
      <c r="E38" s="387">
        <f t="shared" si="1"/>
        <v>22.567719203066535</v>
      </c>
      <c r="F38" s="387">
        <f t="shared" si="2"/>
        <v>23.805877087103614</v>
      </c>
      <c r="G38" s="110">
        <f t="shared" si="19"/>
        <v>0.99053922978530462</v>
      </c>
      <c r="H38" s="416" t="b">
        <f>Wh_hp&gt;='2021'!Maxi_hp</f>
        <v>1</v>
      </c>
      <c r="I38" s="382">
        <f>IF(H38,Wh_hp,'2021'!Maxi_hp)</f>
        <v>23.805877087103614</v>
      </c>
      <c r="J38" s="85">
        <f>IF(H38,An,'2021'!An_max)</f>
        <v>2022</v>
      </c>
      <c r="K38" s="199">
        <f t="shared" si="3"/>
        <v>44585</v>
      </c>
      <c r="L38" s="147">
        <f>IF(t&lt;Tvie,1-EXP((T0-t)*PertePVj)+'2021'!Pspv,1-EXP((T0-t)*PertePVj)+Pspv)</f>
        <v>2.9167805389600066E-2</v>
      </c>
      <c r="M38" s="872"/>
      <c r="N38" s="872"/>
      <c r="O38" s="48">
        <f>IF(t&lt;Tnet,'2021'!Resal+('2021'!Salim-'2021'!Resal)*(1-EXP(('2021'!Tnet-t)/('2021'!Tau_j))),Resal+(Salim-Resal)*(1-EXP((Tnet-t)/(Tau_j))))*Salcycl</f>
        <v>0.10248849147039575</v>
      </c>
      <c r="P38" s="341">
        <f>(INDEX(Models!$BJ38:$BT38,,T38)*(1-R38)+INDEX(Models!$BJ38:$BT38,,T38+1)*R38-ERP_i)*Q38*Ramure*Pc/MaxiM</f>
        <v>5.2670538538614108E-2</v>
      </c>
      <c r="Q38" s="307">
        <f t="shared" si="4"/>
        <v>0.9</v>
      </c>
      <c r="R38" s="179">
        <f t="shared" si="5"/>
        <v>0.90131381117906084</v>
      </c>
      <c r="S38" s="839">
        <f t="shared" si="6"/>
        <v>-1</v>
      </c>
      <c r="T38" s="178">
        <f t="shared" si="7"/>
        <v>5</v>
      </c>
      <c r="U38" s="253">
        <f t="shared" si="20"/>
        <v>-9.8686188820939102E-2</v>
      </c>
      <c r="V38" s="385">
        <f t="shared" si="8"/>
        <v>19.837993636384031</v>
      </c>
      <c r="W38" s="404">
        <f t="shared" si="9"/>
        <v>0</v>
      </c>
      <c r="X38" s="157">
        <f t="shared" si="10"/>
        <v>44585</v>
      </c>
      <c r="Y38" s="387">
        <f t="shared" si="11"/>
        <v>18.626939623708179</v>
      </c>
      <c r="Z38" s="387">
        <f t="shared" si="21"/>
        <v>19.18656975645855</v>
      </c>
      <c r="AA38" s="388">
        <f t="shared" si="12"/>
        <v>22.567719203066535</v>
      </c>
      <c r="AB38" s="199">
        <f t="shared" si="13"/>
        <v>44585</v>
      </c>
      <c r="AC38" s="119">
        <f>IF(OR(t&lt;Tnet,NoTnet),'2021'!Resal_s+('2021'!Salim-'2021'!Resal_s)*(1-EXP(('2021'!Tnet_s-t)/'2021'!Tau_j)),Resal_s+(Salim-Resal_s)*(1-EXP((Tnet_s-t)/Tau_j)))*Salcycl</f>
        <v>0.14982238196886777</v>
      </c>
      <c r="AD38" s="233">
        <f>(INDEX(Models!$BJ38:$BT38,,AH38)*(1-AF38)+INDEX(Models!$BJ38:$BT38,,AH38+1)*AF38-ERP_i)*AE38*Ramure*Pc/MaxiM</f>
        <v>5.2670538538614108E-2</v>
      </c>
      <c r="AE38" s="307">
        <f t="shared" si="14"/>
        <v>0.9</v>
      </c>
      <c r="AF38" s="179">
        <f t="shared" si="22"/>
        <v>0.90131381117906084</v>
      </c>
      <c r="AG38" s="839">
        <f t="shared" si="23"/>
        <v>-1</v>
      </c>
      <c r="AH38" s="178">
        <f t="shared" si="15"/>
        <v>5</v>
      </c>
      <c r="AI38" s="227">
        <f t="shared" si="24"/>
        <v>-9.8686188820939102E-2</v>
      </c>
      <c r="AJ38" s="267" t="b">
        <f t="shared" si="16"/>
        <v>1</v>
      </c>
      <c r="AK38" s="267" t="b">
        <f t="shared" si="17"/>
        <v>0</v>
      </c>
      <c r="AL38" s="267"/>
      <c r="AM38" s="267"/>
      <c r="AN38" s="75"/>
    </row>
    <row r="39" spans="1:40" s="6" customFormat="1" ht="11.25" x14ac:dyDescent="0.2">
      <c r="A39" s="56">
        <f t="shared" si="18"/>
        <v>44586</v>
      </c>
      <c r="B39" s="1141">
        <v>19.893000000000001</v>
      </c>
      <c r="C39" s="868"/>
      <c r="D39" s="395">
        <f t="shared" si="0"/>
        <v>20.491144669886722</v>
      </c>
      <c r="E39" s="387">
        <f t="shared" si="1"/>
        <v>22.835737417535046</v>
      </c>
      <c r="F39" s="387">
        <f t="shared" si="2"/>
        <v>24.058949643818465</v>
      </c>
      <c r="G39" s="110">
        <f t="shared" si="19"/>
        <v>0.98867967095630904</v>
      </c>
      <c r="H39" s="416" t="b">
        <f>Wh_hp&gt;='2021'!Maxi_hp</f>
        <v>1</v>
      </c>
      <c r="I39" s="382">
        <f>IF(H39,Wh_hp,'2021'!Maxi_hp)</f>
        <v>24.058949643818465</v>
      </c>
      <c r="J39" s="85">
        <f>IF(H39,An,'2021'!An_max)</f>
        <v>2022</v>
      </c>
      <c r="K39" s="199">
        <f t="shared" si="3"/>
        <v>44586</v>
      </c>
      <c r="L39" s="147">
        <f>IF(t&lt;Tvie,1-EXP((T0-t)*PertePVj)+'2021'!Pspv,1-EXP((T0-t)*PertePVj)+Pspv)</f>
        <v>2.9190398073063228E-2</v>
      </c>
      <c r="M39" s="872"/>
      <c r="N39" s="872"/>
      <c r="O39" s="48">
        <f>IF(t&lt;Tnet,'2021'!Resal+('2021'!Salim-'2021'!Resal)*(1-EXP(('2021'!Tnet-t)/('2021'!Tau_j))),Resal+(Salim-Resal)*(1-EXP((Tnet-t)/(Tau_j))))*Salcycl</f>
        <v>0.10267208388234329</v>
      </c>
      <c r="P39" s="341">
        <f>(INDEX(Models!$BJ39:$BT39,,T39)*(1-R39)+INDEX(Models!$BJ39:$BT39,,T39+1)*R39-ERP_i)*Q39*Ramure*Pc/MaxiM</f>
        <v>5.1617459063799241E-2</v>
      </c>
      <c r="Q39" s="307">
        <f t="shared" si="4"/>
        <v>0.9</v>
      </c>
      <c r="R39" s="179">
        <f t="shared" si="5"/>
        <v>0.90140365759741981</v>
      </c>
      <c r="S39" s="839">
        <f t="shared" si="6"/>
        <v>-1</v>
      </c>
      <c r="T39" s="178">
        <f t="shared" si="7"/>
        <v>5</v>
      </c>
      <c r="U39" s="253">
        <f t="shared" si="20"/>
        <v>-9.8596342402580237E-2</v>
      </c>
      <c r="V39" s="385">
        <f t="shared" si="8"/>
        <v>20.104341429928692</v>
      </c>
      <c r="W39" s="404">
        <f t="shared" si="9"/>
        <v>0</v>
      </c>
      <c r="X39" s="157">
        <f t="shared" si="10"/>
        <v>44586</v>
      </c>
      <c r="Y39" s="387">
        <f t="shared" si="11"/>
        <v>18.84653028777889</v>
      </c>
      <c r="Z39" s="387">
        <f t="shared" si="21"/>
        <v>19.413209603995327</v>
      </c>
      <c r="AA39" s="388">
        <f t="shared" si="12"/>
        <v>22.835737417535046</v>
      </c>
      <c r="AB39" s="199">
        <f t="shared" si="13"/>
        <v>44586</v>
      </c>
      <c r="AC39" s="119">
        <f>IF(OR(t&lt;Tnet,NoTnet),'2021'!Resal_s+('2021'!Salim-'2021'!Resal_s)*(1-EXP(('2021'!Tnet_s-t)/'2021'!Tau_j)),Resal_s+(Salim-Resal_s)*(1-EXP((Tnet_s-t)/Tau_j)))*Salcycl</f>
        <v>0.14987594886739411</v>
      </c>
      <c r="AD39" s="233">
        <f>(INDEX(Models!$BJ39:$BT39,,AH39)*(1-AF39)+INDEX(Models!$BJ39:$BT39,,AH39+1)*AF39-ERP_i)*AE39*Ramure*Pc/MaxiM</f>
        <v>5.1617459063799241E-2</v>
      </c>
      <c r="AE39" s="307">
        <f t="shared" si="14"/>
        <v>0.9</v>
      </c>
      <c r="AF39" s="179">
        <f t="shared" si="22"/>
        <v>0.90140365759741981</v>
      </c>
      <c r="AG39" s="839">
        <f t="shared" si="23"/>
        <v>-1</v>
      </c>
      <c r="AH39" s="178">
        <f t="shared" si="15"/>
        <v>5</v>
      </c>
      <c r="AI39" s="227">
        <f t="shared" si="24"/>
        <v>-9.8596342402580237E-2</v>
      </c>
      <c r="AJ39" s="267" t="b">
        <f t="shared" si="16"/>
        <v>1</v>
      </c>
      <c r="AK39" s="267" t="b">
        <f t="shared" si="17"/>
        <v>0</v>
      </c>
      <c r="AL39" s="267"/>
      <c r="AM39" s="267"/>
      <c r="AN39" s="75"/>
    </row>
    <row r="40" spans="1:40" s="6" customFormat="1" ht="11.25" x14ac:dyDescent="0.2">
      <c r="A40" s="56">
        <f t="shared" si="18"/>
        <v>44587</v>
      </c>
      <c r="B40" s="1141">
        <v>19.984000000000002</v>
      </c>
      <c r="C40" s="868"/>
      <c r="D40" s="395">
        <f t="shared" si="0"/>
        <v>20.5853599181867</v>
      </c>
      <c r="E40" s="387">
        <f t="shared" si="1"/>
        <v>22.945420065249685</v>
      </c>
      <c r="F40" s="387">
        <f t="shared" si="2"/>
        <v>24.131302627113506</v>
      </c>
      <c r="G40" s="110">
        <f t="shared" si="19"/>
        <v>0.979299937166342</v>
      </c>
      <c r="H40" s="416" t="b">
        <f>Wh_hp&gt;='2021'!Maxi_hp</f>
        <v>1</v>
      </c>
      <c r="I40" s="382">
        <f>IF(H40,Wh_hp,'2021'!Maxi_hp)</f>
        <v>24.131302627113506</v>
      </c>
      <c r="J40" s="85">
        <f>IF(H40,An,'2021'!An_max)</f>
        <v>2022</v>
      </c>
      <c r="K40" s="199">
        <f t="shared" si="3"/>
        <v>44587</v>
      </c>
      <c r="L40" s="147">
        <f>IF(t&lt;Tvie,1-EXP((T0-t)*PertePVj)+'2021'!Pspv,1-EXP((T0-t)*PertePVj)+Pspv)</f>
        <v>2.9212990230761626E-2</v>
      </c>
      <c r="M40" s="872"/>
      <c r="N40" s="872"/>
      <c r="O40" s="48">
        <f>IF(t&lt;Tnet,'2021'!Resal+('2021'!Salim-'2021'!Resal)*(1-EXP(('2021'!Tnet-t)/('2021'!Tau_j))),Resal+(Salim-Resal)*(1-EXP((Tnet-t)/(Tau_j))))*Salcycl</f>
        <v>0.10285539076433141</v>
      </c>
      <c r="P40" s="341">
        <f>(INDEX(Models!$BJ40:$BT40,,T40)*(1-R40)+INDEX(Models!$BJ40:$BT40,,T40+1)*R40-ERP_i)*Q40*Ramure*Pc/MaxiM</f>
        <v>5.0533715900589839E-2</v>
      </c>
      <c r="Q40" s="307">
        <f t="shared" si="4"/>
        <v>0.9</v>
      </c>
      <c r="R40" s="179">
        <f t="shared" si="5"/>
        <v>0.90149724459102365</v>
      </c>
      <c r="S40" s="839">
        <f t="shared" si="6"/>
        <v>-1</v>
      </c>
      <c r="T40" s="178">
        <f t="shared" si="7"/>
        <v>5</v>
      </c>
      <c r="U40" s="253">
        <f t="shared" si="20"/>
        <v>-9.8502755408976295E-2</v>
      </c>
      <c r="V40" s="385">
        <f t="shared" si="8"/>
        <v>20.376565979493918</v>
      </c>
      <c r="W40" s="404">
        <f t="shared" si="9"/>
        <v>0</v>
      </c>
      <c r="X40" s="157">
        <f t="shared" si="10"/>
        <v>44587</v>
      </c>
      <c r="Y40" s="387">
        <f t="shared" si="11"/>
        <v>18.935414538668962</v>
      </c>
      <c r="Z40" s="387">
        <f t="shared" si="21"/>
        <v>19.505220350208454</v>
      </c>
      <c r="AA40" s="388">
        <f t="shared" si="12"/>
        <v>22.945420065249685</v>
      </c>
      <c r="AB40" s="199">
        <f t="shared" si="13"/>
        <v>44587</v>
      </c>
      <c r="AC40" s="119">
        <f>IF(OR(t&lt;Tnet,NoTnet),'2021'!Resal_s+('2021'!Salim-'2021'!Resal_s)*(1-EXP(('2021'!Tnet_s-t)/'2021'!Tau_j)),Resal_s+(Salim-Resal_s)*(1-EXP((Tnet_s-t)/Tau_j)))*Salcycl</f>
        <v>0.14992968990144295</v>
      </c>
      <c r="AD40" s="233">
        <f>(INDEX(Models!$BJ40:$BT40,,AH40)*(1-AF40)+INDEX(Models!$BJ40:$BT40,,AH40+1)*AF40-ERP_i)*AE40*Ramure*Pc/MaxiM</f>
        <v>5.0533715900589839E-2</v>
      </c>
      <c r="AE40" s="307">
        <f t="shared" si="14"/>
        <v>0.9</v>
      </c>
      <c r="AF40" s="179">
        <f t="shared" si="22"/>
        <v>0.90149724459102365</v>
      </c>
      <c r="AG40" s="839">
        <f t="shared" si="23"/>
        <v>-1</v>
      </c>
      <c r="AH40" s="178">
        <f t="shared" si="15"/>
        <v>5</v>
      </c>
      <c r="AI40" s="227">
        <f t="shared" si="24"/>
        <v>-9.8502755408976295E-2</v>
      </c>
      <c r="AJ40" s="267" t="b">
        <f t="shared" si="16"/>
        <v>1</v>
      </c>
      <c r="AK40" s="267" t="b">
        <f t="shared" si="17"/>
        <v>0</v>
      </c>
      <c r="AL40" s="267"/>
      <c r="AM40" s="267"/>
      <c r="AN40" s="75"/>
    </row>
    <row r="41" spans="1:40" s="6" customFormat="1" ht="11.25" x14ac:dyDescent="0.2">
      <c r="A41" s="56">
        <f t="shared" si="18"/>
        <v>44588</v>
      </c>
      <c r="B41" s="1141">
        <v>19.498999999999999</v>
      </c>
      <c r="C41" s="868"/>
      <c r="D41" s="395">
        <f t="shared" si="0"/>
        <v>20.086232700426716</v>
      </c>
      <c r="E41" s="387">
        <f t="shared" si="1"/>
        <v>22.39363768182298</v>
      </c>
      <c r="F41" s="387">
        <f t="shared" si="2"/>
        <v>23.460443635711847</v>
      </c>
      <c r="G41" s="110">
        <f t="shared" si="19"/>
        <v>0.94015565744884522</v>
      </c>
      <c r="H41" s="416" t="b">
        <f>Wh_hp&gt;='2021'!Maxi_hp</f>
        <v>1</v>
      </c>
      <c r="I41" s="382">
        <f>IF(H41,Wh_hp,'2021'!Maxi_hp)</f>
        <v>23.460443635711847</v>
      </c>
      <c r="J41" s="85">
        <f>IF(H41,An,'2021'!An_max)</f>
        <v>2022</v>
      </c>
      <c r="K41" s="199">
        <f t="shared" si="3"/>
        <v>44588</v>
      </c>
      <c r="L41" s="147">
        <f>IF(t&lt;Tvie,1-EXP((T0-t)*PertePVj)+'2021'!Pspv,1-EXP((T0-t)*PertePVj)+Pspv)</f>
        <v>2.9235581862707472E-2</v>
      </c>
      <c r="M41" s="872"/>
      <c r="N41" s="872"/>
      <c r="O41" s="48">
        <f>IF(t&lt;Tnet,'2021'!Resal+('2021'!Salim-'2021'!Resal)*(1-EXP(('2021'!Tnet-t)/('2021'!Tau_j))),Resal+(Salim-Resal)*(1-EXP((Tnet-t)/(Tau_j))))*Salcycl</f>
        <v>0.10303841716922987</v>
      </c>
      <c r="P41" s="341">
        <f>(INDEX(Models!$BJ41:$BT41,,T41)*(1-R41)+INDEX(Models!$BJ41:$BT41,,T41+1)*R41-ERP_i)*Q41*Ramure*Pc/MaxiM</f>
        <v>4.9421934711476066E-2</v>
      </c>
      <c r="Q41" s="307">
        <f t="shared" si="4"/>
        <v>0.9</v>
      </c>
      <c r="R41" s="179">
        <f t="shared" si="5"/>
        <v>0.90159472664374563</v>
      </c>
      <c r="S41" s="839">
        <f t="shared" si="6"/>
        <v>-1</v>
      </c>
      <c r="T41" s="178">
        <f t="shared" si="7"/>
        <v>5</v>
      </c>
      <c r="U41" s="253">
        <f t="shared" si="20"/>
        <v>-9.8405273356254416E-2</v>
      </c>
      <c r="V41" s="385">
        <f t="shared" si="8"/>
        <v>20.654369267503871</v>
      </c>
      <c r="W41" s="404">
        <f t="shared" si="9"/>
        <v>0</v>
      </c>
      <c r="X41" s="157">
        <f t="shared" si="10"/>
        <v>44588</v>
      </c>
      <c r="Y41" s="387">
        <f t="shared" si="11"/>
        <v>18.478460970005536</v>
      </c>
      <c r="Z41" s="387">
        <f t="shared" si="21"/>
        <v>19.034959074274781</v>
      </c>
      <c r="AA41" s="388">
        <f t="shared" si="12"/>
        <v>22.39363768182298</v>
      </c>
      <c r="AB41" s="199">
        <f t="shared" si="13"/>
        <v>44588</v>
      </c>
      <c r="AC41" s="119">
        <f>IF(OR(t&lt;Tnet,NoTnet),'2021'!Resal_s+('2021'!Salim-'2021'!Resal_s)*(1-EXP(('2021'!Tnet_s-t)/'2021'!Tau_j)),Resal_s+(Salim-Resal_s)*(1-EXP((Tnet_s-t)/Tau_j)))*Salcycl</f>
        <v>0.14998360941931535</v>
      </c>
      <c r="AD41" s="233">
        <f>(INDEX(Models!$BJ41:$BT41,,AH41)*(1-AF41)+INDEX(Models!$BJ41:$BT41,,AH41+1)*AF41-ERP_i)*AE41*Ramure*Pc/MaxiM</f>
        <v>4.9421934711476066E-2</v>
      </c>
      <c r="AE41" s="307">
        <f t="shared" si="14"/>
        <v>0.9</v>
      </c>
      <c r="AF41" s="179">
        <f t="shared" si="22"/>
        <v>0.90159472664374563</v>
      </c>
      <c r="AG41" s="839">
        <f t="shared" si="23"/>
        <v>-1</v>
      </c>
      <c r="AH41" s="178">
        <f t="shared" si="15"/>
        <v>5</v>
      </c>
      <c r="AI41" s="227">
        <f t="shared" si="24"/>
        <v>-9.8405273356254416E-2</v>
      </c>
      <c r="AJ41" s="267" t="b">
        <f t="shared" si="16"/>
        <v>1</v>
      </c>
      <c r="AK41" s="267" t="b">
        <f t="shared" si="17"/>
        <v>0</v>
      </c>
      <c r="AL41" s="267"/>
      <c r="AM41" s="267"/>
      <c r="AN41" s="75"/>
    </row>
    <row r="42" spans="1:40" s="6" customFormat="1" ht="11.25" x14ac:dyDescent="0.2">
      <c r="A42" s="56">
        <f t="shared" si="18"/>
        <v>44589</v>
      </c>
      <c r="B42" s="1141">
        <v>4.0780000000000003</v>
      </c>
      <c r="C42" s="868"/>
      <c r="D42" s="395">
        <f t="shared" si="0"/>
        <v>4.2009109800822531</v>
      </c>
      <c r="E42" s="387">
        <f t="shared" si="1"/>
        <v>4.6844448426453731</v>
      </c>
      <c r="F42" s="387">
        <f t="shared" si="2"/>
        <v>4.6844448426453731</v>
      </c>
      <c r="G42" s="110">
        <f t="shared" si="19"/>
        <v>0.18536616335821621</v>
      </c>
      <c r="H42" s="416" t="b">
        <f>Wh_hp&gt;='2021'!Maxi_hp</f>
        <v>0</v>
      </c>
      <c r="I42" s="382">
        <f>IF(H42,Wh_hp,'2021'!Maxi_hp)</f>
        <v>17.183861490086507</v>
      </c>
      <c r="J42" s="85">
        <f>IF(H42,An,'2021'!An_max)</f>
        <v>2020</v>
      </c>
      <c r="K42" s="199">
        <f t="shared" si="3"/>
        <v>44589</v>
      </c>
      <c r="L42" s="147">
        <f>IF(t&lt;Tvie,1-EXP((T0-t)*PertePVj)+'2021'!Pspv,1-EXP((T0-t)*PertePVj)+Pspv)</f>
        <v>2.9258172968913088E-2</v>
      </c>
      <c r="M42" s="872"/>
      <c r="N42" s="872"/>
      <c r="O42" s="48">
        <f>IF(t&lt;Tnet,'2021'!Resal+('2021'!Salim-'2021'!Resal)*(1-EXP(('2021'!Tnet-t)/('2021'!Tau_j))),Resal+(Salim-Resal)*(1-EXP((Tnet-t)/(Tau_j))))*Salcycl</f>
        <v>0.10322116682028473</v>
      </c>
      <c r="P42" s="341">
        <f>(INDEX(Models!$BJ42:$BT42,,T42)*(1-R42)+INDEX(Models!$BJ42:$BT42,,T42+1)*R42-ERP_i)*Q42*Ramure*Pc/MaxiM</f>
        <v>4.8284592366850745E-2</v>
      </c>
      <c r="Q42" s="307">
        <f t="shared" si="4"/>
        <v>0.9</v>
      </c>
      <c r="R42" s="179">
        <f t="shared" si="5"/>
        <v>0.90169626451318374</v>
      </c>
      <c r="S42" s="839">
        <f t="shared" si="6"/>
        <v>-1</v>
      </c>
      <c r="T42" s="178">
        <f t="shared" si="7"/>
        <v>5</v>
      </c>
      <c r="U42" s="253">
        <f t="shared" si="20"/>
        <v>-9.8303735486816257E-2</v>
      </c>
      <c r="V42" s="385">
        <f t="shared" si="8"/>
        <v>20.937453535291915</v>
      </c>
      <c r="W42" s="404">
        <f t="shared" si="9"/>
        <v>0</v>
      </c>
      <c r="X42" s="157">
        <f t="shared" si="10"/>
        <v>44589</v>
      </c>
      <c r="Y42" s="387">
        <f t="shared" si="11"/>
        <v>3.8651070822327784</v>
      </c>
      <c r="Z42" s="387">
        <f t="shared" si="21"/>
        <v>3.9816014666369193</v>
      </c>
      <c r="AA42" s="388">
        <f t="shared" si="12"/>
        <v>4.6844448426453731</v>
      </c>
      <c r="AB42" s="199">
        <f t="shared" si="13"/>
        <v>44589</v>
      </c>
      <c r="AC42" s="119">
        <f>IF(OR(t&lt;Tnet,NoTnet),'2021'!Resal_s+('2021'!Salim-'2021'!Resal_s)*(1-EXP(('2021'!Tnet_s-t)/'2021'!Tau_j)),Resal_s+(Salim-Resal_s)*(1-EXP((Tnet_s-t)/Tau_j)))*Salcycl</f>
        <v>0.15003770982850292</v>
      </c>
      <c r="AD42" s="233">
        <f>(INDEX(Models!$BJ42:$BT42,,AH42)*(1-AF42)+INDEX(Models!$BJ42:$BT42,,AH42+1)*AF42-ERP_i)*AE42*Ramure*Pc/MaxiM</f>
        <v>4.8284592366850745E-2</v>
      </c>
      <c r="AE42" s="307">
        <f t="shared" si="14"/>
        <v>0.9</v>
      </c>
      <c r="AF42" s="179">
        <f t="shared" si="22"/>
        <v>0.90169626451318374</v>
      </c>
      <c r="AG42" s="839">
        <f t="shared" si="23"/>
        <v>-1</v>
      </c>
      <c r="AH42" s="178">
        <f t="shared" si="15"/>
        <v>5</v>
      </c>
      <c r="AI42" s="227">
        <f t="shared" si="24"/>
        <v>-9.8303735486816257E-2</v>
      </c>
      <c r="AJ42" s="267" t="b">
        <f t="shared" si="16"/>
        <v>1</v>
      </c>
      <c r="AK42" s="267" t="b">
        <f t="shared" si="17"/>
        <v>0</v>
      </c>
      <c r="AL42" s="267"/>
      <c r="AM42" s="267"/>
      <c r="AN42" s="75"/>
    </row>
    <row r="43" spans="1:40" s="6" customFormat="1" ht="11.25" x14ac:dyDescent="0.2">
      <c r="A43" s="56">
        <f t="shared" si="18"/>
        <v>44590</v>
      </c>
      <c r="B43" s="1141">
        <v>6.3760000000000003</v>
      </c>
      <c r="C43" s="868"/>
      <c r="D43" s="395">
        <f t="shared" si="0"/>
        <v>6.5683255884714455</v>
      </c>
      <c r="E43" s="387">
        <f t="shared" si="1"/>
        <v>7.3258446009318359</v>
      </c>
      <c r="F43" s="387">
        <f t="shared" si="2"/>
        <v>7.3260384702360231</v>
      </c>
      <c r="G43" s="110">
        <f t="shared" si="19"/>
        <v>0.28624493899007197</v>
      </c>
      <c r="H43" s="416" t="b">
        <f>Wh_hp&gt;='2021'!Maxi_hp</f>
        <v>0</v>
      </c>
      <c r="I43" s="382">
        <f>IF(H43,Wh_hp,'2021'!Maxi_hp)</f>
        <v>19.986344451656461</v>
      </c>
      <c r="J43" s="85">
        <f>IF(H43,An,'2021'!An_max)</f>
        <v>2020</v>
      </c>
      <c r="K43" s="199">
        <f t="shared" si="3"/>
        <v>44590</v>
      </c>
      <c r="L43" s="147">
        <f>IF(t&lt;Tvie,1-EXP((T0-t)*PertePVj)+'2021'!Pspv,1-EXP((T0-t)*PertePVj)+Pspv)</f>
        <v>2.9280763549390687E-2</v>
      </c>
      <c r="M43" s="872"/>
      <c r="N43" s="872"/>
      <c r="O43" s="48">
        <f>IF(t&lt;Tnet,'2021'!Resal+('2021'!Salim-'2021'!Resal)*(1-EXP(('2021'!Tnet-t)/('2021'!Tau_j))),Resal+(Salim-Resal)*(1-EXP((Tnet-t)/(Tau_j))))*Salcycl</f>
        <v>0.10340364199972731</v>
      </c>
      <c r="P43" s="341">
        <f>(INDEX(Models!$BJ43:$BT43,,T43)*(1-R43)+INDEX(Models!$BJ43:$BT43,,T43+1)*R43-ERP_i)*Q43*Ramure*Pc/MaxiM</f>
        <v>4.7124016824265182E-2</v>
      </c>
      <c r="Q43" s="307">
        <f t="shared" si="4"/>
        <v>0.9</v>
      </c>
      <c r="R43" s="179">
        <f t="shared" si="5"/>
        <v>0.90180202547635724</v>
      </c>
      <c r="S43" s="839">
        <f t="shared" si="6"/>
        <v>-1</v>
      </c>
      <c r="T43" s="178">
        <f t="shared" si="7"/>
        <v>5</v>
      </c>
      <c r="U43" s="253">
        <f t="shared" si="20"/>
        <v>-9.8197974523642817E-2</v>
      </c>
      <c r="V43" s="385">
        <f t="shared" si="8"/>
        <v>21.225521302318803</v>
      </c>
      <c r="W43" s="404">
        <f t="shared" si="9"/>
        <v>0</v>
      </c>
      <c r="X43" s="157">
        <f t="shared" si="10"/>
        <v>44590</v>
      </c>
      <c r="Y43" s="387">
        <f t="shared" si="11"/>
        <v>6.0439833534630969</v>
      </c>
      <c r="Z43" s="387">
        <f t="shared" si="21"/>
        <v>6.2262939957413916</v>
      </c>
      <c r="AA43" s="388">
        <f t="shared" si="12"/>
        <v>7.3258446009318359</v>
      </c>
      <c r="AB43" s="199">
        <f t="shared" si="13"/>
        <v>44590</v>
      </c>
      <c r="AC43" s="119">
        <f>IF(OR(t&lt;Tnet,NoTnet),'2021'!Resal_s+('2021'!Salim-'2021'!Resal_s)*(1-EXP(('2021'!Tnet_s-t)/'2021'!Tau_j)),Resal_s+(Salim-Resal_s)*(1-EXP((Tnet_s-t)/Tau_j)))*Salcycl</f>
        <v>0.15009199144772783</v>
      </c>
      <c r="AD43" s="233">
        <f>(INDEX(Models!$BJ43:$BT43,,AH43)*(1-AF43)+INDEX(Models!$BJ43:$BT43,,AH43+1)*AF43-ERP_i)*AE43*Ramure*Pc/MaxiM</f>
        <v>4.7124016824265182E-2</v>
      </c>
      <c r="AE43" s="307">
        <f t="shared" si="14"/>
        <v>0.9</v>
      </c>
      <c r="AF43" s="179">
        <f t="shared" si="22"/>
        <v>0.90180202547635724</v>
      </c>
      <c r="AG43" s="839">
        <f t="shared" si="23"/>
        <v>-1</v>
      </c>
      <c r="AH43" s="178">
        <f t="shared" si="15"/>
        <v>5</v>
      </c>
      <c r="AI43" s="227">
        <f t="shared" si="24"/>
        <v>-9.8197974523642817E-2</v>
      </c>
      <c r="AJ43" s="267" t="b">
        <f t="shared" si="16"/>
        <v>1</v>
      </c>
      <c r="AK43" s="267" t="b">
        <f t="shared" si="17"/>
        <v>0</v>
      </c>
      <c r="AL43" s="267"/>
      <c r="AM43" s="267"/>
      <c r="AN43" s="75"/>
    </row>
    <row r="44" spans="1:40" s="6" customFormat="1" ht="11.25" x14ac:dyDescent="0.2">
      <c r="A44" s="56">
        <f t="shared" si="18"/>
        <v>44591</v>
      </c>
      <c r="B44" s="1141">
        <v>4.6399999999999997</v>
      </c>
      <c r="C44" s="868"/>
      <c r="D44" s="395">
        <f t="shared" si="0"/>
        <v>4.7800721442977148</v>
      </c>
      <c r="E44" s="387">
        <f t="shared" si="1"/>
        <v>5.3324371435304636</v>
      </c>
      <c r="F44" s="387">
        <f t="shared" si="2"/>
        <v>5.3324371435304636</v>
      </c>
      <c r="G44" s="110">
        <f t="shared" si="19"/>
        <v>0.20572407597021772</v>
      </c>
      <c r="H44" s="416" t="b">
        <f>Wh_hp&gt;='2021'!Maxi_hp</f>
        <v>0</v>
      </c>
      <c r="I44" s="382">
        <f>IF(H44,Wh_hp,'2021'!Maxi_hp)</f>
        <v>10.95637555418933</v>
      </c>
      <c r="J44" s="85">
        <f>IF(H44,An,'2021'!An_max)</f>
        <v>2020</v>
      </c>
      <c r="K44" s="199">
        <f t="shared" si="3"/>
        <v>44591</v>
      </c>
      <c r="L44" s="147">
        <f>IF(t&lt;Tvie,1-EXP((T0-t)*PertePVj)+'2021'!Pspv,1-EXP((T0-t)*PertePVj)+Pspv)</f>
        <v>2.9303353604152371E-2</v>
      </c>
      <c r="M44" s="872"/>
      <c r="N44" s="872"/>
      <c r="O44" s="48">
        <f>IF(t&lt;Tnet,'2021'!Resal+('2021'!Salim-'2021'!Resal)*(1-EXP(('2021'!Tnet-t)/('2021'!Tau_j))),Resal+(Salim-Resal)*(1-EXP((Tnet-t)/(Tau_j))))*Salcycl</f>
        <v>0.10358584346425934</v>
      </c>
      <c r="P44" s="341">
        <f>(INDEX(Models!$BJ44:$BT44,,T44)*(1-R44)+INDEX(Models!$BJ44:$BT44,,T44+1)*R44-ERP_i)*Q44*Ramure*Pc/MaxiM</f>
        <v>4.5917257521439783E-2</v>
      </c>
      <c r="Q44" s="307">
        <f t="shared" si="4"/>
        <v>0.9</v>
      </c>
      <c r="R44" s="179">
        <f t="shared" si="5"/>
        <v>0.90191218358424119</v>
      </c>
      <c r="S44" s="839">
        <f t="shared" si="6"/>
        <v>-1</v>
      </c>
      <c r="T44" s="178">
        <f t="shared" si="7"/>
        <v>5</v>
      </c>
      <c r="U44" s="253">
        <f t="shared" si="20"/>
        <v>-9.8087816415758811E-2</v>
      </c>
      <c r="V44" s="385">
        <f t="shared" si="8"/>
        <v>21.518842188122886</v>
      </c>
      <c r="W44" s="404">
        <f t="shared" si="9"/>
        <v>0</v>
      </c>
      <c r="X44" s="157">
        <f t="shared" si="10"/>
        <v>44591</v>
      </c>
      <c r="Y44" s="387">
        <f t="shared" si="11"/>
        <v>4.3989939606796549</v>
      </c>
      <c r="Z44" s="387">
        <f t="shared" si="21"/>
        <v>4.5317906237885115</v>
      </c>
      <c r="AA44" s="388">
        <f t="shared" si="12"/>
        <v>5.3324371435304636</v>
      </c>
      <c r="AB44" s="199">
        <f t="shared" si="13"/>
        <v>44591</v>
      </c>
      <c r="AC44" s="119">
        <f>IF(OR(t&lt;Tnet,NoTnet),'2021'!Resal_s+('2021'!Salim-'2021'!Resal_s)*(1-EXP(('2021'!Tnet_s-t)/'2021'!Tau_j)),Resal_s+(Salim-Resal_s)*(1-EXP((Tnet_s-t)/Tau_j)))*Salcycl</f>
        <v>0.15014645239903668</v>
      </c>
      <c r="AD44" s="233">
        <f>(INDEX(Models!$BJ44:$BT44,,AH44)*(1-AF44)+INDEX(Models!$BJ44:$BT44,,AH44+1)*AF44-ERP_i)*AE44*Ramure*Pc/MaxiM</f>
        <v>4.5917257521439783E-2</v>
      </c>
      <c r="AE44" s="307">
        <f t="shared" si="14"/>
        <v>0.9</v>
      </c>
      <c r="AF44" s="179">
        <f t="shared" si="22"/>
        <v>0.90191218358424119</v>
      </c>
      <c r="AG44" s="839">
        <f t="shared" si="23"/>
        <v>-1</v>
      </c>
      <c r="AH44" s="178">
        <f t="shared" si="15"/>
        <v>5</v>
      </c>
      <c r="AI44" s="227">
        <f t="shared" si="24"/>
        <v>-9.8087816415758811E-2</v>
      </c>
      <c r="AJ44" s="267" t="b">
        <f t="shared" si="16"/>
        <v>1</v>
      </c>
      <c r="AK44" s="267" t="b">
        <f t="shared" si="17"/>
        <v>0</v>
      </c>
      <c r="AL44" s="267"/>
      <c r="AM44" s="267"/>
      <c r="AN44" s="75"/>
    </row>
    <row r="45" spans="1:40" s="6" customFormat="1" ht="11.25" x14ac:dyDescent="0.2">
      <c r="A45" s="56">
        <f t="shared" si="18"/>
        <v>44592</v>
      </c>
      <c r="B45" s="1141">
        <v>10.402000000000001</v>
      </c>
      <c r="C45" s="868"/>
      <c r="D45" s="395">
        <f t="shared" si="0"/>
        <v>10.716264565240689</v>
      </c>
      <c r="E45" s="387">
        <f t="shared" si="1"/>
        <v>11.957017624638379</v>
      </c>
      <c r="F45" s="387">
        <f t="shared" si="2"/>
        <v>12.09348858876467</v>
      </c>
      <c r="G45" s="110">
        <f t="shared" si="19"/>
        <v>0.46068367670058208</v>
      </c>
      <c r="H45" s="416" t="b">
        <f>Wh_hp&gt;='2021'!Maxi_hp</f>
        <v>0</v>
      </c>
      <c r="I45" s="382">
        <f>IF(H45,Wh_hp,'2021'!Maxi_hp)</f>
        <v>19.362829984004698</v>
      </c>
      <c r="J45" s="85">
        <f>IF(H45,An,'2021'!An_max)</f>
        <v>2020</v>
      </c>
      <c r="K45" s="199">
        <f t="shared" si="3"/>
        <v>44592</v>
      </c>
      <c r="L45" s="147">
        <f>IF(t&lt;Tvie,1-EXP((T0-t)*PertePVj)+'2021'!Pspv,1-EXP((T0-t)*PertePVj)+Pspv)</f>
        <v>2.9325943133210575E-2</v>
      </c>
      <c r="M45" s="872"/>
      <c r="N45" s="872"/>
      <c r="O45" s="48">
        <f>IF(t&lt;Tnet,'2021'!Resal+('2021'!Salim-'2021'!Resal)*(1-EXP(('2021'!Tnet-t)/('2021'!Tau_j))),Resal+(Salim-Resal)*(1-EXP((Tnet-t)/(Tau_j))))*Salcycl</f>
        <v>0.10376777038791185</v>
      </c>
      <c r="P45" s="341">
        <f>(INDEX(Models!$BJ45:$BT45,,T45)*(1-R45)+INDEX(Models!$BJ45:$BT45,,T45+1)*R45-ERP_i)*Q45*Ramure*Pc/MaxiM</f>
        <v>4.4681918617656344E-2</v>
      </c>
      <c r="Q45" s="307">
        <f t="shared" si="4"/>
        <v>0.9</v>
      </c>
      <c r="R45" s="179">
        <f t="shared" si="5"/>
        <v>0.90202691992539286</v>
      </c>
      <c r="S45" s="839">
        <f t="shared" si="6"/>
        <v>-1</v>
      </c>
      <c r="T45" s="178">
        <f t="shared" si="7"/>
        <v>5</v>
      </c>
      <c r="U45" s="253">
        <f t="shared" si="20"/>
        <v>-9.7973080074607158E-2</v>
      </c>
      <c r="V45" s="385">
        <f t="shared" si="8"/>
        <v>21.816785045523407</v>
      </c>
      <c r="W45" s="404">
        <f t="shared" si="9"/>
        <v>0</v>
      </c>
      <c r="X45" s="157">
        <f t="shared" si="10"/>
        <v>44592</v>
      </c>
      <c r="Y45" s="387">
        <f t="shared" si="11"/>
        <v>9.8630778775163535</v>
      </c>
      <c r="Z45" s="387">
        <f t="shared" si="21"/>
        <v>10.161060561722538</v>
      </c>
      <c r="AA45" s="388">
        <f t="shared" si="12"/>
        <v>11.957017624638379</v>
      </c>
      <c r="AB45" s="199">
        <f t="shared" si="13"/>
        <v>44592</v>
      </c>
      <c r="AC45" s="119">
        <f>IF(OR(t&lt;Tnet,NoTnet),'2021'!Resal_s+('2021'!Salim-'2021'!Resal_s)*(1-EXP(('2021'!Tnet_s-t)/'2021'!Tau_j)),Resal_s+(Salim-Resal_s)*(1-EXP((Tnet_s-t)/Tau_j)))*Salcycl</f>
        <v>0.15020108854026698</v>
      </c>
      <c r="AD45" s="233">
        <f>(INDEX(Models!$BJ45:$BT45,,AH45)*(1-AF45)+INDEX(Models!$BJ45:$BT45,,AH45+1)*AF45-ERP_i)*AE45*Ramure*Pc/MaxiM</f>
        <v>4.4681918617656344E-2</v>
      </c>
      <c r="AE45" s="307">
        <f t="shared" si="14"/>
        <v>0.9</v>
      </c>
      <c r="AF45" s="179">
        <f t="shared" si="22"/>
        <v>0.90202691992539286</v>
      </c>
      <c r="AG45" s="839">
        <f t="shared" si="23"/>
        <v>-1</v>
      </c>
      <c r="AH45" s="178">
        <f t="shared" si="15"/>
        <v>5</v>
      </c>
      <c r="AI45" s="227">
        <f t="shared" si="24"/>
        <v>-9.7973080074607158E-2</v>
      </c>
      <c r="AJ45" s="267" t="b">
        <f t="shared" si="16"/>
        <v>1</v>
      </c>
      <c r="AK45" s="267" t="b">
        <f t="shared" si="17"/>
        <v>0</v>
      </c>
      <c r="AL45" s="267"/>
      <c r="AM45" s="267"/>
      <c r="AN45" s="75"/>
    </row>
    <row r="46" spans="1:40" s="6" customFormat="1" ht="11.25" x14ac:dyDescent="0.2">
      <c r="A46" s="56">
        <f t="shared" si="18"/>
        <v>44593</v>
      </c>
      <c r="B46" s="1141">
        <v>10.226000000000001</v>
      </c>
      <c r="C46" s="868"/>
      <c r="D46" s="395">
        <f t="shared" si="0"/>
        <v>10.535192433705637</v>
      </c>
      <c r="E46" s="387">
        <f t="shared" si="1"/>
        <v>11.757363560452934</v>
      </c>
      <c r="F46" s="387">
        <f t="shared" si="2"/>
        <v>11.876944388483645</v>
      </c>
      <c r="G46" s="110">
        <f t="shared" si="19"/>
        <v>0.44674037944510259</v>
      </c>
      <c r="H46" s="416" t="b">
        <f>Wh_hp&gt;='2021'!Maxi_hp</f>
        <v>0</v>
      </c>
      <c r="I46" s="382">
        <f>IF(H46,Wh_hp,'2021'!Maxi_hp)</f>
        <v>21.665220022404377</v>
      </c>
      <c r="J46" s="85">
        <f>IF(H46,An,'2021'!An_max)</f>
        <v>2019</v>
      </c>
      <c r="K46" s="199">
        <f t="shared" si="3"/>
        <v>44593</v>
      </c>
      <c r="L46" s="147">
        <f>IF(t&lt;Tvie,1-EXP((T0-t)*PertePVj)+'2021'!Pspv,1-EXP((T0-t)*PertePVj)+Pspv)</f>
        <v>2.9348532136577399E-2</v>
      </c>
      <c r="M46" s="872"/>
      <c r="N46" s="872"/>
      <c r="O46" s="48">
        <f>IF(t&lt;Tnet,'2021'!Resal+('2021'!Salim-'2021'!Resal)*(1-EXP(('2021'!Tnet-t)/('2021'!Tau_j))),Resal+(Salim-Resal)*(1-EXP((Tnet-t)/(Tau_j))))*Salcycl</f>
        <v>0.10394942033247927</v>
      </c>
      <c r="P46" s="341">
        <f>(INDEX(Models!$BJ46:$BT46,,T46)*(1-R46)+INDEX(Models!$BJ46:$BT46,,T46+1)*R46-ERP_i)*Q46*Ramure*Pc/MaxiM</f>
        <v>4.3420275856107152E-2</v>
      </c>
      <c r="Q46" s="307">
        <f t="shared" si="4"/>
        <v>0.9</v>
      </c>
      <c r="R46" s="179">
        <f t="shared" si="5"/>
        <v>0.90214642289891611</v>
      </c>
      <c r="S46" s="839">
        <f t="shared" si="6"/>
        <v>-1</v>
      </c>
      <c r="T46" s="178">
        <f t="shared" si="7"/>
        <v>5</v>
      </c>
      <c r="U46" s="253">
        <f t="shared" si="20"/>
        <v>-9.7853577101083902E-2</v>
      </c>
      <c r="V46" s="385">
        <f t="shared" si="8"/>
        <v>22.119052846261049</v>
      </c>
      <c r="W46" s="404">
        <f t="shared" si="9"/>
        <v>0</v>
      </c>
      <c r="X46" s="157">
        <f t="shared" si="10"/>
        <v>44593</v>
      </c>
      <c r="Y46" s="387">
        <f t="shared" si="11"/>
        <v>9.6975365351915155</v>
      </c>
      <c r="Z46" s="387">
        <f t="shared" si="21"/>
        <v>9.9907503942043459</v>
      </c>
      <c r="AA46" s="388">
        <f t="shared" si="12"/>
        <v>11.757363560452934</v>
      </c>
      <c r="AB46" s="199">
        <f t="shared" si="13"/>
        <v>44593</v>
      </c>
      <c r="AC46" s="119">
        <f>IF(OR(t&lt;Tnet,NoTnet),'2021'!Resal_s+('2021'!Salim-'2021'!Resal_s)*(1-EXP(('2021'!Tnet_s-t)/'2021'!Tau_j)),Resal_s+(Salim-Resal_s)*(1-EXP((Tnet_s-t)/Tau_j)))*Salcycl</f>
        <v>0.15025589343777446</v>
      </c>
      <c r="AD46" s="233">
        <f>(INDEX(Models!$BJ46:$BT46,,AH46)*(1-AF46)+INDEX(Models!$BJ46:$BT46,,AH46+1)*AF46-ERP_i)*AE46*Ramure*Pc/MaxiM</f>
        <v>4.3420275856107152E-2</v>
      </c>
      <c r="AE46" s="307">
        <f t="shared" si="14"/>
        <v>0.9</v>
      </c>
      <c r="AF46" s="179">
        <f t="shared" si="22"/>
        <v>0.90214642289891611</v>
      </c>
      <c r="AG46" s="839">
        <f t="shared" si="23"/>
        <v>-1</v>
      </c>
      <c r="AH46" s="178">
        <f t="shared" si="15"/>
        <v>5</v>
      </c>
      <c r="AI46" s="227">
        <f t="shared" si="24"/>
        <v>-9.7853577101083902E-2</v>
      </c>
      <c r="AJ46" s="267" t="b">
        <f t="shared" si="16"/>
        <v>1</v>
      </c>
      <c r="AK46" s="267" t="b">
        <f t="shared" si="17"/>
        <v>0</v>
      </c>
      <c r="AL46" s="267"/>
      <c r="AM46" s="267"/>
      <c r="AN46" s="75"/>
    </row>
    <row r="47" spans="1:40" s="6" customFormat="1" ht="11.25" x14ac:dyDescent="0.2">
      <c r="A47" s="56">
        <f t="shared" si="18"/>
        <v>44594</v>
      </c>
      <c r="B47" s="1141">
        <v>5.3420000000000005</v>
      </c>
      <c r="C47" s="868"/>
      <c r="D47" s="395">
        <f t="shared" si="0"/>
        <v>5.5036483185836174</v>
      </c>
      <c r="E47" s="387">
        <f t="shared" si="1"/>
        <v>6.1433613885982856</v>
      </c>
      <c r="F47" s="387">
        <f t="shared" si="2"/>
        <v>6.1433613885982856</v>
      </c>
      <c r="G47" s="110">
        <f t="shared" si="19"/>
        <v>0.22817561426797722</v>
      </c>
      <c r="H47" s="416" t="b">
        <f>Wh_hp&gt;='2021'!Maxi_hp</f>
        <v>0</v>
      </c>
      <c r="I47" s="382">
        <f>IF(H47,Wh_hp,'2021'!Maxi_hp)</f>
        <v>24.095566163036541</v>
      </c>
      <c r="J47" s="85">
        <f>IF(H47,An,'2021'!An_max)</f>
        <v>2021</v>
      </c>
      <c r="K47" s="199">
        <f t="shared" si="3"/>
        <v>44594</v>
      </c>
      <c r="L47" s="147">
        <f>IF(t&lt;Tvie,1-EXP((T0-t)*PertePVj)+'2021'!Pspv,1-EXP((T0-t)*PertePVj)+Pspv)</f>
        <v>2.9371120614265056E-2</v>
      </c>
      <c r="M47" s="872"/>
      <c r="N47" s="872"/>
      <c r="O47" s="48">
        <f>IF(t&lt;Tnet,'2021'!Resal+('2021'!Salim-'2021'!Resal)*(1-EXP(('2021'!Tnet-t)/('2021'!Tau_j))),Resal+(Salim-Resal)*(1-EXP((Tnet-t)/(Tau_j))))*Salcycl</f>
        <v>0.10413078924543465</v>
      </c>
      <c r="P47" s="341">
        <f>(INDEX(Models!$BJ47:$BT47,,T47)*(1-R47)+INDEX(Models!$BJ47:$BT47,,T47+1)*R47-ERP_i)*Q47*Ramure*Pc/MaxiM</f>
        <v>4.2134452953793991E-2</v>
      </c>
      <c r="Q47" s="307">
        <f t="shared" si="4"/>
        <v>0.9</v>
      </c>
      <c r="R47" s="179">
        <f t="shared" si="5"/>
        <v>0.90227088849701709</v>
      </c>
      <c r="S47" s="839">
        <f t="shared" si="6"/>
        <v>-1</v>
      </c>
      <c r="T47" s="178">
        <f t="shared" si="7"/>
        <v>5</v>
      </c>
      <c r="U47" s="253">
        <f t="shared" si="20"/>
        <v>-9.772911150298294E-2</v>
      </c>
      <c r="V47" s="385">
        <f t="shared" si="8"/>
        <v>22.425348864455561</v>
      </c>
      <c r="W47" s="404">
        <f t="shared" si="9"/>
        <v>0</v>
      </c>
      <c r="X47" s="157">
        <f t="shared" si="10"/>
        <v>44594</v>
      </c>
      <c r="Y47" s="387">
        <f t="shared" si="11"/>
        <v>5.0666317583532505</v>
      </c>
      <c r="Z47" s="387">
        <f t="shared" si="21"/>
        <v>5.2199474649463156</v>
      </c>
      <c r="AA47" s="388">
        <f t="shared" si="12"/>
        <v>6.1433613885982856</v>
      </c>
      <c r="AB47" s="199">
        <f t="shared" si="13"/>
        <v>44594</v>
      </c>
      <c r="AC47" s="119">
        <f>IF(OR(t&lt;Tnet,NoTnet),'2021'!Resal_s+('2021'!Salim-'2021'!Resal_s)*(1-EXP(('2021'!Tnet_s-t)/'2021'!Tau_j)),Resal_s+(Salim-Resal_s)*(1-EXP((Tnet_s-t)/Tau_j)))*Salcycl</f>
        <v>0.15031085837889527</v>
      </c>
      <c r="AD47" s="233">
        <f>(INDEX(Models!$BJ47:$BT47,,AH47)*(1-AF47)+INDEX(Models!$BJ47:$BT47,,AH47+1)*AF47-ERP_i)*AE47*Ramure*Pc/MaxiM</f>
        <v>4.2134452953793991E-2</v>
      </c>
      <c r="AE47" s="307">
        <f t="shared" si="14"/>
        <v>0.9</v>
      </c>
      <c r="AF47" s="179">
        <f t="shared" si="22"/>
        <v>0.90227088849701709</v>
      </c>
      <c r="AG47" s="839">
        <f t="shared" si="23"/>
        <v>-1</v>
      </c>
      <c r="AH47" s="178">
        <f t="shared" si="15"/>
        <v>5</v>
      </c>
      <c r="AI47" s="227">
        <f t="shared" si="24"/>
        <v>-9.772911150298294E-2</v>
      </c>
      <c r="AJ47" s="267" t="b">
        <f t="shared" si="16"/>
        <v>1</v>
      </c>
      <c r="AK47" s="267" t="b">
        <f t="shared" si="17"/>
        <v>0</v>
      </c>
      <c r="AL47" s="267"/>
      <c r="AM47" s="267"/>
      <c r="AN47" s="75"/>
    </row>
    <row r="48" spans="1:40" s="6" customFormat="1" ht="11.25" x14ac:dyDescent="0.2">
      <c r="A48" s="56">
        <f t="shared" si="18"/>
        <v>44595</v>
      </c>
      <c r="B48" s="1141">
        <v>12.773</v>
      </c>
      <c r="C48" s="868"/>
      <c r="D48" s="395">
        <f t="shared" si="0"/>
        <v>13.159815790120819</v>
      </c>
      <c r="E48" s="387">
        <f t="shared" si="1"/>
        <v>14.692408407754895</v>
      </c>
      <c r="F48" s="387">
        <f t="shared" si="2"/>
        <v>14.92023689636917</v>
      </c>
      <c r="G48" s="110">
        <f t="shared" si="19"/>
        <v>0.54723099835258671</v>
      </c>
      <c r="H48" s="416" t="b">
        <f>Wh_hp&gt;='2021'!Maxi_hp</f>
        <v>0</v>
      </c>
      <c r="I48" s="382">
        <f>IF(H48,Wh_hp,'2021'!Maxi_hp)</f>
        <v>22.364236578915285</v>
      </c>
      <c r="J48" s="85">
        <f>IF(H48,An,'2021'!An_max)</f>
        <v>2020</v>
      </c>
      <c r="K48" s="199">
        <f t="shared" si="3"/>
        <v>44595</v>
      </c>
      <c r="L48" s="147">
        <f>IF(t&lt;Tvie,1-EXP((T0-t)*PertePVj)+'2021'!Pspv,1-EXP((T0-t)*PertePVj)+Pspv)</f>
        <v>2.939370856628587E-2</v>
      </c>
      <c r="M48" s="872"/>
      <c r="N48" s="872"/>
      <c r="O48" s="48">
        <f>IF(t&lt;Tnet,'2021'!Resal+('2021'!Salim-'2021'!Resal)*(1-EXP(('2021'!Tnet-t)/('2021'!Tau_j))),Resal+(Salim-Resal)*(1-EXP((Tnet-t)/(Tau_j))))*Salcycl</f>
        <v>0.10431187148494656</v>
      </c>
      <c r="P48" s="341">
        <f>(INDEX(Models!$BJ48:$BT48,,T48)*(1-R48)+INDEX(Models!$BJ48:$BT48,,T48+1)*R48-ERP_i)*Q48*Ramure*Pc/MaxiM</f>
        <v>4.0826424402422165E-2</v>
      </c>
      <c r="Q48" s="307">
        <f t="shared" si="4"/>
        <v>0.9</v>
      </c>
      <c r="R48" s="179">
        <f t="shared" si="5"/>
        <v>0.90240052059739673</v>
      </c>
      <c r="S48" s="839">
        <f t="shared" si="6"/>
        <v>-1</v>
      </c>
      <c r="T48" s="178">
        <f t="shared" si="7"/>
        <v>5</v>
      </c>
      <c r="U48" s="253">
        <f t="shared" si="20"/>
        <v>-9.7599479402603245E-2</v>
      </c>
      <c r="V48" s="385">
        <f t="shared" si="8"/>
        <v>22.735376696697301</v>
      </c>
      <c r="W48" s="404">
        <f t="shared" si="9"/>
        <v>0</v>
      </c>
      <c r="X48" s="157">
        <f t="shared" si="10"/>
        <v>44595</v>
      </c>
      <c r="Y48" s="387">
        <f t="shared" si="11"/>
        <v>12.116243465490948</v>
      </c>
      <c r="Z48" s="387">
        <f t="shared" si="21"/>
        <v>12.483170130283877</v>
      </c>
      <c r="AA48" s="388">
        <f t="shared" si="12"/>
        <v>14.692408407754895</v>
      </c>
      <c r="AB48" s="199">
        <f t="shared" si="13"/>
        <v>44595</v>
      </c>
      <c r="AC48" s="119">
        <f>IF(OR(t&lt;Tnet,NoTnet),'2021'!Resal_s+('2021'!Salim-'2021'!Resal_s)*(1-EXP(('2021'!Tnet_s-t)/'2021'!Tau_j)),Resal_s+(Salim-Resal_s)*(1-EXP((Tnet_s-t)/Tau_j)))*Salcycl</f>
        <v>0.15036597242321048</v>
      </c>
      <c r="AD48" s="233">
        <f>(INDEX(Models!$BJ48:$BT48,,AH48)*(1-AF48)+INDEX(Models!$BJ48:$BT48,,AH48+1)*AF48-ERP_i)*AE48*Ramure*Pc/MaxiM</f>
        <v>4.0826424402422165E-2</v>
      </c>
      <c r="AE48" s="307">
        <f t="shared" si="14"/>
        <v>0.9</v>
      </c>
      <c r="AF48" s="179">
        <f t="shared" si="22"/>
        <v>0.90240052059739673</v>
      </c>
      <c r="AG48" s="839">
        <f t="shared" si="23"/>
        <v>-1</v>
      </c>
      <c r="AH48" s="178">
        <f t="shared" si="15"/>
        <v>5</v>
      </c>
      <c r="AI48" s="227">
        <f t="shared" si="24"/>
        <v>-9.7599479402603245E-2</v>
      </c>
      <c r="AJ48" s="267" t="b">
        <f t="shared" si="16"/>
        <v>1</v>
      </c>
      <c r="AK48" s="267" t="b">
        <f t="shared" si="17"/>
        <v>0</v>
      </c>
      <c r="AL48" s="267"/>
      <c r="AM48" s="267"/>
      <c r="AN48" s="75"/>
    </row>
    <row r="49" spans="1:40" s="6" customFormat="1" ht="11.25" x14ac:dyDescent="0.2">
      <c r="A49" s="56">
        <f t="shared" si="18"/>
        <v>44596</v>
      </c>
      <c r="B49" s="1141">
        <v>10.649000000000001</v>
      </c>
      <c r="C49" s="868"/>
      <c r="D49" s="395">
        <f t="shared" si="0"/>
        <v>10.971748192384014</v>
      </c>
      <c r="E49" s="387">
        <f t="shared" si="1"/>
        <v>12.251991358113983</v>
      </c>
      <c r="F49" s="387">
        <f t="shared" si="2"/>
        <v>12.365032946142998</v>
      </c>
      <c r="G49" s="110">
        <f t="shared" si="19"/>
        <v>0.44786446944834812</v>
      </c>
      <c r="H49" s="416" t="b">
        <f>Wh_hp&gt;='2021'!Maxi_hp</f>
        <v>0</v>
      </c>
      <c r="I49" s="382">
        <f>IF(H49,Wh_hp,'2021'!Maxi_hp)</f>
        <v>23.372565339149336</v>
      </c>
      <c r="J49" s="85">
        <f>IF(H49,An,'2021'!An_max)</f>
        <v>2019</v>
      </c>
      <c r="K49" s="199">
        <f t="shared" si="3"/>
        <v>44596</v>
      </c>
      <c r="L49" s="147">
        <f>IF(t&lt;Tvie,1-EXP((T0-t)*PertePVj)+'2021'!Pspv,1-EXP((T0-t)*PertePVj)+Pspv)</f>
        <v>2.9416295992652053E-2</v>
      </c>
      <c r="M49" s="872"/>
      <c r="N49" s="872"/>
      <c r="O49" s="48">
        <f>IF(t&lt;Tnet,'2021'!Resal+('2021'!Salim-'2021'!Resal)*(1-EXP(('2021'!Tnet-t)/('2021'!Tau_j))),Resal+(Salim-Resal)*(1-EXP((Tnet-t)/(Tau_j))))*Salcycl</f>
        <v>0.10449265987133742</v>
      </c>
      <c r="P49" s="341">
        <f>(INDEX(Models!$BJ49:$BT49,,T49)*(1-R49)+INDEX(Models!$BJ49:$BT49,,T49+1)*R49-ERP_i)*Q49*Ramure*Pc/MaxiM</f>
        <v>3.9498018861164781E-2</v>
      </c>
      <c r="Q49" s="307">
        <f t="shared" si="4"/>
        <v>0.9</v>
      </c>
      <c r="R49" s="179">
        <f t="shared" si="5"/>
        <v>0.90253553126572994</v>
      </c>
      <c r="S49" s="839">
        <f t="shared" si="6"/>
        <v>-1</v>
      </c>
      <c r="T49" s="178">
        <f t="shared" si="7"/>
        <v>5</v>
      </c>
      <c r="U49" s="253">
        <f t="shared" si="20"/>
        <v>-9.7464468734270074E-2</v>
      </c>
      <c r="V49" s="385">
        <f t="shared" si="8"/>
        <v>23.048840271388858</v>
      </c>
      <c r="W49" s="404">
        <f t="shared" si="9"/>
        <v>0</v>
      </c>
      <c r="X49" s="157">
        <f t="shared" si="10"/>
        <v>44596</v>
      </c>
      <c r="Y49" s="387">
        <f t="shared" si="11"/>
        <v>10.102836678469112</v>
      </c>
      <c r="Z49" s="387">
        <f t="shared" si="21"/>
        <v>10.409031840073657</v>
      </c>
      <c r="AA49" s="388">
        <f t="shared" si="12"/>
        <v>12.251991358113983</v>
      </c>
      <c r="AB49" s="199">
        <f t="shared" si="13"/>
        <v>44596</v>
      </c>
      <c r="AC49" s="119">
        <f>IF(OR(t&lt;Tnet,NoTnet),'2021'!Resal_s+('2021'!Salim-'2021'!Resal_s)*(1-EXP(('2021'!Tnet_s-t)/'2021'!Tau_j)),Resal_s+(Salim-Resal_s)*(1-EXP((Tnet_s-t)/Tau_j)))*Salcycl</f>
        <v>0.15042122249129819</v>
      </c>
      <c r="AD49" s="233">
        <f>(INDEX(Models!$BJ49:$BT49,,AH49)*(1-AF49)+INDEX(Models!$BJ49:$BT49,,AH49+1)*AF49-ERP_i)*AE49*Ramure*Pc/MaxiM</f>
        <v>3.9498018861164781E-2</v>
      </c>
      <c r="AE49" s="307">
        <f t="shared" si="14"/>
        <v>0.9</v>
      </c>
      <c r="AF49" s="179">
        <f t="shared" si="22"/>
        <v>0.90253553126572994</v>
      </c>
      <c r="AG49" s="839">
        <f t="shared" si="23"/>
        <v>-1</v>
      </c>
      <c r="AH49" s="178">
        <f t="shared" si="15"/>
        <v>5</v>
      </c>
      <c r="AI49" s="227">
        <f t="shared" si="24"/>
        <v>-9.7464468734270074E-2</v>
      </c>
      <c r="AJ49" s="267" t="b">
        <f t="shared" si="16"/>
        <v>1</v>
      </c>
      <c r="AK49" s="267" t="b">
        <f t="shared" si="17"/>
        <v>0</v>
      </c>
      <c r="AL49" s="267"/>
      <c r="AM49" s="267"/>
      <c r="AN49" s="75"/>
    </row>
    <row r="50" spans="1:40" s="6" customFormat="1" ht="11.25" x14ac:dyDescent="0.2">
      <c r="A50" s="56">
        <f t="shared" si="18"/>
        <v>44597</v>
      </c>
      <c r="B50" s="1141">
        <v>9.2240000000000002</v>
      </c>
      <c r="C50" s="868"/>
      <c r="D50" s="395">
        <f t="shared" si="0"/>
        <v>9.5037806866794856</v>
      </c>
      <c r="E50" s="387">
        <f t="shared" si="1"/>
        <v>10.614872816240794</v>
      </c>
      <c r="F50" s="387">
        <f t="shared" si="2"/>
        <v>10.669984838291526</v>
      </c>
      <c r="G50" s="110">
        <f t="shared" si="19"/>
        <v>0.38168157761471755</v>
      </c>
      <c r="H50" s="416" t="b">
        <f>Wh_hp&gt;='2021'!Maxi_hp</f>
        <v>0</v>
      </c>
      <c r="I50" s="382">
        <f>IF(H50,Wh_hp,'2021'!Maxi_hp)</f>
        <v>27.755080564710749</v>
      </c>
      <c r="J50" s="85">
        <f>IF(H50,An,'2021'!An_max)</f>
        <v>2020</v>
      </c>
      <c r="K50" s="199">
        <f t="shared" si="3"/>
        <v>44597</v>
      </c>
      <c r="L50" s="147">
        <f>IF(t&lt;Tvie,1-EXP((T0-t)*PertePVj)+'2021'!Pspv,1-EXP((T0-t)*PertePVj)+Pspv)</f>
        <v>2.9438882893375928E-2</v>
      </c>
      <c r="M50" s="872"/>
      <c r="N50" s="872"/>
      <c r="O50" s="48">
        <f>IF(t&lt;Tnet,'2021'!Resal+('2021'!Salim-'2021'!Resal)*(1-EXP(('2021'!Tnet-t)/('2021'!Tau_j))),Resal+(Salim-Resal)*(1-EXP((Tnet-t)/(Tau_j))))*Salcycl</f>
        <v>0.10467314576405795</v>
      </c>
      <c r="P50" s="341">
        <f>(INDEX(Models!$BJ50:$BT50,,T50)*(1-R50)+INDEX(Models!$BJ50:$BT50,,T50+1)*R50-ERP_i)*Q50*Ramure*Pc/MaxiM</f>
        <v>3.8150922990018363E-2</v>
      </c>
      <c r="Q50" s="307">
        <f t="shared" si="4"/>
        <v>0.9</v>
      </c>
      <c r="R50" s="179">
        <f t="shared" si="5"/>
        <v>0.90267614106847294</v>
      </c>
      <c r="S50" s="839">
        <f t="shared" si="6"/>
        <v>-1</v>
      </c>
      <c r="T50" s="178">
        <f t="shared" si="7"/>
        <v>5</v>
      </c>
      <c r="U50" s="253">
        <f t="shared" si="20"/>
        <v>-9.7323858931527021E-2</v>
      </c>
      <c r="V50" s="385">
        <f t="shared" si="8"/>
        <v>23.365443864450473</v>
      </c>
      <c r="W50" s="404">
        <f t="shared" si="9"/>
        <v>0</v>
      </c>
      <c r="X50" s="157">
        <f t="shared" si="10"/>
        <v>44597</v>
      </c>
      <c r="Y50" s="387">
        <f t="shared" si="11"/>
        <v>8.7521153471286244</v>
      </c>
      <c r="Z50" s="387">
        <f t="shared" si="21"/>
        <v>9.017582914530804</v>
      </c>
      <c r="AA50" s="388">
        <f t="shared" si="12"/>
        <v>10.614872816240794</v>
      </c>
      <c r="AB50" s="199">
        <f t="shared" si="13"/>
        <v>44597</v>
      </c>
      <c r="AC50" s="119">
        <f>IF(OR(t&lt;Tnet,NoTnet),'2021'!Resal_s+('2021'!Salim-'2021'!Resal_s)*(1-EXP(('2021'!Tnet_s-t)/'2021'!Tau_j)),Resal_s+(Salim-Resal_s)*(1-EXP((Tnet_s-t)/Tau_j)))*Salcycl</f>
        <v>0.15047659348929093</v>
      </c>
      <c r="AD50" s="233">
        <f>(INDEX(Models!$BJ50:$BT50,,AH50)*(1-AF50)+INDEX(Models!$BJ50:$BT50,,AH50+1)*AF50-ERP_i)*AE50*Ramure*Pc/MaxiM</f>
        <v>3.8150922990018363E-2</v>
      </c>
      <c r="AE50" s="307">
        <f t="shared" si="14"/>
        <v>0.9</v>
      </c>
      <c r="AF50" s="179">
        <f t="shared" si="22"/>
        <v>0.90267614106847294</v>
      </c>
      <c r="AG50" s="839">
        <f t="shared" si="23"/>
        <v>-1</v>
      </c>
      <c r="AH50" s="178">
        <f t="shared" si="15"/>
        <v>5</v>
      </c>
      <c r="AI50" s="227">
        <f t="shared" si="24"/>
        <v>-9.7323858931527021E-2</v>
      </c>
      <c r="AJ50" s="267" t="b">
        <f t="shared" si="16"/>
        <v>1</v>
      </c>
      <c r="AK50" s="267" t="b">
        <f t="shared" si="17"/>
        <v>0</v>
      </c>
      <c r="AL50" s="267"/>
      <c r="AM50" s="267"/>
      <c r="AN50" s="75"/>
    </row>
    <row r="51" spans="1:40" s="6" customFormat="1" ht="11.25" x14ac:dyDescent="0.2">
      <c r="A51" s="56">
        <f t="shared" si="18"/>
        <v>44598</v>
      </c>
      <c r="B51" s="1141">
        <v>17.120999999999999</v>
      </c>
      <c r="C51" s="868"/>
      <c r="D51" s="395">
        <f t="shared" si="0"/>
        <v>17.640721576602704</v>
      </c>
      <c r="E51" s="387">
        <f t="shared" si="1"/>
        <v>19.707073660942232</v>
      </c>
      <c r="F51" s="387">
        <f t="shared" si="2"/>
        <v>20.154943073738732</v>
      </c>
      <c r="G51" s="110">
        <f t="shared" si="19"/>
        <v>0.71208275427243917</v>
      </c>
      <c r="H51" s="416" t="b">
        <f>Wh_hp&gt;='2021'!Maxi_hp</f>
        <v>0</v>
      </c>
      <c r="I51" s="382">
        <f>IF(H51,Wh_hp,'2021'!Maxi_hp)</f>
        <v>28.804501994668065</v>
      </c>
      <c r="J51" s="85">
        <f>IF(H51,An,'2021'!An_max)</f>
        <v>2020</v>
      </c>
      <c r="K51" s="199">
        <f t="shared" si="3"/>
        <v>44598</v>
      </c>
      <c r="L51" s="147">
        <f>IF(t&lt;Tvie,1-EXP((T0-t)*PertePVj)+'2021'!Pspv,1-EXP((T0-t)*PertePVj)+Pspv)</f>
        <v>2.9461469268469487E-2</v>
      </c>
      <c r="M51" s="872"/>
      <c r="N51" s="872"/>
      <c r="O51" s="48">
        <f>IF(t&lt;Tnet,'2021'!Resal+('2021'!Salim-'2021'!Resal)*(1-EXP(('2021'!Tnet-t)/('2021'!Tau_j))),Resal+(Salim-Resal)*(1-EXP((Tnet-t)/(Tau_j))))*Salcycl</f>
        <v>0.10485331916300014</v>
      </c>
      <c r="P51" s="341">
        <f>(INDEX(Models!$BJ51:$BT51,,T51)*(1-R51)+INDEX(Models!$BJ51:$BT51,,T51+1)*R51-ERP_i)*Q51*Ramure*Pc/MaxiM</f>
        <v>3.6785909603096772E-2</v>
      </c>
      <c r="Q51" s="307">
        <f t="shared" si="4"/>
        <v>0.9</v>
      </c>
      <c r="R51" s="179">
        <f t="shared" si="5"/>
        <v>0.90282257939624022</v>
      </c>
      <c r="S51" s="839">
        <f t="shared" si="6"/>
        <v>-1</v>
      </c>
      <c r="T51" s="178">
        <f t="shared" si="7"/>
        <v>5</v>
      </c>
      <c r="U51" s="253">
        <f t="shared" si="20"/>
        <v>-9.7177420603759793E-2</v>
      </c>
      <c r="V51" s="385">
        <f t="shared" si="8"/>
        <v>23.685410848879172</v>
      </c>
      <c r="W51" s="404">
        <f t="shared" si="9"/>
        <v>0</v>
      </c>
      <c r="X51" s="157">
        <f t="shared" si="10"/>
        <v>44598</v>
      </c>
      <c r="Y51" s="387">
        <f t="shared" si="11"/>
        <v>16.247326574649971</v>
      </c>
      <c r="Z51" s="387">
        <f t="shared" si="21"/>
        <v>16.740527099324705</v>
      </c>
      <c r="AA51" s="388">
        <f t="shared" si="12"/>
        <v>19.707073660942232</v>
      </c>
      <c r="AB51" s="199">
        <f t="shared" si="13"/>
        <v>44598</v>
      </c>
      <c r="AC51" s="119">
        <f>IF(OR(t&lt;Tnet,NoTnet),'2021'!Resal_s+('2021'!Salim-'2021'!Resal_s)*(1-EXP(('2021'!Tnet_s-t)/'2021'!Tau_j)),Resal_s+(Salim-Resal_s)*(1-EXP((Tnet_s-t)/Tau_j)))*Salcycl</f>
        <v>0.15053206846722111</v>
      </c>
      <c r="AD51" s="233">
        <f>(INDEX(Models!$BJ51:$BT51,,AH51)*(1-AF51)+INDEX(Models!$BJ51:$BT51,,AH51+1)*AF51-ERP_i)*AE51*Ramure*Pc/MaxiM</f>
        <v>3.6785909603096772E-2</v>
      </c>
      <c r="AE51" s="307">
        <f t="shared" si="14"/>
        <v>0.9</v>
      </c>
      <c r="AF51" s="179">
        <f t="shared" si="22"/>
        <v>0.90282257939624022</v>
      </c>
      <c r="AG51" s="839">
        <f t="shared" si="23"/>
        <v>-1</v>
      </c>
      <c r="AH51" s="178">
        <f t="shared" si="15"/>
        <v>5</v>
      </c>
      <c r="AI51" s="227">
        <f t="shared" si="24"/>
        <v>-9.7177420603759793E-2</v>
      </c>
      <c r="AJ51" s="267" t="b">
        <f t="shared" si="16"/>
        <v>1</v>
      </c>
      <c r="AK51" s="267" t="b">
        <f t="shared" si="17"/>
        <v>0</v>
      </c>
      <c r="AL51" s="267"/>
      <c r="AM51" s="267"/>
      <c r="AN51" s="75"/>
    </row>
    <row r="52" spans="1:40" s="6" customFormat="1" ht="11.25" x14ac:dyDescent="0.2">
      <c r="A52" s="56">
        <f t="shared" si="18"/>
        <v>44599</v>
      </c>
      <c r="B52" s="1141">
        <v>11.866</v>
      </c>
      <c r="C52" s="868"/>
      <c r="D52" s="395">
        <f t="shared" si="0"/>
        <v>12.226486398883488</v>
      </c>
      <c r="E52" s="387">
        <f t="shared" si="1"/>
        <v>13.661384950922745</v>
      </c>
      <c r="F52" s="387">
        <f t="shared" si="2"/>
        <v>13.796917726785138</v>
      </c>
      <c r="G52" s="110">
        <f t="shared" si="19"/>
        <v>0.48145898408017662</v>
      </c>
      <c r="H52" s="416" t="b">
        <f>Wh_hp&gt;='2021'!Maxi_hp</f>
        <v>0</v>
      </c>
      <c r="I52" s="382">
        <f>IF(H52,Wh_hp,'2021'!Maxi_hp)</f>
        <v>20.435045615049184</v>
      </c>
      <c r="J52" s="85">
        <f>IF(H52,An,'2021'!An_max)</f>
        <v>2021</v>
      </c>
      <c r="K52" s="199">
        <f t="shared" si="3"/>
        <v>44599</v>
      </c>
      <c r="L52" s="147">
        <f>IF(t&lt;Tvie,1-EXP((T0-t)*PertePVj)+'2021'!Pspv,1-EXP((T0-t)*PertePVj)+Pspv)</f>
        <v>2.9484055117945163E-2</v>
      </c>
      <c r="M52" s="872"/>
      <c r="N52" s="872"/>
      <c r="O52" s="48">
        <f>IF(t&lt;Tnet,'2021'!Resal+('2021'!Salim-'2021'!Resal)*(1-EXP(('2021'!Tnet-t)/('2021'!Tau_j))),Resal+(Salim-Resal)*(1-EXP((Tnet-t)/(Tau_j))))*Salcycl</f>
        <v>0.10503316883273524</v>
      </c>
      <c r="P52" s="341">
        <f>(INDEX(Models!$BJ52:$BT52,,T52)*(1-R52)+INDEX(Models!$BJ52:$BT52,,T52+1)*R52-ERP_i)*Q52*Ramure*Pc/MaxiM</f>
        <v>3.5403873235172925E-2</v>
      </c>
      <c r="Q52" s="307">
        <f t="shared" si="4"/>
        <v>0.9</v>
      </c>
      <c r="R52" s="179">
        <f t="shared" si="5"/>
        <v>0.90297508479798361</v>
      </c>
      <c r="S52" s="839">
        <f t="shared" si="6"/>
        <v>-1</v>
      </c>
      <c r="T52" s="178">
        <f t="shared" si="7"/>
        <v>5</v>
      </c>
      <c r="U52" s="253">
        <f t="shared" si="20"/>
        <v>-9.7024915202016393E-2</v>
      </c>
      <c r="V52" s="385">
        <f t="shared" si="8"/>
        <v>24.009212091799146</v>
      </c>
      <c r="W52" s="404">
        <f t="shared" si="9"/>
        <v>0</v>
      </c>
      <c r="X52" s="157">
        <f t="shared" si="10"/>
        <v>44599</v>
      </c>
      <c r="Y52" s="387">
        <f t="shared" si="11"/>
        <v>11.262012004856937</v>
      </c>
      <c r="Z52" s="387">
        <f t="shared" si="21"/>
        <v>11.604149384918751</v>
      </c>
      <c r="AA52" s="388">
        <f t="shared" si="12"/>
        <v>13.661384950922745</v>
      </c>
      <c r="AB52" s="199">
        <f t="shared" si="13"/>
        <v>44599</v>
      </c>
      <c r="AC52" s="119">
        <f>IF(OR(t&lt;Tnet,NoTnet),'2021'!Resal_s+('2021'!Salim-'2021'!Resal_s)*(1-EXP(('2021'!Tnet_s-t)/'2021'!Tau_j)),Resal_s+(Salim-Resal_s)*(1-EXP((Tnet_s-t)/Tau_j)))*Salcycl</f>
        <v>0.15058762880882295</v>
      </c>
      <c r="AD52" s="233">
        <f>(INDEX(Models!$BJ52:$BT52,,AH52)*(1-AF52)+INDEX(Models!$BJ52:$BT52,,AH52+1)*AF52-ERP_i)*AE52*Ramure*Pc/MaxiM</f>
        <v>3.5403873235172925E-2</v>
      </c>
      <c r="AE52" s="307">
        <f t="shared" si="14"/>
        <v>0.9</v>
      </c>
      <c r="AF52" s="179">
        <f t="shared" si="22"/>
        <v>0.90297508479798361</v>
      </c>
      <c r="AG52" s="839">
        <f t="shared" si="23"/>
        <v>-1</v>
      </c>
      <c r="AH52" s="178">
        <f t="shared" si="15"/>
        <v>5</v>
      </c>
      <c r="AI52" s="227">
        <f t="shared" si="24"/>
        <v>-9.7024915202016393E-2</v>
      </c>
      <c r="AJ52" s="267" t="b">
        <f t="shared" si="16"/>
        <v>1</v>
      </c>
      <c r="AK52" s="267" t="b">
        <f t="shared" si="17"/>
        <v>0</v>
      </c>
      <c r="AL52" s="267"/>
      <c r="AM52" s="267"/>
      <c r="AN52" s="75"/>
    </row>
    <row r="53" spans="1:40" s="6" customFormat="1" ht="11.25" x14ac:dyDescent="0.2">
      <c r="A53" s="56">
        <f t="shared" si="18"/>
        <v>44600</v>
      </c>
      <c r="B53" s="1141">
        <v>24.670999999999999</v>
      </c>
      <c r="C53" s="868"/>
      <c r="D53" s="395">
        <f t="shared" si="0"/>
        <v>25.42109099152561</v>
      </c>
      <c r="E53" s="387">
        <f t="shared" si="1"/>
        <v>28.41020485300929</v>
      </c>
      <c r="F53" s="387">
        <f t="shared" si="2"/>
        <v>29.411050619732659</v>
      </c>
      <c r="G53" s="110">
        <f t="shared" si="19"/>
        <v>1.0137513331920482</v>
      </c>
      <c r="H53" s="416" t="b">
        <f>Wh_hp&gt;='2021'!Maxi_hp</f>
        <v>1</v>
      </c>
      <c r="I53" s="382">
        <f>IF(H53,Wh_hp,'2021'!Maxi_hp)</f>
        <v>29.411050619732659</v>
      </c>
      <c r="J53" s="85">
        <f>IF(H53,An,'2021'!An_max)</f>
        <v>2022</v>
      </c>
      <c r="K53" s="199">
        <f t="shared" si="3"/>
        <v>44600</v>
      </c>
      <c r="L53" s="147">
        <f>IF(t&lt;Tvie,1-EXP((T0-t)*PertePVj)+'2021'!Pspv,1-EXP((T0-t)*PertePVj)+Pspv)</f>
        <v>2.9506640441815057E-2</v>
      </c>
      <c r="M53" s="872"/>
      <c r="N53" s="872"/>
      <c r="O53" s="48">
        <f>IF(t&lt;Tnet,'2021'!Resal+('2021'!Salim-'2021'!Resal)*(1-EXP(('2021'!Tnet-t)/('2021'!Tau_j))),Resal+(Salim-Resal)*(1-EXP((Tnet-t)/(Tau_j))))*Salcycl</f>
        <v>0.10521268244804877</v>
      </c>
      <c r="P53" s="341">
        <f>(INDEX(Models!$BJ53:$BT53,,T53)*(1-R53)+INDEX(Models!$BJ53:$BT53,,T53+1)*R53-ERP_i)*Q53*Ramure*Pc/MaxiM</f>
        <v>3.4029582270409406E-2</v>
      </c>
      <c r="Q53" s="307">
        <f t="shared" si="4"/>
        <v>0.9</v>
      </c>
      <c r="R53" s="179">
        <f t="shared" si="5"/>
        <v>0.90313390532620341</v>
      </c>
      <c r="S53" s="839">
        <f t="shared" si="6"/>
        <v>-1</v>
      </c>
      <c r="T53" s="178">
        <f t="shared" si="7"/>
        <v>5</v>
      </c>
      <c r="U53" s="253">
        <f t="shared" si="20"/>
        <v>-9.6866094673796629E-2</v>
      </c>
      <c r="V53" s="385">
        <f t="shared" si="8"/>
        <v>24.336342840918611</v>
      </c>
      <c r="W53" s="404">
        <f t="shared" si="9"/>
        <v>0</v>
      </c>
      <c r="X53" s="157">
        <f t="shared" si="10"/>
        <v>44600</v>
      </c>
      <c r="Y53" s="387">
        <f t="shared" si="11"/>
        <v>23.418392123380706</v>
      </c>
      <c r="Z53" s="387">
        <f t="shared" si="21"/>
        <v>24.130399134355621</v>
      </c>
      <c r="AA53" s="388">
        <f t="shared" si="12"/>
        <v>28.41020485300929</v>
      </c>
      <c r="AB53" s="199">
        <f t="shared" si="13"/>
        <v>44600</v>
      </c>
      <c r="AC53" s="119">
        <f>IF(OR(t&lt;Tnet,NoTnet),'2021'!Resal_s+('2021'!Salim-'2021'!Resal_s)*(1-EXP(('2021'!Tnet_s-t)/'2021'!Tau_j)),Resal_s+(Salim-Resal_s)*(1-EXP((Tnet_s-t)/Tau_j)))*Salcycl</f>
        <v>0.15064325445018184</v>
      </c>
      <c r="AD53" s="233">
        <f>(INDEX(Models!$BJ53:$BT53,,AH53)*(1-AF53)+INDEX(Models!$BJ53:$BT53,,AH53+1)*AF53-ERP_i)*AE53*Ramure*Pc/MaxiM</f>
        <v>3.4029582270409406E-2</v>
      </c>
      <c r="AE53" s="307">
        <f t="shared" si="14"/>
        <v>0.9</v>
      </c>
      <c r="AF53" s="179">
        <f t="shared" si="22"/>
        <v>0.90313390532620341</v>
      </c>
      <c r="AG53" s="839">
        <f t="shared" si="23"/>
        <v>-1</v>
      </c>
      <c r="AH53" s="178">
        <f t="shared" si="15"/>
        <v>5</v>
      </c>
      <c r="AI53" s="227">
        <f t="shared" si="24"/>
        <v>-9.6866094673796629E-2</v>
      </c>
      <c r="AJ53" s="267" t="b">
        <f t="shared" si="16"/>
        <v>1</v>
      </c>
      <c r="AK53" s="267" t="b">
        <f t="shared" si="17"/>
        <v>0</v>
      </c>
      <c r="AL53" s="267"/>
      <c r="AM53" s="267"/>
      <c r="AN53" s="75"/>
    </row>
    <row r="54" spans="1:40" s="6" customFormat="1" ht="11.25" x14ac:dyDescent="0.2">
      <c r="A54" s="56">
        <f t="shared" si="18"/>
        <v>44601</v>
      </c>
      <c r="B54" s="1141">
        <v>24.707000000000001</v>
      </c>
      <c r="C54" s="868"/>
      <c r="D54" s="395">
        <f t="shared" si="0"/>
        <v>25.458777989592154</v>
      </c>
      <c r="E54" s="387">
        <f t="shared" si="1"/>
        <v>28.458021422405114</v>
      </c>
      <c r="F54" s="387">
        <f t="shared" si="2"/>
        <v>29.418936956466233</v>
      </c>
      <c r="G54" s="110">
        <f t="shared" si="19"/>
        <v>1.0016257753781832</v>
      </c>
      <c r="H54" s="416" t="b">
        <f>Wh_hp&gt;='2021'!Maxi_hp</f>
        <v>1</v>
      </c>
      <c r="I54" s="382">
        <f>IF(H54,Wh_hp,'2021'!Maxi_hp)</f>
        <v>29.418936956466233</v>
      </c>
      <c r="J54" s="85">
        <f>IF(H54,An,'2021'!An_max)</f>
        <v>2022</v>
      </c>
      <c r="K54" s="199">
        <f t="shared" si="3"/>
        <v>44601</v>
      </c>
      <c r="L54" s="147">
        <f>IF(t&lt;Tvie,1-EXP((T0-t)*PertePVj)+'2021'!Pspv,1-EXP((T0-t)*PertePVj)+Pspv)</f>
        <v>2.9529225240091606E-2</v>
      </c>
      <c r="M54" s="872"/>
      <c r="N54" s="872"/>
      <c r="O54" s="48">
        <f>IF(t&lt;Tnet,'2021'!Resal+('2021'!Salim-'2021'!Resal)*(1-EXP(('2021'!Tnet-t)/('2021'!Tau_j))),Resal+(Salim-Resal)*(1-EXP((Tnet-t)/(Tau_j))))*Salcycl</f>
        <v>0.10539184675894732</v>
      </c>
      <c r="P54" s="341">
        <f>(INDEX(Models!$BJ54:$BT54,,T54)*(1-R54)+INDEX(Models!$BJ54:$BT54,,T54+1)*R54-ERP_i)*Q54*Ramure*Pc/MaxiM</f>
        <v>3.2663163032813421E-2</v>
      </c>
      <c r="Q54" s="307">
        <f t="shared" si="4"/>
        <v>0.9</v>
      </c>
      <c r="R54" s="179">
        <f t="shared" si="5"/>
        <v>0.90329929889340799</v>
      </c>
      <c r="S54" s="839">
        <f t="shared" si="6"/>
        <v>-1</v>
      </c>
      <c r="T54" s="178">
        <f t="shared" si="7"/>
        <v>5</v>
      </c>
      <c r="U54" s="253">
        <f t="shared" si="20"/>
        <v>-9.6700701106591999E-2</v>
      </c>
      <c r="V54" s="385">
        <f t="shared" si="8"/>
        <v>24.666897165931456</v>
      </c>
      <c r="W54" s="404">
        <f t="shared" si="9"/>
        <v>0</v>
      </c>
      <c r="X54" s="157">
        <f t="shared" si="10"/>
        <v>44601</v>
      </c>
      <c r="Y54" s="387">
        <f t="shared" si="11"/>
        <v>23.45572372176342</v>
      </c>
      <c r="Z54" s="387">
        <f t="shared" si="21"/>
        <v>24.16942821134031</v>
      </c>
      <c r="AA54" s="388">
        <f t="shared" si="12"/>
        <v>28.458021422405114</v>
      </c>
      <c r="AB54" s="199">
        <f t="shared" si="13"/>
        <v>44601</v>
      </c>
      <c r="AC54" s="119">
        <f>IF(OR(t&lt;Tnet,NoTnet),'2021'!Resal_s+('2021'!Salim-'2021'!Resal_s)*(1-EXP(('2021'!Tnet_s-t)/'2021'!Tau_j)),Resal_s+(Salim-Resal_s)*(1-EXP((Tnet_s-t)/Tau_j)))*Salcycl</f>
        <v>0.1506989241243728</v>
      </c>
      <c r="AD54" s="233">
        <f>(INDEX(Models!$BJ54:$BT54,,AH54)*(1-AF54)+INDEX(Models!$BJ54:$BT54,,AH54+1)*AF54-ERP_i)*AE54*Ramure*Pc/MaxiM</f>
        <v>3.2663163032813421E-2</v>
      </c>
      <c r="AE54" s="307">
        <f t="shared" si="14"/>
        <v>0.9</v>
      </c>
      <c r="AF54" s="179">
        <f t="shared" si="22"/>
        <v>0.90329929889340799</v>
      </c>
      <c r="AG54" s="839">
        <f t="shared" si="23"/>
        <v>-1</v>
      </c>
      <c r="AH54" s="178">
        <f t="shared" si="15"/>
        <v>5</v>
      </c>
      <c r="AI54" s="227">
        <f t="shared" si="24"/>
        <v>-9.6700701106591999E-2</v>
      </c>
      <c r="AJ54" s="267" t="b">
        <f t="shared" si="16"/>
        <v>1</v>
      </c>
      <c r="AK54" s="267" t="b">
        <f t="shared" si="17"/>
        <v>0</v>
      </c>
      <c r="AL54" s="267"/>
      <c r="AM54" s="267"/>
      <c r="AN54" s="75"/>
    </row>
    <row r="55" spans="1:40" s="6" customFormat="1" ht="11.25" x14ac:dyDescent="0.2">
      <c r="A55" s="56">
        <f t="shared" si="18"/>
        <v>44602</v>
      </c>
      <c r="B55" s="1141">
        <v>23.974</v>
      </c>
      <c r="C55" s="868"/>
      <c r="D55" s="395">
        <f t="shared" si="0"/>
        <v>24.704049360908037</v>
      </c>
      <c r="E55" s="387">
        <f t="shared" si="1"/>
        <v>27.619900106590254</v>
      </c>
      <c r="F55" s="387">
        <f t="shared" si="2"/>
        <v>28.45850777930519</v>
      </c>
      <c r="G55" s="110">
        <f t="shared" si="19"/>
        <v>0.95710778355050086</v>
      </c>
      <c r="H55" s="416" t="b">
        <f>Wh_hp&gt;='2021'!Maxi_hp</f>
        <v>1</v>
      </c>
      <c r="I55" s="382">
        <f>IF(H55,Wh_hp,'2021'!Maxi_hp)</f>
        <v>28.45850777930519</v>
      </c>
      <c r="J55" s="85">
        <f>IF(H55,An,'2021'!An_max)</f>
        <v>2022</v>
      </c>
      <c r="K55" s="199">
        <f t="shared" si="3"/>
        <v>44602</v>
      </c>
      <c r="L55" s="147">
        <f>IF(t&lt;Tvie,1-EXP((T0-t)*PertePVj)+'2021'!Pspv,1-EXP((T0-t)*PertePVj)+Pspv)</f>
        <v>2.9551809512786797E-2</v>
      </c>
      <c r="M55" s="872"/>
      <c r="N55" s="872"/>
      <c r="O55" s="48">
        <f>IF(t&lt;Tnet,'2021'!Resal+('2021'!Salim-'2021'!Resal)*(1-EXP(('2021'!Tnet-t)/('2021'!Tau_j))),Resal+(Salim-Resal)*(1-EXP((Tnet-t)/(Tau_j))))*Salcycl</f>
        <v>0.10557064777314246</v>
      </c>
      <c r="P55" s="341">
        <f>(INDEX(Models!$BJ55:$BT55,,T55)*(1-R55)+INDEX(Models!$BJ55:$BT55,,T55+1)*R55-ERP_i)*Q55*Ramure*Pc/MaxiM</f>
        <v>3.1304746849970089E-2</v>
      </c>
      <c r="Q55" s="307">
        <f t="shared" si="4"/>
        <v>0.9</v>
      </c>
      <c r="R55" s="179">
        <f t="shared" si="5"/>
        <v>0.90347153364003252</v>
      </c>
      <c r="S55" s="839">
        <f t="shared" si="6"/>
        <v>-1</v>
      </c>
      <c r="T55" s="178">
        <f t="shared" si="7"/>
        <v>5</v>
      </c>
      <c r="U55" s="253">
        <f t="shared" si="20"/>
        <v>-9.6528466359967507E-2</v>
      </c>
      <c r="V55" s="385">
        <f t="shared" si="8"/>
        <v>25.000969201724796</v>
      </c>
      <c r="W55" s="404">
        <f t="shared" si="9"/>
        <v>0</v>
      </c>
      <c r="X55" s="157">
        <f t="shared" si="10"/>
        <v>44602</v>
      </c>
      <c r="Y55" s="387">
        <f t="shared" si="11"/>
        <v>22.762903290483635</v>
      </c>
      <c r="Z55" s="387">
        <f t="shared" si="21"/>
        <v>23.456072682309323</v>
      </c>
      <c r="AA55" s="388">
        <f t="shared" si="12"/>
        <v>27.619900106590254</v>
      </c>
      <c r="AB55" s="199">
        <f t="shared" si="13"/>
        <v>44602</v>
      </c>
      <c r="AC55" s="119">
        <f>IF(OR(t&lt;Tnet,NoTnet),'2021'!Resal_s+('2021'!Salim-'2021'!Resal_s)*(1-EXP(('2021'!Tnet_s-t)/'2021'!Tau_j)),Resal_s+(Salim-Resal_s)*(1-EXP((Tnet_s-t)/Tau_j)))*Salcycl</f>
        <v>0.15075461562901959</v>
      </c>
      <c r="AD55" s="233">
        <f>(INDEX(Models!$BJ55:$BT55,,AH55)*(1-AF55)+INDEX(Models!$BJ55:$BT55,,AH55+1)*AF55-ERP_i)*AE55*Ramure*Pc/MaxiM</f>
        <v>3.1304746849970089E-2</v>
      </c>
      <c r="AE55" s="307">
        <f t="shared" si="14"/>
        <v>0.9</v>
      </c>
      <c r="AF55" s="179">
        <f t="shared" si="22"/>
        <v>0.90347153364003252</v>
      </c>
      <c r="AG55" s="839">
        <f t="shared" si="23"/>
        <v>-1</v>
      </c>
      <c r="AH55" s="178">
        <f t="shared" si="15"/>
        <v>5</v>
      </c>
      <c r="AI55" s="227">
        <f t="shared" si="24"/>
        <v>-9.6528466359967507E-2</v>
      </c>
      <c r="AJ55" s="267" t="b">
        <f t="shared" si="16"/>
        <v>1</v>
      </c>
      <c r="AK55" s="267" t="b">
        <f t="shared" si="17"/>
        <v>0</v>
      </c>
      <c r="AL55" s="267"/>
      <c r="AM55" s="267"/>
      <c r="AN55" s="75"/>
    </row>
    <row r="56" spans="1:40" s="6" customFormat="1" ht="11.25" x14ac:dyDescent="0.2">
      <c r="A56" s="56">
        <f t="shared" si="18"/>
        <v>44603</v>
      </c>
      <c r="B56" s="1141">
        <v>12.641999999999999</v>
      </c>
      <c r="C56" s="868"/>
      <c r="D56" s="395">
        <f t="shared" si="0"/>
        <v>13.027273715980948</v>
      </c>
      <c r="E56" s="387">
        <f t="shared" si="1"/>
        <v>14.567805626857655</v>
      </c>
      <c r="F56" s="387">
        <f t="shared" si="2"/>
        <v>14.692875354924462</v>
      </c>
      <c r="G56" s="110">
        <f t="shared" si="19"/>
        <v>0.48813172494347823</v>
      </c>
      <c r="H56" s="416" t="b">
        <f>Wh_hp&gt;='2021'!Maxi_hp</f>
        <v>0</v>
      </c>
      <c r="I56" s="382">
        <f>IF(H56,Wh_hp,'2021'!Maxi_hp)</f>
        <v>26.844997488492737</v>
      </c>
      <c r="J56" s="85">
        <f>IF(H56,An,'2021'!An_max)</f>
        <v>2021</v>
      </c>
      <c r="K56" s="199">
        <f t="shared" si="3"/>
        <v>44603</v>
      </c>
      <c r="L56" s="147">
        <f>IF(t&lt;Tvie,1-EXP((T0-t)*PertePVj)+'2021'!Pspv,1-EXP((T0-t)*PertePVj)+Pspv)</f>
        <v>2.9574393259912957E-2</v>
      </c>
      <c r="M56" s="872"/>
      <c r="N56" s="872"/>
      <c r="O56" s="48">
        <f>IF(t&lt;Tnet,'2021'!Resal+('2021'!Salim-'2021'!Resal)*(1-EXP(('2021'!Tnet-t)/('2021'!Tau_j))),Resal+(Salim-Resal)*(1-EXP((Tnet-t)/(Tau_j))))*Salcycl</f>
        <v>0.10574907095386654</v>
      </c>
      <c r="P56" s="341">
        <f>(INDEX(Models!$BJ56:$BT56,,T56)*(1-R56)+INDEX(Models!$BJ56:$BT56,,T56+1)*R56-ERP_i)*Q56*Ramure*Pc/MaxiM</f>
        <v>2.9954469050749069E-2</v>
      </c>
      <c r="Q56" s="307">
        <f t="shared" si="4"/>
        <v>0.9</v>
      </c>
      <c r="R56" s="179">
        <f t="shared" si="5"/>
        <v>0.90365088831401352</v>
      </c>
      <c r="S56" s="839">
        <f t="shared" si="6"/>
        <v>-1</v>
      </c>
      <c r="T56" s="178">
        <f t="shared" si="7"/>
        <v>5</v>
      </c>
      <c r="U56" s="253">
        <f t="shared" si="20"/>
        <v>-9.6349111685986533E-2</v>
      </c>
      <c r="V56" s="385">
        <f t="shared" si="8"/>
        <v>25.338653158581007</v>
      </c>
      <c r="W56" s="404">
        <f t="shared" si="9"/>
        <v>0</v>
      </c>
      <c r="X56" s="157">
        <f t="shared" si="10"/>
        <v>44603</v>
      </c>
      <c r="Y56" s="387">
        <f t="shared" si="11"/>
        <v>12.004970597641883</v>
      </c>
      <c r="Z56" s="387">
        <f t="shared" si="21"/>
        <v>12.370830400868865</v>
      </c>
      <c r="AA56" s="388">
        <f t="shared" si="12"/>
        <v>14.567805626857655</v>
      </c>
      <c r="AB56" s="199">
        <f t="shared" si="13"/>
        <v>44603</v>
      </c>
      <c r="AC56" s="119">
        <f>IF(OR(t&lt;Tnet,NoTnet),'2021'!Resal_s+('2021'!Salim-'2021'!Resal_s)*(1-EXP(('2021'!Tnet_s-t)/'2021'!Tau_j)),Resal_s+(Salim-Resal_s)*(1-EXP((Tnet_s-t)/Tau_j)))*Salcycl</f>
        <v>0.15081030611352891</v>
      </c>
      <c r="AD56" s="233">
        <f>(INDEX(Models!$BJ56:$BT56,,AH56)*(1-AF56)+INDEX(Models!$BJ56:$BT56,,AH56+1)*AF56-ERP_i)*AE56*Ramure*Pc/MaxiM</f>
        <v>2.9954469050749069E-2</v>
      </c>
      <c r="AE56" s="307">
        <f t="shared" si="14"/>
        <v>0.9</v>
      </c>
      <c r="AF56" s="179">
        <f t="shared" si="22"/>
        <v>0.90365088831401352</v>
      </c>
      <c r="AG56" s="839">
        <f t="shared" si="23"/>
        <v>-1</v>
      </c>
      <c r="AH56" s="178">
        <f t="shared" si="15"/>
        <v>5</v>
      </c>
      <c r="AI56" s="227">
        <f t="shared" si="24"/>
        <v>-9.6349111685986533E-2</v>
      </c>
      <c r="AJ56" s="267" t="b">
        <f t="shared" si="16"/>
        <v>1</v>
      </c>
      <c r="AK56" s="267" t="b">
        <f t="shared" si="17"/>
        <v>0</v>
      </c>
      <c r="AL56" s="267"/>
      <c r="AM56" s="267"/>
      <c r="AN56" s="75"/>
    </row>
    <row r="57" spans="1:40" s="6" customFormat="1" ht="11.25" x14ac:dyDescent="0.2">
      <c r="A57" s="56">
        <f t="shared" si="18"/>
        <v>44604</v>
      </c>
      <c r="B57" s="1141">
        <v>21.612000000000002</v>
      </c>
      <c r="C57" s="868"/>
      <c r="D57" s="395">
        <f t="shared" si="0"/>
        <v>22.271158968197089</v>
      </c>
      <c r="E57" s="387">
        <f t="shared" si="1"/>
        <v>24.909779732544045</v>
      </c>
      <c r="F57" s="387">
        <f t="shared" si="2"/>
        <v>25.473700174192334</v>
      </c>
      <c r="G57" s="110">
        <f t="shared" si="19"/>
        <v>0.83601462976602503</v>
      </c>
      <c r="H57" s="416" t="b">
        <f>Wh_hp&gt;='2021'!Maxi_hp</f>
        <v>0</v>
      </c>
      <c r="I57" s="382">
        <f>IF(H57,Wh_hp,'2021'!Maxi_hp)</f>
        <v>30.627768501609644</v>
      </c>
      <c r="J57" s="85">
        <f>IF(H57,An,'2021'!An_max)</f>
        <v>2019</v>
      </c>
      <c r="K57" s="199">
        <f t="shared" si="3"/>
        <v>44604</v>
      </c>
      <c r="L57" s="147">
        <f>IF(t&lt;Tvie,1-EXP((T0-t)*PertePVj)+'2021'!Pspv,1-EXP((T0-t)*PertePVj)+Pspv)</f>
        <v>2.9596976481482407E-2</v>
      </c>
      <c r="M57" s="872"/>
      <c r="N57" s="872"/>
      <c r="O57" s="48">
        <f>IF(t&lt;Tnet,'2021'!Resal+('2021'!Salim-'2021'!Resal)*(1-EXP(('2021'!Tnet-t)/('2021'!Tau_j))),Resal+(Salim-Resal)*(1-EXP((Tnet-t)/(Tau_j))))*Salcycl</f>
        <v>0.10592710143075489</v>
      </c>
      <c r="P57" s="341">
        <f>(INDEX(Models!$BJ57:$BT57,,T57)*(1-R57)+INDEX(Models!$BJ57:$BT57,,T57+1)*R57-ERP_i)*Q57*Ramure*Pc/MaxiM</f>
        <v>2.861246803807287E-2</v>
      </c>
      <c r="Q57" s="307">
        <f t="shared" si="4"/>
        <v>0.9</v>
      </c>
      <c r="R57" s="179">
        <f t="shared" si="5"/>
        <v>0.90383765266220117</v>
      </c>
      <c r="S57" s="839">
        <f t="shared" si="6"/>
        <v>-1</v>
      </c>
      <c r="T57" s="178">
        <f t="shared" si="7"/>
        <v>5</v>
      </c>
      <c r="U57" s="253">
        <f t="shared" si="20"/>
        <v>-9.6162347337798854E-2</v>
      </c>
      <c r="V57" s="385">
        <f t="shared" si="8"/>
        <v>25.680043315371741</v>
      </c>
      <c r="W57" s="404">
        <f t="shared" si="9"/>
        <v>0</v>
      </c>
      <c r="X57" s="157">
        <f t="shared" si="10"/>
        <v>44604</v>
      </c>
      <c r="Y57" s="387">
        <f t="shared" si="11"/>
        <v>20.525713992935195</v>
      </c>
      <c r="Z57" s="387">
        <f t="shared" si="21"/>
        <v>21.151741591356981</v>
      </c>
      <c r="AA57" s="388">
        <f t="shared" si="12"/>
        <v>24.909779732544045</v>
      </c>
      <c r="AB57" s="199">
        <f t="shared" si="13"/>
        <v>44604</v>
      </c>
      <c r="AC57" s="119">
        <f>IF(OR(t&lt;Tnet,NoTnet),'2021'!Resal_s+('2021'!Salim-'2021'!Resal_s)*(1-EXP(('2021'!Tnet_s-t)/'2021'!Tau_j)),Resal_s+(Salim-Resal_s)*(1-EXP((Tnet_s-t)/Tau_j)))*Salcycl</f>
        <v>0.15086597238261706</v>
      </c>
      <c r="AD57" s="233">
        <f>(INDEX(Models!$BJ57:$BT57,,AH57)*(1-AF57)+INDEX(Models!$BJ57:$BT57,,AH57+1)*AF57-ERP_i)*AE57*Ramure*Pc/MaxiM</f>
        <v>2.861246803807287E-2</v>
      </c>
      <c r="AE57" s="307">
        <f t="shared" si="14"/>
        <v>0.9</v>
      </c>
      <c r="AF57" s="179">
        <f t="shared" si="22"/>
        <v>0.90383765266220117</v>
      </c>
      <c r="AG57" s="839">
        <f t="shared" si="23"/>
        <v>-1</v>
      </c>
      <c r="AH57" s="178">
        <f t="shared" si="15"/>
        <v>5</v>
      </c>
      <c r="AI57" s="227">
        <f t="shared" si="24"/>
        <v>-9.6162347337798854E-2</v>
      </c>
      <c r="AJ57" s="267" t="b">
        <f t="shared" si="16"/>
        <v>1</v>
      </c>
      <c r="AK57" s="267" t="b">
        <f t="shared" si="17"/>
        <v>0</v>
      </c>
      <c r="AL57" s="267"/>
      <c r="AM57" s="267"/>
      <c r="AN57" s="75"/>
    </row>
    <row r="58" spans="1:40" s="6" customFormat="1" ht="11.25" x14ac:dyDescent="0.2">
      <c r="A58" s="56">
        <f t="shared" si="18"/>
        <v>44605</v>
      </c>
      <c r="B58" s="1141">
        <v>25.189</v>
      </c>
      <c r="C58" s="868"/>
      <c r="D58" s="395">
        <f t="shared" si="0"/>
        <v>25.957860381697149</v>
      </c>
      <c r="E58" s="387">
        <f t="shared" si="1"/>
        <v>29.039039678432371</v>
      </c>
      <c r="F58" s="387">
        <f t="shared" si="2"/>
        <v>29.815356789089702</v>
      </c>
      <c r="G58" s="110">
        <f t="shared" si="19"/>
        <v>0.96663471279104396</v>
      </c>
      <c r="H58" s="416" t="b">
        <f>Wh_hp&gt;='2021'!Maxi_hp</f>
        <v>0</v>
      </c>
      <c r="I58" s="382">
        <f>IF(H58,Wh_hp,'2021'!Maxi_hp)</f>
        <v>31.571868913069107</v>
      </c>
      <c r="J58" s="85">
        <f>IF(H58,An,'2021'!An_max)</f>
        <v>2019</v>
      </c>
      <c r="K58" s="199">
        <f t="shared" si="3"/>
        <v>44605</v>
      </c>
      <c r="L58" s="147">
        <f>IF(t&lt;Tvie,1-EXP((T0-t)*PertePVj)+'2021'!Pspv,1-EXP((T0-t)*PertePVj)+Pspv)</f>
        <v>2.9619559177507249E-2</v>
      </c>
      <c r="M58" s="872"/>
      <c r="N58" s="872"/>
      <c r="O58" s="48">
        <f>IF(t&lt;Tnet,'2021'!Resal+('2021'!Salim-'2021'!Resal)*(1-EXP(('2021'!Tnet-t)/('2021'!Tau_j))),Resal+(Salim-Resal)*(1-EXP((Tnet-t)/(Tau_j))))*Salcycl</f>
        <v>0.10610472422142964</v>
      </c>
      <c r="P58" s="341">
        <f>(INDEX(Models!$BJ58:$BT58,,T58)*(1-R58)+INDEX(Models!$BJ58:$BT58,,T58+1)*R58-ERP_i)*Q58*Ramure*Pc/MaxiM</f>
        <v>2.7289734618936377E-2</v>
      </c>
      <c r="Q58" s="307">
        <f t="shared" si="4"/>
        <v>0.9</v>
      </c>
      <c r="R58" s="179">
        <f t="shared" si="5"/>
        <v>0.90403212783377762</v>
      </c>
      <c r="S58" s="839">
        <f t="shared" si="6"/>
        <v>-1</v>
      </c>
      <c r="T58" s="178">
        <f t="shared" si="7"/>
        <v>5</v>
      </c>
      <c r="U58" s="253">
        <f t="shared" si="20"/>
        <v>-9.5967872166222393E-2</v>
      </c>
      <c r="V58" s="385">
        <f t="shared" si="8"/>
        <v>26.02494373010116</v>
      </c>
      <c r="W58" s="404">
        <f t="shared" si="9"/>
        <v>0</v>
      </c>
      <c r="X58" s="157">
        <f t="shared" si="10"/>
        <v>44605</v>
      </c>
      <c r="Y58" s="387">
        <f t="shared" si="11"/>
        <v>23.926109264104234</v>
      </c>
      <c r="Z58" s="387">
        <f t="shared" si="21"/>
        <v>24.656421602876193</v>
      </c>
      <c r="AA58" s="388">
        <f t="shared" si="12"/>
        <v>29.039039678432371</v>
      </c>
      <c r="AB58" s="199">
        <f t="shared" si="13"/>
        <v>44605</v>
      </c>
      <c r="AC58" s="119">
        <f>IF(OR(t&lt;Tnet,NoTnet),'2021'!Resal_s+('2021'!Salim-'2021'!Resal_s)*(1-EXP(('2021'!Tnet_s-t)/'2021'!Tau_j)),Resal_s+(Salim-Resal_s)*(1-EXP((Tnet_s-t)/Tau_j)))*Salcycl</f>
        <v>0.15092159121264603</v>
      </c>
      <c r="AD58" s="233">
        <f>(INDEX(Models!$BJ58:$BT58,,AH58)*(1-AF58)+INDEX(Models!$BJ58:$BT58,,AH58+1)*AF58-ERP_i)*AE58*Ramure*Pc/MaxiM</f>
        <v>2.7289734618936377E-2</v>
      </c>
      <c r="AE58" s="307">
        <f t="shared" si="14"/>
        <v>0.9</v>
      </c>
      <c r="AF58" s="179">
        <f t="shared" si="22"/>
        <v>0.90403212783377762</v>
      </c>
      <c r="AG58" s="839">
        <f t="shared" si="23"/>
        <v>-1</v>
      </c>
      <c r="AH58" s="178">
        <f t="shared" si="15"/>
        <v>5</v>
      </c>
      <c r="AI58" s="227">
        <f t="shared" si="24"/>
        <v>-9.5967872166222393E-2</v>
      </c>
      <c r="AJ58" s="267" t="b">
        <f t="shared" si="16"/>
        <v>1</v>
      </c>
      <c r="AK58" s="267" t="b">
        <f t="shared" si="17"/>
        <v>0</v>
      </c>
      <c r="AL58" s="267"/>
      <c r="AM58" s="267"/>
      <c r="AN58" s="75"/>
    </row>
    <row r="59" spans="1:40" s="6" customFormat="1" ht="11.25" x14ac:dyDescent="0.2">
      <c r="A59" s="56">
        <f t="shared" si="18"/>
        <v>44606</v>
      </c>
      <c r="B59" s="1141">
        <v>14.8</v>
      </c>
      <c r="C59" s="868"/>
      <c r="D59" s="395">
        <f t="shared" si="0"/>
        <v>15.252105053861094</v>
      </c>
      <c r="E59" s="387">
        <f t="shared" si="1"/>
        <v>17.065901956462753</v>
      </c>
      <c r="F59" s="387">
        <f t="shared" si="2"/>
        <v>17.233125336272984</v>
      </c>
      <c r="G59" s="110">
        <f t="shared" si="19"/>
        <v>0.55194369754532979</v>
      </c>
      <c r="H59" s="416" t="b">
        <f>Wh_hp&gt;='2021'!Maxi_hp</f>
        <v>0</v>
      </c>
      <c r="I59" s="382">
        <f>IF(H59,Wh_hp,'2021'!Maxi_hp)</f>
        <v>31.764389384281085</v>
      </c>
      <c r="J59" s="85">
        <f>IF(H59,An,'2021'!An_max)</f>
        <v>2019</v>
      </c>
      <c r="K59" s="199">
        <f t="shared" si="3"/>
        <v>44606</v>
      </c>
      <c r="L59" s="147">
        <f>IF(t&lt;Tvie,1-EXP((T0-t)*PertePVj)+'2021'!Pspv,1-EXP((T0-t)*PertePVj)+Pspv)</f>
        <v>2.9642141347999806E-2</v>
      </c>
      <c r="M59" s="872"/>
      <c r="N59" s="872"/>
      <c r="O59" s="48">
        <f>IF(t&lt;Tnet,'2021'!Resal+('2021'!Salim-'2021'!Resal)*(1-EXP(('2021'!Tnet-t)/('2021'!Tau_j))),Resal+(Salim-Resal)*(1-EXP((Tnet-t)/(Tau_j))))*Salcycl</f>
        <v>0.10628192446135469</v>
      </c>
      <c r="P59" s="341">
        <f>(INDEX(Models!$BJ59:$BT59,,T59)*(1-R59)+INDEX(Models!$BJ59:$BT59,,T59+1)*R59-ERP_i)*Q59*Ramure*Pc/MaxiM</f>
        <v>2.6006807909549415E-2</v>
      </c>
      <c r="Q59" s="307">
        <f t="shared" si="4"/>
        <v>0.9</v>
      </c>
      <c r="R59" s="179">
        <f t="shared" si="5"/>
        <v>0.90423462679582767</v>
      </c>
      <c r="S59" s="839">
        <f t="shared" si="6"/>
        <v>-1</v>
      </c>
      <c r="T59" s="178">
        <f t="shared" si="7"/>
        <v>5</v>
      </c>
      <c r="U59" s="253">
        <f t="shared" si="20"/>
        <v>-9.5765373204172291E-2</v>
      </c>
      <c r="V59" s="385">
        <f t="shared" si="8"/>
        <v>26.372886056038467</v>
      </c>
      <c r="W59" s="404">
        <f t="shared" si="9"/>
        <v>0</v>
      </c>
      <c r="X59" s="157">
        <f t="shared" si="10"/>
        <v>44606</v>
      </c>
      <c r="Y59" s="387">
        <f t="shared" si="11"/>
        <v>14.059845802272466</v>
      </c>
      <c r="Z59" s="387">
        <f t="shared" si="21"/>
        <v>14.489340893064023</v>
      </c>
      <c r="AA59" s="388">
        <f t="shared" si="12"/>
        <v>17.065901956462753</v>
      </c>
      <c r="AB59" s="199">
        <f t="shared" si="13"/>
        <v>44606</v>
      </c>
      <c r="AC59" s="119">
        <f>IF(OR(t&lt;Tnet,NoTnet),'2021'!Resal_s+('2021'!Salim-'2021'!Resal_s)*(1-EXP(('2021'!Tnet_s-t)/'2021'!Tau_j)),Resal_s+(Salim-Resal_s)*(1-EXP((Tnet_s-t)/Tau_j)))*Salcycl</f>
        <v>0.15097713967722651</v>
      </c>
      <c r="AD59" s="233">
        <f>(INDEX(Models!$BJ59:$BT59,,AH59)*(1-AF59)+INDEX(Models!$BJ59:$BT59,,AH59+1)*AF59-ERP_i)*AE59*Ramure*Pc/MaxiM</f>
        <v>2.6006807909549415E-2</v>
      </c>
      <c r="AE59" s="307">
        <f t="shared" si="14"/>
        <v>0.9</v>
      </c>
      <c r="AF59" s="179">
        <f t="shared" si="22"/>
        <v>0.90423462679582767</v>
      </c>
      <c r="AG59" s="839">
        <f t="shared" si="23"/>
        <v>-1</v>
      </c>
      <c r="AH59" s="178">
        <f t="shared" si="15"/>
        <v>5</v>
      </c>
      <c r="AI59" s="227">
        <f t="shared" si="24"/>
        <v>-9.5765373204172291E-2</v>
      </c>
      <c r="AJ59" s="267" t="b">
        <f t="shared" si="16"/>
        <v>1</v>
      </c>
      <c r="AK59" s="267" t="b">
        <f t="shared" si="17"/>
        <v>0</v>
      </c>
      <c r="AL59" s="267"/>
      <c r="AM59" s="267"/>
      <c r="AN59" s="75"/>
    </row>
    <row r="60" spans="1:40" s="6" customFormat="1" ht="11.25" x14ac:dyDescent="0.2">
      <c r="A60" s="56">
        <f t="shared" si="18"/>
        <v>44607</v>
      </c>
      <c r="B60" s="1141">
        <v>18.019000000000002</v>
      </c>
      <c r="C60" s="868"/>
      <c r="D60" s="395">
        <f t="shared" si="0"/>
        <v>18.569870051080805</v>
      </c>
      <c r="E60" s="387">
        <f t="shared" si="1"/>
        <v>20.782329584766252</v>
      </c>
      <c r="F60" s="387">
        <f t="shared" si="2"/>
        <v>21.061172392371226</v>
      </c>
      <c r="G60" s="110">
        <f t="shared" si="19"/>
        <v>0.66638990114821961</v>
      </c>
      <c r="H60" s="416" t="b">
        <f>Wh_hp&gt;='2021'!Maxi_hp</f>
        <v>0</v>
      </c>
      <c r="I60" s="382">
        <f>IF(H60,Wh_hp,'2021'!Maxi_hp)</f>
        <v>31.923977618483878</v>
      </c>
      <c r="J60" s="85">
        <f>IF(H60,An,'2021'!An_max)</f>
        <v>2019</v>
      </c>
      <c r="K60" s="199">
        <f t="shared" si="3"/>
        <v>44607</v>
      </c>
      <c r="L60" s="147">
        <f>IF(t&lt;Tvie,1-EXP((T0-t)*PertePVj)+'2021'!Pspv,1-EXP((T0-t)*PertePVj)+Pspv)</f>
        <v>2.9664722992972181E-2</v>
      </c>
      <c r="M60" s="872"/>
      <c r="N60" s="872"/>
      <c r="O60" s="48">
        <f>IF(t&lt;Tnet,'2021'!Resal+('2021'!Salim-'2021'!Resal)*(1-EXP(('2021'!Tnet-t)/('2021'!Tau_j))),Resal+(Salim-Resal)*(1-EXP((Tnet-t)/(Tau_j))))*Salcycl</f>
        <v>0.10645868763948439</v>
      </c>
      <c r="P60" s="341">
        <f>(INDEX(Models!$BJ60:$BT60,,T60)*(1-R60)+INDEX(Models!$BJ60:$BT60,,T60+1)*R60-ERP_i)*Q60*Ramure*Pc/MaxiM</f>
        <v>2.4762657726053315E-2</v>
      </c>
      <c r="Q60" s="307">
        <f t="shared" si="4"/>
        <v>0.9</v>
      </c>
      <c r="R60" s="179">
        <f t="shared" si="5"/>
        <v>0.90444547476118919</v>
      </c>
      <c r="S60" s="839">
        <f t="shared" si="6"/>
        <v>-1</v>
      </c>
      <c r="T60" s="178">
        <f t="shared" si="7"/>
        <v>5</v>
      </c>
      <c r="U60" s="253">
        <f t="shared" si="20"/>
        <v>-9.555452523881075E-2</v>
      </c>
      <c r="V60" s="385">
        <f t="shared" si="8"/>
        <v>26.723966314145741</v>
      </c>
      <c r="W60" s="404">
        <f t="shared" si="9"/>
        <v>0</v>
      </c>
      <c r="X60" s="157">
        <f t="shared" si="10"/>
        <v>44607</v>
      </c>
      <c r="Y60" s="387">
        <f t="shared" si="11"/>
        <v>17.120130261979945</v>
      </c>
      <c r="Z60" s="387">
        <f t="shared" si="21"/>
        <v>17.643520407488957</v>
      </c>
      <c r="AA60" s="388">
        <f t="shared" si="12"/>
        <v>20.782329584766252</v>
      </c>
      <c r="AB60" s="199">
        <f t="shared" si="13"/>
        <v>44607</v>
      </c>
      <c r="AC60" s="119">
        <f>IF(OR(t&lt;Tnet,NoTnet),'2021'!Resal_s+('2021'!Salim-'2021'!Resal_s)*(1-EXP(('2021'!Tnet_s-t)/'2021'!Tau_j)),Resal_s+(Salim-Resal_s)*(1-EXP((Tnet_s-t)/Tau_j)))*Salcycl</f>
        <v>0.1510325954785208</v>
      </c>
      <c r="AD60" s="233">
        <f>(INDEX(Models!$BJ60:$BT60,,AH60)*(1-AF60)+INDEX(Models!$BJ60:$BT60,,AH60+1)*AF60-ERP_i)*AE60*Ramure*Pc/MaxiM</f>
        <v>2.4762657726053315E-2</v>
      </c>
      <c r="AE60" s="307">
        <f t="shared" si="14"/>
        <v>0.9</v>
      </c>
      <c r="AF60" s="179">
        <f t="shared" si="22"/>
        <v>0.90444547476118919</v>
      </c>
      <c r="AG60" s="839">
        <f t="shared" si="23"/>
        <v>-1</v>
      </c>
      <c r="AH60" s="178">
        <f t="shared" si="15"/>
        <v>5</v>
      </c>
      <c r="AI60" s="227">
        <f t="shared" si="24"/>
        <v>-9.555452523881075E-2</v>
      </c>
      <c r="AJ60" s="267" t="b">
        <f t="shared" si="16"/>
        <v>1</v>
      </c>
      <c r="AK60" s="267" t="b">
        <f t="shared" si="17"/>
        <v>0</v>
      </c>
      <c r="AL60" s="267"/>
      <c r="AM60" s="267"/>
      <c r="AN60" s="75"/>
    </row>
    <row r="61" spans="1:40" s="6" customFormat="1" ht="11.25" x14ac:dyDescent="0.2">
      <c r="A61" s="56">
        <f t="shared" si="18"/>
        <v>44608</v>
      </c>
      <c r="B61" s="1141">
        <v>9.1910000000000007</v>
      </c>
      <c r="C61" s="868"/>
      <c r="D61" s="395">
        <f t="shared" si="0"/>
        <v>9.4722042069055075</v>
      </c>
      <c r="E61" s="387">
        <f t="shared" si="1"/>
        <v>10.602837815651542</v>
      </c>
      <c r="F61" s="387">
        <f t="shared" si="2"/>
        <v>10.616922938699734</v>
      </c>
      <c r="G61" s="110">
        <f t="shared" si="19"/>
        <v>0.33186804952620602</v>
      </c>
      <c r="H61" s="416" t="b">
        <f>Wh_hp&gt;='2021'!Maxi_hp</f>
        <v>0</v>
      </c>
      <c r="I61" s="382">
        <f>IF(H61,Wh_hp,'2021'!Maxi_hp)</f>
        <v>32.585872870752389</v>
      </c>
      <c r="J61" s="85">
        <f>IF(H61,An,'2021'!An_max)</f>
        <v>2019</v>
      </c>
      <c r="K61" s="199">
        <f t="shared" si="3"/>
        <v>44608</v>
      </c>
      <c r="L61" s="147">
        <f>IF(t&lt;Tvie,1-EXP((T0-t)*PertePVj)+'2021'!Pspv,1-EXP((T0-t)*PertePVj)+Pspv)</f>
        <v>2.9687304112436697E-2</v>
      </c>
      <c r="M61" s="872"/>
      <c r="N61" s="872"/>
      <c r="O61" s="48">
        <f>IF(t&lt;Tnet,'2021'!Resal+('2021'!Salim-'2021'!Resal)*(1-EXP(('2021'!Tnet-t)/('2021'!Tau_j))),Resal+(Salim-Resal)*(1-EXP((Tnet-t)/(Tau_j))))*Salcycl</f>
        <v>0.1066349998372165</v>
      </c>
      <c r="P61" s="341">
        <f>(INDEX(Models!$BJ61:$BT61,,T61)*(1-R61)+INDEX(Models!$BJ61:$BT61,,T61+1)*R61-ERP_i)*Q61*Ramure*Pc/MaxiM</f>
        <v>2.3556284326300893E-2</v>
      </c>
      <c r="Q61" s="307">
        <f t="shared" si="4"/>
        <v>0.9</v>
      </c>
      <c r="R61" s="179">
        <f t="shared" si="5"/>
        <v>0.90466500962868479</v>
      </c>
      <c r="S61" s="839">
        <f t="shared" si="6"/>
        <v>-1</v>
      </c>
      <c r="T61" s="178">
        <f t="shared" si="7"/>
        <v>5</v>
      </c>
      <c r="U61" s="253">
        <f t="shared" si="20"/>
        <v>-9.5334990371315237E-2</v>
      </c>
      <c r="V61" s="385">
        <f t="shared" si="8"/>
        <v>27.078280620411917</v>
      </c>
      <c r="W61" s="404">
        <f t="shared" si="9"/>
        <v>0</v>
      </c>
      <c r="X61" s="157">
        <f t="shared" si="10"/>
        <v>44608</v>
      </c>
      <c r="Y61" s="387">
        <f t="shared" si="11"/>
        <v>8.7336651503376839</v>
      </c>
      <c r="Z61" s="387">
        <f t="shared" si="21"/>
        <v>9.0008769207629875</v>
      </c>
      <c r="AA61" s="388">
        <f t="shared" si="12"/>
        <v>10.602837815651542</v>
      </c>
      <c r="AB61" s="199">
        <f t="shared" si="13"/>
        <v>44608</v>
      </c>
      <c r="AC61" s="119">
        <f>IF(OR(t&lt;Tnet,NoTnet),'2021'!Resal_s+('2021'!Salim-'2021'!Resal_s)*(1-EXP(('2021'!Tnet_s-t)/'2021'!Tau_j)),Resal_s+(Salim-Resal_s)*(1-EXP((Tnet_s-t)/Tau_j)))*Salcycl</f>
        <v>0.15108793728069625</v>
      </c>
      <c r="AD61" s="233">
        <f>(INDEX(Models!$BJ61:$BT61,,AH61)*(1-AF61)+INDEX(Models!$BJ61:$BT61,,AH61+1)*AF61-ERP_i)*AE61*Ramure*Pc/MaxiM</f>
        <v>2.3556284326300893E-2</v>
      </c>
      <c r="AE61" s="307">
        <f t="shared" si="14"/>
        <v>0.9</v>
      </c>
      <c r="AF61" s="179">
        <f t="shared" si="22"/>
        <v>0.90466500962868479</v>
      </c>
      <c r="AG61" s="839">
        <f t="shared" si="23"/>
        <v>-1</v>
      </c>
      <c r="AH61" s="178">
        <f t="shared" si="15"/>
        <v>5</v>
      </c>
      <c r="AI61" s="227">
        <f t="shared" si="24"/>
        <v>-9.5334990371315237E-2</v>
      </c>
      <c r="AJ61" s="267" t="b">
        <f t="shared" si="16"/>
        <v>1</v>
      </c>
      <c r="AK61" s="267" t="b">
        <f t="shared" si="17"/>
        <v>0</v>
      </c>
      <c r="AL61" s="267"/>
      <c r="AM61" s="267"/>
      <c r="AN61" s="75"/>
    </row>
    <row r="62" spans="1:40" s="6" customFormat="1" ht="11.25" x14ac:dyDescent="0.2">
      <c r="A62" s="56">
        <f t="shared" si="18"/>
        <v>44609</v>
      </c>
      <c r="B62" s="1141">
        <v>10.678000000000001</v>
      </c>
      <c r="C62" s="868"/>
      <c r="D62" s="395">
        <f t="shared" si="0"/>
        <v>11.004955973161705</v>
      </c>
      <c r="E62" s="387">
        <f t="shared" si="1"/>
        <v>12.32096913417228</v>
      </c>
      <c r="F62" s="387">
        <f t="shared" si="2"/>
        <v>12.356216910349968</v>
      </c>
      <c r="G62" s="110">
        <f t="shared" si="19"/>
        <v>0.38157336728940044</v>
      </c>
      <c r="H62" s="416" t="b">
        <f>Wh_hp&gt;='2021'!Maxi_hp</f>
        <v>0</v>
      </c>
      <c r="I62" s="382">
        <f>IF(H62,Wh_hp,'2021'!Maxi_hp)</f>
        <v>33.205489118694373</v>
      </c>
      <c r="J62" s="85">
        <f>IF(H62,An,'2021'!An_max)</f>
        <v>2019</v>
      </c>
      <c r="K62" s="199">
        <f t="shared" si="3"/>
        <v>44609</v>
      </c>
      <c r="L62" s="147">
        <f>IF(t&lt;Tvie,1-EXP((T0-t)*PertePVj)+'2021'!Pspv,1-EXP((T0-t)*PertePVj)+Pspv)</f>
        <v>2.9709884706405676E-2</v>
      </c>
      <c r="M62" s="872"/>
      <c r="N62" s="872"/>
      <c r="O62" s="48">
        <f>IF(t&lt;Tnet,'2021'!Resal+('2021'!Salim-'2021'!Resal)*(1-EXP(('2021'!Tnet-t)/('2021'!Tau_j))),Resal+(Salim-Resal)*(1-EXP((Tnet-t)/(Tau_j))))*Salcycl</f>
        <v>0.10681084796816871</v>
      </c>
      <c r="P62" s="341">
        <f>(INDEX(Models!$BJ62:$BT62,,T62)*(1-R62)+INDEX(Models!$BJ62:$BT62,,T62+1)*R62-ERP_i)*Q62*Ramure*Pc/MaxiM</f>
        <v>2.2386716589420295E-2</v>
      </c>
      <c r="Q62" s="307">
        <f t="shared" si="4"/>
        <v>0.9</v>
      </c>
      <c r="R62" s="179">
        <f t="shared" si="5"/>
        <v>0.90489358243580942</v>
      </c>
      <c r="S62" s="839">
        <f t="shared" si="6"/>
        <v>-1</v>
      </c>
      <c r="T62" s="178">
        <f t="shared" si="7"/>
        <v>5</v>
      </c>
      <c r="U62" s="253">
        <f t="shared" si="20"/>
        <v>-9.510641756419054E-2</v>
      </c>
      <c r="V62" s="385">
        <f t="shared" si="8"/>
        <v>27.435925184536607</v>
      </c>
      <c r="W62" s="404">
        <f t="shared" si="9"/>
        <v>0</v>
      </c>
      <c r="X62" s="157">
        <f t="shared" si="10"/>
        <v>44609</v>
      </c>
      <c r="Y62" s="387">
        <f t="shared" si="11"/>
        <v>10.148011176156988</v>
      </c>
      <c r="Z62" s="387">
        <f t="shared" si="21"/>
        <v>10.458739109267707</v>
      </c>
      <c r="AA62" s="388">
        <f t="shared" si="12"/>
        <v>12.32096913417228</v>
      </c>
      <c r="AB62" s="199">
        <f t="shared" si="13"/>
        <v>44609</v>
      </c>
      <c r="AC62" s="119">
        <f>IF(OR(t&lt;Tnet,NoTnet),'2021'!Resal_s+('2021'!Salim-'2021'!Resal_s)*(1-EXP(('2021'!Tnet_s-t)/'2021'!Tau_j)),Resal_s+(Salim-Resal_s)*(1-EXP((Tnet_s-t)/Tau_j)))*Salcycl</f>
        <v>0.15114314504202969</v>
      </c>
      <c r="AD62" s="233">
        <f>(INDEX(Models!$BJ62:$BT62,,AH62)*(1-AF62)+INDEX(Models!$BJ62:$BT62,,AH62+1)*AF62-ERP_i)*AE62*Ramure*Pc/MaxiM</f>
        <v>2.2386716589420295E-2</v>
      </c>
      <c r="AE62" s="307">
        <f t="shared" si="14"/>
        <v>0.9</v>
      </c>
      <c r="AF62" s="179">
        <f t="shared" si="22"/>
        <v>0.90489358243580942</v>
      </c>
      <c r="AG62" s="839">
        <f t="shared" si="23"/>
        <v>-1</v>
      </c>
      <c r="AH62" s="178">
        <f t="shared" si="15"/>
        <v>5</v>
      </c>
      <c r="AI62" s="227">
        <f t="shared" si="24"/>
        <v>-9.510641756419054E-2</v>
      </c>
      <c r="AJ62" s="267" t="b">
        <f t="shared" si="16"/>
        <v>1</v>
      </c>
      <c r="AK62" s="267" t="b">
        <f t="shared" si="17"/>
        <v>0</v>
      </c>
      <c r="AL62" s="267"/>
      <c r="AM62" s="267"/>
      <c r="AN62" s="75"/>
    </row>
    <row r="63" spans="1:40" s="6" customFormat="1" ht="11.25" x14ac:dyDescent="0.2">
      <c r="A63" s="56">
        <f t="shared" si="18"/>
        <v>44610</v>
      </c>
      <c r="B63" s="1141">
        <v>25.205000000000002</v>
      </c>
      <c r="C63" s="868"/>
      <c r="D63" s="395">
        <f t="shared" si="0"/>
        <v>25.977371276420445</v>
      </c>
      <c r="E63" s="387">
        <f t="shared" si="1"/>
        <v>29.089552545197755</v>
      </c>
      <c r="F63" s="387">
        <f t="shared" si="2"/>
        <v>29.635494246188614</v>
      </c>
      <c r="G63" s="110">
        <f t="shared" si="19"/>
        <v>0.90413733988569356</v>
      </c>
      <c r="H63" s="416" t="b">
        <f>Wh_hp&gt;='2021'!Maxi_hp</f>
        <v>0</v>
      </c>
      <c r="I63" s="382">
        <f>IF(H63,Wh_hp,'2021'!Maxi_hp)</f>
        <v>33.121421529464264</v>
      </c>
      <c r="J63" s="85">
        <f>IF(H63,An,'2021'!An_max)</f>
        <v>2019</v>
      </c>
      <c r="K63" s="199">
        <f t="shared" si="3"/>
        <v>44610</v>
      </c>
      <c r="L63" s="147">
        <f>IF(t&lt;Tvie,1-EXP((T0-t)*PertePVj)+'2021'!Pspv,1-EXP((T0-t)*PertePVj)+Pspv)</f>
        <v>2.9732464774891221E-2</v>
      </c>
      <c r="M63" s="872"/>
      <c r="N63" s="872"/>
      <c r="O63" s="48">
        <f>IF(t&lt;Tnet,'2021'!Resal+('2021'!Salim-'2021'!Resal)*(1-EXP(('2021'!Tnet-t)/('2021'!Tau_j))),Resal+(Salim-Resal)*(1-EXP((Tnet-t)/(Tau_j))))*Salcycl</f>
        <v>0.10698622001633656</v>
      </c>
      <c r="P63" s="341">
        <f>(INDEX(Models!$BJ63:$BT63,,T63)*(1-R63)+INDEX(Models!$BJ63:$BT63,,T63+1)*R63-ERP_i)*Q63*Ramure*Pc/MaxiM</f>
        <v>2.1253010339516008E-2</v>
      </c>
      <c r="Q63" s="307">
        <f t="shared" si="4"/>
        <v>0.9</v>
      </c>
      <c r="R63" s="179">
        <f t="shared" si="5"/>
        <v>0.90513155782391874</v>
      </c>
      <c r="S63" s="839">
        <f t="shared" si="6"/>
        <v>-1</v>
      </c>
      <c r="T63" s="178">
        <f t="shared" si="7"/>
        <v>5</v>
      </c>
      <c r="U63" s="253">
        <f t="shared" si="20"/>
        <v>-9.4868442176081202E-2</v>
      </c>
      <c r="V63" s="385">
        <f t="shared" si="8"/>
        <v>27.796996293678355</v>
      </c>
      <c r="W63" s="404">
        <f t="shared" si="9"/>
        <v>0</v>
      </c>
      <c r="X63" s="157">
        <f t="shared" si="10"/>
        <v>44610</v>
      </c>
      <c r="Y63" s="387">
        <f t="shared" si="11"/>
        <v>23.957132398074357</v>
      </c>
      <c r="Z63" s="387">
        <f t="shared" si="21"/>
        <v>24.691264551602394</v>
      </c>
      <c r="AA63" s="388">
        <f t="shared" si="12"/>
        <v>29.089552545197755</v>
      </c>
      <c r="AB63" s="199">
        <f t="shared" si="13"/>
        <v>44610</v>
      </c>
      <c r="AC63" s="119">
        <f>IF(OR(t&lt;Tnet,NoTnet),'2021'!Resal_s+('2021'!Salim-'2021'!Resal_s)*(1-EXP(('2021'!Tnet_s-t)/'2021'!Tau_j)),Resal_s+(Salim-Resal_s)*(1-EXP((Tnet_s-t)/Tau_j)))*Salcycl</f>
        <v>0.15119820034225484</v>
      </c>
      <c r="AD63" s="233">
        <f>(INDEX(Models!$BJ63:$BT63,,AH63)*(1-AF63)+INDEX(Models!$BJ63:$BT63,,AH63+1)*AF63-ERP_i)*AE63*Ramure*Pc/MaxiM</f>
        <v>2.1253010339516008E-2</v>
      </c>
      <c r="AE63" s="307">
        <f t="shared" si="14"/>
        <v>0.9</v>
      </c>
      <c r="AF63" s="179">
        <f t="shared" si="22"/>
        <v>0.90513155782391874</v>
      </c>
      <c r="AG63" s="839">
        <f t="shared" si="23"/>
        <v>-1</v>
      </c>
      <c r="AH63" s="178">
        <f t="shared" si="15"/>
        <v>5</v>
      </c>
      <c r="AI63" s="227">
        <f t="shared" si="24"/>
        <v>-9.4868442176081202E-2</v>
      </c>
      <c r="AJ63" s="267" t="b">
        <f t="shared" si="16"/>
        <v>1</v>
      </c>
      <c r="AK63" s="267" t="b">
        <f t="shared" si="17"/>
        <v>0</v>
      </c>
      <c r="AL63" s="267"/>
      <c r="AM63" s="267"/>
      <c r="AN63" s="75"/>
    </row>
    <row r="64" spans="1:40" s="6" customFormat="1" ht="11.25" x14ac:dyDescent="0.2">
      <c r="A64" s="56">
        <f t="shared" si="18"/>
        <v>44611</v>
      </c>
      <c r="B64" s="1141">
        <v>15.212</v>
      </c>
      <c r="C64" s="868"/>
      <c r="D64" s="395">
        <f t="shared" si="0"/>
        <v>15.678514905862892</v>
      </c>
      <c r="E64" s="387">
        <f t="shared" si="1"/>
        <v>17.560295590178775</v>
      </c>
      <c r="F64" s="387">
        <f t="shared" si="2"/>
        <v>17.682568336274528</v>
      </c>
      <c r="G64" s="110">
        <f t="shared" si="19"/>
        <v>0.53296707224892514</v>
      </c>
      <c r="H64" s="416" t="b">
        <f>Wh_hp&gt;='2021'!Maxi_hp</f>
        <v>0</v>
      </c>
      <c r="I64" s="382">
        <f>IF(H64,Wh_hp,'2021'!Maxi_hp)</f>
        <v>32.195162026357977</v>
      </c>
      <c r="J64" s="85">
        <f>IF(H64,An,'2021'!An_max)</f>
        <v>2021</v>
      </c>
      <c r="K64" s="199">
        <f t="shared" si="3"/>
        <v>44611</v>
      </c>
      <c r="L64" s="147">
        <f>IF(t&lt;Tvie,1-EXP((T0-t)*PertePVj)+'2021'!Pspv,1-EXP((T0-t)*PertePVj)+Pspv)</f>
        <v>2.9755044317905543E-2</v>
      </c>
      <c r="M64" s="872"/>
      <c r="N64" s="872"/>
      <c r="O64" s="48">
        <f>IF(t&lt;Tnet,'2021'!Resal+('2021'!Salim-'2021'!Resal)*(1-EXP(('2021'!Tnet-t)/('2021'!Tau_j))),Resal+(Salim-Resal)*(1-EXP((Tnet-t)/(Tau_j))))*Salcycl</f>
        <v>0.10716110527025169</v>
      </c>
      <c r="P64" s="341">
        <f>(INDEX(Models!$BJ64:$BT64,,T64)*(1-R64)+INDEX(Models!$BJ64:$BT64,,T64+1)*R64-ERP_i)*Q64*Ramure*Pc/MaxiM</f>
        <v>2.0154246776623835E-2</v>
      </c>
      <c r="Q64" s="307">
        <f t="shared" si="4"/>
        <v>0.9</v>
      </c>
      <c r="R64" s="179">
        <f t="shared" si="5"/>
        <v>0.90537931451592535</v>
      </c>
      <c r="S64" s="839">
        <f t="shared" si="6"/>
        <v>-1</v>
      </c>
      <c r="T64" s="178">
        <f t="shared" si="7"/>
        <v>5</v>
      </c>
      <c r="U64" s="253">
        <f t="shared" si="20"/>
        <v>-9.4620685484074624E-2</v>
      </c>
      <c r="V64" s="385">
        <f t="shared" si="8"/>
        <v>28.161590313292539</v>
      </c>
      <c r="W64" s="404">
        <f t="shared" si="9"/>
        <v>0</v>
      </c>
      <c r="X64" s="157">
        <f t="shared" si="10"/>
        <v>44611</v>
      </c>
      <c r="Y64" s="387">
        <f t="shared" si="11"/>
        <v>14.460770158315423</v>
      </c>
      <c r="Z64" s="387">
        <f t="shared" si="21"/>
        <v>14.904246678767135</v>
      </c>
      <c r="AA64" s="388">
        <f t="shared" si="12"/>
        <v>17.560295590178775</v>
      </c>
      <c r="AB64" s="199">
        <f t="shared" si="13"/>
        <v>44611</v>
      </c>
      <c r="AC64" s="119">
        <f>IF(OR(t&lt;Tnet,NoTnet),'2021'!Resal_s+('2021'!Salim-'2021'!Resal_s)*(1-EXP(('2021'!Tnet_s-t)/'2021'!Tau_j)),Resal_s+(Salim-Resal_s)*(1-EXP((Tnet_s-t)/Tau_j)))*Salcycl</f>
        <v>0.15125308670186227</v>
      </c>
      <c r="AD64" s="233">
        <f>(INDEX(Models!$BJ64:$BT64,,AH64)*(1-AF64)+INDEX(Models!$BJ64:$BT64,,AH64+1)*AF64-ERP_i)*AE64*Ramure*Pc/MaxiM</f>
        <v>2.0154246776623835E-2</v>
      </c>
      <c r="AE64" s="307">
        <f t="shared" si="14"/>
        <v>0.9</v>
      </c>
      <c r="AF64" s="179">
        <f t="shared" si="22"/>
        <v>0.90537931451592535</v>
      </c>
      <c r="AG64" s="839">
        <f t="shared" si="23"/>
        <v>-1</v>
      </c>
      <c r="AH64" s="178">
        <f t="shared" si="15"/>
        <v>5</v>
      </c>
      <c r="AI64" s="227">
        <f t="shared" si="24"/>
        <v>-9.4620685484074624E-2</v>
      </c>
      <c r="AJ64" s="267" t="b">
        <f t="shared" si="16"/>
        <v>1</v>
      </c>
      <c r="AK64" s="267" t="b">
        <f t="shared" si="17"/>
        <v>0</v>
      </c>
      <c r="AL64" s="267"/>
      <c r="AM64" s="267"/>
      <c r="AN64" s="75"/>
    </row>
    <row r="65" spans="1:40" s="6" customFormat="1" ht="11.25" x14ac:dyDescent="0.2">
      <c r="A65" s="56">
        <f t="shared" si="18"/>
        <v>44612</v>
      </c>
      <c r="B65" s="1141">
        <v>18.201000000000001</v>
      </c>
      <c r="C65" s="868"/>
      <c r="D65" s="395">
        <f t="shared" si="0"/>
        <v>18.759616803079691</v>
      </c>
      <c r="E65" s="387">
        <f t="shared" si="1"/>
        <v>21.015304953388494</v>
      </c>
      <c r="F65" s="387">
        <f t="shared" si="2"/>
        <v>21.210783371360513</v>
      </c>
      <c r="G65" s="110">
        <f t="shared" si="19"/>
        <v>0.63159389041000658</v>
      </c>
      <c r="H65" s="416" t="b">
        <f>Wh_hp&gt;='2021'!Maxi_hp</f>
        <v>0</v>
      </c>
      <c r="I65" s="382">
        <f>IF(H65,Wh_hp,'2021'!Maxi_hp)</f>
        <v>33.58083461156118</v>
      </c>
      <c r="J65" s="85">
        <f>IF(H65,An,'2021'!An_max)</f>
        <v>2020</v>
      </c>
      <c r="K65" s="199">
        <f t="shared" si="3"/>
        <v>44612</v>
      </c>
      <c r="L65" s="147">
        <f>IF(t&lt;Tvie,1-EXP((T0-t)*PertePVj)+'2021'!Pspv,1-EXP((T0-t)*PertePVj)+Pspv)</f>
        <v>2.9777623335460857E-2</v>
      </c>
      <c r="M65" s="872"/>
      <c r="N65" s="872"/>
      <c r="O65" s="48">
        <f>IF(t&lt;Tnet,'2021'!Resal+('2021'!Salim-'2021'!Resal)*(1-EXP(('2021'!Tnet-t)/('2021'!Tau_j))),Resal+(Salim-Resal)*(1-EXP((Tnet-t)/(Tau_j))))*Salcycl</f>
        <v>0.10733549455084625</v>
      </c>
      <c r="P65" s="341">
        <f>(INDEX(Models!$BJ65:$BT65,,T65)*(1-R65)+INDEX(Models!$BJ65:$BT65,,T65+1)*R65-ERP_i)*Q65*Ramure*Pc/MaxiM</f>
        <v>1.9089138604950991E-2</v>
      </c>
      <c r="Q65" s="307">
        <f t="shared" si="4"/>
        <v>0.9</v>
      </c>
      <c r="R65" s="179">
        <f t="shared" si="5"/>
        <v>0.90563724580647431</v>
      </c>
      <c r="S65" s="839">
        <f t="shared" si="6"/>
        <v>-1</v>
      </c>
      <c r="T65" s="178">
        <f t="shared" si="7"/>
        <v>5</v>
      </c>
      <c r="U65" s="253">
        <f t="shared" si="20"/>
        <v>-9.4362754193525702E-2</v>
      </c>
      <c r="V65" s="385">
        <f t="shared" si="8"/>
        <v>28.530401592102091</v>
      </c>
      <c r="W65" s="404">
        <f t="shared" si="9"/>
        <v>0</v>
      </c>
      <c r="X65" s="157">
        <f t="shared" si="10"/>
        <v>44612</v>
      </c>
      <c r="Y65" s="387">
        <f t="shared" si="11"/>
        <v>17.304426043506414</v>
      </c>
      <c r="Z65" s="387">
        <f t="shared" si="21"/>
        <v>17.835525607022291</v>
      </c>
      <c r="AA65" s="388">
        <f t="shared" si="12"/>
        <v>21.015304953388494</v>
      </c>
      <c r="AB65" s="199">
        <f t="shared" si="13"/>
        <v>44612</v>
      </c>
      <c r="AC65" s="119">
        <f>IF(OR(t&lt;Tnet,NoTnet),'2021'!Resal_s+('2021'!Salim-'2021'!Resal_s)*(1-EXP(('2021'!Tnet_s-t)/'2021'!Tau_j)),Resal_s+(Salim-Resal_s)*(1-EXP((Tnet_s-t)/Tau_j)))*Salcycl</f>
        <v>0.1513077898902199</v>
      </c>
      <c r="AD65" s="233">
        <f>(INDEX(Models!$BJ65:$BT65,,AH65)*(1-AF65)+INDEX(Models!$BJ65:$BT65,,AH65+1)*AF65-ERP_i)*AE65*Ramure*Pc/MaxiM</f>
        <v>1.9089138604950991E-2</v>
      </c>
      <c r="AE65" s="307">
        <f t="shared" si="14"/>
        <v>0.9</v>
      </c>
      <c r="AF65" s="179">
        <f t="shared" si="22"/>
        <v>0.90563724580647431</v>
      </c>
      <c r="AG65" s="839">
        <f t="shared" si="23"/>
        <v>-1</v>
      </c>
      <c r="AH65" s="178">
        <f t="shared" si="15"/>
        <v>5</v>
      </c>
      <c r="AI65" s="227">
        <f t="shared" si="24"/>
        <v>-9.4362754193525702E-2</v>
      </c>
      <c r="AJ65" s="267" t="b">
        <f t="shared" si="16"/>
        <v>1</v>
      </c>
      <c r="AK65" s="267" t="b">
        <f t="shared" si="17"/>
        <v>0</v>
      </c>
      <c r="AL65" s="267"/>
      <c r="AM65" s="267"/>
      <c r="AN65" s="75"/>
    </row>
    <row r="66" spans="1:40" s="6" customFormat="1" ht="11.25" x14ac:dyDescent="0.2">
      <c r="A66" s="56">
        <f t="shared" si="18"/>
        <v>44613</v>
      </c>
      <c r="B66" s="1141">
        <v>18.683</v>
      </c>
      <c r="C66" s="868"/>
      <c r="D66" s="395">
        <f t="shared" si="0"/>
        <v>19.256858262796225</v>
      </c>
      <c r="E66" s="387">
        <f t="shared" si="1"/>
        <v>21.576538554648582</v>
      </c>
      <c r="F66" s="387">
        <f t="shared" si="2"/>
        <v>21.771267074046463</v>
      </c>
      <c r="G66" s="110">
        <f t="shared" si="19"/>
        <v>0.64044227298514822</v>
      </c>
      <c r="H66" s="416" t="b">
        <f>Wh_hp&gt;='2021'!Maxi_hp</f>
        <v>0</v>
      </c>
      <c r="I66" s="382">
        <f>IF(H66,Wh_hp,'2021'!Maxi_hp)</f>
        <v>33.349979242504801</v>
      </c>
      <c r="J66" s="85">
        <f>IF(H66,An,'2021'!An_max)</f>
        <v>2019</v>
      </c>
      <c r="K66" s="199">
        <f t="shared" si="3"/>
        <v>44613</v>
      </c>
      <c r="L66" s="147">
        <f>IF(t&lt;Tvie,1-EXP((T0-t)*PertePVj)+'2021'!Pspv,1-EXP((T0-t)*PertePVj)+Pspv)</f>
        <v>2.9800201827569484E-2</v>
      </c>
      <c r="M66" s="872"/>
      <c r="N66" s="872"/>
      <c r="O66" s="48">
        <f>IF(t&lt;Tnet,'2021'!Resal+('2021'!Salim-'2021'!Resal)*(1-EXP(('2021'!Tnet-t)/('2021'!Tau_j))),Resal+(Salim-Resal)*(1-EXP((Tnet-t)/(Tau_j))))*Salcycl</f>
        <v>0.10750938043083795</v>
      </c>
      <c r="P66" s="341">
        <f>(INDEX(Models!$BJ66:$BT66,,T66)*(1-R66)+INDEX(Models!$BJ66:$BT66,,T66+1)*R66-ERP_i)*Q66*Ramure*Pc/MaxiM</f>
        <v>1.8074626010659865E-2</v>
      </c>
      <c r="Q66" s="307">
        <f t="shared" si="4"/>
        <v>0.9</v>
      </c>
      <c r="R66" s="179">
        <f t="shared" si="5"/>
        <v>0.90590576006452606</v>
      </c>
      <c r="S66" s="839">
        <f t="shared" si="6"/>
        <v>-1</v>
      </c>
      <c r="T66" s="178">
        <f t="shared" si="7"/>
        <v>5</v>
      </c>
      <c r="U66" s="253">
        <f t="shared" si="20"/>
        <v>-9.4094239935473917E-2</v>
      </c>
      <c r="V66" s="385">
        <f t="shared" si="8"/>
        <v>28.903273881001692</v>
      </c>
      <c r="W66" s="404">
        <f t="shared" si="9"/>
        <v>0</v>
      </c>
      <c r="X66" s="157">
        <f t="shared" si="10"/>
        <v>44613</v>
      </c>
      <c r="Y66" s="387">
        <f t="shared" si="11"/>
        <v>17.765002605873637</v>
      </c>
      <c r="Z66" s="387">
        <f t="shared" si="21"/>
        <v>18.310664091394006</v>
      </c>
      <c r="AA66" s="388">
        <f t="shared" si="12"/>
        <v>21.576538554648582</v>
      </c>
      <c r="AB66" s="199">
        <f t="shared" si="13"/>
        <v>44613</v>
      </c>
      <c r="AC66" s="119">
        <f>IF(OR(t&lt;Tnet,NoTnet),'2021'!Resal_s+('2021'!Salim-'2021'!Resal_s)*(1-EXP(('2021'!Tnet_s-t)/'2021'!Tau_j)),Resal_s+(Salim-Resal_s)*(1-EXP((Tnet_s-t)/Tau_j)))*Salcycl</f>
        <v>0.15136229821956113</v>
      </c>
      <c r="AD66" s="233">
        <f>(INDEX(Models!$BJ66:$BT66,,AH66)*(1-AF66)+INDEX(Models!$BJ66:$BT66,,AH66+1)*AF66-ERP_i)*AE66*Ramure*Pc/MaxiM</f>
        <v>1.8074626010659865E-2</v>
      </c>
      <c r="AE66" s="307">
        <f t="shared" si="14"/>
        <v>0.9</v>
      </c>
      <c r="AF66" s="179">
        <f t="shared" si="22"/>
        <v>0.90590576006452606</v>
      </c>
      <c r="AG66" s="839">
        <f t="shared" si="23"/>
        <v>-1</v>
      </c>
      <c r="AH66" s="178">
        <f t="shared" si="15"/>
        <v>5</v>
      </c>
      <c r="AI66" s="227">
        <f t="shared" si="24"/>
        <v>-9.4094239935473917E-2</v>
      </c>
      <c r="AJ66" s="267" t="b">
        <f t="shared" si="16"/>
        <v>1</v>
      </c>
      <c r="AK66" s="267" t="b">
        <f t="shared" si="17"/>
        <v>0</v>
      </c>
      <c r="AL66" s="267"/>
      <c r="AM66" s="267"/>
      <c r="AN66" s="75"/>
    </row>
    <row r="67" spans="1:40" s="6" customFormat="1" ht="11.25" x14ac:dyDescent="0.2">
      <c r="A67" s="56">
        <f t="shared" si="18"/>
        <v>44614</v>
      </c>
      <c r="B67" s="1141">
        <v>27.613</v>
      </c>
      <c r="C67" s="868"/>
      <c r="D67" s="395">
        <f t="shared" si="0"/>
        <v>28.461810301156937</v>
      </c>
      <c r="E67" s="387">
        <f t="shared" si="1"/>
        <v>31.896514987893788</v>
      </c>
      <c r="F67" s="387">
        <f t="shared" si="2"/>
        <v>32.405860935916635</v>
      </c>
      <c r="G67" s="110">
        <f t="shared" si="19"/>
        <v>0.94173916958346993</v>
      </c>
      <c r="H67" s="416" t="b">
        <f>Wh_hp&gt;='2021'!Maxi_hp</f>
        <v>0</v>
      </c>
      <c r="I67" s="382">
        <f>IF(H67,Wh_hp,'2021'!Maxi_hp)</f>
        <v>33.437622553718462</v>
      </c>
      <c r="J67" s="85">
        <f>IF(H67,An,'2021'!An_max)</f>
        <v>2020</v>
      </c>
      <c r="K67" s="199">
        <f t="shared" si="3"/>
        <v>44614</v>
      </c>
      <c r="L67" s="147">
        <f>IF(t&lt;Tvie,1-EXP((T0-t)*PertePVj)+'2021'!Pspv,1-EXP((T0-t)*PertePVj)+Pspv)</f>
        <v>2.9822779794243637E-2</v>
      </c>
      <c r="M67" s="872"/>
      <c r="N67" s="872"/>
      <c r="O67" s="48">
        <f>IF(t&lt;Tnet,'2021'!Resal+('2021'!Salim-'2021'!Resal)*(1-EXP(('2021'!Tnet-t)/('2021'!Tau_j))),Resal+(Salim-Resal)*(1-EXP((Tnet-t)/(Tau_j))))*Salcycl</f>
        <v>0.10768275744357904</v>
      </c>
      <c r="P67" s="341">
        <f>(INDEX(Models!$BJ67:$BT67,,T67)*(1-R67)+INDEX(Models!$BJ67:$BT67,,T67+1)*R67-ERP_i)*Q67*Ramure*Pc/MaxiM</f>
        <v>1.7109113874891373E-2</v>
      </c>
      <c r="Q67" s="307">
        <f t="shared" si="4"/>
        <v>0.9</v>
      </c>
      <c r="R67" s="179">
        <f t="shared" si="5"/>
        <v>0.90618528124822539</v>
      </c>
      <c r="S67" s="839">
        <f t="shared" si="6"/>
        <v>-1</v>
      </c>
      <c r="T67" s="178">
        <f t="shared" si="7"/>
        <v>5</v>
      </c>
      <c r="U67" s="253">
        <f t="shared" si="20"/>
        <v>-9.381471875177462E-2</v>
      </c>
      <c r="V67" s="385">
        <f t="shared" si="8"/>
        <v>29.279833041770864</v>
      </c>
      <c r="W67" s="404">
        <f t="shared" si="9"/>
        <v>0</v>
      </c>
      <c r="X67" s="157">
        <f t="shared" si="10"/>
        <v>44614</v>
      </c>
      <c r="Y67" s="387">
        <f t="shared" si="11"/>
        <v>26.259644248431893</v>
      </c>
      <c r="Z67" s="387">
        <f t="shared" si="21"/>
        <v>27.066853046562684</v>
      </c>
      <c r="AA67" s="388">
        <f t="shared" si="12"/>
        <v>31.896514987893788</v>
      </c>
      <c r="AB67" s="199">
        <f t="shared" si="13"/>
        <v>44614</v>
      </c>
      <c r="AC67" s="119">
        <f>IF(OR(t&lt;Tnet,NoTnet),'2021'!Resal_s+('2021'!Salim-'2021'!Resal_s)*(1-EXP(('2021'!Tnet_s-t)/'2021'!Tau_j)),Resal_s+(Salim-Resal_s)*(1-EXP((Tnet_s-t)/Tau_j)))*Salcycl</f>
        <v>0.15141660282210095</v>
      </c>
      <c r="AD67" s="233">
        <f>(INDEX(Models!$BJ67:$BT67,,AH67)*(1-AF67)+INDEX(Models!$BJ67:$BT67,,AH67+1)*AF67-ERP_i)*AE67*Ramure*Pc/MaxiM</f>
        <v>1.7109113874891373E-2</v>
      </c>
      <c r="AE67" s="307">
        <f t="shared" si="14"/>
        <v>0.9</v>
      </c>
      <c r="AF67" s="179">
        <f t="shared" si="22"/>
        <v>0.90618528124822539</v>
      </c>
      <c r="AG67" s="839">
        <f t="shared" si="23"/>
        <v>-1</v>
      </c>
      <c r="AH67" s="178">
        <f t="shared" si="15"/>
        <v>5</v>
      </c>
      <c r="AI67" s="227">
        <f t="shared" si="24"/>
        <v>-9.381471875177462E-2</v>
      </c>
      <c r="AJ67" s="267" t="b">
        <f t="shared" si="16"/>
        <v>1</v>
      </c>
      <c r="AK67" s="267" t="b">
        <f t="shared" si="17"/>
        <v>0</v>
      </c>
      <c r="AL67" s="267"/>
      <c r="AM67" s="267"/>
      <c r="AN67" s="75"/>
    </row>
    <row r="68" spans="1:40" s="6" customFormat="1" ht="11.25" x14ac:dyDescent="0.2">
      <c r="A68" s="56">
        <f t="shared" si="18"/>
        <v>44615</v>
      </c>
      <c r="B68" s="1141">
        <v>29.231999999999999</v>
      </c>
      <c r="C68" s="868"/>
      <c r="D68" s="395">
        <f t="shared" si="0"/>
        <v>30.131278779125299</v>
      </c>
      <c r="E68" s="387">
        <f t="shared" si="1"/>
        <v>33.773993909048485</v>
      </c>
      <c r="F68" s="387">
        <f t="shared" si="2"/>
        <v>34.318205709303783</v>
      </c>
      <c r="G68" s="110">
        <f t="shared" si="19"/>
        <v>0.9852459294993835</v>
      </c>
      <c r="H68" s="416" t="b">
        <f>Wh_hp&gt;='2021'!Maxi_hp</f>
        <v>1</v>
      </c>
      <c r="I68" s="382">
        <f>IF(H68,Wh_hp,'2021'!Maxi_hp)</f>
        <v>34.318205709303783</v>
      </c>
      <c r="J68" s="85">
        <f>IF(H68,An,'2021'!An_max)</f>
        <v>2022</v>
      </c>
      <c r="K68" s="199">
        <f t="shared" si="3"/>
        <v>44615</v>
      </c>
      <c r="L68" s="147">
        <f>IF(t&lt;Tvie,1-EXP((T0-t)*PertePVj)+'2021'!Pspv,1-EXP((T0-t)*PertePVj)+Pspv)</f>
        <v>2.9845357235495529E-2</v>
      </c>
      <c r="M68" s="872"/>
      <c r="N68" s="872"/>
      <c r="O68" s="48">
        <f>IF(t&lt;Tnet,'2021'!Resal+('2021'!Salim-'2021'!Resal)*(1-EXP(('2021'!Tnet-t)/('2021'!Tau_j))),Resal+(Salim-Resal)*(1-EXP((Tnet-t)/(Tau_j))))*Salcycl</f>
        <v>0.10785562227946199</v>
      </c>
      <c r="P68" s="341">
        <f>(INDEX(Models!$BJ68:$BT68,,T68)*(1-R68)+INDEX(Models!$BJ68:$BT68,,T68+1)*R68-ERP_i)*Q68*Ramure*Pc/MaxiM</f>
        <v>1.6191359183479692E-2</v>
      </c>
      <c r="Q68" s="307">
        <f t="shared" si="4"/>
        <v>0.9</v>
      </c>
      <c r="R68" s="179">
        <f t="shared" si="5"/>
        <v>0.90647624943188387</v>
      </c>
      <c r="S68" s="839">
        <f t="shared" si="6"/>
        <v>-1</v>
      </c>
      <c r="T68" s="178">
        <f t="shared" si="7"/>
        <v>5</v>
      </c>
      <c r="U68" s="253">
        <f t="shared" si="20"/>
        <v>-9.3523750568116168E-2</v>
      </c>
      <c r="V68" s="385">
        <f t="shared" si="8"/>
        <v>29.659693981982699</v>
      </c>
      <c r="W68" s="404">
        <f t="shared" si="9"/>
        <v>0</v>
      </c>
      <c r="X68" s="157">
        <f t="shared" si="10"/>
        <v>44615</v>
      </c>
      <c r="Y68" s="387">
        <f t="shared" si="11"/>
        <v>27.802908563001502</v>
      </c>
      <c r="Z68" s="387">
        <f t="shared" si="21"/>
        <v>28.658223480512049</v>
      </c>
      <c r="AA68" s="388">
        <f t="shared" si="12"/>
        <v>33.773993909048485</v>
      </c>
      <c r="AB68" s="199">
        <f t="shared" si="13"/>
        <v>44615</v>
      </c>
      <c r="AC68" s="119">
        <f>IF(OR(t&lt;Tnet,NoTnet),'2021'!Resal_s+('2021'!Salim-'2021'!Resal_s)*(1-EXP(('2021'!Tnet_s-t)/'2021'!Tau_j)),Resal_s+(Salim-Resal_s)*(1-EXP((Tnet_s-t)/Tau_j)))*Salcycl</f>
        <v>0.15147069790777268</v>
      </c>
      <c r="AD68" s="233">
        <f>(INDEX(Models!$BJ68:$BT68,,AH68)*(1-AF68)+INDEX(Models!$BJ68:$BT68,,AH68+1)*AF68-ERP_i)*AE68*Ramure*Pc/MaxiM</f>
        <v>1.6191359183479692E-2</v>
      </c>
      <c r="AE68" s="307">
        <f t="shared" si="14"/>
        <v>0.9</v>
      </c>
      <c r="AF68" s="179">
        <f t="shared" si="22"/>
        <v>0.90647624943188387</v>
      </c>
      <c r="AG68" s="839">
        <f t="shared" si="23"/>
        <v>-1</v>
      </c>
      <c r="AH68" s="178">
        <f t="shared" si="15"/>
        <v>5</v>
      </c>
      <c r="AI68" s="227">
        <f t="shared" si="24"/>
        <v>-9.3523750568116168E-2</v>
      </c>
      <c r="AJ68" s="267" t="b">
        <f t="shared" si="16"/>
        <v>1</v>
      </c>
      <c r="AK68" s="267" t="b">
        <f t="shared" si="17"/>
        <v>0</v>
      </c>
      <c r="AL68" s="267"/>
      <c r="AM68" s="267"/>
      <c r="AN68" s="75"/>
    </row>
    <row r="69" spans="1:40" s="6" customFormat="1" ht="11.25" x14ac:dyDescent="0.2">
      <c r="A69" s="56">
        <f t="shared" si="18"/>
        <v>44616</v>
      </c>
      <c r="B69" s="1141">
        <v>17.593</v>
      </c>
      <c r="C69" s="868"/>
      <c r="D69" s="395">
        <f t="shared" si="0"/>
        <v>18.13464436371331</v>
      </c>
      <c r="E69" s="387">
        <f t="shared" si="1"/>
        <v>20.330956391524289</v>
      </c>
      <c r="F69" s="387">
        <f t="shared" si="2"/>
        <v>20.458839026719303</v>
      </c>
      <c r="G69" s="110">
        <f t="shared" si="19"/>
        <v>0.58025981213055156</v>
      </c>
      <c r="H69" s="416" t="b">
        <f>Wh_hp&gt;='2021'!Maxi_hp</f>
        <v>0</v>
      </c>
      <c r="I69" s="382">
        <f>IF(H69,Wh_hp,'2021'!Maxi_hp)</f>
        <v>35.33766783326174</v>
      </c>
      <c r="J69" s="85">
        <f>IF(H69,An,'2021'!An_max)</f>
        <v>2020</v>
      </c>
      <c r="K69" s="199">
        <f t="shared" si="3"/>
        <v>44616</v>
      </c>
      <c r="L69" s="147">
        <f>IF(t&lt;Tvie,1-EXP((T0-t)*PertePVj)+'2021'!Pspv,1-EXP((T0-t)*PertePVj)+Pspv)</f>
        <v>2.9867934151337372E-2</v>
      </c>
      <c r="M69" s="872"/>
      <c r="N69" s="872"/>
      <c r="O69" s="48">
        <f>IF(t&lt;Tnet,'2021'!Resal+('2021'!Salim-'2021'!Resal)*(1-EXP(('2021'!Tnet-t)/('2021'!Tau_j))),Resal+(Salim-Resal)*(1-EXP((Tnet-t)/(Tau_j))))*Salcycl</f>
        <v>0.10802797396814025</v>
      </c>
      <c r="P69" s="341">
        <f>(INDEX(Models!$BJ69:$BT69,,T69)*(1-R69)+INDEX(Models!$BJ69:$BT69,,T69+1)*R69-ERP_i)*Q69*Ramure*Pc/MaxiM</f>
        <v>1.5320179205989921E-2</v>
      </c>
      <c r="Q69" s="307">
        <f t="shared" si="4"/>
        <v>0.9</v>
      </c>
      <c r="R69" s="179">
        <f t="shared" si="5"/>
        <v>0.90677912134484517</v>
      </c>
      <c r="S69" s="839">
        <f t="shared" si="6"/>
        <v>-1</v>
      </c>
      <c r="T69" s="178">
        <f t="shared" si="7"/>
        <v>5</v>
      </c>
      <c r="U69" s="253">
        <f t="shared" si="20"/>
        <v>-9.322087865515484E-2</v>
      </c>
      <c r="V69" s="385">
        <f t="shared" si="8"/>
        <v>30.042469158989032</v>
      </c>
      <c r="W69" s="404">
        <f t="shared" si="9"/>
        <v>0</v>
      </c>
      <c r="X69" s="157">
        <f t="shared" si="10"/>
        <v>44616</v>
      </c>
      <c r="Y69" s="387">
        <f t="shared" si="11"/>
        <v>16.735085418394011</v>
      </c>
      <c r="Z69" s="387">
        <f t="shared" si="21"/>
        <v>17.250316742962529</v>
      </c>
      <c r="AA69" s="388">
        <f t="shared" si="12"/>
        <v>20.330956391524289</v>
      </c>
      <c r="AB69" s="199">
        <f t="shared" si="13"/>
        <v>44616</v>
      </c>
      <c r="AC69" s="119">
        <f>IF(OR(t&lt;Tnet,NoTnet),'2021'!Resal_s+('2021'!Salim-'2021'!Resal_s)*(1-EXP(('2021'!Tnet_s-t)/'2021'!Tau_j)),Resal_s+(Salim-Resal_s)*(1-EXP((Tnet_s-t)/Tau_j)))*Salcycl</f>
        <v>0.15152458100033295</v>
      </c>
      <c r="AD69" s="233">
        <f>(INDEX(Models!$BJ69:$BT69,,AH69)*(1-AF69)+INDEX(Models!$BJ69:$BT69,,AH69+1)*AF69-ERP_i)*AE69*Ramure*Pc/MaxiM</f>
        <v>1.5320179205989921E-2</v>
      </c>
      <c r="AE69" s="307">
        <f t="shared" si="14"/>
        <v>0.9</v>
      </c>
      <c r="AF69" s="179">
        <f t="shared" si="22"/>
        <v>0.90677912134484517</v>
      </c>
      <c r="AG69" s="839">
        <f t="shared" si="23"/>
        <v>-1</v>
      </c>
      <c r="AH69" s="178">
        <f t="shared" si="15"/>
        <v>5</v>
      </c>
      <c r="AI69" s="227">
        <f t="shared" si="24"/>
        <v>-9.322087865515484E-2</v>
      </c>
      <c r="AJ69" s="267" t="b">
        <f t="shared" si="16"/>
        <v>1</v>
      </c>
      <c r="AK69" s="267" t="b">
        <f t="shared" si="17"/>
        <v>0</v>
      </c>
      <c r="AL69" s="267"/>
      <c r="AM69" s="267"/>
      <c r="AN69" s="75"/>
    </row>
    <row r="70" spans="1:40" s="6" customFormat="1" ht="11.25" x14ac:dyDescent="0.2">
      <c r="A70" s="56">
        <f t="shared" si="18"/>
        <v>44617</v>
      </c>
      <c r="B70" s="1141">
        <v>26.035</v>
      </c>
      <c r="C70" s="868"/>
      <c r="D70" s="395">
        <f t="shared" si="0"/>
        <v>26.83717691962779</v>
      </c>
      <c r="E70" s="387">
        <f t="shared" si="1"/>
        <v>30.093262305040643</v>
      </c>
      <c r="F70" s="387">
        <f t="shared" si="2"/>
        <v>30.44351695159521</v>
      </c>
      <c r="G70" s="110">
        <f t="shared" si="19"/>
        <v>0.8530453132361917</v>
      </c>
      <c r="H70" s="416" t="b">
        <f>Wh_hp&gt;='2021'!Maxi_hp</f>
        <v>0</v>
      </c>
      <c r="I70" s="382">
        <f>IF(H70,Wh_hp,'2021'!Maxi_hp)</f>
        <v>35.142931851813223</v>
      </c>
      <c r="J70" s="85">
        <f>IF(H70,An,'2021'!An_max)</f>
        <v>2019</v>
      </c>
      <c r="K70" s="199">
        <f t="shared" si="3"/>
        <v>44617</v>
      </c>
      <c r="L70" s="147">
        <f>IF(t&lt;Tvie,1-EXP((T0-t)*PertePVj)+'2021'!Pspv,1-EXP((T0-t)*PertePVj)+Pspv)</f>
        <v>2.989051054178149E-2</v>
      </c>
      <c r="M70" s="872"/>
      <c r="N70" s="872"/>
      <c r="O70" s="48">
        <f>IF(t&lt;Tnet,'2021'!Resal+('2021'!Salim-'2021'!Resal)*(1-EXP(('2021'!Tnet-t)/('2021'!Tau_j))),Resal+(Salim-Resal)*(1-EXP((Tnet-t)/(Tau_j))))*Salcycl</f>
        <v>0.10819981404500155</v>
      </c>
      <c r="P70" s="341">
        <f>(INDEX(Models!$BJ70:$BT70,,T70)*(1-R70)+INDEX(Models!$BJ70:$BT70,,T70+1)*R70-ERP_i)*Q70*Ramure*Pc/MaxiM</f>
        <v>1.4494366120055903E-2</v>
      </c>
      <c r="Q70" s="307">
        <f t="shared" si="4"/>
        <v>0.9</v>
      </c>
      <c r="R70" s="179">
        <f t="shared" si="5"/>
        <v>0.90709437092193834</v>
      </c>
      <c r="S70" s="839">
        <f t="shared" si="6"/>
        <v>-1</v>
      </c>
      <c r="T70" s="178">
        <f t="shared" si="7"/>
        <v>5</v>
      </c>
      <c r="U70" s="253">
        <f t="shared" si="20"/>
        <v>-9.2905629078061672E-2</v>
      </c>
      <c r="V70" s="385">
        <f t="shared" si="8"/>
        <v>30.427771335400347</v>
      </c>
      <c r="W70" s="404">
        <f t="shared" si="9"/>
        <v>0</v>
      </c>
      <c r="X70" s="157">
        <f t="shared" si="10"/>
        <v>44617</v>
      </c>
      <c r="Y70" s="387">
        <f t="shared" si="11"/>
        <v>24.768620288623843</v>
      </c>
      <c r="Z70" s="387">
        <f t="shared" si="21"/>
        <v>25.531778173262161</v>
      </c>
      <c r="AA70" s="388">
        <f t="shared" si="12"/>
        <v>30.093262305040643</v>
      </c>
      <c r="AB70" s="199">
        <f t="shared" si="13"/>
        <v>44617</v>
      </c>
      <c r="AC70" s="119">
        <f>IF(OR(t&lt;Tnet,NoTnet),'2021'!Resal_s+('2021'!Salim-'2021'!Resal_s)*(1-EXP(('2021'!Tnet_s-t)/'2021'!Tau_j)),Resal_s+(Salim-Resal_s)*(1-EXP((Tnet_s-t)/Tau_j)))*Salcycl</f>
        <v>0.15157825314985635</v>
      </c>
      <c r="AD70" s="233">
        <f>(INDEX(Models!$BJ70:$BT70,,AH70)*(1-AF70)+INDEX(Models!$BJ70:$BT70,,AH70+1)*AF70-ERP_i)*AE70*Ramure*Pc/MaxiM</f>
        <v>1.4494366120055903E-2</v>
      </c>
      <c r="AE70" s="307">
        <f t="shared" si="14"/>
        <v>0.9</v>
      </c>
      <c r="AF70" s="179">
        <f t="shared" si="22"/>
        <v>0.90709437092193834</v>
      </c>
      <c r="AG70" s="839">
        <f t="shared" si="23"/>
        <v>-1</v>
      </c>
      <c r="AH70" s="178">
        <f t="shared" si="15"/>
        <v>5</v>
      </c>
      <c r="AI70" s="227">
        <f t="shared" si="24"/>
        <v>-9.2905629078061672E-2</v>
      </c>
      <c r="AJ70" s="267" t="b">
        <f t="shared" si="16"/>
        <v>1</v>
      </c>
      <c r="AK70" s="267" t="b">
        <f t="shared" si="17"/>
        <v>0</v>
      </c>
      <c r="AL70" s="267"/>
      <c r="AM70" s="267"/>
      <c r="AN70" s="75"/>
    </row>
    <row r="71" spans="1:40" s="6" customFormat="1" ht="11.25" x14ac:dyDescent="0.2">
      <c r="A71" s="56">
        <f t="shared" si="18"/>
        <v>44618</v>
      </c>
      <c r="B71" s="1142">
        <f>33.44*0.95</f>
        <v>31.767999999999997</v>
      </c>
      <c r="C71" s="868"/>
      <c r="D71" s="395">
        <f t="shared" si="0"/>
        <v>32.747581226853882</v>
      </c>
      <c r="E71" s="387">
        <f t="shared" si="1"/>
        <v>36.727816855265935</v>
      </c>
      <c r="F71" s="387">
        <f t="shared" si="2"/>
        <v>37.238456464048674</v>
      </c>
      <c r="G71" s="110">
        <f t="shared" si="19"/>
        <v>1.0309193519733113</v>
      </c>
      <c r="H71" s="416" t="b">
        <f>Wh_hp&gt;='2021'!Maxi_hp</f>
        <v>1</v>
      </c>
      <c r="I71" s="382">
        <f>IF(H71,Wh_hp,'2021'!Maxi_hp)</f>
        <v>37.238456464048674</v>
      </c>
      <c r="J71" s="85">
        <f>IF(H71,An,'2021'!An_max)</f>
        <v>2022</v>
      </c>
      <c r="K71" s="199">
        <f t="shared" si="3"/>
        <v>44618</v>
      </c>
      <c r="L71" s="147">
        <f>IF(t&lt;Tvie,1-EXP((T0-t)*PertePVj)+'2021'!Pspv,1-EXP((T0-t)*PertePVj)+Pspv)</f>
        <v>2.9913086406839873E-2</v>
      </c>
      <c r="M71" s="872"/>
      <c r="N71" s="872"/>
      <c r="O71" s="48">
        <f>IF(t&lt;Tnet,'2021'!Resal+('2021'!Salim-'2021'!Resal)*(1-EXP(('2021'!Tnet-t)/('2021'!Tau_j))),Resal+(Salim-Resal)*(1-EXP((Tnet-t)/(Tau_j))))*Salcycl</f>
        <v>0.10837114670052542</v>
      </c>
      <c r="P71" s="341">
        <f>(INDEX(Models!$BJ71:$BT71,,T71)*(1-R71)+INDEX(Models!$BJ71:$BT71,,T71+1)*R71-ERP_i)*Q71*Ramure*Pc/MaxiM</f>
        <v>1.3712695349651019E-2</v>
      </c>
      <c r="Q71" s="307">
        <f t="shared" si="4"/>
        <v>0.9</v>
      </c>
      <c r="R71" s="179">
        <f t="shared" si="5"/>
        <v>0.90742248986515384</v>
      </c>
      <c r="S71" s="839">
        <f t="shared" si="6"/>
        <v>-1</v>
      </c>
      <c r="T71" s="178">
        <f t="shared" si="7"/>
        <v>5</v>
      </c>
      <c r="U71" s="253">
        <f t="shared" si="20"/>
        <v>-9.2577510134846164E-2</v>
      </c>
      <c r="V71" s="385">
        <f t="shared" si="8"/>
        <v>30.815213565631471</v>
      </c>
      <c r="W71" s="404">
        <f t="shared" si="9"/>
        <v>0</v>
      </c>
      <c r="X71" s="157">
        <f t="shared" si="10"/>
        <v>44618</v>
      </c>
      <c r="Y71" s="387">
        <f t="shared" si="11"/>
        <v>30.226661516466333</v>
      </c>
      <c r="Z71" s="387">
        <f t="shared" si="21"/>
        <v>31.158714845980224</v>
      </c>
      <c r="AA71" s="388">
        <f t="shared" si="12"/>
        <v>36.727816855265935</v>
      </c>
      <c r="AB71" s="199">
        <f t="shared" si="13"/>
        <v>44618</v>
      </c>
      <c r="AC71" s="119">
        <f>IF(OR(t&lt;Tnet,NoTnet),'2021'!Resal_s+('2021'!Salim-'2021'!Resal_s)*(1-EXP(('2021'!Tnet_s-t)/'2021'!Tau_j)),Resal_s+(Salim-Resal_s)*(1-EXP((Tnet_s-t)/Tau_j)))*Salcycl</f>
        <v>0.15163171911992449</v>
      </c>
      <c r="AD71" s="233">
        <f>(INDEX(Models!$BJ71:$BT71,,AH71)*(1-AF71)+INDEX(Models!$BJ71:$BT71,,AH71+1)*AF71-ERP_i)*AE71*Ramure*Pc/MaxiM</f>
        <v>1.3712695349651019E-2</v>
      </c>
      <c r="AE71" s="307">
        <f t="shared" si="14"/>
        <v>0.9</v>
      </c>
      <c r="AF71" s="179">
        <f t="shared" si="22"/>
        <v>0.90742248986515384</v>
      </c>
      <c r="AG71" s="839">
        <f t="shared" si="23"/>
        <v>-1</v>
      </c>
      <c r="AH71" s="178">
        <f t="shared" si="15"/>
        <v>5</v>
      </c>
      <c r="AI71" s="227">
        <f t="shared" si="24"/>
        <v>-9.2577510134846164E-2</v>
      </c>
      <c r="AJ71" s="267" t="b">
        <f t="shared" si="16"/>
        <v>1</v>
      </c>
      <c r="AK71" s="267" t="b">
        <f t="shared" si="17"/>
        <v>0</v>
      </c>
      <c r="AL71" s="267"/>
      <c r="AM71" s="267"/>
      <c r="AN71" s="75"/>
    </row>
    <row r="72" spans="1:40" s="6" customFormat="1" ht="11.25" x14ac:dyDescent="0.2">
      <c r="A72" s="56">
        <f t="shared" si="18"/>
        <v>44619</v>
      </c>
      <c r="B72" s="1141">
        <v>24.251999999999999</v>
      </c>
      <c r="C72" s="868"/>
      <c r="D72" s="395">
        <f t="shared" si="0"/>
        <v>25.000403626489174</v>
      </c>
      <c r="E72" s="387">
        <f t="shared" si="1"/>
        <v>28.044398092866892</v>
      </c>
      <c r="F72" s="387">
        <f t="shared" si="2"/>
        <v>28.295151612281352</v>
      </c>
      <c r="G72" s="110">
        <f t="shared" si="19"/>
        <v>0.7739735505738502</v>
      </c>
      <c r="H72" s="416" t="b">
        <f>Wh_hp&gt;='2021'!Maxi_hp</f>
        <v>0</v>
      </c>
      <c r="I72" s="382">
        <f>IF(H72,Wh_hp,'2021'!Maxi_hp)</f>
        <v>35.739850450809598</v>
      </c>
      <c r="J72" s="85">
        <f>IF(H72,An,'2021'!An_max)</f>
        <v>2019</v>
      </c>
      <c r="K72" s="199">
        <f t="shared" si="3"/>
        <v>44619</v>
      </c>
      <c r="L72" s="147">
        <f>IF(t&lt;Tvie,1-EXP((T0-t)*PertePVj)+'2021'!Pspv,1-EXP((T0-t)*PertePVj)+Pspv)</f>
        <v>2.9935661746524955E-2</v>
      </c>
      <c r="M72" s="872"/>
      <c r="N72" s="872"/>
      <c r="O72" s="48">
        <f>IF(t&lt;Tnet,'2021'!Resal+('2021'!Salim-'2021'!Resal)*(1-EXP(('2021'!Tnet-t)/('2021'!Tau_j))),Resal+(Salim-Resal)*(1-EXP((Tnet-t)/(Tau_j))))*Salcycl</f>
        <v>0.10854197891135907</v>
      </c>
      <c r="P72" s="341">
        <f>(INDEX(Models!$BJ72:$BT72,,T72)*(1-R72)+INDEX(Models!$BJ72:$BT72,,T72+1)*R72-ERP_i)*Q72*Ramure*Pc/MaxiM</f>
        <v>1.2999195118817928E-2</v>
      </c>
      <c r="Q72" s="307">
        <f t="shared" si="4"/>
        <v>0.9</v>
      </c>
      <c r="R72" s="179">
        <f t="shared" si="5"/>
        <v>0.90776398821610171</v>
      </c>
      <c r="S72" s="839">
        <f t="shared" si="6"/>
        <v>-1</v>
      </c>
      <c r="T72" s="178">
        <f t="shared" si="7"/>
        <v>5</v>
      </c>
      <c r="U72" s="253">
        <f t="shared" si="20"/>
        <v>-9.2236011783898314E-2</v>
      </c>
      <c r="V72" s="385">
        <f t="shared" si="8"/>
        <v>31.203610548120221</v>
      </c>
      <c r="W72" s="404">
        <f t="shared" si="9"/>
        <v>0</v>
      </c>
      <c r="X72" s="157">
        <f t="shared" si="10"/>
        <v>44619</v>
      </c>
      <c r="Y72" s="387">
        <f t="shared" si="11"/>
        <v>23.078300038019869</v>
      </c>
      <c r="Z72" s="387">
        <f t="shared" si="21"/>
        <v>23.790483917355978</v>
      </c>
      <c r="AA72" s="388">
        <f t="shared" si="12"/>
        <v>28.044398092866892</v>
      </c>
      <c r="AB72" s="199">
        <f t="shared" si="13"/>
        <v>44619</v>
      </c>
      <c r="AC72" s="119">
        <f>IF(OR(t&lt;Tnet,NoTnet),'2021'!Resal_s+('2021'!Salim-'2021'!Resal_s)*(1-EXP(('2021'!Tnet_s-t)/'2021'!Tau_j)),Resal_s+(Salim-Resal_s)*(1-EXP((Tnet_s-t)/Tau_j)))*Salcycl</f>
        <v>0.15168498754811571</v>
      </c>
      <c r="AD72" s="233">
        <f>(INDEX(Models!$BJ72:$BT72,,AH72)*(1-AF72)+INDEX(Models!$BJ72:$BT72,,AH72+1)*AF72-ERP_i)*AE72*Ramure*Pc/MaxiM</f>
        <v>1.2999195118817928E-2</v>
      </c>
      <c r="AE72" s="307">
        <f t="shared" si="14"/>
        <v>0.9</v>
      </c>
      <c r="AF72" s="179">
        <f t="shared" si="22"/>
        <v>0.90776398821610171</v>
      </c>
      <c r="AG72" s="839">
        <f t="shared" si="23"/>
        <v>-1</v>
      </c>
      <c r="AH72" s="178">
        <f t="shared" si="15"/>
        <v>5</v>
      </c>
      <c r="AI72" s="227">
        <f t="shared" si="24"/>
        <v>-9.2236011783898314E-2</v>
      </c>
      <c r="AJ72" s="267" t="b">
        <f t="shared" si="16"/>
        <v>1</v>
      </c>
      <c r="AK72" s="267" t="b">
        <f t="shared" si="17"/>
        <v>0</v>
      </c>
      <c r="AL72" s="267"/>
      <c r="AM72" s="267"/>
      <c r="AN72" s="75"/>
    </row>
    <row r="73" spans="1:40" s="6" customFormat="1" ht="11.25" x14ac:dyDescent="0.2">
      <c r="A73" s="56">
        <f t="shared" si="18"/>
        <v>44620</v>
      </c>
      <c r="B73" s="1141">
        <v>28.876000000000001</v>
      </c>
      <c r="C73" s="868"/>
      <c r="D73" s="395">
        <f t="shared" si="0"/>
        <v>29.767790509992139</v>
      </c>
      <c r="E73" s="387">
        <f t="shared" si="1"/>
        <v>33.398633456297006</v>
      </c>
      <c r="F73" s="387">
        <f t="shared" si="2"/>
        <v>33.764181045667172</v>
      </c>
      <c r="G73" s="110">
        <f t="shared" si="19"/>
        <v>0.91260284617388798</v>
      </c>
      <c r="H73" s="416" t="b">
        <f>Wh_hp&gt;='2021'!Maxi_hp</f>
        <v>1</v>
      </c>
      <c r="I73" s="382">
        <f>IF(H73,Wh_hp,'2021'!Maxi_hp)</f>
        <v>33.764181045667172</v>
      </c>
      <c r="J73" s="85">
        <f>IF(H73,An,'2021'!An_max)</f>
        <v>2022</v>
      </c>
      <c r="K73" s="199">
        <f t="shared" si="3"/>
        <v>44620</v>
      </c>
      <c r="L73" s="147">
        <f>IF(t&lt;Tvie,1-EXP((T0-t)*PertePVj)+'2021'!Pspv,1-EXP((T0-t)*PertePVj)+Pspv)</f>
        <v>2.995823656084895E-2</v>
      </c>
      <c r="M73" s="872"/>
      <c r="N73" s="872"/>
      <c r="O73" s="48">
        <f>IF(t&lt;Tnet,'2021'!Resal+('2021'!Salim-'2021'!Resal)*(1-EXP(('2021'!Tnet-t)/('2021'!Tau_j))),Resal+(Salim-Resal)*(1-EXP((Tnet-t)/(Tau_j))))*Salcycl</f>
        <v>0.10871232055215438</v>
      </c>
      <c r="P73" s="341">
        <f>(INDEX(Models!$BJ73:$BT73,,T73)*(1-R73)+INDEX(Models!$BJ73:$BT73,,T73+1)*R73-ERP_i)*Q73*Ramure*Pc/MaxiM</f>
        <v>1.2342825190707453E-2</v>
      </c>
      <c r="Q73" s="307">
        <f t="shared" si="4"/>
        <v>0.9</v>
      </c>
      <c r="R73" s="179">
        <f t="shared" si="5"/>
        <v>0.90811939493872473</v>
      </c>
      <c r="S73" s="839">
        <f t="shared" si="6"/>
        <v>-1</v>
      </c>
      <c r="T73" s="178">
        <f t="shared" si="7"/>
        <v>5</v>
      </c>
      <c r="U73" s="253">
        <f t="shared" si="20"/>
        <v>-9.1880605061275267E-2</v>
      </c>
      <c r="V73" s="385">
        <f t="shared" si="8"/>
        <v>31.592861243160208</v>
      </c>
      <c r="W73" s="404">
        <f t="shared" si="9"/>
        <v>0</v>
      </c>
      <c r="X73" s="157">
        <f t="shared" si="10"/>
        <v>44620</v>
      </c>
      <c r="Y73" s="387">
        <f t="shared" si="11"/>
        <v>27.482048752997219</v>
      </c>
      <c r="Z73" s="387">
        <f t="shared" si="21"/>
        <v>28.330789238973956</v>
      </c>
      <c r="AA73" s="388">
        <f t="shared" si="12"/>
        <v>33.398633456297006</v>
      </c>
      <c r="AB73" s="199">
        <f t="shared" si="13"/>
        <v>44620</v>
      </c>
      <c r="AC73" s="119">
        <f>IF(OR(t&lt;Tnet,NoTnet),'2021'!Resal_s+('2021'!Salim-'2021'!Resal_s)*(1-EXP(('2021'!Tnet_s-t)/'2021'!Tau_j)),Resal_s+(Salim-Resal_s)*(1-EXP((Tnet_s-t)/Tau_j)))*Salcycl</f>
        <v>0.15173807107870016</v>
      </c>
      <c r="AD73" s="233">
        <f>(INDEX(Models!$BJ73:$BT73,,AH73)*(1-AF73)+INDEX(Models!$BJ73:$BT73,,AH73+1)*AF73-ERP_i)*AE73*Ramure*Pc/MaxiM</f>
        <v>1.2342825190707453E-2</v>
      </c>
      <c r="AE73" s="307">
        <f t="shared" si="14"/>
        <v>0.9</v>
      </c>
      <c r="AF73" s="179">
        <f t="shared" si="22"/>
        <v>0.90811939493872473</v>
      </c>
      <c r="AG73" s="839">
        <f t="shared" si="23"/>
        <v>-1</v>
      </c>
      <c r="AH73" s="178">
        <f t="shared" si="15"/>
        <v>5</v>
      </c>
      <c r="AI73" s="227">
        <f t="shared" si="24"/>
        <v>-9.1880605061275267E-2</v>
      </c>
      <c r="AJ73" s="267" t="b">
        <f t="shared" si="16"/>
        <v>1</v>
      </c>
      <c r="AK73" s="267" t="b">
        <f t="shared" si="17"/>
        <v>0</v>
      </c>
      <c r="AL73" s="267"/>
      <c r="AM73" s="267"/>
      <c r="AN73" s="75"/>
    </row>
    <row r="74" spans="1:40" s="6" customFormat="1" ht="11.25" x14ac:dyDescent="0.2">
      <c r="A74" s="56">
        <f t="shared" si="18"/>
        <v>44621</v>
      </c>
      <c r="B74" s="1141">
        <v>31.743000000000002</v>
      </c>
      <c r="C74" s="868"/>
      <c r="D74" s="395">
        <f t="shared" si="0"/>
        <v>32.724094899410929</v>
      </c>
      <c r="E74" s="387">
        <f t="shared" si="1"/>
        <v>36.722523475291482</v>
      </c>
      <c r="F74" s="387">
        <f t="shared" si="2"/>
        <v>37.154113437752279</v>
      </c>
      <c r="G74" s="110">
        <f t="shared" si="19"/>
        <v>0.99238293470875849</v>
      </c>
      <c r="H74" s="416" t="b">
        <f>Wh_hp&gt;='2021'!Maxi_hp</f>
        <v>1</v>
      </c>
      <c r="I74" s="382">
        <f>IF(H74,Wh_hp,'2021'!Maxi_hp)</f>
        <v>37.154113437752279</v>
      </c>
      <c r="J74" s="85">
        <f>IF(H74,An,'2021'!An_max)</f>
        <v>2022</v>
      </c>
      <c r="K74" s="199">
        <f t="shared" si="3"/>
        <v>44621</v>
      </c>
      <c r="L74" s="147">
        <f>IF(t&lt;Tvie,1-EXP((T0-t)*PertePVj)+'2021'!Pspv,1-EXP((T0-t)*PertePVj)+Pspv)</f>
        <v>2.9980810849823958E-2</v>
      </c>
      <c r="M74" s="872"/>
      <c r="N74" s="872"/>
      <c r="O74" s="48">
        <f>IF(t&lt;Tnet,'2021'!Resal+('2021'!Salim-'2021'!Resal)*(1-EXP(('2021'!Tnet-t)/('2021'!Tau_j))),Resal+(Salim-Resal)*(1-EXP((Tnet-t)/(Tau_j))))*Salcycl</f>
        <v>0.10888218448742697</v>
      </c>
      <c r="P74" s="341">
        <f>(INDEX(Models!$BJ74:$BT74,,T74)*(1-R74)+INDEX(Models!$BJ74:$BT74,,T74+1)*R74-ERP_i)*Q74*Ramure*Pc/MaxiM</f>
        <v>1.1741862240431543E-2</v>
      </c>
      <c r="Q74" s="307">
        <f t="shared" si="4"/>
        <v>0.9</v>
      </c>
      <c r="R74" s="179">
        <f t="shared" si="5"/>
        <v>0.90848925851165263</v>
      </c>
      <c r="S74" s="839">
        <f t="shared" si="6"/>
        <v>-1</v>
      </c>
      <c r="T74" s="178">
        <f t="shared" si="7"/>
        <v>5</v>
      </c>
      <c r="U74" s="253">
        <f t="shared" si="20"/>
        <v>-9.1510741488347327E-2</v>
      </c>
      <c r="V74" s="385">
        <f t="shared" si="8"/>
        <v>31.982577909685407</v>
      </c>
      <c r="W74" s="404">
        <f t="shared" si="9"/>
        <v>0</v>
      </c>
      <c r="X74" s="157">
        <f t="shared" si="10"/>
        <v>44621</v>
      </c>
      <c r="Y74" s="387">
        <f t="shared" si="11"/>
        <v>30.214521859938998</v>
      </c>
      <c r="Z74" s="387">
        <f t="shared" si="21"/>
        <v>31.14837541142834</v>
      </c>
      <c r="AA74" s="388">
        <f t="shared" si="12"/>
        <v>36.722523475291482</v>
      </c>
      <c r="AB74" s="199">
        <f t="shared" si="13"/>
        <v>44621</v>
      </c>
      <c r="AC74" s="119">
        <f>IF(OR(t&lt;Tnet,NoTnet),'2021'!Resal_s+('2021'!Salim-'2021'!Resal_s)*(1-EXP(('2021'!Tnet_s-t)/'2021'!Tau_j)),Resal_s+(Salim-Resal_s)*(1-EXP((Tnet_s-t)/Tau_j)))*Salcycl</f>
        <v>0.15179098646675715</v>
      </c>
      <c r="AD74" s="233">
        <f>(INDEX(Models!$BJ74:$BT74,,AH74)*(1-AF74)+INDEX(Models!$BJ74:$BT74,,AH74+1)*AF74-ERP_i)*AE74*Ramure*Pc/MaxiM</f>
        <v>1.1741862240431543E-2</v>
      </c>
      <c r="AE74" s="307">
        <f t="shared" si="14"/>
        <v>0.9</v>
      </c>
      <c r="AF74" s="179">
        <f t="shared" si="22"/>
        <v>0.90848925851165263</v>
      </c>
      <c r="AG74" s="839">
        <f t="shared" si="23"/>
        <v>-1</v>
      </c>
      <c r="AH74" s="178">
        <f t="shared" si="15"/>
        <v>5</v>
      </c>
      <c r="AI74" s="227">
        <f t="shared" si="24"/>
        <v>-9.1510741488347327E-2</v>
      </c>
      <c r="AJ74" s="267" t="b">
        <f t="shared" si="16"/>
        <v>1</v>
      </c>
      <c r="AK74" s="267" t="b">
        <f t="shared" si="17"/>
        <v>0</v>
      </c>
      <c r="AL74" s="267"/>
      <c r="AM74" s="267"/>
      <c r="AN74" s="75"/>
    </row>
    <row r="75" spans="1:40" s="6" customFormat="1" ht="11.25" x14ac:dyDescent="0.2">
      <c r="A75" s="56">
        <f t="shared" si="18"/>
        <v>44622</v>
      </c>
      <c r="B75" s="1141">
        <v>14.734</v>
      </c>
      <c r="C75" s="868"/>
      <c r="D75" s="395">
        <f t="shared" si="0"/>
        <v>15.18974372310422</v>
      </c>
      <c r="E75" s="387">
        <f t="shared" si="1"/>
        <v>17.048959844789849</v>
      </c>
      <c r="F75" s="387">
        <f t="shared" si="2"/>
        <v>17.09136464202561</v>
      </c>
      <c r="G75" s="110">
        <f t="shared" si="19"/>
        <v>0.45116541976962876</v>
      </c>
      <c r="H75" s="416" t="b">
        <f>Wh_hp&gt;='2021'!Maxi_hp</f>
        <v>0</v>
      </c>
      <c r="I75" s="382">
        <f>IF(H75,Wh_hp,'2021'!Maxi_hp)</f>
        <v>26.224711056387971</v>
      </c>
      <c r="J75" s="85">
        <f>IF(H75,An,'2021'!An_max)</f>
        <v>2020</v>
      </c>
      <c r="K75" s="199">
        <f t="shared" si="3"/>
        <v>44622</v>
      </c>
      <c r="L75" s="147">
        <f>IF(t&lt;Tvie,1-EXP((T0-t)*PertePVj)+'2021'!Pspv,1-EXP((T0-t)*PertePVj)+Pspv)</f>
        <v>3.0003384613462303E-2</v>
      </c>
      <c r="M75" s="872"/>
      <c r="N75" s="872"/>
      <c r="O75" s="48">
        <f>IF(t&lt;Tnet,'2021'!Resal+('2021'!Salim-'2021'!Resal)*(1-EXP(('2021'!Tnet-t)/('2021'!Tau_j))),Resal+(Salim-Resal)*(1-EXP((Tnet-t)/(Tau_j))))*Salcycl</f>
        <v>0.10905158664291219</v>
      </c>
      <c r="P75" s="341">
        <f>(INDEX(Models!$BJ75:$BT75,,T75)*(1-R75)+INDEX(Models!$BJ75:$BT75,,T75+1)*R75-ERP_i)*Q75*Ramure*Pc/MaxiM</f>
        <v>1.1194616030056125E-2</v>
      </c>
      <c r="Q75" s="307">
        <f t="shared" si="4"/>
        <v>0.9</v>
      </c>
      <c r="R75" s="179">
        <f t="shared" si="5"/>
        <v>0.90887414752947926</v>
      </c>
      <c r="S75" s="839">
        <f t="shared" si="6"/>
        <v>-1</v>
      </c>
      <c r="T75" s="178">
        <f t="shared" si="7"/>
        <v>5</v>
      </c>
      <c r="U75" s="253">
        <f t="shared" si="20"/>
        <v>-9.1125852470520685E-2</v>
      </c>
      <c r="V75" s="385">
        <f t="shared" si="8"/>
        <v>32.372372933057179</v>
      </c>
      <c r="W75" s="404">
        <f t="shared" si="9"/>
        <v>0</v>
      </c>
      <c r="X75" s="157">
        <f t="shared" si="10"/>
        <v>44622</v>
      </c>
      <c r="Y75" s="387">
        <f t="shared" si="11"/>
        <v>14.026327373828094</v>
      </c>
      <c r="Z75" s="387">
        <f t="shared" si="21"/>
        <v>14.460181769024718</v>
      </c>
      <c r="AA75" s="388">
        <f t="shared" si="12"/>
        <v>17.048959844789849</v>
      </c>
      <c r="AB75" s="199">
        <f t="shared" si="13"/>
        <v>44622</v>
      </c>
      <c r="AC75" s="119">
        <f>IF(OR(t&lt;Tnet,NoTnet),'2021'!Resal_s+('2021'!Salim-'2021'!Resal_s)*(1-EXP(('2021'!Tnet_s-t)/'2021'!Tau_j)),Resal_s+(Salim-Resal_s)*(1-EXP((Tnet_s-t)/Tau_j)))*Salcycl</f>
        <v>0.15184375465323532</v>
      </c>
      <c r="AD75" s="233">
        <f>(INDEX(Models!$BJ75:$BT75,,AH75)*(1-AF75)+INDEX(Models!$BJ75:$BT75,,AH75+1)*AF75-ERP_i)*AE75*Ramure*Pc/MaxiM</f>
        <v>1.1194616030056125E-2</v>
      </c>
      <c r="AE75" s="307">
        <f t="shared" si="14"/>
        <v>0.9</v>
      </c>
      <c r="AF75" s="179">
        <f t="shared" si="22"/>
        <v>0.90887414752947926</v>
      </c>
      <c r="AG75" s="839">
        <f t="shared" si="23"/>
        <v>-1</v>
      </c>
      <c r="AH75" s="178">
        <f t="shared" si="15"/>
        <v>5</v>
      </c>
      <c r="AI75" s="227">
        <f t="shared" si="24"/>
        <v>-9.1125852470520685E-2</v>
      </c>
      <c r="AJ75" s="267" t="b">
        <f t="shared" si="16"/>
        <v>1</v>
      </c>
      <c r="AK75" s="267" t="b">
        <f t="shared" si="17"/>
        <v>0</v>
      </c>
      <c r="AL75" s="267"/>
      <c r="AM75" s="267"/>
      <c r="AN75" s="75"/>
    </row>
    <row r="76" spans="1:40" s="6" customFormat="1" ht="11.25" x14ac:dyDescent="0.2">
      <c r="A76" s="56">
        <f t="shared" si="18"/>
        <v>44623</v>
      </c>
      <c r="B76" s="1141">
        <v>30.45</v>
      </c>
      <c r="C76" s="868"/>
      <c r="D76" s="395">
        <f t="shared" si="0"/>
        <v>31.392592664193039</v>
      </c>
      <c r="E76" s="387">
        <f t="shared" si="1"/>
        <v>35.241711655116987</v>
      </c>
      <c r="F76" s="387">
        <f t="shared" si="2"/>
        <v>35.584060448329645</v>
      </c>
      <c r="G76" s="110">
        <f t="shared" si="19"/>
        <v>0.92842222802448693</v>
      </c>
      <c r="H76" s="416" t="b">
        <f>Wh_hp&gt;='2021'!Maxi_hp</f>
        <v>1</v>
      </c>
      <c r="I76" s="382">
        <f>IF(H76,Wh_hp,'2021'!Maxi_hp)</f>
        <v>35.584060448329645</v>
      </c>
      <c r="J76" s="85">
        <f>IF(H76,An,'2021'!An_max)</f>
        <v>2022</v>
      </c>
      <c r="K76" s="199">
        <f t="shared" si="3"/>
        <v>44623</v>
      </c>
      <c r="L76" s="147">
        <f>IF(t&lt;Tvie,1-EXP((T0-t)*PertePVj)+'2021'!Pspv,1-EXP((T0-t)*PertePVj)+Pspv)</f>
        <v>3.0025957851776197E-2</v>
      </c>
      <c r="M76" s="872"/>
      <c r="N76" s="872"/>
      <c r="O76" s="48">
        <f>IF(t&lt;Tnet,'2021'!Resal+('2021'!Salim-'2021'!Resal)*(1-EXP(('2021'!Tnet-t)/('2021'!Tau_j))),Resal+(Salim-Resal)*(1-EXP((Tnet-t)/(Tau_j))))*Salcycl</f>
        <v>0.10922054605611274</v>
      </c>
      <c r="P76" s="341">
        <f>(INDEX(Models!$BJ76:$BT76,,T76)*(1-R76)+INDEX(Models!$BJ76:$BT76,,T76+1)*R76-ERP_i)*Q76*Ramure*Pc/MaxiM</f>
        <v>1.0699434731480665E-2</v>
      </c>
      <c r="Q76" s="307">
        <f t="shared" si="4"/>
        <v>0.9</v>
      </c>
      <c r="R76" s="179">
        <f t="shared" si="5"/>
        <v>0.90927465131213903</v>
      </c>
      <c r="S76" s="839">
        <f t="shared" si="6"/>
        <v>-1</v>
      </c>
      <c r="T76" s="178">
        <f t="shared" si="7"/>
        <v>5</v>
      </c>
      <c r="U76" s="253">
        <f t="shared" si="20"/>
        <v>-9.0725348687861002E-2</v>
      </c>
      <c r="V76" s="385">
        <f t="shared" si="8"/>
        <v>32.76185880905517</v>
      </c>
      <c r="W76" s="404">
        <f t="shared" si="9"/>
        <v>0</v>
      </c>
      <c r="X76" s="157">
        <f t="shared" si="10"/>
        <v>44623</v>
      </c>
      <c r="Y76" s="387">
        <f t="shared" si="11"/>
        <v>28.991187976972018</v>
      </c>
      <c r="Z76" s="387">
        <f t="shared" si="21"/>
        <v>29.888622496293372</v>
      </c>
      <c r="AA76" s="388">
        <f t="shared" si="12"/>
        <v>35.241711655116987</v>
      </c>
      <c r="AB76" s="199">
        <f t="shared" si="13"/>
        <v>44623</v>
      </c>
      <c r="AC76" s="119">
        <f>IF(OR(t&lt;Tnet,NoTnet),'2021'!Resal_s+('2021'!Salim-'2021'!Resal_s)*(1-EXP(('2021'!Tnet_s-t)/'2021'!Tau_j)),Resal_s+(Salim-Resal_s)*(1-EXP((Tnet_s-t)/Tau_j)))*Salcycl</f>
        <v>0.15189640081078087</v>
      </c>
      <c r="AD76" s="233">
        <f>(INDEX(Models!$BJ76:$BT76,,AH76)*(1-AF76)+INDEX(Models!$BJ76:$BT76,,AH76+1)*AF76-ERP_i)*AE76*Ramure*Pc/MaxiM</f>
        <v>1.0699434731480665E-2</v>
      </c>
      <c r="AE76" s="307">
        <f t="shared" si="14"/>
        <v>0.9</v>
      </c>
      <c r="AF76" s="179">
        <f t="shared" si="22"/>
        <v>0.90927465131213903</v>
      </c>
      <c r="AG76" s="839">
        <f t="shared" si="23"/>
        <v>-1</v>
      </c>
      <c r="AH76" s="178">
        <f t="shared" si="15"/>
        <v>5</v>
      </c>
      <c r="AI76" s="227">
        <f t="shared" si="24"/>
        <v>-9.0725348687861002E-2</v>
      </c>
      <c r="AJ76" s="267" t="b">
        <f t="shared" si="16"/>
        <v>1</v>
      </c>
      <c r="AK76" s="267" t="b">
        <f t="shared" si="17"/>
        <v>0</v>
      </c>
      <c r="AL76" s="267"/>
      <c r="AM76" s="267"/>
      <c r="AN76" s="75"/>
    </row>
    <row r="77" spans="1:40" s="6" customFormat="1" ht="11.25" x14ac:dyDescent="0.2">
      <c r="A77" s="56">
        <f t="shared" si="18"/>
        <v>44624</v>
      </c>
      <c r="B77" s="1141">
        <v>5.7869999999999999</v>
      </c>
      <c r="C77" s="868"/>
      <c r="D77" s="395">
        <f t="shared" si="0"/>
        <v>5.9662778833353602</v>
      </c>
      <c r="E77" s="387">
        <f t="shared" si="1"/>
        <v>6.6990846195785547</v>
      </c>
      <c r="F77" s="387">
        <f t="shared" si="2"/>
        <v>6.6990846195785547</v>
      </c>
      <c r="G77" s="110">
        <f t="shared" si="19"/>
        <v>0.17277659164500503</v>
      </c>
      <c r="H77" s="416" t="b">
        <f>Wh_hp&gt;='2021'!Maxi_hp</f>
        <v>0</v>
      </c>
      <c r="I77" s="382">
        <f>IF(H77,Wh_hp,'2021'!Maxi_hp)</f>
        <v>29.708311263077956</v>
      </c>
      <c r="J77" s="85">
        <f>IF(H77,An,'2021'!An_max)</f>
        <v>2021</v>
      </c>
      <c r="K77" s="199">
        <f t="shared" si="3"/>
        <v>44624</v>
      </c>
      <c r="L77" s="147">
        <f>IF(t&lt;Tvie,1-EXP((T0-t)*PertePVj)+'2021'!Pspv,1-EXP((T0-t)*PertePVj)+Pspv)</f>
        <v>3.0048530564777853E-2</v>
      </c>
      <c r="M77" s="872"/>
      <c r="N77" s="872"/>
      <c r="O77" s="48">
        <f>IF(t&lt;Tnet,'2021'!Resal+('2021'!Salim-'2021'!Resal)*(1-EXP(('2021'!Tnet-t)/('2021'!Tau_j))),Resal+(Salim-Resal)*(1-EXP((Tnet-t)/(Tau_j))))*Salcycl</f>
        <v>0.10938908490594589</v>
      </c>
      <c r="P77" s="341">
        <f>(INDEX(Models!$BJ77:$BT77,,T77)*(1-R77)+INDEX(Models!$BJ77:$BT77,,T77+1)*R77-ERP_i)*Q77*Ramure*Pc/MaxiM</f>
        <v>1.0254709475348211E-2</v>
      </c>
      <c r="Q77" s="307">
        <f t="shared" si="4"/>
        <v>0.9</v>
      </c>
      <c r="R77" s="179">
        <f t="shared" si="5"/>
        <v>0.90969138052144327</v>
      </c>
      <c r="S77" s="839">
        <f t="shared" si="6"/>
        <v>-1</v>
      </c>
      <c r="T77" s="178">
        <f t="shared" si="7"/>
        <v>5</v>
      </c>
      <c r="U77" s="253">
        <f t="shared" si="20"/>
        <v>-9.0308619478556673E-2</v>
      </c>
      <c r="V77" s="385">
        <f t="shared" si="8"/>
        <v>33.15064813892424</v>
      </c>
      <c r="W77" s="404">
        <f t="shared" si="9"/>
        <v>0</v>
      </c>
      <c r="X77" s="157">
        <f t="shared" si="10"/>
        <v>44624</v>
      </c>
      <c r="Y77" s="387">
        <f t="shared" si="11"/>
        <v>5.5104550347867303</v>
      </c>
      <c r="Z77" s="387">
        <f t="shared" si="21"/>
        <v>5.681165716461388</v>
      </c>
      <c r="AA77" s="388">
        <f t="shared" si="12"/>
        <v>6.6990846195785547</v>
      </c>
      <c r="AB77" s="199">
        <f t="shared" si="13"/>
        <v>44624</v>
      </c>
      <c r="AC77" s="119">
        <f>IF(OR(t&lt;Tnet,NoTnet),'2021'!Resal_s+('2021'!Salim-'2021'!Resal_s)*(1-EXP(('2021'!Tnet_s-t)/'2021'!Tau_j)),Resal_s+(Salim-Resal_s)*(1-EXP((Tnet_s-t)/Tau_j)))*Salcycl</f>
        <v>0.15194895436045486</v>
      </c>
      <c r="AD77" s="233">
        <f>(INDEX(Models!$BJ77:$BT77,,AH77)*(1-AF77)+INDEX(Models!$BJ77:$BT77,,AH77+1)*AF77-ERP_i)*AE77*Ramure*Pc/MaxiM</f>
        <v>1.0254709475348211E-2</v>
      </c>
      <c r="AE77" s="307">
        <f t="shared" si="14"/>
        <v>0.9</v>
      </c>
      <c r="AF77" s="179">
        <f t="shared" si="22"/>
        <v>0.90969138052144327</v>
      </c>
      <c r="AG77" s="839">
        <f t="shared" si="23"/>
        <v>-1</v>
      </c>
      <c r="AH77" s="178">
        <f t="shared" si="15"/>
        <v>5</v>
      </c>
      <c r="AI77" s="227">
        <f t="shared" si="24"/>
        <v>-9.0308619478556673E-2</v>
      </c>
      <c r="AJ77" s="267" t="b">
        <f t="shared" si="16"/>
        <v>1</v>
      </c>
      <c r="AK77" s="267" t="b">
        <f t="shared" si="17"/>
        <v>0</v>
      </c>
      <c r="AL77" s="267"/>
      <c r="AM77" s="267"/>
      <c r="AN77" s="75"/>
    </row>
    <row r="78" spans="1:40" s="6" customFormat="1" ht="11.25" x14ac:dyDescent="0.2">
      <c r="A78" s="56">
        <f t="shared" si="18"/>
        <v>44625</v>
      </c>
      <c r="B78" s="1141">
        <v>12.968</v>
      </c>
      <c r="C78" s="868"/>
      <c r="D78" s="395">
        <f t="shared" si="0"/>
        <v>13.370052213931139</v>
      </c>
      <c r="E78" s="387">
        <f t="shared" si="1"/>
        <v>15.015060644192751</v>
      </c>
      <c r="F78" s="387">
        <f t="shared" si="2"/>
        <v>15.03340973855922</v>
      </c>
      <c r="G78" s="110">
        <f t="shared" si="19"/>
        <v>0.38331760307439333</v>
      </c>
      <c r="H78" s="416" t="b">
        <f>Wh_hp&gt;='2021'!Maxi_hp</f>
        <v>0</v>
      </c>
      <c r="I78" s="382">
        <f>IF(H78,Wh_hp,'2021'!Maxi_hp)</f>
        <v>38.591105820273576</v>
      </c>
      <c r="J78" s="85">
        <f>IF(H78,An,'2021'!An_max)</f>
        <v>2019</v>
      </c>
      <c r="K78" s="199">
        <f t="shared" si="3"/>
        <v>44625</v>
      </c>
      <c r="L78" s="147">
        <f>IF(t&lt;Tvie,1-EXP((T0-t)*PertePVj)+'2021'!Pspv,1-EXP((T0-t)*PertePVj)+Pspv)</f>
        <v>3.0071102752479484E-2</v>
      </c>
      <c r="M78" s="872"/>
      <c r="N78" s="872"/>
      <c r="O78" s="48">
        <f>IF(t&lt;Tnet,'2021'!Resal+('2021'!Salim-'2021'!Resal)*(1-EXP(('2021'!Tnet-t)/('2021'!Tau_j))),Resal+(Salim-Resal)*(1-EXP((Tnet-t)/(Tau_j))))*Salcycl</f>
        <v>0.109557228521607</v>
      </c>
      <c r="P78" s="341">
        <f>(INDEX(Models!$BJ78:$BT78,,T78)*(1-R78)+INDEX(Models!$BJ78:$BT78,,T78+1)*R78-ERP_i)*Q78*Ramure*Pc/MaxiM</f>
        <v>9.8588782051708141E-3</v>
      </c>
      <c r="Q78" s="307">
        <f t="shared" si="4"/>
        <v>0.9</v>
      </c>
      <c r="R78" s="179">
        <f t="shared" si="5"/>
        <v>0.91012496778370877</v>
      </c>
      <c r="S78" s="839">
        <f t="shared" si="6"/>
        <v>-1</v>
      </c>
      <c r="T78" s="178">
        <f t="shared" si="7"/>
        <v>5</v>
      </c>
      <c r="U78" s="253">
        <f t="shared" si="20"/>
        <v>-8.9875032216291242E-2</v>
      </c>
      <c r="V78" s="385">
        <f t="shared" si="8"/>
        <v>33.538353621080361</v>
      </c>
      <c r="W78" s="404">
        <f t="shared" si="9"/>
        <v>0</v>
      </c>
      <c r="X78" s="157">
        <f t="shared" si="10"/>
        <v>44625</v>
      </c>
      <c r="Y78" s="387">
        <f t="shared" si="11"/>
        <v>12.349861846407109</v>
      </c>
      <c r="Z78" s="387">
        <f t="shared" si="21"/>
        <v>12.732749670056991</v>
      </c>
      <c r="AA78" s="388">
        <f t="shared" si="12"/>
        <v>15.015060644192751</v>
      </c>
      <c r="AB78" s="199">
        <f t="shared" si="13"/>
        <v>44625</v>
      </c>
      <c r="AC78" s="119">
        <f>IF(OR(t&lt;Tnet,NoTnet),'2021'!Resal_s+('2021'!Salim-'2021'!Resal_s)*(1-EXP(('2021'!Tnet_s-t)/'2021'!Tau_j)),Resal_s+(Salim-Resal_s)*(1-EXP((Tnet_s-t)/Tau_j)))*Salcycl</f>
        <v>0.15200144895974635</v>
      </c>
      <c r="AD78" s="233">
        <f>(INDEX(Models!$BJ78:$BT78,,AH78)*(1-AF78)+INDEX(Models!$BJ78:$BT78,,AH78+1)*AF78-ERP_i)*AE78*Ramure*Pc/MaxiM</f>
        <v>9.8588782051708141E-3</v>
      </c>
      <c r="AE78" s="307">
        <f t="shared" si="14"/>
        <v>0.9</v>
      </c>
      <c r="AF78" s="179">
        <f t="shared" si="22"/>
        <v>0.91012496778370877</v>
      </c>
      <c r="AG78" s="839">
        <f t="shared" si="23"/>
        <v>-1</v>
      </c>
      <c r="AH78" s="178">
        <f t="shared" si="15"/>
        <v>5</v>
      </c>
      <c r="AI78" s="227">
        <f t="shared" si="24"/>
        <v>-8.9875032216291242E-2</v>
      </c>
      <c r="AJ78" s="267" t="b">
        <f t="shared" si="16"/>
        <v>1</v>
      </c>
      <c r="AK78" s="267" t="b">
        <f t="shared" si="17"/>
        <v>0</v>
      </c>
      <c r="AL78" s="267"/>
      <c r="AM78" s="267"/>
      <c r="AN78" s="75"/>
    </row>
    <row r="79" spans="1:40" s="6" customFormat="1" ht="11.25" x14ac:dyDescent="0.2">
      <c r="A79" s="56">
        <f t="shared" si="18"/>
        <v>44626</v>
      </c>
      <c r="B79" s="1141">
        <v>19.019000000000002</v>
      </c>
      <c r="C79" s="868"/>
      <c r="D79" s="395">
        <f t="shared" ref="D79:D142" si="25">Wh/(1-Ppv)</f>
        <v>19.609110177239625</v>
      </c>
      <c r="E79" s="387">
        <f t="shared" si="1"/>
        <v>22.025902440863852</v>
      </c>
      <c r="F79" s="387">
        <f t="shared" ref="F79:F142" si="26">Wh_sa/(1-Pvg*MEDIAN((-Sdif+Wh/Env_an)/Csdif,0,1))</f>
        <v>22.104155985704512</v>
      </c>
      <c r="G79" s="110">
        <f t="shared" si="19"/>
        <v>0.55723070150697507</v>
      </c>
      <c r="H79" s="416" t="b">
        <f>Wh_hp&gt;='2021'!Maxi_hp</f>
        <v>0</v>
      </c>
      <c r="I79" s="382">
        <f>IF(H79,Wh_hp,'2021'!Maxi_hp)</f>
        <v>24.167812123505598</v>
      </c>
      <c r="J79" s="85">
        <f>IF(H79,An,'2021'!An_max)</f>
        <v>2019</v>
      </c>
      <c r="K79" s="199">
        <f t="shared" ref="K79:K142" si="27">t</f>
        <v>44626</v>
      </c>
      <c r="L79" s="147">
        <f>IF(t&lt;Tvie,1-EXP((T0-t)*PertePVj)+'2021'!Pspv,1-EXP((T0-t)*PertePVj)+Pspv)</f>
        <v>3.0093674414893412E-2</v>
      </c>
      <c r="M79" s="872"/>
      <c r="N79" s="872"/>
      <c r="O79" s="48">
        <f>IF(t&lt;Tnet,'2021'!Resal+('2021'!Salim-'2021'!Resal)*(1-EXP(('2021'!Tnet-t)/('2021'!Tau_j))),Resal+(Salim-Resal)*(1-EXP((Tnet-t)/(Tau_j))))*Salcycl</f>
        <v>0.10972500537096905</v>
      </c>
      <c r="P79" s="341">
        <f>(INDEX(Models!$BJ79:$BT79,,T79)*(1-R79)+INDEX(Models!$BJ79:$BT79,,T79+1)*R79-ERP_i)*Q79*Ramure*Pc/MaxiM</f>
        <v>9.5098115635366132E-3</v>
      </c>
      <c r="Q79" s="307">
        <f t="shared" ref="Q79:Q142" si="28">IF(OR(t&lt;Ttai,Notai),Dd+PousD*Croivg,Dens+PousD*(Croivg-Croi_tai))</f>
        <v>0.9</v>
      </c>
      <c r="R79" s="179">
        <f t="shared" ref="R79:R142" si="29">(Hp_vg-S79)/(INDEX(Echel_vg,T79+1)-S79)</f>
        <v>0.91057606831727345</v>
      </c>
      <c r="S79" s="839">
        <f t="shared" ref="S79:S142" si="30">INDEX(Echel_vg,T79)</f>
        <v>-1</v>
      </c>
      <c r="T79" s="178">
        <f t="shared" ref="T79:T142" si="31">MIN(MATCH(Hp_vg,Echel_vg),10)</f>
        <v>5</v>
      </c>
      <c r="U79" s="253">
        <f t="shared" ref="U79:U142" si="32">IF(OR(t&lt;Ttai,Notai),Hdd+PousH*Croivg,Hdtf+PousH*(Croivg-Croi_tai))</f>
        <v>-8.9423931682726554E-2</v>
      </c>
      <c r="V79" s="385">
        <f t="shared" ref="V79:V142" si="33">MaxiM*(1-Ppv)*(1-Pvg)*(1-Psa)</f>
        <v>33.926811447600016</v>
      </c>
      <c r="W79" s="404">
        <f t="shared" ref="W79:W142" si="34">Wh*(A79&gt;Tmaj)</f>
        <v>0</v>
      </c>
      <c r="X79" s="157">
        <f t="shared" ref="X79:X142" si="35">t</f>
        <v>44626</v>
      </c>
      <c r="Y79" s="387">
        <f t="shared" ref="Y79:Y142" si="36">Wh_pvt_s*(1-Ppv)</f>
        <v>18.114724715372439</v>
      </c>
      <c r="Z79" s="387">
        <f t="shared" ref="Z79:Z142" si="37">Wh_sa_s*(1-Psa_s)</f>
        <v>18.676777578952827</v>
      </c>
      <c r="AA79" s="388">
        <f t="shared" ref="AA79:AA142" si="38">Wh_hp*(1-Pvg_s*MEDIAN((-Sdif+Wh/Env_an)/Csdif,0,1))</f>
        <v>22.025902440863852</v>
      </c>
      <c r="AB79" s="199">
        <f t="shared" ref="AB79:AB142" si="39">t</f>
        <v>44626</v>
      </c>
      <c r="AC79" s="119">
        <f>IF(OR(t&lt;Tnet,NoTnet),'2021'!Resal_s+('2021'!Salim-'2021'!Resal_s)*(1-EXP(('2021'!Tnet_s-t)/'2021'!Tau_j)),Resal_s+(Salim-Resal_s)*(1-EXP((Tnet_s-t)/Tau_j)))*Salcycl</f>
        <v>0.15205392246256005</v>
      </c>
      <c r="AD79" s="233">
        <f>(INDEX(Models!$BJ79:$BT79,,AH79)*(1-AF79)+INDEX(Models!$BJ79:$BT79,,AH79+1)*AF79-ERP_i)*AE79*Ramure*Pc/MaxiM</f>
        <v>9.5098115635366132E-3</v>
      </c>
      <c r="AE79" s="307">
        <f t="shared" ref="AE79:AE142" si="40">IF(OR(t&lt;Ttai,Notai),Dd_s+PousD*Croivg,Dens_s+PousD*(Croivg-Croi_tai))</f>
        <v>0.9</v>
      </c>
      <c r="AF79" s="179">
        <f t="shared" ref="AF79:AF142" si="41">(Hp_vg_s-AG79)/(INDEX(Echel_vg,AH79+1)-AG79)</f>
        <v>0.91057606831727345</v>
      </c>
      <c r="AG79" s="839">
        <f t="shared" si="23"/>
        <v>-1</v>
      </c>
      <c r="AH79" s="178">
        <f t="shared" ref="AH79:AH142" si="42">MIN(MATCH(Hp_vg_s,Echel_vg),10)</f>
        <v>5</v>
      </c>
      <c r="AI79" s="227">
        <f t="shared" ref="AI79:AI142" si="43">IF(OR(t&lt;Ttai,Notai),Hdd_s+PousH*Croivg,Hdtai_s+PousH*(Croivg-Croi_tai))</f>
        <v>-8.9423931682726554E-2</v>
      </c>
      <c r="AJ79" s="267" t="b">
        <f t="shared" ref="AJ79:AJ142" si="44">t&lt;Tnet</f>
        <v>1</v>
      </c>
      <c r="AK79" s="267" t="b">
        <f t="shared" ref="AK79:AK142" si="45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6">A79+1</f>
        <v>44627</v>
      </c>
      <c r="B80" s="1141">
        <v>32.423000000000002</v>
      </c>
      <c r="C80" s="868"/>
      <c r="D80" s="395">
        <f t="shared" si="25"/>
        <v>33.429779446562954</v>
      </c>
      <c r="E80" s="387">
        <f t="shared" ref="E80:E143" si="47">Wh_pvt/(1-Psa)</f>
        <v>37.557011324060909</v>
      </c>
      <c r="F80" s="387">
        <f t="shared" si="26"/>
        <v>37.878473795726443</v>
      </c>
      <c r="G80" s="110">
        <f t="shared" ref="G80:G143" si="48">+Wh_hp/MaxiM</f>
        <v>0.94410366052114292</v>
      </c>
      <c r="H80" s="416" t="b">
        <f>Wh_hp&gt;='2021'!Maxi_hp</f>
        <v>1</v>
      </c>
      <c r="I80" s="382">
        <f>IF(H80,Wh_hp,'2021'!Maxi_hp)</f>
        <v>37.878473795726443</v>
      </c>
      <c r="J80" s="85">
        <f>IF(H80,An,'2021'!An_max)</f>
        <v>2022</v>
      </c>
      <c r="K80" s="199">
        <f t="shared" si="27"/>
        <v>44627</v>
      </c>
      <c r="L80" s="147">
        <f>IF(t&lt;Tvie,1-EXP((T0-t)*PertePVj)+'2021'!Pspv,1-EXP((T0-t)*PertePVj)+Pspv)</f>
        <v>3.011624555203174E-2</v>
      </c>
      <c r="M80" s="872"/>
      <c r="N80" s="872"/>
      <c r="O80" s="48">
        <f>IF(t&lt;Tnet,'2021'!Resal+('2021'!Salim-'2021'!Resal)*(1-EXP(('2021'!Tnet-t)/('2021'!Tau_j))),Resal+(Salim-Resal)*(1-EXP((Tnet-t)/(Tau_j))))*Salcycl</f>
        <v>0.10989244702902763</v>
      </c>
      <c r="P80" s="341">
        <f>(INDEX(Models!$BJ80:$BT80,,T80)*(1-R80)+INDEX(Models!$BJ80:$BT80,,T80+1)*R80-ERP_i)*Q80*Ramure*Pc/MaxiM</f>
        <v>9.213263795358851E-3</v>
      </c>
      <c r="Q80" s="307">
        <f t="shared" si="28"/>
        <v>0.9</v>
      </c>
      <c r="R80" s="179">
        <f t="shared" si="29"/>
        <v>0.91104536056355112</v>
      </c>
      <c r="S80" s="839">
        <f t="shared" si="30"/>
        <v>-1</v>
      </c>
      <c r="T80" s="178">
        <f t="shared" si="31"/>
        <v>5</v>
      </c>
      <c r="U80" s="253">
        <f t="shared" si="32"/>
        <v>-8.8954639436448865E-2</v>
      </c>
      <c r="V80" s="385">
        <f t="shared" si="33"/>
        <v>34.317460757082209</v>
      </c>
      <c r="W80" s="404">
        <f t="shared" si="34"/>
        <v>0</v>
      </c>
      <c r="X80" s="157">
        <f t="shared" si="35"/>
        <v>44627</v>
      </c>
      <c r="Y80" s="387">
        <f t="shared" si="36"/>
        <v>30.885316672849825</v>
      </c>
      <c r="Z80" s="387">
        <f t="shared" si="37"/>
        <v>31.844348903883763</v>
      </c>
      <c r="AA80" s="388">
        <f t="shared" si="38"/>
        <v>37.557011324060909</v>
      </c>
      <c r="AB80" s="199">
        <f t="shared" si="39"/>
        <v>44627</v>
      </c>
      <c r="AC80" s="119">
        <f>IF(OR(t&lt;Tnet,NoTnet),'2021'!Resal_s+('2021'!Salim-'2021'!Resal_s)*(1-EXP(('2021'!Tnet_s-t)/'2021'!Tau_j)),Resal_s+(Salim-Resal_s)*(1-EXP((Tnet_s-t)/Tau_j)))*Salcycl</f>
        <v>0.15210641685211324</v>
      </c>
      <c r="AD80" s="233">
        <f>(INDEX(Models!$BJ80:$BT80,,AH80)*(1-AF80)+INDEX(Models!$BJ80:$BT80,,AH80+1)*AF80-ERP_i)*AE80*Ramure*Pc/MaxiM</f>
        <v>9.213263795358851E-3</v>
      </c>
      <c r="AE80" s="307">
        <f t="shared" si="40"/>
        <v>0.9</v>
      </c>
      <c r="AF80" s="179">
        <f t="shared" si="41"/>
        <v>0.91104536056355112</v>
      </c>
      <c r="AG80" s="839">
        <f t="shared" ref="AG80:AG143" si="49">INDEX(Echel_vg,AH80)</f>
        <v>-1</v>
      </c>
      <c r="AH80" s="178">
        <f t="shared" si="42"/>
        <v>5</v>
      </c>
      <c r="AI80" s="227">
        <f t="shared" si="43"/>
        <v>-8.8954639436448865E-2</v>
      </c>
      <c r="AJ80" s="267" t="b">
        <f t="shared" si="44"/>
        <v>1</v>
      </c>
      <c r="AK80" s="267" t="b">
        <f t="shared" si="45"/>
        <v>0</v>
      </c>
      <c r="AL80" s="267"/>
      <c r="AM80" s="267"/>
      <c r="AN80" s="75"/>
    </row>
    <row r="81" spans="1:40" s="6" customFormat="1" ht="11.25" x14ac:dyDescent="0.2">
      <c r="A81" s="56">
        <f t="shared" si="46"/>
        <v>44628</v>
      </c>
      <c r="B81" s="1141">
        <v>26.154</v>
      </c>
      <c r="C81" s="868"/>
      <c r="D81" s="395">
        <f t="shared" si="25"/>
        <v>26.96674579402492</v>
      </c>
      <c r="E81" s="387">
        <f t="shared" si="47"/>
        <v>30.301743166457925</v>
      </c>
      <c r="F81" s="387">
        <f t="shared" si="26"/>
        <v>30.478520113862707</v>
      </c>
      <c r="G81" s="110">
        <f t="shared" si="48"/>
        <v>0.75110573657448731</v>
      </c>
      <c r="H81" s="416" t="b">
        <f>Wh_hp&gt;='2021'!Maxi_hp</f>
        <v>1</v>
      </c>
      <c r="I81" s="382">
        <f>IF(H81,Wh_hp,'2021'!Maxi_hp)</f>
        <v>30.478520113862707</v>
      </c>
      <c r="J81" s="85">
        <f>IF(H81,An,'2021'!An_max)</f>
        <v>2022</v>
      </c>
      <c r="K81" s="199">
        <f t="shared" si="27"/>
        <v>44628</v>
      </c>
      <c r="L81" s="147">
        <f>IF(t&lt;Tvie,1-EXP((T0-t)*PertePVj)+'2021'!Pspv,1-EXP((T0-t)*PertePVj)+Pspv)</f>
        <v>3.0138816163906679E-2</v>
      </c>
      <c r="M81" s="872"/>
      <c r="N81" s="872"/>
      <c r="O81" s="48">
        <f>IF(t&lt;Tnet,'2021'!Resal+('2021'!Salim-'2021'!Resal)*(1-EXP(('2021'!Tnet-t)/('2021'!Tau_j))),Resal+(Salim-Resal)*(1-EXP((Tnet-t)/(Tau_j))))*Salcycl</f>
        <v>0.11005958812708283</v>
      </c>
      <c r="P81" s="341">
        <f>(INDEX(Models!$BJ81:$BT81,,T81)*(1-R81)+INDEX(Models!$BJ81:$BT81,,T81+1)*R81-ERP_i)*Q81*Ramure*Pc/MaxiM</f>
        <v>8.9527642281532586E-3</v>
      </c>
      <c r="Q81" s="307">
        <f t="shared" si="28"/>
        <v>0.9</v>
      </c>
      <c r="R81" s="179">
        <f t="shared" si="29"/>
        <v>0.91153354682011445</v>
      </c>
      <c r="S81" s="839">
        <f t="shared" si="30"/>
        <v>-1</v>
      </c>
      <c r="T81" s="178">
        <f t="shared" si="31"/>
        <v>5</v>
      </c>
      <c r="U81" s="253">
        <f t="shared" si="32"/>
        <v>-8.8466453179885524E-2</v>
      </c>
      <c r="V81" s="385">
        <f t="shared" si="33"/>
        <v>34.710243323873193</v>
      </c>
      <c r="W81" s="404">
        <f t="shared" si="34"/>
        <v>0</v>
      </c>
      <c r="X81" s="157">
        <f t="shared" si="35"/>
        <v>44628</v>
      </c>
      <c r="Y81" s="387">
        <f t="shared" si="36"/>
        <v>24.916762728925232</v>
      </c>
      <c r="Z81" s="387">
        <f t="shared" si="37"/>
        <v>25.691060890149171</v>
      </c>
      <c r="AA81" s="388">
        <f t="shared" si="38"/>
        <v>30.301743166457925</v>
      </c>
      <c r="AB81" s="199">
        <f t="shared" si="39"/>
        <v>44628</v>
      </c>
      <c r="AC81" s="119">
        <f>IF(OR(t&lt;Tnet,NoTnet),'2021'!Resal_s+('2021'!Salim-'2021'!Resal_s)*(1-EXP(('2021'!Tnet_s-t)/'2021'!Tau_j)),Resal_s+(Salim-Resal_s)*(1-EXP((Tnet_s-t)/Tau_j)))*Salcycl</f>
        <v>0.15215897814791332</v>
      </c>
      <c r="AD81" s="233">
        <f>(INDEX(Models!$BJ81:$BT81,,AH81)*(1-AF81)+INDEX(Models!$BJ81:$BT81,,AH81+1)*AF81-ERP_i)*AE81*Ramure*Pc/MaxiM</f>
        <v>8.9527642281532586E-3</v>
      </c>
      <c r="AE81" s="307">
        <f t="shared" si="40"/>
        <v>0.9</v>
      </c>
      <c r="AF81" s="179">
        <f t="shared" si="41"/>
        <v>0.91153354682011445</v>
      </c>
      <c r="AG81" s="839">
        <f t="shared" si="49"/>
        <v>-1</v>
      </c>
      <c r="AH81" s="178">
        <f t="shared" si="42"/>
        <v>5</v>
      </c>
      <c r="AI81" s="227">
        <f t="shared" si="43"/>
        <v>-8.8466453179885524E-2</v>
      </c>
      <c r="AJ81" s="267" t="b">
        <f t="shared" si="44"/>
        <v>1</v>
      </c>
      <c r="AK81" s="267" t="b">
        <f t="shared" si="45"/>
        <v>0</v>
      </c>
      <c r="AL81" s="267"/>
      <c r="AM81" s="267"/>
      <c r="AN81" s="75"/>
    </row>
    <row r="82" spans="1:40" s="6" customFormat="1" ht="11.25" x14ac:dyDescent="0.2">
      <c r="A82" s="56">
        <f t="shared" si="46"/>
        <v>44629</v>
      </c>
      <c r="B82" s="1141">
        <v>27.23</v>
      </c>
      <c r="C82" s="868"/>
      <c r="D82" s="395">
        <f t="shared" si="25"/>
        <v>28.076836304472103</v>
      </c>
      <c r="E82" s="387">
        <f t="shared" si="47"/>
        <v>31.55503646776079</v>
      </c>
      <c r="F82" s="387">
        <f t="shared" si="26"/>
        <v>31.743294779689986</v>
      </c>
      <c r="G82" s="110">
        <f t="shared" si="48"/>
        <v>0.77350005301539337</v>
      </c>
      <c r="H82" s="416" t="b">
        <f>Wh_hp&gt;='2021'!Maxi_hp</f>
        <v>0</v>
      </c>
      <c r="I82" s="382">
        <f>IF(H82,Wh_hp,'2021'!Maxi_hp)</f>
        <v>39.141345127163731</v>
      </c>
      <c r="J82" s="85">
        <f>IF(H82,An,'2021'!An_max)</f>
        <v>2021</v>
      </c>
      <c r="K82" s="199">
        <f t="shared" si="27"/>
        <v>44629</v>
      </c>
      <c r="L82" s="147">
        <f>IF(t&lt;Tvie,1-EXP((T0-t)*PertePVj)+'2021'!Pspv,1-EXP((T0-t)*PertePVj)+Pspv)</f>
        <v>3.0161386250530553E-2</v>
      </c>
      <c r="M82" s="872"/>
      <c r="N82" s="872"/>
      <c r="O82" s="48">
        <f>IF(t&lt;Tnet,'2021'!Resal+('2021'!Salim-'2021'!Resal)*(1-EXP(('2021'!Tnet-t)/('2021'!Tau_j))),Resal+(Salim-Resal)*(1-EXP((Tnet-t)/(Tau_j))))*Salcycl</f>
        <v>0.11022646628351392</v>
      </c>
      <c r="P82" s="341">
        <f>(INDEX(Models!$BJ82:$BT82,,T82)*(1-R82)+INDEX(Models!$BJ82:$BT82,,T82+1)*R82-ERP_i)*Q82*Ramure*Pc/MaxiM</f>
        <v>8.7273652452935051E-3</v>
      </c>
      <c r="Q82" s="307">
        <f t="shared" si="28"/>
        <v>0.9</v>
      </c>
      <c r="R82" s="179">
        <f t="shared" si="29"/>
        <v>0.91204135387412755</v>
      </c>
      <c r="S82" s="839">
        <f t="shared" si="30"/>
        <v>-1</v>
      </c>
      <c r="T82" s="178">
        <f t="shared" si="31"/>
        <v>5</v>
      </c>
      <c r="U82" s="253">
        <f t="shared" si="32"/>
        <v>-8.7958646125872425E-2</v>
      </c>
      <c r="V82" s="385">
        <f t="shared" si="33"/>
        <v>35.104575554291365</v>
      </c>
      <c r="W82" s="404">
        <f t="shared" si="34"/>
        <v>0</v>
      </c>
      <c r="X82" s="157">
        <f t="shared" si="35"/>
        <v>44629</v>
      </c>
      <c r="Y82" s="387">
        <f t="shared" si="36"/>
        <v>25.945114935985526</v>
      </c>
      <c r="Z82" s="387">
        <f t="shared" si="37"/>
        <v>26.751992102768263</v>
      </c>
      <c r="AA82" s="388">
        <f t="shared" si="38"/>
        <v>31.55503646776079</v>
      </c>
      <c r="AB82" s="199">
        <f t="shared" si="39"/>
        <v>44629</v>
      </c>
      <c r="AC82" s="119">
        <f>IF(OR(t&lt;Tnet,NoTnet),'2021'!Resal_s+('2021'!Salim-'2021'!Resal_s)*(1-EXP(('2021'!Tnet_s-t)/'2021'!Tau_j)),Resal_s+(Salim-Resal_s)*(1-EXP((Tnet_s-t)/Tau_j)))*Salcycl</f>
        <v>0.1522116562882033</v>
      </c>
      <c r="AD82" s="233">
        <f>(INDEX(Models!$BJ82:$BT82,,AH82)*(1-AF82)+INDEX(Models!$BJ82:$BT82,,AH82+1)*AF82-ERP_i)*AE82*Ramure*Pc/MaxiM</f>
        <v>8.7273652452935051E-3</v>
      </c>
      <c r="AE82" s="307">
        <f t="shared" si="40"/>
        <v>0.9</v>
      </c>
      <c r="AF82" s="179">
        <f t="shared" si="41"/>
        <v>0.91204135387412755</v>
      </c>
      <c r="AG82" s="839">
        <f t="shared" si="49"/>
        <v>-1</v>
      </c>
      <c r="AH82" s="178">
        <f t="shared" si="42"/>
        <v>5</v>
      </c>
      <c r="AI82" s="227">
        <f t="shared" si="43"/>
        <v>-8.7958646125872425E-2</v>
      </c>
      <c r="AJ82" s="267" t="b">
        <f t="shared" si="44"/>
        <v>1</v>
      </c>
      <c r="AK82" s="267" t="b">
        <f t="shared" si="45"/>
        <v>0</v>
      </c>
      <c r="AL82" s="267"/>
      <c r="AM82" s="267"/>
      <c r="AN82" s="75"/>
    </row>
    <row r="83" spans="1:40" s="6" customFormat="1" ht="11.25" x14ac:dyDescent="0.2">
      <c r="A83" s="56">
        <f t="shared" si="46"/>
        <v>44630</v>
      </c>
      <c r="B83" s="1141">
        <v>19.099</v>
      </c>
      <c r="C83" s="868"/>
      <c r="D83" s="395">
        <f t="shared" si="25"/>
        <v>19.693425484612806</v>
      </c>
      <c r="E83" s="387">
        <f t="shared" si="47"/>
        <v>22.137222600242261</v>
      </c>
      <c r="F83" s="387">
        <f t="shared" si="26"/>
        <v>22.201658659863956</v>
      </c>
      <c r="G83" s="110">
        <f t="shared" si="48"/>
        <v>0.53496207819910069</v>
      </c>
      <c r="H83" s="416" t="b">
        <f>Wh_hp&gt;='2021'!Maxi_hp</f>
        <v>0</v>
      </c>
      <c r="I83" s="382">
        <f>IF(H83,Wh_hp,'2021'!Maxi_hp)</f>
        <v>39.134897044525324</v>
      </c>
      <c r="J83" s="85">
        <f>IF(H83,An,'2021'!An_max)</f>
        <v>2021</v>
      </c>
      <c r="K83" s="199">
        <f t="shared" si="27"/>
        <v>44630</v>
      </c>
      <c r="L83" s="147">
        <f>IF(t&lt;Tvie,1-EXP((T0-t)*PertePVj)+'2021'!Pspv,1-EXP((T0-t)*PertePVj)+Pspv)</f>
        <v>3.0183955811915575E-2</v>
      </c>
      <c r="M83" s="872"/>
      <c r="N83" s="872"/>
      <c r="O83" s="48">
        <f>IF(t&lt;Tnet,'2021'!Resal+('2021'!Salim-'2021'!Resal)*(1-EXP(('2021'!Tnet-t)/('2021'!Tau_j))),Resal+(Salim-Resal)*(1-EXP((Tnet-t)/(Tau_j))))*Salcycl</f>
        <v>0.11039312201715458</v>
      </c>
      <c r="P83" s="341">
        <f>(INDEX(Models!$BJ83:$BT83,,T83)*(1-R83)+INDEX(Models!$BJ83:$BT83,,T83+1)*R83-ERP_i)*Q83*Ramure*Pc/MaxiM</f>
        <v>8.5361326048185911E-3</v>
      </c>
      <c r="Q83" s="307">
        <f t="shared" si="28"/>
        <v>0.9</v>
      </c>
      <c r="R83" s="179">
        <f t="shared" si="29"/>
        <v>0.91256953363426874</v>
      </c>
      <c r="S83" s="839">
        <f t="shared" si="30"/>
        <v>-1</v>
      </c>
      <c r="T83" s="178">
        <f t="shared" si="31"/>
        <v>5</v>
      </c>
      <c r="U83" s="253">
        <f t="shared" si="32"/>
        <v>-8.7430466365731319E-2</v>
      </c>
      <c r="V83" s="385">
        <f t="shared" si="33"/>
        <v>35.499874040022952</v>
      </c>
      <c r="W83" s="404">
        <f t="shared" si="34"/>
        <v>0</v>
      </c>
      <c r="X83" s="157">
        <f t="shared" si="35"/>
        <v>44630</v>
      </c>
      <c r="Y83" s="387">
        <f t="shared" si="36"/>
        <v>18.20006186993378</v>
      </c>
      <c r="Z83" s="387">
        <f t="shared" si="37"/>
        <v>18.766509359175018</v>
      </c>
      <c r="AA83" s="388">
        <f t="shared" si="38"/>
        <v>22.137222600242261</v>
      </c>
      <c r="AB83" s="199">
        <f t="shared" si="39"/>
        <v>44630</v>
      </c>
      <c r="AC83" s="119">
        <f>IF(OR(t&lt;Tnet,NoTnet),'2021'!Resal_s+('2021'!Salim-'2021'!Resal_s)*(1-EXP(('2021'!Tnet_s-t)/'2021'!Tau_j)),Resal_s+(Salim-Resal_s)*(1-EXP((Tnet_s-t)/Tau_j)))*Salcycl</f>
        <v>0.15226450498945399</v>
      </c>
      <c r="AD83" s="233">
        <f>(INDEX(Models!$BJ83:$BT83,,AH83)*(1-AF83)+INDEX(Models!$BJ83:$BT83,,AH83+1)*AF83-ERP_i)*AE83*Ramure*Pc/MaxiM</f>
        <v>8.5361326048185911E-3</v>
      </c>
      <c r="AE83" s="307">
        <f t="shared" si="40"/>
        <v>0.9</v>
      </c>
      <c r="AF83" s="179">
        <f t="shared" si="41"/>
        <v>0.91256953363426874</v>
      </c>
      <c r="AG83" s="839">
        <f t="shared" si="49"/>
        <v>-1</v>
      </c>
      <c r="AH83" s="178">
        <f t="shared" si="42"/>
        <v>5</v>
      </c>
      <c r="AI83" s="227">
        <f t="shared" si="43"/>
        <v>-8.7430466365731319E-2</v>
      </c>
      <c r="AJ83" s="267" t="b">
        <f t="shared" si="44"/>
        <v>1</v>
      </c>
      <c r="AK83" s="267" t="b">
        <f t="shared" si="45"/>
        <v>0</v>
      </c>
      <c r="AL83" s="267"/>
      <c r="AM83" s="267"/>
      <c r="AN83" s="75"/>
    </row>
    <row r="84" spans="1:40" s="6" customFormat="1" ht="11.25" x14ac:dyDescent="0.2">
      <c r="A84" s="56">
        <f t="shared" si="46"/>
        <v>44631</v>
      </c>
      <c r="B84" s="1141">
        <v>13.583</v>
      </c>
      <c r="C84" s="868"/>
      <c r="D84" s="395">
        <f t="shared" si="25"/>
        <v>14.006074847917606</v>
      </c>
      <c r="E84" s="387">
        <f t="shared" si="47"/>
        <v>15.747063914086914</v>
      </c>
      <c r="F84" s="387">
        <f t="shared" si="26"/>
        <v>15.761854736446526</v>
      </c>
      <c r="G84" s="110">
        <f t="shared" si="48"/>
        <v>0.37558551890800074</v>
      </c>
      <c r="H84" s="416" t="b">
        <f>Wh_hp&gt;='2021'!Maxi_hp</f>
        <v>0</v>
      </c>
      <c r="I84" s="382">
        <f>IF(H84,Wh_hp,'2021'!Maxi_hp)</f>
        <v>33.079373904008349</v>
      </c>
      <c r="J84" s="85">
        <f>IF(H84,An,'2021'!An_max)</f>
        <v>2019</v>
      </c>
      <c r="K84" s="199">
        <f t="shared" si="27"/>
        <v>44631</v>
      </c>
      <c r="L84" s="147">
        <f>IF(t&lt;Tvie,1-EXP((T0-t)*PertePVj)+'2021'!Pspv,1-EXP((T0-t)*PertePVj)+Pspv)</f>
        <v>3.0206524848073846E-2</v>
      </c>
      <c r="M84" s="872"/>
      <c r="N84" s="872"/>
      <c r="O84" s="48">
        <f>IF(t&lt;Tnet,'2021'!Resal+('2021'!Salim-'2021'!Resal)*(1-EXP(('2021'!Tnet-t)/('2021'!Tau_j))),Resal+(Salim-Resal)*(1-EXP((Tnet-t)/(Tau_j))))*Salcycl</f>
        <v>0.11055959864440916</v>
      </c>
      <c r="P84" s="341">
        <f>(INDEX(Models!$BJ84:$BT84,,T84)*(1-R84)+INDEX(Models!$BJ84:$BT84,,T84+1)*R84-ERP_i)*Q84*Ramure*Pc/MaxiM</f>
        <v>8.3781510240395519E-3</v>
      </c>
      <c r="Q84" s="307">
        <f t="shared" si="28"/>
        <v>0.9</v>
      </c>
      <c r="R84" s="179">
        <f t="shared" si="29"/>
        <v>0.91311886375908646</v>
      </c>
      <c r="S84" s="839">
        <f t="shared" si="30"/>
        <v>-1</v>
      </c>
      <c r="T84" s="178">
        <f t="shared" si="31"/>
        <v>5</v>
      </c>
      <c r="U84" s="253">
        <f t="shared" si="32"/>
        <v>-8.6881136240913509E-2</v>
      </c>
      <c r="V84" s="385">
        <f t="shared" si="33"/>
        <v>35.895555545723496</v>
      </c>
      <c r="W84" s="404">
        <f t="shared" si="34"/>
        <v>0</v>
      </c>
      <c r="X84" s="157">
        <f t="shared" si="35"/>
        <v>44631</v>
      </c>
      <c r="Y84" s="387">
        <f t="shared" si="36"/>
        <v>12.945297146146258</v>
      </c>
      <c r="Z84" s="387">
        <f t="shared" si="37"/>
        <v>13.348509221634297</v>
      </c>
      <c r="AA84" s="388">
        <f t="shared" si="38"/>
        <v>15.747063914086914</v>
      </c>
      <c r="AB84" s="199">
        <f t="shared" si="39"/>
        <v>44631</v>
      </c>
      <c r="AC84" s="119">
        <f>IF(OR(t&lt;Tnet,NoTnet),'2021'!Resal_s+('2021'!Salim-'2021'!Resal_s)*(1-EXP(('2021'!Tnet_s-t)/'2021'!Tau_j)),Resal_s+(Salim-Resal_s)*(1-EXP((Tnet_s-t)/Tau_j)))*Salcycl</f>
        <v>0.15231758158464903</v>
      </c>
      <c r="AD84" s="233">
        <f>(INDEX(Models!$BJ84:$BT84,,AH84)*(1-AF84)+INDEX(Models!$BJ84:$BT84,,AH84+1)*AF84-ERP_i)*AE84*Ramure*Pc/MaxiM</f>
        <v>8.3781510240395519E-3</v>
      </c>
      <c r="AE84" s="307">
        <f t="shared" si="40"/>
        <v>0.9</v>
      </c>
      <c r="AF84" s="179">
        <f t="shared" si="41"/>
        <v>0.91311886375908646</v>
      </c>
      <c r="AG84" s="839">
        <f t="shared" si="49"/>
        <v>-1</v>
      </c>
      <c r="AH84" s="178">
        <f t="shared" si="42"/>
        <v>5</v>
      </c>
      <c r="AI84" s="227">
        <f t="shared" si="43"/>
        <v>-8.6881136240913509E-2</v>
      </c>
      <c r="AJ84" s="267" t="b">
        <f t="shared" si="44"/>
        <v>1</v>
      </c>
      <c r="AK84" s="267" t="b">
        <f t="shared" si="45"/>
        <v>0</v>
      </c>
      <c r="AL84" s="267"/>
      <c r="AM84" s="267"/>
      <c r="AN84" s="75"/>
    </row>
    <row r="85" spans="1:40" s="6" customFormat="1" ht="11.25" x14ac:dyDescent="0.2">
      <c r="A85" s="56">
        <f t="shared" si="46"/>
        <v>44632</v>
      </c>
      <c r="B85" s="1141">
        <v>12.874000000000001</v>
      </c>
      <c r="C85" s="868"/>
      <c r="D85" s="395">
        <f t="shared" si="25"/>
        <v>13.275300291892616</v>
      </c>
      <c r="E85" s="387">
        <f t="shared" si="47"/>
        <v>14.928244195223712</v>
      </c>
      <c r="F85" s="387">
        <f t="shared" si="26"/>
        <v>14.937884896362887</v>
      </c>
      <c r="G85" s="110">
        <f t="shared" si="48"/>
        <v>0.35204291328130644</v>
      </c>
      <c r="H85" s="416" t="b">
        <f>Wh_hp&gt;='2021'!Maxi_hp</f>
        <v>0</v>
      </c>
      <c r="I85" s="382">
        <f>IF(H85,Wh_hp,'2021'!Maxi_hp)</f>
        <v>39.985849154638863</v>
      </c>
      <c r="J85" s="85">
        <f>IF(H85,An,'2021'!An_max)</f>
        <v>2020</v>
      </c>
      <c r="K85" s="199">
        <f t="shared" si="27"/>
        <v>44632</v>
      </c>
      <c r="L85" s="147">
        <f>IF(t&lt;Tvie,1-EXP((T0-t)*PertePVj)+'2021'!Pspv,1-EXP((T0-t)*PertePVj)+Pspv)</f>
        <v>3.0229093359017689E-2</v>
      </c>
      <c r="M85" s="872"/>
      <c r="N85" s="872"/>
      <c r="O85" s="48">
        <f>IF(t&lt;Tnet,'2021'!Resal+('2021'!Salim-'2021'!Resal)*(1-EXP(('2021'!Tnet-t)/('2021'!Tau_j))),Resal+(Salim-Resal)*(1-EXP((Tnet-t)/(Tau_j))))*Salcycl</f>
        <v>0.11072594216136644</v>
      </c>
      <c r="P85" s="341">
        <f>(INDEX(Models!$BJ85:$BT85,,T85)*(1-R85)+INDEX(Models!$BJ85:$BT85,,T85+1)*R85-ERP_i)*Q85*Ramure*Pc/MaxiM</f>
        <v>8.252529101363159E-3</v>
      </c>
      <c r="Q85" s="307">
        <f t="shared" si="28"/>
        <v>0.9</v>
      </c>
      <c r="R85" s="179">
        <f t="shared" si="29"/>
        <v>0.91369014827952744</v>
      </c>
      <c r="S85" s="839">
        <f t="shared" si="30"/>
        <v>-1</v>
      </c>
      <c r="T85" s="178">
        <f t="shared" si="31"/>
        <v>5</v>
      </c>
      <c r="U85" s="253">
        <f t="shared" si="32"/>
        <v>-8.6309851720472536E-2</v>
      </c>
      <c r="V85" s="385">
        <f t="shared" si="33"/>
        <v>36.291037003977188</v>
      </c>
      <c r="W85" s="404">
        <f t="shared" si="34"/>
        <v>0</v>
      </c>
      <c r="X85" s="157">
        <f t="shared" si="35"/>
        <v>44632</v>
      </c>
      <c r="Y85" s="387">
        <f t="shared" si="36"/>
        <v>12.271106228911293</v>
      </c>
      <c r="Z85" s="387">
        <f t="shared" si="37"/>
        <v>12.653613492505157</v>
      </c>
      <c r="AA85" s="388">
        <f t="shared" si="38"/>
        <v>14.928244195223712</v>
      </c>
      <c r="AB85" s="199">
        <f t="shared" si="39"/>
        <v>44632</v>
      </c>
      <c r="AC85" s="119">
        <f>IF(OR(t&lt;Tnet,NoTnet),'2021'!Resal_s+('2021'!Salim-'2021'!Resal_s)*(1-EXP(('2021'!Tnet_s-t)/'2021'!Tau_j)),Resal_s+(Salim-Resal_s)*(1-EXP((Tnet_s-t)/Tau_j)))*Salcycl</f>
        <v>0.15237094684224975</v>
      </c>
      <c r="AD85" s="233">
        <f>(INDEX(Models!$BJ85:$BT85,,AH85)*(1-AF85)+INDEX(Models!$BJ85:$BT85,,AH85+1)*AF85-ERP_i)*AE85*Ramure*Pc/MaxiM</f>
        <v>8.252529101363159E-3</v>
      </c>
      <c r="AE85" s="307">
        <f t="shared" si="40"/>
        <v>0.9</v>
      </c>
      <c r="AF85" s="179">
        <f t="shared" si="41"/>
        <v>0.91369014827952744</v>
      </c>
      <c r="AG85" s="839">
        <f t="shared" si="49"/>
        <v>-1</v>
      </c>
      <c r="AH85" s="178">
        <f t="shared" si="42"/>
        <v>5</v>
      </c>
      <c r="AI85" s="227">
        <f t="shared" si="43"/>
        <v>-8.6309851720472536E-2</v>
      </c>
      <c r="AJ85" s="267" t="b">
        <f t="shared" si="44"/>
        <v>1</v>
      </c>
      <c r="AK85" s="267" t="b">
        <f t="shared" si="45"/>
        <v>0</v>
      </c>
      <c r="AL85" s="267"/>
      <c r="AM85" s="267"/>
      <c r="AN85" s="75"/>
    </row>
    <row r="86" spans="1:40" s="6" customFormat="1" ht="11.25" x14ac:dyDescent="0.2">
      <c r="A86" s="56">
        <f t="shared" si="46"/>
        <v>44633</v>
      </c>
      <c r="B86" s="1141">
        <v>8.5</v>
      </c>
      <c r="C86" s="868"/>
      <c r="D86" s="395">
        <f t="shared" si="25"/>
        <v>8.765160672290536</v>
      </c>
      <c r="E86" s="387">
        <f t="shared" si="47"/>
        <v>9.8583778966461146</v>
      </c>
      <c r="F86" s="387">
        <f t="shared" si="26"/>
        <v>9.8583778966461146</v>
      </c>
      <c r="G86" s="110">
        <f t="shared" si="48"/>
        <v>0.22980740206392</v>
      </c>
      <c r="H86" s="416" t="b">
        <f>Wh_hp&gt;='2021'!Maxi_hp</f>
        <v>0</v>
      </c>
      <c r="I86" s="382">
        <f>IF(H86,Wh_hp,'2021'!Maxi_hp)</f>
        <v>40.053703033892276</v>
      </c>
      <c r="J86" s="85">
        <f>IF(H86,An,'2021'!An_max)</f>
        <v>2021</v>
      </c>
      <c r="K86" s="199">
        <f t="shared" si="27"/>
        <v>44633</v>
      </c>
      <c r="L86" s="147">
        <f>IF(t&lt;Tvie,1-EXP((T0-t)*PertePVj)+'2021'!Pspv,1-EXP((T0-t)*PertePVj)+Pspv)</f>
        <v>3.0251661344759317E-2</v>
      </c>
      <c r="M86" s="872"/>
      <c r="N86" s="872"/>
      <c r="O86" s="48">
        <f>IF(t&lt;Tnet,'2021'!Resal+('2021'!Salim-'2021'!Resal)*(1-EXP(('2021'!Tnet-t)/('2021'!Tau_j))),Resal+(Salim-Resal)*(1-EXP((Tnet-t)/(Tau_j))))*Salcycl</f>
        <v>0.110892201112264</v>
      </c>
      <c r="P86" s="341">
        <f>(INDEX(Models!$BJ86:$BT86,,T86)*(1-R86)+INDEX(Models!$BJ86:$BT86,,T86+1)*R86-ERP_i)*Q86*Ramure*Pc/MaxiM</f>
        <v>8.1539579528238995E-3</v>
      </c>
      <c r="Q86" s="307">
        <f t="shared" si="28"/>
        <v>0.9</v>
      </c>
      <c r="R86" s="179">
        <f t="shared" si="29"/>
        <v>0.91428421821314987</v>
      </c>
      <c r="S86" s="839">
        <f t="shared" si="30"/>
        <v>-1</v>
      </c>
      <c r="T86" s="178">
        <f t="shared" si="31"/>
        <v>5</v>
      </c>
      <c r="U86" s="253">
        <f t="shared" si="32"/>
        <v>-8.5715781786850159E-2</v>
      </c>
      <c r="V86" s="385">
        <f t="shared" si="33"/>
        <v>36.685899939184871</v>
      </c>
      <c r="W86" s="404">
        <f t="shared" si="34"/>
        <v>0</v>
      </c>
      <c r="X86" s="157">
        <f t="shared" si="35"/>
        <v>44633</v>
      </c>
      <c r="Y86" s="387">
        <f t="shared" si="36"/>
        <v>8.1029436008614351</v>
      </c>
      <c r="Z86" s="387">
        <f t="shared" si="37"/>
        <v>8.3557179505951673</v>
      </c>
      <c r="AA86" s="388">
        <f t="shared" si="38"/>
        <v>9.8583778966461146</v>
      </c>
      <c r="AB86" s="199">
        <f t="shared" si="39"/>
        <v>44633</v>
      </c>
      <c r="AC86" s="119">
        <f>IF(OR(t&lt;Tnet,NoTnet),'2021'!Resal_s+('2021'!Salim-'2021'!Resal_s)*(1-EXP(('2021'!Tnet_s-t)/'2021'!Tau_j)),Resal_s+(Salim-Resal_s)*(1-EXP((Tnet_s-t)/Tau_j)))*Salcycl</f>
        <v>0.15242466476783806</v>
      </c>
      <c r="AD86" s="233">
        <f>(INDEX(Models!$BJ86:$BT86,,AH86)*(1-AF86)+INDEX(Models!$BJ86:$BT86,,AH86+1)*AF86-ERP_i)*AE86*Ramure*Pc/MaxiM</f>
        <v>8.1539579528238995E-3</v>
      </c>
      <c r="AE86" s="307">
        <f t="shared" si="40"/>
        <v>0.9</v>
      </c>
      <c r="AF86" s="179">
        <f t="shared" si="41"/>
        <v>0.91428421821314987</v>
      </c>
      <c r="AG86" s="839">
        <f t="shared" si="49"/>
        <v>-1</v>
      </c>
      <c r="AH86" s="178">
        <f t="shared" si="42"/>
        <v>5</v>
      </c>
      <c r="AI86" s="227">
        <f t="shared" si="43"/>
        <v>-8.5715781786850159E-2</v>
      </c>
      <c r="AJ86" s="267" t="b">
        <f t="shared" si="44"/>
        <v>1</v>
      </c>
      <c r="AK86" s="267" t="b">
        <f t="shared" si="45"/>
        <v>0</v>
      </c>
      <c r="AL86" s="267"/>
      <c r="AM86" s="267"/>
      <c r="AN86" s="75"/>
    </row>
    <row r="87" spans="1:40" s="6" customFormat="1" ht="11.25" x14ac:dyDescent="0.2">
      <c r="A87" s="56">
        <f t="shared" si="46"/>
        <v>44634</v>
      </c>
      <c r="B87" s="1141">
        <v>11.707000000000001</v>
      </c>
      <c r="C87" s="868"/>
      <c r="D87" s="395">
        <f t="shared" si="25"/>
        <v>12.072485178543968</v>
      </c>
      <c r="E87" s="387">
        <f t="shared" si="47"/>
        <v>13.580740891973782</v>
      </c>
      <c r="F87" s="387">
        <f t="shared" si="26"/>
        <v>13.583199545042334</v>
      </c>
      <c r="G87" s="110">
        <f t="shared" si="48"/>
        <v>0.31323156994643919</v>
      </c>
      <c r="H87" s="416" t="b">
        <f>Wh_hp&gt;='2021'!Maxi_hp</f>
        <v>0</v>
      </c>
      <c r="I87" s="382">
        <f>IF(H87,Wh_hp,'2021'!Maxi_hp)</f>
        <v>37.84988818165337</v>
      </c>
      <c r="J87" s="85">
        <f>IF(H87,An,'2021'!An_max)</f>
        <v>2020</v>
      </c>
      <c r="K87" s="199">
        <f t="shared" si="27"/>
        <v>44634</v>
      </c>
      <c r="L87" s="147">
        <f>IF(t&lt;Tvie,1-EXP((T0-t)*PertePVj)+'2021'!Pspv,1-EXP((T0-t)*PertePVj)+Pspv)</f>
        <v>3.0274228805311054E-2</v>
      </c>
      <c r="M87" s="872"/>
      <c r="N87" s="872"/>
      <c r="O87" s="48">
        <f>IF(t&lt;Tnet,'2021'!Resal+('2021'!Salim-'2021'!Resal)*(1-EXP(('2021'!Tnet-t)/('2021'!Tau_j))),Resal+(Salim-Resal)*(1-EXP((Tnet-t)/(Tau_j))))*Salcycl</f>
        <v>0.1110584264457319</v>
      </c>
      <c r="P87" s="341">
        <f>(INDEX(Models!$BJ87:$BT87,,T87)*(1-R87)+INDEX(Models!$BJ87:$BT87,,T87+1)*R87-ERP_i)*Q87*Ramure*Pc/MaxiM</f>
        <v>8.0602781707634508E-3</v>
      </c>
      <c r="Q87" s="307">
        <f t="shared" si="28"/>
        <v>0.9</v>
      </c>
      <c r="R87" s="179">
        <f t="shared" si="29"/>
        <v>0.9149019321673052</v>
      </c>
      <c r="S87" s="839">
        <f t="shared" si="30"/>
        <v>-1</v>
      </c>
      <c r="T87" s="178">
        <f t="shared" si="31"/>
        <v>5</v>
      </c>
      <c r="U87" s="253">
        <f t="shared" si="32"/>
        <v>-8.5098067832694843E-2</v>
      </c>
      <c r="V87" s="385">
        <f t="shared" si="33"/>
        <v>37.080364133915985</v>
      </c>
      <c r="W87" s="404">
        <f t="shared" si="34"/>
        <v>0</v>
      </c>
      <c r="X87" s="157">
        <f t="shared" si="35"/>
        <v>44634</v>
      </c>
      <c r="Y87" s="387">
        <f t="shared" si="36"/>
        <v>11.16151044746748</v>
      </c>
      <c r="Z87" s="387">
        <f t="shared" si="37"/>
        <v>11.509965785189612</v>
      </c>
      <c r="AA87" s="388">
        <f t="shared" si="38"/>
        <v>13.580740891973782</v>
      </c>
      <c r="AB87" s="199">
        <f t="shared" si="39"/>
        <v>44634</v>
      </c>
      <c r="AC87" s="119">
        <f>IF(OR(t&lt;Tnet,NoTnet),'2021'!Resal_s+('2021'!Salim-'2021'!Resal_s)*(1-EXP(('2021'!Tnet_s-t)/'2021'!Tau_j)),Resal_s+(Salim-Resal_s)*(1-EXP((Tnet_s-t)/Tau_j)))*Salcycl</f>
        <v>0.15247880239052336</v>
      </c>
      <c r="AD87" s="233">
        <f>(INDEX(Models!$BJ87:$BT87,,AH87)*(1-AF87)+INDEX(Models!$BJ87:$BT87,,AH87+1)*AF87-ERP_i)*AE87*Ramure*Pc/MaxiM</f>
        <v>8.0602781707634508E-3</v>
      </c>
      <c r="AE87" s="307">
        <f t="shared" si="40"/>
        <v>0.9</v>
      </c>
      <c r="AF87" s="179">
        <f t="shared" si="41"/>
        <v>0.9149019321673052</v>
      </c>
      <c r="AG87" s="839">
        <f t="shared" si="49"/>
        <v>-1</v>
      </c>
      <c r="AH87" s="178">
        <f t="shared" si="42"/>
        <v>5</v>
      </c>
      <c r="AI87" s="227">
        <f t="shared" si="43"/>
        <v>-8.5098067832694843E-2</v>
      </c>
      <c r="AJ87" s="267" t="b">
        <f t="shared" si="44"/>
        <v>1</v>
      </c>
      <c r="AK87" s="267" t="b">
        <f t="shared" si="45"/>
        <v>0</v>
      </c>
      <c r="AL87" s="267"/>
      <c r="AM87" s="267"/>
      <c r="AN87" s="75"/>
    </row>
    <row r="88" spans="1:40" s="6" customFormat="1" ht="11.25" x14ac:dyDescent="0.2">
      <c r="A88" s="56">
        <f t="shared" si="46"/>
        <v>44635</v>
      </c>
      <c r="B88" s="1141">
        <v>13.528</v>
      </c>
      <c r="C88" s="868"/>
      <c r="D88" s="395">
        <f t="shared" si="25"/>
        <v>13.950660305730395</v>
      </c>
      <c r="E88" s="387">
        <f t="shared" si="47"/>
        <v>15.69649815446874</v>
      </c>
      <c r="F88" s="387">
        <f t="shared" si="26"/>
        <v>15.707409125689908</v>
      </c>
      <c r="G88" s="110">
        <f t="shared" si="48"/>
        <v>0.35836967090596028</v>
      </c>
      <c r="H88" s="416" t="b">
        <f>Wh_hp&gt;='2021'!Maxi_hp</f>
        <v>0</v>
      </c>
      <c r="I88" s="382">
        <f>IF(H88,Wh_hp,'2021'!Maxi_hp)</f>
        <v>32.044042478479284</v>
      </c>
      <c r="J88" s="85">
        <f>IF(H88,An,'2021'!An_max)</f>
        <v>2020</v>
      </c>
      <c r="K88" s="199">
        <f t="shared" si="27"/>
        <v>44635</v>
      </c>
      <c r="L88" s="147">
        <f>IF(t&lt;Tvie,1-EXP((T0-t)*PertePVj)+'2021'!Pspv,1-EXP((T0-t)*PertePVj)+Pspv)</f>
        <v>3.029679574068489E-2</v>
      </c>
      <c r="M88" s="872"/>
      <c r="N88" s="872"/>
      <c r="O88" s="48">
        <f>IF(t&lt;Tnet,'2021'!Resal+('2021'!Salim-'2021'!Resal)*(1-EXP(('2021'!Tnet-t)/('2021'!Tau_j))),Resal+(Salim-Resal)*(1-EXP((Tnet-t)/(Tau_j))))*Salcycl</f>
        <v>0.11122467136030018</v>
      </c>
      <c r="P88" s="341">
        <f>(INDEX(Models!$BJ88:$BT88,,T88)*(1-R88)+INDEX(Models!$BJ88:$BT88,,T88+1)*R88-ERP_i)*Q88*Ramure*Pc/MaxiM</f>
        <v>7.9714679151526632E-3</v>
      </c>
      <c r="Q88" s="307">
        <f t="shared" si="28"/>
        <v>0.9</v>
      </c>
      <c r="R88" s="179">
        <f t="shared" si="29"/>
        <v>0.91554417692831791</v>
      </c>
      <c r="S88" s="839">
        <f t="shared" si="30"/>
        <v>-1</v>
      </c>
      <c r="T88" s="178">
        <f t="shared" si="31"/>
        <v>5</v>
      </c>
      <c r="U88" s="253">
        <f t="shared" si="32"/>
        <v>-8.4455823071682035E-2</v>
      </c>
      <c r="V88" s="385">
        <f t="shared" si="33"/>
        <v>37.473848133989783</v>
      </c>
      <c r="W88" s="404">
        <f t="shared" si="34"/>
        <v>0</v>
      </c>
      <c r="X88" s="157">
        <f t="shared" si="35"/>
        <v>44635</v>
      </c>
      <c r="Y88" s="387">
        <f t="shared" si="36"/>
        <v>12.899241682125041</v>
      </c>
      <c r="Z88" s="387">
        <f t="shared" si="37"/>
        <v>13.302257459258188</v>
      </c>
      <c r="AA88" s="388">
        <f t="shared" si="38"/>
        <v>15.69649815446874</v>
      </c>
      <c r="AB88" s="199">
        <f t="shared" si="39"/>
        <v>44635</v>
      </c>
      <c r="AC88" s="119">
        <f>IF(OR(t&lt;Tnet,NoTnet),'2021'!Resal_s+('2021'!Salim-'2021'!Resal_s)*(1-EXP(('2021'!Tnet_s-t)/'2021'!Tau_j)),Resal_s+(Salim-Resal_s)*(1-EXP((Tnet_s-t)/Tau_j)))*Salcycl</f>
        <v>0.15253342953625107</v>
      </c>
      <c r="AD88" s="233">
        <f>(INDEX(Models!$BJ88:$BT88,,AH88)*(1-AF88)+INDEX(Models!$BJ88:$BT88,,AH88+1)*AF88-ERP_i)*AE88*Ramure*Pc/MaxiM</f>
        <v>7.9714679151526632E-3</v>
      </c>
      <c r="AE88" s="307">
        <f t="shared" si="40"/>
        <v>0.9</v>
      </c>
      <c r="AF88" s="179">
        <f t="shared" si="41"/>
        <v>0.91554417692831791</v>
      </c>
      <c r="AG88" s="839">
        <f t="shared" si="49"/>
        <v>-1</v>
      </c>
      <c r="AH88" s="178">
        <f t="shared" si="42"/>
        <v>5</v>
      </c>
      <c r="AI88" s="227">
        <f t="shared" si="43"/>
        <v>-8.4455823071682035E-2</v>
      </c>
      <c r="AJ88" s="267" t="b">
        <f t="shared" si="44"/>
        <v>1</v>
      </c>
      <c r="AK88" s="267" t="b">
        <f t="shared" si="45"/>
        <v>0</v>
      </c>
      <c r="AL88" s="267"/>
      <c r="AM88" s="267"/>
      <c r="AN88" s="75"/>
    </row>
    <row r="89" spans="1:40" s="6" customFormat="1" ht="11.25" x14ac:dyDescent="0.2">
      <c r="A89" s="56">
        <f t="shared" si="46"/>
        <v>44636</v>
      </c>
      <c r="B89" s="1141">
        <v>11.872</v>
      </c>
      <c r="C89" s="868"/>
      <c r="D89" s="395">
        <f t="shared" si="25"/>
        <v>12.243206202749215</v>
      </c>
      <c r="E89" s="387">
        <f t="shared" si="47"/>
        <v>13.777945171257713</v>
      </c>
      <c r="F89" s="387">
        <f t="shared" si="26"/>
        <v>13.780045770535084</v>
      </c>
      <c r="G89" s="110">
        <f t="shared" si="48"/>
        <v>0.31110301151807224</v>
      </c>
      <c r="H89" s="416" t="b">
        <f>Wh_hp&gt;='2021'!Maxi_hp</f>
        <v>0</v>
      </c>
      <c r="I89" s="382">
        <f>IF(H89,Wh_hp,'2021'!Maxi_hp)</f>
        <v>45.869563285625219</v>
      </c>
      <c r="J89" s="85">
        <f>IF(H89,An,'2021'!An_max)</f>
        <v>2020</v>
      </c>
      <c r="K89" s="199">
        <f t="shared" si="27"/>
        <v>44636</v>
      </c>
      <c r="L89" s="147">
        <f>IF(t&lt;Tvie,1-EXP((T0-t)*PertePVj)+'2021'!Pspv,1-EXP((T0-t)*PertePVj)+Pspv)</f>
        <v>3.0319362150893148E-2</v>
      </c>
      <c r="M89" s="872"/>
      <c r="N89" s="872"/>
      <c r="O89" s="48">
        <f>IF(t&lt;Tnet,'2021'!Resal+('2021'!Salim-'2021'!Resal)*(1-EXP(('2021'!Tnet-t)/('2021'!Tau_j))),Resal+(Salim-Resal)*(1-EXP((Tnet-t)/(Tau_j))))*Salcycl</f>
        <v>0.1113909911406912</v>
      </c>
      <c r="P89" s="341">
        <f>(INDEX(Models!$BJ89:$BT89,,T89)*(1-R89)+INDEX(Models!$BJ89:$BT89,,T89+1)*R89-ERP_i)*Q89*Ramure*Pc/MaxiM</f>
        <v>7.8875024368193943E-3</v>
      </c>
      <c r="Q89" s="307">
        <f t="shared" si="28"/>
        <v>0.9</v>
      </c>
      <c r="R89" s="179">
        <f t="shared" si="29"/>
        <v>0.91621186803343169</v>
      </c>
      <c r="S89" s="839">
        <f t="shared" si="30"/>
        <v>-1</v>
      </c>
      <c r="T89" s="178">
        <f t="shared" si="31"/>
        <v>5</v>
      </c>
      <c r="U89" s="253">
        <f t="shared" si="32"/>
        <v>-8.3788131966568258E-2</v>
      </c>
      <c r="V89" s="385">
        <f t="shared" si="33"/>
        <v>37.865770742775496</v>
      </c>
      <c r="W89" s="404">
        <f t="shared" si="34"/>
        <v>0</v>
      </c>
      <c r="X89" s="157">
        <f t="shared" si="35"/>
        <v>44636</v>
      </c>
      <c r="Y89" s="387">
        <f t="shared" si="36"/>
        <v>11.321591183294215</v>
      </c>
      <c r="Z89" s="387">
        <f t="shared" si="37"/>
        <v>11.675587550564231</v>
      </c>
      <c r="AA89" s="388">
        <f t="shared" si="38"/>
        <v>13.777945171257713</v>
      </c>
      <c r="AB89" s="199">
        <f t="shared" si="39"/>
        <v>44636</v>
      </c>
      <c r="AC89" s="119">
        <f>IF(OR(t&lt;Tnet,NoTnet),'2021'!Resal_s+('2021'!Salim-'2021'!Resal_s)*(1-EXP(('2021'!Tnet_s-t)/'2021'!Tau_j)),Resal_s+(Salim-Resal_s)*(1-EXP((Tnet_s-t)/Tau_j)))*Salcycl</f>
        <v>0.15258861859018186</v>
      </c>
      <c r="AD89" s="233">
        <f>(INDEX(Models!$BJ89:$BT89,,AH89)*(1-AF89)+INDEX(Models!$BJ89:$BT89,,AH89+1)*AF89-ERP_i)*AE89*Ramure*Pc/MaxiM</f>
        <v>7.8875024368193943E-3</v>
      </c>
      <c r="AE89" s="307">
        <f t="shared" si="40"/>
        <v>0.9</v>
      </c>
      <c r="AF89" s="179">
        <f t="shared" si="41"/>
        <v>0.91621186803343169</v>
      </c>
      <c r="AG89" s="839">
        <f t="shared" si="49"/>
        <v>-1</v>
      </c>
      <c r="AH89" s="178">
        <f t="shared" si="42"/>
        <v>5</v>
      </c>
      <c r="AI89" s="227">
        <f t="shared" si="43"/>
        <v>-8.3788131966568258E-2</v>
      </c>
      <c r="AJ89" s="267" t="b">
        <f t="shared" si="44"/>
        <v>1</v>
      </c>
      <c r="AK89" s="267" t="b">
        <f t="shared" si="45"/>
        <v>0</v>
      </c>
      <c r="AL89" s="267"/>
      <c r="AM89" s="267"/>
      <c r="AN89" s="75"/>
    </row>
    <row r="90" spans="1:40" s="6" customFormat="1" ht="11.25" x14ac:dyDescent="0.2">
      <c r="A90" s="56">
        <f t="shared" si="46"/>
        <v>44637</v>
      </c>
      <c r="B90" s="1141">
        <v>10.411</v>
      </c>
      <c r="C90" s="868"/>
      <c r="D90" s="395">
        <f t="shared" si="25"/>
        <v>10.736774437315226</v>
      </c>
      <c r="E90" s="387">
        <f t="shared" si="47"/>
        <v>12.084939372339447</v>
      </c>
      <c r="F90" s="387">
        <f t="shared" si="26"/>
        <v>12.084939372339447</v>
      </c>
      <c r="G90" s="110">
        <f t="shared" si="48"/>
        <v>0.27001851861271942</v>
      </c>
      <c r="H90" s="416" t="b">
        <f>Wh_hp&gt;='2021'!Maxi_hp</f>
        <v>0</v>
      </c>
      <c r="I90" s="382">
        <f>IF(H90,Wh_hp,'2021'!Maxi_hp)</f>
        <v>24.974741617292128</v>
      </c>
      <c r="J90" s="85">
        <f>IF(H90,An,'2021'!An_max)</f>
        <v>2021</v>
      </c>
      <c r="K90" s="199">
        <f t="shared" si="27"/>
        <v>44637</v>
      </c>
      <c r="L90" s="147">
        <f>IF(t&lt;Tvie,1-EXP((T0-t)*PertePVj)+'2021'!Pspv,1-EXP((T0-t)*PertePVj)+Pspv)</f>
        <v>3.0341928035948151E-2</v>
      </c>
      <c r="M90" s="872"/>
      <c r="N90" s="872"/>
      <c r="O90" s="48">
        <f>IF(t&lt;Tnet,'2021'!Resal+('2021'!Salim-'2021'!Resal)*(1-EXP(('2021'!Tnet-t)/('2021'!Tau_j))),Resal+(Salim-Resal)*(1-EXP((Tnet-t)/(Tau_j))))*Salcycl</f>
        <v>0.11155744298643</v>
      </c>
      <c r="P90" s="341">
        <f>(INDEX(Models!$BJ90:$BT90,,T90)*(1-R90)+INDEX(Models!$BJ90:$BT90,,T90+1)*R90-ERP_i)*Q90*Ramure*Pc/MaxiM</f>
        <v>7.8083550153734355E-3</v>
      </c>
      <c r="Q90" s="307">
        <f t="shared" si="28"/>
        <v>0.9</v>
      </c>
      <c r="R90" s="179">
        <f t="shared" si="29"/>
        <v>0.91690595032200861</v>
      </c>
      <c r="S90" s="839">
        <f t="shared" si="30"/>
        <v>-1</v>
      </c>
      <c r="T90" s="178">
        <f t="shared" si="31"/>
        <v>5</v>
      </c>
      <c r="U90" s="253">
        <f t="shared" si="32"/>
        <v>-8.3094049677991416E-2</v>
      </c>
      <c r="V90" s="385">
        <f t="shared" si="33"/>
        <v>38.255551022967353</v>
      </c>
      <c r="W90" s="404">
        <f t="shared" si="34"/>
        <v>0</v>
      </c>
      <c r="X90" s="157">
        <f t="shared" si="35"/>
        <v>44637</v>
      </c>
      <c r="Y90" s="387">
        <f t="shared" si="36"/>
        <v>9.929531877180569</v>
      </c>
      <c r="Z90" s="387">
        <f t="shared" si="37"/>
        <v>10.240240518050044</v>
      </c>
      <c r="AA90" s="388">
        <f t="shared" si="38"/>
        <v>12.084939372339447</v>
      </c>
      <c r="AB90" s="199">
        <f t="shared" si="39"/>
        <v>44637</v>
      </c>
      <c r="AC90" s="119">
        <f>IF(OR(t&lt;Tnet,NoTnet),'2021'!Resal_s+('2021'!Salim-'2021'!Resal_s)*(1-EXP(('2021'!Tnet_s-t)/'2021'!Tau_j)),Resal_s+(Salim-Resal_s)*(1-EXP((Tnet_s-t)/Tau_j)))*Salcycl</f>
        <v>0.1526444442503066</v>
      </c>
      <c r="AD90" s="233">
        <f>(INDEX(Models!$BJ90:$BT90,,AH90)*(1-AF90)+INDEX(Models!$BJ90:$BT90,,AH90+1)*AF90-ERP_i)*AE90*Ramure*Pc/MaxiM</f>
        <v>7.8083550153734355E-3</v>
      </c>
      <c r="AE90" s="307">
        <f t="shared" si="40"/>
        <v>0.9</v>
      </c>
      <c r="AF90" s="179">
        <f t="shared" si="41"/>
        <v>0.91690595032200861</v>
      </c>
      <c r="AG90" s="839">
        <f t="shared" si="49"/>
        <v>-1</v>
      </c>
      <c r="AH90" s="178">
        <f t="shared" si="42"/>
        <v>5</v>
      </c>
      <c r="AI90" s="227">
        <f t="shared" si="43"/>
        <v>-8.3094049677991416E-2</v>
      </c>
      <c r="AJ90" s="267" t="b">
        <f t="shared" si="44"/>
        <v>1</v>
      </c>
      <c r="AK90" s="267" t="b">
        <f t="shared" si="45"/>
        <v>0</v>
      </c>
      <c r="AL90" s="267"/>
      <c r="AM90" s="267"/>
      <c r="AN90" s="75"/>
    </row>
    <row r="91" spans="1:40" s="6" customFormat="1" ht="11.25" x14ac:dyDescent="0.2">
      <c r="A91" s="56">
        <f t="shared" si="46"/>
        <v>44638</v>
      </c>
      <c r="B91" s="1141">
        <v>13.065</v>
      </c>
      <c r="C91" s="868"/>
      <c r="D91" s="395">
        <f t="shared" si="25"/>
        <v>13.47413529209167</v>
      </c>
      <c r="E91" s="387">
        <f t="shared" si="47"/>
        <v>15.168862599125056</v>
      </c>
      <c r="F91" s="387">
        <f t="shared" si="26"/>
        <v>15.175250341855282</v>
      </c>
      <c r="G91" s="110">
        <f t="shared" si="48"/>
        <v>0.33562471907704872</v>
      </c>
      <c r="H91" s="416" t="b">
        <f>Wh_hp&gt;='2021'!Maxi_hp</f>
        <v>0</v>
      </c>
      <c r="I91" s="382">
        <f>IF(H91,Wh_hp,'2021'!Maxi_hp)</f>
        <v>30.155899568656967</v>
      </c>
      <c r="J91" s="85">
        <f>IF(H91,An,'2021'!An_max)</f>
        <v>2019</v>
      </c>
      <c r="K91" s="199">
        <f t="shared" si="27"/>
        <v>44638</v>
      </c>
      <c r="L91" s="147">
        <f>IF(t&lt;Tvie,1-EXP((T0-t)*PertePVj)+'2021'!Pspv,1-EXP((T0-t)*PertePVj)+Pspv)</f>
        <v>3.0364493395862113E-2</v>
      </c>
      <c r="M91" s="872"/>
      <c r="N91" s="872"/>
      <c r="O91" s="48">
        <f>IF(t&lt;Tnet,'2021'!Resal+('2021'!Salim-'2021'!Resal)*(1-EXP(('2021'!Tnet-t)/('2021'!Tau_j))),Resal+(Salim-Resal)*(1-EXP((Tnet-t)/(Tau_j))))*Salcycl</f>
        <v>0.11172408583430232</v>
      </c>
      <c r="P91" s="341">
        <f>(INDEX(Models!$BJ91:$BT91,,T91)*(1-R91)+INDEX(Models!$BJ91:$BT91,,T91+1)*R91-ERP_i)*Q91*Ramure*Pc/MaxiM</f>
        <v>7.7339978341024141E-3</v>
      </c>
      <c r="Q91" s="307">
        <f t="shared" si="28"/>
        <v>0.9</v>
      </c>
      <c r="R91" s="179">
        <f t="shared" si="29"/>
        <v>0.91762739846217956</v>
      </c>
      <c r="S91" s="839">
        <f t="shared" si="30"/>
        <v>-1</v>
      </c>
      <c r="T91" s="178">
        <f t="shared" si="31"/>
        <v>5</v>
      </c>
      <c r="U91" s="253">
        <f t="shared" si="32"/>
        <v>-8.2372601537820472E-2</v>
      </c>
      <c r="V91" s="385">
        <f t="shared" si="33"/>
        <v>38.642608299706914</v>
      </c>
      <c r="W91" s="404">
        <f t="shared" si="34"/>
        <v>0</v>
      </c>
      <c r="X91" s="157">
        <f t="shared" si="35"/>
        <v>44638</v>
      </c>
      <c r="Y91" s="387">
        <f t="shared" si="36"/>
        <v>12.462300820029355</v>
      </c>
      <c r="Z91" s="387">
        <f t="shared" si="37"/>
        <v>12.85256236508385</v>
      </c>
      <c r="AA91" s="388">
        <f t="shared" si="38"/>
        <v>15.168862599125056</v>
      </c>
      <c r="AB91" s="199">
        <f t="shared" si="39"/>
        <v>44638</v>
      </c>
      <c r="AC91" s="119">
        <f>IF(OR(t&lt;Tnet,NoTnet),'2021'!Resal_s+('2021'!Salim-'2021'!Resal_s)*(1-EXP(('2021'!Tnet_s-t)/'2021'!Tau_j)),Resal_s+(Salim-Resal_s)*(1-EXP((Tnet_s-t)/Tau_j)))*Salcycl</f>
        <v>0.15270098327443557</v>
      </c>
      <c r="AD91" s="233">
        <f>(INDEX(Models!$BJ91:$BT91,,AH91)*(1-AF91)+INDEX(Models!$BJ91:$BT91,,AH91+1)*AF91-ERP_i)*AE91*Ramure*Pc/MaxiM</f>
        <v>7.7339978341024141E-3</v>
      </c>
      <c r="AE91" s="307">
        <f t="shared" si="40"/>
        <v>0.9</v>
      </c>
      <c r="AF91" s="179">
        <f t="shared" si="41"/>
        <v>0.91762739846217956</v>
      </c>
      <c r="AG91" s="839">
        <f t="shared" si="49"/>
        <v>-1</v>
      </c>
      <c r="AH91" s="178">
        <f t="shared" si="42"/>
        <v>5</v>
      </c>
      <c r="AI91" s="227">
        <f t="shared" si="43"/>
        <v>-8.2372601537820472E-2</v>
      </c>
      <c r="AJ91" s="267" t="b">
        <f t="shared" si="44"/>
        <v>1</v>
      </c>
      <c r="AK91" s="267" t="b">
        <f t="shared" si="45"/>
        <v>0</v>
      </c>
      <c r="AL91" s="267"/>
      <c r="AM91" s="267"/>
      <c r="AN91" s="75"/>
    </row>
    <row r="92" spans="1:40" s="6" customFormat="1" ht="11.25" x14ac:dyDescent="0.2">
      <c r="A92" s="56">
        <f t="shared" si="46"/>
        <v>44639</v>
      </c>
      <c r="B92" s="1141">
        <v>26.310000000000002</v>
      </c>
      <c r="C92" s="868"/>
      <c r="D92" s="395">
        <f t="shared" si="25"/>
        <v>27.13453881090884</v>
      </c>
      <c r="E92" s="387">
        <f t="shared" si="47"/>
        <v>30.553162061445057</v>
      </c>
      <c r="F92" s="387">
        <f t="shared" si="26"/>
        <v>30.678844985533679</v>
      </c>
      <c r="G92" s="110">
        <f t="shared" si="48"/>
        <v>0.67174460888320842</v>
      </c>
      <c r="H92" s="416" t="b">
        <f>Wh_hp&gt;='2021'!Maxi_hp</f>
        <v>0</v>
      </c>
      <c r="I92" s="382">
        <f>IF(H92,Wh_hp,'2021'!Maxi_hp)</f>
        <v>42.600345506877346</v>
      </c>
      <c r="J92" s="85">
        <f>IF(H92,An,'2021'!An_max)</f>
        <v>2020</v>
      </c>
      <c r="K92" s="199">
        <f t="shared" si="27"/>
        <v>44639</v>
      </c>
      <c r="L92" s="147">
        <f>IF(t&lt;Tvie,1-EXP((T0-t)*PertePVj)+'2021'!Pspv,1-EXP((T0-t)*PertePVj)+Pspv)</f>
        <v>3.0387058230647024E-2</v>
      </c>
      <c r="M92" s="872"/>
      <c r="N92" s="872"/>
      <c r="O92" s="48">
        <f>IF(t&lt;Tnet,'2021'!Resal+('2021'!Salim-'2021'!Resal)*(1-EXP(('2021'!Tnet-t)/('2021'!Tau_j))),Resal+(Salim-Resal)*(1-EXP((Tnet-t)/(Tau_j))))*Salcycl</f>
        <v>0.11189098017616217</v>
      </c>
      <c r="P92" s="341">
        <f>(INDEX(Models!$BJ92:$BT92,,T92)*(1-R92)+INDEX(Models!$BJ92:$BT92,,T92+1)*R92-ERP_i)*Q92*Ramure*Pc/MaxiM</f>
        <v>7.6644027966262136E-3</v>
      </c>
      <c r="Q92" s="307">
        <f t="shared" si="28"/>
        <v>0.9</v>
      </c>
      <c r="R92" s="179">
        <f t="shared" si="29"/>
        <v>0.91837721744883183</v>
      </c>
      <c r="S92" s="839">
        <f t="shared" si="30"/>
        <v>-1</v>
      </c>
      <c r="T92" s="178">
        <f t="shared" si="31"/>
        <v>5</v>
      </c>
      <c r="U92" s="253">
        <f t="shared" si="32"/>
        <v>-8.1622782551168227E-2</v>
      </c>
      <c r="V92" s="385">
        <f t="shared" si="33"/>
        <v>39.026362163672971</v>
      </c>
      <c r="W92" s="404">
        <f t="shared" si="34"/>
        <v>0</v>
      </c>
      <c r="X92" s="157">
        <f t="shared" si="35"/>
        <v>44639</v>
      </c>
      <c r="Y92" s="387">
        <f t="shared" si="36"/>
        <v>25.099315799341593</v>
      </c>
      <c r="Z92" s="387">
        <f t="shared" si="37"/>
        <v>25.88591253076746</v>
      </c>
      <c r="AA92" s="388">
        <f t="shared" si="38"/>
        <v>30.553162061445057</v>
      </c>
      <c r="AB92" s="199">
        <f t="shared" si="39"/>
        <v>44639</v>
      </c>
      <c r="AC92" s="119">
        <f>IF(OR(t&lt;Tnet,NoTnet),'2021'!Resal_s+('2021'!Salim-'2021'!Resal_s)*(1-EXP(('2021'!Tnet_s-t)/'2021'!Tau_j)),Resal_s+(Salim-Resal_s)*(1-EXP((Tnet_s-t)/Tau_j)))*Salcycl</f>
        <v>0.15275831422264433</v>
      </c>
      <c r="AD92" s="233">
        <f>(INDEX(Models!$BJ92:$BT92,,AH92)*(1-AF92)+INDEX(Models!$BJ92:$BT92,,AH92+1)*AF92-ERP_i)*AE92*Ramure*Pc/MaxiM</f>
        <v>7.6644027966262136E-3</v>
      </c>
      <c r="AE92" s="307">
        <f t="shared" si="40"/>
        <v>0.9</v>
      </c>
      <c r="AF92" s="179">
        <f t="shared" si="41"/>
        <v>0.91837721744883183</v>
      </c>
      <c r="AG92" s="839">
        <f t="shared" si="49"/>
        <v>-1</v>
      </c>
      <c r="AH92" s="178">
        <f t="shared" si="42"/>
        <v>5</v>
      </c>
      <c r="AI92" s="227">
        <f t="shared" si="43"/>
        <v>-8.1622782551168227E-2</v>
      </c>
      <c r="AJ92" s="267" t="b">
        <f t="shared" si="44"/>
        <v>1</v>
      </c>
      <c r="AK92" s="267" t="b">
        <f t="shared" si="45"/>
        <v>0</v>
      </c>
      <c r="AL92" s="267"/>
      <c r="AM92" s="267"/>
      <c r="AN92" s="75"/>
    </row>
    <row r="93" spans="1:40" s="6" customFormat="1" ht="11.25" x14ac:dyDescent="0.2">
      <c r="A93" s="56">
        <f t="shared" si="46"/>
        <v>44640</v>
      </c>
      <c r="B93" s="1141">
        <v>29.673000000000002</v>
      </c>
      <c r="C93" s="868"/>
      <c r="D93" s="395">
        <f t="shared" si="25"/>
        <v>30.60364530199125</v>
      </c>
      <c r="E93" s="387">
        <f t="shared" si="47"/>
        <v>34.465822967274526</v>
      </c>
      <c r="F93" s="387">
        <f t="shared" si="26"/>
        <v>34.636128351964771</v>
      </c>
      <c r="G93" s="110">
        <f t="shared" si="48"/>
        <v>0.75091382615726721</v>
      </c>
      <c r="H93" s="416" t="b">
        <f>Wh_hp&gt;='2021'!Maxi_hp</f>
        <v>0</v>
      </c>
      <c r="I93" s="382">
        <f>IF(H93,Wh_hp,'2021'!Maxi_hp)</f>
        <v>46.71339553405334</v>
      </c>
      <c r="J93" s="85">
        <f>IF(H93,An,'2021'!An_max)</f>
        <v>2019</v>
      </c>
      <c r="K93" s="199">
        <f t="shared" si="27"/>
        <v>44640</v>
      </c>
      <c r="L93" s="147">
        <f>IF(t&lt;Tvie,1-EXP((T0-t)*PertePVj)+'2021'!Pspv,1-EXP((T0-t)*PertePVj)+Pspv)</f>
        <v>3.0409622540315318E-2</v>
      </c>
      <c r="M93" s="872"/>
      <c r="N93" s="872"/>
      <c r="O93" s="48">
        <f>IF(t&lt;Tnet,'2021'!Resal+('2021'!Salim-'2021'!Resal)*(1-EXP(('2021'!Tnet-t)/('2021'!Tau_j))),Resal+(Salim-Resal)*(1-EXP((Tnet-t)/(Tau_j))))*Salcycl</f>
        <v>0.11205818787354746</v>
      </c>
      <c r="P93" s="341">
        <f>(INDEX(Models!$BJ93:$BT93,,T93)*(1-R93)+INDEX(Models!$BJ93:$BT93,,T93+1)*R93-ERP_i)*Q93*Ramure*Pc/MaxiM</f>
        <v>7.5989461441244186E-3</v>
      </c>
      <c r="Q93" s="307">
        <f t="shared" si="28"/>
        <v>0.9</v>
      </c>
      <c r="R93" s="179">
        <f t="shared" si="29"/>
        <v>0.91915644306849753</v>
      </c>
      <c r="S93" s="839">
        <f t="shared" si="30"/>
        <v>-1</v>
      </c>
      <c r="T93" s="178">
        <f t="shared" si="31"/>
        <v>5</v>
      </c>
      <c r="U93" s="253">
        <f t="shared" si="32"/>
        <v>-8.0843556931502414E-2</v>
      </c>
      <c r="V93" s="385">
        <f t="shared" si="33"/>
        <v>39.409348919139944</v>
      </c>
      <c r="W93" s="404">
        <f t="shared" si="34"/>
        <v>0</v>
      </c>
      <c r="X93" s="157">
        <f t="shared" si="35"/>
        <v>44640</v>
      </c>
      <c r="Y93" s="387">
        <f t="shared" si="36"/>
        <v>28.310949143172149</v>
      </c>
      <c r="Z93" s="387">
        <f t="shared" si="37"/>
        <v>29.198875939081098</v>
      </c>
      <c r="AA93" s="388">
        <f t="shared" si="38"/>
        <v>34.465822967274526</v>
      </c>
      <c r="AB93" s="199">
        <f t="shared" si="39"/>
        <v>44640</v>
      </c>
      <c r="AC93" s="119">
        <f>IF(OR(t&lt;Tnet,NoTnet),'2021'!Resal_s+('2021'!Salim-'2021'!Resal_s)*(1-EXP(('2021'!Tnet_s-t)/'2021'!Tau_j)),Resal_s+(Salim-Resal_s)*(1-EXP((Tnet_s-t)/Tau_j)))*Salcycl</f>
        <v>0.15281651719717884</v>
      </c>
      <c r="AD93" s="233">
        <f>(INDEX(Models!$BJ93:$BT93,,AH93)*(1-AF93)+INDEX(Models!$BJ93:$BT93,,AH93+1)*AF93-ERP_i)*AE93*Ramure*Pc/MaxiM</f>
        <v>7.5989461441244186E-3</v>
      </c>
      <c r="AE93" s="307">
        <f t="shared" si="40"/>
        <v>0.9</v>
      </c>
      <c r="AF93" s="179">
        <f t="shared" si="41"/>
        <v>0.91915644306849753</v>
      </c>
      <c r="AG93" s="839">
        <f t="shared" si="49"/>
        <v>-1</v>
      </c>
      <c r="AH93" s="178">
        <f t="shared" si="42"/>
        <v>5</v>
      </c>
      <c r="AI93" s="227">
        <f t="shared" si="43"/>
        <v>-8.0843556931502414E-2</v>
      </c>
      <c r="AJ93" s="267" t="b">
        <f t="shared" si="44"/>
        <v>1</v>
      </c>
      <c r="AK93" s="267" t="b">
        <f t="shared" si="45"/>
        <v>0</v>
      </c>
      <c r="AL93" s="267"/>
      <c r="AM93" s="267"/>
      <c r="AN93" s="75"/>
    </row>
    <row r="94" spans="1:40" s="6" customFormat="1" ht="11.25" x14ac:dyDescent="0.2">
      <c r="A94" s="56">
        <f t="shared" si="46"/>
        <v>44641</v>
      </c>
      <c r="B94" s="1141">
        <v>39.774999999999999</v>
      </c>
      <c r="C94" s="868"/>
      <c r="D94" s="395">
        <f t="shared" si="25"/>
        <v>41.023432749106973</v>
      </c>
      <c r="E94" s="387">
        <f t="shared" si="47"/>
        <v>46.20930801309963</v>
      </c>
      <c r="F94" s="387">
        <f t="shared" si="26"/>
        <v>46.559882454032433</v>
      </c>
      <c r="G94" s="110">
        <f t="shared" si="48"/>
        <v>0.99951560737602818</v>
      </c>
      <c r="H94" s="416" t="b">
        <f>Wh_hp&gt;='2021'!Maxi_hp</f>
        <v>0</v>
      </c>
      <c r="I94" s="382">
        <f>IF(H94,Wh_hp,'2021'!Maxi_hp)</f>
        <v>47.074007170656884</v>
      </c>
      <c r="J94" s="85">
        <f>IF(H94,An,'2021'!An_max)</f>
        <v>2020</v>
      </c>
      <c r="K94" s="199">
        <f t="shared" si="27"/>
        <v>44641</v>
      </c>
      <c r="L94" s="147">
        <f>IF(t&lt;Tvie,1-EXP((T0-t)*PertePVj)+'2021'!Pspv,1-EXP((T0-t)*PertePVj)+Pspv)</f>
        <v>3.0432186324879207E-2</v>
      </c>
      <c r="M94" s="872"/>
      <c r="N94" s="872"/>
      <c r="O94" s="48">
        <f>IF(t&lt;Tnet,'2021'!Resal+('2021'!Salim-'2021'!Resal)*(1-EXP(('2021'!Tnet-t)/('2021'!Tau_j))),Resal+(Salim-Resal)*(1-EXP((Tnet-t)/(Tau_j))))*Salcycl</f>
        <v>0.11222577197049868</v>
      </c>
      <c r="P94" s="341">
        <f>(INDEX(Models!$BJ94:$BT94,,T94)*(1-R94)+INDEX(Models!$BJ94:$BT94,,T94+1)*R94-ERP_i)*Q94*Ramure*Pc/MaxiM</f>
        <v>7.5346968049162417E-3</v>
      </c>
      <c r="Q94" s="307">
        <f t="shared" si="28"/>
        <v>0.9</v>
      </c>
      <c r="R94" s="179">
        <f t="shared" si="29"/>
        <v>0.91996614232637353</v>
      </c>
      <c r="S94" s="839">
        <f t="shared" si="30"/>
        <v>-1</v>
      </c>
      <c r="T94" s="178">
        <f t="shared" si="31"/>
        <v>5</v>
      </c>
      <c r="U94" s="253">
        <f t="shared" si="32"/>
        <v>-8.0033857673626474E-2</v>
      </c>
      <c r="V94" s="385">
        <f t="shared" si="33"/>
        <v>39.794069237038919</v>
      </c>
      <c r="W94" s="404">
        <f t="shared" si="34"/>
        <v>0</v>
      </c>
      <c r="X94" s="157">
        <f t="shared" si="35"/>
        <v>44641</v>
      </c>
      <c r="Y94" s="387">
        <f t="shared" si="36"/>
        <v>37.953760110917997</v>
      </c>
      <c r="Z94" s="387">
        <f t="shared" si="37"/>
        <v>39.145028924851879</v>
      </c>
      <c r="AA94" s="388">
        <f t="shared" si="38"/>
        <v>46.20930801309963</v>
      </c>
      <c r="AB94" s="199">
        <f t="shared" si="39"/>
        <v>44641</v>
      </c>
      <c r="AC94" s="119">
        <f>IF(OR(t&lt;Tnet,NoTnet),'2021'!Resal_s+('2021'!Salim-'2021'!Resal_s)*(1-EXP(('2021'!Tnet_s-t)/'2021'!Tau_j)),Resal_s+(Salim-Resal_s)*(1-EXP((Tnet_s-t)/Tau_j)))*Salcycl</f>
        <v>0.15287567358171944</v>
      </c>
      <c r="AD94" s="233">
        <f>(INDEX(Models!$BJ94:$BT94,,AH94)*(1-AF94)+INDEX(Models!$BJ94:$BT94,,AH94+1)*AF94-ERP_i)*AE94*Ramure*Pc/MaxiM</f>
        <v>7.5346968049162417E-3</v>
      </c>
      <c r="AE94" s="307">
        <f t="shared" si="40"/>
        <v>0.9</v>
      </c>
      <c r="AF94" s="179">
        <f t="shared" si="41"/>
        <v>0.91996614232637353</v>
      </c>
      <c r="AG94" s="839">
        <f t="shared" si="49"/>
        <v>-1</v>
      </c>
      <c r="AH94" s="178">
        <f t="shared" si="42"/>
        <v>5</v>
      </c>
      <c r="AI94" s="227">
        <f t="shared" si="43"/>
        <v>-8.0033857673626474E-2</v>
      </c>
      <c r="AJ94" s="267" t="b">
        <f t="shared" si="44"/>
        <v>1</v>
      </c>
      <c r="AK94" s="267" t="b">
        <f t="shared" si="45"/>
        <v>0</v>
      </c>
      <c r="AL94" s="267"/>
      <c r="AM94" s="267"/>
      <c r="AN94" s="75"/>
    </row>
    <row r="95" spans="1:40" s="6" customFormat="1" ht="11.25" x14ac:dyDescent="0.2">
      <c r="A95" s="56">
        <f t="shared" si="46"/>
        <v>44642</v>
      </c>
      <c r="B95" s="1141">
        <v>36.786999999999999</v>
      </c>
      <c r="C95" s="868"/>
      <c r="D95" s="395">
        <f t="shared" si="25"/>
        <v>37.942530257591606</v>
      </c>
      <c r="E95" s="387">
        <f t="shared" si="47"/>
        <v>42.747031406753393</v>
      </c>
      <c r="F95" s="387">
        <f t="shared" si="26"/>
        <v>43.029502664621234</v>
      </c>
      <c r="G95" s="110">
        <f t="shared" si="48"/>
        <v>0.91472468701266629</v>
      </c>
      <c r="H95" s="416" t="b">
        <f>Wh_hp&gt;='2021'!Maxi_hp</f>
        <v>0</v>
      </c>
      <c r="I95" s="382">
        <f>IF(H95,Wh_hp,'2021'!Maxi_hp)</f>
        <v>46.536327342743263</v>
      </c>
      <c r="J95" s="85">
        <f>IF(H95,An,'2021'!An_max)</f>
        <v>2020</v>
      </c>
      <c r="K95" s="199">
        <f t="shared" si="27"/>
        <v>44642</v>
      </c>
      <c r="L95" s="147">
        <f>IF(t&lt;Tvie,1-EXP((T0-t)*PertePVj)+'2021'!Pspv,1-EXP((T0-t)*PertePVj)+Pspv)</f>
        <v>3.0454749584350904E-2</v>
      </c>
      <c r="M95" s="872"/>
      <c r="N95" s="872"/>
      <c r="O95" s="48">
        <f>IF(t&lt;Tnet,'2021'!Resal+('2021'!Salim-'2021'!Resal)*(1-EXP(('2021'!Tnet-t)/('2021'!Tau_j))),Resal+(Salim-Resal)*(1-EXP((Tnet-t)/(Tau_j))))*Salcycl</f>
        <v>0.112393796505896</v>
      </c>
      <c r="P95" s="341">
        <f>(INDEX(Models!$BJ95:$BT95,,T95)*(1-R95)+INDEX(Models!$BJ95:$BT95,,T95+1)*R95-ERP_i)*Q95*Ramure*Pc/MaxiM</f>
        <v>7.4651640680731138E-3</v>
      </c>
      <c r="Q95" s="307">
        <f t="shared" si="28"/>
        <v>0.9</v>
      </c>
      <c r="R95" s="179">
        <f t="shared" si="29"/>
        <v>0.92080741383034614</v>
      </c>
      <c r="S95" s="839">
        <f t="shared" si="30"/>
        <v>-1</v>
      </c>
      <c r="T95" s="178">
        <f t="shared" si="31"/>
        <v>5</v>
      </c>
      <c r="U95" s="253">
        <f t="shared" si="32"/>
        <v>-7.9192586169653814E-2</v>
      </c>
      <c r="V95" s="385">
        <f t="shared" si="33"/>
        <v>40.180015222354868</v>
      </c>
      <c r="W95" s="404">
        <f t="shared" si="34"/>
        <v>0</v>
      </c>
      <c r="X95" s="157">
        <f t="shared" si="35"/>
        <v>44642</v>
      </c>
      <c r="Y95" s="387">
        <f t="shared" si="36"/>
        <v>35.106726589808872</v>
      </c>
      <c r="Z95" s="387">
        <f t="shared" si="37"/>
        <v>36.209477148960751</v>
      </c>
      <c r="AA95" s="388">
        <f t="shared" si="38"/>
        <v>42.747031406753393</v>
      </c>
      <c r="AB95" s="199">
        <f t="shared" si="39"/>
        <v>44642</v>
      </c>
      <c r="AC95" s="119">
        <f>IF(OR(t&lt;Tnet,NoTnet),'2021'!Resal_s+('2021'!Salim-'2021'!Resal_s)*(1-EXP(('2021'!Tnet_s-t)/'2021'!Tau_j)),Resal_s+(Salim-Resal_s)*(1-EXP((Tnet_s-t)/Tau_j)))*Salcycl</f>
        <v>0.15293586578177704</v>
      </c>
      <c r="AD95" s="233">
        <f>(INDEX(Models!$BJ95:$BT95,,AH95)*(1-AF95)+INDEX(Models!$BJ95:$BT95,,AH95+1)*AF95-ERP_i)*AE95*Ramure*Pc/MaxiM</f>
        <v>7.4651640680731138E-3</v>
      </c>
      <c r="AE95" s="307">
        <f t="shared" si="40"/>
        <v>0.9</v>
      </c>
      <c r="AF95" s="179">
        <f t="shared" si="41"/>
        <v>0.92080741383034614</v>
      </c>
      <c r="AG95" s="839">
        <f t="shared" si="49"/>
        <v>-1</v>
      </c>
      <c r="AH95" s="178">
        <f t="shared" si="42"/>
        <v>5</v>
      </c>
      <c r="AI95" s="227">
        <f t="shared" si="43"/>
        <v>-7.9192586169653814E-2</v>
      </c>
      <c r="AJ95" s="267" t="b">
        <f t="shared" si="44"/>
        <v>1</v>
      </c>
      <c r="AK95" s="267" t="b">
        <f t="shared" si="45"/>
        <v>0</v>
      </c>
      <c r="AL95" s="267"/>
      <c r="AM95" s="267"/>
      <c r="AN95" s="75"/>
    </row>
    <row r="96" spans="1:40" s="6" customFormat="1" ht="11.25" x14ac:dyDescent="0.2">
      <c r="A96" s="56">
        <f t="shared" si="46"/>
        <v>44643</v>
      </c>
      <c r="B96" s="1141">
        <v>41.564</v>
      </c>
      <c r="C96" s="868"/>
      <c r="D96" s="395">
        <f t="shared" si="25"/>
        <v>42.870580057704309</v>
      </c>
      <c r="E96" s="387">
        <f t="shared" si="47"/>
        <v>48.308271475838531</v>
      </c>
      <c r="F96" s="387">
        <f t="shared" si="26"/>
        <v>48.667959104368599</v>
      </c>
      <c r="G96" s="110">
        <f t="shared" si="48"/>
        <v>1.0245914803834315</v>
      </c>
      <c r="H96" s="416" t="b">
        <f>Wh_hp&gt;='2021'!Maxi_hp</f>
        <v>1</v>
      </c>
      <c r="I96" s="382">
        <f>IF(H96,Wh_hp,'2021'!Maxi_hp)</f>
        <v>48.667959104368599</v>
      </c>
      <c r="J96" s="85">
        <f>IF(H96,An,'2021'!An_max)</f>
        <v>2022</v>
      </c>
      <c r="K96" s="199">
        <f t="shared" si="27"/>
        <v>44643</v>
      </c>
      <c r="L96" s="147">
        <f>IF(t&lt;Tvie,1-EXP((T0-t)*PertePVj)+'2021'!Pspv,1-EXP((T0-t)*PertePVj)+Pspv)</f>
        <v>3.0477312318742511E-2</v>
      </c>
      <c r="M96" s="872"/>
      <c r="N96" s="872"/>
      <c r="O96" s="48">
        <f>IF(t&lt;Tnet,'2021'!Resal+('2021'!Salim-'2021'!Resal)*(1-EXP(('2021'!Tnet-t)/('2021'!Tau_j))),Resal+(Salim-Resal)*(1-EXP((Tnet-t)/(Tau_j))))*Salcycl</f>
        <v>0.11256232632653583</v>
      </c>
      <c r="P96" s="341">
        <f>(INDEX(Models!$BJ96:$BT96,,T96)*(1-R96)+INDEX(Models!$BJ96:$BT96,,T96+1)*R96-ERP_i)*Q96*Ramure*Pc/MaxiM</f>
        <v>7.3906454092047312E-3</v>
      </c>
      <c r="Q96" s="307">
        <f t="shared" si="28"/>
        <v>0.9</v>
      </c>
      <c r="R96" s="179">
        <f t="shared" si="29"/>
        <v>0.92168138812653888</v>
      </c>
      <c r="S96" s="839">
        <f t="shared" si="30"/>
        <v>-1</v>
      </c>
      <c r="T96" s="178">
        <f t="shared" si="31"/>
        <v>5</v>
      </c>
      <c r="U96" s="253">
        <f t="shared" si="32"/>
        <v>-7.8318611873461119E-2</v>
      </c>
      <c r="V96" s="385">
        <f t="shared" si="33"/>
        <v>40.566411878074135</v>
      </c>
      <c r="W96" s="404">
        <f t="shared" si="34"/>
        <v>0</v>
      </c>
      <c r="X96" s="157">
        <f t="shared" si="35"/>
        <v>44643</v>
      </c>
      <c r="Y96" s="387">
        <f t="shared" si="36"/>
        <v>39.670194742557157</v>
      </c>
      <c r="Z96" s="387">
        <f t="shared" si="37"/>
        <v>40.917242315838635</v>
      </c>
      <c r="AA96" s="388">
        <f t="shared" si="38"/>
        <v>48.308271475838531</v>
      </c>
      <c r="AB96" s="199">
        <f t="shared" si="39"/>
        <v>44643</v>
      </c>
      <c r="AC96" s="119">
        <f>IF(OR(t&lt;Tnet,NoTnet),'2021'!Resal_s+('2021'!Salim-'2021'!Resal_s)*(1-EXP(('2021'!Tnet_s-t)/'2021'!Tau_j)),Resal_s+(Salim-Resal_s)*(1-EXP((Tnet_s-t)/Tau_j)))*Salcycl</f>
        <v>0.15299717696785178</v>
      </c>
      <c r="AD96" s="233">
        <f>(INDEX(Models!$BJ96:$BT96,,AH96)*(1-AF96)+INDEX(Models!$BJ96:$BT96,,AH96+1)*AF96-ERP_i)*AE96*Ramure*Pc/MaxiM</f>
        <v>7.3906454092047312E-3</v>
      </c>
      <c r="AE96" s="307">
        <f t="shared" si="40"/>
        <v>0.9</v>
      </c>
      <c r="AF96" s="179">
        <f t="shared" si="41"/>
        <v>0.92168138812653888</v>
      </c>
      <c r="AG96" s="839">
        <f t="shared" si="49"/>
        <v>-1</v>
      </c>
      <c r="AH96" s="178">
        <f t="shared" si="42"/>
        <v>5</v>
      </c>
      <c r="AI96" s="227">
        <f t="shared" si="43"/>
        <v>-7.8318611873461119E-2</v>
      </c>
      <c r="AJ96" s="267" t="b">
        <f t="shared" si="44"/>
        <v>1</v>
      </c>
      <c r="AK96" s="267" t="b">
        <f t="shared" si="45"/>
        <v>0</v>
      </c>
      <c r="AL96" s="267"/>
      <c r="AM96" s="267"/>
      <c r="AN96" s="75"/>
    </row>
    <row r="97" spans="1:40" s="6" customFormat="1" ht="11.25" x14ac:dyDescent="0.2">
      <c r="A97" s="56">
        <f t="shared" si="46"/>
        <v>44644</v>
      </c>
      <c r="B97" s="1141">
        <v>40.971000000000004</v>
      </c>
      <c r="C97" s="868"/>
      <c r="D97" s="395">
        <f t="shared" si="25"/>
        <v>42.259922328587763</v>
      </c>
      <c r="E97" s="387">
        <f t="shared" si="47"/>
        <v>47.629233819287869</v>
      </c>
      <c r="F97" s="387">
        <f t="shared" si="26"/>
        <v>47.980036095825021</v>
      </c>
      <c r="G97" s="110">
        <f t="shared" si="48"/>
        <v>1.0004521160685849</v>
      </c>
      <c r="H97" s="416" t="b">
        <f>Wh_hp&gt;='2021'!Maxi_hp</f>
        <v>1</v>
      </c>
      <c r="I97" s="382">
        <f>IF(H97,Wh_hp,'2021'!Maxi_hp)</f>
        <v>47.980036095825021</v>
      </c>
      <c r="J97" s="85">
        <f>IF(H97,An,'2021'!An_max)</f>
        <v>2022</v>
      </c>
      <c r="K97" s="199">
        <f t="shared" si="27"/>
        <v>44644</v>
      </c>
      <c r="L97" s="147">
        <f>IF(t&lt;Tvie,1-EXP((T0-t)*PertePVj)+'2021'!Pspv,1-EXP((T0-t)*PertePVj)+Pspv)</f>
        <v>3.0499874528066351E-2</v>
      </c>
      <c r="M97" s="872"/>
      <c r="N97" s="872"/>
      <c r="O97" s="48">
        <f>IF(t&lt;Tnet,'2021'!Resal+('2021'!Salim-'2021'!Resal)*(1-EXP(('2021'!Tnet-t)/('2021'!Tau_j))),Resal+(Salim-Resal)*(1-EXP((Tnet-t)/(Tau_j))))*Salcycl</f>
        <v>0.11273142690205865</v>
      </c>
      <c r="P97" s="341">
        <f>(INDEX(Models!$BJ97:$BT97,,T97)*(1-R97)+INDEX(Models!$BJ97:$BT97,,T97+1)*R97-ERP_i)*Q97*Ramure*Pc/MaxiM</f>
        <v>7.3114216887319129E-3</v>
      </c>
      <c r="Q97" s="307">
        <f t="shared" si="28"/>
        <v>0.9</v>
      </c>
      <c r="R97" s="179">
        <f t="shared" si="29"/>
        <v>0.9225892279805169</v>
      </c>
      <c r="S97" s="839">
        <f t="shared" si="30"/>
        <v>-1</v>
      </c>
      <c r="T97" s="178">
        <f t="shared" si="31"/>
        <v>5</v>
      </c>
      <c r="U97" s="253">
        <f t="shared" si="32"/>
        <v>-7.7410772019483098E-2</v>
      </c>
      <c r="V97" s="385">
        <f t="shared" si="33"/>
        <v>40.952484723607981</v>
      </c>
      <c r="W97" s="404">
        <f t="shared" si="34"/>
        <v>0</v>
      </c>
      <c r="X97" s="157">
        <f t="shared" si="35"/>
        <v>44644</v>
      </c>
      <c r="Y97" s="387">
        <f t="shared" si="36"/>
        <v>39.108779978695097</v>
      </c>
      <c r="Z97" s="387">
        <f t="shared" si="37"/>
        <v>40.339118016779743</v>
      </c>
      <c r="AA97" s="388">
        <f t="shared" si="38"/>
        <v>47.629233819287869</v>
      </c>
      <c r="AB97" s="199">
        <f t="shared" si="39"/>
        <v>44644</v>
      </c>
      <c r="AC97" s="119">
        <f>IF(OR(t&lt;Tnet,NoTnet),'2021'!Resal_s+('2021'!Salim-'2021'!Resal_s)*(1-EXP(('2021'!Tnet_s-t)/'2021'!Tau_j)),Resal_s+(Salim-Resal_s)*(1-EXP((Tnet_s-t)/Tau_j)))*Salcycl</f>
        <v>0.15305969082282261</v>
      </c>
      <c r="AD97" s="233">
        <f>(INDEX(Models!$BJ97:$BT97,,AH97)*(1-AF97)+INDEX(Models!$BJ97:$BT97,,AH97+1)*AF97-ERP_i)*AE97*Ramure*Pc/MaxiM</f>
        <v>7.3114216887319129E-3</v>
      </c>
      <c r="AE97" s="307">
        <f t="shared" si="40"/>
        <v>0.9</v>
      </c>
      <c r="AF97" s="179">
        <f t="shared" si="41"/>
        <v>0.9225892279805169</v>
      </c>
      <c r="AG97" s="839">
        <f t="shared" si="49"/>
        <v>-1</v>
      </c>
      <c r="AH97" s="178">
        <f t="shared" si="42"/>
        <v>5</v>
      </c>
      <c r="AI97" s="227">
        <f t="shared" si="43"/>
        <v>-7.7410772019483098E-2</v>
      </c>
      <c r="AJ97" s="267" t="b">
        <f t="shared" si="44"/>
        <v>1</v>
      </c>
      <c r="AK97" s="267" t="b">
        <f t="shared" si="45"/>
        <v>0</v>
      </c>
      <c r="AL97" s="267"/>
      <c r="AM97" s="267"/>
      <c r="AN97" s="75"/>
    </row>
    <row r="98" spans="1:40" s="6" customFormat="1" ht="11.25" x14ac:dyDescent="0.2">
      <c r="A98" s="56">
        <f t="shared" si="46"/>
        <v>44645</v>
      </c>
      <c r="B98" s="1141">
        <v>37.500999999999998</v>
      </c>
      <c r="C98" s="868"/>
      <c r="D98" s="395">
        <f t="shared" si="25"/>
        <v>38.681658452710153</v>
      </c>
      <c r="E98" s="387">
        <f t="shared" si="47"/>
        <v>43.604677279650296</v>
      </c>
      <c r="F98" s="387">
        <f t="shared" si="26"/>
        <v>43.879780561674799</v>
      </c>
      <c r="G98" s="110">
        <f t="shared" si="48"/>
        <v>0.90631686125570021</v>
      </c>
      <c r="H98" s="416" t="b">
        <f>Wh_hp&gt;='2021'!Maxi_hp</f>
        <v>0</v>
      </c>
      <c r="I98" s="382">
        <f>IF(H98,Wh_hp,'2021'!Maxi_hp)</f>
        <v>46.654104834621393</v>
      </c>
      <c r="J98" s="85">
        <f>IF(H98,An,'2021'!An_max)</f>
        <v>2020</v>
      </c>
      <c r="K98" s="199">
        <f t="shared" si="27"/>
        <v>44645</v>
      </c>
      <c r="L98" s="147">
        <f>IF(t&lt;Tvie,1-EXP((T0-t)*PertePVj)+'2021'!Pspv,1-EXP((T0-t)*PertePVj)+Pspv)</f>
        <v>3.0522436212334525E-2</v>
      </c>
      <c r="M98" s="872"/>
      <c r="N98" s="872"/>
      <c r="O98" s="48">
        <f>IF(t&lt;Tnet,'2021'!Resal+('2021'!Salim-'2021'!Resal)*(1-EXP(('2021'!Tnet-t)/('2021'!Tau_j))),Resal+(Salim-Resal)*(1-EXP((Tnet-t)/(Tau_j))))*Salcycl</f>
        <v>0.11290116414272028</v>
      </c>
      <c r="P98" s="341">
        <f>(INDEX(Models!$BJ98:$BT98,,T98)*(1-R98)+INDEX(Models!$BJ98:$BT98,,T98+1)*R98-ERP_i)*Q98*Ramure*Pc/MaxiM</f>
        <v>7.2277570458595484E-3</v>
      </c>
      <c r="Q98" s="307">
        <f t="shared" si="28"/>
        <v>0.9</v>
      </c>
      <c r="R98" s="179">
        <f t="shared" si="29"/>
        <v>0.92353212859790268</v>
      </c>
      <c r="S98" s="839">
        <f t="shared" si="30"/>
        <v>-1</v>
      </c>
      <c r="T98" s="178">
        <f t="shared" si="31"/>
        <v>5</v>
      </c>
      <c r="U98" s="253">
        <f t="shared" si="32"/>
        <v>-7.6467871402097348E-2</v>
      </c>
      <c r="V98" s="385">
        <f t="shared" si="33"/>
        <v>41.337459803935779</v>
      </c>
      <c r="W98" s="404">
        <f t="shared" si="34"/>
        <v>0</v>
      </c>
      <c r="X98" s="157">
        <f t="shared" si="35"/>
        <v>44645</v>
      </c>
      <c r="Y98" s="387">
        <f t="shared" si="36"/>
        <v>35.800651144198916</v>
      </c>
      <c r="Z98" s="387">
        <f t="shared" si="37"/>
        <v>36.927776857804581</v>
      </c>
      <c r="AA98" s="388">
        <f t="shared" si="38"/>
        <v>43.604677279650296</v>
      </c>
      <c r="AB98" s="199">
        <f t="shared" si="39"/>
        <v>44645</v>
      </c>
      <c r="AC98" s="119">
        <f>IF(OR(t&lt;Tnet,NoTnet),'2021'!Resal_s+('2021'!Salim-'2021'!Resal_s)*(1-EXP(('2021'!Tnet_s-t)/'2021'!Tau_j)),Resal_s+(Salim-Resal_s)*(1-EXP((Tnet_s-t)/Tau_j)))*Salcycl</f>
        <v>0.15312349129486003</v>
      </c>
      <c r="AD98" s="233">
        <f>(INDEX(Models!$BJ98:$BT98,,AH98)*(1-AF98)+INDEX(Models!$BJ98:$BT98,,AH98+1)*AF98-ERP_i)*AE98*Ramure*Pc/MaxiM</f>
        <v>7.2277570458595484E-3</v>
      </c>
      <c r="AE98" s="307">
        <f t="shared" si="40"/>
        <v>0.9</v>
      </c>
      <c r="AF98" s="179">
        <f t="shared" si="41"/>
        <v>0.92353212859790268</v>
      </c>
      <c r="AG98" s="839">
        <f t="shared" si="49"/>
        <v>-1</v>
      </c>
      <c r="AH98" s="178">
        <f t="shared" si="42"/>
        <v>5</v>
      </c>
      <c r="AI98" s="227">
        <f t="shared" si="43"/>
        <v>-7.6467871402097348E-2</v>
      </c>
      <c r="AJ98" s="267" t="b">
        <f t="shared" si="44"/>
        <v>1</v>
      </c>
      <c r="AK98" s="267" t="b">
        <f t="shared" si="45"/>
        <v>0</v>
      </c>
      <c r="AL98" s="267"/>
      <c r="AM98" s="267"/>
      <c r="AN98" s="75"/>
    </row>
    <row r="99" spans="1:40" s="6" customFormat="1" ht="11.25" x14ac:dyDescent="0.2">
      <c r="A99" s="56">
        <f t="shared" si="46"/>
        <v>44646</v>
      </c>
      <c r="B99" s="1141">
        <v>40.496000000000002</v>
      </c>
      <c r="C99" s="868"/>
      <c r="D99" s="395">
        <f t="shared" si="25"/>
        <v>41.771923287006601</v>
      </c>
      <c r="E99" s="387">
        <f t="shared" si="47"/>
        <v>47.097289348044363</v>
      </c>
      <c r="F99" s="387">
        <f t="shared" si="26"/>
        <v>47.421678153214451</v>
      </c>
      <c r="G99" s="110">
        <f t="shared" si="48"/>
        <v>0.97035584224708638</v>
      </c>
      <c r="H99" s="416" t="b">
        <f>Wh_hp&gt;='2021'!Maxi_hp</f>
        <v>0</v>
      </c>
      <c r="I99" s="382">
        <f>IF(H99,Wh_hp,'2021'!Maxi_hp)</f>
        <v>49.888240917785708</v>
      </c>
      <c r="J99" s="85">
        <f>IF(H99,An,'2021'!An_max)</f>
        <v>2019</v>
      </c>
      <c r="K99" s="199">
        <f t="shared" si="27"/>
        <v>44646</v>
      </c>
      <c r="L99" s="147">
        <f>IF(t&lt;Tvie,1-EXP((T0-t)*PertePVj)+'2021'!Pspv,1-EXP((T0-t)*PertePVj)+Pspv)</f>
        <v>3.0544997371559468E-2</v>
      </c>
      <c r="M99" s="872"/>
      <c r="N99" s="872"/>
      <c r="O99" s="48">
        <f>IF(t&lt;Tnet,'2021'!Resal+('2021'!Salim-'2021'!Resal)*(1-EXP(('2021'!Tnet-t)/('2021'!Tau_j))),Resal+(Salim-Resal)*(1-EXP((Tnet-t)/(Tau_j))))*Salcycl</f>
        <v>0.11307160422086765</v>
      </c>
      <c r="P99" s="341">
        <f>(INDEX(Models!$BJ99:$BT99,,T99)*(1-R99)+INDEX(Models!$BJ99:$BT99,,T99+1)*R99-ERP_i)*Q99*Ramure*Pc/MaxiM</f>
        <v>7.1398988939851112E-3</v>
      </c>
      <c r="Q99" s="307">
        <f t="shared" si="28"/>
        <v>0.9</v>
      </c>
      <c r="R99" s="179">
        <f t="shared" si="29"/>
        <v>0.92451131777775652</v>
      </c>
      <c r="S99" s="839">
        <f t="shared" si="30"/>
        <v>-1</v>
      </c>
      <c r="T99" s="178">
        <f t="shared" si="31"/>
        <v>5</v>
      </c>
      <c r="U99" s="253">
        <f t="shared" si="32"/>
        <v>-7.5488682222243475E-2</v>
      </c>
      <c r="V99" s="385">
        <f t="shared" si="33"/>
        <v>41.720563707081489</v>
      </c>
      <c r="W99" s="404">
        <f t="shared" si="34"/>
        <v>0</v>
      </c>
      <c r="X99" s="157">
        <f t="shared" si="35"/>
        <v>44646</v>
      </c>
      <c r="Y99" s="387">
        <f t="shared" si="36"/>
        <v>38.664307166609092</v>
      </c>
      <c r="Z99" s="387">
        <f t="shared" si="37"/>
        <v>39.88251859217835</v>
      </c>
      <c r="AA99" s="388">
        <f t="shared" si="38"/>
        <v>47.097289348044363</v>
      </c>
      <c r="AB99" s="199">
        <f t="shared" si="39"/>
        <v>44646</v>
      </c>
      <c r="AC99" s="119">
        <f>IF(OR(t&lt;Tnet,NoTnet),'2021'!Resal_s+('2021'!Salim-'2021'!Resal_s)*(1-EXP(('2021'!Tnet_s-t)/'2021'!Tau_j)),Resal_s+(Salim-Resal_s)*(1-EXP((Tnet_s-t)/Tau_j)))*Salcycl</f>
        <v>0.1531886623569684</v>
      </c>
      <c r="AD99" s="233">
        <f>(INDEX(Models!$BJ99:$BT99,,AH99)*(1-AF99)+INDEX(Models!$BJ99:$BT99,,AH99+1)*AF99-ERP_i)*AE99*Ramure*Pc/MaxiM</f>
        <v>7.1398988939851112E-3</v>
      </c>
      <c r="AE99" s="307">
        <f t="shared" si="40"/>
        <v>0.9</v>
      </c>
      <c r="AF99" s="179">
        <f t="shared" si="41"/>
        <v>0.92451131777775652</v>
      </c>
      <c r="AG99" s="839">
        <f t="shared" si="49"/>
        <v>-1</v>
      </c>
      <c r="AH99" s="178">
        <f t="shared" si="42"/>
        <v>5</v>
      </c>
      <c r="AI99" s="227">
        <f t="shared" si="43"/>
        <v>-7.5488682222243475E-2</v>
      </c>
      <c r="AJ99" s="267" t="b">
        <f t="shared" si="44"/>
        <v>1</v>
      </c>
      <c r="AK99" s="267" t="b">
        <f t="shared" si="45"/>
        <v>0</v>
      </c>
      <c r="AL99" s="267"/>
      <c r="AM99" s="267"/>
      <c r="AN99" s="75"/>
    </row>
    <row r="100" spans="1:40" s="6" customFormat="1" ht="11.25" x14ac:dyDescent="0.2">
      <c r="A100" s="56">
        <f t="shared" si="46"/>
        <v>44647</v>
      </c>
      <c r="B100" s="1141">
        <v>39.975999999999999</v>
      </c>
      <c r="C100" s="868"/>
      <c r="D100" s="395">
        <f t="shared" si="25"/>
        <v>41.236499077505854</v>
      </c>
      <c r="E100" s="387">
        <f t="shared" si="47"/>
        <v>46.50258233087213</v>
      </c>
      <c r="F100" s="387">
        <f t="shared" si="26"/>
        <v>46.808608097159279</v>
      </c>
      <c r="G100" s="110">
        <f t="shared" si="48"/>
        <v>0.94903790637739738</v>
      </c>
      <c r="H100" s="416" t="b">
        <f>Wh_hp&gt;='2021'!Maxi_hp</f>
        <v>0</v>
      </c>
      <c r="I100" s="382">
        <f>IF(H100,Wh_hp,'2021'!Maxi_hp)</f>
        <v>49.214148253624103</v>
      </c>
      <c r="J100" s="85">
        <f>IF(H100,An,'2021'!An_max)</f>
        <v>2019</v>
      </c>
      <c r="K100" s="199">
        <f t="shared" si="27"/>
        <v>44647</v>
      </c>
      <c r="L100" s="147">
        <f>IF(t&lt;Tvie,1-EXP((T0-t)*PertePVj)+'2021'!Pspv,1-EXP((T0-t)*PertePVj)+Pspv)</f>
        <v>3.0567558005753281E-2</v>
      </c>
      <c r="M100" s="872"/>
      <c r="N100" s="872"/>
      <c r="O100" s="48">
        <f>IF(t&lt;Tnet,'2021'!Resal+('2021'!Salim-'2021'!Resal)*(1-EXP(('2021'!Tnet-t)/('2021'!Tau_j))),Resal+(Salim-Resal)*(1-EXP((Tnet-t)/(Tau_j))))*Salcycl</f>
        <v>0.11324281339684285</v>
      </c>
      <c r="P100" s="341">
        <f>(INDEX(Models!$BJ100:$BT100,,T100)*(1-R100)+INDEX(Models!$BJ100:$BT100,,T100+1)*R100-ERP_i)*Q100*Ramure*Pc/MaxiM</f>
        <v>7.0458830835110394E-3</v>
      </c>
      <c r="Q100" s="307">
        <f t="shared" si="28"/>
        <v>0.9</v>
      </c>
      <c r="R100" s="179">
        <f t="shared" si="29"/>
        <v>0.92552805599167332</v>
      </c>
      <c r="S100" s="839">
        <f t="shared" si="30"/>
        <v>-1</v>
      </c>
      <c r="T100" s="178">
        <f t="shared" si="31"/>
        <v>5</v>
      </c>
      <c r="U100" s="253">
        <f t="shared" si="32"/>
        <v>-7.4471944008326671E-2</v>
      </c>
      <c r="V100" s="385">
        <f t="shared" si="33"/>
        <v>42.101116639648041</v>
      </c>
      <c r="W100" s="404">
        <f t="shared" si="34"/>
        <v>0</v>
      </c>
      <c r="X100" s="157">
        <f t="shared" si="35"/>
        <v>44647</v>
      </c>
      <c r="Y100" s="387">
        <f t="shared" si="36"/>
        <v>38.172193163281584</v>
      </c>
      <c r="Z100" s="387">
        <f t="shared" si="37"/>
        <v>39.375815693517019</v>
      </c>
      <c r="AA100" s="388">
        <f t="shared" si="38"/>
        <v>46.50258233087213</v>
      </c>
      <c r="AB100" s="199">
        <f t="shared" si="39"/>
        <v>44647</v>
      </c>
      <c r="AC100" s="119">
        <f>IF(OR(t&lt;Tnet,NoTnet),'2021'!Resal_s+('2021'!Salim-'2021'!Resal_s)*(1-EXP(('2021'!Tnet_s-t)/'2021'!Tau_j)),Resal_s+(Salim-Resal_s)*(1-EXP((Tnet_s-t)/Tau_j)))*Salcycl</f>
        <v>0.15325528777406824</v>
      </c>
      <c r="AD100" s="233">
        <f>(INDEX(Models!$BJ100:$BT100,,AH100)*(1-AF100)+INDEX(Models!$BJ100:$BT100,,AH100+1)*AF100-ERP_i)*AE100*Ramure*Pc/MaxiM</f>
        <v>7.0458830835110394E-3</v>
      </c>
      <c r="AE100" s="307">
        <f t="shared" si="40"/>
        <v>0.9</v>
      </c>
      <c r="AF100" s="179">
        <f t="shared" si="41"/>
        <v>0.92552805599167332</v>
      </c>
      <c r="AG100" s="839">
        <f t="shared" si="49"/>
        <v>-1</v>
      </c>
      <c r="AH100" s="178">
        <f t="shared" si="42"/>
        <v>5</v>
      </c>
      <c r="AI100" s="227">
        <f t="shared" si="43"/>
        <v>-7.4471944008326671E-2</v>
      </c>
      <c r="AJ100" s="267" t="b">
        <f t="shared" si="44"/>
        <v>1</v>
      </c>
      <c r="AK100" s="267" t="b">
        <f t="shared" si="45"/>
        <v>0</v>
      </c>
      <c r="AL100" s="267"/>
      <c r="AM100" s="267"/>
      <c r="AN100" s="75"/>
    </row>
    <row r="101" spans="1:40" s="6" customFormat="1" ht="11.25" x14ac:dyDescent="0.2">
      <c r="A101" s="56">
        <f t="shared" si="46"/>
        <v>44648</v>
      </c>
      <c r="B101" s="1141">
        <v>31.091000000000001</v>
      </c>
      <c r="C101" s="868"/>
      <c r="D101" s="395">
        <f t="shared" si="25"/>
        <v>32.0720889904091</v>
      </c>
      <c r="E101" s="387">
        <f t="shared" si="47"/>
        <v>36.17485503155325</v>
      </c>
      <c r="F101" s="387">
        <f t="shared" si="26"/>
        <v>36.330652635869711</v>
      </c>
      <c r="G101" s="110">
        <f t="shared" si="48"/>
        <v>0.72997227016748412</v>
      </c>
      <c r="H101" s="416" t="b">
        <f>Wh_hp&gt;='2021'!Maxi_hp</f>
        <v>0</v>
      </c>
      <c r="I101" s="382">
        <f>IF(H101,Wh_hp,'2021'!Maxi_hp)</f>
        <v>48.325580600194776</v>
      </c>
      <c r="J101" s="85">
        <f>IF(H101,An,'2021'!An_max)</f>
        <v>2021</v>
      </c>
      <c r="K101" s="199">
        <f t="shared" si="27"/>
        <v>44648</v>
      </c>
      <c r="L101" s="147">
        <f>IF(t&lt;Tvie,1-EXP((T0-t)*PertePVj)+'2021'!Pspv,1-EXP((T0-t)*PertePVj)+Pspv)</f>
        <v>3.0590118114928067E-2</v>
      </c>
      <c r="M101" s="872"/>
      <c r="N101" s="872"/>
      <c r="O101" s="48">
        <f>IF(t&lt;Tnet,'2021'!Resal+('2021'!Salim-'2021'!Resal)*(1-EXP(('2021'!Tnet-t)/('2021'!Tau_j))),Resal+(Salim-Resal)*(1-EXP((Tnet-t)/(Tau_j))))*Salcycl</f>
        <v>0.1134148578498945</v>
      </c>
      <c r="P101" s="341">
        <f>(INDEX(Models!$BJ101:$BT101,,T101)*(1-R101)+INDEX(Models!$BJ101:$BT101,,T101+1)*R101-ERP_i)*Q101*Ramure*Pc/MaxiM</f>
        <v>6.9498201875753621E-3</v>
      </c>
      <c r="Q101" s="307">
        <f t="shared" si="28"/>
        <v>0.9</v>
      </c>
      <c r="R101" s="179">
        <f t="shared" si="29"/>
        <v>0.92658363638113928</v>
      </c>
      <c r="S101" s="839">
        <f t="shared" si="30"/>
        <v>-1</v>
      </c>
      <c r="T101" s="178">
        <f t="shared" si="31"/>
        <v>5</v>
      </c>
      <c r="U101" s="253">
        <f t="shared" si="32"/>
        <v>-7.3416363618860697E-2</v>
      </c>
      <c r="V101" s="385">
        <f t="shared" si="33"/>
        <v>42.478182122410729</v>
      </c>
      <c r="W101" s="404">
        <f t="shared" si="34"/>
        <v>0</v>
      </c>
      <c r="X101" s="157">
        <f t="shared" si="35"/>
        <v>44648</v>
      </c>
      <c r="Y101" s="387">
        <f t="shared" si="36"/>
        <v>29.691475005888517</v>
      </c>
      <c r="Z101" s="387">
        <f t="shared" si="37"/>
        <v>30.628401423092342</v>
      </c>
      <c r="AA101" s="388">
        <f t="shared" si="38"/>
        <v>36.17485503155325</v>
      </c>
      <c r="AB101" s="199">
        <f t="shared" si="39"/>
        <v>44648</v>
      </c>
      <c r="AC101" s="119">
        <f>IF(OR(t&lt;Tnet,NoTnet),'2021'!Resal_s+('2021'!Salim-'2021'!Resal_s)*(1-EXP(('2021'!Tnet_s-t)/'2021'!Tau_j)),Resal_s+(Salim-Resal_s)*(1-EXP((Tnet_s-t)/Tau_j)))*Salcycl</f>
        <v>0.15332345087832572</v>
      </c>
      <c r="AD101" s="233">
        <f>(INDEX(Models!$BJ101:$BT101,,AH101)*(1-AF101)+INDEX(Models!$BJ101:$BT101,,AH101+1)*AF101-ERP_i)*AE101*Ramure*Pc/MaxiM</f>
        <v>6.9498201875753621E-3</v>
      </c>
      <c r="AE101" s="307">
        <f t="shared" si="40"/>
        <v>0.9</v>
      </c>
      <c r="AF101" s="179">
        <f t="shared" si="41"/>
        <v>0.92658363638113928</v>
      </c>
      <c r="AG101" s="839">
        <f t="shared" si="49"/>
        <v>-1</v>
      </c>
      <c r="AH101" s="178">
        <f t="shared" si="42"/>
        <v>5</v>
      </c>
      <c r="AI101" s="227">
        <f t="shared" si="43"/>
        <v>-7.3416363618860697E-2</v>
      </c>
      <c r="AJ101" s="267" t="b">
        <f t="shared" si="44"/>
        <v>1</v>
      </c>
      <c r="AK101" s="267" t="b">
        <f t="shared" si="45"/>
        <v>0</v>
      </c>
      <c r="AL101" s="267"/>
      <c r="AM101" s="267"/>
      <c r="AN101" s="75"/>
    </row>
    <row r="102" spans="1:40" s="6" customFormat="1" ht="11.25" x14ac:dyDescent="0.2">
      <c r="A102" s="56">
        <f t="shared" si="46"/>
        <v>44649</v>
      </c>
      <c r="B102" s="1141">
        <v>25.670999999999999</v>
      </c>
      <c r="C102" s="868"/>
      <c r="D102" s="395">
        <f t="shared" si="25"/>
        <v>26.48167498112954</v>
      </c>
      <c r="E102" s="387">
        <f t="shared" si="47"/>
        <v>29.875124785203255</v>
      </c>
      <c r="F102" s="387">
        <f t="shared" si="26"/>
        <v>29.962840023324109</v>
      </c>
      <c r="G102" s="110">
        <f t="shared" si="48"/>
        <v>0.59671811456098778</v>
      </c>
      <c r="H102" s="416" t="b">
        <f>Wh_hp&gt;='2021'!Maxi_hp</f>
        <v>0</v>
      </c>
      <c r="I102" s="382">
        <f>IF(H102,Wh_hp,'2021'!Maxi_hp)</f>
        <v>50.344049299154825</v>
      </c>
      <c r="J102" s="85">
        <f>IF(H102,An,'2021'!An_max)</f>
        <v>2021</v>
      </c>
      <c r="K102" s="199">
        <f t="shared" si="27"/>
        <v>44649</v>
      </c>
      <c r="L102" s="147">
        <f>IF(t&lt;Tvie,1-EXP((T0-t)*PertePVj)+'2021'!Pspv,1-EXP((T0-t)*PertePVj)+Pspv)</f>
        <v>3.0612677699096258E-2</v>
      </c>
      <c r="M102" s="872"/>
      <c r="N102" s="872"/>
      <c r="O102" s="48">
        <f>IF(t&lt;Tnet,'2021'!Resal+('2021'!Salim-'2021'!Resal)*(1-EXP(('2021'!Tnet-t)/('2021'!Tau_j))),Resal+(Salim-Resal)*(1-EXP((Tnet-t)/(Tau_j))))*Salcycl</f>
        <v>0.11358780351452936</v>
      </c>
      <c r="P102" s="341">
        <f>(INDEX(Models!$BJ102:$BT102,,T102)*(1-R102)+INDEX(Models!$BJ102:$BT102,,T102+1)*R102-ERP_i)*Q102*Ramure*Pc/MaxiM</f>
        <v>6.8518604367833781E-3</v>
      </c>
      <c r="Q102" s="307">
        <f t="shared" si="28"/>
        <v>0.9</v>
      </c>
      <c r="R102" s="179">
        <f t="shared" si="29"/>
        <v>0.92767938466527733</v>
      </c>
      <c r="S102" s="839">
        <f t="shared" si="30"/>
        <v>-1</v>
      </c>
      <c r="T102" s="178">
        <f t="shared" si="31"/>
        <v>5</v>
      </c>
      <c r="U102" s="253">
        <f t="shared" si="32"/>
        <v>-7.2320615334722615E-2</v>
      </c>
      <c r="V102" s="385">
        <f t="shared" si="33"/>
        <v>42.850988590763571</v>
      </c>
      <c r="W102" s="404">
        <f t="shared" si="34"/>
        <v>0</v>
      </c>
      <c r="X102" s="157">
        <f t="shared" si="35"/>
        <v>44649</v>
      </c>
      <c r="Y102" s="387">
        <f t="shared" si="36"/>
        <v>24.518212144517026</v>
      </c>
      <c r="Z102" s="387">
        <f t="shared" si="37"/>
        <v>25.292482767694402</v>
      </c>
      <c r="AA102" s="388">
        <f t="shared" si="38"/>
        <v>29.875124785203255</v>
      </c>
      <c r="AB102" s="199">
        <f t="shared" si="39"/>
        <v>44649</v>
      </c>
      <c r="AC102" s="119">
        <f>IF(OR(t&lt;Tnet,NoTnet),'2021'!Resal_s+('2021'!Salim-'2021'!Resal_s)*(1-EXP(('2021'!Tnet_s-t)/'2021'!Tau_j)),Resal_s+(Salim-Resal_s)*(1-EXP((Tnet_s-t)/Tau_j)))*Salcycl</f>
        <v>0.15339323435323604</v>
      </c>
      <c r="AD102" s="233">
        <f>(INDEX(Models!$BJ102:$BT102,,AH102)*(1-AF102)+INDEX(Models!$BJ102:$BT102,,AH102+1)*AF102-ERP_i)*AE102*Ramure*Pc/MaxiM</f>
        <v>6.8518604367833781E-3</v>
      </c>
      <c r="AE102" s="307">
        <f t="shared" si="40"/>
        <v>0.9</v>
      </c>
      <c r="AF102" s="179">
        <f t="shared" si="41"/>
        <v>0.92767938466527733</v>
      </c>
      <c r="AG102" s="839">
        <f t="shared" si="49"/>
        <v>-1</v>
      </c>
      <c r="AH102" s="178">
        <f t="shared" si="42"/>
        <v>5</v>
      </c>
      <c r="AI102" s="227">
        <f t="shared" si="43"/>
        <v>-7.2320615334722615E-2</v>
      </c>
      <c r="AJ102" s="267" t="b">
        <f t="shared" si="44"/>
        <v>1</v>
      </c>
      <c r="AK102" s="267" t="b">
        <f t="shared" si="45"/>
        <v>0</v>
      </c>
      <c r="AL102" s="267"/>
      <c r="AM102" s="267"/>
      <c r="AN102" s="75"/>
    </row>
    <row r="103" spans="1:40" s="6" customFormat="1" ht="11.25" x14ac:dyDescent="0.2">
      <c r="A103" s="56">
        <f t="shared" si="46"/>
        <v>44650</v>
      </c>
      <c r="B103" s="1141">
        <v>7.2350000000000003</v>
      </c>
      <c r="C103" s="868"/>
      <c r="D103" s="395">
        <f t="shared" si="25"/>
        <v>7.4636507064738558</v>
      </c>
      <c r="E103" s="387">
        <f t="shared" si="47"/>
        <v>8.4217200278631896</v>
      </c>
      <c r="F103" s="387">
        <f t="shared" si="26"/>
        <v>8.4217200278631896</v>
      </c>
      <c r="G103" s="110">
        <f t="shared" si="48"/>
        <v>0.16627379905951711</v>
      </c>
      <c r="H103" s="416" t="b">
        <f>Wh_hp&gt;='2021'!Maxi_hp</f>
        <v>0</v>
      </c>
      <c r="I103" s="382">
        <f>IF(H103,Wh_hp,'2021'!Maxi_hp)</f>
        <v>50.446118707020261</v>
      </c>
      <c r="J103" s="85">
        <f>IF(H103,An,'2021'!An_max)</f>
        <v>2019</v>
      </c>
      <c r="K103" s="199">
        <f t="shared" si="27"/>
        <v>44650</v>
      </c>
      <c r="L103" s="147">
        <f>IF(t&lt;Tvie,1-EXP((T0-t)*PertePVj)+'2021'!Pspv,1-EXP((T0-t)*PertePVj)+Pspv)</f>
        <v>3.0635236758269957E-2</v>
      </c>
      <c r="M103" s="872"/>
      <c r="N103" s="872"/>
      <c r="O103" s="48">
        <f>IF(t&lt;Tnet,'2021'!Resal+('2021'!Salim-'2021'!Resal)*(1-EXP(('2021'!Tnet-t)/('2021'!Tau_j))),Resal+(Salim-Resal)*(1-EXP((Tnet-t)/(Tau_j))))*Salcycl</f>
        <v>0.11376171592258698</v>
      </c>
      <c r="P103" s="341">
        <f>(INDEX(Models!$BJ103:$BT103,,T103)*(1-R103)+INDEX(Models!$BJ103:$BT103,,T103+1)*R103-ERP_i)*Q103*Ramure*Pc/MaxiM</f>
        <v>6.752140532271877E-3</v>
      </c>
      <c r="Q103" s="307">
        <f t="shared" si="28"/>
        <v>0.9</v>
      </c>
      <c r="R103" s="179">
        <f t="shared" si="29"/>
        <v>0.92881665895070031</v>
      </c>
      <c r="S103" s="839">
        <f t="shared" si="30"/>
        <v>-1</v>
      </c>
      <c r="T103" s="178">
        <f t="shared" si="31"/>
        <v>5</v>
      </c>
      <c r="U103" s="253">
        <f t="shared" si="32"/>
        <v>-7.11833410492997E-2</v>
      </c>
      <c r="V103" s="385">
        <f t="shared" si="33"/>
        <v>43.218765096458512</v>
      </c>
      <c r="W103" s="404">
        <f t="shared" si="34"/>
        <v>0</v>
      </c>
      <c r="X103" s="157">
        <f t="shared" si="35"/>
        <v>44650</v>
      </c>
      <c r="Y103" s="387">
        <f t="shared" si="36"/>
        <v>6.9108758452951253</v>
      </c>
      <c r="Z103" s="387">
        <f t="shared" si="37"/>
        <v>7.1292831216434092</v>
      </c>
      <c r="AA103" s="388">
        <f t="shared" si="38"/>
        <v>8.4217200278631896</v>
      </c>
      <c r="AB103" s="199">
        <f t="shared" si="39"/>
        <v>44650</v>
      </c>
      <c r="AC103" s="119">
        <f>IF(OR(t&lt;Tnet,NoTnet),'2021'!Resal_s+('2021'!Salim-'2021'!Resal_s)*(1-EXP(('2021'!Tnet_s-t)/'2021'!Tau_j)),Resal_s+(Salim-Resal_s)*(1-EXP((Tnet_s-t)/Tau_j)))*Salcycl</f>
        <v>0.15346472002675984</v>
      </c>
      <c r="AD103" s="233">
        <f>(INDEX(Models!$BJ103:$BT103,,AH103)*(1-AF103)+INDEX(Models!$BJ103:$BT103,,AH103+1)*AF103-ERP_i)*AE103*Ramure*Pc/MaxiM</f>
        <v>6.752140532271877E-3</v>
      </c>
      <c r="AE103" s="307">
        <f t="shared" si="40"/>
        <v>0.9</v>
      </c>
      <c r="AF103" s="179">
        <f t="shared" si="41"/>
        <v>0.92881665895070031</v>
      </c>
      <c r="AG103" s="839">
        <f t="shared" si="49"/>
        <v>-1</v>
      </c>
      <c r="AH103" s="178">
        <f t="shared" si="42"/>
        <v>5</v>
      </c>
      <c r="AI103" s="227">
        <f t="shared" si="43"/>
        <v>-7.11833410492997E-2</v>
      </c>
      <c r="AJ103" s="267" t="b">
        <f t="shared" si="44"/>
        <v>1</v>
      </c>
      <c r="AK103" s="267" t="b">
        <f t="shared" si="45"/>
        <v>0</v>
      </c>
      <c r="AL103" s="267"/>
      <c r="AM103" s="267"/>
      <c r="AN103" s="75"/>
    </row>
    <row r="104" spans="1:40" s="6" customFormat="1" ht="11.25" x14ac:dyDescent="0.2">
      <c r="A104" s="56">
        <f t="shared" si="46"/>
        <v>44651</v>
      </c>
      <c r="B104" s="1141">
        <v>25.263999999999999</v>
      </c>
      <c r="C104" s="868"/>
      <c r="D104" s="395">
        <f t="shared" si="25"/>
        <v>26.063035197794189</v>
      </c>
      <c r="E104" s="387">
        <f t="shared" si="47"/>
        <v>29.414415451720913</v>
      </c>
      <c r="F104" s="387">
        <f t="shared" si="26"/>
        <v>29.492793036749166</v>
      </c>
      <c r="G104" s="110">
        <f t="shared" si="48"/>
        <v>0.57738451675462088</v>
      </c>
      <c r="H104" s="416" t="b">
        <f>Wh_hp&gt;='2021'!Maxi_hp</f>
        <v>0</v>
      </c>
      <c r="I104" s="382">
        <f>IF(H104,Wh_hp,'2021'!Maxi_hp)</f>
        <v>45.61734121324757</v>
      </c>
      <c r="J104" s="85">
        <f>IF(H104,An,'2021'!An_max)</f>
        <v>2021</v>
      </c>
      <c r="K104" s="199">
        <f t="shared" si="27"/>
        <v>44651</v>
      </c>
      <c r="L104" s="147">
        <f>IF(t&lt;Tvie,1-EXP((T0-t)*PertePVj)+'2021'!Pspv,1-EXP((T0-t)*PertePVj)+Pspv)</f>
        <v>3.0657795292461376E-2</v>
      </c>
      <c r="M104" s="872"/>
      <c r="N104" s="872"/>
      <c r="O104" s="48">
        <f>IF(t&lt;Tnet,'2021'!Resal+('2021'!Salim-'2021'!Resal)*(1-EXP(('2021'!Tnet-t)/('2021'!Tau_j))),Resal+(Salim-Resal)*(1-EXP((Tnet-t)/(Tau_j))))*Salcycl</f>
        <v>0.11393666005117402</v>
      </c>
      <c r="P104" s="341">
        <f>(INDEX(Models!$BJ104:$BT104,,T104)*(1-R104)+INDEX(Models!$BJ104:$BT104,,T104+1)*R104-ERP_i)*Q104*Ramure*Pc/MaxiM</f>
        <v>6.65078404059956E-3</v>
      </c>
      <c r="Q104" s="307">
        <f t="shared" si="28"/>
        <v>0.9</v>
      </c>
      <c r="R104" s="179">
        <f t="shared" si="29"/>
        <v>0.92999684943477989</v>
      </c>
      <c r="S104" s="839">
        <f t="shared" si="30"/>
        <v>-1</v>
      </c>
      <c r="T104" s="178">
        <f t="shared" si="31"/>
        <v>5</v>
      </c>
      <c r="U104" s="253">
        <f t="shared" si="32"/>
        <v>-7.0003150565220107E-2</v>
      </c>
      <c r="V104" s="385">
        <f t="shared" si="33"/>
        <v>43.580741324159327</v>
      </c>
      <c r="W104" s="404">
        <f t="shared" si="34"/>
        <v>0</v>
      </c>
      <c r="X104" s="157">
        <f t="shared" si="35"/>
        <v>44651</v>
      </c>
      <c r="Y104" s="387">
        <f t="shared" si="36"/>
        <v>24.134861798237669</v>
      </c>
      <c r="Z104" s="387">
        <f t="shared" si="37"/>
        <v>24.898185265253591</v>
      </c>
      <c r="AA104" s="388">
        <f t="shared" si="38"/>
        <v>29.414415451720913</v>
      </c>
      <c r="AB104" s="199">
        <f t="shared" si="39"/>
        <v>44651</v>
      </c>
      <c r="AC104" s="119">
        <f>IF(OR(t&lt;Tnet,NoTnet),'2021'!Resal_s+('2021'!Salim-'2021'!Resal_s)*(1-EXP(('2021'!Tnet_s-t)/'2021'!Tau_j)),Resal_s+(Salim-Resal_s)*(1-EXP((Tnet_s-t)/Tau_j)))*Salcycl</f>
        <v>0.15353798867361471</v>
      </c>
      <c r="AD104" s="233">
        <f>(INDEX(Models!$BJ104:$BT104,,AH104)*(1-AF104)+INDEX(Models!$BJ104:$BT104,,AH104+1)*AF104-ERP_i)*AE104*Ramure*Pc/MaxiM</f>
        <v>6.65078404059956E-3</v>
      </c>
      <c r="AE104" s="307">
        <f t="shared" si="40"/>
        <v>0.9</v>
      </c>
      <c r="AF104" s="179">
        <f t="shared" si="41"/>
        <v>0.92999684943477989</v>
      </c>
      <c r="AG104" s="839">
        <f t="shared" si="49"/>
        <v>-1</v>
      </c>
      <c r="AH104" s="178">
        <f t="shared" si="42"/>
        <v>5</v>
      </c>
      <c r="AI104" s="227">
        <f t="shared" si="43"/>
        <v>-7.0003150565220107E-2</v>
      </c>
      <c r="AJ104" s="267" t="b">
        <f t="shared" si="44"/>
        <v>1</v>
      </c>
      <c r="AK104" s="267" t="b">
        <f t="shared" si="45"/>
        <v>0</v>
      </c>
      <c r="AL104" s="267"/>
      <c r="AM104" s="267"/>
      <c r="AN104" s="75"/>
    </row>
    <row r="105" spans="1:40" s="6" customFormat="1" ht="11.25" x14ac:dyDescent="0.2">
      <c r="A105" s="56">
        <f t="shared" si="46"/>
        <v>44652</v>
      </c>
      <c r="B105" s="1141">
        <v>27.538</v>
      </c>
      <c r="C105" s="868"/>
      <c r="D105" s="395">
        <f t="shared" si="25"/>
        <v>28.409617089470476</v>
      </c>
      <c r="E105" s="387">
        <f t="shared" si="47"/>
        <v>32.069109801132804</v>
      </c>
      <c r="F105" s="387">
        <f t="shared" si="26"/>
        <v>32.167435488625749</v>
      </c>
      <c r="G105" s="110">
        <f t="shared" si="48"/>
        <v>0.62457829292133404</v>
      </c>
      <c r="H105" s="416" t="b">
        <f>Wh_hp&gt;='2021'!Maxi_hp</f>
        <v>0</v>
      </c>
      <c r="I105" s="382">
        <f>IF(H105,Wh_hp,'2021'!Maxi_hp)</f>
        <v>47.773310266895436</v>
      </c>
      <c r="J105" s="85">
        <f>IF(H105,An,'2021'!An_max)</f>
        <v>2020</v>
      </c>
      <c r="K105" s="199">
        <f t="shared" si="27"/>
        <v>44652</v>
      </c>
      <c r="L105" s="147">
        <f>IF(t&lt;Tvie,1-EXP((T0-t)*PertePVj)+'2021'!Pspv,1-EXP((T0-t)*PertePVj)+Pspv)</f>
        <v>3.0680353301682728E-2</v>
      </c>
      <c r="M105" s="872"/>
      <c r="N105" s="872"/>
      <c r="O105" s="48">
        <f>IF(t&lt;Tnet,'2021'!Resal+('2021'!Salim-'2021'!Resal)*(1-EXP(('2021'!Tnet-t)/('2021'!Tau_j))),Resal+(Salim-Resal)*(1-EXP((Tnet-t)/(Tau_j))))*Salcycl</f>
        <v>0.11411270017645019</v>
      </c>
      <c r="P105" s="341">
        <f>(INDEX(Models!$BJ105:$BT105,,T105)*(1-R105)+INDEX(Models!$BJ105:$BT105,,T105+1)*R105-ERP_i)*Q105*Ramure*Pc/MaxiM</f>
        <v>6.5479017899641818E-3</v>
      </c>
      <c r="Q105" s="307">
        <f t="shared" si="28"/>
        <v>0.9</v>
      </c>
      <c r="R105" s="179">
        <f t="shared" si="29"/>
        <v>0.93122137799324134</v>
      </c>
      <c r="S105" s="839">
        <f t="shared" si="30"/>
        <v>-1</v>
      </c>
      <c r="T105" s="178">
        <f t="shared" si="31"/>
        <v>5</v>
      </c>
      <c r="U105" s="253">
        <f t="shared" si="32"/>
        <v>-6.8778622006758688E-2</v>
      </c>
      <c r="V105" s="385">
        <f t="shared" si="33"/>
        <v>43.936147610563573</v>
      </c>
      <c r="W105" s="404">
        <f t="shared" si="34"/>
        <v>0</v>
      </c>
      <c r="X105" s="157">
        <f t="shared" si="35"/>
        <v>44652</v>
      </c>
      <c r="Y105" s="387">
        <f t="shared" si="36"/>
        <v>26.310120836879335</v>
      </c>
      <c r="Z105" s="387">
        <f t="shared" si="37"/>
        <v>27.142873794518138</v>
      </c>
      <c r="AA105" s="388">
        <f t="shared" si="38"/>
        <v>32.069109801132804</v>
      </c>
      <c r="AB105" s="199">
        <f t="shared" si="39"/>
        <v>44652</v>
      </c>
      <c r="AC105" s="119">
        <f>IF(OR(t&lt;Tnet,NoTnet),'2021'!Resal_s+('2021'!Salim-'2021'!Resal_s)*(1-EXP(('2021'!Tnet_s-t)/'2021'!Tau_j)),Resal_s+(Salim-Resal_s)*(1-EXP((Tnet_s-t)/Tau_j)))*Salcycl</f>
        <v>0.15361311982662687</v>
      </c>
      <c r="AD105" s="233">
        <f>(INDEX(Models!$BJ105:$BT105,,AH105)*(1-AF105)+INDEX(Models!$BJ105:$BT105,,AH105+1)*AF105-ERP_i)*AE105*Ramure*Pc/MaxiM</f>
        <v>6.5479017899641818E-3</v>
      </c>
      <c r="AE105" s="307">
        <f t="shared" si="40"/>
        <v>0.9</v>
      </c>
      <c r="AF105" s="179">
        <f t="shared" si="41"/>
        <v>0.93122137799324134</v>
      </c>
      <c r="AG105" s="839">
        <f t="shared" si="49"/>
        <v>-1</v>
      </c>
      <c r="AH105" s="178">
        <f t="shared" si="42"/>
        <v>5</v>
      </c>
      <c r="AI105" s="227">
        <f t="shared" si="43"/>
        <v>-6.8778622006758688E-2</v>
      </c>
      <c r="AJ105" s="267" t="b">
        <f t="shared" si="44"/>
        <v>1</v>
      </c>
      <c r="AK105" s="267" t="b">
        <f t="shared" si="45"/>
        <v>0</v>
      </c>
      <c r="AL105" s="267"/>
      <c r="AM105" s="267"/>
      <c r="AN105" s="75"/>
    </row>
    <row r="106" spans="1:40" s="6" customFormat="1" ht="11.25" x14ac:dyDescent="0.2">
      <c r="A106" s="56">
        <f t="shared" si="46"/>
        <v>44653</v>
      </c>
      <c r="B106" s="1141">
        <v>18.657</v>
      </c>
      <c r="C106" s="868"/>
      <c r="D106" s="395">
        <f t="shared" si="25"/>
        <v>19.2479686647237</v>
      </c>
      <c r="E106" s="387">
        <f t="shared" si="47"/>
        <v>21.731680217854464</v>
      </c>
      <c r="F106" s="387">
        <f t="shared" si="26"/>
        <v>21.755972828493672</v>
      </c>
      <c r="G106" s="110">
        <f t="shared" si="48"/>
        <v>0.41905458017975616</v>
      </c>
      <c r="H106" s="416" t="b">
        <f>Wh_hp&gt;='2021'!Maxi_hp</f>
        <v>0</v>
      </c>
      <c r="I106" s="382">
        <f>IF(H106,Wh_hp,'2021'!Maxi_hp)</f>
        <v>42.352590855929826</v>
      </c>
      <c r="J106" s="85">
        <f>IF(H106,An,'2021'!An_max)</f>
        <v>2020</v>
      </c>
      <c r="K106" s="199">
        <f t="shared" si="27"/>
        <v>44653</v>
      </c>
      <c r="L106" s="147">
        <f>IF(t&lt;Tvie,1-EXP((T0-t)*PertePVj)+'2021'!Pspv,1-EXP((T0-t)*PertePVj)+Pspv)</f>
        <v>3.0702910785946225E-2</v>
      </c>
      <c r="M106" s="872"/>
      <c r="N106" s="872"/>
      <c r="O106" s="48">
        <f>IF(t&lt;Tnet,'2021'!Resal+('2021'!Salim-'2021'!Resal)*(1-EXP(('2021'!Tnet-t)/('2021'!Tau_j))),Resal+(Salim-Resal)*(1-EXP((Tnet-t)/(Tau_j))))*Salcycl</f>
        <v>0.11428989973311771</v>
      </c>
      <c r="P106" s="341">
        <f>(INDEX(Models!$BJ106:$BT106,,T106)*(1-R106)+INDEX(Models!$BJ106:$BT106,,T106+1)*R106-ERP_i)*Q106*Ramure*Pc/MaxiM</f>
        <v>6.4435922597636808E-3</v>
      </c>
      <c r="Q106" s="307">
        <f t="shared" si="28"/>
        <v>0.9</v>
      </c>
      <c r="R106" s="179">
        <f t="shared" si="29"/>
        <v>0.93249169764259854</v>
      </c>
      <c r="S106" s="839">
        <f t="shared" si="30"/>
        <v>-1</v>
      </c>
      <c r="T106" s="178">
        <f t="shared" si="31"/>
        <v>5</v>
      </c>
      <c r="U106" s="253">
        <f t="shared" si="32"/>
        <v>-6.7508302357401517E-2</v>
      </c>
      <c r="V106" s="385">
        <f t="shared" si="33"/>
        <v>44.28421497403712</v>
      </c>
      <c r="W106" s="404">
        <f t="shared" si="34"/>
        <v>0</v>
      </c>
      <c r="X106" s="157">
        <f t="shared" si="35"/>
        <v>44653</v>
      </c>
      <c r="Y106" s="387">
        <f t="shared" si="36"/>
        <v>17.827054349520846</v>
      </c>
      <c r="Z106" s="387">
        <f t="shared" si="37"/>
        <v>18.391734121450586</v>
      </c>
      <c r="AA106" s="388">
        <f t="shared" si="38"/>
        <v>21.731680217854464</v>
      </c>
      <c r="AB106" s="199">
        <f t="shared" si="39"/>
        <v>44653</v>
      </c>
      <c r="AC106" s="119">
        <f>IF(OR(t&lt;Tnet,NoTnet),'2021'!Resal_s+('2021'!Salim-'2021'!Resal_s)*(1-EXP(('2021'!Tnet_s-t)/'2021'!Tau_j)),Resal_s+(Salim-Resal_s)*(1-EXP((Tnet_s-t)/Tau_j)))*Salcycl</f>
        <v>0.15369019159686612</v>
      </c>
      <c r="AD106" s="233">
        <f>(INDEX(Models!$BJ106:$BT106,,AH106)*(1-AF106)+INDEX(Models!$BJ106:$BT106,,AH106+1)*AF106-ERP_i)*AE106*Ramure*Pc/MaxiM</f>
        <v>6.4435922597636808E-3</v>
      </c>
      <c r="AE106" s="307">
        <f t="shared" si="40"/>
        <v>0.9</v>
      </c>
      <c r="AF106" s="179">
        <f t="shared" si="41"/>
        <v>0.93249169764259854</v>
      </c>
      <c r="AG106" s="839">
        <f t="shared" si="49"/>
        <v>-1</v>
      </c>
      <c r="AH106" s="178">
        <f t="shared" si="42"/>
        <v>5</v>
      </c>
      <c r="AI106" s="227">
        <f t="shared" si="43"/>
        <v>-6.7508302357401517E-2</v>
      </c>
      <c r="AJ106" s="267" t="b">
        <f t="shared" si="44"/>
        <v>1</v>
      </c>
      <c r="AK106" s="267" t="b">
        <f t="shared" si="45"/>
        <v>0</v>
      </c>
      <c r="AL106" s="267"/>
      <c r="AM106" s="267"/>
      <c r="AN106" s="75"/>
    </row>
    <row r="107" spans="1:40" s="6" customFormat="1" ht="11.25" x14ac:dyDescent="0.2">
      <c r="A107" s="56">
        <f t="shared" si="46"/>
        <v>44654</v>
      </c>
      <c r="B107" s="1141">
        <v>23.099</v>
      </c>
      <c r="C107" s="868"/>
      <c r="D107" s="395">
        <f t="shared" si="25"/>
        <v>23.831225552028982</v>
      </c>
      <c r="E107" s="387">
        <f t="shared" si="47"/>
        <v>26.911770772296972</v>
      </c>
      <c r="F107" s="387">
        <f t="shared" si="26"/>
        <v>26.964894991548064</v>
      </c>
      <c r="G107" s="110">
        <f t="shared" si="48"/>
        <v>0.51533960245059895</v>
      </c>
      <c r="H107" s="416" t="b">
        <f>Wh_hp&gt;='2021'!Maxi_hp</f>
        <v>0</v>
      </c>
      <c r="I107" s="382">
        <f>IF(H107,Wh_hp,'2021'!Maxi_hp)</f>
        <v>48.910344837500652</v>
      </c>
      <c r="J107" s="85">
        <f>IF(H107,An,'2021'!An_max)</f>
        <v>2021</v>
      </c>
      <c r="K107" s="199">
        <f t="shared" si="27"/>
        <v>44654</v>
      </c>
      <c r="L107" s="147">
        <f>IF(t&lt;Tvie,1-EXP((T0-t)*PertePVj)+'2021'!Pspv,1-EXP((T0-t)*PertePVj)+Pspv)</f>
        <v>3.072546774526419E-2</v>
      </c>
      <c r="M107" s="872"/>
      <c r="N107" s="872"/>
      <c r="O107" s="48">
        <f>IF(t&lt;Tnet,'2021'!Resal+('2021'!Salim-'2021'!Resal)*(1-EXP(('2021'!Tnet-t)/('2021'!Tau_j))),Resal+(Salim-Resal)*(1-EXP((Tnet-t)/(Tau_j))))*Salcycl</f>
        <v>0.11446832117933722</v>
      </c>
      <c r="P107" s="341">
        <f>(INDEX(Models!$BJ107:$BT107,,T107)*(1-R107)+INDEX(Models!$BJ107:$BT107,,T107+1)*R107-ERP_i)*Q107*Ramure*Pc/MaxiM</f>
        <v>6.3375826037790029E-3</v>
      </c>
      <c r="Q107" s="307">
        <f t="shared" si="28"/>
        <v>0.9</v>
      </c>
      <c r="R107" s="179">
        <f t="shared" si="29"/>
        <v>0.93380929186757733</v>
      </c>
      <c r="S107" s="839">
        <f t="shared" si="30"/>
        <v>-1</v>
      </c>
      <c r="T107" s="178">
        <f t="shared" si="31"/>
        <v>5</v>
      </c>
      <c r="U107" s="253">
        <f t="shared" si="32"/>
        <v>-6.6190708132422671E-2</v>
      </c>
      <c r="V107" s="385">
        <f t="shared" si="33"/>
        <v>44.626721575268974</v>
      </c>
      <c r="W107" s="404">
        <f t="shared" si="34"/>
        <v>0</v>
      </c>
      <c r="X107" s="157">
        <f t="shared" si="35"/>
        <v>44654</v>
      </c>
      <c r="Y107" s="387">
        <f t="shared" si="36"/>
        <v>22.073838640887736</v>
      </c>
      <c r="Z107" s="387">
        <f t="shared" si="37"/>
        <v>22.773567143603124</v>
      </c>
      <c r="AA107" s="388">
        <f t="shared" si="38"/>
        <v>26.911770772296972</v>
      </c>
      <c r="AB107" s="199">
        <f t="shared" si="39"/>
        <v>44654</v>
      </c>
      <c r="AC107" s="119">
        <f>IF(OR(t&lt;Tnet,NoTnet),'2021'!Resal_s+('2021'!Salim-'2021'!Resal_s)*(1-EXP(('2021'!Tnet_s-t)/'2021'!Tau_j)),Resal_s+(Salim-Resal_s)*(1-EXP((Tnet_s-t)/Tau_j)))*Salcycl</f>
        <v>0.15376928050211117</v>
      </c>
      <c r="AD107" s="233">
        <f>(INDEX(Models!$BJ107:$BT107,,AH107)*(1-AF107)+INDEX(Models!$BJ107:$BT107,,AH107+1)*AF107-ERP_i)*AE107*Ramure*Pc/MaxiM</f>
        <v>6.3375826037790029E-3</v>
      </c>
      <c r="AE107" s="307">
        <f t="shared" si="40"/>
        <v>0.9</v>
      </c>
      <c r="AF107" s="179">
        <f t="shared" si="41"/>
        <v>0.93380929186757733</v>
      </c>
      <c r="AG107" s="839">
        <f t="shared" si="49"/>
        <v>-1</v>
      </c>
      <c r="AH107" s="178">
        <f t="shared" si="42"/>
        <v>5</v>
      </c>
      <c r="AI107" s="227">
        <f t="shared" si="43"/>
        <v>-6.6190708132422671E-2</v>
      </c>
      <c r="AJ107" s="267" t="b">
        <f t="shared" si="44"/>
        <v>1</v>
      </c>
      <c r="AK107" s="267" t="b">
        <f t="shared" si="45"/>
        <v>0</v>
      </c>
      <c r="AL107" s="267"/>
      <c r="AM107" s="267"/>
      <c r="AN107" s="75"/>
    </row>
    <row r="108" spans="1:40" s="6" customFormat="1" ht="11.25" x14ac:dyDescent="0.2">
      <c r="A108" s="56">
        <f t="shared" si="46"/>
        <v>44655</v>
      </c>
      <c r="B108" s="1141">
        <v>40.005000000000003</v>
      </c>
      <c r="C108" s="868"/>
      <c r="D108" s="395">
        <f t="shared" si="25"/>
        <v>41.274096930409399</v>
      </c>
      <c r="E108" s="387">
        <f t="shared" si="47"/>
        <v>46.618856834664513</v>
      </c>
      <c r="F108" s="387">
        <f t="shared" si="26"/>
        <v>46.864676466154478</v>
      </c>
      <c r="G108" s="110">
        <f t="shared" si="48"/>
        <v>0.88879656007486452</v>
      </c>
      <c r="H108" s="416" t="b">
        <f>Wh_hp&gt;='2021'!Maxi_hp</f>
        <v>0</v>
      </c>
      <c r="I108" s="382">
        <f>IF(H108,Wh_hp,'2021'!Maxi_hp)</f>
        <v>53.219609194847415</v>
      </c>
      <c r="J108" s="85">
        <f>IF(H108,An,'2021'!An_max)</f>
        <v>2020</v>
      </c>
      <c r="K108" s="199">
        <f t="shared" si="27"/>
        <v>44655</v>
      </c>
      <c r="L108" s="147">
        <f>IF(t&lt;Tvie,1-EXP((T0-t)*PertePVj)+'2021'!Pspv,1-EXP((T0-t)*PertePVj)+Pspv)</f>
        <v>3.0748024179648725E-2</v>
      </c>
      <c r="M108" s="872"/>
      <c r="N108" s="872"/>
      <c r="O108" s="48">
        <f>IF(t&lt;Tnet,'2021'!Resal+('2021'!Salim-'2021'!Resal)*(1-EXP(('2021'!Tnet-t)/('2021'!Tau_j))),Resal+(Salim-Resal)*(1-EXP((Tnet-t)/(Tau_j))))*Salcycl</f>
        <v>0.11464802586666809</v>
      </c>
      <c r="P108" s="341">
        <f>(INDEX(Models!$BJ108:$BT108,,T108)*(1-R108)+INDEX(Models!$BJ108:$BT108,,T108+1)*R108-ERP_i)*Q108*Ramure*Pc/MaxiM</f>
        <v>6.2266836631059965E-3</v>
      </c>
      <c r="Q108" s="307">
        <f t="shared" si="28"/>
        <v>0.9</v>
      </c>
      <c r="R108" s="179">
        <f t="shared" si="29"/>
        <v>0.93517567380331956</v>
      </c>
      <c r="S108" s="839">
        <f t="shared" si="30"/>
        <v>-1</v>
      </c>
      <c r="T108" s="178">
        <f t="shared" si="31"/>
        <v>5</v>
      </c>
      <c r="U108" s="253">
        <f t="shared" si="32"/>
        <v>-6.4824326196680424E-2</v>
      </c>
      <c r="V108" s="385">
        <f t="shared" si="33"/>
        <v>44.965895255532928</v>
      </c>
      <c r="W108" s="404">
        <f t="shared" si="34"/>
        <v>0</v>
      </c>
      <c r="X108" s="157">
        <f t="shared" si="35"/>
        <v>44655</v>
      </c>
      <c r="Y108" s="387">
        <f t="shared" si="36"/>
        <v>38.23362152516566</v>
      </c>
      <c r="Z108" s="387">
        <f t="shared" si="37"/>
        <v>39.446524205231206</v>
      </c>
      <c r="AA108" s="388">
        <f t="shared" si="38"/>
        <v>46.618856834664513</v>
      </c>
      <c r="AB108" s="199">
        <f t="shared" si="39"/>
        <v>44655</v>
      </c>
      <c r="AC108" s="119">
        <f>IF(OR(t&lt;Tnet,NoTnet),'2021'!Resal_s+('2021'!Salim-'2021'!Resal_s)*(1-EXP(('2021'!Tnet_s-t)/'2021'!Tau_j)),Resal_s+(Salim-Resal_s)*(1-EXP((Tnet_s-t)/Tau_j)))*Salcycl</f>
        <v>0.15385046130303562</v>
      </c>
      <c r="AD108" s="233">
        <f>(INDEX(Models!$BJ108:$BT108,,AH108)*(1-AF108)+INDEX(Models!$BJ108:$BT108,,AH108+1)*AF108-ERP_i)*AE108*Ramure*Pc/MaxiM</f>
        <v>6.2266836631059965E-3</v>
      </c>
      <c r="AE108" s="307">
        <f t="shared" si="40"/>
        <v>0.9</v>
      </c>
      <c r="AF108" s="179">
        <f t="shared" si="41"/>
        <v>0.93517567380331956</v>
      </c>
      <c r="AG108" s="839">
        <f t="shared" si="49"/>
        <v>-1</v>
      </c>
      <c r="AH108" s="178">
        <f t="shared" si="42"/>
        <v>5</v>
      </c>
      <c r="AI108" s="227">
        <f t="shared" si="43"/>
        <v>-6.4824326196680424E-2</v>
      </c>
      <c r="AJ108" s="267" t="b">
        <f t="shared" si="44"/>
        <v>1</v>
      </c>
      <c r="AK108" s="267" t="b">
        <f t="shared" si="45"/>
        <v>0</v>
      </c>
      <c r="AL108" s="267"/>
      <c r="AM108" s="267"/>
      <c r="AN108" s="75"/>
    </row>
    <row r="109" spans="1:40" s="6" customFormat="1" ht="11.25" x14ac:dyDescent="0.2">
      <c r="A109" s="56">
        <f t="shared" si="46"/>
        <v>44656</v>
      </c>
      <c r="B109" s="1141">
        <v>46.294000000000004</v>
      </c>
      <c r="C109" s="868"/>
      <c r="D109" s="395">
        <f t="shared" si="25"/>
        <v>47.763717288169325</v>
      </c>
      <c r="E109" s="387">
        <f t="shared" si="47"/>
        <v>53.959880380839586</v>
      </c>
      <c r="F109" s="387">
        <f t="shared" si="26"/>
        <v>54.291772673602438</v>
      </c>
      <c r="G109" s="110">
        <f t="shared" si="48"/>
        <v>1.0219121604568475</v>
      </c>
      <c r="H109" s="416" t="b">
        <f>Wh_hp&gt;='2021'!Maxi_hp</f>
        <v>0</v>
      </c>
      <c r="I109" s="382">
        <f>IF(H109,Wh_hp,'2021'!Maxi_hp)</f>
        <v>55.117663879347624</v>
      </c>
      <c r="J109" s="85">
        <f>IF(H109,An,'2021'!An_max)</f>
        <v>2020</v>
      </c>
      <c r="K109" s="199">
        <f t="shared" si="27"/>
        <v>44656</v>
      </c>
      <c r="L109" s="147">
        <f>IF(t&lt;Tvie,1-EXP((T0-t)*PertePVj)+'2021'!Pspv,1-EXP((T0-t)*PertePVj)+Pspv)</f>
        <v>3.0770580089112043E-2</v>
      </c>
      <c r="M109" s="872"/>
      <c r="N109" s="872"/>
      <c r="O109" s="48">
        <f>IF(t&lt;Tnet,'2021'!Resal+('2021'!Salim-'2021'!Resal)*(1-EXP(('2021'!Tnet-t)/('2021'!Tau_j))),Resal+(Salim-Resal)*(1-EXP((Tnet-t)/(Tau_j))))*Salcycl</f>
        <v>0.11482907391452318</v>
      </c>
      <c r="P109" s="341">
        <f>(INDEX(Models!$BJ109:$BT109,,T109)*(1-R109)+INDEX(Models!$BJ109:$BT109,,T109+1)*R109-ERP_i)*Q109*Ramure*Pc/MaxiM</f>
        <v>6.1131231569497664E-3</v>
      </c>
      <c r="Q109" s="307">
        <f t="shared" si="28"/>
        <v>0.9</v>
      </c>
      <c r="R109" s="179">
        <f t="shared" si="29"/>
        <v>0.93659238526183963</v>
      </c>
      <c r="S109" s="839">
        <f t="shared" si="30"/>
        <v>-1</v>
      </c>
      <c r="T109" s="178">
        <f t="shared" si="31"/>
        <v>5</v>
      </c>
      <c r="U109" s="253">
        <f t="shared" si="32"/>
        <v>-6.3407614738160395E-2</v>
      </c>
      <c r="V109" s="385">
        <f t="shared" si="33"/>
        <v>45.301349559539631</v>
      </c>
      <c r="W109" s="404">
        <f t="shared" si="34"/>
        <v>0</v>
      </c>
      <c r="X109" s="157">
        <f t="shared" si="35"/>
        <v>44656</v>
      </c>
      <c r="Y109" s="387">
        <f t="shared" si="36"/>
        <v>44.248841880819178</v>
      </c>
      <c r="Z109" s="387">
        <f t="shared" si="37"/>
        <v>45.653630576842652</v>
      </c>
      <c r="AA109" s="388">
        <f t="shared" si="38"/>
        <v>53.959880380839586</v>
      </c>
      <c r="AB109" s="199">
        <f t="shared" si="39"/>
        <v>44656</v>
      </c>
      <c r="AC109" s="119">
        <f>IF(OR(t&lt;Tnet,NoTnet),'2021'!Resal_s+('2021'!Salim-'2021'!Resal_s)*(1-EXP(('2021'!Tnet_s-t)/'2021'!Tau_j)),Resal_s+(Salim-Resal_s)*(1-EXP((Tnet_s-t)/Tau_j)))*Salcycl</f>
        <v>0.15393380684636165</v>
      </c>
      <c r="AD109" s="233">
        <f>(INDEX(Models!$BJ109:$BT109,,AH109)*(1-AF109)+INDEX(Models!$BJ109:$BT109,,AH109+1)*AF109-ERP_i)*AE109*Ramure*Pc/MaxiM</f>
        <v>6.1131231569497664E-3</v>
      </c>
      <c r="AE109" s="307">
        <f t="shared" si="40"/>
        <v>0.9</v>
      </c>
      <c r="AF109" s="179">
        <f t="shared" si="41"/>
        <v>0.93659238526183963</v>
      </c>
      <c r="AG109" s="839">
        <f t="shared" si="49"/>
        <v>-1</v>
      </c>
      <c r="AH109" s="178">
        <f t="shared" si="42"/>
        <v>5</v>
      </c>
      <c r="AI109" s="227">
        <f t="shared" si="43"/>
        <v>-6.3407614738160395E-2</v>
      </c>
      <c r="AJ109" s="267" t="b">
        <f t="shared" si="44"/>
        <v>1</v>
      </c>
      <c r="AK109" s="267" t="b">
        <f t="shared" si="45"/>
        <v>0</v>
      </c>
      <c r="AL109" s="267"/>
      <c r="AM109" s="267"/>
      <c r="AN109" s="75"/>
    </row>
    <row r="110" spans="1:40" s="6" customFormat="1" ht="11.25" x14ac:dyDescent="0.2">
      <c r="A110" s="56">
        <f t="shared" si="46"/>
        <v>44657</v>
      </c>
      <c r="B110" s="1141">
        <v>11.761000000000001</v>
      </c>
      <c r="C110" s="868"/>
      <c r="D110" s="395">
        <f t="shared" si="25"/>
        <v>12.134664363678215</v>
      </c>
      <c r="E110" s="387">
        <f t="shared" si="47"/>
        <v>13.711663704073013</v>
      </c>
      <c r="F110" s="387">
        <f t="shared" si="26"/>
        <v>13.711663704073013</v>
      </c>
      <c r="G110" s="110">
        <f t="shared" si="48"/>
        <v>0.25618570658174528</v>
      </c>
      <c r="H110" s="416" t="b">
        <f>Wh_hp&gt;='2021'!Maxi_hp</f>
        <v>0</v>
      </c>
      <c r="I110" s="382">
        <f>IF(H110,Wh_hp,'2021'!Maxi_hp)</f>
        <v>55.281205017406521</v>
      </c>
      <c r="J110" s="85">
        <f>IF(H110,An,'2021'!An_max)</f>
        <v>2020</v>
      </c>
      <c r="K110" s="199">
        <f t="shared" si="27"/>
        <v>44657</v>
      </c>
      <c r="L110" s="147">
        <f>IF(t&lt;Tvie,1-EXP((T0-t)*PertePVj)+'2021'!Pspv,1-EXP((T0-t)*PertePVj)+Pspv)</f>
        <v>3.0793135473666355E-2</v>
      </c>
      <c r="M110" s="872"/>
      <c r="N110" s="872"/>
      <c r="O110" s="48">
        <f>IF(t&lt;Tnet,'2021'!Resal+('2021'!Salim-'2021'!Resal)*(1-EXP(('2021'!Tnet-t)/('2021'!Tau_j))),Resal+(Salim-Resal)*(1-EXP((Tnet-t)/(Tau_j))))*Salcycl</f>
        <v>0.1150115240885287</v>
      </c>
      <c r="P110" s="341">
        <f>(INDEX(Models!$BJ110:$BT110,,T110)*(1-R110)+INDEX(Models!$BJ110:$BT110,,T110+1)*R110-ERP_i)*Q110*Ramure*Pc/MaxiM</f>
        <v>5.9969601815275855E-3</v>
      </c>
      <c r="Q110" s="307">
        <f t="shared" si="28"/>
        <v>0.9</v>
      </c>
      <c r="R110" s="179">
        <f t="shared" si="29"/>
        <v>0.93806099559191802</v>
      </c>
      <c r="S110" s="839">
        <f t="shared" si="30"/>
        <v>-1</v>
      </c>
      <c r="T110" s="178">
        <f t="shared" si="31"/>
        <v>5</v>
      </c>
      <c r="U110" s="253">
        <f t="shared" si="32"/>
        <v>-6.1939004408082018E-2</v>
      </c>
      <c r="V110" s="385">
        <f t="shared" si="33"/>
        <v>45.632794691357184</v>
      </c>
      <c r="W110" s="404">
        <f t="shared" si="34"/>
        <v>0</v>
      </c>
      <c r="X110" s="157">
        <f t="shared" si="35"/>
        <v>44657</v>
      </c>
      <c r="Y110" s="387">
        <f t="shared" si="36"/>
        <v>11.242607389316458</v>
      </c>
      <c r="Z110" s="387">
        <f t="shared" si="37"/>
        <v>11.599801653087644</v>
      </c>
      <c r="AA110" s="388">
        <f t="shared" si="38"/>
        <v>13.711663704073013</v>
      </c>
      <c r="AB110" s="199">
        <f t="shared" si="39"/>
        <v>44657</v>
      </c>
      <c r="AC110" s="119">
        <f>IF(OR(t&lt;Tnet,NoTnet),'2021'!Resal_s+('2021'!Salim-'2021'!Resal_s)*(1-EXP(('2021'!Tnet_s-t)/'2021'!Tau_j)),Resal_s+(Salim-Resal_s)*(1-EXP((Tnet_s-t)/Tau_j)))*Salcycl</f>
        <v>0.15401938791410458</v>
      </c>
      <c r="AD110" s="233">
        <f>(INDEX(Models!$BJ110:$BT110,,AH110)*(1-AF110)+INDEX(Models!$BJ110:$BT110,,AH110+1)*AF110-ERP_i)*AE110*Ramure*Pc/MaxiM</f>
        <v>5.9969601815275855E-3</v>
      </c>
      <c r="AE110" s="307">
        <f t="shared" si="40"/>
        <v>0.9</v>
      </c>
      <c r="AF110" s="179">
        <f t="shared" si="41"/>
        <v>0.93806099559191802</v>
      </c>
      <c r="AG110" s="839">
        <f t="shared" si="49"/>
        <v>-1</v>
      </c>
      <c r="AH110" s="178">
        <f t="shared" si="42"/>
        <v>5</v>
      </c>
      <c r="AI110" s="227">
        <f t="shared" si="43"/>
        <v>-6.1939004408082018E-2</v>
      </c>
      <c r="AJ110" s="267" t="b">
        <f t="shared" si="44"/>
        <v>1</v>
      </c>
      <c r="AK110" s="267" t="b">
        <f t="shared" si="45"/>
        <v>0</v>
      </c>
      <c r="AL110" s="267"/>
      <c r="AM110" s="267"/>
      <c r="AN110" s="75"/>
    </row>
    <row r="111" spans="1:40" s="6" customFormat="1" ht="11.25" x14ac:dyDescent="0.2">
      <c r="A111" s="56">
        <f t="shared" si="46"/>
        <v>44658</v>
      </c>
      <c r="B111" s="1141">
        <v>35.58</v>
      </c>
      <c r="C111" s="868"/>
      <c r="D111" s="395">
        <f t="shared" si="25"/>
        <v>36.711283545476249</v>
      </c>
      <c r="E111" s="387">
        <f t="shared" si="47"/>
        <v>41.490838703793742</v>
      </c>
      <c r="F111" s="387">
        <f t="shared" si="26"/>
        <v>41.656702909573831</v>
      </c>
      <c r="G111" s="110">
        <f t="shared" si="48"/>
        <v>0.77267833555904486</v>
      </c>
      <c r="H111" s="416" t="b">
        <f>Wh_hp&gt;='2021'!Maxi_hp</f>
        <v>0</v>
      </c>
      <c r="I111" s="382">
        <f>IF(H111,Wh_hp,'2021'!Maxi_hp)</f>
        <v>54.094709331029712</v>
      </c>
      <c r="J111" s="85">
        <f>IF(H111,An,'2021'!An_max)</f>
        <v>2021</v>
      </c>
      <c r="K111" s="199">
        <f t="shared" si="27"/>
        <v>44658</v>
      </c>
      <c r="L111" s="147">
        <f>IF(t&lt;Tvie,1-EXP((T0-t)*PertePVj)+'2021'!Pspv,1-EXP((T0-t)*PertePVj)+Pspv)</f>
        <v>3.0815690333323986E-2</v>
      </c>
      <c r="M111" s="872"/>
      <c r="N111" s="872"/>
      <c r="O111" s="48">
        <f>IF(t&lt;Tnet,'2021'!Resal+('2021'!Salim-'2021'!Resal)*(1-EXP(('2021'!Tnet-t)/('2021'!Tau_j))),Resal+(Salim-Resal)*(1-EXP((Tnet-t)/(Tau_j))))*Salcycl</f>
        <v>0.11519543368209779</v>
      </c>
      <c r="P111" s="341">
        <f>(INDEX(Models!$BJ111:$BT111,,T111)*(1-R111)+INDEX(Models!$BJ111:$BT111,,T111+1)*R111-ERP_i)*Q111*Ramure*Pc/MaxiM</f>
        <v>5.8782471609355779E-3</v>
      </c>
      <c r="Q111" s="307">
        <f t="shared" si="28"/>
        <v>0.9</v>
      </c>
      <c r="R111" s="179">
        <f t="shared" si="29"/>
        <v>0.93958310036137305</v>
      </c>
      <c r="S111" s="839">
        <f t="shared" si="30"/>
        <v>-1</v>
      </c>
      <c r="T111" s="178">
        <f t="shared" si="31"/>
        <v>5</v>
      </c>
      <c r="U111" s="253">
        <f t="shared" si="32"/>
        <v>-6.0416899638626897E-2</v>
      </c>
      <c r="V111" s="385">
        <f t="shared" si="33"/>
        <v>45.959941175058638</v>
      </c>
      <c r="W111" s="404">
        <f t="shared" si="34"/>
        <v>0</v>
      </c>
      <c r="X111" s="157">
        <f t="shared" si="35"/>
        <v>44658</v>
      </c>
      <c r="Y111" s="387">
        <f t="shared" si="36"/>
        <v>34.015266613207935</v>
      </c>
      <c r="Z111" s="387">
        <f t="shared" si="37"/>
        <v>35.096798693435865</v>
      </c>
      <c r="AA111" s="388">
        <f t="shared" si="38"/>
        <v>41.490838703793742</v>
      </c>
      <c r="AB111" s="199">
        <f t="shared" si="39"/>
        <v>44658</v>
      </c>
      <c r="AC111" s="119">
        <f>IF(OR(t&lt;Tnet,NoTnet),'2021'!Resal_s+('2021'!Salim-'2021'!Resal_s)*(1-EXP(('2021'!Tnet_s-t)/'2021'!Tau_j)),Resal_s+(Salim-Resal_s)*(1-EXP((Tnet_s-t)/Tau_j)))*Salcycl</f>
        <v>0.15410727307792968</v>
      </c>
      <c r="AD111" s="233">
        <f>(INDEX(Models!$BJ111:$BT111,,AH111)*(1-AF111)+INDEX(Models!$BJ111:$BT111,,AH111+1)*AF111-ERP_i)*AE111*Ramure*Pc/MaxiM</f>
        <v>5.8782471609355779E-3</v>
      </c>
      <c r="AE111" s="307">
        <f t="shared" si="40"/>
        <v>0.9</v>
      </c>
      <c r="AF111" s="179">
        <f t="shared" si="41"/>
        <v>0.93958310036137305</v>
      </c>
      <c r="AG111" s="839">
        <f t="shared" si="49"/>
        <v>-1</v>
      </c>
      <c r="AH111" s="178">
        <f t="shared" si="42"/>
        <v>5</v>
      </c>
      <c r="AI111" s="227">
        <f t="shared" si="43"/>
        <v>-6.0416899638626897E-2</v>
      </c>
      <c r="AJ111" s="267" t="b">
        <f t="shared" si="44"/>
        <v>1</v>
      </c>
      <c r="AK111" s="267" t="b">
        <f t="shared" si="45"/>
        <v>0</v>
      </c>
      <c r="AL111" s="267"/>
      <c r="AM111" s="267"/>
      <c r="AN111" s="75"/>
    </row>
    <row r="112" spans="1:40" s="6" customFormat="1" ht="11.25" x14ac:dyDescent="0.2">
      <c r="A112" s="56">
        <f t="shared" si="46"/>
        <v>44659</v>
      </c>
      <c r="B112" s="1141">
        <v>27.792999999999999</v>
      </c>
      <c r="C112" s="868"/>
      <c r="D112" s="395">
        <f t="shared" si="25"/>
        <v>28.67735942642712</v>
      </c>
      <c r="E112" s="387">
        <f t="shared" si="47"/>
        <v>32.417746890004665</v>
      </c>
      <c r="F112" s="387">
        <f t="shared" si="26"/>
        <v>32.498065028193835</v>
      </c>
      <c r="G112" s="110">
        <f t="shared" si="48"/>
        <v>0.59852986324153767</v>
      </c>
      <c r="H112" s="416" t="b">
        <f>Wh_hp&gt;='2021'!Maxi_hp</f>
        <v>0</v>
      </c>
      <c r="I112" s="382">
        <f>IF(H112,Wh_hp,'2021'!Maxi_hp)</f>
        <v>51.981553630280644</v>
      </c>
      <c r="J112" s="85">
        <f>IF(H112,An,'2021'!An_max)</f>
        <v>2021</v>
      </c>
      <c r="K112" s="199">
        <f t="shared" si="27"/>
        <v>44659</v>
      </c>
      <c r="L112" s="147">
        <f>IF(t&lt;Tvie,1-EXP((T0-t)*PertePVj)+'2021'!Pspv,1-EXP((T0-t)*PertePVj)+Pspv)</f>
        <v>3.0838244668097148E-2</v>
      </c>
      <c r="M112" s="872"/>
      <c r="N112" s="872"/>
      <c r="O112" s="48">
        <f>IF(t&lt;Tnet,'2021'!Resal+('2021'!Salim-'2021'!Resal)*(1-EXP(('2021'!Tnet-t)/('2021'!Tau_j))),Resal+(Salim-Resal)*(1-EXP((Tnet-t)/(Tau_j))))*Salcycl</f>
        <v>0.11538085840045885</v>
      </c>
      <c r="P112" s="341">
        <f>(INDEX(Models!$BJ112:$BT112,,T112)*(1-R112)+INDEX(Models!$BJ112:$BT112,,T112+1)*R112-ERP_i)*Q112*Ramure*Pc/MaxiM</f>
        <v>5.7570299417061639E-3</v>
      </c>
      <c r="Q112" s="307">
        <f t="shared" si="28"/>
        <v>0.9</v>
      </c>
      <c r="R112" s="179">
        <f t="shared" si="29"/>
        <v>0.94116031985045789</v>
      </c>
      <c r="S112" s="839">
        <f t="shared" si="30"/>
        <v>-1</v>
      </c>
      <c r="T112" s="178">
        <f t="shared" si="31"/>
        <v>5</v>
      </c>
      <c r="U112" s="253">
        <f t="shared" si="32"/>
        <v>-5.8839680149542092E-2</v>
      </c>
      <c r="V112" s="385">
        <f t="shared" si="33"/>
        <v>46.282499863806663</v>
      </c>
      <c r="W112" s="404">
        <f t="shared" si="34"/>
        <v>0</v>
      </c>
      <c r="X112" s="157">
        <f t="shared" si="35"/>
        <v>44659</v>
      </c>
      <c r="Y112" s="387">
        <f t="shared" si="36"/>
        <v>26.573456285712279</v>
      </c>
      <c r="Z112" s="387">
        <f t="shared" si="37"/>
        <v>27.419010438161411</v>
      </c>
      <c r="AA112" s="388">
        <f t="shared" si="38"/>
        <v>32.417746890004665</v>
      </c>
      <c r="AB112" s="199">
        <f t="shared" si="39"/>
        <v>44659</v>
      </c>
      <c r="AC112" s="119">
        <f>IF(OR(t&lt;Tnet,NoTnet),'2021'!Resal_s+('2021'!Salim-'2021'!Resal_s)*(1-EXP(('2021'!Tnet_s-t)/'2021'!Tau_j)),Resal_s+(Salim-Resal_s)*(1-EXP((Tnet_s-t)/Tau_j)))*Salcycl</f>
        <v>0.15419752855756022</v>
      </c>
      <c r="AD112" s="233">
        <f>(INDEX(Models!$BJ112:$BT112,,AH112)*(1-AF112)+INDEX(Models!$BJ112:$BT112,,AH112+1)*AF112-ERP_i)*AE112*Ramure*Pc/MaxiM</f>
        <v>5.7570299417061639E-3</v>
      </c>
      <c r="AE112" s="307">
        <f t="shared" si="40"/>
        <v>0.9</v>
      </c>
      <c r="AF112" s="179">
        <f t="shared" si="41"/>
        <v>0.94116031985045789</v>
      </c>
      <c r="AG112" s="839">
        <f t="shared" si="49"/>
        <v>-1</v>
      </c>
      <c r="AH112" s="178">
        <f t="shared" si="42"/>
        <v>5</v>
      </c>
      <c r="AI112" s="227">
        <f t="shared" si="43"/>
        <v>-5.8839680149542092E-2</v>
      </c>
      <c r="AJ112" s="267" t="b">
        <f t="shared" si="44"/>
        <v>1</v>
      </c>
      <c r="AK112" s="267" t="b">
        <f t="shared" si="45"/>
        <v>0</v>
      </c>
      <c r="AL112" s="267"/>
      <c r="AM112" s="267"/>
      <c r="AN112" s="75"/>
    </row>
    <row r="113" spans="1:40" s="6" customFormat="1" ht="11.25" x14ac:dyDescent="0.2">
      <c r="A113" s="56">
        <f t="shared" si="46"/>
        <v>44660</v>
      </c>
      <c r="B113" s="1141">
        <v>33.727000000000004</v>
      </c>
      <c r="C113" s="868"/>
      <c r="D113" s="395">
        <f t="shared" si="25"/>
        <v>34.800986222652874</v>
      </c>
      <c r="E113" s="387">
        <f t="shared" si="47"/>
        <v>39.348395816504798</v>
      </c>
      <c r="F113" s="387">
        <f t="shared" si="26"/>
        <v>39.483041191742046</v>
      </c>
      <c r="G113" s="110">
        <f t="shared" si="48"/>
        <v>0.72213802952194728</v>
      </c>
      <c r="H113" s="416" t="b">
        <f>Wh_hp&gt;='2021'!Maxi_hp</f>
        <v>0</v>
      </c>
      <c r="I113" s="382">
        <f>IF(H113,Wh_hp,'2021'!Maxi_hp)</f>
        <v>51.372515344218137</v>
      </c>
      <c r="J113" s="85">
        <f>IF(H113,An,'2021'!An_max)</f>
        <v>2020</v>
      </c>
      <c r="K113" s="199">
        <f t="shared" si="27"/>
        <v>44660</v>
      </c>
      <c r="L113" s="147">
        <f>IF(t&lt;Tvie,1-EXP((T0-t)*PertePVj)+'2021'!Pspv,1-EXP((T0-t)*PertePVj)+Pspv)</f>
        <v>3.0860798477997942E-2</v>
      </c>
      <c r="M113" s="872"/>
      <c r="N113" s="872"/>
      <c r="O113" s="48">
        <f>IF(t&lt;Tnet,'2021'!Resal+('2021'!Salim-'2021'!Resal)*(1-EXP(('2021'!Tnet-t)/('2021'!Tau_j))),Resal+(Salim-Resal)*(1-EXP((Tnet-t)/(Tau_j))))*Salcycl</f>
        <v>0.11556785224632976</v>
      </c>
      <c r="P113" s="341">
        <f>(INDEX(Models!$BJ113:$BT113,,T113)*(1-R113)+INDEX(Models!$BJ113:$BT113,,T113+1)*R113-ERP_i)*Q113*Ramure*Pc/MaxiM</f>
        <v>5.6333478764885644E-3</v>
      </c>
      <c r="Q113" s="307">
        <f t="shared" si="28"/>
        <v>0.9</v>
      </c>
      <c r="R113" s="179">
        <f t="shared" si="29"/>
        <v>0.94279429734499431</v>
      </c>
      <c r="S113" s="839">
        <f t="shared" si="30"/>
        <v>-1</v>
      </c>
      <c r="T113" s="178">
        <f t="shared" si="31"/>
        <v>5</v>
      </c>
      <c r="U113" s="253">
        <f t="shared" si="32"/>
        <v>-5.7205702655005644E-2</v>
      </c>
      <c r="V113" s="385">
        <f t="shared" si="33"/>
        <v>46.600181969740291</v>
      </c>
      <c r="W113" s="404">
        <f t="shared" si="34"/>
        <v>0</v>
      </c>
      <c r="X113" s="157">
        <f t="shared" si="35"/>
        <v>44660</v>
      </c>
      <c r="Y113" s="387">
        <f t="shared" si="36"/>
        <v>32.25035847824995</v>
      </c>
      <c r="Z113" s="387">
        <f t="shared" si="37"/>
        <v>33.277323244794758</v>
      </c>
      <c r="AA113" s="388">
        <f t="shared" si="38"/>
        <v>39.348395816504798</v>
      </c>
      <c r="AB113" s="199">
        <f t="shared" si="39"/>
        <v>44660</v>
      </c>
      <c r="AC113" s="119">
        <f>IF(OR(t&lt;Tnet,NoTnet),'2021'!Resal_s+('2021'!Salim-'2021'!Resal_s)*(1-EXP(('2021'!Tnet_s-t)/'2021'!Tau_j)),Resal_s+(Salim-Resal_s)*(1-EXP((Tnet_s-t)/Tau_j)))*Salcycl</f>
        <v>0.1542902180821184</v>
      </c>
      <c r="AD113" s="233">
        <f>(INDEX(Models!$BJ113:$BT113,,AH113)*(1-AF113)+INDEX(Models!$BJ113:$BT113,,AH113+1)*AF113-ERP_i)*AE113*Ramure*Pc/MaxiM</f>
        <v>5.6333478764885644E-3</v>
      </c>
      <c r="AE113" s="307">
        <f t="shared" si="40"/>
        <v>0.9</v>
      </c>
      <c r="AF113" s="179">
        <f t="shared" si="41"/>
        <v>0.94279429734499431</v>
      </c>
      <c r="AG113" s="839">
        <f t="shared" si="49"/>
        <v>-1</v>
      </c>
      <c r="AH113" s="178">
        <f t="shared" si="42"/>
        <v>5</v>
      </c>
      <c r="AI113" s="227">
        <f t="shared" si="43"/>
        <v>-5.7205702655005644E-2</v>
      </c>
      <c r="AJ113" s="267" t="b">
        <f t="shared" si="44"/>
        <v>1</v>
      </c>
      <c r="AK113" s="267" t="b">
        <f t="shared" si="45"/>
        <v>0</v>
      </c>
      <c r="AL113" s="267"/>
      <c r="AM113" s="267"/>
      <c r="AN113" s="75"/>
    </row>
    <row r="114" spans="1:40" s="6" customFormat="1" ht="11.25" x14ac:dyDescent="0.2">
      <c r="A114" s="56">
        <f t="shared" si="46"/>
        <v>44661</v>
      </c>
      <c r="B114" s="1141">
        <v>47.76</v>
      </c>
      <c r="C114" s="868"/>
      <c r="D114" s="395">
        <f t="shared" si="25"/>
        <v>49.281993129398877</v>
      </c>
      <c r="E114" s="387">
        <f t="shared" si="47"/>
        <v>55.733507017968513</v>
      </c>
      <c r="F114" s="387">
        <f t="shared" si="26"/>
        <v>56.041999013019073</v>
      </c>
      <c r="G114" s="110">
        <f t="shared" si="48"/>
        <v>1.0180585896509364</v>
      </c>
      <c r="H114" s="416" t="b">
        <f>Wh_hp&gt;='2021'!Maxi_hp</f>
        <v>1</v>
      </c>
      <c r="I114" s="382">
        <f>IF(H114,Wh_hp,'2021'!Maxi_hp)</f>
        <v>56.041999013019073</v>
      </c>
      <c r="J114" s="85">
        <f>IF(H114,An,'2021'!An_max)</f>
        <v>2022</v>
      </c>
      <c r="K114" s="199">
        <f t="shared" si="27"/>
        <v>44661</v>
      </c>
      <c r="L114" s="147">
        <f>IF(t&lt;Tvie,1-EXP((T0-t)*PertePVj)+'2021'!Pspv,1-EXP((T0-t)*PertePVj)+Pspv)</f>
        <v>3.088335176303858E-2</v>
      </c>
      <c r="M114" s="872"/>
      <c r="N114" s="872"/>
      <c r="O114" s="48">
        <f>IF(t&lt;Tnet,'2021'!Resal+('2021'!Salim-'2021'!Resal)*(1-EXP(('2021'!Tnet-t)/('2021'!Tau_j))),Resal+(Salim-Resal)*(1-EXP((Tnet-t)/(Tau_j))))*Salcycl</f>
        <v>0.11575646740639636</v>
      </c>
      <c r="P114" s="341">
        <f>(INDEX(Models!$BJ114:$BT114,,T114)*(1-R114)+INDEX(Models!$BJ114:$BT114,,T114+1)*R114-ERP_i)*Q114*Ramure*Pc/MaxiM</f>
        <v>5.5046572299980723E-3</v>
      </c>
      <c r="Q114" s="307">
        <f t="shared" si="28"/>
        <v>0.9</v>
      </c>
      <c r="R114" s="179">
        <f t="shared" si="29"/>
        <v>0.94448669721779721</v>
      </c>
      <c r="S114" s="839">
        <f t="shared" si="30"/>
        <v>-1</v>
      </c>
      <c r="T114" s="178">
        <f t="shared" si="31"/>
        <v>5</v>
      </c>
      <c r="U114" s="253">
        <f t="shared" si="32"/>
        <v>-5.5513302782202803E-2</v>
      </c>
      <c r="V114" s="385">
        <f t="shared" si="33"/>
        <v>46.912820623001245</v>
      </c>
      <c r="W114" s="404">
        <f t="shared" si="34"/>
        <v>0</v>
      </c>
      <c r="X114" s="157">
        <f t="shared" si="35"/>
        <v>44661</v>
      </c>
      <c r="Y114" s="387">
        <f t="shared" si="36"/>
        <v>45.673563532939568</v>
      </c>
      <c r="Z114" s="387">
        <f t="shared" si="37"/>
        <v>47.129067090148467</v>
      </c>
      <c r="AA114" s="388">
        <f t="shared" si="38"/>
        <v>55.733507017968513</v>
      </c>
      <c r="AB114" s="199">
        <f t="shared" si="39"/>
        <v>44661</v>
      </c>
      <c r="AC114" s="119">
        <f>IF(OR(t&lt;Tnet,NoTnet),'2021'!Resal_s+('2021'!Salim-'2021'!Resal_s)*(1-EXP(('2021'!Tnet_s-t)/'2021'!Tau_j)),Resal_s+(Salim-Resal_s)*(1-EXP((Tnet_s-t)/Tau_j)))*Salcycl</f>
        <v>0.15438540275324811</v>
      </c>
      <c r="AD114" s="233">
        <f>(INDEX(Models!$BJ114:$BT114,,AH114)*(1-AF114)+INDEX(Models!$BJ114:$BT114,,AH114+1)*AF114-ERP_i)*AE114*Ramure*Pc/MaxiM</f>
        <v>5.5046572299980723E-3</v>
      </c>
      <c r="AE114" s="307">
        <f t="shared" si="40"/>
        <v>0.9</v>
      </c>
      <c r="AF114" s="179">
        <f t="shared" si="41"/>
        <v>0.94448669721779721</v>
      </c>
      <c r="AG114" s="839">
        <f t="shared" si="49"/>
        <v>-1</v>
      </c>
      <c r="AH114" s="178">
        <f t="shared" si="42"/>
        <v>5</v>
      </c>
      <c r="AI114" s="227">
        <f t="shared" si="43"/>
        <v>-5.5513302782202803E-2</v>
      </c>
      <c r="AJ114" s="267" t="b">
        <f t="shared" si="44"/>
        <v>1</v>
      </c>
      <c r="AK114" s="267" t="b">
        <f t="shared" si="45"/>
        <v>0</v>
      </c>
      <c r="AL114" s="267"/>
      <c r="AM114" s="267"/>
      <c r="AN114" s="75"/>
    </row>
    <row r="115" spans="1:40" s="6" customFormat="1" ht="11.25" x14ac:dyDescent="0.2">
      <c r="A115" s="56">
        <f t="shared" si="46"/>
        <v>44662</v>
      </c>
      <c r="B115" s="1141">
        <v>36.545000000000002</v>
      </c>
      <c r="C115" s="868"/>
      <c r="D115" s="395">
        <f t="shared" si="25"/>
        <v>37.710476382606409</v>
      </c>
      <c r="E115" s="387">
        <f t="shared" si="47"/>
        <v>42.656340621005903</v>
      </c>
      <c r="F115" s="387">
        <f t="shared" si="26"/>
        <v>42.812080513908064</v>
      </c>
      <c r="G115" s="110">
        <f t="shared" si="48"/>
        <v>0.77258211249940356</v>
      </c>
      <c r="H115" s="416" t="b">
        <f>Wh_hp&gt;='2021'!Maxi_hp</f>
        <v>0</v>
      </c>
      <c r="I115" s="382">
        <f>IF(H115,Wh_hp,'2021'!Maxi_hp)</f>
        <v>55.083209342837009</v>
      </c>
      <c r="J115" s="85">
        <f>IF(H115,An,'2021'!An_max)</f>
        <v>2020</v>
      </c>
      <c r="K115" s="199">
        <f t="shared" si="27"/>
        <v>44662</v>
      </c>
      <c r="L115" s="147">
        <f>IF(t&lt;Tvie,1-EXP((T0-t)*PertePVj)+'2021'!Pspv,1-EXP((T0-t)*PertePVj)+Pspv)</f>
        <v>3.0905904523231387E-2</v>
      </c>
      <c r="M115" s="872"/>
      <c r="N115" s="872"/>
      <c r="O115" s="48">
        <f>IF(t&lt;Tnet,'2021'!Resal+('2021'!Salim-'2021'!Resal)*(1-EXP(('2021'!Tnet-t)/('2021'!Tau_j))),Resal+(Salim-Resal)*(1-EXP((Tnet-t)/(Tau_j))))*Salcycl</f>
        <v>0.11594675413774086</v>
      </c>
      <c r="P115" s="341">
        <f>(INDEX(Models!$BJ115:$BT115,,T115)*(1-R115)+INDEX(Models!$BJ115:$BT115,,T115+1)*R115-ERP_i)*Q115*Ramure*Pc/MaxiM</f>
        <v>5.3730068869813075E-3</v>
      </c>
      <c r="Q115" s="307">
        <f t="shared" si="28"/>
        <v>0.9</v>
      </c>
      <c r="R115" s="179">
        <f t="shared" si="29"/>
        <v>0.94623920278695095</v>
      </c>
      <c r="S115" s="839">
        <f t="shared" si="30"/>
        <v>-1</v>
      </c>
      <c r="T115" s="178">
        <f t="shared" si="31"/>
        <v>5</v>
      </c>
      <c r="U115" s="253">
        <f t="shared" si="32"/>
        <v>-5.3760797213049043E-2</v>
      </c>
      <c r="V115" s="385">
        <f t="shared" si="33"/>
        <v>47.220034127205437</v>
      </c>
      <c r="W115" s="404">
        <f t="shared" si="34"/>
        <v>0</v>
      </c>
      <c r="X115" s="157">
        <f t="shared" si="35"/>
        <v>44662</v>
      </c>
      <c r="Y115" s="387">
        <f t="shared" si="36"/>
        <v>34.951982541897806</v>
      </c>
      <c r="Z115" s="387">
        <f t="shared" si="37"/>
        <v>36.06665514219479</v>
      </c>
      <c r="AA115" s="388">
        <f t="shared" si="38"/>
        <v>42.656340621005903</v>
      </c>
      <c r="AB115" s="199">
        <f t="shared" si="39"/>
        <v>44662</v>
      </c>
      <c r="AC115" s="119">
        <f>IF(OR(t&lt;Tnet,NoTnet),'2021'!Resal_s+('2021'!Salim-'2021'!Resal_s)*(1-EXP(('2021'!Tnet_s-t)/'2021'!Tau_j)),Resal_s+(Salim-Resal_s)*(1-EXP((Tnet_s-t)/Tau_j)))*Salcycl</f>
        <v>0.15448314090885831</v>
      </c>
      <c r="AD115" s="233">
        <f>(INDEX(Models!$BJ115:$BT115,,AH115)*(1-AF115)+INDEX(Models!$BJ115:$BT115,,AH115+1)*AF115-ERP_i)*AE115*Ramure*Pc/MaxiM</f>
        <v>5.3730068869813075E-3</v>
      </c>
      <c r="AE115" s="307">
        <f t="shared" si="40"/>
        <v>0.9</v>
      </c>
      <c r="AF115" s="179">
        <f t="shared" si="41"/>
        <v>0.94623920278695095</v>
      </c>
      <c r="AG115" s="839">
        <f t="shared" si="49"/>
        <v>-1</v>
      </c>
      <c r="AH115" s="178">
        <f t="shared" si="42"/>
        <v>5</v>
      </c>
      <c r="AI115" s="227">
        <f t="shared" si="43"/>
        <v>-5.3760797213049043E-2</v>
      </c>
      <c r="AJ115" s="267" t="b">
        <f t="shared" si="44"/>
        <v>1</v>
      </c>
      <c r="AK115" s="267" t="b">
        <f t="shared" si="45"/>
        <v>0</v>
      </c>
      <c r="AL115" s="267"/>
      <c r="AM115" s="267"/>
      <c r="AN115" s="75"/>
    </row>
    <row r="116" spans="1:40" s="6" customFormat="1" ht="11.25" x14ac:dyDescent="0.2">
      <c r="A116" s="56">
        <f t="shared" si="46"/>
        <v>44663</v>
      </c>
      <c r="B116" s="1141">
        <v>33.576000000000001</v>
      </c>
      <c r="C116" s="868"/>
      <c r="D116" s="395">
        <f t="shared" si="25"/>
        <v>34.647596696207671</v>
      </c>
      <c r="E116" s="387">
        <f t="shared" si="47"/>
        <v>39.200267139013718</v>
      </c>
      <c r="F116" s="387">
        <f t="shared" si="26"/>
        <v>39.319891978879781</v>
      </c>
      <c r="G116" s="110">
        <f t="shared" si="48"/>
        <v>0.7049864779439603</v>
      </c>
      <c r="H116" s="416" t="b">
        <f>Wh_hp&gt;='2021'!Maxi_hp</f>
        <v>0</v>
      </c>
      <c r="I116" s="382">
        <f>IF(H116,Wh_hp,'2021'!Maxi_hp)</f>
        <v>55.421173257782392</v>
      </c>
      <c r="J116" s="85">
        <f>IF(H116,An,'2021'!An_max)</f>
        <v>2019</v>
      </c>
      <c r="K116" s="199">
        <f t="shared" si="27"/>
        <v>44663</v>
      </c>
      <c r="L116" s="147">
        <f>IF(t&lt;Tvie,1-EXP((T0-t)*PertePVj)+'2021'!Pspv,1-EXP((T0-t)*PertePVj)+Pspv)</f>
        <v>3.0928456758588463E-2</v>
      </c>
      <c r="M116" s="872"/>
      <c r="N116" s="872"/>
      <c r="O116" s="48">
        <f>IF(t&lt;Tnet,'2021'!Resal+('2021'!Salim-'2021'!Resal)*(1-EXP(('2021'!Tnet-t)/('2021'!Tau_j))),Resal+(Salim-Resal)*(1-EXP((Tnet-t)/(Tau_j))))*Salcycl</f>
        <v>0.11613876065336916</v>
      </c>
      <c r="P116" s="341">
        <f>(INDEX(Models!$BJ116:$BT116,,T116)*(1-R116)+INDEX(Models!$BJ116:$BT116,,T116+1)*R116-ERP_i)*Q116*Ramure*Pc/MaxiM</f>
        <v>5.2384256226241889E-3</v>
      </c>
      <c r="Q116" s="307">
        <f t="shared" si="28"/>
        <v>0.9</v>
      </c>
      <c r="R116" s="179">
        <f t="shared" si="29"/>
        <v>0.94805351393961124</v>
      </c>
      <c r="S116" s="839">
        <f t="shared" si="30"/>
        <v>-1</v>
      </c>
      <c r="T116" s="178">
        <f t="shared" si="31"/>
        <v>5</v>
      </c>
      <c r="U116" s="253">
        <f t="shared" si="32"/>
        <v>-5.1946486060388784E-2</v>
      </c>
      <c r="V116" s="385">
        <f t="shared" si="33"/>
        <v>47.521534910007134</v>
      </c>
      <c r="W116" s="404">
        <f t="shared" si="34"/>
        <v>0</v>
      </c>
      <c r="X116" s="157">
        <f t="shared" si="35"/>
        <v>44663</v>
      </c>
      <c r="Y116" s="387">
        <f t="shared" si="36"/>
        <v>32.115566950705812</v>
      </c>
      <c r="Z116" s="387">
        <f t="shared" si="37"/>
        <v>33.140553114668542</v>
      </c>
      <c r="AA116" s="388">
        <f t="shared" si="38"/>
        <v>39.200267139013718</v>
      </c>
      <c r="AB116" s="199">
        <f t="shared" si="39"/>
        <v>44663</v>
      </c>
      <c r="AC116" s="119">
        <f>IF(OR(t&lt;Tnet,NoTnet),'2021'!Resal_s+('2021'!Salim-'2021'!Resal_s)*(1-EXP(('2021'!Tnet_s-t)/'2021'!Tau_j)),Resal_s+(Salim-Resal_s)*(1-EXP((Tnet_s-t)/Tau_j)))*Salcycl</f>
        <v>0.15458348798634339</v>
      </c>
      <c r="AD116" s="233">
        <f>(INDEX(Models!$BJ116:$BT116,,AH116)*(1-AF116)+INDEX(Models!$BJ116:$BT116,,AH116+1)*AF116-ERP_i)*AE116*Ramure*Pc/MaxiM</f>
        <v>5.2384256226241889E-3</v>
      </c>
      <c r="AE116" s="307">
        <f t="shared" si="40"/>
        <v>0.9</v>
      </c>
      <c r="AF116" s="179">
        <f t="shared" si="41"/>
        <v>0.94805351393961124</v>
      </c>
      <c r="AG116" s="839">
        <f t="shared" si="49"/>
        <v>-1</v>
      </c>
      <c r="AH116" s="178">
        <f t="shared" si="42"/>
        <v>5</v>
      </c>
      <c r="AI116" s="227">
        <f t="shared" si="43"/>
        <v>-5.1946486060388784E-2</v>
      </c>
      <c r="AJ116" s="267" t="b">
        <f t="shared" si="44"/>
        <v>1</v>
      </c>
      <c r="AK116" s="267" t="b">
        <f t="shared" si="45"/>
        <v>0</v>
      </c>
      <c r="AL116" s="267"/>
      <c r="AM116" s="267"/>
      <c r="AN116" s="75"/>
    </row>
    <row r="117" spans="1:40" s="6" customFormat="1" ht="11.25" x14ac:dyDescent="0.2">
      <c r="A117" s="56">
        <f t="shared" si="46"/>
        <v>44664</v>
      </c>
      <c r="B117" s="1141">
        <v>7.4</v>
      </c>
      <c r="C117" s="868"/>
      <c r="D117" s="395">
        <f t="shared" si="25"/>
        <v>7.6363528208307363</v>
      </c>
      <c r="E117" s="387">
        <f t="shared" si="47"/>
        <v>8.6416588887306958</v>
      </c>
      <c r="F117" s="387">
        <f t="shared" si="26"/>
        <v>8.6416588887306958</v>
      </c>
      <c r="G117" s="110">
        <f t="shared" si="48"/>
        <v>0.15396715734112715</v>
      </c>
      <c r="H117" s="416" t="b">
        <f>Wh_hp&gt;='2021'!Maxi_hp</f>
        <v>0</v>
      </c>
      <c r="I117" s="382">
        <f>IF(H117,Wh_hp,'2021'!Maxi_hp)</f>
        <v>56.406019342238785</v>
      </c>
      <c r="J117" s="85">
        <f>IF(H117,An,'2021'!An_max)</f>
        <v>2019</v>
      </c>
      <c r="K117" s="199">
        <f t="shared" si="27"/>
        <v>44664</v>
      </c>
      <c r="L117" s="147">
        <f>IF(t&lt;Tvie,1-EXP((T0-t)*PertePVj)+'2021'!Pspv,1-EXP((T0-t)*PertePVj)+Pspv)</f>
        <v>3.0951008469122021E-2</v>
      </c>
      <c r="M117" s="872"/>
      <c r="N117" s="872"/>
      <c r="O117" s="48">
        <f>IF(t&lt;Tnet,'2021'!Resal+('2021'!Salim-'2021'!Resal)*(1-EXP(('2021'!Tnet-t)/('2021'!Tau_j))),Resal+(Salim-Resal)*(1-EXP((Tnet-t)/(Tau_j))))*Salcycl</f>
        <v>0.1163325330060119</v>
      </c>
      <c r="P117" s="341">
        <f>(INDEX(Models!$BJ117:$BT117,,T117)*(1-R117)+INDEX(Models!$BJ117:$BT117,,T117+1)*R117-ERP_i)*Q117*Ramure*Pc/MaxiM</f>
        <v>5.100935202308983E-3</v>
      </c>
      <c r="Q117" s="307">
        <f t="shared" si="28"/>
        <v>0.9</v>
      </c>
      <c r="R117" s="179">
        <f t="shared" si="29"/>
        <v>0.94993134451020889</v>
      </c>
      <c r="S117" s="839">
        <f t="shared" si="30"/>
        <v>-1</v>
      </c>
      <c r="T117" s="178">
        <f t="shared" si="31"/>
        <v>5</v>
      </c>
      <c r="U117" s="253">
        <f t="shared" si="32"/>
        <v>-5.0068655489791135E-2</v>
      </c>
      <c r="V117" s="385">
        <f t="shared" si="33"/>
        <v>47.817035831811999</v>
      </c>
      <c r="W117" s="404">
        <f t="shared" si="34"/>
        <v>0</v>
      </c>
      <c r="X117" s="157">
        <f t="shared" si="35"/>
        <v>44664</v>
      </c>
      <c r="Y117" s="387">
        <f t="shared" si="36"/>
        <v>7.0788165915353778</v>
      </c>
      <c r="Z117" s="387">
        <f t="shared" si="37"/>
        <v>7.3049109522857565</v>
      </c>
      <c r="AA117" s="388">
        <f t="shared" si="38"/>
        <v>8.6416588887306958</v>
      </c>
      <c r="AB117" s="199">
        <f t="shared" si="39"/>
        <v>44664</v>
      </c>
      <c r="AC117" s="119">
        <f>IF(OR(t&lt;Tnet,NoTnet),'2021'!Resal_s+('2021'!Salim-'2021'!Resal_s)*(1-EXP(('2021'!Tnet_s-t)/'2021'!Tau_j)),Resal_s+(Salim-Resal_s)*(1-EXP((Tnet_s-t)/Tau_j)))*Salcycl</f>
        <v>0.15468649638417784</v>
      </c>
      <c r="AD117" s="233">
        <f>(INDEX(Models!$BJ117:$BT117,,AH117)*(1-AF117)+INDEX(Models!$BJ117:$BT117,,AH117+1)*AF117-ERP_i)*AE117*Ramure*Pc/MaxiM</f>
        <v>5.100935202308983E-3</v>
      </c>
      <c r="AE117" s="307">
        <f t="shared" si="40"/>
        <v>0.9</v>
      </c>
      <c r="AF117" s="179">
        <f t="shared" si="41"/>
        <v>0.94993134451020889</v>
      </c>
      <c r="AG117" s="839">
        <f t="shared" si="49"/>
        <v>-1</v>
      </c>
      <c r="AH117" s="178">
        <f t="shared" si="42"/>
        <v>5</v>
      </c>
      <c r="AI117" s="227">
        <f t="shared" si="43"/>
        <v>-5.0068655489791135E-2</v>
      </c>
      <c r="AJ117" s="267" t="b">
        <f t="shared" si="44"/>
        <v>1</v>
      </c>
      <c r="AK117" s="267" t="b">
        <f t="shared" si="45"/>
        <v>0</v>
      </c>
      <c r="AL117" s="267"/>
      <c r="AM117" s="267"/>
      <c r="AN117" s="75"/>
    </row>
    <row r="118" spans="1:40" s="6" customFormat="1" ht="11.25" x14ac:dyDescent="0.2">
      <c r="A118" s="56">
        <f t="shared" si="46"/>
        <v>44665</v>
      </c>
      <c r="B118" s="1141">
        <v>36.18</v>
      </c>
      <c r="C118" s="868"/>
      <c r="D118" s="395">
        <f t="shared" si="25"/>
        <v>37.336442530002714</v>
      </c>
      <c r="E118" s="387">
        <f t="shared" si="47"/>
        <v>42.26104210289639</v>
      </c>
      <c r="F118" s="387">
        <f t="shared" si="26"/>
        <v>42.396869046103276</v>
      </c>
      <c r="G118" s="110">
        <f t="shared" si="48"/>
        <v>0.75075967851721892</v>
      </c>
      <c r="H118" s="416" t="b">
        <f>Wh_hp&gt;='2021'!Maxi_hp</f>
        <v>0</v>
      </c>
      <c r="I118" s="382">
        <f>IF(H118,Wh_hp,'2021'!Maxi_hp)</f>
        <v>56.154090506679154</v>
      </c>
      <c r="J118" s="85">
        <f>IF(H118,An,'2021'!An_max)</f>
        <v>2021</v>
      </c>
      <c r="K118" s="199">
        <f t="shared" si="27"/>
        <v>44665</v>
      </c>
      <c r="L118" s="147">
        <f>IF(t&lt;Tvie,1-EXP((T0-t)*PertePVj)+'2021'!Pspv,1-EXP((T0-t)*PertePVj)+Pspv)</f>
        <v>3.0973559654844496E-2</v>
      </c>
      <c r="M118" s="872"/>
      <c r="N118" s="872"/>
      <c r="O118" s="48">
        <f>IF(t&lt;Tnet,'2021'!Resal+('2021'!Salim-'2021'!Resal)*(1-EXP(('2021'!Tnet-t)/('2021'!Tau_j))),Resal+(Salim-Resal)*(1-EXP((Tnet-t)/(Tau_j))))*Salcycl</f>
        <v>0.11652811496941681</v>
      </c>
      <c r="P118" s="341">
        <f>(INDEX(Models!$BJ118:$BT118,,T118)*(1-R118)+INDEX(Models!$BJ118:$BT118,,T118+1)*R118-ERP_i)*Q118*Ramure*Pc/MaxiM</f>
        <v>4.9605504154150047E-3</v>
      </c>
      <c r="Q118" s="307">
        <f t="shared" si="28"/>
        <v>0.9</v>
      </c>
      <c r="R118" s="179">
        <f t="shared" si="29"/>
        <v>0.95187441940225614</v>
      </c>
      <c r="S118" s="839">
        <f t="shared" si="30"/>
        <v>-1</v>
      </c>
      <c r="T118" s="178">
        <f t="shared" si="31"/>
        <v>5</v>
      </c>
      <c r="U118" s="253">
        <f t="shared" si="32"/>
        <v>-4.8125580597743897E-2</v>
      </c>
      <c r="V118" s="385">
        <f t="shared" si="33"/>
        <v>48.10625020874533</v>
      </c>
      <c r="W118" s="404">
        <f t="shared" si="34"/>
        <v>0</v>
      </c>
      <c r="X118" s="157">
        <f t="shared" si="35"/>
        <v>44665</v>
      </c>
      <c r="Y118" s="387">
        <f t="shared" si="36"/>
        <v>34.613005991280794</v>
      </c>
      <c r="Z118" s="387">
        <f t="shared" si="37"/>
        <v>35.719361774021415</v>
      </c>
      <c r="AA118" s="388">
        <f t="shared" si="38"/>
        <v>42.26104210289639</v>
      </c>
      <c r="AB118" s="199">
        <f t="shared" si="39"/>
        <v>44665</v>
      </c>
      <c r="AC118" s="119">
        <f>IF(OR(t&lt;Tnet,NoTnet),'2021'!Resal_s+('2021'!Salim-'2021'!Resal_s)*(1-EXP(('2021'!Tnet_s-t)/'2021'!Tau_j)),Resal_s+(Salim-Resal_s)*(1-EXP((Tnet_s-t)/Tau_j)))*Salcycl</f>
        <v>0.15479221532084836</v>
      </c>
      <c r="AD118" s="233">
        <f>(INDEX(Models!$BJ118:$BT118,,AH118)*(1-AF118)+INDEX(Models!$BJ118:$BT118,,AH118+1)*AF118-ERP_i)*AE118*Ramure*Pc/MaxiM</f>
        <v>4.9605504154150047E-3</v>
      </c>
      <c r="AE118" s="307">
        <f t="shared" si="40"/>
        <v>0.9</v>
      </c>
      <c r="AF118" s="179">
        <f t="shared" si="41"/>
        <v>0.95187441940225614</v>
      </c>
      <c r="AG118" s="839">
        <f t="shared" si="49"/>
        <v>-1</v>
      </c>
      <c r="AH118" s="178">
        <f t="shared" si="42"/>
        <v>5</v>
      </c>
      <c r="AI118" s="227">
        <f t="shared" si="43"/>
        <v>-4.8125580597743897E-2</v>
      </c>
      <c r="AJ118" s="267" t="b">
        <f t="shared" si="44"/>
        <v>1</v>
      </c>
      <c r="AK118" s="267" t="b">
        <f t="shared" si="45"/>
        <v>0</v>
      </c>
      <c r="AL118" s="267"/>
      <c r="AM118" s="267"/>
      <c r="AN118" s="75"/>
    </row>
    <row r="119" spans="1:40" s="6" customFormat="1" ht="11.25" x14ac:dyDescent="0.2">
      <c r="A119" s="56">
        <f t="shared" si="46"/>
        <v>44666</v>
      </c>
      <c r="B119" s="1141">
        <v>40.172000000000004</v>
      </c>
      <c r="C119" s="868"/>
      <c r="D119" s="395">
        <f t="shared" si="25"/>
        <v>41.457005929141097</v>
      </c>
      <c r="E119" s="387">
        <f t="shared" si="47"/>
        <v>46.935588175732413</v>
      </c>
      <c r="F119" s="387">
        <f t="shared" si="26"/>
        <v>47.107468238254903</v>
      </c>
      <c r="G119" s="110">
        <f t="shared" si="48"/>
        <v>0.82921682204844382</v>
      </c>
      <c r="H119" s="416" t="b">
        <f>Wh_hp&gt;='2021'!Maxi_hp</f>
        <v>0</v>
      </c>
      <c r="I119" s="382">
        <f>IF(H119,Wh_hp,'2021'!Maxi_hp)</f>
        <v>56.104027308625504</v>
      </c>
      <c r="J119" s="85">
        <f>IF(H119,An,'2021'!An_max)</f>
        <v>2021</v>
      </c>
      <c r="K119" s="199">
        <f t="shared" si="27"/>
        <v>44666</v>
      </c>
      <c r="L119" s="147">
        <f>IF(t&lt;Tvie,1-EXP((T0-t)*PertePVj)+'2021'!Pspv,1-EXP((T0-t)*PertePVj)+Pspv)</f>
        <v>3.0996110315767766E-2</v>
      </c>
      <c r="M119" s="872"/>
      <c r="N119" s="872"/>
      <c r="O119" s="48">
        <f>IF(t&lt;Tnet,'2021'!Resal+('2021'!Salim-'2021'!Resal)*(1-EXP(('2021'!Tnet-t)/('2021'!Tau_j))),Resal+(Salim-Resal)*(1-EXP((Tnet-t)/(Tau_j))))*Salcycl</f>
        <v>0.11672554791640943</v>
      </c>
      <c r="P119" s="341">
        <f>(INDEX(Models!$BJ119:$BT119,,T119)*(1-R119)+INDEX(Models!$BJ119:$BT119,,T119+1)*R119-ERP_i)*Q119*Ramure*Pc/MaxiM</f>
        <v>4.8172790972299756E-3</v>
      </c>
      <c r="Q119" s="307">
        <f t="shared" si="28"/>
        <v>0.9</v>
      </c>
      <c r="R119" s="179">
        <f t="shared" si="29"/>
        <v>0.95388447144339938</v>
      </c>
      <c r="S119" s="839">
        <f t="shared" si="30"/>
        <v>-1</v>
      </c>
      <c r="T119" s="178">
        <f t="shared" si="31"/>
        <v>5</v>
      </c>
      <c r="U119" s="253">
        <f t="shared" si="32"/>
        <v>-4.6115528556600657E-2</v>
      </c>
      <c r="V119" s="385">
        <f t="shared" si="33"/>
        <v>48.388891835284483</v>
      </c>
      <c r="W119" s="404">
        <f t="shared" si="34"/>
        <v>0</v>
      </c>
      <c r="X119" s="157">
        <f t="shared" si="35"/>
        <v>44666</v>
      </c>
      <c r="Y119" s="387">
        <f t="shared" si="36"/>
        <v>38.435765206963538</v>
      </c>
      <c r="Z119" s="387">
        <f t="shared" si="37"/>
        <v>39.665233149361804</v>
      </c>
      <c r="AA119" s="388">
        <f t="shared" si="38"/>
        <v>46.935588175732413</v>
      </c>
      <c r="AB119" s="199">
        <f t="shared" si="39"/>
        <v>44666</v>
      </c>
      <c r="AC119" s="119">
        <f>IF(OR(t&lt;Tnet,NoTnet),'2021'!Resal_s+('2021'!Salim-'2021'!Resal_s)*(1-EXP(('2021'!Tnet_s-t)/'2021'!Tau_j)),Resal_s+(Salim-Resal_s)*(1-EXP((Tnet_s-t)/Tau_j)))*Salcycl</f>
        <v>0.15490069069017592</v>
      </c>
      <c r="AD119" s="233">
        <f>(INDEX(Models!$BJ119:$BT119,,AH119)*(1-AF119)+INDEX(Models!$BJ119:$BT119,,AH119+1)*AF119-ERP_i)*AE119*Ramure*Pc/MaxiM</f>
        <v>4.8172790972299756E-3</v>
      </c>
      <c r="AE119" s="307">
        <f t="shared" si="40"/>
        <v>0.9</v>
      </c>
      <c r="AF119" s="179">
        <f t="shared" si="41"/>
        <v>0.95388447144339938</v>
      </c>
      <c r="AG119" s="839">
        <f t="shared" si="49"/>
        <v>-1</v>
      </c>
      <c r="AH119" s="178">
        <f t="shared" si="42"/>
        <v>5</v>
      </c>
      <c r="AI119" s="227">
        <f t="shared" si="43"/>
        <v>-4.6115528556600657E-2</v>
      </c>
      <c r="AJ119" s="267" t="b">
        <f t="shared" si="44"/>
        <v>1</v>
      </c>
      <c r="AK119" s="267" t="b">
        <f t="shared" si="45"/>
        <v>0</v>
      </c>
      <c r="AL119" s="267"/>
      <c r="AM119" s="267"/>
      <c r="AN119" s="75"/>
    </row>
    <row r="120" spans="1:40" s="6" customFormat="1" ht="11.25" x14ac:dyDescent="0.2">
      <c r="A120" s="56">
        <f t="shared" si="46"/>
        <v>44667</v>
      </c>
      <c r="B120" s="1141">
        <v>43.076999999999998</v>
      </c>
      <c r="C120" s="868"/>
      <c r="D120" s="395">
        <f t="shared" si="25"/>
        <v>44.455964466859434</v>
      </c>
      <c r="E120" s="387">
        <f t="shared" si="47"/>
        <v>50.342222299648192</v>
      </c>
      <c r="F120" s="387">
        <f t="shared" si="26"/>
        <v>50.539575554586463</v>
      </c>
      <c r="G120" s="110">
        <f t="shared" si="48"/>
        <v>0.88449918015712947</v>
      </c>
      <c r="H120" s="416" t="b">
        <f>Wh_hp&gt;='2021'!Maxi_hp</f>
        <v>1</v>
      </c>
      <c r="I120" s="382">
        <f>IF(H120,Wh_hp,'2021'!Maxi_hp)</f>
        <v>50.539575554586463</v>
      </c>
      <c r="J120" s="85">
        <f>IF(H120,An,'2021'!An_max)</f>
        <v>2022</v>
      </c>
      <c r="K120" s="199">
        <f t="shared" si="27"/>
        <v>44667</v>
      </c>
      <c r="L120" s="147">
        <f>IF(t&lt;Tvie,1-EXP((T0-t)*PertePVj)+'2021'!Pspv,1-EXP((T0-t)*PertePVj)+Pspv)</f>
        <v>3.1018660451904378E-2</v>
      </c>
      <c r="M120" s="872"/>
      <c r="N120" s="872"/>
      <c r="O120" s="48">
        <f>IF(t&lt;Tnet,'2021'!Resal+('2021'!Salim-'2021'!Resal)*(1-EXP(('2021'!Tnet-t)/('2021'!Tau_j))),Resal+(Salim-Resal)*(1-EXP((Tnet-t)/(Tau_j))))*Salcycl</f>
        <v>0.11692487069308211</v>
      </c>
      <c r="P120" s="341">
        <f>(INDEX(Models!$BJ120:$BT120,,T120)*(1-R120)+INDEX(Models!$BJ120:$BT120,,T120+1)*R120-ERP_i)*Q120*Ramure*Pc/MaxiM</f>
        <v>4.6711221388726128E-3</v>
      </c>
      <c r="Q120" s="307">
        <f t="shared" si="28"/>
        <v>0.9</v>
      </c>
      <c r="R120" s="179">
        <f t="shared" si="29"/>
        <v>0.95596323796394833</v>
      </c>
      <c r="S120" s="839">
        <f t="shared" si="30"/>
        <v>-1</v>
      </c>
      <c r="T120" s="178">
        <f t="shared" si="31"/>
        <v>5</v>
      </c>
      <c r="U120" s="253">
        <f t="shared" si="32"/>
        <v>-4.4036762036051634E-2</v>
      </c>
      <c r="V120" s="385">
        <f t="shared" si="33"/>
        <v>48.664674998903145</v>
      </c>
      <c r="W120" s="404">
        <f t="shared" si="34"/>
        <v>0</v>
      </c>
      <c r="X120" s="157">
        <f t="shared" si="35"/>
        <v>44667</v>
      </c>
      <c r="Y120" s="387">
        <f t="shared" si="36"/>
        <v>41.219085873300038</v>
      </c>
      <c r="Z120" s="387">
        <f t="shared" si="37"/>
        <v>42.53857550293322</v>
      </c>
      <c r="AA120" s="388">
        <f t="shared" si="38"/>
        <v>50.342222299648192</v>
      </c>
      <c r="AB120" s="199">
        <f t="shared" si="39"/>
        <v>44667</v>
      </c>
      <c r="AC120" s="119">
        <f>IF(OR(t&lt;Tnet,NoTnet),'2021'!Resal_s+('2021'!Salim-'2021'!Resal_s)*(1-EXP(('2021'!Tnet_s-t)/'2021'!Tau_j)),Resal_s+(Salim-Resal_s)*(1-EXP((Tnet_s-t)/Tau_j)))*Salcycl</f>
        <v>0.15501196491219471</v>
      </c>
      <c r="AD120" s="233">
        <f>(INDEX(Models!$BJ120:$BT120,,AH120)*(1-AF120)+INDEX(Models!$BJ120:$BT120,,AH120+1)*AF120-ERP_i)*AE120*Ramure*Pc/MaxiM</f>
        <v>4.6711221388726128E-3</v>
      </c>
      <c r="AE120" s="307">
        <f t="shared" si="40"/>
        <v>0.9</v>
      </c>
      <c r="AF120" s="179">
        <f t="shared" si="41"/>
        <v>0.95596323796394833</v>
      </c>
      <c r="AG120" s="839">
        <f t="shared" si="49"/>
        <v>-1</v>
      </c>
      <c r="AH120" s="178">
        <f t="shared" si="42"/>
        <v>5</v>
      </c>
      <c r="AI120" s="227">
        <f t="shared" si="43"/>
        <v>-4.4036762036051634E-2</v>
      </c>
      <c r="AJ120" s="267" t="b">
        <f t="shared" si="44"/>
        <v>1</v>
      </c>
      <c r="AK120" s="267" t="b">
        <f t="shared" si="45"/>
        <v>0</v>
      </c>
      <c r="AL120" s="267"/>
      <c r="AM120" s="267"/>
      <c r="AN120" s="75"/>
    </row>
    <row r="121" spans="1:40" s="6" customFormat="1" ht="11.25" x14ac:dyDescent="0.2">
      <c r="A121" s="56">
        <f t="shared" si="46"/>
        <v>44668</v>
      </c>
      <c r="B121" s="1141">
        <v>48.896000000000001</v>
      </c>
      <c r="C121" s="868"/>
      <c r="D121" s="395">
        <f t="shared" si="25"/>
        <v>50.462414405872273</v>
      </c>
      <c r="E121" s="387">
        <f t="shared" si="47"/>
        <v>57.156990958482218</v>
      </c>
      <c r="F121" s="387">
        <f t="shared" si="26"/>
        <v>57.416331755569935</v>
      </c>
      <c r="G121" s="110">
        <f t="shared" si="48"/>
        <v>0.99920494025998385</v>
      </c>
      <c r="H121" s="416" t="b">
        <f>Wh_hp&gt;='2021'!Maxi_hp</f>
        <v>1</v>
      </c>
      <c r="I121" s="382">
        <f>IF(H121,Wh_hp,'2021'!Maxi_hp)</f>
        <v>57.416331755569935</v>
      </c>
      <c r="J121" s="85">
        <f>IF(H121,An,'2021'!An_max)</f>
        <v>2022</v>
      </c>
      <c r="K121" s="199">
        <f t="shared" si="27"/>
        <v>44668</v>
      </c>
      <c r="L121" s="147">
        <f>IF(t&lt;Tvie,1-EXP((T0-t)*PertePVj)+'2021'!Pspv,1-EXP((T0-t)*PertePVj)+Pspv)</f>
        <v>3.1041210063266211E-2</v>
      </c>
      <c r="M121" s="872"/>
      <c r="N121" s="872"/>
      <c r="O121" s="48">
        <f>IF(t&lt;Tnet,'2021'!Resal+('2021'!Salim-'2021'!Resal)*(1-EXP(('2021'!Tnet-t)/('2021'!Tau_j))),Resal+(Salim-Resal)*(1-EXP((Tnet-t)/(Tau_j))))*Salcycl</f>
        <v>0.1171261194885638</v>
      </c>
      <c r="P121" s="341">
        <f>(INDEX(Models!$BJ121:$BT121,,T121)*(1-R121)+INDEX(Models!$BJ121:$BT121,,T121+1)*R121-ERP_i)*Q121*Ramure*Pc/MaxiM</f>
        <v>4.5219501371132117E-3</v>
      </c>
      <c r="Q121" s="307">
        <f t="shared" si="28"/>
        <v>0.9</v>
      </c>
      <c r="R121" s="179">
        <f t="shared" si="29"/>
        <v>0.95811245708984694</v>
      </c>
      <c r="S121" s="839">
        <f t="shared" si="30"/>
        <v>-1</v>
      </c>
      <c r="T121" s="178">
        <f t="shared" si="31"/>
        <v>5</v>
      </c>
      <c r="U121" s="253">
        <f t="shared" si="32"/>
        <v>-4.1887542910153022E-2</v>
      </c>
      <c r="V121" s="385">
        <f t="shared" si="33"/>
        <v>48.93465532880122</v>
      </c>
      <c r="W121" s="404">
        <f t="shared" si="34"/>
        <v>0</v>
      </c>
      <c r="X121" s="157">
        <f t="shared" si="35"/>
        <v>44668</v>
      </c>
      <c r="Y121" s="387">
        <f t="shared" si="36"/>
        <v>46.791457151149132</v>
      </c>
      <c r="Z121" s="387">
        <f t="shared" si="37"/>
        <v>48.29045119060666</v>
      </c>
      <c r="AA121" s="388">
        <f t="shared" si="38"/>
        <v>57.156990958482218</v>
      </c>
      <c r="AB121" s="199">
        <f t="shared" si="39"/>
        <v>44668</v>
      </c>
      <c r="AC121" s="119">
        <f>IF(OR(t&lt;Tnet,NoTnet),'2021'!Resal_s+('2021'!Salim-'2021'!Resal_s)*(1-EXP(('2021'!Tnet_s-t)/'2021'!Tau_j)),Resal_s+(Salim-Resal_s)*(1-EXP((Tnet_s-t)/Tau_j)))*Salcycl</f>
        <v>0.15512607677888515</v>
      </c>
      <c r="AD121" s="233">
        <f>(INDEX(Models!$BJ121:$BT121,,AH121)*(1-AF121)+INDEX(Models!$BJ121:$BT121,,AH121+1)*AF121-ERP_i)*AE121*Ramure*Pc/MaxiM</f>
        <v>4.5219501371132117E-3</v>
      </c>
      <c r="AE121" s="307">
        <f t="shared" si="40"/>
        <v>0.9</v>
      </c>
      <c r="AF121" s="179">
        <f t="shared" si="41"/>
        <v>0.95811245708984694</v>
      </c>
      <c r="AG121" s="839">
        <f t="shared" si="49"/>
        <v>-1</v>
      </c>
      <c r="AH121" s="178">
        <f t="shared" si="42"/>
        <v>5</v>
      </c>
      <c r="AI121" s="227">
        <f t="shared" si="43"/>
        <v>-4.1887542910153022E-2</v>
      </c>
      <c r="AJ121" s="267" t="b">
        <f t="shared" si="44"/>
        <v>1</v>
      </c>
      <c r="AK121" s="267" t="b">
        <f t="shared" si="45"/>
        <v>0</v>
      </c>
      <c r="AL121" s="267"/>
      <c r="AM121" s="267"/>
      <c r="AN121" s="75"/>
    </row>
    <row r="122" spans="1:40" s="18" customFormat="1" ht="11.25" x14ac:dyDescent="0.2">
      <c r="A122" s="56">
        <f t="shared" si="46"/>
        <v>44669</v>
      </c>
      <c r="B122" s="1141">
        <v>39.289000000000001</v>
      </c>
      <c r="C122" s="868"/>
      <c r="D122" s="395">
        <f t="shared" si="25"/>
        <v>40.548591686000158</v>
      </c>
      <c r="E122" s="387">
        <f t="shared" si="47"/>
        <v>45.938528330547918</v>
      </c>
      <c r="F122" s="387">
        <f t="shared" si="26"/>
        <v>46.081902572381331</v>
      </c>
      <c r="G122" s="110">
        <f t="shared" si="48"/>
        <v>0.79755072841090635</v>
      </c>
      <c r="H122" s="416" t="b">
        <f>Wh_hp&gt;='2021'!Maxi_hp</f>
        <v>1</v>
      </c>
      <c r="I122" s="382">
        <f>IF(H122,Wh_hp,'2021'!Maxi_hp)</f>
        <v>46.081902572381331</v>
      </c>
      <c r="J122" s="85">
        <f>IF(H122,An,'2021'!An_max)</f>
        <v>2022</v>
      </c>
      <c r="K122" s="199">
        <f t="shared" si="27"/>
        <v>44669</v>
      </c>
      <c r="L122" s="147">
        <f>IF(t&lt;Tvie,1-EXP((T0-t)*PertePVj)+'2021'!Pspv,1-EXP((T0-t)*PertePVj)+Pspv)</f>
        <v>3.10637591498657E-2</v>
      </c>
      <c r="M122" s="872"/>
      <c r="N122" s="872"/>
      <c r="O122" s="48">
        <f>IF(t&lt;Tnet,'2021'!Resal+('2021'!Salim-'2021'!Resal)*(1-EXP(('2021'!Tnet-t)/('2021'!Tau_j))),Resal+(Salim-Resal)*(1-EXP((Tnet-t)/(Tau_j))))*Salcycl</f>
        <v>0.11732932769993845</v>
      </c>
      <c r="P122" s="341">
        <f>(INDEX(Models!$BJ122:$BT122,,T122)*(1-R122)+INDEX(Models!$BJ122:$BT122,,T122+1)*R122-ERP_i)*Q122*Ramure*Pc/MaxiM</f>
        <v>4.3684091482579018E-3</v>
      </c>
      <c r="Q122" s="307">
        <f t="shared" si="28"/>
        <v>0.9</v>
      </c>
      <c r="R122" s="179">
        <f t="shared" si="29"/>
        <v>0.96033386374194696</v>
      </c>
      <c r="S122" s="839">
        <f t="shared" si="30"/>
        <v>-1</v>
      </c>
      <c r="T122" s="178">
        <f t="shared" si="31"/>
        <v>5</v>
      </c>
      <c r="U122" s="253">
        <f t="shared" si="32"/>
        <v>-3.9666136258053063E-2</v>
      </c>
      <c r="V122" s="385">
        <f t="shared" si="33"/>
        <v>49.199948751116089</v>
      </c>
      <c r="W122" s="404">
        <f t="shared" si="34"/>
        <v>0</v>
      </c>
      <c r="X122" s="157">
        <f t="shared" si="35"/>
        <v>44669</v>
      </c>
      <c r="Y122" s="387">
        <f t="shared" si="36"/>
        <v>37.601402659415434</v>
      </c>
      <c r="Z122" s="387">
        <f t="shared" si="37"/>
        <v>38.806890561162582</v>
      </c>
      <c r="AA122" s="388">
        <f t="shared" si="38"/>
        <v>45.938528330547918</v>
      </c>
      <c r="AB122" s="199">
        <f t="shared" si="39"/>
        <v>44669</v>
      </c>
      <c r="AC122" s="119">
        <f>IF(OR(t&lt;Tnet,NoTnet),'2021'!Resal_s+('2021'!Salim-'2021'!Resal_s)*(1-EXP(('2021'!Tnet_s-t)/'2021'!Tau_j)),Resal_s+(Salim-Resal_s)*(1-EXP((Tnet_s-t)/Tau_j)))*Salcycl</f>
        <v>0.15524306129421619</v>
      </c>
      <c r="AD122" s="233">
        <f>(INDEX(Models!$BJ122:$BT122,,AH122)*(1-AF122)+INDEX(Models!$BJ122:$BT122,,AH122+1)*AF122-ERP_i)*AE122*Ramure*Pc/MaxiM</f>
        <v>4.3684091482579018E-3</v>
      </c>
      <c r="AE122" s="307">
        <f t="shared" si="40"/>
        <v>0.9</v>
      </c>
      <c r="AF122" s="179">
        <f t="shared" si="41"/>
        <v>0.96033386374194696</v>
      </c>
      <c r="AG122" s="839">
        <f t="shared" si="49"/>
        <v>-1</v>
      </c>
      <c r="AH122" s="178">
        <f t="shared" si="42"/>
        <v>5</v>
      </c>
      <c r="AI122" s="227">
        <f t="shared" si="43"/>
        <v>-3.9666136258053063E-2</v>
      </c>
      <c r="AJ122" s="267" t="b">
        <f t="shared" si="44"/>
        <v>1</v>
      </c>
      <c r="AK122" s="267" t="b">
        <f t="shared" si="45"/>
        <v>0</v>
      </c>
      <c r="AL122" s="267"/>
      <c r="AM122" s="267"/>
      <c r="AN122" s="267"/>
    </row>
    <row r="123" spans="1:40" s="18" customFormat="1" ht="11.25" x14ac:dyDescent="0.2">
      <c r="A123" s="56">
        <f t="shared" si="46"/>
        <v>44670</v>
      </c>
      <c r="B123" s="1141">
        <v>10.734999999999999</v>
      </c>
      <c r="C123" s="868"/>
      <c r="D123" s="395">
        <f t="shared" si="25"/>
        <v>11.079418203542087</v>
      </c>
      <c r="E123" s="387">
        <f t="shared" si="47"/>
        <v>12.555072722233977</v>
      </c>
      <c r="F123" s="387">
        <f t="shared" si="26"/>
        <v>12.555072722233977</v>
      </c>
      <c r="G123" s="110">
        <f t="shared" si="48"/>
        <v>0.2161290300832576</v>
      </c>
      <c r="H123" s="416" t="b">
        <f>Wh_hp&gt;='2021'!Maxi_hp</f>
        <v>0</v>
      </c>
      <c r="I123" s="382">
        <f>IF(H123,Wh_hp,'2021'!Maxi_hp)</f>
        <v>56.480000775881308</v>
      </c>
      <c r="J123" s="85">
        <f>IF(H123,An,'2021'!An_max)</f>
        <v>2021</v>
      </c>
      <c r="K123" s="199">
        <f t="shared" si="27"/>
        <v>44670</v>
      </c>
      <c r="L123" s="147">
        <f>IF(t&lt;Tvie,1-EXP((T0-t)*PertePVj)+'2021'!Pspv,1-EXP((T0-t)*PertePVj)+Pspv)</f>
        <v>3.1086307711715055E-2</v>
      </c>
      <c r="M123" s="872"/>
      <c r="N123" s="872"/>
      <c r="O123" s="48">
        <f>IF(t&lt;Tnet,'2021'!Resal+('2021'!Salim-'2021'!Resal)*(1-EXP(('2021'!Tnet-t)/('2021'!Tau_j))),Resal+(Salim-Resal)*(1-EXP((Tnet-t)/(Tau_j))))*Salcycl</f>
        <v>0.1175345257920036</v>
      </c>
      <c r="P123" s="341">
        <f>(INDEX(Models!$BJ123:$BT123,,T123)*(1-R123)+INDEX(Models!$BJ123:$BT123,,T123+1)*R123-ERP_i)*Q123*Ramure*Pc/MaxiM</f>
        <v>4.213186159157915E-3</v>
      </c>
      <c r="Q123" s="307">
        <f t="shared" si="28"/>
        <v>0.9</v>
      </c>
      <c r="R123" s="179">
        <f t="shared" si="29"/>
        <v>0.96262918533452169</v>
      </c>
      <c r="S123" s="839">
        <f t="shared" si="30"/>
        <v>-1</v>
      </c>
      <c r="T123" s="178">
        <f t="shared" si="31"/>
        <v>5</v>
      </c>
      <c r="U123" s="253">
        <f t="shared" si="32"/>
        <v>-3.7370814665478341E-2</v>
      </c>
      <c r="V123" s="385">
        <f t="shared" si="33"/>
        <v>49.460137041578847</v>
      </c>
      <c r="W123" s="404">
        <f t="shared" si="34"/>
        <v>0</v>
      </c>
      <c r="X123" s="157">
        <f t="shared" si="35"/>
        <v>44670</v>
      </c>
      <c r="Y123" s="387">
        <f t="shared" si="36"/>
        <v>10.274825477073813</v>
      </c>
      <c r="Z123" s="387">
        <f t="shared" si="37"/>
        <v>10.60447959281878</v>
      </c>
      <c r="AA123" s="388">
        <f t="shared" si="38"/>
        <v>12.555072722233977</v>
      </c>
      <c r="AB123" s="199">
        <f t="shared" si="39"/>
        <v>44670</v>
      </c>
      <c r="AC123" s="119">
        <f>IF(OR(t&lt;Tnet,NoTnet),'2021'!Resal_s+('2021'!Salim-'2021'!Resal_s)*(1-EXP(('2021'!Tnet_s-t)/'2021'!Tau_j)),Resal_s+(Salim-Resal_s)*(1-EXP((Tnet_s-t)/Tau_j)))*Salcycl</f>
        <v>0.1553629495081188</v>
      </c>
      <c r="AD123" s="233">
        <f>(INDEX(Models!$BJ123:$BT123,,AH123)*(1-AF123)+INDEX(Models!$BJ123:$BT123,,AH123+1)*AF123-ERP_i)*AE123*Ramure*Pc/MaxiM</f>
        <v>4.213186159157915E-3</v>
      </c>
      <c r="AE123" s="307">
        <f t="shared" si="40"/>
        <v>0.9</v>
      </c>
      <c r="AF123" s="179">
        <f t="shared" si="41"/>
        <v>0.96262918533452169</v>
      </c>
      <c r="AG123" s="839">
        <f t="shared" si="49"/>
        <v>-1</v>
      </c>
      <c r="AH123" s="178">
        <f t="shared" si="42"/>
        <v>5</v>
      </c>
      <c r="AI123" s="227">
        <f t="shared" si="43"/>
        <v>-3.7370814665478341E-2</v>
      </c>
      <c r="AJ123" s="267" t="b">
        <f t="shared" si="44"/>
        <v>1</v>
      </c>
      <c r="AK123" s="267" t="b">
        <f t="shared" si="45"/>
        <v>0</v>
      </c>
      <c r="AL123" s="267"/>
      <c r="AM123" s="267"/>
      <c r="AN123" s="267"/>
    </row>
    <row r="124" spans="1:40" s="6" customFormat="1" ht="11.25" x14ac:dyDescent="0.2">
      <c r="A124" s="56">
        <f t="shared" si="46"/>
        <v>44671</v>
      </c>
      <c r="B124" s="1141">
        <v>10.134</v>
      </c>
      <c r="C124" s="868"/>
      <c r="D124" s="395">
        <f t="shared" si="25"/>
        <v>10.459379322568026</v>
      </c>
      <c r="E124" s="387">
        <f t="shared" si="47"/>
        <v>11.855235377701909</v>
      </c>
      <c r="F124" s="387">
        <f t="shared" si="26"/>
        <v>11.855235377701909</v>
      </c>
      <c r="G124" s="110">
        <f t="shared" si="48"/>
        <v>0.20301532985221776</v>
      </c>
      <c r="H124" s="416" t="b">
        <f>Wh_hp&gt;='2021'!Maxi_hp</f>
        <v>0</v>
      </c>
      <c r="I124" s="382">
        <f>IF(H124,Wh_hp,'2021'!Maxi_hp)</f>
        <v>48.589941916916572</v>
      </c>
      <c r="J124" s="85">
        <f>IF(H124,An,'2021'!An_max)</f>
        <v>2019</v>
      </c>
      <c r="K124" s="199">
        <f t="shared" si="27"/>
        <v>44671</v>
      </c>
      <c r="L124" s="147">
        <f>IF(t&lt;Tvie,1-EXP((T0-t)*PertePVj)+'2021'!Pspv,1-EXP((T0-t)*PertePVj)+Pspv)</f>
        <v>3.1108855748826381E-2</v>
      </c>
      <c r="M124" s="872"/>
      <c r="N124" s="872"/>
      <c r="O124" s="48">
        <f>IF(t&lt;Tnet,'2021'!Resal+('2021'!Salim-'2021'!Resal)*(1-EXP(('2021'!Tnet-t)/('2021'!Tau_j))),Resal+(Salim-Resal)*(1-EXP((Tnet-t)/(Tau_j))))*Salcycl</f>
        <v>0.11774174115170244</v>
      </c>
      <c r="P124" s="341">
        <f>(INDEX(Models!$BJ124:$BT124,,T124)*(1-R124)+INDEX(Models!$BJ124:$BT124,,T124+1)*R124-ERP_i)*Q124*Ramure*Pc/MaxiM</f>
        <v>4.0562648194799695E-3</v>
      </c>
      <c r="Q124" s="307">
        <f t="shared" si="28"/>
        <v>0.9</v>
      </c>
      <c r="R124" s="179">
        <f t="shared" si="29"/>
        <v>0.96500013716721744</v>
      </c>
      <c r="S124" s="839">
        <f t="shared" si="30"/>
        <v>-1</v>
      </c>
      <c r="T124" s="178">
        <f t="shared" si="31"/>
        <v>5</v>
      </c>
      <c r="U124" s="253">
        <f t="shared" si="32"/>
        <v>-3.4999862832782613E-2</v>
      </c>
      <c r="V124" s="385">
        <f t="shared" si="33"/>
        <v>49.714934432125759</v>
      </c>
      <c r="W124" s="404">
        <f t="shared" si="34"/>
        <v>0</v>
      </c>
      <c r="X124" s="157">
        <f t="shared" si="35"/>
        <v>44671</v>
      </c>
      <c r="Y124" s="387">
        <f t="shared" si="36"/>
        <v>9.7004557767154136</v>
      </c>
      <c r="Z124" s="387">
        <f t="shared" si="37"/>
        <v>10.011914996098556</v>
      </c>
      <c r="AA124" s="388">
        <f t="shared" si="38"/>
        <v>11.855235377701909</v>
      </c>
      <c r="AB124" s="199">
        <f t="shared" si="39"/>
        <v>44671</v>
      </c>
      <c r="AC124" s="119">
        <f>IF(OR(t&lt;Tnet,NoTnet),'2021'!Resal_s+('2021'!Salim-'2021'!Resal_s)*(1-EXP(('2021'!Tnet_s-t)/'2021'!Tau_j)),Resal_s+(Salim-Resal_s)*(1-EXP((Tnet_s-t)/Tau_j)))*Salcycl</f>
        <v>0.15548576834420261</v>
      </c>
      <c r="AD124" s="233">
        <f>(INDEX(Models!$BJ124:$BT124,,AH124)*(1-AF124)+INDEX(Models!$BJ124:$BT124,,AH124+1)*AF124-ERP_i)*AE124*Ramure*Pc/MaxiM</f>
        <v>4.0562648194799695E-3</v>
      </c>
      <c r="AE124" s="307">
        <f t="shared" si="40"/>
        <v>0.9</v>
      </c>
      <c r="AF124" s="179">
        <f t="shared" si="41"/>
        <v>0.96500013716721744</v>
      </c>
      <c r="AG124" s="839">
        <f t="shared" si="49"/>
        <v>-1</v>
      </c>
      <c r="AH124" s="178">
        <f t="shared" si="42"/>
        <v>5</v>
      </c>
      <c r="AI124" s="227">
        <f t="shared" si="43"/>
        <v>-3.4999862832782613E-2</v>
      </c>
      <c r="AJ124" s="267" t="b">
        <f t="shared" si="44"/>
        <v>1</v>
      </c>
      <c r="AK124" s="267" t="b">
        <f t="shared" si="45"/>
        <v>0</v>
      </c>
      <c r="AL124" s="267"/>
      <c r="AM124" s="267"/>
      <c r="AN124" s="75"/>
    </row>
    <row r="125" spans="1:40" s="6" customFormat="1" ht="11.25" x14ac:dyDescent="0.2">
      <c r="A125" s="56">
        <f t="shared" si="46"/>
        <v>44672</v>
      </c>
      <c r="B125" s="1141">
        <v>9.67</v>
      </c>
      <c r="C125" s="868"/>
      <c r="D125" s="395">
        <f t="shared" si="25"/>
        <v>9.980713620556207</v>
      </c>
      <c r="E125" s="387">
        <f t="shared" si="47"/>
        <v>11.315373179058064</v>
      </c>
      <c r="F125" s="387">
        <f t="shared" si="26"/>
        <v>11.315373179058064</v>
      </c>
      <c r="G125" s="110">
        <f t="shared" si="48"/>
        <v>0.19278478981995922</v>
      </c>
      <c r="H125" s="416" t="b">
        <f>Wh_hp&gt;='2021'!Maxi_hp</f>
        <v>0</v>
      </c>
      <c r="I125" s="382">
        <f>IF(H125,Wh_hp,'2021'!Maxi_hp)</f>
        <v>55.308374448877338</v>
      </c>
      <c r="J125" s="85">
        <f>IF(H125,An,'2021'!An_max)</f>
        <v>2021</v>
      </c>
      <c r="K125" s="199">
        <f t="shared" si="27"/>
        <v>44672</v>
      </c>
      <c r="L125" s="147">
        <f>IF(t&lt;Tvie,1-EXP((T0-t)*PertePVj)+'2021'!Pspv,1-EXP((T0-t)*PertePVj)+Pspv)</f>
        <v>3.1131403261211998E-2</v>
      </c>
      <c r="M125" s="872"/>
      <c r="N125" s="872"/>
      <c r="O125" s="48">
        <f>IF(t&lt;Tnet,'2021'!Resal+('2021'!Salim-'2021'!Resal)*(1-EXP(('2021'!Tnet-t)/('2021'!Tau_j))),Resal+(Salim-Resal)*(1-EXP((Tnet-t)/(Tau_j))))*Salcycl</f>
        <v>0.11795099793721149</v>
      </c>
      <c r="P125" s="341">
        <f>(INDEX(Models!$BJ125:$BT125,,T125)*(1-R125)+INDEX(Models!$BJ125:$BT125,,T125+1)*R125-ERP_i)*Q125*Ramure*Pc/MaxiM</f>
        <v>3.8976345854192492E-3</v>
      </c>
      <c r="Q125" s="307">
        <f t="shared" si="28"/>
        <v>0.9</v>
      </c>
      <c r="R125" s="179">
        <f t="shared" si="29"/>
        <v>0.96744841750609756</v>
      </c>
      <c r="S125" s="839">
        <f t="shared" si="30"/>
        <v>-1</v>
      </c>
      <c r="T125" s="178">
        <f t="shared" si="31"/>
        <v>5</v>
      </c>
      <c r="U125" s="253">
        <f t="shared" si="32"/>
        <v>-3.2551582493902387E-2</v>
      </c>
      <c r="V125" s="385">
        <f t="shared" si="33"/>
        <v>49.964055165112164</v>
      </c>
      <c r="W125" s="404">
        <f t="shared" si="34"/>
        <v>0</v>
      </c>
      <c r="X125" s="157">
        <f t="shared" si="35"/>
        <v>44672</v>
      </c>
      <c r="Y125" s="387">
        <f t="shared" si="36"/>
        <v>9.2571233401219963</v>
      </c>
      <c r="Z125" s="387">
        <f t="shared" si="37"/>
        <v>9.5545705282238238</v>
      </c>
      <c r="AA125" s="388">
        <f t="shared" si="38"/>
        <v>11.315373179058064</v>
      </c>
      <c r="AB125" s="199">
        <f t="shared" si="39"/>
        <v>44672</v>
      </c>
      <c r="AC125" s="119">
        <f>IF(OR(t&lt;Tnet,NoTnet),'2021'!Resal_s+('2021'!Salim-'2021'!Resal_s)*(1-EXP(('2021'!Tnet_s-t)/'2021'!Tau_j)),Resal_s+(Salim-Resal_s)*(1-EXP((Tnet_s-t)/Tau_j)))*Salcycl</f>
        <v>0.15561154042122505</v>
      </c>
      <c r="AD125" s="233">
        <f>(INDEX(Models!$BJ125:$BT125,,AH125)*(1-AF125)+INDEX(Models!$BJ125:$BT125,,AH125+1)*AF125-ERP_i)*AE125*Ramure*Pc/MaxiM</f>
        <v>3.8976345854192492E-3</v>
      </c>
      <c r="AE125" s="307">
        <f t="shared" si="40"/>
        <v>0.9</v>
      </c>
      <c r="AF125" s="179">
        <f t="shared" si="41"/>
        <v>0.96744841750609756</v>
      </c>
      <c r="AG125" s="839">
        <f t="shared" si="49"/>
        <v>-1</v>
      </c>
      <c r="AH125" s="178">
        <f t="shared" si="42"/>
        <v>5</v>
      </c>
      <c r="AI125" s="227">
        <f t="shared" si="43"/>
        <v>-3.2551582493902387E-2</v>
      </c>
      <c r="AJ125" s="267" t="b">
        <f t="shared" si="44"/>
        <v>1</v>
      </c>
      <c r="AK125" s="267" t="b">
        <f t="shared" si="45"/>
        <v>0</v>
      </c>
      <c r="AL125" s="267"/>
      <c r="AM125" s="267"/>
      <c r="AN125" s="75"/>
    </row>
    <row r="126" spans="1:40" s="6" customFormat="1" ht="11.25" x14ac:dyDescent="0.2">
      <c r="A126" s="56">
        <f t="shared" si="46"/>
        <v>44673</v>
      </c>
      <c r="B126" s="1141">
        <v>29.245000000000001</v>
      </c>
      <c r="C126" s="868"/>
      <c r="D126" s="395">
        <f t="shared" si="25"/>
        <v>30.185394271373312</v>
      </c>
      <c r="E126" s="387">
        <f t="shared" si="47"/>
        <v>34.230102490071772</v>
      </c>
      <c r="F126" s="387">
        <f t="shared" si="26"/>
        <v>34.281805759888634</v>
      </c>
      <c r="G126" s="110">
        <f t="shared" si="48"/>
        <v>0.5811856360245623</v>
      </c>
      <c r="H126" s="416" t="b">
        <f>Wh_hp&gt;='2021'!Maxi_hp</f>
        <v>0</v>
      </c>
      <c r="I126" s="382">
        <f>IF(H126,Wh_hp,'2021'!Maxi_hp)</f>
        <v>59.256250971912621</v>
      </c>
      <c r="J126" s="85">
        <f>IF(H126,An,'2021'!An_max)</f>
        <v>2021</v>
      </c>
      <c r="K126" s="199">
        <f t="shared" si="27"/>
        <v>44673</v>
      </c>
      <c r="L126" s="147">
        <f>IF(t&lt;Tvie,1-EXP((T0-t)*PertePVj)+'2021'!Pspv,1-EXP((T0-t)*PertePVj)+Pspv)</f>
        <v>3.115395024888401E-2</v>
      </c>
      <c r="M126" s="872"/>
      <c r="N126" s="872"/>
      <c r="O126" s="48">
        <f>IF(t&lt;Tnet,'2021'!Resal+('2021'!Salim-'2021'!Resal)*(1-EXP(('2021'!Tnet-t)/('2021'!Tau_j))),Resal+(Salim-Resal)*(1-EXP((Tnet-t)/(Tau_j))))*Salcycl</f>
        <v>0.11816231692182638</v>
      </c>
      <c r="P126" s="341">
        <f>(INDEX(Models!$BJ126:$BT126,,T126)*(1-R126)+INDEX(Models!$BJ126:$BT126,,T126+1)*R126-ERP_i)*Q126*Ramure*Pc/MaxiM</f>
        <v>3.7372780498155598E-3</v>
      </c>
      <c r="Q126" s="307">
        <f t="shared" si="28"/>
        <v>0.9</v>
      </c>
      <c r="R126" s="179">
        <f t="shared" si="29"/>
        <v>0.96997570235110464</v>
      </c>
      <c r="S126" s="839">
        <f t="shared" si="30"/>
        <v>-1</v>
      </c>
      <c r="T126" s="178">
        <f t="shared" si="31"/>
        <v>5</v>
      </c>
      <c r="U126" s="253">
        <f t="shared" si="32"/>
        <v>-3.0024297648895387E-2</v>
      </c>
      <c r="V126" s="385">
        <f t="shared" si="33"/>
        <v>50.207214129292424</v>
      </c>
      <c r="W126" s="404">
        <f t="shared" si="34"/>
        <v>0</v>
      </c>
      <c r="X126" s="157">
        <f t="shared" si="35"/>
        <v>44673</v>
      </c>
      <c r="Y126" s="387">
        <f t="shared" si="36"/>
        <v>27.998775593349166</v>
      </c>
      <c r="Z126" s="387">
        <f t="shared" si="37"/>
        <v>28.899096611419004</v>
      </c>
      <c r="AA126" s="388">
        <f t="shared" si="38"/>
        <v>34.230102490071772</v>
      </c>
      <c r="AB126" s="199">
        <f t="shared" si="39"/>
        <v>44673</v>
      </c>
      <c r="AC126" s="119">
        <f>IF(OR(t&lt;Tnet,NoTnet),'2021'!Resal_s+('2021'!Salim-'2021'!Resal_s)*(1-EXP(('2021'!Tnet_s-t)/'2021'!Tau_j)),Resal_s+(Salim-Resal_s)*(1-EXP((Tnet_s-t)/Tau_j)))*Salcycl</f>
        <v>0.15574028386853334</v>
      </c>
      <c r="AD126" s="233">
        <f>(INDEX(Models!$BJ126:$BT126,,AH126)*(1-AF126)+INDEX(Models!$BJ126:$BT126,,AH126+1)*AF126-ERP_i)*AE126*Ramure*Pc/MaxiM</f>
        <v>3.7372780498155598E-3</v>
      </c>
      <c r="AE126" s="307">
        <f t="shared" si="40"/>
        <v>0.9</v>
      </c>
      <c r="AF126" s="179">
        <f t="shared" si="41"/>
        <v>0.96997570235110464</v>
      </c>
      <c r="AG126" s="839">
        <f t="shared" si="49"/>
        <v>-1</v>
      </c>
      <c r="AH126" s="178">
        <f t="shared" si="42"/>
        <v>5</v>
      </c>
      <c r="AI126" s="227">
        <f t="shared" si="43"/>
        <v>-3.0024297648895387E-2</v>
      </c>
      <c r="AJ126" s="267" t="b">
        <f t="shared" si="44"/>
        <v>1</v>
      </c>
      <c r="AK126" s="267" t="b">
        <f t="shared" si="45"/>
        <v>0</v>
      </c>
      <c r="AL126" s="267"/>
      <c r="AM126" s="267"/>
      <c r="AN126" s="75"/>
    </row>
    <row r="127" spans="1:40" s="6" customFormat="1" ht="11.25" x14ac:dyDescent="0.2">
      <c r="A127" s="56">
        <f t="shared" si="46"/>
        <v>44674</v>
      </c>
      <c r="B127" s="1141">
        <v>8.4589999999999996</v>
      </c>
      <c r="C127" s="868"/>
      <c r="D127" s="395">
        <f t="shared" si="25"/>
        <v>8.731208492868431</v>
      </c>
      <c r="E127" s="387">
        <f t="shared" si="47"/>
        <v>9.903548081330209</v>
      </c>
      <c r="F127" s="387">
        <f t="shared" si="26"/>
        <v>9.903548081330209</v>
      </c>
      <c r="G127" s="110">
        <f t="shared" si="48"/>
        <v>0.16709096077394778</v>
      </c>
      <c r="H127" s="416" t="b">
        <f>Wh_hp&gt;='2021'!Maxi_hp</f>
        <v>0</v>
      </c>
      <c r="I127" s="382">
        <f>IF(H127,Wh_hp,'2021'!Maxi_hp)</f>
        <v>58.448809737185101</v>
      </c>
      <c r="J127" s="85">
        <f>IF(H127,An,'2021'!An_max)</f>
        <v>2021</v>
      </c>
      <c r="K127" s="199">
        <f t="shared" si="27"/>
        <v>44674</v>
      </c>
      <c r="L127" s="147">
        <f>IF(t&lt;Tvie,1-EXP((T0-t)*PertePVj)+'2021'!Pspv,1-EXP((T0-t)*PertePVj)+Pspv)</f>
        <v>3.117649671185474E-2</v>
      </c>
      <c r="M127" s="872"/>
      <c r="N127" s="872"/>
      <c r="O127" s="48">
        <f>IF(t&lt;Tnet,'2021'!Resal+('2021'!Salim-'2021'!Resal)*(1-EXP(('2021'!Tnet-t)/('2021'!Tau_j))),Resal+(Salim-Resal)*(1-EXP((Tnet-t)/(Tau_j))))*Salcycl</f>
        <v>0.11837571533295503</v>
      </c>
      <c r="P127" s="341">
        <f>(INDEX(Models!$BJ127:$BT127,,T127)*(1-R127)+INDEX(Models!$BJ127:$BT127,,T127+1)*R127-ERP_i)*Q127*Ramure*Pc/MaxiM</f>
        <v>3.57516050818471E-3</v>
      </c>
      <c r="Q127" s="307">
        <f t="shared" si="28"/>
        <v>0.9</v>
      </c>
      <c r="R127" s="179">
        <f t="shared" si="29"/>
        <v>0.97258363988914853</v>
      </c>
      <c r="S127" s="839">
        <f t="shared" si="30"/>
        <v>-1</v>
      </c>
      <c r="T127" s="178">
        <f t="shared" si="31"/>
        <v>5</v>
      </c>
      <c r="U127" s="253">
        <f t="shared" si="32"/>
        <v>-2.7416360110851454E-2</v>
      </c>
      <c r="V127" s="385">
        <f t="shared" si="33"/>
        <v>50.444127427481085</v>
      </c>
      <c r="W127" s="404">
        <f t="shared" si="34"/>
        <v>0</v>
      </c>
      <c r="X127" s="157">
        <f t="shared" si="35"/>
        <v>44674</v>
      </c>
      <c r="Y127" s="387">
        <f t="shared" si="36"/>
        <v>8.0992309008808263</v>
      </c>
      <c r="Z127" s="387">
        <f t="shared" si="37"/>
        <v>8.3598621146084771</v>
      </c>
      <c r="AA127" s="388">
        <f t="shared" si="38"/>
        <v>9.903548081330209</v>
      </c>
      <c r="AB127" s="199">
        <f t="shared" si="39"/>
        <v>44674</v>
      </c>
      <c r="AC127" s="119">
        <f>IF(OR(t&lt;Tnet,NoTnet),'2021'!Resal_s+('2021'!Salim-'2021'!Resal_s)*(1-EXP(('2021'!Tnet_s-t)/'2021'!Tau_j)),Resal_s+(Salim-Resal_s)*(1-EXP((Tnet_s-t)/Tau_j)))*Salcycl</f>
        <v>0.15587201213591614</v>
      </c>
      <c r="AD127" s="233">
        <f>(INDEX(Models!$BJ127:$BT127,,AH127)*(1-AF127)+INDEX(Models!$BJ127:$BT127,,AH127+1)*AF127-ERP_i)*AE127*Ramure*Pc/MaxiM</f>
        <v>3.57516050818471E-3</v>
      </c>
      <c r="AE127" s="307">
        <f t="shared" si="40"/>
        <v>0.9</v>
      </c>
      <c r="AF127" s="179">
        <f t="shared" si="41"/>
        <v>0.97258363988914853</v>
      </c>
      <c r="AG127" s="839">
        <f t="shared" si="49"/>
        <v>-1</v>
      </c>
      <c r="AH127" s="178">
        <f t="shared" si="42"/>
        <v>5</v>
      </c>
      <c r="AI127" s="227">
        <f t="shared" si="43"/>
        <v>-2.7416360110851454E-2</v>
      </c>
      <c r="AJ127" s="267" t="b">
        <f t="shared" si="44"/>
        <v>1</v>
      </c>
      <c r="AK127" s="267" t="b">
        <f t="shared" si="45"/>
        <v>0</v>
      </c>
      <c r="AL127" s="267"/>
      <c r="AM127" s="267"/>
      <c r="AN127" s="75"/>
    </row>
    <row r="128" spans="1:40" s="6" customFormat="1" ht="11.25" x14ac:dyDescent="0.2">
      <c r="A128" s="56">
        <f t="shared" si="46"/>
        <v>44675</v>
      </c>
      <c r="B128" s="1141">
        <v>36.160000000000004</v>
      </c>
      <c r="C128" s="868"/>
      <c r="D128" s="395">
        <f t="shared" si="25"/>
        <v>37.324488302442418</v>
      </c>
      <c r="E128" s="387">
        <f t="shared" si="47"/>
        <v>42.34639883967575</v>
      </c>
      <c r="F128" s="387">
        <f t="shared" si="26"/>
        <v>42.431964994260774</v>
      </c>
      <c r="G128" s="110">
        <f t="shared" si="48"/>
        <v>0.71257649526591449</v>
      </c>
      <c r="H128" s="416" t="b">
        <f>Wh_hp&gt;='2021'!Maxi_hp</f>
        <v>0</v>
      </c>
      <c r="I128" s="382">
        <f>IF(H128,Wh_hp,'2021'!Maxi_hp)</f>
        <v>54.689071133466982</v>
      </c>
      <c r="J128" s="85">
        <f>IF(H128,An,'2021'!An_max)</f>
        <v>2021</v>
      </c>
      <c r="K128" s="199">
        <f t="shared" si="27"/>
        <v>44675</v>
      </c>
      <c r="L128" s="147">
        <f>IF(t&lt;Tvie,1-EXP((T0-t)*PertePVj)+'2021'!Pspv,1-EXP((T0-t)*PertePVj)+Pspv)</f>
        <v>3.1199042650136288E-2</v>
      </c>
      <c r="M128" s="872"/>
      <c r="N128" s="872"/>
      <c r="O128" s="48">
        <f>IF(t&lt;Tnet,'2021'!Resal+('2021'!Salim-'2021'!Resal)*(1-EXP(('2021'!Tnet-t)/('2021'!Tau_j))),Resal+(Salim-Resal)*(1-EXP((Tnet-t)/(Tau_j))))*Salcycl</f>
        <v>0.11859120668669798</v>
      </c>
      <c r="P128" s="341">
        <f>(INDEX(Models!$BJ128:$BT128,,T128)*(1-R128)+INDEX(Models!$BJ128:$BT128,,T128+1)*R128-ERP_i)*Q128*Ramure*Pc/MaxiM</f>
        <v>3.413127847759006E-3</v>
      </c>
      <c r="Q128" s="307">
        <f t="shared" si="28"/>
        <v>0.9</v>
      </c>
      <c r="R128" s="179">
        <f t="shared" si="29"/>
        <v>0.97527384463414091</v>
      </c>
      <c r="S128" s="839">
        <f t="shared" si="30"/>
        <v>-1</v>
      </c>
      <c r="T128" s="178">
        <f t="shared" si="31"/>
        <v>5</v>
      </c>
      <c r="U128" s="253">
        <f t="shared" si="32"/>
        <v>-2.4726155365859148E-2</v>
      </c>
      <c r="V128" s="385">
        <f t="shared" si="33"/>
        <v>50.674415900655056</v>
      </c>
      <c r="W128" s="404">
        <f t="shared" si="34"/>
        <v>0</v>
      </c>
      <c r="X128" s="157">
        <f t="shared" si="35"/>
        <v>44675</v>
      </c>
      <c r="Y128" s="387">
        <f t="shared" si="36"/>
        <v>34.62501932970536</v>
      </c>
      <c r="Z128" s="387">
        <f t="shared" si="37"/>
        <v>35.740075468568314</v>
      </c>
      <c r="AA128" s="388">
        <f t="shared" si="38"/>
        <v>42.34639883967575</v>
      </c>
      <c r="AB128" s="199">
        <f t="shared" si="39"/>
        <v>44675</v>
      </c>
      <c r="AC128" s="119">
        <f>IF(OR(t&lt;Tnet,NoTnet),'2021'!Resal_s+('2021'!Salim-'2021'!Resal_s)*(1-EXP(('2021'!Tnet_s-t)/'2021'!Tau_j)),Resal_s+(Salim-Resal_s)*(1-EXP((Tnet_s-t)/Tau_j)))*Salcycl</f>
        <v>0.15600673379852434</v>
      </c>
      <c r="AD128" s="233">
        <f>(INDEX(Models!$BJ128:$BT128,,AH128)*(1-AF128)+INDEX(Models!$BJ128:$BT128,,AH128+1)*AF128-ERP_i)*AE128*Ramure*Pc/MaxiM</f>
        <v>3.413127847759006E-3</v>
      </c>
      <c r="AE128" s="307">
        <f t="shared" si="40"/>
        <v>0.9</v>
      </c>
      <c r="AF128" s="179">
        <f t="shared" si="41"/>
        <v>0.97527384463414091</v>
      </c>
      <c r="AG128" s="839">
        <f t="shared" si="49"/>
        <v>-1</v>
      </c>
      <c r="AH128" s="178">
        <f t="shared" si="42"/>
        <v>5</v>
      </c>
      <c r="AI128" s="227">
        <f t="shared" si="43"/>
        <v>-2.4726155365859148E-2</v>
      </c>
      <c r="AJ128" s="267" t="b">
        <f t="shared" si="44"/>
        <v>1</v>
      </c>
      <c r="AK128" s="267" t="b">
        <f t="shared" si="45"/>
        <v>0</v>
      </c>
      <c r="AL128" s="267"/>
      <c r="AM128" s="267"/>
      <c r="AN128" s="75"/>
    </row>
    <row r="129" spans="1:40" s="6" customFormat="1" ht="11.25" x14ac:dyDescent="0.2">
      <c r="A129" s="56">
        <f t="shared" si="46"/>
        <v>44676</v>
      </c>
      <c r="B129" s="1141">
        <v>45.116</v>
      </c>
      <c r="C129" s="868"/>
      <c r="D129" s="395">
        <f t="shared" si="25"/>
        <v>46.569989013099949</v>
      </c>
      <c r="E129" s="387">
        <f t="shared" si="47"/>
        <v>52.848903899398955</v>
      </c>
      <c r="F129" s="387">
        <f t="shared" si="26"/>
        <v>52.993340080423359</v>
      </c>
      <c r="G129" s="110">
        <f t="shared" si="48"/>
        <v>0.88593665861179605</v>
      </c>
      <c r="H129" s="416" t="b">
        <f>Wh_hp&gt;='2021'!Maxi_hp</f>
        <v>0</v>
      </c>
      <c r="I129" s="382">
        <f>IF(H129,Wh_hp,'2021'!Maxi_hp)</f>
        <v>56.298016159754951</v>
      </c>
      <c r="J129" s="85">
        <f>IF(H129,An,'2021'!An_max)</f>
        <v>2020</v>
      </c>
      <c r="K129" s="199">
        <f t="shared" si="27"/>
        <v>44676</v>
      </c>
      <c r="L129" s="147">
        <f>IF(t&lt;Tvie,1-EXP((T0-t)*PertePVj)+'2021'!Pspv,1-EXP((T0-t)*PertePVj)+Pspv)</f>
        <v>3.1221588063740979E-2</v>
      </c>
      <c r="M129" s="872"/>
      <c r="N129" s="872"/>
      <c r="O129" s="48">
        <f>IF(t&lt;Tnet,'2021'!Resal+('2021'!Salim-'2021'!Resal)*(1-EXP(('2021'!Tnet-t)/('2021'!Tau_j))),Resal+(Salim-Resal)*(1-EXP((Tnet-t)/(Tau_j))))*Salcycl</f>
        <v>0.11880880061867111</v>
      </c>
      <c r="P129" s="341">
        <f>(INDEX(Models!$BJ129:$BT129,,T129)*(1-R129)+INDEX(Models!$BJ129:$BT129,,T129+1)*R129-ERP_i)*Q129*Ramure*Pc/MaxiM</f>
        <v>3.253526778329666E-3</v>
      </c>
      <c r="Q129" s="307">
        <f t="shared" si="28"/>
        <v>0.9</v>
      </c>
      <c r="R129" s="179">
        <f t="shared" si="29"/>
        <v>0.97804789125762848</v>
      </c>
      <c r="S129" s="839">
        <f t="shared" si="30"/>
        <v>-1</v>
      </c>
      <c r="T129" s="178">
        <f t="shared" si="31"/>
        <v>5</v>
      </c>
      <c r="U129" s="253">
        <f t="shared" si="32"/>
        <v>-2.1952108742371523E-2</v>
      </c>
      <c r="V129" s="385">
        <f t="shared" si="33"/>
        <v>50.897673571671305</v>
      </c>
      <c r="W129" s="404">
        <f t="shared" si="34"/>
        <v>0</v>
      </c>
      <c r="X129" s="157">
        <f t="shared" si="35"/>
        <v>44676</v>
      </c>
      <c r="Y129" s="387">
        <f t="shared" si="36"/>
        <v>43.204456551719375</v>
      </c>
      <c r="Z129" s="387">
        <f t="shared" si="37"/>
        <v>44.59684074232036</v>
      </c>
      <c r="AA129" s="388">
        <f t="shared" si="38"/>
        <v>52.848903899398955</v>
      </c>
      <c r="AB129" s="199">
        <f t="shared" si="39"/>
        <v>44676</v>
      </c>
      <c r="AC129" s="119">
        <f>IF(OR(t&lt;Tnet,NoTnet),'2021'!Resal_s+('2021'!Salim-'2021'!Resal_s)*(1-EXP(('2021'!Tnet_s-t)/'2021'!Tau_j)),Resal_s+(Salim-Resal_s)*(1-EXP((Tnet_s-t)/Tau_j)))*Salcycl</f>
        <v>0.15614445235774221</v>
      </c>
      <c r="AD129" s="233">
        <f>(INDEX(Models!$BJ129:$BT129,,AH129)*(1-AF129)+INDEX(Models!$BJ129:$BT129,,AH129+1)*AF129-ERP_i)*AE129*Ramure*Pc/MaxiM</f>
        <v>3.253526778329666E-3</v>
      </c>
      <c r="AE129" s="307">
        <f t="shared" si="40"/>
        <v>0.9</v>
      </c>
      <c r="AF129" s="179">
        <f t="shared" si="41"/>
        <v>0.97804789125762848</v>
      </c>
      <c r="AG129" s="839">
        <f t="shared" si="49"/>
        <v>-1</v>
      </c>
      <c r="AH129" s="178">
        <f t="shared" si="42"/>
        <v>5</v>
      </c>
      <c r="AI129" s="227">
        <f t="shared" si="43"/>
        <v>-2.1952108742371523E-2</v>
      </c>
      <c r="AJ129" s="267" t="b">
        <f t="shared" si="44"/>
        <v>1</v>
      </c>
      <c r="AK129" s="267" t="b">
        <f t="shared" si="45"/>
        <v>0</v>
      </c>
      <c r="AL129" s="267"/>
      <c r="AM129" s="267"/>
      <c r="AN129" s="75"/>
    </row>
    <row r="130" spans="1:40" s="6" customFormat="1" ht="11.25" x14ac:dyDescent="0.2">
      <c r="A130" s="56">
        <f t="shared" si="46"/>
        <v>44677</v>
      </c>
      <c r="B130" s="1141">
        <v>50.033999999999999</v>
      </c>
      <c r="C130" s="868"/>
      <c r="D130" s="395">
        <f t="shared" si="25"/>
        <v>51.647687205755091</v>
      </c>
      <c r="E130" s="387">
        <f t="shared" si="47"/>
        <v>58.625832237186295</v>
      </c>
      <c r="F130" s="387">
        <f t="shared" si="26"/>
        <v>58.802406404772384</v>
      </c>
      <c r="G130" s="110">
        <f t="shared" si="48"/>
        <v>0.97878634707214096</v>
      </c>
      <c r="H130" s="416" t="b">
        <f>Wh_hp&gt;='2021'!Maxi_hp</f>
        <v>1</v>
      </c>
      <c r="I130" s="382">
        <f>IF(H130,Wh_hp,'2021'!Maxi_hp)</f>
        <v>58.802406404772384</v>
      </c>
      <c r="J130" s="85">
        <f>IF(H130,An,'2021'!An_max)</f>
        <v>2022</v>
      </c>
      <c r="K130" s="199">
        <f t="shared" si="27"/>
        <v>44677</v>
      </c>
      <c r="L130" s="147">
        <f>IF(t&lt;Tvie,1-EXP((T0-t)*PertePVj)+'2021'!Pspv,1-EXP((T0-t)*PertePVj)+Pspv)</f>
        <v>3.1244132952680914E-2</v>
      </c>
      <c r="M130" s="872"/>
      <c r="N130" s="872"/>
      <c r="O130" s="48">
        <f>IF(t&lt;Tnet,'2021'!Resal+('2021'!Salim-'2021'!Resal)*(1-EXP(('2021'!Tnet-t)/('2021'!Tau_j))),Resal+(Salim-Resal)*(1-EXP((Tnet-t)/(Tau_j))))*Salcycl</f>
        <v>0.11902850271189794</v>
      </c>
      <c r="P130" s="341">
        <f>(INDEX(Models!$BJ130:$BT130,,T130)*(1-R130)+INDEX(Models!$BJ130:$BT130,,T130+1)*R130-ERP_i)*Q130*Ramure*Pc/MaxiM</f>
        <v>3.0962664316459753E-3</v>
      </c>
      <c r="Q130" s="307">
        <f t="shared" si="28"/>
        <v>0.9</v>
      </c>
      <c r="R130" s="179">
        <f t="shared" si="29"/>
        <v>0.98090730811625493</v>
      </c>
      <c r="S130" s="839">
        <f t="shared" si="30"/>
        <v>-1</v>
      </c>
      <c r="T130" s="178">
        <f t="shared" si="31"/>
        <v>5</v>
      </c>
      <c r="U130" s="253">
        <f t="shared" si="32"/>
        <v>-1.909269188374503E-2</v>
      </c>
      <c r="V130" s="385">
        <f t="shared" si="33"/>
        <v>51.11361793047341</v>
      </c>
      <c r="W130" s="404">
        <f t="shared" si="34"/>
        <v>0</v>
      </c>
      <c r="X130" s="157">
        <f t="shared" si="35"/>
        <v>44677</v>
      </c>
      <c r="Y130" s="387">
        <f t="shared" si="36"/>
        <v>47.918040631675161</v>
      </c>
      <c r="Z130" s="387">
        <f t="shared" si="37"/>
        <v>49.463484311816401</v>
      </c>
      <c r="AA130" s="388">
        <f t="shared" si="38"/>
        <v>58.625832237186295</v>
      </c>
      <c r="AB130" s="199">
        <f t="shared" si="39"/>
        <v>44677</v>
      </c>
      <c r="AC130" s="119">
        <f>IF(OR(t&lt;Tnet,NoTnet),'2021'!Resal_s+('2021'!Salim-'2021'!Resal_s)*(1-EXP(('2021'!Tnet_s-t)/'2021'!Tau_j)),Resal_s+(Salim-Resal_s)*(1-EXP((Tnet_s-t)/Tau_j)))*Salcycl</f>
        <v>0.15628516603911374</v>
      </c>
      <c r="AD130" s="233">
        <f>(INDEX(Models!$BJ130:$BT130,,AH130)*(1-AF130)+INDEX(Models!$BJ130:$BT130,,AH130+1)*AF130-ERP_i)*AE130*Ramure*Pc/MaxiM</f>
        <v>3.0962664316459753E-3</v>
      </c>
      <c r="AE130" s="307">
        <f t="shared" si="40"/>
        <v>0.9</v>
      </c>
      <c r="AF130" s="179">
        <f t="shared" si="41"/>
        <v>0.98090730811625493</v>
      </c>
      <c r="AG130" s="839">
        <f t="shared" si="49"/>
        <v>-1</v>
      </c>
      <c r="AH130" s="178">
        <f t="shared" si="42"/>
        <v>5</v>
      </c>
      <c r="AI130" s="227">
        <f t="shared" si="43"/>
        <v>-1.909269188374503E-2</v>
      </c>
      <c r="AJ130" s="267" t="b">
        <f t="shared" si="44"/>
        <v>1</v>
      </c>
      <c r="AK130" s="267" t="b">
        <f t="shared" si="45"/>
        <v>0</v>
      </c>
      <c r="AL130" s="267"/>
      <c r="AM130" s="267"/>
      <c r="AN130" s="75"/>
    </row>
    <row r="131" spans="1:40" s="6" customFormat="1" ht="11.25" x14ac:dyDescent="0.2">
      <c r="A131" s="56">
        <f t="shared" si="46"/>
        <v>44678</v>
      </c>
      <c r="B131" s="1141">
        <v>35.692</v>
      </c>
      <c r="C131" s="868"/>
      <c r="D131" s="395">
        <f t="shared" si="25"/>
        <v>36.843989118848938</v>
      </c>
      <c r="E131" s="387">
        <f t="shared" si="47"/>
        <v>41.832531669334394</v>
      </c>
      <c r="F131" s="387">
        <f t="shared" si="26"/>
        <v>41.902156737922802</v>
      </c>
      <c r="G131" s="110">
        <f t="shared" si="48"/>
        <v>0.69456127422728853</v>
      </c>
      <c r="H131" s="416" t="b">
        <f>Wh_hp&gt;='2021'!Maxi_hp</f>
        <v>1</v>
      </c>
      <c r="I131" s="382">
        <f>IF(H131,Wh_hp,'2021'!Maxi_hp)</f>
        <v>41.902156737922802</v>
      </c>
      <c r="J131" s="85">
        <f>IF(H131,An,'2021'!An_max)</f>
        <v>2022</v>
      </c>
      <c r="K131" s="199">
        <f t="shared" si="27"/>
        <v>44678</v>
      </c>
      <c r="L131" s="147">
        <f>IF(t&lt;Tvie,1-EXP((T0-t)*PertePVj)+'2021'!Pspv,1-EXP((T0-t)*PertePVj)+Pspv)</f>
        <v>3.1266677316968305E-2</v>
      </c>
      <c r="M131" s="872"/>
      <c r="N131" s="872"/>
      <c r="O131" s="48">
        <f>IF(t&lt;Tnet,'2021'!Resal+('2021'!Salim-'2021'!Resal)*(1-EXP(('2021'!Tnet-t)/('2021'!Tau_j))),Resal+(Salim-Resal)*(1-EXP((Tnet-t)/(Tau_j))))*Salcycl</f>
        <v>0.11925031432277239</v>
      </c>
      <c r="P131" s="341">
        <f>(INDEX(Models!$BJ131:$BT131,,T131)*(1-R131)+INDEX(Models!$BJ131:$BT131,,T131+1)*R131-ERP_i)*Q131*Ramure*Pc/MaxiM</f>
        <v>2.9412556005576494E-3</v>
      </c>
      <c r="Q131" s="307">
        <f t="shared" si="28"/>
        <v>0.9</v>
      </c>
      <c r="R131" s="179">
        <f t="shared" si="29"/>
        <v>0.98385357048507316</v>
      </c>
      <c r="S131" s="839">
        <f t="shared" si="30"/>
        <v>-1</v>
      </c>
      <c r="T131" s="178">
        <f t="shared" si="31"/>
        <v>5</v>
      </c>
      <c r="U131" s="253">
        <f t="shared" si="32"/>
        <v>-1.6146429514926841E-2</v>
      </c>
      <c r="V131" s="385">
        <f t="shared" si="33"/>
        <v>51.321967142164354</v>
      </c>
      <c r="W131" s="404">
        <f t="shared" si="34"/>
        <v>0</v>
      </c>
      <c r="X131" s="157">
        <f t="shared" si="35"/>
        <v>44678</v>
      </c>
      <c r="Y131" s="387">
        <f t="shared" si="36"/>
        <v>34.185355212332418</v>
      </c>
      <c r="Z131" s="387">
        <f t="shared" si="37"/>
        <v>35.28871611193437</v>
      </c>
      <c r="AA131" s="388">
        <f t="shared" si="38"/>
        <v>41.832531669334394</v>
      </c>
      <c r="AB131" s="199">
        <f t="shared" si="39"/>
        <v>44678</v>
      </c>
      <c r="AC131" s="119">
        <f>IF(OR(t&lt;Tnet,NoTnet),'2021'!Resal_s+('2021'!Salim-'2021'!Resal_s)*(1-EXP(('2021'!Tnet_s-t)/'2021'!Tau_j)),Resal_s+(Salim-Resal_s)*(1-EXP((Tnet_s-t)/Tau_j)))*Salcycl</f>
        <v>0.15642886758864288</v>
      </c>
      <c r="AD131" s="233">
        <f>(INDEX(Models!$BJ131:$BT131,,AH131)*(1-AF131)+INDEX(Models!$BJ131:$BT131,,AH131+1)*AF131-ERP_i)*AE131*Ramure*Pc/MaxiM</f>
        <v>2.9412556005576494E-3</v>
      </c>
      <c r="AE131" s="307">
        <f t="shared" si="40"/>
        <v>0.9</v>
      </c>
      <c r="AF131" s="179">
        <f t="shared" si="41"/>
        <v>0.98385357048507316</v>
      </c>
      <c r="AG131" s="839">
        <f t="shared" si="49"/>
        <v>-1</v>
      </c>
      <c r="AH131" s="178">
        <f t="shared" si="42"/>
        <v>5</v>
      </c>
      <c r="AI131" s="227">
        <f t="shared" si="43"/>
        <v>-1.6146429514926841E-2</v>
      </c>
      <c r="AJ131" s="267" t="b">
        <f t="shared" si="44"/>
        <v>1</v>
      </c>
      <c r="AK131" s="267" t="b">
        <f t="shared" si="45"/>
        <v>0</v>
      </c>
      <c r="AL131" s="267"/>
      <c r="AM131" s="267"/>
      <c r="AN131" s="75"/>
    </row>
    <row r="132" spans="1:40" s="6" customFormat="1" ht="11.25" x14ac:dyDescent="0.2">
      <c r="A132" s="56">
        <f t="shared" si="46"/>
        <v>44679</v>
      </c>
      <c r="B132" s="1141">
        <v>21.865000000000002</v>
      </c>
      <c r="C132" s="868"/>
      <c r="D132" s="395">
        <f t="shared" si="25"/>
        <v>22.571236407740031</v>
      </c>
      <c r="E132" s="387">
        <f t="shared" si="47"/>
        <v>25.633817019826239</v>
      </c>
      <c r="F132" s="387">
        <f t="shared" si="26"/>
        <v>25.646523644756794</v>
      </c>
      <c r="G132" s="110">
        <f t="shared" si="48"/>
        <v>0.42340463217122432</v>
      </c>
      <c r="H132" s="416" t="b">
        <f>Wh_hp&gt;='2021'!Maxi_hp</f>
        <v>0</v>
      </c>
      <c r="I132" s="382">
        <f>IF(H132,Wh_hp,'2021'!Maxi_hp)</f>
        <v>48.054004151723234</v>
      </c>
      <c r="J132" s="85">
        <f>IF(H132,An,'2021'!An_max)</f>
        <v>2019</v>
      </c>
      <c r="K132" s="199">
        <f t="shared" si="27"/>
        <v>44679</v>
      </c>
      <c r="L132" s="147">
        <f>IF(t&lt;Tvie,1-EXP((T0-t)*PertePVj)+'2021'!Pspv,1-EXP((T0-t)*PertePVj)+Pspv)</f>
        <v>3.1289221156615477E-2</v>
      </c>
      <c r="M132" s="872"/>
      <c r="N132" s="872"/>
      <c r="O132" s="48">
        <f>IF(t&lt;Tnet,'2021'!Resal+('2021'!Salim-'2021'!Resal)*(1-EXP(('2021'!Tnet-t)/('2021'!Tau_j))),Resal+(Salim-Resal)*(1-EXP((Tnet-t)/(Tau_j))))*Salcycl</f>
        <v>0.1194742324062579</v>
      </c>
      <c r="P132" s="341">
        <f>(INDEX(Models!$BJ132:$BT132,,T132)*(1-R132)+INDEX(Models!$BJ132:$BT132,,T132+1)*R132-ERP_i)*Q132*Ramure*Pc/MaxiM</f>
        <v>2.7884027558233563E-3</v>
      </c>
      <c r="Q132" s="307">
        <f t="shared" si="28"/>
        <v>0.9</v>
      </c>
      <c r="R132" s="179">
        <f t="shared" si="29"/>
        <v>0.98688809350876205</v>
      </c>
      <c r="S132" s="839">
        <f t="shared" si="30"/>
        <v>-1</v>
      </c>
      <c r="T132" s="178">
        <f t="shared" si="31"/>
        <v>5</v>
      </c>
      <c r="U132" s="253">
        <f t="shared" si="32"/>
        <v>-1.3111906491237987E-2</v>
      </c>
      <c r="V132" s="385">
        <f t="shared" si="33"/>
        <v>51.522440061300983</v>
      </c>
      <c r="W132" s="404">
        <f t="shared" si="34"/>
        <v>0</v>
      </c>
      <c r="X132" s="157">
        <f t="shared" si="35"/>
        <v>44679</v>
      </c>
      <c r="Y132" s="387">
        <f t="shared" si="36"/>
        <v>20.943709324177252</v>
      </c>
      <c r="Z132" s="387">
        <f t="shared" si="37"/>
        <v>21.620188173381838</v>
      </c>
      <c r="AA132" s="388">
        <f t="shared" si="38"/>
        <v>25.633817019826239</v>
      </c>
      <c r="AB132" s="199">
        <f t="shared" si="39"/>
        <v>44679</v>
      </c>
      <c r="AC132" s="119">
        <f>IF(OR(t&lt;Tnet,NoTnet),'2021'!Resal_s+('2021'!Salim-'2021'!Resal_s)*(1-EXP(('2021'!Tnet_s-t)/'2021'!Tau_j)),Resal_s+(Salim-Resal_s)*(1-EXP((Tnet_s-t)/Tau_j)))*Salcycl</f>
        <v>0.15657554406899665</v>
      </c>
      <c r="AD132" s="233">
        <f>(INDEX(Models!$BJ132:$BT132,,AH132)*(1-AF132)+INDEX(Models!$BJ132:$BT132,,AH132+1)*AF132-ERP_i)*AE132*Ramure*Pc/MaxiM</f>
        <v>2.7884027558233563E-3</v>
      </c>
      <c r="AE132" s="307">
        <f t="shared" si="40"/>
        <v>0.9</v>
      </c>
      <c r="AF132" s="179">
        <f t="shared" si="41"/>
        <v>0.98688809350876205</v>
      </c>
      <c r="AG132" s="839">
        <f t="shared" si="49"/>
        <v>-1</v>
      </c>
      <c r="AH132" s="178">
        <f t="shared" si="42"/>
        <v>5</v>
      </c>
      <c r="AI132" s="227">
        <f t="shared" si="43"/>
        <v>-1.3111906491237987E-2</v>
      </c>
      <c r="AJ132" s="267" t="b">
        <f t="shared" si="44"/>
        <v>1</v>
      </c>
      <c r="AK132" s="267" t="b">
        <f t="shared" si="45"/>
        <v>0</v>
      </c>
      <c r="AL132" s="267"/>
      <c r="AM132" s="267"/>
      <c r="AN132" s="75"/>
    </row>
    <row r="133" spans="1:40" s="6" customFormat="1" ht="11.25" x14ac:dyDescent="0.2">
      <c r="A133" s="56">
        <f t="shared" si="46"/>
        <v>44680</v>
      </c>
      <c r="B133" s="1141">
        <v>41.082000000000001</v>
      </c>
      <c r="C133" s="868"/>
      <c r="D133" s="395">
        <f t="shared" si="25"/>
        <v>42.409929730995501</v>
      </c>
      <c r="E133" s="387">
        <f t="shared" si="47"/>
        <v>48.176691745372331</v>
      </c>
      <c r="F133" s="387">
        <f t="shared" si="26"/>
        <v>48.266607405294138</v>
      </c>
      <c r="G133" s="110">
        <f t="shared" si="48"/>
        <v>0.79377950353276627</v>
      </c>
      <c r="H133" s="416" t="b">
        <f>Wh_hp&gt;='2021'!Maxi_hp</f>
        <v>0</v>
      </c>
      <c r="I133" s="382">
        <f>IF(H133,Wh_hp,'2021'!Maxi_hp)</f>
        <v>54.78185076677125</v>
      </c>
      <c r="J133" s="85">
        <f>IF(H133,An,'2021'!An_max)</f>
        <v>2019</v>
      </c>
      <c r="K133" s="199">
        <f t="shared" si="27"/>
        <v>44680</v>
      </c>
      <c r="L133" s="147">
        <f>IF(t&lt;Tvie,1-EXP((T0-t)*PertePVj)+'2021'!Pspv,1-EXP((T0-t)*PertePVj)+Pspv)</f>
        <v>3.1311764471634529E-2</v>
      </c>
      <c r="M133" s="872"/>
      <c r="N133" s="872"/>
      <c r="O133" s="48">
        <f>IF(t&lt;Tnet,'2021'!Resal+('2021'!Salim-'2021'!Resal)*(1-EXP(('2021'!Tnet-t)/('2021'!Tau_j))),Resal+(Salim-Resal)*(1-EXP((Tnet-t)/(Tau_j))))*Salcycl</f>
        <v>0.11970024934164902</v>
      </c>
      <c r="P133" s="341">
        <f>(INDEX(Models!$BJ133:$BT133,,T133)*(1-R133)+INDEX(Models!$BJ133:$BT133,,T133+1)*R133-ERP_i)*Q133*Ramure*Pc/MaxiM</f>
        <v>2.6376160537594181E-3</v>
      </c>
      <c r="Q133" s="307">
        <f t="shared" si="28"/>
        <v>0.9</v>
      </c>
      <c r="R133" s="179">
        <f t="shared" si="29"/>
        <v>0.99001222488604734</v>
      </c>
      <c r="S133" s="839">
        <f t="shared" si="30"/>
        <v>-1</v>
      </c>
      <c r="T133" s="178">
        <f t="shared" si="31"/>
        <v>5</v>
      </c>
      <c r="U133" s="253">
        <f t="shared" si="32"/>
        <v>-9.9877751139526155E-3</v>
      </c>
      <c r="V133" s="385">
        <f t="shared" si="33"/>
        <v>51.714756249611852</v>
      </c>
      <c r="W133" s="404">
        <f t="shared" si="34"/>
        <v>0</v>
      </c>
      <c r="X133" s="157">
        <f t="shared" si="35"/>
        <v>44680</v>
      </c>
      <c r="Y133" s="387">
        <f t="shared" si="36"/>
        <v>39.35411348992708</v>
      </c>
      <c r="Z133" s="387">
        <f t="shared" si="37"/>
        <v>40.626191220812757</v>
      </c>
      <c r="AA133" s="388">
        <f t="shared" si="38"/>
        <v>48.176691745372331</v>
      </c>
      <c r="AB133" s="199">
        <f t="shared" si="39"/>
        <v>44680</v>
      </c>
      <c r="AC133" s="119">
        <f>IF(OR(t&lt;Tnet,NoTnet),'2021'!Resal_s+('2021'!Salim-'2021'!Resal_s)*(1-EXP(('2021'!Tnet_s-t)/'2021'!Tau_j)),Resal_s+(Salim-Resal_s)*(1-EXP((Tnet_s-t)/Tau_j)))*Salcycl</f>
        <v>0.15672517665733757</v>
      </c>
      <c r="AD133" s="233">
        <f>(INDEX(Models!$BJ133:$BT133,,AH133)*(1-AF133)+INDEX(Models!$BJ133:$BT133,,AH133+1)*AF133-ERP_i)*AE133*Ramure*Pc/MaxiM</f>
        <v>2.6376160537594181E-3</v>
      </c>
      <c r="AE133" s="307">
        <f t="shared" si="40"/>
        <v>0.9</v>
      </c>
      <c r="AF133" s="179">
        <f t="shared" si="41"/>
        <v>0.99001222488604734</v>
      </c>
      <c r="AG133" s="839">
        <f t="shared" si="49"/>
        <v>-1</v>
      </c>
      <c r="AH133" s="178">
        <f t="shared" si="42"/>
        <v>5</v>
      </c>
      <c r="AI133" s="227">
        <f t="shared" si="43"/>
        <v>-9.9877751139526155E-3</v>
      </c>
      <c r="AJ133" s="267" t="b">
        <f t="shared" si="44"/>
        <v>1</v>
      </c>
      <c r="AK133" s="267" t="b">
        <f t="shared" si="45"/>
        <v>0</v>
      </c>
      <c r="AL133" s="267"/>
      <c r="AM133" s="267"/>
      <c r="AN133" s="75"/>
    </row>
    <row r="134" spans="1:40" s="6" customFormat="1" ht="11.25" x14ac:dyDescent="0.2">
      <c r="A134" s="56">
        <f t="shared" si="46"/>
        <v>44681</v>
      </c>
      <c r="B134" s="1141">
        <v>42.902999999999999</v>
      </c>
      <c r="C134" s="868"/>
      <c r="D134" s="395">
        <f t="shared" si="25"/>
        <v>44.290822232728608</v>
      </c>
      <c r="E134" s="387">
        <f t="shared" si="47"/>
        <v>50.326382370853686</v>
      </c>
      <c r="F134" s="387">
        <f t="shared" si="26"/>
        <v>50.420797177248751</v>
      </c>
      <c r="G134" s="110">
        <f t="shared" si="48"/>
        <v>0.82615872054019523</v>
      </c>
      <c r="H134" s="416" t="b">
        <f>Wh_hp&gt;='2021'!Maxi_hp</f>
        <v>0</v>
      </c>
      <c r="I134" s="382">
        <f>IF(H134,Wh_hp,'2021'!Maxi_hp)</f>
        <v>60.84592314154898</v>
      </c>
      <c r="J134" s="85">
        <f>IF(H134,An,'2021'!An_max)</f>
        <v>2019</v>
      </c>
      <c r="K134" s="199">
        <f t="shared" si="27"/>
        <v>44681</v>
      </c>
      <c r="L134" s="147">
        <f>IF(t&lt;Tvie,1-EXP((T0-t)*PertePVj)+'2021'!Pspv,1-EXP((T0-t)*PertePVj)+Pspv)</f>
        <v>3.1334307262037675E-2</v>
      </c>
      <c r="M134" s="872"/>
      <c r="N134" s="872"/>
      <c r="O134" s="48">
        <f>IF(t&lt;Tnet,'2021'!Resal+('2021'!Salim-'2021'!Resal)*(1-EXP(('2021'!Tnet-t)/('2021'!Tau_j))),Resal+(Salim-Resal)*(1-EXP((Tnet-t)/(Tau_j))))*Salcycl</f>
        <v>0.11992835276037135</v>
      </c>
      <c r="P134" s="341">
        <f>(INDEX(Models!$BJ134:$BT134,,T134)*(1-R134)+INDEX(Models!$BJ134:$BT134,,T134+1)*R134-ERP_i)*Q134*Ramure*Pc/MaxiM</f>
        <v>2.4888033347129092E-3</v>
      </c>
      <c r="Q134" s="307">
        <f t="shared" si="28"/>
        <v>0.9</v>
      </c>
      <c r="R134" s="179">
        <f t="shared" si="29"/>
        <v>0.99322723730607565</v>
      </c>
      <c r="S134" s="839">
        <f t="shared" si="30"/>
        <v>-1</v>
      </c>
      <c r="T134" s="178">
        <f t="shared" si="31"/>
        <v>5</v>
      </c>
      <c r="U134" s="253">
        <f t="shared" si="32"/>
        <v>-6.7727626939243918E-3</v>
      </c>
      <c r="V134" s="385">
        <f t="shared" si="33"/>
        <v>51.898636007432636</v>
      </c>
      <c r="W134" s="404">
        <f t="shared" si="34"/>
        <v>0</v>
      </c>
      <c r="X134" s="157">
        <f t="shared" si="35"/>
        <v>44681</v>
      </c>
      <c r="Y134" s="387">
        <f t="shared" si="36"/>
        <v>41.101738040387531</v>
      </c>
      <c r="Z134" s="387">
        <f t="shared" si="37"/>
        <v>42.43129321965791</v>
      </c>
      <c r="AA134" s="388">
        <f t="shared" si="38"/>
        <v>50.326382370853686</v>
      </c>
      <c r="AB134" s="199">
        <f t="shared" si="39"/>
        <v>44681</v>
      </c>
      <c r="AC134" s="119">
        <f>IF(OR(t&lt;Tnet,NoTnet),'2021'!Resal_s+('2021'!Salim-'2021'!Resal_s)*(1-EXP(('2021'!Tnet_s-t)/'2021'!Tau_j)),Resal_s+(Salim-Resal_s)*(1-EXP((Tnet_s-t)/Tau_j)))*Salcycl</f>
        <v>0.15687774044669234</v>
      </c>
      <c r="AD134" s="233">
        <f>(INDEX(Models!$BJ134:$BT134,,AH134)*(1-AF134)+INDEX(Models!$BJ134:$BT134,,AH134+1)*AF134-ERP_i)*AE134*Ramure*Pc/MaxiM</f>
        <v>2.4888033347129092E-3</v>
      </c>
      <c r="AE134" s="307">
        <f t="shared" si="40"/>
        <v>0.9</v>
      </c>
      <c r="AF134" s="179">
        <f t="shared" si="41"/>
        <v>0.99322723730607565</v>
      </c>
      <c r="AG134" s="839">
        <f t="shared" si="49"/>
        <v>-1</v>
      </c>
      <c r="AH134" s="178">
        <f t="shared" si="42"/>
        <v>5</v>
      </c>
      <c r="AI134" s="227">
        <f t="shared" si="43"/>
        <v>-6.7727626939243918E-3</v>
      </c>
      <c r="AJ134" s="267" t="b">
        <f t="shared" si="44"/>
        <v>1</v>
      </c>
      <c r="AK134" s="267" t="b">
        <f t="shared" si="45"/>
        <v>0</v>
      </c>
      <c r="AL134" s="267"/>
      <c r="AM134" s="267"/>
      <c r="AN134" s="75"/>
    </row>
    <row r="135" spans="1:40" s="6" customFormat="1" ht="11.25" x14ac:dyDescent="0.2">
      <c r="A135" s="56">
        <f t="shared" si="46"/>
        <v>44682</v>
      </c>
      <c r="B135" s="1141">
        <v>42.316000000000003</v>
      </c>
      <c r="C135" s="868"/>
      <c r="D135" s="395">
        <f t="shared" si="25"/>
        <v>43.685850645176366</v>
      </c>
      <c r="E135" s="387">
        <f t="shared" si="47"/>
        <v>49.651956523095983</v>
      </c>
      <c r="F135" s="387">
        <f t="shared" si="26"/>
        <v>49.737255033843518</v>
      </c>
      <c r="G135" s="110">
        <f t="shared" si="48"/>
        <v>0.81210737120631682</v>
      </c>
      <c r="H135" s="416" t="b">
        <f>Wh_hp&gt;='2021'!Maxi_hp</f>
        <v>0</v>
      </c>
      <c r="I135" s="382">
        <f>IF(H135,Wh_hp,'2021'!Maxi_hp)</f>
        <v>56.845620095734738</v>
      </c>
      <c r="J135" s="85">
        <f>IF(H135,An,'2021'!An_max)</f>
        <v>2019</v>
      </c>
      <c r="K135" s="199">
        <f t="shared" si="27"/>
        <v>44682</v>
      </c>
      <c r="L135" s="147">
        <f>IF(t&lt;Tvie,1-EXP((T0-t)*PertePVj)+'2021'!Pspv,1-EXP((T0-t)*PertePVj)+Pspv)</f>
        <v>3.1356849527837127E-2</v>
      </c>
      <c r="M135" s="872"/>
      <c r="N135" s="872"/>
      <c r="O135" s="48">
        <f>IF(t&lt;Tnet,'2021'!Resal+('2021'!Salim-'2021'!Resal)*(1-EXP(('2021'!Tnet-t)/('2021'!Tau_j))),Resal+(Salim-Resal)*(1-EXP((Tnet-t)/(Tau_j))))*Salcycl</f>
        <v>0.12015852537743277</v>
      </c>
      <c r="P135" s="341">
        <f>(INDEX(Models!$BJ135:$BT135,,T135)*(1-R135)+INDEX(Models!$BJ135:$BT135,,T135+1)*R135-ERP_i)*Q135*Ramure*Pc/MaxiM</f>
        <v>2.3418771084965945E-3</v>
      </c>
      <c r="Q135" s="307">
        <f t="shared" si="28"/>
        <v>0.9</v>
      </c>
      <c r="R135" s="179">
        <f t="shared" si="29"/>
        <v>0.99653432065913639</v>
      </c>
      <c r="S135" s="839">
        <f t="shared" si="30"/>
        <v>-1</v>
      </c>
      <c r="T135" s="178">
        <f t="shared" si="31"/>
        <v>5</v>
      </c>
      <c r="U135" s="253">
        <f t="shared" si="32"/>
        <v>-3.4656793408636422E-3</v>
      </c>
      <c r="V135" s="385">
        <f t="shared" si="33"/>
        <v>52.073689077235819</v>
      </c>
      <c r="W135" s="404">
        <f t="shared" si="34"/>
        <v>0</v>
      </c>
      <c r="X135" s="157">
        <f t="shared" si="35"/>
        <v>44682</v>
      </c>
      <c r="Y135" s="387">
        <f t="shared" si="36"/>
        <v>40.542511301976212</v>
      </c>
      <c r="Z135" s="387">
        <f t="shared" si="37"/>
        <v>41.854950692846856</v>
      </c>
      <c r="AA135" s="388">
        <f t="shared" si="38"/>
        <v>49.651956523095983</v>
      </c>
      <c r="AB135" s="199">
        <f t="shared" si="39"/>
        <v>44682</v>
      </c>
      <c r="AC135" s="119">
        <f>IF(OR(t&lt;Tnet,NoTnet),'2021'!Resal_s+('2021'!Salim-'2021'!Resal_s)*(1-EXP(('2021'!Tnet_s-t)/'2021'!Tau_j)),Resal_s+(Salim-Resal_s)*(1-EXP((Tnet_s-t)/Tau_j)))*Salcycl</f>
        <v>0.15703320425293402</v>
      </c>
      <c r="AD135" s="233">
        <f>(INDEX(Models!$BJ135:$BT135,,AH135)*(1-AF135)+INDEX(Models!$BJ135:$BT135,,AH135+1)*AF135-ERP_i)*AE135*Ramure*Pc/MaxiM</f>
        <v>2.3418771084965945E-3</v>
      </c>
      <c r="AE135" s="307">
        <f t="shared" si="40"/>
        <v>0.9</v>
      </c>
      <c r="AF135" s="179">
        <f t="shared" si="41"/>
        <v>0.99653432065913639</v>
      </c>
      <c r="AG135" s="839">
        <f t="shared" si="49"/>
        <v>-1</v>
      </c>
      <c r="AH135" s="178">
        <f t="shared" si="42"/>
        <v>5</v>
      </c>
      <c r="AI135" s="227">
        <f t="shared" si="43"/>
        <v>-3.4656793408636422E-3</v>
      </c>
      <c r="AJ135" s="267" t="b">
        <f t="shared" si="44"/>
        <v>1</v>
      </c>
      <c r="AK135" s="267" t="b">
        <f t="shared" si="45"/>
        <v>0</v>
      </c>
      <c r="AL135" s="267"/>
      <c r="AM135" s="267"/>
      <c r="AN135" s="75"/>
    </row>
    <row r="136" spans="1:40" s="6" customFormat="1" ht="11.25" x14ac:dyDescent="0.2">
      <c r="A136" s="56">
        <f t="shared" si="46"/>
        <v>44683</v>
      </c>
      <c r="B136" s="1141">
        <v>25.867000000000001</v>
      </c>
      <c r="C136" s="868"/>
      <c r="D136" s="395">
        <f t="shared" si="25"/>
        <v>26.704986211154267</v>
      </c>
      <c r="E136" s="387">
        <f t="shared" si="47"/>
        <v>30.36005596137154</v>
      </c>
      <c r="F136" s="387">
        <f t="shared" si="26"/>
        <v>30.37868920391595</v>
      </c>
      <c r="G136" s="110">
        <f t="shared" si="48"/>
        <v>0.49437274525733077</v>
      </c>
      <c r="H136" s="416" t="b">
        <f>Wh_hp&gt;='2021'!Maxi_hp</f>
        <v>0</v>
      </c>
      <c r="I136" s="382">
        <f>IF(H136,Wh_hp,'2021'!Maxi_hp)</f>
        <v>39.747246661532351</v>
      </c>
      <c r="J136" s="85">
        <f>IF(H136,An,'2021'!An_max)</f>
        <v>2021</v>
      </c>
      <c r="K136" s="199">
        <f t="shared" si="27"/>
        <v>44683</v>
      </c>
      <c r="L136" s="147">
        <f>IF(t&lt;Tvie,1-EXP((T0-t)*PertePVj)+'2021'!Pspv,1-EXP((T0-t)*PertePVj)+Pspv)</f>
        <v>3.1379391269045209E-2</v>
      </c>
      <c r="M136" s="872"/>
      <c r="N136" s="872"/>
      <c r="O136" s="48">
        <f>IF(t&lt;Tnet,'2021'!Resal+('2021'!Salim-'2021'!Resal)*(1-EXP(('2021'!Tnet-t)/('2021'!Tau_j))),Resal+(Salim-Resal)*(1-EXP((Tnet-t)/(Tau_j))))*Salcycl</f>
        <v>0.12039074482826322</v>
      </c>
      <c r="P136" s="341">
        <f>(INDEX(Models!$BJ136:$BT136,,T136)*(1-R136)+INDEX(Models!$BJ136:$BT136,,T136+1)*R136-ERP_i)*Q136*Ramure*Pc/MaxiM</f>
        <v>2.200032669122734E-3</v>
      </c>
      <c r="Q136" s="307">
        <f t="shared" si="28"/>
        <v>0.9</v>
      </c>
      <c r="R136" s="179">
        <f t="shared" si="29"/>
        <v>0.99993457404793928</v>
      </c>
      <c r="S136" s="839">
        <f t="shared" si="30"/>
        <v>-1</v>
      </c>
      <c r="T136" s="178">
        <f t="shared" si="31"/>
        <v>5</v>
      </c>
      <c r="U136" s="253">
        <f t="shared" si="32"/>
        <v>-6.5425952060702008E-5</v>
      </c>
      <c r="V136" s="385">
        <f t="shared" si="33"/>
        <v>52.23979829178424</v>
      </c>
      <c r="W136" s="404">
        <f t="shared" si="34"/>
        <v>0</v>
      </c>
      <c r="X136" s="157">
        <f t="shared" si="35"/>
        <v>44683</v>
      </c>
      <c r="Y136" s="387">
        <f t="shared" si="36"/>
        <v>24.784785464906427</v>
      </c>
      <c r="Z136" s="387">
        <f t="shared" si="37"/>
        <v>25.587712300875356</v>
      </c>
      <c r="AA136" s="388">
        <f t="shared" si="38"/>
        <v>30.36005596137154</v>
      </c>
      <c r="AB136" s="199">
        <f t="shared" si="39"/>
        <v>44683</v>
      </c>
      <c r="AC136" s="119">
        <f>IF(OR(t&lt;Tnet,NoTnet),'2021'!Resal_s+('2021'!Salim-'2021'!Resal_s)*(1-EXP(('2021'!Tnet_s-t)/'2021'!Tau_j)),Resal_s+(Salim-Resal_s)*(1-EXP((Tnet_s-t)/Tau_j)))*Salcycl</f>
        <v>0.15719153042959635</v>
      </c>
      <c r="AD136" s="233">
        <f>(INDEX(Models!$BJ136:$BT136,,AH136)*(1-AF136)+INDEX(Models!$BJ136:$BT136,,AH136+1)*AF136-ERP_i)*AE136*Ramure*Pc/MaxiM</f>
        <v>2.200032669122734E-3</v>
      </c>
      <c r="AE136" s="307">
        <f t="shared" si="40"/>
        <v>0.9</v>
      </c>
      <c r="AF136" s="179">
        <f t="shared" si="41"/>
        <v>0.99993457404793928</v>
      </c>
      <c r="AG136" s="839">
        <f t="shared" si="49"/>
        <v>-1</v>
      </c>
      <c r="AH136" s="178">
        <f t="shared" si="42"/>
        <v>5</v>
      </c>
      <c r="AI136" s="227">
        <f t="shared" si="43"/>
        <v>-6.5425952060702008E-5</v>
      </c>
      <c r="AJ136" s="267" t="b">
        <f t="shared" si="44"/>
        <v>1</v>
      </c>
      <c r="AK136" s="267" t="b">
        <f t="shared" si="45"/>
        <v>0</v>
      </c>
      <c r="AL136" s="267"/>
      <c r="AM136" s="267"/>
      <c r="AN136" s="75"/>
    </row>
    <row r="137" spans="1:40" s="6" customFormat="1" ht="11.25" x14ac:dyDescent="0.2">
      <c r="A137" s="56">
        <f t="shared" si="46"/>
        <v>44684</v>
      </c>
      <c r="B137" s="1141">
        <v>30.568000000000001</v>
      </c>
      <c r="C137" s="868"/>
      <c r="D137" s="395">
        <f t="shared" si="25"/>
        <v>31.559014027815916</v>
      </c>
      <c r="E137" s="387">
        <f t="shared" si="47"/>
        <v>35.888003907460096</v>
      </c>
      <c r="F137" s="387">
        <f t="shared" si="26"/>
        <v>35.918049258756611</v>
      </c>
      <c r="G137" s="110">
        <f t="shared" si="48"/>
        <v>0.58267204339059753</v>
      </c>
      <c r="H137" s="416" t="b">
        <f>Wh_hp&gt;='2021'!Maxi_hp</f>
        <v>0</v>
      </c>
      <c r="I137" s="382">
        <f>IF(H137,Wh_hp,'2021'!Maxi_hp)</f>
        <v>59.744764721426584</v>
      </c>
      <c r="J137" s="85">
        <f>IF(H137,An,'2021'!An_max)</f>
        <v>2021</v>
      </c>
      <c r="K137" s="199">
        <f t="shared" si="27"/>
        <v>44684</v>
      </c>
      <c r="L137" s="147">
        <f>IF(t&lt;Tvie,1-EXP((T0-t)*PertePVj)+'2021'!Pspv,1-EXP((T0-t)*PertePVj)+Pspv)</f>
        <v>3.1401932485674022E-2</v>
      </c>
      <c r="M137" s="872"/>
      <c r="N137" s="872"/>
      <c r="O137" s="48">
        <f>IF(t&lt;Tnet,'2021'!Resal+('2021'!Salim-'2021'!Resal)*(1-EXP(('2021'!Tnet-t)/('2021'!Tau_j))),Resal+(Salim-Resal)*(1-EXP((Tnet-t)/(Tau_j))))*Salcycl</f>
        <v>0.12062498351278619</v>
      </c>
      <c r="P137" s="341">
        <f>(INDEX(Models!$BJ137:$BT137,,T137)*(1-R137)+INDEX(Models!$BJ137:$BT137,,T137+1)*R137-ERP_i)*Q137*Ramure*Pc/MaxiM</f>
        <v>2.0662267398369417E-3</v>
      </c>
      <c r="Q137" s="307">
        <f t="shared" si="28"/>
        <v>0.9</v>
      </c>
      <c r="R137" s="179">
        <f t="shared" si="29"/>
        <v>3.4289976296038166E-3</v>
      </c>
      <c r="S137" s="839">
        <f t="shared" si="30"/>
        <v>0</v>
      </c>
      <c r="T137" s="178">
        <f t="shared" si="31"/>
        <v>6</v>
      </c>
      <c r="U137" s="253">
        <f t="shared" si="32"/>
        <v>3.4289976296038166E-3</v>
      </c>
      <c r="V137" s="385">
        <f t="shared" si="33"/>
        <v>52.397190677482023</v>
      </c>
      <c r="W137" s="404">
        <f t="shared" si="34"/>
        <v>0</v>
      </c>
      <c r="X137" s="157">
        <f t="shared" si="35"/>
        <v>44684</v>
      </c>
      <c r="Y137" s="387">
        <f t="shared" si="36"/>
        <v>29.291306845266707</v>
      </c>
      <c r="Z137" s="387">
        <f t="shared" si="37"/>
        <v>30.240930503233194</v>
      </c>
      <c r="AA137" s="388">
        <f t="shared" si="38"/>
        <v>35.888003907460096</v>
      </c>
      <c r="AB137" s="199">
        <f t="shared" si="39"/>
        <v>44684</v>
      </c>
      <c r="AC137" s="119">
        <f>IF(OR(t&lt;Tnet,NoTnet),'2021'!Resal_s+('2021'!Salim-'2021'!Resal_s)*(1-EXP(('2021'!Tnet_s-t)/'2021'!Tau_j)),Resal_s+(Salim-Resal_s)*(1-EXP((Tnet_s-t)/Tau_j)))*Salcycl</f>
        <v>0.15735267469286687</v>
      </c>
      <c r="AD137" s="233">
        <f>(INDEX(Models!$BJ137:$BT137,,AH137)*(1-AF137)+INDEX(Models!$BJ137:$BT137,,AH137+1)*AF137-ERP_i)*AE137*Ramure*Pc/MaxiM</f>
        <v>2.0662267398369417E-3</v>
      </c>
      <c r="AE137" s="307">
        <f t="shared" si="40"/>
        <v>0.9</v>
      </c>
      <c r="AF137" s="179">
        <f t="shared" si="41"/>
        <v>3.4289976296038166E-3</v>
      </c>
      <c r="AG137" s="839">
        <f t="shared" si="49"/>
        <v>0</v>
      </c>
      <c r="AH137" s="178">
        <f t="shared" si="42"/>
        <v>6</v>
      </c>
      <c r="AI137" s="227">
        <f t="shared" si="43"/>
        <v>3.4289976296038166E-3</v>
      </c>
      <c r="AJ137" s="267" t="b">
        <f t="shared" si="44"/>
        <v>1</v>
      </c>
      <c r="AK137" s="267" t="b">
        <f t="shared" si="45"/>
        <v>0</v>
      </c>
      <c r="AL137" s="267"/>
      <c r="AM137" s="267"/>
      <c r="AN137" s="75"/>
    </row>
    <row r="138" spans="1:40" s="6" customFormat="1" ht="11.25" x14ac:dyDescent="0.2">
      <c r="A138" s="56">
        <f t="shared" si="46"/>
        <v>44685</v>
      </c>
      <c r="B138" s="1141">
        <v>0.77600000000000002</v>
      </c>
      <c r="C138" s="868"/>
      <c r="D138" s="395">
        <f t="shared" si="25"/>
        <v>0.80117655103874807</v>
      </c>
      <c r="E138" s="387">
        <f t="shared" si="47"/>
        <v>0.91131975831140011</v>
      </c>
      <c r="F138" s="387">
        <f t="shared" si="26"/>
        <v>0.91131975831140011</v>
      </c>
      <c r="G138" s="110">
        <f t="shared" si="48"/>
        <v>1.4739286571115593E-2</v>
      </c>
      <c r="H138" s="416" t="b">
        <f>Wh_hp&gt;='2021'!Maxi_hp</f>
        <v>0</v>
      </c>
      <c r="I138" s="382">
        <f>IF(H138,Wh_hp,'2021'!Maxi_hp)</f>
        <v>56.648586728820725</v>
      </c>
      <c r="J138" s="85">
        <f>IF(H138,An,'2021'!An_max)</f>
        <v>2020</v>
      </c>
      <c r="K138" s="199">
        <f t="shared" si="27"/>
        <v>44685</v>
      </c>
      <c r="L138" s="147">
        <f>IF(t&lt;Tvie,1-EXP((T0-t)*PertePVj)+'2021'!Pspv,1-EXP((T0-t)*PertePVj)+Pspv)</f>
        <v>3.1424473177735779E-2</v>
      </c>
      <c r="M138" s="872"/>
      <c r="N138" s="872"/>
      <c r="O138" s="48">
        <f>IF(t&lt;Tnet,'2021'!Resal+('2021'!Salim-'2021'!Resal)*(1-EXP(('2021'!Tnet-t)/('2021'!Tau_j))),Resal+(Salim-Resal)*(1-EXP((Tnet-t)/(Tau_j))))*Salcycl</f>
        <v>0.12086120844865503</v>
      </c>
      <c r="P138" s="341">
        <f>(INDEX(Models!$BJ138:$BT138,,T138)*(1-R138)+INDEX(Models!$BJ138:$BT138,,T138+1)*R138-ERP_i)*Q138*Ramure*Pc/MaxiM</f>
        <v>1.9382740168538237E-3</v>
      </c>
      <c r="Q138" s="307">
        <f t="shared" si="28"/>
        <v>0.9</v>
      </c>
      <c r="R138" s="179">
        <f t="shared" si="29"/>
        <v>7.0184843225813698E-3</v>
      </c>
      <c r="S138" s="839">
        <f t="shared" si="30"/>
        <v>0</v>
      </c>
      <c r="T138" s="178">
        <f t="shared" si="31"/>
        <v>6</v>
      </c>
      <c r="U138" s="253">
        <f t="shared" si="32"/>
        <v>7.0184843225813698E-3</v>
      </c>
      <c r="V138" s="385">
        <f t="shared" si="33"/>
        <v>52.546362785339419</v>
      </c>
      <c r="W138" s="404">
        <f t="shared" si="34"/>
        <v>0</v>
      </c>
      <c r="X138" s="157">
        <f t="shared" si="35"/>
        <v>44685</v>
      </c>
      <c r="Y138" s="387">
        <f t="shared" si="36"/>
        <v>0.74364495751803783</v>
      </c>
      <c r="Z138" s="387">
        <f t="shared" si="37"/>
        <v>0.76777178126502299</v>
      </c>
      <c r="AA138" s="388">
        <f t="shared" si="38"/>
        <v>0.91131975831140011</v>
      </c>
      <c r="AB138" s="199">
        <f t="shared" si="39"/>
        <v>44685</v>
      </c>
      <c r="AC138" s="119">
        <f>IF(OR(t&lt;Tnet,NoTnet),'2021'!Resal_s+('2021'!Salim-'2021'!Resal_s)*(1-EXP(('2021'!Tnet_s-t)/'2021'!Tau_j)),Resal_s+(Salim-Resal_s)*(1-EXP((Tnet_s-t)/Tau_j)))*Salcycl</f>
        <v>0.15751658595920226</v>
      </c>
      <c r="AD138" s="233">
        <f>(INDEX(Models!$BJ138:$BT138,,AH138)*(1-AF138)+INDEX(Models!$BJ138:$BT138,,AH138+1)*AF138-ERP_i)*AE138*Ramure*Pc/MaxiM</f>
        <v>1.9382740168538237E-3</v>
      </c>
      <c r="AE138" s="307">
        <f t="shared" si="40"/>
        <v>0.9</v>
      </c>
      <c r="AF138" s="179">
        <f t="shared" si="41"/>
        <v>7.0184843225813698E-3</v>
      </c>
      <c r="AG138" s="839">
        <f t="shared" si="49"/>
        <v>0</v>
      </c>
      <c r="AH138" s="178">
        <f t="shared" si="42"/>
        <v>6</v>
      </c>
      <c r="AI138" s="227">
        <f t="shared" si="43"/>
        <v>7.0184843225813698E-3</v>
      </c>
      <c r="AJ138" s="267" t="b">
        <f t="shared" si="44"/>
        <v>1</v>
      </c>
      <c r="AK138" s="267" t="b">
        <f t="shared" si="45"/>
        <v>0</v>
      </c>
      <c r="AL138" s="267"/>
      <c r="AM138" s="267"/>
      <c r="AN138" s="75"/>
    </row>
    <row r="139" spans="1:40" s="6" customFormat="1" ht="11.25" x14ac:dyDescent="0.2">
      <c r="A139" s="56">
        <f t="shared" si="46"/>
        <v>44686</v>
      </c>
      <c r="B139" s="1141">
        <v>35.660000000000004</v>
      </c>
      <c r="C139" s="868"/>
      <c r="D139" s="395">
        <f t="shared" si="25"/>
        <v>36.817810167685835</v>
      </c>
      <c r="E139" s="387">
        <f t="shared" si="47"/>
        <v>41.890754628503132</v>
      </c>
      <c r="F139" s="387">
        <f t="shared" si="26"/>
        <v>41.931745907962124</v>
      </c>
      <c r="G139" s="110">
        <f t="shared" si="48"/>
        <v>0.67625020228789512</v>
      </c>
      <c r="H139" s="416" t="b">
        <f>Wh_hp&gt;='2021'!Maxi_hp</f>
        <v>0</v>
      </c>
      <c r="I139" s="382">
        <f>IF(H139,Wh_hp,'2021'!Maxi_hp)</f>
        <v>58.989313810464012</v>
      </c>
      <c r="J139" s="85">
        <f>IF(H139,An,'2021'!An_max)</f>
        <v>2020</v>
      </c>
      <c r="K139" s="199">
        <f t="shared" si="27"/>
        <v>44686</v>
      </c>
      <c r="L139" s="147">
        <f>IF(t&lt;Tvie,1-EXP((T0-t)*PertePVj)+'2021'!Pspv,1-EXP((T0-t)*PertePVj)+Pspv)</f>
        <v>3.1447013345242691E-2</v>
      </c>
      <c r="M139" s="872"/>
      <c r="N139" s="872"/>
      <c r="O139" s="48">
        <f>IF(t&lt;Tnet,'2021'!Resal+('2021'!Salim-'2021'!Resal)*(1-EXP(('2021'!Tnet-t)/('2021'!Tau_j))),Resal+(Salim-Resal)*(1-EXP((Tnet-t)/(Tau_j))))*Salcycl</f>
        <v>0.12109938113565477</v>
      </c>
      <c r="P139" s="341">
        <f>(INDEX(Models!$BJ139:$BT139,,T139)*(1-R139)+INDEX(Models!$BJ139:$BT139,,T139+1)*R139-ERP_i)*Q139*Ramure*Pc/MaxiM</f>
        <v>1.815995120808443E-3</v>
      </c>
      <c r="Q139" s="307">
        <f t="shared" si="28"/>
        <v>0.9</v>
      </c>
      <c r="R139" s="179">
        <f t="shared" si="29"/>
        <v>1.0703811416860276E-2</v>
      </c>
      <c r="S139" s="839">
        <f t="shared" si="30"/>
        <v>0</v>
      </c>
      <c r="T139" s="178">
        <f t="shared" si="31"/>
        <v>6</v>
      </c>
      <c r="U139" s="253">
        <f t="shared" si="32"/>
        <v>1.0703811416860276E-2</v>
      </c>
      <c r="V139" s="385">
        <f t="shared" si="33"/>
        <v>52.687707059724332</v>
      </c>
      <c r="W139" s="404">
        <f t="shared" si="34"/>
        <v>0</v>
      </c>
      <c r="X139" s="157">
        <f t="shared" si="35"/>
        <v>44686</v>
      </c>
      <c r="Y139" s="387">
        <f t="shared" si="36"/>
        <v>34.175669264846057</v>
      </c>
      <c r="Z139" s="387">
        <f t="shared" si="37"/>
        <v>35.285286128623589</v>
      </c>
      <c r="AA139" s="388">
        <f t="shared" si="38"/>
        <v>41.890754628503132</v>
      </c>
      <c r="AB139" s="199">
        <f t="shared" si="39"/>
        <v>44686</v>
      </c>
      <c r="AC139" s="119">
        <f>IF(OR(t&lt;Tnet,NoTnet),'2021'!Resal_s+('2021'!Salim-'2021'!Resal_s)*(1-EXP(('2021'!Tnet_s-t)/'2021'!Tau_j)),Resal_s+(Salim-Resal_s)*(1-EXP((Tnet_s-t)/Tau_j)))*Salcycl</f>
        <v>0.15768320619808263</v>
      </c>
      <c r="AD139" s="233">
        <f>(INDEX(Models!$BJ139:$BT139,,AH139)*(1-AF139)+INDEX(Models!$BJ139:$BT139,,AH139+1)*AF139-ERP_i)*AE139*Ramure*Pc/MaxiM</f>
        <v>1.815995120808443E-3</v>
      </c>
      <c r="AE139" s="307">
        <f t="shared" si="40"/>
        <v>0.9</v>
      </c>
      <c r="AF139" s="179">
        <f t="shared" si="41"/>
        <v>1.0703811416860276E-2</v>
      </c>
      <c r="AG139" s="839">
        <f t="shared" si="49"/>
        <v>0</v>
      </c>
      <c r="AH139" s="178">
        <f t="shared" si="42"/>
        <v>6</v>
      </c>
      <c r="AI139" s="227">
        <f t="shared" si="43"/>
        <v>1.0703811416860276E-2</v>
      </c>
      <c r="AJ139" s="267" t="b">
        <f t="shared" si="44"/>
        <v>1</v>
      </c>
      <c r="AK139" s="267" t="b">
        <f t="shared" si="45"/>
        <v>0</v>
      </c>
      <c r="AL139" s="267"/>
      <c r="AM139" s="267"/>
      <c r="AN139" s="75"/>
    </row>
    <row r="140" spans="1:40" s="6" customFormat="1" ht="11.25" x14ac:dyDescent="0.2">
      <c r="A140" s="56">
        <f t="shared" si="46"/>
        <v>44687</v>
      </c>
      <c r="B140" s="1141">
        <v>33.054000000000002</v>
      </c>
      <c r="C140" s="868"/>
      <c r="D140" s="395">
        <f t="shared" si="25"/>
        <v>34.127992673830242</v>
      </c>
      <c r="E140" s="387">
        <f t="shared" si="47"/>
        <v>38.840930052620713</v>
      </c>
      <c r="F140" s="387">
        <f t="shared" si="26"/>
        <v>38.871669869512779</v>
      </c>
      <c r="G140" s="110">
        <f t="shared" si="48"/>
        <v>0.62519763478151302</v>
      </c>
      <c r="H140" s="416" t="b">
        <f>Wh_hp&gt;='2021'!Maxi_hp</f>
        <v>0</v>
      </c>
      <c r="I140" s="382">
        <f>IF(H140,Wh_hp,'2021'!Maxi_hp)</f>
        <v>64.322746160656237</v>
      </c>
      <c r="J140" s="85">
        <f>IF(H140,An,'2021'!An_max)</f>
        <v>2019</v>
      </c>
      <c r="K140" s="199">
        <f t="shared" si="27"/>
        <v>44687</v>
      </c>
      <c r="L140" s="147">
        <f>IF(t&lt;Tvie,1-EXP((T0-t)*PertePVj)+'2021'!Pspv,1-EXP((T0-t)*PertePVj)+Pspv)</f>
        <v>3.1469552988206972E-2</v>
      </c>
      <c r="M140" s="872"/>
      <c r="N140" s="872"/>
      <c r="O140" s="48">
        <f>IF(t&lt;Tnet,'2021'!Resal+('2021'!Salim-'2021'!Resal)*(1-EXP(('2021'!Tnet-t)/('2021'!Tau_j))),Resal+(Salim-Resal)*(1-EXP((Tnet-t)/(Tau_j))))*Salcycl</f>
        <v>0.12133945743331849</v>
      </c>
      <c r="P140" s="341">
        <f>(INDEX(Models!$BJ140:$BT140,,T140)*(1-R140)+INDEX(Models!$BJ140:$BT140,,T140+1)*R140-ERP_i)*Q140*Ramure*Pc/MaxiM</f>
        <v>1.6992591147428119E-3</v>
      </c>
      <c r="Q140" s="307">
        <f t="shared" si="28"/>
        <v>0.9</v>
      </c>
      <c r="R140" s="179">
        <f t="shared" si="29"/>
        <v>1.4485632129959514E-2</v>
      </c>
      <c r="S140" s="839">
        <f t="shared" si="30"/>
        <v>0</v>
      </c>
      <c r="T140" s="178">
        <f t="shared" si="31"/>
        <v>6</v>
      </c>
      <c r="U140" s="253">
        <f t="shared" si="32"/>
        <v>1.4485632129959514E-2</v>
      </c>
      <c r="V140" s="385">
        <f t="shared" si="33"/>
        <v>52.821613959226127</v>
      </c>
      <c r="W140" s="404">
        <f t="shared" si="34"/>
        <v>0</v>
      </c>
      <c r="X140" s="157">
        <f t="shared" si="35"/>
        <v>44687</v>
      </c>
      <c r="Y140" s="387">
        <f t="shared" si="36"/>
        <v>31.680430721639894</v>
      </c>
      <c r="Z140" s="387">
        <f t="shared" si="37"/>
        <v>32.709793294969224</v>
      </c>
      <c r="AA140" s="388">
        <f t="shared" si="38"/>
        <v>38.840930052620713</v>
      </c>
      <c r="AB140" s="199">
        <f t="shared" si="39"/>
        <v>44687</v>
      </c>
      <c r="AC140" s="119">
        <f>IF(OR(t&lt;Tnet,NoTnet),'2021'!Resal_s+('2021'!Salim-'2021'!Resal_s)*(1-EXP(('2021'!Tnet_s-t)/'2021'!Tau_j)),Resal_s+(Salim-Resal_s)*(1-EXP((Tnet_s-t)/Tau_j)))*Salcycl</f>
        <v>0.15785247030246638</v>
      </c>
      <c r="AD140" s="233">
        <f>(INDEX(Models!$BJ140:$BT140,,AH140)*(1-AF140)+INDEX(Models!$BJ140:$BT140,,AH140+1)*AF140-ERP_i)*AE140*Ramure*Pc/MaxiM</f>
        <v>1.6992591147428119E-3</v>
      </c>
      <c r="AE140" s="307">
        <f t="shared" si="40"/>
        <v>0.9</v>
      </c>
      <c r="AF140" s="179">
        <f t="shared" si="41"/>
        <v>1.4485632129959514E-2</v>
      </c>
      <c r="AG140" s="839">
        <f t="shared" si="49"/>
        <v>0</v>
      </c>
      <c r="AH140" s="178">
        <f t="shared" si="42"/>
        <v>6</v>
      </c>
      <c r="AI140" s="227">
        <f t="shared" si="43"/>
        <v>1.4485632129959514E-2</v>
      </c>
      <c r="AJ140" s="267" t="b">
        <f t="shared" si="44"/>
        <v>1</v>
      </c>
      <c r="AK140" s="267" t="b">
        <f t="shared" si="45"/>
        <v>0</v>
      </c>
      <c r="AL140" s="267"/>
      <c r="AM140" s="267"/>
      <c r="AN140" s="75"/>
    </row>
    <row r="141" spans="1:40" s="6" customFormat="1" ht="11.25" x14ac:dyDescent="0.2">
      <c r="A141" s="56">
        <f t="shared" si="46"/>
        <v>44688</v>
      </c>
      <c r="B141" s="1141">
        <v>45.404000000000003</v>
      </c>
      <c r="C141" s="868"/>
      <c r="D141" s="395">
        <f t="shared" si="25"/>
        <v>46.880360635113547</v>
      </c>
      <c r="E141" s="387">
        <f t="shared" si="47"/>
        <v>53.369042920466953</v>
      </c>
      <c r="F141" s="387">
        <f t="shared" si="26"/>
        <v>53.436624937443014</v>
      </c>
      <c r="G141" s="110">
        <f t="shared" si="48"/>
        <v>0.8572353846338564</v>
      </c>
      <c r="H141" s="416" t="b">
        <f>Wh_hp&gt;='2021'!Maxi_hp</f>
        <v>0</v>
      </c>
      <c r="I141" s="382">
        <f>IF(H141,Wh_hp,'2021'!Maxi_hp)</f>
        <v>59.596399989587596</v>
      </c>
      <c r="J141" s="85">
        <f>IF(H141,An,'2021'!An_max)</f>
        <v>2020</v>
      </c>
      <c r="K141" s="199">
        <f t="shared" si="27"/>
        <v>44688</v>
      </c>
      <c r="L141" s="147">
        <f>IF(t&lt;Tvie,1-EXP((T0-t)*PertePVj)+'2021'!Pspv,1-EXP((T0-t)*PertePVj)+Pspv)</f>
        <v>3.1492092106640945E-2</v>
      </c>
      <c r="M141" s="872"/>
      <c r="N141" s="872"/>
      <c r="O141" s="48">
        <f>IF(t&lt;Tnet,'2021'!Resal+('2021'!Salim-'2021'!Resal)*(1-EXP(('2021'!Tnet-t)/('2021'!Tau_j))),Resal+(Salim-Resal)*(1-EXP((Tnet-t)/(Tau_j))))*Salcycl</f>
        <v>0.12158138745383054</v>
      </c>
      <c r="P141" s="341">
        <f>(INDEX(Models!$BJ141:$BT141,,T141)*(1-R141)+INDEX(Models!$BJ141:$BT141,,T141+1)*R141-ERP_i)*Q141*Ramure*Pc/MaxiM</f>
        <v>1.587944210289686E-3</v>
      </c>
      <c r="Q141" s="307">
        <f t="shared" si="28"/>
        <v>0.9</v>
      </c>
      <c r="R141" s="179">
        <f t="shared" si="29"/>
        <v>1.8364467155346717E-2</v>
      </c>
      <c r="S141" s="839">
        <f t="shared" si="30"/>
        <v>0</v>
      </c>
      <c r="T141" s="178">
        <f t="shared" si="31"/>
        <v>6</v>
      </c>
      <c r="U141" s="253">
        <f t="shared" si="32"/>
        <v>1.8364467155346717E-2</v>
      </c>
      <c r="V141" s="385">
        <f t="shared" si="33"/>
        <v>52.948473964868889</v>
      </c>
      <c r="W141" s="404">
        <f t="shared" si="34"/>
        <v>0</v>
      </c>
      <c r="X141" s="157">
        <f t="shared" si="35"/>
        <v>44688</v>
      </c>
      <c r="Y141" s="387">
        <f t="shared" si="36"/>
        <v>43.520326032819057</v>
      </c>
      <c r="Z141" s="387">
        <f t="shared" si="37"/>
        <v>44.935436952168921</v>
      </c>
      <c r="AA141" s="388">
        <f t="shared" si="38"/>
        <v>53.369042920466953</v>
      </c>
      <c r="AB141" s="199">
        <f t="shared" si="39"/>
        <v>44688</v>
      </c>
      <c r="AC141" s="119">
        <f>IF(OR(t&lt;Tnet,NoTnet),'2021'!Resal_s+('2021'!Salim-'2021'!Resal_s)*(1-EXP(('2021'!Tnet_s-t)/'2021'!Tau_j)),Resal_s+(Salim-Resal_s)*(1-EXP((Tnet_s-t)/Tau_j)))*Salcycl</f>
        <v>0.15802430597952047</v>
      </c>
      <c r="AD141" s="233">
        <f>(INDEX(Models!$BJ141:$BT141,,AH141)*(1-AF141)+INDEX(Models!$BJ141:$BT141,,AH141+1)*AF141-ERP_i)*AE141*Ramure*Pc/MaxiM</f>
        <v>1.587944210289686E-3</v>
      </c>
      <c r="AE141" s="307">
        <f t="shared" si="40"/>
        <v>0.9</v>
      </c>
      <c r="AF141" s="179">
        <f t="shared" si="41"/>
        <v>1.8364467155346717E-2</v>
      </c>
      <c r="AG141" s="839">
        <f t="shared" si="49"/>
        <v>0</v>
      </c>
      <c r="AH141" s="178">
        <f t="shared" si="42"/>
        <v>6</v>
      </c>
      <c r="AI141" s="227">
        <f t="shared" si="43"/>
        <v>1.8364467155346717E-2</v>
      </c>
      <c r="AJ141" s="267" t="b">
        <f t="shared" si="44"/>
        <v>1</v>
      </c>
      <c r="AK141" s="267" t="b">
        <f t="shared" si="45"/>
        <v>0</v>
      </c>
      <c r="AL141" s="267"/>
      <c r="AM141" s="267"/>
      <c r="AN141" s="75"/>
    </row>
    <row r="142" spans="1:40" s="6" customFormat="1" ht="11.25" x14ac:dyDescent="0.2">
      <c r="A142" s="56">
        <f t="shared" si="46"/>
        <v>44689</v>
      </c>
      <c r="B142" s="1141">
        <v>46.183999999999997</v>
      </c>
      <c r="C142" s="868"/>
      <c r="D142" s="395">
        <f t="shared" si="25"/>
        <v>47.686832929037763</v>
      </c>
      <c r="E142" s="387">
        <f t="shared" si="47"/>
        <v>54.302205368449044</v>
      </c>
      <c r="F142" s="387">
        <f t="shared" si="26"/>
        <v>54.367947267293431</v>
      </c>
      <c r="G142" s="110">
        <f t="shared" si="48"/>
        <v>0.87003089044273751</v>
      </c>
      <c r="H142" s="416" t="b">
        <f>Wh_hp&gt;='2021'!Maxi_hp</f>
        <v>0</v>
      </c>
      <c r="I142" s="382">
        <f>IF(H142,Wh_hp,'2021'!Maxi_hp)</f>
        <v>57.502129764921655</v>
      </c>
      <c r="J142" s="85">
        <f>IF(H142,An,'2021'!An_max)</f>
        <v>2021</v>
      </c>
      <c r="K142" s="199">
        <f t="shared" si="27"/>
        <v>44689</v>
      </c>
      <c r="L142" s="147">
        <f>IF(t&lt;Tvie,1-EXP((T0-t)*PertePVj)+'2021'!Pspv,1-EXP((T0-t)*PertePVj)+Pspv)</f>
        <v>3.1514630700556601E-2</v>
      </c>
      <c r="M142" s="872"/>
      <c r="N142" s="872"/>
      <c r="O142" s="48">
        <f>IF(t&lt;Tnet,'2021'!Resal+('2021'!Salim-'2021'!Resal)*(1-EXP(('2021'!Tnet-t)/('2021'!Tau_j))),Resal+(Salim-Resal)*(1-EXP((Tnet-t)/(Tau_j))))*Salcycl</f>
        <v>0.12182511547228944</v>
      </c>
      <c r="P142" s="341">
        <f>(INDEX(Models!$BJ142:$BT142,,T142)*(1-R142)+INDEX(Models!$BJ142:$BT142,,T142+1)*R142-ERP_i)*Q142*Ramure*Pc/MaxiM</f>
        <v>1.4842818811899557E-3</v>
      </c>
      <c r="Q142" s="307">
        <f t="shared" si="28"/>
        <v>0.9</v>
      </c>
      <c r="R142" s="179">
        <f t="shared" si="29"/>
        <v>2.2340696253963566E-2</v>
      </c>
      <c r="S142" s="839">
        <f t="shared" si="30"/>
        <v>0</v>
      </c>
      <c r="T142" s="178">
        <f t="shared" si="31"/>
        <v>6</v>
      </c>
      <c r="U142" s="253">
        <f t="shared" si="32"/>
        <v>2.2340696253963566E-2</v>
      </c>
      <c r="V142" s="385">
        <f t="shared" si="33"/>
        <v>53.068552962149973</v>
      </c>
      <c r="W142" s="404">
        <f t="shared" si="34"/>
        <v>0</v>
      </c>
      <c r="X142" s="157">
        <f t="shared" si="35"/>
        <v>44689</v>
      </c>
      <c r="Y142" s="387">
        <f t="shared" si="36"/>
        <v>44.271084254205284</v>
      </c>
      <c r="Z142" s="387">
        <f t="shared" si="37"/>
        <v>45.711670674208428</v>
      </c>
      <c r="AA142" s="388">
        <f t="shared" si="38"/>
        <v>54.302205368449044</v>
      </c>
      <c r="AB142" s="199">
        <f t="shared" si="39"/>
        <v>44689</v>
      </c>
      <c r="AC142" s="119">
        <f>IF(OR(t&lt;Tnet,NoTnet),'2021'!Resal_s+('2021'!Salim-'2021'!Resal_s)*(1-EXP(('2021'!Tnet_s-t)/'2021'!Tau_j)),Resal_s+(Salim-Resal_s)*(1-EXP((Tnet_s-t)/Tau_j)))*Salcycl</f>
        <v>0.1581986336641851</v>
      </c>
      <c r="AD142" s="233">
        <f>(INDEX(Models!$BJ142:$BT142,,AH142)*(1-AF142)+INDEX(Models!$BJ142:$BT142,,AH142+1)*AF142-ERP_i)*AE142*Ramure*Pc/MaxiM</f>
        <v>1.4842818811899557E-3</v>
      </c>
      <c r="AE142" s="307">
        <f t="shared" si="40"/>
        <v>0.9</v>
      </c>
      <c r="AF142" s="179">
        <f t="shared" si="41"/>
        <v>2.2340696253963566E-2</v>
      </c>
      <c r="AG142" s="839">
        <f t="shared" si="49"/>
        <v>0</v>
      </c>
      <c r="AH142" s="178">
        <f t="shared" si="42"/>
        <v>6</v>
      </c>
      <c r="AI142" s="227">
        <f t="shared" si="43"/>
        <v>2.2340696253963566E-2</v>
      </c>
      <c r="AJ142" s="267" t="b">
        <f t="shared" si="44"/>
        <v>1</v>
      </c>
      <c r="AK142" s="267" t="b">
        <f t="shared" si="45"/>
        <v>0</v>
      </c>
      <c r="AL142" s="267"/>
      <c r="AM142" s="267"/>
      <c r="AN142" s="75"/>
    </row>
    <row r="143" spans="1:40" s="6" customFormat="1" ht="11.25" x14ac:dyDescent="0.2">
      <c r="A143" s="56">
        <f t="shared" si="46"/>
        <v>44690</v>
      </c>
      <c r="B143" s="1141">
        <v>51.277999999999999</v>
      </c>
      <c r="C143" s="868"/>
      <c r="D143" s="395">
        <f t="shared" ref="D143:D206" si="50">Wh/(1-Ppv)</f>
        <v>52.947824476518512</v>
      </c>
      <c r="E143" s="387">
        <f t="shared" si="47"/>
        <v>60.309887402858415</v>
      </c>
      <c r="F143" s="387">
        <f t="shared" ref="F143:F206" si="51">Wh_sa/(1-Pvg*MEDIAN((-Sdif+Wh/Env_an)/Csdif,0,1))</f>
        <v>60.389328198087391</v>
      </c>
      <c r="G143" s="110">
        <f t="shared" si="48"/>
        <v>0.96412386998131638</v>
      </c>
      <c r="H143" s="416" t="b">
        <f>Wh_hp&gt;='2021'!Maxi_hp</f>
        <v>1</v>
      </c>
      <c r="I143" s="382">
        <f>IF(H143,Wh_hp,'2021'!Maxi_hp)</f>
        <v>60.389328198087391</v>
      </c>
      <c r="J143" s="85">
        <f>IF(H143,An,'2021'!An_max)</f>
        <v>2022</v>
      </c>
      <c r="K143" s="199">
        <f t="shared" ref="K143:K206" si="52">t</f>
        <v>44690</v>
      </c>
      <c r="L143" s="147">
        <f>IF(t&lt;Tvie,1-EXP((T0-t)*PertePVj)+'2021'!Pspv,1-EXP((T0-t)*PertePVj)+Pspv)</f>
        <v>3.1537168769966262E-2</v>
      </c>
      <c r="M143" s="872"/>
      <c r="N143" s="872"/>
      <c r="O143" s="48">
        <f>IF(t&lt;Tnet,'2021'!Resal+('2021'!Salim-'2021'!Resal)*(1-EXP(('2021'!Tnet-t)/('2021'!Tau_j))),Resal+(Salim-Resal)*(1-EXP((Tnet-t)/(Tau_j))))*Salcycl</f>
        <v>0.12207057985637977</v>
      </c>
      <c r="P143" s="341">
        <f>(INDEX(Models!$BJ143:$BT143,,T143)*(1-R143)+INDEX(Models!$BJ143:$BT143,,T143+1)*R143-ERP_i)*Q143*Ramure*Pc/MaxiM</f>
        <v>1.3863968467536939E-3</v>
      </c>
      <c r="Q143" s="307">
        <f t="shared" ref="Q143:Q206" si="53">IF(OR(t&lt;Ttai,Notai),Dd+PousD*Croivg,Dens+PousD*(Croivg-Croi_tai))</f>
        <v>0.9</v>
      </c>
      <c r="R143" s="179">
        <f t="shared" ref="R143:R206" si="54">(Hp_vg-S143)/(INDEX(Echel_vg,T143+1)-S143)</f>
        <v>2.6414549943445692E-2</v>
      </c>
      <c r="S143" s="839">
        <f t="shared" ref="S143:S206" si="55">INDEX(Echel_vg,T143)</f>
        <v>0</v>
      </c>
      <c r="T143" s="178">
        <f t="shared" ref="T143:T206" si="56">MIN(MATCH(Hp_vg,Echel_vg),10)</f>
        <v>6</v>
      </c>
      <c r="U143" s="253">
        <f t="shared" ref="U143:U206" si="57">IF(OR(t&lt;Ttai,Notai),Hdd+PousH*Croivg,Hdtf+PousH*(Croivg-Croi_tai))</f>
        <v>2.6414549943445692E-2</v>
      </c>
      <c r="V143" s="385">
        <f t="shared" ref="V143:V206" si="58">MaxiM*(1-Ppv)*(1-Pvg)*(1-Psa)</f>
        <v>53.182334965311355</v>
      </c>
      <c r="W143" s="404">
        <f t="shared" ref="W143:W206" si="59">Wh*(A143&gt;Tmaj)</f>
        <v>0</v>
      </c>
      <c r="X143" s="157">
        <f t="shared" ref="X143:X206" si="60">t</f>
        <v>44690</v>
      </c>
      <c r="Y143" s="387">
        <f t="shared" ref="Y143:Y206" si="61">Wh_pvt_s*(1-Ppv)</f>
        <v>49.157514224437719</v>
      </c>
      <c r="Z143" s="387">
        <f t="shared" ref="Z143:Z206" si="62">Wh_sa_s*(1-Psa_s)</f>
        <v>50.75828688438493</v>
      </c>
      <c r="AA143" s="388">
        <f t="shared" ref="AA143:AA206" si="63">Wh_hp*(1-Pvg_s*MEDIAN((-Sdif+Wh/Env_an)/Csdif,0,1))</f>
        <v>60.309887402858415</v>
      </c>
      <c r="AB143" s="199">
        <f t="shared" ref="AB143:AB206" si="64">t</f>
        <v>44690</v>
      </c>
      <c r="AC143" s="119">
        <f>IF(OR(t&lt;Tnet,NoTnet),'2021'!Resal_s+('2021'!Salim-'2021'!Resal_s)*(1-EXP(('2021'!Tnet_s-t)/'2021'!Tau_j)),Resal_s+(Salim-Resal_s)*(1-EXP((Tnet_s-t)/Tau_j)))*Salcycl</f>
        <v>0.15837536645808409</v>
      </c>
      <c r="AD143" s="233">
        <f>(INDEX(Models!$BJ143:$BT143,,AH143)*(1-AF143)+INDEX(Models!$BJ143:$BT143,,AH143+1)*AF143-ERP_i)*AE143*Ramure*Pc/MaxiM</f>
        <v>1.3863968467536939E-3</v>
      </c>
      <c r="AE143" s="307">
        <f t="shared" ref="AE143:AE206" si="65">IF(OR(t&lt;Ttai,Notai),Dd_s+PousD*Croivg,Dens_s+PousD*(Croivg-Croi_tai))</f>
        <v>0.9</v>
      </c>
      <c r="AF143" s="179">
        <f t="shared" ref="AF143:AF206" si="66">(Hp_vg_s-AG143)/(INDEX(Echel_vg,AH143+1)-AG143)</f>
        <v>2.6414549943445692E-2</v>
      </c>
      <c r="AG143" s="839">
        <f t="shared" si="49"/>
        <v>0</v>
      </c>
      <c r="AH143" s="178">
        <f t="shared" ref="AH143:AH206" si="67">MIN(MATCH(Hp_vg_s,Echel_vg),10)</f>
        <v>6</v>
      </c>
      <c r="AI143" s="227">
        <f t="shared" ref="AI143:AI206" si="68">IF(OR(t&lt;Ttai,Notai),Hdd_s+PousH*Croivg,Hdtai_s+PousH*(Croivg-Croi_tai))</f>
        <v>2.6414549943445692E-2</v>
      </c>
      <c r="AJ143" s="267" t="b">
        <f t="shared" ref="AJ143:AJ206" si="69">t&lt;Tnet</f>
        <v>1</v>
      </c>
      <c r="AK143" s="267" t="b">
        <f t="shared" ref="AK143:AK206" si="70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71">A143+1</f>
        <v>44691</v>
      </c>
      <c r="B144" s="1141">
        <v>47.069000000000003</v>
      </c>
      <c r="C144" s="868"/>
      <c r="D144" s="395">
        <f t="shared" si="50"/>
        <v>48.60289303008306</v>
      </c>
      <c r="E144" s="387">
        <f t="shared" ref="E144:E169" si="72">Wh_pvt/(1-Psa)</f>
        <v>55.376408697022569</v>
      </c>
      <c r="F144" s="387">
        <f t="shared" si="51"/>
        <v>55.43619024431473</v>
      </c>
      <c r="G144" s="110">
        <f t="shared" ref="G144:G169" si="73">+Wh_hp/MaxiM</f>
        <v>0.88306709478050982</v>
      </c>
      <c r="H144" s="416" t="b">
        <f>Wh_hp&gt;='2021'!Maxi_hp</f>
        <v>1</v>
      </c>
      <c r="I144" s="382">
        <f>IF(H144,Wh_hp,'2021'!Maxi_hp)</f>
        <v>55.43619024431473</v>
      </c>
      <c r="J144" s="85">
        <f>IF(H144,An,'2021'!An_max)</f>
        <v>2022</v>
      </c>
      <c r="K144" s="199">
        <f t="shared" si="52"/>
        <v>44691</v>
      </c>
      <c r="L144" s="147">
        <f>IF(t&lt;Tvie,1-EXP((T0-t)*PertePVj)+'2021'!Pspv,1-EXP((T0-t)*PertePVj)+Pspv)</f>
        <v>3.1559706314882141E-2</v>
      </c>
      <c r="M144" s="872"/>
      <c r="N144" s="872"/>
      <c r="O144" s="48">
        <f>IF(t&lt;Tnet,'2021'!Resal+('2021'!Salim-'2021'!Resal)*(1-EXP(('2021'!Tnet-t)/('2021'!Tau_j))),Resal+(Salim-Resal)*(1-EXP((Tnet-t)/(Tau_j))))*Salcycl</f>
        <v>0.12231771301745145</v>
      </c>
      <c r="P144" s="341">
        <f>(INDEX(Models!$BJ144:$BT144,,T144)*(1-R144)+INDEX(Models!$BJ144:$BT144,,T144+1)*R144-ERP_i)*Q144*Ramure*Pc/MaxiM</f>
        <v>1.2942290697942349E-3</v>
      </c>
      <c r="Q144" s="307">
        <f t="shared" si="53"/>
        <v>0.9</v>
      </c>
      <c r="R144" s="179">
        <f t="shared" si="54"/>
        <v>3.0586101343314409E-2</v>
      </c>
      <c r="S144" s="839">
        <f t="shared" si="55"/>
        <v>0</v>
      </c>
      <c r="T144" s="178">
        <f t="shared" si="56"/>
        <v>6</v>
      </c>
      <c r="U144" s="253">
        <f t="shared" si="57"/>
        <v>3.0586101343314409E-2</v>
      </c>
      <c r="V144" s="385">
        <f t="shared" si="58"/>
        <v>53.290208341430798</v>
      </c>
      <c r="W144" s="404">
        <f t="shared" si="59"/>
        <v>0</v>
      </c>
      <c r="X144" s="157">
        <f t="shared" si="60"/>
        <v>44691</v>
      </c>
      <c r="Y144" s="387">
        <f t="shared" si="61"/>
        <v>45.1256713945385</v>
      </c>
      <c r="Z144" s="387">
        <f t="shared" si="62"/>
        <v>46.596234882819552</v>
      </c>
      <c r="AA144" s="388">
        <f t="shared" si="63"/>
        <v>55.376408697022569</v>
      </c>
      <c r="AB144" s="199">
        <f t="shared" si="64"/>
        <v>44691</v>
      </c>
      <c r="AC144" s="119">
        <f>IF(OR(t&lt;Tnet,NoTnet),'2021'!Resal_s+('2021'!Salim-'2021'!Resal_s)*(1-EXP(('2021'!Tnet_s-t)/'2021'!Tau_j)),Resal_s+(Salim-Resal_s)*(1-EXP((Tnet_s-t)/Tau_j)))*Salcycl</f>
        <v>0.15855441009620946</v>
      </c>
      <c r="AD144" s="233">
        <f>(INDEX(Models!$BJ144:$BT144,,AH144)*(1-AF144)+INDEX(Models!$BJ144:$BT144,,AH144+1)*AF144-ERP_i)*AE144*Ramure*Pc/MaxiM</f>
        <v>1.2942290697942349E-3</v>
      </c>
      <c r="AE144" s="307">
        <f t="shared" si="65"/>
        <v>0.9</v>
      </c>
      <c r="AF144" s="179">
        <f t="shared" si="66"/>
        <v>3.0586101343314409E-2</v>
      </c>
      <c r="AG144" s="839">
        <f t="shared" ref="AG144:AG207" si="74">INDEX(Echel_vg,AH144)</f>
        <v>0</v>
      </c>
      <c r="AH144" s="178">
        <f t="shared" si="67"/>
        <v>6</v>
      </c>
      <c r="AI144" s="227">
        <f t="shared" si="68"/>
        <v>3.0586101343314409E-2</v>
      </c>
      <c r="AJ144" s="267" t="b">
        <f t="shared" si="69"/>
        <v>1</v>
      </c>
      <c r="AK144" s="267" t="b">
        <f t="shared" si="70"/>
        <v>0</v>
      </c>
      <c r="AL144" s="267"/>
      <c r="AM144" s="267"/>
      <c r="AN144" s="75"/>
    </row>
    <row r="145" spans="1:40" s="6" customFormat="1" ht="11.25" x14ac:dyDescent="0.2">
      <c r="A145" s="56">
        <f t="shared" si="71"/>
        <v>44692</v>
      </c>
      <c r="B145" s="1141">
        <v>51.579000000000001</v>
      </c>
      <c r="C145" s="868"/>
      <c r="D145" s="395">
        <f t="shared" si="50"/>
        <v>53.261105184236435</v>
      </c>
      <c r="E145" s="387">
        <f t="shared" si="72"/>
        <v>60.701012243369298</v>
      </c>
      <c r="F145" s="387">
        <f t="shared" si="51"/>
        <v>60.770845469970119</v>
      </c>
      <c r="G145" s="110">
        <f t="shared" si="73"/>
        <v>0.96597676728771653</v>
      </c>
      <c r="H145" s="416" t="b">
        <f>Wh_hp&gt;='2021'!Maxi_hp</f>
        <v>1</v>
      </c>
      <c r="I145" s="382">
        <f>IF(H145,Wh_hp,'2021'!Maxi_hp)</f>
        <v>60.770845469970119</v>
      </c>
      <c r="J145" s="85">
        <f>IF(H145,An,'2021'!An_max)</f>
        <v>2022</v>
      </c>
      <c r="K145" s="199">
        <f t="shared" si="52"/>
        <v>44692</v>
      </c>
      <c r="L145" s="147">
        <f>IF(t&lt;Tvie,1-EXP((T0-t)*PertePVj)+'2021'!Pspv,1-EXP((T0-t)*PertePVj)+Pspv)</f>
        <v>3.158224333531634E-2</v>
      </c>
      <c r="M145" s="872"/>
      <c r="N145" s="872"/>
      <c r="O145" s="48">
        <f>IF(t&lt;Tnet,'2021'!Resal+('2021'!Salim-'2021'!Resal)*(1-EXP(('2021'!Tnet-t)/('2021'!Tau_j))),Resal+(Salim-Resal)*(1-EXP((Tnet-t)/(Tau_j))))*Salcycl</f>
        <v>0.12256644138493034</v>
      </c>
      <c r="P145" s="341">
        <f>(INDEX(Models!$BJ145:$BT145,,T145)*(1-R145)+INDEX(Models!$BJ145:$BT145,,T145+1)*R145-ERP_i)*Q145*Ramure*Pc/MaxiM</f>
        <v>1.2077271579615803E-3</v>
      </c>
      <c r="Q145" s="307">
        <f t="shared" si="53"/>
        <v>0.9</v>
      </c>
      <c r="R145" s="179">
        <f t="shared" si="54"/>
        <v>3.4855258237831366E-2</v>
      </c>
      <c r="S145" s="839">
        <f t="shared" si="55"/>
        <v>0</v>
      </c>
      <c r="T145" s="178">
        <f t="shared" si="56"/>
        <v>6</v>
      </c>
      <c r="U145" s="253">
        <f t="shared" si="57"/>
        <v>3.4855258237831366E-2</v>
      </c>
      <c r="V145" s="385">
        <f t="shared" si="58"/>
        <v>53.39256136172483</v>
      </c>
      <c r="W145" s="404">
        <f t="shared" si="59"/>
        <v>0</v>
      </c>
      <c r="X145" s="157">
        <f t="shared" si="60"/>
        <v>44692</v>
      </c>
      <c r="Y145" s="387">
        <f t="shared" si="61"/>
        <v>49.452830718619431</v>
      </c>
      <c r="Z145" s="387">
        <f t="shared" si="62"/>
        <v>51.065596823564398</v>
      </c>
      <c r="AA145" s="388">
        <f t="shared" si="63"/>
        <v>60.701012243369298</v>
      </c>
      <c r="AB145" s="199">
        <f t="shared" si="64"/>
        <v>44692</v>
      </c>
      <c r="AC145" s="119">
        <f>IF(OR(t&lt;Tnet,NoTnet),'2021'!Resal_s+('2021'!Salim-'2021'!Resal_s)*(1-EXP(('2021'!Tnet_s-t)/'2021'!Tau_j)),Resal_s+(Salim-Resal_s)*(1-EXP((Tnet_s-t)/Tau_j)))*Salcycl</f>
        <v>0.15873566294370051</v>
      </c>
      <c r="AD145" s="233">
        <f>(INDEX(Models!$BJ145:$BT145,,AH145)*(1-AF145)+INDEX(Models!$BJ145:$BT145,,AH145+1)*AF145-ERP_i)*AE145*Ramure*Pc/MaxiM</f>
        <v>1.2077271579615803E-3</v>
      </c>
      <c r="AE145" s="307">
        <f t="shared" si="65"/>
        <v>0.9</v>
      </c>
      <c r="AF145" s="179">
        <f t="shared" si="66"/>
        <v>3.4855258237831366E-2</v>
      </c>
      <c r="AG145" s="839">
        <f t="shared" si="74"/>
        <v>0</v>
      </c>
      <c r="AH145" s="178">
        <f t="shared" si="67"/>
        <v>6</v>
      </c>
      <c r="AI145" s="227">
        <f t="shared" si="68"/>
        <v>3.4855258237831366E-2</v>
      </c>
      <c r="AJ145" s="267" t="b">
        <f t="shared" si="69"/>
        <v>1</v>
      </c>
      <c r="AK145" s="267" t="b">
        <f t="shared" si="70"/>
        <v>0</v>
      </c>
      <c r="AL145" s="267"/>
      <c r="AM145" s="267"/>
      <c r="AN145" s="75"/>
    </row>
    <row r="146" spans="1:40" s="6" customFormat="1" ht="11.25" x14ac:dyDescent="0.2">
      <c r="A146" s="56">
        <f t="shared" si="71"/>
        <v>44693</v>
      </c>
      <c r="B146" s="1141">
        <v>40.228000000000002</v>
      </c>
      <c r="C146" s="868"/>
      <c r="D146" s="395">
        <f t="shared" si="50"/>
        <v>41.540890704717924</v>
      </c>
      <c r="E146" s="387">
        <f t="shared" si="72"/>
        <v>47.357137343565881</v>
      </c>
      <c r="F146" s="387">
        <f t="shared" si="51"/>
        <v>47.391625775402026</v>
      </c>
      <c r="G146" s="110">
        <f t="shared" si="73"/>
        <v>0.75176848831841336</v>
      </c>
      <c r="H146" s="416" t="b">
        <f>Wh_hp&gt;='2021'!Maxi_hp</f>
        <v>0</v>
      </c>
      <c r="I146" s="382">
        <f>IF(H146,Wh_hp,'2021'!Maxi_hp)</f>
        <v>58.685038325386628</v>
      </c>
      <c r="J146" s="85">
        <f>IF(H146,An,'2021'!An_max)</f>
        <v>2019</v>
      </c>
      <c r="K146" s="199">
        <f t="shared" si="52"/>
        <v>44693</v>
      </c>
      <c r="L146" s="147">
        <f>IF(t&lt;Tvie,1-EXP((T0-t)*PertePVj)+'2021'!Pspv,1-EXP((T0-t)*PertePVj)+Pspv)</f>
        <v>3.1604779831281182E-2</v>
      </c>
      <c r="M146" s="872"/>
      <c r="N146" s="872"/>
      <c r="O146" s="48">
        <f>IF(t&lt;Tnet,'2021'!Resal+('2021'!Salim-'2021'!Resal)*(1-EXP(('2021'!Tnet-t)/('2021'!Tau_j))),Resal+(Salim-Resal)*(1-EXP((Tnet-t)/(Tau_j))))*Salcycl</f>
        <v>0.12281668540588375</v>
      </c>
      <c r="P146" s="341">
        <f>(INDEX(Models!$BJ146:$BT146,,T146)*(1-R146)+INDEX(Models!$BJ146:$BT146,,T146+1)*R146-ERP_i)*Q146*Ramure*Pc/MaxiM</f>
        <v>1.1268478468087881E-3</v>
      </c>
      <c r="Q146" s="307">
        <f t="shared" si="53"/>
        <v>0.9</v>
      </c>
      <c r="R146" s="179">
        <f t="shared" si="54"/>
        <v>3.922175542125636E-2</v>
      </c>
      <c r="S146" s="839">
        <f t="shared" si="55"/>
        <v>0</v>
      </c>
      <c r="T146" s="178">
        <f t="shared" si="56"/>
        <v>6</v>
      </c>
      <c r="U146" s="253">
        <f t="shared" si="57"/>
        <v>3.922175542125636E-2</v>
      </c>
      <c r="V146" s="385">
        <f t="shared" si="58"/>
        <v>53.489782193150027</v>
      </c>
      <c r="W146" s="404">
        <f t="shared" si="59"/>
        <v>0</v>
      </c>
      <c r="X146" s="157">
        <f t="shared" si="60"/>
        <v>44693</v>
      </c>
      <c r="Y146" s="387">
        <f t="shared" si="61"/>
        <v>38.572331758278693</v>
      </c>
      <c r="Z146" s="387">
        <f t="shared" si="62"/>
        <v>39.831187675170909</v>
      </c>
      <c r="AA146" s="388">
        <f t="shared" si="63"/>
        <v>47.357137343565881</v>
      </c>
      <c r="AB146" s="199">
        <f t="shared" si="64"/>
        <v>44693</v>
      </c>
      <c r="AC146" s="119">
        <f>IF(OR(t&lt;Tnet,NoTnet),'2021'!Resal_s+('2021'!Salim-'2021'!Resal_s)*(1-EXP(('2021'!Tnet_s-t)/'2021'!Tau_j)),Resal_s+(Salim-Resal_s)*(1-EXP((Tnet_s-t)/Tau_j)))*Salcycl</f>
        <v>0.15891901602488806</v>
      </c>
      <c r="AD146" s="233">
        <f>(INDEX(Models!$BJ146:$BT146,,AH146)*(1-AF146)+INDEX(Models!$BJ146:$BT146,,AH146+1)*AF146-ERP_i)*AE146*Ramure*Pc/MaxiM</f>
        <v>1.1268478468087881E-3</v>
      </c>
      <c r="AE146" s="307">
        <f t="shared" si="65"/>
        <v>0.9</v>
      </c>
      <c r="AF146" s="179">
        <f t="shared" si="66"/>
        <v>3.922175542125636E-2</v>
      </c>
      <c r="AG146" s="839">
        <f t="shared" si="74"/>
        <v>0</v>
      </c>
      <c r="AH146" s="178">
        <f t="shared" si="67"/>
        <v>6</v>
      </c>
      <c r="AI146" s="227">
        <f t="shared" si="68"/>
        <v>3.922175542125636E-2</v>
      </c>
      <c r="AJ146" s="267" t="b">
        <f t="shared" si="69"/>
        <v>1</v>
      </c>
      <c r="AK146" s="267" t="b">
        <f t="shared" si="70"/>
        <v>0</v>
      </c>
      <c r="AL146" s="267"/>
      <c r="AM146" s="267"/>
      <c r="AN146" s="75"/>
    </row>
    <row r="147" spans="1:40" s="6" customFormat="1" ht="11.25" x14ac:dyDescent="0.2">
      <c r="A147" s="56">
        <f t="shared" si="71"/>
        <v>44694</v>
      </c>
      <c r="B147" s="1141">
        <v>42.926000000000002</v>
      </c>
      <c r="C147" s="868"/>
      <c r="D147" s="395">
        <f t="shared" si="50"/>
        <v>44.327974859788625</v>
      </c>
      <c r="E147" s="387">
        <f t="shared" si="72"/>
        <v>50.548951384768479</v>
      </c>
      <c r="F147" s="387">
        <f t="shared" si="51"/>
        <v>50.587033234012033</v>
      </c>
      <c r="G147" s="110">
        <f t="shared" si="73"/>
        <v>0.800883852031398</v>
      </c>
      <c r="H147" s="416" t="b">
        <f>Wh_hp&gt;='2021'!Maxi_hp</f>
        <v>0</v>
      </c>
      <c r="I147" s="382">
        <f>IF(H147,Wh_hp,'2021'!Maxi_hp)</f>
        <v>65.198747930481261</v>
      </c>
      <c r="J147" s="85">
        <f>IF(H147,An,'2021'!An_max)</f>
        <v>2019</v>
      </c>
      <c r="K147" s="199">
        <f t="shared" si="52"/>
        <v>44694</v>
      </c>
      <c r="L147" s="147">
        <f>IF(t&lt;Tvie,1-EXP((T0-t)*PertePVj)+'2021'!Pspv,1-EXP((T0-t)*PertePVj)+Pspv)</f>
        <v>3.162731580278888E-2</v>
      </c>
      <c r="M147" s="872"/>
      <c r="N147" s="872"/>
      <c r="O147" s="48">
        <f>IF(t&lt;Tnet,'2021'!Resal+('2021'!Salim-'2021'!Resal)*(1-EXP(('2021'!Tnet-t)/('2021'!Tau_j))),Resal+(Salim-Resal)*(1-EXP((Tnet-t)/(Tau_j))))*Salcycl</f>
        <v>0.12306835957143859</v>
      </c>
      <c r="P147" s="341">
        <f>(INDEX(Models!$BJ147:$BT147,,T147)*(1-R147)+INDEX(Models!$BJ147:$BT147,,T147+1)*R147-ERP_i)*Q147*Ramure*Pc/MaxiM</f>
        <v>1.0515555009661696E-3</v>
      </c>
      <c r="Q147" s="307">
        <f t="shared" si="53"/>
        <v>0.9</v>
      </c>
      <c r="R147" s="179">
        <f t="shared" si="54"/>
        <v>4.3685147392871326E-2</v>
      </c>
      <c r="S147" s="839">
        <f t="shared" si="55"/>
        <v>0</v>
      </c>
      <c r="T147" s="178">
        <f t="shared" si="56"/>
        <v>6</v>
      </c>
      <c r="U147" s="253">
        <f t="shared" si="57"/>
        <v>4.3685147392871326E-2</v>
      </c>
      <c r="V147" s="385">
        <f t="shared" si="58"/>
        <v>53.582258890796503</v>
      </c>
      <c r="W147" s="404">
        <f t="shared" si="59"/>
        <v>0</v>
      </c>
      <c r="X147" s="157">
        <f t="shared" si="60"/>
        <v>44694</v>
      </c>
      <c r="Y147" s="387">
        <f t="shared" si="61"/>
        <v>41.162030054889961</v>
      </c>
      <c r="Z147" s="387">
        <f t="shared" si="62"/>
        <v>42.506393175488654</v>
      </c>
      <c r="AA147" s="388">
        <f t="shared" si="63"/>
        <v>50.548951384768479</v>
      </c>
      <c r="AB147" s="199">
        <f t="shared" si="64"/>
        <v>44694</v>
      </c>
      <c r="AC147" s="119">
        <f>IF(OR(t&lt;Tnet,NoTnet),'2021'!Resal_s+('2021'!Salim-'2021'!Resal_s)*(1-EXP(('2021'!Tnet_s-t)/'2021'!Tau_j)),Resal_s+(Salim-Resal_s)*(1-EXP((Tnet_s-t)/Tau_j)))*Salcycl</f>
        <v>0.15910435308660476</v>
      </c>
      <c r="AD147" s="233">
        <f>(INDEX(Models!$BJ147:$BT147,,AH147)*(1-AF147)+INDEX(Models!$BJ147:$BT147,,AH147+1)*AF147-ERP_i)*AE147*Ramure*Pc/MaxiM</f>
        <v>1.0515555009661696E-3</v>
      </c>
      <c r="AE147" s="307">
        <f t="shared" si="65"/>
        <v>0.9</v>
      </c>
      <c r="AF147" s="179">
        <f t="shared" si="66"/>
        <v>4.3685147392871326E-2</v>
      </c>
      <c r="AG147" s="839">
        <f t="shared" si="74"/>
        <v>0</v>
      </c>
      <c r="AH147" s="178">
        <f t="shared" si="67"/>
        <v>6</v>
      </c>
      <c r="AI147" s="227">
        <f t="shared" si="68"/>
        <v>4.3685147392871326E-2</v>
      </c>
      <c r="AJ147" s="267" t="b">
        <f t="shared" si="69"/>
        <v>1</v>
      </c>
      <c r="AK147" s="267" t="b">
        <f t="shared" si="70"/>
        <v>0</v>
      </c>
      <c r="AL147" s="267"/>
      <c r="AM147" s="267"/>
      <c r="AN147" s="75"/>
    </row>
    <row r="148" spans="1:40" s="6" customFormat="1" ht="11.25" x14ac:dyDescent="0.2">
      <c r="A148" s="56">
        <f t="shared" si="71"/>
        <v>44695</v>
      </c>
      <c r="B148" s="1141">
        <v>44.243000000000002</v>
      </c>
      <c r="C148" s="868"/>
      <c r="D148" s="395">
        <f t="shared" si="50"/>
        <v>45.689051689726632</v>
      </c>
      <c r="E148" s="387">
        <f t="shared" si="72"/>
        <v>52.116077950407764</v>
      </c>
      <c r="F148" s="387">
        <f t="shared" si="51"/>
        <v>52.154434924294442</v>
      </c>
      <c r="G148" s="110">
        <f t="shared" si="73"/>
        <v>0.82414345237497233</v>
      </c>
      <c r="H148" s="416" t="b">
        <f>Wh_hp&gt;='2021'!Maxi_hp</f>
        <v>0</v>
      </c>
      <c r="I148" s="382">
        <f>IF(H148,Wh_hp,'2021'!Maxi_hp)</f>
        <v>63.557422198043149</v>
      </c>
      <c r="J148" s="85">
        <f>IF(H148,An,'2021'!An_max)</f>
        <v>2019</v>
      </c>
      <c r="K148" s="199">
        <f t="shared" si="52"/>
        <v>44695</v>
      </c>
      <c r="L148" s="147">
        <f>IF(t&lt;Tvie,1-EXP((T0-t)*PertePVj)+'2021'!Pspv,1-EXP((T0-t)*PertePVj)+Pspv)</f>
        <v>3.1649851249851646E-2</v>
      </c>
      <c r="M148" s="872"/>
      <c r="N148" s="872"/>
      <c r="O148" s="48">
        <f>IF(t&lt;Tnet,'2021'!Resal+('2021'!Salim-'2021'!Resal)*(1-EXP(('2021'!Tnet-t)/('2021'!Tau_j))),Resal+(Salim-Resal)*(1-EXP((Tnet-t)/(Tau_j))))*Salcycl</f>
        <v>0.12332137247159915</v>
      </c>
      <c r="P148" s="341">
        <f>(INDEX(Models!$BJ148:$BT148,,T148)*(1-R148)+INDEX(Models!$BJ148:$BT148,,T148+1)*R148-ERP_i)*Q148*Ramure*Pc/MaxiM</f>
        <v>9.8182162972819463E-4</v>
      </c>
      <c r="Q148" s="307">
        <f t="shared" si="53"/>
        <v>0.9</v>
      </c>
      <c r="R148" s="179">
        <f t="shared" si="54"/>
        <v>4.8244801471239884E-2</v>
      </c>
      <c r="S148" s="839">
        <f t="shared" si="55"/>
        <v>0</v>
      </c>
      <c r="T148" s="178">
        <f t="shared" si="56"/>
        <v>6</v>
      </c>
      <c r="U148" s="253">
        <f t="shared" si="57"/>
        <v>4.8244801471239884E-2</v>
      </c>
      <c r="V148" s="385">
        <f t="shared" si="58"/>
        <v>53.670379380644775</v>
      </c>
      <c r="W148" s="404">
        <f t="shared" si="59"/>
        <v>0</v>
      </c>
      <c r="X148" s="157">
        <f t="shared" si="60"/>
        <v>44695</v>
      </c>
      <c r="Y148" s="387">
        <f t="shared" si="61"/>
        <v>42.427706977815191</v>
      </c>
      <c r="Z148" s="387">
        <f t="shared" si="62"/>
        <v>43.81442707741278</v>
      </c>
      <c r="AA148" s="388">
        <f t="shared" si="63"/>
        <v>52.116077950407764</v>
      </c>
      <c r="AB148" s="199">
        <f t="shared" si="64"/>
        <v>44695</v>
      </c>
      <c r="AC148" s="119">
        <f>IF(OR(t&lt;Tnet,NoTnet),'2021'!Resal_s+('2021'!Salim-'2021'!Resal_s)*(1-EXP(('2021'!Tnet_s-t)/'2021'!Tau_j)),Resal_s+(Salim-Resal_s)*(1-EXP((Tnet_s-t)/Tau_j)))*Salcycl</f>
        <v>0.15929155069755266</v>
      </c>
      <c r="AD148" s="233">
        <f>(INDEX(Models!$BJ148:$BT148,,AH148)*(1-AF148)+INDEX(Models!$BJ148:$BT148,,AH148+1)*AF148-ERP_i)*AE148*Ramure*Pc/MaxiM</f>
        <v>9.8182162972819463E-4</v>
      </c>
      <c r="AE148" s="307">
        <f t="shared" si="65"/>
        <v>0.9</v>
      </c>
      <c r="AF148" s="179">
        <f t="shared" si="66"/>
        <v>4.8244801471239884E-2</v>
      </c>
      <c r="AG148" s="839">
        <f t="shared" si="74"/>
        <v>0</v>
      </c>
      <c r="AH148" s="178">
        <f t="shared" si="67"/>
        <v>6</v>
      </c>
      <c r="AI148" s="227">
        <f t="shared" si="68"/>
        <v>4.8244801471239884E-2</v>
      </c>
      <c r="AJ148" s="267" t="b">
        <f t="shared" si="69"/>
        <v>1</v>
      </c>
      <c r="AK148" s="267" t="b">
        <f t="shared" si="70"/>
        <v>0</v>
      </c>
      <c r="AL148" s="267"/>
      <c r="AM148" s="267"/>
      <c r="AN148" s="75"/>
    </row>
    <row r="149" spans="1:40" s="6" customFormat="1" ht="11.25" x14ac:dyDescent="0.2">
      <c r="A149" s="56">
        <f t="shared" si="71"/>
        <v>44696</v>
      </c>
      <c r="B149" s="1141">
        <v>47.861000000000004</v>
      </c>
      <c r="C149" s="868"/>
      <c r="D149" s="395">
        <f t="shared" si="50"/>
        <v>49.426453729662157</v>
      </c>
      <c r="E149" s="387">
        <f t="shared" si="72"/>
        <v>56.395571877695453</v>
      </c>
      <c r="F149" s="387">
        <f t="shared" si="51"/>
        <v>56.439253467774229</v>
      </c>
      <c r="G149" s="110">
        <f t="shared" si="73"/>
        <v>0.89026007117033357</v>
      </c>
      <c r="H149" s="416" t="b">
        <f>Wh_hp&gt;='2021'!Maxi_hp</f>
        <v>0</v>
      </c>
      <c r="I149" s="382">
        <f>IF(H149,Wh_hp,'2021'!Maxi_hp)</f>
        <v>64.50696341655771</v>
      </c>
      <c r="J149" s="85">
        <f>IF(H149,An,'2021'!An_max)</f>
        <v>2019</v>
      </c>
      <c r="K149" s="199">
        <f t="shared" si="52"/>
        <v>44696</v>
      </c>
      <c r="L149" s="147">
        <f>IF(t&lt;Tvie,1-EXP((T0-t)*PertePVj)+'2021'!Pspv,1-EXP((T0-t)*PertePVj)+Pspv)</f>
        <v>3.1672386172481581E-2</v>
      </c>
      <c r="M149" s="872"/>
      <c r="N149" s="872"/>
      <c r="O149" s="48">
        <f>IF(t&lt;Tnet,'2021'!Resal+('2021'!Salim-'2021'!Resal)*(1-EXP(('2021'!Tnet-t)/('2021'!Tau_j))),Resal+(Salim-Resal)*(1-EXP((Tnet-t)/(Tau_j))))*Salcycl</f>
        <v>0.12357562687984017</v>
      </c>
      <c r="P149" s="341">
        <f>(INDEX(Models!$BJ149:$BT149,,T149)*(1-R149)+INDEX(Models!$BJ149:$BT149,,T149+1)*R149-ERP_i)*Q149*Ramure*Pc/MaxiM</f>
        <v>9.1765115050346203E-4</v>
      </c>
      <c r="Q149" s="307">
        <f t="shared" si="53"/>
        <v>0.9</v>
      </c>
      <c r="R149" s="179">
        <f t="shared" si="54"/>
        <v>5.289989139868731E-2</v>
      </c>
      <c r="S149" s="839">
        <f t="shared" si="55"/>
        <v>0</v>
      </c>
      <c r="T149" s="178">
        <f t="shared" si="56"/>
        <v>6</v>
      </c>
      <c r="U149" s="253">
        <f t="shared" si="57"/>
        <v>5.289989139868731E-2</v>
      </c>
      <c r="V149" s="385">
        <f t="shared" si="58"/>
        <v>53.75296377605229</v>
      </c>
      <c r="W149" s="404">
        <f t="shared" si="59"/>
        <v>0</v>
      </c>
      <c r="X149" s="157">
        <f t="shared" si="60"/>
        <v>44696</v>
      </c>
      <c r="Y149" s="387">
        <f t="shared" si="61"/>
        <v>45.900257977520148</v>
      </c>
      <c r="Z149" s="387">
        <f t="shared" si="62"/>
        <v>47.401579095828666</v>
      </c>
      <c r="AA149" s="388">
        <f t="shared" si="63"/>
        <v>56.395571877695453</v>
      </c>
      <c r="AB149" s="199">
        <f t="shared" si="64"/>
        <v>44696</v>
      </c>
      <c r="AC149" s="119">
        <f>IF(OR(t&lt;Tnet,NoTnet),'2021'!Resal_s+('2021'!Salim-'2021'!Resal_s)*(1-EXP(('2021'!Tnet_s-t)/'2021'!Tau_j)),Resal_s+(Salim-Resal_s)*(1-EXP((Tnet_s-t)/Tau_j)))*Salcycl</f>
        <v>0.15948047838528839</v>
      </c>
      <c r="AD149" s="233">
        <f>(INDEX(Models!$BJ149:$BT149,,AH149)*(1-AF149)+INDEX(Models!$BJ149:$BT149,,AH149+1)*AF149-ERP_i)*AE149*Ramure*Pc/MaxiM</f>
        <v>9.1765115050346203E-4</v>
      </c>
      <c r="AE149" s="307">
        <f t="shared" si="65"/>
        <v>0.9</v>
      </c>
      <c r="AF149" s="179">
        <f t="shared" si="66"/>
        <v>5.289989139868731E-2</v>
      </c>
      <c r="AG149" s="839">
        <f t="shared" si="74"/>
        <v>0</v>
      </c>
      <c r="AH149" s="178">
        <f t="shared" si="67"/>
        <v>6</v>
      </c>
      <c r="AI149" s="227">
        <f t="shared" si="68"/>
        <v>5.289989139868731E-2</v>
      </c>
      <c r="AJ149" s="267" t="b">
        <f t="shared" si="69"/>
        <v>1</v>
      </c>
      <c r="AK149" s="267" t="b">
        <f t="shared" si="70"/>
        <v>0</v>
      </c>
      <c r="AL149" s="267"/>
      <c r="AM149" s="267"/>
      <c r="AN149" s="75"/>
    </row>
    <row r="150" spans="1:40" s="6" customFormat="1" ht="11.25" x14ac:dyDescent="0.2">
      <c r="A150" s="56">
        <f t="shared" si="71"/>
        <v>44697</v>
      </c>
      <c r="B150" s="1141">
        <v>46.652000000000001</v>
      </c>
      <c r="C150" s="868"/>
      <c r="D150" s="395">
        <f t="shared" si="50"/>
        <v>48.179030546339106</v>
      </c>
      <c r="E150" s="387">
        <f t="shared" si="72"/>
        <v>54.98828609421502</v>
      </c>
      <c r="F150" s="387">
        <f t="shared" si="51"/>
        <v>55.026588126199115</v>
      </c>
      <c r="G150" s="110">
        <f t="shared" si="73"/>
        <v>0.86653272088260325</v>
      </c>
      <c r="H150" s="416" t="b">
        <f>Wh_hp&gt;='2021'!Maxi_hp</f>
        <v>1</v>
      </c>
      <c r="I150" s="382">
        <f>IF(H150,Wh_hp,'2021'!Maxi_hp)</f>
        <v>55.026588126199115</v>
      </c>
      <c r="J150" s="85">
        <f>IF(H150,An,'2021'!An_max)</f>
        <v>2022</v>
      </c>
      <c r="K150" s="199">
        <f t="shared" si="52"/>
        <v>44697</v>
      </c>
      <c r="L150" s="147">
        <f>IF(t&lt;Tvie,1-EXP((T0-t)*PertePVj)+'2021'!Pspv,1-EXP((T0-t)*PertePVj)+Pspv)</f>
        <v>3.1694920570690899E-2</v>
      </c>
      <c r="M150" s="872"/>
      <c r="N150" s="872"/>
      <c r="O150" s="48">
        <f>IF(t&lt;Tnet,'2021'!Resal+('2021'!Salim-'2021'!Resal)*(1-EXP(('2021'!Tnet-t)/('2021'!Tau_j))),Resal+(Salim-Resal)*(1-EXP((Tnet-t)/(Tau_j))))*Salcycl</f>
        <v>0.12383101986865291</v>
      </c>
      <c r="P150" s="341">
        <f>(INDEX(Models!$BJ150:$BT150,,T150)*(1-R150)+INDEX(Models!$BJ150:$BT150,,T150+1)*R150-ERP_i)*Q150*Ramure*Pc/MaxiM</f>
        <v>8.5983160608070095E-4</v>
      </c>
      <c r="Q150" s="307">
        <f t="shared" si="53"/>
        <v>0.9</v>
      </c>
      <c r="R150" s="179">
        <f t="shared" si="54"/>
        <v>5.7649391507843067E-2</v>
      </c>
      <c r="S150" s="839">
        <f t="shared" si="55"/>
        <v>0</v>
      </c>
      <c r="T150" s="178">
        <f t="shared" si="56"/>
        <v>6</v>
      </c>
      <c r="U150" s="253">
        <f t="shared" si="57"/>
        <v>5.7649391507843067E-2</v>
      </c>
      <c r="V150" s="385">
        <f t="shared" si="58"/>
        <v>53.828728531606302</v>
      </c>
      <c r="W150" s="404">
        <f t="shared" si="59"/>
        <v>0</v>
      </c>
      <c r="X150" s="157">
        <f t="shared" si="60"/>
        <v>44697</v>
      </c>
      <c r="Y150" s="387">
        <f t="shared" si="61"/>
        <v>44.743684668612424</v>
      </c>
      <c r="Z150" s="387">
        <f t="shared" si="62"/>
        <v>46.208251530584818</v>
      </c>
      <c r="AA150" s="388">
        <f t="shared" si="63"/>
        <v>54.98828609421502</v>
      </c>
      <c r="AB150" s="199">
        <f t="shared" si="64"/>
        <v>44697</v>
      </c>
      <c r="AC150" s="119">
        <f>IF(OR(t&lt;Tnet,NoTnet),'2021'!Resal_s+('2021'!Salim-'2021'!Resal_s)*(1-EXP(('2021'!Tnet_s-t)/'2021'!Tau_j)),Resal_s+(Salim-Resal_s)*(1-EXP((Tnet_s-t)/Tau_j)))*Salcycl</f>
        <v>0.15967099881212513</v>
      </c>
      <c r="AD150" s="233">
        <f>(INDEX(Models!$BJ150:$BT150,,AH150)*(1-AF150)+INDEX(Models!$BJ150:$BT150,,AH150+1)*AF150-ERP_i)*AE150*Ramure*Pc/MaxiM</f>
        <v>8.5983160608070095E-4</v>
      </c>
      <c r="AE150" s="307">
        <f t="shared" si="65"/>
        <v>0.9</v>
      </c>
      <c r="AF150" s="179">
        <f t="shared" si="66"/>
        <v>5.7649391507843067E-2</v>
      </c>
      <c r="AG150" s="839">
        <f t="shared" si="74"/>
        <v>0</v>
      </c>
      <c r="AH150" s="178">
        <f t="shared" si="67"/>
        <v>6</v>
      </c>
      <c r="AI150" s="227">
        <f t="shared" si="68"/>
        <v>5.7649391507843067E-2</v>
      </c>
      <c r="AJ150" s="267" t="b">
        <f t="shared" si="69"/>
        <v>1</v>
      </c>
      <c r="AK150" s="267" t="b">
        <f t="shared" si="70"/>
        <v>0</v>
      </c>
      <c r="AL150" s="267"/>
      <c r="AM150" s="267"/>
      <c r="AN150" s="75"/>
    </row>
    <row r="151" spans="1:40" s="6" customFormat="1" ht="11.25" x14ac:dyDescent="0.2">
      <c r="A151" s="56">
        <f t="shared" si="71"/>
        <v>44698</v>
      </c>
      <c r="B151" s="1141">
        <v>50.298000000000002</v>
      </c>
      <c r="C151" s="868"/>
      <c r="D151" s="395">
        <f t="shared" si="50"/>
        <v>51.945581618579951</v>
      </c>
      <c r="E151" s="387">
        <f t="shared" si="72"/>
        <v>59.304528974837218</v>
      </c>
      <c r="F151" s="387">
        <f t="shared" si="51"/>
        <v>59.347750252011501</v>
      </c>
      <c r="G151" s="110">
        <f t="shared" si="73"/>
        <v>0.93313292503064549</v>
      </c>
      <c r="H151" s="416" t="b">
        <f>Wh_hp&gt;='2021'!Maxi_hp</f>
        <v>1</v>
      </c>
      <c r="I151" s="382">
        <f>IF(H151,Wh_hp,'2021'!Maxi_hp)</f>
        <v>59.347750252011501</v>
      </c>
      <c r="J151" s="85">
        <f>IF(H151,An,'2021'!An_max)</f>
        <v>2022</v>
      </c>
      <c r="K151" s="199">
        <f t="shared" si="52"/>
        <v>44698</v>
      </c>
      <c r="L151" s="147">
        <f>IF(t&lt;Tvie,1-EXP((T0-t)*PertePVj)+'2021'!Pspv,1-EXP((T0-t)*PertePVj)+Pspv)</f>
        <v>3.1717454444491922E-2</v>
      </c>
      <c r="M151" s="872"/>
      <c r="N151" s="872"/>
      <c r="O151" s="48">
        <f>IF(t&lt;Tnet,'2021'!Resal+('2021'!Salim-'2021'!Resal)*(1-EXP(('2021'!Tnet-t)/('2021'!Tau_j))),Resal+(Salim-Resal)*(1-EXP((Tnet-t)/(Tau_j))))*Salcycl</f>
        <v>0.12408744295700677</v>
      </c>
      <c r="P151" s="341">
        <f>(INDEX(Models!$BJ151:$BT151,,T151)*(1-R151)+INDEX(Models!$BJ151:$BT151,,T151+1)*R151-ERP_i)*Q151*Ramure*Pc/MaxiM</f>
        <v>8.0509525438094917E-4</v>
      </c>
      <c r="Q151" s="307">
        <f t="shared" si="53"/>
        <v>0.9</v>
      </c>
      <c r="R151" s="179">
        <f t="shared" si="54"/>
        <v>6.2492071522196879E-2</v>
      </c>
      <c r="S151" s="839">
        <f t="shared" si="55"/>
        <v>0</v>
      </c>
      <c r="T151" s="178">
        <f t="shared" si="56"/>
        <v>6</v>
      </c>
      <c r="U151" s="253">
        <f t="shared" si="57"/>
        <v>6.2492071522196879E-2</v>
      </c>
      <c r="V151" s="385">
        <f t="shared" si="58"/>
        <v>53.898144364330932</v>
      </c>
      <c r="W151" s="404">
        <f t="shared" si="59"/>
        <v>0</v>
      </c>
      <c r="X151" s="157">
        <f t="shared" si="60"/>
        <v>44698</v>
      </c>
      <c r="Y151" s="387">
        <f t="shared" si="61"/>
        <v>48.243642697219933</v>
      </c>
      <c r="Z151" s="387">
        <f t="shared" si="62"/>
        <v>49.823930957613548</v>
      </c>
      <c r="AA151" s="388">
        <f t="shared" si="63"/>
        <v>59.304528974837218</v>
      </c>
      <c r="AB151" s="199">
        <f t="shared" si="64"/>
        <v>44698</v>
      </c>
      <c r="AC151" s="119">
        <f>IF(OR(t&lt;Tnet,NoTnet),'2021'!Resal_s+('2021'!Salim-'2021'!Resal_s)*(1-EXP(('2021'!Tnet_s-t)/'2021'!Tau_j)),Resal_s+(Salim-Resal_s)*(1-EXP((Tnet_s-t)/Tau_j)))*Salcycl</f>
        <v>0.15986296799096522</v>
      </c>
      <c r="AD151" s="233">
        <f>(INDEX(Models!$BJ151:$BT151,,AH151)*(1-AF151)+INDEX(Models!$BJ151:$BT151,,AH151+1)*AF151-ERP_i)*AE151*Ramure*Pc/MaxiM</f>
        <v>8.0509525438094917E-4</v>
      </c>
      <c r="AE151" s="307">
        <f t="shared" si="65"/>
        <v>0.9</v>
      </c>
      <c r="AF151" s="179">
        <f t="shared" si="66"/>
        <v>6.2492071522196879E-2</v>
      </c>
      <c r="AG151" s="839">
        <f t="shared" si="74"/>
        <v>0</v>
      </c>
      <c r="AH151" s="178">
        <f t="shared" si="67"/>
        <v>6</v>
      </c>
      <c r="AI151" s="227">
        <f t="shared" si="68"/>
        <v>6.2492071522196879E-2</v>
      </c>
      <c r="AJ151" s="267" t="b">
        <f t="shared" si="69"/>
        <v>1</v>
      </c>
      <c r="AK151" s="267" t="b">
        <f t="shared" si="70"/>
        <v>0</v>
      </c>
      <c r="AL151" s="267"/>
      <c r="AM151" s="267"/>
      <c r="AN151" s="75"/>
    </row>
    <row r="152" spans="1:40" s="6" customFormat="1" ht="11.25" x14ac:dyDescent="0.2">
      <c r="A152" s="56">
        <f t="shared" si="71"/>
        <v>44699</v>
      </c>
      <c r="B152" s="1141">
        <v>48.944000000000003</v>
      </c>
      <c r="C152" s="868"/>
      <c r="D152" s="395">
        <f t="shared" si="50"/>
        <v>50.548405782538723</v>
      </c>
      <c r="E152" s="387">
        <f t="shared" si="72"/>
        <v>57.726379926974424</v>
      </c>
      <c r="F152" s="387">
        <f t="shared" si="51"/>
        <v>57.76412061460374</v>
      </c>
      <c r="G152" s="110">
        <f t="shared" si="73"/>
        <v>0.90692609096068766</v>
      </c>
      <c r="H152" s="416" t="b">
        <f>Wh_hp&gt;='2021'!Maxi_hp</f>
        <v>0</v>
      </c>
      <c r="I152" s="382">
        <f>IF(H152,Wh_hp,'2021'!Maxi_hp)</f>
        <v>64.728321842872035</v>
      </c>
      <c r="J152" s="85">
        <f>IF(H152,An,'2021'!An_max)</f>
        <v>2020</v>
      </c>
      <c r="K152" s="199">
        <f t="shared" si="52"/>
        <v>44699</v>
      </c>
      <c r="L152" s="147">
        <f>IF(t&lt;Tvie,1-EXP((T0-t)*PertePVj)+'2021'!Pspv,1-EXP((T0-t)*PertePVj)+Pspv)</f>
        <v>3.1739987793896751E-2</v>
      </c>
      <c r="M152" s="872"/>
      <c r="N152" s="872"/>
      <c r="O152" s="48">
        <f>IF(t&lt;Tnet,'2021'!Resal+('2021'!Salim-'2021'!Resal)*(1-EXP(('2021'!Tnet-t)/('2021'!Tau_j))),Resal+(Salim-Resal)*(1-EXP((Tnet-t)/(Tau_j))))*Salcycl</f>
        <v>0.12434478229045452</v>
      </c>
      <c r="P152" s="341">
        <f>(INDEX(Models!$BJ152:$BT152,,T152)*(1-R152)+INDEX(Models!$BJ152:$BT152,,T152+1)*R152-ERP_i)*Q152*Ramure*Pc/MaxiM</f>
        <v>7.5344036135907338E-4</v>
      </c>
      <c r="Q152" s="307">
        <f t="shared" si="53"/>
        <v>0.9</v>
      </c>
      <c r="R152" s="179">
        <f t="shared" si="54"/>
        <v>6.7426492061934157E-2</v>
      </c>
      <c r="S152" s="839">
        <f t="shared" si="55"/>
        <v>0</v>
      </c>
      <c r="T152" s="178">
        <f t="shared" si="56"/>
        <v>6</v>
      </c>
      <c r="U152" s="253">
        <f t="shared" si="57"/>
        <v>6.7426492061934157E-2</v>
      </c>
      <c r="V152" s="385">
        <f t="shared" si="58"/>
        <v>53.961506770829466</v>
      </c>
      <c r="W152" s="404">
        <f t="shared" si="59"/>
        <v>0</v>
      </c>
      <c r="X152" s="157">
        <f t="shared" si="60"/>
        <v>44699</v>
      </c>
      <c r="Y152" s="387">
        <f t="shared" si="61"/>
        <v>46.947938841928689</v>
      </c>
      <c r="Z152" s="387">
        <f t="shared" si="62"/>
        <v>48.486912864408758</v>
      </c>
      <c r="AA152" s="388">
        <f t="shared" si="63"/>
        <v>57.726379926974424</v>
      </c>
      <c r="AB152" s="199">
        <f t="shared" si="64"/>
        <v>44699</v>
      </c>
      <c r="AC152" s="119">
        <f>IF(OR(t&lt;Tnet,NoTnet),'2021'!Resal_s+('2021'!Salim-'2021'!Resal_s)*(1-EXP(('2021'!Tnet_s-t)/'2021'!Tau_j)),Resal_s+(Salim-Resal_s)*(1-EXP((Tnet_s-t)/Tau_j)))*Salcycl</f>
        <v>0.16005623554177256</v>
      </c>
      <c r="AD152" s="233">
        <f>(INDEX(Models!$BJ152:$BT152,,AH152)*(1-AF152)+INDEX(Models!$BJ152:$BT152,,AH152+1)*AF152-ERP_i)*AE152*Ramure*Pc/MaxiM</f>
        <v>7.5344036135907338E-4</v>
      </c>
      <c r="AE152" s="307">
        <f t="shared" si="65"/>
        <v>0.9</v>
      </c>
      <c r="AF152" s="179">
        <f t="shared" si="66"/>
        <v>6.7426492061934157E-2</v>
      </c>
      <c r="AG152" s="839">
        <f t="shared" si="74"/>
        <v>0</v>
      </c>
      <c r="AH152" s="178">
        <f t="shared" si="67"/>
        <v>6</v>
      </c>
      <c r="AI152" s="227">
        <f t="shared" si="68"/>
        <v>6.7426492061934157E-2</v>
      </c>
      <c r="AJ152" s="267" t="b">
        <f t="shared" si="69"/>
        <v>1</v>
      </c>
      <c r="AK152" s="267" t="b">
        <f t="shared" si="70"/>
        <v>0</v>
      </c>
      <c r="AL152" s="267"/>
      <c r="AM152" s="267"/>
      <c r="AN152" s="75"/>
    </row>
    <row r="153" spans="1:40" s="6" customFormat="1" ht="11.25" x14ac:dyDescent="0.2">
      <c r="A153" s="56">
        <f t="shared" si="71"/>
        <v>44700</v>
      </c>
      <c r="B153" s="1141">
        <v>50.725999999999999</v>
      </c>
      <c r="C153" s="868"/>
      <c r="D153" s="395">
        <f t="shared" si="50"/>
        <v>52.390039716728502</v>
      </c>
      <c r="E153" s="387">
        <f t="shared" si="72"/>
        <v>59.847172037819625</v>
      </c>
      <c r="F153" s="387">
        <f t="shared" si="51"/>
        <v>59.88570753691004</v>
      </c>
      <c r="G153" s="110">
        <f t="shared" si="73"/>
        <v>0.93898035362412846</v>
      </c>
      <c r="H153" s="416" t="b">
        <f>Wh_hp&gt;='2021'!Maxi_hp</f>
        <v>0</v>
      </c>
      <c r="I153" s="382">
        <f>IF(H153,Wh_hp,'2021'!Maxi_hp)</f>
        <v>63.647951946144374</v>
      </c>
      <c r="J153" s="85">
        <f>IF(H153,An,'2021'!An_max)</f>
        <v>2020</v>
      </c>
      <c r="K153" s="199">
        <f t="shared" si="52"/>
        <v>44700</v>
      </c>
      <c r="L153" s="147">
        <f>IF(t&lt;Tvie,1-EXP((T0-t)*PertePVj)+'2021'!Pspv,1-EXP((T0-t)*PertePVj)+Pspv)</f>
        <v>3.17625206189176E-2</v>
      </c>
      <c r="M153" s="872"/>
      <c r="N153" s="872"/>
      <c r="O153" s="48">
        <f>IF(t&lt;Tnet,'2021'!Resal+('2021'!Salim-'2021'!Resal)*(1-EXP(('2021'!Tnet-t)/('2021'!Tau_j))),Resal+(Salim-Resal)*(1-EXP((Tnet-t)/(Tau_j))))*Salcycl</f>
        <v>0.12460291885435609</v>
      </c>
      <c r="P153" s="341">
        <f>(INDEX(Models!$BJ153:$BT153,,T153)*(1-R153)+INDEX(Models!$BJ153:$BT153,,T153+1)*R153-ERP_i)*Q153*Ramure*Pc/MaxiM</f>
        <v>7.0487017633787596E-4</v>
      </c>
      <c r="Q153" s="307">
        <f t="shared" si="53"/>
        <v>0.9</v>
      </c>
      <c r="R153" s="179">
        <f t="shared" si="54"/>
        <v>7.2451000924761116E-2</v>
      </c>
      <c r="S153" s="839">
        <f t="shared" si="55"/>
        <v>0</v>
      </c>
      <c r="T153" s="178">
        <f t="shared" si="56"/>
        <v>6</v>
      </c>
      <c r="U153" s="253">
        <f t="shared" si="57"/>
        <v>7.2451000924761116E-2</v>
      </c>
      <c r="V153" s="385">
        <f t="shared" si="58"/>
        <v>54.019111185669999</v>
      </c>
      <c r="W153" s="404">
        <f t="shared" si="59"/>
        <v>0</v>
      </c>
      <c r="X153" s="157">
        <f t="shared" si="60"/>
        <v>44700</v>
      </c>
      <c r="Y153" s="387">
        <f t="shared" si="61"/>
        <v>48.66034705820271</v>
      </c>
      <c r="Z153" s="387">
        <f t="shared" si="62"/>
        <v>50.256624117987478</v>
      </c>
      <c r="AA153" s="388">
        <f t="shared" si="63"/>
        <v>59.847172037819625</v>
      </c>
      <c r="AB153" s="199">
        <f t="shared" si="64"/>
        <v>44700</v>
      </c>
      <c r="AC153" s="119">
        <f>IF(OR(t&lt;Tnet,NoTnet),'2021'!Resal_s+('2021'!Salim-'2021'!Resal_s)*(1-EXP(('2021'!Tnet_s-t)/'2021'!Tau_j)),Resal_s+(Salim-Resal_s)*(1-EXP((Tnet_s-t)/Tau_j)))*Salcycl</f>
        <v>0.16025064498906527</v>
      </c>
      <c r="AD153" s="233">
        <f>(INDEX(Models!$BJ153:$BT153,,AH153)*(1-AF153)+INDEX(Models!$BJ153:$BT153,,AH153+1)*AF153-ERP_i)*AE153*Ramure*Pc/MaxiM</f>
        <v>7.0487017633787596E-4</v>
      </c>
      <c r="AE153" s="307">
        <f t="shared" si="65"/>
        <v>0.9</v>
      </c>
      <c r="AF153" s="179">
        <f t="shared" si="66"/>
        <v>7.2451000924761116E-2</v>
      </c>
      <c r="AG153" s="839">
        <f t="shared" si="74"/>
        <v>0</v>
      </c>
      <c r="AH153" s="178">
        <f t="shared" si="67"/>
        <v>6</v>
      </c>
      <c r="AI153" s="227">
        <f t="shared" si="68"/>
        <v>7.2451000924761116E-2</v>
      </c>
      <c r="AJ153" s="267" t="b">
        <f t="shared" si="69"/>
        <v>1</v>
      </c>
      <c r="AK153" s="267" t="b">
        <f t="shared" si="70"/>
        <v>0</v>
      </c>
      <c r="AL153" s="267"/>
      <c r="AM153" s="267"/>
      <c r="AN153" s="75"/>
    </row>
    <row r="154" spans="1:40" s="6" customFormat="1" ht="11.25" x14ac:dyDescent="0.2">
      <c r="A154" s="56">
        <f t="shared" si="71"/>
        <v>44701</v>
      </c>
      <c r="B154" s="1141">
        <v>44.178000000000004</v>
      </c>
      <c r="C154" s="868"/>
      <c r="D154" s="395">
        <f t="shared" si="50"/>
        <v>45.628297862179124</v>
      </c>
      <c r="E154" s="387">
        <f t="shared" si="72"/>
        <v>52.138386995079522</v>
      </c>
      <c r="F154" s="387">
        <f t="shared" si="51"/>
        <v>52.163792834961306</v>
      </c>
      <c r="G154" s="110">
        <f t="shared" si="73"/>
        <v>0.81689214991673409</v>
      </c>
      <c r="H154" s="416" t="b">
        <f>Wh_hp&gt;='2021'!Maxi_hp</f>
        <v>0</v>
      </c>
      <c r="I154" s="382">
        <f>IF(H154,Wh_hp,'2021'!Maxi_hp)</f>
        <v>63.420462429144116</v>
      </c>
      <c r="J154" s="85">
        <f>IF(H154,An,'2021'!An_max)</f>
        <v>2021</v>
      </c>
      <c r="K154" s="199">
        <f t="shared" si="52"/>
        <v>44701</v>
      </c>
      <c r="L154" s="147">
        <f>IF(t&lt;Tvie,1-EXP((T0-t)*PertePVj)+'2021'!Pspv,1-EXP((T0-t)*PertePVj)+Pspv)</f>
        <v>3.1785052919566792E-2</v>
      </c>
      <c r="M154" s="872"/>
      <c r="N154" s="872"/>
      <c r="O154" s="48">
        <f>IF(t&lt;Tnet,'2021'!Resal+('2021'!Salim-'2021'!Resal)*(1-EXP(('2021'!Tnet-t)/('2021'!Tau_j))),Resal+(Salim-Resal)*(1-EXP((Tnet-t)/(Tau_j))))*Salcycl</f>
        <v>0.12486172872042971</v>
      </c>
      <c r="P154" s="341">
        <f>(INDEX(Models!$BJ154:$BT154,,T154)*(1-R154)+INDEX(Models!$BJ154:$BT154,,T154+1)*R154-ERP_i)*Q154*Ramure*Pc/MaxiM</f>
        <v>6.5939270981930714E-4</v>
      </c>
      <c r="Q154" s="307">
        <f t="shared" si="53"/>
        <v>0.9</v>
      </c>
      <c r="R154" s="179">
        <f t="shared" si="54"/>
        <v>7.7563730208967424E-2</v>
      </c>
      <c r="S154" s="839">
        <f t="shared" si="55"/>
        <v>0</v>
      </c>
      <c r="T154" s="178">
        <f t="shared" si="56"/>
        <v>6</v>
      </c>
      <c r="U154" s="253">
        <f t="shared" si="57"/>
        <v>7.7563730208967424E-2</v>
      </c>
      <c r="V154" s="385">
        <f t="shared" si="58"/>
        <v>54.071252961100583</v>
      </c>
      <c r="W154" s="404">
        <f t="shared" si="59"/>
        <v>0</v>
      </c>
      <c r="X154" s="157">
        <f t="shared" si="60"/>
        <v>44701</v>
      </c>
      <c r="Y154" s="387">
        <f t="shared" si="61"/>
        <v>42.38166278716065</v>
      </c>
      <c r="Z154" s="387">
        <f t="shared" si="62"/>
        <v>43.772989577323521</v>
      </c>
      <c r="AA154" s="388">
        <f t="shared" si="63"/>
        <v>52.138386995079522</v>
      </c>
      <c r="AB154" s="199">
        <f t="shared" si="64"/>
        <v>44701</v>
      </c>
      <c r="AC154" s="119">
        <f>IF(OR(t&lt;Tnet,NoTnet),'2021'!Resal_s+('2021'!Salim-'2021'!Resal_s)*(1-EXP(('2021'!Tnet_s-t)/'2021'!Tau_j)),Resal_s+(Salim-Resal_s)*(1-EXP((Tnet_s-t)/Tau_j)))*Salcycl</f>
        <v>0.16044603410046948</v>
      </c>
      <c r="AD154" s="233">
        <f>(INDEX(Models!$BJ154:$BT154,,AH154)*(1-AF154)+INDEX(Models!$BJ154:$BT154,,AH154+1)*AF154-ERP_i)*AE154*Ramure*Pc/MaxiM</f>
        <v>6.5939270981930714E-4</v>
      </c>
      <c r="AE154" s="307">
        <f t="shared" si="65"/>
        <v>0.9</v>
      </c>
      <c r="AF154" s="179">
        <f t="shared" si="66"/>
        <v>7.7563730208967424E-2</v>
      </c>
      <c r="AG154" s="839">
        <f t="shared" si="74"/>
        <v>0</v>
      </c>
      <c r="AH154" s="178">
        <f t="shared" si="67"/>
        <v>6</v>
      </c>
      <c r="AI154" s="227">
        <f t="shared" si="68"/>
        <v>7.7563730208967424E-2</v>
      </c>
      <c r="AJ154" s="267" t="b">
        <f t="shared" si="69"/>
        <v>1</v>
      </c>
      <c r="AK154" s="267" t="b">
        <f t="shared" si="70"/>
        <v>0</v>
      </c>
      <c r="AL154" s="267"/>
      <c r="AM154" s="267"/>
      <c r="AN154" s="75"/>
    </row>
    <row r="155" spans="1:40" s="6" customFormat="1" ht="11.25" x14ac:dyDescent="0.2">
      <c r="A155" s="56">
        <f t="shared" si="71"/>
        <v>44702</v>
      </c>
      <c r="B155" s="1141">
        <v>44.82</v>
      </c>
      <c r="C155" s="868"/>
      <c r="D155" s="395">
        <f t="shared" si="50"/>
        <v>46.292451057799752</v>
      </c>
      <c r="E155" s="387">
        <f t="shared" si="72"/>
        <v>52.912980499996529</v>
      </c>
      <c r="F155" s="387">
        <f t="shared" si="51"/>
        <v>52.937626903198456</v>
      </c>
      <c r="G155" s="110">
        <f t="shared" si="73"/>
        <v>0.82806128777409171</v>
      </c>
      <c r="H155" s="416" t="b">
        <f>Wh_hp&gt;='2021'!Maxi_hp</f>
        <v>0</v>
      </c>
      <c r="I155" s="382">
        <f>IF(H155,Wh_hp,'2021'!Maxi_hp)</f>
        <v>62.068839464913452</v>
      </c>
      <c r="J155" s="85">
        <f>IF(H155,An,'2021'!An_max)</f>
        <v>2020</v>
      </c>
      <c r="K155" s="199">
        <f t="shared" si="52"/>
        <v>44702</v>
      </c>
      <c r="L155" s="147">
        <f>IF(t&lt;Tvie,1-EXP((T0-t)*PertePVj)+'2021'!Pspv,1-EXP((T0-t)*PertePVj)+Pspv)</f>
        <v>3.1807584695856317E-2</v>
      </c>
      <c r="M155" s="872"/>
      <c r="N155" s="872"/>
      <c r="O155" s="48">
        <f>IF(t&lt;Tnet,'2021'!Resal+('2021'!Salim-'2021'!Resal)*(1-EXP(('2021'!Tnet-t)/('2021'!Tau_j))),Resal+(Salim-Resal)*(1-EXP((Tnet-t)/(Tau_j))))*Salcycl</f>
        <v>0.12512108332656122</v>
      </c>
      <c r="P155" s="341">
        <f>(INDEX(Models!$BJ155:$BT155,,T155)*(1-R155)+INDEX(Models!$BJ155:$BT155,,T155+1)*R155-ERP_i)*Q155*Ramure*Pc/MaxiM</f>
        <v>6.1702050931918267E-4</v>
      </c>
      <c r="Q155" s="307">
        <f t="shared" si="53"/>
        <v>0.9</v>
      </c>
      <c r="R155" s="179">
        <f t="shared" si="54"/>
        <v>8.2762594342558893E-2</v>
      </c>
      <c r="S155" s="839">
        <f t="shared" si="55"/>
        <v>0</v>
      </c>
      <c r="T155" s="178">
        <f t="shared" si="56"/>
        <v>6</v>
      </c>
      <c r="U155" s="253">
        <f t="shared" si="57"/>
        <v>8.2762594342558893E-2</v>
      </c>
      <c r="V155" s="385">
        <f t="shared" si="58"/>
        <v>54.118227339864042</v>
      </c>
      <c r="W155" s="404">
        <f t="shared" si="59"/>
        <v>0</v>
      </c>
      <c r="X155" s="157">
        <f t="shared" si="60"/>
        <v>44702</v>
      </c>
      <c r="Y155" s="387">
        <f t="shared" si="61"/>
        <v>43.00025329038673</v>
      </c>
      <c r="Z155" s="387">
        <f t="shared" si="62"/>
        <v>44.412921037889788</v>
      </c>
      <c r="AA155" s="388">
        <f t="shared" si="63"/>
        <v>52.912980499996529</v>
      </c>
      <c r="AB155" s="199">
        <f t="shared" si="64"/>
        <v>44702</v>
      </c>
      <c r="AC155" s="119">
        <f>IF(OR(t&lt;Tnet,NoTnet),'2021'!Resal_s+('2021'!Salim-'2021'!Resal_s)*(1-EXP(('2021'!Tnet_s-t)/'2021'!Tau_j)),Resal_s+(Salim-Resal_s)*(1-EXP((Tnet_s-t)/Tau_j)))*Salcycl</f>
        <v>0.1606422352660194</v>
      </c>
      <c r="AD155" s="233">
        <f>(INDEX(Models!$BJ155:$BT155,,AH155)*(1-AF155)+INDEX(Models!$BJ155:$BT155,,AH155+1)*AF155-ERP_i)*AE155*Ramure*Pc/MaxiM</f>
        <v>6.1702050931918267E-4</v>
      </c>
      <c r="AE155" s="307">
        <f t="shared" si="65"/>
        <v>0.9</v>
      </c>
      <c r="AF155" s="179">
        <f t="shared" si="66"/>
        <v>8.2762594342558893E-2</v>
      </c>
      <c r="AG155" s="839">
        <f t="shared" si="74"/>
        <v>0</v>
      </c>
      <c r="AH155" s="178">
        <f t="shared" si="67"/>
        <v>6</v>
      </c>
      <c r="AI155" s="227">
        <f t="shared" si="68"/>
        <v>8.2762594342558893E-2</v>
      </c>
      <c r="AJ155" s="267" t="b">
        <f t="shared" si="69"/>
        <v>1</v>
      </c>
      <c r="AK155" s="267" t="b">
        <f t="shared" si="70"/>
        <v>0</v>
      </c>
      <c r="AL155" s="267"/>
      <c r="AM155" s="267"/>
      <c r="AN155" s="75"/>
    </row>
    <row r="156" spans="1:40" s="18" customFormat="1" ht="11.25" x14ac:dyDescent="0.2">
      <c r="A156" s="56">
        <f t="shared" si="71"/>
        <v>44703</v>
      </c>
      <c r="B156" s="1141">
        <v>31.847999999999999</v>
      </c>
      <c r="C156" s="868"/>
      <c r="D156" s="395">
        <f t="shared" si="50"/>
        <v>32.89505336264191</v>
      </c>
      <c r="E156" s="387">
        <f t="shared" si="72"/>
        <v>37.610717024347537</v>
      </c>
      <c r="F156" s="387">
        <f t="shared" si="51"/>
        <v>37.619674295438188</v>
      </c>
      <c r="G156" s="110">
        <f t="shared" si="73"/>
        <v>0.58783208953080102</v>
      </c>
      <c r="H156" s="416" t="b">
        <f>Wh_hp&gt;='2021'!Maxi_hp</f>
        <v>0</v>
      </c>
      <c r="I156" s="382">
        <f>IF(H156,Wh_hp,'2021'!Maxi_hp)</f>
        <v>63.02960296513583</v>
      </c>
      <c r="J156" s="85">
        <f>IF(H156,An,'2021'!An_max)</f>
        <v>2019</v>
      </c>
      <c r="K156" s="199">
        <f t="shared" si="52"/>
        <v>44703</v>
      </c>
      <c r="L156" s="147">
        <f>IF(t&lt;Tvie,1-EXP((T0-t)*PertePVj)+'2021'!Pspv,1-EXP((T0-t)*PertePVj)+Pspv)</f>
        <v>3.1830115947798499E-2</v>
      </c>
      <c r="M156" s="872"/>
      <c r="N156" s="872"/>
      <c r="O156" s="48">
        <f>IF(t&lt;Tnet,'2021'!Resal+('2021'!Salim-'2021'!Resal)*(1-EXP(('2021'!Tnet-t)/('2021'!Tau_j))),Resal+(Salim-Resal)*(1-EXP((Tnet-t)/(Tau_j))))*Salcycl</f>
        <v>0.12538084978951372</v>
      </c>
      <c r="P156" s="341">
        <f>(INDEX(Models!$BJ156:$BT156,,T156)*(1-R156)+INDEX(Models!$BJ156:$BT156,,T156+1)*R156-ERP_i)*Q156*Ramure*Pc/MaxiM</f>
        <v>5.7865191601096913E-4</v>
      </c>
      <c r="Q156" s="307">
        <f t="shared" si="53"/>
        <v>0.9</v>
      </c>
      <c r="R156" s="179">
        <f t="shared" si="54"/>
        <v>8.8045289077904987E-2</v>
      </c>
      <c r="S156" s="839">
        <f t="shared" si="55"/>
        <v>0</v>
      </c>
      <c r="T156" s="178">
        <f t="shared" si="56"/>
        <v>6</v>
      </c>
      <c r="U156" s="253">
        <f t="shared" si="57"/>
        <v>8.8045289077904987E-2</v>
      </c>
      <c r="V156" s="385">
        <f t="shared" si="58"/>
        <v>54.160281667370256</v>
      </c>
      <c r="W156" s="404">
        <f t="shared" si="59"/>
        <v>0</v>
      </c>
      <c r="X156" s="157">
        <f t="shared" si="60"/>
        <v>44703</v>
      </c>
      <c r="Y156" s="387">
        <f t="shared" si="61"/>
        <v>30.556839629851375</v>
      </c>
      <c r="Z156" s="387">
        <f t="shared" si="62"/>
        <v>31.56144405355602</v>
      </c>
      <c r="AA156" s="388">
        <f t="shared" si="63"/>
        <v>37.610717024347537</v>
      </c>
      <c r="AB156" s="199">
        <f t="shared" si="64"/>
        <v>44703</v>
      </c>
      <c r="AC156" s="119">
        <f>IF(OR(t&lt;Tnet,NoTnet),'2021'!Resal_s+('2021'!Salim-'2021'!Resal_s)*(1-EXP(('2021'!Tnet_s-t)/'2021'!Tau_j)),Resal_s+(Salim-Resal_s)*(1-EXP((Tnet_s-t)/Tau_j)))*Salcycl</f>
        <v>0.16083907591752325</v>
      </c>
      <c r="AD156" s="233">
        <f>(INDEX(Models!$BJ156:$BT156,,AH156)*(1-AF156)+INDEX(Models!$BJ156:$BT156,,AH156+1)*AF156-ERP_i)*AE156*Ramure*Pc/MaxiM</f>
        <v>5.7865191601096913E-4</v>
      </c>
      <c r="AE156" s="307">
        <f t="shared" si="65"/>
        <v>0.9</v>
      </c>
      <c r="AF156" s="179">
        <f t="shared" si="66"/>
        <v>8.8045289077904987E-2</v>
      </c>
      <c r="AG156" s="839">
        <f t="shared" si="74"/>
        <v>0</v>
      </c>
      <c r="AH156" s="178">
        <f t="shared" si="67"/>
        <v>6</v>
      </c>
      <c r="AI156" s="227">
        <f t="shared" si="68"/>
        <v>8.8045289077904987E-2</v>
      </c>
      <c r="AJ156" s="267" t="b">
        <f t="shared" si="69"/>
        <v>1</v>
      </c>
      <c r="AK156" s="267" t="b">
        <f t="shared" si="70"/>
        <v>0</v>
      </c>
      <c r="AL156" s="267"/>
      <c r="AM156" s="267"/>
      <c r="AN156" s="267"/>
    </row>
    <row r="157" spans="1:40" s="18" customFormat="1" ht="11.25" x14ac:dyDescent="0.2">
      <c r="A157" s="56">
        <f t="shared" si="71"/>
        <v>44704</v>
      </c>
      <c r="B157" s="1141">
        <v>16.434999999999999</v>
      </c>
      <c r="C157" s="868"/>
      <c r="D157" s="395">
        <f t="shared" si="50"/>
        <v>16.975721664230768</v>
      </c>
      <c r="E157" s="387">
        <f t="shared" si="72"/>
        <v>19.415045253542726</v>
      </c>
      <c r="F157" s="387">
        <f t="shared" si="51"/>
        <v>19.415093959617465</v>
      </c>
      <c r="G157" s="110">
        <f t="shared" si="73"/>
        <v>0.30307729354608032</v>
      </c>
      <c r="H157" s="416" t="b">
        <f>Wh_hp&gt;='2021'!Maxi_hp</f>
        <v>0</v>
      </c>
      <c r="I157" s="382">
        <f>IF(H157,Wh_hp,'2021'!Maxi_hp)</f>
        <v>57.069920377095102</v>
      </c>
      <c r="J157" s="85">
        <f>IF(H157,An,'2021'!An_max)</f>
        <v>2020</v>
      </c>
      <c r="K157" s="199">
        <f t="shared" si="52"/>
        <v>44704</v>
      </c>
      <c r="L157" s="147">
        <f>IF(t&lt;Tvie,1-EXP((T0-t)*PertePVj)+'2021'!Pspv,1-EXP((T0-t)*PertePVj)+Pspv)</f>
        <v>3.1852646675405549E-2</v>
      </c>
      <c r="M157" s="872"/>
      <c r="N157" s="872"/>
      <c r="O157" s="48">
        <f>IF(t&lt;Tnet,'2021'!Resal+('2021'!Salim-'2021'!Resal)*(1-EXP(('2021'!Tnet-t)/('2021'!Tau_j))),Resal+(Salim-Resal)*(1-EXP((Tnet-t)/(Tau_j))))*Salcycl</f>
        <v>0.12564089124988501</v>
      </c>
      <c r="P157" s="341">
        <f>(INDEX(Models!$BJ157:$BT157,,T157)*(1-R157)+INDEX(Models!$BJ157:$BT157,,T157+1)*R157-ERP_i)*Q157*Ramure*Pc/MaxiM</f>
        <v>5.4185526381910951E-4</v>
      </c>
      <c r="Q157" s="307">
        <f t="shared" si="53"/>
        <v>0.9</v>
      </c>
      <c r="R157" s="179">
        <f t="shared" si="54"/>
        <v>9.3409291505977293E-2</v>
      </c>
      <c r="S157" s="839">
        <f t="shared" si="55"/>
        <v>0</v>
      </c>
      <c r="T157" s="178">
        <f t="shared" si="56"/>
        <v>6</v>
      </c>
      <c r="U157" s="253">
        <f t="shared" si="57"/>
        <v>9.3409291505977293E-2</v>
      </c>
      <c r="V157" s="385">
        <f t="shared" si="58"/>
        <v>54.197843805164844</v>
      </c>
      <c r="W157" s="404">
        <f t="shared" si="59"/>
        <v>0</v>
      </c>
      <c r="X157" s="157">
        <f t="shared" si="60"/>
        <v>44704</v>
      </c>
      <c r="Y157" s="387">
        <f t="shared" si="61"/>
        <v>15.769684301750814</v>
      </c>
      <c r="Z157" s="387">
        <f t="shared" si="62"/>
        <v>16.28851666804449</v>
      </c>
      <c r="AA157" s="388">
        <f t="shared" si="63"/>
        <v>19.415045253542726</v>
      </c>
      <c r="AB157" s="199">
        <f t="shared" si="64"/>
        <v>44704</v>
      </c>
      <c r="AC157" s="119">
        <f>IF(OR(t&lt;Tnet,NoTnet),'2021'!Resal_s+('2021'!Salim-'2021'!Resal_s)*(1-EXP(('2021'!Tnet_s-t)/'2021'!Tau_j)),Resal_s+(Salim-Resal_s)*(1-EXP((Tnet_s-t)/Tau_j)))*Salcycl</f>
        <v>0.16103637898694712</v>
      </c>
      <c r="AD157" s="233">
        <f>(INDEX(Models!$BJ157:$BT157,,AH157)*(1-AF157)+INDEX(Models!$BJ157:$BT157,,AH157+1)*AF157-ERP_i)*AE157*Ramure*Pc/MaxiM</f>
        <v>5.4185526381910951E-4</v>
      </c>
      <c r="AE157" s="307">
        <f t="shared" si="65"/>
        <v>0.9</v>
      </c>
      <c r="AF157" s="179">
        <f t="shared" si="66"/>
        <v>9.3409291505977293E-2</v>
      </c>
      <c r="AG157" s="839">
        <f t="shared" si="74"/>
        <v>0</v>
      </c>
      <c r="AH157" s="178">
        <f t="shared" si="67"/>
        <v>6</v>
      </c>
      <c r="AI157" s="227">
        <f t="shared" si="68"/>
        <v>9.3409291505977293E-2</v>
      </c>
      <c r="AJ157" s="267" t="b">
        <f t="shared" si="69"/>
        <v>1</v>
      </c>
      <c r="AK157" s="267" t="b">
        <f t="shared" si="70"/>
        <v>0</v>
      </c>
      <c r="AL157" s="267"/>
      <c r="AM157" s="267"/>
      <c r="AN157" s="267"/>
    </row>
    <row r="158" spans="1:40" s="6" customFormat="1" ht="11.25" x14ac:dyDescent="0.2">
      <c r="A158" s="56">
        <f t="shared" si="71"/>
        <v>44705</v>
      </c>
      <c r="B158" s="1141">
        <v>13.693</v>
      </c>
      <c r="C158" s="868"/>
      <c r="D158" s="395">
        <f t="shared" si="50"/>
        <v>14.143837316197196</v>
      </c>
      <c r="E158" s="387">
        <f t="shared" si="72"/>
        <v>16.181048604730385</v>
      </c>
      <c r="F158" s="387">
        <f t="shared" si="51"/>
        <v>16.181048604730385</v>
      </c>
      <c r="G158" s="110">
        <f t="shared" si="73"/>
        <v>0.2523650624798443</v>
      </c>
      <c r="H158" s="416" t="b">
        <f>Wh_hp&gt;='2021'!Maxi_hp</f>
        <v>0</v>
      </c>
      <c r="I158" s="382">
        <f>IF(H158,Wh_hp,'2021'!Maxi_hp)</f>
        <v>28.542221114543629</v>
      </c>
      <c r="J158" s="85">
        <f>IF(H158,An,'2021'!An_max)</f>
        <v>2021</v>
      </c>
      <c r="K158" s="199">
        <f t="shared" si="52"/>
        <v>44705</v>
      </c>
      <c r="L158" s="147">
        <f>IF(t&lt;Tvie,1-EXP((T0-t)*PertePVj)+'2021'!Pspv,1-EXP((T0-t)*PertePVj)+Pspv)</f>
        <v>3.1875176878689682E-2</v>
      </c>
      <c r="M158" s="872"/>
      <c r="N158" s="872"/>
      <c r="O158" s="48">
        <f>IF(t&lt;Tnet,'2021'!Resal+('2021'!Salim-'2021'!Resal)*(1-EXP(('2021'!Tnet-t)/('2021'!Tau_j))),Resal+(Salim-Resal)*(1-EXP((Tnet-t)/(Tau_j))))*Salcycl</f>
        <v>0.12590106724836292</v>
      </c>
      <c r="P158" s="341">
        <f>(INDEX(Models!$BJ158:$BT158,,T158)*(1-R158)+INDEX(Models!$BJ158:$BT158,,T158+1)*R158-ERP_i)*Q158*Ramure*Pc/MaxiM</f>
        <v>5.066238899050767E-4</v>
      </c>
      <c r="Q158" s="307">
        <f t="shared" si="53"/>
        <v>0.9</v>
      </c>
      <c r="R158" s="179">
        <f t="shared" si="54"/>
        <v>9.8851861137909197E-2</v>
      </c>
      <c r="S158" s="839">
        <f t="shared" si="55"/>
        <v>0</v>
      </c>
      <c r="T158" s="178">
        <f t="shared" si="56"/>
        <v>6</v>
      </c>
      <c r="U158" s="253">
        <f t="shared" si="57"/>
        <v>9.8851861137909197E-2</v>
      </c>
      <c r="V158" s="385">
        <f t="shared" si="58"/>
        <v>54.231210392558189</v>
      </c>
      <c r="W158" s="404">
        <f t="shared" si="59"/>
        <v>0</v>
      </c>
      <c r="X158" s="157">
        <f t="shared" si="60"/>
        <v>44705</v>
      </c>
      <c r="Y158" s="387">
        <f t="shared" si="61"/>
        <v>13.139500471618099</v>
      </c>
      <c r="Z158" s="387">
        <f t="shared" si="62"/>
        <v>13.572114006182922</v>
      </c>
      <c r="AA158" s="388">
        <f t="shared" si="63"/>
        <v>16.181048604730385</v>
      </c>
      <c r="AB158" s="199">
        <f t="shared" si="64"/>
        <v>44705</v>
      </c>
      <c r="AC158" s="119">
        <f>IF(OR(t&lt;Tnet,NoTnet),'2021'!Resal_s+('2021'!Salim-'2021'!Resal_s)*(1-EXP(('2021'!Tnet_s-t)/'2021'!Tau_j)),Resal_s+(Salim-Resal_s)*(1-EXP((Tnet_s-t)/Tau_j)))*Salcycl</f>
        <v>0.16123396340239435</v>
      </c>
      <c r="AD158" s="233">
        <f>(INDEX(Models!$BJ158:$BT158,,AH158)*(1-AF158)+INDEX(Models!$BJ158:$BT158,,AH158+1)*AF158-ERP_i)*AE158*Ramure*Pc/MaxiM</f>
        <v>5.066238899050767E-4</v>
      </c>
      <c r="AE158" s="307">
        <f t="shared" si="65"/>
        <v>0.9</v>
      </c>
      <c r="AF158" s="179">
        <f t="shared" si="66"/>
        <v>9.8851861137909197E-2</v>
      </c>
      <c r="AG158" s="839">
        <f t="shared" si="74"/>
        <v>0</v>
      </c>
      <c r="AH158" s="178">
        <f t="shared" si="67"/>
        <v>6</v>
      </c>
      <c r="AI158" s="227">
        <f t="shared" si="68"/>
        <v>9.8851861137909197E-2</v>
      </c>
      <c r="AJ158" s="267" t="b">
        <f t="shared" si="69"/>
        <v>1</v>
      </c>
      <c r="AK158" s="267" t="b">
        <f t="shared" si="70"/>
        <v>0</v>
      </c>
      <c r="AL158" s="267"/>
      <c r="AM158" s="267"/>
      <c r="AN158" s="75"/>
    </row>
    <row r="159" spans="1:40" s="6" customFormat="1" ht="11.25" x14ac:dyDescent="0.2">
      <c r="A159" s="56">
        <f t="shared" si="71"/>
        <v>44706</v>
      </c>
      <c r="B159" s="1141">
        <v>38.094000000000001</v>
      </c>
      <c r="C159" s="868"/>
      <c r="D159" s="395">
        <f t="shared" si="50"/>
        <v>39.349147562234336</v>
      </c>
      <c r="E159" s="387">
        <f t="shared" si="72"/>
        <v>45.03021506850795</v>
      </c>
      <c r="F159" s="387">
        <f t="shared" si="51"/>
        <v>45.042450836297242</v>
      </c>
      <c r="G159" s="110">
        <f t="shared" si="73"/>
        <v>0.70191399976273916</v>
      </c>
      <c r="H159" s="416" t="b">
        <f>Wh_hp&gt;='2021'!Maxi_hp</f>
        <v>0</v>
      </c>
      <c r="I159" s="382">
        <f>IF(H159,Wh_hp,'2021'!Maxi_hp)</f>
        <v>59.272001912813224</v>
      </c>
      <c r="J159" s="85">
        <f>IF(H159,An,'2021'!An_max)</f>
        <v>2020</v>
      </c>
      <c r="K159" s="199">
        <f t="shared" si="52"/>
        <v>44706</v>
      </c>
      <c r="L159" s="147">
        <f>IF(t&lt;Tvie,1-EXP((T0-t)*PertePVj)+'2021'!Pspv,1-EXP((T0-t)*PertePVj)+Pspv)</f>
        <v>3.1897706557663108E-2</v>
      </c>
      <c r="M159" s="872"/>
      <c r="N159" s="872"/>
      <c r="O159" s="48">
        <f>IF(t&lt;Tnet,'2021'!Resal+('2021'!Salim-'2021'!Resal)*(1-EXP(('2021'!Tnet-t)/('2021'!Tau_j))),Resal+(Salim-Resal)*(1-EXP((Tnet-t)/(Tau_j))))*Salcycl</f>
        <v>0.12616123413202815</v>
      </c>
      <c r="P159" s="341">
        <f>(INDEX(Models!$BJ159:$BT159,,T159)*(1-R159)+INDEX(Models!$BJ159:$BT159,,T159+1)*R159-ERP_i)*Q159*Ramure*Pc/MaxiM</f>
        <v>4.7295670799743587E-4</v>
      </c>
      <c r="Q159" s="307">
        <f t="shared" si="53"/>
        <v>0.9</v>
      </c>
      <c r="R159" s="179">
        <f t="shared" si="54"/>
        <v>0.10437004209431855</v>
      </c>
      <c r="S159" s="839">
        <f t="shared" si="55"/>
        <v>0</v>
      </c>
      <c r="T159" s="178">
        <f t="shared" si="56"/>
        <v>6</v>
      </c>
      <c r="U159" s="253">
        <f t="shared" si="57"/>
        <v>0.10437004209431855</v>
      </c>
      <c r="V159" s="385">
        <f t="shared" si="58"/>
        <v>54.260677717754241</v>
      </c>
      <c r="W159" s="404">
        <f t="shared" si="59"/>
        <v>0</v>
      </c>
      <c r="X159" s="157">
        <f t="shared" si="60"/>
        <v>44706</v>
      </c>
      <c r="Y159" s="387">
        <f t="shared" si="61"/>
        <v>36.556426857670949</v>
      </c>
      <c r="Z159" s="387">
        <f t="shared" si="62"/>
        <v>37.760913392411418</v>
      </c>
      <c r="AA159" s="388">
        <f t="shared" si="63"/>
        <v>45.03021506850795</v>
      </c>
      <c r="AB159" s="199">
        <f t="shared" si="64"/>
        <v>44706</v>
      </c>
      <c r="AC159" s="119">
        <f>IF(OR(t&lt;Tnet,NoTnet),'2021'!Resal_s+('2021'!Salim-'2021'!Resal_s)*(1-EXP(('2021'!Tnet_s-t)/'2021'!Tau_j)),Resal_s+(Salim-Resal_s)*(1-EXP((Tnet_s-t)/Tau_j)))*Salcycl</f>
        <v>0.16143164461988874</v>
      </c>
      <c r="AD159" s="233">
        <f>(INDEX(Models!$BJ159:$BT159,,AH159)*(1-AF159)+INDEX(Models!$BJ159:$BT159,,AH159+1)*AF159-ERP_i)*AE159*Ramure*Pc/MaxiM</f>
        <v>4.7295670799743587E-4</v>
      </c>
      <c r="AE159" s="307">
        <f t="shared" si="65"/>
        <v>0.9</v>
      </c>
      <c r="AF159" s="179">
        <f t="shared" si="66"/>
        <v>0.10437004209431855</v>
      </c>
      <c r="AG159" s="839">
        <f t="shared" si="74"/>
        <v>0</v>
      </c>
      <c r="AH159" s="178">
        <f t="shared" si="67"/>
        <v>6</v>
      </c>
      <c r="AI159" s="227">
        <f t="shared" si="68"/>
        <v>0.10437004209431855</v>
      </c>
      <c r="AJ159" s="267" t="b">
        <f t="shared" si="69"/>
        <v>1</v>
      </c>
      <c r="AK159" s="267" t="b">
        <f t="shared" si="70"/>
        <v>0</v>
      </c>
      <c r="AL159" s="267"/>
      <c r="AM159" s="267"/>
      <c r="AN159" s="75"/>
    </row>
    <row r="160" spans="1:40" s="6" customFormat="1" ht="11.25" x14ac:dyDescent="0.2">
      <c r="A160" s="56">
        <f t="shared" si="71"/>
        <v>44707</v>
      </c>
      <c r="B160" s="1141">
        <v>20.006</v>
      </c>
      <c r="C160" s="868"/>
      <c r="D160" s="395">
        <f t="shared" si="50"/>
        <v>20.665652498914621</v>
      </c>
      <c r="E160" s="387">
        <f t="shared" si="72"/>
        <v>23.656313059589387</v>
      </c>
      <c r="F160" s="387">
        <f t="shared" si="51"/>
        <v>23.657334041586566</v>
      </c>
      <c r="G160" s="110">
        <f t="shared" si="73"/>
        <v>0.36837939256651198</v>
      </c>
      <c r="H160" s="416" t="b">
        <f>Wh_hp&gt;='2021'!Maxi_hp</f>
        <v>0</v>
      </c>
      <c r="I160" s="382">
        <f>IF(H160,Wh_hp,'2021'!Maxi_hp)</f>
        <v>63.227502087912768</v>
      </c>
      <c r="J160" s="85">
        <f>IF(H160,An,'2021'!An_max)</f>
        <v>2020</v>
      </c>
      <c r="K160" s="199">
        <f t="shared" si="52"/>
        <v>44707</v>
      </c>
      <c r="L160" s="147">
        <f>IF(t&lt;Tvie,1-EXP((T0-t)*PertePVj)+'2021'!Pspv,1-EXP((T0-t)*PertePVj)+Pspv)</f>
        <v>3.192023571233793E-2</v>
      </c>
      <c r="M160" s="872"/>
      <c r="N160" s="872"/>
      <c r="O160" s="48">
        <f>IF(t&lt;Tnet,'2021'!Resal+('2021'!Salim-'2021'!Resal)*(1-EXP(('2021'!Tnet-t)/('2021'!Tau_j))),Resal+(Salim-Resal)*(1-EXP((Tnet-t)/(Tau_j))))*Salcycl</f>
        <v>0.12642124548915976</v>
      </c>
      <c r="P160" s="341">
        <f>(INDEX(Models!$BJ160:$BT160,,T160)*(1-R160)+INDEX(Models!$BJ160:$BT160,,T160+1)*R160-ERP_i)*Q160*Ramure*Pc/MaxiM</f>
        <v>4.4085440994798915E-4</v>
      </c>
      <c r="Q160" s="307">
        <f t="shared" si="53"/>
        <v>0.9</v>
      </c>
      <c r="R160" s="179">
        <f t="shared" si="54"/>
        <v>0.10996066643464059</v>
      </c>
      <c r="S160" s="839">
        <f t="shared" si="55"/>
        <v>0</v>
      </c>
      <c r="T160" s="178">
        <f t="shared" si="56"/>
        <v>6</v>
      </c>
      <c r="U160" s="253">
        <f t="shared" si="57"/>
        <v>0.10996066643464059</v>
      </c>
      <c r="V160" s="385">
        <f t="shared" si="58"/>
        <v>54.286541885416128</v>
      </c>
      <c r="W160" s="404">
        <f t="shared" si="59"/>
        <v>0</v>
      </c>
      <c r="X160" s="157">
        <f t="shared" si="60"/>
        <v>44707</v>
      </c>
      <c r="Y160" s="387">
        <f t="shared" si="61"/>
        <v>19.199694857740063</v>
      </c>
      <c r="Z160" s="387">
        <f t="shared" si="62"/>
        <v>19.832761272380992</v>
      </c>
      <c r="AA160" s="388">
        <f t="shared" si="63"/>
        <v>23.656313059589387</v>
      </c>
      <c r="AB160" s="199">
        <f t="shared" si="64"/>
        <v>44707</v>
      </c>
      <c r="AC160" s="119">
        <f>IF(OR(t&lt;Tnet,NoTnet),'2021'!Resal_s+('2021'!Salim-'2021'!Resal_s)*(1-EXP(('2021'!Tnet_s-t)/'2021'!Tau_j)),Resal_s+(Salim-Resal_s)*(1-EXP((Tnet_s-t)/Tau_j)))*Salcycl</f>
        <v>0.16162923518880606</v>
      </c>
      <c r="AD160" s="233">
        <f>(INDEX(Models!$BJ160:$BT160,,AH160)*(1-AF160)+INDEX(Models!$BJ160:$BT160,,AH160+1)*AF160-ERP_i)*AE160*Ramure*Pc/MaxiM</f>
        <v>4.4085440994798915E-4</v>
      </c>
      <c r="AE160" s="307">
        <f t="shared" si="65"/>
        <v>0.9</v>
      </c>
      <c r="AF160" s="179">
        <f t="shared" si="66"/>
        <v>0.10996066643464059</v>
      </c>
      <c r="AG160" s="839">
        <f t="shared" si="74"/>
        <v>0</v>
      </c>
      <c r="AH160" s="178">
        <f t="shared" si="67"/>
        <v>6</v>
      </c>
      <c r="AI160" s="227">
        <f t="shared" si="68"/>
        <v>0.10996066643464059</v>
      </c>
      <c r="AJ160" s="267" t="b">
        <f t="shared" si="69"/>
        <v>1</v>
      </c>
      <c r="AK160" s="267" t="b">
        <f t="shared" si="70"/>
        <v>0</v>
      </c>
      <c r="AL160" s="267"/>
      <c r="AM160" s="267"/>
      <c r="AN160" s="75"/>
    </row>
    <row r="161" spans="1:40" s="6" customFormat="1" ht="11.25" x14ac:dyDescent="0.2">
      <c r="A161" s="56">
        <f t="shared" si="71"/>
        <v>44708</v>
      </c>
      <c r="B161" s="1141">
        <v>37.920999999999999</v>
      </c>
      <c r="C161" s="868"/>
      <c r="D161" s="395">
        <f t="shared" si="50"/>
        <v>39.172270608827276</v>
      </c>
      <c r="E161" s="387">
        <f t="shared" si="72"/>
        <v>44.854478699312814</v>
      </c>
      <c r="F161" s="387">
        <f t="shared" si="51"/>
        <v>44.864951923288672</v>
      </c>
      <c r="G161" s="110">
        <f t="shared" si="73"/>
        <v>0.69812042175231304</v>
      </c>
      <c r="H161" s="416" t="b">
        <f>Wh_hp&gt;='2021'!Maxi_hp</f>
        <v>0</v>
      </c>
      <c r="I161" s="382">
        <f>IF(H161,Wh_hp,'2021'!Maxi_hp)</f>
        <v>62.760133675554769</v>
      </c>
      <c r="J161" s="85">
        <f>IF(H161,An,'2021'!An_max)</f>
        <v>2020</v>
      </c>
      <c r="K161" s="199">
        <f t="shared" si="52"/>
        <v>44708</v>
      </c>
      <c r="L161" s="147">
        <f>IF(t&lt;Tvie,1-EXP((T0-t)*PertePVj)+'2021'!Pspv,1-EXP((T0-t)*PertePVj)+Pspv)</f>
        <v>3.194276434272636E-2</v>
      </c>
      <c r="M161" s="872"/>
      <c r="N161" s="872"/>
      <c r="O161" s="48">
        <f>IF(t&lt;Tnet,'2021'!Resal+('2021'!Salim-'2021'!Resal)*(1-EXP(('2021'!Tnet-t)/('2021'!Tau_j))),Resal+(Salim-Resal)*(1-EXP((Tnet-t)/(Tau_j))))*Salcycl</f>
        <v>0.12668095261070536</v>
      </c>
      <c r="P161" s="341">
        <f>(INDEX(Models!$BJ161:$BT161,,T161)*(1-R161)+INDEX(Models!$BJ161:$BT161,,T161+1)*R161-ERP_i)*Q161*Ramure*Pc/MaxiM</f>
        <v>4.1031938093245011E-4</v>
      </c>
      <c r="Q161" s="307">
        <f t="shared" si="53"/>
        <v>0.9</v>
      </c>
      <c r="R161" s="179">
        <f t="shared" si="54"/>
        <v>0.11562035864969133</v>
      </c>
      <c r="S161" s="839">
        <f t="shared" si="55"/>
        <v>0</v>
      </c>
      <c r="T161" s="178">
        <f t="shared" si="56"/>
        <v>6</v>
      </c>
      <c r="U161" s="253">
        <f t="shared" si="57"/>
        <v>0.11562035864969133</v>
      </c>
      <c r="V161" s="385">
        <f t="shared" si="58"/>
        <v>54.309098784240263</v>
      </c>
      <c r="W161" s="404">
        <f t="shared" si="59"/>
        <v>0</v>
      </c>
      <c r="X161" s="157">
        <f t="shared" si="60"/>
        <v>44708</v>
      </c>
      <c r="Y161" s="387">
        <f t="shared" si="61"/>
        <v>36.394918522455391</v>
      </c>
      <c r="Z161" s="387">
        <f t="shared" si="62"/>
        <v>37.595833367997749</v>
      </c>
      <c r="AA161" s="388">
        <f t="shared" si="63"/>
        <v>44.854478699312814</v>
      </c>
      <c r="AB161" s="199">
        <f t="shared" si="64"/>
        <v>44708</v>
      </c>
      <c r="AC161" s="119">
        <f>IF(OR(t&lt;Tnet,NoTnet),'2021'!Resal_s+('2021'!Salim-'2021'!Resal_s)*(1-EXP(('2021'!Tnet_s-t)/'2021'!Tau_j)),Resal_s+(Salim-Resal_s)*(1-EXP((Tnet_s-t)/Tau_j)))*Salcycl</f>
        <v>0.1618265453484419</v>
      </c>
      <c r="AD161" s="233">
        <f>(INDEX(Models!$BJ161:$BT161,,AH161)*(1-AF161)+INDEX(Models!$BJ161:$BT161,,AH161+1)*AF161-ERP_i)*AE161*Ramure*Pc/MaxiM</f>
        <v>4.1031938093245011E-4</v>
      </c>
      <c r="AE161" s="307">
        <f t="shared" si="65"/>
        <v>0.9</v>
      </c>
      <c r="AF161" s="179">
        <f t="shared" si="66"/>
        <v>0.11562035864969133</v>
      </c>
      <c r="AG161" s="839">
        <f t="shared" si="74"/>
        <v>0</v>
      </c>
      <c r="AH161" s="178">
        <f t="shared" si="67"/>
        <v>6</v>
      </c>
      <c r="AI161" s="227">
        <f t="shared" si="68"/>
        <v>0.11562035864969133</v>
      </c>
      <c r="AJ161" s="267" t="b">
        <f t="shared" si="69"/>
        <v>1</v>
      </c>
      <c r="AK161" s="267" t="b">
        <f t="shared" si="70"/>
        <v>0</v>
      </c>
      <c r="AL161" s="267"/>
      <c r="AM161" s="267"/>
      <c r="AN161" s="75"/>
    </row>
    <row r="162" spans="1:40" s="6" customFormat="1" ht="11.25" x14ac:dyDescent="0.2">
      <c r="A162" s="56">
        <f t="shared" si="71"/>
        <v>44709</v>
      </c>
      <c r="B162" s="1141">
        <v>50.63</v>
      </c>
      <c r="C162" s="868"/>
      <c r="D162" s="395">
        <f t="shared" si="50"/>
        <v>52.301843730457648</v>
      </c>
      <c r="E162" s="387">
        <f t="shared" si="72"/>
        <v>59.906370707447103</v>
      </c>
      <c r="F162" s="387">
        <f t="shared" si="51"/>
        <v>59.927001569959842</v>
      </c>
      <c r="G162" s="110">
        <f t="shared" si="73"/>
        <v>0.93188634506796075</v>
      </c>
      <c r="H162" s="416" t="b">
        <f>Wh_hp&gt;='2021'!Maxi_hp</f>
        <v>0</v>
      </c>
      <c r="I162" s="382">
        <f>IF(H162,Wh_hp,'2021'!Maxi_hp)</f>
        <v>61.94834261618918</v>
      </c>
      <c r="J162" s="85">
        <f>IF(H162,An,'2021'!An_max)</f>
        <v>2020</v>
      </c>
      <c r="K162" s="199">
        <f t="shared" si="52"/>
        <v>44709</v>
      </c>
      <c r="L162" s="147">
        <f>IF(t&lt;Tvie,1-EXP((T0-t)*PertePVj)+'2021'!Pspv,1-EXP((T0-t)*PertePVj)+Pspv)</f>
        <v>3.1965292448840721E-2</v>
      </c>
      <c r="M162" s="872"/>
      <c r="N162" s="872"/>
      <c r="O162" s="48">
        <f>IF(t&lt;Tnet,'2021'!Resal+('2021'!Salim-'2021'!Resal)*(1-EXP(('2021'!Tnet-t)/('2021'!Tau_j))),Resal+(Salim-Resal)*(1-EXP((Tnet-t)/(Tau_j))))*Salcycl</f>
        <v>0.12694020497629846</v>
      </c>
      <c r="P162" s="341">
        <f>(INDEX(Models!$BJ162:$BT162,,T162)*(1-R162)+INDEX(Models!$BJ162:$BT162,,T162+1)*R162-ERP_i)*Q162*Ramure*Pc/MaxiM</f>
        <v>3.8135561271116934E-4</v>
      </c>
      <c r="Q162" s="307">
        <f t="shared" si="53"/>
        <v>0.9</v>
      </c>
      <c r="R162" s="179">
        <f t="shared" si="54"/>
        <v>0.12134554133089923</v>
      </c>
      <c r="S162" s="839">
        <f t="shared" si="55"/>
        <v>0</v>
      </c>
      <c r="T162" s="178">
        <f t="shared" si="56"/>
        <v>6</v>
      </c>
      <c r="U162" s="253">
        <f t="shared" si="57"/>
        <v>0.12134554133089923</v>
      </c>
      <c r="V162" s="385">
        <f t="shared" si="58"/>
        <v>54.328644048039443</v>
      </c>
      <c r="W162" s="404">
        <f t="shared" si="59"/>
        <v>0</v>
      </c>
      <c r="X162" s="157">
        <f t="shared" si="60"/>
        <v>44709</v>
      </c>
      <c r="Y162" s="387">
        <f t="shared" si="61"/>
        <v>48.595475736577299</v>
      </c>
      <c r="Z162" s="387">
        <f t="shared" si="62"/>
        <v>50.200137823063642</v>
      </c>
      <c r="AA162" s="388">
        <f t="shared" si="63"/>
        <v>59.906370707447103</v>
      </c>
      <c r="AB162" s="199">
        <f t="shared" si="64"/>
        <v>44709</v>
      </c>
      <c r="AC162" s="119">
        <f>IF(OR(t&lt;Tnet,NoTnet),'2021'!Resal_s+('2021'!Salim-'2021'!Resal_s)*(1-EXP(('2021'!Tnet_s-t)/'2021'!Tau_j)),Resal_s+(Salim-Resal_s)*(1-EXP((Tnet_s-t)/Tau_j)))*Salcycl</f>
        <v>0.16202338365286501</v>
      </c>
      <c r="AD162" s="233">
        <f>(INDEX(Models!$BJ162:$BT162,,AH162)*(1-AF162)+INDEX(Models!$BJ162:$BT162,,AH162+1)*AF162-ERP_i)*AE162*Ramure*Pc/MaxiM</f>
        <v>3.8135561271116934E-4</v>
      </c>
      <c r="AE162" s="307">
        <f t="shared" si="65"/>
        <v>0.9</v>
      </c>
      <c r="AF162" s="179">
        <f t="shared" si="66"/>
        <v>0.12134554133089923</v>
      </c>
      <c r="AG162" s="839">
        <f t="shared" si="74"/>
        <v>0</v>
      </c>
      <c r="AH162" s="178">
        <f t="shared" si="67"/>
        <v>6</v>
      </c>
      <c r="AI162" s="227">
        <f t="shared" si="68"/>
        <v>0.12134554133089923</v>
      </c>
      <c r="AJ162" s="267" t="b">
        <f t="shared" si="69"/>
        <v>1</v>
      </c>
      <c r="AK162" s="267" t="b">
        <f t="shared" si="70"/>
        <v>0</v>
      </c>
      <c r="AL162" s="267"/>
      <c r="AM162" s="267"/>
      <c r="AN162" s="75"/>
    </row>
    <row r="163" spans="1:40" s="6" customFormat="1" ht="11.25" x14ac:dyDescent="0.2">
      <c r="A163" s="56">
        <f t="shared" si="71"/>
        <v>44710</v>
      </c>
      <c r="B163" s="1141">
        <v>55.258000000000003</v>
      </c>
      <c r="C163" s="868"/>
      <c r="D163" s="395">
        <f t="shared" si="50"/>
        <v>57.083992478020356</v>
      </c>
      <c r="E163" s="387">
        <f t="shared" si="72"/>
        <v>65.40320498877189</v>
      </c>
      <c r="F163" s="387">
        <f t="shared" si="51"/>
        <v>65.426364345119993</v>
      </c>
      <c r="G163" s="110">
        <f t="shared" si="73"/>
        <v>1.0168121653183677</v>
      </c>
      <c r="H163" s="416" t="b">
        <f>Wh_hp&gt;='2021'!Maxi_hp</f>
        <v>1</v>
      </c>
      <c r="I163" s="382">
        <f>IF(H163,Wh_hp,'2021'!Maxi_hp)</f>
        <v>65.426364345119993</v>
      </c>
      <c r="J163" s="85">
        <f>IF(H163,An,'2021'!An_max)</f>
        <v>2022</v>
      </c>
      <c r="K163" s="199">
        <f t="shared" si="52"/>
        <v>44710</v>
      </c>
      <c r="L163" s="147">
        <f>IF(t&lt;Tvie,1-EXP((T0-t)*PertePVj)+'2021'!Pspv,1-EXP((T0-t)*PertePVj)+Pspv)</f>
        <v>3.1987820030693115E-2</v>
      </c>
      <c r="M163" s="872"/>
      <c r="N163" s="872"/>
      <c r="O163" s="48">
        <f>IF(t&lt;Tnet,'2021'!Resal+('2021'!Salim-'2021'!Resal)*(1-EXP(('2021'!Tnet-t)/('2021'!Tau_j))),Resal+(Salim-Resal)*(1-EXP((Tnet-t)/(Tau_j))))*Salcycl</f>
        <v>0.12719885076243176</v>
      </c>
      <c r="P163" s="341">
        <f>(INDEX(Models!$BJ163:$BT163,,T163)*(1-R163)+INDEX(Models!$BJ163:$BT163,,T163+1)*R163-ERP_i)*Q163*Ramure*Pc/MaxiM</f>
        <v>3.5397590222106947E-4</v>
      </c>
      <c r="Q163" s="307">
        <f t="shared" si="53"/>
        <v>0.9</v>
      </c>
      <c r="R163" s="179">
        <f t="shared" si="54"/>
        <v>0.12713244201921942</v>
      </c>
      <c r="S163" s="839">
        <f t="shared" si="55"/>
        <v>0</v>
      </c>
      <c r="T163" s="178">
        <f t="shared" si="56"/>
        <v>6</v>
      </c>
      <c r="U163" s="253">
        <f t="shared" si="57"/>
        <v>0.12713244201921942</v>
      </c>
      <c r="V163" s="385">
        <f t="shared" si="58"/>
        <v>54.344353740789984</v>
      </c>
      <c r="W163" s="404">
        <f t="shared" si="59"/>
        <v>0</v>
      </c>
      <c r="X163" s="157">
        <f t="shared" si="60"/>
        <v>44710</v>
      </c>
      <c r="Y163" s="387">
        <f t="shared" si="61"/>
        <v>53.040800559698511</v>
      </c>
      <c r="Z163" s="387">
        <f t="shared" si="62"/>
        <v>54.793526008505694</v>
      </c>
      <c r="AA163" s="388">
        <f t="shared" si="63"/>
        <v>65.40320498877189</v>
      </c>
      <c r="AB163" s="199">
        <f t="shared" si="64"/>
        <v>44710</v>
      </c>
      <c r="AC163" s="119">
        <f>IF(OR(t&lt;Tnet,NoTnet),'2021'!Resal_s+('2021'!Salim-'2021'!Resal_s)*(1-EXP(('2021'!Tnet_s-t)/'2021'!Tau_j)),Resal_s+(Salim-Resal_s)*(1-EXP((Tnet_s-t)/Tau_j)))*Salcycl</f>
        <v>0.16221955762087831</v>
      </c>
      <c r="AD163" s="233">
        <f>(INDEX(Models!$BJ163:$BT163,,AH163)*(1-AF163)+INDEX(Models!$BJ163:$BT163,,AH163+1)*AF163-ERP_i)*AE163*Ramure*Pc/MaxiM</f>
        <v>3.5397590222106947E-4</v>
      </c>
      <c r="AE163" s="307">
        <f t="shared" si="65"/>
        <v>0.9</v>
      </c>
      <c r="AF163" s="179">
        <f t="shared" si="66"/>
        <v>0.12713244201921942</v>
      </c>
      <c r="AG163" s="839">
        <f t="shared" si="74"/>
        <v>0</v>
      </c>
      <c r="AH163" s="178">
        <f t="shared" si="67"/>
        <v>6</v>
      </c>
      <c r="AI163" s="227">
        <f t="shared" si="68"/>
        <v>0.12713244201921942</v>
      </c>
      <c r="AJ163" s="267" t="b">
        <f t="shared" si="69"/>
        <v>1</v>
      </c>
      <c r="AK163" s="267" t="b">
        <f t="shared" si="70"/>
        <v>0</v>
      </c>
      <c r="AL163" s="267"/>
      <c r="AM163" s="267"/>
      <c r="AN163" s="75"/>
    </row>
    <row r="164" spans="1:40" s="6" customFormat="1" ht="11.25" x14ac:dyDescent="0.2">
      <c r="A164" s="56">
        <f t="shared" si="71"/>
        <v>44711</v>
      </c>
      <c r="B164" s="1141">
        <v>47.244</v>
      </c>
      <c r="C164" s="868"/>
      <c r="D164" s="395">
        <f t="shared" si="50"/>
        <v>48.806306821452552</v>
      </c>
      <c r="E164" s="387">
        <f t="shared" si="72"/>
        <v>55.93568698742768</v>
      </c>
      <c r="F164" s="387">
        <f t="shared" si="51"/>
        <v>55.950665279030446</v>
      </c>
      <c r="G164" s="110">
        <f t="shared" si="73"/>
        <v>0.86911681238590954</v>
      </c>
      <c r="H164" s="416" t="b">
        <f>Wh_hp&gt;='2021'!Maxi_hp</f>
        <v>0</v>
      </c>
      <c r="I164" s="382">
        <f>IF(H164,Wh_hp,'2021'!Maxi_hp)</f>
        <v>63.612298063151371</v>
      </c>
      <c r="J164" s="85">
        <f>IF(H164,An,'2021'!An_max)</f>
        <v>2019</v>
      </c>
      <c r="K164" s="199">
        <f t="shared" si="52"/>
        <v>44711</v>
      </c>
      <c r="L164" s="147">
        <f>IF(t&lt;Tvie,1-EXP((T0-t)*PertePVj)+'2021'!Pspv,1-EXP((T0-t)*PertePVj)+Pspv)</f>
        <v>3.2010347088295754E-2</v>
      </c>
      <c r="M164" s="872"/>
      <c r="N164" s="872"/>
      <c r="O164" s="48">
        <f>IF(t&lt;Tnet,'2021'!Resal+('2021'!Salim-'2021'!Resal)*(1-EXP(('2021'!Tnet-t)/('2021'!Tau_j))),Resal+(Salim-Resal)*(1-EXP((Tnet-t)/(Tau_j))))*Salcycl</f>
        <v>0.1274567373701436</v>
      </c>
      <c r="P164" s="341">
        <f>(INDEX(Models!$BJ164:$BT164,,T164)*(1-R164)+INDEX(Models!$BJ164:$BT164,,T164+1)*R164-ERP_i)*Q164*Ramure*Pc/MaxiM</f>
        <v>3.2924017824566005E-4</v>
      </c>
      <c r="Q164" s="307">
        <f t="shared" si="53"/>
        <v>0.9</v>
      </c>
      <c r="R164" s="179">
        <f t="shared" si="54"/>
        <v>0.13297710122579101</v>
      </c>
      <c r="S164" s="839">
        <f t="shared" si="55"/>
        <v>0</v>
      </c>
      <c r="T164" s="178">
        <f t="shared" si="56"/>
        <v>6</v>
      </c>
      <c r="U164" s="253">
        <f t="shared" si="57"/>
        <v>0.13297710122579101</v>
      </c>
      <c r="V164" s="385">
        <f t="shared" si="58"/>
        <v>54.355285038980512</v>
      </c>
      <c r="W164" s="404">
        <f t="shared" si="59"/>
        <v>0</v>
      </c>
      <c r="X164" s="157">
        <f t="shared" si="60"/>
        <v>44711</v>
      </c>
      <c r="Y164" s="387">
        <f t="shared" si="61"/>
        <v>45.351185858933526</v>
      </c>
      <c r="Z164" s="387">
        <f t="shared" si="62"/>
        <v>46.850899410461224</v>
      </c>
      <c r="AA164" s="388">
        <f t="shared" si="63"/>
        <v>55.93568698742768</v>
      </c>
      <c r="AB164" s="199">
        <f t="shared" si="64"/>
        <v>44711</v>
      </c>
      <c r="AC164" s="119">
        <f>IF(OR(t&lt;Tnet,NoTnet),'2021'!Resal_s+('2021'!Salim-'2021'!Resal_s)*(1-EXP(('2021'!Tnet_s-t)/'2021'!Tau_j)),Resal_s+(Salim-Resal_s)*(1-EXP((Tnet_s-t)/Tau_j)))*Salcycl</f>
        <v>0.16241487440761004</v>
      </c>
      <c r="AD164" s="233">
        <f>(INDEX(Models!$BJ164:$BT164,,AH164)*(1-AF164)+INDEX(Models!$BJ164:$BT164,,AH164+1)*AF164-ERP_i)*AE164*Ramure*Pc/MaxiM</f>
        <v>3.2924017824566005E-4</v>
      </c>
      <c r="AE164" s="307">
        <f t="shared" si="65"/>
        <v>0.9</v>
      </c>
      <c r="AF164" s="179">
        <f t="shared" si="66"/>
        <v>0.13297710122579101</v>
      </c>
      <c r="AG164" s="839">
        <f t="shared" si="74"/>
        <v>0</v>
      </c>
      <c r="AH164" s="178">
        <f t="shared" si="67"/>
        <v>6</v>
      </c>
      <c r="AI164" s="227">
        <f t="shared" si="68"/>
        <v>0.13297710122579101</v>
      </c>
      <c r="AJ164" s="267" t="b">
        <f t="shared" si="69"/>
        <v>1</v>
      </c>
      <c r="AK164" s="267" t="b">
        <f t="shared" si="70"/>
        <v>0</v>
      </c>
      <c r="AL164" s="267"/>
      <c r="AM164" s="267"/>
      <c r="AN164" s="75"/>
    </row>
    <row r="165" spans="1:40" s="6" customFormat="1" ht="11.25" x14ac:dyDescent="0.2">
      <c r="A165" s="56">
        <f t="shared" si="71"/>
        <v>44712</v>
      </c>
      <c r="B165" s="1141">
        <v>50.640999999999998</v>
      </c>
      <c r="C165" s="868"/>
      <c r="D165" s="395">
        <f t="shared" si="50"/>
        <v>52.316859343636935</v>
      </c>
      <c r="E165" s="387">
        <f t="shared" si="72"/>
        <v>59.976707259437795</v>
      </c>
      <c r="F165" s="387">
        <f t="shared" si="51"/>
        <v>59.993287404452765</v>
      </c>
      <c r="G165" s="110">
        <f t="shared" si="73"/>
        <v>0.93152892769891893</v>
      </c>
      <c r="H165" s="416" t="b">
        <f>Wh_hp&gt;='2021'!Maxi_hp</f>
        <v>0</v>
      </c>
      <c r="I165" s="382">
        <f>IF(H165,Wh_hp,'2021'!Maxi_hp)</f>
        <v>64.631023417183059</v>
      </c>
      <c r="J165" s="85">
        <f>IF(H165,An,'2021'!An_max)</f>
        <v>2019</v>
      </c>
      <c r="K165" s="199">
        <f t="shared" si="52"/>
        <v>44712</v>
      </c>
      <c r="L165" s="147">
        <f>IF(t&lt;Tvie,1-EXP((T0-t)*PertePVj)+'2021'!Pspv,1-EXP((T0-t)*PertePVj)+Pspv)</f>
        <v>3.2032873621660962E-2</v>
      </c>
      <c r="M165" s="872"/>
      <c r="N165" s="872"/>
      <c r="O165" s="48">
        <f>IF(t&lt;Tnet,'2021'!Resal+('2021'!Salim-'2021'!Resal)*(1-EXP(('2021'!Tnet-t)/('2021'!Tau_j))),Resal+(Salim-Resal)*(1-EXP((Tnet-t)/(Tau_j))))*Salcycl</f>
        <v>0.12771371196933334</v>
      </c>
      <c r="P165" s="341">
        <f>(INDEX(Models!$BJ165:$BT165,,T165)*(1-R165)+INDEX(Models!$BJ165:$BT165,,T165+1)*R165-ERP_i)*Q165*Ramure*Pc/MaxiM</f>
        <v>3.0631711579050616E-4</v>
      </c>
      <c r="Q165" s="307">
        <f t="shared" si="53"/>
        <v>0.9</v>
      </c>
      <c r="R165" s="179">
        <f t="shared" si="54"/>
        <v>0.1388753816050631</v>
      </c>
      <c r="S165" s="839">
        <f t="shared" si="55"/>
        <v>0</v>
      </c>
      <c r="T165" s="178">
        <f t="shared" si="56"/>
        <v>6</v>
      </c>
      <c r="U165" s="253">
        <f t="shared" si="57"/>
        <v>0.1388753816050631</v>
      </c>
      <c r="V165" s="385">
        <f t="shared" si="58"/>
        <v>54.361685777422402</v>
      </c>
      <c r="W165" s="404">
        <f t="shared" si="59"/>
        <v>0</v>
      </c>
      <c r="X165" s="157">
        <f t="shared" si="60"/>
        <v>44712</v>
      </c>
      <c r="Y165" s="387">
        <f t="shared" si="61"/>
        <v>48.61512905509835</v>
      </c>
      <c r="Z165" s="387">
        <f t="shared" si="62"/>
        <v>50.22394638234509</v>
      </c>
      <c r="AA165" s="388">
        <f t="shared" si="63"/>
        <v>59.976707259437795</v>
      </c>
      <c r="AB165" s="199">
        <f t="shared" si="64"/>
        <v>44712</v>
      </c>
      <c r="AC165" s="119">
        <f>IF(OR(t&lt;Tnet,NoTnet),'2021'!Resal_s+('2021'!Salim-'2021'!Resal_s)*(1-EXP(('2021'!Tnet_s-t)/'2021'!Tau_j)),Resal_s+(Salim-Resal_s)*(1-EXP((Tnet_s-t)/Tau_j)))*Salcycl</f>
        <v>0.16260914149397604</v>
      </c>
      <c r="AD165" s="233">
        <f>(INDEX(Models!$BJ165:$BT165,,AH165)*(1-AF165)+INDEX(Models!$BJ165:$BT165,,AH165+1)*AF165-ERP_i)*AE165*Ramure*Pc/MaxiM</f>
        <v>3.0631711579050616E-4</v>
      </c>
      <c r="AE165" s="307">
        <f t="shared" si="65"/>
        <v>0.9</v>
      </c>
      <c r="AF165" s="179">
        <f t="shared" si="66"/>
        <v>0.1388753816050631</v>
      </c>
      <c r="AG165" s="839">
        <f t="shared" si="74"/>
        <v>0</v>
      </c>
      <c r="AH165" s="178">
        <f t="shared" si="67"/>
        <v>6</v>
      </c>
      <c r="AI165" s="227">
        <f t="shared" si="68"/>
        <v>0.1388753816050631</v>
      </c>
      <c r="AJ165" s="267" t="b">
        <f t="shared" si="69"/>
        <v>1</v>
      </c>
      <c r="AK165" s="267" t="b">
        <f t="shared" si="70"/>
        <v>0</v>
      </c>
      <c r="AL165" s="267"/>
      <c r="AM165" s="267"/>
      <c r="AN165" s="75"/>
    </row>
    <row r="166" spans="1:40" s="6" customFormat="1" ht="11.25" x14ac:dyDescent="0.2">
      <c r="A166" s="56">
        <f t="shared" si="71"/>
        <v>44713</v>
      </c>
      <c r="B166" s="1141">
        <v>52.082000000000001</v>
      </c>
      <c r="C166" s="868"/>
      <c r="D166" s="395">
        <f t="shared" si="50"/>
        <v>53.806798426412598</v>
      </c>
      <c r="E166" s="387">
        <f t="shared" si="72"/>
        <v>61.702894517632707</v>
      </c>
      <c r="F166" s="387">
        <f t="shared" si="51"/>
        <v>61.719441907009852</v>
      </c>
      <c r="G166" s="110">
        <f t="shared" si="73"/>
        <v>0.9580115628682051</v>
      </c>
      <c r="H166" s="416" t="b">
        <f>Wh_hp&gt;='2021'!Maxi_hp</f>
        <v>0</v>
      </c>
      <c r="I166" s="382">
        <f>IF(H166,Wh_hp,'2021'!Maxi_hp)</f>
        <v>65.060642777484958</v>
      </c>
      <c r="J166" s="85">
        <f>IF(H166,An,'2021'!An_max)</f>
        <v>2019</v>
      </c>
      <c r="K166" s="199">
        <f t="shared" si="52"/>
        <v>44713</v>
      </c>
      <c r="L166" s="147">
        <f>IF(t&lt;Tvie,1-EXP((T0-t)*PertePVj)+'2021'!Pspv,1-EXP((T0-t)*PertePVj)+Pspv)</f>
        <v>3.2055399630800729E-2</v>
      </c>
      <c r="M166" s="872"/>
      <c r="N166" s="872"/>
      <c r="O166" s="48">
        <f>IF(t&lt;Tnet,'2021'!Resal+('2021'!Salim-'2021'!Resal)*(1-EXP(('2021'!Tnet-t)/('2021'!Tau_j))),Resal+(Salim-Resal)*(1-EXP((Tnet-t)/(Tau_j))))*Salcycl</f>
        <v>0.1279696220566065</v>
      </c>
      <c r="P166" s="341">
        <f>(INDEX(Models!$BJ166:$BT166,,T166)*(1-R166)+INDEX(Models!$BJ166:$BT166,,T166+1)*R166-ERP_i)*Q166*Ramure*Pc/MaxiM</f>
        <v>2.852076661928222E-4</v>
      </c>
      <c r="Q166" s="307">
        <f t="shared" si="53"/>
        <v>0.9</v>
      </c>
      <c r="R166" s="179">
        <f t="shared" si="54"/>
        <v>0.14482297824954909</v>
      </c>
      <c r="S166" s="839">
        <f t="shared" si="55"/>
        <v>0</v>
      </c>
      <c r="T166" s="178">
        <f t="shared" si="56"/>
        <v>6</v>
      </c>
      <c r="U166" s="253">
        <f t="shared" si="57"/>
        <v>0.14482297824954909</v>
      </c>
      <c r="V166" s="385">
        <f t="shared" si="58"/>
        <v>54.363758352974848</v>
      </c>
      <c r="W166" s="404">
        <f t="shared" si="59"/>
        <v>0</v>
      </c>
      <c r="X166" s="157">
        <f t="shared" si="60"/>
        <v>44713</v>
      </c>
      <c r="Y166" s="387">
        <f t="shared" si="61"/>
        <v>50.00162680207012</v>
      </c>
      <c r="Z166" s="387">
        <f t="shared" si="62"/>
        <v>51.657529555925201</v>
      </c>
      <c r="AA166" s="388">
        <f t="shared" si="63"/>
        <v>61.702894517632707</v>
      </c>
      <c r="AB166" s="199">
        <f t="shared" si="64"/>
        <v>44713</v>
      </c>
      <c r="AC166" s="119">
        <f>IF(OR(t&lt;Tnet,NoTnet),'2021'!Resal_s+('2021'!Salim-'2021'!Resal_s)*(1-EXP(('2021'!Tnet_s-t)/'2021'!Tau_j)),Resal_s+(Salim-Resal_s)*(1-EXP((Tnet_s-t)/Tau_j)))*Salcycl</f>
        <v>0.16280216739000578</v>
      </c>
      <c r="AD166" s="233">
        <f>(INDEX(Models!$BJ166:$BT166,,AH166)*(1-AF166)+INDEX(Models!$BJ166:$BT166,,AH166+1)*AF166-ERP_i)*AE166*Ramure*Pc/MaxiM</f>
        <v>2.852076661928222E-4</v>
      </c>
      <c r="AE166" s="307">
        <f t="shared" si="65"/>
        <v>0.9</v>
      </c>
      <c r="AF166" s="179">
        <f t="shared" si="66"/>
        <v>0.14482297824954909</v>
      </c>
      <c r="AG166" s="839">
        <f t="shared" si="74"/>
        <v>0</v>
      </c>
      <c r="AH166" s="178">
        <f t="shared" si="67"/>
        <v>6</v>
      </c>
      <c r="AI166" s="227">
        <f t="shared" si="68"/>
        <v>0.14482297824954909</v>
      </c>
      <c r="AJ166" s="267" t="b">
        <f t="shared" si="69"/>
        <v>1</v>
      </c>
      <c r="AK166" s="267" t="b">
        <f t="shared" si="70"/>
        <v>0</v>
      </c>
      <c r="AL166" s="267"/>
      <c r="AM166" s="267"/>
      <c r="AN166" s="75"/>
    </row>
    <row r="167" spans="1:40" s="6" customFormat="1" ht="11.25" x14ac:dyDescent="0.2">
      <c r="A167" s="56">
        <f t="shared" si="71"/>
        <v>44714</v>
      </c>
      <c r="B167" s="1141">
        <v>40.902999999999999</v>
      </c>
      <c r="C167" s="868"/>
      <c r="D167" s="395">
        <f t="shared" si="50"/>
        <v>42.258567152619669</v>
      </c>
      <c r="E167" s="387">
        <f t="shared" si="72"/>
        <v>48.474129216193845</v>
      </c>
      <c r="F167" s="387">
        <f t="shared" si="51"/>
        <v>48.482461669129727</v>
      </c>
      <c r="G167" s="110">
        <f t="shared" si="73"/>
        <v>0.75235227778228242</v>
      </c>
      <c r="H167" s="416" t="b">
        <f>Wh_hp&gt;='2021'!Maxi_hp</f>
        <v>0</v>
      </c>
      <c r="I167" s="382">
        <f>IF(H167,Wh_hp,'2021'!Maxi_hp)</f>
        <v>63.821113384817394</v>
      </c>
      <c r="J167" s="85">
        <f>IF(H167,An,'2021'!An_max)</f>
        <v>2019</v>
      </c>
      <c r="K167" s="199">
        <f t="shared" si="52"/>
        <v>44714</v>
      </c>
      <c r="L167" s="147">
        <f>IF(t&lt;Tvie,1-EXP((T0-t)*PertePVj)+'2021'!Pspv,1-EXP((T0-t)*PertePVj)+Pspv)</f>
        <v>3.2077925115727379E-2</v>
      </c>
      <c r="M167" s="872"/>
      <c r="N167" s="872"/>
      <c r="O167" s="48">
        <f>IF(t&lt;Tnet,'2021'!Resal+('2021'!Salim-'2021'!Resal)*(1-EXP(('2021'!Tnet-t)/('2021'!Tau_j))),Resal+(Salim-Resal)*(1-EXP((Tnet-t)/(Tau_j))))*Salcycl</f>
        <v>0.12822431602335485</v>
      </c>
      <c r="P167" s="341">
        <f>(INDEX(Models!$BJ167:$BT167,,T167)*(1-R167)+INDEX(Models!$BJ167:$BT167,,T167+1)*R167-ERP_i)*Q167*Ramure*Pc/MaxiM</f>
        <v>2.6591419354872345E-4</v>
      </c>
      <c r="Q167" s="307">
        <f t="shared" si="53"/>
        <v>0.9</v>
      </c>
      <c r="R167" s="179">
        <f t="shared" si="54"/>
        <v>0.15081543006373566</v>
      </c>
      <c r="S167" s="839">
        <f t="shared" si="55"/>
        <v>0</v>
      </c>
      <c r="T167" s="178">
        <f t="shared" si="56"/>
        <v>6</v>
      </c>
      <c r="U167" s="253">
        <f t="shared" si="57"/>
        <v>0.15081543006373566</v>
      </c>
      <c r="V167" s="385">
        <f t="shared" si="58"/>
        <v>54.361704835273599</v>
      </c>
      <c r="W167" s="404">
        <f t="shared" si="59"/>
        <v>0</v>
      </c>
      <c r="X167" s="157">
        <f t="shared" si="60"/>
        <v>44714</v>
      </c>
      <c r="Y167" s="387">
        <f t="shared" si="61"/>
        <v>39.271646098820298</v>
      </c>
      <c r="Z167" s="387">
        <f t="shared" si="62"/>
        <v>40.573148518712856</v>
      </c>
      <c r="AA167" s="388">
        <f t="shared" si="63"/>
        <v>48.474129216193845</v>
      </c>
      <c r="AB167" s="199">
        <f t="shared" si="64"/>
        <v>44714</v>
      </c>
      <c r="AC167" s="119">
        <f>IF(OR(t&lt;Tnet,NoTnet),'2021'!Resal_s+('2021'!Salim-'2021'!Resal_s)*(1-EXP(('2021'!Tnet_s-t)/'2021'!Tau_j)),Resal_s+(Salim-Resal_s)*(1-EXP((Tnet_s-t)/Tau_j)))*Salcycl</f>
        <v>0.16299376234780294</v>
      </c>
      <c r="AD167" s="233">
        <f>(INDEX(Models!$BJ167:$BT167,,AH167)*(1-AF167)+INDEX(Models!$BJ167:$BT167,,AH167+1)*AF167-ERP_i)*AE167*Ramure*Pc/MaxiM</f>
        <v>2.6591419354872345E-4</v>
      </c>
      <c r="AE167" s="307">
        <f t="shared" si="65"/>
        <v>0.9</v>
      </c>
      <c r="AF167" s="179">
        <f t="shared" si="66"/>
        <v>0.15081543006373566</v>
      </c>
      <c r="AG167" s="839">
        <f t="shared" si="74"/>
        <v>0</v>
      </c>
      <c r="AH167" s="178">
        <f t="shared" si="67"/>
        <v>6</v>
      </c>
      <c r="AI167" s="227">
        <f t="shared" si="68"/>
        <v>0.15081543006373566</v>
      </c>
      <c r="AJ167" s="267" t="b">
        <f t="shared" si="69"/>
        <v>1</v>
      </c>
      <c r="AK167" s="267" t="b">
        <f t="shared" si="70"/>
        <v>0</v>
      </c>
      <c r="AL167" s="267"/>
      <c r="AM167" s="267"/>
      <c r="AN167" s="75"/>
    </row>
    <row r="168" spans="1:40" s="6" customFormat="1" ht="11.25" x14ac:dyDescent="0.2">
      <c r="A168" s="56">
        <f t="shared" si="71"/>
        <v>44715</v>
      </c>
      <c r="B168" s="1141">
        <v>49.57</v>
      </c>
      <c r="C168" s="868"/>
      <c r="D168" s="395">
        <f t="shared" si="50"/>
        <v>51.213992199826379</v>
      </c>
      <c r="E168" s="387">
        <f t="shared" si="72"/>
        <v>58.763830705446566</v>
      </c>
      <c r="F168" s="387">
        <f t="shared" si="51"/>
        <v>58.7765965166491</v>
      </c>
      <c r="G168" s="110">
        <f t="shared" si="73"/>
        <v>0.91192692084259153</v>
      </c>
      <c r="H168" s="416" t="b">
        <f>Wh_hp&gt;='2021'!Maxi_hp</f>
        <v>0</v>
      </c>
      <c r="I168" s="382">
        <f>IF(H168,Wh_hp,'2021'!Maxi_hp)</f>
        <v>59.795155783954719</v>
      </c>
      <c r="J168" s="85">
        <f>IF(H168,An,'2021'!An_max)</f>
        <v>2020</v>
      </c>
      <c r="K168" s="199">
        <f t="shared" si="52"/>
        <v>44715</v>
      </c>
      <c r="L168" s="147">
        <f>IF(t&lt;Tvie,1-EXP((T0-t)*PertePVj)+'2021'!Pspv,1-EXP((T0-t)*PertePVj)+Pspv)</f>
        <v>3.2100450076453013E-2</v>
      </c>
      <c r="M168" s="872"/>
      <c r="N168" s="872"/>
      <c r="O168" s="48">
        <f>IF(t&lt;Tnet,'2021'!Resal+('2021'!Salim-'2021'!Resal)*(1-EXP(('2021'!Tnet-t)/('2021'!Tau_j))),Resal+(Salim-Resal)*(1-EXP((Tnet-t)/(Tau_j))))*Salcycl</f>
        <v>0.12847764373060894</v>
      </c>
      <c r="P168" s="341">
        <f>(INDEX(Models!$BJ168:$BT168,,T168)*(1-R168)+INDEX(Models!$BJ168:$BT168,,T168+1)*R168-ERP_i)*Q168*Ramure*Pc/MaxiM</f>
        <v>2.4844040825551539E-4</v>
      </c>
      <c r="Q168" s="307">
        <f t="shared" si="53"/>
        <v>0.9</v>
      </c>
      <c r="R168" s="179">
        <f t="shared" si="54"/>
        <v>0.15684813216315291</v>
      </c>
      <c r="S168" s="839">
        <f t="shared" si="55"/>
        <v>0</v>
      </c>
      <c r="T168" s="178">
        <f t="shared" si="56"/>
        <v>6</v>
      </c>
      <c r="U168" s="253">
        <f t="shared" si="57"/>
        <v>0.15684813216315291</v>
      </c>
      <c r="V168" s="385">
        <f t="shared" si="58"/>
        <v>54.355726923849474</v>
      </c>
      <c r="W168" s="404">
        <f t="shared" si="59"/>
        <v>0</v>
      </c>
      <c r="X168" s="157">
        <f t="shared" si="60"/>
        <v>44715</v>
      </c>
      <c r="Y168" s="387">
        <f t="shared" si="61"/>
        <v>47.596004572252212</v>
      </c>
      <c r="Z168" s="387">
        <f t="shared" si="62"/>
        <v>49.174529088283755</v>
      </c>
      <c r="AA168" s="388">
        <f t="shared" si="63"/>
        <v>58.763830705446566</v>
      </c>
      <c r="AB168" s="199">
        <f t="shared" si="64"/>
        <v>44715</v>
      </c>
      <c r="AC168" s="119">
        <f>IF(OR(t&lt;Tnet,NoTnet),'2021'!Resal_s+('2021'!Salim-'2021'!Resal_s)*(1-EXP(('2021'!Tnet_s-t)/'2021'!Tau_j)),Resal_s+(Salim-Resal_s)*(1-EXP((Tnet_s-t)/Tau_j)))*Salcycl</f>
        <v>0.1631837390797265</v>
      </c>
      <c r="AD168" s="233">
        <f>(INDEX(Models!$BJ168:$BT168,,AH168)*(1-AF168)+INDEX(Models!$BJ168:$BT168,,AH168+1)*AF168-ERP_i)*AE168*Ramure*Pc/MaxiM</f>
        <v>2.4844040825551539E-4</v>
      </c>
      <c r="AE168" s="307">
        <f t="shared" si="65"/>
        <v>0.9</v>
      </c>
      <c r="AF168" s="179">
        <f t="shared" si="66"/>
        <v>0.15684813216315291</v>
      </c>
      <c r="AG168" s="839">
        <f t="shared" si="74"/>
        <v>0</v>
      </c>
      <c r="AH168" s="178">
        <f t="shared" si="67"/>
        <v>6</v>
      </c>
      <c r="AI168" s="227">
        <f t="shared" si="68"/>
        <v>0.15684813216315291</v>
      </c>
      <c r="AJ168" s="267" t="b">
        <f t="shared" si="69"/>
        <v>1</v>
      </c>
      <c r="AK168" s="267" t="b">
        <f t="shared" si="70"/>
        <v>0</v>
      </c>
      <c r="AL168" s="267"/>
      <c r="AM168" s="267"/>
      <c r="AN168" s="75"/>
    </row>
    <row r="169" spans="1:40" s="18" customFormat="1" ht="11.25" x14ac:dyDescent="0.2">
      <c r="A169" s="56">
        <f t="shared" si="71"/>
        <v>44716</v>
      </c>
      <c r="B169" s="1141">
        <v>28.148</v>
      </c>
      <c r="C169" s="868"/>
      <c r="D169" s="395">
        <f t="shared" si="50"/>
        <v>29.082206994051415</v>
      </c>
      <c r="E169" s="387">
        <f t="shared" si="72"/>
        <v>33.379077521455173</v>
      </c>
      <c r="F169" s="387">
        <f t="shared" si="51"/>
        <v>33.381496946479622</v>
      </c>
      <c r="G169" s="110">
        <f t="shared" si="73"/>
        <v>0.51785731710333327</v>
      </c>
      <c r="H169" s="416" t="b">
        <f>Wh_hp&gt;='2021'!Maxi_hp</f>
        <v>0</v>
      </c>
      <c r="I169" s="382">
        <f>IF(H169,Wh_hp,'2021'!Maxi_hp)</f>
        <v>57.885419490334492</v>
      </c>
      <c r="J169" s="85">
        <f>IF(H169,An,'2021'!An_max)</f>
        <v>2019</v>
      </c>
      <c r="K169" s="199">
        <f t="shared" si="52"/>
        <v>44716</v>
      </c>
      <c r="L169" s="147">
        <f>IF(t&lt;Tvie,1-EXP((T0-t)*PertePVj)+'2021'!Pspv,1-EXP((T0-t)*PertePVj)+Pspv)</f>
        <v>3.2122974512990066E-2</v>
      </c>
      <c r="M169" s="872"/>
      <c r="N169" s="872"/>
      <c r="O169" s="48">
        <f>IF(t&lt;Tnet,'2021'!Resal+('2021'!Salim-'2021'!Resal)*(1-EXP(('2021'!Tnet-t)/('2021'!Tau_j))),Resal+(Salim-Resal)*(1-EXP((Tnet-t)/(Tau_j))))*Salcycl</f>
        <v>0.1287294570870583</v>
      </c>
      <c r="P169" s="341">
        <f>(INDEX(Models!$BJ169:$BT169,,T169)*(1-R169)+INDEX(Models!$BJ169:$BT169,,T169+1)*R169-ERP_i)*Q169*Ramure*Pc/MaxiM</f>
        <v>2.3279129944828178E-4</v>
      </c>
      <c r="Q169" s="307">
        <f t="shared" si="53"/>
        <v>0.9</v>
      </c>
      <c r="R169" s="179">
        <f t="shared" si="54"/>
        <v>0.16291634923338139</v>
      </c>
      <c r="S169" s="839">
        <f t="shared" si="55"/>
        <v>0</v>
      </c>
      <c r="T169" s="178">
        <f t="shared" si="56"/>
        <v>6</v>
      </c>
      <c r="U169" s="253">
        <f t="shared" si="57"/>
        <v>0.16291634923338139</v>
      </c>
      <c r="V169" s="385">
        <f t="shared" si="58"/>
        <v>54.346025913736668</v>
      </c>
      <c r="W169" s="404">
        <f t="shared" si="59"/>
        <v>0</v>
      </c>
      <c r="X169" s="157">
        <f t="shared" si="60"/>
        <v>44716</v>
      </c>
      <c r="Y169" s="387">
        <f t="shared" si="61"/>
        <v>27.028811625731844</v>
      </c>
      <c r="Z169" s="387">
        <f t="shared" si="62"/>
        <v>27.925873756670345</v>
      </c>
      <c r="AA169" s="388">
        <f t="shared" si="63"/>
        <v>33.379077521455173</v>
      </c>
      <c r="AB169" s="199">
        <f t="shared" si="64"/>
        <v>44716</v>
      </c>
      <c r="AC169" s="119">
        <f>IF(OR(t&lt;Tnet,NoTnet),'2021'!Resal_s+('2021'!Salim-'2021'!Resal_s)*(1-EXP(('2021'!Tnet_s-t)/'2021'!Tau_j)),Resal_s+(Salim-Resal_s)*(1-EXP((Tnet_s-t)/Tau_j)))*Salcycl</f>
        <v>0.16337191347722704</v>
      </c>
      <c r="AD169" s="233">
        <f>(INDEX(Models!$BJ169:$BT169,,AH169)*(1-AF169)+INDEX(Models!$BJ169:$BT169,,AH169+1)*AF169-ERP_i)*AE169*Ramure*Pc/MaxiM</f>
        <v>2.3279129944828178E-4</v>
      </c>
      <c r="AE169" s="307">
        <f t="shared" si="65"/>
        <v>0.9</v>
      </c>
      <c r="AF169" s="179">
        <f t="shared" si="66"/>
        <v>0.16291634923338139</v>
      </c>
      <c r="AG169" s="839">
        <f t="shared" si="74"/>
        <v>0</v>
      </c>
      <c r="AH169" s="178">
        <f t="shared" si="67"/>
        <v>6</v>
      </c>
      <c r="AI169" s="227">
        <f t="shared" si="68"/>
        <v>0.16291634923338139</v>
      </c>
      <c r="AJ169" s="267" t="b">
        <f t="shared" si="69"/>
        <v>1</v>
      </c>
      <c r="AK169" s="267" t="b">
        <f t="shared" si="70"/>
        <v>0</v>
      </c>
      <c r="AL169" s="267"/>
      <c r="AM169" s="267"/>
      <c r="AN169" s="267"/>
    </row>
    <row r="170" spans="1:40" s="18" customFormat="1" ht="11.25" x14ac:dyDescent="0.2">
      <c r="A170" s="56">
        <f t="shared" si="71"/>
        <v>44717</v>
      </c>
      <c r="B170" s="1141">
        <v>29.403000000000002</v>
      </c>
      <c r="C170" s="868"/>
      <c r="D170" s="395">
        <f t="shared" si="50"/>
        <v>30.379566300681383</v>
      </c>
      <c r="E170" s="387">
        <f t="shared" ref="E170:E232" si="75">Wh_pvt/(1-Psa)</f>
        <v>34.878134509036428</v>
      </c>
      <c r="F170" s="387">
        <f t="shared" si="51"/>
        <v>34.880769344169529</v>
      </c>
      <c r="G170" s="110">
        <f t="shared" ref="G170:G232" si="76">+Wh_hp/MaxiM</f>
        <v>0.54108716714638583</v>
      </c>
      <c r="H170" s="416" t="b">
        <f>Wh_hp&gt;='2021'!Maxi_hp</f>
        <v>0</v>
      </c>
      <c r="I170" s="382">
        <f>IF(H170,Wh_hp,'2021'!Maxi_hp)</f>
        <v>47.550981784469194</v>
      </c>
      <c r="J170" s="85">
        <f>IF(H170,An,'2021'!An_max)</f>
        <v>2021</v>
      </c>
      <c r="K170" s="199">
        <f t="shared" si="52"/>
        <v>44717</v>
      </c>
      <c r="L170" s="147">
        <f>IF(t&lt;Tvie,1-EXP((T0-t)*PertePVj)+'2021'!Pspv,1-EXP((T0-t)*PertePVj)+Pspv)</f>
        <v>3.2145498425350416E-2</v>
      </c>
      <c r="M170" s="872"/>
      <c r="N170" s="872"/>
      <c r="O170" s="48">
        <f>IF(t&lt;Tnet,'2021'!Resal+('2021'!Salim-'2021'!Resal)*(1-EXP(('2021'!Tnet-t)/('2021'!Tau_j))),Resal+(Salim-Resal)*(1-EXP((Tnet-t)/(Tau_j))))*Salcycl</f>
        <v>0.12897961062652402</v>
      </c>
      <c r="P170" s="341">
        <f>(INDEX(Models!$BJ170:$BT170,,T170)*(1-R170)+INDEX(Models!$BJ170:$BT170,,T170+1)*R170-ERP_i)*Q170*Ramure*Pc/MaxiM</f>
        <v>2.1925587783478207E-4</v>
      </c>
      <c r="Q170" s="307">
        <f t="shared" si="53"/>
        <v>0.9</v>
      </c>
      <c r="R170" s="179">
        <f t="shared" si="54"/>
        <v>0.16901522977301064</v>
      </c>
      <c r="S170" s="839">
        <f t="shared" si="55"/>
        <v>0</v>
      </c>
      <c r="T170" s="178">
        <f t="shared" si="56"/>
        <v>6</v>
      </c>
      <c r="U170" s="253">
        <f t="shared" si="57"/>
        <v>0.16901522977301064</v>
      </c>
      <c r="V170" s="385">
        <f t="shared" si="58"/>
        <v>54.332787282342018</v>
      </c>
      <c r="W170" s="404">
        <f t="shared" si="59"/>
        <v>0</v>
      </c>
      <c r="X170" s="157">
        <f t="shared" si="60"/>
        <v>44717</v>
      </c>
      <c r="Y170" s="387">
        <f t="shared" si="61"/>
        <v>28.235735155178141</v>
      </c>
      <c r="Z170" s="387">
        <f t="shared" si="62"/>
        <v>29.173532911444902</v>
      </c>
      <c r="AA170" s="388">
        <f t="shared" si="63"/>
        <v>34.878134509036428</v>
      </c>
      <c r="AB170" s="199">
        <f t="shared" si="64"/>
        <v>44717</v>
      </c>
      <c r="AC170" s="119">
        <f>IF(OR(t&lt;Tnet,NoTnet),'2021'!Resal_s+('2021'!Salim-'2021'!Resal_s)*(1-EXP(('2021'!Tnet_s-t)/'2021'!Tau_j)),Resal_s+(Salim-Resal_s)*(1-EXP((Tnet_s-t)/Tau_j)))*Salcycl</f>
        <v>0.16355810532566029</v>
      </c>
      <c r="AD170" s="233">
        <f>(INDEX(Models!$BJ170:$BT170,,AH170)*(1-AF170)+INDEX(Models!$BJ170:$BT170,,AH170+1)*AF170-ERP_i)*AE170*Ramure*Pc/MaxiM</f>
        <v>2.1925587783478207E-4</v>
      </c>
      <c r="AE170" s="307">
        <f t="shared" si="65"/>
        <v>0.9</v>
      </c>
      <c r="AF170" s="179">
        <f t="shared" si="66"/>
        <v>0.16901522977301064</v>
      </c>
      <c r="AG170" s="839">
        <f t="shared" si="74"/>
        <v>0</v>
      </c>
      <c r="AH170" s="178">
        <f t="shared" si="67"/>
        <v>6</v>
      </c>
      <c r="AI170" s="227">
        <f t="shared" si="68"/>
        <v>0.16901522977301064</v>
      </c>
      <c r="AJ170" s="267" t="b">
        <f t="shared" si="69"/>
        <v>1</v>
      </c>
      <c r="AK170" s="267" t="b">
        <f t="shared" si="70"/>
        <v>0</v>
      </c>
      <c r="AL170" s="267"/>
      <c r="AM170" s="267"/>
      <c r="AN170" s="267"/>
    </row>
    <row r="171" spans="1:40" s="6" customFormat="1" ht="11.25" x14ac:dyDescent="0.2">
      <c r="A171" s="56">
        <f t="shared" si="71"/>
        <v>44718</v>
      </c>
      <c r="B171" s="1141">
        <v>39.231000000000002</v>
      </c>
      <c r="C171" s="868"/>
      <c r="D171" s="395">
        <f t="shared" si="50"/>
        <v>40.534928463008612</v>
      </c>
      <c r="E171" s="387">
        <f t="shared" si="75"/>
        <v>46.550562831443685</v>
      </c>
      <c r="F171" s="387">
        <f t="shared" si="51"/>
        <v>46.556375227521883</v>
      </c>
      <c r="G171" s="110">
        <f t="shared" si="76"/>
        <v>0.72221059971448232</v>
      </c>
      <c r="H171" s="416" t="b">
        <f>Wh_hp&gt;='2021'!Maxi_hp</f>
        <v>0</v>
      </c>
      <c r="I171" s="382">
        <f>IF(H171,Wh_hp,'2021'!Maxi_hp)</f>
        <v>63.625581606461907</v>
      </c>
      <c r="J171" s="85">
        <f>IF(H171,An,'2021'!An_max)</f>
        <v>2019</v>
      </c>
      <c r="K171" s="199">
        <f t="shared" si="52"/>
        <v>44718</v>
      </c>
      <c r="L171" s="147">
        <f>IF(t&lt;Tvie,1-EXP((T0-t)*PertePVj)+'2021'!Pspv,1-EXP((T0-t)*PertePVj)+Pspv)</f>
        <v>3.2168021813546499E-2</v>
      </c>
      <c r="M171" s="872"/>
      <c r="N171" s="872"/>
      <c r="O171" s="48">
        <f>IF(t&lt;Tnet,'2021'!Resal+('2021'!Salim-'2021'!Resal)*(1-EXP(('2021'!Tnet-t)/('2021'!Tau_j))),Resal+(Salim-Resal)*(1-EXP((Tnet-t)/(Tau_j))))*Salcycl</f>
        <v>0.12922796208108722</v>
      </c>
      <c r="P171" s="341">
        <f>(INDEX(Models!$BJ171:$BT171,,T171)*(1-R171)+INDEX(Models!$BJ171:$BT171,,T171+1)*R171-ERP_i)*Q171*Ramure*Pc/MaxiM</f>
        <v>2.0695882071697738E-4</v>
      </c>
      <c r="Q171" s="307">
        <f t="shared" si="53"/>
        <v>0.9</v>
      </c>
      <c r="R171" s="179">
        <f t="shared" si="54"/>
        <v>0.17513982113446441</v>
      </c>
      <c r="S171" s="839">
        <f t="shared" si="55"/>
        <v>0</v>
      </c>
      <c r="T171" s="178">
        <f t="shared" si="56"/>
        <v>6</v>
      </c>
      <c r="U171" s="253">
        <f t="shared" si="57"/>
        <v>0.17513982113446441</v>
      </c>
      <c r="V171" s="385">
        <f t="shared" si="58"/>
        <v>54.316259358563599</v>
      </c>
      <c r="W171" s="404">
        <f t="shared" si="59"/>
        <v>0</v>
      </c>
      <c r="X171" s="157">
        <f t="shared" si="60"/>
        <v>44718</v>
      </c>
      <c r="Y171" s="387">
        <f t="shared" si="61"/>
        <v>37.676028530834394</v>
      </c>
      <c r="Z171" s="387">
        <f t="shared" si="62"/>
        <v>38.928274101288352</v>
      </c>
      <c r="AA171" s="388">
        <f t="shared" si="63"/>
        <v>46.550562831443685</v>
      </c>
      <c r="AB171" s="199">
        <f t="shared" si="64"/>
        <v>44718</v>
      </c>
      <c r="AC171" s="119">
        <f>IF(OR(t&lt;Tnet,NoTnet),'2021'!Resal_s+('2021'!Salim-'2021'!Resal_s)*(1-EXP(('2021'!Tnet_s-t)/'2021'!Tau_j)),Resal_s+(Salim-Resal_s)*(1-EXP((Tnet_s-t)/Tau_j)))*Salcycl</f>
        <v>0.16374213901032952</v>
      </c>
      <c r="AD171" s="233">
        <f>(INDEX(Models!$BJ171:$BT171,,AH171)*(1-AF171)+INDEX(Models!$BJ171:$BT171,,AH171+1)*AF171-ERP_i)*AE171*Ramure*Pc/MaxiM</f>
        <v>2.0695882071697738E-4</v>
      </c>
      <c r="AE171" s="307">
        <f t="shared" si="65"/>
        <v>0.9</v>
      </c>
      <c r="AF171" s="179">
        <f t="shared" si="66"/>
        <v>0.17513982113446441</v>
      </c>
      <c r="AG171" s="839">
        <f t="shared" si="74"/>
        <v>0</v>
      </c>
      <c r="AH171" s="178">
        <f t="shared" si="67"/>
        <v>6</v>
      </c>
      <c r="AI171" s="227">
        <f t="shared" si="68"/>
        <v>0.17513982113446441</v>
      </c>
      <c r="AJ171" s="267" t="b">
        <f t="shared" si="69"/>
        <v>1</v>
      </c>
      <c r="AK171" s="267" t="b">
        <f t="shared" si="70"/>
        <v>0</v>
      </c>
      <c r="AL171" s="267"/>
      <c r="AM171" s="267"/>
      <c r="AN171" s="75"/>
    </row>
    <row r="172" spans="1:40" s="6" customFormat="1" ht="11.25" x14ac:dyDescent="0.2">
      <c r="A172" s="56">
        <f t="shared" si="71"/>
        <v>44719</v>
      </c>
      <c r="B172" s="1141">
        <v>29.524000000000001</v>
      </c>
      <c r="C172" s="868"/>
      <c r="D172" s="395">
        <f t="shared" si="50"/>
        <v>30.506004914122865</v>
      </c>
      <c r="E172" s="387">
        <f t="shared" si="75"/>
        <v>35.043201447568151</v>
      </c>
      <c r="F172" s="387">
        <f t="shared" si="51"/>
        <v>35.045592261470667</v>
      </c>
      <c r="G172" s="110">
        <f t="shared" si="76"/>
        <v>0.54368426499064504</v>
      </c>
      <c r="H172" s="416" t="b">
        <f>Wh_hp&gt;='2021'!Maxi_hp</f>
        <v>0</v>
      </c>
      <c r="I172" s="382">
        <f>IF(H172,Wh_hp,'2021'!Maxi_hp)</f>
        <v>57.342414657537475</v>
      </c>
      <c r="J172" s="85">
        <f>IF(H172,An,'2021'!An_max)</f>
        <v>2021</v>
      </c>
      <c r="K172" s="199">
        <f t="shared" si="52"/>
        <v>44719</v>
      </c>
      <c r="L172" s="147">
        <f>IF(t&lt;Tvie,1-EXP((T0-t)*PertePVj)+'2021'!Pspv,1-EXP((T0-t)*PertePVj)+Pspv)</f>
        <v>3.2190544677590416E-2</v>
      </c>
      <c r="M172" s="872"/>
      <c r="N172" s="872"/>
      <c r="O172" s="48">
        <f>IF(t&lt;Tnet,'2021'!Resal+('2021'!Salim-'2021'!Resal)*(1-EXP(('2021'!Tnet-t)/('2021'!Tau_j))),Resal+(Salim-Resal)*(1-EXP((Tnet-t)/(Tau_j))))*Salcycl</f>
        <v>0.12947437294602962</v>
      </c>
      <c r="P172" s="341">
        <f>(INDEX(Models!$BJ172:$BT172,,T172)*(1-R172)+INDEX(Models!$BJ172:$BT172,,T172+1)*R172-ERP_i)*Q172*Ramure*Pc/MaxiM</f>
        <v>1.9591116541425508E-4</v>
      </c>
      <c r="Q172" s="307">
        <f t="shared" si="53"/>
        <v>0.9</v>
      </c>
      <c r="R172" s="179">
        <f t="shared" si="54"/>
        <v>0.18128508526732084</v>
      </c>
      <c r="S172" s="839">
        <f t="shared" si="55"/>
        <v>0</v>
      </c>
      <c r="T172" s="178">
        <f t="shared" si="56"/>
        <v>6</v>
      </c>
      <c r="U172" s="253">
        <f t="shared" si="57"/>
        <v>0.18128508526732084</v>
      </c>
      <c r="V172" s="385">
        <f t="shared" si="58"/>
        <v>54.296641806191978</v>
      </c>
      <c r="W172" s="404">
        <f t="shared" si="59"/>
        <v>0</v>
      </c>
      <c r="X172" s="157">
        <f t="shared" si="60"/>
        <v>44719</v>
      </c>
      <c r="Y172" s="387">
        <f t="shared" si="61"/>
        <v>28.35564130042993</v>
      </c>
      <c r="Z172" s="387">
        <f t="shared" si="62"/>
        <v>29.298785152893263</v>
      </c>
      <c r="AA172" s="388">
        <f t="shared" si="63"/>
        <v>35.043201447568151</v>
      </c>
      <c r="AB172" s="199">
        <f t="shared" si="64"/>
        <v>44719</v>
      </c>
      <c r="AC172" s="119">
        <f>IF(OR(t&lt;Tnet,NoTnet),'2021'!Resal_s+('2021'!Salim-'2021'!Resal_s)*(1-EXP(('2021'!Tnet_s-t)/'2021'!Tau_j)),Resal_s+(Salim-Resal_s)*(1-EXP((Tnet_s-t)/Tau_j)))*Salcycl</f>
        <v>0.16392384420897499</v>
      </c>
      <c r="AD172" s="233">
        <f>(INDEX(Models!$BJ172:$BT172,,AH172)*(1-AF172)+INDEX(Models!$BJ172:$BT172,,AH172+1)*AF172-ERP_i)*AE172*Ramure*Pc/MaxiM</f>
        <v>1.9591116541425508E-4</v>
      </c>
      <c r="AE172" s="307">
        <f t="shared" si="65"/>
        <v>0.9</v>
      </c>
      <c r="AF172" s="179">
        <f t="shared" si="66"/>
        <v>0.18128508526732084</v>
      </c>
      <c r="AG172" s="839">
        <f t="shared" si="74"/>
        <v>0</v>
      </c>
      <c r="AH172" s="178">
        <f t="shared" si="67"/>
        <v>6</v>
      </c>
      <c r="AI172" s="227">
        <f t="shared" si="68"/>
        <v>0.18128508526732084</v>
      </c>
      <c r="AJ172" s="267" t="b">
        <f t="shared" si="69"/>
        <v>1</v>
      </c>
      <c r="AK172" s="267" t="b">
        <f t="shared" si="70"/>
        <v>0</v>
      </c>
      <c r="AL172" s="267"/>
      <c r="AM172" s="267"/>
      <c r="AN172" s="75"/>
    </row>
    <row r="173" spans="1:40" s="6" customFormat="1" ht="11.25" x14ac:dyDescent="0.2">
      <c r="A173" s="56">
        <f t="shared" si="71"/>
        <v>44720</v>
      </c>
      <c r="B173" s="1141">
        <v>20.77</v>
      </c>
      <c r="C173" s="868"/>
      <c r="D173" s="395">
        <f t="shared" si="50"/>
        <v>21.461335436707589</v>
      </c>
      <c r="E173" s="387">
        <f t="shared" si="75"/>
        <v>24.660228433561304</v>
      </c>
      <c r="F173" s="387">
        <f t="shared" si="51"/>
        <v>24.660770620989723</v>
      </c>
      <c r="G173" s="110">
        <f t="shared" si="76"/>
        <v>0.38262408501935496</v>
      </c>
      <c r="H173" s="416" t="b">
        <f>Wh_hp&gt;='2021'!Maxi_hp</f>
        <v>0</v>
      </c>
      <c r="I173" s="382">
        <f>IF(H173,Wh_hp,'2021'!Maxi_hp)</f>
        <v>65.985446784364868</v>
      </c>
      <c r="J173" s="85">
        <f>IF(H173,An,'2021'!An_max)</f>
        <v>2019</v>
      </c>
      <c r="K173" s="199">
        <f t="shared" si="52"/>
        <v>44720</v>
      </c>
      <c r="L173" s="147">
        <f>IF(t&lt;Tvie,1-EXP((T0-t)*PertePVj)+'2021'!Pspv,1-EXP((T0-t)*PertePVj)+Pspv)</f>
        <v>3.2213067017494379E-2</v>
      </c>
      <c r="M173" s="872"/>
      <c r="N173" s="872"/>
      <c r="O173" s="48">
        <f>IF(t&lt;Tnet,'2021'!Resal+('2021'!Salim-'2021'!Resal)*(1-EXP(('2021'!Tnet-t)/('2021'!Tau_j))),Resal+(Salim-Resal)*(1-EXP((Tnet-t)/(Tau_j))))*Salcycl</f>
        <v>0.12971870903272678</v>
      </c>
      <c r="P173" s="341">
        <f>(INDEX(Models!$BJ173:$BT173,,T173)*(1-R173)+INDEX(Models!$BJ173:$BT173,,T173+1)*R173-ERP_i)*Q173*Ramure*Pc/MaxiM</f>
        <v>1.8612475045827879E-4</v>
      </c>
      <c r="Q173" s="307">
        <f t="shared" si="53"/>
        <v>0.9</v>
      </c>
      <c r="R173" s="179">
        <f t="shared" si="54"/>
        <v>0.1874459150604702</v>
      </c>
      <c r="S173" s="839">
        <f t="shared" si="55"/>
        <v>0</v>
      </c>
      <c r="T173" s="178">
        <f t="shared" si="56"/>
        <v>6</v>
      </c>
      <c r="U173" s="253">
        <f t="shared" si="57"/>
        <v>0.1874459150604702</v>
      </c>
      <c r="V173" s="385">
        <f t="shared" si="58"/>
        <v>54.274133732453024</v>
      </c>
      <c r="W173" s="404">
        <f t="shared" si="59"/>
        <v>0</v>
      </c>
      <c r="X173" s="157">
        <f t="shared" si="60"/>
        <v>44720</v>
      </c>
      <c r="Y173" s="387">
        <f t="shared" si="61"/>
        <v>19.949388427997683</v>
      </c>
      <c r="Z173" s="387">
        <f t="shared" si="62"/>
        <v>20.613409571999565</v>
      </c>
      <c r="AA173" s="388">
        <f t="shared" si="63"/>
        <v>24.660228433561304</v>
      </c>
      <c r="AB173" s="199">
        <f t="shared" si="64"/>
        <v>44720</v>
      </c>
      <c r="AC173" s="119">
        <f>IF(OR(t&lt;Tnet,NoTnet),'2021'!Resal_s+('2021'!Salim-'2021'!Resal_s)*(1-EXP(('2021'!Tnet_s-t)/'2021'!Tau_j)),Resal_s+(Salim-Resal_s)*(1-EXP((Tnet_s-t)/Tau_j)))*Salcycl</f>
        <v>0.16410305656594121</v>
      </c>
      <c r="AD173" s="233">
        <f>(INDEX(Models!$BJ173:$BT173,,AH173)*(1-AF173)+INDEX(Models!$BJ173:$BT173,,AH173+1)*AF173-ERP_i)*AE173*Ramure*Pc/MaxiM</f>
        <v>1.8612475045827879E-4</v>
      </c>
      <c r="AE173" s="307">
        <f t="shared" si="65"/>
        <v>0.9</v>
      </c>
      <c r="AF173" s="179">
        <f t="shared" si="66"/>
        <v>0.1874459150604702</v>
      </c>
      <c r="AG173" s="839">
        <f t="shared" si="74"/>
        <v>0</v>
      </c>
      <c r="AH173" s="178">
        <f t="shared" si="67"/>
        <v>6</v>
      </c>
      <c r="AI173" s="227">
        <f t="shared" si="68"/>
        <v>0.1874459150604702</v>
      </c>
      <c r="AJ173" s="267" t="b">
        <f t="shared" si="69"/>
        <v>1</v>
      </c>
      <c r="AK173" s="267" t="b">
        <f t="shared" si="70"/>
        <v>0</v>
      </c>
      <c r="AL173" s="267"/>
      <c r="AM173" s="267"/>
      <c r="AN173" s="75"/>
    </row>
    <row r="174" spans="1:40" s="6" customFormat="1" ht="11.25" x14ac:dyDescent="0.2">
      <c r="A174" s="56">
        <f t="shared" si="71"/>
        <v>44721</v>
      </c>
      <c r="B174" s="1141">
        <v>41.311999999999998</v>
      </c>
      <c r="C174" s="868"/>
      <c r="D174" s="395">
        <f t="shared" si="50"/>
        <v>42.688075241570999</v>
      </c>
      <c r="E174" s="387">
        <f t="shared" si="75"/>
        <v>49.064544739472566</v>
      </c>
      <c r="F174" s="387">
        <f t="shared" si="51"/>
        <v>49.070291060721608</v>
      </c>
      <c r="G174" s="110">
        <f t="shared" si="76"/>
        <v>0.76148040533262273</v>
      </c>
      <c r="H174" s="416" t="b">
        <f>Wh_hp&gt;='2021'!Maxi_hp</f>
        <v>0</v>
      </c>
      <c r="I174" s="382">
        <f>IF(H174,Wh_hp,'2021'!Maxi_hp)</f>
        <v>59.948298229793359</v>
      </c>
      <c r="J174" s="85">
        <f>IF(H174,An,'2021'!An_max)</f>
        <v>2021</v>
      </c>
      <c r="K174" s="199">
        <f t="shared" si="52"/>
        <v>44721</v>
      </c>
      <c r="L174" s="147">
        <f>IF(t&lt;Tvie,1-EXP((T0-t)*PertePVj)+'2021'!Pspv,1-EXP((T0-t)*PertePVj)+Pspv)</f>
        <v>3.2235588833270601E-2</v>
      </c>
      <c r="M174" s="872"/>
      <c r="N174" s="872"/>
      <c r="O174" s="48">
        <f>IF(t&lt;Tnet,'2021'!Resal+('2021'!Salim-'2021'!Resal)*(1-EXP(('2021'!Tnet-t)/('2021'!Tau_j))),Resal+(Salim-Resal)*(1-EXP((Tnet-t)/(Tau_j))))*Salcycl</f>
        <v>0.12996084100565758</v>
      </c>
      <c r="P174" s="341">
        <f>(INDEX(Models!$BJ174:$BT174,,T174)*(1-R174)+INDEX(Models!$BJ174:$BT174,,T174+1)*R174-ERP_i)*Q174*Ramure*Pc/MaxiM</f>
        <v>1.7761215152039953E-4</v>
      </c>
      <c r="Q174" s="307">
        <f t="shared" si="53"/>
        <v>0.9</v>
      </c>
      <c r="R174" s="179">
        <f t="shared" si="54"/>
        <v>0.19361715117229444</v>
      </c>
      <c r="S174" s="839">
        <f t="shared" si="55"/>
        <v>0</v>
      </c>
      <c r="T174" s="178">
        <f t="shared" si="56"/>
        <v>6</v>
      </c>
      <c r="U174" s="253">
        <f t="shared" si="57"/>
        <v>0.19361715117229444</v>
      </c>
      <c r="V174" s="385">
        <f t="shared" si="58"/>
        <v>54.248933656133346</v>
      </c>
      <c r="W174" s="404">
        <f t="shared" si="59"/>
        <v>0</v>
      </c>
      <c r="X174" s="157">
        <f t="shared" si="60"/>
        <v>44721</v>
      </c>
      <c r="Y174" s="387">
        <f t="shared" si="61"/>
        <v>39.682444232634602</v>
      </c>
      <c r="Z174" s="387">
        <f t="shared" si="62"/>
        <v>41.004240055483905</v>
      </c>
      <c r="AA174" s="388">
        <f t="shared" si="63"/>
        <v>49.064544739472566</v>
      </c>
      <c r="AB174" s="199">
        <f t="shared" si="64"/>
        <v>44721</v>
      </c>
      <c r="AC174" s="119">
        <f>IF(OR(t&lt;Tnet,NoTnet),'2021'!Resal_s+('2021'!Salim-'2021'!Resal_s)*(1-EXP(('2021'!Tnet_s-t)/'2021'!Tau_j)),Resal_s+(Salim-Resal_s)*(1-EXP((Tnet_s-t)/Tau_j)))*Salcycl</f>
        <v>0.16427961834330695</v>
      </c>
      <c r="AD174" s="233">
        <f>(INDEX(Models!$BJ174:$BT174,,AH174)*(1-AF174)+INDEX(Models!$BJ174:$BT174,,AH174+1)*AF174-ERP_i)*AE174*Ramure*Pc/MaxiM</f>
        <v>1.7761215152039953E-4</v>
      </c>
      <c r="AE174" s="307">
        <f t="shared" si="65"/>
        <v>0.9</v>
      </c>
      <c r="AF174" s="179">
        <f t="shared" si="66"/>
        <v>0.19361715117229444</v>
      </c>
      <c r="AG174" s="839">
        <f t="shared" si="74"/>
        <v>0</v>
      </c>
      <c r="AH174" s="178">
        <f t="shared" si="67"/>
        <v>6</v>
      </c>
      <c r="AI174" s="227">
        <f t="shared" si="68"/>
        <v>0.19361715117229444</v>
      </c>
      <c r="AJ174" s="267" t="b">
        <f t="shared" si="69"/>
        <v>1</v>
      </c>
      <c r="AK174" s="267" t="b">
        <f t="shared" si="70"/>
        <v>0</v>
      </c>
      <c r="AL174" s="267"/>
      <c r="AM174" s="267"/>
      <c r="AN174" s="75"/>
    </row>
    <row r="175" spans="1:40" s="6" customFormat="1" ht="11.25" x14ac:dyDescent="0.2">
      <c r="A175" s="56">
        <f t="shared" si="71"/>
        <v>44722</v>
      </c>
      <c r="B175" s="1141">
        <v>54.264000000000003</v>
      </c>
      <c r="C175" s="868"/>
      <c r="D175" s="395">
        <f t="shared" si="50"/>
        <v>56.072802642660484</v>
      </c>
      <c r="E175" s="387">
        <f t="shared" si="75"/>
        <v>64.466364931021658</v>
      </c>
      <c r="F175" s="387">
        <f t="shared" si="51"/>
        <v>64.477351008667043</v>
      </c>
      <c r="G175" s="110">
        <f t="shared" si="76"/>
        <v>1.0007886304760685</v>
      </c>
      <c r="H175" s="416" t="b">
        <f>Wh_hp&gt;='2021'!Maxi_hp</f>
        <v>1</v>
      </c>
      <c r="I175" s="382">
        <f>IF(H175,Wh_hp,'2021'!Maxi_hp)</f>
        <v>64.477351008667043</v>
      </c>
      <c r="J175" s="85">
        <f>IF(H175,An,'2021'!An_max)</f>
        <v>2022</v>
      </c>
      <c r="K175" s="199">
        <f t="shared" si="52"/>
        <v>44722</v>
      </c>
      <c r="L175" s="147">
        <f>IF(t&lt;Tvie,1-EXP((T0-t)*PertePVj)+'2021'!Pspv,1-EXP((T0-t)*PertePVj)+Pspv)</f>
        <v>3.2258110124931294E-2</v>
      </c>
      <c r="M175" s="872"/>
      <c r="N175" s="872"/>
      <c r="O175" s="48">
        <f>IF(t&lt;Tnet,'2021'!Resal+('2021'!Salim-'2021'!Resal)*(1-EXP(('2021'!Tnet-t)/('2021'!Tau_j))),Resal+(Salim-Resal)*(1-EXP((Tnet-t)/(Tau_j))))*Salcycl</f>
        <v>0.13020064489974259</v>
      </c>
      <c r="P175" s="341">
        <f>(INDEX(Models!$BJ175:$BT175,,T175)*(1-R175)+INDEX(Models!$BJ175:$BT175,,T175+1)*R175-ERP_i)*Q175*Ramure*Pc/MaxiM</f>
        <v>1.7038661597481336E-4</v>
      </c>
      <c r="Q175" s="307">
        <f t="shared" si="53"/>
        <v>0.9</v>
      </c>
      <c r="R175" s="179">
        <f t="shared" si="54"/>
        <v>0.19979359923216417</v>
      </c>
      <c r="S175" s="839">
        <f t="shared" si="55"/>
        <v>0</v>
      </c>
      <c r="T175" s="178">
        <f t="shared" si="56"/>
        <v>6</v>
      </c>
      <c r="U175" s="253">
        <f t="shared" si="57"/>
        <v>0.19979359923216417</v>
      </c>
      <c r="V175" s="385">
        <f t="shared" si="58"/>
        <v>54.221239478097374</v>
      </c>
      <c r="W175" s="404">
        <f t="shared" si="59"/>
        <v>0</v>
      </c>
      <c r="X175" s="157">
        <f t="shared" si="60"/>
        <v>44722</v>
      </c>
      <c r="Y175" s="387">
        <f t="shared" si="61"/>
        <v>52.127081462725222</v>
      </c>
      <c r="Z175" s="387">
        <f t="shared" si="62"/>
        <v>53.864653383408466</v>
      </c>
      <c r="AA175" s="388">
        <f t="shared" si="63"/>
        <v>64.466364931021658</v>
      </c>
      <c r="AB175" s="199">
        <f t="shared" si="64"/>
        <v>44722</v>
      </c>
      <c r="AC175" s="119">
        <f>IF(OR(t&lt;Tnet,NoTnet),'2021'!Resal_s+('2021'!Salim-'2021'!Resal_s)*(1-EXP(('2021'!Tnet_s-t)/'2021'!Tau_j)),Resal_s+(Salim-Resal_s)*(1-EXP((Tnet_s-t)/Tau_j)))*Salcycl</f>
        <v>0.16445337904435758</v>
      </c>
      <c r="AD175" s="233">
        <f>(INDEX(Models!$BJ175:$BT175,,AH175)*(1-AF175)+INDEX(Models!$BJ175:$BT175,,AH175+1)*AF175-ERP_i)*AE175*Ramure*Pc/MaxiM</f>
        <v>1.7038661597481336E-4</v>
      </c>
      <c r="AE175" s="307">
        <f t="shared" si="65"/>
        <v>0.9</v>
      </c>
      <c r="AF175" s="179">
        <f t="shared" si="66"/>
        <v>0.19979359923216417</v>
      </c>
      <c r="AG175" s="839">
        <f t="shared" si="74"/>
        <v>0</v>
      </c>
      <c r="AH175" s="178">
        <f t="shared" si="67"/>
        <v>6</v>
      </c>
      <c r="AI175" s="227">
        <f t="shared" si="68"/>
        <v>0.19979359923216417</v>
      </c>
      <c r="AJ175" s="267" t="b">
        <f t="shared" si="69"/>
        <v>1</v>
      </c>
      <c r="AK175" s="267" t="b">
        <f t="shared" si="70"/>
        <v>0</v>
      </c>
      <c r="AL175" s="267"/>
      <c r="AM175" s="267"/>
      <c r="AN175" s="75"/>
    </row>
    <row r="176" spans="1:40" s="6" customFormat="1" ht="11.25" x14ac:dyDescent="0.2">
      <c r="A176" s="56">
        <f t="shared" si="71"/>
        <v>44723</v>
      </c>
      <c r="B176" s="1141">
        <v>50.908999999999999</v>
      </c>
      <c r="C176" s="868"/>
      <c r="D176" s="395">
        <f t="shared" si="50"/>
        <v>52.607193392182815</v>
      </c>
      <c r="E176" s="387">
        <f t="shared" si="75"/>
        <v>60.498496427333777</v>
      </c>
      <c r="F176" s="387">
        <f t="shared" si="51"/>
        <v>60.507586593115512</v>
      </c>
      <c r="G176" s="110">
        <f t="shared" si="76"/>
        <v>0.93941876042759587</v>
      </c>
      <c r="H176" s="416" t="b">
        <f>Wh_hp&gt;='2021'!Maxi_hp</f>
        <v>1</v>
      </c>
      <c r="I176" s="382">
        <f>IF(H176,Wh_hp,'2021'!Maxi_hp)</f>
        <v>60.507586593115512</v>
      </c>
      <c r="J176" s="85">
        <f>IF(H176,An,'2021'!An_max)</f>
        <v>2022</v>
      </c>
      <c r="K176" s="199">
        <f t="shared" si="52"/>
        <v>44723</v>
      </c>
      <c r="L176" s="147">
        <f>IF(t&lt;Tvie,1-EXP((T0-t)*PertePVj)+'2021'!Pspv,1-EXP((T0-t)*PertePVj)+Pspv)</f>
        <v>3.228063089248856E-2</v>
      </c>
      <c r="M176" s="872"/>
      <c r="N176" s="872"/>
      <c r="O176" s="48">
        <f>IF(t&lt;Tnet,'2021'!Resal+('2021'!Salim-'2021'!Resal)*(1-EXP(('2021'!Tnet-t)/('2021'!Tau_j))),Resal+(Salim-Resal)*(1-EXP((Tnet-t)/(Tau_j))))*Salcycl</f>
        <v>0.13043800261431954</v>
      </c>
      <c r="P176" s="341">
        <f>(INDEX(Models!$BJ176:$BT176,,T176)*(1-R176)+INDEX(Models!$BJ176:$BT176,,T176+1)*R176-ERP_i)*Q176*Ramure*Pc/MaxiM</f>
        <v>1.6446199626193869E-4</v>
      </c>
      <c r="Q176" s="307">
        <f t="shared" si="53"/>
        <v>0.9</v>
      </c>
      <c r="R176" s="179">
        <f t="shared" si="54"/>
        <v>0.20597004729203389</v>
      </c>
      <c r="S176" s="839">
        <f t="shared" si="55"/>
        <v>0</v>
      </c>
      <c r="T176" s="178">
        <f t="shared" si="56"/>
        <v>6</v>
      </c>
      <c r="U176" s="253">
        <f t="shared" si="57"/>
        <v>0.20597004729203389</v>
      </c>
      <c r="V176" s="385">
        <f t="shared" si="58"/>
        <v>54.191248453151388</v>
      </c>
      <c r="W176" s="404">
        <f t="shared" si="59"/>
        <v>0</v>
      </c>
      <c r="X176" s="157">
        <f t="shared" si="60"/>
        <v>44723</v>
      </c>
      <c r="Y176" s="387">
        <f t="shared" si="61"/>
        <v>48.907549931396943</v>
      </c>
      <c r="Z176" s="387">
        <f t="shared" si="62"/>
        <v>50.538980093477313</v>
      </c>
      <c r="AA176" s="388">
        <f t="shared" si="63"/>
        <v>60.498496427333777</v>
      </c>
      <c r="AB176" s="199">
        <f t="shared" si="64"/>
        <v>44723</v>
      </c>
      <c r="AC176" s="119">
        <f>IF(OR(t&lt;Tnet,NoTnet),'2021'!Resal_s+('2021'!Salim-'2021'!Resal_s)*(1-EXP(('2021'!Tnet_s-t)/'2021'!Tau_j)),Resal_s+(Salim-Resal_s)*(1-EXP((Tnet_s-t)/Tau_j)))*Salcycl</f>
        <v>0.16462419600492195</v>
      </c>
      <c r="AD176" s="233">
        <f>(INDEX(Models!$BJ176:$BT176,,AH176)*(1-AF176)+INDEX(Models!$BJ176:$BT176,,AH176+1)*AF176-ERP_i)*AE176*Ramure*Pc/MaxiM</f>
        <v>1.6446199626193869E-4</v>
      </c>
      <c r="AE176" s="307">
        <f t="shared" si="65"/>
        <v>0.9</v>
      </c>
      <c r="AF176" s="179">
        <f t="shared" si="66"/>
        <v>0.20597004729203389</v>
      </c>
      <c r="AG176" s="839">
        <f t="shared" si="74"/>
        <v>0</v>
      </c>
      <c r="AH176" s="178">
        <f t="shared" si="67"/>
        <v>6</v>
      </c>
      <c r="AI176" s="227">
        <f t="shared" si="68"/>
        <v>0.20597004729203389</v>
      </c>
      <c r="AJ176" s="267" t="b">
        <f t="shared" si="69"/>
        <v>1</v>
      </c>
      <c r="AK176" s="267" t="b">
        <f t="shared" si="70"/>
        <v>0</v>
      </c>
      <c r="AL176" s="267"/>
      <c r="AM176" s="267"/>
      <c r="AN176" s="75"/>
    </row>
    <row r="177" spans="1:40" s="6" customFormat="1" ht="11.25" x14ac:dyDescent="0.2">
      <c r="A177" s="56">
        <f t="shared" si="71"/>
        <v>44724</v>
      </c>
      <c r="B177" s="1141">
        <v>40.176000000000002</v>
      </c>
      <c r="C177" s="868"/>
      <c r="D177" s="395">
        <f t="shared" si="50"/>
        <v>41.517134262823724</v>
      </c>
      <c r="E177" s="387">
        <f t="shared" si="75"/>
        <v>47.757776791633631</v>
      </c>
      <c r="F177" s="387">
        <f t="shared" si="51"/>
        <v>47.762595912129733</v>
      </c>
      <c r="G177" s="110">
        <f t="shared" si="76"/>
        <v>0.74178191117908654</v>
      </c>
      <c r="H177" s="416" t="b">
        <f>Wh_hp&gt;='2021'!Maxi_hp</f>
        <v>0</v>
      </c>
      <c r="I177" s="382">
        <f>IF(H177,Wh_hp,'2021'!Maxi_hp)</f>
        <v>60.838298485220825</v>
      </c>
      <c r="J177" s="85">
        <f>IF(H177,An,'2021'!An_max)</f>
        <v>2019</v>
      </c>
      <c r="K177" s="199">
        <f t="shared" si="52"/>
        <v>44724</v>
      </c>
      <c r="L177" s="147">
        <f>IF(t&lt;Tvie,1-EXP((T0-t)*PertePVj)+'2021'!Pspv,1-EXP((T0-t)*PertePVj)+Pspv)</f>
        <v>3.2303151135954722E-2</v>
      </c>
      <c r="M177" s="872"/>
      <c r="N177" s="872"/>
      <c r="O177" s="48">
        <f>IF(t&lt;Tnet,'2021'!Resal+('2021'!Salim-'2021'!Resal)*(1-EXP(('2021'!Tnet-t)/('2021'!Tau_j))),Resal+(Salim-Resal)*(1-EXP((Tnet-t)/(Tau_j))))*Salcycl</f>
        <v>0.13067280238018042</v>
      </c>
      <c r="P177" s="341">
        <f>(INDEX(Models!$BJ177:$BT177,,T177)*(1-R177)+INDEX(Models!$BJ177:$BT177,,T177+1)*R177-ERP_i)*Q177*Ramure*Pc/MaxiM</f>
        <v>1.5985527632346382E-4</v>
      </c>
      <c r="Q177" s="307">
        <f t="shared" si="53"/>
        <v>0.9</v>
      </c>
      <c r="R177" s="179">
        <f t="shared" si="54"/>
        <v>0.21214128340385818</v>
      </c>
      <c r="S177" s="839">
        <f t="shared" si="55"/>
        <v>0</v>
      </c>
      <c r="T177" s="178">
        <f t="shared" si="56"/>
        <v>6</v>
      </c>
      <c r="U177" s="253">
        <f t="shared" si="57"/>
        <v>0.21214128340385818</v>
      </c>
      <c r="V177" s="385">
        <f t="shared" si="58"/>
        <v>54.158278144629065</v>
      </c>
      <c r="W177" s="404">
        <f t="shared" si="59"/>
        <v>0</v>
      </c>
      <c r="X177" s="157">
        <f t="shared" si="60"/>
        <v>44724</v>
      </c>
      <c r="Y177" s="387">
        <f t="shared" si="61"/>
        <v>38.599182578655331</v>
      </c>
      <c r="Z177" s="387">
        <f t="shared" si="62"/>
        <v>39.887680345312617</v>
      </c>
      <c r="AA177" s="388">
        <f t="shared" si="63"/>
        <v>47.757776791633631</v>
      </c>
      <c r="AB177" s="199">
        <f t="shared" si="64"/>
        <v>44724</v>
      </c>
      <c r="AC177" s="119">
        <f>IF(OR(t&lt;Tnet,NoTnet),'2021'!Resal_s+('2021'!Salim-'2021'!Resal_s)*(1-EXP(('2021'!Tnet_s-t)/'2021'!Tau_j)),Resal_s+(Salim-Resal_s)*(1-EXP((Tnet_s-t)/Tau_j)))*Salcycl</f>
        <v>0.16479193494827271</v>
      </c>
      <c r="AD177" s="233">
        <f>(INDEX(Models!$BJ177:$BT177,,AH177)*(1-AF177)+INDEX(Models!$BJ177:$BT177,,AH177+1)*AF177-ERP_i)*AE177*Ramure*Pc/MaxiM</f>
        <v>1.5985527632346382E-4</v>
      </c>
      <c r="AE177" s="307">
        <f t="shared" si="65"/>
        <v>0.9</v>
      </c>
      <c r="AF177" s="179">
        <f t="shared" si="66"/>
        <v>0.21214128340385818</v>
      </c>
      <c r="AG177" s="839">
        <f t="shared" si="74"/>
        <v>0</v>
      </c>
      <c r="AH177" s="178">
        <f t="shared" si="67"/>
        <v>6</v>
      </c>
      <c r="AI177" s="227">
        <f t="shared" si="68"/>
        <v>0.21214128340385818</v>
      </c>
      <c r="AJ177" s="267" t="b">
        <f t="shared" si="69"/>
        <v>1</v>
      </c>
      <c r="AK177" s="267" t="b">
        <f t="shared" si="70"/>
        <v>0</v>
      </c>
      <c r="AL177" s="267"/>
      <c r="AM177" s="267"/>
      <c r="AN177" s="75"/>
    </row>
    <row r="178" spans="1:40" s="6" customFormat="1" ht="11.25" x14ac:dyDescent="0.2">
      <c r="A178" s="56">
        <f t="shared" si="71"/>
        <v>44725</v>
      </c>
      <c r="B178" s="1141">
        <v>49.356999999999999</v>
      </c>
      <c r="C178" s="868"/>
      <c r="D178" s="395">
        <f t="shared" si="50"/>
        <v>51.005796592359118</v>
      </c>
      <c r="E178" s="387">
        <f t="shared" si="75"/>
        <v>58.688397728539336</v>
      </c>
      <c r="F178" s="387">
        <f t="shared" si="51"/>
        <v>58.696439868590538</v>
      </c>
      <c r="G178" s="110">
        <f t="shared" si="76"/>
        <v>0.91194627522822391</v>
      </c>
      <c r="H178" s="416" t="b">
        <f>Wh_hp&gt;='2021'!Maxi_hp</f>
        <v>0</v>
      </c>
      <c r="I178" s="382">
        <f>IF(H178,Wh_hp,'2021'!Maxi_hp)</f>
        <v>63.47863553055479</v>
      </c>
      <c r="J178" s="85">
        <f>IF(H178,An,'2021'!An_max)</f>
        <v>2019</v>
      </c>
      <c r="K178" s="199">
        <f t="shared" si="52"/>
        <v>44725</v>
      </c>
      <c r="L178" s="147">
        <f>IF(t&lt;Tvie,1-EXP((T0-t)*PertePVj)+'2021'!Pspv,1-EXP((T0-t)*PertePVj)+Pspv)</f>
        <v>3.2325670855341881E-2</v>
      </c>
      <c r="M178" s="872"/>
      <c r="N178" s="872"/>
      <c r="O178" s="48">
        <f>IF(t&lt;Tnet,'2021'!Resal+('2021'!Salim-'2021'!Resal)*(1-EXP(('2021'!Tnet-t)/('2021'!Tau_j))),Resal+(Salim-Resal)*(1-EXP((Tnet-t)/(Tau_j))))*Salcycl</f>
        <v>0.13090493919625742</v>
      </c>
      <c r="P178" s="341">
        <f>(INDEX(Models!$BJ178:$BT178,,T178)*(1-R178)+INDEX(Models!$BJ178:$BT178,,T178+1)*R178-ERP_i)*Q178*Ramure*Pc/MaxiM</f>
        <v>1.5672268275529101E-4</v>
      </c>
      <c r="Q178" s="307">
        <f t="shared" si="53"/>
        <v>0.9</v>
      </c>
      <c r="R178" s="179">
        <f t="shared" si="54"/>
        <v>0.21830211319700754</v>
      </c>
      <c r="S178" s="839">
        <f t="shared" si="55"/>
        <v>0</v>
      </c>
      <c r="T178" s="178">
        <f t="shared" si="56"/>
        <v>6</v>
      </c>
      <c r="U178" s="253">
        <f t="shared" si="57"/>
        <v>0.21830211319700754</v>
      </c>
      <c r="V178" s="385">
        <f t="shared" si="58"/>
        <v>54.121638924259543</v>
      </c>
      <c r="W178" s="404">
        <f t="shared" si="59"/>
        <v>0</v>
      </c>
      <c r="X178" s="157">
        <f t="shared" si="60"/>
        <v>44725</v>
      </c>
      <c r="Y178" s="387">
        <f t="shared" si="61"/>
        <v>47.423170771951504</v>
      </c>
      <c r="Z178" s="387">
        <f t="shared" si="62"/>
        <v>49.007366779967761</v>
      </c>
      <c r="AA178" s="388">
        <f t="shared" si="63"/>
        <v>58.688397728539336</v>
      </c>
      <c r="AB178" s="199">
        <f t="shared" si="64"/>
        <v>44725</v>
      </c>
      <c r="AC178" s="119">
        <f>IF(OR(t&lt;Tnet,NoTnet),'2021'!Resal_s+('2021'!Salim-'2021'!Resal_s)*(1-EXP(('2021'!Tnet_s-t)/'2021'!Tau_j)),Resal_s+(Salim-Resal_s)*(1-EXP((Tnet_s-t)/Tau_j)))*Salcycl</f>
        <v>0.16495647049951456</v>
      </c>
      <c r="AD178" s="233">
        <f>(INDEX(Models!$BJ178:$BT178,,AH178)*(1-AF178)+INDEX(Models!$BJ178:$BT178,,AH178+1)*AF178-ERP_i)*AE178*Ramure*Pc/MaxiM</f>
        <v>1.5672268275529101E-4</v>
      </c>
      <c r="AE178" s="307">
        <f t="shared" si="65"/>
        <v>0.9</v>
      </c>
      <c r="AF178" s="179">
        <f t="shared" si="66"/>
        <v>0.21830211319700754</v>
      </c>
      <c r="AG178" s="839">
        <f t="shared" si="74"/>
        <v>0</v>
      </c>
      <c r="AH178" s="178">
        <f t="shared" si="67"/>
        <v>6</v>
      </c>
      <c r="AI178" s="227">
        <f t="shared" si="68"/>
        <v>0.21830211319700754</v>
      </c>
      <c r="AJ178" s="267" t="b">
        <f t="shared" si="69"/>
        <v>1</v>
      </c>
      <c r="AK178" s="267" t="b">
        <f t="shared" si="70"/>
        <v>0</v>
      </c>
      <c r="AL178" s="267"/>
      <c r="AM178" s="267"/>
      <c r="AN178" s="75"/>
    </row>
    <row r="179" spans="1:40" s="6" customFormat="1" ht="11.25" x14ac:dyDescent="0.2">
      <c r="A179" s="56">
        <f t="shared" si="71"/>
        <v>44726</v>
      </c>
      <c r="B179" s="1141">
        <v>42.39</v>
      </c>
      <c r="C179" s="868"/>
      <c r="D179" s="395">
        <f t="shared" si="50"/>
        <v>43.807079741027266</v>
      </c>
      <c r="E179" s="387">
        <f t="shared" si="75"/>
        <v>50.418701657853092</v>
      </c>
      <c r="F179" s="387">
        <f t="shared" si="51"/>
        <v>50.424068296731065</v>
      </c>
      <c r="G179" s="110">
        <f t="shared" si="76"/>
        <v>0.78377848236255887</v>
      </c>
      <c r="H179" s="416" t="b">
        <f>Wh_hp&gt;='2021'!Maxi_hp</f>
        <v>0</v>
      </c>
      <c r="I179" s="382">
        <f>IF(H179,Wh_hp,'2021'!Maxi_hp)</f>
        <v>54.493603449574607</v>
      </c>
      <c r="J179" s="85">
        <f>IF(H179,An,'2021'!An_max)</f>
        <v>2021</v>
      </c>
      <c r="K179" s="199">
        <f t="shared" si="52"/>
        <v>44726</v>
      </c>
      <c r="L179" s="147">
        <f>IF(t&lt;Tvie,1-EXP((T0-t)*PertePVj)+'2021'!Pspv,1-EXP((T0-t)*PertePVj)+Pspv)</f>
        <v>3.2348190050662251E-2</v>
      </c>
      <c r="M179" s="872"/>
      <c r="N179" s="872"/>
      <c r="O179" s="48">
        <f>IF(t&lt;Tnet,'2021'!Resal+('2021'!Salim-'2021'!Resal)*(1-EXP(('2021'!Tnet-t)/('2021'!Tau_j))),Resal+(Salim-Resal)*(1-EXP((Tnet-t)/(Tau_j))))*Salcycl</f>
        <v>0.13113431523272903</v>
      </c>
      <c r="P179" s="341">
        <f>(INDEX(Models!$BJ179:$BT179,,T179)*(1-R179)+INDEX(Models!$BJ179:$BT179,,T179+1)*R179-ERP_i)*Q179*Ramure*Pc/MaxiM</f>
        <v>1.5398645376194802E-4</v>
      </c>
      <c r="Q179" s="307">
        <f t="shared" si="53"/>
        <v>0.9</v>
      </c>
      <c r="R179" s="179">
        <f t="shared" si="54"/>
        <v>0.22444737732986397</v>
      </c>
      <c r="S179" s="839">
        <f t="shared" si="55"/>
        <v>0</v>
      </c>
      <c r="T179" s="178">
        <f t="shared" si="56"/>
        <v>6</v>
      </c>
      <c r="U179" s="253">
        <f t="shared" si="57"/>
        <v>0.22444737732986397</v>
      </c>
      <c r="V179" s="385">
        <f t="shared" si="58"/>
        <v>54.081586603428811</v>
      </c>
      <c r="W179" s="404">
        <f t="shared" si="59"/>
        <v>0</v>
      </c>
      <c r="X179" s="157">
        <f t="shared" si="60"/>
        <v>44726</v>
      </c>
      <c r="Y179" s="387">
        <f t="shared" si="61"/>
        <v>40.732027841733483</v>
      </c>
      <c r="Z179" s="387">
        <f t="shared" si="62"/>
        <v>42.093682275927378</v>
      </c>
      <c r="AA179" s="388">
        <f t="shared" si="63"/>
        <v>50.418701657853092</v>
      </c>
      <c r="AB179" s="199">
        <f t="shared" si="64"/>
        <v>44726</v>
      </c>
      <c r="AC179" s="119">
        <f>IF(OR(t&lt;Tnet,NoTnet),'2021'!Resal_s+('2021'!Salim-'2021'!Resal_s)*(1-EXP(('2021'!Tnet_s-t)/'2021'!Tau_j)),Resal_s+(Salim-Resal_s)*(1-EXP((Tnet_s-t)/Tau_j)))*Salcycl</f>
        <v>0.1651176866556425</v>
      </c>
      <c r="AD179" s="233">
        <f>(INDEX(Models!$BJ179:$BT179,,AH179)*(1-AF179)+INDEX(Models!$BJ179:$BT179,,AH179+1)*AF179-ERP_i)*AE179*Ramure*Pc/MaxiM</f>
        <v>1.5398645376194802E-4</v>
      </c>
      <c r="AE179" s="307">
        <f t="shared" si="65"/>
        <v>0.9</v>
      </c>
      <c r="AF179" s="179">
        <f t="shared" si="66"/>
        <v>0.22444737732986397</v>
      </c>
      <c r="AG179" s="839">
        <f t="shared" si="74"/>
        <v>0</v>
      </c>
      <c r="AH179" s="178">
        <f t="shared" si="67"/>
        <v>6</v>
      </c>
      <c r="AI179" s="227">
        <f t="shared" si="68"/>
        <v>0.22444737732986397</v>
      </c>
      <c r="AJ179" s="267" t="b">
        <f t="shared" si="69"/>
        <v>1</v>
      </c>
      <c r="AK179" s="267" t="b">
        <f t="shared" si="70"/>
        <v>0</v>
      </c>
      <c r="AL179" s="267"/>
      <c r="AM179" s="267"/>
      <c r="AN179" s="75"/>
    </row>
    <row r="180" spans="1:40" s="6" customFormat="1" ht="11.25" x14ac:dyDescent="0.2">
      <c r="A180" s="56">
        <f t="shared" si="71"/>
        <v>44727</v>
      </c>
      <c r="B180" s="1141">
        <v>50.067999999999998</v>
      </c>
      <c r="C180" s="868"/>
      <c r="D180" s="395">
        <f t="shared" si="50"/>
        <v>51.742956162342693</v>
      </c>
      <c r="E180" s="387">
        <f t="shared" si="75"/>
        <v>59.567837321667355</v>
      </c>
      <c r="F180" s="387">
        <f t="shared" si="51"/>
        <v>59.57592395549829</v>
      </c>
      <c r="G180" s="110">
        <f t="shared" si="76"/>
        <v>0.92651298798087656</v>
      </c>
      <c r="H180" s="416" t="b">
        <f>Wh_hp&gt;='2021'!Maxi_hp</f>
        <v>1</v>
      </c>
      <c r="I180" s="382">
        <f>IF(H180,Wh_hp,'2021'!Maxi_hp)</f>
        <v>59.57592395549829</v>
      </c>
      <c r="J180" s="85">
        <f>IF(H180,An,'2021'!An_max)</f>
        <v>2022</v>
      </c>
      <c r="K180" s="199">
        <f t="shared" si="52"/>
        <v>44727</v>
      </c>
      <c r="L180" s="147">
        <f>IF(t&lt;Tvie,1-EXP((T0-t)*PertePVj)+'2021'!Pspv,1-EXP((T0-t)*PertePVj)+Pspv)</f>
        <v>3.2370708721928154E-2</v>
      </c>
      <c r="M180" s="872"/>
      <c r="N180" s="872"/>
      <c r="O180" s="48">
        <f>IF(t&lt;Tnet,'2021'!Resal+('2021'!Salim-'2021'!Resal)*(1-EXP(('2021'!Tnet-t)/('2021'!Tau_j))),Resal+(Salim-Resal)*(1-EXP((Tnet-t)/(Tau_j))))*Salcycl</f>
        <v>0.13136084019754093</v>
      </c>
      <c r="P180" s="341">
        <f>(INDEX(Models!$BJ180:$BT180,,T180)*(1-R180)+INDEX(Models!$BJ180:$BT180,,T180+1)*R180-ERP_i)*Q180*Ramure*Pc/MaxiM</f>
        <v>1.5165429996189195E-4</v>
      </c>
      <c r="Q180" s="307">
        <f t="shared" si="53"/>
        <v>0.9</v>
      </c>
      <c r="R180" s="179">
        <f t="shared" si="54"/>
        <v>0.23057196869131774</v>
      </c>
      <c r="S180" s="839">
        <f t="shared" si="55"/>
        <v>0</v>
      </c>
      <c r="T180" s="178">
        <f t="shared" si="56"/>
        <v>6</v>
      </c>
      <c r="U180" s="253">
        <f t="shared" si="57"/>
        <v>0.23057196869131774</v>
      </c>
      <c r="V180" s="385">
        <f t="shared" si="58"/>
        <v>54.038317405471233</v>
      </c>
      <c r="W180" s="404">
        <f t="shared" si="59"/>
        <v>0</v>
      </c>
      <c r="X180" s="157">
        <f t="shared" si="60"/>
        <v>44727</v>
      </c>
      <c r="Y180" s="387">
        <f t="shared" si="61"/>
        <v>48.113174424080405</v>
      </c>
      <c r="Z180" s="387">
        <f t="shared" si="62"/>
        <v>49.72273458209515</v>
      </c>
      <c r="AA180" s="388">
        <f t="shared" si="63"/>
        <v>59.567837321667355</v>
      </c>
      <c r="AB180" s="199">
        <f t="shared" si="64"/>
        <v>44727</v>
      </c>
      <c r="AC180" s="119">
        <f>IF(OR(t&lt;Tnet,NoTnet),'2021'!Resal_s+('2021'!Salim-'2021'!Resal_s)*(1-EXP(('2021'!Tnet_s-t)/'2021'!Tau_j)),Resal_s+(Salim-Resal_s)*(1-EXP((Tnet_s-t)/Tau_j)))*Salcycl</f>
        <v>0.16527547720775015</v>
      </c>
      <c r="AD180" s="233">
        <f>(INDEX(Models!$BJ180:$BT180,,AH180)*(1-AF180)+INDEX(Models!$BJ180:$BT180,,AH180+1)*AF180-ERP_i)*AE180*Ramure*Pc/MaxiM</f>
        <v>1.5165429996189195E-4</v>
      </c>
      <c r="AE180" s="307">
        <f t="shared" si="65"/>
        <v>0.9</v>
      </c>
      <c r="AF180" s="179">
        <f t="shared" si="66"/>
        <v>0.23057196869131774</v>
      </c>
      <c r="AG180" s="839">
        <f t="shared" si="74"/>
        <v>0</v>
      </c>
      <c r="AH180" s="178">
        <f t="shared" si="67"/>
        <v>6</v>
      </c>
      <c r="AI180" s="227">
        <f t="shared" si="68"/>
        <v>0.23057196869131774</v>
      </c>
      <c r="AJ180" s="267" t="b">
        <f t="shared" si="69"/>
        <v>1</v>
      </c>
      <c r="AK180" s="267" t="b">
        <f t="shared" si="70"/>
        <v>0</v>
      </c>
      <c r="AL180" s="267"/>
      <c r="AM180" s="267"/>
      <c r="AN180" s="75"/>
    </row>
    <row r="181" spans="1:40" s="6" customFormat="1" ht="11.25" x14ac:dyDescent="0.2">
      <c r="A181" s="56">
        <f t="shared" si="71"/>
        <v>44728</v>
      </c>
      <c r="B181" s="1141">
        <v>46.478999999999999</v>
      </c>
      <c r="C181" s="868"/>
      <c r="D181" s="395">
        <f t="shared" si="50"/>
        <v>48.035008942330641</v>
      </c>
      <c r="E181" s="387">
        <f t="shared" si="75"/>
        <v>55.313389918088497</v>
      </c>
      <c r="F181" s="387">
        <f t="shared" si="51"/>
        <v>55.320026605643207</v>
      </c>
      <c r="G181" s="110">
        <f t="shared" si="76"/>
        <v>0.86082370228374194</v>
      </c>
      <c r="H181" s="416" t="b">
        <f>Wh_hp&gt;='2021'!Maxi_hp</f>
        <v>0</v>
      </c>
      <c r="I181" s="382">
        <f>IF(H181,Wh_hp,'2021'!Maxi_hp)</f>
        <v>65.039285563897309</v>
      </c>
      <c r="J181" s="85">
        <f>IF(H181,An,'2021'!An_max)</f>
        <v>2019</v>
      </c>
      <c r="K181" s="199">
        <f t="shared" si="52"/>
        <v>44728</v>
      </c>
      <c r="L181" s="147">
        <f>IF(t&lt;Tvie,1-EXP((T0-t)*PertePVj)+'2021'!Pspv,1-EXP((T0-t)*PertePVj)+Pspv)</f>
        <v>3.2393226869151581E-2</v>
      </c>
      <c r="M181" s="872"/>
      <c r="N181" s="872"/>
      <c r="O181" s="48">
        <f>IF(t&lt;Tnet,'2021'!Resal+('2021'!Salim-'2021'!Resal)*(1-EXP(('2021'!Tnet-t)/('2021'!Tau_j))),Resal+(Salim-Resal)*(1-EXP((Tnet-t)/(Tau_j))))*Salcycl</f>
        <v>0.13158443166358338</v>
      </c>
      <c r="P181" s="341">
        <f>(INDEX(Models!$BJ181:$BT181,,T181)*(1-R181)+INDEX(Models!$BJ181:$BT181,,T181+1)*R181-ERP_i)*Q181*Ramure*Pc/MaxiM</f>
        <v>1.4973413826644544E-4</v>
      </c>
      <c r="Q181" s="307">
        <f t="shared" si="53"/>
        <v>0.9</v>
      </c>
      <c r="R181" s="179">
        <f t="shared" si="54"/>
        <v>0.236670849230947</v>
      </c>
      <c r="S181" s="839">
        <f t="shared" si="55"/>
        <v>0</v>
      </c>
      <c r="T181" s="178">
        <f t="shared" si="56"/>
        <v>6</v>
      </c>
      <c r="U181" s="253">
        <f t="shared" si="57"/>
        <v>0.236670849230947</v>
      </c>
      <c r="V181" s="385">
        <f t="shared" si="58"/>
        <v>53.992026771847222</v>
      </c>
      <c r="W181" s="404">
        <f t="shared" si="59"/>
        <v>0</v>
      </c>
      <c r="X181" s="157">
        <f t="shared" si="60"/>
        <v>44728</v>
      </c>
      <c r="Y181" s="387">
        <f t="shared" si="61"/>
        <v>44.667544255061237</v>
      </c>
      <c r="Z181" s="387">
        <f t="shared" si="62"/>
        <v>46.16290986733398</v>
      </c>
      <c r="AA181" s="388">
        <f t="shared" si="63"/>
        <v>55.313389918088497</v>
      </c>
      <c r="AB181" s="199">
        <f t="shared" si="64"/>
        <v>44728</v>
      </c>
      <c r="AC181" s="119">
        <f>IF(OR(t&lt;Tnet,NoTnet),'2021'!Resal_s+('2021'!Salim-'2021'!Resal_s)*(1-EXP(('2021'!Tnet_s-t)/'2021'!Tau_j)),Resal_s+(Salim-Resal_s)*(1-EXP((Tnet_s-t)/Tau_j)))*Salcycl</f>
        <v>0.16542974611220029</v>
      </c>
      <c r="AD181" s="233">
        <f>(INDEX(Models!$BJ181:$BT181,,AH181)*(1-AF181)+INDEX(Models!$BJ181:$BT181,,AH181+1)*AF181-ERP_i)*AE181*Ramure*Pc/MaxiM</f>
        <v>1.4973413826644544E-4</v>
      </c>
      <c r="AE181" s="307">
        <f t="shared" si="65"/>
        <v>0.9</v>
      </c>
      <c r="AF181" s="179">
        <f t="shared" si="66"/>
        <v>0.236670849230947</v>
      </c>
      <c r="AG181" s="839">
        <f t="shared" si="74"/>
        <v>0</v>
      </c>
      <c r="AH181" s="178">
        <f t="shared" si="67"/>
        <v>6</v>
      </c>
      <c r="AI181" s="227">
        <f t="shared" si="68"/>
        <v>0.236670849230947</v>
      </c>
      <c r="AJ181" s="267" t="b">
        <f t="shared" si="69"/>
        <v>1</v>
      </c>
      <c r="AK181" s="267" t="b">
        <f t="shared" si="70"/>
        <v>0</v>
      </c>
      <c r="AL181" s="267"/>
      <c r="AM181" s="267"/>
      <c r="AN181" s="75"/>
    </row>
    <row r="182" spans="1:40" s="6" customFormat="1" ht="11.25" x14ac:dyDescent="0.2">
      <c r="A182" s="56">
        <f t="shared" si="71"/>
        <v>44729</v>
      </c>
      <c r="B182" s="1141">
        <v>47.948999999999998</v>
      </c>
      <c r="C182" s="868"/>
      <c r="D182" s="395">
        <f t="shared" si="50"/>
        <v>49.555374353257697</v>
      </c>
      <c r="E182" s="387">
        <f t="shared" si="75"/>
        <v>57.07862315452801</v>
      </c>
      <c r="F182" s="387">
        <f t="shared" si="51"/>
        <v>57.085741966658844</v>
      </c>
      <c r="G182" s="110">
        <f t="shared" si="76"/>
        <v>0.88886328504573364</v>
      </c>
      <c r="H182" s="416" t="b">
        <f>Wh_hp&gt;='2021'!Maxi_hp</f>
        <v>0</v>
      </c>
      <c r="I182" s="382">
        <f>IF(H182,Wh_hp,'2021'!Maxi_hp)</f>
        <v>64.172598180317252</v>
      </c>
      <c r="J182" s="85">
        <f>IF(H182,An,'2021'!An_max)</f>
        <v>2019</v>
      </c>
      <c r="K182" s="199">
        <f t="shared" si="52"/>
        <v>44729</v>
      </c>
      <c r="L182" s="147">
        <f>IF(t&lt;Tvie,1-EXP((T0-t)*PertePVj)+'2021'!Pspv,1-EXP((T0-t)*PertePVj)+Pspv)</f>
        <v>3.2415744492344856E-2</v>
      </c>
      <c r="M182" s="872"/>
      <c r="N182" s="872"/>
      <c r="O182" s="48">
        <f>IF(t&lt;Tnet,'2021'!Resal+('2021'!Salim-'2021'!Resal)*(1-EXP(('2021'!Tnet-t)/('2021'!Tau_j))),Resal+(Salim-Resal)*(1-EXP((Tnet-t)/(Tau_j))))*Salcycl</f>
        <v>0.13180501535404501</v>
      </c>
      <c r="P182" s="341">
        <f>(INDEX(Models!$BJ182:$BT182,,T182)*(1-R182)+INDEX(Models!$BJ182:$BT182,,T182+1)*R182-ERP_i)*Q182*Ramure*Pc/MaxiM</f>
        <v>1.4823406457281204E-4</v>
      </c>
      <c r="Q182" s="307">
        <f t="shared" si="53"/>
        <v>0.9</v>
      </c>
      <c r="R182" s="179">
        <f t="shared" si="54"/>
        <v>0.24273906630117548</v>
      </c>
      <c r="S182" s="839">
        <f t="shared" si="55"/>
        <v>0</v>
      </c>
      <c r="T182" s="178">
        <f t="shared" si="56"/>
        <v>6</v>
      </c>
      <c r="U182" s="253">
        <f t="shared" si="57"/>
        <v>0.24273906630117548</v>
      </c>
      <c r="V182" s="385">
        <f t="shared" si="58"/>
        <v>53.942909349478697</v>
      </c>
      <c r="W182" s="404">
        <f t="shared" si="59"/>
        <v>0</v>
      </c>
      <c r="X182" s="157">
        <f t="shared" si="60"/>
        <v>44729</v>
      </c>
      <c r="Y182" s="387">
        <f t="shared" si="61"/>
        <v>46.083639889181264</v>
      </c>
      <c r="Z182" s="387">
        <f t="shared" si="62"/>
        <v>47.627521455485969</v>
      </c>
      <c r="AA182" s="388">
        <f t="shared" si="63"/>
        <v>57.07862315452801</v>
      </c>
      <c r="AB182" s="199">
        <f t="shared" si="64"/>
        <v>44729</v>
      </c>
      <c r="AC182" s="119">
        <f>IF(OR(t&lt;Tnet,NoTnet),'2021'!Resal_s+('2021'!Salim-'2021'!Resal_s)*(1-EXP(('2021'!Tnet_s-t)/'2021'!Tau_j)),Resal_s+(Salim-Resal_s)*(1-EXP((Tnet_s-t)/Tau_j)))*Salcycl</f>
        <v>0.16558040780793243</v>
      </c>
      <c r="AD182" s="233">
        <f>(INDEX(Models!$BJ182:$BT182,,AH182)*(1-AF182)+INDEX(Models!$BJ182:$BT182,,AH182+1)*AF182-ERP_i)*AE182*Ramure*Pc/MaxiM</f>
        <v>1.4823406457281204E-4</v>
      </c>
      <c r="AE182" s="307">
        <f t="shared" si="65"/>
        <v>0.9</v>
      </c>
      <c r="AF182" s="179">
        <f t="shared" si="66"/>
        <v>0.24273906630117548</v>
      </c>
      <c r="AG182" s="839">
        <f t="shared" si="74"/>
        <v>0</v>
      </c>
      <c r="AH182" s="178">
        <f t="shared" si="67"/>
        <v>6</v>
      </c>
      <c r="AI182" s="227">
        <f t="shared" si="68"/>
        <v>0.24273906630117548</v>
      </c>
      <c r="AJ182" s="267" t="b">
        <f t="shared" si="69"/>
        <v>1</v>
      </c>
      <c r="AK182" s="267" t="b">
        <f t="shared" si="70"/>
        <v>0</v>
      </c>
      <c r="AL182" s="267"/>
      <c r="AM182" s="267"/>
      <c r="AN182" s="75"/>
    </row>
    <row r="183" spans="1:40" s="6" customFormat="1" ht="11.25" x14ac:dyDescent="0.2">
      <c r="A183" s="56">
        <f t="shared" si="71"/>
        <v>44730</v>
      </c>
      <c r="B183" s="1141">
        <v>49.847000000000001</v>
      </c>
      <c r="C183" s="868"/>
      <c r="D183" s="395">
        <f t="shared" si="50"/>
        <v>51.518159535733801</v>
      </c>
      <c r="E183" s="387">
        <f t="shared" si="75"/>
        <v>59.354258655746456</v>
      </c>
      <c r="F183" s="387">
        <f t="shared" si="51"/>
        <v>59.362057991736044</v>
      </c>
      <c r="G183" s="110">
        <f t="shared" si="76"/>
        <v>0.92494231762695478</v>
      </c>
      <c r="H183" s="416" t="b">
        <f>Wh_hp&gt;='2021'!Maxi_hp</f>
        <v>0</v>
      </c>
      <c r="I183" s="382">
        <f>IF(H183,Wh_hp,'2021'!Maxi_hp)</f>
        <v>62.517821200510539</v>
      </c>
      <c r="J183" s="85">
        <f>IF(H183,An,'2021'!An_max)</f>
        <v>2019</v>
      </c>
      <c r="K183" s="199">
        <f t="shared" si="52"/>
        <v>44730</v>
      </c>
      <c r="L183" s="147">
        <f>IF(t&lt;Tvie,1-EXP((T0-t)*PertePVj)+'2021'!Pspv,1-EXP((T0-t)*PertePVj)+Pspv)</f>
        <v>3.2438261591520079E-2</v>
      </c>
      <c r="M183" s="872"/>
      <c r="N183" s="872"/>
      <c r="O183" s="48">
        <f>IF(t&lt;Tnet,'2021'!Resal+('2021'!Salim-'2021'!Resal)*(1-EXP(('2021'!Tnet-t)/('2021'!Tau_j))),Resal+(Salim-Resal)*(1-EXP((Tnet-t)/(Tau_j))))*Salcycl</f>
        <v>0.13202252538376191</v>
      </c>
      <c r="P183" s="341">
        <f>(INDEX(Models!$BJ183:$BT183,,T183)*(1-R183)+INDEX(Models!$BJ183:$BT183,,T183+1)*R183-ERP_i)*Q183*Ramure*Pc/MaxiM</f>
        <v>1.4716232657395665E-4</v>
      </c>
      <c r="Q183" s="307">
        <f t="shared" si="53"/>
        <v>0.9</v>
      </c>
      <c r="R183" s="179">
        <f t="shared" si="54"/>
        <v>0.24877176840059279</v>
      </c>
      <c r="S183" s="839">
        <f t="shared" si="55"/>
        <v>0</v>
      </c>
      <c r="T183" s="178">
        <f t="shared" si="56"/>
        <v>6</v>
      </c>
      <c r="U183" s="253">
        <f t="shared" si="57"/>
        <v>0.24877176840059279</v>
      </c>
      <c r="V183" s="385">
        <f t="shared" si="58"/>
        <v>53.891158981478043</v>
      </c>
      <c r="W183" s="404">
        <f t="shared" si="59"/>
        <v>0</v>
      </c>
      <c r="X183" s="157">
        <f t="shared" si="60"/>
        <v>44730</v>
      </c>
      <c r="Y183" s="387">
        <f t="shared" si="61"/>
        <v>47.911366518810773</v>
      </c>
      <c r="Z183" s="387">
        <f t="shared" si="62"/>
        <v>49.517632433067348</v>
      </c>
      <c r="AA183" s="388">
        <f t="shared" si="63"/>
        <v>59.354258655746456</v>
      </c>
      <c r="AB183" s="199">
        <f t="shared" si="64"/>
        <v>44730</v>
      </c>
      <c r="AC183" s="119">
        <f>IF(OR(t&lt;Tnet,NoTnet),'2021'!Resal_s+('2021'!Salim-'2021'!Resal_s)*(1-EXP(('2021'!Tnet_s-t)/'2021'!Tau_j)),Resal_s+(Salim-Resal_s)*(1-EXP((Tnet_s-t)/Tau_j)))*Salcycl</f>
        <v>0.16572738747747395</v>
      </c>
      <c r="AD183" s="233">
        <f>(INDEX(Models!$BJ183:$BT183,,AH183)*(1-AF183)+INDEX(Models!$BJ183:$BT183,,AH183+1)*AF183-ERP_i)*AE183*Ramure*Pc/MaxiM</f>
        <v>1.4716232657395665E-4</v>
      </c>
      <c r="AE183" s="307">
        <f t="shared" si="65"/>
        <v>0.9</v>
      </c>
      <c r="AF183" s="179">
        <f t="shared" si="66"/>
        <v>0.24877176840059279</v>
      </c>
      <c r="AG183" s="839">
        <f t="shared" si="74"/>
        <v>0</v>
      </c>
      <c r="AH183" s="178">
        <f t="shared" si="67"/>
        <v>6</v>
      </c>
      <c r="AI183" s="227">
        <f t="shared" si="68"/>
        <v>0.24877176840059279</v>
      </c>
      <c r="AJ183" s="267" t="b">
        <f t="shared" si="69"/>
        <v>1</v>
      </c>
      <c r="AK183" s="267" t="b">
        <f t="shared" si="70"/>
        <v>0</v>
      </c>
      <c r="AL183" s="267"/>
      <c r="AM183" s="267"/>
      <c r="AN183" s="75"/>
    </row>
    <row r="184" spans="1:40" s="6" customFormat="1" ht="11.25" x14ac:dyDescent="0.2">
      <c r="A184" s="56">
        <f t="shared" si="71"/>
        <v>44731</v>
      </c>
      <c r="B184" s="1141">
        <v>51.084000000000003</v>
      </c>
      <c r="C184" s="868"/>
      <c r="D184" s="395">
        <f t="shared" si="50"/>
        <v>52.797859608425114</v>
      </c>
      <c r="E184" s="387">
        <f t="shared" si="75"/>
        <v>60.843633336639556</v>
      </c>
      <c r="F184" s="387">
        <f t="shared" si="51"/>
        <v>60.851906660258678</v>
      </c>
      <c r="G184" s="110">
        <f t="shared" si="76"/>
        <v>0.94885468577794885</v>
      </c>
      <c r="H184" s="416" t="b">
        <f>Wh_hp&gt;='2021'!Maxi_hp</f>
        <v>1</v>
      </c>
      <c r="I184" s="382">
        <f>IF(H184,Wh_hp,'2021'!Maxi_hp)</f>
        <v>60.851906660258678</v>
      </c>
      <c r="J184" s="85">
        <f>IF(H184,An,'2021'!An_max)</f>
        <v>2022</v>
      </c>
      <c r="K184" s="199">
        <f t="shared" si="52"/>
        <v>44731</v>
      </c>
      <c r="L184" s="147">
        <f>IF(t&lt;Tvie,1-EXP((T0-t)*PertePVj)+'2021'!Pspv,1-EXP((T0-t)*PertePVj)+Pspv)</f>
        <v>3.2460778166689574E-2</v>
      </c>
      <c r="M184" s="872"/>
      <c r="N184" s="872"/>
      <c r="O184" s="48">
        <f>IF(t&lt;Tnet,'2021'!Resal+('2021'!Salim-'2021'!Resal)*(1-EXP(('2021'!Tnet-t)/('2021'!Tau_j))),Resal+(Salim-Resal)*(1-EXP((Tnet-t)/(Tau_j))))*Salcycl</f>
        <v>0.13223690445470709</v>
      </c>
      <c r="P184" s="341">
        <f>(INDEX(Models!$BJ184:$BT184,,T184)*(1-R184)+INDEX(Models!$BJ184:$BT184,,T184+1)*R184-ERP_i)*Q184*Ramure*Pc/MaxiM</f>
        <v>1.4667280958542345E-4</v>
      </c>
      <c r="Q184" s="307">
        <f t="shared" si="53"/>
        <v>0.9</v>
      </c>
      <c r="R184" s="179">
        <f t="shared" si="54"/>
        <v>0.25476422021477924</v>
      </c>
      <c r="S184" s="839">
        <f t="shared" si="55"/>
        <v>0</v>
      </c>
      <c r="T184" s="178">
        <f t="shared" si="56"/>
        <v>6</v>
      </c>
      <c r="U184" s="253">
        <f t="shared" si="57"/>
        <v>0.25476422021477924</v>
      </c>
      <c r="V184" s="385">
        <f t="shared" si="58"/>
        <v>53.83696086743506</v>
      </c>
      <c r="W184" s="404">
        <f t="shared" si="59"/>
        <v>0</v>
      </c>
      <c r="X184" s="157">
        <f t="shared" si="60"/>
        <v>44731</v>
      </c>
      <c r="Y184" s="387">
        <f t="shared" si="61"/>
        <v>49.104030123921554</v>
      </c>
      <c r="Z184" s="387">
        <f t="shared" si="62"/>
        <v>50.751462076005943</v>
      </c>
      <c r="AA184" s="388">
        <f t="shared" si="63"/>
        <v>60.843633336639556</v>
      </c>
      <c r="AB184" s="199">
        <f t="shared" si="64"/>
        <v>44731</v>
      </c>
      <c r="AC184" s="119">
        <f>IF(OR(t&lt;Tnet,NoTnet),'2021'!Resal_s+('2021'!Salim-'2021'!Resal_s)*(1-EXP(('2021'!Tnet_s-t)/'2021'!Tau_j)),Resal_s+(Salim-Resal_s)*(1-EXP((Tnet_s-t)/Tau_j)))*Salcycl</f>
        <v>0.16587062124963831</v>
      </c>
      <c r="AD184" s="233">
        <f>(INDEX(Models!$BJ184:$BT184,,AH184)*(1-AF184)+INDEX(Models!$BJ184:$BT184,,AH184+1)*AF184-ERP_i)*AE184*Ramure*Pc/MaxiM</f>
        <v>1.4667280958542345E-4</v>
      </c>
      <c r="AE184" s="307">
        <f t="shared" si="65"/>
        <v>0.9</v>
      </c>
      <c r="AF184" s="179">
        <f t="shared" si="66"/>
        <v>0.25476422021477924</v>
      </c>
      <c r="AG184" s="839">
        <f t="shared" si="74"/>
        <v>0</v>
      </c>
      <c r="AH184" s="178">
        <f t="shared" si="67"/>
        <v>6</v>
      </c>
      <c r="AI184" s="227">
        <f t="shared" si="68"/>
        <v>0.25476422021477924</v>
      </c>
      <c r="AJ184" s="267" t="b">
        <f t="shared" si="69"/>
        <v>1</v>
      </c>
      <c r="AK184" s="267" t="b">
        <f t="shared" si="70"/>
        <v>0</v>
      </c>
      <c r="AL184" s="267"/>
      <c r="AM184" s="267"/>
      <c r="AN184" s="75"/>
    </row>
    <row r="185" spans="1:40" s="6" customFormat="1" ht="11.25" x14ac:dyDescent="0.2">
      <c r="A185" s="56">
        <f t="shared" si="71"/>
        <v>44732</v>
      </c>
      <c r="B185" s="1141">
        <v>30.336000000000002</v>
      </c>
      <c r="C185" s="868"/>
      <c r="D185" s="395">
        <f t="shared" si="50"/>
        <v>31.354497362892115</v>
      </c>
      <c r="E185" s="387">
        <f t="shared" si="75"/>
        <v>36.141350745247536</v>
      </c>
      <c r="F185" s="387">
        <f t="shared" si="51"/>
        <v>36.143347793345697</v>
      </c>
      <c r="G185" s="110">
        <f t="shared" si="76"/>
        <v>0.56401891745261246</v>
      </c>
      <c r="H185" s="416" t="b">
        <f>Wh_hp&gt;='2021'!Maxi_hp</f>
        <v>0</v>
      </c>
      <c r="I185" s="382">
        <f>IF(H185,Wh_hp,'2021'!Maxi_hp)</f>
        <v>61.778509370898874</v>
      </c>
      <c r="J185" s="85">
        <f>IF(H185,An,'2021'!An_max)</f>
        <v>2020</v>
      </c>
      <c r="K185" s="199">
        <f t="shared" si="52"/>
        <v>44732</v>
      </c>
      <c r="L185" s="147">
        <f>IF(t&lt;Tvie,1-EXP((T0-t)*PertePVj)+'2021'!Pspv,1-EXP((T0-t)*PertePVj)+Pspv)</f>
        <v>3.2483294217865555E-2</v>
      </c>
      <c r="M185" s="872"/>
      <c r="N185" s="872"/>
      <c r="O185" s="48">
        <f>IF(t&lt;Tnet,'2021'!Resal+('2021'!Salim-'2021'!Resal)*(1-EXP(('2021'!Tnet-t)/('2021'!Tau_j))),Resal+(Salim-Resal)*(1-EXP((Tnet-t)/(Tau_j))))*Salcycl</f>
        <v>0.132448104004106</v>
      </c>
      <c r="P185" s="341">
        <f>(INDEX(Models!$BJ185:$BT185,,T185)*(1-R185)+INDEX(Models!$BJ185:$BT185,,T185+1)*R185-ERP_i)*Q185*Ramure*Pc/MaxiM</f>
        <v>1.4646657048046337E-4</v>
      </c>
      <c r="Q185" s="307">
        <f t="shared" si="53"/>
        <v>0.9</v>
      </c>
      <c r="R185" s="179">
        <f t="shared" si="54"/>
        <v>0.2607118168592652</v>
      </c>
      <c r="S185" s="839">
        <f t="shared" si="55"/>
        <v>0</v>
      </c>
      <c r="T185" s="178">
        <f t="shared" si="56"/>
        <v>6</v>
      </c>
      <c r="U185" s="253">
        <f t="shared" si="57"/>
        <v>0.2607118168592652</v>
      </c>
      <c r="V185" s="385">
        <f t="shared" si="58"/>
        <v>53.780523791232817</v>
      </c>
      <c r="W185" s="404">
        <f t="shared" si="59"/>
        <v>0</v>
      </c>
      <c r="X185" s="157">
        <f t="shared" si="60"/>
        <v>44732</v>
      </c>
      <c r="Y185" s="387">
        <f t="shared" si="61"/>
        <v>29.162427109627075</v>
      </c>
      <c r="Z185" s="387">
        <f t="shared" si="62"/>
        <v>30.14152307174102</v>
      </c>
      <c r="AA185" s="388">
        <f t="shared" si="63"/>
        <v>36.141350745247536</v>
      </c>
      <c r="AB185" s="199">
        <f t="shared" si="64"/>
        <v>44732</v>
      </c>
      <c r="AC185" s="119">
        <f>IF(OR(t&lt;Tnet,NoTnet),'2021'!Resal_s+('2021'!Salim-'2021'!Resal_s)*(1-EXP(('2021'!Tnet_s-t)/'2021'!Tau_j)),Resal_s+(Salim-Resal_s)*(1-EXP((Tnet_s-t)/Tau_j)))*Salcycl</f>
        <v>0.16601005634233162</v>
      </c>
      <c r="AD185" s="233">
        <f>(INDEX(Models!$BJ185:$BT185,,AH185)*(1-AF185)+INDEX(Models!$BJ185:$BT185,,AH185+1)*AF185-ERP_i)*AE185*Ramure*Pc/MaxiM</f>
        <v>1.4646657048046337E-4</v>
      </c>
      <c r="AE185" s="307">
        <f t="shared" si="65"/>
        <v>0.9</v>
      </c>
      <c r="AF185" s="179">
        <f t="shared" si="66"/>
        <v>0.2607118168592652</v>
      </c>
      <c r="AG185" s="839">
        <f t="shared" si="74"/>
        <v>0</v>
      </c>
      <c r="AH185" s="178">
        <f t="shared" si="67"/>
        <v>6</v>
      </c>
      <c r="AI185" s="227">
        <f t="shared" si="68"/>
        <v>0.2607118168592652</v>
      </c>
      <c r="AJ185" s="267" t="b">
        <f t="shared" si="69"/>
        <v>1</v>
      </c>
      <c r="AK185" s="267" t="b">
        <f t="shared" si="70"/>
        <v>0</v>
      </c>
      <c r="AL185" s="267"/>
      <c r="AM185" s="267"/>
      <c r="AN185" s="75"/>
    </row>
    <row r="186" spans="1:40" s="6" customFormat="1" ht="11.25" x14ac:dyDescent="0.2">
      <c r="A186" s="56">
        <f t="shared" si="71"/>
        <v>44733</v>
      </c>
      <c r="B186" s="1141">
        <v>18.010999999999999</v>
      </c>
      <c r="C186" s="868"/>
      <c r="D186" s="395">
        <f t="shared" si="50"/>
        <v>18.616132459931364</v>
      </c>
      <c r="E186" s="387">
        <f t="shared" si="75"/>
        <v>21.463380468857455</v>
      </c>
      <c r="F186" s="387">
        <f t="shared" si="51"/>
        <v>21.463538923317547</v>
      </c>
      <c r="G186" s="110">
        <f t="shared" si="76"/>
        <v>0.33521611771188908</v>
      </c>
      <c r="H186" s="416" t="b">
        <f>Wh_hp&gt;='2021'!Maxi_hp</f>
        <v>0</v>
      </c>
      <c r="I186" s="382">
        <f>IF(H186,Wh_hp,'2021'!Maxi_hp)</f>
        <v>55.37097904522787</v>
      </c>
      <c r="J186" s="85">
        <f>IF(H186,An,'2021'!An_max)</f>
        <v>2020</v>
      </c>
      <c r="K186" s="199">
        <f t="shared" si="52"/>
        <v>44733</v>
      </c>
      <c r="L186" s="147">
        <f>IF(t&lt;Tvie,1-EXP((T0-t)*PertePVj)+'2021'!Pspv,1-EXP((T0-t)*PertePVj)+Pspv)</f>
        <v>3.250580974506001E-2</v>
      </c>
      <c r="M186" s="872"/>
      <c r="N186" s="872"/>
      <c r="O186" s="48">
        <f>IF(t&lt;Tnet,'2021'!Resal+('2021'!Salim-'2021'!Resal)*(1-EXP(('2021'!Tnet-t)/('2021'!Tau_j))),Resal+(Salim-Resal)*(1-EXP((Tnet-t)/(Tau_j))))*Salcycl</f>
        <v>0.1326560843040237</v>
      </c>
      <c r="P186" s="341">
        <f>(INDEX(Models!$BJ186:$BT186,,T186)*(1-R186)+INDEX(Models!$BJ186:$BT186,,T186+1)*R186-ERP_i)*Q186*Ramure*Pc/MaxiM</f>
        <v>1.4654961576000551E-4</v>
      </c>
      <c r="Q186" s="307">
        <f t="shared" si="53"/>
        <v>0.9</v>
      </c>
      <c r="R186" s="179">
        <f t="shared" si="54"/>
        <v>0.26661009723853729</v>
      </c>
      <c r="S186" s="839">
        <f t="shared" si="55"/>
        <v>0</v>
      </c>
      <c r="T186" s="178">
        <f t="shared" si="56"/>
        <v>6</v>
      </c>
      <c r="U186" s="253">
        <f t="shared" si="57"/>
        <v>0.26661009723853729</v>
      </c>
      <c r="V186" s="385">
        <f t="shared" si="58"/>
        <v>53.72203927841548</v>
      </c>
      <c r="W186" s="404">
        <f t="shared" si="59"/>
        <v>0</v>
      </c>
      <c r="X186" s="157">
        <f t="shared" si="60"/>
        <v>44733</v>
      </c>
      <c r="Y186" s="387">
        <f t="shared" si="61"/>
        <v>17.315565838941751</v>
      </c>
      <c r="Z186" s="387">
        <f t="shared" si="62"/>
        <v>17.89733314510034</v>
      </c>
      <c r="AA186" s="388">
        <f t="shared" si="63"/>
        <v>21.463380468857455</v>
      </c>
      <c r="AB186" s="199">
        <f t="shared" si="64"/>
        <v>44733</v>
      </c>
      <c r="AC186" s="119">
        <f>IF(OR(t&lt;Tnet,NoTnet),'2021'!Resal_s+('2021'!Salim-'2021'!Resal_s)*(1-EXP(('2021'!Tnet_s-t)/'2021'!Tau_j)),Resal_s+(Salim-Resal_s)*(1-EXP((Tnet_s-t)/Tau_j)))*Salcycl</f>
        <v>0.16614565114434388</v>
      </c>
      <c r="AD186" s="233">
        <f>(INDEX(Models!$BJ186:$BT186,,AH186)*(1-AF186)+INDEX(Models!$BJ186:$BT186,,AH186+1)*AF186-ERP_i)*AE186*Ramure*Pc/MaxiM</f>
        <v>1.4654961576000551E-4</v>
      </c>
      <c r="AE186" s="307">
        <f t="shared" si="65"/>
        <v>0.9</v>
      </c>
      <c r="AF186" s="179">
        <f t="shared" si="66"/>
        <v>0.26661009723853729</v>
      </c>
      <c r="AG186" s="839">
        <f t="shared" si="74"/>
        <v>0</v>
      </c>
      <c r="AH186" s="178">
        <f t="shared" si="67"/>
        <v>6</v>
      </c>
      <c r="AI186" s="227">
        <f t="shared" si="68"/>
        <v>0.26661009723853729</v>
      </c>
      <c r="AJ186" s="267" t="b">
        <f t="shared" si="69"/>
        <v>1</v>
      </c>
      <c r="AK186" s="267" t="b">
        <f t="shared" si="70"/>
        <v>0</v>
      </c>
      <c r="AL186" s="267"/>
      <c r="AM186" s="267"/>
      <c r="AN186" s="75"/>
    </row>
    <row r="187" spans="1:40" s="6" customFormat="1" ht="11.25" x14ac:dyDescent="0.2">
      <c r="A187" s="56">
        <f t="shared" si="71"/>
        <v>44734</v>
      </c>
      <c r="B187" s="1141">
        <v>43.499000000000002</v>
      </c>
      <c r="C187" s="868"/>
      <c r="D187" s="395">
        <f t="shared" si="50"/>
        <v>44.961523022038371</v>
      </c>
      <c r="E187" s="387">
        <f t="shared" si="75"/>
        <v>51.85041083885146</v>
      </c>
      <c r="F187" s="387">
        <f t="shared" si="51"/>
        <v>51.855968590574264</v>
      </c>
      <c r="G187" s="110">
        <f t="shared" si="76"/>
        <v>0.81058319537708479</v>
      </c>
      <c r="H187" s="416" t="b">
        <f>Wh_hp&gt;='2021'!Maxi_hp</f>
        <v>0</v>
      </c>
      <c r="I187" s="382">
        <f>IF(H187,Wh_hp,'2021'!Maxi_hp)</f>
        <v>63.646514520182144</v>
      </c>
      <c r="J187" s="85">
        <f>IF(H187,An,'2021'!An_max)</f>
        <v>2020</v>
      </c>
      <c r="K187" s="199">
        <f t="shared" si="52"/>
        <v>44734</v>
      </c>
      <c r="L187" s="147">
        <f>IF(t&lt;Tvie,1-EXP((T0-t)*PertePVj)+'2021'!Pspv,1-EXP((T0-t)*PertePVj)+Pspv)</f>
        <v>3.2528324748285264E-2</v>
      </c>
      <c r="M187" s="872"/>
      <c r="N187" s="872"/>
      <c r="O187" s="48">
        <f>IF(t&lt;Tnet,'2021'!Resal+('2021'!Salim-'2021'!Resal)*(1-EXP(('2021'!Tnet-t)/('2021'!Tau_j))),Resal+(Salim-Resal)*(1-EXP((Tnet-t)/(Tau_j))))*Salcycl</f>
        <v>0.13286081451164222</v>
      </c>
      <c r="P187" s="341">
        <f>(INDEX(Models!$BJ187:$BT187,,T187)*(1-R187)+INDEX(Models!$BJ187:$BT187,,T187+1)*R187-ERP_i)*Q187*Ramure*Pc/MaxiM</f>
        <v>1.4692797867257471E-4</v>
      </c>
      <c r="Q187" s="307">
        <f t="shared" si="53"/>
        <v>0.9</v>
      </c>
      <c r="R187" s="179">
        <f t="shared" si="54"/>
        <v>0.27245475644510897</v>
      </c>
      <c r="S187" s="839">
        <f t="shared" si="55"/>
        <v>0</v>
      </c>
      <c r="T187" s="178">
        <f t="shared" si="56"/>
        <v>6</v>
      </c>
      <c r="U187" s="253">
        <f t="shared" si="57"/>
        <v>0.27245475644510897</v>
      </c>
      <c r="V187" s="385">
        <f t="shared" si="58"/>
        <v>53.661698048974387</v>
      </c>
      <c r="W187" s="404">
        <f t="shared" si="59"/>
        <v>0</v>
      </c>
      <c r="X187" s="157">
        <f t="shared" si="60"/>
        <v>44734</v>
      </c>
      <c r="Y187" s="387">
        <f t="shared" si="61"/>
        <v>41.82269820295096</v>
      </c>
      <c r="Z187" s="387">
        <f t="shared" si="62"/>
        <v>43.228860619686479</v>
      </c>
      <c r="AA187" s="388">
        <f t="shared" si="63"/>
        <v>51.85041083885146</v>
      </c>
      <c r="AB187" s="199">
        <f t="shared" si="64"/>
        <v>44734</v>
      </c>
      <c r="AC187" s="119">
        <f>IF(OR(t&lt;Tnet,NoTnet),'2021'!Resal_s+('2021'!Salim-'2021'!Resal_s)*(1-EXP(('2021'!Tnet_s-t)/'2021'!Tau_j)),Resal_s+(Salim-Resal_s)*(1-EXP((Tnet_s-t)/Tau_j)))*Salcycl</f>
        <v>0.16627737523546995</v>
      </c>
      <c r="AD187" s="233">
        <f>(INDEX(Models!$BJ187:$BT187,,AH187)*(1-AF187)+INDEX(Models!$BJ187:$BT187,,AH187+1)*AF187-ERP_i)*AE187*Ramure*Pc/MaxiM</f>
        <v>1.4692797867257471E-4</v>
      </c>
      <c r="AE187" s="307">
        <f t="shared" si="65"/>
        <v>0.9</v>
      </c>
      <c r="AF187" s="179">
        <f t="shared" si="66"/>
        <v>0.27245475644510897</v>
      </c>
      <c r="AG187" s="839">
        <f t="shared" si="74"/>
        <v>0</v>
      </c>
      <c r="AH187" s="178">
        <f t="shared" si="67"/>
        <v>6</v>
      </c>
      <c r="AI187" s="227">
        <f t="shared" si="68"/>
        <v>0.27245475644510897</v>
      </c>
      <c r="AJ187" s="267" t="b">
        <f t="shared" si="69"/>
        <v>1</v>
      </c>
      <c r="AK187" s="267" t="b">
        <f t="shared" si="70"/>
        <v>0</v>
      </c>
      <c r="AL187" s="267"/>
      <c r="AM187" s="267"/>
      <c r="AN187" s="75"/>
    </row>
    <row r="188" spans="1:40" s="6" customFormat="1" ht="11.25" x14ac:dyDescent="0.2">
      <c r="A188" s="56">
        <f t="shared" si="71"/>
        <v>44735</v>
      </c>
      <c r="B188" s="1141">
        <v>38.550000000000004</v>
      </c>
      <c r="C188" s="868"/>
      <c r="D188" s="395">
        <f t="shared" si="50"/>
        <v>39.847055083721699</v>
      </c>
      <c r="E188" s="387">
        <f t="shared" si="75"/>
        <v>45.962995757993973</v>
      </c>
      <c r="F188" s="387">
        <f t="shared" si="51"/>
        <v>45.967059216673412</v>
      </c>
      <c r="G188" s="110">
        <f t="shared" si="76"/>
        <v>0.71917798954479117</v>
      </c>
      <c r="H188" s="416" t="b">
        <f>Wh_hp&gt;='2021'!Maxi_hp</f>
        <v>0</v>
      </c>
      <c r="I188" s="382">
        <f>IF(H188,Wh_hp,'2021'!Maxi_hp)</f>
        <v>56.737228376806002</v>
      </c>
      <c r="J188" s="85">
        <f>IF(H188,An,'2021'!An_max)</f>
        <v>2020</v>
      </c>
      <c r="K188" s="199">
        <f t="shared" si="52"/>
        <v>44735</v>
      </c>
      <c r="L188" s="147">
        <f>IF(t&lt;Tvie,1-EXP((T0-t)*PertePVj)+'2021'!Pspv,1-EXP((T0-t)*PertePVj)+Pspv)</f>
        <v>3.255083922755353E-2</v>
      </c>
      <c r="M188" s="872"/>
      <c r="N188" s="872"/>
      <c r="O188" s="48">
        <f>IF(t&lt;Tnet,'2021'!Resal+('2021'!Salim-'2021'!Resal)*(1-EXP(('2021'!Tnet-t)/('2021'!Tau_j))),Resal+(Salim-Resal)*(1-EXP((Tnet-t)/(Tau_j))))*Salcycl</f>
        <v>0.13306227266982648</v>
      </c>
      <c r="P188" s="341">
        <f>(INDEX(Models!$BJ188:$BT188,,T188)*(1-R188)+INDEX(Models!$BJ188:$BT188,,T188+1)*R188-ERP_i)*Q188*Ramure*Pc/MaxiM</f>
        <v>1.4760619229893949E-4</v>
      </c>
      <c r="Q188" s="307">
        <f t="shared" si="53"/>
        <v>0.9</v>
      </c>
      <c r="R188" s="179">
        <f t="shared" si="54"/>
        <v>0.27824165713342913</v>
      </c>
      <c r="S188" s="839">
        <f t="shared" si="55"/>
        <v>0</v>
      </c>
      <c r="T188" s="178">
        <f t="shared" si="56"/>
        <v>6</v>
      </c>
      <c r="U188" s="253">
        <f t="shared" si="57"/>
        <v>0.27824165713342913</v>
      </c>
      <c r="V188" s="385">
        <f t="shared" si="58"/>
        <v>53.599690111879916</v>
      </c>
      <c r="W188" s="404">
        <f t="shared" si="59"/>
        <v>0</v>
      </c>
      <c r="X188" s="157">
        <f t="shared" si="60"/>
        <v>44735</v>
      </c>
      <c r="Y188" s="387">
        <f t="shared" si="61"/>
        <v>37.067344247114555</v>
      </c>
      <c r="Z188" s="387">
        <f t="shared" si="62"/>
        <v>38.314513826771673</v>
      </c>
      <c r="AA188" s="388">
        <f t="shared" si="63"/>
        <v>45.962995757993973</v>
      </c>
      <c r="AB188" s="199">
        <f t="shared" si="64"/>
        <v>44735</v>
      </c>
      <c r="AC188" s="119">
        <f>IF(OR(t&lt;Tnet,NoTnet),'2021'!Resal_s+('2021'!Salim-'2021'!Resal_s)*(1-EXP(('2021'!Tnet_s-t)/'2021'!Tau_j)),Resal_s+(Salim-Resal_s)*(1-EXP((Tnet_s-t)/Tau_j)))*Salcycl</f>
        <v>0.16640520934478176</v>
      </c>
      <c r="AD188" s="233">
        <f>(INDEX(Models!$BJ188:$BT188,,AH188)*(1-AF188)+INDEX(Models!$BJ188:$BT188,,AH188+1)*AF188-ERP_i)*AE188*Ramure*Pc/MaxiM</f>
        <v>1.4760619229893949E-4</v>
      </c>
      <c r="AE188" s="307">
        <f t="shared" si="65"/>
        <v>0.9</v>
      </c>
      <c r="AF188" s="179">
        <f t="shared" si="66"/>
        <v>0.27824165713342913</v>
      </c>
      <c r="AG188" s="839">
        <f t="shared" si="74"/>
        <v>0</v>
      </c>
      <c r="AH188" s="178">
        <f t="shared" si="67"/>
        <v>6</v>
      </c>
      <c r="AI188" s="227">
        <f t="shared" si="68"/>
        <v>0.27824165713342913</v>
      </c>
      <c r="AJ188" s="267" t="b">
        <f t="shared" si="69"/>
        <v>1</v>
      </c>
      <c r="AK188" s="267" t="b">
        <f t="shared" si="70"/>
        <v>0</v>
      </c>
      <c r="AL188" s="267"/>
      <c r="AM188" s="267"/>
      <c r="AN188" s="75"/>
    </row>
    <row r="189" spans="1:40" s="6" customFormat="1" ht="11.25" x14ac:dyDescent="0.2">
      <c r="A189" s="56">
        <f t="shared" si="71"/>
        <v>44736</v>
      </c>
      <c r="B189" s="1141">
        <v>40.767000000000003</v>
      </c>
      <c r="C189" s="868"/>
      <c r="D189" s="395">
        <f t="shared" si="50"/>
        <v>42.139629019032355</v>
      </c>
      <c r="E189" s="387">
        <f t="shared" si="75"/>
        <v>48.618559990632626</v>
      </c>
      <c r="F189" s="387">
        <f t="shared" si="51"/>
        <v>48.623323089101859</v>
      </c>
      <c r="G189" s="110">
        <f t="shared" si="76"/>
        <v>0.7614461281714181</v>
      </c>
      <c r="H189" s="416" t="b">
        <f>Wh_hp&gt;='2021'!Maxi_hp</f>
        <v>0</v>
      </c>
      <c r="I189" s="382">
        <f>IF(H189,Wh_hp,'2021'!Maxi_hp)</f>
        <v>62.884228215867878</v>
      </c>
      <c r="J189" s="85">
        <f>IF(H189,An,'2021'!An_max)</f>
        <v>2020</v>
      </c>
      <c r="K189" s="199">
        <f t="shared" si="52"/>
        <v>44736</v>
      </c>
      <c r="L189" s="147">
        <f>IF(t&lt;Tvie,1-EXP((T0-t)*PertePVj)+'2021'!Pspv,1-EXP((T0-t)*PertePVj)+Pspv)</f>
        <v>3.2573353182876907E-2</v>
      </c>
      <c r="M189" s="872"/>
      <c r="N189" s="872"/>
      <c r="O189" s="48">
        <f>IF(t&lt;Tnet,'2021'!Resal+('2021'!Salim-'2021'!Resal)*(1-EXP(('2021'!Tnet-t)/('2021'!Tau_j))),Resal+(Salim-Resal)*(1-EXP((Tnet-t)/(Tau_j))))*Salcycl</f>
        <v>0.13326044565796627</v>
      </c>
      <c r="P189" s="341">
        <f>(INDEX(Models!$BJ189:$BT189,,T189)*(1-R189)+INDEX(Models!$BJ189:$BT189,,T189+1)*R189-ERP_i)*Q189*Ramure*Pc/MaxiM</f>
        <v>1.4858866121910506E-4</v>
      </c>
      <c r="Q189" s="307">
        <f t="shared" si="53"/>
        <v>0.9</v>
      </c>
      <c r="R189" s="179">
        <f t="shared" si="54"/>
        <v>0.283966839814637</v>
      </c>
      <c r="S189" s="839">
        <f t="shared" si="55"/>
        <v>0</v>
      </c>
      <c r="T189" s="178">
        <f t="shared" si="56"/>
        <v>6</v>
      </c>
      <c r="U189" s="253">
        <f t="shared" si="57"/>
        <v>0.283966839814637</v>
      </c>
      <c r="V189" s="385">
        <f t="shared" si="58"/>
        <v>53.53620469726765</v>
      </c>
      <c r="W189" s="404">
        <f t="shared" si="59"/>
        <v>0</v>
      </c>
      <c r="X189" s="157">
        <f t="shared" si="60"/>
        <v>44736</v>
      </c>
      <c r="Y189" s="387">
        <f t="shared" si="61"/>
        <v>39.202210358906271</v>
      </c>
      <c r="Z189" s="387">
        <f t="shared" si="62"/>
        <v>40.522152752235321</v>
      </c>
      <c r="AA189" s="388">
        <f t="shared" si="63"/>
        <v>48.618559990632626</v>
      </c>
      <c r="AB189" s="199">
        <f t="shared" si="64"/>
        <v>44736</v>
      </c>
      <c r="AC189" s="119">
        <f>IF(OR(t&lt;Tnet,NoTnet),'2021'!Resal_s+('2021'!Salim-'2021'!Resal_s)*(1-EXP(('2021'!Tnet_s-t)/'2021'!Tau_j)),Resal_s+(Salim-Resal_s)*(1-EXP((Tnet_s-t)/Tau_j)))*Salcycl</f>
        <v>0.1665291452473549</v>
      </c>
      <c r="AD189" s="233">
        <f>(INDEX(Models!$BJ189:$BT189,,AH189)*(1-AF189)+INDEX(Models!$BJ189:$BT189,,AH189+1)*AF189-ERP_i)*AE189*Ramure*Pc/MaxiM</f>
        <v>1.4858866121910506E-4</v>
      </c>
      <c r="AE189" s="307">
        <f t="shared" si="65"/>
        <v>0.9</v>
      </c>
      <c r="AF189" s="179">
        <f t="shared" si="66"/>
        <v>0.283966839814637</v>
      </c>
      <c r="AG189" s="839">
        <f t="shared" si="74"/>
        <v>0</v>
      </c>
      <c r="AH189" s="178">
        <f t="shared" si="67"/>
        <v>6</v>
      </c>
      <c r="AI189" s="227">
        <f t="shared" si="68"/>
        <v>0.283966839814637</v>
      </c>
      <c r="AJ189" s="267" t="b">
        <f t="shared" si="69"/>
        <v>1</v>
      </c>
      <c r="AK189" s="267" t="b">
        <f t="shared" si="70"/>
        <v>0</v>
      </c>
      <c r="AL189" s="267"/>
      <c r="AM189" s="267"/>
      <c r="AN189" s="75"/>
    </row>
    <row r="190" spans="1:40" s="6" customFormat="1" ht="11.25" x14ac:dyDescent="0.2">
      <c r="A190" s="56">
        <f t="shared" si="71"/>
        <v>44737</v>
      </c>
      <c r="B190" s="1141">
        <v>28.555</v>
      </c>
      <c r="C190" s="868"/>
      <c r="D190" s="395">
        <f t="shared" si="50"/>
        <v>29.517136649047465</v>
      </c>
      <c r="E190" s="387">
        <f t="shared" si="75"/>
        <v>34.063029454867383</v>
      </c>
      <c r="F190" s="387">
        <f t="shared" si="51"/>
        <v>34.064736376428911</v>
      </c>
      <c r="G190" s="110">
        <f t="shared" si="76"/>
        <v>0.5339702105558285</v>
      </c>
      <c r="H190" s="416" t="b">
        <f>Wh_hp&gt;='2021'!Maxi_hp</f>
        <v>0</v>
      </c>
      <c r="I190" s="382">
        <f>IF(H190,Wh_hp,'2021'!Maxi_hp)</f>
        <v>58.027223678853936</v>
      </c>
      <c r="J190" s="85">
        <f>IF(H190,An,'2021'!An_max)</f>
        <v>2021</v>
      </c>
      <c r="K190" s="199">
        <f t="shared" si="52"/>
        <v>44737</v>
      </c>
      <c r="L190" s="147">
        <f>IF(t&lt;Tvie,1-EXP((T0-t)*PertePVj)+'2021'!Pspv,1-EXP((T0-t)*PertePVj)+Pspv)</f>
        <v>3.2595866614267721E-2</v>
      </c>
      <c r="M190" s="872"/>
      <c r="N190" s="872"/>
      <c r="O190" s="48">
        <f>IF(t&lt;Tnet,'2021'!Resal+('2021'!Salim-'2021'!Resal)*(1-EXP(('2021'!Tnet-t)/('2021'!Tau_j))),Resal+(Salim-Resal)*(1-EXP((Tnet-t)/(Tau_j))))*Salcycl</f>
        <v>0.13345532909347085</v>
      </c>
      <c r="P190" s="341">
        <f>(INDEX(Models!$BJ190:$BT190,,T190)*(1-R190)+INDEX(Models!$BJ190:$BT190,,T190+1)*R190-ERP_i)*Q190*Ramure*Pc/MaxiM</f>
        <v>1.4988118298795011E-4</v>
      </c>
      <c r="Q190" s="307">
        <f t="shared" si="53"/>
        <v>0.9</v>
      </c>
      <c r="R190" s="179">
        <f t="shared" si="54"/>
        <v>0.2896265320296878</v>
      </c>
      <c r="S190" s="839">
        <f t="shared" si="55"/>
        <v>0</v>
      </c>
      <c r="T190" s="178">
        <f t="shared" si="56"/>
        <v>6</v>
      </c>
      <c r="U190" s="253">
        <f t="shared" si="57"/>
        <v>0.2896265320296878</v>
      </c>
      <c r="V190" s="385">
        <f t="shared" si="58"/>
        <v>53.471430192882018</v>
      </c>
      <c r="W190" s="404">
        <f t="shared" si="59"/>
        <v>0</v>
      </c>
      <c r="X190" s="157">
        <f t="shared" si="60"/>
        <v>44737</v>
      </c>
      <c r="Y190" s="387">
        <f t="shared" si="61"/>
        <v>27.461172290507495</v>
      </c>
      <c r="Z190" s="387">
        <f t="shared" si="62"/>
        <v>28.386453337136945</v>
      </c>
      <c r="AA190" s="388">
        <f t="shared" si="63"/>
        <v>34.063029454867383</v>
      </c>
      <c r="AB190" s="199">
        <f t="shared" si="64"/>
        <v>44737</v>
      </c>
      <c r="AC190" s="119">
        <f>IF(OR(t&lt;Tnet,NoTnet),'2021'!Resal_s+('2021'!Salim-'2021'!Resal_s)*(1-EXP(('2021'!Tnet_s-t)/'2021'!Tau_j)),Resal_s+(Salim-Resal_s)*(1-EXP((Tnet_s-t)/Tau_j)))*Salcycl</f>
        <v>0.16664918560023409</v>
      </c>
      <c r="AD190" s="233">
        <f>(INDEX(Models!$BJ190:$BT190,,AH190)*(1-AF190)+INDEX(Models!$BJ190:$BT190,,AH190+1)*AF190-ERP_i)*AE190*Ramure*Pc/MaxiM</f>
        <v>1.4988118298795011E-4</v>
      </c>
      <c r="AE190" s="307">
        <f t="shared" si="65"/>
        <v>0.9</v>
      </c>
      <c r="AF190" s="179">
        <f t="shared" si="66"/>
        <v>0.2896265320296878</v>
      </c>
      <c r="AG190" s="839">
        <f t="shared" si="74"/>
        <v>0</v>
      </c>
      <c r="AH190" s="178">
        <f t="shared" si="67"/>
        <v>6</v>
      </c>
      <c r="AI190" s="227">
        <f t="shared" si="68"/>
        <v>0.2896265320296878</v>
      </c>
      <c r="AJ190" s="267" t="b">
        <f t="shared" si="69"/>
        <v>1</v>
      </c>
      <c r="AK190" s="267" t="b">
        <f t="shared" si="70"/>
        <v>0</v>
      </c>
      <c r="AL190" s="267"/>
      <c r="AM190" s="267"/>
      <c r="AN190" s="75"/>
    </row>
    <row r="191" spans="1:40" s="6" customFormat="1" ht="11.25" x14ac:dyDescent="0.2">
      <c r="A191" s="56">
        <f t="shared" si="71"/>
        <v>44738</v>
      </c>
      <c r="B191" s="1141">
        <v>10.912000000000001</v>
      </c>
      <c r="C191" s="868"/>
      <c r="D191" s="395">
        <f t="shared" si="50"/>
        <v>11.279933140145085</v>
      </c>
      <c r="E191" s="387">
        <f t="shared" si="75"/>
        <v>13.02001862068728</v>
      </c>
      <c r="F191" s="387">
        <f t="shared" si="51"/>
        <v>13.02001862068728</v>
      </c>
      <c r="G191" s="110">
        <f t="shared" si="76"/>
        <v>0.2042926036144235</v>
      </c>
      <c r="H191" s="416" t="b">
        <f>Wh_hp&gt;='2021'!Maxi_hp</f>
        <v>0</v>
      </c>
      <c r="I191" s="382">
        <f>IF(H191,Wh_hp,'2021'!Maxi_hp)</f>
        <v>61.058572386734099</v>
      </c>
      <c r="J191" s="85">
        <f>IF(H191,An,'2021'!An_max)</f>
        <v>2019</v>
      </c>
      <c r="K191" s="199">
        <f t="shared" si="52"/>
        <v>44738</v>
      </c>
      <c r="L191" s="147">
        <f>IF(t&lt;Tvie,1-EXP((T0-t)*PertePVj)+'2021'!Pspv,1-EXP((T0-t)*PertePVj)+Pspv)</f>
        <v>3.2618379521738183E-2</v>
      </c>
      <c r="M191" s="872"/>
      <c r="N191" s="872"/>
      <c r="O191" s="48">
        <f>IF(t&lt;Tnet,'2021'!Resal+('2021'!Salim-'2021'!Resal)*(1-EXP(('2021'!Tnet-t)/('2021'!Tau_j))),Resal+(Salim-Resal)*(1-EXP((Tnet-t)/(Tau_j))))*Salcycl</f>
        <v>0.13364692718468182</v>
      </c>
      <c r="P191" s="341">
        <f>(INDEX(Models!$BJ191:$BT191,,T191)*(1-R191)+INDEX(Models!$BJ191:$BT191,,T191+1)*R191-ERP_i)*Q191*Ramure*Pc/MaxiM</f>
        <v>1.5148964697404014E-4</v>
      </c>
      <c r="Q191" s="307">
        <f t="shared" si="53"/>
        <v>0.9</v>
      </c>
      <c r="R191" s="179">
        <f t="shared" si="54"/>
        <v>0.29521715637000978</v>
      </c>
      <c r="S191" s="839">
        <f t="shared" si="55"/>
        <v>0</v>
      </c>
      <c r="T191" s="178">
        <f t="shared" si="56"/>
        <v>6</v>
      </c>
      <c r="U191" s="253">
        <f t="shared" si="57"/>
        <v>0.29521715637000978</v>
      </c>
      <c r="V191" s="385">
        <f t="shared" si="58"/>
        <v>53.405491691535353</v>
      </c>
      <c r="W191" s="404">
        <f t="shared" si="59"/>
        <v>0</v>
      </c>
      <c r="X191" s="157">
        <f t="shared" si="60"/>
        <v>44738</v>
      </c>
      <c r="Y191" s="387">
        <f t="shared" si="61"/>
        <v>10.494862723569531</v>
      </c>
      <c r="Z191" s="387">
        <f t="shared" si="62"/>
        <v>10.848730740181933</v>
      </c>
      <c r="AA191" s="388">
        <f t="shared" si="63"/>
        <v>13.02001862068728</v>
      </c>
      <c r="AB191" s="199">
        <f t="shared" si="64"/>
        <v>44738</v>
      </c>
      <c r="AC191" s="119">
        <f>IF(OR(t&lt;Tnet,NoTnet),'2021'!Resal_s+('2021'!Salim-'2021'!Resal_s)*(1-EXP(('2021'!Tnet_s-t)/'2021'!Tau_j)),Resal_s+(Salim-Resal_s)*(1-EXP((Tnet_s-t)/Tau_j)))*Salcycl</f>
        <v>0.16676534371889654</v>
      </c>
      <c r="AD191" s="233">
        <f>(INDEX(Models!$BJ191:$BT191,,AH191)*(1-AF191)+INDEX(Models!$BJ191:$BT191,,AH191+1)*AF191-ERP_i)*AE191*Ramure*Pc/MaxiM</f>
        <v>1.5148964697404014E-4</v>
      </c>
      <c r="AE191" s="307">
        <f t="shared" si="65"/>
        <v>0.9</v>
      </c>
      <c r="AF191" s="179">
        <f t="shared" si="66"/>
        <v>0.29521715637000978</v>
      </c>
      <c r="AG191" s="839">
        <f t="shared" si="74"/>
        <v>0</v>
      </c>
      <c r="AH191" s="178">
        <f t="shared" si="67"/>
        <v>6</v>
      </c>
      <c r="AI191" s="227">
        <f t="shared" si="68"/>
        <v>0.29521715637000978</v>
      </c>
      <c r="AJ191" s="267" t="b">
        <f t="shared" si="69"/>
        <v>1</v>
      </c>
      <c r="AK191" s="267" t="b">
        <f t="shared" si="70"/>
        <v>0</v>
      </c>
      <c r="AL191" s="267"/>
      <c r="AM191" s="267"/>
      <c r="AN191" s="75"/>
    </row>
    <row r="192" spans="1:40" s="6" customFormat="1" ht="11.25" x14ac:dyDescent="0.2">
      <c r="A192" s="56">
        <f t="shared" si="71"/>
        <v>44739</v>
      </c>
      <c r="B192" s="1141">
        <v>16.202000000000002</v>
      </c>
      <c r="C192" s="868"/>
      <c r="D192" s="395">
        <f t="shared" si="50"/>
        <v>16.748692253398318</v>
      </c>
      <c r="E192" s="387">
        <f t="shared" si="75"/>
        <v>19.336612696883332</v>
      </c>
      <c r="F192" s="387">
        <f t="shared" si="51"/>
        <v>19.336628663592148</v>
      </c>
      <c r="G192" s="110">
        <f t="shared" si="76"/>
        <v>0.30371306827314598</v>
      </c>
      <c r="H192" s="416" t="b">
        <f>Wh_hp&gt;='2021'!Maxi_hp</f>
        <v>0</v>
      </c>
      <c r="I192" s="382">
        <f>IF(H192,Wh_hp,'2021'!Maxi_hp)</f>
        <v>60.869890690098934</v>
      </c>
      <c r="J192" s="85">
        <f>IF(H192,An,'2021'!An_max)</f>
        <v>2019</v>
      </c>
      <c r="K192" s="199">
        <f t="shared" si="52"/>
        <v>44739</v>
      </c>
      <c r="L192" s="147">
        <f>IF(t&lt;Tvie,1-EXP((T0-t)*PertePVj)+'2021'!Pspv,1-EXP((T0-t)*PertePVj)+Pspv)</f>
        <v>3.2640891905300284E-2</v>
      </c>
      <c r="M192" s="872"/>
      <c r="N192" s="872"/>
      <c r="O192" s="48">
        <f>IF(t&lt;Tnet,'2021'!Resal+('2021'!Salim-'2021'!Resal)*(1-EXP(('2021'!Tnet-t)/('2021'!Tau_j))),Resal+(Salim-Resal)*(1-EXP((Tnet-t)/(Tau_j))))*Salcycl</f>
        <v>0.13383525253635226</v>
      </c>
      <c r="P192" s="341">
        <f>(INDEX(Models!$BJ192:$BT192,,T192)*(1-R192)+INDEX(Models!$BJ192:$BT192,,T192+1)*R192-ERP_i)*Q192*Ramure*Pc/MaxiM</f>
        <v>1.5374479139210846E-4</v>
      </c>
      <c r="Q192" s="307">
        <f t="shared" si="53"/>
        <v>0.9</v>
      </c>
      <c r="R192" s="179">
        <f t="shared" si="54"/>
        <v>0.30073533732641916</v>
      </c>
      <c r="S192" s="839">
        <f t="shared" si="55"/>
        <v>0</v>
      </c>
      <c r="T192" s="178">
        <f t="shared" si="56"/>
        <v>6</v>
      </c>
      <c r="U192" s="253">
        <f t="shared" si="57"/>
        <v>0.30073533732641916</v>
      </c>
      <c r="V192" s="385">
        <f t="shared" si="58"/>
        <v>53.338246178617432</v>
      </c>
      <c r="W192" s="404">
        <f t="shared" si="59"/>
        <v>0</v>
      </c>
      <c r="X192" s="157">
        <f t="shared" si="60"/>
        <v>44739</v>
      </c>
      <c r="Y192" s="387">
        <f t="shared" si="61"/>
        <v>15.583927264236374</v>
      </c>
      <c r="Z192" s="387">
        <f t="shared" si="62"/>
        <v>16.109764340701059</v>
      </c>
      <c r="AA192" s="388">
        <f t="shared" si="63"/>
        <v>19.336612696883332</v>
      </c>
      <c r="AB192" s="199">
        <f t="shared" si="64"/>
        <v>44739</v>
      </c>
      <c r="AC192" s="119">
        <f>IF(OR(t&lt;Tnet,NoTnet),'2021'!Resal_s+('2021'!Salim-'2021'!Resal_s)*(1-EXP(('2021'!Tnet_s-t)/'2021'!Tau_j)),Resal_s+(Salim-Resal_s)*(1-EXP((Tnet_s-t)/Tau_j)))*Salcycl</f>
        <v>0.16687764329594165</v>
      </c>
      <c r="AD192" s="233">
        <f>(INDEX(Models!$BJ192:$BT192,,AH192)*(1-AF192)+INDEX(Models!$BJ192:$BT192,,AH192+1)*AF192-ERP_i)*AE192*Ramure*Pc/MaxiM</f>
        <v>1.5374479139210846E-4</v>
      </c>
      <c r="AE192" s="307">
        <f t="shared" si="65"/>
        <v>0.9</v>
      </c>
      <c r="AF192" s="179">
        <f t="shared" si="66"/>
        <v>0.30073533732641916</v>
      </c>
      <c r="AG192" s="839">
        <f t="shared" si="74"/>
        <v>0</v>
      </c>
      <c r="AH192" s="178">
        <f t="shared" si="67"/>
        <v>6</v>
      </c>
      <c r="AI192" s="227">
        <f t="shared" si="68"/>
        <v>0.30073533732641916</v>
      </c>
      <c r="AJ192" s="267" t="b">
        <f t="shared" si="69"/>
        <v>1</v>
      </c>
      <c r="AK192" s="267" t="b">
        <f t="shared" si="70"/>
        <v>0</v>
      </c>
      <c r="AL192" s="267"/>
      <c r="AM192" s="267"/>
      <c r="AN192" s="75"/>
    </row>
    <row r="193" spans="1:40" s="6" customFormat="1" ht="11.25" x14ac:dyDescent="0.2">
      <c r="A193" s="56">
        <f t="shared" si="71"/>
        <v>44740</v>
      </c>
      <c r="B193" s="1141">
        <v>55.283000000000001</v>
      </c>
      <c r="C193" s="868"/>
      <c r="D193" s="395">
        <f t="shared" si="50"/>
        <v>57.149703851964986</v>
      </c>
      <c r="E193" s="387">
        <f t="shared" si="75"/>
        <v>65.994278574688366</v>
      </c>
      <c r="F193" s="387">
        <f t="shared" si="51"/>
        <v>66.004608536540786</v>
      </c>
      <c r="G193" s="110">
        <f t="shared" si="76"/>
        <v>1.0377981106491905</v>
      </c>
      <c r="H193" s="416" t="b">
        <f>Wh_hp&gt;='2021'!Maxi_hp</f>
        <v>1</v>
      </c>
      <c r="I193" s="382">
        <f>IF(H193,Wh_hp,'2021'!Maxi_hp)</f>
        <v>66.004608536540786</v>
      </c>
      <c r="J193" s="85">
        <f>IF(H193,An,'2021'!An_max)</f>
        <v>2022</v>
      </c>
      <c r="K193" s="199">
        <f t="shared" si="52"/>
        <v>44740</v>
      </c>
      <c r="L193" s="147">
        <f>IF(t&lt;Tvie,1-EXP((T0-t)*PertePVj)+'2021'!Pspv,1-EXP((T0-t)*PertePVj)+Pspv)</f>
        <v>3.2663403764966348E-2</v>
      </c>
      <c r="M193" s="872"/>
      <c r="N193" s="872"/>
      <c r="O193" s="48">
        <f>IF(t&lt;Tnet,'2021'!Resal+('2021'!Salim-'2021'!Resal)*(1-EXP(('2021'!Tnet-t)/('2021'!Tau_j))),Resal+(Salim-Resal)*(1-EXP((Tnet-t)/(Tau_j))))*Salcycl</f>
        <v>0.13402032590921675</v>
      </c>
      <c r="P193" s="341">
        <f>(INDEX(Models!$BJ193:$BT193,,T193)*(1-R193)+INDEX(Models!$BJ193:$BT193,,T193+1)*R193-ERP_i)*Q193*Ramure*Pc/MaxiM</f>
        <v>1.5650364544916439E-4</v>
      </c>
      <c r="Q193" s="307">
        <f t="shared" si="53"/>
        <v>0.9</v>
      </c>
      <c r="R193" s="179">
        <f t="shared" si="54"/>
        <v>0.30617790695835106</v>
      </c>
      <c r="S193" s="839">
        <f t="shared" si="55"/>
        <v>0</v>
      </c>
      <c r="T193" s="178">
        <f t="shared" si="56"/>
        <v>6</v>
      </c>
      <c r="U193" s="253">
        <f t="shared" si="57"/>
        <v>0.30617790695835106</v>
      </c>
      <c r="V193" s="385">
        <f t="shared" si="58"/>
        <v>53.269513051452712</v>
      </c>
      <c r="W193" s="404">
        <f t="shared" si="59"/>
        <v>0</v>
      </c>
      <c r="X193" s="157">
        <f t="shared" si="60"/>
        <v>44740</v>
      </c>
      <c r="Y193" s="387">
        <f t="shared" si="61"/>
        <v>53.178507317055029</v>
      </c>
      <c r="Z193" s="387">
        <f t="shared" si="62"/>
        <v>54.974150181054718</v>
      </c>
      <c r="AA193" s="388">
        <f t="shared" si="63"/>
        <v>65.994278574688366</v>
      </c>
      <c r="AB193" s="199">
        <f t="shared" si="64"/>
        <v>44740</v>
      </c>
      <c r="AC193" s="119">
        <f>IF(OR(t&lt;Tnet,NoTnet),'2021'!Resal_s+('2021'!Salim-'2021'!Resal_s)*(1-EXP(('2021'!Tnet_s-t)/'2021'!Tau_j)),Resal_s+(Salim-Resal_s)*(1-EXP((Tnet_s-t)/Tau_j)))*Salcycl</f>
        <v>0.16698611806418526</v>
      </c>
      <c r="AD193" s="233">
        <f>(INDEX(Models!$BJ193:$BT193,,AH193)*(1-AF193)+INDEX(Models!$BJ193:$BT193,,AH193+1)*AF193-ERP_i)*AE193*Ramure*Pc/MaxiM</f>
        <v>1.5650364544916439E-4</v>
      </c>
      <c r="AE193" s="307">
        <f t="shared" si="65"/>
        <v>0.9</v>
      </c>
      <c r="AF193" s="179">
        <f t="shared" si="66"/>
        <v>0.30617790695835106</v>
      </c>
      <c r="AG193" s="839">
        <f t="shared" si="74"/>
        <v>0</v>
      </c>
      <c r="AH193" s="178">
        <f t="shared" si="67"/>
        <v>6</v>
      </c>
      <c r="AI193" s="227">
        <f t="shared" si="68"/>
        <v>0.30617790695835106</v>
      </c>
      <c r="AJ193" s="267" t="b">
        <f t="shared" si="69"/>
        <v>1</v>
      </c>
      <c r="AK193" s="267" t="b">
        <f t="shared" si="70"/>
        <v>0</v>
      </c>
      <c r="AL193" s="267"/>
      <c r="AM193" s="267"/>
      <c r="AN193" s="75"/>
    </row>
    <row r="194" spans="1:40" s="6" customFormat="1" ht="11.25" x14ac:dyDescent="0.2">
      <c r="A194" s="56">
        <f t="shared" si="71"/>
        <v>44741</v>
      </c>
      <c r="B194" s="1141">
        <v>51.337000000000003</v>
      </c>
      <c r="C194" s="868"/>
      <c r="D194" s="395">
        <f t="shared" si="50"/>
        <v>53.071696981799761</v>
      </c>
      <c r="E194" s="387">
        <f t="shared" si="75"/>
        <v>61.298025366541289</v>
      </c>
      <c r="F194" s="387">
        <f t="shared" si="51"/>
        <v>61.307330955408737</v>
      </c>
      <c r="G194" s="110">
        <f t="shared" si="76"/>
        <v>0.96498975839373968</v>
      </c>
      <c r="H194" s="416" t="b">
        <f>Wh_hp&gt;='2021'!Maxi_hp</f>
        <v>1</v>
      </c>
      <c r="I194" s="382">
        <f>IF(H194,Wh_hp,'2021'!Maxi_hp)</f>
        <v>61.307330955408737</v>
      </c>
      <c r="J194" s="85">
        <f>IF(H194,An,'2021'!An_max)</f>
        <v>2022</v>
      </c>
      <c r="K194" s="199">
        <f t="shared" si="52"/>
        <v>44741</v>
      </c>
      <c r="L194" s="147">
        <f>IF(t&lt;Tvie,1-EXP((T0-t)*PertePVj)+'2021'!Pspv,1-EXP((T0-t)*PertePVj)+Pspv)</f>
        <v>3.2685915100748475E-2</v>
      </c>
      <c r="M194" s="872"/>
      <c r="N194" s="872"/>
      <c r="O194" s="48">
        <f>IF(t&lt;Tnet,'2021'!Resal+('2021'!Salim-'2021'!Resal)*(1-EXP(('2021'!Tnet-t)/('2021'!Tau_j))),Resal+(Salim-Resal)*(1-EXP((Tnet-t)/(Tau_j))))*Salcycl</f>
        <v>0.13420217593553613</v>
      </c>
      <c r="P194" s="341">
        <f>(INDEX(Models!$BJ194:$BT194,,T194)*(1-R194)+INDEX(Models!$BJ194:$BT194,,T194+1)*R194-ERP_i)*Q194*Ramure*Pc/MaxiM</f>
        <v>1.5977524755286167E-4</v>
      </c>
      <c r="Q194" s="307">
        <f t="shared" si="53"/>
        <v>0.9</v>
      </c>
      <c r="R194" s="179">
        <f t="shared" si="54"/>
        <v>0.31154190938642334</v>
      </c>
      <c r="S194" s="839">
        <f t="shared" si="55"/>
        <v>0</v>
      </c>
      <c r="T194" s="178">
        <f t="shared" si="56"/>
        <v>6</v>
      </c>
      <c r="U194" s="253">
        <f t="shared" si="57"/>
        <v>0.31154190938642334</v>
      </c>
      <c r="V194" s="385">
        <f t="shared" si="58"/>
        <v>53.199103246897387</v>
      </c>
      <c r="W194" s="404">
        <f t="shared" si="59"/>
        <v>0</v>
      </c>
      <c r="X194" s="157">
        <f t="shared" si="60"/>
        <v>44741</v>
      </c>
      <c r="Y194" s="387">
        <f t="shared" si="61"/>
        <v>49.386886668390105</v>
      </c>
      <c r="Z194" s="387">
        <f t="shared" si="62"/>
        <v>51.055688570412876</v>
      </c>
      <c r="AA194" s="388">
        <f t="shared" si="63"/>
        <v>61.298025366541289</v>
      </c>
      <c r="AB194" s="199">
        <f t="shared" si="64"/>
        <v>44741</v>
      </c>
      <c r="AC194" s="119">
        <f>IF(OR(t&lt;Tnet,NoTnet),'2021'!Resal_s+('2021'!Salim-'2021'!Resal_s)*(1-EXP(('2021'!Tnet_s-t)/'2021'!Tau_j)),Resal_s+(Salim-Resal_s)*(1-EXP((Tnet_s-t)/Tau_j)))*Salcycl</f>
        <v>0.16709081140677412</v>
      </c>
      <c r="AD194" s="233">
        <f>(INDEX(Models!$BJ194:$BT194,,AH194)*(1-AF194)+INDEX(Models!$BJ194:$BT194,,AH194+1)*AF194-ERP_i)*AE194*Ramure*Pc/MaxiM</f>
        <v>1.5977524755286167E-4</v>
      </c>
      <c r="AE194" s="307">
        <f t="shared" si="65"/>
        <v>0.9</v>
      </c>
      <c r="AF194" s="179">
        <f t="shared" si="66"/>
        <v>0.31154190938642334</v>
      </c>
      <c r="AG194" s="839">
        <f t="shared" si="74"/>
        <v>0</v>
      </c>
      <c r="AH194" s="178">
        <f t="shared" si="67"/>
        <v>6</v>
      </c>
      <c r="AI194" s="227">
        <f t="shared" si="68"/>
        <v>0.31154190938642334</v>
      </c>
      <c r="AJ194" s="267" t="b">
        <f t="shared" si="69"/>
        <v>1</v>
      </c>
      <c r="AK194" s="267" t="b">
        <f t="shared" si="70"/>
        <v>0</v>
      </c>
      <c r="AL194" s="267"/>
      <c r="AM194" s="267"/>
      <c r="AN194" s="75"/>
    </row>
    <row r="195" spans="1:40" s="6" customFormat="1" ht="11.25" x14ac:dyDescent="0.2">
      <c r="A195" s="56">
        <f t="shared" si="71"/>
        <v>44742</v>
      </c>
      <c r="B195" s="1141">
        <v>12.435</v>
      </c>
      <c r="C195" s="868"/>
      <c r="D195" s="395">
        <f t="shared" si="50"/>
        <v>12.855482600200125</v>
      </c>
      <c r="E195" s="387">
        <f t="shared" si="75"/>
        <v>14.851199206672485</v>
      </c>
      <c r="F195" s="387">
        <f t="shared" si="51"/>
        <v>14.851199206672485</v>
      </c>
      <c r="G195" s="110">
        <f t="shared" si="76"/>
        <v>0.23402425167102517</v>
      </c>
      <c r="H195" s="416" t="b">
        <f>Wh_hp&gt;='2021'!Maxi_hp</f>
        <v>0</v>
      </c>
      <c r="I195" s="382">
        <f>IF(H195,Wh_hp,'2021'!Maxi_hp)</f>
        <v>57.379355434694759</v>
      </c>
      <c r="J195" s="85">
        <f>IF(H195,An,'2021'!An_max)</f>
        <v>2019</v>
      </c>
      <c r="K195" s="199">
        <f t="shared" si="52"/>
        <v>44742</v>
      </c>
      <c r="L195" s="147">
        <f>IF(t&lt;Tvie,1-EXP((T0-t)*PertePVj)+'2021'!Pspv,1-EXP((T0-t)*PertePVj)+Pspv)</f>
        <v>3.27084259126591E-2</v>
      </c>
      <c r="M195" s="872"/>
      <c r="N195" s="872"/>
      <c r="O195" s="48">
        <f>IF(t&lt;Tnet,'2021'!Resal+('2021'!Salim-'2021'!Resal)*(1-EXP(('2021'!Tnet-t)/('2021'!Tau_j))),Resal+(Salim-Resal)*(1-EXP((Tnet-t)/(Tau_j))))*Salcycl</f>
        <v>0.13438083879285023</v>
      </c>
      <c r="P195" s="341">
        <f>(INDEX(Models!$BJ195:$BT195,,T195)*(1-R195)+INDEX(Models!$BJ195:$BT195,,T195+1)*R195-ERP_i)*Q195*Ramure*Pc/MaxiM</f>
        <v>1.6356858175762775E-4</v>
      </c>
      <c r="Q195" s="307">
        <f t="shared" si="53"/>
        <v>0.9</v>
      </c>
      <c r="R195" s="179">
        <f t="shared" si="54"/>
        <v>0.31682460412176949</v>
      </c>
      <c r="S195" s="839">
        <f t="shared" si="55"/>
        <v>0</v>
      </c>
      <c r="T195" s="178">
        <f t="shared" si="56"/>
        <v>6</v>
      </c>
      <c r="U195" s="253">
        <f t="shared" si="57"/>
        <v>0.31682460412176949</v>
      </c>
      <c r="V195" s="385">
        <f t="shared" si="58"/>
        <v>53.126827394637857</v>
      </c>
      <c r="W195" s="404">
        <f t="shared" si="59"/>
        <v>0</v>
      </c>
      <c r="X195" s="157">
        <f t="shared" si="60"/>
        <v>44742</v>
      </c>
      <c r="Y195" s="387">
        <f t="shared" si="61"/>
        <v>11.963656456063058</v>
      </c>
      <c r="Z195" s="387">
        <f t="shared" si="62"/>
        <v>12.368200836806636</v>
      </c>
      <c r="AA195" s="388">
        <f t="shared" si="63"/>
        <v>14.851199206672485</v>
      </c>
      <c r="AB195" s="199">
        <f t="shared" si="64"/>
        <v>44742</v>
      </c>
      <c r="AC195" s="119">
        <f>IF(OR(t&lt;Tnet,NoTnet),'2021'!Resal_s+('2021'!Salim-'2021'!Resal_s)*(1-EXP(('2021'!Tnet_s-t)/'2021'!Tau_j)),Resal_s+(Salim-Resal_s)*(1-EXP((Tnet_s-t)/Tau_j)))*Salcycl</f>
        <v>0.16719177591734571</v>
      </c>
      <c r="AD195" s="233">
        <f>(INDEX(Models!$BJ195:$BT195,,AH195)*(1-AF195)+INDEX(Models!$BJ195:$BT195,,AH195+1)*AF195-ERP_i)*AE195*Ramure*Pc/MaxiM</f>
        <v>1.6356858175762775E-4</v>
      </c>
      <c r="AE195" s="307">
        <f t="shared" si="65"/>
        <v>0.9</v>
      </c>
      <c r="AF195" s="179">
        <f t="shared" si="66"/>
        <v>0.31682460412176949</v>
      </c>
      <c r="AG195" s="839">
        <f t="shared" si="74"/>
        <v>0</v>
      </c>
      <c r="AH195" s="178">
        <f t="shared" si="67"/>
        <v>6</v>
      </c>
      <c r="AI195" s="227">
        <f t="shared" si="68"/>
        <v>0.31682460412176949</v>
      </c>
      <c r="AJ195" s="267" t="b">
        <f t="shared" si="69"/>
        <v>1</v>
      </c>
      <c r="AK195" s="267" t="b">
        <f t="shared" si="70"/>
        <v>0</v>
      </c>
      <c r="AL195" s="267"/>
      <c r="AM195" s="267"/>
      <c r="AN195" s="75"/>
    </row>
    <row r="196" spans="1:40" s="6" customFormat="1" ht="11.25" x14ac:dyDescent="0.2">
      <c r="A196" s="56">
        <f t="shared" si="71"/>
        <v>44743</v>
      </c>
      <c r="B196" s="1141">
        <v>50.725999999999999</v>
      </c>
      <c r="C196" s="868"/>
      <c r="D196" s="395">
        <f t="shared" si="50"/>
        <v>52.44249185511606</v>
      </c>
      <c r="E196" s="387">
        <f t="shared" si="75"/>
        <v>60.596079629330248</v>
      </c>
      <c r="F196" s="387">
        <f t="shared" si="51"/>
        <v>60.605617418397848</v>
      </c>
      <c r="G196" s="110">
        <f t="shared" si="76"/>
        <v>0.95613722944947144</v>
      </c>
      <c r="H196" s="416" t="b">
        <f>Wh_hp&gt;='2021'!Maxi_hp</f>
        <v>1</v>
      </c>
      <c r="I196" s="382">
        <f>IF(H196,Wh_hp,'2021'!Maxi_hp)</f>
        <v>60.605617418397848</v>
      </c>
      <c r="J196" s="85">
        <f>IF(H196,An,'2021'!An_max)</f>
        <v>2022</v>
      </c>
      <c r="K196" s="199">
        <f t="shared" si="52"/>
        <v>44743</v>
      </c>
      <c r="L196" s="147">
        <f>IF(t&lt;Tvie,1-EXP((T0-t)*PertePVj)+'2021'!Pspv,1-EXP((T0-t)*PertePVj)+Pspv)</f>
        <v>3.2730936200710103E-2</v>
      </c>
      <c r="M196" s="872"/>
      <c r="N196" s="872"/>
      <c r="O196" s="48">
        <f>IF(t&lt;Tnet,'2021'!Resal+('2021'!Salim-'2021'!Resal)*(1-EXP(('2021'!Tnet-t)/('2021'!Tau_j))),Resal+(Salim-Resal)*(1-EXP((Tnet-t)/(Tau_j))))*Salcycl</f>
        <v>0.13455635783849648</v>
      </c>
      <c r="P196" s="341">
        <f>(INDEX(Models!$BJ196:$BT196,,T196)*(1-R196)+INDEX(Models!$BJ196:$BT196,,T196+1)*R196-ERP_i)*Q196*Ramure*Pc/MaxiM</f>
        <v>1.6789259266253878E-4</v>
      </c>
      <c r="Q196" s="307">
        <f t="shared" si="53"/>
        <v>0.9</v>
      </c>
      <c r="R196" s="179">
        <f t="shared" si="54"/>
        <v>0.32202346825536093</v>
      </c>
      <c r="S196" s="839">
        <f t="shared" si="55"/>
        <v>0</v>
      </c>
      <c r="T196" s="178">
        <f t="shared" si="56"/>
        <v>6</v>
      </c>
      <c r="U196" s="253">
        <f t="shared" si="57"/>
        <v>0.32202346825536093</v>
      </c>
      <c r="V196" s="385">
        <f t="shared" si="58"/>
        <v>53.052495835881452</v>
      </c>
      <c r="W196" s="404">
        <f t="shared" si="59"/>
        <v>0</v>
      </c>
      <c r="X196" s="157">
        <f t="shared" si="60"/>
        <v>44743</v>
      </c>
      <c r="Y196" s="387">
        <f t="shared" si="61"/>
        <v>48.807446758618362</v>
      </c>
      <c r="Z196" s="387">
        <f t="shared" si="62"/>
        <v>50.459017645938069</v>
      </c>
      <c r="AA196" s="388">
        <f t="shared" si="63"/>
        <v>60.596079629330248</v>
      </c>
      <c r="AB196" s="199">
        <f t="shared" si="64"/>
        <v>44743</v>
      </c>
      <c r="AC196" s="119">
        <f>IF(OR(t&lt;Tnet,NoTnet),'2021'!Resal_s+('2021'!Salim-'2021'!Resal_s)*(1-EXP(('2021'!Tnet_s-t)/'2021'!Tau_j)),Resal_s+(Salim-Resal_s)*(1-EXP((Tnet_s-t)/Tau_j)))*Salcycl</f>
        <v>0.16728907291364681</v>
      </c>
      <c r="AD196" s="233">
        <f>(INDEX(Models!$BJ196:$BT196,,AH196)*(1-AF196)+INDEX(Models!$BJ196:$BT196,,AH196+1)*AF196-ERP_i)*AE196*Ramure*Pc/MaxiM</f>
        <v>1.6789259266253878E-4</v>
      </c>
      <c r="AE196" s="307">
        <f t="shared" si="65"/>
        <v>0.9</v>
      </c>
      <c r="AF196" s="179">
        <f t="shared" si="66"/>
        <v>0.32202346825536093</v>
      </c>
      <c r="AG196" s="839">
        <f t="shared" si="74"/>
        <v>0</v>
      </c>
      <c r="AH196" s="178">
        <f t="shared" si="67"/>
        <v>6</v>
      </c>
      <c r="AI196" s="227">
        <f t="shared" si="68"/>
        <v>0.32202346825536093</v>
      </c>
      <c r="AJ196" s="267" t="b">
        <f t="shared" si="69"/>
        <v>1</v>
      </c>
      <c r="AK196" s="267" t="b">
        <f t="shared" si="70"/>
        <v>0</v>
      </c>
      <c r="AL196" s="267"/>
      <c r="AM196" s="267"/>
      <c r="AN196" s="75"/>
    </row>
    <row r="197" spans="1:40" s="6" customFormat="1" ht="11.25" x14ac:dyDescent="0.2">
      <c r="A197" s="56">
        <f t="shared" si="71"/>
        <v>44744</v>
      </c>
      <c r="B197" s="1141">
        <v>47.237000000000002</v>
      </c>
      <c r="C197" s="868"/>
      <c r="D197" s="395">
        <f t="shared" si="50"/>
        <v>48.836565819687088</v>
      </c>
      <c r="E197" s="387">
        <f t="shared" si="75"/>
        <v>56.440760852690055</v>
      </c>
      <c r="F197" s="387">
        <f t="shared" si="51"/>
        <v>56.449003579783508</v>
      </c>
      <c r="G197" s="110">
        <f t="shared" si="76"/>
        <v>0.89164545182487032</v>
      </c>
      <c r="H197" s="416" t="b">
        <f>Wh_hp&gt;='2021'!Maxi_hp</f>
        <v>0</v>
      </c>
      <c r="I197" s="382">
        <f>IF(H197,Wh_hp,'2021'!Maxi_hp)</f>
        <v>56.741115224464892</v>
      </c>
      <c r="J197" s="85">
        <f>IF(H197,An,'2021'!An_max)</f>
        <v>2021</v>
      </c>
      <c r="K197" s="199">
        <f t="shared" si="52"/>
        <v>44744</v>
      </c>
      <c r="L197" s="147">
        <f>IF(t&lt;Tvie,1-EXP((T0-t)*PertePVj)+'2021'!Pspv,1-EXP((T0-t)*PertePVj)+Pspv)</f>
        <v>3.2753445964913919E-2</v>
      </c>
      <c r="M197" s="872"/>
      <c r="N197" s="872"/>
      <c r="O197" s="48">
        <f>IF(t&lt;Tnet,'2021'!Resal+('2021'!Salim-'2021'!Resal)*(1-EXP(('2021'!Tnet-t)/('2021'!Tau_j))),Resal+(Salim-Resal)*(1-EXP((Tnet-t)/(Tau_j))))*Salcycl</f>
        <v>0.13472878320775744</v>
      </c>
      <c r="P197" s="341">
        <f>(INDEX(Models!$BJ197:$BT197,,T197)*(1-R197)+INDEX(Models!$BJ197:$BT197,,T197+1)*R197-ERP_i)*Q197*Ramure*Pc/MaxiM</f>
        <v>1.727562026720278E-4</v>
      </c>
      <c r="Q197" s="307">
        <f t="shared" si="53"/>
        <v>0.9</v>
      </c>
      <c r="R197" s="179">
        <f t="shared" si="54"/>
        <v>0.32713619753956724</v>
      </c>
      <c r="S197" s="839">
        <f t="shared" si="55"/>
        <v>0</v>
      </c>
      <c r="T197" s="178">
        <f t="shared" si="56"/>
        <v>6</v>
      </c>
      <c r="U197" s="253">
        <f t="shared" si="57"/>
        <v>0.32713619753956724</v>
      </c>
      <c r="V197" s="385">
        <f t="shared" si="58"/>
        <v>52.975918642730143</v>
      </c>
      <c r="W197" s="404">
        <f t="shared" si="59"/>
        <v>0</v>
      </c>
      <c r="X197" s="157">
        <f t="shared" si="60"/>
        <v>44744</v>
      </c>
      <c r="Y197" s="387">
        <f t="shared" si="61"/>
        <v>45.454349156754013</v>
      </c>
      <c r="Z197" s="387">
        <f t="shared" si="62"/>
        <v>46.993549852548966</v>
      </c>
      <c r="AA197" s="388">
        <f t="shared" si="63"/>
        <v>56.440760852690055</v>
      </c>
      <c r="AB197" s="199">
        <f t="shared" si="64"/>
        <v>44744</v>
      </c>
      <c r="AC197" s="119">
        <f>IF(OR(t&lt;Tnet,NoTnet),'2021'!Resal_s+('2021'!Salim-'2021'!Resal_s)*(1-EXP(('2021'!Tnet_s-t)/'2021'!Tau_j)),Resal_s+(Salim-Resal_s)*(1-EXP((Tnet_s-t)/Tau_j)))*Salcycl</f>
        <v>0.16738277190837725</v>
      </c>
      <c r="AD197" s="233">
        <f>(INDEX(Models!$BJ197:$BT197,,AH197)*(1-AF197)+INDEX(Models!$BJ197:$BT197,,AH197+1)*AF197-ERP_i)*AE197*Ramure*Pc/MaxiM</f>
        <v>1.727562026720278E-4</v>
      </c>
      <c r="AE197" s="307">
        <f t="shared" si="65"/>
        <v>0.9</v>
      </c>
      <c r="AF197" s="179">
        <f t="shared" si="66"/>
        <v>0.32713619753956724</v>
      </c>
      <c r="AG197" s="839">
        <f t="shared" si="74"/>
        <v>0</v>
      </c>
      <c r="AH197" s="178">
        <f t="shared" si="67"/>
        <v>6</v>
      </c>
      <c r="AI197" s="227">
        <f t="shared" si="68"/>
        <v>0.32713619753956724</v>
      </c>
      <c r="AJ197" s="267" t="b">
        <f t="shared" si="69"/>
        <v>1</v>
      </c>
      <c r="AK197" s="267" t="b">
        <f t="shared" si="70"/>
        <v>0</v>
      </c>
      <c r="AL197" s="267"/>
      <c r="AM197" s="267"/>
      <c r="AN197" s="75"/>
    </row>
    <row r="198" spans="1:40" s="6" customFormat="1" ht="11.25" x14ac:dyDescent="0.2">
      <c r="A198" s="56">
        <f t="shared" si="71"/>
        <v>44745</v>
      </c>
      <c r="B198" s="1141">
        <v>39.971000000000004</v>
      </c>
      <c r="C198" s="868"/>
      <c r="D198" s="395">
        <f t="shared" si="50"/>
        <v>41.325482151845598</v>
      </c>
      <c r="E198" s="387">
        <f t="shared" si="75"/>
        <v>47.769500404026672</v>
      </c>
      <c r="F198" s="387">
        <f t="shared" si="51"/>
        <v>47.775077463624477</v>
      </c>
      <c r="G198" s="110">
        <f t="shared" si="76"/>
        <v>0.75559323750743113</v>
      </c>
      <c r="H198" s="416" t="b">
        <f>Wh_hp&gt;='2021'!Maxi_hp</f>
        <v>0</v>
      </c>
      <c r="I198" s="382">
        <f>IF(H198,Wh_hp,'2021'!Maxi_hp)</f>
        <v>51.509935845707219</v>
      </c>
      <c r="J198" s="85">
        <f>IF(H198,An,'2021'!An_max)</f>
        <v>2019</v>
      </c>
      <c r="K198" s="199">
        <f t="shared" si="52"/>
        <v>44745</v>
      </c>
      <c r="L198" s="147">
        <f>IF(t&lt;Tvie,1-EXP((T0-t)*PertePVj)+'2021'!Pspv,1-EXP((T0-t)*PertePVj)+Pspv)</f>
        <v>3.2775955205282536E-2</v>
      </c>
      <c r="M198" s="872"/>
      <c r="N198" s="872"/>
      <c r="O198" s="48">
        <f>IF(t&lt;Tnet,'2021'!Resal+('2021'!Salim-'2021'!Resal)*(1-EXP(('2021'!Tnet-t)/('2021'!Tau_j))),Resal+(Salim-Resal)*(1-EXP((Tnet-t)/(Tau_j))))*Salcycl</f>
        <v>0.13489817137877971</v>
      </c>
      <c r="P198" s="341">
        <f>(INDEX(Models!$BJ198:$BT198,,T198)*(1-R198)+INDEX(Models!$BJ198:$BT198,,T198+1)*R198-ERP_i)*Q198*Ramure*Pc/MaxiM</f>
        <v>1.7934098804857894E-4</v>
      </c>
      <c r="Q198" s="307">
        <f t="shared" si="53"/>
        <v>0.9</v>
      </c>
      <c r="R198" s="179">
        <f t="shared" si="54"/>
        <v>0.3321607064023942</v>
      </c>
      <c r="S198" s="839">
        <f t="shared" si="55"/>
        <v>0</v>
      </c>
      <c r="T198" s="178">
        <f t="shared" si="56"/>
        <v>6</v>
      </c>
      <c r="U198" s="253">
        <f t="shared" si="57"/>
        <v>0.3321607064023942</v>
      </c>
      <c r="V198" s="385">
        <f t="shared" si="58"/>
        <v>52.896843605706017</v>
      </c>
      <c r="W198" s="404">
        <f t="shared" si="59"/>
        <v>0</v>
      </c>
      <c r="X198" s="157">
        <f t="shared" si="60"/>
        <v>44745</v>
      </c>
      <c r="Y198" s="387">
        <f t="shared" si="61"/>
        <v>38.465921135472868</v>
      </c>
      <c r="Z198" s="387">
        <f t="shared" si="62"/>
        <v>39.769401249362893</v>
      </c>
      <c r="AA198" s="388">
        <f t="shared" si="63"/>
        <v>47.769500404026672</v>
      </c>
      <c r="AB198" s="199">
        <f t="shared" si="64"/>
        <v>44745</v>
      </c>
      <c r="AC198" s="119">
        <f>IF(OR(t&lt;Tnet,NoTnet),'2021'!Resal_s+('2021'!Salim-'2021'!Resal_s)*(1-EXP(('2021'!Tnet_s-t)/'2021'!Tau_j)),Resal_s+(Salim-Resal_s)*(1-EXP((Tnet_s-t)/Tau_j)))*Salcycl</f>
        <v>0.16747295004134943</v>
      </c>
      <c r="AD198" s="233">
        <f>(INDEX(Models!$BJ198:$BT198,,AH198)*(1-AF198)+INDEX(Models!$BJ198:$BT198,,AH198+1)*AF198-ERP_i)*AE198*Ramure*Pc/MaxiM</f>
        <v>1.7934098804857894E-4</v>
      </c>
      <c r="AE198" s="307">
        <f t="shared" si="65"/>
        <v>0.9</v>
      </c>
      <c r="AF198" s="179">
        <f t="shared" si="66"/>
        <v>0.3321607064023942</v>
      </c>
      <c r="AG198" s="839">
        <f t="shared" si="74"/>
        <v>0</v>
      </c>
      <c r="AH198" s="178">
        <f t="shared" si="67"/>
        <v>6</v>
      </c>
      <c r="AI198" s="227">
        <f t="shared" si="68"/>
        <v>0.3321607064023942</v>
      </c>
      <c r="AJ198" s="267" t="b">
        <f t="shared" si="69"/>
        <v>1</v>
      </c>
      <c r="AK198" s="267" t="b">
        <f t="shared" si="70"/>
        <v>0</v>
      </c>
      <c r="AL198" s="267"/>
      <c r="AM198" s="267"/>
      <c r="AN198" s="75"/>
    </row>
    <row r="199" spans="1:40" s="6" customFormat="1" ht="11.25" x14ac:dyDescent="0.2">
      <c r="A199" s="56">
        <f t="shared" si="71"/>
        <v>44746</v>
      </c>
      <c r="B199" s="1141">
        <v>41.944000000000003</v>
      </c>
      <c r="C199" s="868"/>
      <c r="D199" s="395">
        <f t="shared" si="50"/>
        <v>43.366349654566697</v>
      </c>
      <c r="E199" s="387">
        <f t="shared" si="75"/>
        <v>50.1382518137601</v>
      </c>
      <c r="F199" s="387">
        <f t="shared" si="51"/>
        <v>50.144889539430764</v>
      </c>
      <c r="G199" s="110">
        <f t="shared" si="76"/>
        <v>0.79412319978199986</v>
      </c>
      <c r="H199" s="416" t="b">
        <f>Wh_hp&gt;='2021'!Maxi_hp</f>
        <v>0</v>
      </c>
      <c r="I199" s="382">
        <f>IF(H199,Wh_hp,'2021'!Maxi_hp)</f>
        <v>59.188715550013768</v>
      </c>
      <c r="J199" s="85">
        <f>IF(H199,An,'2021'!An_max)</f>
        <v>2019</v>
      </c>
      <c r="K199" s="199">
        <f t="shared" si="52"/>
        <v>44746</v>
      </c>
      <c r="L199" s="147">
        <f>IF(t&lt;Tvie,1-EXP((T0-t)*PertePVj)+'2021'!Pspv,1-EXP((T0-t)*PertePVj)+Pspv)</f>
        <v>3.279846392182828E-2</v>
      </c>
      <c r="M199" s="872"/>
      <c r="N199" s="872"/>
      <c r="O199" s="48">
        <f>IF(t&lt;Tnet,'2021'!Resal+('2021'!Salim-'2021'!Resal)*(1-EXP(('2021'!Tnet-t)/('2021'!Tau_j))),Resal+(Salim-Resal)*(1-EXP((Tnet-t)/(Tau_j))))*Salcycl</f>
        <v>0.13506458470765625</v>
      </c>
      <c r="P199" s="341">
        <f>(INDEX(Models!$BJ199:$BT199,,T199)*(1-R199)+INDEX(Models!$BJ199:$BT199,,T199+1)*R199-ERP_i)*Q199*Ramure*Pc/MaxiM</f>
        <v>1.8750675882248514E-4</v>
      </c>
      <c r="Q199" s="307">
        <f t="shared" si="53"/>
        <v>0.9</v>
      </c>
      <c r="R199" s="179">
        <f t="shared" si="54"/>
        <v>0.33709512694213145</v>
      </c>
      <c r="S199" s="839">
        <f t="shared" si="55"/>
        <v>0</v>
      </c>
      <c r="T199" s="178">
        <f t="shared" si="56"/>
        <v>6</v>
      </c>
      <c r="U199" s="253">
        <f t="shared" si="57"/>
        <v>0.33709512694213145</v>
      </c>
      <c r="V199" s="385">
        <f t="shared" si="58"/>
        <v>52.815088500313422</v>
      </c>
      <c r="W199" s="404">
        <f t="shared" si="59"/>
        <v>0</v>
      </c>
      <c r="X199" s="157">
        <f t="shared" si="60"/>
        <v>44746</v>
      </c>
      <c r="Y199" s="387">
        <f t="shared" si="61"/>
        <v>40.368188980761282</v>
      </c>
      <c r="Z199" s="387">
        <f t="shared" si="62"/>
        <v>41.737101808633419</v>
      </c>
      <c r="AA199" s="388">
        <f t="shared" si="63"/>
        <v>50.1382518137601</v>
      </c>
      <c r="AB199" s="199">
        <f t="shared" si="64"/>
        <v>44746</v>
      </c>
      <c r="AC199" s="119">
        <f>IF(OR(t&lt;Tnet,NoTnet),'2021'!Resal_s+('2021'!Salim-'2021'!Resal_s)*(1-EXP(('2021'!Tnet_s-t)/'2021'!Tau_j)),Resal_s+(Salim-Resal_s)*(1-EXP((Tnet_s-t)/Tau_j)))*Salcycl</f>
        <v>0.16755969147733704</v>
      </c>
      <c r="AD199" s="233">
        <f>(INDEX(Models!$BJ199:$BT199,,AH199)*(1-AF199)+INDEX(Models!$BJ199:$BT199,,AH199+1)*AF199-ERP_i)*AE199*Ramure*Pc/MaxiM</f>
        <v>1.8750675882248514E-4</v>
      </c>
      <c r="AE199" s="307">
        <f t="shared" si="65"/>
        <v>0.9</v>
      </c>
      <c r="AF199" s="179">
        <f t="shared" si="66"/>
        <v>0.33709512694213145</v>
      </c>
      <c r="AG199" s="839">
        <f t="shared" si="74"/>
        <v>0</v>
      </c>
      <c r="AH199" s="178">
        <f t="shared" si="67"/>
        <v>6</v>
      </c>
      <c r="AI199" s="227">
        <f t="shared" si="68"/>
        <v>0.33709512694213145</v>
      </c>
      <c r="AJ199" s="267" t="b">
        <f t="shared" si="69"/>
        <v>1</v>
      </c>
      <c r="AK199" s="267" t="b">
        <f t="shared" si="70"/>
        <v>0</v>
      </c>
      <c r="AL199" s="267"/>
      <c r="AM199" s="267"/>
      <c r="AN199" s="75"/>
    </row>
    <row r="200" spans="1:40" s="6" customFormat="1" ht="11.25" x14ac:dyDescent="0.2">
      <c r="A200" s="56">
        <f t="shared" si="71"/>
        <v>44747</v>
      </c>
      <c r="B200" s="1141">
        <v>50.567</v>
      </c>
      <c r="C200" s="868"/>
      <c r="D200" s="395">
        <f t="shared" si="50"/>
        <v>52.282978168535841</v>
      </c>
      <c r="E200" s="387">
        <f t="shared" si="75"/>
        <v>60.458691616385714</v>
      </c>
      <c r="F200" s="387">
        <f t="shared" si="51"/>
        <v>60.469921447914359</v>
      </c>
      <c r="G200" s="110">
        <f t="shared" si="76"/>
        <v>0.95896020616839672</v>
      </c>
      <c r="H200" s="416" t="b">
        <f>Wh_hp&gt;='2021'!Maxi_hp</f>
        <v>0</v>
      </c>
      <c r="I200" s="382">
        <f>IF(H200,Wh_hp,'2021'!Maxi_hp)</f>
        <v>62.028584740771763</v>
      </c>
      <c r="J200" s="85">
        <f>IF(H200,An,'2021'!An_max)</f>
        <v>2021</v>
      </c>
      <c r="K200" s="199">
        <f t="shared" si="52"/>
        <v>44747</v>
      </c>
      <c r="L200" s="147">
        <f>IF(t&lt;Tvie,1-EXP((T0-t)*PertePVj)+'2021'!Pspv,1-EXP((T0-t)*PertePVj)+Pspv)</f>
        <v>3.2820972114563363E-2</v>
      </c>
      <c r="M200" s="872"/>
      <c r="N200" s="872"/>
      <c r="O200" s="48">
        <f>IF(t&lt;Tnet,'2021'!Resal+('2021'!Salim-'2021'!Resal)*(1-EXP(('2021'!Tnet-t)/('2021'!Tau_j))),Resal+(Salim-Resal)*(1-EXP((Tnet-t)/(Tau_j))))*Salcycl</f>
        <v>0.13522809093728494</v>
      </c>
      <c r="P200" s="341">
        <f>(INDEX(Models!$BJ200:$BT200,,T200)*(1-R200)+INDEX(Models!$BJ200:$BT200,,T200+1)*R200-ERP_i)*Q200*Ramure*Pc/MaxiM</f>
        <v>1.972719686579208E-4</v>
      </c>
      <c r="Q200" s="307">
        <f t="shared" si="53"/>
        <v>0.9</v>
      </c>
      <c r="R200" s="179">
        <f t="shared" si="54"/>
        <v>0.34193780695648529</v>
      </c>
      <c r="S200" s="839">
        <f t="shared" si="55"/>
        <v>0</v>
      </c>
      <c r="T200" s="178">
        <f t="shared" si="56"/>
        <v>6</v>
      </c>
      <c r="U200" s="253">
        <f t="shared" si="57"/>
        <v>0.34193780695648529</v>
      </c>
      <c r="V200" s="385">
        <f t="shared" si="58"/>
        <v>52.730462516210956</v>
      </c>
      <c r="W200" s="404">
        <f t="shared" si="59"/>
        <v>0</v>
      </c>
      <c r="X200" s="157">
        <f t="shared" si="60"/>
        <v>44747</v>
      </c>
      <c r="Y200" s="387">
        <f t="shared" si="61"/>
        <v>48.671553261606782</v>
      </c>
      <c r="Z200" s="387">
        <f t="shared" si="62"/>
        <v>50.323209931483312</v>
      </c>
      <c r="AA200" s="388">
        <f t="shared" si="63"/>
        <v>60.458691616385714</v>
      </c>
      <c r="AB200" s="199">
        <f t="shared" si="64"/>
        <v>44747</v>
      </c>
      <c r="AC200" s="119">
        <f>IF(OR(t&lt;Tnet,NoTnet),'2021'!Resal_s+('2021'!Salim-'2021'!Resal_s)*(1-EXP(('2021'!Tnet_s-t)/'2021'!Tau_j)),Resal_s+(Salim-Resal_s)*(1-EXP((Tnet_s-t)/Tau_j)))*Salcycl</f>
        <v>0.16764308677423395</v>
      </c>
      <c r="AD200" s="233">
        <f>(INDEX(Models!$BJ200:$BT200,,AH200)*(1-AF200)+INDEX(Models!$BJ200:$BT200,,AH200+1)*AF200-ERP_i)*AE200*Ramure*Pc/MaxiM</f>
        <v>1.972719686579208E-4</v>
      </c>
      <c r="AE200" s="307">
        <f t="shared" si="65"/>
        <v>0.9</v>
      </c>
      <c r="AF200" s="179">
        <f t="shared" si="66"/>
        <v>0.34193780695648529</v>
      </c>
      <c r="AG200" s="839">
        <f t="shared" si="74"/>
        <v>0</v>
      </c>
      <c r="AH200" s="178">
        <f t="shared" si="67"/>
        <v>6</v>
      </c>
      <c r="AI200" s="227">
        <f t="shared" si="68"/>
        <v>0.34193780695648529</v>
      </c>
      <c r="AJ200" s="267" t="b">
        <f t="shared" si="69"/>
        <v>1</v>
      </c>
      <c r="AK200" s="267" t="b">
        <f t="shared" si="70"/>
        <v>0</v>
      </c>
      <c r="AL200" s="267"/>
      <c r="AM200" s="267"/>
      <c r="AN200" s="75"/>
    </row>
    <row r="201" spans="1:40" s="6" customFormat="1" ht="11.25" x14ac:dyDescent="0.2">
      <c r="A201" s="56">
        <f t="shared" si="71"/>
        <v>44748</v>
      </c>
      <c r="B201" s="1141">
        <v>39.177999999999997</v>
      </c>
      <c r="C201" s="868"/>
      <c r="D201" s="395">
        <f t="shared" si="50"/>
        <v>40.508438066704983</v>
      </c>
      <c r="E201" s="387">
        <f t="shared" si="75"/>
        <v>46.851621073588497</v>
      </c>
      <c r="F201" s="387">
        <f t="shared" si="51"/>
        <v>46.857825695871902</v>
      </c>
      <c r="G201" s="110">
        <f t="shared" si="76"/>
        <v>0.74416694103503245</v>
      </c>
      <c r="H201" s="416" t="b">
        <f>Wh_hp&gt;='2021'!Maxi_hp</f>
        <v>0</v>
      </c>
      <c r="I201" s="382">
        <f>IF(H201,Wh_hp,'2021'!Maxi_hp)</f>
        <v>61.321046316933298</v>
      </c>
      <c r="J201" s="85">
        <f>IF(H201,An,'2021'!An_max)</f>
        <v>2020</v>
      </c>
      <c r="K201" s="199">
        <f t="shared" si="52"/>
        <v>44748</v>
      </c>
      <c r="L201" s="147">
        <f>IF(t&lt;Tvie,1-EXP((T0-t)*PertePVj)+'2021'!Pspv,1-EXP((T0-t)*PertePVj)+Pspv)</f>
        <v>3.2843479783499885E-2</v>
      </c>
      <c r="M201" s="872"/>
      <c r="N201" s="872"/>
      <c r="O201" s="48">
        <f>IF(t&lt;Tnet,'2021'!Resal+('2021'!Salim-'2021'!Resal)*(1-EXP(('2021'!Tnet-t)/('2021'!Tau_j))),Resal+(Salim-Resal)*(1-EXP((Tnet-t)/(Tau_j))))*Salcycl</f>
        <v>0.13538876268380248</v>
      </c>
      <c r="P201" s="341">
        <f>(INDEX(Models!$BJ201:$BT201,,T201)*(1-R201)+INDEX(Models!$BJ201:$BT201,,T201+1)*R201-ERP_i)*Q201*Ramure*Pc/MaxiM</f>
        <v>2.0865535788532169E-4</v>
      </c>
      <c r="Q201" s="307">
        <f t="shared" si="53"/>
        <v>0.9</v>
      </c>
      <c r="R201" s="179">
        <f t="shared" si="54"/>
        <v>0.34668730706564105</v>
      </c>
      <c r="S201" s="839">
        <f t="shared" si="55"/>
        <v>0</v>
      </c>
      <c r="T201" s="178">
        <f t="shared" si="56"/>
        <v>6</v>
      </c>
      <c r="U201" s="253">
        <f t="shared" si="57"/>
        <v>0.34668730706564105</v>
      </c>
      <c r="V201" s="385">
        <f t="shared" si="58"/>
        <v>52.642774694866546</v>
      </c>
      <c r="W201" s="404">
        <f t="shared" si="59"/>
        <v>0</v>
      </c>
      <c r="X201" s="157">
        <f t="shared" si="60"/>
        <v>44748</v>
      </c>
      <c r="Y201" s="387">
        <f t="shared" si="61"/>
        <v>37.712833005791168</v>
      </c>
      <c r="Z201" s="387">
        <f t="shared" si="62"/>
        <v>38.993515752082267</v>
      </c>
      <c r="AA201" s="388">
        <f t="shared" si="63"/>
        <v>46.851621073588497</v>
      </c>
      <c r="AB201" s="199">
        <f t="shared" si="64"/>
        <v>44748</v>
      </c>
      <c r="AC201" s="119">
        <f>IF(OR(t&lt;Tnet,NoTnet),'2021'!Resal_s+('2021'!Salim-'2021'!Resal_s)*(1-EXP(('2021'!Tnet_s-t)/'2021'!Tau_j)),Resal_s+(Salim-Resal_s)*(1-EXP((Tnet_s-t)/Tau_j)))*Salcycl</f>
        <v>0.16772323222634555</v>
      </c>
      <c r="AD201" s="233">
        <f>(INDEX(Models!$BJ201:$BT201,,AH201)*(1-AF201)+INDEX(Models!$BJ201:$BT201,,AH201+1)*AF201-ERP_i)*AE201*Ramure*Pc/MaxiM</f>
        <v>2.0865535788532169E-4</v>
      </c>
      <c r="AE201" s="307">
        <f t="shared" si="65"/>
        <v>0.9</v>
      </c>
      <c r="AF201" s="179">
        <f t="shared" si="66"/>
        <v>0.34668730706564105</v>
      </c>
      <c r="AG201" s="839">
        <f t="shared" si="74"/>
        <v>0</v>
      </c>
      <c r="AH201" s="178">
        <f t="shared" si="67"/>
        <v>6</v>
      </c>
      <c r="AI201" s="227">
        <f t="shared" si="68"/>
        <v>0.34668730706564105</v>
      </c>
      <c r="AJ201" s="267" t="b">
        <f t="shared" si="69"/>
        <v>1</v>
      </c>
      <c r="AK201" s="267" t="b">
        <f t="shared" si="70"/>
        <v>0</v>
      </c>
      <c r="AL201" s="267"/>
      <c r="AM201" s="267"/>
      <c r="AN201" s="75"/>
    </row>
    <row r="202" spans="1:40" s="6" customFormat="1" ht="11.25" x14ac:dyDescent="0.2">
      <c r="A202" s="56">
        <f t="shared" si="71"/>
        <v>44749</v>
      </c>
      <c r="B202" s="1141">
        <v>48.654000000000003</v>
      </c>
      <c r="C202" s="868"/>
      <c r="D202" s="395">
        <f t="shared" si="50"/>
        <v>50.307402430701785</v>
      </c>
      <c r="E202" s="387">
        <f t="shared" si="75"/>
        <v>58.195626168177441</v>
      </c>
      <c r="F202" s="387">
        <f t="shared" si="51"/>
        <v>58.207162099063567</v>
      </c>
      <c r="G202" s="110">
        <f t="shared" si="76"/>
        <v>0.9258070232048734</v>
      </c>
      <c r="H202" s="416" t="b">
        <f>Wh_hp&gt;='2021'!Maxi_hp</f>
        <v>1</v>
      </c>
      <c r="I202" s="382">
        <f>IF(H202,Wh_hp,'2021'!Maxi_hp)</f>
        <v>58.207162099063567</v>
      </c>
      <c r="J202" s="85">
        <f>IF(H202,An,'2021'!An_max)</f>
        <v>2022</v>
      </c>
      <c r="K202" s="199">
        <f t="shared" si="52"/>
        <v>44749</v>
      </c>
      <c r="L202" s="147">
        <f>IF(t&lt;Tvie,1-EXP((T0-t)*PertePVj)+'2021'!Pspv,1-EXP((T0-t)*PertePVj)+Pspv)</f>
        <v>3.2865986928650059E-2</v>
      </c>
      <c r="M202" s="872"/>
      <c r="N202" s="872"/>
      <c r="O202" s="48">
        <f>IF(t&lt;Tnet,'2021'!Resal+('2021'!Salim-'2021'!Resal)*(1-EXP(('2021'!Tnet-t)/('2021'!Tau_j))),Resal+(Salim-Resal)*(1-EXP((Tnet-t)/(Tau_j))))*Salcycl</f>
        <v>0.13554667690454536</v>
      </c>
      <c r="P202" s="341">
        <f>(INDEX(Models!$BJ202:$BT202,,T202)*(1-R202)+INDEX(Models!$BJ202:$BT202,,T202+1)*R202-ERP_i)*Q202*Ramure*Pc/MaxiM</f>
        <v>2.2167602886347207E-4</v>
      </c>
      <c r="Q202" s="307">
        <f t="shared" si="53"/>
        <v>0.9</v>
      </c>
      <c r="R202" s="179">
        <f t="shared" si="54"/>
        <v>0.35134239699308845</v>
      </c>
      <c r="S202" s="839">
        <f t="shared" si="55"/>
        <v>0</v>
      </c>
      <c r="T202" s="178">
        <f t="shared" si="56"/>
        <v>6</v>
      </c>
      <c r="U202" s="253">
        <f t="shared" si="57"/>
        <v>0.35134239699308845</v>
      </c>
      <c r="V202" s="385">
        <f t="shared" si="58"/>
        <v>52.551833959175603</v>
      </c>
      <c r="W202" s="404">
        <f t="shared" si="59"/>
        <v>0</v>
      </c>
      <c r="X202" s="157">
        <f t="shared" si="60"/>
        <v>44749</v>
      </c>
      <c r="Y202" s="387">
        <f t="shared" si="61"/>
        <v>46.838674301245042</v>
      </c>
      <c r="Z202" s="387">
        <f t="shared" si="62"/>
        <v>48.430386759429936</v>
      </c>
      <c r="AA202" s="388">
        <f t="shared" si="63"/>
        <v>58.195626168177441</v>
      </c>
      <c r="AB202" s="199">
        <f t="shared" si="64"/>
        <v>44749</v>
      </c>
      <c r="AC202" s="119">
        <f>IF(OR(t&lt;Tnet,NoTnet),'2021'!Resal_s+('2021'!Salim-'2021'!Resal_s)*(1-EXP(('2021'!Tnet_s-t)/'2021'!Tau_j)),Resal_s+(Salim-Resal_s)*(1-EXP((Tnet_s-t)/Tau_j)))*Salcycl</f>
        <v>0.16780022918779661</v>
      </c>
      <c r="AD202" s="233">
        <f>(INDEX(Models!$BJ202:$BT202,,AH202)*(1-AF202)+INDEX(Models!$BJ202:$BT202,,AH202+1)*AF202-ERP_i)*AE202*Ramure*Pc/MaxiM</f>
        <v>2.2167602886347207E-4</v>
      </c>
      <c r="AE202" s="307">
        <f t="shared" si="65"/>
        <v>0.9</v>
      </c>
      <c r="AF202" s="179">
        <f t="shared" si="66"/>
        <v>0.35134239699308845</v>
      </c>
      <c r="AG202" s="839">
        <f t="shared" si="74"/>
        <v>0</v>
      </c>
      <c r="AH202" s="178">
        <f t="shared" si="67"/>
        <v>6</v>
      </c>
      <c r="AI202" s="227">
        <f t="shared" si="68"/>
        <v>0.35134239699308845</v>
      </c>
      <c r="AJ202" s="267" t="b">
        <f t="shared" si="69"/>
        <v>1</v>
      </c>
      <c r="AK202" s="267" t="b">
        <f t="shared" si="70"/>
        <v>0</v>
      </c>
      <c r="AL202" s="267"/>
      <c r="AM202" s="267"/>
      <c r="AN202" s="75"/>
    </row>
    <row r="203" spans="1:40" s="6" customFormat="1" ht="11.25" x14ac:dyDescent="0.2">
      <c r="A203" s="56">
        <f t="shared" si="71"/>
        <v>44750</v>
      </c>
      <c r="B203" s="1141">
        <v>53.4</v>
      </c>
      <c r="C203" s="868"/>
      <c r="D203" s="395">
        <f t="shared" si="50"/>
        <v>55.215970075692859</v>
      </c>
      <c r="E203" s="387">
        <f t="shared" si="75"/>
        <v>63.885331915631774</v>
      </c>
      <c r="F203" s="387">
        <f t="shared" si="51"/>
        <v>63.900435008789167</v>
      </c>
      <c r="G203" s="110">
        <f t="shared" si="76"/>
        <v>1.0179679125142833</v>
      </c>
      <c r="H203" s="416" t="b">
        <f>Wh_hp&gt;='2021'!Maxi_hp</f>
        <v>1</v>
      </c>
      <c r="I203" s="382">
        <f>IF(H203,Wh_hp,'2021'!Maxi_hp)</f>
        <v>63.900435008789167</v>
      </c>
      <c r="J203" s="85">
        <f>IF(H203,An,'2021'!An_max)</f>
        <v>2022</v>
      </c>
      <c r="K203" s="199">
        <f t="shared" si="52"/>
        <v>44750</v>
      </c>
      <c r="L203" s="147">
        <f>IF(t&lt;Tvie,1-EXP((T0-t)*PertePVj)+'2021'!Pspv,1-EXP((T0-t)*PertePVj)+Pspv)</f>
        <v>3.2888493550026099E-2</v>
      </c>
      <c r="M203" s="872"/>
      <c r="N203" s="872"/>
      <c r="O203" s="48">
        <f>IF(t&lt;Tnet,'2021'!Resal+('2021'!Salim-'2021'!Resal)*(1-EXP(('2021'!Tnet-t)/('2021'!Tau_j))),Resal+(Salim-Resal)*(1-EXP((Tnet-t)/(Tau_j))))*Salcycl</f>
        <v>0.13570191435160492</v>
      </c>
      <c r="P203" s="341">
        <f>(INDEX(Models!$BJ203:$BT203,,T203)*(1-R203)+INDEX(Models!$BJ203:$BT203,,T203+1)*R203-ERP_i)*Q203*Ramure*Pc/MaxiM</f>
        <v>2.3635352647161001E-4</v>
      </c>
      <c r="Q203" s="307">
        <f t="shared" si="53"/>
        <v>0.9</v>
      </c>
      <c r="R203" s="179">
        <f t="shared" si="54"/>
        <v>0.35590205107145706</v>
      </c>
      <c r="S203" s="839">
        <f t="shared" si="55"/>
        <v>0</v>
      </c>
      <c r="T203" s="178">
        <f t="shared" si="56"/>
        <v>6</v>
      </c>
      <c r="U203" s="253">
        <f t="shared" si="57"/>
        <v>0.35590205107145706</v>
      </c>
      <c r="V203" s="385">
        <f t="shared" si="58"/>
        <v>52.457449143074761</v>
      </c>
      <c r="W203" s="404">
        <f t="shared" si="59"/>
        <v>0</v>
      </c>
      <c r="X203" s="157">
        <f t="shared" si="60"/>
        <v>44750</v>
      </c>
      <c r="Y203" s="387">
        <f t="shared" si="61"/>
        <v>51.412260822157272</v>
      </c>
      <c r="Z203" s="387">
        <f t="shared" si="62"/>
        <v>53.160633990261275</v>
      </c>
      <c r="AA203" s="388">
        <f t="shared" si="63"/>
        <v>63.885331915631774</v>
      </c>
      <c r="AB203" s="199">
        <f t="shared" si="64"/>
        <v>44750</v>
      </c>
      <c r="AC203" s="119">
        <f>IF(OR(t&lt;Tnet,NoTnet),'2021'!Resal_s+('2021'!Salim-'2021'!Resal_s)*(1-EXP(('2021'!Tnet_s-t)/'2021'!Tau_j)),Resal_s+(Salim-Resal_s)*(1-EXP((Tnet_s-t)/Tau_j)))*Salcycl</f>
        <v>0.1678741833811514</v>
      </c>
      <c r="AD203" s="233">
        <f>(INDEX(Models!$BJ203:$BT203,,AH203)*(1-AF203)+INDEX(Models!$BJ203:$BT203,,AH203+1)*AF203-ERP_i)*AE203*Ramure*Pc/MaxiM</f>
        <v>2.3635352647161001E-4</v>
      </c>
      <c r="AE203" s="307">
        <f t="shared" si="65"/>
        <v>0.9</v>
      </c>
      <c r="AF203" s="179">
        <f t="shared" si="66"/>
        <v>0.35590205107145706</v>
      </c>
      <c r="AG203" s="839">
        <f t="shared" si="74"/>
        <v>0</v>
      </c>
      <c r="AH203" s="178">
        <f t="shared" si="67"/>
        <v>6</v>
      </c>
      <c r="AI203" s="227">
        <f t="shared" si="68"/>
        <v>0.35590205107145706</v>
      </c>
      <c r="AJ203" s="267" t="b">
        <f t="shared" si="69"/>
        <v>1</v>
      </c>
      <c r="AK203" s="267" t="b">
        <f t="shared" si="70"/>
        <v>0</v>
      </c>
      <c r="AL203" s="267"/>
      <c r="AM203" s="267"/>
      <c r="AN203" s="75"/>
    </row>
    <row r="204" spans="1:40" s="6" customFormat="1" ht="11.25" x14ac:dyDescent="0.2">
      <c r="A204" s="56">
        <f t="shared" si="71"/>
        <v>44751</v>
      </c>
      <c r="B204" s="1141">
        <v>52.456000000000003</v>
      </c>
      <c r="C204" s="868"/>
      <c r="D204" s="395">
        <f t="shared" si="50"/>
        <v>54.24112980386252</v>
      </c>
      <c r="E204" s="387">
        <f t="shared" si="75"/>
        <v>62.768519315502317</v>
      </c>
      <c r="F204" s="387">
        <f t="shared" si="51"/>
        <v>62.784385427188184</v>
      </c>
      <c r="G204" s="110">
        <f t="shared" si="76"/>
        <v>1.0018443855288932</v>
      </c>
      <c r="H204" s="416" t="b">
        <f>Wh_hp&gt;='2021'!Maxi_hp</f>
        <v>1</v>
      </c>
      <c r="I204" s="382">
        <f>IF(H204,Wh_hp,'2021'!Maxi_hp)</f>
        <v>62.784385427188184</v>
      </c>
      <c r="J204" s="85">
        <f>IF(H204,An,'2021'!An_max)</f>
        <v>2022</v>
      </c>
      <c r="K204" s="199">
        <f t="shared" si="52"/>
        <v>44751</v>
      </c>
      <c r="L204" s="147">
        <f>IF(t&lt;Tvie,1-EXP((T0-t)*PertePVj)+'2021'!Pspv,1-EXP((T0-t)*PertePVj)+Pspv)</f>
        <v>3.2910999647640105E-2</v>
      </c>
      <c r="M204" s="872"/>
      <c r="N204" s="872"/>
      <c r="O204" s="48">
        <f>IF(t&lt;Tnet,'2021'!Resal+('2021'!Salim-'2021'!Resal)*(1-EXP(('2021'!Tnet-t)/('2021'!Tau_j))),Resal+(Salim-Resal)*(1-EXP((Tnet-t)/(Tau_j))))*Salcycl</f>
        <v>0.13585455901512297</v>
      </c>
      <c r="P204" s="341">
        <f>(INDEX(Models!$BJ204:$BT204,,T204)*(1-R204)+INDEX(Models!$BJ204:$BT204,,T204+1)*R204-ERP_i)*Q204*Ramure*Pc/MaxiM</f>
        <v>2.5270792376021981E-4</v>
      </c>
      <c r="Q204" s="307">
        <f t="shared" si="53"/>
        <v>0.9</v>
      </c>
      <c r="R204" s="179">
        <f t="shared" si="54"/>
        <v>0.360365443043072</v>
      </c>
      <c r="S204" s="839">
        <f t="shared" si="55"/>
        <v>0</v>
      </c>
      <c r="T204" s="178">
        <f t="shared" si="56"/>
        <v>6</v>
      </c>
      <c r="U204" s="253">
        <f t="shared" si="57"/>
        <v>0.360365443043072</v>
      </c>
      <c r="V204" s="385">
        <f t="shared" si="58"/>
        <v>52.359429026801855</v>
      </c>
      <c r="W204" s="404">
        <f t="shared" si="59"/>
        <v>0</v>
      </c>
      <c r="X204" s="157">
        <f t="shared" si="60"/>
        <v>44751</v>
      </c>
      <c r="Y204" s="387">
        <f t="shared" si="61"/>
        <v>50.508009761561475</v>
      </c>
      <c r="Z204" s="387">
        <f t="shared" si="62"/>
        <v>52.22684752195385</v>
      </c>
      <c r="AA204" s="388">
        <f t="shared" si="63"/>
        <v>62.768519315502317</v>
      </c>
      <c r="AB204" s="199">
        <f t="shared" si="64"/>
        <v>44751</v>
      </c>
      <c r="AC204" s="119">
        <f>IF(OR(t&lt;Tnet,NoTnet),'2021'!Resal_s+('2021'!Salim-'2021'!Resal_s)*(1-EXP(('2021'!Tnet_s-t)/'2021'!Tau_j)),Resal_s+(Salim-Resal_s)*(1-EXP((Tnet_s-t)/Tau_j)))*Salcycl</f>
        <v>0.16794520419641196</v>
      </c>
      <c r="AD204" s="233">
        <f>(INDEX(Models!$BJ204:$BT204,,AH204)*(1-AF204)+INDEX(Models!$BJ204:$BT204,,AH204+1)*AF204-ERP_i)*AE204*Ramure*Pc/MaxiM</f>
        <v>2.5270792376021981E-4</v>
      </c>
      <c r="AE204" s="307">
        <f t="shared" si="65"/>
        <v>0.9</v>
      </c>
      <c r="AF204" s="179">
        <f t="shared" si="66"/>
        <v>0.360365443043072</v>
      </c>
      <c r="AG204" s="839">
        <f t="shared" si="74"/>
        <v>0</v>
      </c>
      <c r="AH204" s="178">
        <f t="shared" si="67"/>
        <v>6</v>
      </c>
      <c r="AI204" s="227">
        <f t="shared" si="68"/>
        <v>0.360365443043072</v>
      </c>
      <c r="AJ204" s="267" t="b">
        <f t="shared" si="69"/>
        <v>1</v>
      </c>
      <c r="AK204" s="267" t="b">
        <f t="shared" si="70"/>
        <v>0</v>
      </c>
      <c r="AL204" s="267"/>
      <c r="AM204" s="267"/>
      <c r="AN204" s="75"/>
    </row>
    <row r="205" spans="1:40" s="6" customFormat="1" ht="11.25" x14ac:dyDescent="0.2">
      <c r="A205" s="56">
        <f t="shared" si="71"/>
        <v>44752</v>
      </c>
      <c r="B205" s="1141">
        <v>51.931000000000004</v>
      </c>
      <c r="C205" s="868"/>
      <c r="D205" s="395">
        <f t="shared" si="50"/>
        <v>53.69951319830875</v>
      </c>
      <c r="E205" s="387">
        <f t="shared" si="75"/>
        <v>62.152552272782586</v>
      </c>
      <c r="F205" s="387">
        <f t="shared" si="51"/>
        <v>62.169234879571164</v>
      </c>
      <c r="G205" s="110">
        <f t="shared" si="76"/>
        <v>0.99374693749249421</v>
      </c>
      <c r="H205" s="416" t="b">
        <f>Wh_hp&gt;='2021'!Maxi_hp</f>
        <v>0</v>
      </c>
      <c r="I205" s="382">
        <f>IF(H205,Wh_hp,'2021'!Maxi_hp)</f>
        <v>62.966191858436069</v>
      </c>
      <c r="J205" s="85">
        <f>IF(H205,An,'2021'!An_max)</f>
        <v>2019</v>
      </c>
      <c r="K205" s="199">
        <f t="shared" si="52"/>
        <v>44752</v>
      </c>
      <c r="L205" s="147">
        <f>IF(t&lt;Tvie,1-EXP((T0-t)*PertePVj)+'2021'!Pspv,1-EXP((T0-t)*PertePVj)+Pspv)</f>
        <v>3.29335052215044E-2</v>
      </c>
      <c r="M205" s="872"/>
      <c r="N205" s="872"/>
      <c r="O205" s="48">
        <f>IF(t&lt;Tnet,'2021'!Resal+('2021'!Salim-'2021'!Resal)*(1-EXP(('2021'!Tnet-t)/('2021'!Tau_j))),Resal+(Salim-Resal)*(1-EXP((Tnet-t)/(Tau_j))))*Salcycl</f>
        <v>0.136004697560514</v>
      </c>
      <c r="P205" s="341">
        <f>(INDEX(Models!$BJ205:$BT205,,T205)*(1-R205)+INDEX(Models!$BJ205:$BT205,,T205+1)*R205-ERP_i)*Q205*Ramure*Pc/MaxiM</f>
        <v>2.707595898714403E-4</v>
      </c>
      <c r="Q205" s="307">
        <f t="shared" si="53"/>
        <v>0.9</v>
      </c>
      <c r="R205" s="179">
        <f t="shared" si="54"/>
        <v>0.36473194022649696</v>
      </c>
      <c r="S205" s="839">
        <f t="shared" si="55"/>
        <v>0</v>
      </c>
      <c r="T205" s="178">
        <f t="shared" si="56"/>
        <v>6</v>
      </c>
      <c r="U205" s="253">
        <f t="shared" si="57"/>
        <v>0.36473194022649696</v>
      </c>
      <c r="V205" s="385">
        <f t="shared" si="58"/>
        <v>52.257644729040607</v>
      </c>
      <c r="W205" s="404">
        <f t="shared" si="59"/>
        <v>0</v>
      </c>
      <c r="X205" s="157">
        <f t="shared" si="60"/>
        <v>44752</v>
      </c>
      <c r="Y205" s="387">
        <f t="shared" si="61"/>
        <v>50.007095866879538</v>
      </c>
      <c r="Z205" s="387">
        <f t="shared" si="62"/>
        <v>51.710090399040816</v>
      </c>
      <c r="AA205" s="388">
        <f t="shared" si="63"/>
        <v>62.152552272782586</v>
      </c>
      <c r="AB205" s="199">
        <f t="shared" si="64"/>
        <v>44752</v>
      </c>
      <c r="AC205" s="119">
        <f>IF(OR(t&lt;Tnet,NoTnet),'2021'!Resal_s+('2021'!Salim-'2021'!Resal_s)*(1-EXP(('2021'!Tnet_s-t)/'2021'!Tau_j)),Resal_s+(Salim-Resal_s)*(1-EXP((Tnet_s-t)/Tau_j)))*Salcycl</f>
        <v>0.16801340398557793</v>
      </c>
      <c r="AD205" s="233">
        <f>(INDEX(Models!$BJ205:$BT205,,AH205)*(1-AF205)+INDEX(Models!$BJ205:$BT205,,AH205+1)*AF205-ERP_i)*AE205*Ramure*Pc/MaxiM</f>
        <v>2.707595898714403E-4</v>
      </c>
      <c r="AE205" s="307">
        <f t="shared" si="65"/>
        <v>0.9</v>
      </c>
      <c r="AF205" s="179">
        <f t="shared" si="66"/>
        <v>0.36473194022649696</v>
      </c>
      <c r="AG205" s="839">
        <f t="shared" si="74"/>
        <v>0</v>
      </c>
      <c r="AH205" s="178">
        <f t="shared" si="67"/>
        <v>6</v>
      </c>
      <c r="AI205" s="227">
        <f t="shared" si="68"/>
        <v>0.36473194022649696</v>
      </c>
      <c r="AJ205" s="267" t="b">
        <f t="shared" si="69"/>
        <v>1</v>
      </c>
      <c r="AK205" s="267" t="b">
        <f t="shared" si="70"/>
        <v>0</v>
      </c>
      <c r="AL205" s="267"/>
      <c r="AM205" s="267"/>
      <c r="AN205" s="75"/>
    </row>
    <row r="206" spans="1:40" s="6" customFormat="1" ht="11.25" x14ac:dyDescent="0.2">
      <c r="A206" s="56">
        <f t="shared" si="71"/>
        <v>44753</v>
      </c>
      <c r="B206" s="1141">
        <v>50.145000000000003</v>
      </c>
      <c r="C206" s="868"/>
      <c r="D206" s="395">
        <f t="shared" si="50"/>
        <v>51.853897581313895</v>
      </c>
      <c r="E206" s="387">
        <f t="shared" si="75"/>
        <v>60.026674505598493</v>
      </c>
      <c r="F206" s="387">
        <f t="shared" si="51"/>
        <v>60.043213268292824</v>
      </c>
      <c r="G206" s="110">
        <f t="shared" si="76"/>
        <v>0.96149783707548109</v>
      </c>
      <c r="H206" s="416" t="b">
        <f>Wh_hp&gt;='2021'!Maxi_hp</f>
        <v>0</v>
      </c>
      <c r="I206" s="382">
        <f>IF(H206,Wh_hp,'2021'!Maxi_hp)</f>
        <v>62.533277298191116</v>
      </c>
      <c r="J206" s="85">
        <f>IF(H206,An,'2021'!An_max)</f>
        <v>2019</v>
      </c>
      <c r="K206" s="199">
        <f t="shared" si="52"/>
        <v>44753</v>
      </c>
      <c r="L206" s="147">
        <f>IF(t&lt;Tvie,1-EXP((T0-t)*PertePVj)+'2021'!Pspv,1-EXP((T0-t)*PertePVj)+Pspv)</f>
        <v>3.2956010271631198E-2</v>
      </c>
      <c r="M206" s="872"/>
      <c r="N206" s="872"/>
      <c r="O206" s="48">
        <f>IF(t&lt;Tnet,'2021'!Resal+('2021'!Salim-'2021'!Resal)*(1-EXP(('2021'!Tnet-t)/('2021'!Tau_j))),Resal+(Salim-Resal)*(1-EXP((Tnet-t)/(Tau_j))))*Salcycl</f>
        <v>0.1361524187638006</v>
      </c>
      <c r="P206" s="341">
        <f>(INDEX(Models!$BJ206:$BT206,,T206)*(1-R206)+INDEX(Models!$BJ206:$BT206,,T206+1)*R206-ERP_i)*Q206*Ramure*Pc/MaxiM</f>
        <v>2.9147316876411742E-4</v>
      </c>
      <c r="Q206" s="307">
        <f t="shared" si="53"/>
        <v>0.9</v>
      </c>
      <c r="R206" s="179">
        <f t="shared" si="54"/>
        <v>0.36900109712101398</v>
      </c>
      <c r="S206" s="839">
        <f t="shared" si="55"/>
        <v>0</v>
      </c>
      <c r="T206" s="178">
        <f t="shared" si="56"/>
        <v>6</v>
      </c>
      <c r="U206" s="253">
        <f t="shared" si="57"/>
        <v>0.36900109712101398</v>
      </c>
      <c r="V206" s="385">
        <f t="shared" si="58"/>
        <v>52.152167426664896</v>
      </c>
      <c r="W206" s="404">
        <f t="shared" si="59"/>
        <v>0</v>
      </c>
      <c r="X206" s="157">
        <f t="shared" si="60"/>
        <v>44753</v>
      </c>
      <c r="Y206" s="387">
        <f t="shared" si="61"/>
        <v>48.291717888806964</v>
      </c>
      <c r="Z206" s="387">
        <f t="shared" si="62"/>
        <v>49.937457242634366</v>
      </c>
      <c r="AA206" s="388">
        <f t="shared" si="63"/>
        <v>60.026674505598493</v>
      </c>
      <c r="AB206" s="199">
        <f t="shared" si="64"/>
        <v>44753</v>
      </c>
      <c r="AC206" s="119">
        <f>IF(OR(t&lt;Tnet,NoTnet),'2021'!Resal_s+('2021'!Salim-'2021'!Resal_s)*(1-EXP(('2021'!Tnet_s-t)/'2021'!Tau_j)),Resal_s+(Salim-Resal_s)*(1-EXP((Tnet_s-t)/Tau_j)))*Salcycl</f>
        <v>0.168078897357926</v>
      </c>
      <c r="AD206" s="233">
        <f>(INDEX(Models!$BJ206:$BT206,,AH206)*(1-AF206)+INDEX(Models!$BJ206:$BT206,,AH206+1)*AF206-ERP_i)*AE206*Ramure*Pc/MaxiM</f>
        <v>2.9147316876411742E-4</v>
      </c>
      <c r="AE206" s="307">
        <f t="shared" si="65"/>
        <v>0.9</v>
      </c>
      <c r="AF206" s="179">
        <f t="shared" si="66"/>
        <v>0.36900109712101398</v>
      </c>
      <c r="AG206" s="839">
        <f t="shared" si="74"/>
        <v>0</v>
      </c>
      <c r="AH206" s="178">
        <f t="shared" si="67"/>
        <v>6</v>
      </c>
      <c r="AI206" s="227">
        <f t="shared" si="68"/>
        <v>0.36900109712101398</v>
      </c>
      <c r="AJ206" s="267" t="b">
        <f t="shared" si="69"/>
        <v>1</v>
      </c>
      <c r="AK206" s="267" t="b">
        <f t="shared" si="70"/>
        <v>0</v>
      </c>
      <c r="AL206" s="267"/>
      <c r="AM206" s="267"/>
      <c r="AN206" s="75"/>
    </row>
    <row r="207" spans="1:40" s="6" customFormat="1" ht="11.25" x14ac:dyDescent="0.2">
      <c r="A207" s="56">
        <f t="shared" si="71"/>
        <v>44754</v>
      </c>
      <c r="B207" s="1141">
        <v>50.247999999999998</v>
      </c>
      <c r="C207" s="868"/>
      <c r="D207" s="395">
        <f t="shared" ref="D207:D270" si="77">Wh/(1-Ppv)</f>
        <v>51.961616953635151</v>
      </c>
      <c r="E207" s="387">
        <f t="shared" si="75"/>
        <v>60.161497484525711</v>
      </c>
      <c r="F207" s="387">
        <f t="shared" ref="F207:F270" si="78">Wh_sa/(1-Pvg*MEDIAN((-Sdif+Wh/Env_an)/Csdif,0,1))</f>
        <v>60.17949261259551</v>
      </c>
      <c r="G207" s="110">
        <f t="shared" si="76"/>
        <v>0.96549064822839592</v>
      </c>
      <c r="H207" s="416" t="b">
        <f>Wh_hp&gt;='2021'!Maxi_hp</f>
        <v>0</v>
      </c>
      <c r="I207" s="382">
        <f>IF(H207,Wh_hp,'2021'!Maxi_hp)</f>
        <v>63.366086116985848</v>
      </c>
      <c r="J207" s="85">
        <f>IF(H207,An,'2021'!An_max)</f>
        <v>2019</v>
      </c>
      <c r="K207" s="199">
        <f t="shared" ref="K207:K270" si="79">t</f>
        <v>44754</v>
      </c>
      <c r="L207" s="147">
        <f>IF(t&lt;Tvie,1-EXP((T0-t)*PertePVj)+'2021'!Pspv,1-EXP((T0-t)*PertePVj)+Pspv)</f>
        <v>3.2978514798032488E-2</v>
      </c>
      <c r="M207" s="872"/>
      <c r="N207" s="872"/>
      <c r="O207" s="48">
        <f>IF(t&lt;Tnet,'2021'!Resal+('2021'!Salim-'2021'!Resal)*(1-EXP(('2021'!Tnet-t)/('2021'!Tau_j))),Resal+(Salim-Resal)*(1-EXP((Tnet-t)/(Tau_j))))*Salcycl</f>
        <v>0.13629781294921509</v>
      </c>
      <c r="P207" s="341">
        <f>(INDEX(Models!$BJ207:$BT207,,T207)*(1-R207)+INDEX(Models!$BJ207:$BT207,,T207+1)*R207-ERP_i)*Q207*Ramure*Pc/MaxiM</f>
        <v>3.1452323555222951E-4</v>
      </c>
      <c r="Q207" s="307">
        <f t="shared" ref="Q207:Q270" si="80">IF(OR(t&lt;Ttai,Notai),Dd+PousD*Croivg,Dens+PousD*(Croivg-Croi_tai))</f>
        <v>0.9</v>
      </c>
      <c r="R207" s="179">
        <f t="shared" ref="R207:R270" si="81">(Hp_vg-S207)/(INDEX(Echel_vg,T207+1)-S207)</f>
        <v>0.37317264852088267</v>
      </c>
      <c r="S207" s="839">
        <f t="shared" ref="S207:S270" si="82">INDEX(Echel_vg,T207)</f>
        <v>0</v>
      </c>
      <c r="T207" s="178">
        <f t="shared" ref="T207:T270" si="83">MIN(MATCH(Hp_vg,Echel_vg),10)</f>
        <v>6</v>
      </c>
      <c r="U207" s="253">
        <f t="shared" ref="U207:U270" si="84">IF(OR(t&lt;Ttai,Notai),Hdd+PousH*Croivg,Hdtf+PousH*(Croivg-Croi_tai))</f>
        <v>0.37317264852088267</v>
      </c>
      <c r="V207" s="385">
        <f t="shared" ref="V207:V270" si="85">MaxiM*(1-Ppv)*(1-Pvg)*(1-Psa)</f>
        <v>52.043198001536325</v>
      </c>
      <c r="W207" s="404">
        <f t="shared" ref="W207:W270" si="86">Wh*(A207&gt;Tmaj)</f>
        <v>0</v>
      </c>
      <c r="X207" s="157">
        <f t="shared" ref="X207:X270" si="87">t</f>
        <v>44754</v>
      </c>
      <c r="Y207" s="387">
        <f t="shared" ref="Y207:Y270" si="88">Wh_pvt_s*(1-Ppv)</f>
        <v>48.39539766844225</v>
      </c>
      <c r="Z207" s="387">
        <f t="shared" ref="Z207:Z270" si="89">Wh_sa_s*(1-Psa_s)</f>
        <v>50.045834977838801</v>
      </c>
      <c r="AA207" s="388">
        <f t="shared" ref="AA207:AA270" si="90">Wh_hp*(1-Pvg_s*MEDIAN((-Sdif+Wh/Env_an)/Csdif,0,1))</f>
        <v>60.161497484525711</v>
      </c>
      <c r="AB207" s="199">
        <f t="shared" ref="AB207:AB270" si="91">t</f>
        <v>44754</v>
      </c>
      <c r="AC207" s="119">
        <f>IF(OR(t&lt;Tnet,NoTnet),'2021'!Resal_s+('2021'!Salim-'2021'!Resal_s)*(1-EXP(('2021'!Tnet_s-t)/'2021'!Tau_j)),Resal_s+(Salim-Resal_s)*(1-EXP((Tnet_s-t)/Tau_j)))*Salcycl</f>
        <v>0.16814180048109315</v>
      </c>
      <c r="AD207" s="233">
        <f>(INDEX(Models!$BJ207:$BT207,,AH207)*(1-AF207)+INDEX(Models!$BJ207:$BT207,,AH207+1)*AF207-ERP_i)*AE207*Ramure*Pc/MaxiM</f>
        <v>3.1452323555222951E-4</v>
      </c>
      <c r="AE207" s="307">
        <f t="shared" ref="AE207:AE270" si="92">IF(OR(t&lt;Ttai,Notai),Dd_s+PousD*Croivg,Dens_s+PousD*(Croivg-Croi_tai))</f>
        <v>0.9</v>
      </c>
      <c r="AF207" s="179">
        <f t="shared" ref="AF207:AF270" si="93">(Hp_vg_s-AG207)/(INDEX(Echel_vg,AH207+1)-AG207)</f>
        <v>0.37317264852088267</v>
      </c>
      <c r="AG207" s="839">
        <f t="shared" si="74"/>
        <v>0</v>
      </c>
      <c r="AH207" s="178">
        <f t="shared" ref="AH207:AH270" si="94">MIN(MATCH(Hp_vg_s,Echel_vg),10)</f>
        <v>6</v>
      </c>
      <c r="AI207" s="227">
        <f t="shared" ref="AI207:AI270" si="95">IF(OR(t&lt;Ttai,Notai),Hdd_s+PousH*Croivg,Hdtai_s+PousH*(Croivg-Croi_tai))</f>
        <v>0.37317264852088267</v>
      </c>
      <c r="AJ207" s="267" t="b">
        <f t="shared" ref="AJ207:AJ270" si="96">t&lt;Tnet</f>
        <v>1</v>
      </c>
      <c r="AK207" s="267" t="b">
        <f t="shared" ref="AK207:AK270" si="97">t&lt;Ttai</f>
        <v>0</v>
      </c>
      <c r="AL207" s="267"/>
      <c r="AM207" s="267"/>
      <c r="AN207" s="75"/>
    </row>
    <row r="208" spans="1:40" s="6" customFormat="1" ht="11.25" x14ac:dyDescent="0.2">
      <c r="A208" s="56">
        <f t="shared" ref="A208:A271" si="98">A207+1</f>
        <v>44755</v>
      </c>
      <c r="B208" s="1141">
        <v>49.942</v>
      </c>
      <c r="C208" s="868"/>
      <c r="D208" s="395">
        <f t="shared" si="77"/>
        <v>51.646383265121493</v>
      </c>
      <c r="E208" s="387">
        <f t="shared" si="75"/>
        <v>59.806430778487197</v>
      </c>
      <c r="F208" s="387">
        <f t="shared" si="78"/>
        <v>59.825654709604933</v>
      </c>
      <c r="G208" s="110">
        <f t="shared" si="76"/>
        <v>0.96168278591986567</v>
      </c>
      <c r="H208" s="416" t="b">
        <f>Wh_hp&gt;='2021'!Maxi_hp</f>
        <v>1</v>
      </c>
      <c r="I208" s="382">
        <f>IF(H208,Wh_hp,'2021'!Maxi_hp)</f>
        <v>59.825654709604933</v>
      </c>
      <c r="J208" s="85">
        <f>IF(H208,An,'2021'!An_max)</f>
        <v>2022</v>
      </c>
      <c r="K208" s="199">
        <f t="shared" si="79"/>
        <v>44755</v>
      </c>
      <c r="L208" s="147">
        <f>IF(t&lt;Tvie,1-EXP((T0-t)*PertePVj)+'2021'!Pspv,1-EXP((T0-t)*PertePVj)+Pspv)</f>
        <v>3.3001018800720594E-2</v>
      </c>
      <c r="M208" s="872"/>
      <c r="N208" s="872"/>
      <c r="O208" s="48">
        <f>IF(t&lt;Tnet,'2021'!Resal+('2021'!Salim-'2021'!Resal)*(1-EXP(('2021'!Tnet-t)/('2021'!Tau_j))),Resal+(Salim-Resal)*(1-EXP((Tnet-t)/(Tau_j))))*Salcycl</f>
        <v>0.1364409714331411</v>
      </c>
      <c r="P208" s="341">
        <f>(INDEX(Models!$BJ208:$BT208,,T208)*(1-R208)+INDEX(Models!$BJ208:$BT208,,T208+1)*R208-ERP_i)*Q208*Ramure*Pc/MaxiM</f>
        <v>3.3993133658736564E-4</v>
      </c>
      <c r="Q208" s="307">
        <f t="shared" si="80"/>
        <v>0.9</v>
      </c>
      <c r="R208" s="179">
        <f t="shared" si="81"/>
        <v>0.37724650221036482</v>
      </c>
      <c r="S208" s="839">
        <f t="shared" si="82"/>
        <v>0</v>
      </c>
      <c r="T208" s="178">
        <f t="shared" si="83"/>
        <v>6</v>
      </c>
      <c r="U208" s="253">
        <f t="shared" si="84"/>
        <v>0.37724650221036482</v>
      </c>
      <c r="V208" s="385">
        <f t="shared" si="85"/>
        <v>51.930918981607874</v>
      </c>
      <c r="W208" s="404">
        <f t="shared" si="86"/>
        <v>0</v>
      </c>
      <c r="X208" s="157">
        <f t="shared" si="87"/>
        <v>44755</v>
      </c>
      <c r="Y208" s="387">
        <f t="shared" si="88"/>
        <v>48.10515880849276</v>
      </c>
      <c r="Z208" s="387">
        <f t="shared" si="89"/>
        <v>49.746855729705509</v>
      </c>
      <c r="AA208" s="388">
        <f t="shared" si="90"/>
        <v>59.806430778487197</v>
      </c>
      <c r="AB208" s="199">
        <f t="shared" si="91"/>
        <v>44755</v>
      </c>
      <c r="AC208" s="119">
        <f>IF(OR(t&lt;Tnet,NoTnet),'2021'!Resal_s+('2021'!Salim-'2021'!Resal_s)*(1-EXP(('2021'!Tnet_s-t)/'2021'!Tau_j)),Resal_s+(Salim-Resal_s)*(1-EXP((Tnet_s-t)/Tau_j)))*Salcycl</f>
        <v>0.16820223039292603</v>
      </c>
      <c r="AD208" s="233">
        <f>(INDEX(Models!$BJ208:$BT208,,AH208)*(1-AF208)+INDEX(Models!$BJ208:$BT208,,AH208+1)*AF208-ERP_i)*AE208*Ramure*Pc/MaxiM</f>
        <v>3.3993133658736564E-4</v>
      </c>
      <c r="AE208" s="307">
        <f t="shared" si="92"/>
        <v>0.9</v>
      </c>
      <c r="AF208" s="179">
        <f t="shared" si="93"/>
        <v>0.37724650221036482</v>
      </c>
      <c r="AG208" s="839">
        <f t="shared" ref="AG208:AG271" si="99">INDEX(Echel_vg,AH208)</f>
        <v>0</v>
      </c>
      <c r="AH208" s="178">
        <f t="shared" si="94"/>
        <v>6</v>
      </c>
      <c r="AI208" s="227">
        <f t="shared" si="95"/>
        <v>0.37724650221036482</v>
      </c>
      <c r="AJ208" s="267" t="b">
        <f t="shared" si="96"/>
        <v>1</v>
      </c>
      <c r="AK208" s="267" t="b">
        <f t="shared" si="97"/>
        <v>0</v>
      </c>
      <c r="AL208" s="267"/>
      <c r="AM208" s="267"/>
      <c r="AN208" s="75"/>
    </row>
    <row r="209" spans="1:40" s="6" customFormat="1" ht="11.25" x14ac:dyDescent="0.2">
      <c r="A209" s="56">
        <f t="shared" si="98"/>
        <v>44756</v>
      </c>
      <c r="B209" s="1141">
        <v>49.314</v>
      </c>
      <c r="C209" s="868"/>
      <c r="D209" s="395">
        <f t="shared" si="77"/>
        <v>50.998138151468638</v>
      </c>
      <c r="E209" s="387">
        <f t="shared" si="75"/>
        <v>59.065409017735043</v>
      </c>
      <c r="F209" s="387">
        <f t="shared" si="78"/>
        <v>59.085637502725916</v>
      </c>
      <c r="G209" s="110">
        <f t="shared" si="76"/>
        <v>0.95169856152365229</v>
      </c>
      <c r="H209" s="416" t="b">
        <f>Wh_hp&gt;='2021'!Maxi_hp</f>
        <v>0</v>
      </c>
      <c r="I209" s="382">
        <f>IF(H209,Wh_hp,'2021'!Maxi_hp)</f>
        <v>62.288044884961785</v>
      </c>
      <c r="J209" s="85">
        <f>IF(H209,An,'2021'!An_max)</f>
        <v>2019</v>
      </c>
      <c r="K209" s="199">
        <f t="shared" si="79"/>
        <v>44756</v>
      </c>
      <c r="L209" s="147">
        <f>IF(t&lt;Tvie,1-EXP((T0-t)*PertePVj)+'2021'!Pspv,1-EXP((T0-t)*PertePVj)+Pspv)</f>
        <v>3.3023522279707729E-2</v>
      </c>
      <c r="M209" s="872"/>
      <c r="N209" s="872"/>
      <c r="O209" s="48">
        <f>IF(t&lt;Tnet,'2021'!Resal+('2021'!Salim-'2021'!Resal)*(1-EXP(('2021'!Tnet-t)/('2021'!Tau_j))),Resal+(Salim-Resal)*(1-EXP((Tnet-t)/(Tau_j))))*Salcycl</f>
        <v>0.13658198597836035</v>
      </c>
      <c r="P209" s="341">
        <f>(INDEX(Models!$BJ209:$BT209,,T209)*(1-R209)+INDEX(Models!$BJ209:$BT209,,T209+1)*R209-ERP_i)*Q209*Ramure*Pc/MaxiM</f>
        <v>3.6771946511379001E-4</v>
      </c>
      <c r="Q209" s="307">
        <f t="shared" si="80"/>
        <v>0.9</v>
      </c>
      <c r="R209" s="179">
        <f t="shared" si="81"/>
        <v>0.38122273130898165</v>
      </c>
      <c r="S209" s="839">
        <f t="shared" si="82"/>
        <v>0</v>
      </c>
      <c r="T209" s="178">
        <f t="shared" si="83"/>
        <v>6</v>
      </c>
      <c r="U209" s="253">
        <f t="shared" si="84"/>
        <v>0.38122273130898165</v>
      </c>
      <c r="V209" s="385">
        <f t="shared" si="85"/>
        <v>51.81551273380741</v>
      </c>
      <c r="W209" s="404">
        <f t="shared" si="86"/>
        <v>0</v>
      </c>
      <c r="X209" s="157">
        <f t="shared" si="87"/>
        <v>44756</v>
      </c>
      <c r="Y209" s="387">
        <f t="shared" si="88"/>
        <v>47.504697245402674</v>
      </c>
      <c r="Z209" s="387">
        <f t="shared" si="89"/>
        <v>49.12704532110024</v>
      </c>
      <c r="AA209" s="388">
        <f t="shared" si="90"/>
        <v>59.065409017735043</v>
      </c>
      <c r="AB209" s="199">
        <f t="shared" si="91"/>
        <v>44756</v>
      </c>
      <c r="AC209" s="119">
        <f>IF(OR(t&lt;Tnet,NoTnet),'2021'!Resal_s+('2021'!Salim-'2021'!Resal_s)*(1-EXP(('2021'!Tnet_s-t)/'2021'!Tau_j)),Resal_s+(Salim-Resal_s)*(1-EXP((Tnet_s-t)/Tau_j)))*Salcycl</f>
        <v>0.16826030432889577</v>
      </c>
      <c r="AD209" s="233">
        <f>(INDEX(Models!$BJ209:$BT209,,AH209)*(1-AF209)+INDEX(Models!$BJ209:$BT209,,AH209+1)*AF209-ERP_i)*AE209*Ramure*Pc/MaxiM</f>
        <v>3.6771946511379001E-4</v>
      </c>
      <c r="AE209" s="307">
        <f t="shared" si="92"/>
        <v>0.9</v>
      </c>
      <c r="AF209" s="179">
        <f t="shared" si="93"/>
        <v>0.38122273130898165</v>
      </c>
      <c r="AG209" s="839">
        <f t="shared" si="99"/>
        <v>0</v>
      </c>
      <c r="AH209" s="178">
        <f t="shared" si="94"/>
        <v>6</v>
      </c>
      <c r="AI209" s="227">
        <f t="shared" si="95"/>
        <v>0.38122273130898165</v>
      </c>
      <c r="AJ209" s="267" t="b">
        <f t="shared" si="96"/>
        <v>1</v>
      </c>
      <c r="AK209" s="267" t="b">
        <f t="shared" si="97"/>
        <v>0</v>
      </c>
      <c r="AL209" s="267"/>
      <c r="AM209" s="267"/>
      <c r="AN209" s="75"/>
    </row>
    <row r="210" spans="1:40" s="6" customFormat="1" ht="11.25" x14ac:dyDescent="0.2">
      <c r="A210" s="56">
        <f t="shared" si="98"/>
        <v>44757</v>
      </c>
      <c r="B210" s="1141">
        <v>47.65</v>
      </c>
      <c r="C210" s="868"/>
      <c r="D210" s="395">
        <f t="shared" si="77"/>
        <v>49.278457138128765</v>
      </c>
      <c r="E210" s="387">
        <f t="shared" si="75"/>
        <v>57.08288303642091</v>
      </c>
      <c r="F210" s="387">
        <f t="shared" si="78"/>
        <v>57.103063768974316</v>
      </c>
      <c r="G210" s="110">
        <f t="shared" si="76"/>
        <v>0.9216730163738005</v>
      </c>
      <c r="H210" s="416" t="b">
        <f>Wh_hp&gt;='2021'!Maxi_hp</f>
        <v>0</v>
      </c>
      <c r="I210" s="382">
        <f>IF(H210,Wh_hp,'2021'!Maxi_hp)</f>
        <v>63.922354684310292</v>
      </c>
      <c r="J210" s="85">
        <f>IF(H210,An,'2021'!An_max)</f>
        <v>2019</v>
      </c>
      <c r="K210" s="199">
        <f t="shared" si="79"/>
        <v>44757</v>
      </c>
      <c r="L210" s="147">
        <f>IF(t&lt;Tvie,1-EXP((T0-t)*PertePVj)+'2021'!Pspv,1-EXP((T0-t)*PertePVj)+Pspv)</f>
        <v>3.3046025235005994E-2</v>
      </c>
      <c r="M210" s="872"/>
      <c r="N210" s="872"/>
      <c r="O210" s="48">
        <f>IF(t&lt;Tnet,'2021'!Resal+('2021'!Salim-'2021'!Resal)*(1-EXP(('2021'!Tnet-t)/('2021'!Tau_j))),Resal+(Salim-Resal)*(1-EXP((Tnet-t)/(Tau_j))))*Salcycl</f>
        <v>0.13672094826241776</v>
      </c>
      <c r="P210" s="341">
        <f>(INDEX(Models!$BJ210:$BT210,,T210)*(1-R210)+INDEX(Models!$BJ210:$BT210,,T210+1)*R210-ERP_i)*Q210*Ramure*Pc/MaxiM</f>
        <v>3.9791002044960611E-4</v>
      </c>
      <c r="Q210" s="307">
        <f t="shared" si="80"/>
        <v>0.9</v>
      </c>
      <c r="R210" s="179">
        <f t="shared" si="81"/>
        <v>0.38510156633436887</v>
      </c>
      <c r="S210" s="839">
        <f t="shared" si="82"/>
        <v>0</v>
      </c>
      <c r="T210" s="178">
        <f t="shared" si="83"/>
        <v>6</v>
      </c>
      <c r="U210" s="253">
        <f t="shared" si="84"/>
        <v>0.38510156633436887</v>
      </c>
      <c r="V210" s="385">
        <f t="shared" si="85"/>
        <v>51.697161495244394</v>
      </c>
      <c r="W210" s="404">
        <f t="shared" si="86"/>
        <v>0</v>
      </c>
      <c r="X210" s="157">
        <f t="shared" si="87"/>
        <v>44757</v>
      </c>
      <c r="Y210" s="387">
        <f t="shared" si="88"/>
        <v>45.906055398384574</v>
      </c>
      <c r="Z210" s="387">
        <f t="shared" si="89"/>
        <v>47.47491255676514</v>
      </c>
      <c r="AA210" s="388">
        <f t="shared" si="90"/>
        <v>57.08288303642091</v>
      </c>
      <c r="AB210" s="199">
        <f t="shared" si="91"/>
        <v>44757</v>
      </c>
      <c r="AC210" s="119">
        <f>IF(OR(t&lt;Tnet,NoTnet),'2021'!Resal_s+('2021'!Salim-'2021'!Resal_s)*(1-EXP(('2021'!Tnet_s-t)/'2021'!Tau_j)),Resal_s+(Salim-Resal_s)*(1-EXP((Tnet_s-t)/Tau_j)))*Salcycl</f>
        <v>0.16831613906966725</v>
      </c>
      <c r="AD210" s="233">
        <f>(INDEX(Models!$BJ210:$BT210,,AH210)*(1-AF210)+INDEX(Models!$BJ210:$BT210,,AH210+1)*AF210-ERP_i)*AE210*Ramure*Pc/MaxiM</f>
        <v>3.9791002044960611E-4</v>
      </c>
      <c r="AE210" s="307">
        <f t="shared" si="92"/>
        <v>0.9</v>
      </c>
      <c r="AF210" s="179">
        <f t="shared" si="93"/>
        <v>0.38510156633436887</v>
      </c>
      <c r="AG210" s="839">
        <f t="shared" si="99"/>
        <v>0</v>
      </c>
      <c r="AH210" s="178">
        <f t="shared" si="94"/>
        <v>6</v>
      </c>
      <c r="AI210" s="227">
        <f t="shared" si="95"/>
        <v>0.38510156633436887</v>
      </c>
      <c r="AJ210" s="267" t="b">
        <f t="shared" si="96"/>
        <v>1</v>
      </c>
      <c r="AK210" s="267" t="b">
        <f t="shared" si="97"/>
        <v>0</v>
      </c>
      <c r="AL210" s="267"/>
      <c r="AM210" s="267"/>
      <c r="AN210" s="75"/>
    </row>
    <row r="211" spans="1:40" s="6" customFormat="1" ht="11.25" x14ac:dyDescent="0.2">
      <c r="A211" s="56">
        <f t="shared" si="98"/>
        <v>44758</v>
      </c>
      <c r="B211" s="1141">
        <v>49.075000000000003</v>
      </c>
      <c r="C211" s="868"/>
      <c r="D211" s="395">
        <f t="shared" si="77"/>
        <v>50.753338167361086</v>
      </c>
      <c r="E211" s="387">
        <f t="shared" si="75"/>
        <v>58.800678439833206</v>
      </c>
      <c r="F211" s="387">
        <f t="shared" si="78"/>
        <v>58.824249383771757</v>
      </c>
      <c r="G211" s="110">
        <f t="shared" si="76"/>
        <v>0.95147918905735906</v>
      </c>
      <c r="H211" s="416" t="b">
        <f>Wh_hp&gt;='2021'!Maxi_hp</f>
        <v>0</v>
      </c>
      <c r="I211" s="382">
        <f>IF(H211,Wh_hp,'2021'!Maxi_hp)</f>
        <v>61.80609820864801</v>
      </c>
      <c r="J211" s="85">
        <f>IF(H211,An,'2021'!An_max)</f>
        <v>2019</v>
      </c>
      <c r="K211" s="199">
        <f t="shared" si="79"/>
        <v>44758</v>
      </c>
      <c r="L211" s="147">
        <f>IF(t&lt;Tvie,1-EXP((T0-t)*PertePVj)+'2021'!Pspv,1-EXP((T0-t)*PertePVj)+Pspv)</f>
        <v>3.3068527666627601E-2</v>
      </c>
      <c r="M211" s="872"/>
      <c r="N211" s="872"/>
      <c r="O211" s="48">
        <f>IF(t&lt;Tnet,'2021'!Resal+('2021'!Salim-'2021'!Resal)*(1-EXP(('2021'!Tnet-t)/('2021'!Tau_j))),Resal+(Salim-Resal)*(1-EXP((Tnet-t)/(Tau_j))))*Salcycl</f>
        <v>0.13685794936373771</v>
      </c>
      <c r="P211" s="341">
        <f>(INDEX(Models!$BJ211:$BT211,,T211)*(1-R211)+INDEX(Models!$BJ211:$BT211,,T211+1)*R211-ERP_i)*Q211*Ramure*Pc/MaxiM</f>
        <v>4.3052576658617482E-4</v>
      </c>
      <c r="Q211" s="307">
        <f t="shared" si="80"/>
        <v>0.9</v>
      </c>
      <c r="R211" s="179">
        <f t="shared" si="81"/>
        <v>0.38888338704746817</v>
      </c>
      <c r="S211" s="839">
        <f t="shared" si="82"/>
        <v>0</v>
      </c>
      <c r="T211" s="178">
        <f t="shared" si="83"/>
        <v>6</v>
      </c>
      <c r="U211" s="253">
        <f t="shared" si="84"/>
        <v>0.38888338704746817</v>
      </c>
      <c r="V211" s="385">
        <f t="shared" si="85"/>
        <v>51.576047415682432</v>
      </c>
      <c r="W211" s="404">
        <f t="shared" si="86"/>
        <v>0</v>
      </c>
      <c r="X211" s="157">
        <f t="shared" si="87"/>
        <v>44758</v>
      </c>
      <c r="Y211" s="387">
        <f t="shared" si="88"/>
        <v>47.28335221971502</v>
      </c>
      <c r="Z211" s="387">
        <f t="shared" si="89"/>
        <v>48.900417012606006</v>
      </c>
      <c r="AA211" s="388">
        <f t="shared" si="90"/>
        <v>58.800678439833206</v>
      </c>
      <c r="AB211" s="199">
        <f t="shared" si="91"/>
        <v>44758</v>
      </c>
      <c r="AC211" s="119">
        <f>IF(OR(t&lt;Tnet,NoTnet),'2021'!Resal_s+('2021'!Salim-'2021'!Resal_s)*(1-EXP(('2021'!Tnet_s-t)/'2021'!Tau_j)),Resal_s+(Salim-Resal_s)*(1-EXP((Tnet_s-t)/Tau_j)))*Salcycl</f>
        <v>0.16836985031316387</v>
      </c>
      <c r="AD211" s="233">
        <f>(INDEX(Models!$BJ211:$BT211,,AH211)*(1-AF211)+INDEX(Models!$BJ211:$BT211,,AH211+1)*AF211-ERP_i)*AE211*Ramure*Pc/MaxiM</f>
        <v>4.3052576658617482E-4</v>
      </c>
      <c r="AE211" s="307">
        <f t="shared" si="92"/>
        <v>0.9</v>
      </c>
      <c r="AF211" s="179">
        <f t="shared" si="93"/>
        <v>0.38888338704746817</v>
      </c>
      <c r="AG211" s="839">
        <f t="shared" si="99"/>
        <v>0</v>
      </c>
      <c r="AH211" s="178">
        <f t="shared" si="94"/>
        <v>6</v>
      </c>
      <c r="AI211" s="227">
        <f t="shared" si="95"/>
        <v>0.38888338704746817</v>
      </c>
      <c r="AJ211" s="267" t="b">
        <f t="shared" si="96"/>
        <v>1</v>
      </c>
      <c r="AK211" s="267" t="b">
        <f t="shared" si="97"/>
        <v>0</v>
      </c>
      <c r="AL211" s="267"/>
      <c r="AM211" s="267"/>
      <c r="AN211" s="75"/>
    </row>
    <row r="212" spans="1:40" s="6" customFormat="1" ht="11.25" x14ac:dyDescent="0.2">
      <c r="A212" s="56">
        <f t="shared" si="98"/>
        <v>44759</v>
      </c>
      <c r="B212" s="1141">
        <v>48.241</v>
      </c>
      <c r="C212" s="868"/>
      <c r="D212" s="395">
        <f t="shared" si="77"/>
        <v>49.891976882555127</v>
      </c>
      <c r="E212" s="387">
        <f t="shared" si="75"/>
        <v>57.811792332197392</v>
      </c>
      <c r="F212" s="387">
        <f t="shared" si="78"/>
        <v>57.836378053598352</v>
      </c>
      <c r="G212" s="110">
        <f t="shared" si="76"/>
        <v>0.9375479066677862</v>
      </c>
      <c r="H212" s="416" t="b">
        <f>Wh_hp&gt;='2021'!Maxi_hp</f>
        <v>0</v>
      </c>
      <c r="I212" s="382">
        <f>IF(H212,Wh_hp,'2021'!Maxi_hp)</f>
        <v>61.03216766608417</v>
      </c>
      <c r="J212" s="85">
        <f>IF(H212,An,'2021'!An_max)</f>
        <v>2021</v>
      </c>
      <c r="K212" s="199">
        <f t="shared" si="79"/>
        <v>44759</v>
      </c>
      <c r="L212" s="147">
        <f>IF(t&lt;Tvie,1-EXP((T0-t)*PertePVj)+'2021'!Pspv,1-EXP((T0-t)*PertePVj)+Pspv)</f>
        <v>3.3091029574584763E-2</v>
      </c>
      <c r="M212" s="872"/>
      <c r="N212" s="872"/>
      <c r="O212" s="48">
        <f>IF(t&lt;Tnet,'2021'!Resal+('2021'!Salim-'2021'!Resal)*(1-EXP(('2021'!Tnet-t)/('2021'!Tau_j))),Resal+(Salim-Resal)*(1-EXP((Tnet-t)/(Tau_j))))*Salcycl</f>
        <v>0.13699307926890622</v>
      </c>
      <c r="P212" s="341">
        <f>(INDEX(Models!$BJ212:$BT212,,T212)*(1-R212)+INDEX(Models!$BJ212:$BT212,,T212+1)*R212-ERP_i)*Q212*Ramure*Pc/MaxiM</f>
        <v>4.6670289712760364E-4</v>
      </c>
      <c r="Q212" s="307">
        <f t="shared" si="80"/>
        <v>0.9</v>
      </c>
      <c r="R212" s="179">
        <f t="shared" si="81"/>
        <v>0.39256871414174699</v>
      </c>
      <c r="S212" s="839">
        <f t="shared" si="82"/>
        <v>0</v>
      </c>
      <c r="T212" s="178">
        <f t="shared" si="83"/>
        <v>6</v>
      </c>
      <c r="U212" s="253">
        <f t="shared" si="84"/>
        <v>0.39256871414174699</v>
      </c>
      <c r="V212" s="385">
        <f t="shared" si="85"/>
        <v>51.452295292560123</v>
      </c>
      <c r="W212" s="404">
        <f t="shared" si="86"/>
        <v>0</v>
      </c>
      <c r="X212" s="157">
        <f t="shared" si="87"/>
        <v>44759</v>
      </c>
      <c r="Y212" s="387">
        <f t="shared" si="88"/>
        <v>46.484187951073302</v>
      </c>
      <c r="Z212" s="387">
        <f t="shared" si="89"/>
        <v>48.07504053936065</v>
      </c>
      <c r="AA212" s="388">
        <f t="shared" si="90"/>
        <v>57.811792332197392</v>
      </c>
      <c r="AB212" s="199">
        <f t="shared" si="91"/>
        <v>44759</v>
      </c>
      <c r="AC212" s="119">
        <f>IF(OR(t&lt;Tnet,NoTnet),'2021'!Resal_s+('2021'!Salim-'2021'!Resal_s)*(1-EXP(('2021'!Tnet_s-t)/'2021'!Tau_j)),Resal_s+(Salim-Resal_s)*(1-EXP((Tnet_s-t)/Tau_j)))*Salcycl</f>
        <v>0.16842155207518114</v>
      </c>
      <c r="AD212" s="233">
        <f>(INDEX(Models!$BJ212:$BT212,,AH212)*(1-AF212)+INDEX(Models!$BJ212:$BT212,,AH212+1)*AF212-ERP_i)*AE212*Ramure*Pc/MaxiM</f>
        <v>4.6670289712760364E-4</v>
      </c>
      <c r="AE212" s="307">
        <f t="shared" si="92"/>
        <v>0.9</v>
      </c>
      <c r="AF212" s="179">
        <f t="shared" si="93"/>
        <v>0.39256871414174699</v>
      </c>
      <c r="AG212" s="839">
        <f t="shared" si="99"/>
        <v>0</v>
      </c>
      <c r="AH212" s="178">
        <f t="shared" si="94"/>
        <v>6</v>
      </c>
      <c r="AI212" s="227">
        <f t="shared" si="95"/>
        <v>0.39256871414174699</v>
      </c>
      <c r="AJ212" s="267" t="b">
        <f t="shared" si="96"/>
        <v>1</v>
      </c>
      <c r="AK212" s="267" t="b">
        <f t="shared" si="97"/>
        <v>0</v>
      </c>
      <c r="AL212" s="267"/>
      <c r="AM212" s="267"/>
      <c r="AN212" s="75"/>
    </row>
    <row r="213" spans="1:40" s="6" customFormat="1" ht="11.25" x14ac:dyDescent="0.2">
      <c r="A213" s="56">
        <f t="shared" si="98"/>
        <v>44760</v>
      </c>
      <c r="B213" s="1141">
        <v>48.506</v>
      </c>
      <c r="C213" s="868"/>
      <c r="D213" s="395">
        <f t="shared" si="77"/>
        <v>50.167213580002645</v>
      </c>
      <c r="E213" s="387">
        <f t="shared" si="75"/>
        <v>58.139703329827348</v>
      </c>
      <c r="F213" s="387">
        <f t="shared" si="78"/>
        <v>58.166784898613678</v>
      </c>
      <c r="G213" s="110">
        <f t="shared" si="76"/>
        <v>0.94501682096865514</v>
      </c>
      <c r="H213" s="416" t="b">
        <f>Wh_hp&gt;='2021'!Maxi_hp</f>
        <v>1</v>
      </c>
      <c r="I213" s="382">
        <f>IF(H213,Wh_hp,'2021'!Maxi_hp)</f>
        <v>58.166784898613678</v>
      </c>
      <c r="J213" s="85">
        <f>IF(H213,An,'2021'!An_max)</f>
        <v>2022</v>
      </c>
      <c r="K213" s="199">
        <f t="shared" si="79"/>
        <v>44760</v>
      </c>
      <c r="L213" s="147">
        <f>IF(t&lt;Tvie,1-EXP((T0-t)*PertePVj)+'2021'!Pspv,1-EXP((T0-t)*PertePVj)+Pspv)</f>
        <v>3.3113530958889581E-2</v>
      </c>
      <c r="M213" s="872"/>
      <c r="N213" s="872"/>
      <c r="O213" s="48">
        <f>IF(t&lt;Tnet,'2021'!Resal+('2021'!Salim-'2021'!Resal)*(1-EXP(('2021'!Tnet-t)/('2021'!Tau_j))),Resal+(Salim-Resal)*(1-EXP((Tnet-t)/(Tau_j))))*Salcycl</f>
        <v>0.13712642640428799</v>
      </c>
      <c r="P213" s="341">
        <f>(INDEX(Models!$BJ213:$BT213,,T213)*(1-R213)+INDEX(Models!$BJ213:$BT213,,T213+1)*R213-ERP_i)*Q213*Ramure*Pc/MaxiM</f>
        <v>5.0524324135832834E-4</v>
      </c>
      <c r="Q213" s="307">
        <f t="shared" si="80"/>
        <v>0.9</v>
      </c>
      <c r="R213" s="179">
        <f t="shared" si="81"/>
        <v>0.39615820083472458</v>
      </c>
      <c r="S213" s="839">
        <f t="shared" si="82"/>
        <v>0</v>
      </c>
      <c r="T213" s="178">
        <f t="shared" si="83"/>
        <v>6</v>
      </c>
      <c r="U213" s="253">
        <f t="shared" si="84"/>
        <v>0.39615820083472458</v>
      </c>
      <c r="V213" s="385">
        <f t="shared" si="85"/>
        <v>51.32615034312466</v>
      </c>
      <c r="W213" s="404">
        <f t="shared" si="86"/>
        <v>0</v>
      </c>
      <c r="X213" s="157">
        <f t="shared" si="87"/>
        <v>44760</v>
      </c>
      <c r="Y213" s="387">
        <f t="shared" si="88"/>
        <v>46.743960684593638</v>
      </c>
      <c r="Z213" s="387">
        <f t="shared" si="89"/>
        <v>48.344828665304405</v>
      </c>
      <c r="AA213" s="388">
        <f t="shared" si="90"/>
        <v>58.139703329827348</v>
      </c>
      <c r="AB213" s="199">
        <f t="shared" si="91"/>
        <v>44760</v>
      </c>
      <c r="AC213" s="119">
        <f>IF(OR(t&lt;Tnet,NoTnet),'2021'!Resal_s+('2021'!Salim-'2021'!Resal_s)*(1-EXP(('2021'!Tnet_s-t)/'2021'!Tau_j)),Resal_s+(Salim-Resal_s)*(1-EXP((Tnet_s-t)/Tau_j)))*Salcycl</f>
        <v>0.1684713561222782</v>
      </c>
      <c r="AD213" s="233">
        <f>(INDEX(Models!$BJ213:$BT213,,AH213)*(1-AF213)+INDEX(Models!$BJ213:$BT213,,AH213+1)*AF213-ERP_i)*AE213*Ramure*Pc/MaxiM</f>
        <v>5.0524324135832834E-4</v>
      </c>
      <c r="AE213" s="307">
        <f t="shared" si="92"/>
        <v>0.9</v>
      </c>
      <c r="AF213" s="179">
        <f t="shared" si="93"/>
        <v>0.39615820083472458</v>
      </c>
      <c r="AG213" s="839">
        <f t="shared" si="99"/>
        <v>0</v>
      </c>
      <c r="AH213" s="178">
        <f t="shared" si="94"/>
        <v>6</v>
      </c>
      <c r="AI213" s="227">
        <f t="shared" si="95"/>
        <v>0.39615820083472458</v>
      </c>
      <c r="AJ213" s="267" t="b">
        <f t="shared" si="96"/>
        <v>1</v>
      </c>
      <c r="AK213" s="267" t="b">
        <f t="shared" si="97"/>
        <v>0</v>
      </c>
      <c r="AL213" s="267"/>
      <c r="AM213" s="267"/>
      <c r="AN213" s="75"/>
    </row>
    <row r="214" spans="1:40" s="6" customFormat="1" ht="11.25" x14ac:dyDescent="0.2">
      <c r="A214" s="56">
        <f t="shared" si="98"/>
        <v>44761</v>
      </c>
      <c r="B214" s="1141">
        <v>39.231999999999999</v>
      </c>
      <c r="C214" s="868"/>
      <c r="D214" s="395">
        <f t="shared" si="77"/>
        <v>40.576545709766421</v>
      </c>
      <c r="E214" s="387">
        <f t="shared" si="75"/>
        <v>47.032078350656128</v>
      </c>
      <c r="F214" s="387">
        <f t="shared" si="78"/>
        <v>47.049195610219464</v>
      </c>
      <c r="G214" s="110">
        <f t="shared" si="76"/>
        <v>0.76614322100227694</v>
      </c>
      <c r="H214" s="416" t="b">
        <f>Wh_hp&gt;='2021'!Maxi_hp</f>
        <v>0</v>
      </c>
      <c r="I214" s="382">
        <f>IF(H214,Wh_hp,'2021'!Maxi_hp)</f>
        <v>60.668630393036239</v>
      </c>
      <c r="J214" s="85">
        <f>IF(H214,An,'2021'!An_max)</f>
        <v>2020</v>
      </c>
      <c r="K214" s="199">
        <f t="shared" si="79"/>
        <v>44761</v>
      </c>
      <c r="L214" s="147">
        <f>IF(t&lt;Tvie,1-EXP((T0-t)*PertePVj)+'2021'!Pspv,1-EXP((T0-t)*PertePVj)+Pspv)</f>
        <v>3.3136031819554379E-2</v>
      </c>
      <c r="M214" s="872"/>
      <c r="N214" s="872"/>
      <c r="O214" s="48">
        <f>IF(t&lt;Tnet,'2021'!Resal+('2021'!Salim-'2021'!Resal)*(1-EXP(('2021'!Tnet-t)/('2021'!Tau_j))),Resal+(Salim-Resal)*(1-EXP((Tnet-t)/(Tau_j))))*Salcycl</f>
        <v>0.13725807719487373</v>
      </c>
      <c r="P214" s="341">
        <f>(INDEX(Models!$BJ214:$BT214,,T214)*(1-R214)+INDEX(Models!$BJ214:$BT214,,T214+1)*R214-ERP_i)*Q214*Ramure*Pc/MaxiM</f>
        <v>5.4617332204193408E-4</v>
      </c>
      <c r="Q214" s="307">
        <f t="shared" si="80"/>
        <v>0.9</v>
      </c>
      <c r="R214" s="179">
        <f t="shared" si="81"/>
        <v>0.39965262441638905</v>
      </c>
      <c r="S214" s="839">
        <f t="shared" si="82"/>
        <v>0</v>
      </c>
      <c r="T214" s="178">
        <f t="shared" si="83"/>
        <v>6</v>
      </c>
      <c r="U214" s="253">
        <f t="shared" si="84"/>
        <v>0.39965262441638905</v>
      </c>
      <c r="V214" s="385">
        <f t="shared" si="85"/>
        <v>51.197794467596722</v>
      </c>
      <c r="W214" s="404">
        <f t="shared" si="86"/>
        <v>0</v>
      </c>
      <c r="X214" s="157">
        <f t="shared" si="87"/>
        <v>44761</v>
      </c>
      <c r="Y214" s="387">
        <f t="shared" si="88"/>
        <v>37.810435725193692</v>
      </c>
      <c r="Z214" s="387">
        <f t="shared" si="89"/>
        <v>39.106262069471533</v>
      </c>
      <c r="AA214" s="388">
        <f t="shared" si="90"/>
        <v>47.032078350656128</v>
      </c>
      <c r="AB214" s="199">
        <f t="shared" si="91"/>
        <v>44761</v>
      </c>
      <c r="AC214" s="119">
        <f>IF(OR(t&lt;Tnet,NoTnet),'2021'!Resal_s+('2021'!Salim-'2021'!Resal_s)*(1-EXP(('2021'!Tnet_s-t)/'2021'!Tau_j)),Resal_s+(Salim-Resal_s)*(1-EXP((Tnet_s-t)/Tau_j)))*Salcycl</f>
        <v>0.16851937144032297</v>
      </c>
      <c r="AD214" s="233">
        <f>(INDEX(Models!$BJ214:$BT214,,AH214)*(1-AF214)+INDEX(Models!$BJ214:$BT214,,AH214+1)*AF214-ERP_i)*AE214*Ramure*Pc/MaxiM</f>
        <v>5.4617332204193408E-4</v>
      </c>
      <c r="AE214" s="307">
        <f t="shared" si="92"/>
        <v>0.9</v>
      </c>
      <c r="AF214" s="179">
        <f t="shared" si="93"/>
        <v>0.39965262441638905</v>
      </c>
      <c r="AG214" s="839">
        <f t="shared" si="99"/>
        <v>0</v>
      </c>
      <c r="AH214" s="178">
        <f t="shared" si="94"/>
        <v>6</v>
      </c>
      <c r="AI214" s="227">
        <f t="shared" si="95"/>
        <v>0.39965262441638905</v>
      </c>
      <c r="AJ214" s="267" t="b">
        <f t="shared" si="96"/>
        <v>1</v>
      </c>
      <c r="AK214" s="267" t="b">
        <f t="shared" si="97"/>
        <v>0</v>
      </c>
      <c r="AL214" s="267"/>
      <c r="AM214" s="267"/>
      <c r="AN214" s="75"/>
    </row>
    <row r="215" spans="1:40" s="6" customFormat="1" ht="11.25" x14ac:dyDescent="0.2">
      <c r="A215" s="56">
        <f t="shared" si="98"/>
        <v>44762</v>
      </c>
      <c r="B215" s="1141">
        <v>37.633000000000003</v>
      </c>
      <c r="C215" s="868"/>
      <c r="D215" s="395">
        <f t="shared" si="77"/>
        <v>38.92365113790828</v>
      </c>
      <c r="E215" s="387">
        <f t="shared" si="75"/>
        <v>45.123017482388882</v>
      </c>
      <c r="F215" s="387">
        <f t="shared" si="78"/>
        <v>45.139627419950372</v>
      </c>
      <c r="G215" s="110">
        <f t="shared" si="76"/>
        <v>0.73676459337708711</v>
      </c>
      <c r="H215" s="416" t="b">
        <f>Wh_hp&gt;='2021'!Maxi_hp</f>
        <v>0</v>
      </c>
      <c r="I215" s="382">
        <f>IF(H215,Wh_hp,'2021'!Maxi_hp)</f>
        <v>59.226165984778646</v>
      </c>
      <c r="J215" s="85">
        <f>IF(H215,An,'2021'!An_max)</f>
        <v>2020</v>
      </c>
      <c r="K215" s="199">
        <f t="shared" si="79"/>
        <v>44762</v>
      </c>
      <c r="L215" s="147">
        <f>IF(t&lt;Tvie,1-EXP((T0-t)*PertePVj)+'2021'!Pspv,1-EXP((T0-t)*PertePVj)+Pspv)</f>
        <v>3.3158532156591369E-2</v>
      </c>
      <c r="M215" s="872"/>
      <c r="N215" s="872"/>
      <c r="O215" s="48">
        <f>IF(t&lt;Tnet,'2021'!Resal+('2021'!Salim-'2021'!Resal)*(1-EXP(('2021'!Tnet-t)/('2021'!Tau_j))),Resal+(Salim-Resal)*(1-EXP((Tnet-t)/(Tau_j))))*Salcycl</f>
        <v>0.13738811565295161</v>
      </c>
      <c r="P215" s="341">
        <f>(INDEX(Models!$BJ215:$BT215,,T215)*(1-R215)+INDEX(Models!$BJ215:$BT215,,T215+1)*R215-ERP_i)*Q215*Ramure*Pc/MaxiM</f>
        <v>5.8951963064277947E-4</v>
      </c>
      <c r="Q215" s="307">
        <f t="shared" si="80"/>
        <v>0.9</v>
      </c>
      <c r="R215" s="179">
        <f t="shared" si="81"/>
        <v>0.40305287780519206</v>
      </c>
      <c r="S215" s="839">
        <f t="shared" si="82"/>
        <v>0</v>
      </c>
      <c r="T215" s="178">
        <f t="shared" si="83"/>
        <v>6</v>
      </c>
      <c r="U215" s="253">
        <f t="shared" si="84"/>
        <v>0.40305287780519206</v>
      </c>
      <c r="V215" s="385">
        <f t="shared" si="85"/>
        <v>51.067409612055833</v>
      </c>
      <c r="W215" s="404">
        <f t="shared" si="86"/>
        <v>0</v>
      </c>
      <c r="X215" s="157">
        <f t="shared" si="87"/>
        <v>44762</v>
      </c>
      <c r="Y215" s="387">
        <f t="shared" si="88"/>
        <v>36.272821461037125</v>
      </c>
      <c r="Z215" s="387">
        <f t="shared" si="89"/>
        <v>37.516824285521785</v>
      </c>
      <c r="AA215" s="388">
        <f t="shared" si="90"/>
        <v>45.123017482388882</v>
      </c>
      <c r="AB215" s="199">
        <f t="shared" si="91"/>
        <v>44762</v>
      </c>
      <c r="AC215" s="119">
        <f>IF(OR(t&lt;Tnet,NoTnet),'2021'!Resal_s+('2021'!Salim-'2021'!Resal_s)*(1-EXP(('2021'!Tnet_s-t)/'2021'!Tau_j)),Resal_s+(Salim-Resal_s)*(1-EXP((Tnet_s-t)/Tau_j)))*Salcycl</f>
        <v>0.16856570374168192</v>
      </c>
      <c r="AD215" s="233">
        <f>(INDEX(Models!$BJ215:$BT215,,AH215)*(1-AF215)+INDEX(Models!$BJ215:$BT215,,AH215+1)*AF215-ERP_i)*AE215*Ramure*Pc/MaxiM</f>
        <v>5.8951963064277947E-4</v>
      </c>
      <c r="AE215" s="307">
        <f t="shared" si="92"/>
        <v>0.9</v>
      </c>
      <c r="AF215" s="179">
        <f t="shared" si="93"/>
        <v>0.40305287780519206</v>
      </c>
      <c r="AG215" s="839">
        <f t="shared" si="99"/>
        <v>0</v>
      </c>
      <c r="AH215" s="178">
        <f t="shared" si="94"/>
        <v>6</v>
      </c>
      <c r="AI215" s="227">
        <f t="shared" si="95"/>
        <v>0.40305287780519206</v>
      </c>
      <c r="AJ215" s="267" t="b">
        <f t="shared" si="96"/>
        <v>1</v>
      </c>
      <c r="AK215" s="267" t="b">
        <f t="shared" si="97"/>
        <v>0</v>
      </c>
      <c r="AL215" s="267"/>
      <c r="AM215" s="267"/>
      <c r="AN215" s="75"/>
    </row>
    <row r="216" spans="1:40" s="6" customFormat="1" ht="11.25" x14ac:dyDescent="0.2">
      <c r="A216" s="56">
        <f t="shared" si="98"/>
        <v>44763</v>
      </c>
      <c r="B216" s="1141">
        <v>47.606000000000002</v>
      </c>
      <c r="C216" s="868"/>
      <c r="D216" s="395">
        <f t="shared" si="77"/>
        <v>49.239828317604363</v>
      </c>
      <c r="E216" s="387">
        <f t="shared" si="75"/>
        <v>57.09075633296554</v>
      </c>
      <c r="F216" s="387">
        <f t="shared" si="78"/>
        <v>57.123658871758579</v>
      </c>
      <c r="G216" s="110">
        <f t="shared" si="76"/>
        <v>0.93458345319766112</v>
      </c>
      <c r="H216" s="416" t="b">
        <f>Wh_hp&gt;='2021'!Maxi_hp</f>
        <v>1</v>
      </c>
      <c r="I216" s="382">
        <f>IF(H216,Wh_hp,'2021'!Maxi_hp)</f>
        <v>57.123658871758579</v>
      </c>
      <c r="J216" s="85">
        <f>IF(H216,An,'2021'!An_max)</f>
        <v>2022</v>
      </c>
      <c r="K216" s="199">
        <f t="shared" si="79"/>
        <v>44763</v>
      </c>
      <c r="L216" s="147">
        <f>IF(t&lt;Tvie,1-EXP((T0-t)*PertePVj)+'2021'!Pspv,1-EXP((T0-t)*PertePVj)+Pspv)</f>
        <v>3.3181031970012542E-2</v>
      </c>
      <c r="M216" s="872"/>
      <c r="N216" s="872"/>
      <c r="O216" s="48">
        <f>IF(t&lt;Tnet,'2021'!Resal+('2021'!Salim-'2021'!Resal)*(1-EXP(('2021'!Tnet-t)/('2021'!Tau_j))),Resal+(Salim-Resal)*(1-EXP((Tnet-t)/(Tau_j))))*Salcycl</f>
        <v>0.13751662299887707</v>
      </c>
      <c r="P216" s="341">
        <f>(INDEX(Models!$BJ216:$BT216,,T216)*(1-R216)+INDEX(Models!$BJ216:$BT216,,T216+1)*R216-ERP_i)*Q216*Ramure*Pc/MaxiM</f>
        <v>6.3530858611569093E-4</v>
      </c>
      <c r="Q216" s="307">
        <f t="shared" si="80"/>
        <v>0.9</v>
      </c>
      <c r="R216" s="179">
        <f t="shared" si="81"/>
        <v>0.40635996115825279</v>
      </c>
      <c r="S216" s="839">
        <f t="shared" si="82"/>
        <v>0</v>
      </c>
      <c r="T216" s="178">
        <f t="shared" si="83"/>
        <v>6</v>
      </c>
      <c r="U216" s="253">
        <f t="shared" si="84"/>
        <v>0.40635996115825279</v>
      </c>
      <c r="V216" s="385">
        <f t="shared" si="85"/>
        <v>50.935177796130873</v>
      </c>
      <c r="W216" s="404">
        <f t="shared" si="86"/>
        <v>0</v>
      </c>
      <c r="X216" s="157">
        <f t="shared" si="87"/>
        <v>44763</v>
      </c>
      <c r="Y216" s="387">
        <f t="shared" si="88"/>
        <v>45.889731598350828</v>
      </c>
      <c r="Z216" s="387">
        <f t="shared" si="89"/>
        <v>47.464657930591493</v>
      </c>
      <c r="AA216" s="388">
        <f t="shared" si="90"/>
        <v>57.09075633296554</v>
      </c>
      <c r="AB216" s="199">
        <f t="shared" si="91"/>
        <v>44763</v>
      </c>
      <c r="AC216" s="119">
        <f>IF(OR(t&lt;Tnet,NoTnet),'2021'!Resal_s+('2021'!Salim-'2021'!Resal_s)*(1-EXP(('2021'!Tnet_s-t)/'2021'!Tau_j)),Resal_s+(Salim-Resal_s)*(1-EXP((Tnet_s-t)/Tau_j)))*Salcycl</f>
        <v>0.16861045501363794</v>
      </c>
      <c r="AD216" s="233">
        <f>(INDEX(Models!$BJ216:$BT216,,AH216)*(1-AF216)+INDEX(Models!$BJ216:$BT216,,AH216+1)*AF216-ERP_i)*AE216*Ramure*Pc/MaxiM</f>
        <v>6.3530858611569093E-4</v>
      </c>
      <c r="AE216" s="307">
        <f t="shared" si="92"/>
        <v>0.9</v>
      </c>
      <c r="AF216" s="179">
        <f t="shared" si="93"/>
        <v>0.40635996115825279</v>
      </c>
      <c r="AG216" s="839">
        <f t="shared" si="99"/>
        <v>0</v>
      </c>
      <c r="AH216" s="178">
        <f t="shared" si="94"/>
        <v>6</v>
      </c>
      <c r="AI216" s="227">
        <f t="shared" si="95"/>
        <v>0.40635996115825279</v>
      </c>
      <c r="AJ216" s="267" t="b">
        <f t="shared" si="96"/>
        <v>1</v>
      </c>
      <c r="AK216" s="267" t="b">
        <f t="shared" si="97"/>
        <v>0</v>
      </c>
      <c r="AL216" s="267"/>
      <c r="AM216" s="267"/>
      <c r="AN216" s="75"/>
    </row>
    <row r="217" spans="1:40" s="6" customFormat="1" ht="11.25" x14ac:dyDescent="0.2">
      <c r="A217" s="56">
        <f t="shared" si="98"/>
        <v>44764</v>
      </c>
      <c r="B217" s="1141">
        <v>35.859000000000002</v>
      </c>
      <c r="C217" s="868"/>
      <c r="D217" s="395">
        <f t="shared" si="77"/>
        <v>37.090536798016835</v>
      </c>
      <c r="E217" s="387">
        <f t="shared" si="75"/>
        <v>43.010685748288786</v>
      </c>
      <c r="F217" s="387">
        <f t="shared" si="78"/>
        <v>43.027739349123159</v>
      </c>
      <c r="G217" s="110">
        <f t="shared" si="76"/>
        <v>0.70566520080340267</v>
      </c>
      <c r="H217" s="416" t="b">
        <f>Wh_hp&gt;='2021'!Maxi_hp</f>
        <v>0</v>
      </c>
      <c r="I217" s="382">
        <f>IF(H217,Wh_hp,'2021'!Maxi_hp)</f>
        <v>55.801996612148457</v>
      </c>
      <c r="J217" s="85">
        <f>IF(H217,An,'2021'!An_max)</f>
        <v>2021</v>
      </c>
      <c r="K217" s="199">
        <f t="shared" si="79"/>
        <v>44764</v>
      </c>
      <c r="L217" s="147">
        <f>IF(t&lt;Tvie,1-EXP((T0-t)*PertePVj)+'2021'!Pspv,1-EXP((T0-t)*PertePVj)+Pspv)</f>
        <v>3.3203531259830221E-2</v>
      </c>
      <c r="M217" s="872"/>
      <c r="N217" s="872"/>
      <c r="O217" s="48">
        <f>IF(t&lt;Tnet,'2021'!Resal+('2021'!Salim-'2021'!Resal)*(1-EXP(('2021'!Tnet-t)/('2021'!Tau_j))),Resal+(Salim-Resal)*(1-EXP((Tnet-t)/(Tau_j))))*Salcycl</f>
        <v>0.13764367731587471</v>
      </c>
      <c r="P217" s="341">
        <f>(INDEX(Models!$BJ217:$BT217,,T217)*(1-R217)+INDEX(Models!$BJ217:$BT217,,T217+1)*R217-ERP_i)*Q217*Ramure*Pc/MaxiM</f>
        <v>6.8356649199033208E-4</v>
      </c>
      <c r="Q217" s="307">
        <f t="shared" si="80"/>
        <v>0.9</v>
      </c>
      <c r="R217" s="179">
        <f t="shared" si="81"/>
        <v>0.40957497357828099</v>
      </c>
      <c r="S217" s="839">
        <f t="shared" si="82"/>
        <v>0</v>
      </c>
      <c r="T217" s="178">
        <f t="shared" si="83"/>
        <v>6</v>
      </c>
      <c r="U217" s="253">
        <f t="shared" si="84"/>
        <v>0.40957497357828099</v>
      </c>
      <c r="V217" s="385">
        <f t="shared" si="85"/>
        <v>50.801281130874393</v>
      </c>
      <c r="W217" s="404">
        <f t="shared" si="86"/>
        <v>0</v>
      </c>
      <c r="X217" s="157">
        <f t="shared" si="87"/>
        <v>44764</v>
      </c>
      <c r="Y217" s="387">
        <f t="shared" si="88"/>
        <v>34.569522317877464</v>
      </c>
      <c r="Z217" s="387">
        <f t="shared" si="89"/>
        <v>35.756773463317387</v>
      </c>
      <c r="AA217" s="388">
        <f t="shared" si="90"/>
        <v>43.010685748288786</v>
      </c>
      <c r="AB217" s="199">
        <f t="shared" si="91"/>
        <v>44764</v>
      </c>
      <c r="AC217" s="119">
        <f>IF(OR(t&lt;Tnet,NoTnet),'2021'!Resal_s+('2021'!Salim-'2021'!Resal_s)*(1-EXP(('2021'!Tnet_s-t)/'2021'!Tau_j)),Resal_s+(Salim-Resal_s)*(1-EXP((Tnet_s-t)/Tau_j)))*Salcycl</f>
        <v>0.16865372311019255</v>
      </c>
      <c r="AD217" s="233">
        <f>(INDEX(Models!$BJ217:$BT217,,AH217)*(1-AF217)+INDEX(Models!$BJ217:$BT217,,AH217+1)*AF217-ERP_i)*AE217*Ramure*Pc/MaxiM</f>
        <v>6.8356649199033208E-4</v>
      </c>
      <c r="AE217" s="307">
        <f t="shared" si="92"/>
        <v>0.9</v>
      </c>
      <c r="AF217" s="179">
        <f t="shared" si="93"/>
        <v>0.40957497357828099</v>
      </c>
      <c r="AG217" s="839">
        <f t="shared" si="99"/>
        <v>0</v>
      </c>
      <c r="AH217" s="178">
        <f t="shared" si="94"/>
        <v>6</v>
      </c>
      <c r="AI217" s="227">
        <f t="shared" si="95"/>
        <v>0.40957497357828099</v>
      </c>
      <c r="AJ217" s="267" t="b">
        <f t="shared" si="96"/>
        <v>1</v>
      </c>
      <c r="AK217" s="267" t="b">
        <f t="shared" si="97"/>
        <v>0</v>
      </c>
      <c r="AL217" s="267"/>
      <c r="AM217" s="267"/>
      <c r="AN217" s="75"/>
    </row>
    <row r="218" spans="1:40" s="6" customFormat="1" ht="11.25" x14ac:dyDescent="0.2">
      <c r="A218" s="56">
        <f t="shared" si="98"/>
        <v>44765</v>
      </c>
      <c r="B218" s="1141">
        <v>44.782000000000004</v>
      </c>
      <c r="C218" s="868"/>
      <c r="D218" s="395">
        <f t="shared" si="77"/>
        <v>46.321065099846422</v>
      </c>
      <c r="E218" s="387">
        <f t="shared" si="75"/>
        <v>53.722359874276137</v>
      </c>
      <c r="F218" s="387">
        <f t="shared" si="78"/>
        <v>53.755284686443467</v>
      </c>
      <c r="G218" s="110">
        <f t="shared" si="76"/>
        <v>0.88376086198927761</v>
      </c>
      <c r="H218" s="416" t="b">
        <f>Wh_hp&gt;='2021'!Maxi_hp</f>
        <v>0</v>
      </c>
      <c r="I218" s="382">
        <f>IF(H218,Wh_hp,'2021'!Maxi_hp)</f>
        <v>56.868046767934125</v>
      </c>
      <c r="J218" s="85">
        <f>IF(H218,An,'2021'!An_max)</f>
        <v>2019</v>
      </c>
      <c r="K218" s="199">
        <f t="shared" si="79"/>
        <v>44765</v>
      </c>
      <c r="L218" s="147">
        <f>IF(t&lt;Tvie,1-EXP((T0-t)*PertePVj)+'2021'!Pspv,1-EXP((T0-t)*PertePVj)+Pspv)</f>
        <v>3.3226030026056508E-2</v>
      </c>
      <c r="M218" s="872"/>
      <c r="N218" s="872"/>
      <c r="O218" s="48">
        <f>IF(t&lt;Tnet,'2021'!Resal+('2021'!Salim-'2021'!Resal)*(1-EXP(('2021'!Tnet-t)/('2021'!Tau_j))),Resal+(Salim-Resal)*(1-EXP((Tnet-t)/(Tau_j))))*Salcycl</f>
        <v>0.13776935324044978</v>
      </c>
      <c r="P218" s="341">
        <f>(INDEX(Models!$BJ218:$BT218,,T218)*(1-R218)+INDEX(Models!$BJ218:$BT218,,T218+1)*R218-ERP_i)*Q218*Ramure*Pc/MaxiM</f>
        <v>7.3431949133260187E-4</v>
      </c>
      <c r="Q218" s="307">
        <f t="shared" si="80"/>
        <v>0.9</v>
      </c>
      <c r="R218" s="179">
        <f t="shared" si="81"/>
        <v>0.41269910495556639</v>
      </c>
      <c r="S218" s="839">
        <f t="shared" si="82"/>
        <v>0</v>
      </c>
      <c r="T218" s="178">
        <f t="shared" si="83"/>
        <v>6</v>
      </c>
      <c r="U218" s="253">
        <f t="shared" si="84"/>
        <v>0.41269910495556639</v>
      </c>
      <c r="V218" s="385">
        <f t="shared" si="85"/>
        <v>50.66590184308712</v>
      </c>
      <c r="W218" s="404">
        <f t="shared" si="86"/>
        <v>0</v>
      </c>
      <c r="X218" s="157">
        <f t="shared" si="87"/>
        <v>44765</v>
      </c>
      <c r="Y218" s="387">
        <f t="shared" si="88"/>
        <v>43.175771724779615</v>
      </c>
      <c r="Z218" s="387">
        <f t="shared" si="89"/>
        <v>44.659634067250785</v>
      </c>
      <c r="AA218" s="388">
        <f t="shared" si="90"/>
        <v>53.722359874276137</v>
      </c>
      <c r="AB218" s="199">
        <f t="shared" si="91"/>
        <v>44765</v>
      </c>
      <c r="AC218" s="119">
        <f>IF(OR(t&lt;Tnet,NoTnet),'2021'!Resal_s+('2021'!Salim-'2021'!Resal_s)*(1-EXP(('2021'!Tnet_s-t)/'2021'!Tau_j)),Resal_s+(Salim-Resal_s)*(1-EXP((Tnet_s-t)/Tau_j)))*Salcycl</f>
        <v>0.16869560138896372</v>
      </c>
      <c r="AD218" s="233">
        <f>(INDEX(Models!$BJ218:$BT218,,AH218)*(1-AF218)+INDEX(Models!$BJ218:$BT218,,AH218+1)*AF218-ERP_i)*AE218*Ramure*Pc/MaxiM</f>
        <v>7.3431949133260187E-4</v>
      </c>
      <c r="AE218" s="307">
        <f t="shared" si="92"/>
        <v>0.9</v>
      </c>
      <c r="AF218" s="179">
        <f t="shared" si="93"/>
        <v>0.41269910495556639</v>
      </c>
      <c r="AG218" s="839">
        <f t="shared" si="99"/>
        <v>0</v>
      </c>
      <c r="AH218" s="178">
        <f t="shared" si="94"/>
        <v>6</v>
      </c>
      <c r="AI218" s="227">
        <f t="shared" si="95"/>
        <v>0.41269910495556639</v>
      </c>
      <c r="AJ218" s="267" t="b">
        <f t="shared" si="96"/>
        <v>1</v>
      </c>
      <c r="AK218" s="267" t="b">
        <f t="shared" si="97"/>
        <v>0</v>
      </c>
      <c r="AL218" s="267"/>
      <c r="AM218" s="267"/>
      <c r="AN218" s="75"/>
    </row>
    <row r="219" spans="1:40" s="6" customFormat="1" ht="11.25" x14ac:dyDescent="0.2">
      <c r="A219" s="56">
        <f t="shared" si="98"/>
        <v>44766</v>
      </c>
      <c r="B219" s="1141">
        <v>47.195</v>
      </c>
      <c r="C219" s="868"/>
      <c r="D219" s="395">
        <f t="shared" si="77"/>
        <v>48.81813100887382</v>
      </c>
      <c r="E219" s="387">
        <f t="shared" si="75"/>
        <v>56.626581011045822</v>
      </c>
      <c r="F219" s="387">
        <f t="shared" si="78"/>
        <v>56.667004500813903</v>
      </c>
      <c r="G219" s="110">
        <f t="shared" si="76"/>
        <v>0.93394573591277241</v>
      </c>
      <c r="H219" s="416" t="b">
        <f>Wh_hp&gt;='2021'!Maxi_hp</f>
        <v>0</v>
      </c>
      <c r="I219" s="382">
        <f>IF(H219,Wh_hp,'2021'!Maxi_hp)</f>
        <v>57.12402573643886</v>
      </c>
      <c r="J219" s="85">
        <f>IF(H219,An,'2021'!An_max)</f>
        <v>2019</v>
      </c>
      <c r="K219" s="199">
        <f t="shared" si="79"/>
        <v>44766</v>
      </c>
      <c r="L219" s="147">
        <f>IF(t&lt;Tvie,1-EXP((T0-t)*PertePVj)+'2021'!Pspv,1-EXP((T0-t)*PertePVj)+Pspv)</f>
        <v>3.3248528268703725E-2</v>
      </c>
      <c r="M219" s="872"/>
      <c r="N219" s="872"/>
      <c r="O219" s="48">
        <f>IF(t&lt;Tnet,'2021'!Resal+('2021'!Salim-'2021'!Resal)*(1-EXP(('2021'!Tnet-t)/('2021'!Tau_j))),Resal+(Salim-Resal)*(1-EXP((Tnet-t)/(Tau_j))))*Salcycl</f>
        <v>0.13789372168962222</v>
      </c>
      <c r="P219" s="341">
        <f>(INDEX(Models!$BJ219:$BT219,,T219)*(1-R219)+INDEX(Models!$BJ219:$BT219,,T219+1)*R219-ERP_i)*Q219*Ramure*Pc/MaxiM</f>
        <v>7.8759321652655217E-4</v>
      </c>
      <c r="Q219" s="307">
        <f t="shared" si="80"/>
        <v>0.9</v>
      </c>
      <c r="R219" s="179">
        <f t="shared" si="81"/>
        <v>0.41573362797925517</v>
      </c>
      <c r="S219" s="839">
        <f t="shared" si="82"/>
        <v>0</v>
      </c>
      <c r="T219" s="178">
        <f t="shared" si="83"/>
        <v>6</v>
      </c>
      <c r="U219" s="253">
        <f t="shared" si="84"/>
        <v>0.41573362797925517</v>
      </c>
      <c r="V219" s="385">
        <f t="shared" si="85"/>
        <v>50.52916014697967</v>
      </c>
      <c r="W219" s="404">
        <f t="shared" si="86"/>
        <v>0</v>
      </c>
      <c r="X219" s="157">
        <f t="shared" si="87"/>
        <v>44766</v>
      </c>
      <c r="Y219" s="387">
        <f t="shared" si="88"/>
        <v>45.506565776975265</v>
      </c>
      <c r="Z219" s="387">
        <f t="shared" si="89"/>
        <v>47.071628135698958</v>
      </c>
      <c r="AA219" s="388">
        <f t="shared" si="90"/>
        <v>56.626581011045822</v>
      </c>
      <c r="AB219" s="199">
        <f t="shared" si="91"/>
        <v>44766</v>
      </c>
      <c r="AC219" s="119">
        <f>IF(OR(t&lt;Tnet,NoTnet),'2021'!Resal_s+('2021'!Salim-'2021'!Resal_s)*(1-EXP(('2021'!Tnet_s-t)/'2021'!Tau_j)),Resal_s+(Salim-Resal_s)*(1-EXP((Tnet_s-t)/Tau_j)))*Salcycl</f>
        <v>0.16873617839443703</v>
      </c>
      <c r="AD219" s="233">
        <f>(INDEX(Models!$BJ219:$BT219,,AH219)*(1-AF219)+INDEX(Models!$BJ219:$BT219,,AH219+1)*AF219-ERP_i)*AE219*Ramure*Pc/MaxiM</f>
        <v>7.8759321652655217E-4</v>
      </c>
      <c r="AE219" s="307">
        <f t="shared" si="92"/>
        <v>0.9</v>
      </c>
      <c r="AF219" s="179">
        <f t="shared" si="93"/>
        <v>0.41573362797925517</v>
      </c>
      <c r="AG219" s="839">
        <f t="shared" si="99"/>
        <v>0</v>
      </c>
      <c r="AH219" s="178">
        <f t="shared" si="94"/>
        <v>6</v>
      </c>
      <c r="AI219" s="227">
        <f t="shared" si="95"/>
        <v>0.41573362797925517</v>
      </c>
      <c r="AJ219" s="267" t="b">
        <f t="shared" si="96"/>
        <v>1</v>
      </c>
      <c r="AK219" s="267" t="b">
        <f t="shared" si="97"/>
        <v>0</v>
      </c>
      <c r="AL219" s="267"/>
      <c r="AM219" s="267"/>
      <c r="AN219" s="75"/>
    </row>
    <row r="220" spans="1:40" s="6" customFormat="1" ht="11.25" x14ac:dyDescent="0.2">
      <c r="A220" s="56">
        <f t="shared" si="98"/>
        <v>44767</v>
      </c>
      <c r="B220" s="1141">
        <v>28.515000000000001</v>
      </c>
      <c r="C220" s="868"/>
      <c r="D220" s="395">
        <f t="shared" si="77"/>
        <v>29.496374647440398</v>
      </c>
      <c r="E220" s="387">
        <f t="shared" si="75"/>
        <v>34.219200960756908</v>
      </c>
      <c r="F220" s="387">
        <f t="shared" si="78"/>
        <v>34.23020999863882</v>
      </c>
      <c r="G220" s="110">
        <f t="shared" si="76"/>
        <v>0.56558030208439802</v>
      </c>
      <c r="H220" s="416" t="b">
        <f>Wh_hp&gt;='2021'!Maxi_hp</f>
        <v>0</v>
      </c>
      <c r="I220" s="382">
        <f>IF(H220,Wh_hp,'2021'!Maxi_hp)</f>
        <v>58.709047096297212</v>
      </c>
      <c r="J220" s="85">
        <f>IF(H220,An,'2021'!An_max)</f>
        <v>2020</v>
      </c>
      <c r="K220" s="199">
        <f t="shared" si="79"/>
        <v>44767</v>
      </c>
      <c r="L220" s="147">
        <f>IF(t&lt;Tvie,1-EXP((T0-t)*PertePVj)+'2021'!Pspv,1-EXP((T0-t)*PertePVj)+Pspv)</f>
        <v>3.3271025987783864E-2</v>
      </c>
      <c r="M220" s="872"/>
      <c r="N220" s="872"/>
      <c r="O220" s="48">
        <f>IF(t&lt;Tnet,'2021'!Resal+('2021'!Salim-'2021'!Resal)*(1-EXP(('2021'!Tnet-t)/('2021'!Tau_j))),Resal+(Salim-Resal)*(1-EXP((Tnet-t)/(Tau_j))))*Salcycl</f>
        <v>0.1380168496258202</v>
      </c>
      <c r="P220" s="341">
        <f>(INDEX(Models!$BJ220:$BT220,,T220)*(1-R220)+INDEX(Models!$BJ220:$BT220,,T220+1)*R220-ERP_i)*Q220*Ramure*Pc/MaxiM</f>
        <v>8.4675185964782664E-4</v>
      </c>
      <c r="Q220" s="307">
        <f t="shared" si="80"/>
        <v>0.9</v>
      </c>
      <c r="R220" s="179">
        <f t="shared" si="81"/>
        <v>0.4186798903480734</v>
      </c>
      <c r="S220" s="839">
        <f t="shared" si="82"/>
        <v>0</v>
      </c>
      <c r="T220" s="178">
        <f t="shared" si="83"/>
        <v>6</v>
      </c>
      <c r="U220" s="253">
        <f t="shared" si="84"/>
        <v>0.4186798903480734</v>
      </c>
      <c r="V220" s="385">
        <f t="shared" si="85"/>
        <v>50.390759497718093</v>
      </c>
      <c r="W220" s="404">
        <f t="shared" si="86"/>
        <v>0</v>
      </c>
      <c r="X220" s="157">
        <f t="shared" si="87"/>
        <v>44767</v>
      </c>
      <c r="Y220" s="387">
        <f t="shared" si="88"/>
        <v>27.497481285311377</v>
      </c>
      <c r="Z220" s="387">
        <f t="shared" si="89"/>
        <v>28.443836922760838</v>
      </c>
      <c r="AA220" s="388">
        <f t="shared" si="90"/>
        <v>34.219200960756908</v>
      </c>
      <c r="AB220" s="199">
        <f t="shared" si="91"/>
        <v>44767</v>
      </c>
      <c r="AC220" s="119">
        <f>IF(OR(t&lt;Tnet,NoTnet),'2021'!Resal_s+('2021'!Salim-'2021'!Resal_s)*(1-EXP(('2021'!Tnet_s-t)/'2021'!Tau_j)),Resal_s+(Salim-Resal_s)*(1-EXP((Tnet_s-t)/Tau_j)))*Salcycl</f>
        <v>0.16877553758836586</v>
      </c>
      <c r="AD220" s="233">
        <f>(INDEX(Models!$BJ220:$BT220,,AH220)*(1-AF220)+INDEX(Models!$BJ220:$BT220,,AH220+1)*AF220-ERP_i)*AE220*Ramure*Pc/MaxiM</f>
        <v>8.4675185964782664E-4</v>
      </c>
      <c r="AE220" s="307">
        <f t="shared" si="92"/>
        <v>0.9</v>
      </c>
      <c r="AF220" s="179">
        <f t="shared" si="93"/>
        <v>0.4186798903480734</v>
      </c>
      <c r="AG220" s="839">
        <f t="shared" si="99"/>
        <v>0</v>
      </c>
      <c r="AH220" s="178">
        <f t="shared" si="94"/>
        <v>6</v>
      </c>
      <c r="AI220" s="227">
        <f t="shared" si="95"/>
        <v>0.4186798903480734</v>
      </c>
      <c r="AJ220" s="267" t="b">
        <f t="shared" si="96"/>
        <v>1</v>
      </c>
      <c r="AK220" s="267" t="b">
        <f t="shared" si="97"/>
        <v>0</v>
      </c>
      <c r="AL220" s="267"/>
      <c r="AM220" s="267"/>
      <c r="AN220" s="75"/>
    </row>
    <row r="221" spans="1:40" s="6" customFormat="1" ht="11.25" x14ac:dyDescent="0.2">
      <c r="A221" s="56">
        <f t="shared" si="98"/>
        <v>44768</v>
      </c>
      <c r="B221" s="1141">
        <v>48.259</v>
      </c>
      <c r="C221" s="868"/>
      <c r="D221" s="395">
        <f t="shared" si="77"/>
        <v>49.921047554076736</v>
      </c>
      <c r="E221" s="387">
        <f t="shared" si="75"/>
        <v>57.922374909047349</v>
      </c>
      <c r="F221" s="387">
        <f t="shared" si="78"/>
        <v>57.972191246379587</v>
      </c>
      <c r="G221" s="110">
        <f t="shared" si="76"/>
        <v>0.96031786679421227</v>
      </c>
      <c r="H221" s="416" t="b">
        <f>Wh_hp&gt;='2021'!Maxi_hp</f>
        <v>0</v>
      </c>
      <c r="I221" s="382">
        <f>IF(H221,Wh_hp,'2021'!Maxi_hp)</f>
        <v>58.036306990108471</v>
      </c>
      <c r="J221" s="85">
        <f>IF(H221,An,'2021'!An_max)</f>
        <v>2020</v>
      </c>
      <c r="K221" s="199">
        <f t="shared" si="79"/>
        <v>44768</v>
      </c>
      <c r="L221" s="147">
        <f>IF(t&lt;Tvie,1-EXP((T0-t)*PertePVj)+'2021'!Pspv,1-EXP((T0-t)*PertePVj)+Pspv)</f>
        <v>3.3293523183309248E-2</v>
      </c>
      <c r="M221" s="872"/>
      <c r="N221" s="872"/>
      <c r="O221" s="48">
        <f>IF(t&lt;Tnet,'2021'!Resal+('2021'!Salim-'2021'!Resal)*(1-EXP(('2021'!Tnet-t)/('2021'!Tau_j))),Resal+(Salim-Resal)*(1-EXP((Tnet-t)/(Tau_j))))*Salcycl</f>
        <v>0.13813879985989352</v>
      </c>
      <c r="P221" s="341">
        <f>(INDEX(Models!$BJ221:$BT221,,T221)*(1-R221)+INDEX(Models!$BJ221:$BT221,,T221+1)*R221-ERP_i)*Q221*Ramure*Pc/MaxiM</f>
        <v>9.1088692208364291E-4</v>
      </c>
      <c r="Q221" s="307">
        <f t="shared" si="80"/>
        <v>0.9</v>
      </c>
      <c r="R221" s="179">
        <f t="shared" si="81"/>
        <v>0.42153930720669985</v>
      </c>
      <c r="S221" s="839">
        <f t="shared" si="82"/>
        <v>0</v>
      </c>
      <c r="T221" s="178">
        <f t="shared" si="83"/>
        <v>6</v>
      </c>
      <c r="U221" s="253">
        <f t="shared" si="84"/>
        <v>0.42153930720669985</v>
      </c>
      <c r="V221" s="385">
        <f t="shared" si="85"/>
        <v>50.250558370890843</v>
      </c>
      <c r="W221" s="404">
        <f t="shared" si="86"/>
        <v>0</v>
      </c>
      <c r="X221" s="157">
        <f t="shared" si="87"/>
        <v>44768</v>
      </c>
      <c r="Y221" s="387">
        <f t="shared" si="88"/>
        <v>46.541388437321253</v>
      </c>
      <c r="Z221" s="387">
        <f t="shared" si="89"/>
        <v>48.144281178894538</v>
      </c>
      <c r="AA221" s="388">
        <f t="shared" si="90"/>
        <v>57.922374909047349</v>
      </c>
      <c r="AB221" s="199">
        <f t="shared" si="91"/>
        <v>44768</v>
      </c>
      <c r="AC221" s="119">
        <f>IF(OR(t&lt;Tnet,NoTnet),'2021'!Resal_s+('2021'!Salim-'2021'!Resal_s)*(1-EXP(('2021'!Tnet_s-t)/'2021'!Tau_j)),Resal_s+(Salim-Resal_s)*(1-EXP((Tnet_s-t)/Tau_j)))*Salcycl</f>
        <v>0.16881375712765354</v>
      </c>
      <c r="AD221" s="233">
        <f>(INDEX(Models!$BJ221:$BT221,,AH221)*(1-AF221)+INDEX(Models!$BJ221:$BT221,,AH221+1)*AF221-ERP_i)*AE221*Ramure*Pc/MaxiM</f>
        <v>9.1088692208364291E-4</v>
      </c>
      <c r="AE221" s="307">
        <f t="shared" si="92"/>
        <v>0.9</v>
      </c>
      <c r="AF221" s="179">
        <f t="shared" si="93"/>
        <v>0.42153930720669985</v>
      </c>
      <c r="AG221" s="839">
        <f t="shared" si="99"/>
        <v>0</v>
      </c>
      <c r="AH221" s="178">
        <f t="shared" si="94"/>
        <v>6</v>
      </c>
      <c r="AI221" s="227">
        <f t="shared" si="95"/>
        <v>0.42153930720669985</v>
      </c>
      <c r="AJ221" s="267" t="b">
        <f t="shared" si="96"/>
        <v>1</v>
      </c>
      <c r="AK221" s="267" t="b">
        <f t="shared" si="97"/>
        <v>0</v>
      </c>
      <c r="AL221" s="267"/>
      <c r="AM221" s="267"/>
      <c r="AN221" s="75"/>
    </row>
    <row r="222" spans="1:40" s="6" customFormat="1" ht="11.25" x14ac:dyDescent="0.2">
      <c r="A222" s="56">
        <f t="shared" si="98"/>
        <v>44769</v>
      </c>
      <c r="B222" s="1141">
        <v>50.792999999999999</v>
      </c>
      <c r="C222" s="868"/>
      <c r="D222" s="395">
        <f t="shared" si="77"/>
        <v>52.543541677805123</v>
      </c>
      <c r="E222" s="387">
        <f t="shared" si="75"/>
        <v>60.973749822366834</v>
      </c>
      <c r="F222" s="387">
        <f t="shared" si="78"/>
        <v>61.033566863458468</v>
      </c>
      <c r="G222" s="110">
        <f t="shared" si="76"/>
        <v>1.0136630640953654</v>
      </c>
      <c r="H222" s="416" t="b">
        <f>Wh_hp&gt;='2021'!Maxi_hp</f>
        <v>1</v>
      </c>
      <c r="I222" s="382">
        <f>IF(H222,Wh_hp,'2021'!Maxi_hp)</f>
        <v>61.033566863458468</v>
      </c>
      <c r="J222" s="85">
        <f>IF(H222,An,'2021'!An_max)</f>
        <v>2022</v>
      </c>
      <c r="K222" s="199">
        <f t="shared" si="79"/>
        <v>44769</v>
      </c>
      <c r="L222" s="147">
        <f>IF(t&lt;Tvie,1-EXP((T0-t)*PertePVj)+'2021'!Pspv,1-EXP((T0-t)*PertePVj)+Pspv)</f>
        <v>3.3316019855292089E-2</v>
      </c>
      <c r="M222" s="872"/>
      <c r="N222" s="872"/>
      <c r="O222" s="48">
        <f>IF(t&lt;Tnet,'2021'!Resal+('2021'!Salim-'2021'!Resal)*(1-EXP(('2021'!Tnet-t)/('2021'!Tau_j))),Resal+(Salim-Resal)*(1-EXP((Tnet-t)/(Tau_j))))*Salcycl</f>
        <v>0.13825963089232998</v>
      </c>
      <c r="P222" s="341">
        <f>(INDEX(Models!$BJ222:$BT222,,T222)*(1-R222)+INDEX(Models!$BJ222:$BT222,,T222+1)*R222-ERP_i)*Q222*Ramure*Pc/MaxiM</f>
        <v>9.8006792271301368E-4</v>
      </c>
      <c r="Q222" s="307">
        <f t="shared" si="80"/>
        <v>0.9</v>
      </c>
      <c r="R222" s="179">
        <f t="shared" si="81"/>
        <v>0.42431335383018753</v>
      </c>
      <c r="S222" s="839">
        <f t="shared" si="82"/>
        <v>0</v>
      </c>
      <c r="T222" s="178">
        <f t="shared" si="83"/>
        <v>6</v>
      </c>
      <c r="U222" s="253">
        <f t="shared" si="84"/>
        <v>0.42431335383018753</v>
      </c>
      <c r="V222" s="385">
        <f t="shared" si="85"/>
        <v>50.108366181152867</v>
      </c>
      <c r="W222" s="404">
        <f t="shared" si="86"/>
        <v>0</v>
      </c>
      <c r="X222" s="157">
        <f t="shared" si="87"/>
        <v>44769</v>
      </c>
      <c r="Y222" s="387">
        <f t="shared" si="88"/>
        <v>48.989878224982931</v>
      </c>
      <c r="Z222" s="387">
        <f t="shared" si="89"/>
        <v>50.678276697674647</v>
      </c>
      <c r="AA222" s="388">
        <f t="shared" si="90"/>
        <v>60.973749822366834</v>
      </c>
      <c r="AB222" s="199">
        <f t="shared" si="91"/>
        <v>44769</v>
      </c>
      <c r="AC222" s="119">
        <f>IF(OR(t&lt;Tnet,NoTnet),'2021'!Resal_s+('2021'!Salim-'2021'!Resal_s)*(1-EXP(('2021'!Tnet_s-t)/'2021'!Tau_j)),Resal_s+(Salim-Resal_s)*(1-EXP((Tnet_s-t)/Tau_j)))*Salcycl</f>
        <v>0.16885090968959121</v>
      </c>
      <c r="AD222" s="233">
        <f>(INDEX(Models!$BJ222:$BT222,,AH222)*(1-AF222)+INDEX(Models!$BJ222:$BT222,,AH222+1)*AF222-ERP_i)*AE222*Ramure*Pc/MaxiM</f>
        <v>9.8006792271301368E-4</v>
      </c>
      <c r="AE222" s="307">
        <f t="shared" si="92"/>
        <v>0.9</v>
      </c>
      <c r="AF222" s="179">
        <f t="shared" si="93"/>
        <v>0.42431335383018753</v>
      </c>
      <c r="AG222" s="839">
        <f t="shared" si="99"/>
        <v>0</v>
      </c>
      <c r="AH222" s="178">
        <f t="shared" si="94"/>
        <v>6</v>
      </c>
      <c r="AI222" s="227">
        <f t="shared" si="95"/>
        <v>0.42431335383018753</v>
      </c>
      <c r="AJ222" s="267" t="b">
        <f t="shared" si="96"/>
        <v>1</v>
      </c>
      <c r="AK222" s="267" t="b">
        <f t="shared" si="97"/>
        <v>0</v>
      </c>
      <c r="AL222" s="267"/>
      <c r="AM222" s="267"/>
      <c r="AN222" s="75"/>
    </row>
    <row r="223" spans="1:40" s="6" customFormat="1" ht="11.25" x14ac:dyDescent="0.2">
      <c r="A223" s="56">
        <f t="shared" si="98"/>
        <v>44770</v>
      </c>
      <c r="B223" s="1141">
        <v>43.308999999999997</v>
      </c>
      <c r="C223" s="868"/>
      <c r="D223" s="395">
        <f t="shared" si="77"/>
        <v>44.802653997299181</v>
      </c>
      <c r="E223" s="387">
        <f t="shared" si="75"/>
        <v>51.998122875090459</v>
      </c>
      <c r="F223" s="387">
        <f t="shared" si="78"/>
        <v>52.04255376465234</v>
      </c>
      <c r="G223" s="110">
        <f t="shared" si="76"/>
        <v>0.86663017303180989</v>
      </c>
      <c r="H223" s="416" t="b">
        <f>Wh_hp&gt;='2021'!Maxi_hp</f>
        <v>0</v>
      </c>
      <c r="I223" s="382">
        <f>IF(H223,Wh_hp,'2021'!Maxi_hp)</f>
        <v>61.3460462503919</v>
      </c>
      <c r="J223" s="85">
        <f>IF(H223,An,'2021'!An_max)</f>
        <v>2019</v>
      </c>
      <c r="K223" s="199">
        <f t="shared" si="79"/>
        <v>44770</v>
      </c>
      <c r="L223" s="147">
        <f>IF(t&lt;Tvie,1-EXP((T0-t)*PertePVj)+'2021'!Pspv,1-EXP((T0-t)*PertePVj)+Pspv)</f>
        <v>3.3338516003744378E-2</v>
      </c>
      <c r="M223" s="872"/>
      <c r="N223" s="872"/>
      <c r="O223" s="48">
        <f>IF(t&lt;Tnet,'2021'!Resal+('2021'!Salim-'2021'!Resal)*(1-EXP(('2021'!Tnet-t)/('2021'!Tau_j))),Resal+(Salim-Resal)*(1-EXP((Tnet-t)/(Tau_j))))*Salcycl</f>
        <v>0.13837939679238381</v>
      </c>
      <c r="P223" s="341">
        <f>(INDEX(Models!$BJ223:$BT223,,T223)*(1-R223)+INDEX(Models!$BJ223:$BT223,,T223+1)*R223-ERP_i)*Q223*Ramure*Pc/MaxiM</f>
        <v>1.0543659470890925E-3</v>
      </c>
      <c r="Q223" s="307">
        <f t="shared" si="80"/>
        <v>0.9</v>
      </c>
      <c r="R223" s="179">
        <f t="shared" si="81"/>
        <v>0.4270035585751798</v>
      </c>
      <c r="S223" s="839">
        <f t="shared" si="82"/>
        <v>0</v>
      </c>
      <c r="T223" s="178">
        <f t="shared" si="83"/>
        <v>6</v>
      </c>
      <c r="U223" s="253">
        <f t="shared" si="84"/>
        <v>0.4270035585751798</v>
      </c>
      <c r="V223" s="385">
        <f t="shared" si="85"/>
        <v>49.963992808311602</v>
      </c>
      <c r="W223" s="404">
        <f t="shared" si="86"/>
        <v>0</v>
      </c>
      <c r="X223" s="157">
        <f t="shared" si="87"/>
        <v>44770</v>
      </c>
      <c r="Y223" s="387">
        <f t="shared" si="88"/>
        <v>41.775544924238496</v>
      </c>
      <c r="Z223" s="387">
        <f t="shared" si="89"/>
        <v>43.216312655320728</v>
      </c>
      <c r="AA223" s="388">
        <f t="shared" si="90"/>
        <v>51.998122875090459</v>
      </c>
      <c r="AB223" s="199">
        <f t="shared" si="91"/>
        <v>44770</v>
      </c>
      <c r="AC223" s="119">
        <f>IF(OR(t&lt;Tnet,NoTnet),'2021'!Resal_s+('2021'!Salim-'2021'!Resal_s)*(1-EXP(('2021'!Tnet_s-t)/'2021'!Tau_j)),Resal_s+(Salim-Resal_s)*(1-EXP((Tnet_s-t)/Tau_j)))*Salcycl</f>
        <v>0.16888706234387227</v>
      </c>
      <c r="AD223" s="233">
        <f>(INDEX(Models!$BJ223:$BT223,,AH223)*(1-AF223)+INDEX(Models!$BJ223:$BT223,,AH223+1)*AF223-ERP_i)*AE223*Ramure*Pc/MaxiM</f>
        <v>1.0543659470890925E-3</v>
      </c>
      <c r="AE223" s="307">
        <f t="shared" si="92"/>
        <v>0.9</v>
      </c>
      <c r="AF223" s="179">
        <f t="shared" si="93"/>
        <v>0.4270035585751798</v>
      </c>
      <c r="AG223" s="839">
        <f t="shared" si="99"/>
        <v>0</v>
      </c>
      <c r="AH223" s="178">
        <f t="shared" si="94"/>
        <v>6</v>
      </c>
      <c r="AI223" s="227">
        <f t="shared" si="95"/>
        <v>0.4270035585751798</v>
      </c>
      <c r="AJ223" s="267" t="b">
        <f t="shared" si="96"/>
        <v>1</v>
      </c>
      <c r="AK223" s="267" t="b">
        <f t="shared" si="97"/>
        <v>0</v>
      </c>
      <c r="AL223" s="267"/>
      <c r="AM223" s="267"/>
      <c r="AN223" s="75"/>
    </row>
    <row r="224" spans="1:40" s="6" customFormat="1" ht="11.25" x14ac:dyDescent="0.2">
      <c r="A224" s="56">
        <f t="shared" si="98"/>
        <v>44771</v>
      </c>
      <c r="B224" s="1141">
        <v>25.097000000000001</v>
      </c>
      <c r="C224" s="868"/>
      <c r="D224" s="395">
        <f t="shared" si="77"/>
        <v>25.96315718889597</v>
      </c>
      <c r="E224" s="387">
        <f t="shared" si="75"/>
        <v>30.137088042160602</v>
      </c>
      <c r="F224" s="387">
        <f t="shared" si="78"/>
        <v>30.147039074527218</v>
      </c>
      <c r="G224" s="110">
        <f t="shared" si="76"/>
        <v>0.50337627656503092</v>
      </c>
      <c r="H224" s="416" t="b">
        <f>Wh_hp&gt;='2021'!Maxi_hp</f>
        <v>0</v>
      </c>
      <c r="I224" s="382">
        <f>IF(H224,Wh_hp,'2021'!Maxi_hp)</f>
        <v>60.078998480863916</v>
      </c>
      <c r="J224" s="85">
        <f>IF(H224,An,'2021'!An_max)</f>
        <v>2019</v>
      </c>
      <c r="K224" s="199">
        <f t="shared" si="79"/>
        <v>44771</v>
      </c>
      <c r="L224" s="147">
        <f>IF(t&lt;Tvie,1-EXP((T0-t)*PertePVj)+'2021'!Pspv,1-EXP((T0-t)*PertePVj)+Pspv)</f>
        <v>3.336101162867855E-2</v>
      </c>
      <c r="M224" s="872"/>
      <c r="N224" s="872"/>
      <c r="O224" s="48">
        <f>IF(t&lt;Tnet,'2021'!Resal+('2021'!Salim-'2021'!Resal)*(1-EXP(('2021'!Tnet-t)/('2021'!Tau_j))),Resal+(Salim-Resal)*(1-EXP((Tnet-t)/(Tau_j))))*Salcycl</f>
        <v>0.13849814711446129</v>
      </c>
      <c r="P224" s="341">
        <f>(INDEX(Models!$BJ224:$BT224,,T224)*(1-R224)+INDEX(Models!$BJ224:$BT224,,T224+1)*R224-ERP_i)*Q224*Ramure*Pc/MaxiM</f>
        <v>1.1338539362316801E-3</v>
      </c>
      <c r="Q224" s="307">
        <f t="shared" si="80"/>
        <v>0.9</v>
      </c>
      <c r="R224" s="179">
        <f t="shared" si="81"/>
        <v>0.4296114961132238</v>
      </c>
      <c r="S224" s="839">
        <f t="shared" si="82"/>
        <v>0</v>
      </c>
      <c r="T224" s="178">
        <f t="shared" si="83"/>
        <v>6</v>
      </c>
      <c r="U224" s="253">
        <f t="shared" si="84"/>
        <v>0.4296114961132238</v>
      </c>
      <c r="V224" s="385">
        <f t="shared" si="85"/>
        <v>49.817248594371094</v>
      </c>
      <c r="W224" s="404">
        <f t="shared" si="86"/>
        <v>0</v>
      </c>
      <c r="X224" s="157">
        <f t="shared" si="87"/>
        <v>44771</v>
      </c>
      <c r="Y224" s="387">
        <f t="shared" si="88"/>
        <v>24.210693868576534</v>
      </c>
      <c r="Z224" s="387">
        <f t="shared" si="89"/>
        <v>25.046262523890999</v>
      </c>
      <c r="AA224" s="388">
        <f t="shared" si="90"/>
        <v>30.137088042160602</v>
      </c>
      <c r="AB224" s="199">
        <f t="shared" si="91"/>
        <v>44771</v>
      </c>
      <c r="AC224" s="119">
        <f>IF(OR(t&lt;Tnet,NoTnet),'2021'!Resal_s+('2021'!Salim-'2021'!Resal_s)*(1-EXP(('2021'!Tnet_s-t)/'2021'!Tau_j)),Resal_s+(Salim-Resal_s)*(1-EXP((Tnet_s-t)/Tau_j)))*Salcycl</f>
        <v>0.16892227647036565</v>
      </c>
      <c r="AD224" s="233">
        <f>(INDEX(Models!$BJ224:$BT224,,AH224)*(1-AF224)+INDEX(Models!$BJ224:$BT224,,AH224+1)*AF224-ERP_i)*AE224*Ramure*Pc/MaxiM</f>
        <v>1.1338539362316801E-3</v>
      </c>
      <c r="AE224" s="307">
        <f t="shared" si="92"/>
        <v>0.9</v>
      </c>
      <c r="AF224" s="179">
        <f t="shared" si="93"/>
        <v>0.4296114961132238</v>
      </c>
      <c r="AG224" s="839">
        <f t="shared" si="99"/>
        <v>0</v>
      </c>
      <c r="AH224" s="178">
        <f t="shared" si="94"/>
        <v>6</v>
      </c>
      <c r="AI224" s="227">
        <f t="shared" si="95"/>
        <v>0.4296114961132238</v>
      </c>
      <c r="AJ224" s="267" t="b">
        <f t="shared" si="96"/>
        <v>1</v>
      </c>
      <c r="AK224" s="267" t="b">
        <f t="shared" si="97"/>
        <v>0</v>
      </c>
      <c r="AL224" s="267"/>
      <c r="AM224" s="267"/>
      <c r="AN224" s="75"/>
    </row>
    <row r="225" spans="1:40" s="6" customFormat="1" ht="11.25" x14ac:dyDescent="0.2">
      <c r="A225" s="56">
        <f t="shared" si="98"/>
        <v>44772</v>
      </c>
      <c r="B225" s="1141">
        <v>42.59</v>
      </c>
      <c r="C225" s="868"/>
      <c r="D225" s="395">
        <f t="shared" si="77"/>
        <v>44.060907605585676</v>
      </c>
      <c r="E225" s="387">
        <f t="shared" si="75"/>
        <v>51.151291252109765</v>
      </c>
      <c r="F225" s="387">
        <f t="shared" si="78"/>
        <v>51.200983046721305</v>
      </c>
      <c r="G225" s="110">
        <f t="shared" si="76"/>
        <v>0.85728178323022886</v>
      </c>
      <c r="H225" s="416" t="b">
        <f>Wh_hp&gt;='2021'!Maxi_hp</f>
        <v>0</v>
      </c>
      <c r="I225" s="382">
        <f>IF(H225,Wh_hp,'2021'!Maxi_hp)</f>
        <v>51.973078310921963</v>
      </c>
      <c r="J225" s="85">
        <f>IF(H225,An,'2021'!An_max)</f>
        <v>2020</v>
      </c>
      <c r="K225" s="199">
        <f t="shared" si="79"/>
        <v>44772</v>
      </c>
      <c r="L225" s="147">
        <f>IF(t&lt;Tvie,1-EXP((T0-t)*PertePVj)+'2021'!Pspv,1-EXP((T0-t)*PertePVj)+Pspv)</f>
        <v>3.3383506730106594E-2</v>
      </c>
      <c r="M225" s="872"/>
      <c r="N225" s="872"/>
      <c r="O225" s="48">
        <f>IF(t&lt;Tnet,'2021'!Resal+('2021'!Salim-'2021'!Resal)*(1-EXP(('2021'!Tnet-t)/('2021'!Tau_j))),Resal+(Salim-Resal)*(1-EXP((Tnet-t)/(Tau_j))))*Salcycl</f>
        <v>0.1386159268507545</v>
      </c>
      <c r="P225" s="341">
        <f>(INDEX(Models!$BJ225:$BT225,,T225)*(1-R225)+INDEX(Models!$BJ225:$BT225,,T225+1)*R225-ERP_i)*Q225*Ramure*Pc/MaxiM</f>
        <v>1.2186069871199226E-3</v>
      </c>
      <c r="Q225" s="307">
        <f t="shared" si="80"/>
        <v>0.9</v>
      </c>
      <c r="R225" s="179">
        <f t="shared" si="81"/>
        <v>0.43213878095823077</v>
      </c>
      <c r="S225" s="839">
        <f t="shared" si="82"/>
        <v>0</v>
      </c>
      <c r="T225" s="178">
        <f t="shared" si="83"/>
        <v>6</v>
      </c>
      <c r="U225" s="253">
        <f t="shared" si="84"/>
        <v>0.43213878095823077</v>
      </c>
      <c r="V225" s="385">
        <f t="shared" si="85"/>
        <v>49.667944337433795</v>
      </c>
      <c r="W225" s="404">
        <f t="shared" si="86"/>
        <v>0</v>
      </c>
      <c r="X225" s="157">
        <f t="shared" si="87"/>
        <v>44772</v>
      </c>
      <c r="Y225" s="387">
        <f t="shared" si="88"/>
        <v>41.089845030163787</v>
      </c>
      <c r="Z225" s="387">
        <f t="shared" si="89"/>
        <v>42.508942601593809</v>
      </c>
      <c r="AA225" s="388">
        <f t="shared" si="90"/>
        <v>51.151291252109765</v>
      </c>
      <c r="AB225" s="199">
        <f t="shared" si="91"/>
        <v>44772</v>
      </c>
      <c r="AC225" s="119">
        <f>IF(OR(t&lt;Tnet,NoTnet),'2021'!Resal_s+('2021'!Salim-'2021'!Resal_s)*(1-EXP(('2021'!Tnet_s-t)/'2021'!Tau_j)),Resal_s+(Salim-Resal_s)*(1-EXP((Tnet_s-t)/Tau_j)))*Salcycl</f>
        <v>0.16895660772120782</v>
      </c>
      <c r="AD225" s="233">
        <f>(INDEX(Models!$BJ225:$BT225,,AH225)*(1-AF225)+INDEX(Models!$BJ225:$BT225,,AH225+1)*AF225-ERP_i)*AE225*Ramure*Pc/MaxiM</f>
        <v>1.2186069871199226E-3</v>
      </c>
      <c r="AE225" s="307">
        <f t="shared" si="92"/>
        <v>0.9</v>
      </c>
      <c r="AF225" s="179">
        <f t="shared" si="93"/>
        <v>0.43213878095823077</v>
      </c>
      <c r="AG225" s="839">
        <f t="shared" si="99"/>
        <v>0</v>
      </c>
      <c r="AH225" s="178">
        <f t="shared" si="94"/>
        <v>6</v>
      </c>
      <c r="AI225" s="227">
        <f t="shared" si="95"/>
        <v>0.43213878095823077</v>
      </c>
      <c r="AJ225" s="267" t="b">
        <f t="shared" si="96"/>
        <v>1</v>
      </c>
      <c r="AK225" s="267" t="b">
        <f t="shared" si="97"/>
        <v>0</v>
      </c>
      <c r="AL225" s="267"/>
      <c r="AM225" s="267"/>
      <c r="AN225" s="75"/>
    </row>
    <row r="226" spans="1:40" s="6" customFormat="1" ht="11.25" x14ac:dyDescent="0.2">
      <c r="A226" s="56">
        <f t="shared" si="98"/>
        <v>44773</v>
      </c>
      <c r="B226" s="1141">
        <v>47.018000000000001</v>
      </c>
      <c r="C226" s="868"/>
      <c r="D226" s="395">
        <f t="shared" si="77"/>
        <v>48.642967019893554</v>
      </c>
      <c r="E226" s="387">
        <f t="shared" si="75"/>
        <v>56.478367791162398</v>
      </c>
      <c r="F226" s="387">
        <f t="shared" si="78"/>
        <v>56.547241978763836</v>
      </c>
      <c r="G226" s="110">
        <f t="shared" si="76"/>
        <v>0.94946750678432845</v>
      </c>
      <c r="H226" s="416" t="b">
        <f>Wh_hp&gt;='2021'!Maxi_hp</f>
        <v>1</v>
      </c>
      <c r="I226" s="382">
        <f>IF(H226,Wh_hp,'2021'!Maxi_hp)</f>
        <v>56.547241978763836</v>
      </c>
      <c r="J226" s="85">
        <f>IF(H226,An,'2021'!An_max)</f>
        <v>2022</v>
      </c>
      <c r="K226" s="199">
        <f t="shared" si="79"/>
        <v>44773</v>
      </c>
      <c r="L226" s="147">
        <f>IF(t&lt;Tvie,1-EXP((T0-t)*PertePVj)+'2021'!Pspv,1-EXP((T0-t)*PertePVj)+Pspv)</f>
        <v>3.3406001308040834E-2</v>
      </c>
      <c r="M226" s="872"/>
      <c r="N226" s="872"/>
      <c r="O226" s="48">
        <f>IF(t&lt;Tnet,'2021'!Resal+('2021'!Salim-'2021'!Resal)*(1-EXP(('2021'!Tnet-t)/('2021'!Tau_j))),Resal+(Salim-Resal)*(1-EXP((Tnet-t)/(Tau_j))))*Salcycl</f>
        <v>0.13873277641877807</v>
      </c>
      <c r="P226" s="341">
        <f>(INDEX(Models!$BJ226:$BT226,,T226)*(1-R226)+INDEX(Models!$BJ226:$BT226,,T226+1)*R226-ERP_i)*Q226*Ramure*Pc/MaxiM</f>
        <v>1.3125792859983176E-3</v>
      </c>
      <c r="Q226" s="307">
        <f t="shared" si="80"/>
        <v>0.9</v>
      </c>
      <c r="R226" s="179">
        <f t="shared" si="81"/>
        <v>0.434587061297111</v>
      </c>
      <c r="S226" s="839">
        <f t="shared" si="82"/>
        <v>0</v>
      </c>
      <c r="T226" s="178">
        <f t="shared" si="83"/>
        <v>6</v>
      </c>
      <c r="U226" s="253">
        <f t="shared" si="84"/>
        <v>0.434587061297111</v>
      </c>
      <c r="V226" s="385">
        <f t="shared" si="85"/>
        <v>49.515699082154306</v>
      </c>
      <c r="W226" s="404">
        <f t="shared" si="86"/>
        <v>0</v>
      </c>
      <c r="X226" s="157">
        <f t="shared" si="87"/>
        <v>44773</v>
      </c>
      <c r="Y226" s="387">
        <f t="shared" si="88"/>
        <v>45.36620241094586</v>
      </c>
      <c r="Z226" s="387">
        <f t="shared" si="89"/>
        <v>46.934082429993936</v>
      </c>
      <c r="AA226" s="388">
        <f t="shared" si="90"/>
        <v>56.478367791162398</v>
      </c>
      <c r="AB226" s="199">
        <f t="shared" si="91"/>
        <v>44773</v>
      </c>
      <c r="AC226" s="119">
        <f>IF(OR(t&lt;Tnet,NoTnet),'2021'!Resal_s+('2021'!Salim-'2021'!Resal_s)*(1-EXP(('2021'!Tnet_s-t)/'2021'!Tau_j)),Resal_s+(Salim-Resal_s)*(1-EXP((Tnet_s-t)/Tau_j)))*Salcycl</f>
        <v>0.16899010602537162</v>
      </c>
      <c r="AD226" s="233">
        <f>(INDEX(Models!$BJ226:$BT226,,AH226)*(1-AF226)+INDEX(Models!$BJ226:$BT226,,AH226+1)*AF226-ERP_i)*AE226*Ramure*Pc/MaxiM</f>
        <v>1.3125792859983176E-3</v>
      </c>
      <c r="AE226" s="307">
        <f t="shared" si="92"/>
        <v>0.9</v>
      </c>
      <c r="AF226" s="179">
        <f t="shared" si="93"/>
        <v>0.434587061297111</v>
      </c>
      <c r="AG226" s="839">
        <f t="shared" si="99"/>
        <v>0</v>
      </c>
      <c r="AH226" s="178">
        <f t="shared" si="94"/>
        <v>6</v>
      </c>
      <c r="AI226" s="227">
        <f t="shared" si="95"/>
        <v>0.434587061297111</v>
      </c>
      <c r="AJ226" s="267" t="b">
        <f t="shared" si="96"/>
        <v>1</v>
      </c>
      <c r="AK226" s="267" t="b">
        <f t="shared" si="97"/>
        <v>0</v>
      </c>
      <c r="AL226" s="267"/>
      <c r="AM226" s="267"/>
      <c r="AN226" s="75"/>
    </row>
    <row r="227" spans="1:40" s="6" customFormat="1" ht="11.25" x14ac:dyDescent="0.2">
      <c r="A227" s="56">
        <f t="shared" si="98"/>
        <v>44774</v>
      </c>
      <c r="B227" s="1141">
        <v>48.814999999999998</v>
      </c>
      <c r="C227" s="868"/>
      <c r="D227" s="395">
        <f t="shared" si="77"/>
        <v>50.503247577433072</v>
      </c>
      <c r="E227" s="387">
        <f t="shared" si="75"/>
        <v>58.646197753484607</v>
      </c>
      <c r="F227" s="387">
        <f t="shared" si="78"/>
        <v>58.727968528475465</v>
      </c>
      <c r="G227" s="110">
        <f t="shared" si="76"/>
        <v>0.98892887499260063</v>
      </c>
      <c r="H227" s="416" t="b">
        <f>Wh_hp&gt;='2021'!Maxi_hp</f>
        <v>1</v>
      </c>
      <c r="I227" s="382">
        <f>IF(H227,Wh_hp,'2021'!Maxi_hp)</f>
        <v>58.727968528475465</v>
      </c>
      <c r="J227" s="85">
        <f>IF(H227,An,'2021'!An_max)</f>
        <v>2022</v>
      </c>
      <c r="K227" s="199">
        <f t="shared" si="79"/>
        <v>44774</v>
      </c>
      <c r="L227" s="147">
        <f>IF(t&lt;Tvie,1-EXP((T0-t)*PertePVj)+'2021'!Pspv,1-EXP((T0-t)*PertePVj)+Pspv)</f>
        <v>3.3428495362493371E-2</v>
      </c>
      <c r="M227" s="872"/>
      <c r="N227" s="872"/>
      <c r="O227" s="48">
        <f>IF(t&lt;Tnet,'2021'!Resal+('2021'!Salim-'2021'!Resal)*(1-EXP(('2021'!Tnet-t)/('2021'!Tau_j))),Resal+(Salim-Resal)*(1-EXP((Tnet-t)/(Tau_j))))*Salcycl</f>
        <v>0.13884873168214393</v>
      </c>
      <c r="P227" s="341">
        <f>(INDEX(Models!$BJ227:$BT227,,T227)*(1-R227)+INDEX(Models!$BJ227:$BT227,,T227+1)*R227-ERP_i)*Q227*Ramure*Pc/MaxiM</f>
        <v>1.4146950944720548E-3</v>
      </c>
      <c r="Q227" s="307">
        <f t="shared" si="80"/>
        <v>0.9</v>
      </c>
      <c r="R227" s="179">
        <f t="shared" si="81"/>
        <v>0.43695801312980675</v>
      </c>
      <c r="S227" s="839">
        <f t="shared" si="82"/>
        <v>0</v>
      </c>
      <c r="T227" s="178">
        <f t="shared" si="83"/>
        <v>6</v>
      </c>
      <c r="U227" s="253">
        <f t="shared" si="84"/>
        <v>0.43695801312980675</v>
      </c>
      <c r="V227" s="385">
        <f t="shared" si="85"/>
        <v>49.360383417716264</v>
      </c>
      <c r="W227" s="404">
        <f t="shared" si="86"/>
        <v>0</v>
      </c>
      <c r="X227" s="157">
        <f t="shared" si="87"/>
        <v>44774</v>
      </c>
      <c r="Y227" s="387">
        <f t="shared" si="88"/>
        <v>47.104559613652469</v>
      </c>
      <c r="Z227" s="387">
        <f t="shared" si="89"/>
        <v>48.733652282991827</v>
      </c>
      <c r="AA227" s="388">
        <f t="shared" si="90"/>
        <v>58.646197753484607</v>
      </c>
      <c r="AB227" s="199">
        <f t="shared" si="91"/>
        <v>44774</v>
      </c>
      <c r="AC227" s="119">
        <f>IF(OR(t&lt;Tnet,NoTnet),'2021'!Resal_s+('2021'!Salim-'2021'!Resal_s)*(1-EXP(('2021'!Tnet_s-t)/'2021'!Tau_j)),Resal_s+(Salim-Resal_s)*(1-EXP((Tnet_s-t)/Tau_j)))*Salcycl</f>
        <v>0.16902281563349603</v>
      </c>
      <c r="AD227" s="233">
        <f>(INDEX(Models!$BJ227:$BT227,,AH227)*(1-AF227)+INDEX(Models!$BJ227:$BT227,,AH227+1)*AF227-ERP_i)*AE227*Ramure*Pc/MaxiM</f>
        <v>1.4146950944720548E-3</v>
      </c>
      <c r="AE227" s="307">
        <f t="shared" si="92"/>
        <v>0.9</v>
      </c>
      <c r="AF227" s="179">
        <f t="shared" si="93"/>
        <v>0.43695801312980675</v>
      </c>
      <c r="AG227" s="839">
        <f t="shared" si="99"/>
        <v>0</v>
      </c>
      <c r="AH227" s="178">
        <f t="shared" si="94"/>
        <v>6</v>
      </c>
      <c r="AI227" s="227">
        <f t="shared" si="95"/>
        <v>0.43695801312980675</v>
      </c>
      <c r="AJ227" s="267" t="b">
        <f t="shared" si="96"/>
        <v>1</v>
      </c>
      <c r="AK227" s="267" t="b">
        <f t="shared" si="97"/>
        <v>0</v>
      </c>
      <c r="AL227" s="267"/>
      <c r="AM227" s="267"/>
      <c r="AN227" s="75"/>
    </row>
    <row r="228" spans="1:40" s="6" customFormat="1" ht="11.25" x14ac:dyDescent="0.2">
      <c r="A228" s="56">
        <f t="shared" si="98"/>
        <v>44775</v>
      </c>
      <c r="B228" s="1141">
        <v>47.084000000000003</v>
      </c>
      <c r="C228" s="868"/>
      <c r="D228" s="395">
        <f t="shared" si="77"/>
        <v>48.71351525785262</v>
      </c>
      <c r="E228" s="387">
        <f t="shared" si="75"/>
        <v>56.575457124580254</v>
      </c>
      <c r="F228" s="387">
        <f t="shared" si="78"/>
        <v>56.656548910994978</v>
      </c>
      <c r="G228" s="110">
        <f t="shared" si="76"/>
        <v>0.95686680610446562</v>
      </c>
      <c r="H228" s="416" t="b">
        <f>Wh_hp&gt;='2021'!Maxi_hp</f>
        <v>0</v>
      </c>
      <c r="I228" s="382">
        <f>IF(H228,Wh_hp,'2021'!Maxi_hp)</f>
        <v>57.016794472934762</v>
      </c>
      <c r="J228" s="85">
        <f>IF(H228,An,'2021'!An_max)</f>
        <v>2019</v>
      </c>
      <c r="K228" s="199">
        <f t="shared" si="79"/>
        <v>44775</v>
      </c>
      <c r="L228" s="147">
        <f>IF(t&lt;Tvie,1-EXP((T0-t)*PertePVj)+'2021'!Pspv,1-EXP((T0-t)*PertePVj)+Pspv)</f>
        <v>3.3450988893476308E-2</v>
      </c>
      <c r="M228" s="872"/>
      <c r="N228" s="872"/>
      <c r="O228" s="48">
        <f>IF(t&lt;Tnet,'2021'!Resal+('2021'!Salim-'2021'!Resal)*(1-EXP(('2021'!Tnet-t)/('2021'!Tau_j))),Resal+(Salim-Resal)*(1-EXP((Tnet-t)/(Tau_j))))*Salcycl</f>
        <v>0.13896382400261456</v>
      </c>
      <c r="P228" s="341">
        <f>(INDEX(Models!$BJ228:$BT228,,T228)*(1-R228)+INDEX(Models!$BJ228:$BT228,,T228+1)*R228-ERP_i)*Q228*Ramure*Pc/MaxiM</f>
        <v>1.5250639705916258E-3</v>
      </c>
      <c r="Q228" s="307">
        <f t="shared" si="80"/>
        <v>0.9</v>
      </c>
      <c r="R228" s="179">
        <f t="shared" si="81"/>
        <v>0.43925333472238137</v>
      </c>
      <c r="S228" s="839">
        <f t="shared" si="82"/>
        <v>0</v>
      </c>
      <c r="T228" s="178">
        <f t="shared" si="83"/>
        <v>6</v>
      </c>
      <c r="U228" s="253">
        <f t="shared" si="84"/>
        <v>0.43925333472238137</v>
      </c>
      <c r="V228" s="385">
        <f t="shared" si="85"/>
        <v>49.201809467890079</v>
      </c>
      <c r="W228" s="404">
        <f t="shared" si="86"/>
        <v>0</v>
      </c>
      <c r="X228" s="157">
        <f t="shared" si="87"/>
        <v>44775</v>
      </c>
      <c r="Y228" s="387">
        <f t="shared" si="88"/>
        <v>45.438537955904138</v>
      </c>
      <c r="Z228" s="387">
        <f t="shared" si="89"/>
        <v>47.011105938523734</v>
      </c>
      <c r="AA228" s="388">
        <f t="shared" si="90"/>
        <v>56.575457124580254</v>
      </c>
      <c r="AB228" s="199">
        <f t="shared" si="91"/>
        <v>44775</v>
      </c>
      <c r="AC228" s="119">
        <f>IF(OR(t&lt;Tnet,NoTnet),'2021'!Resal_s+('2021'!Salim-'2021'!Resal_s)*(1-EXP(('2021'!Tnet_s-t)/'2021'!Tau_j)),Resal_s+(Salim-Resal_s)*(1-EXP((Tnet_s-t)/Tau_j)))*Salcycl</f>
        <v>0.16905477520041304</v>
      </c>
      <c r="AD228" s="233">
        <f>(INDEX(Models!$BJ228:$BT228,,AH228)*(1-AF228)+INDEX(Models!$BJ228:$BT228,,AH228+1)*AF228-ERP_i)*AE228*Ramure*Pc/MaxiM</f>
        <v>1.5250639705916258E-3</v>
      </c>
      <c r="AE228" s="307">
        <f t="shared" si="92"/>
        <v>0.9</v>
      </c>
      <c r="AF228" s="179">
        <f t="shared" si="93"/>
        <v>0.43925333472238137</v>
      </c>
      <c r="AG228" s="839">
        <f t="shared" si="99"/>
        <v>0</v>
      </c>
      <c r="AH228" s="178">
        <f t="shared" si="94"/>
        <v>6</v>
      </c>
      <c r="AI228" s="227">
        <f t="shared" si="95"/>
        <v>0.43925333472238137</v>
      </c>
      <c r="AJ228" s="267" t="b">
        <f t="shared" si="96"/>
        <v>1</v>
      </c>
      <c r="AK228" s="267" t="b">
        <f t="shared" si="97"/>
        <v>0</v>
      </c>
      <c r="AL228" s="267"/>
      <c r="AM228" s="267"/>
      <c r="AN228" s="75"/>
    </row>
    <row r="229" spans="1:40" s="6" customFormat="1" ht="11.25" x14ac:dyDescent="0.2">
      <c r="A229" s="56">
        <f t="shared" si="98"/>
        <v>44776</v>
      </c>
      <c r="B229" s="1141">
        <v>45.349000000000004</v>
      </c>
      <c r="C229" s="868"/>
      <c r="D229" s="395">
        <f t="shared" si="77"/>
        <v>46.919561078566353</v>
      </c>
      <c r="E229" s="387">
        <f t="shared" si="75"/>
        <v>54.499206032611816</v>
      </c>
      <c r="F229" s="387">
        <f t="shared" si="78"/>
        <v>54.579277420868884</v>
      </c>
      <c r="G229" s="110">
        <f t="shared" si="76"/>
        <v>0.92457520082783418</v>
      </c>
      <c r="H229" s="416" t="b">
        <f>Wh_hp&gt;='2021'!Maxi_hp</f>
        <v>0</v>
      </c>
      <c r="I229" s="382">
        <f>IF(H229,Wh_hp,'2021'!Maxi_hp)</f>
        <v>57.318775039173993</v>
      </c>
      <c r="J229" s="85">
        <f>IF(H229,An,'2021'!An_max)</f>
        <v>2019</v>
      </c>
      <c r="K229" s="199">
        <f t="shared" si="79"/>
        <v>44776</v>
      </c>
      <c r="L229" s="147">
        <f>IF(t&lt;Tvie,1-EXP((T0-t)*PertePVj)+'2021'!Pspv,1-EXP((T0-t)*PertePVj)+Pspv)</f>
        <v>3.3473481901002078E-2</v>
      </c>
      <c r="M229" s="872"/>
      <c r="N229" s="872"/>
      <c r="O229" s="48">
        <f>IF(t&lt;Tnet,'2021'!Resal+('2021'!Salim-'2021'!Resal)*(1-EXP(('2021'!Tnet-t)/('2021'!Tau_j))),Resal+(Salim-Resal)*(1-EXP((Tnet-t)/(Tau_j))))*Salcycl</f>
        <v>0.13907808032120467</v>
      </c>
      <c r="P229" s="341">
        <f>(INDEX(Models!$BJ229:$BT229,,T229)*(1-R229)+INDEX(Models!$BJ229:$BT229,,T229+1)*R229-ERP_i)*Q229*Ramure*Pc/MaxiM</f>
        <v>1.6438004151786291E-3</v>
      </c>
      <c r="Q229" s="307">
        <f t="shared" si="80"/>
        <v>0.9</v>
      </c>
      <c r="R229" s="179">
        <f t="shared" si="81"/>
        <v>0.44147474137448139</v>
      </c>
      <c r="S229" s="839">
        <f t="shared" si="82"/>
        <v>0</v>
      </c>
      <c r="T229" s="178">
        <f t="shared" si="83"/>
        <v>6</v>
      </c>
      <c r="U229" s="253">
        <f t="shared" si="84"/>
        <v>0.44147474137448139</v>
      </c>
      <c r="V229" s="385">
        <f t="shared" si="85"/>
        <v>49.03978977955537</v>
      </c>
      <c r="W229" s="404">
        <f t="shared" si="86"/>
        <v>0</v>
      </c>
      <c r="X229" s="157">
        <f t="shared" si="87"/>
        <v>44776</v>
      </c>
      <c r="Y229" s="387">
        <f t="shared" si="88"/>
        <v>43.768334053102386</v>
      </c>
      <c r="Z229" s="387">
        <f t="shared" si="89"/>
        <v>45.284152305709782</v>
      </c>
      <c r="AA229" s="388">
        <f t="shared" si="90"/>
        <v>54.499206032611816</v>
      </c>
      <c r="AB229" s="199">
        <f t="shared" si="91"/>
        <v>44776</v>
      </c>
      <c r="AC229" s="119">
        <f>IF(OR(t&lt;Tnet,NoTnet),'2021'!Resal_s+('2021'!Salim-'2021'!Resal_s)*(1-EXP(('2021'!Tnet_s-t)/'2021'!Tau_j)),Resal_s+(Salim-Resal_s)*(1-EXP((Tnet_s-t)/Tau_j)))*Salcycl</f>
        <v>0.16908601790249628</v>
      </c>
      <c r="AD229" s="233">
        <f>(INDEX(Models!$BJ229:$BT229,,AH229)*(1-AF229)+INDEX(Models!$BJ229:$BT229,,AH229+1)*AF229-ERP_i)*AE229*Ramure*Pc/MaxiM</f>
        <v>1.6438004151786291E-3</v>
      </c>
      <c r="AE229" s="307">
        <f t="shared" si="92"/>
        <v>0.9</v>
      </c>
      <c r="AF229" s="179">
        <f t="shared" si="93"/>
        <v>0.44147474137448139</v>
      </c>
      <c r="AG229" s="839">
        <f t="shared" si="99"/>
        <v>0</v>
      </c>
      <c r="AH229" s="178">
        <f t="shared" si="94"/>
        <v>6</v>
      </c>
      <c r="AI229" s="227">
        <f t="shared" si="95"/>
        <v>0.44147474137448139</v>
      </c>
      <c r="AJ229" s="267" t="b">
        <f t="shared" si="96"/>
        <v>1</v>
      </c>
      <c r="AK229" s="267" t="b">
        <f t="shared" si="97"/>
        <v>0</v>
      </c>
      <c r="AL229" s="267"/>
      <c r="AM229" s="267"/>
      <c r="AN229" s="75"/>
    </row>
    <row r="230" spans="1:40" s="6" customFormat="1" ht="11.25" x14ac:dyDescent="0.2">
      <c r="A230" s="56">
        <f t="shared" si="98"/>
        <v>44777</v>
      </c>
      <c r="B230" s="1141">
        <v>42.122999999999998</v>
      </c>
      <c r="C230" s="868"/>
      <c r="D230" s="395">
        <f t="shared" si="77"/>
        <v>43.582850028172558</v>
      </c>
      <c r="E230" s="387">
        <f t="shared" si="75"/>
        <v>50.630135745785616</v>
      </c>
      <c r="F230" s="387">
        <f t="shared" si="78"/>
        <v>50.702211107141387</v>
      </c>
      <c r="G230" s="110">
        <f t="shared" si="76"/>
        <v>0.86156523992689193</v>
      </c>
      <c r="H230" s="416" t="b">
        <f>Wh_hp&gt;='2021'!Maxi_hp</f>
        <v>0</v>
      </c>
      <c r="I230" s="382">
        <f>IF(H230,Wh_hp,'2021'!Maxi_hp)</f>
        <v>52.926175209989978</v>
      </c>
      <c r="J230" s="85">
        <f>IF(H230,An,'2021'!An_max)</f>
        <v>2019</v>
      </c>
      <c r="K230" s="199">
        <f t="shared" si="79"/>
        <v>44777</v>
      </c>
      <c r="L230" s="147">
        <f>IF(t&lt;Tvie,1-EXP((T0-t)*PertePVj)+'2021'!Pspv,1-EXP((T0-t)*PertePVj)+Pspv)</f>
        <v>3.3495974385082561E-2</v>
      </c>
      <c r="M230" s="872"/>
      <c r="N230" s="872"/>
      <c r="O230" s="48">
        <f>IF(t&lt;Tnet,'2021'!Resal+('2021'!Salim-'2021'!Resal)*(1-EXP(('2021'!Tnet-t)/('2021'!Tau_j))),Resal+(Salim-Resal)*(1-EXP((Tnet-t)/(Tau_j))))*Salcycl</f>
        <v>0.13919152326585779</v>
      </c>
      <c r="P230" s="341">
        <f>(INDEX(Models!$BJ230:$BT230,,T230)*(1-R230)+INDEX(Models!$BJ230:$BT230,,T230+1)*R230-ERP_i)*Q230*Ramure*Pc/MaxiM</f>
        <v>1.7710243813732168E-3</v>
      </c>
      <c r="Q230" s="307">
        <f t="shared" si="80"/>
        <v>0.9</v>
      </c>
      <c r="R230" s="179">
        <f t="shared" si="81"/>
        <v>0.44362396050038</v>
      </c>
      <c r="S230" s="839">
        <f t="shared" si="82"/>
        <v>0</v>
      </c>
      <c r="T230" s="178">
        <f t="shared" si="83"/>
        <v>6</v>
      </c>
      <c r="U230" s="253">
        <f t="shared" si="84"/>
        <v>0.44362396050038</v>
      </c>
      <c r="V230" s="385">
        <f t="shared" si="85"/>
        <v>48.874137300164925</v>
      </c>
      <c r="W230" s="404">
        <f t="shared" si="86"/>
        <v>0</v>
      </c>
      <c r="X230" s="157">
        <f t="shared" si="87"/>
        <v>44777</v>
      </c>
      <c r="Y230" s="387">
        <f t="shared" si="88"/>
        <v>40.658640802237144</v>
      </c>
      <c r="Z230" s="387">
        <f t="shared" si="89"/>
        <v>42.067740769490285</v>
      </c>
      <c r="AA230" s="388">
        <f t="shared" si="90"/>
        <v>50.630135745785616</v>
      </c>
      <c r="AB230" s="199">
        <f t="shared" si="91"/>
        <v>44777</v>
      </c>
      <c r="AC230" s="119">
        <f>IF(OR(t&lt;Tnet,NoTnet),'2021'!Resal_s+('2021'!Salim-'2021'!Resal_s)*(1-EXP(('2021'!Tnet_s-t)/'2021'!Tau_j)),Resal_s+(Salim-Resal_s)*(1-EXP((Tnet_s-t)/Tau_j)))*Salcycl</f>
        <v>0.16911657158667703</v>
      </c>
      <c r="AD230" s="233">
        <f>(INDEX(Models!$BJ230:$BT230,,AH230)*(1-AF230)+INDEX(Models!$BJ230:$BT230,,AH230+1)*AF230-ERP_i)*AE230*Ramure*Pc/MaxiM</f>
        <v>1.7710243813732168E-3</v>
      </c>
      <c r="AE230" s="307">
        <f t="shared" si="92"/>
        <v>0.9</v>
      </c>
      <c r="AF230" s="179">
        <f t="shared" si="93"/>
        <v>0.44362396050038</v>
      </c>
      <c r="AG230" s="839">
        <f t="shared" si="99"/>
        <v>0</v>
      </c>
      <c r="AH230" s="178">
        <f t="shared" si="94"/>
        <v>6</v>
      </c>
      <c r="AI230" s="227">
        <f t="shared" si="95"/>
        <v>0.44362396050038</v>
      </c>
      <c r="AJ230" s="267" t="b">
        <f t="shared" si="96"/>
        <v>1</v>
      </c>
      <c r="AK230" s="267" t="b">
        <f t="shared" si="97"/>
        <v>0</v>
      </c>
      <c r="AL230" s="267"/>
      <c r="AM230" s="267"/>
      <c r="AN230" s="75"/>
    </row>
    <row r="231" spans="1:40" s="6" customFormat="1" ht="11.25" x14ac:dyDescent="0.2">
      <c r="A231" s="56">
        <f t="shared" si="98"/>
        <v>44778</v>
      </c>
      <c r="B231" s="1141">
        <v>41.227000000000004</v>
      </c>
      <c r="C231" s="868"/>
      <c r="D231" s="395">
        <f t="shared" si="77"/>
        <v>42.656790186275551</v>
      </c>
      <c r="E231" s="387">
        <f t="shared" si="75"/>
        <v>49.560819006016168</v>
      </c>
      <c r="F231" s="387">
        <f t="shared" si="78"/>
        <v>49.634706739322048</v>
      </c>
      <c r="G231" s="110">
        <f t="shared" si="76"/>
        <v>0.84611466996839402</v>
      </c>
      <c r="H231" s="416" t="b">
        <f>Wh_hp&gt;='2021'!Maxi_hp</f>
        <v>0</v>
      </c>
      <c r="I231" s="382">
        <f>IF(H231,Wh_hp,'2021'!Maxi_hp)</f>
        <v>57.776003242992068</v>
      </c>
      <c r="J231" s="85">
        <f>IF(H231,An,'2021'!An_max)</f>
        <v>2020</v>
      </c>
      <c r="K231" s="199">
        <f t="shared" si="79"/>
        <v>44778</v>
      </c>
      <c r="L231" s="147">
        <f>IF(t&lt;Tvie,1-EXP((T0-t)*PertePVj)+'2021'!Pspv,1-EXP((T0-t)*PertePVj)+Pspv)</f>
        <v>3.351846634573008E-2</v>
      </c>
      <c r="M231" s="872"/>
      <c r="N231" s="872"/>
      <c r="O231" s="48">
        <f>IF(t&lt;Tnet,'2021'!Resal+('2021'!Salim-'2021'!Resal)*(1-EXP(('2021'!Tnet-t)/('2021'!Tau_j))),Resal+(Salim-Resal)*(1-EXP((Tnet-t)/(Tau_j))))*Salcycl</f>
        <v>0.13930417128301575</v>
      </c>
      <c r="P231" s="341">
        <f>(INDEX(Models!$BJ231:$BT231,,T231)*(1-R231)+INDEX(Models!$BJ231:$BT231,,T231+1)*R231-ERP_i)*Q231*Ramure*Pc/MaxiM</f>
        <v>1.9068618058080131E-3</v>
      </c>
      <c r="Q231" s="307">
        <f t="shared" si="80"/>
        <v>0.9</v>
      </c>
      <c r="R231" s="179">
        <f t="shared" si="81"/>
        <v>0.44570272702092895</v>
      </c>
      <c r="S231" s="839">
        <f t="shared" si="82"/>
        <v>0</v>
      </c>
      <c r="T231" s="178">
        <f t="shared" si="83"/>
        <v>6</v>
      </c>
      <c r="U231" s="253">
        <f t="shared" si="84"/>
        <v>0.44570272702092895</v>
      </c>
      <c r="V231" s="385">
        <f t="shared" si="85"/>
        <v>48.704665372923301</v>
      </c>
      <c r="W231" s="404">
        <f t="shared" si="86"/>
        <v>0</v>
      </c>
      <c r="X231" s="157">
        <f t="shared" si="87"/>
        <v>44778</v>
      </c>
      <c r="Y231" s="387">
        <f t="shared" si="88"/>
        <v>39.797565869492594</v>
      </c>
      <c r="Z231" s="387">
        <f t="shared" si="89"/>
        <v>41.177781968598886</v>
      </c>
      <c r="AA231" s="388">
        <f t="shared" si="90"/>
        <v>49.560819006016168</v>
      </c>
      <c r="AB231" s="199">
        <f t="shared" si="91"/>
        <v>44778</v>
      </c>
      <c r="AC231" s="119">
        <f>IF(OR(t&lt;Tnet,NoTnet),'2021'!Resal_s+('2021'!Salim-'2021'!Resal_s)*(1-EXP(('2021'!Tnet_s-t)/'2021'!Tau_j)),Resal_s+(Salim-Resal_s)*(1-EXP((Tnet_s-t)/Tau_j)))*Salcycl</f>
        <v>0.16914645894773597</v>
      </c>
      <c r="AD231" s="233">
        <f>(INDEX(Models!$BJ231:$BT231,,AH231)*(1-AF231)+INDEX(Models!$BJ231:$BT231,,AH231+1)*AF231-ERP_i)*AE231*Ramure*Pc/MaxiM</f>
        <v>1.9068618058080131E-3</v>
      </c>
      <c r="AE231" s="307">
        <f t="shared" si="92"/>
        <v>0.9</v>
      </c>
      <c r="AF231" s="179">
        <f t="shared" si="93"/>
        <v>0.44570272702092895</v>
      </c>
      <c r="AG231" s="839">
        <f t="shared" si="99"/>
        <v>0</v>
      </c>
      <c r="AH231" s="178">
        <f t="shared" si="94"/>
        <v>6</v>
      </c>
      <c r="AI231" s="227">
        <f t="shared" si="95"/>
        <v>0.44570272702092895</v>
      </c>
      <c r="AJ231" s="267" t="b">
        <f t="shared" si="96"/>
        <v>1</v>
      </c>
      <c r="AK231" s="267" t="b">
        <f t="shared" si="97"/>
        <v>0</v>
      </c>
      <c r="AL231" s="267"/>
      <c r="AM231" s="267"/>
      <c r="AN231" s="75"/>
    </row>
    <row r="232" spans="1:40" s="6" customFormat="1" ht="11.25" x14ac:dyDescent="0.2">
      <c r="A232" s="56">
        <f t="shared" si="98"/>
        <v>44779</v>
      </c>
      <c r="B232" s="1141">
        <v>43.703000000000003</v>
      </c>
      <c r="C232" s="868"/>
      <c r="D232" s="395">
        <f t="shared" si="77"/>
        <v>45.219712466806619</v>
      </c>
      <c r="E232" s="387">
        <f t="shared" si="75"/>
        <v>52.545381398042991</v>
      </c>
      <c r="F232" s="387">
        <f t="shared" si="78"/>
        <v>52.638018366103907</v>
      </c>
      <c r="G232" s="110">
        <f t="shared" si="76"/>
        <v>0.90025069720365491</v>
      </c>
      <c r="H232" s="416" t="b">
        <f>Wh_hp&gt;='2021'!Maxi_hp</f>
        <v>0</v>
      </c>
      <c r="I232" s="382">
        <f>IF(H232,Wh_hp,'2021'!Maxi_hp)</f>
        <v>56.847097363544755</v>
      </c>
      <c r="J232" s="85">
        <f>IF(H232,An,'2021'!An_max)</f>
        <v>2020</v>
      </c>
      <c r="K232" s="199">
        <f t="shared" si="79"/>
        <v>44779</v>
      </c>
      <c r="L232" s="147">
        <f>IF(t&lt;Tvie,1-EXP((T0-t)*PertePVj)+'2021'!Pspv,1-EXP((T0-t)*PertePVj)+Pspv)</f>
        <v>3.3540957782956959E-2</v>
      </c>
      <c r="M232" s="872"/>
      <c r="N232" s="872"/>
      <c r="O232" s="48">
        <f>IF(t&lt;Tnet,'2021'!Resal+('2021'!Salim-'2021'!Resal)*(1-EXP(('2021'!Tnet-t)/('2021'!Tau_j))),Resal+(Salim-Resal)*(1-EXP((Tnet-t)/(Tau_j))))*Salcycl</f>
        <v>0.13941603879021822</v>
      </c>
      <c r="P232" s="341">
        <f>(INDEX(Models!$BJ232:$BT232,,T232)*(1-R232)+INDEX(Models!$BJ232:$BT232,,T232+1)*R232-ERP_i)*Q232*Ramure*Pc/MaxiM</f>
        <v>2.0514451644718561E-3</v>
      </c>
      <c r="Q232" s="307">
        <f t="shared" si="80"/>
        <v>0.9</v>
      </c>
      <c r="R232" s="179">
        <f t="shared" si="81"/>
        <v>0.4477127790620723</v>
      </c>
      <c r="S232" s="839">
        <f t="shared" si="82"/>
        <v>0</v>
      </c>
      <c r="T232" s="178">
        <f t="shared" si="83"/>
        <v>6</v>
      </c>
      <c r="U232" s="253">
        <f t="shared" si="84"/>
        <v>0.4477127790620723</v>
      </c>
      <c r="V232" s="385">
        <f t="shared" si="85"/>
        <v>48.531187710800602</v>
      </c>
      <c r="W232" s="404">
        <f t="shared" si="86"/>
        <v>0</v>
      </c>
      <c r="X232" s="157">
        <f t="shared" si="87"/>
        <v>44779</v>
      </c>
      <c r="Y232" s="387">
        <f t="shared" si="88"/>
        <v>42.19171646082129</v>
      </c>
      <c r="Z232" s="387">
        <f t="shared" si="89"/>
        <v>43.655979837525351</v>
      </c>
      <c r="AA232" s="388">
        <f t="shared" si="90"/>
        <v>52.545381398042991</v>
      </c>
      <c r="AB232" s="199">
        <f t="shared" si="91"/>
        <v>44779</v>
      </c>
      <c r="AC232" s="119">
        <f>IF(OR(t&lt;Tnet,NoTnet),'2021'!Resal_s+('2021'!Salim-'2021'!Resal_s)*(1-EXP(('2021'!Tnet_s-t)/'2021'!Tau_j)),Resal_s+(Salim-Resal_s)*(1-EXP((Tnet_s-t)/Tau_j)))*Salcycl</f>
        <v>0.16917569773028079</v>
      </c>
      <c r="AD232" s="233">
        <f>(INDEX(Models!$BJ232:$BT232,,AH232)*(1-AF232)+INDEX(Models!$BJ232:$BT232,,AH232+1)*AF232-ERP_i)*AE232*Ramure*Pc/MaxiM</f>
        <v>2.0514451644718561E-3</v>
      </c>
      <c r="AE232" s="307">
        <f t="shared" si="92"/>
        <v>0.9</v>
      </c>
      <c r="AF232" s="179">
        <f t="shared" si="93"/>
        <v>0.4477127790620723</v>
      </c>
      <c r="AG232" s="839">
        <f t="shared" si="99"/>
        <v>0</v>
      </c>
      <c r="AH232" s="178">
        <f t="shared" si="94"/>
        <v>6</v>
      </c>
      <c r="AI232" s="227">
        <f t="shared" si="95"/>
        <v>0.4477127790620723</v>
      </c>
      <c r="AJ232" s="267" t="b">
        <f t="shared" si="96"/>
        <v>1</v>
      </c>
      <c r="AK232" s="267" t="b">
        <f t="shared" si="97"/>
        <v>0</v>
      </c>
      <c r="AL232" s="267"/>
      <c r="AM232" s="267"/>
      <c r="AN232" s="75"/>
    </row>
    <row r="233" spans="1:40" s="6" customFormat="1" ht="11.25" x14ac:dyDescent="0.2">
      <c r="A233" s="56">
        <f t="shared" si="98"/>
        <v>44780</v>
      </c>
      <c r="B233" s="1141">
        <v>46.533000000000001</v>
      </c>
      <c r="C233" s="868"/>
      <c r="D233" s="395">
        <f t="shared" si="77"/>
        <v>48.149048105900967</v>
      </c>
      <c r="E233" s="387">
        <f t="shared" ref="E233:E296" si="100">Wh_pvt/(1-Psa)</f>
        <v>55.956498036994013</v>
      </c>
      <c r="F233" s="387">
        <f t="shared" si="78"/>
        <v>56.073477746368091</v>
      </c>
      <c r="G233" s="110">
        <f t="shared" ref="G233:G296" si="101">+Wh_hp/MaxiM</f>
        <v>0.96221006564315403</v>
      </c>
      <c r="H233" s="416" t="b">
        <f>Wh_hp&gt;='2021'!Maxi_hp</f>
        <v>1</v>
      </c>
      <c r="I233" s="382">
        <f>IF(H233,Wh_hp,'2021'!Maxi_hp)</f>
        <v>56.073477746368091</v>
      </c>
      <c r="J233" s="85">
        <f>IF(H233,An,'2021'!An_max)</f>
        <v>2022</v>
      </c>
      <c r="K233" s="199">
        <f t="shared" si="79"/>
        <v>44780</v>
      </c>
      <c r="L233" s="147">
        <f>IF(t&lt;Tvie,1-EXP((T0-t)*PertePVj)+'2021'!Pspv,1-EXP((T0-t)*PertePVj)+Pspv)</f>
        <v>3.3563448696775078E-2</v>
      </c>
      <c r="M233" s="872"/>
      <c r="N233" s="872"/>
      <c r="O233" s="48">
        <f>IF(t&lt;Tnet,'2021'!Resal+('2021'!Salim-'2021'!Resal)*(1-EXP(('2021'!Tnet-t)/('2021'!Tau_j))),Resal+(Salim-Resal)*(1-EXP((Tnet-t)/(Tau_j))))*Salcycl</f>
        <v>0.13952713634672742</v>
      </c>
      <c r="P233" s="341">
        <f>(INDEX(Models!$BJ233:$BT233,,T233)*(1-R233)+INDEX(Models!$BJ233:$BT233,,T233+1)*R233-ERP_i)*Q233*Ramure*Pc/MaxiM</f>
        <v>2.2048561638620921E-3</v>
      </c>
      <c r="Q233" s="307">
        <f t="shared" si="80"/>
        <v>0.9</v>
      </c>
      <c r="R233" s="179">
        <f t="shared" si="81"/>
        <v>0.44965585395411956</v>
      </c>
      <c r="S233" s="839">
        <f t="shared" si="82"/>
        <v>0</v>
      </c>
      <c r="T233" s="178">
        <f t="shared" si="83"/>
        <v>6</v>
      </c>
      <c r="U233" s="253">
        <f t="shared" si="84"/>
        <v>0.44965585395411956</v>
      </c>
      <c r="V233" s="385">
        <f t="shared" si="85"/>
        <v>48.354790749630062</v>
      </c>
      <c r="W233" s="404">
        <f t="shared" si="86"/>
        <v>0</v>
      </c>
      <c r="X233" s="157">
        <f t="shared" si="87"/>
        <v>44780</v>
      </c>
      <c r="Y233" s="387">
        <f t="shared" si="88"/>
        <v>44.92810627366157</v>
      </c>
      <c r="Z233" s="387">
        <f t="shared" si="89"/>
        <v>46.488417902941173</v>
      </c>
      <c r="AA233" s="388">
        <f t="shared" si="90"/>
        <v>55.956498036994013</v>
      </c>
      <c r="AB233" s="199">
        <f t="shared" si="91"/>
        <v>44780</v>
      </c>
      <c r="AC233" s="119">
        <f>IF(OR(t&lt;Tnet,NoTnet),'2021'!Resal_s+('2021'!Salim-'2021'!Resal_s)*(1-EXP(('2021'!Tnet_s-t)/'2021'!Tau_j)),Resal_s+(Salim-Resal_s)*(1-EXP((Tnet_s-t)/Tau_j)))*Salcycl</f>
        <v>0.16920430095166597</v>
      </c>
      <c r="AD233" s="233">
        <f>(INDEX(Models!$BJ233:$BT233,,AH233)*(1-AF233)+INDEX(Models!$BJ233:$BT233,,AH233+1)*AF233-ERP_i)*AE233*Ramure*Pc/MaxiM</f>
        <v>2.2048561638620921E-3</v>
      </c>
      <c r="AE233" s="307">
        <f t="shared" si="92"/>
        <v>0.9</v>
      </c>
      <c r="AF233" s="179">
        <f t="shared" si="93"/>
        <v>0.44965585395411956</v>
      </c>
      <c r="AG233" s="839">
        <f t="shared" si="99"/>
        <v>0</v>
      </c>
      <c r="AH233" s="178">
        <f t="shared" si="94"/>
        <v>6</v>
      </c>
      <c r="AI233" s="227">
        <f t="shared" si="95"/>
        <v>0.44965585395411956</v>
      </c>
      <c r="AJ233" s="267" t="b">
        <f t="shared" si="96"/>
        <v>1</v>
      </c>
      <c r="AK233" s="267" t="b">
        <f t="shared" si="97"/>
        <v>0</v>
      </c>
      <c r="AL233" s="267"/>
      <c r="AM233" s="267"/>
      <c r="AN233" s="75"/>
    </row>
    <row r="234" spans="1:40" s="6" customFormat="1" ht="11.25" x14ac:dyDescent="0.2">
      <c r="A234" s="56">
        <f t="shared" si="98"/>
        <v>44781</v>
      </c>
      <c r="B234" s="1141">
        <v>47.182000000000002</v>
      </c>
      <c r="C234" s="868"/>
      <c r="D234" s="395">
        <f t="shared" si="77"/>
        <v>48.821723429225955</v>
      </c>
      <c r="E234" s="387">
        <f t="shared" si="100"/>
        <v>56.745525025176555</v>
      </c>
      <c r="F234" s="387">
        <f t="shared" si="78"/>
        <v>56.876275086433836</v>
      </c>
      <c r="G234" s="110">
        <f t="shared" si="101"/>
        <v>0.97929138306519248</v>
      </c>
      <c r="H234" s="416" t="b">
        <f>Wh_hp&gt;='2021'!Maxi_hp</f>
        <v>1</v>
      </c>
      <c r="I234" s="382">
        <f>IF(H234,Wh_hp,'2021'!Maxi_hp)</f>
        <v>56.876275086433836</v>
      </c>
      <c r="J234" s="85">
        <f>IF(H234,An,'2021'!An_max)</f>
        <v>2022</v>
      </c>
      <c r="K234" s="199">
        <f t="shared" si="79"/>
        <v>44781</v>
      </c>
      <c r="L234" s="147">
        <f>IF(t&lt;Tvie,1-EXP((T0-t)*PertePVj)+'2021'!Pspv,1-EXP((T0-t)*PertePVj)+Pspv)</f>
        <v>3.358593908719687E-2</v>
      </c>
      <c r="M234" s="872"/>
      <c r="N234" s="872"/>
      <c r="O234" s="48">
        <f>IF(t&lt;Tnet,'2021'!Resal+('2021'!Salim-'2021'!Resal)*(1-EXP(('2021'!Tnet-t)/('2021'!Tau_j))),Resal+(Salim-Resal)*(1-EXP((Tnet-t)/(Tau_j))))*Salcycl</f>
        <v>0.1396374708390663</v>
      </c>
      <c r="P234" s="341">
        <f>(INDEX(Models!$BJ234:$BT234,,T234)*(1-R234)+INDEX(Models!$BJ234:$BT234,,T234+1)*R234-ERP_i)*Q234*Ramure*Pc/MaxiM</f>
        <v>2.368693452671405E-3</v>
      </c>
      <c r="Q234" s="307">
        <f t="shared" si="80"/>
        <v>0.9</v>
      </c>
      <c r="R234" s="179">
        <f t="shared" si="81"/>
        <v>0.45153368452471709</v>
      </c>
      <c r="S234" s="839">
        <f t="shared" si="82"/>
        <v>0</v>
      </c>
      <c r="T234" s="178">
        <f t="shared" si="83"/>
        <v>6</v>
      </c>
      <c r="U234" s="253">
        <f t="shared" si="84"/>
        <v>0.45153368452471709</v>
      </c>
      <c r="V234" s="385">
        <f t="shared" si="85"/>
        <v>48.176362928596653</v>
      </c>
      <c r="W234" s="404">
        <f t="shared" si="86"/>
        <v>0</v>
      </c>
      <c r="X234" s="157">
        <f t="shared" si="87"/>
        <v>44781</v>
      </c>
      <c r="Y234" s="387">
        <f t="shared" si="88"/>
        <v>45.559030491615189</v>
      </c>
      <c r="Z234" s="387">
        <f t="shared" si="89"/>
        <v>47.142350607547563</v>
      </c>
      <c r="AA234" s="388">
        <f t="shared" si="90"/>
        <v>56.745525025176555</v>
      </c>
      <c r="AB234" s="199">
        <f t="shared" si="91"/>
        <v>44781</v>
      </c>
      <c r="AC234" s="119">
        <f>IF(OR(t&lt;Tnet,NoTnet),'2021'!Resal_s+('2021'!Salim-'2021'!Resal_s)*(1-EXP(('2021'!Tnet_s-t)/'2021'!Tau_j)),Resal_s+(Salim-Resal_s)*(1-EXP((Tnet_s-t)/Tau_j)))*Salcycl</f>
        <v>0.16923227714200031</v>
      </c>
      <c r="AD234" s="233">
        <f>(INDEX(Models!$BJ234:$BT234,,AH234)*(1-AF234)+INDEX(Models!$BJ234:$BT234,,AH234+1)*AF234-ERP_i)*AE234*Ramure*Pc/MaxiM</f>
        <v>2.368693452671405E-3</v>
      </c>
      <c r="AE234" s="307">
        <f t="shared" si="92"/>
        <v>0.9</v>
      </c>
      <c r="AF234" s="179">
        <f t="shared" si="93"/>
        <v>0.45153368452471709</v>
      </c>
      <c r="AG234" s="839">
        <f t="shared" si="99"/>
        <v>0</v>
      </c>
      <c r="AH234" s="178">
        <f t="shared" si="94"/>
        <v>6</v>
      </c>
      <c r="AI234" s="227">
        <f t="shared" si="95"/>
        <v>0.45153368452471709</v>
      </c>
      <c r="AJ234" s="267" t="b">
        <f t="shared" si="96"/>
        <v>1</v>
      </c>
      <c r="AK234" s="267" t="b">
        <f t="shared" si="97"/>
        <v>0</v>
      </c>
      <c r="AL234" s="267"/>
      <c r="AM234" s="267"/>
      <c r="AN234" s="75"/>
    </row>
    <row r="235" spans="1:40" s="6" customFormat="1" ht="11.25" x14ac:dyDescent="0.2">
      <c r="A235" s="56">
        <f t="shared" si="98"/>
        <v>44782</v>
      </c>
      <c r="B235" s="1141">
        <v>45.375</v>
      </c>
      <c r="C235" s="868"/>
      <c r="D235" s="395">
        <f t="shared" si="77"/>
        <v>46.953017140762256</v>
      </c>
      <c r="E235" s="387">
        <f t="shared" si="100"/>
        <v>54.580477643094497</v>
      </c>
      <c r="F235" s="387">
        <f t="shared" si="78"/>
        <v>54.708574467181151</v>
      </c>
      <c r="G235" s="110">
        <f t="shared" si="101"/>
        <v>0.94520939822278904</v>
      </c>
      <c r="H235" s="416" t="b">
        <f>Wh_hp&gt;='2021'!Maxi_hp</f>
        <v>0</v>
      </c>
      <c r="I235" s="382">
        <f>IF(H235,Wh_hp,'2021'!Maxi_hp)</f>
        <v>56.037140301395539</v>
      </c>
      <c r="J235" s="85">
        <f>IF(H235,An,'2021'!An_max)</f>
        <v>2021</v>
      </c>
      <c r="K235" s="199">
        <f t="shared" si="79"/>
        <v>44782</v>
      </c>
      <c r="L235" s="147">
        <f>IF(t&lt;Tvie,1-EXP((T0-t)*PertePVj)+'2021'!Pspv,1-EXP((T0-t)*PertePVj)+Pspv)</f>
        <v>3.3608428954234326E-2</v>
      </c>
      <c r="M235" s="872"/>
      <c r="N235" s="872"/>
      <c r="O235" s="48">
        <f>IF(t&lt;Tnet,'2021'!Resal+('2021'!Salim-'2021'!Resal)*(1-EXP(('2021'!Tnet-t)/('2021'!Tau_j))),Resal+(Salim-Resal)*(1-EXP((Tnet-t)/(Tau_j))))*Salcycl</f>
        <v>0.13974704567828691</v>
      </c>
      <c r="P235" s="341">
        <f>(INDEX(Models!$BJ235:$BT235,,T235)*(1-R235)+INDEX(Models!$BJ235:$BT235,,T235+1)*R235-ERP_i)*Q235*Ramure*Pc/MaxiM</f>
        <v>2.539533720518127E-3</v>
      </c>
      <c r="Q235" s="307">
        <f t="shared" si="80"/>
        <v>0.9</v>
      </c>
      <c r="R235" s="179">
        <f t="shared" si="81"/>
        <v>0.45334799567737738</v>
      </c>
      <c r="S235" s="839">
        <f t="shared" si="82"/>
        <v>0</v>
      </c>
      <c r="T235" s="178">
        <f t="shared" si="83"/>
        <v>6</v>
      </c>
      <c r="U235" s="253">
        <f t="shared" si="84"/>
        <v>0.45334799567737738</v>
      </c>
      <c r="V235" s="385">
        <f t="shared" si="85"/>
        <v>47.99570388344241</v>
      </c>
      <c r="W235" s="404">
        <f t="shared" si="86"/>
        <v>0</v>
      </c>
      <c r="X235" s="157">
        <f t="shared" si="87"/>
        <v>44782</v>
      </c>
      <c r="Y235" s="387">
        <f t="shared" si="88"/>
        <v>43.818325845062404</v>
      </c>
      <c r="Z235" s="387">
        <f t="shared" si="89"/>
        <v>45.342206159398806</v>
      </c>
      <c r="AA235" s="388">
        <f t="shared" si="90"/>
        <v>54.580477643094497</v>
      </c>
      <c r="AB235" s="199">
        <f t="shared" si="91"/>
        <v>44782</v>
      </c>
      <c r="AC235" s="119">
        <f>IF(OR(t&lt;Tnet,NoTnet),'2021'!Resal_s+('2021'!Salim-'2021'!Resal_s)*(1-EXP(('2021'!Tnet_s-t)/'2021'!Tau_j)),Resal_s+(Salim-Resal_s)*(1-EXP((Tnet_s-t)/Tau_j)))*Salcycl</f>
        <v>0.16925963059732427</v>
      </c>
      <c r="AD235" s="233">
        <f>(INDEX(Models!$BJ235:$BT235,,AH235)*(1-AF235)+INDEX(Models!$BJ235:$BT235,,AH235+1)*AF235-ERP_i)*AE235*Ramure*Pc/MaxiM</f>
        <v>2.539533720518127E-3</v>
      </c>
      <c r="AE235" s="307">
        <f t="shared" si="92"/>
        <v>0.9</v>
      </c>
      <c r="AF235" s="179">
        <f t="shared" si="93"/>
        <v>0.45334799567737738</v>
      </c>
      <c r="AG235" s="839">
        <f t="shared" si="99"/>
        <v>0</v>
      </c>
      <c r="AH235" s="178">
        <f t="shared" si="94"/>
        <v>6</v>
      </c>
      <c r="AI235" s="227">
        <f t="shared" si="95"/>
        <v>0.45334799567737738</v>
      </c>
      <c r="AJ235" s="267" t="b">
        <f t="shared" si="96"/>
        <v>1</v>
      </c>
      <c r="AK235" s="267" t="b">
        <f t="shared" si="97"/>
        <v>0</v>
      </c>
      <c r="AL235" s="267"/>
      <c r="AM235" s="267"/>
      <c r="AN235" s="75"/>
    </row>
    <row r="236" spans="1:40" s="6" customFormat="1" ht="11.25" x14ac:dyDescent="0.2">
      <c r="A236" s="56">
        <f t="shared" si="98"/>
        <v>44783</v>
      </c>
      <c r="B236" s="1141">
        <v>43.692</v>
      </c>
      <c r="C236" s="868"/>
      <c r="D236" s="395">
        <f t="shared" si="77"/>
        <v>45.212539212289087</v>
      </c>
      <c r="E236" s="387">
        <f t="shared" si="100"/>
        <v>52.563910119942818</v>
      </c>
      <c r="F236" s="387">
        <f t="shared" si="78"/>
        <v>52.689465220903699</v>
      </c>
      <c r="G236" s="110">
        <f t="shared" si="101"/>
        <v>0.91351425308866319</v>
      </c>
      <c r="H236" s="416" t="b">
        <f>Wh_hp&gt;='2021'!Maxi_hp</f>
        <v>1</v>
      </c>
      <c r="I236" s="382">
        <f>IF(H236,Wh_hp,'2021'!Maxi_hp)</f>
        <v>52.689465220903699</v>
      </c>
      <c r="J236" s="85">
        <f>IF(H236,An,'2021'!An_max)</f>
        <v>2022</v>
      </c>
      <c r="K236" s="199">
        <f t="shared" si="79"/>
        <v>44783</v>
      </c>
      <c r="L236" s="147">
        <f>IF(t&lt;Tvie,1-EXP((T0-t)*PertePVj)+'2021'!Pspv,1-EXP((T0-t)*PertePVj)+Pspv)</f>
        <v>3.363091829789977E-2</v>
      </c>
      <c r="M236" s="872"/>
      <c r="N236" s="872"/>
      <c r="O236" s="48">
        <f>IF(t&lt;Tnet,'2021'!Resal+('2021'!Salim-'2021'!Resal)*(1-EXP(('2021'!Tnet-t)/('2021'!Tau_j))),Resal+(Salim-Resal)*(1-EXP((Tnet-t)/(Tau_j))))*Salcycl</f>
        <v>0.13985586100575526</v>
      </c>
      <c r="P236" s="341">
        <f>(INDEX(Models!$BJ236:$BT236,,T236)*(1-R236)+INDEX(Models!$BJ236:$BT236,,T236+1)*R236-ERP_i)*Q236*Ramure*Pc/MaxiM</f>
        <v>2.717484489232808E-3</v>
      </c>
      <c r="Q236" s="307">
        <f t="shared" si="80"/>
        <v>0.9</v>
      </c>
      <c r="R236" s="179">
        <f t="shared" si="81"/>
        <v>0.45510050124653112</v>
      </c>
      <c r="S236" s="839">
        <f t="shared" si="82"/>
        <v>0</v>
      </c>
      <c r="T236" s="178">
        <f t="shared" si="83"/>
        <v>6</v>
      </c>
      <c r="U236" s="253">
        <f t="shared" si="84"/>
        <v>0.45510050124653112</v>
      </c>
      <c r="V236" s="385">
        <f t="shared" si="85"/>
        <v>47.812442346402449</v>
      </c>
      <c r="W236" s="404">
        <f t="shared" si="86"/>
        <v>0</v>
      </c>
      <c r="X236" s="157">
        <f t="shared" si="87"/>
        <v>44783</v>
      </c>
      <c r="Y236" s="387">
        <f t="shared" si="88"/>
        <v>42.197044241418375</v>
      </c>
      <c r="Z236" s="387">
        <f t="shared" si="89"/>
        <v>43.665557022059545</v>
      </c>
      <c r="AA236" s="388">
        <f t="shared" si="90"/>
        <v>52.563910119942818</v>
      </c>
      <c r="AB236" s="199">
        <f t="shared" si="91"/>
        <v>44783</v>
      </c>
      <c r="AC236" s="119">
        <f>IF(OR(t&lt;Tnet,NoTnet),'2021'!Resal_s+('2021'!Salim-'2021'!Resal_s)*(1-EXP(('2021'!Tnet_s-t)/'2021'!Tau_j)),Resal_s+(Salim-Resal_s)*(1-EXP((Tnet_s-t)/Tau_j)))*Salcycl</f>
        <v>0.16928636164201993</v>
      </c>
      <c r="AD236" s="233">
        <f>(INDEX(Models!$BJ236:$BT236,,AH236)*(1-AF236)+INDEX(Models!$BJ236:$BT236,,AH236+1)*AF236-ERP_i)*AE236*Ramure*Pc/MaxiM</f>
        <v>2.717484489232808E-3</v>
      </c>
      <c r="AE236" s="307">
        <f t="shared" si="92"/>
        <v>0.9</v>
      </c>
      <c r="AF236" s="179">
        <f t="shared" si="93"/>
        <v>0.45510050124653112</v>
      </c>
      <c r="AG236" s="839">
        <f t="shared" si="99"/>
        <v>0</v>
      </c>
      <c r="AH236" s="178">
        <f t="shared" si="94"/>
        <v>6</v>
      </c>
      <c r="AI236" s="227">
        <f t="shared" si="95"/>
        <v>0.45510050124653112</v>
      </c>
      <c r="AJ236" s="267" t="b">
        <f t="shared" si="96"/>
        <v>1</v>
      </c>
      <c r="AK236" s="267" t="b">
        <f t="shared" si="97"/>
        <v>0</v>
      </c>
      <c r="AL236" s="267"/>
      <c r="AM236" s="267"/>
      <c r="AN236" s="75"/>
    </row>
    <row r="237" spans="1:40" s="6" customFormat="1" ht="11.25" x14ac:dyDescent="0.2">
      <c r="A237" s="56">
        <f t="shared" si="98"/>
        <v>44784</v>
      </c>
      <c r="B237" s="1141">
        <v>39.579000000000001</v>
      </c>
      <c r="C237" s="868"/>
      <c r="D237" s="395">
        <f t="shared" si="77"/>
        <v>40.957354526360277</v>
      </c>
      <c r="E237" s="387">
        <f t="shared" si="100"/>
        <v>47.622832563097965</v>
      </c>
      <c r="F237" s="387">
        <f t="shared" si="78"/>
        <v>47.727930339330818</v>
      </c>
      <c r="G237" s="110">
        <f t="shared" si="101"/>
        <v>0.83045050501541973</v>
      </c>
      <c r="H237" s="416" t="b">
        <f>Wh_hp&gt;='2021'!Maxi_hp</f>
        <v>0</v>
      </c>
      <c r="I237" s="382">
        <f>IF(H237,Wh_hp,'2021'!Maxi_hp)</f>
        <v>51.041583493059605</v>
      </c>
      <c r="J237" s="85">
        <f>IF(H237,An,'2021'!An_max)</f>
        <v>2021</v>
      </c>
      <c r="K237" s="199">
        <f t="shared" si="79"/>
        <v>44784</v>
      </c>
      <c r="L237" s="147">
        <f>IF(t&lt;Tvie,1-EXP((T0-t)*PertePVj)+'2021'!Pspv,1-EXP((T0-t)*PertePVj)+Pspv)</f>
        <v>3.3653407118205414E-2</v>
      </c>
      <c r="M237" s="872"/>
      <c r="N237" s="872"/>
      <c r="O237" s="48">
        <f>IF(t&lt;Tnet,'2021'!Resal+('2021'!Salim-'2021'!Resal)*(1-EXP(('2021'!Tnet-t)/('2021'!Tau_j))),Resal+(Salim-Resal)*(1-EXP((Tnet-t)/(Tau_j))))*Salcycl</f>
        <v>0.13996391390424431</v>
      </c>
      <c r="P237" s="341">
        <f>(INDEX(Models!$BJ237:$BT237,,T237)*(1-R237)+INDEX(Models!$BJ237:$BT237,,T237+1)*R237-ERP_i)*Q237*Ramure*Pc/MaxiM</f>
        <v>2.9026628603707892E-3</v>
      </c>
      <c r="Q237" s="307">
        <f t="shared" si="80"/>
        <v>0.9</v>
      </c>
      <c r="R237" s="179">
        <f t="shared" si="81"/>
        <v>0.45679290111933402</v>
      </c>
      <c r="S237" s="839">
        <f t="shared" si="82"/>
        <v>0</v>
      </c>
      <c r="T237" s="178">
        <f t="shared" si="83"/>
        <v>6</v>
      </c>
      <c r="U237" s="253">
        <f t="shared" si="84"/>
        <v>0.45679290111933402</v>
      </c>
      <c r="V237" s="385">
        <f t="shared" si="85"/>
        <v>47.626207403976352</v>
      </c>
      <c r="W237" s="404">
        <f t="shared" si="86"/>
        <v>0</v>
      </c>
      <c r="X237" s="157">
        <f t="shared" si="87"/>
        <v>44784</v>
      </c>
      <c r="Y237" s="387">
        <f t="shared" si="88"/>
        <v>38.228374837100837</v>
      </c>
      <c r="Z237" s="387">
        <f t="shared" si="89"/>
        <v>39.559693301238767</v>
      </c>
      <c r="AA237" s="388">
        <f t="shared" si="90"/>
        <v>47.622832563097965</v>
      </c>
      <c r="AB237" s="199">
        <f t="shared" si="91"/>
        <v>44784</v>
      </c>
      <c r="AC237" s="119">
        <f>IF(OR(t&lt;Tnet,NoTnet),'2021'!Resal_s+('2021'!Salim-'2021'!Resal_s)*(1-EXP(('2021'!Tnet_s-t)/'2021'!Tau_j)),Resal_s+(Salim-Resal_s)*(1-EXP((Tnet_s-t)/Tau_j)))*Salcycl</f>
        <v>0.16931246689654436</v>
      </c>
      <c r="AD237" s="233">
        <f>(INDEX(Models!$BJ237:$BT237,,AH237)*(1-AF237)+INDEX(Models!$BJ237:$BT237,,AH237+1)*AF237-ERP_i)*AE237*Ramure*Pc/MaxiM</f>
        <v>2.9026628603707892E-3</v>
      </c>
      <c r="AE237" s="307">
        <f t="shared" si="92"/>
        <v>0.9</v>
      </c>
      <c r="AF237" s="179">
        <f t="shared" si="93"/>
        <v>0.45679290111933402</v>
      </c>
      <c r="AG237" s="839">
        <f t="shared" si="99"/>
        <v>0</v>
      </c>
      <c r="AH237" s="178">
        <f t="shared" si="94"/>
        <v>6</v>
      </c>
      <c r="AI237" s="227">
        <f t="shared" si="95"/>
        <v>0.45679290111933402</v>
      </c>
      <c r="AJ237" s="267" t="b">
        <f t="shared" si="96"/>
        <v>1</v>
      </c>
      <c r="AK237" s="267" t="b">
        <f t="shared" si="97"/>
        <v>0</v>
      </c>
      <c r="AL237" s="267"/>
      <c r="AM237" s="267"/>
      <c r="AN237" s="75"/>
    </row>
    <row r="238" spans="1:40" s="6" customFormat="1" ht="11.25" x14ac:dyDescent="0.2">
      <c r="A238" s="56">
        <f t="shared" si="98"/>
        <v>44785</v>
      </c>
      <c r="B238" s="1141">
        <v>42.08</v>
      </c>
      <c r="C238" s="868"/>
      <c r="D238" s="395">
        <f t="shared" si="77"/>
        <v>43.54646624289569</v>
      </c>
      <c r="E238" s="387">
        <f t="shared" si="100"/>
        <v>50.639618271380016</v>
      </c>
      <c r="F238" s="387">
        <f t="shared" si="78"/>
        <v>50.771415231973002</v>
      </c>
      <c r="G238" s="110">
        <f t="shared" si="101"/>
        <v>0.88663414356691872</v>
      </c>
      <c r="H238" s="416" t="b">
        <f>Wh_hp&gt;='2021'!Maxi_hp</f>
        <v>1</v>
      </c>
      <c r="I238" s="382">
        <f>IF(H238,Wh_hp,'2021'!Maxi_hp)</f>
        <v>50.771415231973002</v>
      </c>
      <c r="J238" s="85">
        <f>IF(H238,An,'2021'!An_max)</f>
        <v>2022</v>
      </c>
      <c r="K238" s="199">
        <f t="shared" si="79"/>
        <v>44785</v>
      </c>
      <c r="L238" s="147">
        <f>IF(t&lt;Tvie,1-EXP((T0-t)*PertePVj)+'2021'!Pspv,1-EXP((T0-t)*PertePVj)+Pspv)</f>
        <v>3.3675895415163248E-2</v>
      </c>
      <c r="M238" s="872"/>
      <c r="N238" s="872"/>
      <c r="O238" s="48">
        <f>IF(t&lt;Tnet,'2021'!Resal+('2021'!Salim-'2021'!Resal)*(1-EXP(('2021'!Tnet-t)/('2021'!Tau_j))),Resal+(Salim-Resal)*(1-EXP((Tnet-t)/(Tau_j))))*Salcycl</f>
        <v>0.14007119861117048</v>
      </c>
      <c r="P238" s="341">
        <f>(INDEX(Models!$BJ238:$BT238,,T238)*(1-R238)+INDEX(Models!$BJ238:$BT238,,T238+1)*R238-ERP_i)*Q238*Ramure*Pc/MaxiM</f>
        <v>3.0951962900987911E-3</v>
      </c>
      <c r="Q238" s="307">
        <f t="shared" si="80"/>
        <v>0.9</v>
      </c>
      <c r="R238" s="179">
        <f t="shared" si="81"/>
        <v>0.45842687861387044</v>
      </c>
      <c r="S238" s="839">
        <f t="shared" si="82"/>
        <v>0</v>
      </c>
      <c r="T238" s="178">
        <f t="shared" si="83"/>
        <v>6</v>
      </c>
      <c r="U238" s="253">
        <f t="shared" si="84"/>
        <v>0.45842687861387044</v>
      </c>
      <c r="V238" s="385">
        <f t="shared" si="85"/>
        <v>47.436628481430354</v>
      </c>
      <c r="W238" s="404">
        <f t="shared" si="86"/>
        <v>0</v>
      </c>
      <c r="X238" s="157">
        <f t="shared" si="87"/>
        <v>44785</v>
      </c>
      <c r="Y238" s="387">
        <f t="shared" si="88"/>
        <v>40.647852993671179</v>
      </c>
      <c r="Z238" s="387">
        <f t="shared" si="89"/>
        <v>42.064409653875678</v>
      </c>
      <c r="AA238" s="388">
        <f t="shared" si="90"/>
        <v>50.639618271380016</v>
      </c>
      <c r="AB238" s="199">
        <f t="shared" si="91"/>
        <v>44785</v>
      </c>
      <c r="AC238" s="119">
        <f>IF(OR(t&lt;Tnet,NoTnet),'2021'!Resal_s+('2021'!Salim-'2021'!Resal_s)*(1-EXP(('2021'!Tnet_s-t)/'2021'!Tau_j)),Resal_s+(Salim-Resal_s)*(1-EXP((Tnet_s-t)/Tau_j)))*Salcycl</f>
        <v>0.16933793954664908</v>
      </c>
      <c r="AD238" s="233">
        <f>(INDEX(Models!$BJ238:$BT238,,AH238)*(1-AF238)+INDEX(Models!$BJ238:$BT238,,AH238+1)*AF238-ERP_i)*AE238*Ramure*Pc/MaxiM</f>
        <v>3.0951962900987911E-3</v>
      </c>
      <c r="AE238" s="307">
        <f t="shared" si="92"/>
        <v>0.9</v>
      </c>
      <c r="AF238" s="179">
        <f t="shared" si="93"/>
        <v>0.45842687861387044</v>
      </c>
      <c r="AG238" s="839">
        <f t="shared" si="99"/>
        <v>0</v>
      </c>
      <c r="AH238" s="178">
        <f t="shared" si="94"/>
        <v>6</v>
      </c>
      <c r="AI238" s="227">
        <f t="shared" si="95"/>
        <v>0.45842687861387044</v>
      </c>
      <c r="AJ238" s="267" t="b">
        <f t="shared" si="96"/>
        <v>1</v>
      </c>
      <c r="AK238" s="267" t="b">
        <f t="shared" si="97"/>
        <v>0</v>
      </c>
      <c r="AL238" s="267"/>
      <c r="AM238" s="267"/>
      <c r="AN238" s="75"/>
    </row>
    <row r="239" spans="1:40" s="6" customFormat="1" ht="11.25" x14ac:dyDescent="0.2">
      <c r="A239" s="56">
        <f t="shared" si="98"/>
        <v>44786</v>
      </c>
      <c r="B239" s="1141">
        <v>28.382000000000001</v>
      </c>
      <c r="C239" s="868"/>
      <c r="D239" s="395">
        <f t="shared" si="77"/>
        <v>29.371781549595575</v>
      </c>
      <c r="E239" s="387">
        <f t="shared" si="100"/>
        <v>34.160293097218791</v>
      </c>
      <c r="F239" s="387">
        <f t="shared" si="78"/>
        <v>34.208726689170796</v>
      </c>
      <c r="G239" s="110">
        <f t="shared" si="101"/>
        <v>0.59963131537568837</v>
      </c>
      <c r="H239" s="416" t="b">
        <f>Wh_hp&gt;='2021'!Maxi_hp</f>
        <v>0</v>
      </c>
      <c r="I239" s="382">
        <f>IF(H239,Wh_hp,'2021'!Maxi_hp)</f>
        <v>52.03553309327885</v>
      </c>
      <c r="J239" s="85">
        <f>IF(H239,An,'2021'!An_max)</f>
        <v>2019</v>
      </c>
      <c r="K239" s="199">
        <f t="shared" si="79"/>
        <v>44786</v>
      </c>
      <c r="L239" s="147">
        <f>IF(t&lt;Tvie,1-EXP((T0-t)*PertePVj)+'2021'!Pspv,1-EXP((T0-t)*PertePVj)+Pspv)</f>
        <v>3.3698383188785597E-2</v>
      </c>
      <c r="M239" s="872"/>
      <c r="N239" s="872"/>
      <c r="O239" s="48">
        <f>IF(t&lt;Tnet,'2021'!Resal+('2021'!Salim-'2021'!Resal)*(1-EXP(('2021'!Tnet-t)/('2021'!Tau_j))),Resal+(Salim-Resal)*(1-EXP((Tnet-t)/(Tau_j))))*Salcycl</f>
        <v>0.14017770673089092</v>
      </c>
      <c r="P239" s="341">
        <f>(INDEX(Models!$BJ239:$BT239,,T239)*(1-R239)+INDEX(Models!$BJ239:$BT239,,T239+1)*R239-ERP_i)*Q239*Ramure*Pc/MaxiM</f>
        <v>3.2952234081293111E-3</v>
      </c>
      <c r="Q239" s="307">
        <f t="shared" si="80"/>
        <v>0.9</v>
      </c>
      <c r="R239" s="179">
        <f t="shared" si="81"/>
        <v>0.46000409810295528</v>
      </c>
      <c r="S239" s="839">
        <f t="shared" si="82"/>
        <v>0</v>
      </c>
      <c r="T239" s="178">
        <f t="shared" si="83"/>
        <v>6</v>
      </c>
      <c r="U239" s="253">
        <f t="shared" si="84"/>
        <v>0.46000409810295528</v>
      </c>
      <c r="V239" s="385">
        <f t="shared" si="85"/>
        <v>47.243335324692325</v>
      </c>
      <c r="W239" s="404">
        <f t="shared" si="86"/>
        <v>0</v>
      </c>
      <c r="X239" s="157">
        <f t="shared" si="87"/>
        <v>44786</v>
      </c>
      <c r="Y239" s="387">
        <f t="shared" si="88"/>
        <v>27.418625985241786</v>
      </c>
      <c r="Z239" s="387">
        <f t="shared" si="89"/>
        <v>28.374811247571927</v>
      </c>
      <c r="AA239" s="388">
        <f t="shared" si="90"/>
        <v>34.160293097218791</v>
      </c>
      <c r="AB239" s="199">
        <f t="shared" si="91"/>
        <v>44786</v>
      </c>
      <c r="AC239" s="119">
        <f>IF(OR(t&lt;Tnet,NoTnet),'2021'!Resal_s+('2021'!Salim-'2021'!Resal_s)*(1-EXP(('2021'!Tnet_s-t)/'2021'!Tau_j)),Resal_s+(Salim-Resal_s)*(1-EXP((Tnet_s-t)/Tau_j)))*Salcycl</f>
        <v>0.1693627696103667</v>
      </c>
      <c r="AD239" s="233">
        <f>(INDEX(Models!$BJ239:$BT239,,AH239)*(1-AF239)+INDEX(Models!$BJ239:$BT239,,AH239+1)*AF239-ERP_i)*AE239*Ramure*Pc/MaxiM</f>
        <v>3.2952234081293111E-3</v>
      </c>
      <c r="AE239" s="307">
        <f t="shared" si="92"/>
        <v>0.9</v>
      </c>
      <c r="AF239" s="179">
        <f t="shared" si="93"/>
        <v>0.46000409810295528</v>
      </c>
      <c r="AG239" s="839">
        <f t="shared" si="99"/>
        <v>0</v>
      </c>
      <c r="AH239" s="178">
        <f t="shared" si="94"/>
        <v>6</v>
      </c>
      <c r="AI239" s="227">
        <f t="shared" si="95"/>
        <v>0.46000409810295528</v>
      </c>
      <c r="AJ239" s="267" t="b">
        <f t="shared" si="96"/>
        <v>1</v>
      </c>
      <c r="AK239" s="267" t="b">
        <f t="shared" si="97"/>
        <v>0</v>
      </c>
      <c r="AL239" s="267"/>
      <c r="AM239" s="267"/>
      <c r="AN239" s="75"/>
    </row>
    <row r="240" spans="1:40" s="6" customFormat="1" ht="11.25" x14ac:dyDescent="0.2">
      <c r="A240" s="56">
        <f t="shared" si="98"/>
        <v>44787</v>
      </c>
      <c r="B240" s="1141">
        <v>30.538</v>
      </c>
      <c r="C240" s="868"/>
      <c r="D240" s="395">
        <f t="shared" si="77"/>
        <v>31.603704422216694</v>
      </c>
      <c r="E240" s="387">
        <f t="shared" si="100"/>
        <v>36.760608590134929</v>
      </c>
      <c r="F240" s="387">
        <f t="shared" si="78"/>
        <v>36.82489833145916</v>
      </c>
      <c r="G240" s="110">
        <f t="shared" si="101"/>
        <v>0.64796743424435921</v>
      </c>
      <c r="H240" s="416" t="b">
        <f>Wh_hp&gt;='2021'!Maxi_hp</f>
        <v>0</v>
      </c>
      <c r="I240" s="382">
        <f>IF(H240,Wh_hp,'2021'!Maxi_hp)</f>
        <v>56.382758921997223</v>
      </c>
      <c r="J240" s="85">
        <f>IF(H240,An,'2021'!An_max)</f>
        <v>2019</v>
      </c>
      <c r="K240" s="199">
        <f t="shared" si="79"/>
        <v>44787</v>
      </c>
      <c r="L240" s="147">
        <f>IF(t&lt;Tvie,1-EXP((T0-t)*PertePVj)+'2021'!Pspv,1-EXP((T0-t)*PertePVj)+Pspv)</f>
        <v>3.372087043908456E-2</v>
      </c>
      <c r="M240" s="872"/>
      <c r="N240" s="872"/>
      <c r="O240" s="48">
        <f>IF(t&lt;Tnet,'2021'!Resal+('2021'!Salim-'2021'!Resal)*(1-EXP(('2021'!Tnet-t)/('2021'!Tau_j))),Resal+(Salim-Resal)*(1-EXP((Tnet-t)/(Tau_j))))*Salcycl</f>
        <v>0.14028342744309569</v>
      </c>
      <c r="P240" s="341">
        <f>(INDEX(Models!$BJ240:$BT240,,T240)*(1-R240)+INDEX(Models!$BJ240:$BT240,,T240+1)*R240-ERP_i)*Q240*Ramure*Pc/MaxiM</f>
        <v>3.5005622922072931E-3</v>
      </c>
      <c r="Q240" s="307">
        <f t="shared" si="80"/>
        <v>0.9</v>
      </c>
      <c r="R240" s="179">
        <f t="shared" si="81"/>
        <v>0.46152620287241031</v>
      </c>
      <c r="S240" s="839">
        <f t="shared" si="82"/>
        <v>0</v>
      </c>
      <c r="T240" s="178">
        <f t="shared" si="83"/>
        <v>6</v>
      </c>
      <c r="U240" s="253">
        <f t="shared" si="84"/>
        <v>0.46152620287241031</v>
      </c>
      <c r="V240" s="385">
        <f t="shared" si="85"/>
        <v>47.046068110589381</v>
      </c>
      <c r="W240" s="404">
        <f t="shared" si="86"/>
        <v>0</v>
      </c>
      <c r="X240" s="157">
        <f t="shared" si="87"/>
        <v>44787</v>
      </c>
      <c r="Y240" s="387">
        <f t="shared" si="88"/>
        <v>29.504213723140445</v>
      </c>
      <c r="Z240" s="387">
        <f t="shared" si="89"/>
        <v>30.533841434148933</v>
      </c>
      <c r="AA240" s="388">
        <f t="shared" si="90"/>
        <v>36.760608590134929</v>
      </c>
      <c r="AB240" s="199">
        <f t="shared" si="91"/>
        <v>44787</v>
      </c>
      <c r="AC240" s="119">
        <f>IF(OR(t&lt;Tnet,NoTnet),'2021'!Resal_s+('2021'!Salim-'2021'!Resal_s)*(1-EXP(('2021'!Tnet_s-t)/'2021'!Tau_j)),Resal_s+(Salim-Resal_s)*(1-EXP((Tnet_s-t)/Tau_j)))*Salcycl</f>
        <v>0.16938694419920491</v>
      </c>
      <c r="AD240" s="233">
        <f>(INDEX(Models!$BJ240:$BT240,,AH240)*(1-AF240)+INDEX(Models!$BJ240:$BT240,,AH240+1)*AF240-ERP_i)*AE240*Ramure*Pc/MaxiM</f>
        <v>3.5005622922072931E-3</v>
      </c>
      <c r="AE240" s="307">
        <f t="shared" si="92"/>
        <v>0.9</v>
      </c>
      <c r="AF240" s="179">
        <f t="shared" si="93"/>
        <v>0.46152620287241031</v>
      </c>
      <c r="AG240" s="839">
        <f t="shared" si="99"/>
        <v>0</v>
      </c>
      <c r="AH240" s="178">
        <f t="shared" si="94"/>
        <v>6</v>
      </c>
      <c r="AI240" s="227">
        <f t="shared" si="95"/>
        <v>0.46152620287241031</v>
      </c>
      <c r="AJ240" s="267" t="b">
        <f t="shared" si="96"/>
        <v>1</v>
      </c>
      <c r="AK240" s="267" t="b">
        <f t="shared" si="97"/>
        <v>0</v>
      </c>
      <c r="AL240" s="267"/>
      <c r="AM240" s="267"/>
      <c r="AN240" s="75"/>
    </row>
    <row r="241" spans="1:40" s="6" customFormat="1" ht="11.25" x14ac:dyDescent="0.2">
      <c r="A241" s="56">
        <f t="shared" si="98"/>
        <v>44788</v>
      </c>
      <c r="B241" s="1141">
        <v>35.814999999999998</v>
      </c>
      <c r="C241" s="868"/>
      <c r="D241" s="395">
        <f t="shared" si="77"/>
        <v>37.065721892434738</v>
      </c>
      <c r="E241" s="387">
        <f t="shared" si="100"/>
        <v>43.119147807563976</v>
      </c>
      <c r="F241" s="387">
        <f t="shared" si="78"/>
        <v>43.225493890948265</v>
      </c>
      <c r="G241" s="110">
        <f t="shared" si="101"/>
        <v>0.76359262201824674</v>
      </c>
      <c r="H241" s="416" t="b">
        <f>Wh_hp&gt;='2021'!Maxi_hp</f>
        <v>0</v>
      </c>
      <c r="I241" s="382">
        <f>IF(H241,Wh_hp,'2021'!Maxi_hp)</f>
        <v>51.37885714144074</v>
      </c>
      <c r="J241" s="85">
        <f>IF(H241,An,'2021'!An_max)</f>
        <v>2020</v>
      </c>
      <c r="K241" s="199">
        <f t="shared" si="79"/>
        <v>44788</v>
      </c>
      <c r="L241" s="147">
        <f>IF(t&lt;Tvie,1-EXP((T0-t)*PertePVj)+'2021'!Pspv,1-EXP((T0-t)*PertePVj)+Pspv)</f>
        <v>3.3743357166072463E-2</v>
      </c>
      <c r="M241" s="872"/>
      <c r="N241" s="872"/>
      <c r="O241" s="48">
        <f>IF(t&lt;Tnet,'2021'!Resal+('2021'!Salim-'2021'!Resal)*(1-EXP(('2021'!Tnet-t)/('2021'!Tau_j))),Resal+(Salim-Resal)*(1-EXP((Tnet-t)/(Tau_j))))*Salcycl</f>
        <v>0.1403883477044818</v>
      </c>
      <c r="P241" s="341">
        <f>(INDEX(Models!$BJ241:$BT241,,T241)*(1-R241)+INDEX(Models!$BJ241:$BT241,,T241+1)*R241-ERP_i)*Q241*Ramure*Pc/MaxiM</f>
        <v>3.7072226393406954E-3</v>
      </c>
      <c r="Q241" s="307">
        <f t="shared" si="80"/>
        <v>0.9</v>
      </c>
      <c r="R241" s="179">
        <f t="shared" si="81"/>
        <v>0.4629948132024887</v>
      </c>
      <c r="S241" s="839">
        <f t="shared" si="82"/>
        <v>0</v>
      </c>
      <c r="T241" s="178">
        <f t="shared" si="83"/>
        <v>6</v>
      </c>
      <c r="U241" s="253">
        <f t="shared" si="84"/>
        <v>0.4629948132024887</v>
      </c>
      <c r="V241" s="385">
        <f t="shared" si="85"/>
        <v>46.844651144054133</v>
      </c>
      <c r="W241" s="404">
        <f t="shared" si="86"/>
        <v>0</v>
      </c>
      <c r="X241" s="157">
        <f t="shared" si="87"/>
        <v>44788</v>
      </c>
      <c r="Y241" s="387">
        <f t="shared" si="88"/>
        <v>34.605818492190508</v>
      </c>
      <c r="Z241" s="387">
        <f t="shared" si="89"/>
        <v>35.814313670015594</v>
      </c>
      <c r="AA241" s="388">
        <f t="shared" si="90"/>
        <v>43.119147807563976</v>
      </c>
      <c r="AB241" s="199">
        <f t="shared" si="91"/>
        <v>44788</v>
      </c>
      <c r="AC241" s="119">
        <f>IF(OR(t&lt;Tnet,NoTnet),'2021'!Resal_s+('2021'!Salim-'2021'!Resal_s)*(1-EXP(('2021'!Tnet_s-t)/'2021'!Tau_j)),Resal_s+(Salim-Resal_s)*(1-EXP((Tnet_s-t)/Tau_j)))*Salcycl</f>
        <v>0.16941044777018924</v>
      </c>
      <c r="AD241" s="233">
        <f>(INDEX(Models!$BJ241:$BT241,,AH241)*(1-AF241)+INDEX(Models!$BJ241:$BT241,,AH241+1)*AF241-ERP_i)*AE241*Ramure*Pc/MaxiM</f>
        <v>3.7072226393406954E-3</v>
      </c>
      <c r="AE241" s="307">
        <f t="shared" si="92"/>
        <v>0.9</v>
      </c>
      <c r="AF241" s="179">
        <f t="shared" si="93"/>
        <v>0.4629948132024887</v>
      </c>
      <c r="AG241" s="839">
        <f t="shared" si="99"/>
        <v>0</v>
      </c>
      <c r="AH241" s="178">
        <f t="shared" si="94"/>
        <v>6</v>
      </c>
      <c r="AI241" s="227">
        <f t="shared" si="95"/>
        <v>0.4629948132024887</v>
      </c>
      <c r="AJ241" s="267" t="b">
        <f t="shared" si="96"/>
        <v>1</v>
      </c>
      <c r="AK241" s="267" t="b">
        <f t="shared" si="97"/>
        <v>0</v>
      </c>
      <c r="AL241" s="267"/>
      <c r="AM241" s="267"/>
      <c r="AN241" s="75"/>
    </row>
    <row r="242" spans="1:40" s="6" customFormat="1" ht="11.25" x14ac:dyDescent="0.2">
      <c r="A242" s="56">
        <f t="shared" si="98"/>
        <v>44789</v>
      </c>
      <c r="B242" s="1141">
        <v>28.574000000000002</v>
      </c>
      <c r="C242" s="868"/>
      <c r="D242" s="395">
        <f t="shared" si="77"/>
        <v>29.572541814969995</v>
      </c>
      <c r="E242" s="387">
        <f t="shared" si="100"/>
        <v>34.406378279002624</v>
      </c>
      <c r="F242" s="387">
        <f t="shared" si="78"/>
        <v>34.466654578227022</v>
      </c>
      <c r="G242" s="110">
        <f t="shared" si="101"/>
        <v>0.61133731519623891</v>
      </c>
      <c r="H242" s="416" t="b">
        <f>Wh_hp&gt;='2021'!Maxi_hp</f>
        <v>0</v>
      </c>
      <c r="I242" s="382">
        <f>IF(H242,Wh_hp,'2021'!Maxi_hp)</f>
        <v>55.398390259601427</v>
      </c>
      <c r="J242" s="85">
        <f>IF(H242,An,'2021'!An_max)</f>
        <v>2019</v>
      </c>
      <c r="K242" s="199">
        <f t="shared" si="79"/>
        <v>44789</v>
      </c>
      <c r="L242" s="147">
        <f>IF(t&lt;Tvie,1-EXP((T0-t)*PertePVj)+'2021'!Pspv,1-EXP((T0-t)*PertePVj)+Pspv)</f>
        <v>3.3765843369761295E-2</v>
      </c>
      <c r="M242" s="872"/>
      <c r="N242" s="872"/>
      <c r="O242" s="48">
        <f>IF(t&lt;Tnet,'2021'!Resal+('2021'!Salim-'2021'!Resal)*(1-EXP(('2021'!Tnet-t)/('2021'!Tau_j))),Resal+(Salim-Resal)*(1-EXP((Tnet-t)/(Tau_j))))*Salcycl</f>
        <v>0.14049245244108138</v>
      </c>
      <c r="P242" s="341">
        <f>(INDEX(Models!$BJ242:$BT242,,T242)*(1-R242)+INDEX(Models!$BJ242:$BT242,,T242+1)*R242-ERP_i)*Q242*Ramure*Pc/MaxiM</f>
        <v>3.9152860912665772E-3</v>
      </c>
      <c r="Q242" s="307">
        <f t="shared" si="80"/>
        <v>0.9</v>
      </c>
      <c r="R242" s="179">
        <f t="shared" si="81"/>
        <v>0.46441152466100877</v>
      </c>
      <c r="S242" s="839">
        <f t="shared" si="82"/>
        <v>0</v>
      </c>
      <c r="T242" s="178">
        <f t="shared" si="83"/>
        <v>6</v>
      </c>
      <c r="U242" s="253">
        <f t="shared" si="84"/>
        <v>0.46441152466100877</v>
      </c>
      <c r="V242" s="385">
        <f t="shared" si="85"/>
        <v>46.638715662050473</v>
      </c>
      <c r="W242" s="404">
        <f t="shared" si="86"/>
        <v>0</v>
      </c>
      <c r="X242" s="157">
        <f t="shared" si="87"/>
        <v>44789</v>
      </c>
      <c r="Y242" s="387">
        <f t="shared" si="88"/>
        <v>27.611873832367333</v>
      </c>
      <c r="Z242" s="387">
        <f t="shared" si="89"/>
        <v>28.576793361005066</v>
      </c>
      <c r="AA242" s="388">
        <f t="shared" si="90"/>
        <v>34.406378279002624</v>
      </c>
      <c r="AB242" s="199">
        <f t="shared" si="91"/>
        <v>44789</v>
      </c>
      <c r="AC242" s="119">
        <f>IF(OR(t&lt;Tnet,NoTnet),'2021'!Resal_s+('2021'!Salim-'2021'!Resal_s)*(1-EXP(('2021'!Tnet_s-t)/'2021'!Tau_j)),Resal_s+(Salim-Resal_s)*(1-EXP((Tnet_s-t)/Tau_j)))*Salcycl</f>
        <v>0.16943326236563555</v>
      </c>
      <c r="AD242" s="233">
        <f>(INDEX(Models!$BJ242:$BT242,,AH242)*(1-AF242)+INDEX(Models!$BJ242:$BT242,,AH242+1)*AF242-ERP_i)*AE242*Ramure*Pc/MaxiM</f>
        <v>3.9152860912665772E-3</v>
      </c>
      <c r="AE242" s="307">
        <f t="shared" si="92"/>
        <v>0.9</v>
      </c>
      <c r="AF242" s="179">
        <f t="shared" si="93"/>
        <v>0.46441152466100877</v>
      </c>
      <c r="AG242" s="839">
        <f t="shared" si="99"/>
        <v>0</v>
      </c>
      <c r="AH242" s="178">
        <f t="shared" si="94"/>
        <v>6</v>
      </c>
      <c r="AI242" s="227">
        <f t="shared" si="95"/>
        <v>0.46441152466100877</v>
      </c>
      <c r="AJ242" s="267" t="b">
        <f t="shared" si="96"/>
        <v>1</v>
      </c>
      <c r="AK242" s="267" t="b">
        <f t="shared" si="97"/>
        <v>0</v>
      </c>
      <c r="AL242" s="267"/>
      <c r="AM242" s="267"/>
      <c r="AN242" s="75"/>
    </row>
    <row r="243" spans="1:40" s="6" customFormat="1" ht="11.25" x14ac:dyDescent="0.2">
      <c r="A243" s="56">
        <f t="shared" si="98"/>
        <v>44790</v>
      </c>
      <c r="B243" s="1141">
        <v>20.706</v>
      </c>
      <c r="C243" s="868"/>
      <c r="D243" s="395">
        <f t="shared" si="77"/>
        <v>21.430086825224247</v>
      </c>
      <c r="E243" s="387">
        <f t="shared" si="100"/>
        <v>24.935978842393364</v>
      </c>
      <c r="F243" s="387">
        <f t="shared" si="78"/>
        <v>24.957447688469706</v>
      </c>
      <c r="G243" s="110">
        <f t="shared" si="101"/>
        <v>0.44452468251670868</v>
      </c>
      <c r="H243" s="416" t="b">
        <f>Wh_hp&gt;='2021'!Maxi_hp</f>
        <v>0</v>
      </c>
      <c r="I243" s="382">
        <f>IF(H243,Wh_hp,'2021'!Maxi_hp)</f>
        <v>54.145647175100791</v>
      </c>
      <c r="J243" s="85">
        <f>IF(H243,An,'2021'!An_max)</f>
        <v>2019</v>
      </c>
      <c r="K243" s="199">
        <f t="shared" si="79"/>
        <v>44790</v>
      </c>
      <c r="L243" s="147">
        <f>IF(t&lt;Tvie,1-EXP((T0-t)*PertePVj)+'2021'!Pspv,1-EXP((T0-t)*PertePVj)+Pspv)</f>
        <v>3.3788329050163379E-2</v>
      </c>
      <c r="M243" s="872"/>
      <c r="N243" s="872"/>
      <c r="O243" s="48">
        <f>IF(t&lt;Tnet,'2021'!Resal+('2021'!Salim-'2021'!Resal)*(1-EXP(('2021'!Tnet-t)/('2021'!Tau_j))),Resal+(Salim-Resal)*(1-EXP((Tnet-t)/(Tau_j))))*Salcycl</f>
        <v>0.14059572472883211</v>
      </c>
      <c r="P243" s="341">
        <f>(INDEX(Models!$BJ243:$BT243,,T243)*(1-R243)+INDEX(Models!$BJ243:$BT243,,T243+1)*R243-ERP_i)*Q243*Ramure*Pc/MaxiM</f>
        <v>4.1248443020012711E-3</v>
      </c>
      <c r="Q243" s="307">
        <f t="shared" si="80"/>
        <v>0.9</v>
      </c>
      <c r="R243" s="179">
        <f t="shared" si="81"/>
        <v>0.465777906596751</v>
      </c>
      <c r="S243" s="839">
        <f t="shared" si="82"/>
        <v>0</v>
      </c>
      <c r="T243" s="178">
        <f t="shared" si="83"/>
        <v>6</v>
      </c>
      <c r="U243" s="253">
        <f t="shared" si="84"/>
        <v>0.465777906596751</v>
      </c>
      <c r="V243" s="385">
        <f t="shared" si="85"/>
        <v>46.427893121040405</v>
      </c>
      <c r="W243" s="404">
        <f t="shared" si="86"/>
        <v>0</v>
      </c>
      <c r="X243" s="157">
        <f t="shared" si="87"/>
        <v>44790</v>
      </c>
      <c r="Y243" s="387">
        <f t="shared" si="88"/>
        <v>20.010672099721731</v>
      </c>
      <c r="Z243" s="387">
        <f t="shared" si="89"/>
        <v>20.710443375259786</v>
      </c>
      <c r="AA243" s="388">
        <f t="shared" si="90"/>
        <v>24.935978842393364</v>
      </c>
      <c r="AB243" s="199">
        <f t="shared" si="91"/>
        <v>44790</v>
      </c>
      <c r="AC243" s="119">
        <f>IF(OR(t&lt;Tnet,NoTnet),'2021'!Resal_s+('2021'!Salim-'2021'!Resal_s)*(1-EXP(('2021'!Tnet_s-t)/'2021'!Tau_j)),Resal_s+(Salim-Resal_s)*(1-EXP((Tnet_s-t)/Tau_j)))*Salcycl</f>
        <v>0.16945536783780857</v>
      </c>
      <c r="AD243" s="233">
        <f>(INDEX(Models!$BJ243:$BT243,,AH243)*(1-AF243)+INDEX(Models!$BJ243:$BT243,,AH243+1)*AF243-ERP_i)*AE243*Ramure*Pc/MaxiM</f>
        <v>4.1248443020012711E-3</v>
      </c>
      <c r="AE243" s="307">
        <f t="shared" si="92"/>
        <v>0.9</v>
      </c>
      <c r="AF243" s="179">
        <f t="shared" si="93"/>
        <v>0.465777906596751</v>
      </c>
      <c r="AG243" s="839">
        <f t="shared" si="99"/>
        <v>0</v>
      </c>
      <c r="AH243" s="178">
        <f t="shared" si="94"/>
        <v>6</v>
      </c>
      <c r="AI243" s="227">
        <f t="shared" si="95"/>
        <v>0.465777906596751</v>
      </c>
      <c r="AJ243" s="267" t="b">
        <f t="shared" si="96"/>
        <v>1</v>
      </c>
      <c r="AK243" s="267" t="b">
        <f t="shared" si="97"/>
        <v>0</v>
      </c>
      <c r="AL243" s="267"/>
      <c r="AM243" s="267"/>
      <c r="AN243" s="75"/>
    </row>
    <row r="244" spans="1:40" s="6" customFormat="1" ht="11.25" x14ac:dyDescent="0.2">
      <c r="A244" s="56">
        <f t="shared" si="98"/>
        <v>44791</v>
      </c>
      <c r="B244" s="1141">
        <v>34.908999999999999</v>
      </c>
      <c r="C244" s="868"/>
      <c r="D244" s="395">
        <f t="shared" si="77"/>
        <v>36.130605178900787</v>
      </c>
      <c r="E244" s="387">
        <f t="shared" si="100"/>
        <v>42.046464823789741</v>
      </c>
      <c r="F244" s="387">
        <f t="shared" si="78"/>
        <v>42.165411636145436</v>
      </c>
      <c r="G244" s="110">
        <f t="shared" si="101"/>
        <v>0.7542651513437032</v>
      </c>
      <c r="H244" s="416" t="b">
        <f>Wh_hp&gt;='2021'!Maxi_hp</f>
        <v>0</v>
      </c>
      <c r="I244" s="382">
        <f>IF(H244,Wh_hp,'2021'!Maxi_hp)</f>
        <v>53.373753498683605</v>
      </c>
      <c r="J244" s="85">
        <f>IF(H244,An,'2021'!An_max)</f>
        <v>2021</v>
      </c>
      <c r="K244" s="199">
        <f t="shared" si="79"/>
        <v>44791</v>
      </c>
      <c r="L244" s="147">
        <f>IF(t&lt;Tvie,1-EXP((T0-t)*PertePVj)+'2021'!Pspv,1-EXP((T0-t)*PertePVj)+Pspv)</f>
        <v>3.3810814207290707E-2</v>
      </c>
      <c r="M244" s="872"/>
      <c r="N244" s="872"/>
      <c r="O244" s="48">
        <f>IF(t&lt;Tnet,'2021'!Resal+('2021'!Salim-'2021'!Resal)*(1-EXP(('2021'!Tnet-t)/('2021'!Tau_j))),Resal+(Salim-Resal)*(1-EXP((Tnet-t)/(Tau_j))))*Salcycl</f>
        <v>0.14069814596022312</v>
      </c>
      <c r="P244" s="341">
        <f>(INDEX(Models!$BJ244:$BT244,,T244)*(1-R244)+INDEX(Models!$BJ244:$BT244,,T244+1)*R244-ERP_i)*Q244*Ramure*Pc/MaxiM</f>
        <v>4.3359992901434753E-3</v>
      </c>
      <c r="Q244" s="307">
        <f t="shared" si="80"/>
        <v>0.9</v>
      </c>
      <c r="R244" s="179">
        <f t="shared" si="81"/>
        <v>0.4670955008217299</v>
      </c>
      <c r="S244" s="839">
        <f t="shared" si="82"/>
        <v>0</v>
      </c>
      <c r="T244" s="178">
        <f t="shared" si="83"/>
        <v>6</v>
      </c>
      <c r="U244" s="253">
        <f t="shared" si="84"/>
        <v>0.4670955008217299</v>
      </c>
      <c r="V244" s="385">
        <f t="shared" si="85"/>
        <v>46.211815178528269</v>
      </c>
      <c r="W244" s="404">
        <f t="shared" si="86"/>
        <v>0</v>
      </c>
      <c r="X244" s="157">
        <f t="shared" si="87"/>
        <v>44791</v>
      </c>
      <c r="Y244" s="387">
        <f t="shared" si="88"/>
        <v>33.739874149308534</v>
      </c>
      <c r="Z244" s="387">
        <f t="shared" si="89"/>
        <v>34.920566950484627</v>
      </c>
      <c r="AA244" s="388">
        <f t="shared" si="90"/>
        <v>42.046464823789741</v>
      </c>
      <c r="AB244" s="199">
        <f t="shared" si="91"/>
        <v>44791</v>
      </c>
      <c r="AC244" s="119">
        <f>IF(OR(t&lt;Tnet,NoTnet),'2021'!Resal_s+('2021'!Salim-'2021'!Resal_s)*(1-EXP(('2021'!Tnet_s-t)/'2021'!Tau_j)),Resal_s+(Salim-Resal_s)*(1-EXP((Tnet_s-t)/Tau_j)))*Salcycl</f>
        <v>0.16947674205592922</v>
      </c>
      <c r="AD244" s="233">
        <f>(INDEX(Models!$BJ244:$BT244,,AH244)*(1-AF244)+INDEX(Models!$BJ244:$BT244,,AH244+1)*AF244-ERP_i)*AE244*Ramure*Pc/MaxiM</f>
        <v>4.3359992901434753E-3</v>
      </c>
      <c r="AE244" s="307">
        <f t="shared" si="92"/>
        <v>0.9</v>
      </c>
      <c r="AF244" s="179">
        <f t="shared" si="93"/>
        <v>0.4670955008217299</v>
      </c>
      <c r="AG244" s="839">
        <f t="shared" si="99"/>
        <v>0</v>
      </c>
      <c r="AH244" s="178">
        <f t="shared" si="94"/>
        <v>6</v>
      </c>
      <c r="AI244" s="227">
        <f t="shared" si="95"/>
        <v>0.4670955008217299</v>
      </c>
      <c r="AJ244" s="267" t="b">
        <f t="shared" si="96"/>
        <v>1</v>
      </c>
      <c r="AK244" s="267" t="b">
        <f t="shared" si="97"/>
        <v>0</v>
      </c>
      <c r="AL244" s="267"/>
      <c r="AM244" s="267"/>
      <c r="AN244" s="75"/>
    </row>
    <row r="245" spans="1:40" s="6" customFormat="1" ht="11.25" x14ac:dyDescent="0.2">
      <c r="A245" s="56">
        <f t="shared" si="98"/>
        <v>44792</v>
      </c>
      <c r="B245" s="1141">
        <v>36.142000000000003</v>
      </c>
      <c r="C245" s="868"/>
      <c r="D245" s="395">
        <f t="shared" si="77"/>
        <v>37.407623297977864</v>
      </c>
      <c r="E245" s="387">
        <f t="shared" si="100"/>
        <v>43.53772120844755</v>
      </c>
      <c r="F245" s="387">
        <f t="shared" si="78"/>
        <v>43.675619594851703</v>
      </c>
      <c r="G245" s="110">
        <f t="shared" si="101"/>
        <v>0.78476753004509581</v>
      </c>
      <c r="H245" s="416" t="b">
        <f>Wh_hp&gt;='2021'!Maxi_hp</f>
        <v>0</v>
      </c>
      <c r="I245" s="382">
        <f>IF(H245,Wh_hp,'2021'!Maxi_hp)</f>
        <v>48.36638609373653</v>
      </c>
      <c r="J245" s="85">
        <f>IF(H245,An,'2021'!An_max)</f>
        <v>2021</v>
      </c>
      <c r="K245" s="199">
        <f t="shared" si="79"/>
        <v>44792</v>
      </c>
      <c r="L245" s="147">
        <f>IF(t&lt;Tvie,1-EXP((T0-t)*PertePVj)+'2021'!Pspv,1-EXP((T0-t)*PertePVj)+Pspv)</f>
        <v>3.3833298841155712E-2</v>
      </c>
      <c r="M245" s="872"/>
      <c r="N245" s="872"/>
      <c r="O245" s="48">
        <f>IF(t&lt;Tnet,'2021'!Resal+('2021'!Salim-'2021'!Resal)*(1-EXP(('2021'!Tnet-t)/('2021'!Tau_j))),Resal+(Salim-Resal)*(1-EXP((Tnet-t)/(Tau_j))))*Salcycl</f>
        <v>0.14079969599511963</v>
      </c>
      <c r="P245" s="341">
        <f>(INDEX(Models!$BJ245:$BT245,,T245)*(1-R245)+INDEX(Models!$BJ245:$BT245,,T245+1)*R245-ERP_i)*Q245*Ramure*Pc/MaxiM</f>
        <v>4.5488638328539275E-3</v>
      </c>
      <c r="Q245" s="307">
        <f t="shared" si="80"/>
        <v>0.9</v>
      </c>
      <c r="R245" s="179">
        <f t="shared" si="81"/>
        <v>0.46836582047108699</v>
      </c>
      <c r="S245" s="839">
        <f t="shared" si="82"/>
        <v>0</v>
      </c>
      <c r="T245" s="178">
        <f t="shared" si="83"/>
        <v>6</v>
      </c>
      <c r="U245" s="253">
        <f t="shared" si="84"/>
        <v>0.46836582047108699</v>
      </c>
      <c r="V245" s="385">
        <f t="shared" si="85"/>
        <v>45.990113687958576</v>
      </c>
      <c r="W245" s="404">
        <f t="shared" si="86"/>
        <v>0</v>
      </c>
      <c r="X245" s="157">
        <f t="shared" si="87"/>
        <v>44792</v>
      </c>
      <c r="Y245" s="387">
        <f t="shared" si="88"/>
        <v>34.934841428075536</v>
      </c>
      <c r="Z245" s="387">
        <f t="shared" si="89"/>
        <v>36.158192355598494</v>
      </c>
      <c r="AA245" s="388">
        <f t="shared" si="90"/>
        <v>43.53772120844755</v>
      </c>
      <c r="AB245" s="199">
        <f t="shared" si="91"/>
        <v>44792</v>
      </c>
      <c r="AC245" s="119">
        <f>IF(OR(t&lt;Tnet,NoTnet),'2021'!Resal_s+('2021'!Salim-'2021'!Resal_s)*(1-EXP(('2021'!Tnet_s-t)/'2021'!Tau_j)),Resal_s+(Salim-Resal_s)*(1-EXP((Tnet_s-t)/Tau_j)))*Salcycl</f>
        <v>0.16949736109333208</v>
      </c>
      <c r="AD245" s="233">
        <f>(INDEX(Models!$BJ245:$BT245,,AH245)*(1-AF245)+INDEX(Models!$BJ245:$BT245,,AH245+1)*AF245-ERP_i)*AE245*Ramure*Pc/MaxiM</f>
        <v>4.5488638328539275E-3</v>
      </c>
      <c r="AE245" s="307">
        <f t="shared" si="92"/>
        <v>0.9</v>
      </c>
      <c r="AF245" s="179">
        <f t="shared" si="93"/>
        <v>0.46836582047108699</v>
      </c>
      <c r="AG245" s="839">
        <f t="shared" si="99"/>
        <v>0</v>
      </c>
      <c r="AH245" s="178">
        <f t="shared" si="94"/>
        <v>6</v>
      </c>
      <c r="AI245" s="227">
        <f t="shared" si="95"/>
        <v>0.46836582047108699</v>
      </c>
      <c r="AJ245" s="267" t="b">
        <f t="shared" si="96"/>
        <v>1</v>
      </c>
      <c r="AK245" s="267" t="b">
        <f t="shared" si="97"/>
        <v>0</v>
      </c>
      <c r="AL245" s="267"/>
      <c r="AM245" s="267"/>
      <c r="AN245" s="75"/>
    </row>
    <row r="246" spans="1:40" s="6" customFormat="1" ht="11.25" x14ac:dyDescent="0.2">
      <c r="A246" s="56">
        <f t="shared" si="98"/>
        <v>44793</v>
      </c>
      <c r="B246" s="1141">
        <v>42.597000000000001</v>
      </c>
      <c r="C246" s="868"/>
      <c r="D246" s="395">
        <f t="shared" si="77"/>
        <v>44.089691009218733</v>
      </c>
      <c r="E246" s="387">
        <f t="shared" si="100"/>
        <v>51.320811477781128</v>
      </c>
      <c r="F246" s="387">
        <f t="shared" si="78"/>
        <v>51.542073811585851</v>
      </c>
      <c r="G246" s="110">
        <f t="shared" si="101"/>
        <v>0.93038921362042681</v>
      </c>
      <c r="H246" s="416" t="b">
        <f>Wh_hp&gt;='2021'!Maxi_hp</f>
        <v>0</v>
      </c>
      <c r="I246" s="382">
        <f>IF(H246,Wh_hp,'2021'!Maxi_hp)</f>
        <v>52.08934331759658</v>
      </c>
      <c r="J246" s="85">
        <f>IF(H246,An,'2021'!An_max)</f>
        <v>2021</v>
      </c>
      <c r="K246" s="199">
        <f t="shared" si="79"/>
        <v>44793</v>
      </c>
      <c r="L246" s="147">
        <f>IF(t&lt;Tvie,1-EXP((T0-t)*PertePVj)+'2021'!Pspv,1-EXP((T0-t)*PertePVj)+Pspv)</f>
        <v>3.3855782951770386E-2</v>
      </c>
      <c r="M246" s="872"/>
      <c r="N246" s="872"/>
      <c r="O246" s="48">
        <f>IF(t&lt;Tnet,'2021'!Resal+('2021'!Salim-'2021'!Resal)*(1-EXP(('2021'!Tnet-t)/('2021'!Tau_j))),Resal+(Salim-Resal)*(1-EXP((Tnet-t)/(Tau_j))))*Salcycl</f>
        <v>0.14090035329416112</v>
      </c>
      <c r="P246" s="341">
        <f>(INDEX(Models!$BJ246:$BT246,,T246)*(1-R246)+INDEX(Models!$BJ246:$BT246,,T246+1)*R246-ERP_i)*Q246*Ramure*Pc/MaxiM</f>
        <v>4.7635619091177823E-3</v>
      </c>
      <c r="Q246" s="307">
        <f t="shared" si="80"/>
        <v>0.9</v>
      </c>
      <c r="R246" s="179">
        <f t="shared" si="81"/>
        <v>0.46959034902954844</v>
      </c>
      <c r="S246" s="839">
        <f t="shared" si="82"/>
        <v>0</v>
      </c>
      <c r="T246" s="178">
        <f t="shared" si="83"/>
        <v>6</v>
      </c>
      <c r="U246" s="253">
        <f t="shared" si="84"/>
        <v>0.46959034902954844</v>
      </c>
      <c r="V246" s="385">
        <f t="shared" si="85"/>
        <v>45.762420680413065</v>
      </c>
      <c r="W246" s="404">
        <f t="shared" si="86"/>
        <v>0</v>
      </c>
      <c r="X246" s="157">
        <f t="shared" si="87"/>
        <v>44793</v>
      </c>
      <c r="Y246" s="387">
        <f t="shared" si="88"/>
        <v>41.178082185351229</v>
      </c>
      <c r="Z246" s="387">
        <f t="shared" si="89"/>
        <v>42.621051245494989</v>
      </c>
      <c r="AA246" s="388">
        <f t="shared" si="90"/>
        <v>51.320811477781128</v>
      </c>
      <c r="AB246" s="199">
        <f t="shared" si="91"/>
        <v>44793</v>
      </c>
      <c r="AC246" s="119">
        <f>IF(OR(t&lt;Tnet,NoTnet),'2021'!Resal_s+('2021'!Salim-'2021'!Resal_s)*(1-EXP(('2021'!Tnet_s-t)/'2021'!Tau_j)),Resal_s+(Salim-Resal_s)*(1-EXP((Tnet_s-t)/Tau_j)))*Salcycl</f>
        <v>0.16951719939293269</v>
      </c>
      <c r="AD246" s="233">
        <f>(INDEX(Models!$BJ246:$BT246,,AH246)*(1-AF246)+INDEX(Models!$BJ246:$BT246,,AH246+1)*AF246-ERP_i)*AE246*Ramure*Pc/MaxiM</f>
        <v>4.7635619091177823E-3</v>
      </c>
      <c r="AE246" s="307">
        <f t="shared" si="92"/>
        <v>0.9</v>
      </c>
      <c r="AF246" s="179">
        <f t="shared" si="93"/>
        <v>0.46959034902954844</v>
      </c>
      <c r="AG246" s="839">
        <f t="shared" si="99"/>
        <v>0</v>
      </c>
      <c r="AH246" s="178">
        <f t="shared" si="94"/>
        <v>6</v>
      </c>
      <c r="AI246" s="227">
        <f t="shared" si="95"/>
        <v>0.46959034902954844</v>
      </c>
      <c r="AJ246" s="267" t="b">
        <f t="shared" si="96"/>
        <v>1</v>
      </c>
      <c r="AK246" s="267" t="b">
        <f t="shared" si="97"/>
        <v>0</v>
      </c>
      <c r="AL246" s="267"/>
      <c r="AM246" s="267"/>
      <c r="AN246" s="75"/>
    </row>
    <row r="247" spans="1:40" s="6" customFormat="1" ht="11.25" x14ac:dyDescent="0.2">
      <c r="A247" s="56">
        <f t="shared" si="98"/>
        <v>44794</v>
      </c>
      <c r="B247" s="1141">
        <v>27.969000000000001</v>
      </c>
      <c r="C247" s="868"/>
      <c r="D247" s="395">
        <f t="shared" si="77"/>
        <v>28.949767955026857</v>
      </c>
      <c r="E247" s="387">
        <f t="shared" si="100"/>
        <v>33.701712640065857</v>
      </c>
      <c r="F247" s="387">
        <f t="shared" si="78"/>
        <v>33.777241059901279</v>
      </c>
      <c r="G247" s="110">
        <f t="shared" si="101"/>
        <v>0.6126128822751854</v>
      </c>
      <c r="H247" s="416" t="b">
        <f>Wh_hp&gt;='2021'!Maxi_hp</f>
        <v>0</v>
      </c>
      <c r="I247" s="382">
        <f>IF(H247,Wh_hp,'2021'!Maxi_hp)</f>
        <v>51.212941565413232</v>
      </c>
      <c r="J247" s="85">
        <f>IF(H247,An,'2021'!An_max)</f>
        <v>2020</v>
      </c>
      <c r="K247" s="199">
        <f t="shared" si="79"/>
        <v>44794</v>
      </c>
      <c r="L247" s="147">
        <f>IF(t&lt;Tvie,1-EXP((T0-t)*PertePVj)+'2021'!Pspv,1-EXP((T0-t)*PertePVj)+Pspv)</f>
        <v>3.387826653914694E-2</v>
      </c>
      <c r="M247" s="872"/>
      <c r="N247" s="872"/>
      <c r="O247" s="48">
        <f>IF(t&lt;Tnet,'2021'!Resal+('2021'!Salim-'2021'!Resal)*(1-EXP(('2021'!Tnet-t)/('2021'!Tau_j))),Resal+(Salim-Resal)*(1-EXP((Tnet-t)/(Tau_j))))*Salcycl</f>
        <v>0.1410000950334408</v>
      </c>
      <c r="P247" s="341">
        <f>(INDEX(Models!$BJ247:$BT247,,T247)*(1-R247)+INDEX(Models!$BJ247:$BT247,,T247+1)*R247-ERP_i)*Q247*Ramure*Pc/MaxiM</f>
        <v>4.9800842532155658E-3</v>
      </c>
      <c r="Q247" s="307">
        <f t="shared" si="80"/>
        <v>0.9</v>
      </c>
      <c r="R247" s="179">
        <f t="shared" si="81"/>
        <v>0.47077053951362802</v>
      </c>
      <c r="S247" s="839">
        <f t="shared" si="82"/>
        <v>0</v>
      </c>
      <c r="T247" s="178">
        <f t="shared" si="83"/>
        <v>6</v>
      </c>
      <c r="U247" s="253">
        <f t="shared" si="84"/>
        <v>0.47077053951362802</v>
      </c>
      <c r="V247" s="385">
        <f t="shared" si="85"/>
        <v>45.529700068135256</v>
      </c>
      <c r="W247" s="404">
        <f t="shared" si="86"/>
        <v>0</v>
      </c>
      <c r="X247" s="157">
        <f t="shared" si="87"/>
        <v>44794</v>
      </c>
      <c r="Y247" s="387">
        <f t="shared" si="88"/>
        <v>27.039864674448438</v>
      </c>
      <c r="Z247" s="387">
        <f t="shared" si="89"/>
        <v>27.988051337574102</v>
      </c>
      <c r="AA247" s="388">
        <f t="shared" si="90"/>
        <v>33.701712640065857</v>
      </c>
      <c r="AB247" s="199">
        <f t="shared" si="91"/>
        <v>44794</v>
      </c>
      <c r="AC247" s="119">
        <f>IF(OR(t&lt;Tnet,NoTnet),'2021'!Resal_s+('2021'!Salim-'2021'!Resal_s)*(1-EXP(('2021'!Tnet_s-t)/'2021'!Tau_j)),Resal_s+(Salim-Resal_s)*(1-EXP((Tnet_s-t)/Tau_j)))*Salcycl</f>
        <v>0.16953622990954884</v>
      </c>
      <c r="AD247" s="233">
        <f>(INDEX(Models!$BJ247:$BT247,,AH247)*(1-AF247)+INDEX(Models!$BJ247:$BT247,,AH247+1)*AF247-ERP_i)*AE247*Ramure*Pc/MaxiM</f>
        <v>4.9800842532155658E-3</v>
      </c>
      <c r="AE247" s="307">
        <f t="shared" si="92"/>
        <v>0.9</v>
      </c>
      <c r="AF247" s="179">
        <f t="shared" si="93"/>
        <v>0.47077053951362802</v>
      </c>
      <c r="AG247" s="839">
        <f t="shared" si="99"/>
        <v>0</v>
      </c>
      <c r="AH247" s="178">
        <f t="shared" si="94"/>
        <v>6</v>
      </c>
      <c r="AI247" s="227">
        <f t="shared" si="95"/>
        <v>0.47077053951362802</v>
      </c>
      <c r="AJ247" s="267" t="b">
        <f t="shared" si="96"/>
        <v>1</v>
      </c>
      <c r="AK247" s="267" t="b">
        <f t="shared" si="97"/>
        <v>0</v>
      </c>
      <c r="AL247" s="267"/>
      <c r="AM247" s="267"/>
      <c r="AN247" s="75"/>
    </row>
    <row r="248" spans="1:40" s="6" customFormat="1" ht="11.25" x14ac:dyDescent="0.2">
      <c r="A248" s="56">
        <f t="shared" si="98"/>
        <v>44795</v>
      </c>
      <c r="B248" s="1141">
        <v>22.432000000000002</v>
      </c>
      <c r="C248" s="868"/>
      <c r="D248" s="395">
        <f t="shared" si="77"/>
        <v>23.219146470498668</v>
      </c>
      <c r="E248" s="387">
        <f t="shared" si="100"/>
        <v>27.033550655356205</v>
      </c>
      <c r="F248" s="387">
        <f t="shared" si="78"/>
        <v>27.072783144550442</v>
      </c>
      <c r="G248" s="110">
        <f t="shared" si="101"/>
        <v>0.4934041831631617</v>
      </c>
      <c r="H248" s="416" t="b">
        <f>Wh_hp&gt;='2021'!Maxi_hp</f>
        <v>0</v>
      </c>
      <c r="I248" s="382">
        <f>IF(H248,Wh_hp,'2021'!Maxi_hp)</f>
        <v>55.17534928654144</v>
      </c>
      <c r="J248" s="85">
        <f>IF(H248,An,'2021'!An_max)</f>
        <v>2019</v>
      </c>
      <c r="K248" s="199">
        <f t="shared" si="79"/>
        <v>44795</v>
      </c>
      <c r="L248" s="147">
        <f>IF(t&lt;Tvie,1-EXP((T0-t)*PertePVj)+'2021'!Pspv,1-EXP((T0-t)*PertePVj)+Pspv)</f>
        <v>3.3900749603297586E-2</v>
      </c>
      <c r="M248" s="872"/>
      <c r="N248" s="872"/>
      <c r="O248" s="48">
        <f>IF(t&lt;Tnet,'2021'!Resal+('2021'!Salim-'2021'!Resal)*(1-EXP(('2021'!Tnet-t)/('2021'!Tau_j))),Resal+(Salim-Resal)*(1-EXP((Tnet-t)/(Tau_j))))*Salcycl</f>
        <v>0.14109889719949842</v>
      </c>
      <c r="P248" s="341">
        <f>(INDEX(Models!$BJ248:$BT248,,T248)*(1-R248)+INDEX(Models!$BJ248:$BT248,,T248+1)*R248-ERP_i)*Q248*Ramure*Pc/MaxiM</f>
        <v>5.1950896651046978E-3</v>
      </c>
      <c r="Q248" s="307">
        <f t="shared" si="80"/>
        <v>0.9</v>
      </c>
      <c r="R248" s="179">
        <f t="shared" si="81"/>
        <v>0.471907813799051</v>
      </c>
      <c r="S248" s="839">
        <f t="shared" si="82"/>
        <v>0</v>
      </c>
      <c r="T248" s="178">
        <f t="shared" si="83"/>
        <v>6</v>
      </c>
      <c r="U248" s="253">
        <f t="shared" si="84"/>
        <v>0.471907813799051</v>
      </c>
      <c r="V248" s="385">
        <f t="shared" si="85"/>
        <v>45.293189373498286</v>
      </c>
      <c r="W248" s="404">
        <f t="shared" si="86"/>
        <v>0</v>
      </c>
      <c r="X248" s="157">
        <f t="shared" si="87"/>
        <v>44795</v>
      </c>
      <c r="Y248" s="387">
        <f t="shared" si="88"/>
        <v>21.688824353557752</v>
      </c>
      <c r="Z248" s="387">
        <f t="shared" si="89"/>
        <v>22.449892539148358</v>
      </c>
      <c r="AA248" s="388">
        <f t="shared" si="90"/>
        <v>27.033550655356205</v>
      </c>
      <c r="AB248" s="199">
        <f t="shared" si="91"/>
        <v>44795</v>
      </c>
      <c r="AC248" s="119">
        <f>IF(OR(t&lt;Tnet,NoTnet),'2021'!Resal_s+('2021'!Salim-'2021'!Resal_s)*(1-EXP(('2021'!Tnet_s-t)/'2021'!Tau_j)),Resal_s+(Salim-Resal_s)*(1-EXP((Tnet_s-t)/Tau_j)))*Salcycl</f>
        <v>0.16955442422801684</v>
      </c>
      <c r="AD248" s="233">
        <f>(INDEX(Models!$BJ248:$BT248,,AH248)*(1-AF248)+INDEX(Models!$BJ248:$BT248,,AH248+1)*AF248-ERP_i)*AE248*Ramure*Pc/MaxiM</f>
        <v>5.1950896651046978E-3</v>
      </c>
      <c r="AE248" s="307">
        <f t="shared" si="92"/>
        <v>0.9</v>
      </c>
      <c r="AF248" s="179">
        <f t="shared" si="93"/>
        <v>0.471907813799051</v>
      </c>
      <c r="AG248" s="839">
        <f t="shared" si="99"/>
        <v>0</v>
      </c>
      <c r="AH248" s="178">
        <f t="shared" si="94"/>
        <v>6</v>
      </c>
      <c r="AI248" s="227">
        <f t="shared" si="95"/>
        <v>0.471907813799051</v>
      </c>
      <c r="AJ248" s="267" t="b">
        <f t="shared" si="96"/>
        <v>1</v>
      </c>
      <c r="AK248" s="267" t="b">
        <f t="shared" si="97"/>
        <v>0</v>
      </c>
      <c r="AL248" s="267"/>
      <c r="AM248" s="267"/>
      <c r="AN248" s="75"/>
    </row>
    <row r="249" spans="1:40" s="6" customFormat="1" ht="11.25" x14ac:dyDescent="0.2">
      <c r="A249" s="56">
        <f t="shared" si="98"/>
        <v>44796</v>
      </c>
      <c r="B249" s="1141">
        <v>39.762999999999998</v>
      </c>
      <c r="C249" s="868"/>
      <c r="D249" s="395">
        <f t="shared" si="77"/>
        <v>41.159254960923128</v>
      </c>
      <c r="E249" s="387">
        <f t="shared" si="100"/>
        <v>47.926290714346379</v>
      </c>
      <c r="F249" s="387">
        <f t="shared" si="78"/>
        <v>48.142937867920168</v>
      </c>
      <c r="G249" s="110">
        <f t="shared" si="101"/>
        <v>0.88178301023719974</v>
      </c>
      <c r="H249" s="416" t="b">
        <f>Wh_hp&gt;='2021'!Maxi_hp</f>
        <v>0</v>
      </c>
      <c r="I249" s="382">
        <f>IF(H249,Wh_hp,'2021'!Maxi_hp)</f>
        <v>52.366514381661467</v>
      </c>
      <c r="J249" s="85">
        <f>IF(H249,An,'2021'!An_max)</f>
        <v>2019</v>
      </c>
      <c r="K249" s="199">
        <f t="shared" si="79"/>
        <v>44796</v>
      </c>
      <c r="L249" s="147">
        <f>IF(t&lt;Tvie,1-EXP((T0-t)*PertePVj)+'2021'!Pspv,1-EXP((T0-t)*PertePVj)+Pspv)</f>
        <v>3.3923232144234539E-2</v>
      </c>
      <c r="M249" s="872"/>
      <c r="N249" s="872"/>
      <c r="O249" s="48">
        <f>IF(t&lt;Tnet,'2021'!Resal+('2021'!Salim-'2021'!Resal)*(1-EXP(('2021'!Tnet-t)/('2021'!Tau_j))),Resal+(Salim-Resal)*(1-EXP((Tnet-t)/(Tau_j))))*Salcycl</f>
        <v>0.14119673466399901</v>
      </c>
      <c r="P249" s="341">
        <f>(INDEX(Models!$BJ249:$BT249,,T249)*(1-R249)+INDEX(Models!$BJ249:$BT249,,T249+1)*R249-ERP_i)*Q249*Ramure*Pc/MaxiM</f>
        <v>5.4070152188026204E-3</v>
      </c>
      <c r="Q249" s="307">
        <f t="shared" si="80"/>
        <v>0.9</v>
      </c>
      <c r="R249" s="179">
        <f t="shared" si="81"/>
        <v>0.47300356208318894</v>
      </c>
      <c r="S249" s="839">
        <f t="shared" si="82"/>
        <v>0</v>
      </c>
      <c r="T249" s="178">
        <f t="shared" si="83"/>
        <v>6</v>
      </c>
      <c r="U249" s="253">
        <f t="shared" si="84"/>
        <v>0.47300356208318894</v>
      </c>
      <c r="V249" s="385">
        <f t="shared" si="85"/>
        <v>45.052778431723119</v>
      </c>
      <c r="W249" s="404">
        <f t="shared" si="86"/>
        <v>0</v>
      </c>
      <c r="X249" s="157">
        <f t="shared" si="87"/>
        <v>44796</v>
      </c>
      <c r="Y249" s="387">
        <f t="shared" si="88"/>
        <v>38.449223159628346</v>
      </c>
      <c r="Z249" s="387">
        <f t="shared" si="89"/>
        <v>39.799345599591923</v>
      </c>
      <c r="AA249" s="388">
        <f t="shared" si="90"/>
        <v>47.926290714346379</v>
      </c>
      <c r="AB249" s="199">
        <f t="shared" si="91"/>
        <v>44796</v>
      </c>
      <c r="AC249" s="119">
        <f>IF(OR(t&lt;Tnet,NoTnet),'2021'!Resal_s+('2021'!Salim-'2021'!Resal_s)*(1-EXP(('2021'!Tnet_s-t)/'2021'!Tau_j)),Resal_s+(Salim-Resal_s)*(1-EXP((Tnet_s-t)/Tau_j)))*Salcycl</f>
        <v>0.16957175265645405</v>
      </c>
      <c r="AD249" s="233">
        <f>(INDEX(Models!$BJ249:$BT249,,AH249)*(1-AF249)+INDEX(Models!$BJ249:$BT249,,AH249+1)*AF249-ERP_i)*AE249*Ramure*Pc/MaxiM</f>
        <v>5.4070152188026204E-3</v>
      </c>
      <c r="AE249" s="307">
        <f t="shared" si="92"/>
        <v>0.9</v>
      </c>
      <c r="AF249" s="179">
        <f t="shared" si="93"/>
        <v>0.47300356208318894</v>
      </c>
      <c r="AG249" s="839">
        <f t="shared" si="99"/>
        <v>0</v>
      </c>
      <c r="AH249" s="178">
        <f t="shared" si="94"/>
        <v>6</v>
      </c>
      <c r="AI249" s="227">
        <f t="shared" si="95"/>
        <v>0.47300356208318894</v>
      </c>
      <c r="AJ249" s="267" t="b">
        <f t="shared" si="96"/>
        <v>1</v>
      </c>
      <c r="AK249" s="267" t="b">
        <f t="shared" si="97"/>
        <v>0</v>
      </c>
      <c r="AL249" s="267"/>
      <c r="AM249" s="267"/>
      <c r="AN249" s="75"/>
    </row>
    <row r="250" spans="1:40" s="6" customFormat="1" ht="11.25" x14ac:dyDescent="0.2">
      <c r="A250" s="56">
        <f t="shared" si="98"/>
        <v>44797</v>
      </c>
      <c r="B250" s="1141">
        <v>40.149000000000001</v>
      </c>
      <c r="C250" s="868"/>
      <c r="D250" s="395">
        <f t="shared" si="77"/>
        <v>41.559776286455424</v>
      </c>
      <c r="E250" s="387">
        <f t="shared" si="100"/>
        <v>48.398119984200576</v>
      </c>
      <c r="F250" s="387">
        <f t="shared" si="78"/>
        <v>48.630655458247922</v>
      </c>
      <c r="G250" s="110">
        <f t="shared" si="101"/>
        <v>0.89526627883758148</v>
      </c>
      <c r="H250" s="416" t="b">
        <f>Wh_hp&gt;='2021'!Maxi_hp</f>
        <v>0</v>
      </c>
      <c r="I250" s="382">
        <f>IF(H250,Wh_hp,'2021'!Maxi_hp)</f>
        <v>52.23999379446547</v>
      </c>
      <c r="J250" s="85">
        <f>IF(H250,An,'2021'!An_max)</f>
        <v>2019</v>
      </c>
      <c r="K250" s="199">
        <f t="shared" si="79"/>
        <v>44797</v>
      </c>
      <c r="L250" s="147">
        <f>IF(t&lt;Tvie,1-EXP((T0-t)*PertePVj)+'2021'!Pspv,1-EXP((T0-t)*PertePVj)+Pspv)</f>
        <v>3.3945714161969787E-2</v>
      </c>
      <c r="M250" s="872"/>
      <c r="N250" s="872"/>
      <c r="O250" s="48">
        <f>IF(t&lt;Tnet,'2021'!Resal+('2021'!Salim-'2021'!Resal)*(1-EXP(('2021'!Tnet-t)/('2021'!Tau_j))),Resal+(Salim-Resal)*(1-EXP((Tnet-t)/(Tau_j))))*Salcycl</f>
        <v>0.14129358123781477</v>
      </c>
      <c r="P250" s="341">
        <f>(INDEX(Models!$BJ250:$BT250,,T250)*(1-R250)+INDEX(Models!$BJ250:$BT250,,T250+1)*R250-ERP_i)*Q250*Ramure*Pc/MaxiM</f>
        <v>5.6158853434376431E-3</v>
      </c>
      <c r="Q250" s="307">
        <f t="shared" si="80"/>
        <v>0.9</v>
      </c>
      <c r="R250" s="179">
        <f t="shared" si="81"/>
        <v>0.47405914247265502</v>
      </c>
      <c r="S250" s="839">
        <f t="shared" si="82"/>
        <v>0</v>
      </c>
      <c r="T250" s="178">
        <f t="shared" si="83"/>
        <v>6</v>
      </c>
      <c r="U250" s="253">
        <f t="shared" si="84"/>
        <v>0.47405914247265502</v>
      </c>
      <c r="V250" s="385">
        <f t="shared" si="85"/>
        <v>44.808284294019884</v>
      </c>
      <c r="W250" s="404">
        <f t="shared" si="86"/>
        <v>0</v>
      </c>
      <c r="X250" s="157">
        <f t="shared" si="87"/>
        <v>44797</v>
      </c>
      <c r="Y250" s="387">
        <f t="shared" si="88"/>
        <v>38.826079857213827</v>
      </c>
      <c r="Z250" s="387">
        <f t="shared" si="89"/>
        <v>40.190370692815762</v>
      </c>
      <c r="AA250" s="388">
        <f t="shared" si="90"/>
        <v>48.398119984200576</v>
      </c>
      <c r="AB250" s="199">
        <f t="shared" si="91"/>
        <v>44797</v>
      </c>
      <c r="AC250" s="119">
        <f>IF(OR(t&lt;Tnet,NoTnet),'2021'!Resal_s+('2021'!Salim-'2021'!Resal_s)*(1-EXP(('2021'!Tnet_s-t)/'2021'!Tau_j)),Resal_s+(Salim-Resal_s)*(1-EXP((Tnet_s-t)/Tau_j)))*Salcycl</f>
        <v>0.1695881842944357</v>
      </c>
      <c r="AD250" s="233">
        <f>(INDEX(Models!$BJ250:$BT250,,AH250)*(1-AF250)+INDEX(Models!$BJ250:$BT250,,AH250+1)*AF250-ERP_i)*AE250*Ramure*Pc/MaxiM</f>
        <v>5.6158853434376431E-3</v>
      </c>
      <c r="AE250" s="307">
        <f t="shared" si="92"/>
        <v>0.9</v>
      </c>
      <c r="AF250" s="179">
        <f t="shared" si="93"/>
        <v>0.47405914247265502</v>
      </c>
      <c r="AG250" s="839">
        <f t="shared" si="99"/>
        <v>0</v>
      </c>
      <c r="AH250" s="178">
        <f t="shared" si="94"/>
        <v>6</v>
      </c>
      <c r="AI250" s="227">
        <f t="shared" si="95"/>
        <v>0.47405914247265502</v>
      </c>
      <c r="AJ250" s="267" t="b">
        <f t="shared" si="96"/>
        <v>1</v>
      </c>
      <c r="AK250" s="267" t="b">
        <f t="shared" si="97"/>
        <v>0</v>
      </c>
      <c r="AL250" s="267"/>
      <c r="AM250" s="267"/>
      <c r="AN250" s="75"/>
    </row>
    <row r="251" spans="1:40" s="6" customFormat="1" ht="11.25" x14ac:dyDescent="0.2">
      <c r="A251" s="56">
        <f t="shared" si="98"/>
        <v>44798</v>
      </c>
      <c r="B251" s="1141">
        <v>30.59</v>
      </c>
      <c r="C251" s="868"/>
      <c r="D251" s="395">
        <f t="shared" si="77"/>
        <v>31.665624115542428</v>
      </c>
      <c r="E251" s="387">
        <f t="shared" si="100"/>
        <v>36.880076338968927</v>
      </c>
      <c r="F251" s="387">
        <f t="shared" si="78"/>
        <v>36.999006146494693</v>
      </c>
      <c r="G251" s="110">
        <f t="shared" si="101"/>
        <v>0.68470176588959042</v>
      </c>
      <c r="H251" s="416" t="b">
        <f>Wh_hp&gt;='2021'!Maxi_hp</f>
        <v>0</v>
      </c>
      <c r="I251" s="382">
        <f>IF(H251,Wh_hp,'2021'!Maxi_hp)</f>
        <v>48.806443569925385</v>
      </c>
      <c r="J251" s="85">
        <f>IF(H251,An,'2021'!An_max)</f>
        <v>2021</v>
      </c>
      <c r="K251" s="199">
        <f t="shared" si="79"/>
        <v>44798</v>
      </c>
      <c r="L251" s="147">
        <f>IF(t&lt;Tvie,1-EXP((T0-t)*PertePVj)+'2021'!Pspv,1-EXP((T0-t)*PertePVj)+Pspv)</f>
        <v>3.3968195656515765E-2</v>
      </c>
      <c r="M251" s="872"/>
      <c r="N251" s="872"/>
      <c r="O251" s="48">
        <f>IF(t&lt;Tnet,'2021'!Resal+('2021'!Salim-'2021'!Resal)*(1-EXP(('2021'!Tnet-t)/('2021'!Tau_j))),Resal+(Salim-Resal)*(1-EXP((Tnet-t)/(Tau_j))))*Salcycl</f>
        <v>0.14138940970457545</v>
      </c>
      <c r="P251" s="341">
        <f>(INDEX(Models!$BJ251:$BT251,,T251)*(1-R251)+INDEX(Models!$BJ251:$BT251,,T251+1)*R251-ERP_i)*Q251*Ramure*Pc/MaxiM</f>
        <v>5.8217299210192976E-3</v>
      </c>
      <c r="Q251" s="307">
        <f t="shared" si="80"/>
        <v>0.9</v>
      </c>
      <c r="R251" s="179">
        <f t="shared" si="81"/>
        <v>0.47507588068657181</v>
      </c>
      <c r="S251" s="839">
        <f t="shared" si="82"/>
        <v>0</v>
      </c>
      <c r="T251" s="178">
        <f t="shared" si="83"/>
        <v>6</v>
      </c>
      <c r="U251" s="253">
        <f t="shared" si="84"/>
        <v>0.47507588068657181</v>
      </c>
      <c r="V251" s="385">
        <f t="shared" si="85"/>
        <v>44.559523961131987</v>
      </c>
      <c r="W251" s="404">
        <f t="shared" si="86"/>
        <v>0</v>
      </c>
      <c r="X251" s="157">
        <f t="shared" si="87"/>
        <v>44798</v>
      </c>
      <c r="Y251" s="387">
        <f t="shared" si="88"/>
        <v>29.584800722754604</v>
      </c>
      <c r="Z251" s="387">
        <f t="shared" si="89"/>
        <v>30.625079412225411</v>
      </c>
      <c r="AA251" s="388">
        <f t="shared" si="90"/>
        <v>36.880076338968927</v>
      </c>
      <c r="AB251" s="199">
        <f t="shared" si="91"/>
        <v>44798</v>
      </c>
      <c r="AC251" s="119">
        <f>IF(OR(t&lt;Tnet,NoTnet),'2021'!Resal_s+('2021'!Salim-'2021'!Resal_s)*(1-EXP(('2021'!Tnet_s-t)/'2021'!Tau_j)),Resal_s+(Salim-Resal_s)*(1-EXP((Tnet_s-t)/Tau_j)))*Salcycl</f>
        <v>0.16960368707627219</v>
      </c>
      <c r="AD251" s="233">
        <f>(INDEX(Models!$BJ251:$BT251,,AH251)*(1-AF251)+INDEX(Models!$BJ251:$BT251,,AH251+1)*AF251-ERP_i)*AE251*Ramure*Pc/MaxiM</f>
        <v>5.8217299210192976E-3</v>
      </c>
      <c r="AE251" s="307">
        <f t="shared" si="92"/>
        <v>0.9</v>
      </c>
      <c r="AF251" s="179">
        <f t="shared" si="93"/>
        <v>0.47507588068657181</v>
      </c>
      <c r="AG251" s="839">
        <f t="shared" si="99"/>
        <v>0</v>
      </c>
      <c r="AH251" s="178">
        <f t="shared" si="94"/>
        <v>6</v>
      </c>
      <c r="AI251" s="227">
        <f t="shared" si="95"/>
        <v>0.47507588068657181</v>
      </c>
      <c r="AJ251" s="267" t="b">
        <f t="shared" si="96"/>
        <v>1</v>
      </c>
      <c r="AK251" s="267" t="b">
        <f t="shared" si="97"/>
        <v>0</v>
      </c>
      <c r="AL251" s="267"/>
      <c r="AM251" s="267"/>
      <c r="AN251" s="75"/>
    </row>
    <row r="252" spans="1:40" s="6" customFormat="1" ht="11.25" x14ac:dyDescent="0.2">
      <c r="A252" s="56">
        <f t="shared" si="98"/>
        <v>44799</v>
      </c>
      <c r="B252" s="1141">
        <v>37.052</v>
      </c>
      <c r="C252" s="868"/>
      <c r="D252" s="395">
        <f t="shared" si="77"/>
        <v>38.35573746913748</v>
      </c>
      <c r="E252" s="387">
        <f t="shared" si="100"/>
        <v>44.676798148981526</v>
      </c>
      <c r="F252" s="387">
        <f t="shared" si="78"/>
        <v>44.883956532147593</v>
      </c>
      <c r="G252" s="110">
        <f t="shared" si="101"/>
        <v>0.83508515939026806</v>
      </c>
      <c r="H252" s="416" t="b">
        <f>Wh_hp&gt;='2021'!Maxi_hp</f>
        <v>0</v>
      </c>
      <c r="I252" s="382">
        <f>IF(H252,Wh_hp,'2021'!Maxi_hp)</f>
        <v>50.962123018222243</v>
      </c>
      <c r="J252" s="85">
        <f>IF(H252,An,'2021'!An_max)</f>
        <v>2021</v>
      </c>
      <c r="K252" s="199">
        <f t="shared" si="79"/>
        <v>44799</v>
      </c>
      <c r="L252" s="147">
        <f>IF(t&lt;Tvie,1-EXP((T0-t)*PertePVj)+'2021'!Pspv,1-EXP((T0-t)*PertePVj)+Pspv)</f>
        <v>3.3990676627884464E-2</v>
      </c>
      <c r="M252" s="872"/>
      <c r="N252" s="872"/>
      <c r="O252" s="48">
        <f>IF(t&lt;Tnet,'2021'!Resal+('2021'!Salim-'2021'!Resal)*(1-EXP(('2021'!Tnet-t)/('2021'!Tau_j))),Resal+(Salim-Resal)*(1-EXP((Tnet-t)/(Tau_j))))*Salcycl</f>
        <v>0.14148419183410396</v>
      </c>
      <c r="P252" s="341">
        <f>(INDEX(Models!$BJ252:$BT252,,T252)*(1-R252)+INDEX(Models!$BJ252:$BT252,,T252+1)*R252-ERP_i)*Q252*Ramure*Pc/MaxiM</f>
        <v>6.0245786745661816E-3</v>
      </c>
      <c r="Q252" s="307">
        <f t="shared" si="80"/>
        <v>0.9</v>
      </c>
      <c r="R252" s="179">
        <f t="shared" si="81"/>
        <v>0.47605506986642576</v>
      </c>
      <c r="S252" s="839">
        <f t="shared" si="82"/>
        <v>0</v>
      </c>
      <c r="T252" s="178">
        <f t="shared" si="83"/>
        <v>6</v>
      </c>
      <c r="U252" s="253">
        <f t="shared" si="84"/>
        <v>0.47605506986642576</v>
      </c>
      <c r="V252" s="385">
        <f t="shared" si="85"/>
        <v>44.30631462961145</v>
      </c>
      <c r="W252" s="404">
        <f t="shared" si="86"/>
        <v>0</v>
      </c>
      <c r="X252" s="157">
        <f t="shared" si="87"/>
        <v>44799</v>
      </c>
      <c r="Y252" s="387">
        <f t="shared" si="88"/>
        <v>35.837785549523574</v>
      </c>
      <c r="Z252" s="387">
        <f t="shared" si="89"/>
        <v>37.098798823620186</v>
      </c>
      <c r="AA252" s="388">
        <f t="shared" si="90"/>
        <v>44.676798148981526</v>
      </c>
      <c r="AB252" s="199">
        <f t="shared" si="91"/>
        <v>44799</v>
      </c>
      <c r="AC252" s="119">
        <f>IF(OR(t&lt;Tnet,NoTnet),'2021'!Resal_s+('2021'!Salim-'2021'!Resal_s)*(1-EXP(('2021'!Tnet_s-t)/'2021'!Tau_j)),Resal_s+(Salim-Resal_s)*(1-EXP((Tnet_s-t)/Tau_j)))*Salcycl</f>
        <v>0.16961822778998983</v>
      </c>
      <c r="AD252" s="233">
        <f>(INDEX(Models!$BJ252:$BT252,,AH252)*(1-AF252)+INDEX(Models!$BJ252:$BT252,,AH252+1)*AF252-ERP_i)*AE252*Ramure*Pc/MaxiM</f>
        <v>6.0245786745661816E-3</v>
      </c>
      <c r="AE252" s="307">
        <f t="shared" si="92"/>
        <v>0.9</v>
      </c>
      <c r="AF252" s="179">
        <f t="shared" si="93"/>
        <v>0.47605506986642576</v>
      </c>
      <c r="AG252" s="839">
        <f t="shared" si="99"/>
        <v>0</v>
      </c>
      <c r="AH252" s="178">
        <f t="shared" si="94"/>
        <v>6</v>
      </c>
      <c r="AI252" s="227">
        <f t="shared" si="95"/>
        <v>0.47605506986642576</v>
      </c>
      <c r="AJ252" s="267" t="b">
        <f t="shared" si="96"/>
        <v>1</v>
      </c>
      <c r="AK252" s="267" t="b">
        <f t="shared" si="97"/>
        <v>0</v>
      </c>
      <c r="AL252" s="267"/>
      <c r="AM252" s="267"/>
      <c r="AN252" s="75"/>
    </row>
    <row r="253" spans="1:40" s="6" customFormat="1" ht="11.25" x14ac:dyDescent="0.2">
      <c r="A253" s="56">
        <f t="shared" si="98"/>
        <v>44800</v>
      </c>
      <c r="B253" s="1141">
        <v>43.109000000000002</v>
      </c>
      <c r="C253" s="868"/>
      <c r="D253" s="395">
        <f t="shared" si="77"/>
        <v>44.62690182147292</v>
      </c>
      <c r="E253" s="387">
        <f t="shared" si="100"/>
        <v>51.987130500334914</v>
      </c>
      <c r="F253" s="387">
        <f t="shared" si="78"/>
        <v>52.302767889448141</v>
      </c>
      <c r="G253" s="110">
        <f t="shared" si="101"/>
        <v>0.97848509130736916</v>
      </c>
      <c r="H253" s="416" t="b">
        <f>Wh_hp&gt;='2021'!Maxi_hp</f>
        <v>1</v>
      </c>
      <c r="I253" s="382">
        <f>IF(H253,Wh_hp,'2021'!Maxi_hp)</f>
        <v>52.302767889448141</v>
      </c>
      <c r="J253" s="85">
        <f>IF(H253,An,'2021'!An_max)</f>
        <v>2022</v>
      </c>
      <c r="K253" s="199">
        <f t="shared" si="79"/>
        <v>44800</v>
      </c>
      <c r="L253" s="147">
        <f>IF(t&lt;Tvie,1-EXP((T0-t)*PertePVj)+'2021'!Pspv,1-EXP((T0-t)*PertePVj)+Pspv)</f>
        <v>3.4013157076088096E-2</v>
      </c>
      <c r="M253" s="872"/>
      <c r="N253" s="872"/>
      <c r="O253" s="48">
        <f>IF(t&lt;Tnet,'2021'!Resal+('2021'!Salim-'2021'!Resal)*(1-EXP(('2021'!Tnet-t)/('2021'!Tau_j))),Resal+(Salim-Resal)*(1-EXP((Tnet-t)/(Tau_j))))*Salcycl</f>
        <v>0.1415778983764949</v>
      </c>
      <c r="P253" s="341">
        <f>(INDEX(Models!$BJ253:$BT253,,T253)*(1-R253)+INDEX(Models!$BJ253:$BT253,,T253+1)*R253-ERP_i)*Q253*Ramure*Pc/MaxiM</f>
        <v>6.2244644327090629E-3</v>
      </c>
      <c r="Q253" s="307">
        <f t="shared" si="80"/>
        <v>0.9</v>
      </c>
      <c r="R253" s="179">
        <f t="shared" si="81"/>
        <v>0.47699797048381143</v>
      </c>
      <c r="S253" s="839">
        <f t="shared" si="82"/>
        <v>0</v>
      </c>
      <c r="T253" s="178">
        <f t="shared" si="83"/>
        <v>6</v>
      </c>
      <c r="U253" s="253">
        <f t="shared" si="84"/>
        <v>0.47699797048381143</v>
      </c>
      <c r="V253" s="385">
        <f t="shared" si="85"/>
        <v>44.048473535690135</v>
      </c>
      <c r="W253" s="404">
        <f t="shared" si="86"/>
        <v>0</v>
      </c>
      <c r="X253" s="157">
        <f t="shared" si="87"/>
        <v>44800</v>
      </c>
      <c r="Y253" s="387">
        <f t="shared" si="88"/>
        <v>41.700165769268445</v>
      </c>
      <c r="Z253" s="387">
        <f t="shared" si="89"/>
        <v>43.168461428571497</v>
      </c>
      <c r="AA253" s="388">
        <f t="shared" si="90"/>
        <v>51.987130500334914</v>
      </c>
      <c r="AB253" s="199">
        <f t="shared" si="91"/>
        <v>44800</v>
      </c>
      <c r="AC253" s="119">
        <f>IF(OR(t&lt;Tnet,NoTnet),'2021'!Resal_s+('2021'!Salim-'2021'!Resal_s)*(1-EXP(('2021'!Tnet_s-t)/'2021'!Tau_j)),Resal_s+(Salim-Resal_s)*(1-EXP((Tnet_s-t)/Tau_j)))*Salcycl</f>
        <v>0.16963177207302488</v>
      </c>
      <c r="AD253" s="233">
        <f>(INDEX(Models!$BJ253:$BT253,,AH253)*(1-AF253)+INDEX(Models!$BJ253:$BT253,,AH253+1)*AF253-ERP_i)*AE253*Ramure*Pc/MaxiM</f>
        <v>6.2244644327090629E-3</v>
      </c>
      <c r="AE253" s="307">
        <f t="shared" si="92"/>
        <v>0.9</v>
      </c>
      <c r="AF253" s="179">
        <f t="shared" si="93"/>
        <v>0.47699797048381143</v>
      </c>
      <c r="AG253" s="839">
        <f t="shared" si="99"/>
        <v>0</v>
      </c>
      <c r="AH253" s="178">
        <f t="shared" si="94"/>
        <v>6</v>
      </c>
      <c r="AI253" s="227">
        <f t="shared" si="95"/>
        <v>0.47699797048381143</v>
      </c>
      <c r="AJ253" s="267" t="b">
        <f t="shared" si="96"/>
        <v>1</v>
      </c>
      <c r="AK253" s="267" t="b">
        <f t="shared" si="97"/>
        <v>0</v>
      </c>
      <c r="AL253" s="267"/>
      <c r="AM253" s="267"/>
      <c r="AN253" s="75"/>
    </row>
    <row r="254" spans="1:40" s="6" customFormat="1" ht="11.25" x14ac:dyDescent="0.2">
      <c r="A254" s="56">
        <f t="shared" si="98"/>
        <v>44801</v>
      </c>
      <c r="B254" s="1141">
        <v>41.576000000000001</v>
      </c>
      <c r="C254" s="868"/>
      <c r="D254" s="395">
        <f t="shared" si="77"/>
        <v>43.04092531004585</v>
      </c>
      <c r="E254" s="387">
        <f t="shared" si="100"/>
        <v>50.144991243808924</v>
      </c>
      <c r="F254" s="387">
        <f t="shared" si="78"/>
        <v>50.445420769462579</v>
      </c>
      <c r="G254" s="110">
        <f t="shared" si="101"/>
        <v>0.94908616935308665</v>
      </c>
      <c r="H254" s="416" t="b">
        <f>Wh_hp&gt;='2021'!Maxi_hp</f>
        <v>0</v>
      </c>
      <c r="I254" s="382">
        <f>IF(H254,Wh_hp,'2021'!Maxi_hp)</f>
        <v>52.43587821164941</v>
      </c>
      <c r="J254" s="85">
        <f>IF(H254,An,'2021'!An_max)</f>
        <v>2021</v>
      </c>
      <c r="K254" s="199">
        <f t="shared" si="79"/>
        <v>44801</v>
      </c>
      <c r="L254" s="147">
        <f>IF(t&lt;Tvie,1-EXP((T0-t)*PertePVj)+'2021'!Pspv,1-EXP((T0-t)*PertePVj)+Pspv)</f>
        <v>3.4035637001138874E-2</v>
      </c>
      <c r="M254" s="872"/>
      <c r="N254" s="872"/>
      <c r="O254" s="48">
        <f>IF(t&lt;Tnet,'2021'!Resal+('2021'!Salim-'2021'!Resal)*(1-EXP(('2021'!Tnet-t)/('2021'!Tau_j))),Resal+(Salim-Resal)*(1-EXP((Tnet-t)/(Tau_j))))*Salcycl</f>
        <v>0.14167049903793069</v>
      </c>
      <c r="P254" s="341">
        <f>(INDEX(Models!$BJ254:$BT254,,T254)*(1-R254)+INDEX(Models!$BJ254:$BT254,,T254+1)*R254-ERP_i)*Q254*Ramure*Pc/MaxiM</f>
        <v>6.4183127820273923E-3</v>
      </c>
      <c r="Q254" s="307">
        <f t="shared" si="80"/>
        <v>0.9</v>
      </c>
      <c r="R254" s="179">
        <f t="shared" si="81"/>
        <v>0.47790581033778956</v>
      </c>
      <c r="S254" s="839">
        <f t="shared" si="82"/>
        <v>0</v>
      </c>
      <c r="T254" s="178">
        <f t="shared" si="83"/>
        <v>6</v>
      </c>
      <c r="U254" s="253">
        <f t="shared" si="84"/>
        <v>0.47790581033778956</v>
      </c>
      <c r="V254" s="385">
        <f t="shared" si="85"/>
        <v>43.785955022968174</v>
      </c>
      <c r="W254" s="404">
        <f t="shared" si="86"/>
        <v>0</v>
      </c>
      <c r="X254" s="157">
        <f t="shared" si="87"/>
        <v>44801</v>
      </c>
      <c r="Y254" s="387">
        <f t="shared" si="88"/>
        <v>40.220998105821543</v>
      </c>
      <c r="Z254" s="387">
        <f t="shared" si="89"/>
        <v>41.638180088708886</v>
      </c>
      <c r="AA254" s="388">
        <f t="shared" si="90"/>
        <v>50.144991243808924</v>
      </c>
      <c r="AB254" s="199">
        <f t="shared" si="91"/>
        <v>44801</v>
      </c>
      <c r="AC254" s="119">
        <f>IF(OR(t&lt;Tnet,NoTnet),'2021'!Resal_s+('2021'!Salim-'2021'!Resal_s)*(1-EXP(('2021'!Tnet_s-t)/'2021'!Tau_j)),Resal_s+(Salim-Resal_s)*(1-EXP((Tnet_s-t)/Tau_j)))*Salcycl</f>
        <v>0.16964428438603668</v>
      </c>
      <c r="AD254" s="233">
        <f>(INDEX(Models!$BJ254:$BT254,,AH254)*(1-AF254)+INDEX(Models!$BJ254:$BT254,,AH254+1)*AF254-ERP_i)*AE254*Ramure*Pc/MaxiM</f>
        <v>6.4183127820273923E-3</v>
      </c>
      <c r="AE254" s="307">
        <f t="shared" si="92"/>
        <v>0.9</v>
      </c>
      <c r="AF254" s="179">
        <f t="shared" si="93"/>
        <v>0.47790581033778956</v>
      </c>
      <c r="AG254" s="839">
        <f t="shared" si="99"/>
        <v>0</v>
      </c>
      <c r="AH254" s="178">
        <f t="shared" si="94"/>
        <v>6</v>
      </c>
      <c r="AI254" s="227">
        <f t="shared" si="95"/>
        <v>0.47790581033778956</v>
      </c>
      <c r="AJ254" s="267" t="b">
        <f t="shared" si="96"/>
        <v>1</v>
      </c>
      <c r="AK254" s="267" t="b">
        <f t="shared" si="97"/>
        <v>0</v>
      </c>
      <c r="AL254" s="267"/>
      <c r="AM254" s="267"/>
      <c r="AN254" s="75"/>
    </row>
    <row r="255" spans="1:40" s="6" customFormat="1" ht="11.25" x14ac:dyDescent="0.2">
      <c r="A255" s="56">
        <f t="shared" si="98"/>
        <v>44802</v>
      </c>
      <c r="B255" s="1141">
        <v>29.215</v>
      </c>
      <c r="C255" s="868"/>
      <c r="D255" s="395">
        <f t="shared" si="77"/>
        <v>30.245090823901219</v>
      </c>
      <c r="E255" s="387">
        <f t="shared" si="100"/>
        <v>35.240911612210517</v>
      </c>
      <c r="F255" s="387">
        <f t="shared" si="78"/>
        <v>35.364888576356783</v>
      </c>
      <c r="G255" s="110">
        <f t="shared" si="101"/>
        <v>0.66923378309663273</v>
      </c>
      <c r="H255" s="416" t="b">
        <f>Wh_hp&gt;='2021'!Maxi_hp</f>
        <v>0</v>
      </c>
      <c r="I255" s="382">
        <f>IF(H255,Wh_hp,'2021'!Maxi_hp)</f>
        <v>51.701518118132348</v>
      </c>
      <c r="J255" s="85">
        <f>IF(H255,An,'2021'!An_max)</f>
        <v>2021</v>
      </c>
      <c r="K255" s="199">
        <f t="shared" si="79"/>
        <v>44802</v>
      </c>
      <c r="L255" s="147">
        <f>IF(t&lt;Tvie,1-EXP((T0-t)*PertePVj)+'2021'!Pspv,1-EXP((T0-t)*PertePVj)+Pspv)</f>
        <v>3.405811640304901E-2</v>
      </c>
      <c r="M255" s="872"/>
      <c r="N255" s="872"/>
      <c r="O255" s="48">
        <f>IF(t&lt;Tnet,'2021'!Resal+('2021'!Salim-'2021'!Resal)*(1-EXP(('2021'!Tnet-t)/('2021'!Tau_j))),Resal+(Salim-Resal)*(1-EXP((Tnet-t)/(Tau_j))))*Salcycl</f>
        <v>0.14176196243965244</v>
      </c>
      <c r="P255" s="341">
        <f>(INDEX(Models!$BJ255:$BT255,,T255)*(1-R255)+INDEX(Models!$BJ255:$BT255,,T255+1)*R255-ERP_i)*Q255*Ramure*Pc/MaxiM</f>
        <v>6.6086605656063661E-3</v>
      </c>
      <c r="Q255" s="307">
        <f t="shared" si="80"/>
        <v>0.9</v>
      </c>
      <c r="R255" s="179">
        <f t="shared" si="81"/>
        <v>0.47877978463398219</v>
      </c>
      <c r="S255" s="839">
        <f t="shared" si="82"/>
        <v>0</v>
      </c>
      <c r="T255" s="178">
        <f t="shared" si="83"/>
        <v>6</v>
      </c>
      <c r="U255" s="253">
        <f t="shared" si="84"/>
        <v>0.47877978463398219</v>
      </c>
      <c r="V255" s="385">
        <f t="shared" si="85"/>
        <v>43.518464542965916</v>
      </c>
      <c r="W255" s="404">
        <f t="shared" si="86"/>
        <v>0</v>
      </c>
      <c r="X255" s="157">
        <f t="shared" si="87"/>
        <v>44802</v>
      </c>
      <c r="Y255" s="387">
        <f t="shared" si="88"/>
        <v>28.265477461722643</v>
      </c>
      <c r="Z255" s="387">
        <f t="shared" si="89"/>
        <v>29.262089098433481</v>
      </c>
      <c r="AA255" s="388">
        <f t="shared" si="90"/>
        <v>35.240911612210517</v>
      </c>
      <c r="AB255" s="199">
        <f t="shared" si="91"/>
        <v>44802</v>
      </c>
      <c r="AC255" s="119">
        <f>IF(OR(t&lt;Tnet,NoTnet),'2021'!Resal_s+('2021'!Salim-'2021'!Resal_s)*(1-EXP(('2021'!Tnet_s-t)/'2021'!Tau_j)),Resal_s+(Salim-Resal_s)*(1-EXP((Tnet_s-t)/Tau_j)))*Salcycl</f>
        <v>0.16965572796662426</v>
      </c>
      <c r="AD255" s="233">
        <f>(INDEX(Models!$BJ255:$BT255,,AH255)*(1-AF255)+INDEX(Models!$BJ255:$BT255,,AH255+1)*AF255-ERP_i)*AE255*Ramure*Pc/MaxiM</f>
        <v>6.6086605656063661E-3</v>
      </c>
      <c r="AE255" s="307">
        <f t="shared" si="92"/>
        <v>0.9</v>
      </c>
      <c r="AF255" s="179">
        <f t="shared" si="93"/>
        <v>0.47877978463398219</v>
      </c>
      <c r="AG255" s="839">
        <f t="shared" si="99"/>
        <v>0</v>
      </c>
      <c r="AH255" s="178">
        <f t="shared" si="94"/>
        <v>6</v>
      </c>
      <c r="AI255" s="227">
        <f t="shared" si="95"/>
        <v>0.47877978463398219</v>
      </c>
      <c r="AJ255" s="267" t="b">
        <f t="shared" si="96"/>
        <v>1</v>
      </c>
      <c r="AK255" s="267" t="b">
        <f t="shared" si="97"/>
        <v>0</v>
      </c>
      <c r="AL255" s="267"/>
      <c r="AM255" s="267"/>
      <c r="AN255" s="75"/>
    </row>
    <row r="256" spans="1:40" s="6" customFormat="1" ht="11.25" x14ac:dyDescent="0.2">
      <c r="A256" s="56">
        <f t="shared" si="98"/>
        <v>44803</v>
      </c>
      <c r="B256" s="1141">
        <v>40.679000000000002</v>
      </c>
      <c r="C256" s="868"/>
      <c r="D256" s="395">
        <f t="shared" si="77"/>
        <v>42.114279722819205</v>
      </c>
      <c r="E256" s="387">
        <f t="shared" si="100"/>
        <v>49.075791459346192</v>
      </c>
      <c r="F256" s="387">
        <f t="shared" si="78"/>
        <v>49.38292048165323</v>
      </c>
      <c r="G256" s="110">
        <f t="shared" si="101"/>
        <v>0.94010044391206093</v>
      </c>
      <c r="H256" s="416" t="b">
        <f>Wh_hp&gt;='2021'!Maxi_hp</f>
        <v>0</v>
      </c>
      <c r="I256" s="382">
        <f>IF(H256,Wh_hp,'2021'!Maxi_hp)</f>
        <v>49.974130891350057</v>
      </c>
      <c r="J256" s="85">
        <f>IF(H256,An,'2021'!An_max)</f>
        <v>2021</v>
      </c>
      <c r="K256" s="199">
        <f t="shared" si="79"/>
        <v>44803</v>
      </c>
      <c r="L256" s="147">
        <f>IF(t&lt;Tvie,1-EXP((T0-t)*PertePVj)+'2021'!Pspv,1-EXP((T0-t)*PertePVj)+Pspv)</f>
        <v>3.4080595281830606E-2</v>
      </c>
      <c r="M256" s="872"/>
      <c r="N256" s="872"/>
      <c r="O256" s="48">
        <f>IF(t&lt;Tnet,'2021'!Resal+('2021'!Salim-'2021'!Resal)*(1-EXP(('2021'!Tnet-t)/('2021'!Tau_j))),Resal+(Salim-Resal)*(1-EXP((Tnet-t)/(Tau_j))))*Salcycl</f>
        <v>0.14185225606180638</v>
      </c>
      <c r="P256" s="341">
        <f>(INDEX(Models!$BJ256:$BT256,,T256)*(1-R256)+INDEX(Models!$BJ256:$BT256,,T256+1)*R256-ERP_i)*Q256*Ramure*Pc/MaxiM</f>
        <v>6.7955422323809789E-3</v>
      </c>
      <c r="Q256" s="307">
        <f t="shared" si="80"/>
        <v>0.9</v>
      </c>
      <c r="R256" s="179">
        <f t="shared" si="81"/>
        <v>0.4796210561379548</v>
      </c>
      <c r="S256" s="839">
        <f t="shared" si="82"/>
        <v>0</v>
      </c>
      <c r="T256" s="178">
        <f t="shared" si="83"/>
        <v>6</v>
      </c>
      <c r="U256" s="253">
        <f t="shared" si="84"/>
        <v>0.4796210561379548</v>
      </c>
      <c r="V256" s="385">
        <f t="shared" si="85"/>
        <v>43.24581922987722</v>
      </c>
      <c r="W256" s="404">
        <f t="shared" si="86"/>
        <v>0</v>
      </c>
      <c r="X256" s="157">
        <f t="shared" si="87"/>
        <v>44803</v>
      </c>
      <c r="Y256" s="387">
        <f t="shared" si="88"/>
        <v>39.36053481468317</v>
      </c>
      <c r="Z256" s="387">
        <f t="shared" si="89"/>
        <v>40.749295047206935</v>
      </c>
      <c r="AA256" s="388">
        <f t="shared" si="90"/>
        <v>49.075791459346192</v>
      </c>
      <c r="AB256" s="199">
        <f t="shared" si="91"/>
        <v>44803</v>
      </c>
      <c r="AC256" s="119">
        <f>IF(OR(t&lt;Tnet,NoTnet),'2021'!Resal_s+('2021'!Salim-'2021'!Resal_s)*(1-EXP(('2021'!Tnet_s-t)/'2021'!Tau_j)),Resal_s+(Salim-Resal_s)*(1-EXP((Tnet_s-t)/Tau_j)))*Salcycl</f>
        <v>0.16966606476508544</v>
      </c>
      <c r="AD256" s="233">
        <f>(INDEX(Models!$BJ256:$BT256,,AH256)*(1-AF256)+INDEX(Models!$BJ256:$BT256,,AH256+1)*AF256-ERP_i)*AE256*Ramure*Pc/MaxiM</f>
        <v>6.7955422323809789E-3</v>
      </c>
      <c r="AE256" s="307">
        <f t="shared" si="92"/>
        <v>0.9</v>
      </c>
      <c r="AF256" s="179">
        <f t="shared" si="93"/>
        <v>0.4796210561379548</v>
      </c>
      <c r="AG256" s="839">
        <f t="shared" si="99"/>
        <v>0</v>
      </c>
      <c r="AH256" s="178">
        <f t="shared" si="94"/>
        <v>6</v>
      </c>
      <c r="AI256" s="227">
        <f t="shared" si="95"/>
        <v>0.4796210561379548</v>
      </c>
      <c r="AJ256" s="267" t="b">
        <f t="shared" si="96"/>
        <v>1</v>
      </c>
      <c r="AK256" s="267" t="b">
        <f t="shared" si="97"/>
        <v>0</v>
      </c>
      <c r="AL256" s="267"/>
      <c r="AM256" s="267"/>
      <c r="AN256" s="75"/>
    </row>
    <row r="257" spans="1:40" s="6" customFormat="1" ht="11.25" x14ac:dyDescent="0.2">
      <c r="A257" s="56">
        <f t="shared" si="98"/>
        <v>44804</v>
      </c>
      <c r="B257" s="1141">
        <v>19.103000000000002</v>
      </c>
      <c r="C257" s="868"/>
      <c r="D257" s="395">
        <f t="shared" si="77"/>
        <v>19.777472604598167</v>
      </c>
      <c r="E257" s="387">
        <f t="shared" si="100"/>
        <v>23.049091710008831</v>
      </c>
      <c r="F257" s="387">
        <f t="shared" si="78"/>
        <v>23.082365973024906</v>
      </c>
      <c r="G257" s="110">
        <f t="shared" si="101"/>
        <v>0.44212292365881739</v>
      </c>
      <c r="H257" s="416" t="b">
        <f>Wh_hp&gt;='2021'!Maxi_hp</f>
        <v>0</v>
      </c>
      <c r="I257" s="382">
        <f>IF(H257,Wh_hp,'2021'!Maxi_hp)</f>
        <v>49.874216739239351</v>
      </c>
      <c r="J257" s="85">
        <f>IF(H257,An,'2021'!An_max)</f>
        <v>2021</v>
      </c>
      <c r="K257" s="199">
        <f t="shared" si="79"/>
        <v>44804</v>
      </c>
      <c r="L257" s="147">
        <f>IF(t&lt;Tvie,1-EXP((T0-t)*PertePVj)+'2021'!Pspv,1-EXP((T0-t)*PertePVj)+Pspv)</f>
        <v>3.4103073637495762E-2</v>
      </c>
      <c r="M257" s="872"/>
      <c r="N257" s="872"/>
      <c r="O257" s="48">
        <f>IF(t&lt;Tnet,'2021'!Resal+('2021'!Salim-'2021'!Resal)*(1-EXP(('2021'!Tnet-t)/('2021'!Tau_j))),Resal+(Salim-Resal)*(1-EXP((Tnet-t)/(Tau_j))))*Salcycl</f>
        <v>0.1419413461741747</v>
      </c>
      <c r="P257" s="341">
        <f>(INDEX(Models!$BJ257:$BT257,,T257)*(1-R257)+INDEX(Models!$BJ257:$BT257,,T257+1)*R257-ERP_i)*Q257*Ramure*Pc/MaxiM</f>
        <v>6.9789939421381593E-3</v>
      </c>
      <c r="Q257" s="307">
        <f t="shared" si="80"/>
        <v>0.9</v>
      </c>
      <c r="R257" s="179">
        <f t="shared" si="81"/>
        <v>0.4804307553958308</v>
      </c>
      <c r="S257" s="839">
        <f t="shared" si="82"/>
        <v>0</v>
      </c>
      <c r="T257" s="178">
        <f t="shared" si="83"/>
        <v>6</v>
      </c>
      <c r="U257" s="253">
        <f t="shared" si="84"/>
        <v>0.4804307553958308</v>
      </c>
      <c r="V257" s="385">
        <f t="shared" si="85"/>
        <v>42.967836277330612</v>
      </c>
      <c r="W257" s="404">
        <f t="shared" si="86"/>
        <v>0</v>
      </c>
      <c r="X257" s="157">
        <f t="shared" si="87"/>
        <v>44804</v>
      </c>
      <c r="Y257" s="387">
        <f t="shared" si="88"/>
        <v>18.485558680686708</v>
      </c>
      <c r="Z257" s="387">
        <f t="shared" si="89"/>
        <v>19.138231188188932</v>
      </c>
      <c r="AA257" s="388">
        <f t="shared" si="90"/>
        <v>23.049091710008831</v>
      </c>
      <c r="AB257" s="199">
        <f t="shared" si="91"/>
        <v>44804</v>
      </c>
      <c r="AC257" s="119">
        <f>IF(OR(t&lt;Tnet,NoTnet),'2021'!Resal_s+('2021'!Salim-'2021'!Resal_s)*(1-EXP(('2021'!Tnet_s-t)/'2021'!Tau_j)),Resal_s+(Salim-Resal_s)*(1-EXP((Tnet_s-t)/Tau_j)))*Salcycl</f>
        <v>0.16967525536468958</v>
      </c>
      <c r="AD257" s="233">
        <f>(INDEX(Models!$BJ257:$BT257,,AH257)*(1-AF257)+INDEX(Models!$BJ257:$BT257,,AH257+1)*AF257-ERP_i)*AE257*Ramure*Pc/MaxiM</f>
        <v>6.9789939421381593E-3</v>
      </c>
      <c r="AE257" s="307">
        <f t="shared" si="92"/>
        <v>0.9</v>
      </c>
      <c r="AF257" s="179">
        <f t="shared" si="93"/>
        <v>0.4804307553958308</v>
      </c>
      <c r="AG257" s="839">
        <f t="shared" si="99"/>
        <v>0</v>
      </c>
      <c r="AH257" s="178">
        <f t="shared" si="94"/>
        <v>6</v>
      </c>
      <c r="AI257" s="227">
        <f t="shared" si="95"/>
        <v>0.4804307553958308</v>
      </c>
      <c r="AJ257" s="267" t="b">
        <f t="shared" si="96"/>
        <v>1</v>
      </c>
      <c r="AK257" s="267" t="b">
        <f t="shared" si="97"/>
        <v>0</v>
      </c>
      <c r="AL257" s="267"/>
      <c r="AM257" s="267"/>
      <c r="AN257" s="75"/>
    </row>
    <row r="258" spans="1:40" s="6" customFormat="1" ht="11.25" x14ac:dyDescent="0.2">
      <c r="A258" s="56">
        <f t="shared" si="98"/>
        <v>44805</v>
      </c>
      <c r="B258" s="1141">
        <v>38.491999999999997</v>
      </c>
      <c r="C258" s="868"/>
      <c r="D258" s="395">
        <f t="shared" si="77"/>
        <v>39.851970469437987</v>
      </c>
      <c r="E258" s="387">
        <f t="shared" si="100"/>
        <v>46.449098693345881</v>
      </c>
      <c r="F258" s="387">
        <f t="shared" si="78"/>
        <v>46.736743029698395</v>
      </c>
      <c r="G258" s="110">
        <f t="shared" si="101"/>
        <v>0.90087142416682364</v>
      </c>
      <c r="H258" s="416" t="b">
        <f>Wh_hp&gt;='2021'!Maxi_hp</f>
        <v>1</v>
      </c>
      <c r="I258" s="382">
        <f>IF(H258,Wh_hp,'2021'!Maxi_hp)</f>
        <v>46.736743029698395</v>
      </c>
      <c r="J258" s="85">
        <f>IF(H258,An,'2021'!An_max)</f>
        <v>2022</v>
      </c>
      <c r="K258" s="199">
        <f t="shared" si="79"/>
        <v>44805</v>
      </c>
      <c r="L258" s="147">
        <f>IF(t&lt;Tvie,1-EXP((T0-t)*PertePVj)+'2021'!Pspv,1-EXP((T0-t)*PertePVj)+Pspv)</f>
        <v>3.4125551470056803E-2</v>
      </c>
      <c r="M258" s="872"/>
      <c r="N258" s="872"/>
      <c r="O258" s="48">
        <f>IF(t&lt;Tnet,'2021'!Resal+('2021'!Salim-'2021'!Resal)*(1-EXP(('2021'!Tnet-t)/('2021'!Tau_j))),Resal+(Salim-Resal)*(1-EXP((Tnet-t)/(Tau_j))))*Salcycl</f>
        <v>0.14202919775605841</v>
      </c>
      <c r="P258" s="341">
        <f>(INDEX(Models!$BJ258:$BT258,,T258)*(1-R258)+INDEX(Models!$BJ258:$BT258,,T258+1)*R258-ERP_i)*Q258*Ramure*Pc/MaxiM</f>
        <v>7.1590534731981971E-3</v>
      </c>
      <c r="Q258" s="307">
        <f t="shared" si="80"/>
        <v>0.9</v>
      </c>
      <c r="R258" s="179">
        <f t="shared" si="81"/>
        <v>0.4812099810154965</v>
      </c>
      <c r="S258" s="839">
        <f t="shared" si="82"/>
        <v>0</v>
      </c>
      <c r="T258" s="178">
        <f t="shared" si="83"/>
        <v>6</v>
      </c>
      <c r="U258" s="253">
        <f t="shared" si="84"/>
        <v>0.4812099810154965</v>
      </c>
      <c r="V258" s="385">
        <f t="shared" si="85"/>
        <v>42.684332936786724</v>
      </c>
      <c r="W258" s="404">
        <f t="shared" si="86"/>
        <v>0</v>
      </c>
      <c r="X258" s="157">
        <f t="shared" si="87"/>
        <v>44805</v>
      </c>
      <c r="Y258" s="387">
        <f t="shared" si="88"/>
        <v>37.251328268101652</v>
      </c>
      <c r="Z258" s="387">
        <f t="shared" si="89"/>
        <v>38.567464254591286</v>
      </c>
      <c r="AA258" s="388">
        <f t="shared" si="90"/>
        <v>46.449098693345881</v>
      </c>
      <c r="AB258" s="199">
        <f t="shared" si="91"/>
        <v>44805</v>
      </c>
      <c r="AC258" s="119">
        <f>IF(OR(t&lt;Tnet,NoTnet),'2021'!Resal_s+('2021'!Salim-'2021'!Resal_s)*(1-EXP(('2021'!Tnet_s-t)/'2021'!Tau_j)),Resal_s+(Salim-Resal_s)*(1-EXP((Tnet_s-t)/Tau_j)))*Salcycl</f>
        <v>0.16968325888923416</v>
      </c>
      <c r="AD258" s="233">
        <f>(INDEX(Models!$BJ258:$BT258,,AH258)*(1-AF258)+INDEX(Models!$BJ258:$BT258,,AH258+1)*AF258-ERP_i)*AE258*Ramure*Pc/MaxiM</f>
        <v>7.1590534731981971E-3</v>
      </c>
      <c r="AE258" s="307">
        <f t="shared" si="92"/>
        <v>0.9</v>
      </c>
      <c r="AF258" s="179">
        <f t="shared" si="93"/>
        <v>0.4812099810154965</v>
      </c>
      <c r="AG258" s="839">
        <f t="shared" si="99"/>
        <v>0</v>
      </c>
      <c r="AH258" s="178">
        <f t="shared" si="94"/>
        <v>6</v>
      </c>
      <c r="AI258" s="227">
        <f t="shared" si="95"/>
        <v>0.4812099810154965</v>
      </c>
      <c r="AJ258" s="267" t="b">
        <f t="shared" si="96"/>
        <v>1</v>
      </c>
      <c r="AK258" s="267" t="b">
        <f t="shared" si="97"/>
        <v>0</v>
      </c>
      <c r="AL258" s="267"/>
      <c r="AM258" s="267"/>
      <c r="AN258" s="75"/>
    </row>
    <row r="259" spans="1:40" s="6" customFormat="1" ht="11.25" x14ac:dyDescent="0.2">
      <c r="A259" s="56">
        <f t="shared" si="98"/>
        <v>44806</v>
      </c>
      <c r="B259" s="1141">
        <v>33.459000000000003</v>
      </c>
      <c r="C259" s="868"/>
      <c r="D259" s="395">
        <f t="shared" si="77"/>
        <v>34.641954457804118</v>
      </c>
      <c r="E259" s="387">
        <f t="shared" si="100"/>
        <v>40.380687072187747</v>
      </c>
      <c r="F259" s="387">
        <f t="shared" si="78"/>
        <v>40.588779157553752</v>
      </c>
      <c r="G259" s="110">
        <f t="shared" si="101"/>
        <v>0.78746576648626621</v>
      </c>
      <c r="H259" s="416" t="b">
        <f>Wh_hp&gt;='2021'!Maxi_hp</f>
        <v>0</v>
      </c>
      <c r="I259" s="382">
        <f>IF(H259,Wh_hp,'2021'!Maxi_hp)</f>
        <v>49.068004680732784</v>
      </c>
      <c r="J259" s="85">
        <f>IF(H259,An,'2021'!An_max)</f>
        <v>2019</v>
      </c>
      <c r="K259" s="199">
        <f t="shared" si="79"/>
        <v>44806</v>
      </c>
      <c r="L259" s="147">
        <f>IF(t&lt;Tvie,1-EXP((T0-t)*PertePVj)+'2021'!Pspv,1-EXP((T0-t)*PertePVj)+Pspv)</f>
        <v>3.414802877952583E-2</v>
      </c>
      <c r="M259" s="872"/>
      <c r="N259" s="872"/>
      <c r="O259" s="48">
        <f>IF(t&lt;Tnet,'2021'!Resal+('2021'!Salim-'2021'!Resal)*(1-EXP(('2021'!Tnet-t)/('2021'!Tau_j))),Resal+(Salim-Resal)*(1-EXP((Tnet-t)/(Tau_j))))*Salcycl</f>
        <v>0.14211577440781564</v>
      </c>
      <c r="P259" s="341">
        <f>(INDEX(Models!$BJ259:$BT259,,T259)*(1-R259)+INDEX(Models!$BJ259:$BT259,,T259+1)*R259-ERP_i)*Q259*Ramure*Pc/MaxiM</f>
        <v>7.3357601344436162E-3</v>
      </c>
      <c r="Q259" s="307">
        <f t="shared" si="80"/>
        <v>0.9</v>
      </c>
      <c r="R259" s="179">
        <f t="shared" si="81"/>
        <v>0.48195980000214889</v>
      </c>
      <c r="S259" s="839">
        <f t="shared" si="82"/>
        <v>0</v>
      </c>
      <c r="T259" s="178">
        <f t="shared" si="83"/>
        <v>6</v>
      </c>
      <c r="U259" s="253">
        <f t="shared" si="84"/>
        <v>0.48195980000214889</v>
      </c>
      <c r="V259" s="385">
        <f t="shared" si="85"/>
        <v>42.395126516220337</v>
      </c>
      <c r="W259" s="404">
        <f t="shared" si="86"/>
        <v>0</v>
      </c>
      <c r="X259" s="157">
        <f t="shared" si="87"/>
        <v>44806</v>
      </c>
      <c r="Y259" s="387">
        <f t="shared" si="88"/>
        <v>32.383555216895466</v>
      </c>
      <c r="Z259" s="387">
        <f t="shared" si="89"/>
        <v>33.528486954346448</v>
      </c>
      <c r="AA259" s="388">
        <f t="shared" si="90"/>
        <v>40.380687072187747</v>
      </c>
      <c r="AB259" s="199">
        <f t="shared" si="91"/>
        <v>44806</v>
      </c>
      <c r="AC259" s="119">
        <f>IF(OR(t&lt;Tnet,NoTnet),'2021'!Resal_s+('2021'!Salim-'2021'!Resal_s)*(1-EXP(('2021'!Tnet_s-t)/'2021'!Tau_j)),Resal_s+(Salim-Resal_s)*(1-EXP((Tnet_s-t)/Tau_j)))*Salcycl</f>
        <v>0.16969003290092013</v>
      </c>
      <c r="AD259" s="233">
        <f>(INDEX(Models!$BJ259:$BT259,,AH259)*(1-AF259)+INDEX(Models!$BJ259:$BT259,,AH259+1)*AF259-ERP_i)*AE259*Ramure*Pc/MaxiM</f>
        <v>7.3357601344436162E-3</v>
      </c>
      <c r="AE259" s="307">
        <f t="shared" si="92"/>
        <v>0.9</v>
      </c>
      <c r="AF259" s="179">
        <f t="shared" si="93"/>
        <v>0.48195980000214889</v>
      </c>
      <c r="AG259" s="839">
        <f t="shared" si="99"/>
        <v>0</v>
      </c>
      <c r="AH259" s="178">
        <f t="shared" si="94"/>
        <v>6</v>
      </c>
      <c r="AI259" s="227">
        <f t="shared" si="95"/>
        <v>0.48195980000214889</v>
      </c>
      <c r="AJ259" s="267" t="b">
        <f t="shared" si="96"/>
        <v>1</v>
      </c>
      <c r="AK259" s="267" t="b">
        <f t="shared" si="97"/>
        <v>0</v>
      </c>
      <c r="AL259" s="267"/>
      <c r="AM259" s="267"/>
      <c r="AN259" s="75"/>
    </row>
    <row r="260" spans="1:40" s="6" customFormat="1" ht="11.25" x14ac:dyDescent="0.2">
      <c r="A260" s="56">
        <f t="shared" si="98"/>
        <v>44807</v>
      </c>
      <c r="B260" s="1141">
        <v>27.536999999999999</v>
      </c>
      <c r="C260" s="868"/>
      <c r="D260" s="395">
        <f t="shared" si="77"/>
        <v>28.511243608412414</v>
      </c>
      <c r="E260" s="387">
        <f t="shared" si="100"/>
        <v>33.237675585980213</v>
      </c>
      <c r="F260" s="387">
        <f t="shared" si="78"/>
        <v>33.364406894748257</v>
      </c>
      <c r="G260" s="110">
        <f t="shared" si="101"/>
        <v>0.6516485721346037</v>
      </c>
      <c r="H260" s="416" t="b">
        <f>Wh_hp&gt;='2021'!Maxi_hp</f>
        <v>0</v>
      </c>
      <c r="I260" s="382">
        <f>IF(H260,Wh_hp,'2021'!Maxi_hp)</f>
        <v>51.035952311623831</v>
      </c>
      <c r="J260" s="85">
        <f>IF(H260,An,'2021'!An_max)</f>
        <v>2019</v>
      </c>
      <c r="K260" s="199">
        <f t="shared" si="79"/>
        <v>44807</v>
      </c>
      <c r="L260" s="147">
        <f>IF(t&lt;Tvie,1-EXP((T0-t)*PertePVj)+'2021'!Pspv,1-EXP((T0-t)*PertePVj)+Pspv)</f>
        <v>3.4170505565915055E-2</v>
      </c>
      <c r="M260" s="872"/>
      <c r="N260" s="872"/>
      <c r="O260" s="48">
        <f>IF(t&lt;Tnet,'2021'!Resal+('2021'!Salim-'2021'!Resal)*(1-EXP(('2021'!Tnet-t)/('2021'!Tau_j))),Resal+(Salim-Resal)*(1-EXP((Tnet-t)/(Tau_j))))*Salcycl</f>
        <v>0.14220103825676156</v>
      </c>
      <c r="P260" s="341">
        <f>(INDEX(Models!$BJ260:$BT260,,T260)*(1-R260)+INDEX(Models!$BJ260:$BT260,,T260+1)*R260-ERP_i)*Q260*Ramure*Pc/MaxiM</f>
        <v>7.5091546813605588E-3</v>
      </c>
      <c r="Q260" s="307">
        <f t="shared" si="80"/>
        <v>0.9</v>
      </c>
      <c r="R260" s="179">
        <f t="shared" si="81"/>
        <v>0.48268124814231983</v>
      </c>
      <c r="S260" s="839">
        <f t="shared" si="82"/>
        <v>0</v>
      </c>
      <c r="T260" s="178">
        <f t="shared" si="83"/>
        <v>6</v>
      </c>
      <c r="U260" s="253">
        <f t="shared" si="84"/>
        <v>0.48268124814231983</v>
      </c>
      <c r="V260" s="385">
        <f t="shared" si="85"/>
        <v>42.10003438138547</v>
      </c>
      <c r="W260" s="404">
        <f t="shared" si="86"/>
        <v>0</v>
      </c>
      <c r="X260" s="157">
        <f t="shared" si="87"/>
        <v>44807</v>
      </c>
      <c r="Y260" s="387">
        <f t="shared" si="88"/>
        <v>26.654373716282429</v>
      </c>
      <c r="Z260" s="387">
        <f t="shared" si="89"/>
        <v>27.597390502037015</v>
      </c>
      <c r="AA260" s="388">
        <f t="shared" si="90"/>
        <v>33.237675585980213</v>
      </c>
      <c r="AB260" s="199">
        <f t="shared" si="91"/>
        <v>44807</v>
      </c>
      <c r="AC260" s="119">
        <f>IF(OR(t&lt;Tnet,NoTnet),'2021'!Resal_s+('2021'!Salim-'2021'!Resal_s)*(1-EXP(('2021'!Tnet_s-t)/'2021'!Tau_j)),Resal_s+(Salim-Resal_s)*(1-EXP((Tnet_s-t)/Tau_j)))*Salcycl</f>
        <v>0.16969553329181339</v>
      </c>
      <c r="AD260" s="233">
        <f>(INDEX(Models!$BJ260:$BT260,,AH260)*(1-AF260)+INDEX(Models!$BJ260:$BT260,,AH260+1)*AF260-ERP_i)*AE260*Ramure*Pc/MaxiM</f>
        <v>7.5091546813605588E-3</v>
      </c>
      <c r="AE260" s="307">
        <f t="shared" si="92"/>
        <v>0.9</v>
      </c>
      <c r="AF260" s="179">
        <f t="shared" si="93"/>
        <v>0.48268124814231983</v>
      </c>
      <c r="AG260" s="839">
        <f t="shared" si="99"/>
        <v>0</v>
      </c>
      <c r="AH260" s="178">
        <f t="shared" si="94"/>
        <v>6</v>
      </c>
      <c r="AI260" s="227">
        <f t="shared" si="95"/>
        <v>0.48268124814231983</v>
      </c>
      <c r="AJ260" s="267" t="b">
        <f t="shared" si="96"/>
        <v>1</v>
      </c>
      <c r="AK260" s="267" t="b">
        <f t="shared" si="97"/>
        <v>0</v>
      </c>
      <c r="AL260" s="267"/>
      <c r="AM260" s="267"/>
      <c r="AN260" s="75"/>
    </row>
    <row r="261" spans="1:40" s="6" customFormat="1" ht="11.25" x14ac:dyDescent="0.2">
      <c r="A261" s="56">
        <f t="shared" si="98"/>
        <v>44808</v>
      </c>
      <c r="B261" s="1141">
        <v>40.078000000000003</v>
      </c>
      <c r="C261" s="868"/>
      <c r="D261" s="395">
        <f t="shared" si="77"/>
        <v>41.496902844946874</v>
      </c>
      <c r="E261" s="387">
        <f t="shared" si="100"/>
        <v>48.380756334156025</v>
      </c>
      <c r="F261" s="387">
        <f t="shared" si="78"/>
        <v>48.732991237460496</v>
      </c>
      <c r="G261" s="110">
        <f t="shared" si="101"/>
        <v>0.95840597472253275</v>
      </c>
      <c r="H261" s="416" t="b">
        <f>Wh_hp&gt;='2021'!Maxi_hp</f>
        <v>0</v>
      </c>
      <c r="I261" s="382">
        <f>IF(H261,Wh_hp,'2021'!Maxi_hp)</f>
        <v>50.502994047654042</v>
      </c>
      <c r="J261" s="85">
        <f>IF(H261,An,'2021'!An_max)</f>
        <v>2019</v>
      </c>
      <c r="K261" s="199">
        <f t="shared" si="79"/>
        <v>44808</v>
      </c>
      <c r="L261" s="147">
        <f>IF(t&lt;Tvie,1-EXP((T0-t)*PertePVj)+'2021'!Pspv,1-EXP((T0-t)*PertePVj)+Pspv)</f>
        <v>3.419298182923669E-2</v>
      </c>
      <c r="M261" s="872"/>
      <c r="N261" s="872"/>
      <c r="O261" s="48">
        <f>IF(t&lt;Tnet,'2021'!Resal+('2021'!Salim-'2021'!Resal)*(1-EXP(('2021'!Tnet-t)/('2021'!Tau_j))),Resal+(Salim-Resal)*(1-EXP((Tnet-t)/(Tau_j))))*Salcycl</f>
        <v>0.14228494986030774</v>
      </c>
      <c r="P261" s="341">
        <f>(INDEX(Models!$BJ261:$BT261,,T261)*(1-R261)+INDEX(Models!$BJ261:$BT261,,T261+1)*R261-ERP_i)*Q261*Ramure*Pc/MaxiM</f>
        <v>7.6793778664403269E-3</v>
      </c>
      <c r="Q261" s="307">
        <f t="shared" si="80"/>
        <v>0.9</v>
      </c>
      <c r="R261" s="179">
        <f t="shared" si="81"/>
        <v>0.48337533043089664</v>
      </c>
      <c r="S261" s="839">
        <f t="shared" si="82"/>
        <v>0</v>
      </c>
      <c r="T261" s="178">
        <f t="shared" si="83"/>
        <v>6</v>
      </c>
      <c r="U261" s="253">
        <f t="shared" si="84"/>
        <v>0.48337533043089664</v>
      </c>
      <c r="V261" s="385">
        <f t="shared" si="85"/>
        <v>41.798332960368825</v>
      </c>
      <c r="W261" s="404">
        <f t="shared" si="86"/>
        <v>0</v>
      </c>
      <c r="X261" s="157">
        <f t="shared" si="87"/>
        <v>44808</v>
      </c>
      <c r="Y261" s="387">
        <f t="shared" si="88"/>
        <v>38.797004727830242</v>
      </c>
      <c r="Z261" s="387">
        <f t="shared" si="89"/>
        <v>40.170555812807919</v>
      </c>
      <c r="AA261" s="388">
        <f t="shared" si="90"/>
        <v>48.380756334156025</v>
      </c>
      <c r="AB261" s="199">
        <f t="shared" si="91"/>
        <v>44808</v>
      </c>
      <c r="AC261" s="119">
        <f>IF(OR(t&lt;Tnet,NoTnet),'2021'!Resal_s+('2021'!Salim-'2021'!Resal_s)*(1-EXP(('2021'!Tnet_s-t)/'2021'!Tau_j)),Resal_s+(Salim-Resal_s)*(1-EXP((Tnet_s-t)/Tau_j)))*Salcycl</f>
        <v>0.16969971417234425</v>
      </c>
      <c r="AD261" s="233">
        <f>(INDEX(Models!$BJ261:$BT261,,AH261)*(1-AF261)+INDEX(Models!$BJ261:$BT261,,AH261+1)*AF261-ERP_i)*AE261*Ramure*Pc/MaxiM</f>
        <v>7.6793778664403269E-3</v>
      </c>
      <c r="AE261" s="307">
        <f t="shared" si="92"/>
        <v>0.9</v>
      </c>
      <c r="AF261" s="179">
        <f t="shared" si="93"/>
        <v>0.48337533043089664</v>
      </c>
      <c r="AG261" s="839">
        <f t="shared" si="99"/>
        <v>0</v>
      </c>
      <c r="AH261" s="178">
        <f t="shared" si="94"/>
        <v>6</v>
      </c>
      <c r="AI261" s="227">
        <f t="shared" si="95"/>
        <v>0.48337533043089664</v>
      </c>
      <c r="AJ261" s="267" t="b">
        <f t="shared" si="96"/>
        <v>1</v>
      </c>
      <c r="AK261" s="267" t="b">
        <f t="shared" si="97"/>
        <v>0</v>
      </c>
      <c r="AL261" s="267"/>
      <c r="AM261" s="267"/>
      <c r="AN261" s="75"/>
    </row>
    <row r="262" spans="1:40" s="6" customFormat="1" ht="11.25" x14ac:dyDescent="0.2">
      <c r="A262" s="56">
        <f t="shared" si="98"/>
        <v>44809</v>
      </c>
      <c r="B262" s="1141">
        <v>34.605000000000004</v>
      </c>
      <c r="C262" s="868"/>
      <c r="D262" s="395">
        <f t="shared" si="77"/>
        <v>35.830973141186256</v>
      </c>
      <c r="E262" s="387">
        <f t="shared" si="100"/>
        <v>41.778934227456453</v>
      </c>
      <c r="F262" s="387">
        <f t="shared" si="78"/>
        <v>42.030462865644026</v>
      </c>
      <c r="G262" s="110">
        <f t="shared" si="101"/>
        <v>0.83249936403071401</v>
      </c>
      <c r="H262" s="416" t="b">
        <f>Wh_hp&gt;='2021'!Maxi_hp</f>
        <v>0</v>
      </c>
      <c r="I262" s="382">
        <f>IF(H262,Wh_hp,'2021'!Maxi_hp)</f>
        <v>48.405506175605858</v>
      </c>
      <c r="J262" s="85">
        <f>IF(H262,An,'2021'!An_max)</f>
        <v>2020</v>
      </c>
      <c r="K262" s="199">
        <f t="shared" si="79"/>
        <v>44809</v>
      </c>
      <c r="L262" s="147">
        <f>IF(t&lt;Tvie,1-EXP((T0-t)*PertePVj)+'2021'!Pspv,1-EXP((T0-t)*PertePVj)+Pspv)</f>
        <v>3.4215457569502727E-2</v>
      </c>
      <c r="M262" s="872"/>
      <c r="N262" s="872"/>
      <c r="O262" s="48">
        <f>IF(t&lt;Tnet,'2021'!Resal+('2021'!Salim-'2021'!Resal)*(1-EXP(('2021'!Tnet-t)/('2021'!Tau_j))),Resal+(Salim-Resal)*(1-EXP((Tnet-t)/(Tau_j))))*Salcycl</f>
        <v>0.1423674681093538</v>
      </c>
      <c r="P262" s="341">
        <f>(INDEX(Models!$BJ262:$BT262,,T262)*(1-R262)+INDEX(Models!$BJ262:$BT262,,T262+1)*R262-ERP_i)*Q262*Ramure*Pc/MaxiM</f>
        <v>7.8438915897333372E-3</v>
      </c>
      <c r="Q262" s="307">
        <f t="shared" si="80"/>
        <v>0.9</v>
      </c>
      <c r="R262" s="179">
        <f t="shared" si="81"/>
        <v>0.48404302153601042</v>
      </c>
      <c r="S262" s="839">
        <f t="shared" si="82"/>
        <v>0</v>
      </c>
      <c r="T262" s="178">
        <f t="shared" si="83"/>
        <v>6</v>
      </c>
      <c r="U262" s="253">
        <f t="shared" si="84"/>
        <v>0.48404302153601042</v>
      </c>
      <c r="V262" s="385">
        <f t="shared" si="85"/>
        <v>41.489840899788639</v>
      </c>
      <c r="W262" s="404">
        <f t="shared" si="86"/>
        <v>0</v>
      </c>
      <c r="X262" s="157">
        <f t="shared" si="87"/>
        <v>44809</v>
      </c>
      <c r="Y262" s="387">
        <f t="shared" si="88"/>
        <v>33.502045408083184</v>
      </c>
      <c r="Z262" s="387">
        <f t="shared" si="89"/>
        <v>34.688943481919686</v>
      </c>
      <c r="AA262" s="388">
        <f t="shared" si="90"/>
        <v>41.778934227456453</v>
      </c>
      <c r="AB262" s="199">
        <f t="shared" si="91"/>
        <v>44809</v>
      </c>
      <c r="AC262" s="119">
        <f>IF(OR(t&lt;Tnet,NoTnet),'2021'!Resal_s+('2021'!Salim-'2021'!Resal_s)*(1-EXP(('2021'!Tnet_s-t)/'2021'!Tau_j)),Resal_s+(Salim-Resal_s)*(1-EXP((Tnet_s-t)/Tau_j)))*Salcycl</f>
        <v>0.16970252776044573</v>
      </c>
      <c r="AD262" s="233">
        <f>(INDEX(Models!$BJ262:$BT262,,AH262)*(1-AF262)+INDEX(Models!$BJ262:$BT262,,AH262+1)*AF262-ERP_i)*AE262*Ramure*Pc/MaxiM</f>
        <v>7.8438915897333372E-3</v>
      </c>
      <c r="AE262" s="307">
        <f t="shared" si="92"/>
        <v>0.9</v>
      </c>
      <c r="AF262" s="179">
        <f t="shared" si="93"/>
        <v>0.48404302153601042</v>
      </c>
      <c r="AG262" s="839">
        <f t="shared" si="99"/>
        <v>0</v>
      </c>
      <c r="AH262" s="178">
        <f t="shared" si="94"/>
        <v>6</v>
      </c>
      <c r="AI262" s="227">
        <f t="shared" si="95"/>
        <v>0.48404302153601042</v>
      </c>
      <c r="AJ262" s="267" t="b">
        <f t="shared" si="96"/>
        <v>1</v>
      </c>
      <c r="AK262" s="267" t="b">
        <f t="shared" si="97"/>
        <v>0</v>
      </c>
      <c r="AL262" s="267"/>
      <c r="AM262" s="267"/>
      <c r="AN262" s="75"/>
    </row>
    <row r="263" spans="1:40" s="6" customFormat="1" ht="11.25" x14ac:dyDescent="0.2">
      <c r="A263" s="56">
        <f t="shared" si="98"/>
        <v>44810</v>
      </c>
      <c r="B263" s="1141">
        <v>38.82</v>
      </c>
      <c r="C263" s="868"/>
      <c r="D263" s="395">
        <f t="shared" si="77"/>
        <v>40.196236027384963</v>
      </c>
      <c r="E263" s="387">
        <f t="shared" si="100"/>
        <v>46.873264611370999</v>
      </c>
      <c r="F263" s="387">
        <f t="shared" si="78"/>
        <v>47.220432866992539</v>
      </c>
      <c r="G263" s="110">
        <f t="shared" si="101"/>
        <v>0.94218670090065848</v>
      </c>
      <c r="H263" s="416" t="b">
        <f>Wh_hp&gt;='2021'!Maxi_hp</f>
        <v>0</v>
      </c>
      <c r="I263" s="382">
        <f>IF(H263,Wh_hp,'2021'!Maxi_hp)</f>
        <v>51.846079488865243</v>
      </c>
      <c r="J263" s="85">
        <f>IF(H263,An,'2021'!An_max)</f>
        <v>2019</v>
      </c>
      <c r="K263" s="199">
        <f t="shared" si="79"/>
        <v>44810</v>
      </c>
      <c r="L263" s="147">
        <f>IF(t&lt;Tvie,1-EXP((T0-t)*PertePVj)+'2021'!Pspv,1-EXP((T0-t)*PertePVj)+Pspv)</f>
        <v>3.4237932786725489E-2</v>
      </c>
      <c r="M263" s="872"/>
      <c r="N263" s="872"/>
      <c r="O263" s="48">
        <f>IF(t&lt;Tnet,'2021'!Resal+('2021'!Salim-'2021'!Resal)*(1-EXP(('2021'!Tnet-t)/('2021'!Tau_j))),Resal+(Salim-Resal)*(1-EXP((Tnet-t)/(Tau_j))))*Salcycl</f>
        <v>0.14244855013504337</v>
      </c>
      <c r="P263" s="341">
        <f>(INDEX(Models!$BJ263:$BT263,,T263)*(1-R263)+INDEX(Models!$BJ263:$BT263,,T263+1)*R263-ERP_i)*Q263*Ramure*Pc/MaxiM</f>
        <v>8.0062070736651239E-3</v>
      </c>
      <c r="Q263" s="307">
        <f t="shared" si="80"/>
        <v>0.9</v>
      </c>
      <c r="R263" s="179">
        <f t="shared" si="81"/>
        <v>0.48468526629702324</v>
      </c>
      <c r="S263" s="839">
        <f t="shared" si="82"/>
        <v>0</v>
      </c>
      <c r="T263" s="178">
        <f t="shared" si="83"/>
        <v>6</v>
      </c>
      <c r="U263" s="253">
        <f t="shared" si="84"/>
        <v>0.48468526629702324</v>
      </c>
      <c r="V263" s="385">
        <f t="shared" si="85"/>
        <v>41.174873891427907</v>
      </c>
      <c r="W263" s="404">
        <f t="shared" si="86"/>
        <v>0</v>
      </c>
      <c r="X263" s="157">
        <f t="shared" si="87"/>
        <v>44810</v>
      </c>
      <c r="Y263" s="387">
        <f t="shared" si="88"/>
        <v>37.586192250877865</v>
      </c>
      <c r="Z263" s="387">
        <f t="shared" si="89"/>
        <v>38.918687663239417</v>
      </c>
      <c r="AA263" s="388">
        <f t="shared" si="90"/>
        <v>46.873264611370999</v>
      </c>
      <c r="AB263" s="199">
        <f t="shared" si="91"/>
        <v>44810</v>
      </c>
      <c r="AC263" s="119">
        <f>IF(OR(t&lt;Tnet,NoTnet),'2021'!Resal_s+('2021'!Salim-'2021'!Resal_s)*(1-EXP(('2021'!Tnet_s-t)/'2021'!Tau_j)),Resal_s+(Salim-Resal_s)*(1-EXP((Tnet_s-t)/Tau_j)))*Salcycl</f>
        <v>0.16970392427503081</v>
      </c>
      <c r="AD263" s="233">
        <f>(INDEX(Models!$BJ263:$BT263,,AH263)*(1-AF263)+INDEX(Models!$BJ263:$BT263,,AH263+1)*AF263-ERP_i)*AE263*Ramure*Pc/MaxiM</f>
        <v>8.0062070736651239E-3</v>
      </c>
      <c r="AE263" s="307">
        <f t="shared" si="92"/>
        <v>0.9</v>
      </c>
      <c r="AF263" s="179">
        <f t="shared" si="93"/>
        <v>0.48468526629702324</v>
      </c>
      <c r="AG263" s="839">
        <f t="shared" si="99"/>
        <v>0</v>
      </c>
      <c r="AH263" s="178">
        <f t="shared" si="94"/>
        <v>6</v>
      </c>
      <c r="AI263" s="227">
        <f t="shared" si="95"/>
        <v>0.48468526629702324</v>
      </c>
      <c r="AJ263" s="267" t="b">
        <f t="shared" si="96"/>
        <v>1</v>
      </c>
      <c r="AK263" s="267" t="b">
        <f t="shared" si="97"/>
        <v>0</v>
      </c>
      <c r="AL263" s="267"/>
      <c r="AM263" s="267"/>
      <c r="AN263" s="75"/>
    </row>
    <row r="264" spans="1:40" s="6" customFormat="1" ht="11.25" x14ac:dyDescent="0.2">
      <c r="A264" s="56">
        <f t="shared" si="98"/>
        <v>44811</v>
      </c>
      <c r="B264" s="1141">
        <v>31.304000000000002</v>
      </c>
      <c r="C264" s="868"/>
      <c r="D264" s="395">
        <f t="shared" si="77"/>
        <v>32.414535183698021</v>
      </c>
      <c r="E264" s="387">
        <f t="shared" si="100"/>
        <v>37.802448243513453</v>
      </c>
      <c r="F264" s="387">
        <f t="shared" si="78"/>
        <v>38.009188956320415</v>
      </c>
      <c r="G264" s="110">
        <f t="shared" si="101"/>
        <v>0.76414166759522872</v>
      </c>
      <c r="H264" s="416" t="b">
        <f>Wh_hp&gt;='2021'!Maxi_hp</f>
        <v>0</v>
      </c>
      <c r="I264" s="382">
        <f>IF(H264,Wh_hp,'2021'!Maxi_hp)</f>
        <v>50.605106354797776</v>
      </c>
      <c r="J264" s="85">
        <f>IF(H264,An,'2021'!An_max)</f>
        <v>2019</v>
      </c>
      <c r="K264" s="199">
        <f t="shared" si="79"/>
        <v>44811</v>
      </c>
      <c r="L264" s="147">
        <f>IF(t&lt;Tvie,1-EXP((T0-t)*PertePVj)+'2021'!Pspv,1-EXP((T0-t)*PertePVj)+Pspv)</f>
        <v>3.4260407480917188E-2</v>
      </c>
      <c r="M264" s="872"/>
      <c r="N264" s="872"/>
      <c r="O264" s="48">
        <f>IF(t&lt;Tnet,'2021'!Resal+('2021'!Salim-'2021'!Resal)*(1-EXP(('2021'!Tnet-t)/('2021'!Tau_j))),Resal+(Salim-Resal)*(1-EXP((Tnet-t)/(Tau_j))))*Salcycl</f>
        <v>0.14252815122205592</v>
      </c>
      <c r="P264" s="341">
        <f>(INDEX(Models!$BJ264:$BT264,,T264)*(1-R264)+INDEX(Models!$BJ264:$BT264,,T264+1)*R264-ERP_i)*Q264*Ramure*Pc/MaxiM</f>
        <v>8.1662643353619148E-3</v>
      </c>
      <c r="Q264" s="307">
        <f t="shared" si="80"/>
        <v>0.9</v>
      </c>
      <c r="R264" s="179">
        <f t="shared" si="81"/>
        <v>0.48530298025117857</v>
      </c>
      <c r="S264" s="839">
        <f t="shared" si="82"/>
        <v>0</v>
      </c>
      <c r="T264" s="178">
        <f t="shared" si="83"/>
        <v>6</v>
      </c>
      <c r="U264" s="253">
        <f t="shared" si="84"/>
        <v>0.48530298025117857</v>
      </c>
      <c r="V264" s="385">
        <f t="shared" si="85"/>
        <v>40.853898385303253</v>
      </c>
      <c r="W264" s="404">
        <f t="shared" si="86"/>
        <v>0</v>
      </c>
      <c r="X264" s="157">
        <f t="shared" si="87"/>
        <v>44811</v>
      </c>
      <c r="Y264" s="387">
        <f t="shared" si="88"/>
        <v>30.311887975237543</v>
      </c>
      <c r="Z264" s="387">
        <f t="shared" si="89"/>
        <v>31.387227167699027</v>
      </c>
      <c r="AA264" s="388">
        <f t="shared" si="90"/>
        <v>37.802448243513453</v>
      </c>
      <c r="AB264" s="199">
        <f t="shared" si="91"/>
        <v>44811</v>
      </c>
      <c r="AC264" s="119">
        <f>IF(OR(t&lt;Tnet,NoTnet),'2021'!Resal_s+('2021'!Salim-'2021'!Resal_s)*(1-EXP(('2021'!Tnet_s-t)/'2021'!Tau_j)),Resal_s+(Salim-Resal_s)*(1-EXP((Tnet_s-t)/Tau_j)))*Salcycl</f>
        <v>0.16970385183756495</v>
      </c>
      <c r="AD264" s="233">
        <f>(INDEX(Models!$BJ264:$BT264,,AH264)*(1-AF264)+INDEX(Models!$BJ264:$BT264,,AH264+1)*AF264-ERP_i)*AE264*Ramure*Pc/MaxiM</f>
        <v>8.1662643353619148E-3</v>
      </c>
      <c r="AE264" s="307">
        <f t="shared" si="92"/>
        <v>0.9</v>
      </c>
      <c r="AF264" s="179">
        <f t="shared" si="93"/>
        <v>0.48530298025117857</v>
      </c>
      <c r="AG264" s="839">
        <f t="shared" si="99"/>
        <v>0</v>
      </c>
      <c r="AH264" s="178">
        <f t="shared" si="94"/>
        <v>6</v>
      </c>
      <c r="AI264" s="227">
        <f t="shared" si="95"/>
        <v>0.48530298025117857</v>
      </c>
      <c r="AJ264" s="267" t="b">
        <f t="shared" si="96"/>
        <v>1</v>
      </c>
      <c r="AK264" s="267" t="b">
        <f t="shared" si="97"/>
        <v>0</v>
      </c>
      <c r="AL264" s="267"/>
      <c r="AM264" s="267"/>
      <c r="AN264" s="75"/>
    </row>
    <row r="265" spans="1:40" s="6" customFormat="1" ht="11.25" x14ac:dyDescent="0.2">
      <c r="A265" s="56">
        <f t="shared" si="98"/>
        <v>44812</v>
      </c>
      <c r="B265" s="1141">
        <v>33.694000000000003</v>
      </c>
      <c r="C265" s="868"/>
      <c r="D265" s="395">
        <f t="shared" si="77"/>
        <v>34.890134346631072</v>
      </c>
      <c r="E265" s="387">
        <f t="shared" si="100"/>
        <v>40.693244286395753</v>
      </c>
      <c r="F265" s="387">
        <f t="shared" si="78"/>
        <v>40.952018574250936</v>
      </c>
      <c r="G265" s="110">
        <f t="shared" si="101"/>
        <v>0.82971098693211964</v>
      </c>
      <c r="H265" s="416" t="b">
        <f>Wh_hp&gt;='2021'!Maxi_hp</f>
        <v>0</v>
      </c>
      <c r="I265" s="382">
        <f>IF(H265,Wh_hp,'2021'!Maxi_hp)</f>
        <v>44.460234506845794</v>
      </c>
      <c r="J265" s="85">
        <f>IF(H265,An,'2021'!An_max)</f>
        <v>2019</v>
      </c>
      <c r="K265" s="199">
        <f t="shared" si="79"/>
        <v>44812</v>
      </c>
      <c r="L265" s="147">
        <f>IF(t&lt;Tvie,1-EXP((T0-t)*PertePVj)+'2021'!Pspv,1-EXP((T0-t)*PertePVj)+Pspv)</f>
        <v>3.4282881652089814E-2</v>
      </c>
      <c r="M265" s="872"/>
      <c r="N265" s="872"/>
      <c r="O265" s="48">
        <f>IF(t&lt;Tnet,'2021'!Resal+('2021'!Salim-'2021'!Resal)*(1-EXP(('2021'!Tnet-t)/('2021'!Tau_j))),Resal+(Salim-Resal)*(1-EXP((Tnet-t)/(Tau_j))))*Salcycl</f>
        <v>0.14260622473162529</v>
      </c>
      <c r="P265" s="341">
        <f>(INDEX(Models!$BJ265:$BT265,,T265)*(1-R265)+INDEX(Models!$BJ265:$BT265,,T265+1)*R265-ERP_i)*Q265*Ramure*Pc/MaxiM</f>
        <v>8.3239921091517073E-3</v>
      </c>
      <c r="Q265" s="307">
        <f t="shared" si="80"/>
        <v>0.9</v>
      </c>
      <c r="R265" s="179">
        <f t="shared" si="81"/>
        <v>0.485897050184801</v>
      </c>
      <c r="S265" s="839">
        <f t="shared" si="82"/>
        <v>0</v>
      </c>
      <c r="T265" s="178">
        <f t="shared" si="83"/>
        <v>6</v>
      </c>
      <c r="U265" s="253">
        <f t="shared" si="84"/>
        <v>0.485897050184801</v>
      </c>
      <c r="V265" s="385">
        <f t="shared" si="85"/>
        <v>40.527380580952915</v>
      </c>
      <c r="W265" s="404">
        <f t="shared" si="86"/>
        <v>0</v>
      </c>
      <c r="X265" s="157">
        <f t="shared" si="87"/>
        <v>44812</v>
      </c>
      <c r="Y265" s="387">
        <f t="shared" si="88"/>
        <v>32.629175742021538</v>
      </c>
      <c r="Z265" s="387">
        <f t="shared" si="89"/>
        <v>33.787508911348219</v>
      </c>
      <c r="AA265" s="388">
        <f t="shared" si="90"/>
        <v>40.693244286395753</v>
      </c>
      <c r="AB265" s="199">
        <f t="shared" si="91"/>
        <v>44812</v>
      </c>
      <c r="AC265" s="119">
        <f>IF(OR(t&lt;Tnet,NoTnet),'2021'!Resal_s+('2021'!Salim-'2021'!Resal_s)*(1-EXP(('2021'!Tnet_s-t)/'2021'!Tau_j)),Resal_s+(Salim-Resal_s)*(1-EXP((Tnet_s-t)/Tau_j)))*Salcycl</f>
        <v>0.16970225638549558</v>
      </c>
      <c r="AD265" s="233">
        <f>(INDEX(Models!$BJ265:$BT265,,AH265)*(1-AF265)+INDEX(Models!$BJ265:$BT265,,AH265+1)*AF265-ERP_i)*AE265*Ramure*Pc/MaxiM</f>
        <v>8.3239921091517073E-3</v>
      </c>
      <c r="AE265" s="307">
        <f t="shared" si="92"/>
        <v>0.9</v>
      </c>
      <c r="AF265" s="179">
        <f t="shared" si="93"/>
        <v>0.485897050184801</v>
      </c>
      <c r="AG265" s="839">
        <f t="shared" si="99"/>
        <v>0</v>
      </c>
      <c r="AH265" s="178">
        <f t="shared" si="94"/>
        <v>6</v>
      </c>
      <c r="AI265" s="227">
        <f t="shared" si="95"/>
        <v>0.485897050184801</v>
      </c>
      <c r="AJ265" s="267" t="b">
        <f t="shared" si="96"/>
        <v>1</v>
      </c>
      <c r="AK265" s="267" t="b">
        <f t="shared" si="97"/>
        <v>0</v>
      </c>
      <c r="AL265" s="267"/>
      <c r="AM265" s="267"/>
      <c r="AN265" s="75"/>
    </row>
    <row r="266" spans="1:40" s="6" customFormat="1" ht="11.25" x14ac:dyDescent="0.2">
      <c r="A266" s="56">
        <f t="shared" si="98"/>
        <v>44813</v>
      </c>
      <c r="B266" s="1141">
        <v>19.161999999999999</v>
      </c>
      <c r="C266" s="868"/>
      <c r="D266" s="395">
        <f t="shared" si="77"/>
        <v>19.84271125989094</v>
      </c>
      <c r="E266" s="387">
        <f t="shared" si="100"/>
        <v>23.145119980607532</v>
      </c>
      <c r="F266" s="387">
        <f t="shared" si="78"/>
        <v>23.19477119446184</v>
      </c>
      <c r="G266" s="110">
        <f t="shared" si="101"/>
        <v>0.47368839421936726</v>
      </c>
      <c r="H266" s="416" t="b">
        <f>Wh_hp&gt;='2021'!Maxi_hp</f>
        <v>0</v>
      </c>
      <c r="I266" s="382">
        <f>IF(H266,Wh_hp,'2021'!Maxi_hp)</f>
        <v>45.722632872468637</v>
      </c>
      <c r="J266" s="85">
        <f>IF(H266,An,'2021'!An_max)</f>
        <v>2020</v>
      </c>
      <c r="K266" s="199">
        <f t="shared" si="79"/>
        <v>44813</v>
      </c>
      <c r="L266" s="147">
        <f>IF(t&lt;Tvie,1-EXP((T0-t)*PertePVj)+'2021'!Pspv,1-EXP((T0-t)*PertePVj)+Pspv)</f>
        <v>3.4305355300255691E-2</v>
      </c>
      <c r="M266" s="872"/>
      <c r="N266" s="872"/>
      <c r="O266" s="48">
        <f>IF(t&lt;Tnet,'2021'!Resal+('2021'!Salim-'2021'!Resal)*(1-EXP(('2021'!Tnet-t)/('2021'!Tau_j))),Resal+(Salim-Resal)*(1-EXP((Tnet-t)/(Tau_j))))*Salcycl</f>
        <v>0.14268272203745588</v>
      </c>
      <c r="P266" s="341">
        <f>(INDEX(Models!$BJ266:$BT266,,T266)*(1-R266)+INDEX(Models!$BJ266:$BT266,,T266+1)*R266-ERP_i)*Q266*Ramure*Pc/MaxiM</f>
        <v>8.4793075422557058E-3</v>
      </c>
      <c r="Q266" s="307">
        <f t="shared" si="80"/>
        <v>0.9</v>
      </c>
      <c r="R266" s="179">
        <f t="shared" si="81"/>
        <v>0.48646833470524187</v>
      </c>
      <c r="S266" s="839">
        <f t="shared" si="82"/>
        <v>0</v>
      </c>
      <c r="T266" s="178">
        <f t="shared" si="83"/>
        <v>6</v>
      </c>
      <c r="U266" s="253">
        <f t="shared" si="84"/>
        <v>0.48646833470524187</v>
      </c>
      <c r="V266" s="385">
        <f t="shared" si="85"/>
        <v>40.195786425797969</v>
      </c>
      <c r="W266" s="404">
        <f t="shared" si="86"/>
        <v>0</v>
      </c>
      <c r="X266" s="157">
        <f t="shared" si="87"/>
        <v>44813</v>
      </c>
      <c r="Y266" s="387">
        <f t="shared" si="88"/>
        <v>18.558154148214605</v>
      </c>
      <c r="Z266" s="387">
        <f t="shared" si="89"/>
        <v>19.217414376347445</v>
      </c>
      <c r="AA266" s="388">
        <f t="shared" si="90"/>
        <v>23.145119980607532</v>
      </c>
      <c r="AB266" s="199">
        <f t="shared" si="91"/>
        <v>44813</v>
      </c>
      <c r="AC266" s="119">
        <f>IF(OR(t&lt;Tnet,NoTnet),'2021'!Resal_s+('2021'!Salim-'2021'!Resal_s)*(1-EXP(('2021'!Tnet_s-t)/'2021'!Tau_j)),Resal_s+(Salim-Resal_s)*(1-EXP((Tnet_s-t)/Tau_j)))*Salcycl</f>
        <v>0.16969908160126068</v>
      </c>
      <c r="AD266" s="233">
        <f>(INDEX(Models!$BJ266:$BT266,,AH266)*(1-AF266)+INDEX(Models!$BJ266:$BT266,,AH266+1)*AF266-ERP_i)*AE266*Ramure*Pc/MaxiM</f>
        <v>8.4793075422557058E-3</v>
      </c>
      <c r="AE266" s="307">
        <f t="shared" si="92"/>
        <v>0.9</v>
      </c>
      <c r="AF266" s="179">
        <f t="shared" si="93"/>
        <v>0.48646833470524187</v>
      </c>
      <c r="AG266" s="839">
        <f t="shared" si="99"/>
        <v>0</v>
      </c>
      <c r="AH266" s="178">
        <f t="shared" si="94"/>
        <v>6</v>
      </c>
      <c r="AI266" s="227">
        <f t="shared" si="95"/>
        <v>0.48646833470524187</v>
      </c>
      <c r="AJ266" s="267" t="b">
        <f t="shared" si="96"/>
        <v>1</v>
      </c>
      <c r="AK266" s="267" t="b">
        <f t="shared" si="97"/>
        <v>0</v>
      </c>
      <c r="AL266" s="267"/>
      <c r="AM266" s="267"/>
      <c r="AN266" s="75"/>
    </row>
    <row r="267" spans="1:40" s="6" customFormat="1" ht="11.25" x14ac:dyDescent="0.2">
      <c r="A267" s="56">
        <f t="shared" si="98"/>
        <v>44814</v>
      </c>
      <c r="B267" s="1141">
        <v>37.688000000000002</v>
      </c>
      <c r="C267" s="868"/>
      <c r="D267" s="395">
        <f t="shared" si="77"/>
        <v>39.027737475905489</v>
      </c>
      <c r="E267" s="387">
        <f t="shared" si="100"/>
        <v>45.527072778288485</v>
      </c>
      <c r="F267" s="387">
        <f t="shared" si="78"/>
        <v>45.892389083672228</v>
      </c>
      <c r="G267" s="110">
        <f t="shared" si="101"/>
        <v>0.94487887656996528</v>
      </c>
      <c r="H267" s="416" t="b">
        <f>Wh_hp&gt;='2021'!Maxi_hp</f>
        <v>1</v>
      </c>
      <c r="I267" s="382">
        <f>IF(H267,Wh_hp,'2021'!Maxi_hp)</f>
        <v>45.892389083672228</v>
      </c>
      <c r="J267" s="85">
        <f>IF(H267,An,'2021'!An_max)</f>
        <v>2022</v>
      </c>
      <c r="K267" s="199">
        <f t="shared" si="79"/>
        <v>44814</v>
      </c>
      <c r="L267" s="147">
        <f>IF(t&lt;Tvie,1-EXP((T0-t)*PertePVj)+'2021'!Pspv,1-EXP((T0-t)*PertePVj)+Pspv)</f>
        <v>3.4327828425426921E-2</v>
      </c>
      <c r="M267" s="872"/>
      <c r="N267" s="872"/>
      <c r="O267" s="48">
        <f>IF(t&lt;Tnet,'2021'!Resal+('2021'!Salim-'2021'!Resal)*(1-EXP(('2021'!Tnet-t)/('2021'!Tau_j))),Resal+(Salim-Resal)*(1-EXP((Tnet-t)/(Tau_j))))*Salcycl</f>
        <v>0.14275759247764508</v>
      </c>
      <c r="P267" s="341">
        <f>(INDEX(Models!$BJ267:$BT267,,T267)*(1-R267)+INDEX(Models!$BJ267:$BT267,,T267+1)*R267-ERP_i)*Q267*Ramure*Pc/MaxiM</f>
        <v>8.6321158658122024E-3</v>
      </c>
      <c r="Q267" s="307">
        <f t="shared" si="80"/>
        <v>0.9</v>
      </c>
      <c r="R267" s="179">
        <f t="shared" si="81"/>
        <v>0.4870176648300597</v>
      </c>
      <c r="S267" s="839">
        <f t="shared" si="82"/>
        <v>0</v>
      </c>
      <c r="T267" s="178">
        <f t="shared" si="83"/>
        <v>6</v>
      </c>
      <c r="U267" s="253">
        <f t="shared" si="84"/>
        <v>0.4870176648300597</v>
      </c>
      <c r="V267" s="385">
        <f t="shared" si="85"/>
        <v>39.859581627632494</v>
      </c>
      <c r="W267" s="404">
        <f t="shared" si="86"/>
        <v>0</v>
      </c>
      <c r="X267" s="157">
        <f t="shared" si="87"/>
        <v>44814</v>
      </c>
      <c r="Y267" s="387">
        <f t="shared" si="88"/>
        <v>36.50374983854158</v>
      </c>
      <c r="Z267" s="387">
        <f t="shared" si="89"/>
        <v>37.801389449817663</v>
      </c>
      <c r="AA267" s="388">
        <f t="shared" si="90"/>
        <v>45.527072778288485</v>
      </c>
      <c r="AB267" s="199">
        <f t="shared" si="91"/>
        <v>44814</v>
      </c>
      <c r="AC267" s="119">
        <f>IF(OR(t&lt;Tnet,NoTnet),'2021'!Resal_s+('2021'!Salim-'2021'!Resal_s)*(1-EXP(('2021'!Tnet_s-t)/'2021'!Tau_j)),Resal_s+(Salim-Resal_s)*(1-EXP((Tnet_s-t)/Tau_j)))*Salcycl</f>
        <v>0.16969426886050851</v>
      </c>
      <c r="AD267" s="233">
        <f>(INDEX(Models!$BJ267:$BT267,,AH267)*(1-AF267)+INDEX(Models!$BJ267:$BT267,,AH267+1)*AF267-ERP_i)*AE267*Ramure*Pc/MaxiM</f>
        <v>8.6321158658122024E-3</v>
      </c>
      <c r="AE267" s="307">
        <f t="shared" si="92"/>
        <v>0.9</v>
      </c>
      <c r="AF267" s="179">
        <f t="shared" si="93"/>
        <v>0.4870176648300597</v>
      </c>
      <c r="AG267" s="839">
        <f t="shared" si="99"/>
        <v>0</v>
      </c>
      <c r="AH267" s="178">
        <f t="shared" si="94"/>
        <v>6</v>
      </c>
      <c r="AI267" s="227">
        <f t="shared" si="95"/>
        <v>0.4870176648300597</v>
      </c>
      <c r="AJ267" s="267" t="b">
        <f t="shared" si="96"/>
        <v>1</v>
      </c>
      <c r="AK267" s="267" t="b">
        <f t="shared" si="97"/>
        <v>0</v>
      </c>
      <c r="AL267" s="267"/>
      <c r="AM267" s="267"/>
      <c r="AN267" s="75"/>
    </row>
    <row r="268" spans="1:40" s="6" customFormat="1" ht="11.25" x14ac:dyDescent="0.2">
      <c r="A268" s="56">
        <f t="shared" si="98"/>
        <v>44815</v>
      </c>
      <c r="B268" s="1141">
        <v>37.550000000000004</v>
      </c>
      <c r="C268" s="868"/>
      <c r="D268" s="395">
        <f t="shared" si="77"/>
        <v>38.885736763507097</v>
      </c>
      <c r="E268" s="387">
        <f t="shared" si="100"/>
        <v>45.36529778142846</v>
      </c>
      <c r="F268" s="387">
        <f t="shared" si="78"/>
        <v>45.738259725642457</v>
      </c>
      <c r="G268" s="110">
        <f t="shared" si="101"/>
        <v>0.94956864033894262</v>
      </c>
      <c r="H268" s="416" t="b">
        <f>Wh_hp&gt;='2021'!Maxi_hp</f>
        <v>1</v>
      </c>
      <c r="I268" s="382">
        <f>IF(H268,Wh_hp,'2021'!Maxi_hp)</f>
        <v>45.738259725642457</v>
      </c>
      <c r="J268" s="85">
        <f>IF(H268,An,'2021'!An_max)</f>
        <v>2022</v>
      </c>
      <c r="K268" s="199">
        <f t="shared" si="79"/>
        <v>44815</v>
      </c>
      <c r="L268" s="147">
        <f>IF(t&lt;Tvie,1-EXP((T0-t)*PertePVj)+'2021'!Pspv,1-EXP((T0-t)*PertePVj)+Pspv)</f>
        <v>3.4350301027615715E-2</v>
      </c>
      <c r="M268" s="872"/>
      <c r="N268" s="872"/>
      <c r="O268" s="48">
        <f>IF(t&lt;Tnet,'2021'!Resal+('2021'!Salim-'2021'!Resal)*(1-EXP(('2021'!Tnet-t)/('2021'!Tau_j))),Resal+(Salim-Resal)*(1-EXP((Tnet-t)/(Tau_j))))*Salcycl</f>
        <v>0.14283078332561824</v>
      </c>
      <c r="P268" s="341">
        <f>(INDEX(Models!$BJ268:$BT268,,T268)*(1-R268)+INDEX(Models!$BJ268:$BT268,,T268+1)*R268-ERP_i)*Q268*Ramure*Pc/MaxiM</f>
        <v>8.7792568521633304E-3</v>
      </c>
      <c r="Q268" s="307">
        <f t="shared" si="80"/>
        <v>0.9</v>
      </c>
      <c r="R268" s="179">
        <f t="shared" si="81"/>
        <v>0.48754584459020078</v>
      </c>
      <c r="S268" s="839">
        <f t="shared" si="82"/>
        <v>0</v>
      </c>
      <c r="T268" s="178">
        <f t="shared" si="83"/>
        <v>6</v>
      </c>
      <c r="U268" s="253">
        <f t="shared" si="84"/>
        <v>0.48754584459020078</v>
      </c>
      <c r="V268" s="385">
        <f t="shared" si="85"/>
        <v>39.519353383270406</v>
      </c>
      <c r="W268" s="404">
        <f t="shared" si="86"/>
        <v>0</v>
      </c>
      <c r="X268" s="157">
        <f t="shared" si="87"/>
        <v>44815</v>
      </c>
      <c r="Y268" s="387">
        <f t="shared" si="88"/>
        <v>36.373476917417463</v>
      </c>
      <c r="Z268" s="387">
        <f t="shared" si="89"/>
        <v>37.667362146050515</v>
      </c>
      <c r="AA268" s="388">
        <f t="shared" si="90"/>
        <v>45.36529778142846</v>
      </c>
      <c r="AB268" s="199">
        <f t="shared" si="91"/>
        <v>44815</v>
      </c>
      <c r="AC268" s="119">
        <f>IF(OR(t&lt;Tnet,NoTnet),'2021'!Resal_s+('2021'!Salim-'2021'!Resal_s)*(1-EXP(('2021'!Tnet_s-t)/'2021'!Tau_j)),Resal_s+(Salim-Resal_s)*(1-EXP((Tnet_s-t)/Tau_j)))*Salcycl</f>
        <v>0.16968775720302465</v>
      </c>
      <c r="AD268" s="233">
        <f>(INDEX(Models!$BJ268:$BT268,,AH268)*(1-AF268)+INDEX(Models!$BJ268:$BT268,,AH268+1)*AF268-ERP_i)*AE268*Ramure*Pc/MaxiM</f>
        <v>8.7792568521633304E-3</v>
      </c>
      <c r="AE268" s="307">
        <f t="shared" si="92"/>
        <v>0.9</v>
      </c>
      <c r="AF268" s="179">
        <f t="shared" si="93"/>
        <v>0.48754584459020078</v>
      </c>
      <c r="AG268" s="839">
        <f t="shared" si="99"/>
        <v>0</v>
      </c>
      <c r="AH268" s="178">
        <f t="shared" si="94"/>
        <v>6</v>
      </c>
      <c r="AI268" s="227">
        <f t="shared" si="95"/>
        <v>0.48754584459020078</v>
      </c>
      <c r="AJ268" s="267" t="b">
        <f t="shared" si="96"/>
        <v>1</v>
      </c>
      <c r="AK268" s="267" t="b">
        <f t="shared" si="97"/>
        <v>0</v>
      </c>
      <c r="AL268" s="267"/>
      <c r="AM268" s="267"/>
      <c r="AN268" s="75"/>
    </row>
    <row r="269" spans="1:40" s="6" customFormat="1" ht="11.25" x14ac:dyDescent="0.2">
      <c r="A269" s="56">
        <f t="shared" si="98"/>
        <v>44816</v>
      </c>
      <c r="B269" s="1141">
        <v>26.103999999999999</v>
      </c>
      <c r="C269" s="868"/>
      <c r="D269" s="395">
        <f t="shared" si="77"/>
        <v>27.033206265307669</v>
      </c>
      <c r="E269" s="387">
        <f t="shared" si="100"/>
        <v>31.540400080454702</v>
      </c>
      <c r="F269" s="387">
        <f t="shared" si="78"/>
        <v>31.688393207529007</v>
      </c>
      <c r="G269" s="110">
        <f t="shared" si="101"/>
        <v>0.66348830230118716</v>
      </c>
      <c r="H269" s="416" t="b">
        <f>Wh_hp&gt;='2021'!Maxi_hp</f>
        <v>0</v>
      </c>
      <c r="I269" s="382">
        <f>IF(H269,Wh_hp,'2021'!Maxi_hp)</f>
        <v>47.211932330727613</v>
      </c>
      <c r="J269" s="85">
        <f>IF(H269,An,'2021'!An_max)</f>
        <v>2019</v>
      </c>
      <c r="K269" s="199">
        <f t="shared" si="79"/>
        <v>44816</v>
      </c>
      <c r="L269" s="147">
        <f>IF(t&lt;Tvie,1-EXP((T0-t)*PertePVj)+'2021'!Pspv,1-EXP((T0-t)*PertePVj)+Pspv)</f>
        <v>3.4372773106834176E-2</v>
      </c>
      <c r="M269" s="872"/>
      <c r="N269" s="872"/>
      <c r="O269" s="48">
        <f>IF(t&lt;Tnet,'2021'!Resal+('2021'!Salim-'2021'!Resal)*(1-EXP(('2021'!Tnet-t)/('2021'!Tau_j))),Resal+(Salim-Resal)*(1-EXP((Tnet-t)/(Tau_j))))*Salcycl</f>
        <v>0.14290223978294112</v>
      </c>
      <c r="P269" s="341">
        <f>(INDEX(Models!$BJ269:$BT269,,T269)*(1-R269)+INDEX(Models!$BJ269:$BT269,,T269+1)*R269-ERP_i)*Q269*Ramure*Pc/MaxiM</f>
        <v>8.9240037181289172E-3</v>
      </c>
      <c r="Q269" s="307">
        <f t="shared" si="80"/>
        <v>0.9</v>
      </c>
      <c r="R269" s="179">
        <f t="shared" si="81"/>
        <v>0.48805365164421399</v>
      </c>
      <c r="S269" s="839">
        <f t="shared" si="82"/>
        <v>0</v>
      </c>
      <c r="T269" s="178">
        <f t="shared" si="83"/>
        <v>6</v>
      </c>
      <c r="U269" s="253">
        <f t="shared" si="84"/>
        <v>0.48805365164421399</v>
      </c>
      <c r="V269" s="385">
        <f t="shared" si="85"/>
        <v>39.175429682507009</v>
      </c>
      <c r="W269" s="404">
        <f t="shared" si="86"/>
        <v>0</v>
      </c>
      <c r="X269" s="157">
        <f t="shared" si="87"/>
        <v>44816</v>
      </c>
      <c r="Y269" s="387">
        <f t="shared" si="88"/>
        <v>25.288465065727181</v>
      </c>
      <c r="Z269" s="387">
        <f t="shared" si="89"/>
        <v>26.188641290791836</v>
      </c>
      <c r="AA269" s="388">
        <f t="shared" si="90"/>
        <v>31.540400080454702</v>
      </c>
      <c r="AB269" s="199">
        <f t="shared" si="91"/>
        <v>44816</v>
      </c>
      <c r="AC269" s="119">
        <f>IF(OR(t&lt;Tnet,NoTnet),'2021'!Resal_s+('2021'!Salim-'2021'!Resal_s)*(1-EXP(('2021'!Tnet_s-t)/'2021'!Tau_j)),Resal_s+(Salim-Resal_s)*(1-EXP((Tnet_s-t)/Tau_j)))*Salcycl</f>
        <v>0.16967948332967736</v>
      </c>
      <c r="AD269" s="233">
        <f>(INDEX(Models!$BJ269:$BT269,,AH269)*(1-AF269)+INDEX(Models!$BJ269:$BT269,,AH269+1)*AF269-ERP_i)*AE269*Ramure*Pc/MaxiM</f>
        <v>8.9240037181289172E-3</v>
      </c>
      <c r="AE269" s="307">
        <f t="shared" si="92"/>
        <v>0.9</v>
      </c>
      <c r="AF269" s="179">
        <f t="shared" si="93"/>
        <v>0.48805365164421399</v>
      </c>
      <c r="AG269" s="839">
        <f t="shared" si="99"/>
        <v>0</v>
      </c>
      <c r="AH269" s="178">
        <f t="shared" si="94"/>
        <v>6</v>
      </c>
      <c r="AI269" s="227">
        <f t="shared" si="95"/>
        <v>0.48805365164421399</v>
      </c>
      <c r="AJ269" s="267" t="b">
        <f t="shared" si="96"/>
        <v>1</v>
      </c>
      <c r="AK269" s="267" t="b">
        <f t="shared" si="97"/>
        <v>0</v>
      </c>
      <c r="AL269" s="267"/>
      <c r="AM269" s="267"/>
      <c r="AN269" s="75"/>
    </row>
    <row r="270" spans="1:40" s="6" customFormat="1" ht="11.25" x14ac:dyDescent="0.2">
      <c r="A270" s="56">
        <f t="shared" si="98"/>
        <v>44817</v>
      </c>
      <c r="B270" s="1141">
        <v>10.839</v>
      </c>
      <c r="C270" s="868"/>
      <c r="D270" s="395">
        <f t="shared" si="77"/>
        <v>11.22508970683166</v>
      </c>
      <c r="E270" s="387">
        <f t="shared" si="100"/>
        <v>13.097691630270669</v>
      </c>
      <c r="F270" s="387">
        <f t="shared" si="78"/>
        <v>13.097691630270669</v>
      </c>
      <c r="G270" s="110">
        <f t="shared" si="101"/>
        <v>0.27662137878140292</v>
      </c>
      <c r="H270" s="416" t="b">
        <f>Wh_hp&gt;='2021'!Maxi_hp</f>
        <v>0</v>
      </c>
      <c r="I270" s="382">
        <f>IF(H270,Wh_hp,'2021'!Maxi_hp)</f>
        <v>44.152198897789638</v>
      </c>
      <c r="J270" s="85">
        <f>IF(H270,An,'2021'!An_max)</f>
        <v>2020</v>
      </c>
      <c r="K270" s="199">
        <f t="shared" si="79"/>
        <v>44817</v>
      </c>
      <c r="L270" s="147">
        <f>IF(t&lt;Tvie,1-EXP((T0-t)*PertePVj)+'2021'!Pspv,1-EXP((T0-t)*PertePVj)+Pspv)</f>
        <v>3.4395244663094626E-2</v>
      </c>
      <c r="M270" s="872"/>
      <c r="N270" s="872"/>
      <c r="O270" s="48">
        <f>IF(t&lt;Tnet,'2021'!Resal+('2021'!Salim-'2021'!Resal)*(1-EXP(('2021'!Tnet-t)/('2021'!Tau_j))),Resal+(Salim-Resal)*(1-EXP((Tnet-t)/(Tau_j))))*Salcycl</f>
        <v>0.14297190499669063</v>
      </c>
      <c r="P270" s="341">
        <f>(INDEX(Models!$BJ270:$BT270,,T270)*(1-R270)+INDEX(Models!$BJ270:$BT270,,T270+1)*R270-ERP_i)*Q270*Ramure*Pc/MaxiM</f>
        <v>9.0662306091261122E-3</v>
      </c>
      <c r="Q270" s="307">
        <f t="shared" si="80"/>
        <v>0.9</v>
      </c>
      <c r="R270" s="179">
        <f t="shared" si="81"/>
        <v>0.48854183790077732</v>
      </c>
      <c r="S270" s="839">
        <f t="shared" si="82"/>
        <v>0</v>
      </c>
      <c r="T270" s="178">
        <f t="shared" si="83"/>
        <v>6</v>
      </c>
      <c r="U270" s="253">
        <f t="shared" si="84"/>
        <v>0.48854183790077732</v>
      </c>
      <c r="V270" s="385">
        <f t="shared" si="85"/>
        <v>38.828275579218442</v>
      </c>
      <c r="W270" s="404">
        <f t="shared" si="86"/>
        <v>0</v>
      </c>
      <c r="X270" s="157">
        <f t="shared" si="87"/>
        <v>44817</v>
      </c>
      <c r="Y270" s="387">
        <f t="shared" si="88"/>
        <v>10.501351851825008</v>
      </c>
      <c r="Z270" s="387">
        <f t="shared" si="89"/>
        <v>10.875414390602316</v>
      </c>
      <c r="AA270" s="388">
        <f t="shared" si="90"/>
        <v>13.097691630270669</v>
      </c>
      <c r="AB270" s="199">
        <f t="shared" si="91"/>
        <v>44817</v>
      </c>
      <c r="AC270" s="119">
        <f>IF(OR(t&lt;Tnet,NoTnet),'2021'!Resal_s+('2021'!Salim-'2021'!Resal_s)*(1-EXP(('2021'!Tnet_s-t)/'2021'!Tau_j)),Resal_s+(Salim-Resal_s)*(1-EXP((Tnet_s-t)/Tau_j)))*Salcycl</f>
        <v>0.16966938162846545</v>
      </c>
      <c r="AD270" s="233">
        <f>(INDEX(Models!$BJ270:$BT270,,AH270)*(1-AF270)+INDEX(Models!$BJ270:$BT270,,AH270+1)*AF270-ERP_i)*AE270*Ramure*Pc/MaxiM</f>
        <v>9.0662306091261122E-3</v>
      </c>
      <c r="AE270" s="307">
        <f t="shared" si="92"/>
        <v>0.9</v>
      </c>
      <c r="AF270" s="179">
        <f t="shared" si="93"/>
        <v>0.48854183790077732</v>
      </c>
      <c r="AG270" s="839">
        <f t="shared" si="99"/>
        <v>0</v>
      </c>
      <c r="AH270" s="178">
        <f t="shared" si="94"/>
        <v>6</v>
      </c>
      <c r="AI270" s="227">
        <f t="shared" si="95"/>
        <v>0.48854183790077732</v>
      </c>
      <c r="AJ270" s="267" t="b">
        <f t="shared" si="96"/>
        <v>1</v>
      </c>
      <c r="AK270" s="267" t="b">
        <f t="shared" si="97"/>
        <v>0</v>
      </c>
      <c r="AL270" s="267"/>
      <c r="AM270" s="267"/>
      <c r="AN270" s="75"/>
    </row>
    <row r="271" spans="1:40" s="6" customFormat="1" ht="11.25" x14ac:dyDescent="0.2">
      <c r="A271" s="56">
        <f t="shared" si="98"/>
        <v>44818</v>
      </c>
      <c r="B271" s="1141">
        <v>31.693999999999999</v>
      </c>
      <c r="C271" s="868"/>
      <c r="D271" s="395">
        <f t="shared" ref="D271:D334" si="102">Wh/(1-Ppv)</f>
        <v>32.823717372630476</v>
      </c>
      <c r="E271" s="387">
        <f t="shared" si="100"/>
        <v>38.302495626294558</v>
      </c>
      <c r="F271" s="387">
        <f t="shared" ref="F271:F334" si="103">Wh_sa/(1-Pvg*MEDIAN((-Sdif+Wh/Env_an)/Csdif,0,1))</f>
        <v>38.568115791958355</v>
      </c>
      <c r="G271" s="110">
        <f t="shared" si="101"/>
        <v>0.82176067267870589</v>
      </c>
      <c r="H271" s="416" t="b">
        <f>Wh_hp&gt;='2021'!Maxi_hp</f>
        <v>0</v>
      </c>
      <c r="I271" s="382">
        <f>IF(H271,Wh_hp,'2021'!Maxi_hp)</f>
        <v>43.575578607161226</v>
      </c>
      <c r="J271" s="85">
        <f>IF(H271,An,'2021'!An_max)</f>
        <v>2020</v>
      </c>
      <c r="K271" s="199">
        <f t="shared" ref="K271:K334" si="104">t</f>
        <v>44818</v>
      </c>
      <c r="L271" s="147">
        <f>IF(t&lt;Tvie,1-EXP((T0-t)*PertePVj)+'2021'!Pspv,1-EXP((T0-t)*PertePVj)+Pspv)</f>
        <v>3.4417715696409057E-2</v>
      </c>
      <c r="M271" s="872"/>
      <c r="N271" s="872"/>
      <c r="O271" s="48">
        <f>IF(t&lt;Tnet,'2021'!Resal+('2021'!Salim-'2021'!Resal)*(1-EXP(('2021'!Tnet-t)/('2021'!Tau_j))),Resal+(Salim-Resal)*(1-EXP((Tnet-t)/(Tau_j))))*Salcycl</f>
        <v>0.14303972010384916</v>
      </c>
      <c r="P271" s="341">
        <f>(INDEX(Models!$BJ271:$BT271,,T271)*(1-R271)+INDEX(Models!$BJ271:$BT271,,T271+1)*R271-ERP_i)*Q271*Ramure*Pc/MaxiM</f>
        <v>9.2057989726172743E-3</v>
      </c>
      <c r="Q271" s="307">
        <f t="shared" ref="Q271:Q334" si="105">IF(OR(t&lt;Ttai,Notai),Dd+PousD*Croivg,Dens+PousD*(Croivg-Croi_tai))</f>
        <v>0.9</v>
      </c>
      <c r="R271" s="179">
        <f t="shared" ref="R271:R334" si="106">(Hp_vg-S271)/(INDEX(Echel_vg,T271+1)-S271)</f>
        <v>0.489011130147055</v>
      </c>
      <c r="S271" s="839">
        <f t="shared" ref="S271:S334" si="107">INDEX(Echel_vg,T271)</f>
        <v>0</v>
      </c>
      <c r="T271" s="178">
        <f t="shared" ref="T271:T334" si="108">MIN(MATCH(Hp_vg,Echel_vg),10)</f>
        <v>6</v>
      </c>
      <c r="U271" s="253">
        <f t="shared" ref="U271:U334" si="109">IF(OR(t&lt;Ttai,Notai),Hdd+PousH*Croivg,Hdtf+PousH*(Croivg-Croi_tai))</f>
        <v>0.489011130147055</v>
      </c>
      <c r="V271" s="385">
        <f t="shared" ref="V271:V334" si="110">MaxiM*(1-Ppv)*(1-Pvg)*(1-Psa)</f>
        <v>38.478355887032293</v>
      </c>
      <c r="W271" s="404">
        <f t="shared" ref="W271:W334" si="111">Wh*(A271&gt;Tmaj)</f>
        <v>0</v>
      </c>
      <c r="X271" s="157">
        <f t="shared" ref="X271:X334" si="112">t</f>
        <v>44818</v>
      </c>
      <c r="Y271" s="387">
        <f t="shared" ref="Y271:Y334" si="113">Wh_pvt_s*(1-Ppv)</f>
        <v>30.709566687647357</v>
      </c>
      <c r="Z271" s="387">
        <f t="shared" ref="Z271:Z334" si="114">Wh_sa_s*(1-Psa_s)</f>
        <v>31.804194408761429</v>
      </c>
      <c r="AA271" s="388">
        <f t="shared" ref="AA271:AA334" si="115">Wh_hp*(1-Pvg_s*MEDIAN((-Sdif+Wh/Env_an)/Csdif,0,1))</f>
        <v>38.302495626294558</v>
      </c>
      <c r="AB271" s="199">
        <f t="shared" ref="AB271:AB334" si="116">t</f>
        <v>44818</v>
      </c>
      <c r="AC271" s="119">
        <f>IF(OR(t&lt;Tnet,NoTnet),'2021'!Resal_s+('2021'!Salim-'2021'!Resal_s)*(1-EXP(('2021'!Tnet_s-t)/'2021'!Tau_j)),Resal_s+(Salim-Resal_s)*(1-EXP((Tnet_s-t)/Tau_j)))*Salcycl</f>
        <v>0.16965738423247967</v>
      </c>
      <c r="AD271" s="233">
        <f>(INDEX(Models!$BJ271:$BT271,,AH271)*(1-AF271)+INDEX(Models!$BJ271:$BT271,,AH271+1)*AF271-ERP_i)*AE271*Ramure*Pc/MaxiM</f>
        <v>9.2057989726172743E-3</v>
      </c>
      <c r="AE271" s="307">
        <f t="shared" ref="AE271:AE334" si="117">IF(OR(t&lt;Ttai,Notai),Dd_s+PousD*Croivg,Dens_s+PousD*(Croivg-Croi_tai))</f>
        <v>0.9</v>
      </c>
      <c r="AF271" s="179">
        <f t="shared" ref="AF271:AF334" si="118">(Hp_vg_s-AG271)/(INDEX(Echel_vg,AH271+1)-AG271)</f>
        <v>0.489011130147055</v>
      </c>
      <c r="AG271" s="839">
        <f t="shared" si="99"/>
        <v>0</v>
      </c>
      <c r="AH271" s="178">
        <f t="shared" ref="AH271:AH334" si="119">MIN(MATCH(Hp_vg_s,Echel_vg),10)</f>
        <v>6</v>
      </c>
      <c r="AI271" s="227">
        <f t="shared" ref="AI271:AI334" si="120">IF(OR(t&lt;Ttai,Notai),Hdd_s+PousH*Croivg,Hdtai_s+PousH*(Croivg-Croi_tai))</f>
        <v>0.489011130147055</v>
      </c>
      <c r="AJ271" s="267" t="b">
        <f t="shared" ref="AJ271:AJ334" si="121">t&lt;Tnet</f>
        <v>1</v>
      </c>
      <c r="AK271" s="267" t="b">
        <f t="shared" ref="AK271:AK334" si="122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23">A271+1</f>
        <v>44819</v>
      </c>
      <c r="B272" s="1141">
        <v>34.590000000000003</v>
      </c>
      <c r="C272" s="868"/>
      <c r="D272" s="395">
        <f t="shared" si="102"/>
        <v>35.823777570146461</v>
      </c>
      <c r="E272" s="387">
        <f t="shared" si="100"/>
        <v>41.806526669156895</v>
      </c>
      <c r="F272" s="387">
        <f t="shared" si="103"/>
        <v>42.148124178587921</v>
      </c>
      <c r="G272" s="110">
        <f t="shared" si="101"/>
        <v>0.90611944192257632</v>
      </c>
      <c r="H272" s="416" t="b">
        <f>Wh_hp&gt;='2021'!Maxi_hp</f>
        <v>0</v>
      </c>
      <c r="I272" s="382">
        <f>IF(H272,Wh_hp,'2021'!Maxi_hp)</f>
        <v>44.117844760090314</v>
      </c>
      <c r="J272" s="85">
        <f>IF(H272,An,'2021'!An_max)</f>
        <v>2020</v>
      </c>
      <c r="K272" s="199">
        <f t="shared" si="104"/>
        <v>44819</v>
      </c>
      <c r="L272" s="147">
        <f>IF(t&lt;Tvie,1-EXP((T0-t)*PertePVj)+'2021'!Pspv,1-EXP((T0-t)*PertePVj)+Pspv)</f>
        <v>3.444018620678968E-2</v>
      </c>
      <c r="M272" s="872"/>
      <c r="N272" s="872"/>
      <c r="O272" s="48">
        <f>IF(t&lt;Tnet,'2021'!Resal+('2021'!Salim-'2021'!Resal)*(1-EXP(('2021'!Tnet-t)/('2021'!Tau_j))),Resal+(Salim-Resal)*(1-EXP((Tnet-t)/(Tau_j))))*Salcycl</f>
        <v>0.14310562430493071</v>
      </c>
      <c r="P272" s="341">
        <f>(INDEX(Models!$BJ272:$BT272,,T272)*(1-R272)+INDEX(Models!$BJ272:$BT272,,T272+1)*R272-ERP_i)*Q272*Ramure*Pc/MaxiM</f>
        <v>9.3425571564305209E-3</v>
      </c>
      <c r="Q272" s="307">
        <f t="shared" si="105"/>
        <v>0.9</v>
      </c>
      <c r="R272" s="179">
        <f t="shared" si="106"/>
        <v>0.48946223068061956</v>
      </c>
      <c r="S272" s="839">
        <f t="shared" si="107"/>
        <v>0</v>
      </c>
      <c r="T272" s="178">
        <f t="shared" si="108"/>
        <v>6</v>
      </c>
      <c r="U272" s="253">
        <f t="shared" si="109"/>
        <v>0.48946223068061956</v>
      </c>
      <c r="V272" s="385">
        <f t="shared" si="110"/>
        <v>38.126135186896718</v>
      </c>
      <c r="W272" s="404">
        <f t="shared" si="111"/>
        <v>0</v>
      </c>
      <c r="X272" s="157">
        <f t="shared" si="112"/>
        <v>44819</v>
      </c>
      <c r="Y272" s="387">
        <f t="shared" si="113"/>
        <v>33.518756661728005</v>
      </c>
      <c r="Z272" s="387">
        <f t="shared" si="114"/>
        <v>34.714324460179498</v>
      </c>
      <c r="AA272" s="388">
        <f t="shared" si="115"/>
        <v>41.806526669156895</v>
      </c>
      <c r="AB272" s="199">
        <f t="shared" si="116"/>
        <v>44819</v>
      </c>
      <c r="AC272" s="119">
        <f>IF(OR(t&lt;Tnet,NoTnet),'2021'!Resal_s+('2021'!Salim-'2021'!Resal_s)*(1-EXP(('2021'!Tnet_s-t)/'2021'!Tau_j)),Resal_s+(Salim-Resal_s)*(1-EXP((Tnet_s-t)/Tau_j)))*Salcycl</f>
        <v>0.16964342111227632</v>
      </c>
      <c r="AD272" s="233">
        <f>(INDEX(Models!$BJ272:$BT272,,AH272)*(1-AF272)+INDEX(Models!$BJ272:$BT272,,AH272+1)*AF272-ERP_i)*AE272*Ramure*Pc/MaxiM</f>
        <v>9.3425571564305209E-3</v>
      </c>
      <c r="AE272" s="307">
        <f t="shared" si="117"/>
        <v>0.9</v>
      </c>
      <c r="AF272" s="179">
        <f t="shared" si="118"/>
        <v>0.48946223068061956</v>
      </c>
      <c r="AG272" s="839">
        <f t="shared" ref="AG272:AG335" si="124">INDEX(Echel_vg,AH272)</f>
        <v>0</v>
      </c>
      <c r="AH272" s="178">
        <f t="shared" si="119"/>
        <v>6</v>
      </c>
      <c r="AI272" s="227">
        <f t="shared" si="120"/>
        <v>0.48946223068061956</v>
      </c>
      <c r="AJ272" s="267" t="b">
        <f t="shared" si="121"/>
        <v>1</v>
      </c>
      <c r="AK272" s="267" t="b">
        <f t="shared" si="122"/>
        <v>0</v>
      </c>
      <c r="AL272" s="267"/>
      <c r="AM272" s="267"/>
      <c r="AN272" s="75"/>
    </row>
    <row r="273" spans="1:40" s="6" customFormat="1" ht="11.25" x14ac:dyDescent="0.2">
      <c r="A273" s="56">
        <f t="shared" si="123"/>
        <v>44820</v>
      </c>
      <c r="B273" s="1141">
        <v>23.876999999999999</v>
      </c>
      <c r="C273" s="868"/>
      <c r="D273" s="395">
        <f t="shared" si="102"/>
        <v>24.729235128168821</v>
      </c>
      <c r="E273" s="387">
        <f t="shared" si="100"/>
        <v>28.861293703525206</v>
      </c>
      <c r="F273" s="387">
        <f t="shared" si="103"/>
        <v>28.991648897441952</v>
      </c>
      <c r="G273" s="110">
        <f t="shared" si="101"/>
        <v>0.62897134402030164</v>
      </c>
      <c r="H273" s="416" t="b">
        <f>Wh_hp&gt;='2021'!Maxi_hp</f>
        <v>0</v>
      </c>
      <c r="I273" s="382">
        <f>IF(H273,Wh_hp,'2021'!Maxi_hp)</f>
        <v>41.206187812934779</v>
      </c>
      <c r="J273" s="85">
        <f>IF(H273,An,'2021'!An_max)</f>
        <v>2019</v>
      </c>
      <c r="K273" s="199">
        <f t="shared" si="104"/>
        <v>44820</v>
      </c>
      <c r="L273" s="147">
        <f>IF(t&lt;Tvie,1-EXP((T0-t)*PertePVj)+'2021'!Pspv,1-EXP((T0-t)*PertePVj)+Pspv)</f>
        <v>3.446265619424882E-2</v>
      </c>
      <c r="M273" s="872"/>
      <c r="N273" s="872"/>
      <c r="O273" s="48">
        <f>IF(t&lt;Tnet,'2021'!Resal+('2021'!Salim-'2021'!Resal)*(1-EXP(('2021'!Tnet-t)/('2021'!Tau_j))),Resal+(Salim-Resal)*(1-EXP((Tnet-t)/(Tau_j))))*Salcycl</f>
        <v>0.1431695549687603</v>
      </c>
      <c r="P273" s="341">
        <f>(INDEX(Models!$BJ273:$BT273,,T273)*(1-R273)+INDEX(Models!$BJ273:$BT273,,T273+1)*R273-ERP_i)*Q273*Ramure*Pc/MaxiM</f>
        <v>9.4763400072080933E-3</v>
      </c>
      <c r="Q273" s="307">
        <f t="shared" si="105"/>
        <v>0.9</v>
      </c>
      <c r="R273" s="179">
        <f t="shared" si="106"/>
        <v>0.48989581794288506</v>
      </c>
      <c r="S273" s="839">
        <f t="shared" si="107"/>
        <v>0</v>
      </c>
      <c r="T273" s="178">
        <f t="shared" si="108"/>
        <v>6</v>
      </c>
      <c r="U273" s="253">
        <f t="shared" si="109"/>
        <v>0.48989581794288506</v>
      </c>
      <c r="V273" s="385">
        <f t="shared" si="110"/>
        <v>37.772077827217196</v>
      </c>
      <c r="W273" s="404">
        <f t="shared" si="111"/>
        <v>0</v>
      </c>
      <c r="X273" s="157">
        <f t="shared" si="112"/>
        <v>44820</v>
      </c>
      <c r="Y273" s="387">
        <f t="shared" si="113"/>
        <v>23.139707748184442</v>
      </c>
      <c r="Z273" s="387">
        <f t="shared" si="114"/>
        <v>23.965626908822841</v>
      </c>
      <c r="AA273" s="388">
        <f t="shared" si="115"/>
        <v>28.861293703525206</v>
      </c>
      <c r="AB273" s="199">
        <f t="shared" si="116"/>
        <v>44820</v>
      </c>
      <c r="AC273" s="119">
        <f>IF(OR(t&lt;Tnet,NoTnet),'2021'!Resal_s+('2021'!Salim-'2021'!Resal_s)*(1-EXP(('2021'!Tnet_s-t)/'2021'!Tau_j)),Resal_s+(Salim-Resal_s)*(1-EXP((Tnet_s-t)/Tau_j)))*Salcycl</f>
        <v>0.169627420204812</v>
      </c>
      <c r="AD273" s="233">
        <f>(INDEX(Models!$BJ273:$BT273,,AH273)*(1-AF273)+INDEX(Models!$BJ273:$BT273,,AH273+1)*AF273-ERP_i)*AE273*Ramure*Pc/MaxiM</f>
        <v>9.4763400072080933E-3</v>
      </c>
      <c r="AE273" s="307">
        <f t="shared" si="117"/>
        <v>0.9</v>
      </c>
      <c r="AF273" s="179">
        <f t="shared" si="118"/>
        <v>0.48989581794288506</v>
      </c>
      <c r="AG273" s="839">
        <f t="shared" si="124"/>
        <v>0</v>
      </c>
      <c r="AH273" s="178">
        <f t="shared" si="119"/>
        <v>6</v>
      </c>
      <c r="AI273" s="227">
        <f t="shared" si="120"/>
        <v>0.48989581794288506</v>
      </c>
      <c r="AJ273" s="267" t="b">
        <f t="shared" si="121"/>
        <v>1</v>
      </c>
      <c r="AK273" s="267" t="b">
        <f t="shared" si="122"/>
        <v>0</v>
      </c>
      <c r="AL273" s="267"/>
      <c r="AM273" s="267"/>
      <c r="AN273" s="75"/>
    </row>
    <row r="274" spans="1:40" s="6" customFormat="1" ht="11.25" x14ac:dyDescent="0.2">
      <c r="A274" s="56">
        <f t="shared" si="123"/>
        <v>44821</v>
      </c>
      <c r="B274" s="1142">
        <f>39.46*0.95</f>
        <v>37.487000000000002</v>
      </c>
      <c r="C274" s="868"/>
      <c r="D274" s="395">
        <f t="shared" si="102"/>
        <v>38.825916613225097</v>
      </c>
      <c r="E274" s="387">
        <f t="shared" si="100"/>
        <v>45.316692019296632</v>
      </c>
      <c r="F274" s="387">
        <f t="shared" si="103"/>
        <v>45.756271072960018</v>
      </c>
      <c r="G274" s="110">
        <f t="shared" si="101"/>
        <v>1.0018802347220364</v>
      </c>
      <c r="H274" s="416" t="b">
        <f>Wh_hp&gt;='2021'!Maxi_hp</f>
        <v>1</v>
      </c>
      <c r="I274" s="382">
        <f>IF(H274,Wh_hp,'2021'!Maxi_hp)</f>
        <v>45.756271072960018</v>
      </c>
      <c r="J274" s="85">
        <f>IF(H274,An,'2021'!An_max)</f>
        <v>2022</v>
      </c>
      <c r="K274" s="199">
        <f t="shared" si="104"/>
        <v>44821</v>
      </c>
      <c r="L274" s="147">
        <f>IF(t&lt;Tvie,1-EXP((T0-t)*PertePVj)+'2021'!Pspv,1-EXP((T0-t)*PertePVj)+Pspv)</f>
        <v>3.4485125658798355E-2</v>
      </c>
      <c r="M274" s="872"/>
      <c r="N274" s="872"/>
      <c r="O274" s="48">
        <f>IF(t&lt;Tnet,'2021'!Resal+('2021'!Salim-'2021'!Resal)*(1-EXP(('2021'!Tnet-t)/('2021'!Tau_j))),Resal+(Salim-Resal)*(1-EXP((Tnet-t)/(Tau_j))))*Salcycl</f>
        <v>0.14323144777001051</v>
      </c>
      <c r="P274" s="341">
        <f>(INDEX(Models!$BJ274:$BT274,,T274)*(1-R274)+INDEX(Models!$BJ274:$BT274,,T274+1)*R274-ERP_i)*Q274*Ramure*Pc/MaxiM</f>
        <v>9.60696847351185E-3</v>
      </c>
      <c r="Q274" s="307">
        <f t="shared" si="105"/>
        <v>0.9</v>
      </c>
      <c r="R274" s="179">
        <f t="shared" si="106"/>
        <v>0.49031254715218942</v>
      </c>
      <c r="S274" s="839">
        <f t="shared" si="107"/>
        <v>0</v>
      </c>
      <c r="T274" s="178">
        <f t="shared" si="108"/>
        <v>6</v>
      </c>
      <c r="U274" s="253">
        <f t="shared" si="109"/>
        <v>0.49031254715218942</v>
      </c>
      <c r="V274" s="385">
        <f t="shared" si="110"/>
        <v>37.416647919399736</v>
      </c>
      <c r="W274" s="404">
        <f t="shared" si="111"/>
        <v>0</v>
      </c>
      <c r="X274" s="157">
        <f t="shared" si="112"/>
        <v>44821</v>
      </c>
      <c r="Y274" s="387">
        <f t="shared" si="113"/>
        <v>36.332864699223883</v>
      </c>
      <c r="Z274" s="387">
        <f t="shared" si="114"/>
        <v>37.630559264055705</v>
      </c>
      <c r="AA274" s="388">
        <f t="shared" si="115"/>
        <v>45.316692019296632</v>
      </c>
      <c r="AB274" s="199">
        <f t="shared" si="116"/>
        <v>44821</v>
      </c>
      <c r="AC274" s="119">
        <f>IF(OR(t&lt;Tnet,NoTnet),'2021'!Resal_s+('2021'!Salim-'2021'!Resal_s)*(1-EXP(('2021'!Tnet_s-t)/'2021'!Tau_j)),Resal_s+(Salim-Resal_s)*(1-EXP((Tnet_s-t)/Tau_j)))*Salcycl</f>
        <v>0.16960930758070417</v>
      </c>
      <c r="AD274" s="233">
        <f>(INDEX(Models!$BJ274:$BT274,,AH274)*(1-AF274)+INDEX(Models!$BJ274:$BT274,,AH274+1)*AF274-ERP_i)*AE274*Ramure*Pc/MaxiM</f>
        <v>9.60696847351185E-3</v>
      </c>
      <c r="AE274" s="307">
        <f t="shared" si="117"/>
        <v>0.9</v>
      </c>
      <c r="AF274" s="179">
        <f t="shared" si="118"/>
        <v>0.49031254715218942</v>
      </c>
      <c r="AG274" s="839">
        <f t="shared" si="124"/>
        <v>0</v>
      </c>
      <c r="AH274" s="178">
        <f t="shared" si="119"/>
        <v>6</v>
      </c>
      <c r="AI274" s="227">
        <f t="shared" si="120"/>
        <v>0.49031254715218942</v>
      </c>
      <c r="AJ274" s="267" t="b">
        <f t="shared" si="121"/>
        <v>1</v>
      </c>
      <c r="AK274" s="267" t="b">
        <f t="shared" si="122"/>
        <v>0</v>
      </c>
      <c r="AL274" s="267"/>
      <c r="AM274" s="267"/>
      <c r="AN274" s="75"/>
    </row>
    <row r="275" spans="1:40" s="6" customFormat="1" ht="11.25" x14ac:dyDescent="0.2">
      <c r="A275" s="56">
        <f t="shared" si="123"/>
        <v>44822</v>
      </c>
      <c r="B275" s="1141">
        <v>37.786000000000001</v>
      </c>
      <c r="C275" s="868"/>
      <c r="D275" s="395">
        <f t="shared" si="102"/>
        <v>39.13650670754167</v>
      </c>
      <c r="E275" s="387">
        <f t="shared" si="100"/>
        <v>45.682393353995032</v>
      </c>
      <c r="F275" s="387">
        <f t="shared" si="103"/>
        <v>46.131484277355973</v>
      </c>
      <c r="G275" s="110">
        <f t="shared" si="101"/>
        <v>1.0196628736548778</v>
      </c>
      <c r="H275" s="416" t="b">
        <f>Wh_hp&gt;='2021'!Maxi_hp</f>
        <v>1</v>
      </c>
      <c r="I275" s="382">
        <f>IF(H275,Wh_hp,'2021'!Maxi_hp)</f>
        <v>46.131484277355973</v>
      </c>
      <c r="J275" s="85">
        <f>IF(H275,An,'2021'!An_max)</f>
        <v>2022</v>
      </c>
      <c r="K275" s="199">
        <f t="shared" si="104"/>
        <v>44822</v>
      </c>
      <c r="L275" s="147">
        <f>IF(t&lt;Tvie,1-EXP((T0-t)*PertePVj)+'2021'!Pspv,1-EXP((T0-t)*PertePVj)+Pspv)</f>
        <v>3.4507594600450719E-2</v>
      </c>
      <c r="M275" s="872"/>
      <c r="N275" s="872"/>
      <c r="O275" s="48">
        <f>IF(t&lt;Tnet,'2021'!Resal+('2021'!Salim-'2021'!Resal)*(1-EXP(('2021'!Tnet-t)/('2021'!Tau_j))),Resal+(Salim-Resal)*(1-EXP((Tnet-t)/(Tau_j))))*Salcycl</f>
        <v>0.14329123686075243</v>
      </c>
      <c r="P275" s="341">
        <f>(INDEX(Models!$BJ275:$BT275,,T275)*(1-R275)+INDEX(Models!$BJ275:$BT275,,T275+1)*R275-ERP_i)*Q275*Ramure*Pc/MaxiM</f>
        <v>9.7350200279894463E-3</v>
      </c>
      <c r="Q275" s="307">
        <f t="shared" si="105"/>
        <v>0.9</v>
      </c>
      <c r="R275" s="179">
        <f t="shared" si="106"/>
        <v>0.49071305093484907</v>
      </c>
      <c r="S275" s="839">
        <f t="shared" si="107"/>
        <v>0</v>
      </c>
      <c r="T275" s="178">
        <f t="shared" si="108"/>
        <v>6</v>
      </c>
      <c r="U275" s="253">
        <f t="shared" si="109"/>
        <v>0.49071305093484907</v>
      </c>
      <c r="V275" s="385">
        <f t="shared" si="110"/>
        <v>37.057346085927328</v>
      </c>
      <c r="W275" s="404">
        <f t="shared" si="111"/>
        <v>0</v>
      </c>
      <c r="X275" s="157">
        <f t="shared" si="112"/>
        <v>44822</v>
      </c>
      <c r="Y275" s="387">
        <f t="shared" si="113"/>
        <v>36.626110420435765</v>
      </c>
      <c r="Z275" s="387">
        <f t="shared" si="114"/>
        <v>37.935161597960779</v>
      </c>
      <c r="AA275" s="388">
        <f t="shared" si="115"/>
        <v>45.682393353995032</v>
      </c>
      <c r="AB275" s="199">
        <f t="shared" si="116"/>
        <v>44822</v>
      </c>
      <c r="AC275" s="119">
        <f>IF(OR(t&lt;Tnet,NoTnet),'2021'!Resal_s+('2021'!Salim-'2021'!Resal_s)*(1-EXP(('2021'!Tnet_s-t)/'2021'!Tau_j)),Resal_s+(Salim-Resal_s)*(1-EXP((Tnet_s-t)/Tau_j)))*Salcycl</f>
        <v>0.16958900765116636</v>
      </c>
      <c r="AD275" s="233">
        <f>(INDEX(Models!$BJ275:$BT275,,AH275)*(1-AF275)+INDEX(Models!$BJ275:$BT275,,AH275+1)*AF275-ERP_i)*AE275*Ramure*Pc/MaxiM</f>
        <v>9.7350200279894463E-3</v>
      </c>
      <c r="AE275" s="307">
        <f t="shared" si="117"/>
        <v>0.9</v>
      </c>
      <c r="AF275" s="179">
        <f t="shared" si="118"/>
        <v>0.49071305093484907</v>
      </c>
      <c r="AG275" s="839">
        <f t="shared" si="124"/>
        <v>0</v>
      </c>
      <c r="AH275" s="178">
        <f t="shared" si="119"/>
        <v>6</v>
      </c>
      <c r="AI275" s="227">
        <f t="shared" si="120"/>
        <v>0.49071305093484907</v>
      </c>
      <c r="AJ275" s="267" t="b">
        <f t="shared" si="121"/>
        <v>1</v>
      </c>
      <c r="AK275" s="267" t="b">
        <f t="shared" si="122"/>
        <v>0</v>
      </c>
      <c r="AL275" s="267"/>
      <c r="AM275" s="267"/>
      <c r="AN275" s="75"/>
    </row>
    <row r="276" spans="1:40" s="6" customFormat="1" ht="11.25" x14ac:dyDescent="0.2">
      <c r="A276" s="56">
        <f t="shared" si="123"/>
        <v>44823</v>
      </c>
      <c r="B276" s="1141">
        <v>36.234999999999999</v>
      </c>
      <c r="C276" s="868"/>
      <c r="D276" s="395">
        <f t="shared" si="102"/>
        <v>37.53094592806702</v>
      </c>
      <c r="E276" s="387">
        <f t="shared" si="100"/>
        <v>43.811236523166677</v>
      </c>
      <c r="F276" s="387">
        <f t="shared" si="103"/>
        <v>44.239894934132181</v>
      </c>
      <c r="G276" s="110">
        <f t="shared" si="101"/>
        <v>0.987375929132701</v>
      </c>
      <c r="H276" s="416" t="b">
        <f>Wh_hp&gt;='2021'!Maxi_hp</f>
        <v>1</v>
      </c>
      <c r="I276" s="382">
        <f>IF(H276,Wh_hp,'2021'!Maxi_hp)</f>
        <v>44.239894934132181</v>
      </c>
      <c r="J276" s="85">
        <f>IF(H276,An,'2021'!An_max)</f>
        <v>2022</v>
      </c>
      <c r="K276" s="199">
        <f t="shared" si="104"/>
        <v>44823</v>
      </c>
      <c r="L276" s="147">
        <f>IF(t&lt;Tvie,1-EXP((T0-t)*PertePVj)+'2021'!Pspv,1-EXP((T0-t)*PertePVj)+Pspv)</f>
        <v>3.4530063019218016E-2</v>
      </c>
      <c r="M276" s="872"/>
      <c r="N276" s="872"/>
      <c r="O276" s="48">
        <f>IF(t&lt;Tnet,'2021'!Resal+('2021'!Salim-'2021'!Resal)*(1-EXP(('2021'!Tnet-t)/('2021'!Tau_j))),Resal+(Salim-Resal)*(1-EXP((Tnet-t)/(Tau_j))))*Salcycl</f>
        <v>0.14334885507691031</v>
      </c>
      <c r="P276" s="341">
        <f>(INDEX(Models!$BJ276:$BT276,,T276)*(1-R276)+INDEX(Models!$BJ276:$BT276,,T276+1)*R276-ERP_i)*Q276*Ramure*Pc/MaxiM</f>
        <v>9.8648494056049179E-3</v>
      </c>
      <c r="Q276" s="307">
        <f t="shared" si="105"/>
        <v>0.9</v>
      </c>
      <c r="R276" s="179">
        <f t="shared" si="106"/>
        <v>0.4910979399526757</v>
      </c>
      <c r="S276" s="839">
        <f t="shared" si="107"/>
        <v>0</v>
      </c>
      <c r="T276" s="178">
        <f t="shared" si="108"/>
        <v>6</v>
      </c>
      <c r="U276" s="253">
        <f t="shared" si="109"/>
        <v>0.4910979399526757</v>
      </c>
      <c r="V276" s="385">
        <f t="shared" si="110"/>
        <v>36.691780332201468</v>
      </c>
      <c r="W276" s="404">
        <f t="shared" si="111"/>
        <v>0</v>
      </c>
      <c r="X276" s="157">
        <f t="shared" si="112"/>
        <v>44823</v>
      </c>
      <c r="Y276" s="387">
        <f t="shared" si="113"/>
        <v>35.126037128614236</v>
      </c>
      <c r="Z276" s="387">
        <f t="shared" si="114"/>
        <v>36.382320964296824</v>
      </c>
      <c r="AA276" s="388">
        <f t="shared" si="115"/>
        <v>43.811236523166677</v>
      </c>
      <c r="AB276" s="199">
        <f t="shared" si="116"/>
        <v>44823</v>
      </c>
      <c r="AC276" s="119">
        <f>IF(OR(t&lt;Tnet,NoTnet),'2021'!Resal_s+('2021'!Salim-'2021'!Resal_s)*(1-EXP(('2021'!Tnet_s-t)/'2021'!Tau_j)),Resal_s+(Salim-Resal_s)*(1-EXP((Tnet_s-t)/Tau_j)))*Salcycl</f>
        <v>0.1695664434155279</v>
      </c>
      <c r="AD276" s="233">
        <f>(INDEX(Models!$BJ276:$BT276,,AH276)*(1-AF276)+INDEX(Models!$BJ276:$BT276,,AH276+1)*AF276-ERP_i)*AE276*Ramure*Pc/MaxiM</f>
        <v>9.8648494056049179E-3</v>
      </c>
      <c r="AE276" s="307">
        <f t="shared" si="117"/>
        <v>0.9</v>
      </c>
      <c r="AF276" s="179">
        <f t="shared" si="118"/>
        <v>0.4910979399526757</v>
      </c>
      <c r="AG276" s="839">
        <f t="shared" si="124"/>
        <v>0</v>
      </c>
      <c r="AH276" s="178">
        <f t="shared" si="119"/>
        <v>6</v>
      </c>
      <c r="AI276" s="227">
        <f t="shared" si="120"/>
        <v>0.4910979399526757</v>
      </c>
      <c r="AJ276" s="267" t="b">
        <f t="shared" si="121"/>
        <v>1</v>
      </c>
      <c r="AK276" s="267" t="b">
        <f t="shared" si="122"/>
        <v>0</v>
      </c>
      <c r="AL276" s="267"/>
      <c r="AM276" s="267"/>
      <c r="AN276" s="75"/>
    </row>
    <row r="277" spans="1:40" s="6" customFormat="1" ht="11.25" x14ac:dyDescent="0.2">
      <c r="A277" s="56">
        <f t="shared" si="123"/>
        <v>44824</v>
      </c>
      <c r="B277" s="1141">
        <v>37.151000000000003</v>
      </c>
      <c r="C277" s="868"/>
      <c r="D277" s="395">
        <f t="shared" si="102"/>
        <v>38.480602197045563</v>
      </c>
      <c r="E277" s="387">
        <f t="shared" si="100"/>
        <v>44.922708858144134</v>
      </c>
      <c r="F277" s="387">
        <f t="shared" si="103"/>
        <v>45.37644417312903</v>
      </c>
      <c r="G277" s="110">
        <f t="shared" si="101"/>
        <v>1.0228609327305085</v>
      </c>
      <c r="H277" s="416" t="b">
        <f>Wh_hp&gt;='2021'!Maxi_hp</f>
        <v>1</v>
      </c>
      <c r="I277" s="382">
        <f>IF(H277,Wh_hp,'2021'!Maxi_hp)</f>
        <v>45.37644417312903</v>
      </c>
      <c r="J277" s="85">
        <f>IF(H277,An,'2021'!An_max)</f>
        <v>2022</v>
      </c>
      <c r="K277" s="199">
        <f t="shared" si="104"/>
        <v>44824</v>
      </c>
      <c r="L277" s="147">
        <f>IF(t&lt;Tvie,1-EXP((T0-t)*PertePVj)+'2021'!Pspv,1-EXP((T0-t)*PertePVj)+Pspv)</f>
        <v>3.4552530915112345E-2</v>
      </c>
      <c r="M277" s="872"/>
      <c r="N277" s="872"/>
      <c r="O277" s="48">
        <f>IF(t&lt;Tnet,'2021'!Resal+('2021'!Salim-'2021'!Resal)*(1-EXP(('2021'!Tnet-t)/('2021'!Tau_j))),Resal+(Salim-Resal)*(1-EXP((Tnet-t)/(Tau_j))))*Salcycl</f>
        <v>0.14340423418011816</v>
      </c>
      <c r="P277" s="341">
        <f>(INDEX(Models!$BJ277:$BT277,,T277)*(1-R277)+INDEX(Models!$BJ277:$BT277,,T277+1)*R277-ERP_i)*Q277*Ramure*Pc/MaxiM</f>
        <v>9.9993581086635485E-3</v>
      </c>
      <c r="Q277" s="307">
        <f t="shared" si="105"/>
        <v>0.9</v>
      </c>
      <c r="R277" s="179">
        <f t="shared" si="106"/>
        <v>0.4914678035256036</v>
      </c>
      <c r="S277" s="839">
        <f t="shared" si="107"/>
        <v>0</v>
      </c>
      <c r="T277" s="178">
        <f t="shared" si="108"/>
        <v>6</v>
      </c>
      <c r="U277" s="253">
        <f t="shared" si="109"/>
        <v>0.4914678035256036</v>
      </c>
      <c r="V277" s="385">
        <f t="shared" si="110"/>
        <v>36.320675481099947</v>
      </c>
      <c r="W277" s="404">
        <f t="shared" si="111"/>
        <v>0</v>
      </c>
      <c r="X277" s="157">
        <f t="shared" si="112"/>
        <v>44824</v>
      </c>
      <c r="Y277" s="387">
        <f t="shared" si="113"/>
        <v>36.017411711904494</v>
      </c>
      <c r="Z277" s="387">
        <f t="shared" si="114"/>
        <v>37.306443763371277</v>
      </c>
      <c r="AA277" s="388">
        <f t="shared" si="115"/>
        <v>44.922708858144134</v>
      </c>
      <c r="AB277" s="199">
        <f t="shared" si="116"/>
        <v>44824</v>
      </c>
      <c r="AC277" s="119">
        <f>IF(OR(t&lt;Tnet,NoTnet),'2021'!Resal_s+('2021'!Salim-'2021'!Resal_s)*(1-EXP(('2021'!Tnet_s-t)/'2021'!Tau_j)),Resal_s+(Salim-Resal_s)*(1-EXP((Tnet_s-t)/Tau_j)))*Salcycl</f>
        <v>0.16954153674978328</v>
      </c>
      <c r="AD277" s="233">
        <f>(INDEX(Models!$BJ277:$BT277,,AH277)*(1-AF277)+INDEX(Models!$BJ277:$BT277,,AH277+1)*AF277-ERP_i)*AE277*Ramure*Pc/MaxiM</f>
        <v>9.9993581086635485E-3</v>
      </c>
      <c r="AE277" s="307">
        <f t="shared" si="117"/>
        <v>0.9</v>
      </c>
      <c r="AF277" s="179">
        <f t="shared" si="118"/>
        <v>0.4914678035256036</v>
      </c>
      <c r="AG277" s="839">
        <f t="shared" si="124"/>
        <v>0</v>
      </c>
      <c r="AH277" s="178">
        <f t="shared" si="119"/>
        <v>6</v>
      </c>
      <c r="AI277" s="227">
        <f t="shared" si="120"/>
        <v>0.4914678035256036</v>
      </c>
      <c r="AJ277" s="267" t="b">
        <f t="shared" si="121"/>
        <v>1</v>
      </c>
      <c r="AK277" s="267" t="b">
        <f t="shared" si="122"/>
        <v>0</v>
      </c>
      <c r="AL277" s="267"/>
      <c r="AM277" s="267"/>
      <c r="AN277" s="75"/>
    </row>
    <row r="278" spans="1:40" s="6" customFormat="1" ht="11.25" x14ac:dyDescent="0.2">
      <c r="A278" s="56">
        <f t="shared" si="123"/>
        <v>44825</v>
      </c>
      <c r="B278" s="1141">
        <v>36.085000000000001</v>
      </c>
      <c r="C278" s="868"/>
      <c r="D278" s="395">
        <f t="shared" si="102"/>
        <v>37.377320802771301</v>
      </c>
      <c r="E278" s="387">
        <f t="shared" si="100"/>
        <v>43.637428731635509</v>
      </c>
      <c r="F278" s="387">
        <f t="shared" si="103"/>
        <v>44.08437994879354</v>
      </c>
      <c r="G278" s="110">
        <f t="shared" si="101"/>
        <v>1.0038985965821807</v>
      </c>
      <c r="H278" s="416" t="b">
        <f>Wh_hp&gt;='2021'!Maxi_hp</f>
        <v>1</v>
      </c>
      <c r="I278" s="382">
        <f>IF(H278,Wh_hp,'2021'!Maxi_hp)</f>
        <v>44.08437994879354</v>
      </c>
      <c r="J278" s="85">
        <f>IF(H278,An,'2021'!An_max)</f>
        <v>2022</v>
      </c>
      <c r="K278" s="199">
        <f t="shared" si="104"/>
        <v>44825</v>
      </c>
      <c r="L278" s="147">
        <f>IF(t&lt;Tvie,1-EXP((T0-t)*PertePVj)+'2021'!Pspv,1-EXP((T0-t)*PertePVj)+Pspv)</f>
        <v>3.4574998288145919E-2</v>
      </c>
      <c r="M278" s="872"/>
      <c r="N278" s="872"/>
      <c r="O278" s="48">
        <f>IF(t&lt;Tnet,'2021'!Resal+('2021'!Salim-'2021'!Resal)*(1-EXP(('2021'!Tnet-t)/('2021'!Tau_j))),Resal+(Salim-Resal)*(1-EXP((Tnet-t)/(Tau_j))))*Salcycl</f>
        <v>0.14345730513507238</v>
      </c>
      <c r="P278" s="341">
        <f>(INDEX(Models!$BJ278:$BT278,,T278)*(1-R278)+INDEX(Models!$BJ278:$BT278,,T278+1)*R278-ERP_i)*Q278*Ramure*Pc/MaxiM</f>
        <v>1.0138539266678799E-2</v>
      </c>
      <c r="Q278" s="307">
        <f t="shared" si="105"/>
        <v>0.9</v>
      </c>
      <c r="R278" s="179">
        <f t="shared" si="106"/>
        <v>0.49182321024822673</v>
      </c>
      <c r="S278" s="839">
        <f t="shared" si="107"/>
        <v>0</v>
      </c>
      <c r="T278" s="178">
        <f t="shared" si="108"/>
        <v>6</v>
      </c>
      <c r="U278" s="253">
        <f t="shared" si="109"/>
        <v>0.49182321024822673</v>
      </c>
      <c r="V278" s="385">
        <f t="shared" si="110"/>
        <v>35.944865470330427</v>
      </c>
      <c r="W278" s="404">
        <f t="shared" si="111"/>
        <v>0</v>
      </c>
      <c r="X278" s="157">
        <f t="shared" si="112"/>
        <v>44825</v>
      </c>
      <c r="Y278" s="387">
        <f t="shared" si="113"/>
        <v>34.987257444863602</v>
      </c>
      <c r="Z278" s="387">
        <f t="shared" si="114"/>
        <v>36.240264528912711</v>
      </c>
      <c r="AA278" s="388">
        <f t="shared" si="115"/>
        <v>43.637428731635509</v>
      </c>
      <c r="AB278" s="199">
        <f t="shared" si="116"/>
        <v>44825</v>
      </c>
      <c r="AC278" s="119">
        <f>IF(OR(t&lt;Tnet,NoTnet),'2021'!Resal_s+('2021'!Salim-'2021'!Resal_s)*(1-EXP(('2021'!Tnet_s-t)/'2021'!Tau_j)),Resal_s+(Salim-Resal_s)*(1-EXP((Tnet_s-t)/Tau_j)))*Salcycl</f>
        <v>0.16951420873613787</v>
      </c>
      <c r="AD278" s="233">
        <f>(INDEX(Models!$BJ278:$BT278,,AH278)*(1-AF278)+INDEX(Models!$BJ278:$BT278,,AH278+1)*AF278-ERP_i)*AE278*Ramure*Pc/MaxiM</f>
        <v>1.0138539266678799E-2</v>
      </c>
      <c r="AE278" s="307">
        <f t="shared" si="117"/>
        <v>0.9</v>
      </c>
      <c r="AF278" s="179">
        <f t="shared" si="118"/>
        <v>0.49182321024822673</v>
      </c>
      <c r="AG278" s="839">
        <f t="shared" si="124"/>
        <v>0</v>
      </c>
      <c r="AH278" s="178">
        <f t="shared" si="119"/>
        <v>6</v>
      </c>
      <c r="AI278" s="227">
        <f t="shared" si="120"/>
        <v>0.49182321024822673</v>
      </c>
      <c r="AJ278" s="267" t="b">
        <f t="shared" si="121"/>
        <v>1</v>
      </c>
      <c r="AK278" s="267" t="b">
        <f t="shared" si="122"/>
        <v>0</v>
      </c>
      <c r="AL278" s="267"/>
      <c r="AM278" s="267"/>
      <c r="AN278" s="75"/>
    </row>
    <row r="279" spans="1:40" s="6" customFormat="1" ht="11.25" x14ac:dyDescent="0.2">
      <c r="A279" s="56">
        <f t="shared" si="123"/>
        <v>44826</v>
      </c>
      <c r="B279" s="1141">
        <v>34.875999999999998</v>
      </c>
      <c r="C279" s="868"/>
      <c r="D279" s="395">
        <f t="shared" si="102"/>
        <v>36.12586329597459</v>
      </c>
      <c r="E279" s="387">
        <f t="shared" si="100"/>
        <v>42.178868254950025</v>
      </c>
      <c r="F279" s="387">
        <f t="shared" si="103"/>
        <v>42.604819732623852</v>
      </c>
      <c r="G279" s="110">
        <f t="shared" si="101"/>
        <v>0.98034000383204667</v>
      </c>
      <c r="H279" s="416" t="b">
        <f>Wh_hp&gt;='2021'!Maxi_hp</f>
        <v>1</v>
      </c>
      <c r="I279" s="382">
        <f>IF(H279,Wh_hp,'2021'!Maxi_hp)</f>
        <v>42.604819732623852</v>
      </c>
      <c r="J279" s="85">
        <f>IF(H279,An,'2021'!An_max)</f>
        <v>2022</v>
      </c>
      <c r="K279" s="199">
        <f t="shared" si="104"/>
        <v>44826</v>
      </c>
      <c r="L279" s="147">
        <f>IF(t&lt;Tvie,1-EXP((T0-t)*PertePVj)+'2021'!Pspv,1-EXP((T0-t)*PertePVj)+Pspv)</f>
        <v>3.4597465138330952E-2</v>
      </c>
      <c r="M279" s="872"/>
      <c r="N279" s="872"/>
      <c r="O279" s="48">
        <f>IF(t&lt;Tnet,'2021'!Resal+('2021'!Salim-'2021'!Resal)*(1-EXP(('2021'!Tnet-t)/('2021'!Tau_j))),Resal+(Salim-Resal)*(1-EXP((Tnet-t)/(Tau_j))))*Salcycl</f>
        <v>0.14350799842205511</v>
      </c>
      <c r="P279" s="341">
        <f>(INDEX(Models!$BJ279:$BT279,,T279)*(1-R279)+INDEX(Models!$BJ279:$BT279,,T279+1)*R279-ERP_i)*Q279*Ramure*Pc/MaxiM</f>
        <v>1.0282376080484192E-2</v>
      </c>
      <c r="Q279" s="307">
        <f t="shared" si="105"/>
        <v>0.9</v>
      </c>
      <c r="R279" s="179">
        <f t="shared" si="106"/>
        <v>0.49216470859917461</v>
      </c>
      <c r="S279" s="839">
        <f t="shared" si="107"/>
        <v>0</v>
      </c>
      <c r="T279" s="178">
        <f t="shared" si="108"/>
        <v>6</v>
      </c>
      <c r="U279" s="253">
        <f t="shared" si="109"/>
        <v>0.49216470859917461</v>
      </c>
      <c r="V279" s="385">
        <f t="shared" si="110"/>
        <v>35.565183802076653</v>
      </c>
      <c r="W279" s="404">
        <f t="shared" si="111"/>
        <v>0</v>
      </c>
      <c r="X279" s="157">
        <f t="shared" si="112"/>
        <v>44826</v>
      </c>
      <c r="Y279" s="387">
        <f t="shared" si="113"/>
        <v>33.818252486427021</v>
      </c>
      <c r="Z279" s="387">
        <f t="shared" si="114"/>
        <v>35.030208918265146</v>
      </c>
      <c r="AA279" s="388">
        <f t="shared" si="115"/>
        <v>42.178868254950025</v>
      </c>
      <c r="AB279" s="199">
        <f t="shared" si="116"/>
        <v>44826</v>
      </c>
      <c r="AC279" s="119">
        <f>IF(OR(t&lt;Tnet,NoTnet),'2021'!Resal_s+('2021'!Salim-'2021'!Resal_s)*(1-EXP(('2021'!Tnet_s-t)/'2021'!Tau_j)),Resal_s+(Salim-Resal_s)*(1-EXP((Tnet_s-t)/Tau_j)))*Salcycl</f>
        <v>0.16948438003302582</v>
      </c>
      <c r="AD279" s="233">
        <f>(INDEX(Models!$BJ279:$BT279,,AH279)*(1-AF279)+INDEX(Models!$BJ279:$BT279,,AH279+1)*AF279-ERP_i)*AE279*Ramure*Pc/MaxiM</f>
        <v>1.0282376080484192E-2</v>
      </c>
      <c r="AE279" s="307">
        <f t="shared" si="117"/>
        <v>0.9</v>
      </c>
      <c r="AF279" s="179">
        <f t="shared" si="118"/>
        <v>0.49216470859917461</v>
      </c>
      <c r="AG279" s="839">
        <f t="shared" si="124"/>
        <v>0</v>
      </c>
      <c r="AH279" s="178">
        <f t="shared" si="119"/>
        <v>6</v>
      </c>
      <c r="AI279" s="227">
        <f t="shared" si="120"/>
        <v>0.49216470859917461</v>
      </c>
      <c r="AJ279" s="267" t="b">
        <f t="shared" si="121"/>
        <v>1</v>
      </c>
      <c r="AK279" s="267" t="b">
        <f t="shared" si="122"/>
        <v>0</v>
      </c>
      <c r="AL279" s="267"/>
      <c r="AM279" s="267"/>
      <c r="AN279" s="75"/>
    </row>
    <row r="280" spans="1:40" s="6" customFormat="1" ht="11.25" x14ac:dyDescent="0.2">
      <c r="A280" s="56">
        <f t="shared" si="123"/>
        <v>44827</v>
      </c>
      <c r="B280" s="1141">
        <v>22.462</v>
      </c>
      <c r="C280" s="868"/>
      <c r="D280" s="395">
        <f t="shared" si="102"/>
        <v>23.267519945903512</v>
      </c>
      <c r="E280" s="387">
        <f t="shared" si="100"/>
        <v>27.167598331270451</v>
      </c>
      <c r="F280" s="387">
        <f t="shared" si="103"/>
        <v>27.305305411786993</v>
      </c>
      <c r="G280" s="110">
        <f t="shared" si="101"/>
        <v>0.63498595505301059</v>
      </c>
      <c r="H280" s="416" t="b">
        <f>Wh_hp&gt;='2021'!Maxi_hp</f>
        <v>0</v>
      </c>
      <c r="I280" s="382">
        <f>IF(H280,Wh_hp,'2021'!Maxi_hp)</f>
        <v>39.039212402737128</v>
      </c>
      <c r="J280" s="85">
        <f>IF(H280,An,'2021'!An_max)</f>
        <v>2019</v>
      </c>
      <c r="K280" s="199">
        <f t="shared" si="104"/>
        <v>44827</v>
      </c>
      <c r="L280" s="147">
        <f>IF(t&lt;Tvie,1-EXP((T0-t)*PertePVj)+'2021'!Pspv,1-EXP((T0-t)*PertePVj)+Pspv)</f>
        <v>3.4619931465679543E-2</v>
      </c>
      <c r="M280" s="872"/>
      <c r="N280" s="872"/>
      <c r="O280" s="48">
        <f>IF(t&lt;Tnet,'2021'!Resal+('2021'!Salim-'2021'!Resal)*(1-EXP(('2021'!Tnet-t)/('2021'!Tau_j))),Resal+(Salim-Resal)*(1-EXP((Tnet-t)/(Tau_j))))*Salcycl</f>
        <v>0.14355624438387959</v>
      </c>
      <c r="P280" s="341">
        <f>(INDEX(Models!$BJ280:$BT280,,T280)*(1-R280)+INDEX(Models!$BJ280:$BT280,,T280+1)*R280-ERP_i)*Q280*Ramure*Pc/MaxiM</f>
        <v>1.0430895677788807E-2</v>
      </c>
      <c r="Q280" s="307">
        <f t="shared" si="105"/>
        <v>0.9</v>
      </c>
      <c r="R280" s="179">
        <f t="shared" si="106"/>
        <v>0.49249282754238999</v>
      </c>
      <c r="S280" s="839">
        <f t="shared" si="107"/>
        <v>0</v>
      </c>
      <c r="T280" s="178">
        <f t="shared" si="108"/>
        <v>6</v>
      </c>
      <c r="U280" s="253">
        <f t="shared" si="109"/>
        <v>0.49249282754238999</v>
      </c>
      <c r="V280" s="385">
        <f t="shared" si="110"/>
        <v>35.18246156654839</v>
      </c>
      <c r="W280" s="404">
        <f t="shared" si="111"/>
        <v>0</v>
      </c>
      <c r="X280" s="157">
        <f t="shared" si="112"/>
        <v>44827</v>
      </c>
      <c r="Y280" s="387">
        <f t="shared" si="113"/>
        <v>21.782831270204081</v>
      </c>
      <c r="Z280" s="387">
        <f t="shared" si="114"/>
        <v>22.56399523896911</v>
      </c>
      <c r="AA280" s="388">
        <f t="shared" si="115"/>
        <v>27.167598331270451</v>
      </c>
      <c r="AB280" s="199">
        <f t="shared" si="116"/>
        <v>44827</v>
      </c>
      <c r="AC280" s="119">
        <f>IF(OR(t&lt;Tnet,NoTnet),'2021'!Resal_s+('2021'!Salim-'2021'!Resal_s)*(1-EXP(('2021'!Tnet_s-t)/'2021'!Tau_j)),Resal_s+(Salim-Resal_s)*(1-EXP((Tnet_s-t)/Tau_j)))*Salcycl</f>
        <v>0.16945197128457626</v>
      </c>
      <c r="AD280" s="233">
        <f>(INDEX(Models!$BJ280:$BT280,,AH280)*(1-AF280)+INDEX(Models!$BJ280:$BT280,,AH280+1)*AF280-ERP_i)*AE280*Ramure*Pc/MaxiM</f>
        <v>1.0430895677788807E-2</v>
      </c>
      <c r="AE280" s="307">
        <f t="shared" si="117"/>
        <v>0.9</v>
      </c>
      <c r="AF280" s="179">
        <f t="shared" si="118"/>
        <v>0.49249282754238999</v>
      </c>
      <c r="AG280" s="839">
        <f t="shared" si="124"/>
        <v>0</v>
      </c>
      <c r="AH280" s="178">
        <f t="shared" si="119"/>
        <v>6</v>
      </c>
      <c r="AI280" s="227">
        <f t="shared" si="120"/>
        <v>0.49249282754238999</v>
      </c>
      <c r="AJ280" s="267" t="b">
        <f t="shared" si="121"/>
        <v>1</v>
      </c>
      <c r="AK280" s="267" t="b">
        <f t="shared" si="122"/>
        <v>0</v>
      </c>
      <c r="AL280" s="267"/>
      <c r="AM280" s="267"/>
      <c r="AN280" s="75"/>
    </row>
    <row r="281" spans="1:40" s="6" customFormat="1" ht="11.25" x14ac:dyDescent="0.2">
      <c r="A281" s="56">
        <f t="shared" si="123"/>
        <v>44828</v>
      </c>
      <c r="B281" s="1141">
        <v>15.074</v>
      </c>
      <c r="C281" s="868"/>
      <c r="D281" s="395">
        <f t="shared" si="102"/>
        <v>15.614938917323901</v>
      </c>
      <c r="E281" s="387">
        <f t="shared" si="100"/>
        <v>18.233272889563409</v>
      </c>
      <c r="F281" s="387">
        <f t="shared" si="103"/>
        <v>18.270066510053795</v>
      </c>
      <c r="G281" s="110">
        <f t="shared" si="101"/>
        <v>0.42947162512462084</v>
      </c>
      <c r="H281" s="416" t="b">
        <f>Wh_hp&gt;='2021'!Maxi_hp</f>
        <v>0</v>
      </c>
      <c r="I281" s="382">
        <f>IF(H281,Wh_hp,'2021'!Maxi_hp)</f>
        <v>35.529783803479539</v>
      </c>
      <c r="J281" s="85">
        <f>IF(H281,An,'2021'!An_max)</f>
        <v>2021</v>
      </c>
      <c r="K281" s="199">
        <f t="shared" si="104"/>
        <v>44828</v>
      </c>
      <c r="L281" s="147">
        <f>IF(t&lt;Tvie,1-EXP((T0-t)*PertePVj)+'2021'!Pspv,1-EXP((T0-t)*PertePVj)+Pspv)</f>
        <v>3.4642397270203795E-2</v>
      </c>
      <c r="M281" s="872"/>
      <c r="N281" s="872"/>
      <c r="O281" s="48">
        <f>IF(t&lt;Tnet,'2021'!Resal+('2021'!Salim-'2021'!Resal)*(1-EXP(('2021'!Tnet-t)/('2021'!Tau_j))),Resal+(Salim-Resal)*(1-EXP((Tnet-t)/(Tau_j))))*Salcycl</f>
        <v>0.1436019736060784</v>
      </c>
      <c r="P281" s="341">
        <f>(INDEX(Models!$BJ281:$BT281,,T281)*(1-R281)+INDEX(Models!$BJ281:$BT281,,T281+1)*R281-ERP_i)*Q281*Ramure*Pc/MaxiM</f>
        <v>1.0584086972119357E-2</v>
      </c>
      <c r="Q281" s="307">
        <f t="shared" si="105"/>
        <v>0.9</v>
      </c>
      <c r="R281" s="179">
        <f t="shared" si="106"/>
        <v>0.49280807711948316</v>
      </c>
      <c r="S281" s="839">
        <f t="shared" si="107"/>
        <v>0</v>
      </c>
      <c r="T281" s="178">
        <f t="shared" si="108"/>
        <v>6</v>
      </c>
      <c r="U281" s="253">
        <f t="shared" si="109"/>
        <v>0.49280807711948316</v>
      </c>
      <c r="V281" s="385">
        <f t="shared" si="110"/>
        <v>34.797530384495929</v>
      </c>
      <c r="W281" s="404">
        <f t="shared" si="111"/>
        <v>0</v>
      </c>
      <c r="X281" s="157">
        <f t="shared" si="112"/>
        <v>44828</v>
      </c>
      <c r="Y281" s="387">
        <f t="shared" si="113"/>
        <v>14.619615190305085</v>
      </c>
      <c r="Z281" s="387">
        <f t="shared" si="114"/>
        <v>15.144248254703101</v>
      </c>
      <c r="AA281" s="388">
        <f t="shared" si="115"/>
        <v>18.233272889563409</v>
      </c>
      <c r="AB281" s="199">
        <f t="shared" si="116"/>
        <v>44828</v>
      </c>
      <c r="AC281" s="119">
        <f>IF(OR(t&lt;Tnet,NoTnet),'2021'!Resal_s+('2021'!Salim-'2021'!Resal_s)*(1-EXP(('2021'!Tnet_s-t)/'2021'!Tau_j)),Resal_s+(Salim-Resal_s)*(1-EXP((Tnet_s-t)/Tau_j)))*Salcycl</f>
        <v>0.16941690356800632</v>
      </c>
      <c r="AD281" s="233">
        <f>(INDEX(Models!$BJ281:$BT281,,AH281)*(1-AF281)+INDEX(Models!$BJ281:$BT281,,AH281+1)*AF281-ERP_i)*AE281*Ramure*Pc/MaxiM</f>
        <v>1.0584086972119357E-2</v>
      </c>
      <c r="AE281" s="307">
        <f t="shared" si="117"/>
        <v>0.9</v>
      </c>
      <c r="AF281" s="179">
        <f t="shared" si="118"/>
        <v>0.49280807711948316</v>
      </c>
      <c r="AG281" s="839">
        <f t="shared" si="124"/>
        <v>0</v>
      </c>
      <c r="AH281" s="178">
        <f t="shared" si="119"/>
        <v>6</v>
      </c>
      <c r="AI281" s="227">
        <f t="shared" si="120"/>
        <v>0.49280807711948316</v>
      </c>
      <c r="AJ281" s="267" t="b">
        <f t="shared" si="121"/>
        <v>1</v>
      </c>
      <c r="AK281" s="267" t="b">
        <f t="shared" si="122"/>
        <v>0</v>
      </c>
      <c r="AL281" s="267"/>
      <c r="AM281" s="267"/>
      <c r="AN281" s="75"/>
    </row>
    <row r="282" spans="1:40" s="6" customFormat="1" ht="11.25" x14ac:dyDescent="0.2">
      <c r="A282" s="56">
        <f t="shared" si="123"/>
        <v>44829</v>
      </c>
      <c r="B282" s="1141">
        <v>25.178000000000001</v>
      </c>
      <c r="C282" s="868"/>
      <c r="D282" s="395">
        <f t="shared" si="102"/>
        <v>26.08213357545382</v>
      </c>
      <c r="E282" s="387">
        <f t="shared" si="100"/>
        <v>30.457155208941565</v>
      </c>
      <c r="F282" s="387">
        <f t="shared" si="103"/>
        <v>30.660672457342763</v>
      </c>
      <c r="G282" s="110">
        <f t="shared" si="101"/>
        <v>0.72865690340344946</v>
      </c>
      <c r="H282" s="416" t="b">
        <f>Wh_hp&gt;='2021'!Maxi_hp</f>
        <v>1</v>
      </c>
      <c r="I282" s="382">
        <f>IF(H282,Wh_hp,'2021'!Maxi_hp)</f>
        <v>30.660672457342763</v>
      </c>
      <c r="J282" s="85">
        <f>IF(H282,An,'2021'!An_max)</f>
        <v>2022</v>
      </c>
      <c r="K282" s="199">
        <f t="shared" si="104"/>
        <v>44829</v>
      </c>
      <c r="L282" s="147">
        <f>IF(t&lt;Tvie,1-EXP((T0-t)*PertePVj)+'2021'!Pspv,1-EXP((T0-t)*PertePVj)+Pspv)</f>
        <v>3.4664862551916031E-2</v>
      </c>
      <c r="M282" s="872"/>
      <c r="N282" s="872"/>
      <c r="O282" s="48">
        <f>IF(t&lt;Tnet,'2021'!Resal+('2021'!Salim-'2021'!Resal)*(1-EXP(('2021'!Tnet-t)/('2021'!Tau_j))),Resal+(Salim-Resal)*(1-EXP((Tnet-t)/(Tau_j))))*Salcycl</f>
        <v>0.14364511732872978</v>
      </c>
      <c r="P282" s="341">
        <f>(INDEX(Models!$BJ282:$BT282,,T282)*(1-R282)+INDEX(Models!$BJ282:$BT282,,T282+1)*R282-ERP_i)*Q282*Ramure*Pc/MaxiM</f>
        <v>1.0763163277085987E-2</v>
      </c>
      <c r="Q282" s="307">
        <f t="shared" si="105"/>
        <v>0.9</v>
      </c>
      <c r="R282" s="179">
        <f t="shared" si="106"/>
        <v>0.49311094903244446</v>
      </c>
      <c r="S282" s="839">
        <f t="shared" si="107"/>
        <v>0</v>
      </c>
      <c r="T282" s="178">
        <f t="shared" si="108"/>
        <v>6</v>
      </c>
      <c r="U282" s="253">
        <f t="shared" si="109"/>
        <v>0.49311094903244446</v>
      </c>
      <c r="V282" s="385">
        <f t="shared" si="110"/>
        <v>34.410482684971413</v>
      </c>
      <c r="W282" s="404">
        <f t="shared" si="111"/>
        <v>0</v>
      </c>
      <c r="X282" s="157">
        <f t="shared" si="112"/>
        <v>44829</v>
      </c>
      <c r="Y282" s="387">
        <f t="shared" si="113"/>
        <v>24.421385889972058</v>
      </c>
      <c r="Z282" s="387">
        <f t="shared" si="114"/>
        <v>25.298349705296467</v>
      </c>
      <c r="AA282" s="388">
        <f t="shared" si="115"/>
        <v>30.457155208941565</v>
      </c>
      <c r="AB282" s="199">
        <f t="shared" si="116"/>
        <v>44829</v>
      </c>
      <c r="AC282" s="119">
        <f>IF(OR(t&lt;Tnet,NoTnet),'2021'!Resal_s+('2021'!Salim-'2021'!Resal_s)*(1-EXP(('2021'!Tnet_s-t)/'2021'!Tau_j)),Resal_s+(Salim-Resal_s)*(1-EXP((Tnet_s-t)/Tau_j)))*Salcycl</f>
        <v>0.16937909887692285</v>
      </c>
      <c r="AD282" s="233">
        <f>(INDEX(Models!$BJ282:$BT282,,AH282)*(1-AF282)+INDEX(Models!$BJ282:$BT282,,AH282+1)*AF282-ERP_i)*AE282*Ramure*Pc/MaxiM</f>
        <v>1.0763163277085987E-2</v>
      </c>
      <c r="AE282" s="307">
        <f t="shared" si="117"/>
        <v>0.9</v>
      </c>
      <c r="AF282" s="179">
        <f t="shared" si="118"/>
        <v>0.49311094903244446</v>
      </c>
      <c r="AG282" s="839">
        <f t="shared" si="124"/>
        <v>0</v>
      </c>
      <c r="AH282" s="178">
        <f t="shared" si="119"/>
        <v>6</v>
      </c>
      <c r="AI282" s="227">
        <f t="shared" si="120"/>
        <v>0.49311094903244446</v>
      </c>
      <c r="AJ282" s="267" t="b">
        <f t="shared" si="121"/>
        <v>1</v>
      </c>
      <c r="AK282" s="267" t="b">
        <f t="shared" si="122"/>
        <v>0</v>
      </c>
      <c r="AL282" s="267"/>
      <c r="AM282" s="267"/>
      <c r="AN282" s="75"/>
    </row>
    <row r="283" spans="1:40" s="6" customFormat="1" ht="11.25" x14ac:dyDescent="0.2">
      <c r="A283" s="56">
        <f t="shared" si="123"/>
        <v>44830</v>
      </c>
      <c r="B283" s="1141">
        <v>27.033999999999999</v>
      </c>
      <c r="C283" s="868"/>
      <c r="D283" s="395">
        <f t="shared" si="102"/>
        <v>28.00543364326564</v>
      </c>
      <c r="E283" s="387">
        <f t="shared" si="100"/>
        <v>32.704616319936065</v>
      </c>
      <c r="F283" s="387">
        <f t="shared" si="103"/>
        <v>32.960149765426706</v>
      </c>
      <c r="G283" s="110">
        <f t="shared" si="101"/>
        <v>0.79202460758657545</v>
      </c>
      <c r="H283" s="416" t="b">
        <f>Wh_hp&gt;='2021'!Maxi_hp</f>
        <v>1</v>
      </c>
      <c r="I283" s="382">
        <f>IF(H283,Wh_hp,'2021'!Maxi_hp)</f>
        <v>32.960149765426706</v>
      </c>
      <c r="J283" s="85">
        <f>IF(H283,An,'2021'!An_max)</f>
        <v>2022</v>
      </c>
      <c r="K283" s="199">
        <f t="shared" si="104"/>
        <v>44830</v>
      </c>
      <c r="L283" s="147">
        <f>IF(t&lt;Tvie,1-EXP((T0-t)*PertePVj)+'2021'!Pspv,1-EXP((T0-t)*PertePVj)+Pspv)</f>
        <v>3.4687327310828353E-2</v>
      </c>
      <c r="M283" s="872"/>
      <c r="N283" s="872"/>
      <c r="O283" s="48">
        <f>IF(t&lt;Tnet,'2021'!Resal+('2021'!Salim-'2021'!Resal)*(1-EXP(('2021'!Tnet-t)/('2021'!Tau_j))),Resal+(Salim-Resal)*(1-EXP((Tnet-t)/(Tau_j))))*Salcycl</f>
        <v>0.14368560788789633</v>
      </c>
      <c r="P283" s="341">
        <f>(INDEX(Models!$BJ283:$BT283,,T283)*(1-R283)+INDEX(Models!$BJ283:$BT283,,T283+1)*R283-ERP_i)*Q283*Ramure*Pc/MaxiM</f>
        <v>1.0972358407608686E-2</v>
      </c>
      <c r="Q283" s="307">
        <f t="shared" si="105"/>
        <v>0.9</v>
      </c>
      <c r="R283" s="179">
        <f t="shared" si="106"/>
        <v>0.49340191721610305</v>
      </c>
      <c r="S283" s="839">
        <f t="shared" si="107"/>
        <v>0</v>
      </c>
      <c r="T283" s="178">
        <f t="shared" si="108"/>
        <v>6</v>
      </c>
      <c r="U283" s="253">
        <f t="shared" si="109"/>
        <v>0.49340191721610305</v>
      </c>
      <c r="V283" s="385">
        <f t="shared" si="110"/>
        <v>34.022026765231224</v>
      </c>
      <c r="W283" s="404">
        <f t="shared" si="111"/>
        <v>0</v>
      </c>
      <c r="X283" s="157">
        <f t="shared" si="112"/>
        <v>44830</v>
      </c>
      <c r="Y283" s="387">
        <f t="shared" si="113"/>
        <v>26.224134174649834</v>
      </c>
      <c r="Z283" s="387">
        <f t="shared" si="114"/>
        <v>27.166466282468399</v>
      </c>
      <c r="AA283" s="388">
        <f t="shared" si="115"/>
        <v>32.704616319936065</v>
      </c>
      <c r="AB283" s="199">
        <f t="shared" si="116"/>
        <v>44830</v>
      </c>
      <c r="AC283" s="119">
        <f>IF(OR(t&lt;Tnet,NoTnet),'2021'!Resal_s+('2021'!Salim-'2021'!Resal_s)*(1-EXP(('2021'!Tnet_s-t)/'2021'!Tau_j)),Resal_s+(Salim-Resal_s)*(1-EXP((Tnet_s-t)/Tau_j)))*Salcycl</f>
        <v>0.1693384806380292</v>
      </c>
      <c r="AD283" s="233">
        <f>(INDEX(Models!$BJ283:$BT283,,AH283)*(1-AF283)+INDEX(Models!$BJ283:$BT283,,AH283+1)*AF283-ERP_i)*AE283*Ramure*Pc/MaxiM</f>
        <v>1.0972358407608686E-2</v>
      </c>
      <c r="AE283" s="307">
        <f t="shared" si="117"/>
        <v>0.9</v>
      </c>
      <c r="AF283" s="179">
        <f t="shared" si="118"/>
        <v>0.49340191721610305</v>
      </c>
      <c r="AG283" s="839">
        <f t="shared" si="124"/>
        <v>0</v>
      </c>
      <c r="AH283" s="178">
        <f t="shared" si="119"/>
        <v>6</v>
      </c>
      <c r="AI283" s="227">
        <f t="shared" si="120"/>
        <v>0.49340191721610305</v>
      </c>
      <c r="AJ283" s="267" t="b">
        <f t="shared" si="121"/>
        <v>1</v>
      </c>
      <c r="AK283" s="267" t="b">
        <f t="shared" si="122"/>
        <v>0</v>
      </c>
      <c r="AL283" s="267"/>
      <c r="AM283" s="267"/>
      <c r="AN283" s="75"/>
    </row>
    <row r="284" spans="1:40" s="6" customFormat="1" ht="11.25" x14ac:dyDescent="0.2">
      <c r="A284" s="56">
        <f t="shared" si="123"/>
        <v>44831</v>
      </c>
      <c r="B284" s="1141">
        <v>13.207000000000001</v>
      </c>
      <c r="C284" s="868"/>
      <c r="D284" s="395">
        <f t="shared" si="102"/>
        <v>13.681895749429851</v>
      </c>
      <c r="E284" s="387">
        <f t="shared" si="100"/>
        <v>15.97835958243884</v>
      </c>
      <c r="F284" s="387">
        <f t="shared" si="103"/>
        <v>16.002115225288961</v>
      </c>
      <c r="G284" s="110">
        <f t="shared" si="101"/>
        <v>0.38885424125912876</v>
      </c>
      <c r="H284" s="416" t="b">
        <f>Wh_hp&gt;='2021'!Maxi_hp</f>
        <v>0</v>
      </c>
      <c r="I284" s="382">
        <f>IF(H284,Wh_hp,'2021'!Maxi_hp)</f>
        <v>32.432173480535852</v>
      </c>
      <c r="J284" s="85">
        <f>IF(H284,An,'2021'!An_max)</f>
        <v>2019</v>
      </c>
      <c r="K284" s="199">
        <f t="shared" si="104"/>
        <v>44831</v>
      </c>
      <c r="L284" s="147">
        <f>IF(t&lt;Tvie,1-EXP((T0-t)*PertePVj)+'2021'!Pspv,1-EXP((T0-t)*PertePVj)+Pspv)</f>
        <v>3.4709791546952862E-2</v>
      </c>
      <c r="M284" s="872"/>
      <c r="N284" s="872"/>
      <c r="O284" s="48">
        <f>IF(t&lt;Tnet,'2021'!Resal+('2021'!Salim-'2021'!Resal)*(1-EXP(('2021'!Tnet-t)/('2021'!Tau_j))),Resal+(Salim-Resal)*(1-EXP((Tnet-t)/(Tau_j))))*Salcycl</f>
        <v>0.14372337918423986</v>
      </c>
      <c r="P284" s="341">
        <f>(INDEX(Models!$BJ284:$BT284,,T284)*(1-R284)+INDEX(Models!$BJ284:$BT284,,T284+1)*R284-ERP_i)*Q284*Ramure*Pc/MaxiM</f>
        <v>1.1212485947637614E-2</v>
      </c>
      <c r="Q284" s="307">
        <f t="shared" si="105"/>
        <v>0.9</v>
      </c>
      <c r="R284" s="179">
        <f t="shared" si="106"/>
        <v>0.49368143839980227</v>
      </c>
      <c r="S284" s="839">
        <f t="shared" si="107"/>
        <v>0</v>
      </c>
      <c r="T284" s="178">
        <f t="shared" si="108"/>
        <v>6</v>
      </c>
      <c r="U284" s="253">
        <f t="shared" si="109"/>
        <v>0.49368143839980227</v>
      </c>
      <c r="V284" s="385">
        <f t="shared" si="110"/>
        <v>33.63299279022079</v>
      </c>
      <c r="W284" s="404">
        <f t="shared" si="111"/>
        <v>0</v>
      </c>
      <c r="X284" s="157">
        <f t="shared" si="112"/>
        <v>44831</v>
      </c>
      <c r="Y284" s="387">
        <f t="shared" si="113"/>
        <v>12.812590006859137</v>
      </c>
      <c r="Z284" s="387">
        <f t="shared" si="114"/>
        <v>13.273303608240585</v>
      </c>
      <c r="AA284" s="388">
        <f t="shared" si="115"/>
        <v>15.978359582438838</v>
      </c>
      <c r="AB284" s="199">
        <f t="shared" si="116"/>
        <v>44831</v>
      </c>
      <c r="AC284" s="119">
        <f>IF(OR(t&lt;Tnet,NoTnet),'2021'!Resal_s+('2021'!Salim-'2021'!Resal_s)*(1-EXP(('2021'!Tnet_s-t)/'2021'!Tau_j)),Resal_s+(Salim-Resal_s)*(1-EXP((Tnet_s-t)/Tau_j)))*Salcycl</f>
        <v>0.16929497425826298</v>
      </c>
      <c r="AD284" s="233">
        <f>(INDEX(Models!$BJ284:$BT284,,AH284)*(1-AF284)+INDEX(Models!$BJ284:$BT284,,AH284+1)*AF284-ERP_i)*AE284*Ramure*Pc/MaxiM</f>
        <v>1.1212485947637614E-2</v>
      </c>
      <c r="AE284" s="307">
        <f t="shared" si="117"/>
        <v>0.9</v>
      </c>
      <c r="AF284" s="179">
        <f t="shared" si="118"/>
        <v>0.49368143839980227</v>
      </c>
      <c r="AG284" s="839">
        <f t="shared" si="124"/>
        <v>0</v>
      </c>
      <c r="AH284" s="178">
        <f t="shared" si="119"/>
        <v>6</v>
      </c>
      <c r="AI284" s="227">
        <f t="shared" si="120"/>
        <v>0.49368143839980227</v>
      </c>
      <c r="AJ284" s="267" t="b">
        <f t="shared" si="121"/>
        <v>1</v>
      </c>
      <c r="AK284" s="267" t="b">
        <f t="shared" si="122"/>
        <v>0</v>
      </c>
      <c r="AL284" s="267"/>
      <c r="AM284" s="267"/>
      <c r="AN284" s="75"/>
    </row>
    <row r="285" spans="1:40" s="6" customFormat="1" ht="11.25" x14ac:dyDescent="0.2">
      <c r="A285" s="56">
        <f t="shared" si="123"/>
        <v>44832</v>
      </c>
      <c r="B285" s="1141">
        <v>15.538</v>
      </c>
      <c r="C285" s="868"/>
      <c r="D285" s="395">
        <f t="shared" si="102"/>
        <v>16.097088175457579</v>
      </c>
      <c r="E285" s="387">
        <f t="shared" si="100"/>
        <v>18.799702745551947</v>
      </c>
      <c r="F285" s="387">
        <f t="shared" si="103"/>
        <v>18.851473339450283</v>
      </c>
      <c r="G285" s="110">
        <f t="shared" si="101"/>
        <v>0.46329429108571435</v>
      </c>
      <c r="H285" s="416" t="b">
        <f>Wh_hp&gt;='2021'!Maxi_hp</f>
        <v>0</v>
      </c>
      <c r="I285" s="382">
        <f>IF(H285,Wh_hp,'2021'!Maxi_hp)</f>
        <v>28.532869501688754</v>
      </c>
      <c r="J285" s="85">
        <f>IF(H285,An,'2021'!An_max)</f>
        <v>2019</v>
      </c>
      <c r="K285" s="199">
        <f t="shared" si="104"/>
        <v>44832</v>
      </c>
      <c r="L285" s="147">
        <f>IF(t&lt;Tvie,1-EXP((T0-t)*PertePVj)+'2021'!Pspv,1-EXP((T0-t)*PertePVj)+Pspv)</f>
        <v>3.473225526030177E-2</v>
      </c>
      <c r="M285" s="872"/>
      <c r="N285" s="872"/>
      <c r="O285" s="48">
        <f>IF(t&lt;Tnet,'2021'!Resal+('2021'!Salim-'2021'!Resal)*(1-EXP(('2021'!Tnet-t)/('2021'!Tau_j))),Resal+(Salim-Resal)*(1-EXP((Tnet-t)/(Tau_j))))*Salcycl</f>
        <v>0.14375836717598164</v>
      </c>
      <c r="P285" s="341">
        <f>(INDEX(Models!$BJ285:$BT285,,T285)*(1-R285)+INDEX(Models!$BJ285:$BT285,,T285+1)*R285-ERP_i)*Q285*Ramure*Pc/MaxiM</f>
        <v>1.1484372770039292E-2</v>
      </c>
      <c r="Q285" s="307">
        <f t="shared" si="105"/>
        <v>0.9</v>
      </c>
      <c r="R285" s="179">
        <f t="shared" si="106"/>
        <v>0.49394995265785413</v>
      </c>
      <c r="S285" s="839">
        <f t="shared" si="107"/>
        <v>0</v>
      </c>
      <c r="T285" s="178">
        <f t="shared" si="108"/>
        <v>6</v>
      </c>
      <c r="U285" s="253">
        <f t="shared" si="109"/>
        <v>0.49394995265785413</v>
      </c>
      <c r="V285" s="385">
        <f t="shared" si="110"/>
        <v>33.244210504138039</v>
      </c>
      <c r="W285" s="404">
        <f t="shared" si="111"/>
        <v>0</v>
      </c>
      <c r="X285" s="157">
        <f t="shared" si="112"/>
        <v>44832</v>
      </c>
      <c r="Y285" s="387">
        <f t="shared" si="113"/>
        <v>15.075436877322339</v>
      </c>
      <c r="Z285" s="387">
        <f t="shared" si="114"/>
        <v>15.617881110683649</v>
      </c>
      <c r="AA285" s="388">
        <f t="shared" si="115"/>
        <v>18.799702745551947</v>
      </c>
      <c r="AB285" s="199">
        <f t="shared" si="116"/>
        <v>44832</v>
      </c>
      <c r="AC285" s="119">
        <f>IF(OR(t&lt;Tnet,NoTnet),'2021'!Resal_s+('2021'!Salim-'2021'!Resal_s)*(1-EXP(('2021'!Tnet_s-t)/'2021'!Tau_j)),Resal_s+(Salim-Resal_s)*(1-EXP((Tnet_s-t)/Tau_j)))*Salcycl</f>
        <v>0.16924850769893818</v>
      </c>
      <c r="AD285" s="233">
        <f>(INDEX(Models!$BJ285:$BT285,,AH285)*(1-AF285)+INDEX(Models!$BJ285:$BT285,,AH285+1)*AF285-ERP_i)*AE285*Ramure*Pc/MaxiM</f>
        <v>1.1484372770039292E-2</v>
      </c>
      <c r="AE285" s="307">
        <f t="shared" si="117"/>
        <v>0.9</v>
      </c>
      <c r="AF285" s="179">
        <f t="shared" si="118"/>
        <v>0.49394995265785413</v>
      </c>
      <c r="AG285" s="839">
        <f t="shared" si="124"/>
        <v>0</v>
      </c>
      <c r="AH285" s="178">
        <f t="shared" si="119"/>
        <v>6</v>
      </c>
      <c r="AI285" s="227">
        <f t="shared" si="120"/>
        <v>0.49394995265785413</v>
      </c>
      <c r="AJ285" s="267" t="b">
        <f t="shared" si="121"/>
        <v>1</v>
      </c>
      <c r="AK285" s="267" t="b">
        <f t="shared" si="122"/>
        <v>0</v>
      </c>
      <c r="AL285" s="267"/>
      <c r="AM285" s="267"/>
      <c r="AN285" s="75"/>
    </row>
    <row r="286" spans="1:40" s="6" customFormat="1" ht="11.25" x14ac:dyDescent="0.2">
      <c r="A286" s="56">
        <f t="shared" si="123"/>
        <v>44833</v>
      </c>
      <c r="B286" s="1141">
        <v>20.772000000000002</v>
      </c>
      <c r="C286" s="868"/>
      <c r="D286" s="395">
        <f t="shared" si="102"/>
        <v>21.519918716062744</v>
      </c>
      <c r="E286" s="387">
        <f t="shared" si="100"/>
        <v>25.133940907312827</v>
      </c>
      <c r="F286" s="387">
        <f t="shared" si="103"/>
        <v>25.275349183053891</v>
      </c>
      <c r="G286" s="110">
        <f t="shared" si="101"/>
        <v>0.62826550639286038</v>
      </c>
      <c r="H286" s="416" t="b">
        <f>Wh_hp&gt;='2021'!Maxi_hp</f>
        <v>0</v>
      </c>
      <c r="I286" s="382">
        <f>IF(H286,Wh_hp,'2021'!Maxi_hp)</f>
        <v>39.545102096867112</v>
      </c>
      <c r="J286" s="85">
        <f>IF(H286,An,'2021'!An_max)</f>
        <v>2019</v>
      </c>
      <c r="K286" s="199">
        <f t="shared" si="104"/>
        <v>44833</v>
      </c>
      <c r="L286" s="147">
        <f>IF(t&lt;Tvie,1-EXP((T0-t)*PertePVj)+'2021'!Pspv,1-EXP((T0-t)*PertePVj)+Pspv)</f>
        <v>3.475471845088729E-2</v>
      </c>
      <c r="M286" s="872"/>
      <c r="N286" s="872"/>
      <c r="O286" s="48">
        <f>IF(t&lt;Tnet,'2021'!Resal+('2021'!Salim-'2021'!Resal)*(1-EXP(('2021'!Tnet-t)/('2021'!Tau_j))),Resal+(Salim-Resal)*(1-EXP((Tnet-t)/(Tau_j))))*Salcycl</f>
        <v>0.14379051039300286</v>
      </c>
      <c r="P286" s="341">
        <f>(INDEX(Models!$BJ286:$BT286,,T286)*(1-R286)+INDEX(Models!$BJ286:$BT286,,T286+1)*R286-ERP_i)*Q286*Ramure*Pc/MaxiM</f>
        <v>1.1788851702106497E-2</v>
      </c>
      <c r="Q286" s="307">
        <f t="shared" si="105"/>
        <v>0.9</v>
      </c>
      <c r="R286" s="179">
        <f t="shared" si="106"/>
        <v>0.49420788394840298</v>
      </c>
      <c r="S286" s="839">
        <f t="shared" si="107"/>
        <v>0</v>
      </c>
      <c r="T286" s="178">
        <f t="shared" si="108"/>
        <v>6</v>
      </c>
      <c r="U286" s="253">
        <f t="shared" si="109"/>
        <v>0.49420788394840298</v>
      </c>
      <c r="V286" s="385">
        <f t="shared" si="110"/>
        <v>32.856509244751976</v>
      </c>
      <c r="W286" s="404">
        <f t="shared" si="111"/>
        <v>0</v>
      </c>
      <c r="X286" s="157">
        <f t="shared" si="112"/>
        <v>44833</v>
      </c>
      <c r="Y286" s="387">
        <f t="shared" si="113"/>
        <v>20.155579131854754</v>
      </c>
      <c r="Z286" s="387">
        <f t="shared" si="114"/>
        <v>20.881302936293313</v>
      </c>
      <c r="AA286" s="388">
        <f t="shared" si="115"/>
        <v>25.133940907312827</v>
      </c>
      <c r="AB286" s="199">
        <f t="shared" si="116"/>
        <v>44833</v>
      </c>
      <c r="AC286" s="119">
        <f>IF(OR(t&lt;Tnet,NoTnet),'2021'!Resal_s+('2021'!Salim-'2021'!Resal_s)*(1-EXP(('2021'!Tnet_s-t)/'2021'!Tau_j)),Resal_s+(Salim-Resal_s)*(1-EXP((Tnet_s-t)/Tau_j)))*Salcycl</f>
        <v>0.16919901207304072</v>
      </c>
      <c r="AD286" s="233">
        <f>(INDEX(Models!$BJ286:$BT286,,AH286)*(1-AF286)+INDEX(Models!$BJ286:$BT286,,AH286+1)*AF286-ERP_i)*AE286*Ramure*Pc/MaxiM</f>
        <v>1.1788851702106497E-2</v>
      </c>
      <c r="AE286" s="307">
        <f t="shared" si="117"/>
        <v>0.9</v>
      </c>
      <c r="AF286" s="179">
        <f t="shared" si="118"/>
        <v>0.49420788394840298</v>
      </c>
      <c r="AG286" s="839">
        <f t="shared" si="124"/>
        <v>0</v>
      </c>
      <c r="AH286" s="178">
        <f t="shared" si="119"/>
        <v>6</v>
      </c>
      <c r="AI286" s="227">
        <f t="shared" si="120"/>
        <v>0.49420788394840298</v>
      </c>
      <c r="AJ286" s="267" t="b">
        <f t="shared" si="121"/>
        <v>1</v>
      </c>
      <c r="AK286" s="267" t="b">
        <f t="shared" si="122"/>
        <v>0</v>
      </c>
      <c r="AL286" s="267"/>
      <c r="AM286" s="267"/>
      <c r="AN286" s="75"/>
    </row>
    <row r="287" spans="1:40" s="6" customFormat="1" ht="11.25" x14ac:dyDescent="0.2">
      <c r="A287" s="56">
        <f t="shared" si="123"/>
        <v>44834</v>
      </c>
      <c r="B287" s="1141">
        <v>23.993000000000002</v>
      </c>
      <c r="C287" s="868"/>
      <c r="D287" s="395">
        <f t="shared" si="102"/>
        <v>24.85747283493421</v>
      </c>
      <c r="E287" s="387">
        <f t="shared" si="100"/>
        <v>29.03299024771594</v>
      </c>
      <c r="F287" s="387">
        <f t="shared" si="103"/>
        <v>29.255439260535059</v>
      </c>
      <c r="G287" s="110">
        <f t="shared" si="101"/>
        <v>0.73554414336280183</v>
      </c>
      <c r="H287" s="416" t="b">
        <f>Wh_hp&gt;='2021'!Maxi_hp</f>
        <v>0</v>
      </c>
      <c r="I287" s="382">
        <f>IF(H287,Wh_hp,'2021'!Maxi_hp)</f>
        <v>31.942652402822652</v>
      </c>
      <c r="J287" s="85">
        <f>IF(H287,An,'2021'!An_max)</f>
        <v>2020</v>
      </c>
      <c r="K287" s="199">
        <f t="shared" si="104"/>
        <v>44834</v>
      </c>
      <c r="L287" s="147">
        <f>IF(t&lt;Tvie,1-EXP((T0-t)*PertePVj)+'2021'!Pspv,1-EXP((T0-t)*PertePVj)+Pspv)</f>
        <v>3.4777181118721523E-2</v>
      </c>
      <c r="M287" s="872"/>
      <c r="N287" s="872"/>
      <c r="O287" s="48">
        <f>IF(t&lt;Tnet,'2021'!Resal+('2021'!Salim-'2021'!Resal)*(1-EXP(('2021'!Tnet-t)/('2021'!Tau_j))),Resal+(Salim-Resal)*(1-EXP((Tnet-t)/(Tau_j))))*Salcycl</f>
        <v>0.14381975046852855</v>
      </c>
      <c r="P287" s="341">
        <f>(INDEX(Models!$BJ287:$BT287,,T287)*(1-R287)+INDEX(Models!$BJ287:$BT287,,T287+1)*R287-ERP_i)*Q287*Ramure*Pc/MaxiM</f>
        <v>1.2126753246790408E-2</v>
      </c>
      <c r="Q287" s="307">
        <f t="shared" si="105"/>
        <v>0.9</v>
      </c>
      <c r="R287" s="179">
        <f t="shared" si="106"/>
        <v>0.49445564064040959</v>
      </c>
      <c r="S287" s="839">
        <f t="shared" si="107"/>
        <v>0</v>
      </c>
      <c r="T287" s="178">
        <f t="shared" si="108"/>
        <v>6</v>
      </c>
      <c r="U287" s="253">
        <f t="shared" si="109"/>
        <v>0.49445564064040959</v>
      </c>
      <c r="V287" s="385">
        <f t="shared" si="110"/>
        <v>32.47071795934135</v>
      </c>
      <c r="W287" s="404">
        <f t="shared" si="111"/>
        <v>0</v>
      </c>
      <c r="X287" s="157">
        <f t="shared" si="112"/>
        <v>44834</v>
      </c>
      <c r="Y287" s="387">
        <f t="shared" si="113"/>
        <v>23.283262959628395</v>
      </c>
      <c r="Z287" s="387">
        <f t="shared" si="114"/>
        <v>24.122163819763792</v>
      </c>
      <c r="AA287" s="388">
        <f t="shared" si="115"/>
        <v>29.03299024771594</v>
      </c>
      <c r="AB287" s="199">
        <f t="shared" si="116"/>
        <v>44834</v>
      </c>
      <c r="AC287" s="119">
        <f>IF(OR(t&lt;Tnet,NoTnet),'2021'!Resal_s+('2021'!Salim-'2021'!Resal_s)*(1-EXP(('2021'!Tnet_s-t)/'2021'!Tau_j)),Resal_s+(Salim-Resal_s)*(1-EXP((Tnet_s-t)/Tau_j)))*Salcycl</f>
        <v>0.16914642226143028</v>
      </c>
      <c r="AD287" s="233">
        <f>(INDEX(Models!$BJ287:$BT287,,AH287)*(1-AF287)+INDEX(Models!$BJ287:$BT287,,AH287+1)*AF287-ERP_i)*AE287*Ramure*Pc/MaxiM</f>
        <v>1.2126753246790408E-2</v>
      </c>
      <c r="AE287" s="307">
        <f t="shared" si="117"/>
        <v>0.9</v>
      </c>
      <c r="AF287" s="179">
        <f t="shared" si="118"/>
        <v>0.49445564064040959</v>
      </c>
      <c r="AG287" s="839">
        <f t="shared" si="124"/>
        <v>0</v>
      </c>
      <c r="AH287" s="178">
        <f t="shared" si="119"/>
        <v>6</v>
      </c>
      <c r="AI287" s="227">
        <f t="shared" si="120"/>
        <v>0.49445564064040959</v>
      </c>
      <c r="AJ287" s="267" t="b">
        <f t="shared" si="121"/>
        <v>1</v>
      </c>
      <c r="AK287" s="267" t="b">
        <f t="shared" si="122"/>
        <v>0</v>
      </c>
      <c r="AL287" s="267"/>
      <c r="AM287" s="267"/>
      <c r="AN287" s="75"/>
    </row>
    <row r="288" spans="1:40" s="6" customFormat="1" ht="11.25" x14ac:dyDescent="0.2">
      <c r="A288" s="56">
        <f t="shared" si="123"/>
        <v>44835</v>
      </c>
      <c r="B288" s="1141">
        <v>28.869</v>
      </c>
      <c r="C288" s="868"/>
      <c r="D288" s="395">
        <f t="shared" si="102"/>
        <v>29.909852186151561</v>
      </c>
      <c r="E288" s="387">
        <f t="shared" si="100"/>
        <v>34.935132380377183</v>
      </c>
      <c r="F288" s="387">
        <f t="shared" si="103"/>
        <v>35.313260824270984</v>
      </c>
      <c r="G288" s="110">
        <f t="shared" si="101"/>
        <v>0.89806266337337148</v>
      </c>
      <c r="H288" s="416" t="b">
        <f>Wh_hp&gt;='2021'!Maxi_hp</f>
        <v>0</v>
      </c>
      <c r="I288" s="382">
        <f>IF(H288,Wh_hp,'2021'!Maxi_hp)</f>
        <v>37.95557881687494</v>
      </c>
      <c r="J288" s="85">
        <f>IF(H288,An,'2021'!An_max)</f>
        <v>2020</v>
      </c>
      <c r="K288" s="199">
        <f t="shared" si="104"/>
        <v>44835</v>
      </c>
      <c r="L288" s="147">
        <f>IF(t&lt;Tvie,1-EXP((T0-t)*PertePVj)+'2021'!Pspv,1-EXP((T0-t)*PertePVj)+Pspv)</f>
        <v>3.4799643263816682E-2</v>
      </c>
      <c r="M288" s="872"/>
      <c r="N288" s="872"/>
      <c r="O288" s="48">
        <f>IF(t&lt;Tnet,'2021'!Resal+('2021'!Salim-'2021'!Resal)*(1-EXP(('2021'!Tnet-t)/('2021'!Tau_j))),Resal+(Salim-Resal)*(1-EXP((Tnet-t)/(Tau_j))))*Salcycl</f>
        <v>0.14384603268451582</v>
      </c>
      <c r="P288" s="341">
        <f>(INDEX(Models!$BJ288:$BT288,,T288)*(1-R288)+INDEX(Models!$BJ288:$BT288,,T288+1)*R288-ERP_i)*Q288*Ramure*Pc/MaxiM</f>
        <v>1.2498896287211745E-2</v>
      </c>
      <c r="Q288" s="307">
        <f t="shared" si="105"/>
        <v>0.9</v>
      </c>
      <c r="R288" s="179">
        <f t="shared" si="106"/>
        <v>0.49469361602851891</v>
      </c>
      <c r="S288" s="839">
        <f t="shared" si="107"/>
        <v>0</v>
      </c>
      <c r="T288" s="178">
        <f t="shared" si="108"/>
        <v>6</v>
      </c>
      <c r="U288" s="253">
        <f t="shared" si="109"/>
        <v>0.49469361602851891</v>
      </c>
      <c r="V288" s="385">
        <f t="shared" si="110"/>
        <v>32.08766522557864</v>
      </c>
      <c r="W288" s="404">
        <f t="shared" si="111"/>
        <v>0</v>
      </c>
      <c r="X288" s="157">
        <f t="shared" si="112"/>
        <v>44835</v>
      </c>
      <c r="Y288" s="387">
        <f t="shared" si="113"/>
        <v>28.017765665696157</v>
      </c>
      <c r="Z288" s="387">
        <f t="shared" si="114"/>
        <v>29.027927176112936</v>
      </c>
      <c r="AA288" s="388">
        <f t="shared" si="115"/>
        <v>34.935132380377183</v>
      </c>
      <c r="AB288" s="199">
        <f t="shared" si="116"/>
        <v>44835</v>
      </c>
      <c r="AC288" s="119">
        <f>IF(OR(t&lt;Tnet,NoTnet),'2021'!Resal_s+('2021'!Salim-'2021'!Resal_s)*(1-EXP(('2021'!Tnet_s-t)/'2021'!Tau_j)),Resal_s+(Salim-Resal_s)*(1-EXP((Tnet_s-t)/Tau_j)))*Salcycl</f>
        <v>0.16909067754333981</v>
      </c>
      <c r="AD288" s="233">
        <f>(INDEX(Models!$BJ288:$BT288,,AH288)*(1-AF288)+INDEX(Models!$BJ288:$BT288,,AH288+1)*AF288-ERP_i)*AE288*Ramure*Pc/MaxiM</f>
        <v>1.2498896287211745E-2</v>
      </c>
      <c r="AE288" s="307">
        <f t="shared" si="117"/>
        <v>0.9</v>
      </c>
      <c r="AF288" s="179">
        <f t="shared" si="118"/>
        <v>0.49469361602851891</v>
      </c>
      <c r="AG288" s="839">
        <f t="shared" si="124"/>
        <v>0</v>
      </c>
      <c r="AH288" s="178">
        <f t="shared" si="119"/>
        <v>6</v>
      </c>
      <c r="AI288" s="227">
        <f t="shared" si="120"/>
        <v>0.49469361602851891</v>
      </c>
      <c r="AJ288" s="267" t="b">
        <f t="shared" si="121"/>
        <v>1</v>
      </c>
      <c r="AK288" s="267" t="b">
        <f t="shared" si="122"/>
        <v>0</v>
      </c>
      <c r="AL288" s="267"/>
      <c r="AM288" s="267"/>
      <c r="AN288" s="75"/>
    </row>
    <row r="289" spans="1:40" s="6" customFormat="1" ht="11.25" x14ac:dyDescent="0.2">
      <c r="A289" s="56">
        <f t="shared" si="123"/>
        <v>44836</v>
      </c>
      <c r="B289" s="1141">
        <v>30.493000000000002</v>
      </c>
      <c r="C289" s="868"/>
      <c r="D289" s="395">
        <f t="shared" si="102"/>
        <v>31.593139621586779</v>
      </c>
      <c r="E289" s="387">
        <f t="shared" si="100"/>
        <v>36.902239181975482</v>
      </c>
      <c r="F289" s="387">
        <f t="shared" si="103"/>
        <v>37.358132748041285</v>
      </c>
      <c r="G289" s="110">
        <f t="shared" si="101"/>
        <v>0.96111423896291559</v>
      </c>
      <c r="H289" s="416" t="b">
        <f>Wh_hp&gt;='2021'!Maxi_hp</f>
        <v>1</v>
      </c>
      <c r="I289" s="382">
        <f>IF(H289,Wh_hp,'2021'!Maxi_hp)</f>
        <v>37.358132748041285</v>
      </c>
      <c r="J289" s="85">
        <f>IF(H289,An,'2021'!An_max)</f>
        <v>2022</v>
      </c>
      <c r="K289" s="199">
        <f t="shared" si="104"/>
        <v>44836</v>
      </c>
      <c r="L289" s="147">
        <f>IF(t&lt;Tvie,1-EXP((T0-t)*PertePVj)+'2021'!Pspv,1-EXP((T0-t)*PertePVj)+Pspv)</f>
        <v>3.4822104886184868E-2</v>
      </c>
      <c r="M289" s="872"/>
      <c r="N289" s="872"/>
      <c r="O289" s="48">
        <f>IF(t&lt;Tnet,'2021'!Resal+('2021'!Salim-'2021'!Resal)*(1-EXP(('2021'!Tnet-t)/('2021'!Tau_j))),Resal+(Salim-Resal)*(1-EXP((Tnet-t)/(Tau_j))))*Salcycl</f>
        <v>0.14386930652657728</v>
      </c>
      <c r="P289" s="341">
        <f>(INDEX(Models!$BJ289:$BT289,,T289)*(1-R289)+INDEX(Models!$BJ289:$BT289,,T289+1)*R289-ERP_i)*Q289*Ramure*Pc/MaxiM</f>
        <v>1.2907719496343761E-2</v>
      </c>
      <c r="Q289" s="307">
        <f t="shared" si="105"/>
        <v>0.9</v>
      </c>
      <c r="R289" s="179">
        <f t="shared" si="106"/>
        <v>0.49492218883564365</v>
      </c>
      <c r="S289" s="839">
        <f t="shared" si="107"/>
        <v>0</v>
      </c>
      <c r="T289" s="178">
        <f t="shared" si="108"/>
        <v>6</v>
      </c>
      <c r="U289" s="253">
        <f t="shared" si="109"/>
        <v>0.49492218883564365</v>
      </c>
      <c r="V289" s="385">
        <f t="shared" si="110"/>
        <v>31.704093453866101</v>
      </c>
      <c r="W289" s="404">
        <f t="shared" si="111"/>
        <v>0</v>
      </c>
      <c r="X289" s="157">
        <f t="shared" si="112"/>
        <v>44836</v>
      </c>
      <c r="Y289" s="387">
        <f t="shared" si="113"/>
        <v>29.596784564571703</v>
      </c>
      <c r="Z289" s="387">
        <f t="shared" si="114"/>
        <v>30.664590138672423</v>
      </c>
      <c r="AA289" s="388">
        <f t="shared" si="115"/>
        <v>36.902239181975482</v>
      </c>
      <c r="AB289" s="199">
        <f t="shared" si="116"/>
        <v>44836</v>
      </c>
      <c r="AC289" s="119">
        <f>IF(OR(t&lt;Tnet,NoTnet),'2021'!Resal_s+('2021'!Salim-'2021'!Resal_s)*(1-EXP(('2021'!Tnet_s-t)/'2021'!Tau_j)),Resal_s+(Salim-Resal_s)*(1-EXP((Tnet_s-t)/Tau_j)))*Salcycl</f>
        <v>0.16903172223624227</v>
      </c>
      <c r="AD289" s="233">
        <f>(INDEX(Models!$BJ289:$BT289,,AH289)*(1-AF289)+INDEX(Models!$BJ289:$BT289,,AH289+1)*AF289-ERP_i)*AE289*Ramure*Pc/MaxiM</f>
        <v>1.2907719496343761E-2</v>
      </c>
      <c r="AE289" s="307">
        <f t="shared" si="117"/>
        <v>0.9</v>
      </c>
      <c r="AF289" s="179">
        <f t="shared" si="118"/>
        <v>0.49492218883564365</v>
      </c>
      <c r="AG289" s="839">
        <f t="shared" si="124"/>
        <v>0</v>
      </c>
      <c r="AH289" s="178">
        <f t="shared" si="119"/>
        <v>6</v>
      </c>
      <c r="AI289" s="227">
        <f t="shared" si="120"/>
        <v>0.49492218883564365</v>
      </c>
      <c r="AJ289" s="267" t="b">
        <f t="shared" si="121"/>
        <v>1</v>
      </c>
      <c r="AK289" s="267" t="b">
        <f t="shared" si="122"/>
        <v>0</v>
      </c>
      <c r="AL289" s="267"/>
      <c r="AM289" s="267"/>
      <c r="AN289" s="75"/>
    </row>
    <row r="290" spans="1:40" s="6" customFormat="1" ht="11.25" x14ac:dyDescent="0.2">
      <c r="A290" s="56">
        <f t="shared" si="123"/>
        <v>44837</v>
      </c>
      <c r="B290" s="1141">
        <v>28.765000000000001</v>
      </c>
      <c r="C290" s="868"/>
      <c r="D290" s="395">
        <f t="shared" si="102"/>
        <v>29.803489662140716</v>
      </c>
      <c r="E290" s="387">
        <f t="shared" si="100"/>
        <v>34.812667962564262</v>
      </c>
      <c r="F290" s="387">
        <f t="shared" si="103"/>
        <v>35.22905214545343</v>
      </c>
      <c r="G290" s="110">
        <f t="shared" si="101"/>
        <v>0.91708812591804723</v>
      </c>
      <c r="H290" s="416" t="b">
        <f>Wh_hp&gt;='2021'!Maxi_hp</f>
        <v>0</v>
      </c>
      <c r="I290" s="382">
        <f>IF(H290,Wh_hp,'2021'!Maxi_hp)</f>
        <v>36.035375229537863</v>
      </c>
      <c r="J290" s="85">
        <f>IF(H290,An,'2021'!An_max)</f>
        <v>2018</v>
      </c>
      <c r="K290" s="199">
        <f t="shared" si="104"/>
        <v>44837</v>
      </c>
      <c r="L290" s="147">
        <f>IF(t&lt;Tvie,1-EXP((T0-t)*PertePVj)+'2021'!Pspv,1-EXP((T0-t)*PertePVj)+Pspv)</f>
        <v>3.4844565985838405E-2</v>
      </c>
      <c r="M290" s="872"/>
      <c r="N290" s="872"/>
      <c r="O290" s="48">
        <f>IF(t&lt;Tnet,'2021'!Resal+('2021'!Salim-'2021'!Resal)*(1-EXP(('2021'!Tnet-t)/('2021'!Tau_j))),Resal+(Salim-Resal)*(1-EXP((Tnet-t)/(Tau_j))))*Salcycl</f>
        <v>0.14388952624401424</v>
      </c>
      <c r="P290" s="341">
        <f>(INDEX(Models!$BJ290:$BT290,,T290)*(1-R290)+INDEX(Models!$BJ290:$BT290,,T290+1)*R290-ERP_i)*Q290*Ramure*Pc/MaxiM</f>
        <v>1.3376021558584266E-2</v>
      </c>
      <c r="Q290" s="307">
        <f t="shared" si="105"/>
        <v>0.9</v>
      </c>
      <c r="R290" s="179">
        <f t="shared" si="106"/>
        <v>0.49514172370313914</v>
      </c>
      <c r="S290" s="839">
        <f t="shared" si="107"/>
        <v>0</v>
      </c>
      <c r="T290" s="178">
        <f t="shared" si="108"/>
        <v>6</v>
      </c>
      <c r="U290" s="253">
        <f t="shared" si="109"/>
        <v>0.49514172370313914</v>
      </c>
      <c r="V290" s="385">
        <f t="shared" si="110"/>
        <v>31.316168750317441</v>
      </c>
      <c r="W290" s="404">
        <f t="shared" si="111"/>
        <v>0</v>
      </c>
      <c r="X290" s="157">
        <f t="shared" si="112"/>
        <v>44837</v>
      </c>
      <c r="Y290" s="387">
        <f t="shared" si="113"/>
        <v>27.922321806504268</v>
      </c>
      <c r="Z290" s="387">
        <f t="shared" si="114"/>
        <v>28.930388642555751</v>
      </c>
      <c r="AA290" s="388">
        <f t="shared" si="115"/>
        <v>34.812667962564262</v>
      </c>
      <c r="AB290" s="199">
        <f t="shared" si="116"/>
        <v>44837</v>
      </c>
      <c r="AC290" s="119">
        <f>IF(OR(t&lt;Tnet,NoTnet),'2021'!Resal_s+('2021'!Salim-'2021'!Resal_s)*(1-EXP(('2021'!Tnet_s-t)/'2021'!Tau_j)),Resal_s+(Salim-Resal_s)*(1-EXP((Tnet_s-t)/Tau_j)))*Salcycl</f>
        <v>0.16896950633987629</v>
      </c>
      <c r="AD290" s="233">
        <f>(INDEX(Models!$BJ290:$BT290,,AH290)*(1-AF290)+INDEX(Models!$BJ290:$BT290,,AH290+1)*AF290-ERP_i)*AE290*Ramure*Pc/MaxiM</f>
        <v>1.3376021558584266E-2</v>
      </c>
      <c r="AE290" s="307">
        <f t="shared" si="117"/>
        <v>0.9</v>
      </c>
      <c r="AF290" s="179">
        <f t="shared" si="118"/>
        <v>0.49514172370313914</v>
      </c>
      <c r="AG290" s="839">
        <f t="shared" si="124"/>
        <v>0</v>
      </c>
      <c r="AH290" s="178">
        <f t="shared" si="119"/>
        <v>6</v>
      </c>
      <c r="AI290" s="227">
        <f t="shared" si="120"/>
        <v>0.49514172370313914</v>
      </c>
      <c r="AJ290" s="267" t="b">
        <f t="shared" si="121"/>
        <v>1</v>
      </c>
      <c r="AK290" s="267" t="b">
        <f t="shared" si="122"/>
        <v>0</v>
      </c>
      <c r="AL290" s="267"/>
      <c r="AM290" s="267"/>
      <c r="AN290" s="75"/>
    </row>
    <row r="291" spans="1:40" s="6" customFormat="1" ht="11.25" x14ac:dyDescent="0.2">
      <c r="A291" s="56">
        <f t="shared" si="123"/>
        <v>44838</v>
      </c>
      <c r="B291" s="1141">
        <v>30.751000000000001</v>
      </c>
      <c r="C291" s="868"/>
      <c r="D291" s="395">
        <f t="shared" si="102"/>
        <v>31.861930787095407</v>
      </c>
      <c r="E291" s="387">
        <f t="shared" si="100"/>
        <v>37.217823079205594</v>
      </c>
      <c r="F291" s="387">
        <f t="shared" si="103"/>
        <v>37.738212573739389</v>
      </c>
      <c r="G291" s="110">
        <f t="shared" si="101"/>
        <v>0.99426229134199873</v>
      </c>
      <c r="H291" s="416" t="b">
        <f>Wh_hp&gt;='2021'!Maxi_hp</f>
        <v>1</v>
      </c>
      <c r="I291" s="382">
        <f>IF(H291,Wh_hp,'2021'!Maxi_hp)</f>
        <v>37.738212573739389</v>
      </c>
      <c r="J291" s="85">
        <f>IF(H291,An,'2021'!An_max)</f>
        <v>2022</v>
      </c>
      <c r="K291" s="199">
        <f t="shared" si="104"/>
        <v>44838</v>
      </c>
      <c r="L291" s="147">
        <f>IF(t&lt;Tvie,1-EXP((T0-t)*PertePVj)+'2021'!Pspv,1-EXP((T0-t)*PertePVj)+Pspv)</f>
        <v>3.4867026562789172E-2</v>
      </c>
      <c r="M291" s="872"/>
      <c r="N291" s="872"/>
      <c r="O291" s="48">
        <f>IF(t&lt;Tnet,'2021'!Resal+('2021'!Salim-'2021'!Resal)*(1-EXP(('2021'!Tnet-t)/('2021'!Tau_j))),Resal+(Salim-Resal)*(1-EXP((Tnet-t)/(Tau_j))))*Salcycl</f>
        <v>0.1439066514103195</v>
      </c>
      <c r="P291" s="341">
        <f>(INDEX(Models!$BJ291:$BT291,,T291)*(1-R291)+INDEX(Models!$BJ291:$BT291,,T291+1)*R291-ERP_i)*Q291*Ramure*Pc/MaxiM</f>
        <v>1.3901165239949085E-2</v>
      </c>
      <c r="Q291" s="307">
        <f t="shared" si="105"/>
        <v>0.9</v>
      </c>
      <c r="R291" s="179">
        <f t="shared" si="106"/>
        <v>0.49535257166850066</v>
      </c>
      <c r="S291" s="839">
        <f t="shared" si="107"/>
        <v>0</v>
      </c>
      <c r="T291" s="178">
        <f t="shared" si="108"/>
        <v>6</v>
      </c>
      <c r="U291" s="253">
        <f t="shared" si="109"/>
        <v>0.49535257166850066</v>
      </c>
      <c r="V291" s="385">
        <f t="shared" si="110"/>
        <v>30.924955241218839</v>
      </c>
      <c r="W291" s="404">
        <f t="shared" si="111"/>
        <v>0</v>
      </c>
      <c r="X291" s="157">
        <f t="shared" si="112"/>
        <v>44838</v>
      </c>
      <c r="Y291" s="387">
        <f t="shared" si="113"/>
        <v>29.85309202917222</v>
      </c>
      <c r="Z291" s="387">
        <f t="shared" si="114"/>
        <v>30.931584404223432</v>
      </c>
      <c r="AA291" s="388">
        <f t="shared" si="115"/>
        <v>37.217823079205594</v>
      </c>
      <c r="AB291" s="199">
        <f t="shared" si="116"/>
        <v>44838</v>
      </c>
      <c r="AC291" s="119">
        <f>IF(OR(t&lt;Tnet,NoTnet),'2021'!Resal_s+('2021'!Salim-'2021'!Resal_s)*(1-EXP(('2021'!Tnet_s-t)/'2021'!Tau_j)),Resal_s+(Salim-Resal_s)*(1-EXP((Tnet_s-t)/Tau_j)))*Salcycl</f>
        <v>0.16890398617898797</v>
      </c>
      <c r="AD291" s="233">
        <f>(INDEX(Models!$BJ291:$BT291,,AH291)*(1-AF291)+INDEX(Models!$BJ291:$BT291,,AH291+1)*AF291-ERP_i)*AE291*Ramure*Pc/MaxiM</f>
        <v>1.3901165239949085E-2</v>
      </c>
      <c r="AE291" s="307">
        <f t="shared" si="117"/>
        <v>0.9</v>
      </c>
      <c r="AF291" s="179">
        <f t="shared" si="118"/>
        <v>0.49535257166850066</v>
      </c>
      <c r="AG291" s="839">
        <f t="shared" si="124"/>
        <v>0</v>
      </c>
      <c r="AH291" s="178">
        <f t="shared" si="119"/>
        <v>6</v>
      </c>
      <c r="AI291" s="227">
        <f t="shared" si="120"/>
        <v>0.49535257166850066</v>
      </c>
      <c r="AJ291" s="267" t="b">
        <f t="shared" si="121"/>
        <v>1</v>
      </c>
      <c r="AK291" s="267" t="b">
        <f t="shared" si="122"/>
        <v>0</v>
      </c>
      <c r="AL291" s="267"/>
      <c r="AM291" s="267"/>
      <c r="AN291" s="75"/>
    </row>
    <row r="292" spans="1:40" s="6" customFormat="1" ht="11.25" x14ac:dyDescent="0.2">
      <c r="A292" s="56">
        <f t="shared" si="123"/>
        <v>44839</v>
      </c>
      <c r="B292" s="1141">
        <v>31.05</v>
      </c>
      <c r="C292" s="868"/>
      <c r="D292" s="395">
        <f t="shared" si="102"/>
        <v>32.172481357769165</v>
      </c>
      <c r="E292" s="387">
        <f t="shared" si="100"/>
        <v>37.581190649020478</v>
      </c>
      <c r="F292" s="387">
        <f t="shared" si="103"/>
        <v>38.133553863021795</v>
      </c>
      <c r="G292" s="110">
        <f t="shared" si="101"/>
        <v>1.0169866760164805</v>
      </c>
      <c r="H292" s="416" t="b">
        <f>Wh_hp&gt;='2021'!Maxi_hp</f>
        <v>1</v>
      </c>
      <c r="I292" s="382">
        <f>IF(H292,Wh_hp,'2021'!Maxi_hp)</f>
        <v>38.133553863021795</v>
      </c>
      <c r="J292" s="85">
        <f>IF(H292,An,'2021'!An_max)</f>
        <v>2022</v>
      </c>
      <c r="K292" s="199">
        <f t="shared" si="104"/>
        <v>44839</v>
      </c>
      <c r="L292" s="147">
        <f>IF(t&lt;Tvie,1-EXP((T0-t)*PertePVj)+'2021'!Pspv,1-EXP((T0-t)*PertePVj)+Pspv)</f>
        <v>3.4889486617049603E-2</v>
      </c>
      <c r="M292" s="872"/>
      <c r="N292" s="872"/>
      <c r="O292" s="48">
        <f>IF(t&lt;Tnet,'2021'!Resal+('2021'!Salim-'2021'!Resal)*(1-EXP(('2021'!Tnet-t)/('2021'!Tau_j))),Resal+(Salim-Resal)*(1-EXP((Tnet-t)/(Tau_j))))*Salcycl</f>
        <v>0.14392064747933386</v>
      </c>
      <c r="P292" s="341">
        <f>(INDEX(Models!$BJ292:$BT292,,T292)*(1-R292)+INDEX(Models!$BJ292:$BT292,,T292+1)*R292-ERP_i)*Q292*Ramure*Pc/MaxiM</f>
        <v>1.448496554990507E-2</v>
      </c>
      <c r="Q292" s="307">
        <f t="shared" si="105"/>
        <v>0.9</v>
      </c>
      <c r="R292" s="179">
        <f t="shared" si="106"/>
        <v>0.49555507063055071</v>
      </c>
      <c r="S292" s="839">
        <f t="shared" si="107"/>
        <v>0</v>
      </c>
      <c r="T292" s="178">
        <f t="shared" si="108"/>
        <v>6</v>
      </c>
      <c r="U292" s="253">
        <f t="shared" si="109"/>
        <v>0.49555507063055071</v>
      </c>
      <c r="V292" s="385">
        <f t="shared" si="110"/>
        <v>30.531373450852193</v>
      </c>
      <c r="W292" s="404">
        <f t="shared" si="111"/>
        <v>0</v>
      </c>
      <c r="X292" s="157">
        <f t="shared" si="112"/>
        <v>44839</v>
      </c>
      <c r="Y292" s="387">
        <f t="shared" si="113"/>
        <v>30.146351844072644</v>
      </c>
      <c r="Z292" s="387">
        <f t="shared" si="114"/>
        <v>31.236165626672374</v>
      </c>
      <c r="AA292" s="388">
        <f t="shared" si="115"/>
        <v>37.581190649020478</v>
      </c>
      <c r="AB292" s="199">
        <f t="shared" si="116"/>
        <v>44839</v>
      </c>
      <c r="AC292" s="119">
        <f>IF(OR(t&lt;Tnet,NoTnet),'2021'!Resal_s+('2021'!Salim-'2021'!Resal_s)*(1-EXP(('2021'!Tnet_s-t)/'2021'!Tau_j)),Resal_s+(Salim-Resal_s)*(1-EXP((Tnet_s-t)/Tau_j)))*Salcycl</f>
        <v>0.1688351250391659</v>
      </c>
      <c r="AD292" s="233">
        <f>(INDEX(Models!$BJ292:$BT292,,AH292)*(1-AF292)+INDEX(Models!$BJ292:$BT292,,AH292+1)*AF292-ERP_i)*AE292*Ramure*Pc/MaxiM</f>
        <v>1.448496554990507E-2</v>
      </c>
      <c r="AE292" s="307">
        <f t="shared" si="117"/>
        <v>0.9</v>
      </c>
      <c r="AF292" s="179">
        <f t="shared" si="118"/>
        <v>0.49555507063055071</v>
      </c>
      <c r="AG292" s="839">
        <f t="shared" si="124"/>
        <v>0</v>
      </c>
      <c r="AH292" s="178">
        <f t="shared" si="119"/>
        <v>6</v>
      </c>
      <c r="AI292" s="227">
        <f t="shared" si="120"/>
        <v>0.49555507063055071</v>
      </c>
      <c r="AJ292" s="267" t="b">
        <f t="shared" si="121"/>
        <v>1</v>
      </c>
      <c r="AK292" s="267" t="b">
        <f t="shared" si="122"/>
        <v>0</v>
      </c>
      <c r="AL292" s="267"/>
      <c r="AM292" s="267"/>
      <c r="AN292" s="75"/>
    </row>
    <row r="293" spans="1:40" s="6" customFormat="1" ht="11.25" x14ac:dyDescent="0.2">
      <c r="A293" s="56">
        <f t="shared" si="123"/>
        <v>44840</v>
      </c>
      <c r="B293" s="1141">
        <v>13.339</v>
      </c>
      <c r="C293" s="868"/>
      <c r="D293" s="395">
        <f t="shared" si="102"/>
        <v>13.821536746588224</v>
      </c>
      <c r="E293" s="387">
        <f t="shared" si="100"/>
        <v>16.145362813741194</v>
      </c>
      <c r="F293" s="387">
        <f t="shared" si="103"/>
        <v>16.1952850780734</v>
      </c>
      <c r="G293" s="110">
        <f t="shared" si="101"/>
        <v>0.43727307242057373</v>
      </c>
      <c r="H293" s="416" t="b">
        <f>Wh_hp&gt;='2021'!Maxi_hp</f>
        <v>0</v>
      </c>
      <c r="I293" s="382">
        <f>IF(H293,Wh_hp,'2021'!Maxi_hp)</f>
        <v>33.977858149363783</v>
      </c>
      <c r="J293" s="85">
        <f>IF(H293,An,'2021'!An_max)</f>
        <v>2018</v>
      </c>
      <c r="K293" s="199">
        <f t="shared" si="104"/>
        <v>44840</v>
      </c>
      <c r="L293" s="147">
        <f>IF(t&lt;Tvie,1-EXP((T0-t)*PertePVj)+'2021'!Pspv,1-EXP((T0-t)*PertePVj)+Pspv)</f>
        <v>3.4911946148631801E-2</v>
      </c>
      <c r="M293" s="872"/>
      <c r="N293" s="872"/>
      <c r="O293" s="48">
        <f>IF(t&lt;Tnet,'2021'!Resal+('2021'!Salim-'2021'!Resal)*(1-EXP(('2021'!Tnet-t)/('2021'!Tau_j))),Resal+(Salim-Resal)*(1-EXP((Tnet-t)/(Tau_j))))*Salcycl</f>
        <v>0.14393148633211131</v>
      </c>
      <c r="P293" s="341">
        <f>(INDEX(Models!$BJ293:$BT293,,T293)*(1-R293)+INDEX(Models!$BJ293:$BT293,,T293+1)*R293-ERP_i)*Q293*Ramure*Pc/MaxiM</f>
        <v>1.5129273156976861E-2</v>
      </c>
      <c r="Q293" s="307">
        <f t="shared" si="105"/>
        <v>0.9</v>
      </c>
      <c r="R293" s="179">
        <f t="shared" si="106"/>
        <v>0.49574954580212716</v>
      </c>
      <c r="S293" s="839">
        <f t="shared" si="107"/>
        <v>0</v>
      </c>
      <c r="T293" s="178">
        <f t="shared" si="108"/>
        <v>6</v>
      </c>
      <c r="U293" s="253">
        <f t="shared" si="109"/>
        <v>0.49574954580212716</v>
      </c>
      <c r="V293" s="385">
        <f t="shared" si="110"/>
        <v>30.136343403940003</v>
      </c>
      <c r="W293" s="404">
        <f t="shared" si="111"/>
        <v>0</v>
      </c>
      <c r="X293" s="157">
        <f t="shared" si="112"/>
        <v>44840</v>
      </c>
      <c r="Y293" s="387">
        <f t="shared" si="113"/>
        <v>12.952084538453827</v>
      </c>
      <c r="Z293" s="387">
        <f t="shared" si="114"/>
        <v>13.420624664004553</v>
      </c>
      <c r="AA293" s="388">
        <f t="shared" si="115"/>
        <v>16.145362813741194</v>
      </c>
      <c r="AB293" s="199">
        <f t="shared" si="116"/>
        <v>44840</v>
      </c>
      <c r="AC293" s="119">
        <f>IF(OR(t&lt;Tnet,NoTnet),'2021'!Resal_s+('2021'!Salim-'2021'!Resal_s)*(1-EXP(('2021'!Tnet_s-t)/'2021'!Tau_j)),Resal_s+(Salim-Resal_s)*(1-EXP((Tnet_s-t)/Tau_j)))*Salcycl</f>
        <v>0.16876289379001363</v>
      </c>
      <c r="AD293" s="233">
        <f>(INDEX(Models!$BJ293:$BT293,,AH293)*(1-AF293)+INDEX(Models!$BJ293:$BT293,,AH293+1)*AF293-ERP_i)*AE293*Ramure*Pc/MaxiM</f>
        <v>1.5129273156976861E-2</v>
      </c>
      <c r="AE293" s="307">
        <f t="shared" si="117"/>
        <v>0.9</v>
      </c>
      <c r="AF293" s="179">
        <f t="shared" si="118"/>
        <v>0.49574954580212716</v>
      </c>
      <c r="AG293" s="839">
        <f t="shared" si="124"/>
        <v>0</v>
      </c>
      <c r="AH293" s="178">
        <f t="shared" si="119"/>
        <v>6</v>
      </c>
      <c r="AI293" s="227">
        <f t="shared" si="120"/>
        <v>0.49574954580212716</v>
      </c>
      <c r="AJ293" s="267" t="b">
        <f t="shared" si="121"/>
        <v>1</v>
      </c>
      <c r="AK293" s="267" t="b">
        <f t="shared" si="122"/>
        <v>0</v>
      </c>
      <c r="AL293" s="267"/>
      <c r="AM293" s="267"/>
      <c r="AN293" s="75"/>
    </row>
    <row r="294" spans="1:40" s="6" customFormat="1" ht="11.25" x14ac:dyDescent="0.2">
      <c r="A294" s="56">
        <f t="shared" si="123"/>
        <v>44841</v>
      </c>
      <c r="B294" s="1141">
        <v>22.899000000000001</v>
      </c>
      <c r="C294" s="868"/>
      <c r="D294" s="395">
        <f t="shared" si="102"/>
        <v>23.727920798729006</v>
      </c>
      <c r="E294" s="387">
        <f t="shared" si="100"/>
        <v>27.717563196932886</v>
      </c>
      <c r="F294" s="387">
        <f t="shared" si="103"/>
        <v>28.015413173175652</v>
      </c>
      <c r="G294" s="110">
        <f t="shared" si="101"/>
        <v>0.76590265182199047</v>
      </c>
      <c r="H294" s="416" t="b">
        <f>Wh_hp&gt;='2021'!Maxi_hp</f>
        <v>0</v>
      </c>
      <c r="I294" s="382">
        <f>IF(H294,Wh_hp,'2021'!Maxi_hp)</f>
        <v>36.648914494338172</v>
      </c>
      <c r="J294" s="85">
        <f>IF(H294,An,'2021'!An_max)</f>
        <v>2021</v>
      </c>
      <c r="K294" s="199">
        <f t="shared" si="104"/>
        <v>44841</v>
      </c>
      <c r="L294" s="147">
        <f>IF(t&lt;Tvie,1-EXP((T0-t)*PertePVj)+'2021'!Pspv,1-EXP((T0-t)*PertePVj)+Pspv)</f>
        <v>3.4934405157547754E-2</v>
      </c>
      <c r="M294" s="872"/>
      <c r="N294" s="872"/>
      <c r="O294" s="48">
        <f>IF(t&lt;Tnet,'2021'!Resal+('2021'!Salim-'2021'!Resal)*(1-EXP(('2021'!Tnet-t)/('2021'!Tau_j))),Resal+(Salim-Resal)*(1-EXP((Tnet-t)/(Tau_j))))*Salcycl</f>
        <v>0.14393914680946268</v>
      </c>
      <c r="P294" s="341">
        <f>(INDEX(Models!$BJ294:$BT294,,T294)*(1-R294)+INDEX(Models!$BJ294:$BT294,,T294+1)*R294-ERP_i)*Q294*Ramure*Pc/MaxiM</f>
        <v>1.5835958310648834E-2</v>
      </c>
      <c r="Q294" s="307">
        <f t="shared" si="105"/>
        <v>0.9</v>
      </c>
      <c r="R294" s="179">
        <f t="shared" si="106"/>
        <v>0.49593631015031492</v>
      </c>
      <c r="S294" s="839">
        <f t="shared" si="107"/>
        <v>0</v>
      </c>
      <c r="T294" s="178">
        <f t="shared" si="108"/>
        <v>6</v>
      </c>
      <c r="U294" s="253">
        <f t="shared" si="109"/>
        <v>0.49593631015031492</v>
      </c>
      <c r="V294" s="385">
        <f t="shared" si="110"/>
        <v>29.740784666569105</v>
      </c>
      <c r="W294" s="404">
        <f t="shared" si="111"/>
        <v>0</v>
      </c>
      <c r="X294" s="157">
        <f t="shared" si="112"/>
        <v>44841</v>
      </c>
      <c r="Y294" s="387">
        <f t="shared" si="113"/>
        <v>22.237005814722618</v>
      </c>
      <c r="Z294" s="387">
        <f t="shared" si="114"/>
        <v>23.041963088895347</v>
      </c>
      <c r="AA294" s="388">
        <f t="shared" si="115"/>
        <v>27.717563196932886</v>
      </c>
      <c r="AB294" s="199">
        <f t="shared" si="116"/>
        <v>44841</v>
      </c>
      <c r="AC294" s="119">
        <f>IF(OR(t&lt;Tnet,NoTnet),'2021'!Resal_s+('2021'!Salim-'2021'!Resal_s)*(1-EXP(('2021'!Tnet_s-t)/'2021'!Tau_j)),Resal_s+(Salim-Resal_s)*(1-EXP((Tnet_s-t)/Tau_j)))*Salcycl</f>
        <v>0.16868727148983009</v>
      </c>
      <c r="AD294" s="233">
        <f>(INDEX(Models!$BJ294:$BT294,,AH294)*(1-AF294)+INDEX(Models!$BJ294:$BT294,,AH294+1)*AF294-ERP_i)*AE294*Ramure*Pc/MaxiM</f>
        <v>1.5835958310648834E-2</v>
      </c>
      <c r="AE294" s="307">
        <f t="shared" si="117"/>
        <v>0.9</v>
      </c>
      <c r="AF294" s="179">
        <f t="shared" si="118"/>
        <v>0.49593631015031492</v>
      </c>
      <c r="AG294" s="839">
        <f t="shared" si="124"/>
        <v>0</v>
      </c>
      <c r="AH294" s="178">
        <f t="shared" si="119"/>
        <v>6</v>
      </c>
      <c r="AI294" s="227">
        <f t="shared" si="120"/>
        <v>0.49593631015031492</v>
      </c>
      <c r="AJ294" s="267" t="b">
        <f t="shared" si="121"/>
        <v>1</v>
      </c>
      <c r="AK294" s="267" t="b">
        <f t="shared" si="122"/>
        <v>0</v>
      </c>
      <c r="AL294" s="267"/>
      <c r="AM294" s="267"/>
      <c r="AN294" s="75"/>
    </row>
    <row r="295" spans="1:40" s="6" customFormat="1" ht="11.25" x14ac:dyDescent="0.2">
      <c r="A295" s="56">
        <f t="shared" si="123"/>
        <v>44842</v>
      </c>
      <c r="B295" s="1141">
        <v>14.02</v>
      </c>
      <c r="C295" s="868"/>
      <c r="D295" s="395">
        <f t="shared" si="102"/>
        <v>14.527848001631011</v>
      </c>
      <c r="E295" s="387">
        <f t="shared" si="100"/>
        <v>16.97066718969841</v>
      </c>
      <c r="F295" s="387">
        <f t="shared" si="103"/>
        <v>17.042536777043921</v>
      </c>
      <c r="G295" s="110">
        <f t="shared" si="101"/>
        <v>0.47181012958212432</v>
      </c>
      <c r="H295" s="416" t="b">
        <f>Wh_hp&gt;='2021'!Maxi_hp</f>
        <v>0</v>
      </c>
      <c r="I295" s="382">
        <f>IF(H295,Wh_hp,'2021'!Maxi_hp)</f>
        <v>35.752420228658309</v>
      </c>
      <c r="J295" s="85">
        <f>IF(H295,An,'2021'!An_max)</f>
        <v>2021</v>
      </c>
      <c r="K295" s="199">
        <f t="shared" si="104"/>
        <v>44842</v>
      </c>
      <c r="L295" s="147">
        <f>IF(t&lt;Tvie,1-EXP((T0-t)*PertePVj)+'2021'!Pspv,1-EXP((T0-t)*PertePVj)+Pspv)</f>
        <v>3.4956863643809899E-2</v>
      </c>
      <c r="M295" s="872"/>
      <c r="N295" s="872"/>
      <c r="O295" s="48">
        <f>IF(t&lt;Tnet,'2021'!Resal+('2021'!Salim-'2021'!Resal)*(1-EXP(('2021'!Tnet-t)/('2021'!Tau_j))),Resal+(Salim-Resal)*(1-EXP((Tnet-t)/(Tau_j))))*Salcycl</f>
        <v>0.14394361522511315</v>
      </c>
      <c r="P295" s="341">
        <f>(INDEX(Models!$BJ295:$BT295,,T295)*(1-R295)+INDEX(Models!$BJ295:$BT295,,T295+1)*R295-ERP_i)*Q295*Ramure*Pc/MaxiM</f>
        <v>1.6606892384047944E-2</v>
      </c>
      <c r="Q295" s="307">
        <f t="shared" si="105"/>
        <v>0.9</v>
      </c>
      <c r="R295" s="179">
        <f t="shared" si="106"/>
        <v>0.49611566482429581</v>
      </c>
      <c r="S295" s="839">
        <f t="shared" si="107"/>
        <v>0</v>
      </c>
      <c r="T295" s="178">
        <f t="shared" si="108"/>
        <v>6</v>
      </c>
      <c r="U295" s="253">
        <f t="shared" si="109"/>
        <v>0.49611566482429581</v>
      </c>
      <c r="V295" s="385">
        <f t="shared" si="110"/>
        <v>29.345616395466397</v>
      </c>
      <c r="W295" s="404">
        <f t="shared" si="111"/>
        <v>0</v>
      </c>
      <c r="X295" s="157">
        <f t="shared" si="112"/>
        <v>44842</v>
      </c>
      <c r="Y295" s="387">
        <f t="shared" si="113"/>
        <v>13.616056837917954</v>
      </c>
      <c r="Z295" s="387">
        <f t="shared" si="114"/>
        <v>14.109272761971514</v>
      </c>
      <c r="AA295" s="388">
        <f t="shared" si="115"/>
        <v>16.97066718969841</v>
      </c>
      <c r="AB295" s="199">
        <f t="shared" si="116"/>
        <v>44842</v>
      </c>
      <c r="AC295" s="119">
        <f>IF(OR(t&lt;Tnet,NoTnet),'2021'!Resal_s+('2021'!Salim-'2021'!Resal_s)*(1-EXP(('2021'!Tnet_s-t)/'2021'!Tau_j)),Resal_s+(Salim-Resal_s)*(1-EXP((Tnet_s-t)/Tau_j)))*Salcycl</f>
        <v>0.16860824596594709</v>
      </c>
      <c r="AD295" s="233">
        <f>(INDEX(Models!$BJ295:$BT295,,AH295)*(1-AF295)+INDEX(Models!$BJ295:$BT295,,AH295+1)*AF295-ERP_i)*AE295*Ramure*Pc/MaxiM</f>
        <v>1.6606892384047944E-2</v>
      </c>
      <c r="AE295" s="307">
        <f t="shared" si="117"/>
        <v>0.9</v>
      </c>
      <c r="AF295" s="179">
        <f t="shared" si="118"/>
        <v>0.49611566482429581</v>
      </c>
      <c r="AG295" s="839">
        <f t="shared" si="124"/>
        <v>0</v>
      </c>
      <c r="AH295" s="178">
        <f t="shared" si="119"/>
        <v>6</v>
      </c>
      <c r="AI295" s="227">
        <f t="shared" si="120"/>
        <v>0.49611566482429581</v>
      </c>
      <c r="AJ295" s="267" t="b">
        <f t="shared" si="121"/>
        <v>1</v>
      </c>
      <c r="AK295" s="267" t="b">
        <f t="shared" si="122"/>
        <v>0</v>
      </c>
      <c r="AL295" s="267"/>
      <c r="AM295" s="267"/>
      <c r="AN295" s="75"/>
    </row>
    <row r="296" spans="1:40" s="6" customFormat="1" ht="11.25" x14ac:dyDescent="0.2">
      <c r="A296" s="56">
        <f t="shared" si="123"/>
        <v>44843</v>
      </c>
      <c r="B296" s="1141">
        <v>28.311</v>
      </c>
      <c r="C296" s="868"/>
      <c r="D296" s="395">
        <f t="shared" si="102"/>
        <v>29.337195185451872</v>
      </c>
      <c r="E296" s="387">
        <f t="shared" si="100"/>
        <v>34.270217770654867</v>
      </c>
      <c r="F296" s="387">
        <f t="shared" si="103"/>
        <v>34.859155610094177</v>
      </c>
      <c r="G296" s="110">
        <f t="shared" si="101"/>
        <v>0.9773218811919403</v>
      </c>
      <c r="H296" s="416" t="b">
        <f>Wh_hp&gt;='2021'!Maxi_hp</f>
        <v>1</v>
      </c>
      <c r="I296" s="382">
        <f>IF(H296,Wh_hp,'2021'!Maxi_hp)</f>
        <v>34.859155610094177</v>
      </c>
      <c r="J296" s="85">
        <f>IF(H296,An,'2021'!An_max)</f>
        <v>2022</v>
      </c>
      <c r="K296" s="199">
        <f t="shared" si="104"/>
        <v>44843</v>
      </c>
      <c r="L296" s="147">
        <f>IF(t&lt;Tvie,1-EXP((T0-t)*PertePVj)+'2021'!Pspv,1-EXP((T0-t)*PertePVj)+Pspv)</f>
        <v>3.4979321607430114E-2</v>
      </c>
      <c r="M296" s="872"/>
      <c r="N296" s="872"/>
      <c r="O296" s="48">
        <f>IF(t&lt;Tnet,'2021'!Resal+('2021'!Salim-'2021'!Resal)*(1-EXP(('2021'!Tnet-t)/('2021'!Tau_j))),Resal+(Salim-Resal)*(1-EXP((Tnet-t)/(Tau_j))))*Salcycl</f>
        <v>0.14394488585441903</v>
      </c>
      <c r="P296" s="341">
        <f>(INDEX(Models!$BJ296:$BT296,,T296)*(1-R296)+INDEX(Models!$BJ296:$BT296,,T296+1)*R296-ERP_i)*Q296*Ramure*Pc/MaxiM</f>
        <v>1.7446323080859603E-2</v>
      </c>
      <c r="Q296" s="307">
        <f t="shared" si="105"/>
        <v>0.9</v>
      </c>
      <c r="R296" s="179">
        <f t="shared" si="106"/>
        <v>0.49628789957092034</v>
      </c>
      <c r="S296" s="839">
        <f t="shared" si="107"/>
        <v>0</v>
      </c>
      <c r="T296" s="178">
        <f t="shared" si="108"/>
        <v>6</v>
      </c>
      <c r="U296" s="253">
        <f t="shared" si="109"/>
        <v>0.49628789957092034</v>
      </c>
      <c r="V296" s="385">
        <f t="shared" si="110"/>
        <v>28.951686776600777</v>
      </c>
      <c r="W296" s="404">
        <f t="shared" si="111"/>
        <v>0</v>
      </c>
      <c r="X296" s="157">
        <f t="shared" si="112"/>
        <v>44843</v>
      </c>
      <c r="Y296" s="387">
        <f t="shared" si="113"/>
        <v>27.498072589648462</v>
      </c>
      <c r="Z296" s="387">
        <f t="shared" si="114"/>
        <v>28.494801412392391</v>
      </c>
      <c r="AA296" s="388">
        <f t="shared" si="115"/>
        <v>34.270217770654867</v>
      </c>
      <c r="AB296" s="199">
        <f t="shared" si="116"/>
        <v>44843</v>
      </c>
      <c r="AC296" s="119">
        <f>IF(OR(t&lt;Tnet,NoTnet),'2021'!Resal_s+('2021'!Salim-'2021'!Resal_s)*(1-EXP(('2021'!Tnet_s-t)/'2021'!Tau_j)),Resal_s+(Salim-Resal_s)*(1-EXP((Tnet_s-t)/Tau_j)))*Salcycl</f>
        <v>0.16852581436491151</v>
      </c>
      <c r="AD296" s="233">
        <f>(INDEX(Models!$BJ296:$BT296,,AH296)*(1-AF296)+INDEX(Models!$BJ296:$BT296,,AH296+1)*AF296-ERP_i)*AE296*Ramure*Pc/MaxiM</f>
        <v>1.7446323080859603E-2</v>
      </c>
      <c r="AE296" s="307">
        <f t="shared" si="117"/>
        <v>0.9</v>
      </c>
      <c r="AF296" s="179">
        <f t="shared" si="118"/>
        <v>0.49628789957092034</v>
      </c>
      <c r="AG296" s="839">
        <f t="shared" si="124"/>
        <v>0</v>
      </c>
      <c r="AH296" s="178">
        <f t="shared" si="119"/>
        <v>6</v>
      </c>
      <c r="AI296" s="227">
        <f t="shared" si="120"/>
        <v>0.49628789957092034</v>
      </c>
      <c r="AJ296" s="267" t="b">
        <f t="shared" si="121"/>
        <v>1</v>
      </c>
      <c r="AK296" s="267" t="b">
        <f t="shared" si="122"/>
        <v>0</v>
      </c>
      <c r="AL296" s="267"/>
      <c r="AM296" s="267"/>
      <c r="AN296" s="75"/>
    </row>
    <row r="297" spans="1:40" s="6" customFormat="1" ht="11.25" x14ac:dyDescent="0.2">
      <c r="A297" s="56">
        <f t="shared" si="123"/>
        <v>44844</v>
      </c>
      <c r="B297" s="1141">
        <v>24.173999999999999</v>
      </c>
      <c r="C297" s="868"/>
      <c r="D297" s="395">
        <f t="shared" si="102"/>
        <v>25.050823385106511</v>
      </c>
      <c r="E297" s="387">
        <f t="shared" ref="E297:E360" si="125">Wh_pvt/(1-Psa)</f>
        <v>29.263030680629733</v>
      </c>
      <c r="F297" s="387">
        <f t="shared" si="103"/>
        <v>29.687816972042782</v>
      </c>
      <c r="G297" s="110">
        <f t="shared" ref="G297:G360" si="126">+Wh_hp/MaxiM</f>
        <v>0.84295526834212253</v>
      </c>
      <c r="H297" s="416" t="b">
        <f>Wh_hp&gt;='2021'!Maxi_hp</f>
        <v>1</v>
      </c>
      <c r="I297" s="382">
        <f>IF(H297,Wh_hp,'2021'!Maxi_hp)</f>
        <v>29.687816972042782</v>
      </c>
      <c r="J297" s="85">
        <f>IF(H297,An,'2021'!An_max)</f>
        <v>2022</v>
      </c>
      <c r="K297" s="199">
        <f t="shared" si="104"/>
        <v>44844</v>
      </c>
      <c r="L297" s="147">
        <f>IF(t&lt;Tvie,1-EXP((T0-t)*PertePVj)+'2021'!Pspv,1-EXP((T0-t)*PertePVj)+Pspv)</f>
        <v>3.5001779048420834E-2</v>
      </c>
      <c r="M297" s="872"/>
      <c r="N297" s="872"/>
      <c r="O297" s="48">
        <f>IF(t&lt;Tnet,'2021'!Resal+('2021'!Salim-'2021'!Resal)*(1-EXP(('2021'!Tnet-t)/('2021'!Tau_j))),Resal+(Salim-Resal)*(1-EXP((Tnet-t)/(Tau_j))))*Salcycl</f>
        <v>0.14394296139365478</v>
      </c>
      <c r="P297" s="341">
        <f>(INDEX(Models!$BJ297:$BT297,,T297)*(1-R297)+INDEX(Models!$BJ297:$BT297,,T297+1)*R297-ERP_i)*Q297*Ramure*Pc/MaxiM</f>
        <v>1.8330422775048705E-2</v>
      </c>
      <c r="Q297" s="307">
        <f t="shared" si="105"/>
        <v>0.9</v>
      </c>
      <c r="R297" s="179">
        <f t="shared" si="106"/>
        <v>0.49645329313812492</v>
      </c>
      <c r="S297" s="839">
        <f t="shared" si="107"/>
        <v>0</v>
      </c>
      <c r="T297" s="178">
        <f t="shared" si="108"/>
        <v>6</v>
      </c>
      <c r="U297" s="253">
        <f t="shared" si="109"/>
        <v>0.49645329313812492</v>
      </c>
      <c r="V297" s="385">
        <f t="shared" si="110"/>
        <v>28.560662800349011</v>
      </c>
      <c r="W297" s="404">
        <f t="shared" si="111"/>
        <v>0</v>
      </c>
      <c r="X297" s="157">
        <f t="shared" si="112"/>
        <v>44844</v>
      </c>
      <c r="Y297" s="387">
        <f t="shared" si="113"/>
        <v>23.482234159963287</v>
      </c>
      <c r="Z297" s="387">
        <f t="shared" si="114"/>
        <v>24.333966270743581</v>
      </c>
      <c r="AA297" s="388">
        <f t="shared" si="115"/>
        <v>29.263030680629733</v>
      </c>
      <c r="AB297" s="199">
        <f t="shared" si="116"/>
        <v>44844</v>
      </c>
      <c r="AC297" s="119">
        <f>IF(OR(t&lt;Tnet,NoTnet),'2021'!Resal_s+('2021'!Salim-'2021'!Resal_s)*(1-EXP(('2021'!Tnet_s-t)/'2021'!Tau_j)),Resal_s+(Salim-Resal_s)*(1-EXP((Tnet_s-t)/Tau_j)))*Salcycl</f>
        <v>0.16843998366679361</v>
      </c>
      <c r="AD297" s="233">
        <f>(INDEX(Models!$BJ297:$BT297,,AH297)*(1-AF297)+INDEX(Models!$BJ297:$BT297,,AH297+1)*AF297-ERP_i)*AE297*Ramure*Pc/MaxiM</f>
        <v>1.8330422775048705E-2</v>
      </c>
      <c r="AE297" s="307">
        <f t="shared" si="117"/>
        <v>0.9</v>
      </c>
      <c r="AF297" s="179">
        <f t="shared" si="118"/>
        <v>0.49645329313812492</v>
      </c>
      <c r="AG297" s="839">
        <f t="shared" si="124"/>
        <v>0</v>
      </c>
      <c r="AH297" s="178">
        <f t="shared" si="119"/>
        <v>6</v>
      </c>
      <c r="AI297" s="227">
        <f t="shared" si="120"/>
        <v>0.49645329313812492</v>
      </c>
      <c r="AJ297" s="267" t="b">
        <f t="shared" si="121"/>
        <v>1</v>
      </c>
      <c r="AK297" s="267" t="b">
        <f t="shared" si="122"/>
        <v>0</v>
      </c>
      <c r="AL297" s="267"/>
      <c r="AM297" s="267"/>
      <c r="AN297" s="75"/>
    </row>
    <row r="298" spans="1:40" s="6" customFormat="1" ht="11.25" x14ac:dyDescent="0.2">
      <c r="A298" s="56">
        <f t="shared" si="123"/>
        <v>44845</v>
      </c>
      <c r="B298" s="1141">
        <v>20.891000000000002</v>
      </c>
      <c r="C298" s="868"/>
      <c r="D298" s="395">
        <f t="shared" si="102"/>
        <v>21.649248383901504</v>
      </c>
      <c r="E298" s="387">
        <f t="shared" si="125"/>
        <v>25.289341982361577</v>
      </c>
      <c r="F298" s="387">
        <f t="shared" si="103"/>
        <v>25.600332422477763</v>
      </c>
      <c r="G298" s="110">
        <f t="shared" si="126"/>
        <v>0.73617480371836697</v>
      </c>
      <c r="H298" s="416" t="b">
        <f>Wh_hp&gt;='2021'!Maxi_hp</f>
        <v>0</v>
      </c>
      <c r="I298" s="382">
        <f>IF(H298,Wh_hp,'2021'!Maxi_hp)</f>
        <v>35.147507739823403</v>
      </c>
      <c r="J298" s="85">
        <f>IF(H298,An,'2021'!An_max)</f>
        <v>2019</v>
      </c>
      <c r="K298" s="199">
        <f t="shared" si="104"/>
        <v>44845</v>
      </c>
      <c r="L298" s="147">
        <f>IF(t&lt;Tvie,1-EXP((T0-t)*PertePVj)+'2021'!Pspv,1-EXP((T0-t)*PertePVj)+Pspv)</f>
        <v>3.5024235966794048E-2</v>
      </c>
      <c r="M298" s="872"/>
      <c r="N298" s="872"/>
      <c r="O298" s="48">
        <f>IF(t&lt;Tnet,'2021'!Resal+('2021'!Salim-'2021'!Resal)*(1-EXP(('2021'!Tnet-t)/('2021'!Tau_j))),Resal+(Salim-Resal)*(1-EXP((Tnet-t)/(Tau_j))))*Salcycl</f>
        <v>0.14393785338499157</v>
      </c>
      <c r="P298" s="341">
        <f>(INDEX(Models!$BJ298:$BT298,,T298)*(1-R298)+INDEX(Models!$BJ298:$BT298,,T298+1)*R298-ERP_i)*Q298*Ramure*Pc/MaxiM</f>
        <v>1.9259971378135871E-2</v>
      </c>
      <c r="Q298" s="307">
        <f t="shared" si="105"/>
        <v>0.9</v>
      </c>
      <c r="R298" s="179">
        <f t="shared" si="106"/>
        <v>0.49661211366634472</v>
      </c>
      <c r="S298" s="839">
        <f t="shared" si="107"/>
        <v>0</v>
      </c>
      <c r="T298" s="178">
        <f t="shared" si="108"/>
        <v>6</v>
      </c>
      <c r="U298" s="253">
        <f t="shared" si="109"/>
        <v>0.49661211366634472</v>
      </c>
      <c r="V298" s="385">
        <f t="shared" si="110"/>
        <v>28.173464556478166</v>
      </c>
      <c r="W298" s="404">
        <f t="shared" si="111"/>
        <v>0</v>
      </c>
      <c r="X298" s="157">
        <f t="shared" si="112"/>
        <v>44845</v>
      </c>
      <c r="Y298" s="387">
        <f t="shared" si="113"/>
        <v>20.295236868533724</v>
      </c>
      <c r="Z298" s="387">
        <f t="shared" si="114"/>
        <v>21.031861757551187</v>
      </c>
      <c r="AA298" s="388">
        <f t="shared" si="115"/>
        <v>25.289341982361577</v>
      </c>
      <c r="AB298" s="199">
        <f t="shared" si="116"/>
        <v>44845</v>
      </c>
      <c r="AC298" s="119">
        <f>IF(OR(t&lt;Tnet,NoTnet),'2021'!Resal_s+('2021'!Salim-'2021'!Resal_s)*(1-EXP(('2021'!Tnet_s-t)/'2021'!Tau_j)),Resal_s+(Salim-Resal_s)*(1-EXP((Tnet_s-t)/Tau_j)))*Salcycl</f>
        <v>0.16835077115805669</v>
      </c>
      <c r="AD298" s="233">
        <f>(INDEX(Models!$BJ298:$BT298,,AH298)*(1-AF298)+INDEX(Models!$BJ298:$BT298,,AH298+1)*AF298-ERP_i)*AE298*Ramure*Pc/MaxiM</f>
        <v>1.9259971378135871E-2</v>
      </c>
      <c r="AE298" s="307">
        <f t="shared" si="117"/>
        <v>0.9</v>
      </c>
      <c r="AF298" s="179">
        <f t="shared" si="118"/>
        <v>0.49661211366634472</v>
      </c>
      <c r="AG298" s="839">
        <f t="shared" si="124"/>
        <v>0</v>
      </c>
      <c r="AH298" s="178">
        <f t="shared" si="119"/>
        <v>6</v>
      </c>
      <c r="AI298" s="227">
        <f t="shared" si="120"/>
        <v>0.49661211366634472</v>
      </c>
      <c r="AJ298" s="267" t="b">
        <f t="shared" si="121"/>
        <v>1</v>
      </c>
      <c r="AK298" s="267" t="b">
        <f t="shared" si="122"/>
        <v>0</v>
      </c>
      <c r="AL298" s="267"/>
      <c r="AM298" s="267"/>
      <c r="AN298" s="75"/>
    </row>
    <row r="299" spans="1:40" s="6" customFormat="1" ht="11.25" x14ac:dyDescent="0.2">
      <c r="A299" s="56">
        <f t="shared" si="123"/>
        <v>44846</v>
      </c>
      <c r="B299" s="1141">
        <v>22.529</v>
      </c>
      <c r="C299" s="868"/>
      <c r="D299" s="395">
        <f t="shared" si="102"/>
        <v>23.347243666286101</v>
      </c>
      <c r="E299" s="387">
        <f t="shared" si="125"/>
        <v>27.272573834827295</v>
      </c>
      <c r="F299" s="387">
        <f t="shared" si="103"/>
        <v>27.681207004668373</v>
      </c>
      <c r="G299" s="110">
        <f t="shared" si="126"/>
        <v>0.80615415139407209</v>
      </c>
      <c r="H299" s="416" t="b">
        <f>Wh_hp&gt;='2021'!Maxi_hp</f>
        <v>0</v>
      </c>
      <c r="I299" s="382">
        <f>IF(H299,Wh_hp,'2021'!Maxi_hp)</f>
        <v>33.883133366229487</v>
      </c>
      <c r="J299" s="85">
        <f>IF(H299,An,'2021'!An_max)</f>
        <v>2021</v>
      </c>
      <c r="K299" s="199">
        <f t="shared" si="104"/>
        <v>44846</v>
      </c>
      <c r="L299" s="147">
        <f>IF(t&lt;Tvie,1-EXP((T0-t)*PertePVj)+'2021'!Pspv,1-EXP((T0-t)*PertePVj)+Pspv)</f>
        <v>3.5046692362561971E-2</v>
      </c>
      <c r="M299" s="872"/>
      <c r="N299" s="872"/>
      <c r="O299" s="48">
        <f>IF(t&lt;Tnet,'2021'!Resal+('2021'!Salim-'2021'!Resal)*(1-EXP(('2021'!Tnet-t)/('2021'!Tau_j))),Resal+(Salim-Resal)*(1-EXP((Tnet-t)/(Tau_j))))*Salcycl</f>
        <v>0.14392958260245009</v>
      </c>
      <c r="P299" s="341">
        <f>(INDEX(Models!$BJ299:$BT299,,T299)*(1-R299)+INDEX(Models!$BJ299:$BT299,,T299+1)*R299-ERP_i)*Q299*Ramure*Pc/MaxiM</f>
        <v>2.0235627708178824E-2</v>
      </c>
      <c r="Q299" s="307">
        <f t="shared" si="105"/>
        <v>0.9</v>
      </c>
      <c r="R299" s="179">
        <f t="shared" si="106"/>
        <v>0.49676461906808822</v>
      </c>
      <c r="S299" s="839">
        <f t="shared" si="107"/>
        <v>0</v>
      </c>
      <c r="T299" s="178">
        <f t="shared" si="108"/>
        <v>6</v>
      </c>
      <c r="U299" s="253">
        <f t="shared" si="109"/>
        <v>0.49676461906808822</v>
      </c>
      <c r="V299" s="385">
        <f t="shared" si="110"/>
        <v>27.791011890694289</v>
      </c>
      <c r="W299" s="404">
        <f t="shared" si="111"/>
        <v>0</v>
      </c>
      <c r="X299" s="157">
        <f t="shared" si="112"/>
        <v>44846</v>
      </c>
      <c r="Y299" s="387">
        <f t="shared" si="113"/>
        <v>21.888749478958523</v>
      </c>
      <c r="Z299" s="387">
        <f t="shared" si="114"/>
        <v>22.683739519532054</v>
      </c>
      <c r="AA299" s="388">
        <f t="shared" si="115"/>
        <v>27.272573834827295</v>
      </c>
      <c r="AB299" s="199">
        <f t="shared" si="116"/>
        <v>44846</v>
      </c>
      <c r="AC299" s="119">
        <f>IF(OR(t&lt;Tnet,NoTnet),'2021'!Resal_s+('2021'!Salim-'2021'!Resal_s)*(1-EXP(('2021'!Tnet_s-t)/'2021'!Tau_j)),Resal_s+(Salim-Resal_s)*(1-EXP((Tnet_s-t)/Tau_j)))*Salcycl</f>
        <v>0.16825820485763107</v>
      </c>
      <c r="AD299" s="233">
        <f>(INDEX(Models!$BJ299:$BT299,,AH299)*(1-AF299)+INDEX(Models!$BJ299:$BT299,,AH299+1)*AF299-ERP_i)*AE299*Ramure*Pc/MaxiM</f>
        <v>2.0235627708178824E-2</v>
      </c>
      <c r="AE299" s="307">
        <f t="shared" si="117"/>
        <v>0.9</v>
      </c>
      <c r="AF299" s="179">
        <f t="shared" si="118"/>
        <v>0.49676461906808822</v>
      </c>
      <c r="AG299" s="839">
        <f t="shared" si="124"/>
        <v>0</v>
      </c>
      <c r="AH299" s="178">
        <f t="shared" si="119"/>
        <v>6</v>
      </c>
      <c r="AI299" s="227">
        <f t="shared" si="120"/>
        <v>0.49676461906808822</v>
      </c>
      <c r="AJ299" s="267" t="b">
        <f t="shared" si="121"/>
        <v>1</v>
      </c>
      <c r="AK299" s="267" t="b">
        <f t="shared" si="122"/>
        <v>0</v>
      </c>
      <c r="AL299" s="267"/>
      <c r="AM299" s="267"/>
      <c r="AN299" s="75"/>
    </row>
    <row r="300" spans="1:40" s="6" customFormat="1" ht="11.25" x14ac:dyDescent="0.2">
      <c r="A300" s="56">
        <f t="shared" si="123"/>
        <v>44847</v>
      </c>
      <c r="B300" s="1141">
        <v>18.576000000000001</v>
      </c>
      <c r="C300" s="868"/>
      <c r="D300" s="395">
        <f t="shared" si="102"/>
        <v>19.25112039483032</v>
      </c>
      <c r="E300" s="387">
        <f t="shared" si="125"/>
        <v>22.487477168023677</v>
      </c>
      <c r="F300" s="387">
        <f t="shared" si="103"/>
        <v>22.748338182952274</v>
      </c>
      <c r="G300" s="110">
        <f t="shared" si="126"/>
        <v>0.6708932868665447</v>
      </c>
      <c r="H300" s="416" t="b">
        <f>Wh_hp&gt;='2021'!Maxi_hp</f>
        <v>0</v>
      </c>
      <c r="I300" s="382">
        <f>IF(H300,Wh_hp,'2021'!Maxi_hp)</f>
        <v>32.567800155049106</v>
      </c>
      <c r="J300" s="85">
        <f>IF(H300,An,'2021'!An_max)</f>
        <v>2021</v>
      </c>
      <c r="K300" s="199">
        <f t="shared" si="104"/>
        <v>44847</v>
      </c>
      <c r="L300" s="147">
        <f>IF(t&lt;Tvie,1-EXP((T0-t)*PertePVj)+'2021'!Pspv,1-EXP((T0-t)*PertePVj)+Pspv)</f>
        <v>3.5069148235736702E-2</v>
      </c>
      <c r="M300" s="872"/>
      <c r="N300" s="872"/>
      <c r="O300" s="48">
        <f>IF(t&lt;Tnet,'2021'!Resal+('2021'!Salim-'2021'!Resal)*(1-EXP(('2021'!Tnet-t)/('2021'!Tau_j))),Resal+(Salim-Resal)*(1-EXP((Tnet-t)/(Tau_j))))*Salcycl</f>
        <v>0.14391817939432233</v>
      </c>
      <c r="P300" s="341">
        <f>(INDEX(Models!$BJ300:$BT300,,T300)*(1-R300)+INDEX(Models!$BJ300:$BT300,,T300+1)*R300-ERP_i)*Q300*Ramure*Pc/MaxiM</f>
        <v>2.125790491345364E-2</v>
      </c>
      <c r="Q300" s="307">
        <f t="shared" si="105"/>
        <v>0.9</v>
      </c>
      <c r="R300" s="179">
        <f t="shared" si="106"/>
        <v>0.49691105739585539</v>
      </c>
      <c r="S300" s="839">
        <f t="shared" si="107"/>
        <v>0</v>
      </c>
      <c r="T300" s="178">
        <f t="shared" si="108"/>
        <v>6</v>
      </c>
      <c r="U300" s="253">
        <f t="shared" si="109"/>
        <v>0.49691105739585539</v>
      </c>
      <c r="V300" s="385">
        <f t="shared" si="110"/>
        <v>27.414224450007378</v>
      </c>
      <c r="W300" s="404">
        <f t="shared" si="111"/>
        <v>0</v>
      </c>
      <c r="X300" s="157">
        <f t="shared" si="112"/>
        <v>44847</v>
      </c>
      <c r="Y300" s="387">
        <f t="shared" si="113"/>
        <v>18.04992969067661</v>
      </c>
      <c r="Z300" s="387">
        <f t="shared" si="114"/>
        <v>18.705930749000743</v>
      </c>
      <c r="AA300" s="388">
        <f t="shared" si="115"/>
        <v>22.487477168023677</v>
      </c>
      <c r="AB300" s="199">
        <f t="shared" si="116"/>
        <v>44847</v>
      </c>
      <c r="AC300" s="119">
        <f>IF(OR(t&lt;Tnet,NoTnet),'2021'!Resal_s+('2021'!Salim-'2021'!Resal_s)*(1-EXP(('2021'!Tnet_s-t)/'2021'!Tau_j)),Resal_s+(Salim-Resal_s)*(1-EXP((Tnet_s-t)/Tau_j)))*Salcycl</f>
        <v>0.168162323891101</v>
      </c>
      <c r="AD300" s="233">
        <f>(INDEX(Models!$BJ300:$BT300,,AH300)*(1-AF300)+INDEX(Models!$BJ300:$BT300,,AH300+1)*AF300-ERP_i)*AE300*Ramure*Pc/MaxiM</f>
        <v>2.125790491345364E-2</v>
      </c>
      <c r="AE300" s="307">
        <f t="shared" si="117"/>
        <v>0.9</v>
      </c>
      <c r="AF300" s="179">
        <f t="shared" si="118"/>
        <v>0.49691105739585539</v>
      </c>
      <c r="AG300" s="839">
        <f t="shared" si="124"/>
        <v>0</v>
      </c>
      <c r="AH300" s="178">
        <f t="shared" si="119"/>
        <v>6</v>
      </c>
      <c r="AI300" s="227">
        <f t="shared" si="120"/>
        <v>0.49691105739585539</v>
      </c>
      <c r="AJ300" s="267" t="b">
        <f t="shared" si="121"/>
        <v>1</v>
      </c>
      <c r="AK300" s="267" t="b">
        <f t="shared" si="122"/>
        <v>0</v>
      </c>
      <c r="AL300" s="267"/>
      <c r="AM300" s="267"/>
      <c r="AN300" s="75"/>
    </row>
    <row r="301" spans="1:40" s="6" customFormat="1" ht="11.25" x14ac:dyDescent="0.2">
      <c r="A301" s="56">
        <f t="shared" si="123"/>
        <v>44848</v>
      </c>
      <c r="B301" s="1141">
        <v>15.584</v>
      </c>
      <c r="C301" s="868"/>
      <c r="D301" s="395">
        <f t="shared" si="102"/>
        <v>16.15075592452294</v>
      </c>
      <c r="E301" s="387">
        <f t="shared" si="125"/>
        <v>18.865582788122122</v>
      </c>
      <c r="F301" s="387">
        <f t="shared" si="103"/>
        <v>19.033287161190081</v>
      </c>
      <c r="G301" s="110">
        <f t="shared" si="126"/>
        <v>0.5683878618988375</v>
      </c>
      <c r="H301" s="416" t="b">
        <f>Wh_hp&gt;='2021'!Maxi_hp</f>
        <v>0</v>
      </c>
      <c r="I301" s="382">
        <f>IF(H301,Wh_hp,'2021'!Maxi_hp)</f>
        <v>34.446907354425804</v>
      </c>
      <c r="J301" s="85">
        <f>IF(H301,An,'2021'!An_max)</f>
        <v>2021</v>
      </c>
      <c r="K301" s="199">
        <f t="shared" si="104"/>
        <v>44848</v>
      </c>
      <c r="L301" s="147">
        <f>IF(t&lt;Tvie,1-EXP((T0-t)*PertePVj)+'2021'!Pspv,1-EXP((T0-t)*PertePVj)+Pspv)</f>
        <v>3.5091603586330566E-2</v>
      </c>
      <c r="M301" s="872"/>
      <c r="N301" s="872"/>
      <c r="O301" s="48">
        <f>IF(t&lt;Tnet,'2021'!Resal+('2021'!Salim-'2021'!Resal)*(1-EXP(('2021'!Tnet-t)/('2021'!Tau_j))),Resal+(Salim-Resal)*(1-EXP((Tnet-t)/(Tau_j))))*Salcycl</f>
        <v>0.14390368397781234</v>
      </c>
      <c r="P301" s="341">
        <f>(INDEX(Models!$BJ301:$BT301,,T301)*(1-R301)+INDEX(Models!$BJ301:$BT301,,T301+1)*R301-ERP_i)*Q301*Ramure*Pc/MaxiM</f>
        <v>2.2327143988134568E-2</v>
      </c>
      <c r="Q301" s="307">
        <f t="shared" si="105"/>
        <v>0.9</v>
      </c>
      <c r="R301" s="179">
        <f t="shared" si="106"/>
        <v>0.49705166719859839</v>
      </c>
      <c r="S301" s="839">
        <f t="shared" si="107"/>
        <v>0</v>
      </c>
      <c r="T301" s="178">
        <f t="shared" si="108"/>
        <v>6</v>
      </c>
      <c r="U301" s="253">
        <f t="shared" si="109"/>
        <v>0.49705166719859839</v>
      </c>
      <c r="V301" s="385">
        <f t="shared" si="110"/>
        <v>27.044021748563981</v>
      </c>
      <c r="W301" s="404">
        <f t="shared" si="111"/>
        <v>0</v>
      </c>
      <c r="X301" s="157">
        <f t="shared" si="112"/>
        <v>44848</v>
      </c>
      <c r="Y301" s="387">
        <f t="shared" si="113"/>
        <v>15.144211204754797</v>
      </c>
      <c r="Z301" s="387">
        <f t="shared" si="114"/>
        <v>15.694972974680455</v>
      </c>
      <c r="AA301" s="388">
        <f t="shared" si="115"/>
        <v>18.865582788122122</v>
      </c>
      <c r="AB301" s="199">
        <f t="shared" si="116"/>
        <v>44848</v>
      </c>
      <c r="AC301" s="119">
        <f>IF(OR(t&lt;Tnet,NoTnet),'2021'!Resal_s+('2021'!Salim-'2021'!Resal_s)*(1-EXP(('2021'!Tnet_s-t)/'2021'!Tau_j)),Resal_s+(Salim-Resal_s)*(1-EXP((Tnet_s-t)/Tau_j)))*Salcycl</f>
        <v>0.16806317880823177</v>
      </c>
      <c r="AD301" s="233">
        <f>(INDEX(Models!$BJ301:$BT301,,AH301)*(1-AF301)+INDEX(Models!$BJ301:$BT301,,AH301+1)*AF301-ERP_i)*AE301*Ramure*Pc/MaxiM</f>
        <v>2.2327143988134568E-2</v>
      </c>
      <c r="AE301" s="307">
        <f t="shared" si="117"/>
        <v>0.9</v>
      </c>
      <c r="AF301" s="179">
        <f t="shared" si="118"/>
        <v>0.49705166719859839</v>
      </c>
      <c r="AG301" s="839">
        <f t="shared" si="124"/>
        <v>0</v>
      </c>
      <c r="AH301" s="178">
        <f t="shared" si="119"/>
        <v>6</v>
      </c>
      <c r="AI301" s="227">
        <f t="shared" si="120"/>
        <v>0.49705166719859839</v>
      </c>
      <c r="AJ301" s="267" t="b">
        <f t="shared" si="121"/>
        <v>1</v>
      </c>
      <c r="AK301" s="267" t="b">
        <f t="shared" si="122"/>
        <v>0</v>
      </c>
      <c r="AL301" s="267"/>
      <c r="AM301" s="267"/>
      <c r="AN301" s="75"/>
    </row>
    <row r="302" spans="1:40" s="6" customFormat="1" ht="11.25" x14ac:dyDescent="0.2">
      <c r="A302" s="56">
        <f t="shared" si="123"/>
        <v>44849</v>
      </c>
      <c r="B302" s="1141">
        <v>26.393000000000001</v>
      </c>
      <c r="C302" s="868"/>
      <c r="D302" s="395">
        <f t="shared" si="102"/>
        <v>27.353492120143329</v>
      </c>
      <c r="E302" s="387">
        <f t="shared" si="125"/>
        <v>31.95076450886657</v>
      </c>
      <c r="F302" s="387">
        <f t="shared" si="103"/>
        <v>32.705662850477829</v>
      </c>
      <c r="G302" s="110">
        <f t="shared" si="126"/>
        <v>0.98882736456933229</v>
      </c>
      <c r="H302" s="416" t="b">
        <f>Wh_hp&gt;='2021'!Maxi_hp</f>
        <v>1</v>
      </c>
      <c r="I302" s="382">
        <f>IF(H302,Wh_hp,'2021'!Maxi_hp)</f>
        <v>32.705662850477829</v>
      </c>
      <c r="J302" s="85">
        <f>IF(H302,An,'2021'!An_max)</f>
        <v>2022</v>
      </c>
      <c r="K302" s="199">
        <f t="shared" si="104"/>
        <v>44849</v>
      </c>
      <c r="L302" s="147">
        <f>IF(t&lt;Tvie,1-EXP((T0-t)*PertePVj)+'2021'!Pspv,1-EXP((T0-t)*PertePVj)+Pspv)</f>
        <v>3.5114058414355553E-2</v>
      </c>
      <c r="M302" s="872"/>
      <c r="N302" s="872"/>
      <c r="O302" s="48">
        <f>IF(t&lt;Tnet,'2021'!Resal+('2021'!Salim-'2021'!Resal)*(1-EXP(('2021'!Tnet-t)/('2021'!Tau_j))),Resal+(Salim-Resal)*(1-EXP((Tnet-t)/(Tau_j))))*Salcycl</f>
        <v>0.14388614668195082</v>
      </c>
      <c r="P302" s="341">
        <f>(INDEX(Models!$BJ302:$BT302,,T302)*(1-R302)+INDEX(Models!$BJ302:$BT302,,T302+1)*R302-ERP_i)*Q302*Ramure*Pc/MaxiM</f>
        <v>2.3443485534676223E-2</v>
      </c>
      <c r="Q302" s="307">
        <f t="shared" si="105"/>
        <v>0.9</v>
      </c>
      <c r="R302" s="179">
        <f t="shared" si="106"/>
        <v>0.4971866778669316</v>
      </c>
      <c r="S302" s="839">
        <f t="shared" si="107"/>
        <v>0</v>
      </c>
      <c r="T302" s="178">
        <f t="shared" si="108"/>
        <v>6</v>
      </c>
      <c r="U302" s="253">
        <f t="shared" si="109"/>
        <v>0.4971866778669316</v>
      </c>
      <c r="V302" s="385">
        <f t="shared" si="110"/>
        <v>26.681323218958294</v>
      </c>
      <c r="W302" s="404">
        <f t="shared" si="111"/>
        <v>0</v>
      </c>
      <c r="X302" s="157">
        <f t="shared" si="112"/>
        <v>44849</v>
      </c>
      <c r="Y302" s="387">
        <f t="shared" si="113"/>
        <v>25.650805299027933</v>
      </c>
      <c r="Z302" s="387">
        <f t="shared" si="114"/>
        <v>26.584287524051501</v>
      </c>
      <c r="AA302" s="388">
        <f t="shared" si="115"/>
        <v>31.95076450886657</v>
      </c>
      <c r="AB302" s="199">
        <f t="shared" si="116"/>
        <v>44849</v>
      </c>
      <c r="AC302" s="119">
        <f>IF(OR(t&lt;Tnet,NoTnet),'2021'!Resal_s+('2021'!Salim-'2021'!Resal_s)*(1-EXP(('2021'!Tnet_s-t)/'2021'!Tau_j)),Resal_s+(Salim-Resal_s)*(1-EXP((Tnet_s-t)/Tau_j)))*Salcycl</f>
        <v>0.16796083183943328</v>
      </c>
      <c r="AD302" s="233">
        <f>(INDEX(Models!$BJ302:$BT302,,AH302)*(1-AF302)+INDEX(Models!$BJ302:$BT302,,AH302+1)*AF302-ERP_i)*AE302*Ramure*Pc/MaxiM</f>
        <v>2.3443485534676223E-2</v>
      </c>
      <c r="AE302" s="307">
        <f t="shared" si="117"/>
        <v>0.9</v>
      </c>
      <c r="AF302" s="179">
        <f t="shared" si="118"/>
        <v>0.4971866778669316</v>
      </c>
      <c r="AG302" s="839">
        <f t="shared" si="124"/>
        <v>0</v>
      </c>
      <c r="AH302" s="178">
        <f t="shared" si="119"/>
        <v>6</v>
      </c>
      <c r="AI302" s="227">
        <f t="shared" si="120"/>
        <v>0.4971866778669316</v>
      </c>
      <c r="AJ302" s="267" t="b">
        <f t="shared" si="121"/>
        <v>1</v>
      </c>
      <c r="AK302" s="267" t="b">
        <f t="shared" si="122"/>
        <v>0</v>
      </c>
      <c r="AL302" s="267"/>
      <c r="AM302" s="267"/>
      <c r="AN302" s="75"/>
    </row>
    <row r="303" spans="1:40" s="6" customFormat="1" ht="11.25" x14ac:dyDescent="0.2">
      <c r="A303" s="56">
        <f t="shared" si="123"/>
        <v>44850</v>
      </c>
      <c r="B303" s="1141">
        <v>24.541</v>
      </c>
      <c r="C303" s="868"/>
      <c r="D303" s="395">
        <f t="shared" si="102"/>
        <v>25.434686174287584</v>
      </c>
      <c r="E303" s="387">
        <f t="shared" si="125"/>
        <v>29.708754852215748</v>
      </c>
      <c r="F303" s="387">
        <f t="shared" si="103"/>
        <v>30.384058651240213</v>
      </c>
      <c r="G303" s="110">
        <f t="shared" si="126"/>
        <v>0.92994798197938056</v>
      </c>
      <c r="H303" s="416" t="b">
        <f>Wh_hp&gt;='2021'!Maxi_hp</f>
        <v>0</v>
      </c>
      <c r="I303" s="382">
        <f>IF(H303,Wh_hp,'2021'!Maxi_hp)</f>
        <v>31.515402769838211</v>
      </c>
      <c r="J303" s="85">
        <f>IF(H303,An,'2021'!An_max)</f>
        <v>2021</v>
      </c>
      <c r="K303" s="199">
        <f t="shared" si="104"/>
        <v>44850</v>
      </c>
      <c r="L303" s="147">
        <f>IF(t&lt;Tvie,1-EXP((T0-t)*PertePVj)+'2021'!Pspv,1-EXP((T0-t)*PertePVj)+Pspv)</f>
        <v>3.5136512719823876E-2</v>
      </c>
      <c r="M303" s="872"/>
      <c r="N303" s="872"/>
      <c r="O303" s="48">
        <f>IF(t&lt;Tnet,'2021'!Resal+('2021'!Salim-'2021'!Resal)*(1-EXP(('2021'!Tnet-t)/('2021'!Tau_j))),Resal+(Salim-Resal)*(1-EXP((Tnet-t)/(Tau_j))))*Salcycl</f>
        <v>0.14386562813518236</v>
      </c>
      <c r="P303" s="341">
        <f>(INDEX(Models!$BJ303:$BT303,,T303)*(1-R303)+INDEX(Models!$BJ303:$BT303,,T303+1)*R303-ERP_i)*Q303*Ramure*Pc/MaxiM</f>
        <v>2.4608399805179933E-2</v>
      </c>
      <c r="Q303" s="307">
        <f t="shared" si="105"/>
        <v>0.9</v>
      </c>
      <c r="R303" s="179">
        <f t="shared" si="106"/>
        <v>0.49731630996731135</v>
      </c>
      <c r="S303" s="839">
        <f t="shared" si="107"/>
        <v>0</v>
      </c>
      <c r="T303" s="178">
        <f t="shared" si="108"/>
        <v>6</v>
      </c>
      <c r="U303" s="253">
        <f t="shared" si="109"/>
        <v>0.49731630996731135</v>
      </c>
      <c r="V303" s="385">
        <f t="shared" si="110"/>
        <v>26.325337395205295</v>
      </c>
      <c r="W303" s="404">
        <f t="shared" si="111"/>
        <v>0</v>
      </c>
      <c r="X303" s="157">
        <f t="shared" si="112"/>
        <v>44850</v>
      </c>
      <c r="Y303" s="387">
        <f t="shared" si="113"/>
        <v>23.853336991063099</v>
      </c>
      <c r="Z303" s="387">
        <f t="shared" si="114"/>
        <v>24.721981197881718</v>
      </c>
      <c r="AA303" s="388">
        <f t="shared" si="115"/>
        <v>29.708754852215748</v>
      </c>
      <c r="AB303" s="199">
        <f t="shared" si="116"/>
        <v>44850</v>
      </c>
      <c r="AC303" s="119">
        <f>IF(OR(t&lt;Tnet,NoTnet),'2021'!Resal_s+('2021'!Salim-'2021'!Resal_s)*(1-EXP(('2021'!Tnet_s-t)/'2021'!Tau_j)),Resal_s+(Salim-Resal_s)*(1-EXP((Tnet_s-t)/Tau_j)))*Salcycl</f>
        <v>0.16785535708717544</v>
      </c>
      <c r="AD303" s="233">
        <f>(INDEX(Models!$BJ303:$BT303,,AH303)*(1-AF303)+INDEX(Models!$BJ303:$BT303,,AH303+1)*AF303-ERP_i)*AE303*Ramure*Pc/MaxiM</f>
        <v>2.4608399805179933E-2</v>
      </c>
      <c r="AE303" s="307">
        <f t="shared" si="117"/>
        <v>0.9</v>
      </c>
      <c r="AF303" s="179">
        <f t="shared" si="118"/>
        <v>0.49731630996731135</v>
      </c>
      <c r="AG303" s="839">
        <f t="shared" si="124"/>
        <v>0</v>
      </c>
      <c r="AH303" s="178">
        <f t="shared" si="119"/>
        <v>6</v>
      </c>
      <c r="AI303" s="227">
        <f t="shared" si="120"/>
        <v>0.49731630996731135</v>
      </c>
      <c r="AJ303" s="267" t="b">
        <f t="shared" si="121"/>
        <v>1</v>
      </c>
      <c r="AK303" s="267" t="b">
        <f t="shared" si="122"/>
        <v>0</v>
      </c>
      <c r="AL303" s="267"/>
      <c r="AM303" s="267"/>
      <c r="AN303" s="75"/>
    </row>
    <row r="304" spans="1:40" s="6" customFormat="1" ht="11.25" x14ac:dyDescent="0.2">
      <c r="A304" s="56">
        <f t="shared" si="123"/>
        <v>44851</v>
      </c>
      <c r="B304" s="1141">
        <v>15.634</v>
      </c>
      <c r="C304" s="868"/>
      <c r="D304" s="395">
        <f t="shared" si="102"/>
        <v>16.203705540312225</v>
      </c>
      <c r="E304" s="387">
        <f t="shared" si="125"/>
        <v>18.926073591633262</v>
      </c>
      <c r="F304" s="387">
        <f t="shared" si="103"/>
        <v>19.13932517372502</v>
      </c>
      <c r="G304" s="110">
        <f t="shared" si="126"/>
        <v>0.59296191194084324</v>
      </c>
      <c r="H304" s="416" t="b">
        <f>Wh_hp&gt;='2021'!Maxi_hp</f>
        <v>0</v>
      </c>
      <c r="I304" s="382">
        <f>IF(H304,Wh_hp,'2021'!Maxi_hp)</f>
        <v>29.529771052990444</v>
      </c>
      <c r="J304" s="85">
        <f>IF(H304,An,'2021'!An_max)</f>
        <v>2021</v>
      </c>
      <c r="K304" s="199">
        <f t="shared" si="104"/>
        <v>44851</v>
      </c>
      <c r="L304" s="147">
        <f>IF(t&lt;Tvie,1-EXP((T0-t)*PertePVj)+'2021'!Pspv,1-EXP((T0-t)*PertePVj)+Pspv)</f>
        <v>3.5158966502747746E-2</v>
      </c>
      <c r="M304" s="872"/>
      <c r="N304" s="872"/>
      <c r="O304" s="48">
        <f>IF(t&lt;Tnet,'2021'!Resal+('2021'!Salim-'2021'!Resal)*(1-EXP(('2021'!Tnet-t)/('2021'!Tau_j))),Resal+(Salim-Resal)*(1-EXP((Tnet-t)/(Tau_j))))*Salcycl</f>
        <v>0.14384219939441253</v>
      </c>
      <c r="P304" s="341">
        <f>(INDEX(Models!$BJ304:$BT304,,T304)*(1-R304)+INDEX(Models!$BJ304:$BT304,,T304+1)*R304-ERP_i)*Q304*Ramure*Pc/MaxiM</f>
        <v>2.5834121675830685E-2</v>
      </c>
      <c r="Q304" s="307">
        <f t="shared" si="105"/>
        <v>0.9</v>
      </c>
      <c r="R304" s="179">
        <f t="shared" si="106"/>
        <v>0.49744077556541222</v>
      </c>
      <c r="S304" s="839">
        <f t="shared" si="107"/>
        <v>0</v>
      </c>
      <c r="T304" s="178">
        <f t="shared" si="108"/>
        <v>6</v>
      </c>
      <c r="U304" s="253">
        <f t="shared" si="109"/>
        <v>0.49744077556541222</v>
      </c>
      <c r="V304" s="385">
        <f t="shared" si="110"/>
        <v>25.974208353942682</v>
      </c>
      <c r="W304" s="404">
        <f t="shared" si="111"/>
        <v>0</v>
      </c>
      <c r="X304" s="157">
        <f t="shared" si="112"/>
        <v>44851</v>
      </c>
      <c r="Y304" s="387">
        <f t="shared" si="113"/>
        <v>15.197485655205998</v>
      </c>
      <c r="Z304" s="387">
        <f t="shared" si="114"/>
        <v>15.751284540749456</v>
      </c>
      <c r="AA304" s="388">
        <f t="shared" si="115"/>
        <v>18.926073591633262</v>
      </c>
      <c r="AB304" s="199">
        <f t="shared" si="116"/>
        <v>44851</v>
      </c>
      <c r="AC304" s="119">
        <f>IF(OR(t&lt;Tnet,NoTnet),'2021'!Resal_s+('2021'!Salim-'2021'!Resal_s)*(1-EXP(('2021'!Tnet_s-t)/'2021'!Tau_j)),Resal_s+(Salim-Resal_s)*(1-EXP((Tnet_s-t)/Tau_j)))*Salcycl</f>
        <v>0.1677468406488338</v>
      </c>
      <c r="AD304" s="233">
        <f>(INDEX(Models!$BJ304:$BT304,,AH304)*(1-AF304)+INDEX(Models!$BJ304:$BT304,,AH304+1)*AF304-ERP_i)*AE304*Ramure*Pc/MaxiM</f>
        <v>2.5834121675830685E-2</v>
      </c>
      <c r="AE304" s="307">
        <f t="shared" si="117"/>
        <v>0.9</v>
      </c>
      <c r="AF304" s="179">
        <f t="shared" si="118"/>
        <v>0.49744077556541222</v>
      </c>
      <c r="AG304" s="839">
        <f t="shared" si="124"/>
        <v>0</v>
      </c>
      <c r="AH304" s="178">
        <f t="shared" si="119"/>
        <v>6</v>
      </c>
      <c r="AI304" s="227">
        <f t="shared" si="120"/>
        <v>0.49744077556541222</v>
      </c>
      <c r="AJ304" s="267" t="b">
        <f t="shared" si="121"/>
        <v>1</v>
      </c>
      <c r="AK304" s="267" t="b">
        <f t="shared" si="122"/>
        <v>0</v>
      </c>
      <c r="AL304" s="267"/>
      <c r="AM304" s="267"/>
      <c r="AN304" s="75"/>
    </row>
    <row r="305" spans="1:40" s="6" customFormat="1" ht="11.25" x14ac:dyDescent="0.2">
      <c r="A305" s="56">
        <f t="shared" si="123"/>
        <v>44852</v>
      </c>
      <c r="B305" s="1141">
        <v>24.43</v>
      </c>
      <c r="C305" s="868"/>
      <c r="D305" s="395">
        <f t="shared" si="102"/>
        <v>25.320822484577867</v>
      </c>
      <c r="E305" s="387">
        <f t="shared" si="125"/>
        <v>29.574041058533883</v>
      </c>
      <c r="F305" s="387">
        <f t="shared" si="103"/>
        <v>30.341311710400081</v>
      </c>
      <c r="G305" s="110">
        <f t="shared" si="126"/>
        <v>0.95147312289229369</v>
      </c>
      <c r="H305" s="416" t="b">
        <f>Wh_hp&gt;='2021'!Maxi_hp</f>
        <v>0</v>
      </c>
      <c r="I305" s="382">
        <f>IF(H305,Wh_hp,'2021'!Maxi_hp)</f>
        <v>32.248415453098012</v>
      </c>
      <c r="J305" s="85">
        <f>IF(H305,An,'2021'!An_max)</f>
        <v>2020</v>
      </c>
      <c r="K305" s="199">
        <f t="shared" si="104"/>
        <v>44852</v>
      </c>
      <c r="L305" s="147">
        <f>IF(t&lt;Tvie,1-EXP((T0-t)*PertePVj)+'2021'!Pspv,1-EXP((T0-t)*PertePVj)+Pspv)</f>
        <v>3.5181419763139266E-2</v>
      </c>
      <c r="M305" s="872"/>
      <c r="N305" s="872"/>
      <c r="O305" s="48">
        <f>IF(t&lt;Tnet,'2021'!Resal+('2021'!Salim-'2021'!Resal)*(1-EXP(('2021'!Tnet-t)/('2021'!Tau_j))),Resal+(Salim-Resal)*(1-EXP((Tnet-t)/(Tau_j))))*Salcycl</f>
        <v>0.14381594201272363</v>
      </c>
      <c r="P305" s="341">
        <f>(INDEX(Models!$BJ305:$BT305,,T305)*(1-R305)+INDEX(Models!$BJ305:$BT305,,T305+1)*R305-ERP_i)*Q305*Ramure*Pc/MaxiM</f>
        <v>2.7098005496778606E-2</v>
      </c>
      <c r="Q305" s="307">
        <f t="shared" si="105"/>
        <v>0.9</v>
      </c>
      <c r="R305" s="179">
        <f t="shared" si="106"/>
        <v>0.49756027853893547</v>
      </c>
      <c r="S305" s="839">
        <f t="shared" si="107"/>
        <v>0</v>
      </c>
      <c r="T305" s="178">
        <f t="shared" si="108"/>
        <v>6</v>
      </c>
      <c r="U305" s="253">
        <f t="shared" si="109"/>
        <v>0.49756027853893547</v>
      </c>
      <c r="V305" s="385">
        <f t="shared" si="110"/>
        <v>25.628295125748405</v>
      </c>
      <c r="W305" s="404">
        <f t="shared" si="111"/>
        <v>0</v>
      </c>
      <c r="X305" s="157">
        <f t="shared" si="112"/>
        <v>44852</v>
      </c>
      <c r="Y305" s="387">
        <f t="shared" si="113"/>
        <v>23.750346039010491</v>
      </c>
      <c r="Z305" s="387">
        <f t="shared" si="114"/>
        <v>24.616385427797045</v>
      </c>
      <c r="AA305" s="388">
        <f t="shared" si="115"/>
        <v>29.574041058533883</v>
      </c>
      <c r="AB305" s="199">
        <f t="shared" si="116"/>
        <v>44852</v>
      </c>
      <c r="AC305" s="119">
        <f>IF(OR(t&lt;Tnet,NoTnet),'2021'!Resal_s+('2021'!Salim-'2021'!Resal_s)*(1-EXP(('2021'!Tnet_s-t)/'2021'!Tau_j)),Resal_s+(Salim-Resal_s)*(1-EXP((Tnet_s-t)/Tau_j)))*Salcycl</f>
        <v>0.16763538066794764</v>
      </c>
      <c r="AD305" s="233">
        <f>(INDEX(Models!$BJ305:$BT305,,AH305)*(1-AF305)+INDEX(Models!$BJ305:$BT305,,AH305+1)*AF305-ERP_i)*AE305*Ramure*Pc/MaxiM</f>
        <v>2.7098005496778606E-2</v>
      </c>
      <c r="AE305" s="307">
        <f t="shared" si="117"/>
        <v>0.9</v>
      </c>
      <c r="AF305" s="179">
        <f t="shared" si="118"/>
        <v>0.49756027853893547</v>
      </c>
      <c r="AG305" s="839">
        <f t="shared" si="124"/>
        <v>0</v>
      </c>
      <c r="AH305" s="178">
        <f t="shared" si="119"/>
        <v>6</v>
      </c>
      <c r="AI305" s="227">
        <f t="shared" si="120"/>
        <v>0.49756027853893547</v>
      </c>
      <c r="AJ305" s="267" t="b">
        <f t="shared" si="121"/>
        <v>1</v>
      </c>
      <c r="AK305" s="267" t="b">
        <f t="shared" si="122"/>
        <v>0</v>
      </c>
      <c r="AL305" s="267"/>
      <c r="AM305" s="267"/>
      <c r="AN305" s="75"/>
    </row>
    <row r="306" spans="1:40" s="6" customFormat="1" ht="11.25" x14ac:dyDescent="0.2">
      <c r="A306" s="56">
        <f t="shared" si="123"/>
        <v>44853</v>
      </c>
      <c r="B306" s="1141">
        <v>13.204000000000001</v>
      </c>
      <c r="C306" s="868"/>
      <c r="D306" s="395">
        <f t="shared" si="102"/>
        <v>13.685792908630669</v>
      </c>
      <c r="E306" s="387">
        <f t="shared" si="125"/>
        <v>15.984097506288411</v>
      </c>
      <c r="F306" s="387">
        <f t="shared" si="103"/>
        <v>16.129482258831349</v>
      </c>
      <c r="G306" s="110">
        <f t="shared" si="126"/>
        <v>0.51194368627237097</v>
      </c>
      <c r="H306" s="416" t="b">
        <f>Wh_hp&gt;='2021'!Maxi_hp</f>
        <v>0</v>
      </c>
      <c r="I306" s="382">
        <f>IF(H306,Wh_hp,'2021'!Maxi_hp)</f>
        <v>30.51278811937587</v>
      </c>
      <c r="J306" s="85">
        <f>IF(H306,An,'2021'!An_max)</f>
        <v>2020</v>
      </c>
      <c r="K306" s="199">
        <f t="shared" si="104"/>
        <v>44853</v>
      </c>
      <c r="L306" s="147">
        <f>IF(t&lt;Tvie,1-EXP((T0-t)*PertePVj)+'2021'!Pspv,1-EXP((T0-t)*PertePVj)+Pspv)</f>
        <v>3.5203872501010536E-2</v>
      </c>
      <c r="M306" s="872"/>
      <c r="N306" s="872"/>
      <c r="O306" s="48">
        <f>IF(t&lt;Tnet,'2021'!Resal+('2021'!Salim-'2021'!Resal)*(1-EXP(('2021'!Tnet-t)/('2021'!Tau_j))),Resal+(Salim-Resal)*(1-EXP((Tnet-t)/(Tau_j))))*Salcycl</f>
        <v>0.14378694804342568</v>
      </c>
      <c r="P306" s="341">
        <f>(INDEX(Models!$BJ306:$BT306,,T306)*(1-R306)+INDEX(Models!$BJ306:$BT306,,T306+1)*R306-ERP_i)*Q306*Ramure*Pc/MaxiM</f>
        <v>2.8400926346135585E-2</v>
      </c>
      <c r="Q306" s="307">
        <f t="shared" si="105"/>
        <v>0.9</v>
      </c>
      <c r="R306" s="179">
        <f t="shared" si="106"/>
        <v>0.49767501488008725</v>
      </c>
      <c r="S306" s="839">
        <f t="shared" si="107"/>
        <v>0</v>
      </c>
      <c r="T306" s="178">
        <f t="shared" si="108"/>
        <v>6</v>
      </c>
      <c r="U306" s="253">
        <f t="shared" si="109"/>
        <v>0.49767501488008725</v>
      </c>
      <c r="V306" s="385">
        <f t="shared" si="110"/>
        <v>25.287315286226228</v>
      </c>
      <c r="W306" s="404">
        <f t="shared" si="111"/>
        <v>0</v>
      </c>
      <c r="X306" s="157">
        <f t="shared" si="112"/>
        <v>44853</v>
      </c>
      <c r="Y306" s="387">
        <f t="shared" si="113"/>
        <v>12.837986454448</v>
      </c>
      <c r="Z306" s="387">
        <f t="shared" si="114"/>
        <v>13.306424112343306</v>
      </c>
      <c r="AA306" s="388">
        <f t="shared" si="115"/>
        <v>15.984097506288411</v>
      </c>
      <c r="AB306" s="199">
        <f t="shared" si="116"/>
        <v>44853</v>
      </c>
      <c r="AC306" s="119">
        <f>IF(OR(t&lt;Tnet,NoTnet),'2021'!Resal_s+('2021'!Salim-'2021'!Resal_s)*(1-EXP(('2021'!Tnet_s-t)/'2021'!Tau_j)),Resal_s+(Salim-Resal_s)*(1-EXP((Tnet_s-t)/Tau_j)))*Salcycl</f>
        <v>0.16752108731141463</v>
      </c>
      <c r="AD306" s="233">
        <f>(INDEX(Models!$BJ306:$BT306,,AH306)*(1-AF306)+INDEX(Models!$BJ306:$BT306,,AH306+1)*AF306-ERP_i)*AE306*Ramure*Pc/MaxiM</f>
        <v>2.8400926346135585E-2</v>
      </c>
      <c r="AE306" s="307">
        <f t="shared" si="117"/>
        <v>0.9</v>
      </c>
      <c r="AF306" s="179">
        <f t="shared" si="118"/>
        <v>0.49767501488008725</v>
      </c>
      <c r="AG306" s="839">
        <f t="shared" si="124"/>
        <v>0</v>
      </c>
      <c r="AH306" s="178">
        <f t="shared" si="119"/>
        <v>6</v>
      </c>
      <c r="AI306" s="227">
        <f t="shared" si="120"/>
        <v>0.49767501488008725</v>
      </c>
      <c r="AJ306" s="267" t="b">
        <f t="shared" si="121"/>
        <v>1</v>
      </c>
      <c r="AK306" s="267" t="b">
        <f t="shared" si="122"/>
        <v>0</v>
      </c>
      <c r="AL306" s="267"/>
      <c r="AM306" s="267"/>
      <c r="AN306" s="75"/>
    </row>
    <row r="307" spans="1:40" s="6" customFormat="1" ht="11.25" x14ac:dyDescent="0.2">
      <c r="A307" s="56">
        <f t="shared" si="123"/>
        <v>44854</v>
      </c>
      <c r="B307" s="1141">
        <v>8.3460000000000001</v>
      </c>
      <c r="C307" s="868"/>
      <c r="D307" s="395">
        <f t="shared" si="102"/>
        <v>8.6507335490330686</v>
      </c>
      <c r="E307" s="387">
        <f t="shared" si="125"/>
        <v>8.8541038366110936</v>
      </c>
      <c r="F307" s="387">
        <f t="shared" si="103"/>
        <v>8.8541038366110936</v>
      </c>
      <c r="G307" s="110">
        <f t="shared" si="126"/>
        <v>0.28442426554905698</v>
      </c>
      <c r="H307" s="416" t="b">
        <f>Wh_hp&gt;='2021'!Maxi_hp</f>
        <v>0</v>
      </c>
      <c r="I307" s="382">
        <f>IF(H307,Wh_hp,'2021'!Maxi_hp)</f>
        <v>26.828949468096958</v>
      </c>
      <c r="J307" s="85">
        <f>IF(H307,An,'2021'!An_max)</f>
        <v>2020</v>
      </c>
      <c r="K307" s="199">
        <f t="shared" si="104"/>
        <v>44854</v>
      </c>
      <c r="L307" s="147">
        <f>IF(t&lt;Tvie,1-EXP((T0-t)*PertePVj)+'2021'!Pspv,1-EXP((T0-t)*PertePVj)+Pspv)</f>
        <v>3.522632471637388E-2</v>
      </c>
      <c r="M307" s="872"/>
      <c r="N307" s="872"/>
      <c r="O307" s="48">
        <f>IF(t&lt;Tnet,'2021'!Resal+('2021'!Salim-'2021'!Resal)*(1-EXP(('2021'!Tnet-t)/('2021'!Tau_j))),Resal+(Salim-Resal)*(1-EXP((Tnet-t)/(Tau_j))))*Salcycl</f>
        <v>2.296904252885569E-2</v>
      </c>
      <c r="P307" s="341">
        <f>(INDEX(Models!$BJ307:$BT307,,T307)*(1-R307)+INDEX(Models!$BJ307:$BT307,,T307+1)*R307-ERP_i)*Q307*Ramure*Pc/MaxiM</f>
        <v>2.9743806708285594E-2</v>
      </c>
      <c r="Q307" s="307">
        <f t="shared" si="105"/>
        <v>0.9</v>
      </c>
      <c r="R307" s="179">
        <f t="shared" si="106"/>
        <v>0.49778517298797109</v>
      </c>
      <c r="S307" s="839">
        <f t="shared" si="107"/>
        <v>0</v>
      </c>
      <c r="T307" s="178">
        <f t="shared" si="108"/>
        <v>6</v>
      </c>
      <c r="U307" s="253">
        <f t="shared" si="109"/>
        <v>0.49778517298797109</v>
      </c>
      <c r="V307" s="385">
        <f t="shared" si="110"/>
        <v>28.470700886158969</v>
      </c>
      <c r="W307" s="404">
        <f t="shared" si="111"/>
        <v>0</v>
      </c>
      <c r="X307" s="157">
        <f t="shared" si="112"/>
        <v>44854</v>
      </c>
      <c r="Y307" s="387">
        <f t="shared" si="113"/>
        <v>7.3142186998406293</v>
      </c>
      <c r="Z307" s="387">
        <f t="shared" si="114"/>
        <v>7.5812793064553512</v>
      </c>
      <c r="AA307" s="388">
        <f t="shared" si="115"/>
        <v>8.8541038366110936</v>
      </c>
      <c r="AB307" s="199">
        <f t="shared" si="116"/>
        <v>44854</v>
      </c>
      <c r="AC307" s="119">
        <f>IF(OR(t&lt;Tnet,NoTnet),'2021'!Resal_s+('2021'!Salim-'2021'!Resal_s)*(1-EXP(('2021'!Tnet_s-t)/'2021'!Tau_j)),Resal_s+(Salim-Resal_s)*(1-EXP((Tnet_s-t)/Tau_j)))*Salcycl</f>
        <v>0.14375531997859603</v>
      </c>
      <c r="AD307" s="233">
        <f>(INDEX(Models!$BJ307:$BT307,,AH307)*(1-AF307)+INDEX(Models!$BJ307:$BT307,,AH307+1)*AF307-ERP_i)*AE307*Ramure*Pc/MaxiM</f>
        <v>2.9743806708285594E-2</v>
      </c>
      <c r="AE307" s="307">
        <f t="shared" si="117"/>
        <v>0.9</v>
      </c>
      <c r="AF307" s="179">
        <f t="shared" si="118"/>
        <v>0.49778517298797109</v>
      </c>
      <c r="AG307" s="839">
        <f t="shared" si="124"/>
        <v>0</v>
      </c>
      <c r="AH307" s="178">
        <f t="shared" si="119"/>
        <v>6</v>
      </c>
      <c r="AI307" s="227">
        <f t="shared" si="120"/>
        <v>0.49778517298797109</v>
      </c>
      <c r="AJ307" s="267" t="b">
        <f t="shared" si="121"/>
        <v>0</v>
      </c>
      <c r="AK307" s="267" t="b">
        <f t="shared" si="122"/>
        <v>0</v>
      </c>
      <c r="AL307" s="267"/>
      <c r="AM307" s="267"/>
      <c r="AN307" s="75"/>
    </row>
    <row r="308" spans="1:40" s="6" customFormat="1" ht="11.25" x14ac:dyDescent="0.2">
      <c r="A308" s="56">
        <f t="shared" si="123"/>
        <v>44855</v>
      </c>
      <c r="B308" s="1141">
        <v>14.589</v>
      </c>
      <c r="C308" s="868"/>
      <c r="D308" s="395">
        <f t="shared" si="102"/>
        <v>15.122033165918598</v>
      </c>
      <c r="E308" s="387">
        <f t="shared" si="125"/>
        <v>15.480801891094936</v>
      </c>
      <c r="F308" s="387">
        <f t="shared" si="103"/>
        <v>15.633368056436401</v>
      </c>
      <c r="G308" s="110">
        <f t="shared" si="126"/>
        <v>0.50825165439116693</v>
      </c>
      <c r="H308" s="416" t="b">
        <f>Wh_hp&gt;='2021'!Maxi_hp</f>
        <v>0</v>
      </c>
      <c r="I308" s="382">
        <f>IF(H308,Wh_hp,'2021'!Maxi_hp)</f>
        <v>22.431533601951021</v>
      </c>
      <c r="J308" s="85">
        <f>IF(H308,An,'2021'!An_max)</f>
        <v>2019</v>
      </c>
      <c r="K308" s="199">
        <f t="shared" si="104"/>
        <v>44855</v>
      </c>
      <c r="L308" s="147">
        <f>IF(t&lt;Tvie,1-EXP((T0-t)*PertePVj)+'2021'!Pspv,1-EXP((T0-t)*PertePVj)+Pspv)</f>
        <v>3.52487764092414E-2</v>
      </c>
      <c r="M308" s="872"/>
      <c r="N308" s="872"/>
      <c r="O308" s="48">
        <f>IF(t&lt;Tnet,'2021'!Resal+('2021'!Salim-'2021'!Resal)*(1-EXP(('2021'!Tnet-t)/('2021'!Tau_j))),Resal+(Salim-Resal)*(1-EXP((Tnet-t)/(Tau_j))))*Salcycl</f>
        <v>2.3175073726814658E-2</v>
      </c>
      <c r="P308" s="341">
        <f>(INDEX(Models!$BJ308:$BT308,,T308)*(1-R308)+INDEX(Models!$BJ308:$BT308,,T308+1)*R308-ERP_i)*Q308*Ramure*Pc/MaxiM</f>
        <v>3.112762169410746E-2</v>
      </c>
      <c r="Q308" s="307">
        <f t="shared" si="105"/>
        <v>0.9</v>
      </c>
      <c r="R308" s="179">
        <f t="shared" si="106"/>
        <v>0.49789093395114459</v>
      </c>
      <c r="S308" s="839">
        <f t="shared" si="107"/>
        <v>0</v>
      </c>
      <c r="T308" s="178">
        <f t="shared" si="108"/>
        <v>6</v>
      </c>
      <c r="U308" s="253">
        <f t="shared" si="109"/>
        <v>0.49789093395114459</v>
      </c>
      <c r="V308" s="385">
        <f t="shared" si="110"/>
        <v>28.084868689347239</v>
      </c>
      <c r="W308" s="404">
        <f t="shared" si="111"/>
        <v>0</v>
      </c>
      <c r="X308" s="157">
        <f t="shared" si="112"/>
        <v>44855</v>
      </c>
      <c r="Y308" s="387">
        <f t="shared" si="113"/>
        <v>12.788601932298482</v>
      </c>
      <c r="Z308" s="387">
        <f t="shared" si="114"/>
        <v>13.255854586739893</v>
      </c>
      <c r="AA308" s="388">
        <f t="shared" si="115"/>
        <v>15.480801891094936</v>
      </c>
      <c r="AB308" s="199">
        <f t="shared" si="116"/>
        <v>44855</v>
      </c>
      <c r="AC308" s="119">
        <f>IF(OR(t&lt;Tnet,NoTnet),'2021'!Resal_s+('2021'!Salim-'2021'!Resal_s)*(1-EXP(('2021'!Tnet_s-t)/'2021'!Tau_j)),Resal_s+(Salim-Resal_s)*(1-EXP((Tnet_s-t)/Tau_j)))*Salcycl</f>
        <v>0.14372300091475915</v>
      </c>
      <c r="AD308" s="233">
        <f>(INDEX(Models!$BJ308:$BT308,,AH308)*(1-AF308)+INDEX(Models!$BJ308:$BT308,,AH308+1)*AF308-ERP_i)*AE308*Ramure*Pc/MaxiM</f>
        <v>3.112762169410746E-2</v>
      </c>
      <c r="AE308" s="307">
        <f t="shared" si="117"/>
        <v>0.9</v>
      </c>
      <c r="AF308" s="179">
        <f t="shared" si="118"/>
        <v>0.49789093395114459</v>
      </c>
      <c r="AG308" s="839">
        <f t="shared" si="124"/>
        <v>0</v>
      </c>
      <c r="AH308" s="178">
        <f t="shared" si="119"/>
        <v>6</v>
      </c>
      <c r="AI308" s="227">
        <f t="shared" si="120"/>
        <v>0.49789093395114459</v>
      </c>
      <c r="AJ308" s="267" t="b">
        <f t="shared" si="121"/>
        <v>0</v>
      </c>
      <c r="AK308" s="267" t="b">
        <f t="shared" si="122"/>
        <v>0</v>
      </c>
      <c r="AL308" s="267"/>
      <c r="AM308" s="267"/>
      <c r="AN308" s="75"/>
    </row>
    <row r="309" spans="1:40" s="6" customFormat="1" ht="11.25" x14ac:dyDescent="0.2">
      <c r="A309" s="56">
        <f t="shared" si="123"/>
        <v>44856</v>
      </c>
      <c r="B309" s="1141">
        <v>25.846</v>
      </c>
      <c r="C309" s="868"/>
      <c r="D309" s="395">
        <f t="shared" si="102"/>
        <v>26.790949683355937</v>
      </c>
      <c r="E309" s="387">
        <f t="shared" si="125"/>
        <v>27.432321094446412</v>
      </c>
      <c r="F309" s="387">
        <f t="shared" si="103"/>
        <v>28.264273143615551</v>
      </c>
      <c r="G309" s="110">
        <f t="shared" si="126"/>
        <v>0.92994160424757011</v>
      </c>
      <c r="H309" s="416" t="b">
        <f>Wh_hp&gt;='2021'!Maxi_hp</f>
        <v>1</v>
      </c>
      <c r="I309" s="382">
        <f>IF(H309,Wh_hp,'2021'!Maxi_hp)</f>
        <v>28.264273143615551</v>
      </c>
      <c r="J309" s="85">
        <f>IF(H309,An,'2021'!An_max)</f>
        <v>2022</v>
      </c>
      <c r="K309" s="199">
        <f t="shared" si="104"/>
        <v>44856</v>
      </c>
      <c r="L309" s="147">
        <f>IF(t&lt;Tvie,1-EXP((T0-t)*PertePVj)+'2021'!Pspv,1-EXP((T0-t)*PertePVj)+Pspv)</f>
        <v>3.5271227579625197E-2</v>
      </c>
      <c r="M309" s="872"/>
      <c r="N309" s="872"/>
      <c r="O309" s="48">
        <f>IF(t&lt;Tnet,'2021'!Resal+('2021'!Salim-'2021'!Resal)*(1-EXP(('2021'!Tnet-t)/('2021'!Tau_j))),Resal+(Salim-Resal)*(1-EXP((Tnet-t)/(Tau_j))))*Salcycl</f>
        <v>2.3380136477781199E-2</v>
      </c>
      <c r="P309" s="341">
        <f>(INDEX(Models!$BJ309:$BT309,,T309)*(1-R309)+INDEX(Models!$BJ309:$BT309,,T309+1)*R309-ERP_i)*Q309*Ramure*Pc/MaxiM</f>
        <v>3.2553404718303917E-2</v>
      </c>
      <c r="Q309" s="307">
        <f t="shared" si="105"/>
        <v>0.9</v>
      </c>
      <c r="R309" s="179">
        <f t="shared" si="106"/>
        <v>0.4979924718205827</v>
      </c>
      <c r="S309" s="839">
        <f t="shared" si="107"/>
        <v>0</v>
      </c>
      <c r="T309" s="178">
        <f t="shared" si="108"/>
        <v>6</v>
      </c>
      <c r="U309" s="253">
        <f t="shared" si="109"/>
        <v>0.4979924718205827</v>
      </c>
      <c r="V309" s="385">
        <f t="shared" si="110"/>
        <v>27.703837336108272</v>
      </c>
      <c r="W309" s="404">
        <f t="shared" si="111"/>
        <v>0</v>
      </c>
      <c r="X309" s="157">
        <f t="shared" si="112"/>
        <v>44856</v>
      </c>
      <c r="Y309" s="387">
        <f t="shared" si="113"/>
        <v>22.662071171756327</v>
      </c>
      <c r="Z309" s="387">
        <f t="shared" si="114"/>
        <v>23.490613962824224</v>
      </c>
      <c r="AA309" s="388">
        <f t="shared" si="115"/>
        <v>27.432321094446412</v>
      </c>
      <c r="AB309" s="199">
        <f t="shared" si="116"/>
        <v>44856</v>
      </c>
      <c r="AC309" s="119">
        <f>IF(OR(t&lt;Tnet,NoTnet),'2021'!Resal_s+('2021'!Salim-'2021'!Resal_s)*(1-EXP(('2021'!Tnet_s-t)/'2021'!Tau_j)),Resal_s+(Salim-Resal_s)*(1-EXP((Tnet_s-t)/Tau_j)))*Salcycl</f>
        <v>0.14368842935496889</v>
      </c>
      <c r="AD309" s="233">
        <f>(INDEX(Models!$BJ309:$BT309,,AH309)*(1-AF309)+INDEX(Models!$BJ309:$BT309,,AH309+1)*AF309-ERP_i)*AE309*Ramure*Pc/MaxiM</f>
        <v>3.2553404718303917E-2</v>
      </c>
      <c r="AE309" s="307">
        <f t="shared" si="117"/>
        <v>0.9</v>
      </c>
      <c r="AF309" s="179">
        <f t="shared" si="118"/>
        <v>0.4979924718205827</v>
      </c>
      <c r="AG309" s="839">
        <f t="shared" si="124"/>
        <v>0</v>
      </c>
      <c r="AH309" s="178">
        <f t="shared" si="119"/>
        <v>6</v>
      </c>
      <c r="AI309" s="227">
        <f t="shared" si="120"/>
        <v>0.4979924718205827</v>
      </c>
      <c r="AJ309" s="267" t="b">
        <f t="shared" si="121"/>
        <v>0</v>
      </c>
      <c r="AK309" s="267" t="b">
        <f t="shared" si="122"/>
        <v>0</v>
      </c>
      <c r="AL309" s="267"/>
      <c r="AM309" s="267"/>
      <c r="AN309" s="75"/>
    </row>
    <row r="310" spans="1:40" s="6" customFormat="1" ht="11.25" x14ac:dyDescent="0.2">
      <c r="A310" s="56">
        <f t="shared" si="123"/>
        <v>44857</v>
      </c>
      <c r="B310" s="1141">
        <v>17.457000000000001</v>
      </c>
      <c r="C310" s="868"/>
      <c r="D310" s="395">
        <f t="shared" si="102"/>
        <v>18.095662489208234</v>
      </c>
      <c r="E310" s="387">
        <f t="shared" si="125"/>
        <v>18.532743238163661</v>
      </c>
      <c r="F310" s="387">
        <f t="shared" si="103"/>
        <v>18.843056398281568</v>
      </c>
      <c r="G310" s="110">
        <f t="shared" si="126"/>
        <v>0.62741059419686407</v>
      </c>
      <c r="H310" s="416" t="b">
        <f>Wh_hp&gt;='2021'!Maxi_hp</f>
        <v>0</v>
      </c>
      <c r="I310" s="382">
        <f>IF(H310,Wh_hp,'2021'!Maxi_hp)</f>
        <v>30.486938678311564</v>
      </c>
      <c r="J310" s="85">
        <f>IF(H310,An,'2021'!An_max)</f>
        <v>2021</v>
      </c>
      <c r="K310" s="199">
        <f t="shared" si="104"/>
        <v>44857</v>
      </c>
      <c r="L310" s="147">
        <f>IF(t&lt;Tvie,1-EXP((T0-t)*PertePVj)+'2021'!Pspv,1-EXP((T0-t)*PertePVj)+Pspv)</f>
        <v>3.5293678227537373E-2</v>
      </c>
      <c r="M310" s="872"/>
      <c r="N310" s="872"/>
      <c r="O310" s="48">
        <f>IF(t&lt;Tnet,'2021'!Resal+('2021'!Salim-'2021'!Resal)*(1-EXP(('2021'!Tnet-t)/('2021'!Tau_j))),Resal+(Salim-Resal)*(1-EXP((Tnet-t)/(Tau_j))))*Salcycl</f>
        <v>2.3584244563177509E-2</v>
      </c>
      <c r="P310" s="341">
        <f>(INDEX(Models!$BJ310:$BT310,,T310)*(1-R310)+INDEX(Models!$BJ310:$BT310,,T310+1)*R310-ERP_i)*Q310*Ramure*Pc/MaxiM</f>
        <v>3.4024089035782121E-2</v>
      </c>
      <c r="Q310" s="307">
        <f t="shared" si="105"/>
        <v>0.9</v>
      </c>
      <c r="R310" s="179">
        <f t="shared" si="106"/>
        <v>0.49808995387330468</v>
      </c>
      <c r="S310" s="839">
        <f t="shared" si="107"/>
        <v>0</v>
      </c>
      <c r="T310" s="178">
        <f t="shared" si="108"/>
        <v>6</v>
      </c>
      <c r="U310" s="253">
        <f t="shared" si="109"/>
        <v>0.49808995387330468</v>
      </c>
      <c r="V310" s="385">
        <f t="shared" si="110"/>
        <v>27.327235511131647</v>
      </c>
      <c r="W310" s="404">
        <f t="shared" si="111"/>
        <v>0</v>
      </c>
      <c r="X310" s="157">
        <f t="shared" si="112"/>
        <v>44857</v>
      </c>
      <c r="Y310" s="387">
        <f t="shared" si="113"/>
        <v>15.310354778389438</v>
      </c>
      <c r="Z310" s="387">
        <f t="shared" si="114"/>
        <v>15.870482480367292</v>
      </c>
      <c r="AA310" s="388">
        <f t="shared" si="115"/>
        <v>18.532743238163661</v>
      </c>
      <c r="AB310" s="199">
        <f t="shared" si="116"/>
        <v>44857</v>
      </c>
      <c r="AC310" s="119">
        <f>IF(OR(t&lt;Tnet,NoTnet),'2021'!Resal_s+('2021'!Salim-'2021'!Resal_s)*(1-EXP(('2021'!Tnet_s-t)/'2021'!Tau_j)),Resal_s+(Salim-Resal_s)*(1-EXP((Tnet_s-t)/Tau_j)))*Salcycl</f>
        <v>0.14365173701398354</v>
      </c>
      <c r="AD310" s="233">
        <f>(INDEX(Models!$BJ310:$BT310,,AH310)*(1-AF310)+INDEX(Models!$BJ310:$BT310,,AH310+1)*AF310-ERP_i)*AE310*Ramure*Pc/MaxiM</f>
        <v>3.4024089035782121E-2</v>
      </c>
      <c r="AE310" s="307">
        <f t="shared" si="117"/>
        <v>0.9</v>
      </c>
      <c r="AF310" s="179">
        <f t="shared" si="118"/>
        <v>0.49808995387330468</v>
      </c>
      <c r="AG310" s="839">
        <f t="shared" si="124"/>
        <v>0</v>
      </c>
      <c r="AH310" s="178">
        <f t="shared" si="119"/>
        <v>6</v>
      </c>
      <c r="AI310" s="227">
        <f t="shared" si="120"/>
        <v>0.49808995387330468</v>
      </c>
      <c r="AJ310" s="267" t="b">
        <f t="shared" si="121"/>
        <v>0</v>
      </c>
      <c r="AK310" s="267" t="b">
        <f t="shared" si="122"/>
        <v>0</v>
      </c>
      <c r="AL310" s="267"/>
      <c r="AM310" s="267"/>
      <c r="AN310" s="75"/>
    </row>
    <row r="311" spans="1:40" s="6" customFormat="1" ht="11.25" x14ac:dyDescent="0.2">
      <c r="A311" s="56">
        <f t="shared" si="123"/>
        <v>44858</v>
      </c>
      <c r="B311" s="1141">
        <v>20.626000000000001</v>
      </c>
      <c r="C311" s="868"/>
      <c r="D311" s="395">
        <f t="shared" si="102"/>
        <v>21.381097586699699</v>
      </c>
      <c r="E311" s="387">
        <f t="shared" si="125"/>
        <v>21.902091712988259</v>
      </c>
      <c r="F311" s="387">
        <f t="shared" si="103"/>
        <v>22.43189292410527</v>
      </c>
      <c r="G311" s="110">
        <f t="shared" si="126"/>
        <v>0.75586448200918499</v>
      </c>
      <c r="H311" s="416" t="b">
        <f>Wh_hp&gt;='2021'!Maxi_hp</f>
        <v>0</v>
      </c>
      <c r="I311" s="382">
        <f>IF(H311,Wh_hp,'2021'!Maxi_hp)</f>
        <v>30.713396956245166</v>
      </c>
      <c r="J311" s="85">
        <f>IF(H311,An,'2021'!An_max)</f>
        <v>2021</v>
      </c>
      <c r="K311" s="199">
        <f t="shared" si="104"/>
        <v>44858</v>
      </c>
      <c r="L311" s="147">
        <f>IF(t&lt;Tvie,1-EXP((T0-t)*PertePVj)+'2021'!Pspv,1-EXP((T0-t)*PertePVj)+Pspv)</f>
        <v>3.531612835299025E-2</v>
      </c>
      <c r="M311" s="872"/>
      <c r="N311" s="872"/>
      <c r="O311" s="48">
        <f>IF(t&lt;Tnet,'2021'!Resal+('2021'!Salim-'2021'!Resal)*(1-EXP(('2021'!Tnet-t)/('2021'!Tau_j))),Resal+(Salim-Resal)*(1-EXP((Tnet-t)/(Tau_j))))*Salcycl</f>
        <v>2.378741414819319E-2</v>
      </c>
      <c r="P311" s="341">
        <f>(INDEX(Models!$BJ311:$BT311,,T311)*(1-R311)+INDEX(Models!$BJ311:$BT311,,T311+1)*R311-ERP_i)*Q311*Ramure*Pc/MaxiM</f>
        <v>3.5538507260707154E-2</v>
      </c>
      <c r="Q311" s="307">
        <f t="shared" si="105"/>
        <v>0.9</v>
      </c>
      <c r="R311" s="179">
        <f t="shared" si="106"/>
        <v>0.49818354086690864</v>
      </c>
      <c r="S311" s="839">
        <f t="shared" si="107"/>
        <v>0</v>
      </c>
      <c r="T311" s="178">
        <f t="shared" si="108"/>
        <v>6</v>
      </c>
      <c r="U311" s="253">
        <f t="shared" si="109"/>
        <v>0.49818354086690864</v>
      </c>
      <c r="V311" s="385">
        <f t="shared" si="110"/>
        <v>26.954811414368528</v>
      </c>
      <c r="W311" s="404">
        <f t="shared" si="111"/>
        <v>0</v>
      </c>
      <c r="X311" s="157">
        <f t="shared" si="112"/>
        <v>44858</v>
      </c>
      <c r="Y311" s="387">
        <f t="shared" si="113"/>
        <v>18.09425239410416</v>
      </c>
      <c r="Z311" s="387">
        <f t="shared" si="114"/>
        <v>18.756665189407332</v>
      </c>
      <c r="AA311" s="388">
        <f t="shared" si="115"/>
        <v>21.902091712988259</v>
      </c>
      <c r="AB311" s="199">
        <f t="shared" si="116"/>
        <v>44858</v>
      </c>
      <c r="AC311" s="119">
        <f>IF(OR(t&lt;Tnet,NoTnet),'2021'!Resal_s+('2021'!Salim-'2021'!Resal_s)*(1-EXP(('2021'!Tnet_s-t)/'2021'!Tau_j)),Resal_s+(Salim-Resal_s)*(1-EXP((Tnet_s-t)/Tau_j)))*Salcycl</f>
        <v>0.14361306512636152</v>
      </c>
      <c r="AD311" s="233">
        <f>(INDEX(Models!$BJ311:$BT311,,AH311)*(1-AF311)+INDEX(Models!$BJ311:$BT311,,AH311+1)*AF311-ERP_i)*AE311*Ramure*Pc/MaxiM</f>
        <v>3.5538507260707154E-2</v>
      </c>
      <c r="AE311" s="307">
        <f t="shared" si="117"/>
        <v>0.9</v>
      </c>
      <c r="AF311" s="179">
        <f t="shared" si="118"/>
        <v>0.49818354086690864</v>
      </c>
      <c r="AG311" s="839">
        <f t="shared" si="124"/>
        <v>0</v>
      </c>
      <c r="AH311" s="178">
        <f t="shared" si="119"/>
        <v>6</v>
      </c>
      <c r="AI311" s="227">
        <f t="shared" si="120"/>
        <v>0.49818354086690864</v>
      </c>
      <c r="AJ311" s="267" t="b">
        <f t="shared" si="121"/>
        <v>0</v>
      </c>
      <c r="AK311" s="267" t="b">
        <f t="shared" si="122"/>
        <v>0</v>
      </c>
      <c r="AL311" s="267"/>
      <c r="AM311" s="267"/>
      <c r="AN311" s="75"/>
    </row>
    <row r="312" spans="1:40" s="6" customFormat="1" ht="11.25" x14ac:dyDescent="0.2">
      <c r="A312" s="56">
        <f t="shared" si="123"/>
        <v>44859</v>
      </c>
      <c r="B312" s="1141">
        <v>19.053000000000001</v>
      </c>
      <c r="C312" s="868"/>
      <c r="D312" s="395">
        <f t="shared" si="102"/>
        <v>19.750971236756762</v>
      </c>
      <c r="E312" s="387">
        <f t="shared" si="125"/>
        <v>20.236436545592483</v>
      </c>
      <c r="F312" s="387">
        <f t="shared" si="103"/>
        <v>20.693374313207297</v>
      </c>
      <c r="G312" s="110">
        <f t="shared" si="126"/>
        <v>0.70564416415562992</v>
      </c>
      <c r="H312" s="416" t="b">
        <f>Wh_hp&gt;='2021'!Maxi_hp</f>
        <v>0</v>
      </c>
      <c r="I312" s="382">
        <f>IF(H312,Wh_hp,'2021'!Maxi_hp)</f>
        <v>29.429997890434077</v>
      </c>
      <c r="J312" s="85">
        <f>IF(H312,An,'2021'!An_max)</f>
        <v>2021</v>
      </c>
      <c r="K312" s="199">
        <f t="shared" si="104"/>
        <v>44859</v>
      </c>
      <c r="L312" s="147">
        <f>IF(t&lt;Tvie,1-EXP((T0-t)*PertePVj)+'2021'!Pspv,1-EXP((T0-t)*PertePVj)+Pspv)</f>
        <v>3.5338577955995931E-2</v>
      </c>
      <c r="M312" s="872"/>
      <c r="N312" s="872"/>
      <c r="O312" s="48">
        <f>IF(t&lt;Tnet,'2021'!Resal+('2021'!Salim-'2021'!Resal)*(1-EXP(('2021'!Tnet-t)/('2021'!Tau_j))),Resal+(Salim-Resal)*(1-EXP((Tnet-t)/(Tau_j))))*Salcycl</f>
        <v>2.3989663780081681E-2</v>
      </c>
      <c r="P312" s="341">
        <f>(INDEX(Models!$BJ312:$BT312,,T312)*(1-R312)+INDEX(Models!$BJ312:$BT312,,T312+1)*R312-ERP_i)*Q312*Ramure*Pc/MaxiM</f>
        <v>3.7098250496622888E-2</v>
      </c>
      <c r="Q312" s="307">
        <f t="shared" si="105"/>
        <v>0.9</v>
      </c>
      <c r="R312" s="179">
        <f t="shared" si="106"/>
        <v>0.49827338728526749</v>
      </c>
      <c r="S312" s="839">
        <f t="shared" si="107"/>
        <v>0</v>
      </c>
      <c r="T312" s="178">
        <f t="shared" si="108"/>
        <v>6</v>
      </c>
      <c r="U312" s="253">
        <f t="shared" si="109"/>
        <v>0.49827338728526749</v>
      </c>
      <c r="V312" s="385">
        <f t="shared" si="110"/>
        <v>26.586236461448781</v>
      </c>
      <c r="W312" s="404">
        <f t="shared" si="111"/>
        <v>0</v>
      </c>
      <c r="X312" s="157">
        <f t="shared" si="112"/>
        <v>44859</v>
      </c>
      <c r="Y312" s="387">
        <f t="shared" si="113"/>
        <v>16.71858517435783</v>
      </c>
      <c r="Z312" s="387">
        <f t="shared" si="114"/>
        <v>17.331039463497063</v>
      </c>
      <c r="AA312" s="388">
        <f t="shared" si="115"/>
        <v>20.236436545592483</v>
      </c>
      <c r="AB312" s="199">
        <f t="shared" si="116"/>
        <v>44859</v>
      </c>
      <c r="AC312" s="119">
        <f>IF(OR(t&lt;Tnet,NoTnet),'2021'!Resal_s+('2021'!Salim-'2021'!Resal_s)*(1-EXP(('2021'!Tnet_s-t)/'2021'!Tau_j)),Resal_s+(Salim-Resal_s)*(1-EXP((Tnet_s-t)/Tau_j)))*Salcycl</f>
        <v>0.14357256405047344</v>
      </c>
      <c r="AD312" s="233">
        <f>(INDEX(Models!$BJ312:$BT312,,AH312)*(1-AF312)+INDEX(Models!$BJ312:$BT312,,AH312+1)*AF312-ERP_i)*AE312*Ramure*Pc/MaxiM</f>
        <v>3.7098250496622888E-2</v>
      </c>
      <c r="AE312" s="307">
        <f t="shared" si="117"/>
        <v>0.9</v>
      </c>
      <c r="AF312" s="179">
        <f t="shared" si="118"/>
        <v>0.49827338728526749</v>
      </c>
      <c r="AG312" s="839">
        <f t="shared" si="124"/>
        <v>0</v>
      </c>
      <c r="AH312" s="178">
        <f t="shared" si="119"/>
        <v>6</v>
      </c>
      <c r="AI312" s="227">
        <f t="shared" si="120"/>
        <v>0.49827338728526749</v>
      </c>
      <c r="AJ312" s="267" t="b">
        <f t="shared" si="121"/>
        <v>0</v>
      </c>
      <c r="AK312" s="267" t="b">
        <f t="shared" si="122"/>
        <v>0</v>
      </c>
      <c r="AL312" s="267"/>
      <c r="AM312" s="267"/>
      <c r="AN312" s="75"/>
    </row>
    <row r="313" spans="1:40" s="6" customFormat="1" ht="11.25" x14ac:dyDescent="0.2">
      <c r="A313" s="56">
        <f t="shared" si="123"/>
        <v>44860</v>
      </c>
      <c r="B313" s="1141">
        <v>15.084</v>
      </c>
      <c r="C313" s="868"/>
      <c r="D313" s="395">
        <f t="shared" si="102"/>
        <v>15.636938194256214</v>
      </c>
      <c r="E313" s="387">
        <f t="shared" si="125"/>
        <v>16.024589263425955</v>
      </c>
      <c r="F313" s="387">
        <f t="shared" si="103"/>
        <v>16.272249692273434</v>
      </c>
      <c r="G313" s="110">
        <f t="shared" si="126"/>
        <v>0.56154119392065627</v>
      </c>
      <c r="H313" s="416" t="b">
        <f>Wh_hp&gt;='2021'!Maxi_hp</f>
        <v>0</v>
      </c>
      <c r="I313" s="382">
        <f>IF(H313,Wh_hp,'2021'!Maxi_hp)</f>
        <v>29.199862154592079</v>
      </c>
      <c r="J313" s="85">
        <f>IF(H313,An,'2021'!An_max)</f>
        <v>2019</v>
      </c>
      <c r="K313" s="199">
        <f t="shared" si="104"/>
        <v>44860</v>
      </c>
      <c r="L313" s="147">
        <f>IF(t&lt;Tvie,1-EXP((T0-t)*PertePVj)+'2021'!Pspv,1-EXP((T0-t)*PertePVj)+Pspv)</f>
        <v>3.5361027036566517E-2</v>
      </c>
      <c r="M313" s="872"/>
      <c r="N313" s="872"/>
      <c r="O313" s="48">
        <f>IF(t&lt;Tnet,'2021'!Resal+('2021'!Salim-'2021'!Resal)*(1-EXP(('2021'!Tnet-t)/('2021'!Tau_j))),Resal+(Salim-Resal)*(1-EXP((Tnet-t)/(Tau_j))))*Salcycl</f>
        <v>2.4191014371551255E-2</v>
      </c>
      <c r="P313" s="341">
        <f>(INDEX(Models!$BJ313:$BT313,,T313)*(1-R313)+INDEX(Models!$BJ313:$BT313,,T313+1)*R313-ERP_i)*Q313*Ramure*Pc/MaxiM</f>
        <v>3.870473220231184E-2</v>
      </c>
      <c r="Q313" s="307">
        <f t="shared" si="105"/>
        <v>0.9</v>
      </c>
      <c r="R313" s="179">
        <f t="shared" si="106"/>
        <v>0.49835964157563117</v>
      </c>
      <c r="S313" s="839">
        <f t="shared" si="107"/>
        <v>0</v>
      </c>
      <c r="T313" s="178">
        <f t="shared" si="108"/>
        <v>6</v>
      </c>
      <c r="U313" s="253">
        <f t="shared" si="109"/>
        <v>0.49835964157563117</v>
      </c>
      <c r="V313" s="385">
        <f t="shared" si="110"/>
        <v>26.221190164902747</v>
      </c>
      <c r="W313" s="404">
        <f t="shared" si="111"/>
        <v>0</v>
      </c>
      <c r="X313" s="157">
        <f t="shared" si="112"/>
        <v>44860</v>
      </c>
      <c r="Y313" s="387">
        <f t="shared" si="113"/>
        <v>13.239258651194353</v>
      </c>
      <c r="Z313" s="387">
        <f t="shared" si="114"/>
        <v>13.724573671870722</v>
      </c>
      <c r="AA313" s="388">
        <f t="shared" si="115"/>
        <v>16.024589263425955</v>
      </c>
      <c r="AB313" s="199">
        <f t="shared" si="116"/>
        <v>44860</v>
      </c>
      <c r="AC313" s="119">
        <f>IF(OR(t&lt;Tnet,NoTnet),'2021'!Resal_s+('2021'!Salim-'2021'!Resal_s)*(1-EXP(('2021'!Tnet_s-t)/'2021'!Tau_j)),Resal_s+(Salim-Resal_s)*(1-EXP((Tnet_s-t)/Tau_j)))*Salcycl</f>
        <v>0.14353039280730395</v>
      </c>
      <c r="AD313" s="233">
        <f>(INDEX(Models!$BJ313:$BT313,,AH313)*(1-AF313)+INDEX(Models!$BJ313:$BT313,,AH313+1)*AF313-ERP_i)*AE313*Ramure*Pc/MaxiM</f>
        <v>3.870473220231184E-2</v>
      </c>
      <c r="AE313" s="307">
        <f t="shared" si="117"/>
        <v>0.9</v>
      </c>
      <c r="AF313" s="179">
        <f t="shared" si="118"/>
        <v>0.49835964157563117</v>
      </c>
      <c r="AG313" s="839">
        <f t="shared" si="124"/>
        <v>0</v>
      </c>
      <c r="AH313" s="178">
        <f t="shared" si="119"/>
        <v>6</v>
      </c>
      <c r="AI313" s="227">
        <f t="shared" si="120"/>
        <v>0.49835964157563117</v>
      </c>
      <c r="AJ313" s="267" t="b">
        <f t="shared" si="121"/>
        <v>0</v>
      </c>
      <c r="AK313" s="267" t="b">
        <f t="shared" si="122"/>
        <v>0</v>
      </c>
      <c r="AL313" s="267"/>
      <c r="AM313" s="267"/>
      <c r="AN313" s="75"/>
    </row>
    <row r="314" spans="1:40" s="6" customFormat="1" ht="11.25" x14ac:dyDescent="0.2">
      <c r="A314" s="56">
        <f t="shared" si="123"/>
        <v>44861</v>
      </c>
      <c r="B314" s="1141">
        <v>12.048</v>
      </c>
      <c r="C314" s="868"/>
      <c r="D314" s="395">
        <f t="shared" si="102"/>
        <v>12.489937394995327</v>
      </c>
      <c r="E314" s="387">
        <f t="shared" si="125"/>
        <v>12.80220217057779</v>
      </c>
      <c r="F314" s="387">
        <f t="shared" si="103"/>
        <v>12.925844051275565</v>
      </c>
      <c r="G314" s="110">
        <f t="shared" si="126"/>
        <v>0.45141930534871139</v>
      </c>
      <c r="H314" s="416" t="b">
        <f>Wh_hp&gt;='2021'!Maxi_hp</f>
        <v>0</v>
      </c>
      <c r="I314" s="382">
        <f>IF(H314,Wh_hp,'2021'!Maxi_hp)</f>
        <v>29.266376232509479</v>
      </c>
      <c r="J314" s="85">
        <f>IF(H314,An,'2021'!An_max)</f>
        <v>2021</v>
      </c>
      <c r="K314" s="199">
        <f t="shared" si="104"/>
        <v>44861</v>
      </c>
      <c r="L314" s="147">
        <f>IF(t&lt;Tvie,1-EXP((T0-t)*PertePVj)+'2021'!Pspv,1-EXP((T0-t)*PertePVj)+Pspv)</f>
        <v>3.538347559471422E-2</v>
      </c>
      <c r="M314" s="872"/>
      <c r="N314" s="872"/>
      <c r="O314" s="48">
        <f>IF(t&lt;Tnet,'2021'!Resal+('2021'!Salim-'2021'!Resal)*(1-EXP(('2021'!Tnet-t)/('2021'!Tau_j))),Resal+(Salim-Resal)*(1-EXP((Tnet-t)/(Tau_j))))*Salcycl</f>
        <v>2.4391489168958381E-2</v>
      </c>
      <c r="P314" s="341">
        <f>(INDEX(Models!$BJ314:$BT314,,T314)*(1-R314)+INDEX(Models!$BJ314:$BT314,,T314+1)*R314-ERP_i)*Q314*Ramure*Pc/MaxiM</f>
        <v>4.0359466479580414E-2</v>
      </c>
      <c r="Q314" s="307">
        <f t="shared" si="105"/>
        <v>0.9</v>
      </c>
      <c r="R314" s="179">
        <f t="shared" si="106"/>
        <v>0.49844244637738411</v>
      </c>
      <c r="S314" s="839">
        <f t="shared" si="107"/>
        <v>0</v>
      </c>
      <c r="T314" s="178">
        <f t="shared" si="108"/>
        <v>6</v>
      </c>
      <c r="U314" s="253">
        <f t="shared" si="109"/>
        <v>0.49844244637738411</v>
      </c>
      <c r="V314" s="385">
        <f t="shared" si="110"/>
        <v>25.859352420636583</v>
      </c>
      <c r="W314" s="404">
        <f t="shared" si="111"/>
        <v>0</v>
      </c>
      <c r="X314" s="157">
        <f t="shared" si="112"/>
        <v>44861</v>
      </c>
      <c r="Y314" s="387">
        <f t="shared" si="113"/>
        <v>10.577267316012735</v>
      </c>
      <c r="Z314" s="387">
        <f t="shared" si="114"/>
        <v>10.965256190830786</v>
      </c>
      <c r="AA314" s="388">
        <f t="shared" si="115"/>
        <v>12.80220217057779</v>
      </c>
      <c r="AB314" s="199">
        <f t="shared" si="116"/>
        <v>44861</v>
      </c>
      <c r="AC314" s="119">
        <f>IF(OR(t&lt;Tnet,NoTnet),'2021'!Resal_s+('2021'!Salim-'2021'!Resal_s)*(1-EXP(('2021'!Tnet_s-t)/'2021'!Tau_j)),Resal_s+(Salim-Resal_s)*(1-EXP((Tnet_s-t)/Tau_j)))*Salcycl</f>
        <v>0.1434867185560231</v>
      </c>
      <c r="AD314" s="233">
        <f>(INDEX(Models!$BJ314:$BT314,,AH314)*(1-AF314)+INDEX(Models!$BJ314:$BT314,,AH314+1)*AF314-ERP_i)*AE314*Ramure*Pc/MaxiM</f>
        <v>4.0359466479580414E-2</v>
      </c>
      <c r="AE314" s="307">
        <f t="shared" si="117"/>
        <v>0.9</v>
      </c>
      <c r="AF314" s="179">
        <f t="shared" si="118"/>
        <v>0.49844244637738411</v>
      </c>
      <c r="AG314" s="839">
        <f t="shared" si="124"/>
        <v>0</v>
      </c>
      <c r="AH314" s="178">
        <f t="shared" si="119"/>
        <v>6</v>
      </c>
      <c r="AI314" s="227">
        <f t="shared" si="120"/>
        <v>0.49844244637738411</v>
      </c>
      <c r="AJ314" s="267" t="b">
        <f t="shared" si="121"/>
        <v>0</v>
      </c>
      <c r="AK314" s="267" t="b">
        <f t="shared" si="122"/>
        <v>0</v>
      </c>
      <c r="AL314" s="267"/>
      <c r="AM314" s="267"/>
      <c r="AN314" s="75"/>
    </row>
    <row r="315" spans="1:40" s="6" customFormat="1" ht="11.25" x14ac:dyDescent="0.2">
      <c r="A315" s="56">
        <f t="shared" si="123"/>
        <v>44862</v>
      </c>
      <c r="B315" s="1141">
        <v>16.384</v>
      </c>
      <c r="C315" s="868"/>
      <c r="D315" s="395">
        <f t="shared" si="102"/>
        <v>16.985383179694203</v>
      </c>
      <c r="E315" s="387">
        <f t="shared" si="125"/>
        <v>17.413603072875365</v>
      </c>
      <c r="F315" s="387">
        <f t="shared" si="103"/>
        <v>17.779529444587805</v>
      </c>
      <c r="G315" s="110">
        <f t="shared" si="126"/>
        <v>0.62840693291211136</v>
      </c>
      <c r="H315" s="416" t="b">
        <f>Wh_hp&gt;='2021'!Maxi_hp</f>
        <v>0</v>
      </c>
      <c r="I315" s="382">
        <f>IF(H315,Wh_hp,'2021'!Maxi_hp)</f>
        <v>28.371022569697843</v>
      </c>
      <c r="J315" s="85">
        <f>IF(H315,An,'2021'!An_max)</f>
        <v>2021</v>
      </c>
      <c r="K315" s="199">
        <f t="shared" si="104"/>
        <v>44862</v>
      </c>
      <c r="L315" s="147">
        <f>IF(t&lt;Tvie,1-EXP((T0-t)*PertePVj)+'2021'!Pspv,1-EXP((T0-t)*PertePVj)+Pspv)</f>
        <v>3.5405923630451142E-2</v>
      </c>
      <c r="M315" s="872"/>
      <c r="N315" s="872"/>
      <c r="O315" s="48">
        <f>IF(t&lt;Tnet,'2021'!Resal+('2021'!Salim-'2021'!Resal)*(1-EXP(('2021'!Tnet-t)/('2021'!Tau_j))),Resal+(Salim-Resal)*(1-EXP((Tnet-t)/(Tau_j))))*Salcycl</f>
        <v>2.4591113705134622E-2</v>
      </c>
      <c r="P315" s="341">
        <f>(INDEX(Models!$BJ315:$BT315,,T315)*(1-R315)+INDEX(Models!$BJ315:$BT315,,T315+1)*R315-ERP_i)*Q315*Ramure*Pc/MaxiM</f>
        <v>4.2064077752453216E-2</v>
      </c>
      <c r="Q315" s="307">
        <f t="shared" si="105"/>
        <v>0.9</v>
      </c>
      <c r="R315" s="179">
        <f t="shared" si="106"/>
        <v>0.49852193874269857</v>
      </c>
      <c r="S315" s="839">
        <f t="shared" si="107"/>
        <v>0</v>
      </c>
      <c r="T315" s="178">
        <f t="shared" si="108"/>
        <v>6</v>
      </c>
      <c r="U315" s="253">
        <f t="shared" si="109"/>
        <v>0.49852193874269857</v>
      </c>
      <c r="V315" s="385">
        <f t="shared" si="110"/>
        <v>25.50040351969589</v>
      </c>
      <c r="W315" s="404">
        <f t="shared" si="111"/>
        <v>0</v>
      </c>
      <c r="X315" s="157">
        <f t="shared" si="112"/>
        <v>44862</v>
      </c>
      <c r="Y315" s="387">
        <f t="shared" si="113"/>
        <v>14.387659495515882</v>
      </c>
      <c r="Z315" s="387">
        <f t="shared" si="114"/>
        <v>14.915765966205019</v>
      </c>
      <c r="AA315" s="388">
        <f t="shared" si="115"/>
        <v>17.413603072875365</v>
      </c>
      <c r="AB315" s="199">
        <f t="shared" si="116"/>
        <v>44862</v>
      </c>
      <c r="AC315" s="119">
        <f>IF(OR(t&lt;Tnet,NoTnet),'2021'!Resal_s+('2021'!Salim-'2021'!Resal_s)*(1-EXP(('2021'!Tnet_s-t)/'2021'!Tau_j)),Resal_s+(Salim-Resal_s)*(1-EXP((Tnet_s-t)/Tau_j)))*Salcycl</f>
        <v>0.14344171600885691</v>
      </c>
      <c r="AD315" s="233">
        <f>(INDEX(Models!$BJ315:$BT315,,AH315)*(1-AF315)+INDEX(Models!$BJ315:$BT315,,AH315+1)*AF315-ERP_i)*AE315*Ramure*Pc/MaxiM</f>
        <v>4.2064077752453216E-2</v>
      </c>
      <c r="AE315" s="307">
        <f t="shared" si="117"/>
        <v>0.9</v>
      </c>
      <c r="AF315" s="179">
        <f t="shared" si="118"/>
        <v>0.49852193874269857</v>
      </c>
      <c r="AG315" s="839">
        <f t="shared" si="124"/>
        <v>0</v>
      </c>
      <c r="AH315" s="178">
        <f t="shared" si="119"/>
        <v>6</v>
      </c>
      <c r="AI315" s="227">
        <f t="shared" si="120"/>
        <v>0.49852193874269857</v>
      </c>
      <c r="AJ315" s="267" t="b">
        <f t="shared" si="121"/>
        <v>0</v>
      </c>
      <c r="AK315" s="267" t="b">
        <f t="shared" si="122"/>
        <v>0</v>
      </c>
      <c r="AL315" s="267"/>
      <c r="AM315" s="267"/>
      <c r="AN315" s="75"/>
    </row>
    <row r="316" spans="1:40" s="6" customFormat="1" ht="11.25" x14ac:dyDescent="0.2">
      <c r="A316" s="56">
        <f t="shared" si="123"/>
        <v>44863</v>
      </c>
      <c r="B316" s="1141">
        <v>20.785</v>
      </c>
      <c r="C316" s="868"/>
      <c r="D316" s="395">
        <f t="shared" si="102"/>
        <v>21.548425620445489</v>
      </c>
      <c r="E316" s="387">
        <f t="shared" si="125"/>
        <v>22.09618826565568</v>
      </c>
      <c r="F316" s="387">
        <f t="shared" si="103"/>
        <v>22.84948455481803</v>
      </c>
      <c r="G316" s="110">
        <f t="shared" si="126"/>
        <v>0.81736079708713716</v>
      </c>
      <c r="H316" s="416" t="b">
        <f>Wh_hp&gt;='2021'!Maxi_hp</f>
        <v>0</v>
      </c>
      <c r="I316" s="382">
        <f>IF(H316,Wh_hp,'2021'!Maxi_hp)</f>
        <v>25.15927908632538</v>
      </c>
      <c r="J316" s="85">
        <f>IF(H316,An,'2021'!An_max)</f>
        <v>2019</v>
      </c>
      <c r="K316" s="199">
        <f t="shared" si="104"/>
        <v>44863</v>
      </c>
      <c r="L316" s="147">
        <f>IF(t&lt;Tvie,1-EXP((T0-t)*PertePVj)+'2021'!Pspv,1-EXP((T0-t)*PertePVj)+Pspv)</f>
        <v>3.5428371143789605E-2</v>
      </c>
      <c r="M316" s="872"/>
      <c r="N316" s="872"/>
      <c r="O316" s="48">
        <f>IF(t&lt;Tnet,'2021'!Resal+('2021'!Salim-'2021'!Resal)*(1-EXP(('2021'!Tnet-t)/('2021'!Tau_j))),Resal+(Salim-Resal)*(1-EXP((Tnet-t)/(Tau_j))))*Salcycl</f>
        <v>2.478991573680538E-2</v>
      </c>
      <c r="P316" s="341">
        <f>(INDEX(Models!$BJ316:$BT316,,T316)*(1-R316)+INDEX(Models!$BJ316:$BT316,,T316+1)*R316-ERP_i)*Q316*Ramure*Pc/MaxiM</f>
        <v>4.3820311349907978E-2</v>
      </c>
      <c r="Q316" s="307">
        <f t="shared" si="105"/>
        <v>0.9</v>
      </c>
      <c r="R316" s="179">
        <f t="shared" si="106"/>
        <v>0.49859825034932914</v>
      </c>
      <c r="S316" s="839">
        <f t="shared" si="107"/>
        <v>0</v>
      </c>
      <c r="T316" s="178">
        <f t="shared" si="108"/>
        <v>6</v>
      </c>
      <c r="U316" s="253">
        <f t="shared" si="109"/>
        <v>0.49859825034932914</v>
      </c>
      <c r="V316" s="385">
        <f t="shared" si="110"/>
        <v>25.144024145465234</v>
      </c>
      <c r="W316" s="404">
        <f t="shared" si="111"/>
        <v>0</v>
      </c>
      <c r="X316" s="157">
        <f t="shared" si="112"/>
        <v>44863</v>
      </c>
      <c r="Y316" s="387">
        <f t="shared" si="113"/>
        <v>18.257115499125181</v>
      </c>
      <c r="Z316" s="387">
        <f t="shared" si="114"/>
        <v>18.927692825440531</v>
      </c>
      <c r="AA316" s="388">
        <f t="shared" si="115"/>
        <v>22.09618826565568</v>
      </c>
      <c r="AB316" s="199">
        <f t="shared" si="116"/>
        <v>44863</v>
      </c>
      <c r="AC316" s="119">
        <f>IF(OR(t&lt;Tnet,NoTnet),'2021'!Resal_s+('2021'!Salim-'2021'!Resal_s)*(1-EXP(('2021'!Tnet_s-t)/'2021'!Tau_j)),Resal_s+(Salim-Resal_s)*(1-EXP((Tnet_s-t)/Tau_j)))*Salcycl</f>
        <v>0.14339556678832119</v>
      </c>
      <c r="AD316" s="233">
        <f>(INDEX(Models!$BJ316:$BT316,,AH316)*(1-AF316)+INDEX(Models!$BJ316:$BT316,,AH316+1)*AF316-ERP_i)*AE316*Ramure*Pc/MaxiM</f>
        <v>4.3820311349907978E-2</v>
      </c>
      <c r="AE316" s="307">
        <f t="shared" si="117"/>
        <v>0.9</v>
      </c>
      <c r="AF316" s="179">
        <f t="shared" si="118"/>
        <v>0.49859825034932914</v>
      </c>
      <c r="AG316" s="839">
        <f t="shared" si="124"/>
        <v>0</v>
      </c>
      <c r="AH316" s="178">
        <f t="shared" si="119"/>
        <v>6</v>
      </c>
      <c r="AI316" s="227">
        <f t="shared" si="120"/>
        <v>0.49859825034932914</v>
      </c>
      <c r="AJ316" s="267" t="b">
        <f t="shared" si="121"/>
        <v>0</v>
      </c>
      <c r="AK316" s="267" t="b">
        <f t="shared" si="122"/>
        <v>0</v>
      </c>
      <c r="AL316" s="267"/>
      <c r="AM316" s="267"/>
      <c r="AN316" s="75"/>
    </row>
    <row r="317" spans="1:40" s="6" customFormat="1" ht="11.25" x14ac:dyDescent="0.2">
      <c r="A317" s="56">
        <f t="shared" si="123"/>
        <v>44864</v>
      </c>
      <c r="B317" s="1141">
        <v>17.899000000000001</v>
      </c>
      <c r="C317" s="868"/>
      <c r="D317" s="395">
        <f t="shared" si="102"/>
        <v>18.556855717182476</v>
      </c>
      <c r="E317" s="387">
        <f t="shared" si="125"/>
        <v>19.032436824287512</v>
      </c>
      <c r="F317" s="387">
        <f t="shared" si="103"/>
        <v>19.570842257712922</v>
      </c>
      <c r="G317" s="110">
        <f t="shared" si="126"/>
        <v>0.70857855774897194</v>
      </c>
      <c r="H317" s="416" t="b">
        <f>Wh_hp&gt;='2021'!Maxi_hp</f>
        <v>0</v>
      </c>
      <c r="I317" s="382">
        <f>IF(H317,Wh_hp,'2021'!Maxi_hp)</f>
        <v>25.463678721185552</v>
      </c>
      <c r="J317" s="85">
        <f>IF(H317,An,'2021'!An_max)</f>
        <v>2020</v>
      </c>
      <c r="K317" s="199">
        <f t="shared" si="104"/>
        <v>44864</v>
      </c>
      <c r="L317" s="147">
        <f>IF(t&lt;Tvie,1-EXP((T0-t)*PertePVj)+'2021'!Pspv,1-EXP((T0-t)*PertePVj)+Pspv)</f>
        <v>3.5450818134741491E-2</v>
      </c>
      <c r="M317" s="872"/>
      <c r="N317" s="872"/>
      <c r="O317" s="48">
        <f>IF(t&lt;Tnet,'2021'!Resal+('2021'!Salim-'2021'!Resal)*(1-EXP(('2021'!Tnet-t)/('2021'!Tau_j))),Resal+(Salim-Resal)*(1-EXP((Tnet-t)/(Tau_j))))*Salcycl</f>
        <v>2.4987925166689219E-2</v>
      </c>
      <c r="P317" s="341">
        <f>(INDEX(Models!$BJ317:$BT317,,T317)*(1-R317)+INDEX(Models!$BJ317:$BT317,,T317+1)*R317-ERP_i)*Q317*Ramure*Pc/MaxiM</f>
        <v>4.5630260834188745E-2</v>
      </c>
      <c r="Q317" s="307">
        <f t="shared" si="105"/>
        <v>0.9</v>
      </c>
      <c r="R317" s="179">
        <f t="shared" si="106"/>
        <v>0.49867150770578228</v>
      </c>
      <c r="S317" s="839">
        <f t="shared" si="107"/>
        <v>0</v>
      </c>
      <c r="T317" s="178">
        <f t="shared" si="108"/>
        <v>6</v>
      </c>
      <c r="U317" s="253">
        <f t="shared" si="109"/>
        <v>0.49867150770578228</v>
      </c>
      <c r="V317" s="385">
        <f t="shared" si="110"/>
        <v>24.789772548928497</v>
      </c>
      <c r="W317" s="404">
        <f t="shared" si="111"/>
        <v>0</v>
      </c>
      <c r="X317" s="157">
        <f t="shared" si="112"/>
        <v>44864</v>
      </c>
      <c r="Y317" s="387">
        <f t="shared" si="113"/>
        <v>15.726170303897002</v>
      </c>
      <c r="Z317" s="387">
        <f t="shared" si="114"/>
        <v>16.304166339642233</v>
      </c>
      <c r="AA317" s="388">
        <f t="shared" si="115"/>
        <v>19.032436824287512</v>
      </c>
      <c r="AB317" s="199">
        <f t="shared" si="116"/>
        <v>44864</v>
      </c>
      <c r="AC317" s="119">
        <f>IF(OR(t&lt;Tnet,NoTnet),'2021'!Resal_s+('2021'!Salim-'2021'!Resal_s)*(1-EXP(('2021'!Tnet_s-t)/'2021'!Tau_j)),Resal_s+(Salim-Resal_s)*(1-EXP((Tnet_s-t)/Tau_j)))*Salcycl</f>
        <v>0.14334845873039775</v>
      </c>
      <c r="AD317" s="233">
        <f>(INDEX(Models!$BJ317:$BT317,,AH317)*(1-AF317)+INDEX(Models!$BJ317:$BT317,,AH317+1)*AF317-ERP_i)*AE317*Ramure*Pc/MaxiM</f>
        <v>4.5630260834188745E-2</v>
      </c>
      <c r="AE317" s="307">
        <f t="shared" si="117"/>
        <v>0.9</v>
      </c>
      <c r="AF317" s="179">
        <f t="shared" si="118"/>
        <v>0.49867150770578228</v>
      </c>
      <c r="AG317" s="839">
        <f t="shared" si="124"/>
        <v>0</v>
      </c>
      <c r="AH317" s="178">
        <f t="shared" si="119"/>
        <v>6</v>
      </c>
      <c r="AI317" s="227">
        <f t="shared" si="120"/>
        <v>0.49867150770578228</v>
      </c>
      <c r="AJ317" s="267" t="b">
        <f t="shared" si="121"/>
        <v>0</v>
      </c>
      <c r="AK317" s="267" t="b">
        <f t="shared" si="122"/>
        <v>0</v>
      </c>
      <c r="AL317" s="267"/>
      <c r="AM317" s="267"/>
      <c r="AN317" s="75"/>
    </row>
    <row r="318" spans="1:40" s="6" customFormat="1" ht="11.25" x14ac:dyDescent="0.2">
      <c r="A318" s="56">
        <f t="shared" si="123"/>
        <v>44865</v>
      </c>
      <c r="B318" s="1141">
        <v>17.417999999999999</v>
      </c>
      <c r="C318" s="868"/>
      <c r="D318" s="395">
        <f t="shared" si="102"/>
        <v>18.05859740407973</v>
      </c>
      <c r="E318" s="387">
        <f t="shared" si="125"/>
        <v>18.525156697978566</v>
      </c>
      <c r="F318" s="387">
        <f t="shared" si="103"/>
        <v>19.058430502619427</v>
      </c>
      <c r="G318" s="110">
        <f t="shared" si="126"/>
        <v>0.69844200266224654</v>
      </c>
      <c r="H318" s="416" t="b">
        <f>Wh_hp&gt;='2021'!Maxi_hp</f>
        <v>0</v>
      </c>
      <c r="I318" s="382">
        <f>IF(H318,Wh_hp,'2021'!Maxi_hp)</f>
        <v>27.758372597474693</v>
      </c>
      <c r="J318" s="85">
        <f>IF(H318,An,'2021'!An_max)</f>
        <v>2020</v>
      </c>
      <c r="K318" s="199">
        <f t="shared" si="104"/>
        <v>44865</v>
      </c>
      <c r="L318" s="147">
        <f>IF(t&lt;Tvie,1-EXP((T0-t)*PertePVj)+'2021'!Pspv,1-EXP((T0-t)*PertePVj)+Pspv)</f>
        <v>3.5473264603319121E-2</v>
      </c>
      <c r="M318" s="872"/>
      <c r="N318" s="872"/>
      <c r="O318" s="48">
        <f>IF(t&lt;Tnet,'2021'!Resal+('2021'!Salim-'2021'!Resal)*(1-EXP(('2021'!Tnet-t)/('2021'!Tau_j))),Resal+(Salim-Resal)*(1-EXP((Tnet-t)/(Tau_j))))*Salcycl</f>
        <v>2.5185173950498699E-2</v>
      </c>
      <c r="P318" s="341">
        <f>(INDEX(Models!$BJ318:$BT318,,T318)*(1-R318)+INDEX(Models!$BJ318:$BT318,,T318+1)*R318-ERP_i)*Q318*Ramure*Pc/MaxiM</f>
        <v>4.7457266664507031E-2</v>
      </c>
      <c r="Q318" s="307">
        <f t="shared" si="105"/>
        <v>0.9</v>
      </c>
      <c r="R318" s="179">
        <f t="shared" si="106"/>
        <v>0.49874183234909697</v>
      </c>
      <c r="S318" s="839">
        <f t="shared" si="107"/>
        <v>0</v>
      </c>
      <c r="T318" s="178">
        <f t="shared" si="108"/>
        <v>6</v>
      </c>
      <c r="U318" s="253">
        <f t="shared" si="109"/>
        <v>0.49874183234909697</v>
      </c>
      <c r="V318" s="385">
        <f t="shared" si="110"/>
        <v>24.43867456286188</v>
      </c>
      <c r="W318" s="404">
        <f t="shared" si="111"/>
        <v>0</v>
      </c>
      <c r="X318" s="157">
        <f t="shared" si="112"/>
        <v>44865</v>
      </c>
      <c r="Y318" s="387">
        <f t="shared" si="113"/>
        <v>15.307512780189748</v>
      </c>
      <c r="Z318" s="387">
        <f t="shared" si="114"/>
        <v>15.87049090339028</v>
      </c>
      <c r="AA318" s="388">
        <f t="shared" si="115"/>
        <v>18.525156697978566</v>
      </c>
      <c r="AB318" s="199">
        <f t="shared" si="116"/>
        <v>44865</v>
      </c>
      <c r="AC318" s="119">
        <f>IF(OR(t&lt;Tnet,NoTnet),'2021'!Resal_s+('2021'!Salim-'2021'!Resal_s)*(1-EXP(('2021'!Tnet_s-t)/'2021'!Tau_j)),Resal_s+(Salim-Resal_s)*(1-EXP((Tnet_s-t)/Tau_j)))*Salcycl</f>
        <v>0.14330058513772026</v>
      </c>
      <c r="AD318" s="233">
        <f>(INDEX(Models!$BJ318:$BT318,,AH318)*(1-AF318)+INDEX(Models!$BJ318:$BT318,,AH318+1)*AF318-ERP_i)*AE318*Ramure*Pc/MaxiM</f>
        <v>4.7457266664507031E-2</v>
      </c>
      <c r="AE318" s="307">
        <f t="shared" si="117"/>
        <v>0.9</v>
      </c>
      <c r="AF318" s="179">
        <f t="shared" si="118"/>
        <v>0.49874183234909697</v>
      </c>
      <c r="AG318" s="839">
        <f t="shared" si="124"/>
        <v>0</v>
      </c>
      <c r="AH318" s="178">
        <f t="shared" si="119"/>
        <v>6</v>
      </c>
      <c r="AI318" s="227">
        <f t="shared" si="120"/>
        <v>0.49874183234909697</v>
      </c>
      <c r="AJ318" s="267" t="b">
        <f t="shared" si="121"/>
        <v>0</v>
      </c>
      <c r="AK318" s="267" t="b">
        <f t="shared" si="122"/>
        <v>0</v>
      </c>
      <c r="AL318" s="267"/>
      <c r="AM318" s="267"/>
      <c r="AN318" s="75"/>
    </row>
    <row r="319" spans="1:40" s="6" customFormat="1" ht="11.25" x14ac:dyDescent="0.2">
      <c r="A319" s="56">
        <f t="shared" si="123"/>
        <v>44866</v>
      </c>
      <c r="B319" s="1141">
        <v>16.423999999999999</v>
      </c>
      <c r="C319" s="868"/>
      <c r="D319" s="395">
        <f t="shared" si="102"/>
        <v>17.028436451389673</v>
      </c>
      <c r="E319" s="387">
        <f t="shared" si="125"/>
        <v>17.471902981211525</v>
      </c>
      <c r="F319" s="387">
        <f t="shared" si="103"/>
        <v>17.954500202208074</v>
      </c>
      <c r="G319" s="110">
        <f t="shared" si="126"/>
        <v>0.6660361000966375</v>
      </c>
      <c r="H319" s="416" t="b">
        <f>Wh_hp&gt;='2021'!Maxi_hp</f>
        <v>0</v>
      </c>
      <c r="I319" s="382">
        <f>IF(H319,Wh_hp,'2021'!Maxi_hp)</f>
        <v>26.743008767740822</v>
      </c>
      <c r="J319" s="85">
        <f>IF(H319,An,'2021'!An_max)</f>
        <v>2020</v>
      </c>
      <c r="K319" s="199">
        <f t="shared" si="104"/>
        <v>44866</v>
      </c>
      <c r="L319" s="147">
        <f>IF(t&lt;Tvie,1-EXP((T0-t)*PertePVj)+'2021'!Pspv,1-EXP((T0-t)*PertePVj)+Pspv)</f>
        <v>3.5495710549534709E-2</v>
      </c>
      <c r="M319" s="872"/>
      <c r="N319" s="872"/>
      <c r="O319" s="48">
        <f>IF(t&lt;Tnet,'2021'!Resal+('2021'!Salim-'2021'!Resal)*(1-EXP(('2021'!Tnet-t)/('2021'!Tau_j))),Resal+(Salim-Resal)*(1-EXP((Tnet-t)/(Tau_j))))*Salcycl</f>
        <v>2.5381695989196745E-2</v>
      </c>
      <c r="P319" s="341">
        <f>(INDEX(Models!$BJ319:$BT319,,T319)*(1-R319)+INDEX(Models!$BJ319:$BT319,,T319+1)*R319-ERP_i)*Q319*Ramure*Pc/MaxiM</f>
        <v>4.9288643620468982E-2</v>
      </c>
      <c r="Q319" s="307">
        <f t="shared" si="105"/>
        <v>0.9</v>
      </c>
      <c r="R319" s="179">
        <f t="shared" si="106"/>
        <v>0.49880934103546692</v>
      </c>
      <c r="S319" s="839">
        <f t="shared" si="107"/>
        <v>0</v>
      </c>
      <c r="T319" s="178">
        <f t="shared" si="108"/>
        <v>6</v>
      </c>
      <c r="U319" s="253">
        <f t="shared" si="109"/>
        <v>0.49880934103546692</v>
      </c>
      <c r="V319" s="385">
        <f t="shared" si="110"/>
        <v>24.091451096883997</v>
      </c>
      <c r="W319" s="404">
        <f t="shared" si="111"/>
        <v>0</v>
      </c>
      <c r="X319" s="157">
        <f t="shared" si="112"/>
        <v>44866</v>
      </c>
      <c r="Y319" s="387">
        <f t="shared" si="113"/>
        <v>14.437679581068734</v>
      </c>
      <c r="Z319" s="387">
        <f t="shared" si="114"/>
        <v>14.969015419614907</v>
      </c>
      <c r="AA319" s="388">
        <f t="shared" si="115"/>
        <v>17.471902981211525</v>
      </c>
      <c r="AB319" s="199">
        <f t="shared" si="116"/>
        <v>44866</v>
      </c>
      <c r="AC319" s="119">
        <f>IF(OR(t&lt;Tnet,NoTnet),'2021'!Resal_s+('2021'!Salim-'2021'!Resal_s)*(1-EXP(('2021'!Tnet_s-t)/'2021'!Tau_j)),Resal_s+(Salim-Resal_s)*(1-EXP((Tnet_s-t)/Tau_j)))*Salcycl</f>
        <v>0.1432521439872981</v>
      </c>
      <c r="AD319" s="233">
        <f>(INDEX(Models!$BJ319:$BT319,,AH319)*(1-AF319)+INDEX(Models!$BJ319:$BT319,,AH319+1)*AF319-ERP_i)*AE319*Ramure*Pc/MaxiM</f>
        <v>4.9288643620468982E-2</v>
      </c>
      <c r="AE319" s="307">
        <f t="shared" si="117"/>
        <v>0.9</v>
      </c>
      <c r="AF319" s="179">
        <f t="shared" si="118"/>
        <v>0.49880934103546692</v>
      </c>
      <c r="AG319" s="839">
        <f t="shared" si="124"/>
        <v>0</v>
      </c>
      <c r="AH319" s="178">
        <f t="shared" si="119"/>
        <v>6</v>
      </c>
      <c r="AI319" s="227">
        <f t="shared" si="120"/>
        <v>0.49880934103546692</v>
      </c>
      <c r="AJ319" s="267" t="b">
        <f t="shared" si="121"/>
        <v>0</v>
      </c>
      <c r="AK319" s="267" t="b">
        <f t="shared" si="122"/>
        <v>0</v>
      </c>
      <c r="AL319" s="267"/>
      <c r="AM319" s="267"/>
      <c r="AN319" s="75"/>
    </row>
    <row r="320" spans="1:40" s="6" customFormat="1" ht="11.25" x14ac:dyDescent="0.2">
      <c r="A320" s="56">
        <f t="shared" si="123"/>
        <v>44867</v>
      </c>
      <c r="B320" s="1141">
        <v>22.218</v>
      </c>
      <c r="C320" s="868"/>
      <c r="D320" s="395">
        <f t="shared" si="102"/>
        <v>23.036203467804466</v>
      </c>
      <c r="E320" s="387">
        <f t="shared" si="125"/>
        <v>23.640878680729891</v>
      </c>
      <c r="F320" s="387">
        <f t="shared" si="103"/>
        <v>24.791611753991944</v>
      </c>
      <c r="G320" s="110">
        <f t="shared" si="126"/>
        <v>0.93093522812552398</v>
      </c>
      <c r="H320" s="416" t="b">
        <f>Wh_hp&gt;='2021'!Maxi_hp</f>
        <v>0</v>
      </c>
      <c r="I320" s="382">
        <f>IF(H320,Wh_hp,'2021'!Maxi_hp)</f>
        <v>25.963625869506139</v>
      </c>
      <c r="J320" s="85">
        <f>IF(H320,An,'2021'!An_max)</f>
        <v>2021</v>
      </c>
      <c r="K320" s="199">
        <f t="shared" si="104"/>
        <v>44867</v>
      </c>
      <c r="L320" s="147">
        <f>IF(t&lt;Tvie,1-EXP((T0-t)*PertePVj)+'2021'!Pspv,1-EXP((T0-t)*PertePVj)+Pspv)</f>
        <v>3.5518155973400356E-2</v>
      </c>
      <c r="M320" s="872"/>
      <c r="N320" s="872"/>
      <c r="O320" s="48">
        <f>IF(t&lt;Tnet,'2021'!Resal+('2021'!Salim-'2021'!Resal)*(1-EXP(('2021'!Tnet-t)/('2021'!Tau_j))),Resal+(Salim-Resal)*(1-EXP((Tnet-t)/(Tau_j))))*Salcycl</f>
        <v>2.5577527006993415E-2</v>
      </c>
      <c r="P320" s="341">
        <f>(INDEX(Models!$BJ320:$BT320,,T320)*(1-R320)+INDEX(Models!$BJ320:$BT320,,T320+1)*R320-ERP_i)*Q320*Ramure*Pc/MaxiM</f>
        <v>5.1122974539213904E-2</v>
      </c>
      <c r="Q320" s="307">
        <f t="shared" si="105"/>
        <v>0.9</v>
      </c>
      <c r="R320" s="179">
        <f t="shared" si="106"/>
        <v>0.4988741459239302</v>
      </c>
      <c r="S320" s="839">
        <f t="shared" si="107"/>
        <v>0</v>
      </c>
      <c r="T320" s="178">
        <f t="shared" si="108"/>
        <v>6</v>
      </c>
      <c r="U320" s="253">
        <f t="shared" si="109"/>
        <v>0.4988741459239302</v>
      </c>
      <c r="V320" s="385">
        <f t="shared" si="110"/>
        <v>23.748521472289983</v>
      </c>
      <c r="W320" s="404">
        <f t="shared" si="111"/>
        <v>0</v>
      </c>
      <c r="X320" s="157">
        <f t="shared" si="112"/>
        <v>44867</v>
      </c>
      <c r="Y320" s="387">
        <f t="shared" si="113"/>
        <v>19.535990583110539</v>
      </c>
      <c r="Z320" s="387">
        <f t="shared" si="114"/>
        <v>20.255425961726814</v>
      </c>
      <c r="AA320" s="388">
        <f t="shared" si="115"/>
        <v>23.640878680729891</v>
      </c>
      <c r="AB320" s="199">
        <f t="shared" si="116"/>
        <v>44867</v>
      </c>
      <c r="AC320" s="119">
        <f>IF(OR(t&lt;Tnet,NoTnet),'2021'!Resal_s+('2021'!Salim-'2021'!Resal_s)*(1-EXP(('2021'!Tnet_s-t)/'2021'!Tau_j)),Resal_s+(Salim-Resal_s)*(1-EXP((Tnet_s-t)/Tau_j)))*Salcycl</f>
        <v>0.14320333709772898</v>
      </c>
      <c r="AD320" s="233">
        <f>(INDEX(Models!$BJ320:$BT320,,AH320)*(1-AF320)+INDEX(Models!$BJ320:$BT320,,AH320+1)*AF320-ERP_i)*AE320*Ramure*Pc/MaxiM</f>
        <v>5.1122974539213904E-2</v>
      </c>
      <c r="AE320" s="307">
        <f t="shared" si="117"/>
        <v>0.9</v>
      </c>
      <c r="AF320" s="179">
        <f t="shared" si="118"/>
        <v>0.4988741459239302</v>
      </c>
      <c r="AG320" s="839">
        <f t="shared" si="124"/>
        <v>0</v>
      </c>
      <c r="AH320" s="178">
        <f t="shared" si="119"/>
        <v>6</v>
      </c>
      <c r="AI320" s="227">
        <f t="shared" si="120"/>
        <v>0.4988741459239302</v>
      </c>
      <c r="AJ320" s="267" t="b">
        <f t="shared" si="121"/>
        <v>0</v>
      </c>
      <c r="AK320" s="267" t="b">
        <f t="shared" si="122"/>
        <v>0</v>
      </c>
      <c r="AL320" s="267"/>
      <c r="AM320" s="267"/>
      <c r="AN320" s="75"/>
    </row>
    <row r="321" spans="1:40" s="6" customFormat="1" ht="11.25" x14ac:dyDescent="0.2">
      <c r="A321" s="56">
        <f t="shared" si="123"/>
        <v>44868</v>
      </c>
      <c r="B321" s="1141">
        <v>5.8420000000000005</v>
      </c>
      <c r="C321" s="868"/>
      <c r="D321" s="395">
        <f t="shared" si="102"/>
        <v>6.0572793476839815</v>
      </c>
      <c r="E321" s="387">
        <f t="shared" si="125"/>
        <v>6.2175216965678217</v>
      </c>
      <c r="F321" s="387">
        <f t="shared" si="103"/>
        <v>6.2175216965678217</v>
      </c>
      <c r="G321" s="110">
        <f t="shared" si="126"/>
        <v>0.23633249035029805</v>
      </c>
      <c r="H321" s="416" t="b">
        <f>Wh_hp&gt;='2021'!Maxi_hp</f>
        <v>0</v>
      </c>
      <c r="I321" s="382">
        <f>IF(H321,Wh_hp,'2021'!Maxi_hp)</f>
        <v>25.318145187066094</v>
      </c>
      <c r="J321" s="85">
        <f>IF(H321,An,'2021'!An_max)</f>
        <v>2020</v>
      </c>
      <c r="K321" s="199">
        <f t="shared" si="104"/>
        <v>44868</v>
      </c>
      <c r="L321" s="147">
        <f>IF(t&lt;Tvie,1-EXP((T0-t)*PertePVj)+'2021'!Pspv,1-EXP((T0-t)*PertePVj)+Pspv)</f>
        <v>3.5540600874928052E-2</v>
      </c>
      <c r="M321" s="872"/>
      <c r="N321" s="872"/>
      <c r="O321" s="48">
        <f>IF(t&lt;Tnet,'2021'!Resal+('2021'!Salim-'2021'!Resal)*(1-EXP(('2021'!Tnet-t)/('2021'!Tau_j))),Resal+(Salim-Resal)*(1-EXP((Tnet-t)/(Tau_j))))*Salcycl</f>
        <v>2.5772704415699295E-2</v>
      </c>
      <c r="P321" s="341">
        <f>(INDEX(Models!$BJ321:$BT321,,T321)*(1-R321)+INDEX(Models!$BJ321:$BT321,,T321+1)*R321-ERP_i)*Q321*Ramure*Pc/MaxiM</f>
        <v>5.2958640555762125E-2</v>
      </c>
      <c r="Q321" s="307">
        <f t="shared" si="105"/>
        <v>0.9</v>
      </c>
      <c r="R321" s="179">
        <f t="shared" si="106"/>
        <v>0.49893635475334674</v>
      </c>
      <c r="S321" s="839">
        <f t="shared" si="107"/>
        <v>0</v>
      </c>
      <c r="T321" s="178">
        <f t="shared" si="108"/>
        <v>6</v>
      </c>
      <c r="U321" s="253">
        <f t="shared" si="109"/>
        <v>0.49893635475334674</v>
      </c>
      <c r="V321" s="385">
        <f t="shared" si="110"/>
        <v>23.410304751888553</v>
      </c>
      <c r="W321" s="404">
        <f t="shared" si="111"/>
        <v>0</v>
      </c>
      <c r="X321" s="157">
        <f t="shared" si="112"/>
        <v>44868</v>
      </c>
      <c r="Y321" s="387">
        <f t="shared" si="113"/>
        <v>5.1381153017003429</v>
      </c>
      <c r="Z321" s="387">
        <f t="shared" si="114"/>
        <v>5.3274562997275821</v>
      </c>
      <c r="AA321" s="388">
        <f t="shared" si="115"/>
        <v>6.2175216965678217</v>
      </c>
      <c r="AB321" s="199">
        <f t="shared" si="116"/>
        <v>44868</v>
      </c>
      <c r="AC321" s="119">
        <f>IF(OR(t&lt;Tnet,NoTnet),'2021'!Resal_s+('2021'!Salim-'2021'!Resal_s)*(1-EXP(('2021'!Tnet_s-t)/'2021'!Tau_j)),Resal_s+(Salim-Resal_s)*(1-EXP((Tnet_s-t)/Tau_j)))*Salcycl</f>
        <v>0.14315436926123973</v>
      </c>
      <c r="AD321" s="233">
        <f>(INDEX(Models!$BJ321:$BT321,,AH321)*(1-AF321)+INDEX(Models!$BJ321:$BT321,,AH321+1)*AF321-ERP_i)*AE321*Ramure*Pc/MaxiM</f>
        <v>5.2958640555762125E-2</v>
      </c>
      <c r="AE321" s="307">
        <f t="shared" si="117"/>
        <v>0.9</v>
      </c>
      <c r="AF321" s="179">
        <f t="shared" si="118"/>
        <v>0.49893635475334674</v>
      </c>
      <c r="AG321" s="839">
        <f t="shared" si="124"/>
        <v>0</v>
      </c>
      <c r="AH321" s="178">
        <f t="shared" si="119"/>
        <v>6</v>
      </c>
      <c r="AI321" s="227">
        <f t="shared" si="120"/>
        <v>0.49893635475334674</v>
      </c>
      <c r="AJ321" s="267" t="b">
        <f t="shared" si="121"/>
        <v>0</v>
      </c>
      <c r="AK321" s="267" t="b">
        <f t="shared" si="122"/>
        <v>0</v>
      </c>
      <c r="AL321" s="267"/>
      <c r="AM321" s="267"/>
      <c r="AN321" s="75"/>
    </row>
    <row r="322" spans="1:40" s="6" customFormat="1" ht="11.25" x14ac:dyDescent="0.2">
      <c r="A322" s="56">
        <f t="shared" si="123"/>
        <v>44869</v>
      </c>
      <c r="B322" s="1141">
        <v>12.067</v>
      </c>
      <c r="C322" s="868"/>
      <c r="D322" s="395">
        <f t="shared" si="102"/>
        <v>12.511963525059725</v>
      </c>
      <c r="E322" s="387">
        <f t="shared" si="125"/>
        <v>12.845526750069032</v>
      </c>
      <c r="F322" s="387">
        <f t="shared" si="103"/>
        <v>13.073630880606578</v>
      </c>
      <c r="G322" s="110">
        <f t="shared" si="126"/>
        <v>0.50302165895984163</v>
      </c>
      <c r="H322" s="416" t="b">
        <f>Wh_hp&gt;='2021'!Maxi_hp</f>
        <v>0</v>
      </c>
      <c r="I322" s="382">
        <f>IF(H322,Wh_hp,'2021'!Maxi_hp)</f>
        <v>18.873766608269342</v>
      </c>
      <c r="J322" s="85">
        <f>IF(H322,An,'2021'!An_max)</f>
        <v>2018</v>
      </c>
      <c r="K322" s="199">
        <f t="shared" si="104"/>
        <v>44869</v>
      </c>
      <c r="L322" s="147">
        <f>IF(t&lt;Tvie,1-EXP((T0-t)*PertePVj)+'2021'!Pspv,1-EXP((T0-t)*PertePVj)+Pspv)</f>
        <v>3.5563045254130232E-2</v>
      </c>
      <c r="M322" s="872"/>
      <c r="N322" s="872"/>
      <c r="O322" s="48">
        <f>IF(t&lt;Tnet,'2021'!Resal+('2021'!Salim-'2021'!Resal)*(1-EXP(('2021'!Tnet-t)/('2021'!Tau_j))),Resal+(Salim-Resal)*(1-EXP((Tnet-t)/(Tau_j))))*Salcycl</f>
        <v>2.5967267166176297E-2</v>
      </c>
      <c r="P322" s="341">
        <f>(INDEX(Models!$BJ322:$BT322,,T322)*(1-R322)+INDEX(Models!$BJ322:$BT322,,T322+1)*R322-ERP_i)*Q322*Ramure*Pc/MaxiM</f>
        <v>5.4793810676355678E-2</v>
      </c>
      <c r="Q322" s="307">
        <f t="shared" si="105"/>
        <v>0.9</v>
      </c>
      <c r="R322" s="179">
        <f t="shared" si="106"/>
        <v>0.49899607101288457</v>
      </c>
      <c r="S322" s="839">
        <f t="shared" si="107"/>
        <v>0</v>
      </c>
      <c r="T322" s="178">
        <f t="shared" si="108"/>
        <v>6</v>
      </c>
      <c r="U322" s="253">
        <f t="shared" si="109"/>
        <v>0.49899607101288457</v>
      </c>
      <c r="V322" s="385">
        <f t="shared" si="110"/>
        <v>23.077219742349662</v>
      </c>
      <c r="W322" s="404">
        <f t="shared" si="111"/>
        <v>0</v>
      </c>
      <c r="X322" s="157">
        <f t="shared" si="112"/>
        <v>44869</v>
      </c>
      <c r="Y322" s="387">
        <f t="shared" si="113"/>
        <v>10.615810145096075</v>
      </c>
      <c r="Z322" s="387">
        <f t="shared" si="114"/>
        <v>11.007261898102353</v>
      </c>
      <c r="AA322" s="388">
        <f t="shared" si="115"/>
        <v>12.845526750069032</v>
      </c>
      <c r="AB322" s="199">
        <f t="shared" si="116"/>
        <v>44869</v>
      </c>
      <c r="AC322" s="119">
        <f>IF(OR(t&lt;Tnet,NoTnet),'2021'!Resal_s+('2021'!Salim-'2021'!Resal_s)*(1-EXP(('2021'!Tnet_s-t)/'2021'!Tau_j)),Resal_s+(Salim-Resal_s)*(1-EXP((Tnet_s-t)/Tau_j)))*Salcycl</f>
        <v>0.14310544734623667</v>
      </c>
      <c r="AD322" s="233">
        <f>(INDEX(Models!$BJ322:$BT322,,AH322)*(1-AF322)+INDEX(Models!$BJ322:$BT322,,AH322+1)*AF322-ERP_i)*AE322*Ramure*Pc/MaxiM</f>
        <v>5.4793810676355678E-2</v>
      </c>
      <c r="AE322" s="307">
        <f t="shared" si="117"/>
        <v>0.9</v>
      </c>
      <c r="AF322" s="179">
        <f t="shared" si="118"/>
        <v>0.49899607101288457</v>
      </c>
      <c r="AG322" s="839">
        <f t="shared" si="124"/>
        <v>0</v>
      </c>
      <c r="AH322" s="178">
        <f t="shared" si="119"/>
        <v>6</v>
      </c>
      <c r="AI322" s="227">
        <f t="shared" si="120"/>
        <v>0.49899607101288457</v>
      </c>
      <c r="AJ322" s="267" t="b">
        <f t="shared" si="121"/>
        <v>0</v>
      </c>
      <c r="AK322" s="267" t="b">
        <f t="shared" si="122"/>
        <v>0</v>
      </c>
      <c r="AL322" s="267"/>
      <c r="AM322" s="267"/>
      <c r="AN322" s="75"/>
    </row>
    <row r="323" spans="1:40" s="6" customFormat="1" ht="11.25" x14ac:dyDescent="0.2">
      <c r="A323" s="56">
        <f t="shared" si="123"/>
        <v>44870</v>
      </c>
      <c r="B323" s="1141">
        <v>21.105</v>
      </c>
      <c r="C323" s="868"/>
      <c r="D323" s="395">
        <f t="shared" si="102"/>
        <v>21.883743723998684</v>
      </c>
      <c r="E323" s="387">
        <f t="shared" si="125"/>
        <v>22.471629773989317</v>
      </c>
      <c r="F323" s="387">
        <f t="shared" si="103"/>
        <v>23.673738340609276</v>
      </c>
      <c r="G323" s="110">
        <f t="shared" si="126"/>
        <v>0.92198943563933922</v>
      </c>
      <c r="H323" s="416" t="b">
        <f>Wh_hp&gt;='2021'!Maxi_hp</f>
        <v>1</v>
      </c>
      <c r="I323" s="382">
        <f>IF(H323,Wh_hp,'2021'!Maxi_hp)</f>
        <v>23.673738340609276</v>
      </c>
      <c r="J323" s="85">
        <f>IF(H323,An,'2021'!An_max)</f>
        <v>2022</v>
      </c>
      <c r="K323" s="199">
        <f t="shared" si="104"/>
        <v>44870</v>
      </c>
      <c r="L323" s="147">
        <f>IF(t&lt;Tvie,1-EXP((T0-t)*PertePVj)+'2021'!Pspv,1-EXP((T0-t)*PertePVj)+Pspv)</f>
        <v>3.5585489111018886E-2</v>
      </c>
      <c r="M323" s="872"/>
      <c r="N323" s="872"/>
      <c r="O323" s="48">
        <f>IF(t&lt;Tnet,'2021'!Resal+('2021'!Salim-'2021'!Resal)*(1-EXP(('2021'!Tnet-t)/('2021'!Tau_j))),Resal+(Salim-Resal)*(1-EXP((Tnet-t)/(Tau_j))))*Salcycl</f>
        <v>2.616125558775027E-2</v>
      </c>
      <c r="P323" s="341">
        <f>(INDEX(Models!$BJ323:$BT323,,T323)*(1-R323)+INDEX(Models!$BJ323:$BT323,,T323+1)*R323-ERP_i)*Q323*Ramure*Pc/MaxiM</f>
        <v>5.6626431641449732E-2</v>
      </c>
      <c r="Q323" s="307">
        <f t="shared" si="105"/>
        <v>0.9</v>
      </c>
      <c r="R323" s="179">
        <f t="shared" si="106"/>
        <v>0.49905339410622174</v>
      </c>
      <c r="S323" s="839">
        <f t="shared" si="107"/>
        <v>0</v>
      </c>
      <c r="T323" s="178">
        <f t="shared" si="108"/>
        <v>6</v>
      </c>
      <c r="U323" s="253">
        <f t="shared" si="109"/>
        <v>0.49905339410622174</v>
      </c>
      <c r="V323" s="385">
        <f t="shared" si="110"/>
        <v>22.749684997907156</v>
      </c>
      <c r="W323" s="404">
        <f t="shared" si="111"/>
        <v>0</v>
      </c>
      <c r="X323" s="157">
        <f t="shared" si="112"/>
        <v>44870</v>
      </c>
      <c r="Y323" s="387">
        <f t="shared" si="113"/>
        <v>18.57164420191323</v>
      </c>
      <c r="Z323" s="387">
        <f t="shared" si="114"/>
        <v>19.256910791184797</v>
      </c>
      <c r="AA323" s="388">
        <f t="shared" si="115"/>
        <v>22.471629773989317</v>
      </c>
      <c r="AB323" s="199">
        <f t="shared" si="116"/>
        <v>44870</v>
      </c>
      <c r="AC323" s="119">
        <f>IF(OR(t&lt;Tnet,NoTnet),'2021'!Resal_s+('2021'!Salim-'2021'!Resal_s)*(1-EXP(('2021'!Tnet_s-t)/'2021'!Tau_j)),Resal_s+(Salim-Resal_s)*(1-EXP((Tnet_s-t)/Tau_j)))*Salcycl</f>
        <v>0.14305677937634606</v>
      </c>
      <c r="AD323" s="233">
        <f>(INDEX(Models!$BJ323:$BT323,,AH323)*(1-AF323)+INDEX(Models!$BJ323:$BT323,,AH323+1)*AF323-ERP_i)*AE323*Ramure*Pc/MaxiM</f>
        <v>5.6626431641449732E-2</v>
      </c>
      <c r="AE323" s="307">
        <f t="shared" si="117"/>
        <v>0.9</v>
      </c>
      <c r="AF323" s="179">
        <f t="shared" si="118"/>
        <v>0.49905339410622174</v>
      </c>
      <c r="AG323" s="839">
        <f t="shared" si="124"/>
        <v>0</v>
      </c>
      <c r="AH323" s="178">
        <f t="shared" si="119"/>
        <v>6</v>
      </c>
      <c r="AI323" s="227">
        <f t="shared" si="120"/>
        <v>0.49905339410622174</v>
      </c>
      <c r="AJ323" s="267" t="b">
        <f t="shared" si="121"/>
        <v>0</v>
      </c>
      <c r="AK323" s="267" t="b">
        <f t="shared" si="122"/>
        <v>0</v>
      </c>
      <c r="AL323" s="267"/>
      <c r="AM323" s="267"/>
      <c r="AN323" s="75"/>
    </row>
    <row r="324" spans="1:40" s="6" customFormat="1" ht="11.25" x14ac:dyDescent="0.2">
      <c r="A324" s="56">
        <f t="shared" si="123"/>
        <v>44871</v>
      </c>
      <c r="B324" s="1141">
        <v>21.13</v>
      </c>
      <c r="C324" s="868"/>
      <c r="D324" s="395">
        <f t="shared" si="102"/>
        <v>21.910176069348704</v>
      </c>
      <c r="E324" s="387">
        <f t="shared" si="125"/>
        <v>22.503242527599898</v>
      </c>
      <c r="F324" s="387">
        <f t="shared" si="103"/>
        <v>23.777364402083492</v>
      </c>
      <c r="G324" s="110">
        <f t="shared" si="126"/>
        <v>0.93727428905710064</v>
      </c>
      <c r="H324" s="416" t="b">
        <f>Wh_hp&gt;='2021'!Maxi_hp</f>
        <v>1</v>
      </c>
      <c r="I324" s="382">
        <f>IF(H324,Wh_hp,'2021'!Maxi_hp)</f>
        <v>23.777364402083492</v>
      </c>
      <c r="J324" s="85">
        <f>IF(H324,An,'2021'!An_max)</f>
        <v>2022</v>
      </c>
      <c r="K324" s="199">
        <f t="shared" si="104"/>
        <v>44871</v>
      </c>
      <c r="L324" s="147">
        <f>IF(t&lt;Tvie,1-EXP((T0-t)*PertePVj)+'2021'!Pspv,1-EXP((T0-t)*PertePVj)+Pspv)</f>
        <v>3.5607932445606227E-2</v>
      </c>
      <c r="M324" s="872"/>
      <c r="N324" s="872"/>
      <c r="O324" s="48">
        <f>IF(t&lt;Tnet,'2021'!Resal+('2021'!Salim-'2021'!Resal)*(1-EXP(('2021'!Tnet-t)/('2021'!Tau_j))),Resal+(Salim-Resal)*(1-EXP((Tnet-t)/(Tau_j))))*Salcycl</f>
        <v>2.6354711216563815E-2</v>
      </c>
      <c r="P324" s="341">
        <f>(INDEX(Models!$BJ324:$BT324,,T324)*(1-R324)+INDEX(Models!$BJ324:$BT324,,T324+1)*R324-ERP_i)*Q324*Ramure*Pc/MaxiM</f>
        <v>5.8418777123655306E-2</v>
      </c>
      <c r="Q324" s="307">
        <f t="shared" si="105"/>
        <v>0.9</v>
      </c>
      <c r="R324" s="179">
        <f t="shared" si="106"/>
        <v>0.49910841950967844</v>
      </c>
      <c r="S324" s="839">
        <f t="shared" si="107"/>
        <v>0</v>
      </c>
      <c r="T324" s="178">
        <f t="shared" si="108"/>
        <v>6</v>
      </c>
      <c r="U324" s="253">
        <f t="shared" si="109"/>
        <v>0.49910841950967844</v>
      </c>
      <c r="V324" s="385">
        <f t="shared" si="110"/>
        <v>22.428963040544271</v>
      </c>
      <c r="W324" s="404">
        <f t="shared" si="111"/>
        <v>0</v>
      </c>
      <c r="X324" s="157">
        <f t="shared" si="112"/>
        <v>44871</v>
      </c>
      <c r="Y324" s="387">
        <f t="shared" si="113"/>
        <v>18.598383876148063</v>
      </c>
      <c r="Z324" s="387">
        <f t="shared" si="114"/>
        <v>19.285085912529112</v>
      </c>
      <c r="AA324" s="388">
        <f t="shared" si="115"/>
        <v>22.503242527599898</v>
      </c>
      <c r="AB324" s="199">
        <f t="shared" si="116"/>
        <v>44871</v>
      </c>
      <c r="AC324" s="119">
        <f>IF(OR(t&lt;Tnet,NoTnet),'2021'!Resal_s+('2021'!Salim-'2021'!Resal_s)*(1-EXP(('2021'!Tnet_s-t)/'2021'!Tau_j)),Resal_s+(Salim-Resal_s)*(1-EXP((Tnet_s-t)/Tau_j)))*Salcycl</f>
        <v>0.14300857359217292</v>
      </c>
      <c r="AD324" s="233">
        <f>(INDEX(Models!$BJ324:$BT324,,AH324)*(1-AF324)+INDEX(Models!$BJ324:$BT324,,AH324+1)*AF324-ERP_i)*AE324*Ramure*Pc/MaxiM</f>
        <v>5.8418777123655306E-2</v>
      </c>
      <c r="AE324" s="307">
        <f t="shared" si="117"/>
        <v>0.9</v>
      </c>
      <c r="AF324" s="179">
        <f t="shared" si="118"/>
        <v>0.49910841950967844</v>
      </c>
      <c r="AG324" s="839">
        <f t="shared" si="124"/>
        <v>0</v>
      </c>
      <c r="AH324" s="178">
        <f t="shared" si="119"/>
        <v>6</v>
      </c>
      <c r="AI324" s="227">
        <f t="shared" si="120"/>
        <v>0.49910841950967844</v>
      </c>
      <c r="AJ324" s="267" t="b">
        <f t="shared" si="121"/>
        <v>0</v>
      </c>
      <c r="AK324" s="267" t="b">
        <f t="shared" si="122"/>
        <v>0</v>
      </c>
      <c r="AL324" s="267"/>
      <c r="AM324" s="267"/>
      <c r="AN324" s="75"/>
    </row>
    <row r="325" spans="1:40" s="6" customFormat="1" ht="11.25" x14ac:dyDescent="0.2">
      <c r="A325" s="56">
        <f t="shared" si="123"/>
        <v>44872</v>
      </c>
      <c r="B325" s="1141">
        <v>20.961000000000002</v>
      </c>
      <c r="C325" s="868"/>
      <c r="D325" s="395">
        <f t="shared" si="102"/>
        <v>21.735441953188506</v>
      </c>
      <c r="E325" s="387">
        <f t="shared" si="125"/>
        <v>22.328203889415207</v>
      </c>
      <c r="F325" s="387">
        <f t="shared" si="103"/>
        <v>23.644688895751436</v>
      </c>
      <c r="G325" s="110">
        <f t="shared" si="126"/>
        <v>0.94329229197608222</v>
      </c>
      <c r="H325" s="416" t="b">
        <f>Wh_hp&gt;='2021'!Maxi_hp</f>
        <v>1</v>
      </c>
      <c r="I325" s="382">
        <f>IF(H325,Wh_hp,'2021'!Maxi_hp)</f>
        <v>23.644688895751436</v>
      </c>
      <c r="J325" s="85">
        <f>IF(H325,An,'2021'!An_max)</f>
        <v>2022</v>
      </c>
      <c r="K325" s="199">
        <f t="shared" si="104"/>
        <v>44872</v>
      </c>
      <c r="L325" s="147">
        <f>IF(t&lt;Tvie,1-EXP((T0-t)*PertePVj)+'2021'!Pspv,1-EXP((T0-t)*PertePVj)+Pspv)</f>
        <v>3.5630375257904356E-2</v>
      </c>
      <c r="M325" s="872"/>
      <c r="N325" s="872"/>
      <c r="O325" s="48">
        <f>IF(t&lt;Tnet,'2021'!Resal+('2021'!Salim-'2021'!Resal)*(1-EXP(('2021'!Tnet-t)/('2021'!Tau_j))),Resal+(Salim-Resal)*(1-EXP((Tnet-t)/(Tau_j))))*Salcycl</f>
        <v>2.654767661395744E-2</v>
      </c>
      <c r="P325" s="341">
        <f>(INDEX(Models!$BJ325:$BT325,,T325)*(1-R325)+INDEX(Models!$BJ325:$BT325,,T325+1)*R325-ERP_i)*Q325*Ramure*Pc/MaxiM</f>
        <v>6.016477100123533E-2</v>
      </c>
      <c r="Q325" s="307">
        <f t="shared" si="105"/>
        <v>0.9</v>
      </c>
      <c r="R325" s="179">
        <f t="shared" si="106"/>
        <v>0.49916123892447528</v>
      </c>
      <c r="S325" s="839">
        <f t="shared" si="107"/>
        <v>0</v>
      </c>
      <c r="T325" s="178">
        <f t="shared" si="108"/>
        <v>6</v>
      </c>
      <c r="U325" s="253">
        <f t="shared" si="109"/>
        <v>0.49916123892447528</v>
      </c>
      <c r="V325" s="385">
        <f t="shared" si="110"/>
        <v>22.115524688994409</v>
      </c>
      <c r="W325" s="404">
        <f t="shared" si="111"/>
        <v>0</v>
      </c>
      <c r="X325" s="157">
        <f t="shared" si="112"/>
        <v>44872</v>
      </c>
      <c r="Y325" s="387">
        <f t="shared" si="113"/>
        <v>18.454312821843406</v>
      </c>
      <c r="Z325" s="387">
        <f t="shared" si="114"/>
        <v>19.136140695823656</v>
      </c>
      <c r="AA325" s="388">
        <f t="shared" si="115"/>
        <v>22.328203889415207</v>
      </c>
      <c r="AB325" s="199">
        <f t="shared" si="116"/>
        <v>44872</v>
      </c>
      <c r="AC325" s="119">
        <f>IF(OR(t&lt;Tnet,NoTnet),'2021'!Resal_s+('2021'!Salim-'2021'!Resal_s)*(1-EXP(('2021'!Tnet_s-t)/'2021'!Tau_j)),Resal_s+(Salim-Resal_s)*(1-EXP((Tnet_s-t)/Tau_j)))*Salcycl</f>
        <v>0.1429610375022044</v>
      </c>
      <c r="AD325" s="233">
        <f>(INDEX(Models!$BJ325:$BT325,,AH325)*(1-AF325)+INDEX(Models!$BJ325:$BT325,,AH325+1)*AF325-ERP_i)*AE325*Ramure*Pc/MaxiM</f>
        <v>6.016477100123533E-2</v>
      </c>
      <c r="AE325" s="307">
        <f t="shared" si="117"/>
        <v>0.9</v>
      </c>
      <c r="AF325" s="179">
        <f t="shared" si="118"/>
        <v>0.49916123892447528</v>
      </c>
      <c r="AG325" s="839">
        <f t="shared" si="124"/>
        <v>0</v>
      </c>
      <c r="AH325" s="178">
        <f t="shared" si="119"/>
        <v>6</v>
      </c>
      <c r="AI325" s="227">
        <f t="shared" si="120"/>
        <v>0.49916123892447528</v>
      </c>
      <c r="AJ325" s="267" t="b">
        <f t="shared" si="121"/>
        <v>0</v>
      </c>
      <c r="AK325" s="267" t="b">
        <f t="shared" si="122"/>
        <v>0</v>
      </c>
      <c r="AL325" s="267"/>
      <c r="AM325" s="267"/>
      <c r="AN325" s="75"/>
    </row>
    <row r="326" spans="1:40" s="6" customFormat="1" ht="11.25" x14ac:dyDescent="0.2">
      <c r="A326" s="56">
        <f t="shared" si="123"/>
        <v>44873</v>
      </c>
      <c r="B326" s="1141">
        <v>13.845000000000001</v>
      </c>
      <c r="C326" s="868"/>
      <c r="D326" s="395">
        <f t="shared" si="102"/>
        <v>14.356862602943373</v>
      </c>
      <c r="E326" s="387">
        <f t="shared" si="125"/>
        <v>14.751315662872354</v>
      </c>
      <c r="F326" s="387">
        <f t="shared" si="103"/>
        <v>15.201076726589468</v>
      </c>
      <c r="G326" s="110">
        <f t="shared" si="126"/>
        <v>0.61369510436936925</v>
      </c>
      <c r="H326" s="416" t="b">
        <f>Wh_hp&gt;='2021'!Maxi_hp</f>
        <v>0</v>
      </c>
      <c r="I326" s="382">
        <f>IF(H326,Wh_hp,'2021'!Maxi_hp)</f>
        <v>20.22602199592037</v>
      </c>
      <c r="J326" s="85">
        <f>IF(H326,An,'2021'!An_max)</f>
        <v>2021</v>
      </c>
      <c r="K326" s="199">
        <f t="shared" si="104"/>
        <v>44873</v>
      </c>
      <c r="L326" s="147">
        <f>IF(t&lt;Tvie,1-EXP((T0-t)*PertePVj)+'2021'!Pspv,1-EXP((T0-t)*PertePVj)+Pspv)</f>
        <v>3.5652817547925375E-2</v>
      </c>
      <c r="M326" s="872"/>
      <c r="N326" s="872"/>
      <c r="O326" s="48">
        <f>IF(t&lt;Tnet,'2021'!Resal+('2021'!Salim-'2021'!Resal)*(1-EXP(('2021'!Tnet-t)/('2021'!Tau_j))),Resal+(Salim-Resal)*(1-EXP((Tnet-t)/(Tau_j))))*Salcycl</f>
        <v>2.6740195176067121E-2</v>
      </c>
      <c r="P326" s="341">
        <f>(INDEX(Models!$BJ326:$BT326,,T326)*(1-R326)+INDEX(Models!$BJ326:$BT326,,T326+1)*R326-ERP_i)*Q326*Ramure*Pc/MaxiM</f>
        <v>6.186021032327095E-2</v>
      </c>
      <c r="Q326" s="307">
        <f t="shared" si="105"/>
        <v>0.9</v>
      </c>
      <c r="R326" s="179">
        <f t="shared" si="106"/>
        <v>0.4992119404233214</v>
      </c>
      <c r="S326" s="839">
        <f t="shared" si="107"/>
        <v>0</v>
      </c>
      <c r="T326" s="178">
        <f t="shared" si="108"/>
        <v>6</v>
      </c>
      <c r="U326" s="253">
        <f t="shared" si="109"/>
        <v>0.4992119404233214</v>
      </c>
      <c r="V326" s="385">
        <f t="shared" si="110"/>
        <v>21.80978840084979</v>
      </c>
      <c r="W326" s="404">
        <f t="shared" si="111"/>
        <v>0</v>
      </c>
      <c r="X326" s="157">
        <f t="shared" si="112"/>
        <v>44873</v>
      </c>
      <c r="Y326" s="387">
        <f t="shared" si="113"/>
        <v>12.192376991833909</v>
      </c>
      <c r="Z326" s="387">
        <f t="shared" si="114"/>
        <v>12.643140576023653</v>
      </c>
      <c r="AA326" s="388">
        <f t="shared" si="115"/>
        <v>14.751315662872354</v>
      </c>
      <c r="AB326" s="199">
        <f t="shared" si="116"/>
        <v>44873</v>
      </c>
      <c r="AC326" s="119">
        <f>IF(OR(t&lt;Tnet,NoTnet),'2021'!Resal_s+('2021'!Salim-'2021'!Resal_s)*(1-EXP(('2021'!Tnet_s-t)/'2021'!Tau_j)),Resal_s+(Salim-Resal_s)*(1-EXP((Tnet_s-t)/Tau_j)))*Salcycl</f>
        <v>0.14291437692942713</v>
      </c>
      <c r="AD326" s="233">
        <f>(INDEX(Models!$BJ326:$BT326,,AH326)*(1-AF326)+INDEX(Models!$BJ326:$BT326,,AH326+1)*AF326-ERP_i)*AE326*Ramure*Pc/MaxiM</f>
        <v>6.186021032327095E-2</v>
      </c>
      <c r="AE326" s="307">
        <f t="shared" si="117"/>
        <v>0.9</v>
      </c>
      <c r="AF326" s="179">
        <f t="shared" si="118"/>
        <v>0.4992119404233214</v>
      </c>
      <c r="AG326" s="839">
        <f t="shared" si="124"/>
        <v>0</v>
      </c>
      <c r="AH326" s="178">
        <f t="shared" si="119"/>
        <v>6</v>
      </c>
      <c r="AI326" s="227">
        <f t="shared" si="120"/>
        <v>0.4992119404233214</v>
      </c>
      <c r="AJ326" s="267" t="b">
        <f t="shared" si="121"/>
        <v>0</v>
      </c>
      <c r="AK326" s="267" t="b">
        <f t="shared" si="122"/>
        <v>0</v>
      </c>
      <c r="AL326" s="267"/>
      <c r="AM326" s="267"/>
      <c r="AN326" s="75"/>
    </row>
    <row r="327" spans="1:40" s="6" customFormat="1" ht="11.25" x14ac:dyDescent="0.2">
      <c r="A327" s="56">
        <f t="shared" si="123"/>
        <v>44874</v>
      </c>
      <c r="B327" s="1141">
        <v>8.18</v>
      </c>
      <c r="C327" s="868"/>
      <c r="D327" s="395">
        <f t="shared" si="102"/>
        <v>8.4826196559005496</v>
      </c>
      <c r="E327" s="387">
        <f t="shared" si="125"/>
        <v>8.7173993661831588</v>
      </c>
      <c r="F327" s="387">
        <f t="shared" si="103"/>
        <v>8.7813263642051762</v>
      </c>
      <c r="G327" s="110">
        <f t="shared" si="126"/>
        <v>0.35871513251080783</v>
      </c>
      <c r="H327" s="416" t="b">
        <f>Wh_hp&gt;='2021'!Maxi_hp</f>
        <v>0</v>
      </c>
      <c r="I327" s="382">
        <f>IF(H327,Wh_hp,'2021'!Maxi_hp)</f>
        <v>19.543383638603277</v>
      </c>
      <c r="J327" s="85">
        <f>IF(H327,An,'2021'!An_max)</f>
        <v>2020</v>
      </c>
      <c r="K327" s="199">
        <f t="shared" si="104"/>
        <v>44874</v>
      </c>
      <c r="L327" s="147">
        <f>IF(t&lt;Tvie,1-EXP((T0-t)*PertePVj)+'2021'!Pspv,1-EXP((T0-t)*PertePVj)+Pspv)</f>
        <v>3.5675259315681607E-2</v>
      </c>
      <c r="M327" s="872"/>
      <c r="N327" s="872"/>
      <c r="O327" s="48">
        <f>IF(t&lt;Tnet,'2021'!Resal+('2021'!Salim-'2021'!Resal)*(1-EXP(('2021'!Tnet-t)/('2021'!Tau_j))),Resal+(Salim-Resal)*(1-EXP((Tnet-t)/(Tau_j))))*Salcycl</f>
        <v>2.6932310935916783E-2</v>
      </c>
      <c r="P327" s="341">
        <f>(INDEX(Models!$BJ327:$BT327,,T327)*(1-R327)+INDEX(Models!$BJ327:$BT327,,T327+1)*R327-ERP_i)*Q327*Ramure*Pc/MaxiM</f>
        <v>6.3500636426224416E-2</v>
      </c>
      <c r="Q327" s="307">
        <f t="shared" si="105"/>
        <v>0.9</v>
      </c>
      <c r="R327" s="179">
        <f t="shared" si="106"/>
        <v>0.49926060859152155</v>
      </c>
      <c r="S327" s="839">
        <f t="shared" si="107"/>
        <v>0</v>
      </c>
      <c r="T327" s="178">
        <f t="shared" si="108"/>
        <v>6</v>
      </c>
      <c r="U327" s="253">
        <f t="shared" si="109"/>
        <v>0.49926060859152155</v>
      </c>
      <c r="V327" s="385">
        <f t="shared" si="110"/>
        <v>21.512172319753514</v>
      </c>
      <c r="W327" s="404">
        <f t="shared" si="111"/>
        <v>0</v>
      </c>
      <c r="X327" s="157">
        <f t="shared" si="112"/>
        <v>44874</v>
      </c>
      <c r="Y327" s="387">
        <f t="shared" si="113"/>
        <v>7.2053910896478959</v>
      </c>
      <c r="Z327" s="387">
        <f t="shared" si="114"/>
        <v>7.4719550226770082</v>
      </c>
      <c r="AA327" s="388">
        <f t="shared" si="115"/>
        <v>8.7173993661831588</v>
      </c>
      <c r="AB327" s="199">
        <f t="shared" si="116"/>
        <v>44874</v>
      </c>
      <c r="AC327" s="119">
        <f>IF(OR(t&lt;Tnet,NoTnet),'2021'!Resal_s+('2021'!Salim-'2021'!Resal_s)*(1-EXP(('2021'!Tnet_s-t)/'2021'!Tau_j)),Resal_s+(Salim-Resal_s)*(1-EXP((Tnet_s-t)/Tau_j)))*Salcycl</f>
        <v>0.14286879506031602</v>
      </c>
      <c r="AD327" s="233">
        <f>(INDEX(Models!$BJ327:$BT327,,AH327)*(1-AF327)+INDEX(Models!$BJ327:$BT327,,AH327+1)*AF327-ERP_i)*AE327*Ramure*Pc/MaxiM</f>
        <v>6.3500636426224416E-2</v>
      </c>
      <c r="AE327" s="307">
        <f t="shared" si="117"/>
        <v>0.9</v>
      </c>
      <c r="AF327" s="179">
        <f t="shared" si="118"/>
        <v>0.49926060859152155</v>
      </c>
      <c r="AG327" s="839">
        <f t="shared" si="124"/>
        <v>0</v>
      </c>
      <c r="AH327" s="178">
        <f t="shared" si="119"/>
        <v>6</v>
      </c>
      <c r="AI327" s="227">
        <f t="shared" si="120"/>
        <v>0.49926060859152155</v>
      </c>
      <c r="AJ327" s="267" t="b">
        <f t="shared" si="121"/>
        <v>0</v>
      </c>
      <c r="AK327" s="267" t="b">
        <f t="shared" si="122"/>
        <v>0</v>
      </c>
      <c r="AL327" s="267"/>
      <c r="AM327" s="267"/>
      <c r="AN327" s="75"/>
    </row>
    <row r="328" spans="1:40" s="6" customFormat="1" ht="11.25" x14ac:dyDescent="0.2">
      <c r="A328" s="56">
        <f t="shared" si="123"/>
        <v>44875</v>
      </c>
      <c r="B328" s="1141">
        <v>18.385000000000002</v>
      </c>
      <c r="C328" s="868"/>
      <c r="D328" s="395">
        <f t="shared" si="102"/>
        <v>19.06559800873578</v>
      </c>
      <c r="E328" s="387">
        <f t="shared" si="125"/>
        <v>19.597152513151407</v>
      </c>
      <c r="F328" s="387">
        <f t="shared" si="103"/>
        <v>20.686248828344251</v>
      </c>
      <c r="G328" s="110">
        <f t="shared" si="126"/>
        <v>0.85490435663374176</v>
      </c>
      <c r="H328" s="416" t="b">
        <f>Wh_hp&gt;='2021'!Maxi_hp</f>
        <v>1</v>
      </c>
      <c r="I328" s="382">
        <f>IF(H328,Wh_hp,'2021'!Maxi_hp)</f>
        <v>20.686248828344251</v>
      </c>
      <c r="J328" s="85">
        <f>IF(H328,An,'2021'!An_max)</f>
        <v>2022</v>
      </c>
      <c r="K328" s="199">
        <f t="shared" si="104"/>
        <v>44875</v>
      </c>
      <c r="L328" s="147">
        <f>IF(t&lt;Tvie,1-EXP((T0-t)*PertePVj)+'2021'!Pspv,1-EXP((T0-t)*PertePVj)+Pspv)</f>
        <v>3.5697700561185153E-2</v>
      </c>
      <c r="M328" s="872"/>
      <c r="N328" s="872"/>
      <c r="O328" s="48">
        <f>IF(t&lt;Tnet,'2021'!Resal+('2021'!Salim-'2021'!Resal)*(1-EXP(('2021'!Tnet-t)/('2021'!Tau_j))),Resal+(Salim-Resal)*(1-EXP((Tnet-t)/(Tau_j))))*Salcycl</f>
        <v>2.7124068359365469E-2</v>
      </c>
      <c r="P328" s="341">
        <f>(INDEX(Models!$BJ328:$BT328,,T328)*(1-R328)+INDEX(Models!$BJ328:$BT328,,T328+1)*R328-ERP_i)*Q328*Ramure*Pc/MaxiM</f>
        <v>6.508134144516374E-2</v>
      </c>
      <c r="Q328" s="307">
        <f t="shared" si="105"/>
        <v>0.9</v>
      </c>
      <c r="R328" s="179">
        <f t="shared" si="106"/>
        <v>0.49930732466279182</v>
      </c>
      <c r="S328" s="839">
        <f t="shared" si="107"/>
        <v>0</v>
      </c>
      <c r="T328" s="178">
        <f t="shared" si="108"/>
        <v>6</v>
      </c>
      <c r="U328" s="253">
        <f t="shared" si="109"/>
        <v>0.49930732466279182</v>
      </c>
      <c r="V328" s="385">
        <f t="shared" si="110"/>
        <v>21.223094266053991</v>
      </c>
      <c r="W328" s="404">
        <f t="shared" si="111"/>
        <v>0</v>
      </c>
      <c r="X328" s="157">
        <f t="shared" si="112"/>
        <v>44875</v>
      </c>
      <c r="Y328" s="387">
        <f t="shared" si="113"/>
        <v>16.19854208659843</v>
      </c>
      <c r="Z328" s="387">
        <f t="shared" si="114"/>
        <v>16.798199170556089</v>
      </c>
      <c r="AA328" s="388">
        <f t="shared" si="115"/>
        <v>19.597152513151407</v>
      </c>
      <c r="AB328" s="199">
        <f t="shared" si="116"/>
        <v>44875</v>
      </c>
      <c r="AC328" s="119">
        <f>IF(OR(t&lt;Tnet,NoTnet),'2021'!Resal_s+('2021'!Salim-'2021'!Resal_s)*(1-EXP(('2021'!Tnet_s-t)/'2021'!Tau_j)),Resal_s+(Salim-Resal_s)*(1-EXP((Tnet_s-t)/Tau_j)))*Salcycl</f>
        <v>0.14282449150288423</v>
      </c>
      <c r="AD328" s="233">
        <f>(INDEX(Models!$BJ328:$BT328,,AH328)*(1-AF328)+INDEX(Models!$BJ328:$BT328,,AH328+1)*AF328-ERP_i)*AE328*Ramure*Pc/MaxiM</f>
        <v>6.508134144516374E-2</v>
      </c>
      <c r="AE328" s="307">
        <f t="shared" si="117"/>
        <v>0.9</v>
      </c>
      <c r="AF328" s="179">
        <f t="shared" si="118"/>
        <v>0.49930732466279182</v>
      </c>
      <c r="AG328" s="839">
        <f t="shared" si="124"/>
        <v>0</v>
      </c>
      <c r="AH328" s="178">
        <f t="shared" si="119"/>
        <v>6</v>
      </c>
      <c r="AI328" s="227">
        <f t="shared" si="120"/>
        <v>0.49930732466279182</v>
      </c>
      <c r="AJ328" s="267" t="b">
        <f t="shared" si="121"/>
        <v>0</v>
      </c>
      <c r="AK328" s="267" t="b">
        <f t="shared" si="122"/>
        <v>0</v>
      </c>
      <c r="AL328" s="267"/>
      <c r="AM328" s="267"/>
      <c r="AN328" s="75"/>
    </row>
    <row r="329" spans="1:40" s="6" customFormat="1" ht="11.25" x14ac:dyDescent="0.2">
      <c r="A329" s="56">
        <f t="shared" si="123"/>
        <v>44876</v>
      </c>
      <c r="B329" s="1141">
        <v>18.93</v>
      </c>
      <c r="C329" s="868"/>
      <c r="D329" s="395">
        <f t="shared" si="102"/>
        <v>19.631230320640832</v>
      </c>
      <c r="E329" s="387">
        <f t="shared" si="125"/>
        <v>20.182526364492059</v>
      </c>
      <c r="F329" s="387">
        <f t="shared" si="103"/>
        <v>21.412751227633198</v>
      </c>
      <c r="G329" s="110">
        <f t="shared" si="126"/>
        <v>0.89511382938060968</v>
      </c>
      <c r="H329" s="416" t="b">
        <f>Wh_hp&gt;='2021'!Maxi_hp</f>
        <v>1</v>
      </c>
      <c r="I329" s="382">
        <f>IF(H329,Wh_hp,'2021'!Maxi_hp)</f>
        <v>21.412751227633198</v>
      </c>
      <c r="J329" s="85">
        <f>IF(H329,An,'2021'!An_max)</f>
        <v>2022</v>
      </c>
      <c r="K329" s="199">
        <f t="shared" si="104"/>
        <v>44876</v>
      </c>
      <c r="L329" s="147">
        <f>IF(t&lt;Tvie,1-EXP((T0-t)*PertePVj)+'2021'!Pspv,1-EXP((T0-t)*PertePVj)+Pspv)</f>
        <v>3.5720141284448115E-2</v>
      </c>
      <c r="M329" s="872"/>
      <c r="N329" s="872"/>
      <c r="O329" s="48">
        <f>IF(t&lt;Tnet,'2021'!Resal+('2021'!Salim-'2021'!Resal)*(1-EXP(('2021'!Tnet-t)/('2021'!Tau_j))),Resal+(Salim-Resal)*(1-EXP((Tnet-t)/(Tau_j))))*Salcycl</f>
        <v>2.7315512136337223E-2</v>
      </c>
      <c r="P329" s="341">
        <f>(INDEX(Models!$BJ329:$BT329,,T329)*(1-R329)+INDEX(Models!$BJ329:$BT329,,T329+1)*R329-ERP_i)*Q329*Ramure*Pc/MaxiM</f>
        <v>6.6597378044530725E-2</v>
      </c>
      <c r="Q329" s="307">
        <f t="shared" si="105"/>
        <v>0.9</v>
      </c>
      <c r="R329" s="179">
        <f t="shared" si="106"/>
        <v>0.49935216664996562</v>
      </c>
      <c r="S329" s="839">
        <f t="shared" si="107"/>
        <v>0</v>
      </c>
      <c r="T329" s="178">
        <f t="shared" si="108"/>
        <v>6</v>
      </c>
      <c r="U329" s="253">
        <f t="shared" si="109"/>
        <v>0.49935216664996562</v>
      </c>
      <c r="V329" s="385">
        <f t="shared" si="110"/>
        <v>20.942971727120689</v>
      </c>
      <c r="W329" s="404">
        <f t="shared" si="111"/>
        <v>0</v>
      </c>
      <c r="X329" s="157">
        <f t="shared" si="112"/>
        <v>44876</v>
      </c>
      <c r="Y329" s="387">
        <f t="shared" si="113"/>
        <v>16.682843566351842</v>
      </c>
      <c r="Z329" s="387">
        <f t="shared" si="114"/>
        <v>17.300831719718655</v>
      </c>
      <c r="AA329" s="388">
        <f t="shared" si="115"/>
        <v>20.182526364492059</v>
      </c>
      <c r="AB329" s="199">
        <f t="shared" si="116"/>
        <v>44876</v>
      </c>
      <c r="AC329" s="119">
        <f>IF(OR(t&lt;Tnet,NoTnet),'2021'!Resal_s+('2021'!Salim-'2021'!Resal_s)*(1-EXP(('2021'!Tnet_s-t)/'2021'!Tau_j)),Resal_s+(Salim-Resal_s)*(1-EXP((Tnet_s-t)/Tau_j)))*Salcycl</f>
        <v>0.1427816613604572</v>
      </c>
      <c r="AD329" s="233">
        <f>(INDEX(Models!$BJ329:$BT329,,AH329)*(1-AF329)+INDEX(Models!$BJ329:$BT329,,AH329+1)*AF329-ERP_i)*AE329*Ramure*Pc/MaxiM</f>
        <v>6.6597378044530725E-2</v>
      </c>
      <c r="AE329" s="307">
        <f t="shared" si="117"/>
        <v>0.9</v>
      </c>
      <c r="AF329" s="179">
        <f t="shared" si="118"/>
        <v>0.49935216664996562</v>
      </c>
      <c r="AG329" s="839">
        <f t="shared" si="124"/>
        <v>0</v>
      </c>
      <c r="AH329" s="178">
        <f t="shared" si="119"/>
        <v>6</v>
      </c>
      <c r="AI329" s="227">
        <f t="shared" si="120"/>
        <v>0.49935216664996562</v>
      </c>
      <c r="AJ329" s="267" t="b">
        <f t="shared" si="121"/>
        <v>0</v>
      </c>
      <c r="AK329" s="267" t="b">
        <f t="shared" si="122"/>
        <v>0</v>
      </c>
      <c r="AL329" s="267"/>
      <c r="AM329" s="267"/>
      <c r="AN329" s="75"/>
    </row>
    <row r="330" spans="1:40" s="6" customFormat="1" ht="11.25" x14ac:dyDescent="0.2">
      <c r="A330" s="56">
        <f t="shared" si="123"/>
        <v>44877</v>
      </c>
      <c r="B330" s="1141">
        <v>18.772000000000002</v>
      </c>
      <c r="C330" s="868"/>
      <c r="D330" s="395">
        <f t="shared" si="102"/>
        <v>19.467830518658726</v>
      </c>
      <c r="E330" s="387">
        <f t="shared" si="125"/>
        <v>20.018472371783336</v>
      </c>
      <c r="F330" s="387">
        <f t="shared" si="103"/>
        <v>21.276065110580369</v>
      </c>
      <c r="G330" s="110">
        <f t="shared" si="126"/>
        <v>0.89945486296848853</v>
      </c>
      <c r="H330" s="416" t="b">
        <f>Wh_hp&gt;='2021'!Maxi_hp</f>
        <v>0</v>
      </c>
      <c r="I330" s="382">
        <f>IF(H330,Wh_hp,'2021'!Maxi_hp)</f>
        <v>21.417505226128377</v>
      </c>
      <c r="J330" s="85">
        <f>IF(H330,An,'2021'!An_max)</f>
        <v>2018</v>
      </c>
      <c r="K330" s="199">
        <f t="shared" si="104"/>
        <v>44877</v>
      </c>
      <c r="L330" s="147">
        <f>IF(t&lt;Tvie,1-EXP((T0-t)*PertePVj)+'2021'!Pspv,1-EXP((T0-t)*PertePVj)+Pspv)</f>
        <v>3.5742581485482594E-2</v>
      </c>
      <c r="M330" s="872"/>
      <c r="N330" s="872"/>
      <c r="O330" s="48">
        <f>IF(t&lt;Tnet,'2021'!Resal+('2021'!Salim-'2021'!Resal)*(1-EXP(('2021'!Tnet-t)/('2021'!Tau_j))),Resal+(Salim-Resal)*(1-EXP((Tnet-t)/(Tau_j))))*Salcycl</f>
        <v>2.7506686968819621E-2</v>
      </c>
      <c r="P330" s="341">
        <f>(INDEX(Models!$BJ330:$BT330,,T330)*(1-R330)+INDEX(Models!$BJ330:$BT330,,T330+1)*R330-ERP_i)*Q330*Ramure*Pc/MaxiM</f>
        <v>6.8043572773902022E-2</v>
      </c>
      <c r="Q330" s="307">
        <f t="shared" si="105"/>
        <v>0.9</v>
      </c>
      <c r="R330" s="179">
        <f t="shared" si="106"/>
        <v>0.49939520947076887</v>
      </c>
      <c r="S330" s="839">
        <f t="shared" si="107"/>
        <v>0</v>
      </c>
      <c r="T330" s="178">
        <f t="shared" si="108"/>
        <v>6</v>
      </c>
      <c r="U330" s="253">
        <f t="shared" si="109"/>
        <v>0.49939520947076887</v>
      </c>
      <c r="V330" s="385">
        <f t="shared" si="110"/>
        <v>20.672221838898704</v>
      </c>
      <c r="W330" s="404">
        <f t="shared" si="111"/>
        <v>0</v>
      </c>
      <c r="X330" s="157">
        <f t="shared" si="112"/>
        <v>44877</v>
      </c>
      <c r="Y330" s="387">
        <f t="shared" si="113"/>
        <v>16.547646369228506</v>
      </c>
      <c r="Z330" s="387">
        <f t="shared" si="114"/>
        <v>17.161025729748506</v>
      </c>
      <c r="AA330" s="388">
        <f t="shared" si="115"/>
        <v>20.018472371783336</v>
      </c>
      <c r="AB330" s="199">
        <f t="shared" si="116"/>
        <v>44877</v>
      </c>
      <c r="AC330" s="119">
        <f>IF(OR(t&lt;Tnet,NoTnet),'2021'!Resal_s+('2021'!Salim-'2021'!Resal_s)*(1-EXP(('2021'!Tnet_s-t)/'2021'!Tau_j)),Resal_s+(Salim-Resal_s)*(1-EXP((Tnet_s-t)/Tau_j)))*Salcycl</f>
        <v>0.14274049432775351</v>
      </c>
      <c r="AD330" s="233">
        <f>(INDEX(Models!$BJ330:$BT330,,AH330)*(1-AF330)+INDEX(Models!$BJ330:$BT330,,AH330+1)*AF330-ERP_i)*AE330*Ramure*Pc/MaxiM</f>
        <v>6.8043572773902022E-2</v>
      </c>
      <c r="AE330" s="307">
        <f t="shared" si="117"/>
        <v>0.9</v>
      </c>
      <c r="AF330" s="179">
        <f t="shared" si="118"/>
        <v>0.49939520947076887</v>
      </c>
      <c r="AG330" s="839">
        <f t="shared" si="124"/>
        <v>0</v>
      </c>
      <c r="AH330" s="178">
        <f t="shared" si="119"/>
        <v>6</v>
      </c>
      <c r="AI330" s="227">
        <f t="shared" si="120"/>
        <v>0.49939520947076887</v>
      </c>
      <c r="AJ330" s="267" t="b">
        <f t="shared" si="121"/>
        <v>0</v>
      </c>
      <c r="AK330" s="267" t="b">
        <f t="shared" si="122"/>
        <v>0</v>
      </c>
      <c r="AL330" s="267"/>
      <c r="AM330" s="267"/>
      <c r="AN330" s="75"/>
    </row>
    <row r="331" spans="1:40" s="6" customFormat="1" ht="11.25" x14ac:dyDescent="0.2">
      <c r="A331" s="56">
        <f t="shared" si="123"/>
        <v>44878</v>
      </c>
      <c r="B331" s="1141">
        <v>16.641000000000002</v>
      </c>
      <c r="C331" s="868"/>
      <c r="D331" s="395">
        <f t="shared" si="102"/>
        <v>17.258241367777163</v>
      </c>
      <c r="E331" s="387">
        <f t="shared" si="125"/>
        <v>17.749870853822774</v>
      </c>
      <c r="F331" s="387">
        <f t="shared" si="103"/>
        <v>18.705731230576053</v>
      </c>
      <c r="G331" s="110">
        <f t="shared" si="126"/>
        <v>0.79956284351130025</v>
      </c>
      <c r="H331" s="416" t="b">
        <f>Wh_hp&gt;='2021'!Maxi_hp</f>
        <v>0</v>
      </c>
      <c r="I331" s="382">
        <f>IF(H331,Wh_hp,'2021'!Maxi_hp)</f>
        <v>23.366158746660897</v>
      </c>
      <c r="J331" s="85">
        <f>IF(H331,An,'2021'!An_max)</f>
        <v>2020</v>
      </c>
      <c r="K331" s="199">
        <f t="shared" si="104"/>
        <v>44878</v>
      </c>
      <c r="L331" s="147">
        <f>IF(t&lt;Tvie,1-EXP((T0-t)*PertePVj)+'2021'!Pspv,1-EXP((T0-t)*PertePVj)+Pspv)</f>
        <v>3.5765021164300803E-2</v>
      </c>
      <c r="M331" s="872"/>
      <c r="N331" s="872"/>
      <c r="O331" s="48">
        <f>IF(t&lt;Tnet,'2021'!Resal+('2021'!Salim-'2021'!Resal)*(1-EXP(('2021'!Tnet-t)/('2021'!Tau_j))),Resal+(Salim-Resal)*(1-EXP((Tnet-t)/(Tau_j))))*Salcycl</f>
        <v>2.7697637357160295E-2</v>
      </c>
      <c r="P331" s="341">
        <f>(INDEX(Models!$BJ331:$BT331,,T331)*(1-R331)+INDEX(Models!$BJ331:$BT331,,T331+1)*R331-ERP_i)*Q331*Ramure*Pc/MaxiM</f>
        <v>6.9415705978825099E-2</v>
      </c>
      <c r="Q331" s="307">
        <f t="shared" si="105"/>
        <v>0.9</v>
      </c>
      <c r="R331" s="179">
        <f t="shared" si="106"/>
        <v>0.49943652506883662</v>
      </c>
      <c r="S331" s="839">
        <f t="shared" si="107"/>
        <v>0</v>
      </c>
      <c r="T331" s="178">
        <f t="shared" si="108"/>
        <v>6</v>
      </c>
      <c r="U331" s="253">
        <f t="shared" si="109"/>
        <v>0.49943652506883662</v>
      </c>
      <c r="V331" s="385">
        <f t="shared" si="110"/>
        <v>20.410894018285219</v>
      </c>
      <c r="W331" s="404">
        <f t="shared" si="111"/>
        <v>0</v>
      </c>
      <c r="X331" s="157">
        <f t="shared" si="112"/>
        <v>44878</v>
      </c>
      <c r="Y331" s="387">
        <f t="shared" si="113"/>
        <v>14.672709143434657</v>
      </c>
      <c r="Z331" s="387">
        <f t="shared" si="114"/>
        <v>15.216943447904946</v>
      </c>
      <c r="AA331" s="388">
        <f t="shared" si="115"/>
        <v>17.749870853822774</v>
      </c>
      <c r="AB331" s="199">
        <f t="shared" si="116"/>
        <v>44878</v>
      </c>
      <c r="AC331" s="119">
        <f>IF(OR(t&lt;Tnet,NoTnet),'2021'!Resal_s+('2021'!Salim-'2021'!Resal_s)*(1-EXP(('2021'!Tnet_s-t)/'2021'!Tau_j)),Resal_s+(Salim-Resal_s)*(1-EXP((Tnet_s-t)/Tau_j)))*Salcycl</f>
        <v>0.14270117381571337</v>
      </c>
      <c r="AD331" s="233">
        <f>(INDEX(Models!$BJ331:$BT331,,AH331)*(1-AF331)+INDEX(Models!$BJ331:$BT331,,AH331+1)*AF331-ERP_i)*AE331*Ramure*Pc/MaxiM</f>
        <v>6.9415705978825099E-2</v>
      </c>
      <c r="AE331" s="307">
        <f t="shared" si="117"/>
        <v>0.9</v>
      </c>
      <c r="AF331" s="179">
        <f t="shared" si="118"/>
        <v>0.49943652506883662</v>
      </c>
      <c r="AG331" s="839">
        <f t="shared" si="124"/>
        <v>0</v>
      </c>
      <c r="AH331" s="178">
        <f t="shared" si="119"/>
        <v>6</v>
      </c>
      <c r="AI331" s="227">
        <f t="shared" si="120"/>
        <v>0.49943652506883662</v>
      </c>
      <c r="AJ331" s="267" t="b">
        <f t="shared" si="121"/>
        <v>0</v>
      </c>
      <c r="AK331" s="267" t="b">
        <f t="shared" si="122"/>
        <v>0</v>
      </c>
      <c r="AL331" s="267"/>
      <c r="AM331" s="267"/>
      <c r="AN331" s="75"/>
    </row>
    <row r="332" spans="1:40" s="6" customFormat="1" ht="11.25" x14ac:dyDescent="0.2">
      <c r="A332" s="56">
        <f t="shared" si="123"/>
        <v>44879</v>
      </c>
      <c r="B332" s="1141">
        <v>9.5980000000000008</v>
      </c>
      <c r="C332" s="868"/>
      <c r="D332" s="395">
        <f t="shared" si="102"/>
        <v>9.9542368565279844</v>
      </c>
      <c r="E332" s="387">
        <f t="shared" si="125"/>
        <v>10.239808816355541</v>
      </c>
      <c r="F332" s="387">
        <f t="shared" si="103"/>
        <v>10.425311549801265</v>
      </c>
      <c r="G332" s="110">
        <f t="shared" si="126"/>
        <v>0.45047370103837908</v>
      </c>
      <c r="H332" s="416" t="b">
        <f>Wh_hp&gt;='2021'!Maxi_hp</f>
        <v>0</v>
      </c>
      <c r="I332" s="382">
        <f>IF(H332,Wh_hp,'2021'!Maxi_hp)</f>
        <v>17.041501964262778</v>
      </c>
      <c r="J332" s="85">
        <f>IF(H332,An,'2021'!An_max)</f>
        <v>2020</v>
      </c>
      <c r="K332" s="199">
        <f t="shared" si="104"/>
        <v>44879</v>
      </c>
      <c r="L332" s="147">
        <f>IF(t&lt;Tvie,1-EXP((T0-t)*PertePVj)+'2021'!Pspv,1-EXP((T0-t)*PertePVj)+Pspv)</f>
        <v>3.5787460320914954E-2</v>
      </c>
      <c r="M332" s="872"/>
      <c r="N332" s="872"/>
      <c r="O332" s="48">
        <f>IF(t&lt;Tnet,'2021'!Resal+('2021'!Salim-'2021'!Resal)*(1-EXP(('2021'!Tnet-t)/('2021'!Tau_j))),Resal+(Salim-Resal)*(1-EXP((Tnet-t)/(Tau_j))))*Salcycl</f>
        <v>2.7888407386222541E-2</v>
      </c>
      <c r="P332" s="341">
        <f>(INDEX(Models!$BJ332:$BT332,,T332)*(1-R332)+INDEX(Models!$BJ332:$BT332,,T332+1)*R332-ERP_i)*Q332*Ramure*Pc/MaxiM</f>
        <v>7.0717761436478566E-2</v>
      </c>
      <c r="Q332" s="307">
        <f t="shared" si="105"/>
        <v>0.9</v>
      </c>
      <c r="R332" s="179">
        <f t="shared" si="106"/>
        <v>0.49947618253013848</v>
      </c>
      <c r="S332" s="839">
        <f t="shared" si="107"/>
        <v>0</v>
      </c>
      <c r="T332" s="178">
        <f t="shared" si="108"/>
        <v>6</v>
      </c>
      <c r="U332" s="253">
        <f t="shared" si="109"/>
        <v>0.49947618253013848</v>
      </c>
      <c r="V332" s="385">
        <f t="shared" si="110"/>
        <v>20.158403528098212</v>
      </c>
      <c r="W332" s="404">
        <f t="shared" si="111"/>
        <v>0</v>
      </c>
      <c r="X332" s="157">
        <f t="shared" si="112"/>
        <v>44879</v>
      </c>
      <c r="Y332" s="387">
        <f t="shared" si="113"/>
        <v>8.4647813888922609</v>
      </c>
      <c r="Z332" s="387">
        <f t="shared" si="114"/>
        <v>8.7789579999753578</v>
      </c>
      <c r="AA332" s="388">
        <f t="shared" si="115"/>
        <v>10.239808816355541</v>
      </c>
      <c r="AB332" s="199">
        <f t="shared" si="116"/>
        <v>44879</v>
      </c>
      <c r="AC332" s="119">
        <f>IF(OR(t&lt;Tnet,NoTnet),'2021'!Resal_s+('2021'!Salim-'2021'!Resal_s)*(1-EXP(('2021'!Tnet_s-t)/'2021'!Tau_j)),Resal_s+(Salim-Resal_s)*(1-EXP((Tnet_s-t)/Tau_j)))*Salcycl</f>
        <v>0.14266387611132336</v>
      </c>
      <c r="AD332" s="233">
        <f>(INDEX(Models!$BJ332:$BT332,,AH332)*(1-AF332)+INDEX(Models!$BJ332:$BT332,,AH332+1)*AF332-ERP_i)*AE332*Ramure*Pc/MaxiM</f>
        <v>7.0717761436478566E-2</v>
      </c>
      <c r="AE332" s="307">
        <f t="shared" si="117"/>
        <v>0.9</v>
      </c>
      <c r="AF332" s="179">
        <f t="shared" si="118"/>
        <v>0.49947618253013848</v>
      </c>
      <c r="AG332" s="839">
        <f t="shared" si="124"/>
        <v>0</v>
      </c>
      <c r="AH332" s="178">
        <f t="shared" si="119"/>
        <v>6</v>
      </c>
      <c r="AI332" s="227">
        <f t="shared" si="120"/>
        <v>0.49947618253013848</v>
      </c>
      <c r="AJ332" s="267" t="b">
        <f t="shared" si="121"/>
        <v>0</v>
      </c>
      <c r="AK332" s="267" t="b">
        <f t="shared" si="122"/>
        <v>0</v>
      </c>
      <c r="AL332" s="267"/>
      <c r="AM332" s="267"/>
      <c r="AN332" s="75"/>
    </row>
    <row r="333" spans="1:40" s="6" customFormat="1" ht="11.25" x14ac:dyDescent="0.2">
      <c r="A333" s="56">
        <f t="shared" si="123"/>
        <v>44880</v>
      </c>
      <c r="B333" s="1141">
        <v>11.686</v>
      </c>
      <c r="C333" s="868"/>
      <c r="D333" s="395">
        <f t="shared" si="102"/>
        <v>12.120016568660754</v>
      </c>
      <c r="E333" s="387">
        <f t="shared" si="125"/>
        <v>12.470166889967746</v>
      </c>
      <c r="F333" s="387">
        <f t="shared" si="103"/>
        <v>12.849225333892125</v>
      </c>
      <c r="G333" s="110">
        <f t="shared" si="126"/>
        <v>0.56114537899353922</v>
      </c>
      <c r="H333" s="416" t="b">
        <f>Wh_hp&gt;='2021'!Maxi_hp</f>
        <v>0</v>
      </c>
      <c r="I333" s="382">
        <f>IF(H333,Wh_hp,'2021'!Maxi_hp)</f>
        <v>21.801305387637619</v>
      </c>
      <c r="J333" s="85">
        <f>IF(H333,An,'2021'!An_max)</f>
        <v>2020</v>
      </c>
      <c r="K333" s="199">
        <f t="shared" si="104"/>
        <v>44880</v>
      </c>
      <c r="L333" s="147">
        <f>IF(t&lt;Tvie,1-EXP((T0-t)*PertePVj)+'2021'!Pspv,1-EXP((T0-t)*PertePVj)+Pspv)</f>
        <v>3.5809898955337149E-2</v>
      </c>
      <c r="M333" s="872"/>
      <c r="N333" s="872"/>
      <c r="O333" s="48">
        <f>IF(t&lt;Tnet,'2021'!Resal+('2021'!Salim-'2021'!Resal)*(1-EXP(('2021'!Tnet-t)/('2021'!Tau_j))),Resal+(Salim-Resal)*(1-EXP((Tnet-t)/(Tau_j))))*Salcycl</f>
        <v>2.8079040512977382E-2</v>
      </c>
      <c r="P333" s="341">
        <f>(INDEX(Models!$BJ333:$BT333,,T333)*(1-R333)+INDEX(Models!$BJ333:$BT333,,T333+1)*R333-ERP_i)*Q333*Ramure*Pc/MaxiM</f>
        <v>7.1992684538714158E-2</v>
      </c>
      <c r="Q333" s="307">
        <f t="shared" si="105"/>
        <v>0.9</v>
      </c>
      <c r="R333" s="179">
        <f t="shared" si="106"/>
        <v>0.49951424819497636</v>
      </c>
      <c r="S333" s="839">
        <f t="shared" si="107"/>
        <v>0</v>
      </c>
      <c r="T333" s="178">
        <f t="shared" si="108"/>
        <v>6</v>
      </c>
      <c r="U333" s="253">
        <f t="shared" si="109"/>
        <v>0.49951424819497636</v>
      </c>
      <c r="V333" s="385">
        <f t="shared" si="110"/>
        <v>19.913452864862741</v>
      </c>
      <c r="W333" s="404">
        <f t="shared" si="111"/>
        <v>0</v>
      </c>
      <c r="X333" s="157">
        <f t="shared" si="112"/>
        <v>44880</v>
      </c>
      <c r="Y333" s="387">
        <f t="shared" si="113"/>
        <v>10.308698563301409</v>
      </c>
      <c r="Z333" s="387">
        <f t="shared" si="114"/>
        <v>10.691562330013895</v>
      </c>
      <c r="AA333" s="388">
        <f t="shared" si="115"/>
        <v>12.470166889967746</v>
      </c>
      <c r="AB333" s="199">
        <f t="shared" si="116"/>
        <v>44880</v>
      </c>
      <c r="AC333" s="119">
        <f>IF(OR(t&lt;Tnet,NoTnet),'2021'!Resal_s+('2021'!Salim-'2021'!Resal_s)*(1-EXP(('2021'!Tnet_s-t)/'2021'!Tau_j)),Resal_s+(Salim-Resal_s)*(1-EXP((Tnet_s-t)/Tau_j)))*Salcycl</f>
        <v>0.14262876957843595</v>
      </c>
      <c r="AD333" s="233">
        <f>(INDEX(Models!$BJ333:$BT333,,AH333)*(1-AF333)+INDEX(Models!$BJ333:$BT333,,AH333+1)*AF333-ERP_i)*AE333*Ramure*Pc/MaxiM</f>
        <v>7.1992684538714158E-2</v>
      </c>
      <c r="AE333" s="307">
        <f t="shared" si="117"/>
        <v>0.9</v>
      </c>
      <c r="AF333" s="179">
        <f t="shared" si="118"/>
        <v>0.49951424819497636</v>
      </c>
      <c r="AG333" s="839">
        <f t="shared" si="124"/>
        <v>0</v>
      </c>
      <c r="AH333" s="178">
        <f t="shared" si="119"/>
        <v>6</v>
      </c>
      <c r="AI333" s="227">
        <f t="shared" si="120"/>
        <v>0.49951424819497636</v>
      </c>
      <c r="AJ333" s="267" t="b">
        <f t="shared" si="121"/>
        <v>0</v>
      </c>
      <c r="AK333" s="267" t="b">
        <f t="shared" si="122"/>
        <v>0</v>
      </c>
      <c r="AL333" s="267"/>
      <c r="AM333" s="267"/>
      <c r="AN333" s="75"/>
    </row>
    <row r="334" spans="1:40" s="6" customFormat="1" ht="11.25" x14ac:dyDescent="0.2">
      <c r="A334" s="56">
        <f t="shared" si="123"/>
        <v>44881</v>
      </c>
      <c r="B334" s="1141">
        <v>18.298999999999999</v>
      </c>
      <c r="C334" s="868"/>
      <c r="D334" s="395">
        <f t="shared" si="102"/>
        <v>18.979064226594577</v>
      </c>
      <c r="E334" s="387">
        <f t="shared" si="125"/>
        <v>19.531203123226522</v>
      </c>
      <c r="F334" s="387">
        <f t="shared" si="103"/>
        <v>20.909527532207395</v>
      </c>
      <c r="G334" s="110">
        <f t="shared" si="126"/>
        <v>0.92274020062650253</v>
      </c>
      <c r="H334" s="416" t="b">
        <f>Wh_hp&gt;='2021'!Maxi_hp</f>
        <v>1</v>
      </c>
      <c r="I334" s="382">
        <f>IF(H334,Wh_hp,'2021'!Maxi_hp)</f>
        <v>20.909527532207395</v>
      </c>
      <c r="J334" s="85">
        <f>IF(H334,An,'2021'!An_max)</f>
        <v>2022</v>
      </c>
      <c r="K334" s="199">
        <f t="shared" si="104"/>
        <v>44881</v>
      </c>
      <c r="L334" s="147">
        <f>IF(t&lt;Tvie,1-EXP((T0-t)*PertePVj)+'2021'!Pspv,1-EXP((T0-t)*PertePVj)+Pspv)</f>
        <v>3.58323370675796E-2</v>
      </c>
      <c r="M334" s="872"/>
      <c r="N334" s="872"/>
      <c r="O334" s="48">
        <f>IF(t&lt;Tnet,'2021'!Resal+('2021'!Salim-'2021'!Resal)*(1-EXP(('2021'!Tnet-t)/('2021'!Tau_j))),Resal+(Salim-Resal)*(1-EXP((Tnet-t)/(Tau_j))))*Salcycl</f>
        <v>2.8269579357112901E-2</v>
      </c>
      <c r="P334" s="341">
        <f>(INDEX(Models!$BJ334:$BT334,,T334)*(1-R334)+INDEX(Models!$BJ334:$BT334,,T334+1)*R334-ERP_i)*Q334*Ramure*Pc/MaxiM</f>
        <v>7.3239355398780376E-2</v>
      </c>
      <c r="Q334" s="307">
        <f t="shared" si="105"/>
        <v>0.9</v>
      </c>
      <c r="R334" s="179">
        <f t="shared" si="106"/>
        <v>0.49955078576571277</v>
      </c>
      <c r="S334" s="839">
        <f t="shared" si="107"/>
        <v>0</v>
      </c>
      <c r="T334" s="178">
        <f t="shared" si="108"/>
        <v>6</v>
      </c>
      <c r="U334" s="253">
        <f t="shared" si="109"/>
        <v>0.49955078576571277</v>
      </c>
      <c r="V334" s="385">
        <f t="shared" si="110"/>
        <v>19.675723976353588</v>
      </c>
      <c r="W334" s="404">
        <f t="shared" si="111"/>
        <v>0</v>
      </c>
      <c r="X334" s="157">
        <f t="shared" si="112"/>
        <v>44881</v>
      </c>
      <c r="Y334" s="387">
        <f t="shared" si="113"/>
        <v>16.146078385780232</v>
      </c>
      <c r="Z334" s="387">
        <f t="shared" si="114"/>
        <v>16.746131411080032</v>
      </c>
      <c r="AA334" s="388">
        <f t="shared" si="115"/>
        <v>19.531203123226522</v>
      </c>
      <c r="AB334" s="199">
        <f t="shared" si="116"/>
        <v>44881</v>
      </c>
      <c r="AC334" s="119">
        <f>IF(OR(t&lt;Tnet,NoTnet),'2021'!Resal_s+('2021'!Salim-'2021'!Resal_s)*(1-EXP(('2021'!Tnet_s-t)/'2021'!Tau_j)),Resal_s+(Salim-Resal_s)*(1-EXP((Tnet_s-t)/Tau_j)))*Salcycl</f>
        <v>0.14259601390528165</v>
      </c>
      <c r="AD334" s="233">
        <f>(INDEX(Models!$BJ334:$BT334,,AH334)*(1-AF334)+INDEX(Models!$BJ334:$BT334,,AH334+1)*AF334-ERP_i)*AE334*Ramure*Pc/MaxiM</f>
        <v>7.3239355398780376E-2</v>
      </c>
      <c r="AE334" s="307">
        <f t="shared" si="117"/>
        <v>0.9</v>
      </c>
      <c r="AF334" s="179">
        <f t="shared" si="118"/>
        <v>0.49955078576571277</v>
      </c>
      <c r="AG334" s="839">
        <f t="shared" si="124"/>
        <v>0</v>
      </c>
      <c r="AH334" s="178">
        <f t="shared" si="119"/>
        <v>6</v>
      </c>
      <c r="AI334" s="227">
        <f t="shared" si="120"/>
        <v>0.49955078576571277</v>
      </c>
      <c r="AJ334" s="267" t="b">
        <f t="shared" si="121"/>
        <v>0</v>
      </c>
      <c r="AK334" s="267" t="b">
        <f t="shared" si="122"/>
        <v>0</v>
      </c>
      <c r="AL334" s="267"/>
      <c r="AM334" s="267"/>
      <c r="AN334" s="75"/>
    </row>
    <row r="335" spans="1:40" s="6" customFormat="1" ht="11.25" x14ac:dyDescent="0.2">
      <c r="A335" s="56">
        <f t="shared" si="123"/>
        <v>44882</v>
      </c>
      <c r="B335" s="1141">
        <v>12.005000000000001</v>
      </c>
      <c r="C335" s="868"/>
      <c r="D335" s="395">
        <f t="shared" ref="D335:D379" si="127">Wh/(1-Ppv)</f>
        <v>12.45144370832444</v>
      </c>
      <c r="E335" s="387">
        <f t="shared" si="125"/>
        <v>12.816193412249417</v>
      </c>
      <c r="F335" s="387">
        <f t="shared" ref="F335:F379" si="128">Wh_sa/(1-Pvg*MEDIAN((-Sdif+Wh/Env_an)/Csdif,0,1))</f>
        <v>13.263975608280692</v>
      </c>
      <c r="G335" s="110">
        <f t="shared" si="126"/>
        <v>0.59138166667958159</v>
      </c>
      <c r="H335" s="416" t="b">
        <f>Wh_hp&gt;='2021'!Maxi_hp</f>
        <v>0</v>
      </c>
      <c r="I335" s="382">
        <f>IF(H335,Wh_hp,'2021'!Maxi_hp)</f>
        <v>21.918634591687038</v>
      </c>
      <c r="J335" s="85">
        <f>IF(H335,An,'2021'!An_max)</f>
        <v>2018</v>
      </c>
      <c r="K335" s="199">
        <f t="shared" ref="K335:K379" si="129">t</f>
        <v>44882</v>
      </c>
      <c r="L335" s="147">
        <f>IF(t&lt;Tvie,1-EXP((T0-t)*PertePVj)+'2021'!Pspv,1-EXP((T0-t)*PertePVj)+Pspv)</f>
        <v>3.5854774657654298E-2</v>
      </c>
      <c r="M335" s="872"/>
      <c r="N335" s="872"/>
      <c r="O335" s="48">
        <f>IF(t&lt;Tnet,'2021'!Resal+('2021'!Salim-'2021'!Resal)*(1-EXP(('2021'!Tnet-t)/('2021'!Tau_j))),Resal+(Salim-Resal)*(1-EXP((Tnet-t)/(Tau_j))))*Salcycl</f>
        <v>2.8460065496230598E-2</v>
      </c>
      <c r="P335" s="341">
        <f>(INDEX(Models!$BJ335:$BT335,,T335)*(1-R335)+INDEX(Models!$BJ335:$BT335,,T335+1)*R335-ERP_i)*Q335*Ramure*Pc/MaxiM</f>
        <v>7.4456733530405536E-2</v>
      </c>
      <c r="Q335" s="307">
        <f t="shared" ref="Q335:Q379" si="130">IF(OR(t&lt;Ttai,Notai),Dd+PousD*Croivg,Dens+PousD*(Croivg-Croi_tai))</f>
        <v>0.9</v>
      </c>
      <c r="R335" s="179">
        <f t="shared" ref="R335:R379" si="131">(Hp_vg-S335)/(INDEX(Echel_vg,T335+1)-S335)</f>
        <v>0.49958585641038189</v>
      </c>
      <c r="S335" s="839">
        <f t="shared" ref="S335:S379" si="132">INDEX(Echel_vg,T335)</f>
        <v>0</v>
      </c>
      <c r="T335" s="178">
        <f t="shared" ref="T335:T379" si="133">MIN(MATCH(Hp_vg,Echel_vg),10)</f>
        <v>6</v>
      </c>
      <c r="U335" s="253">
        <f t="shared" ref="U335:U379" si="134">IF(OR(t&lt;Ttai,Notai),Hdd+PousH*Croivg,Hdtf+PousH*(Croivg-Croi_tai))</f>
        <v>0.49958585641038189</v>
      </c>
      <c r="V335" s="385">
        <f t="shared" ref="V335:V379" si="135">MaxiM*(1-Ppv)*(1-Pvg)*(1-Psa)</f>
        <v>19.444899138575426</v>
      </c>
      <c r="W335" s="404">
        <f t="shared" ref="W335:W379" si="136">Wh*(A335&gt;Tmaj)</f>
        <v>0</v>
      </c>
      <c r="X335" s="157">
        <f t="shared" ref="X335:X379" si="137">t</f>
        <v>44882</v>
      </c>
      <c r="Y335" s="387">
        <f t="shared" ref="Y335:Y379" si="138">Wh_pvt_s*(1-Ppv)</f>
        <v>10.595033402937055</v>
      </c>
      <c r="Z335" s="387">
        <f t="shared" ref="Z335:Z379" si="139">Wh_sa_s*(1-Psa_s)</f>
        <v>10.989043065763255</v>
      </c>
      <c r="AA335" s="388">
        <f t="shared" ref="AA335:AA379" si="140">Wh_hp*(1-Pvg_s*MEDIAN((-Sdif+Wh/Env_an)/Csdif,0,1))</f>
        <v>12.816193412249417</v>
      </c>
      <c r="AB335" s="199">
        <f t="shared" ref="AB335:AB379" si="141">t</f>
        <v>44882</v>
      </c>
      <c r="AC335" s="119">
        <f>IF(OR(t&lt;Tnet,NoTnet),'2021'!Resal_s+('2021'!Salim-'2021'!Resal_s)*(1-EXP(('2021'!Tnet_s-t)/'2021'!Tau_j)),Resal_s+(Salim-Resal_s)*(1-EXP((Tnet_s-t)/Tau_j)))*Salcycl</f>
        <v>0.14256575940402208</v>
      </c>
      <c r="AD335" s="233">
        <f>(INDEX(Models!$BJ335:$BT335,,AH335)*(1-AF335)+INDEX(Models!$BJ335:$BT335,,AH335+1)*AF335-ERP_i)*AE335*Ramure*Pc/MaxiM</f>
        <v>7.4456733530405536E-2</v>
      </c>
      <c r="AE335" s="307">
        <f t="shared" ref="AE335:AE379" si="142">IF(OR(t&lt;Ttai,Notai),Dd_s+PousD*Croivg,Dens_s+PousD*(Croivg-Croi_tai))</f>
        <v>0.9</v>
      </c>
      <c r="AF335" s="179">
        <f t="shared" ref="AF335:AF379" si="143">(Hp_vg_s-AG335)/(INDEX(Echel_vg,AH335+1)-AG335)</f>
        <v>0.49958585641038189</v>
      </c>
      <c r="AG335" s="839">
        <f t="shared" si="124"/>
        <v>0</v>
      </c>
      <c r="AH335" s="178">
        <f t="shared" ref="AH335:AH379" si="144">MIN(MATCH(Hp_vg_s,Echel_vg),10)</f>
        <v>6</v>
      </c>
      <c r="AI335" s="227">
        <f t="shared" ref="AI335:AI379" si="145">IF(OR(t&lt;Ttai,Notai),Hdd_s+PousH*Croivg,Hdtai_s+PousH*(Croivg-Croi_tai))</f>
        <v>0.49958585641038189</v>
      </c>
      <c r="AJ335" s="267" t="b">
        <f t="shared" ref="AJ335:AJ380" si="146">t&lt;Tnet</f>
        <v>0</v>
      </c>
      <c r="AK335" s="267" t="b">
        <f t="shared" ref="AK335:AK380" si="147">t&lt;Ttai</f>
        <v>0</v>
      </c>
      <c r="AL335" s="267"/>
      <c r="AM335" s="267"/>
      <c r="AN335" s="75"/>
    </row>
    <row r="336" spans="1:40" s="6" customFormat="1" ht="11.25" x14ac:dyDescent="0.2">
      <c r="A336" s="56">
        <f t="shared" ref="A336:A379" si="148">A335+1</f>
        <v>44883</v>
      </c>
      <c r="B336" s="1141">
        <v>11.348000000000001</v>
      </c>
      <c r="C336" s="868"/>
      <c r="D336" s="395">
        <f t="shared" si="127"/>
        <v>11.770285007276401</v>
      </c>
      <c r="E336" s="387">
        <f t="shared" si="125"/>
        <v>12.117456675578316</v>
      </c>
      <c r="F336" s="387">
        <f t="shared" si="128"/>
        <v>12.510048012653694</v>
      </c>
      <c r="G336" s="110">
        <f t="shared" si="126"/>
        <v>0.563427239776494</v>
      </c>
      <c r="H336" s="416" t="b">
        <f>Wh_hp&gt;='2021'!Maxi_hp</f>
        <v>0</v>
      </c>
      <c r="I336" s="382">
        <f>IF(H336,Wh_hp,'2021'!Maxi_hp)</f>
        <v>20.767759562159952</v>
      </c>
      <c r="J336" s="85">
        <f>IF(H336,An,'2021'!An_max)</f>
        <v>2020</v>
      </c>
      <c r="K336" s="199">
        <f t="shared" si="129"/>
        <v>44883</v>
      </c>
      <c r="L336" s="147">
        <f>IF(t&lt;Tvie,1-EXP((T0-t)*PertePVj)+'2021'!Pspv,1-EXP((T0-t)*PertePVj)+Pspv)</f>
        <v>3.5877211725573566E-2</v>
      </c>
      <c r="M336" s="872"/>
      <c r="N336" s="872"/>
      <c r="O336" s="48">
        <f>IF(t&lt;Tnet,'2021'!Resal+('2021'!Salim-'2021'!Resal)*(1-EXP(('2021'!Tnet-t)/('2021'!Tau_j))),Resal+(Salim-Resal)*(1-EXP((Tnet-t)/(Tau_j))))*Salcycl</f>
        <v>2.8650539267172224E-2</v>
      </c>
      <c r="P336" s="341">
        <f>(INDEX(Models!$BJ336:$BT336,,T336)*(1-R336)+INDEX(Models!$BJ336:$BT336,,T336+1)*R336-ERP_i)*Q336*Ramure*Pc/MaxiM</f>
        <v>7.5643861191886153E-2</v>
      </c>
      <c r="Q336" s="307">
        <f t="shared" si="130"/>
        <v>0.9</v>
      </c>
      <c r="R336" s="179">
        <f t="shared" si="131"/>
        <v>0.49961951886233291</v>
      </c>
      <c r="S336" s="839">
        <f t="shared" si="132"/>
        <v>0</v>
      </c>
      <c r="T336" s="178">
        <f t="shared" si="133"/>
        <v>6</v>
      </c>
      <c r="U336" s="253">
        <f t="shared" si="134"/>
        <v>0.49961951886233291</v>
      </c>
      <c r="V336" s="385">
        <f t="shared" si="135"/>
        <v>19.220660953616797</v>
      </c>
      <c r="W336" s="404">
        <f t="shared" si="136"/>
        <v>0</v>
      </c>
      <c r="X336" s="157">
        <f t="shared" si="137"/>
        <v>44883</v>
      </c>
      <c r="Y336" s="387">
        <f t="shared" si="138"/>
        <v>10.017483417021559</v>
      </c>
      <c r="Z336" s="387">
        <f t="shared" si="139"/>
        <v>10.390256862355377</v>
      </c>
      <c r="AA336" s="388">
        <f t="shared" si="140"/>
        <v>12.117456675578316</v>
      </c>
      <c r="AB336" s="199">
        <f t="shared" si="141"/>
        <v>44883</v>
      </c>
      <c r="AC336" s="119">
        <f>IF(OR(t&lt;Tnet,NoTnet),'2021'!Resal_s+('2021'!Salim-'2021'!Resal_s)*(1-EXP(('2021'!Tnet_s-t)/'2021'!Tau_j)),Resal_s+(Salim-Resal_s)*(1-EXP((Tnet_s-t)/Tau_j)))*Salcycl</f>
        <v>0.14253814636729503</v>
      </c>
      <c r="AD336" s="233">
        <f>(INDEX(Models!$BJ336:$BT336,,AH336)*(1-AF336)+INDEX(Models!$BJ336:$BT336,,AH336+1)*AF336-ERP_i)*AE336*Ramure*Pc/MaxiM</f>
        <v>7.5643861191886153E-2</v>
      </c>
      <c r="AE336" s="307">
        <f t="shared" si="142"/>
        <v>0.9</v>
      </c>
      <c r="AF336" s="179">
        <f t="shared" si="143"/>
        <v>0.49961951886233291</v>
      </c>
      <c r="AG336" s="839">
        <f t="shared" ref="AG336:AG379" si="149">INDEX(Echel_vg,AH336)</f>
        <v>0</v>
      </c>
      <c r="AH336" s="178">
        <f t="shared" si="144"/>
        <v>6</v>
      </c>
      <c r="AI336" s="227">
        <f t="shared" si="145"/>
        <v>0.49961951886233291</v>
      </c>
      <c r="AJ336" s="267" t="b">
        <f t="shared" si="146"/>
        <v>0</v>
      </c>
      <c r="AK336" s="267" t="b">
        <f t="shared" si="147"/>
        <v>0</v>
      </c>
      <c r="AL336" s="267"/>
      <c r="AM336" s="267"/>
      <c r="AN336" s="75"/>
    </row>
    <row r="337" spans="1:40" s="6" customFormat="1" ht="11.25" x14ac:dyDescent="0.2">
      <c r="A337" s="56">
        <f t="shared" si="148"/>
        <v>44884</v>
      </c>
      <c r="B337" s="1141">
        <v>8.3409999999999993</v>
      </c>
      <c r="C337" s="868"/>
      <c r="D337" s="395">
        <f t="shared" si="127"/>
        <v>8.651589002166034</v>
      </c>
      <c r="E337" s="387">
        <f t="shared" si="125"/>
        <v>8.9085199794478029</v>
      </c>
      <c r="F337" s="387">
        <f t="shared" si="128"/>
        <v>9.0464184726703429</v>
      </c>
      <c r="G337" s="110">
        <f t="shared" si="126"/>
        <v>0.4115001124831591</v>
      </c>
      <c r="H337" s="416" t="b">
        <f>Wh_hp&gt;='2021'!Maxi_hp</f>
        <v>0</v>
      </c>
      <c r="I337" s="382">
        <f>IF(H337,Wh_hp,'2021'!Maxi_hp)</f>
        <v>21.77433778544162</v>
      </c>
      <c r="J337" s="85">
        <f>IF(H337,An,'2021'!An_max)</f>
        <v>2021</v>
      </c>
      <c r="K337" s="199">
        <f t="shared" si="129"/>
        <v>44884</v>
      </c>
      <c r="L337" s="147">
        <f>IF(t&lt;Tvie,1-EXP((T0-t)*PertePVj)+'2021'!Pspv,1-EXP((T0-t)*PertePVj)+Pspv)</f>
        <v>3.5899648271349394E-2</v>
      </c>
      <c r="M337" s="872"/>
      <c r="N337" s="872"/>
      <c r="O337" s="48">
        <f>IF(t&lt;Tnet,'2021'!Resal+('2021'!Salim-'2021'!Resal)*(1-EXP(('2021'!Tnet-t)/('2021'!Tau_j))),Resal+(Salim-Resal)*(1-EXP((Tnet-t)/(Tau_j))))*Salcycl</f>
        <v>2.8841039574981776E-2</v>
      </c>
      <c r="P337" s="341">
        <f>(INDEX(Models!$BJ337:$BT337,,T337)*(1-R337)+INDEX(Models!$BJ337:$BT337,,T337+1)*R337-ERP_i)*Q337*Ramure*Pc/MaxiM</f>
        <v>7.6799866315940685E-2</v>
      </c>
      <c r="Q337" s="307">
        <f t="shared" si="130"/>
        <v>0.9</v>
      </c>
      <c r="R337" s="179">
        <f t="shared" si="131"/>
        <v>0.49965182951604947</v>
      </c>
      <c r="S337" s="839">
        <f t="shared" si="132"/>
        <v>0</v>
      </c>
      <c r="T337" s="178">
        <f t="shared" si="133"/>
        <v>6</v>
      </c>
      <c r="U337" s="253">
        <f t="shared" si="134"/>
        <v>0.49965182951604947</v>
      </c>
      <c r="V337" s="385">
        <f t="shared" si="135"/>
        <v>19.002692335181941</v>
      </c>
      <c r="W337" s="404">
        <f t="shared" si="136"/>
        <v>0</v>
      </c>
      <c r="X337" s="157">
        <f t="shared" si="137"/>
        <v>44884</v>
      </c>
      <c r="Y337" s="387">
        <f t="shared" si="138"/>
        <v>7.3647021947364166</v>
      </c>
      <c r="Z337" s="387">
        <f t="shared" si="139"/>
        <v>7.6389373590947907</v>
      </c>
      <c r="AA337" s="388">
        <f t="shared" si="140"/>
        <v>8.9085199794478029</v>
      </c>
      <c r="AB337" s="199">
        <f t="shared" si="141"/>
        <v>44884</v>
      </c>
      <c r="AC337" s="119">
        <f>IF(OR(t&lt;Tnet,NoTnet),'2021'!Resal_s+('2021'!Salim-'2021'!Resal_s)*(1-EXP(('2021'!Tnet_s-t)/'2021'!Tau_j)),Resal_s+(Salim-Resal_s)*(1-EXP((Tnet_s-t)/Tau_j)))*Salcycl</f>
        <v>0.14251330448626409</v>
      </c>
      <c r="AD337" s="233">
        <f>(INDEX(Models!$BJ337:$BT337,,AH337)*(1-AF337)+INDEX(Models!$BJ337:$BT337,,AH337+1)*AF337-ERP_i)*AE337*Ramure*Pc/MaxiM</f>
        <v>7.6799866315940685E-2</v>
      </c>
      <c r="AE337" s="307">
        <f t="shared" si="142"/>
        <v>0.9</v>
      </c>
      <c r="AF337" s="179">
        <f t="shared" si="143"/>
        <v>0.49965182951604947</v>
      </c>
      <c r="AG337" s="839">
        <f t="shared" si="149"/>
        <v>0</v>
      </c>
      <c r="AH337" s="178">
        <f t="shared" si="144"/>
        <v>6</v>
      </c>
      <c r="AI337" s="227">
        <f t="shared" si="145"/>
        <v>0.49965182951604947</v>
      </c>
      <c r="AJ337" s="267" t="b">
        <f t="shared" si="146"/>
        <v>0</v>
      </c>
      <c r="AK337" s="267" t="b">
        <f t="shared" si="147"/>
        <v>0</v>
      </c>
      <c r="AL337" s="267"/>
      <c r="AM337" s="267"/>
      <c r="AN337" s="75"/>
    </row>
    <row r="338" spans="1:40" s="6" customFormat="1" ht="11.25" x14ac:dyDescent="0.2">
      <c r="A338" s="56">
        <f t="shared" si="148"/>
        <v>44885</v>
      </c>
      <c r="B338" s="1141">
        <v>13.629</v>
      </c>
      <c r="C338" s="868"/>
      <c r="D338" s="395">
        <f t="shared" si="127"/>
        <v>14.136824190224765</v>
      </c>
      <c r="E338" s="387">
        <f t="shared" si="125"/>
        <v>14.559510118202015</v>
      </c>
      <c r="F338" s="387">
        <f t="shared" si="128"/>
        <v>15.283425244600304</v>
      </c>
      <c r="G338" s="110">
        <f t="shared" si="126"/>
        <v>0.70204062588775396</v>
      </c>
      <c r="H338" s="416" t="b">
        <f>Wh_hp&gt;='2021'!Maxi_hp</f>
        <v>0</v>
      </c>
      <c r="I338" s="382">
        <f>IF(H338,Wh_hp,'2021'!Maxi_hp)</f>
        <v>22.468091458324675</v>
      </c>
      <c r="J338" s="85">
        <f>IF(H338,An,'2021'!An_max)</f>
        <v>2019</v>
      </c>
      <c r="K338" s="199">
        <f t="shared" si="129"/>
        <v>44885</v>
      </c>
      <c r="L338" s="147">
        <f>IF(t&lt;Tvie,1-EXP((T0-t)*PertePVj)+'2021'!Pspv,1-EXP((T0-t)*PertePVj)+Pspv)</f>
        <v>3.5922084294994105E-2</v>
      </c>
      <c r="M338" s="872"/>
      <c r="N338" s="872"/>
      <c r="O338" s="48">
        <f>IF(t&lt;Tnet,'2021'!Resal+('2021'!Salim-'2021'!Resal)*(1-EXP(('2021'!Tnet-t)/('2021'!Tau_j))),Resal+(Salim-Resal)*(1-EXP((Tnet-t)/(Tau_j))))*Salcycl</f>
        <v>2.9031603710952886E-2</v>
      </c>
      <c r="P338" s="341">
        <f>(INDEX(Models!$BJ338:$BT338,,T338)*(1-R338)+INDEX(Models!$BJ338:$BT338,,T338+1)*R338-ERP_i)*Q338*Ramure*Pc/MaxiM</f>
        <v>7.7954068128581064E-2</v>
      </c>
      <c r="Q338" s="307">
        <f t="shared" si="130"/>
        <v>0.9</v>
      </c>
      <c r="R338" s="179">
        <f t="shared" si="131"/>
        <v>0.49968284251928308</v>
      </c>
      <c r="S338" s="839">
        <f t="shared" si="132"/>
        <v>0</v>
      </c>
      <c r="T338" s="178">
        <f t="shared" si="133"/>
        <v>6</v>
      </c>
      <c r="U338" s="253">
        <f t="shared" si="134"/>
        <v>0.49968284251928308</v>
      </c>
      <c r="V338" s="385">
        <f t="shared" si="135"/>
        <v>18.790063047365642</v>
      </c>
      <c r="W338" s="404">
        <f t="shared" si="136"/>
        <v>0</v>
      </c>
      <c r="X338" s="157">
        <f t="shared" si="137"/>
        <v>44885</v>
      </c>
      <c r="Y338" s="387">
        <f t="shared" si="138"/>
        <v>12.036421992418818</v>
      </c>
      <c r="Z338" s="387">
        <f t="shared" si="139"/>
        <v>12.484905832135865</v>
      </c>
      <c r="AA338" s="388">
        <f t="shared" si="140"/>
        <v>14.559510118202015</v>
      </c>
      <c r="AB338" s="199">
        <f t="shared" si="141"/>
        <v>44885</v>
      </c>
      <c r="AC338" s="119">
        <f>IF(OR(t&lt;Tnet,NoTnet),'2021'!Resal_s+('2021'!Salim-'2021'!Resal_s)*(1-EXP(('2021'!Tnet_s-t)/'2021'!Tau_j)),Resal_s+(Salim-Resal_s)*(1-EXP((Tnet_s-t)/Tau_j)))*Salcycl</f>
        <v>0.14249135233420521</v>
      </c>
      <c r="AD338" s="233">
        <f>(INDEX(Models!$BJ338:$BT338,,AH338)*(1-AF338)+INDEX(Models!$BJ338:$BT338,,AH338+1)*AF338-ERP_i)*AE338*Ramure*Pc/MaxiM</f>
        <v>7.7954068128581064E-2</v>
      </c>
      <c r="AE338" s="307">
        <f t="shared" si="142"/>
        <v>0.9</v>
      </c>
      <c r="AF338" s="179">
        <f t="shared" si="143"/>
        <v>0.49968284251928308</v>
      </c>
      <c r="AG338" s="839">
        <f t="shared" si="149"/>
        <v>0</v>
      </c>
      <c r="AH338" s="178">
        <f t="shared" si="144"/>
        <v>6</v>
      </c>
      <c r="AI338" s="227">
        <f t="shared" si="145"/>
        <v>0.49968284251928308</v>
      </c>
      <c r="AJ338" s="267" t="b">
        <f t="shared" si="146"/>
        <v>0</v>
      </c>
      <c r="AK338" s="267" t="b">
        <f t="shared" si="147"/>
        <v>0</v>
      </c>
      <c r="AL338" s="267"/>
      <c r="AM338" s="267"/>
      <c r="AN338" s="75"/>
    </row>
    <row r="339" spans="1:40" s="6" customFormat="1" ht="11.25" x14ac:dyDescent="0.2">
      <c r="A339" s="56">
        <f t="shared" si="148"/>
        <v>44886</v>
      </c>
      <c r="B339" s="1141">
        <v>3.2509999999999999</v>
      </c>
      <c r="C339" s="868"/>
      <c r="D339" s="395">
        <f t="shared" si="127"/>
        <v>3.3722125611627884</v>
      </c>
      <c r="E339" s="387">
        <f t="shared" si="125"/>
        <v>3.4737226114270974</v>
      </c>
      <c r="F339" s="387">
        <f t="shared" si="128"/>
        <v>3.4737226114270974</v>
      </c>
      <c r="G339" s="110">
        <f t="shared" si="126"/>
        <v>0.16111024964096679</v>
      </c>
      <c r="H339" s="416" t="b">
        <f>Wh_hp&gt;='2021'!Maxi_hp</f>
        <v>0</v>
      </c>
      <c r="I339" s="382">
        <f>IF(H339,Wh_hp,'2021'!Maxi_hp)</f>
        <v>21.653761632843604</v>
      </c>
      <c r="J339" s="85">
        <f>IF(H339,An,'2021'!An_max)</f>
        <v>2019</v>
      </c>
      <c r="K339" s="199">
        <f t="shared" si="129"/>
        <v>44886</v>
      </c>
      <c r="L339" s="147">
        <f>IF(t&lt;Tvie,1-EXP((T0-t)*PertePVj)+'2021'!Pspv,1-EXP((T0-t)*PertePVj)+Pspv)</f>
        <v>3.5944519796519803E-2</v>
      </c>
      <c r="M339" s="872"/>
      <c r="N339" s="872"/>
      <c r="O339" s="48">
        <f>IF(t&lt;Tnet,'2021'!Resal+('2021'!Salim-'2021'!Resal)*(1-EXP(('2021'!Tnet-t)/('2021'!Tau_j))),Resal+(Salim-Resal)*(1-EXP((Tnet-t)/(Tau_j))))*Salcycl</f>
        <v>2.9222267181145359E-2</v>
      </c>
      <c r="P339" s="341">
        <f>(INDEX(Models!$BJ339:$BT339,,T339)*(1-R339)+INDEX(Models!$BJ339:$BT339,,T339+1)*R339-ERP_i)*Q339*Ramure*Pc/MaxiM</f>
        <v>7.9148632769736965E-2</v>
      </c>
      <c r="Q339" s="307">
        <f t="shared" si="130"/>
        <v>0.9</v>
      </c>
      <c r="R339" s="179">
        <f t="shared" si="131"/>
        <v>0.49971260986163824</v>
      </c>
      <c r="S339" s="839">
        <f t="shared" si="132"/>
        <v>0</v>
      </c>
      <c r="T339" s="178">
        <f t="shared" si="133"/>
        <v>6</v>
      </c>
      <c r="U339" s="253">
        <f t="shared" si="134"/>
        <v>0.49971260986163824</v>
      </c>
      <c r="V339" s="385">
        <f t="shared" si="135"/>
        <v>18.581609807799321</v>
      </c>
      <c r="W339" s="404">
        <f t="shared" si="136"/>
        <v>0</v>
      </c>
      <c r="X339" s="157">
        <f t="shared" si="137"/>
        <v>44886</v>
      </c>
      <c r="Y339" s="387">
        <f t="shared" si="138"/>
        <v>2.8717410210067547</v>
      </c>
      <c r="Z339" s="387">
        <f t="shared" si="139"/>
        <v>2.9788130247448259</v>
      </c>
      <c r="AA339" s="388">
        <f t="shared" si="140"/>
        <v>3.4737226114270974</v>
      </c>
      <c r="AB339" s="199">
        <f t="shared" si="141"/>
        <v>44886</v>
      </c>
      <c r="AC339" s="119">
        <f>IF(OR(t&lt;Tnet,NoTnet),'2021'!Resal_s+('2021'!Salim-'2021'!Resal_s)*(1-EXP(('2021'!Tnet_s-t)/'2021'!Tau_j)),Resal_s+(Salim-Resal_s)*(1-EXP((Tnet_s-t)/Tau_j)))*Salcycl</f>
        <v>0.14247239691915101</v>
      </c>
      <c r="AD339" s="233">
        <f>(INDEX(Models!$BJ339:$BT339,,AH339)*(1-AF339)+INDEX(Models!$BJ339:$BT339,,AH339+1)*AF339-ERP_i)*AE339*Ramure*Pc/MaxiM</f>
        <v>7.9148632769736965E-2</v>
      </c>
      <c r="AE339" s="307">
        <f t="shared" si="142"/>
        <v>0.9</v>
      </c>
      <c r="AF339" s="179">
        <f t="shared" si="143"/>
        <v>0.49971260986163824</v>
      </c>
      <c r="AG339" s="839">
        <f t="shared" si="149"/>
        <v>0</v>
      </c>
      <c r="AH339" s="178">
        <f t="shared" si="144"/>
        <v>6</v>
      </c>
      <c r="AI339" s="227">
        <f t="shared" si="145"/>
        <v>0.49971260986163824</v>
      </c>
      <c r="AJ339" s="267" t="b">
        <f t="shared" si="146"/>
        <v>0</v>
      </c>
      <c r="AK339" s="267" t="b">
        <f t="shared" si="147"/>
        <v>0</v>
      </c>
      <c r="AL339" s="267"/>
      <c r="AM339" s="267"/>
      <c r="AN339" s="75"/>
    </row>
    <row r="340" spans="1:40" s="6" customFormat="1" ht="11.25" x14ac:dyDescent="0.2">
      <c r="A340" s="56">
        <f t="shared" si="148"/>
        <v>44887</v>
      </c>
      <c r="B340" s="1141">
        <v>8.6059999999999999</v>
      </c>
      <c r="C340" s="868"/>
      <c r="D340" s="395">
        <f t="shared" si="127"/>
        <v>8.9270798782626635</v>
      </c>
      <c r="E340" s="387">
        <f t="shared" si="125"/>
        <v>9.1976097585689658</v>
      </c>
      <c r="F340" s="387">
        <f t="shared" si="128"/>
        <v>9.3788766416911269</v>
      </c>
      <c r="G340" s="110">
        <f t="shared" si="126"/>
        <v>0.43914525324210663</v>
      </c>
      <c r="H340" s="416" t="b">
        <f>Wh_hp&gt;='2021'!Maxi_hp</f>
        <v>0</v>
      </c>
      <c r="I340" s="382">
        <f>IF(H340,Wh_hp,'2021'!Maxi_hp)</f>
        <v>21.944926765970493</v>
      </c>
      <c r="J340" s="85">
        <f>IF(H340,An,'2021'!An_max)</f>
        <v>2020</v>
      </c>
      <c r="K340" s="199">
        <f t="shared" si="129"/>
        <v>44887</v>
      </c>
      <c r="L340" s="147">
        <f>IF(t&lt;Tvie,1-EXP((T0-t)*PertePVj)+'2021'!Pspv,1-EXP((T0-t)*PertePVj)+Pspv)</f>
        <v>3.5966954775938476E-2</v>
      </c>
      <c r="M340" s="872"/>
      <c r="N340" s="872"/>
      <c r="O340" s="48">
        <f>IF(t&lt;Tnet,'2021'!Resal+('2021'!Salim-'2021'!Resal)*(1-EXP(('2021'!Tnet-t)/('2021'!Tau_j))),Resal+(Salim-Resal)*(1-EXP((Tnet-t)/(Tau_j))))*Salcycl</f>
        <v>2.9413063546674337E-2</v>
      </c>
      <c r="P340" s="341">
        <f>(INDEX(Models!$BJ340:$BT340,,T340)*(1-R340)+INDEX(Models!$BJ340:$BT340,,T340+1)*R340-ERP_i)*Q340*Ramure*Pc/MaxiM</f>
        <v>8.0385087225257029E-2</v>
      </c>
      <c r="Q340" s="307">
        <f t="shared" si="130"/>
        <v>0.9</v>
      </c>
      <c r="R340" s="179">
        <f t="shared" si="131"/>
        <v>0.49974118145973667</v>
      </c>
      <c r="S340" s="839">
        <f t="shared" si="132"/>
        <v>0</v>
      </c>
      <c r="T340" s="178">
        <f t="shared" si="133"/>
        <v>6</v>
      </c>
      <c r="U340" s="253">
        <f t="shared" si="134"/>
        <v>0.49974118145973667</v>
      </c>
      <c r="V340" s="385">
        <f t="shared" si="135"/>
        <v>18.377016228668388</v>
      </c>
      <c r="W340" s="404">
        <f t="shared" si="136"/>
        <v>0</v>
      </c>
      <c r="X340" s="157">
        <f t="shared" si="137"/>
        <v>44887</v>
      </c>
      <c r="Y340" s="387">
        <f t="shared" si="138"/>
        <v>7.6036661912164067</v>
      </c>
      <c r="Z340" s="387">
        <f t="shared" si="139"/>
        <v>7.8873501576381697</v>
      </c>
      <c r="AA340" s="388">
        <f t="shared" si="140"/>
        <v>9.1976097585689658</v>
      </c>
      <c r="AB340" s="199">
        <f t="shared" si="141"/>
        <v>44887</v>
      </c>
      <c r="AC340" s="119">
        <f>IF(OR(t&lt;Tnet,NoTnet),'2021'!Resal_s+('2021'!Salim-'2021'!Resal_s)*(1-EXP(('2021'!Tnet_s-t)/'2021'!Tau_j)),Resal_s+(Salim-Resal_s)*(1-EXP((Tnet_s-t)/Tau_j)))*Salcycl</f>
        <v>0.14245653330856867</v>
      </c>
      <c r="AD340" s="233">
        <f>(INDEX(Models!$BJ340:$BT340,,AH340)*(1-AF340)+INDEX(Models!$BJ340:$BT340,,AH340+1)*AF340-ERP_i)*AE340*Ramure*Pc/MaxiM</f>
        <v>8.0385087225257029E-2</v>
      </c>
      <c r="AE340" s="307">
        <f t="shared" si="142"/>
        <v>0.9</v>
      </c>
      <c r="AF340" s="179">
        <f t="shared" si="143"/>
        <v>0.49974118145973667</v>
      </c>
      <c r="AG340" s="839">
        <f t="shared" si="149"/>
        <v>0</v>
      </c>
      <c r="AH340" s="178">
        <f t="shared" si="144"/>
        <v>6</v>
      </c>
      <c r="AI340" s="227">
        <f t="shared" si="145"/>
        <v>0.49974118145973667</v>
      </c>
      <c r="AJ340" s="267" t="b">
        <f t="shared" si="146"/>
        <v>0</v>
      </c>
      <c r="AK340" s="267" t="b">
        <f t="shared" si="147"/>
        <v>0</v>
      </c>
      <c r="AL340" s="267"/>
      <c r="AM340" s="267"/>
      <c r="AN340" s="75"/>
    </row>
    <row r="341" spans="1:40" s="6" customFormat="1" ht="11.25" x14ac:dyDescent="0.2">
      <c r="A341" s="56">
        <f t="shared" si="148"/>
        <v>44888</v>
      </c>
      <c r="B341" s="1141">
        <v>12.782999999999999</v>
      </c>
      <c r="C341" s="868"/>
      <c r="D341" s="395">
        <f t="shared" si="127"/>
        <v>13.260227488401696</v>
      </c>
      <c r="E341" s="387">
        <f t="shared" si="125"/>
        <v>13.664759356119388</v>
      </c>
      <c r="F341" s="387">
        <f t="shared" si="128"/>
        <v>14.339420149285106</v>
      </c>
      <c r="G341" s="110">
        <f t="shared" si="126"/>
        <v>0.67774449946203064</v>
      </c>
      <c r="H341" s="416" t="b">
        <f>Wh_hp&gt;='2021'!Maxi_hp</f>
        <v>0</v>
      </c>
      <c r="I341" s="382">
        <f>IF(H341,Wh_hp,'2021'!Maxi_hp)</f>
        <v>21.331642050489656</v>
      </c>
      <c r="J341" s="85">
        <f>IF(H341,An,'2021'!An_max)</f>
        <v>2020</v>
      </c>
      <c r="K341" s="199">
        <f t="shared" si="129"/>
        <v>44888</v>
      </c>
      <c r="L341" s="147">
        <f>IF(t&lt;Tvie,1-EXP((T0-t)*PertePVj)+'2021'!Pspv,1-EXP((T0-t)*PertePVj)+Pspv)</f>
        <v>3.5989389233262559E-2</v>
      </c>
      <c r="M341" s="872"/>
      <c r="N341" s="872"/>
      <c r="O341" s="48">
        <f>IF(t&lt;Tnet,'2021'!Resal+('2021'!Salim-'2021'!Resal)*(1-EXP(('2021'!Tnet-t)/('2021'!Tau_j))),Resal+(Salim-Resal)*(1-EXP((Tnet-t)/(Tau_j))))*Salcycl</f>
        <v>2.96040242769832E-2</v>
      </c>
      <c r="P341" s="341">
        <f>(INDEX(Models!$BJ341:$BT341,,T341)*(1-R341)+INDEX(Models!$BJ341:$BT341,,T341+1)*R341-ERP_i)*Q341*Ramure*Pc/MaxiM</f>
        <v>8.166452330401669E-2</v>
      </c>
      <c r="Q341" s="307">
        <f t="shared" si="130"/>
        <v>0.9</v>
      </c>
      <c r="R341" s="179">
        <f t="shared" si="131"/>
        <v>0.49976860523908784</v>
      </c>
      <c r="S341" s="839">
        <f t="shared" si="132"/>
        <v>0</v>
      </c>
      <c r="T341" s="178">
        <f t="shared" si="133"/>
        <v>6</v>
      </c>
      <c r="U341" s="253">
        <f t="shared" si="134"/>
        <v>0.49976860523908784</v>
      </c>
      <c r="V341" s="385">
        <f t="shared" si="135"/>
        <v>18.175976453731824</v>
      </c>
      <c r="W341" s="404">
        <f t="shared" si="136"/>
        <v>0</v>
      </c>
      <c r="X341" s="157">
        <f t="shared" si="137"/>
        <v>44888</v>
      </c>
      <c r="Y341" s="387">
        <f t="shared" si="138"/>
        <v>11.296564095684182</v>
      </c>
      <c r="Z341" s="387">
        <f t="shared" si="139"/>
        <v>11.718298501610189</v>
      </c>
      <c r="AA341" s="388">
        <f t="shared" si="140"/>
        <v>13.664759356119388</v>
      </c>
      <c r="AB341" s="199">
        <f t="shared" si="141"/>
        <v>44888</v>
      </c>
      <c r="AC341" s="119">
        <f>IF(OR(t&lt;Tnet,NoTnet),'2021'!Resal_s+('2021'!Salim-'2021'!Resal_s)*(1-EXP(('2021'!Tnet_s-t)/'2021'!Tau_j)),Resal_s+(Salim-Resal_s)*(1-EXP((Tnet_s-t)/Tau_j)))*Salcycl</f>
        <v>0.14244384432847915</v>
      </c>
      <c r="AD341" s="233">
        <f>(INDEX(Models!$BJ341:$BT341,,AH341)*(1-AF341)+INDEX(Models!$BJ341:$BT341,,AH341+1)*AF341-ERP_i)*AE341*Ramure*Pc/MaxiM</f>
        <v>8.166452330401669E-2</v>
      </c>
      <c r="AE341" s="307">
        <f t="shared" si="142"/>
        <v>0.9</v>
      </c>
      <c r="AF341" s="179">
        <f t="shared" si="143"/>
        <v>0.49976860523908784</v>
      </c>
      <c r="AG341" s="839">
        <f t="shared" si="149"/>
        <v>0</v>
      </c>
      <c r="AH341" s="178">
        <f t="shared" si="144"/>
        <v>6</v>
      </c>
      <c r="AI341" s="227">
        <f t="shared" si="145"/>
        <v>0.49976860523908784</v>
      </c>
      <c r="AJ341" s="267" t="b">
        <f t="shared" si="146"/>
        <v>0</v>
      </c>
      <c r="AK341" s="267" t="b">
        <f t="shared" si="147"/>
        <v>0</v>
      </c>
      <c r="AL341" s="267"/>
      <c r="AM341" s="267"/>
      <c r="AN341" s="75"/>
    </row>
    <row r="342" spans="1:40" s="6" customFormat="1" ht="11.25" x14ac:dyDescent="0.2">
      <c r="A342" s="56">
        <f t="shared" si="148"/>
        <v>44889</v>
      </c>
      <c r="B342" s="1141">
        <v>11.544</v>
      </c>
      <c r="C342" s="868"/>
      <c r="D342" s="395">
        <f t="shared" si="127"/>
        <v>11.975250607267435</v>
      </c>
      <c r="E342" s="387">
        <f t="shared" si="125"/>
        <v>12.343012880723073</v>
      </c>
      <c r="F342" s="387">
        <f t="shared" si="128"/>
        <v>12.864796453899451</v>
      </c>
      <c r="G342" s="110">
        <f t="shared" si="126"/>
        <v>0.61371562781258404</v>
      </c>
      <c r="H342" s="416" t="b">
        <f>Wh_hp&gt;='2021'!Maxi_hp</f>
        <v>0</v>
      </c>
      <c r="I342" s="382">
        <f>IF(H342,Wh_hp,'2021'!Maxi_hp)</f>
        <v>20.115501391985529</v>
      </c>
      <c r="J342" s="85">
        <f>IF(H342,An,'2021'!An_max)</f>
        <v>2020</v>
      </c>
      <c r="K342" s="199">
        <f t="shared" si="129"/>
        <v>44889</v>
      </c>
      <c r="L342" s="147">
        <f>IF(t&lt;Tvie,1-EXP((T0-t)*PertePVj)+'2021'!Pspv,1-EXP((T0-t)*PertePVj)+Pspv)</f>
        <v>3.6011823168503931E-2</v>
      </c>
      <c r="M342" s="872"/>
      <c r="N342" s="872"/>
      <c r="O342" s="48">
        <f>IF(t&lt;Tnet,'2021'!Resal+('2021'!Salim-'2021'!Resal)*(1-EXP(('2021'!Tnet-t)/('2021'!Tau_j))),Resal+(Salim-Resal)*(1-EXP((Tnet-t)/(Tau_j))))*Salcycl</f>
        <v>2.9795178617207617E-2</v>
      </c>
      <c r="P342" s="341">
        <f>(INDEX(Models!$BJ342:$BT342,,T342)*(1-R342)+INDEX(Models!$BJ342:$BT342,,T342+1)*R342-ERP_i)*Q342*Ramure*Pc/MaxiM</f>
        <v>8.2988423430309113E-2</v>
      </c>
      <c r="Q342" s="307">
        <f t="shared" si="130"/>
        <v>0.9</v>
      </c>
      <c r="R342" s="179">
        <f t="shared" si="131"/>
        <v>0.49979492721279017</v>
      </c>
      <c r="S342" s="839">
        <f t="shared" si="132"/>
        <v>0</v>
      </c>
      <c r="T342" s="178">
        <f t="shared" si="133"/>
        <v>6</v>
      </c>
      <c r="U342" s="253">
        <f t="shared" si="134"/>
        <v>0.49979492721279017</v>
      </c>
      <c r="V342" s="385">
        <f t="shared" si="135"/>
        <v>17.978178621357138</v>
      </c>
      <c r="W342" s="404">
        <f t="shared" si="136"/>
        <v>0</v>
      </c>
      <c r="X342" s="157">
        <f t="shared" si="137"/>
        <v>44889</v>
      </c>
      <c r="Y342" s="387">
        <f t="shared" si="138"/>
        <v>10.203760138378621</v>
      </c>
      <c r="Z342" s="387">
        <f t="shared" si="139"/>
        <v>10.584943242682764</v>
      </c>
      <c r="AA342" s="388">
        <f t="shared" si="140"/>
        <v>12.343012880723073</v>
      </c>
      <c r="AB342" s="199">
        <f t="shared" si="141"/>
        <v>44889</v>
      </c>
      <c r="AC342" s="119">
        <f>IF(OR(t&lt;Tnet,NoTnet),'2021'!Resal_s+('2021'!Salim-'2021'!Resal_s)*(1-EXP(('2021'!Tnet_s-t)/'2021'!Tau_j)),Resal_s+(Salim-Resal_s)*(1-EXP((Tnet_s-t)/Tau_j)))*Salcycl</f>
        <v>0.14243440033883517</v>
      </c>
      <c r="AD342" s="233">
        <f>(INDEX(Models!$BJ342:$BT342,,AH342)*(1-AF342)+INDEX(Models!$BJ342:$BT342,,AH342+1)*AF342-ERP_i)*AE342*Ramure*Pc/MaxiM</f>
        <v>8.2988423430309113E-2</v>
      </c>
      <c r="AE342" s="307">
        <f t="shared" si="142"/>
        <v>0.9</v>
      </c>
      <c r="AF342" s="179">
        <f t="shared" si="143"/>
        <v>0.49979492721279017</v>
      </c>
      <c r="AG342" s="839">
        <f t="shared" si="149"/>
        <v>0</v>
      </c>
      <c r="AH342" s="178">
        <f t="shared" si="144"/>
        <v>6</v>
      </c>
      <c r="AI342" s="227">
        <f t="shared" si="145"/>
        <v>0.49979492721279017</v>
      </c>
      <c r="AJ342" s="267" t="b">
        <f t="shared" si="146"/>
        <v>0</v>
      </c>
      <c r="AK342" s="267" t="b">
        <f t="shared" si="147"/>
        <v>0</v>
      </c>
      <c r="AL342" s="267"/>
      <c r="AM342" s="267"/>
      <c r="AN342" s="75"/>
    </row>
    <row r="343" spans="1:40" s="6" customFormat="1" ht="11.25" x14ac:dyDescent="0.2">
      <c r="A343" s="56">
        <f t="shared" si="148"/>
        <v>44890</v>
      </c>
      <c r="B343" s="1141">
        <v>4.7309999999999999</v>
      </c>
      <c r="C343" s="868"/>
      <c r="D343" s="395">
        <f t="shared" si="127"/>
        <v>4.9078507533093143</v>
      </c>
      <c r="E343" s="387">
        <f t="shared" si="125"/>
        <v>5.0595698140775038</v>
      </c>
      <c r="F343" s="387">
        <f t="shared" si="128"/>
        <v>5.0595698140775038</v>
      </c>
      <c r="G343" s="110">
        <f t="shared" si="126"/>
        <v>0.24359358959313757</v>
      </c>
      <c r="H343" s="416" t="b">
        <f>Wh_hp&gt;='2021'!Maxi_hp</f>
        <v>0</v>
      </c>
      <c r="I343" s="382">
        <f>IF(H343,Wh_hp,'2021'!Maxi_hp)</f>
        <v>18.431846699348394</v>
      </c>
      <c r="J343" s="85">
        <f>IF(H343,An,'2021'!An_max)</f>
        <v>2020</v>
      </c>
      <c r="K343" s="199">
        <f t="shared" si="129"/>
        <v>44890</v>
      </c>
      <c r="L343" s="147">
        <f>IF(t&lt;Tvie,1-EXP((T0-t)*PertePVj)+'2021'!Pspv,1-EXP((T0-t)*PertePVj)+Pspv)</f>
        <v>3.6034256581674917E-2</v>
      </c>
      <c r="M343" s="872"/>
      <c r="N343" s="872"/>
      <c r="O343" s="48">
        <f>IF(t&lt;Tnet,'2021'!Resal+('2021'!Salim-'2021'!Resal)*(1-EXP(('2021'!Tnet-t)/('2021'!Tau_j))),Resal+(Salim-Resal)*(1-EXP((Tnet-t)/(Tau_j))))*Salcycl</f>
        <v>2.998655347062389E-2</v>
      </c>
      <c r="P343" s="341">
        <f>(INDEX(Models!$BJ343:$BT343,,T343)*(1-R343)+INDEX(Models!$BJ343:$BT343,,T343+1)*R343-ERP_i)*Q343*Ramure*Pc/MaxiM</f>
        <v>8.4358775868874136E-2</v>
      </c>
      <c r="Q343" s="307">
        <f t="shared" si="130"/>
        <v>0.9</v>
      </c>
      <c r="R343" s="179">
        <f t="shared" si="131"/>
        <v>0.49982019155717605</v>
      </c>
      <c r="S343" s="839">
        <f t="shared" si="132"/>
        <v>0</v>
      </c>
      <c r="T343" s="178">
        <f t="shared" si="133"/>
        <v>6</v>
      </c>
      <c r="U343" s="253">
        <f t="shared" si="134"/>
        <v>0.49982019155717605</v>
      </c>
      <c r="V343" s="385">
        <f t="shared" si="135"/>
        <v>17.783303077062556</v>
      </c>
      <c r="W343" s="404">
        <f t="shared" si="136"/>
        <v>0</v>
      </c>
      <c r="X343" s="157">
        <f t="shared" si="137"/>
        <v>44890</v>
      </c>
      <c r="Y343" s="387">
        <f t="shared" si="138"/>
        <v>4.1825934689653863</v>
      </c>
      <c r="Z343" s="387">
        <f t="shared" si="139"/>
        <v>4.3389440937324855</v>
      </c>
      <c r="AA343" s="388">
        <f t="shared" si="140"/>
        <v>5.0595698140775038</v>
      </c>
      <c r="AB343" s="199">
        <f t="shared" si="141"/>
        <v>44890</v>
      </c>
      <c r="AC343" s="119">
        <f>IF(OR(t&lt;Tnet,NoTnet),'2021'!Resal_s+('2021'!Salim-'2021'!Resal_s)*(1-EXP(('2021'!Tnet_s-t)/'2021'!Tau_j)),Resal_s+(Salim-Resal_s)*(1-EXP((Tnet_s-t)/Tau_j)))*Salcycl</f>
        <v>0.14242825908637219</v>
      </c>
      <c r="AD343" s="233">
        <f>(INDEX(Models!$BJ343:$BT343,,AH343)*(1-AF343)+INDEX(Models!$BJ343:$BT343,,AH343+1)*AF343-ERP_i)*AE343*Ramure*Pc/MaxiM</f>
        <v>8.4358775868874136E-2</v>
      </c>
      <c r="AE343" s="307">
        <f t="shared" si="142"/>
        <v>0.9</v>
      </c>
      <c r="AF343" s="179">
        <f t="shared" si="143"/>
        <v>0.49982019155717605</v>
      </c>
      <c r="AG343" s="839">
        <f t="shared" si="149"/>
        <v>0</v>
      </c>
      <c r="AH343" s="178">
        <f t="shared" si="144"/>
        <v>6</v>
      </c>
      <c r="AI343" s="227">
        <f t="shared" si="145"/>
        <v>0.49982019155717605</v>
      </c>
      <c r="AJ343" s="267" t="b">
        <f t="shared" si="146"/>
        <v>0</v>
      </c>
      <c r="AK343" s="267" t="b">
        <f t="shared" si="147"/>
        <v>0</v>
      </c>
      <c r="AL343" s="267"/>
      <c r="AM343" s="267"/>
      <c r="AN343" s="75"/>
    </row>
    <row r="344" spans="1:40" s="6" customFormat="1" ht="11.25" x14ac:dyDescent="0.2">
      <c r="A344" s="56">
        <f t="shared" si="148"/>
        <v>44891</v>
      </c>
      <c r="B344" s="1141">
        <v>10.143000000000001</v>
      </c>
      <c r="C344" s="868"/>
      <c r="D344" s="395">
        <f t="shared" si="127"/>
        <v>10.522403018132319</v>
      </c>
      <c r="E344" s="387">
        <f t="shared" si="125"/>
        <v>10.849831101352674</v>
      </c>
      <c r="F344" s="387">
        <f t="shared" si="128"/>
        <v>11.230482914957884</v>
      </c>
      <c r="G344" s="110">
        <f t="shared" si="126"/>
        <v>0.54563524732292235</v>
      </c>
      <c r="H344" s="416" t="b">
        <f>Wh_hp&gt;='2021'!Maxi_hp</f>
        <v>0</v>
      </c>
      <c r="I344" s="382">
        <f>IF(H344,Wh_hp,'2021'!Maxi_hp)</f>
        <v>20.271977727485368</v>
      </c>
      <c r="J344" s="85">
        <f>IF(H344,An,'2021'!An_max)</f>
        <v>2020</v>
      </c>
      <c r="K344" s="199">
        <f t="shared" si="129"/>
        <v>44891</v>
      </c>
      <c r="L344" s="147">
        <f>IF(t&lt;Tvie,1-EXP((T0-t)*PertePVj)+'2021'!Pspv,1-EXP((T0-t)*PertePVj)+Pspv)</f>
        <v>3.6056689472787506E-2</v>
      </c>
      <c r="M344" s="872"/>
      <c r="N344" s="872"/>
      <c r="O344" s="48">
        <f>IF(t&lt;Tnet,'2021'!Resal+('2021'!Salim-'2021'!Resal)*(1-EXP(('2021'!Tnet-t)/('2021'!Tau_j))),Resal+(Salim-Resal)*(1-EXP((Tnet-t)/(Tau_j))))*Salcycl</f>
        <v>3.0178173297050984E-2</v>
      </c>
      <c r="P344" s="341">
        <f>(INDEX(Models!$BJ344:$BT344,,T344)*(1-R344)+INDEX(Models!$BJ344:$BT344,,T344+1)*R344-ERP_i)*Q344*Ramure*Pc/MaxiM</f>
        <v>8.5777677784324741E-2</v>
      </c>
      <c r="Q344" s="307">
        <f t="shared" si="130"/>
        <v>0.9</v>
      </c>
      <c r="R344" s="179">
        <f t="shared" si="131"/>
        <v>0.49984444068451928</v>
      </c>
      <c r="S344" s="839">
        <f t="shared" si="132"/>
        <v>0</v>
      </c>
      <c r="T344" s="178">
        <f t="shared" si="133"/>
        <v>6</v>
      </c>
      <c r="U344" s="253">
        <f t="shared" si="134"/>
        <v>0.49984444068451928</v>
      </c>
      <c r="V344" s="385">
        <f t="shared" si="135"/>
        <v>17.591030558416694</v>
      </c>
      <c r="W344" s="404">
        <f t="shared" si="136"/>
        <v>0</v>
      </c>
      <c r="X344" s="157">
        <f t="shared" si="137"/>
        <v>44891</v>
      </c>
      <c r="Y344" s="387">
        <f t="shared" si="138"/>
        <v>8.9690479865051191</v>
      </c>
      <c r="Z344" s="387">
        <f t="shared" si="139"/>
        <v>9.3045388546756449</v>
      </c>
      <c r="AA344" s="388">
        <f t="shared" si="140"/>
        <v>10.849831101352674</v>
      </c>
      <c r="AB344" s="199">
        <f t="shared" si="141"/>
        <v>44891</v>
      </c>
      <c r="AC344" s="119">
        <f>IF(OR(t&lt;Tnet,NoTnet),'2021'!Resal_s+('2021'!Salim-'2021'!Resal_s)*(1-EXP(('2021'!Tnet_s-t)/'2021'!Tau_j)),Resal_s+(Salim-Resal_s)*(1-EXP((Tnet_s-t)/Tau_j)))*Salcycl</f>
        <v>0.14242546563553179</v>
      </c>
      <c r="AD344" s="233">
        <f>(INDEX(Models!$BJ344:$BT344,,AH344)*(1-AF344)+INDEX(Models!$BJ344:$BT344,,AH344+1)*AF344-ERP_i)*AE344*Ramure*Pc/MaxiM</f>
        <v>8.5777677784324741E-2</v>
      </c>
      <c r="AE344" s="307">
        <f t="shared" si="142"/>
        <v>0.9</v>
      </c>
      <c r="AF344" s="179">
        <f t="shared" si="143"/>
        <v>0.49984444068451928</v>
      </c>
      <c r="AG344" s="839">
        <f t="shared" si="149"/>
        <v>0</v>
      </c>
      <c r="AH344" s="178">
        <f t="shared" si="144"/>
        <v>6</v>
      </c>
      <c r="AI344" s="227">
        <f t="shared" si="145"/>
        <v>0.49984444068451928</v>
      </c>
      <c r="AJ344" s="267" t="b">
        <f t="shared" si="146"/>
        <v>0</v>
      </c>
      <c r="AK344" s="267" t="b">
        <f t="shared" si="147"/>
        <v>0</v>
      </c>
      <c r="AL344" s="267"/>
      <c r="AM344" s="267"/>
      <c r="AN344" s="75"/>
    </row>
    <row r="345" spans="1:40" s="6" customFormat="1" ht="11.25" x14ac:dyDescent="0.2">
      <c r="A345" s="56">
        <f t="shared" si="148"/>
        <v>44892</v>
      </c>
      <c r="B345" s="1141">
        <v>12.02</v>
      </c>
      <c r="C345" s="868"/>
      <c r="D345" s="395">
        <f t="shared" si="127"/>
        <v>12.469903155296045</v>
      </c>
      <c r="E345" s="387">
        <f t="shared" si="125"/>
        <v>12.860476601676933</v>
      </c>
      <c r="F345" s="387">
        <f t="shared" si="128"/>
        <v>13.51904021183881</v>
      </c>
      <c r="G345" s="110">
        <f t="shared" si="126"/>
        <v>0.66282627251748938</v>
      </c>
      <c r="H345" s="416" t="b">
        <f>Wh_hp&gt;='2021'!Maxi_hp</f>
        <v>0</v>
      </c>
      <c r="I345" s="382">
        <f>IF(H345,Wh_hp,'2021'!Maxi_hp)</f>
        <v>18.707105113619761</v>
      </c>
      <c r="J345" s="85">
        <f>IF(H345,An,'2021'!An_max)</f>
        <v>2018</v>
      </c>
      <c r="K345" s="199">
        <f t="shared" si="129"/>
        <v>44892</v>
      </c>
      <c r="L345" s="147">
        <f>IF(t&lt;Tvie,1-EXP((T0-t)*PertePVj)+'2021'!Pspv,1-EXP((T0-t)*PertePVj)+Pspv)</f>
        <v>3.6079121841854023E-2</v>
      </c>
      <c r="M345" s="872"/>
      <c r="N345" s="872"/>
      <c r="O345" s="48">
        <f>IF(t&lt;Tnet,'2021'!Resal+('2021'!Salim-'2021'!Resal)*(1-EXP(('2021'!Tnet-t)/('2021'!Tau_j))),Resal+(Salim-Resal)*(1-EXP((Tnet-t)/(Tau_j))))*Salcycl</f>
        <v>3.0370060027943169E-2</v>
      </c>
      <c r="P345" s="341">
        <f>(INDEX(Models!$BJ345:$BT345,,T345)*(1-R345)+INDEX(Models!$BJ345:$BT345,,T345+1)*R345-ERP_i)*Q345*Ramure*Pc/MaxiM</f>
        <v>8.7253092145200925E-2</v>
      </c>
      <c r="Q345" s="307">
        <f t="shared" si="130"/>
        <v>0.9</v>
      </c>
      <c r="R345" s="179">
        <f t="shared" si="131"/>
        <v>0.49986771531291196</v>
      </c>
      <c r="S345" s="839">
        <f t="shared" si="132"/>
        <v>0</v>
      </c>
      <c r="T345" s="178">
        <f t="shared" si="133"/>
        <v>6</v>
      </c>
      <c r="U345" s="253">
        <f t="shared" si="134"/>
        <v>0.49986771531291196</v>
      </c>
      <c r="V345" s="385">
        <f t="shared" si="135"/>
        <v>17.399786523928771</v>
      </c>
      <c r="W345" s="404">
        <f t="shared" si="136"/>
        <v>0</v>
      </c>
      <c r="X345" s="157">
        <f t="shared" si="137"/>
        <v>44892</v>
      </c>
      <c r="Y345" s="387">
        <f t="shared" si="138"/>
        <v>10.630899919117843</v>
      </c>
      <c r="Z345" s="387">
        <f t="shared" si="139"/>
        <v>11.028809687607659</v>
      </c>
      <c r="AA345" s="388">
        <f t="shared" si="140"/>
        <v>12.860476601676933</v>
      </c>
      <c r="AB345" s="199">
        <f t="shared" si="141"/>
        <v>44892</v>
      </c>
      <c r="AC345" s="119">
        <f>IF(OR(t&lt;Tnet,NoTnet),'2021'!Resal_s+('2021'!Salim-'2021'!Resal_s)*(1-EXP(('2021'!Tnet_s-t)/'2021'!Tau_j)),Resal_s+(Salim-Resal_s)*(1-EXP((Tnet_s-t)/Tau_j)))*Salcycl</f>
        <v>0.14242605237743958</v>
      </c>
      <c r="AD345" s="233">
        <f>(INDEX(Models!$BJ345:$BT345,,AH345)*(1-AF345)+INDEX(Models!$BJ345:$BT345,,AH345+1)*AF345-ERP_i)*AE345*Ramure*Pc/MaxiM</f>
        <v>8.7253092145200925E-2</v>
      </c>
      <c r="AE345" s="307">
        <f t="shared" si="142"/>
        <v>0.9</v>
      </c>
      <c r="AF345" s="179">
        <f t="shared" si="143"/>
        <v>0.49986771531291196</v>
      </c>
      <c r="AG345" s="839">
        <f t="shared" si="149"/>
        <v>0</v>
      </c>
      <c r="AH345" s="178">
        <f t="shared" si="144"/>
        <v>6</v>
      </c>
      <c r="AI345" s="227">
        <f t="shared" si="145"/>
        <v>0.49986771531291196</v>
      </c>
      <c r="AJ345" s="267" t="b">
        <f t="shared" si="146"/>
        <v>0</v>
      </c>
      <c r="AK345" s="267" t="b">
        <f t="shared" si="147"/>
        <v>0</v>
      </c>
      <c r="AL345" s="267"/>
      <c r="AM345" s="267"/>
      <c r="AN345" s="75"/>
    </row>
    <row r="346" spans="1:40" s="6" customFormat="1" ht="11.25" x14ac:dyDescent="0.2">
      <c r="A346" s="56">
        <f t="shared" si="148"/>
        <v>44893</v>
      </c>
      <c r="B346" s="1141">
        <v>9.463000000000001</v>
      </c>
      <c r="C346" s="868"/>
      <c r="D346" s="395">
        <f t="shared" si="127"/>
        <v>9.8174242693463878</v>
      </c>
      <c r="E346" s="387">
        <f t="shared" si="125"/>
        <v>10.126925733164617</v>
      </c>
      <c r="F346" s="387">
        <f t="shared" si="128"/>
        <v>10.458359891131897</v>
      </c>
      <c r="G346" s="110">
        <f t="shared" si="126"/>
        <v>0.51746610444738417</v>
      </c>
      <c r="H346" s="416" t="b">
        <f>Wh_hp&gt;='2021'!Maxi_hp</f>
        <v>0</v>
      </c>
      <c r="I346" s="382">
        <f>IF(H346,Wh_hp,'2021'!Maxi_hp)</f>
        <v>15.033904025861062</v>
      </c>
      <c r="J346" s="85">
        <f>IF(H346,An,'2021'!An_max)</f>
        <v>2018</v>
      </c>
      <c r="K346" s="199">
        <f t="shared" si="129"/>
        <v>44893</v>
      </c>
      <c r="L346" s="147">
        <f>IF(t&lt;Tvie,1-EXP((T0-t)*PertePVj)+'2021'!Pspv,1-EXP((T0-t)*PertePVj)+Pspv)</f>
        <v>3.6101553688886567E-2</v>
      </c>
      <c r="M346" s="872"/>
      <c r="N346" s="872"/>
      <c r="O346" s="48">
        <f>IF(t&lt;Tnet,'2021'!Resal+('2021'!Salim-'2021'!Resal)*(1-EXP(('2021'!Tnet-t)/('2021'!Tau_j))),Resal+(Salim-Resal)*(1-EXP((Tnet-t)/(Tau_j))))*Salcycl</f>
        <v>3.0562232998771217E-2</v>
      </c>
      <c r="P346" s="341">
        <f>(INDEX(Models!$BJ346:$BT346,,T346)*(1-R346)+INDEX(Models!$BJ346:$BT346,,T346+1)*R346-ERP_i)*Q346*Ramure*Pc/MaxiM</f>
        <v>8.8775717738561868E-2</v>
      </c>
      <c r="Q346" s="307">
        <f t="shared" si="130"/>
        <v>0.9</v>
      </c>
      <c r="R346" s="179">
        <f t="shared" si="131"/>
        <v>0.49989005453341906</v>
      </c>
      <c r="S346" s="839">
        <f t="shared" si="132"/>
        <v>0</v>
      </c>
      <c r="T346" s="178">
        <f t="shared" si="133"/>
        <v>6</v>
      </c>
      <c r="U346" s="253">
        <f t="shared" si="134"/>
        <v>0.49989005453341906</v>
      </c>
      <c r="V346" s="385">
        <f t="shared" si="135"/>
        <v>17.209100642619504</v>
      </c>
      <c r="W346" s="404">
        <f t="shared" si="136"/>
        <v>0</v>
      </c>
      <c r="X346" s="157">
        <f t="shared" si="137"/>
        <v>44893</v>
      </c>
      <c r="Y346" s="387">
        <f t="shared" si="138"/>
        <v>8.3710216540719298</v>
      </c>
      <c r="Z346" s="387">
        <f t="shared" si="139"/>
        <v>8.6845473048620843</v>
      </c>
      <c r="AA346" s="388">
        <f t="shared" si="140"/>
        <v>10.126925733164617</v>
      </c>
      <c r="AB346" s="199">
        <f t="shared" si="141"/>
        <v>44893</v>
      </c>
      <c r="AC346" s="119">
        <f>IF(OR(t&lt;Tnet,NoTnet),'2021'!Resal_s+('2021'!Salim-'2021'!Resal_s)*(1-EXP(('2021'!Tnet_s-t)/'2021'!Tau_j)),Resal_s+(Salim-Resal_s)*(1-EXP((Tnet_s-t)/Tau_j)))*Salcycl</f>
        <v>0.14243003911630303</v>
      </c>
      <c r="AD346" s="233">
        <f>(INDEX(Models!$BJ346:$BT346,,AH346)*(1-AF346)+INDEX(Models!$BJ346:$BT346,,AH346+1)*AF346-ERP_i)*AE346*Ramure*Pc/MaxiM</f>
        <v>8.8775717738561868E-2</v>
      </c>
      <c r="AE346" s="307">
        <f t="shared" si="142"/>
        <v>0.9</v>
      </c>
      <c r="AF346" s="179">
        <f t="shared" si="143"/>
        <v>0.49989005453341906</v>
      </c>
      <c r="AG346" s="839">
        <f t="shared" si="149"/>
        <v>0</v>
      </c>
      <c r="AH346" s="178">
        <f t="shared" si="144"/>
        <v>6</v>
      </c>
      <c r="AI346" s="227">
        <f t="shared" si="145"/>
        <v>0.49989005453341906</v>
      </c>
      <c r="AJ346" s="267" t="b">
        <f t="shared" si="146"/>
        <v>0</v>
      </c>
      <c r="AK346" s="267" t="b">
        <f t="shared" si="147"/>
        <v>0</v>
      </c>
      <c r="AL346" s="267"/>
      <c r="AM346" s="267"/>
      <c r="AN346" s="75"/>
    </row>
    <row r="347" spans="1:40" s="6" customFormat="1" ht="11.25" x14ac:dyDescent="0.2">
      <c r="A347" s="56">
        <f t="shared" si="148"/>
        <v>44894</v>
      </c>
      <c r="B347" s="1141">
        <v>10.695</v>
      </c>
      <c r="C347" s="868"/>
      <c r="D347" s="395">
        <f t="shared" si="127"/>
        <v>11.095825431608237</v>
      </c>
      <c r="E347" s="387">
        <f t="shared" si="125"/>
        <v>11.447902335440547</v>
      </c>
      <c r="F347" s="387">
        <f t="shared" si="128"/>
        <v>11.954494727437321</v>
      </c>
      <c r="G347" s="110">
        <f t="shared" si="126"/>
        <v>0.59690723447713223</v>
      </c>
      <c r="H347" s="416" t="b">
        <f>Wh_hp&gt;='2021'!Maxi_hp</f>
        <v>0</v>
      </c>
      <c r="I347" s="382">
        <f>IF(H347,Wh_hp,'2021'!Maxi_hp)</f>
        <v>19.928845702990856</v>
      </c>
      <c r="J347" s="85">
        <f>IF(H347,An,'2021'!An_max)</f>
        <v>2018</v>
      </c>
      <c r="K347" s="199">
        <f t="shared" si="129"/>
        <v>44894</v>
      </c>
      <c r="L347" s="147">
        <f>IF(t&lt;Tvie,1-EXP((T0-t)*PertePVj)+'2021'!Pspv,1-EXP((T0-t)*PertePVj)+Pspv)</f>
        <v>3.6123985013897242E-2</v>
      </c>
      <c r="M347" s="872"/>
      <c r="N347" s="872"/>
      <c r="O347" s="48">
        <f>IF(t&lt;Tnet,'2021'!Resal+('2021'!Salim-'2021'!Resal)*(1-EXP(('2021'!Tnet-t)/('2021'!Tau_j))),Resal+(Salim-Resal)*(1-EXP((Tnet-t)/(Tau_j))))*Salcycl</f>
        <v>3.0754708899144438E-2</v>
      </c>
      <c r="P347" s="341">
        <f>(INDEX(Models!$BJ347:$BT347,,T347)*(1-R347)+INDEX(Models!$BJ347:$BT347,,T347+1)*R347-ERP_i)*Q347*Ramure*Pc/MaxiM</f>
        <v>9.0334500671147303E-2</v>
      </c>
      <c r="Q347" s="307">
        <f t="shared" si="130"/>
        <v>0.9</v>
      </c>
      <c r="R347" s="179">
        <f t="shared" si="131"/>
        <v>0.49991149587461148</v>
      </c>
      <c r="S347" s="839">
        <f t="shared" si="132"/>
        <v>0</v>
      </c>
      <c r="T347" s="178">
        <f t="shared" si="133"/>
        <v>6</v>
      </c>
      <c r="U347" s="253">
        <f t="shared" si="134"/>
        <v>0.49991149587461148</v>
      </c>
      <c r="V347" s="385">
        <f t="shared" si="135"/>
        <v>17.020055781314547</v>
      </c>
      <c r="W347" s="404">
        <f t="shared" si="136"/>
        <v>0</v>
      </c>
      <c r="X347" s="157">
        <f t="shared" si="137"/>
        <v>44894</v>
      </c>
      <c r="Y347" s="387">
        <f t="shared" si="138"/>
        <v>9.4626527833495118</v>
      </c>
      <c r="Z347" s="387">
        <f t="shared" si="139"/>
        <v>9.8172925108899456</v>
      </c>
      <c r="AA347" s="388">
        <f t="shared" si="140"/>
        <v>11.447902335440547</v>
      </c>
      <c r="AB347" s="199">
        <f t="shared" si="141"/>
        <v>44894</v>
      </c>
      <c r="AC347" s="119">
        <f>IF(OR(t&lt;Tnet,NoTnet),'2021'!Resal_s+('2021'!Salim-'2021'!Resal_s)*(1-EXP(('2021'!Tnet_s-t)/'2021'!Tau_j)),Resal_s+(Salim-Resal_s)*(1-EXP((Tnet_s-t)/Tau_j)))*Salcycl</f>
        <v>0.14243743323198527</v>
      </c>
      <c r="AD347" s="233">
        <f>(INDEX(Models!$BJ347:$BT347,,AH347)*(1-AF347)+INDEX(Models!$BJ347:$BT347,,AH347+1)*AF347-ERP_i)*AE347*Ramure*Pc/MaxiM</f>
        <v>9.0334500671147303E-2</v>
      </c>
      <c r="AE347" s="307">
        <f t="shared" si="142"/>
        <v>0.9</v>
      </c>
      <c r="AF347" s="179">
        <f t="shared" si="143"/>
        <v>0.49991149587461148</v>
      </c>
      <c r="AG347" s="839">
        <f t="shared" si="149"/>
        <v>0</v>
      </c>
      <c r="AH347" s="178">
        <f t="shared" si="144"/>
        <v>6</v>
      </c>
      <c r="AI347" s="227">
        <f t="shared" si="145"/>
        <v>0.49991149587461148</v>
      </c>
      <c r="AJ347" s="267" t="b">
        <f t="shared" si="146"/>
        <v>0</v>
      </c>
      <c r="AK347" s="267" t="b">
        <f t="shared" si="147"/>
        <v>0</v>
      </c>
      <c r="AL347" s="267"/>
      <c r="AM347" s="267"/>
      <c r="AN347" s="75"/>
    </row>
    <row r="348" spans="1:40" s="6" customFormat="1" ht="11.25" x14ac:dyDescent="0.2">
      <c r="A348" s="56">
        <f t="shared" si="148"/>
        <v>44895</v>
      </c>
      <c r="B348" s="1141">
        <v>4.3369999999999997</v>
      </c>
      <c r="C348" s="868"/>
      <c r="D348" s="395">
        <f t="shared" si="127"/>
        <v>4.4996460781704224</v>
      </c>
      <c r="E348" s="387">
        <f t="shared" si="125"/>
        <v>4.6433460377578939</v>
      </c>
      <c r="F348" s="387">
        <f t="shared" si="128"/>
        <v>4.6433460377578939</v>
      </c>
      <c r="G348" s="110">
        <f t="shared" si="126"/>
        <v>0.2339560080938943</v>
      </c>
      <c r="H348" s="416" t="b">
        <f>Wh_hp&gt;='2021'!Maxi_hp</f>
        <v>0</v>
      </c>
      <c r="I348" s="382">
        <f>IF(H348,Wh_hp,'2021'!Maxi_hp)</f>
        <v>19.468754862857971</v>
      </c>
      <c r="J348" s="85">
        <f>IF(H348,An,'2021'!An_max)</f>
        <v>2021</v>
      </c>
      <c r="K348" s="199">
        <f t="shared" si="129"/>
        <v>44895</v>
      </c>
      <c r="L348" s="147">
        <f>IF(t&lt;Tvie,1-EXP((T0-t)*PertePVj)+'2021'!Pspv,1-EXP((T0-t)*PertePVj)+Pspv)</f>
        <v>3.6146415816898148E-2</v>
      </c>
      <c r="M348" s="872"/>
      <c r="N348" s="872"/>
      <c r="O348" s="48">
        <f>IF(t&lt;Tnet,'2021'!Resal+('2021'!Salim-'2021'!Resal)*(1-EXP(('2021'!Tnet-t)/('2021'!Tau_j))),Resal+(Salim-Resal)*(1-EXP((Tnet-t)/(Tau_j))))*Salcycl</f>
        <v>3.0947501740977129E-2</v>
      </c>
      <c r="P348" s="341">
        <f>(INDEX(Models!$BJ348:$BT348,,T348)*(1-R348)+INDEX(Models!$BJ348:$BT348,,T348+1)*R348-ERP_i)*Q348*Ramure*Pc/MaxiM</f>
        <v>9.1925456556384483E-2</v>
      </c>
      <c r="Q348" s="307">
        <f t="shared" si="130"/>
        <v>0.9</v>
      </c>
      <c r="R348" s="179">
        <f t="shared" si="131"/>
        <v>0.49993207536457729</v>
      </c>
      <c r="S348" s="839">
        <f t="shared" si="132"/>
        <v>0</v>
      </c>
      <c r="T348" s="178">
        <f t="shared" si="133"/>
        <v>6</v>
      </c>
      <c r="U348" s="253">
        <f t="shared" si="134"/>
        <v>0.49993207536457729</v>
      </c>
      <c r="V348" s="385">
        <f t="shared" si="135"/>
        <v>16.83358904522931</v>
      </c>
      <c r="W348" s="404">
        <f t="shared" si="136"/>
        <v>0</v>
      </c>
      <c r="X348" s="157">
        <f t="shared" si="137"/>
        <v>44895</v>
      </c>
      <c r="Y348" s="387">
        <f t="shared" si="138"/>
        <v>3.8379778531422941</v>
      </c>
      <c r="Z348" s="387">
        <f t="shared" si="139"/>
        <v>3.9819096137875638</v>
      </c>
      <c r="AA348" s="388">
        <f t="shared" si="140"/>
        <v>4.6433460377578939</v>
      </c>
      <c r="AB348" s="199">
        <f t="shared" si="141"/>
        <v>44895</v>
      </c>
      <c r="AC348" s="119">
        <f>IF(OR(t&lt;Tnet,NoTnet),'2021'!Resal_s+('2021'!Salim-'2021'!Resal_s)*(1-EXP(('2021'!Tnet_s-t)/'2021'!Tau_j)),Resal_s+(Salim-Resal_s)*(1-EXP((Tnet_s-t)/Tau_j)))*Salcycl</f>
        <v>0.14244822991691442</v>
      </c>
      <c r="AD348" s="233">
        <f>(INDEX(Models!$BJ348:$BT348,,AH348)*(1-AF348)+INDEX(Models!$BJ348:$BT348,,AH348+1)*AF348-ERP_i)*AE348*Ramure*Pc/MaxiM</f>
        <v>9.1925456556384483E-2</v>
      </c>
      <c r="AE348" s="307">
        <f t="shared" si="142"/>
        <v>0.9</v>
      </c>
      <c r="AF348" s="179">
        <f t="shared" si="143"/>
        <v>0.49993207536457729</v>
      </c>
      <c r="AG348" s="839">
        <f t="shared" si="149"/>
        <v>0</v>
      </c>
      <c r="AH348" s="178">
        <f t="shared" si="144"/>
        <v>6</v>
      </c>
      <c r="AI348" s="227">
        <f t="shared" si="145"/>
        <v>0.49993207536457729</v>
      </c>
      <c r="AJ348" s="267" t="b">
        <f t="shared" si="146"/>
        <v>0</v>
      </c>
      <c r="AK348" s="267" t="b">
        <f t="shared" si="147"/>
        <v>0</v>
      </c>
      <c r="AL348" s="267"/>
      <c r="AM348" s="267"/>
      <c r="AN348" s="75"/>
    </row>
    <row r="349" spans="1:40" s="6" customFormat="1" ht="11.25" x14ac:dyDescent="0.2">
      <c r="A349" s="56">
        <f t="shared" si="148"/>
        <v>44896</v>
      </c>
      <c r="B349" s="1141">
        <v>3.7480000000000002</v>
      </c>
      <c r="C349" s="868"/>
      <c r="D349" s="395">
        <f t="shared" si="127"/>
        <v>3.8886479077026235</v>
      </c>
      <c r="E349" s="387">
        <f t="shared" si="125"/>
        <v>4.0136350015219007</v>
      </c>
      <c r="F349" s="387">
        <f t="shared" si="128"/>
        <v>4.0136350015219007</v>
      </c>
      <c r="G349" s="110">
        <f t="shared" si="126"/>
        <v>0.20404004699065145</v>
      </c>
      <c r="H349" s="416" t="b">
        <f>Wh_hp&gt;='2021'!Maxi_hp</f>
        <v>0</v>
      </c>
      <c r="I349" s="382">
        <f>IF(H349,Wh_hp,'2021'!Maxi_hp)</f>
        <v>18.687325201357915</v>
      </c>
      <c r="J349" s="85">
        <f>IF(H349,An,'2021'!An_max)</f>
        <v>2020</v>
      </c>
      <c r="K349" s="199">
        <f t="shared" si="129"/>
        <v>44896</v>
      </c>
      <c r="L349" s="147">
        <f>IF(t&lt;Tvie,1-EXP((T0-t)*PertePVj)+'2021'!Pspv,1-EXP((T0-t)*PertePVj)+Pspv)</f>
        <v>3.6168846097901608E-2</v>
      </c>
      <c r="M349" s="872"/>
      <c r="N349" s="872"/>
      <c r="O349" s="48">
        <f>IF(t&lt;Tnet,'2021'!Resal+('2021'!Salim-'2021'!Resal)*(1-EXP(('2021'!Tnet-t)/('2021'!Tau_j))),Resal+(Salim-Resal)*(1-EXP((Tnet-t)/(Tau_j))))*Salcycl</f>
        <v>3.1140622844848757E-2</v>
      </c>
      <c r="P349" s="341">
        <f>(INDEX(Models!$BJ349:$BT349,,T349)*(1-R349)+INDEX(Models!$BJ349:$BT349,,T349+1)*R349-ERP_i)*Q349*Ramure*Pc/MaxiM</f>
        <v>9.3544106157927298E-2</v>
      </c>
      <c r="Q349" s="307">
        <f t="shared" si="130"/>
        <v>0.9</v>
      </c>
      <c r="R349" s="179">
        <f t="shared" si="131"/>
        <v>0.49995182759050771</v>
      </c>
      <c r="S349" s="839">
        <f t="shared" si="132"/>
        <v>0</v>
      </c>
      <c r="T349" s="178">
        <f t="shared" si="133"/>
        <v>6</v>
      </c>
      <c r="U349" s="253">
        <f t="shared" si="134"/>
        <v>0.49995182759050771</v>
      </c>
      <c r="V349" s="385">
        <f t="shared" si="135"/>
        <v>16.650636677591766</v>
      </c>
      <c r="W349" s="404">
        <f t="shared" si="136"/>
        <v>0</v>
      </c>
      <c r="X349" s="157">
        <f t="shared" si="137"/>
        <v>44896</v>
      </c>
      <c r="Y349" s="387">
        <f t="shared" si="138"/>
        <v>3.317355391082593</v>
      </c>
      <c r="Z349" s="387">
        <f t="shared" si="139"/>
        <v>3.441842876371223</v>
      </c>
      <c r="AA349" s="388">
        <f t="shared" si="140"/>
        <v>4.0136350015219007</v>
      </c>
      <c r="AB349" s="199">
        <f t="shared" si="141"/>
        <v>44896</v>
      </c>
      <c r="AC349" s="119">
        <f>IF(OR(t&lt;Tnet,NoTnet),'2021'!Resal_s+('2021'!Salim-'2021'!Resal_s)*(1-EXP(('2021'!Tnet_s-t)/'2021'!Tau_j)),Resal_s+(Salim-Resal_s)*(1-EXP((Tnet_s-t)/Tau_j)))*Salcycl</f>
        <v>0.1424624124849081</v>
      </c>
      <c r="AD349" s="233">
        <f>(INDEX(Models!$BJ349:$BT349,,AH349)*(1-AF349)+INDEX(Models!$BJ349:$BT349,,AH349+1)*AF349-ERP_i)*AE349*Ramure*Pc/MaxiM</f>
        <v>9.3544106157927298E-2</v>
      </c>
      <c r="AE349" s="307">
        <f t="shared" si="142"/>
        <v>0.9</v>
      </c>
      <c r="AF349" s="179">
        <f t="shared" si="143"/>
        <v>0.49995182759050771</v>
      </c>
      <c r="AG349" s="839">
        <f t="shared" si="149"/>
        <v>0</v>
      </c>
      <c r="AH349" s="178">
        <f t="shared" si="144"/>
        <v>6</v>
      </c>
      <c r="AI349" s="227">
        <f t="shared" si="145"/>
        <v>0.49995182759050771</v>
      </c>
      <c r="AJ349" s="267" t="b">
        <f t="shared" si="146"/>
        <v>0</v>
      </c>
      <c r="AK349" s="267" t="b">
        <f t="shared" si="147"/>
        <v>0</v>
      </c>
      <c r="AL349" s="267"/>
      <c r="AM349" s="267"/>
      <c r="AN349" s="75"/>
    </row>
    <row r="350" spans="1:40" s="6" customFormat="1" ht="11.25" x14ac:dyDescent="0.2">
      <c r="A350" s="56">
        <f t="shared" si="148"/>
        <v>44897</v>
      </c>
      <c r="B350" s="1141">
        <v>5.1660000000000004</v>
      </c>
      <c r="C350" s="868"/>
      <c r="D350" s="395">
        <f t="shared" si="127"/>
        <v>5.3599846842983041</v>
      </c>
      <c r="E350" s="387">
        <f t="shared" si="125"/>
        <v>5.5333676743490008</v>
      </c>
      <c r="F350" s="387">
        <f t="shared" si="128"/>
        <v>5.5436351171099405</v>
      </c>
      <c r="G350" s="110">
        <f t="shared" si="126"/>
        <v>0.28429499907223538</v>
      </c>
      <c r="H350" s="416" t="b">
        <f>Wh_hp&gt;='2021'!Maxi_hp</f>
        <v>0</v>
      </c>
      <c r="I350" s="382">
        <f>IF(H350,Wh_hp,'2021'!Maxi_hp)</f>
        <v>8.2113391342416708</v>
      </c>
      <c r="J350" s="85">
        <f>IF(H350,An,'2021'!An_max)</f>
        <v>2021</v>
      </c>
      <c r="K350" s="199">
        <f t="shared" si="129"/>
        <v>44897</v>
      </c>
      <c r="L350" s="147">
        <f>IF(t&lt;Tvie,1-EXP((T0-t)*PertePVj)+'2021'!Pspv,1-EXP((T0-t)*PertePVj)+Pspv)</f>
        <v>3.6191275856919614E-2</v>
      </c>
      <c r="M350" s="872"/>
      <c r="N350" s="872"/>
      <c r="O350" s="48">
        <f>IF(t&lt;Tnet,'2021'!Resal+('2021'!Salim-'2021'!Resal)*(1-EXP(('2021'!Tnet-t)/('2021'!Tau_j))),Resal+(Salim-Resal)*(1-EXP((Tnet-t)/(Tau_j))))*Salcycl</f>
        <v>3.1334080844554572E-2</v>
      </c>
      <c r="P350" s="341">
        <f>(INDEX(Models!$BJ350:$BT350,,T350)*(1-R350)+INDEX(Models!$BJ350:$BT350,,T350+1)*R350-ERP_i)*Q350*Ramure*Pc/MaxiM</f>
        <v>9.5185445642828284E-2</v>
      </c>
      <c r="Q350" s="307">
        <f t="shared" si="130"/>
        <v>0.9</v>
      </c>
      <c r="R350" s="179">
        <f t="shared" si="131"/>
        <v>0.49997078575594867</v>
      </c>
      <c r="S350" s="839">
        <f t="shared" si="132"/>
        <v>0</v>
      </c>
      <c r="T350" s="178">
        <f t="shared" si="133"/>
        <v>6</v>
      </c>
      <c r="U350" s="253">
        <f t="shared" si="134"/>
        <v>0.49997078575594867</v>
      </c>
      <c r="V350" s="385">
        <f t="shared" si="135"/>
        <v>16.472134052596065</v>
      </c>
      <c r="W350" s="404">
        <f t="shared" si="136"/>
        <v>0</v>
      </c>
      <c r="X350" s="157">
        <f t="shared" si="137"/>
        <v>44897</v>
      </c>
      <c r="Y350" s="387">
        <f t="shared" si="138"/>
        <v>4.5732470571085457</v>
      </c>
      <c r="Z350" s="387">
        <f t="shared" si="139"/>
        <v>4.7449737095652527</v>
      </c>
      <c r="AA350" s="388">
        <f t="shared" si="140"/>
        <v>5.5333676743490008</v>
      </c>
      <c r="AB350" s="199">
        <f t="shared" si="141"/>
        <v>44897</v>
      </c>
      <c r="AC350" s="119">
        <f>IF(OR(t&lt;Tnet,NoTnet),'2021'!Resal_s+('2021'!Salim-'2021'!Resal_s)*(1-EXP(('2021'!Tnet_s-t)/'2021'!Tau_j)),Resal_s+(Salim-Resal_s)*(1-EXP((Tnet_s-t)/Tau_j)))*Salcycl</f>
        <v>0.14247995274893818</v>
      </c>
      <c r="AD350" s="233">
        <f>(INDEX(Models!$BJ350:$BT350,,AH350)*(1-AF350)+INDEX(Models!$BJ350:$BT350,,AH350+1)*AF350-ERP_i)*AE350*Ramure*Pc/MaxiM</f>
        <v>9.5185445642828284E-2</v>
      </c>
      <c r="AE350" s="307">
        <f t="shared" si="142"/>
        <v>0.9</v>
      </c>
      <c r="AF350" s="179">
        <f t="shared" si="143"/>
        <v>0.49997078575594867</v>
      </c>
      <c r="AG350" s="839">
        <f t="shared" si="149"/>
        <v>0</v>
      </c>
      <c r="AH350" s="178">
        <f t="shared" si="144"/>
        <v>6</v>
      </c>
      <c r="AI350" s="227">
        <f t="shared" si="145"/>
        <v>0.49997078575594867</v>
      </c>
      <c r="AJ350" s="267" t="b">
        <f t="shared" si="146"/>
        <v>0</v>
      </c>
      <c r="AK350" s="267" t="b">
        <f t="shared" si="147"/>
        <v>0</v>
      </c>
      <c r="AL350" s="267"/>
      <c r="AM350" s="267"/>
      <c r="AN350" s="75"/>
    </row>
    <row r="351" spans="1:40" s="6" customFormat="1" ht="11.25" x14ac:dyDescent="0.2">
      <c r="A351" s="56">
        <f t="shared" si="148"/>
        <v>44898</v>
      </c>
      <c r="B351" s="1141">
        <v>8.1020000000000003</v>
      </c>
      <c r="C351" s="868"/>
      <c r="D351" s="395">
        <f t="shared" si="127"/>
        <v>8.4064279008967482</v>
      </c>
      <c r="E351" s="387">
        <f t="shared" si="125"/>
        <v>8.6800928412239635</v>
      </c>
      <c r="F351" s="387">
        <f t="shared" si="128"/>
        <v>8.9234022396829484</v>
      </c>
      <c r="G351" s="110">
        <f t="shared" si="126"/>
        <v>0.46152982456158098</v>
      </c>
      <c r="H351" s="416" t="b">
        <f>Wh_hp&gt;='2021'!Maxi_hp</f>
        <v>0</v>
      </c>
      <c r="I351" s="382">
        <f>IF(H351,Wh_hp,'2021'!Maxi_hp)</f>
        <v>13.277660836257485</v>
      </c>
      <c r="J351" s="85">
        <f>IF(H351,An,'2021'!An_max)</f>
        <v>2021</v>
      </c>
      <c r="K351" s="199">
        <f t="shared" si="129"/>
        <v>44898</v>
      </c>
      <c r="L351" s="147">
        <f>IF(t&lt;Tvie,1-EXP((T0-t)*PertePVj)+'2021'!Pspv,1-EXP((T0-t)*PertePVj)+Pspv)</f>
        <v>3.6213705093964266E-2</v>
      </c>
      <c r="M351" s="872"/>
      <c r="N351" s="872"/>
      <c r="O351" s="48">
        <f>IF(t&lt;Tnet,'2021'!Resal+('2021'!Salim-'2021'!Resal)*(1-EXP(('2021'!Tnet-t)/('2021'!Tau_j))),Resal+(Salim-Resal)*(1-EXP((Tnet-t)/(Tau_j))))*Salcycl</f>
        <v>3.1527881709687511E-2</v>
      </c>
      <c r="P351" s="341">
        <f>(INDEX(Models!$BJ351:$BT351,,T351)*(1-R351)+INDEX(Models!$BJ351:$BT351,,T351+1)*R351-ERP_i)*Q351*Ramure*Pc/MaxiM</f>
        <v>9.6843921877589334E-2</v>
      </c>
      <c r="Q351" s="307">
        <f t="shared" si="130"/>
        <v>0.9</v>
      </c>
      <c r="R351" s="179">
        <f t="shared" si="131"/>
        <v>0.49998898173580664</v>
      </c>
      <c r="S351" s="839">
        <f t="shared" si="132"/>
        <v>0</v>
      </c>
      <c r="T351" s="178">
        <f t="shared" si="133"/>
        <v>6</v>
      </c>
      <c r="U351" s="253">
        <f t="shared" si="134"/>
        <v>0.49998898173580664</v>
      </c>
      <c r="V351" s="385">
        <f t="shared" si="135"/>
        <v>16.299015649607689</v>
      </c>
      <c r="W351" s="404">
        <f t="shared" si="136"/>
        <v>0</v>
      </c>
      <c r="X351" s="157">
        <f t="shared" si="137"/>
        <v>44898</v>
      </c>
      <c r="Y351" s="387">
        <f t="shared" si="138"/>
        <v>7.1736277114313349</v>
      </c>
      <c r="Z351" s="387">
        <f t="shared" si="139"/>
        <v>7.4431725677638187</v>
      </c>
      <c r="AA351" s="388">
        <f t="shared" si="140"/>
        <v>8.6800928412239635</v>
      </c>
      <c r="AB351" s="199">
        <f t="shared" si="141"/>
        <v>44898</v>
      </c>
      <c r="AC351" s="119">
        <f>IF(OR(t&lt;Tnet,NoTnet),'2021'!Resal_s+('2021'!Salim-'2021'!Resal_s)*(1-EXP(('2021'!Tnet_s-t)/'2021'!Tau_j)),Resal_s+(Salim-Resal_s)*(1-EXP((Tnet_s-t)/Tau_j)))*Salcycl</f>
        <v>0.14250081146433097</v>
      </c>
      <c r="AD351" s="233">
        <f>(INDEX(Models!$BJ351:$BT351,,AH351)*(1-AF351)+INDEX(Models!$BJ351:$BT351,,AH351+1)*AF351-ERP_i)*AE351*Ramure*Pc/MaxiM</f>
        <v>9.6843921877589334E-2</v>
      </c>
      <c r="AE351" s="307">
        <f t="shared" si="142"/>
        <v>0.9</v>
      </c>
      <c r="AF351" s="179">
        <f t="shared" si="143"/>
        <v>0.49998898173580664</v>
      </c>
      <c r="AG351" s="839">
        <f t="shared" si="149"/>
        <v>0</v>
      </c>
      <c r="AH351" s="178">
        <f t="shared" si="144"/>
        <v>6</v>
      </c>
      <c r="AI351" s="227">
        <f t="shared" si="145"/>
        <v>0.49998898173580664</v>
      </c>
      <c r="AJ351" s="267" t="b">
        <f t="shared" si="146"/>
        <v>0</v>
      </c>
      <c r="AK351" s="267" t="b">
        <f t="shared" si="147"/>
        <v>0</v>
      </c>
      <c r="AL351" s="267"/>
      <c r="AM351" s="267"/>
      <c r="AN351" s="75"/>
    </row>
    <row r="352" spans="1:40" s="6" customFormat="1" ht="11.25" x14ac:dyDescent="0.2">
      <c r="A352" s="56">
        <f t="shared" si="148"/>
        <v>44899</v>
      </c>
      <c r="B352" s="1141">
        <v>13.736000000000001</v>
      </c>
      <c r="C352" s="868"/>
      <c r="D352" s="395">
        <f t="shared" si="127"/>
        <v>14.252453823868994</v>
      </c>
      <c r="E352" s="387">
        <f t="shared" si="125"/>
        <v>14.719382499220529</v>
      </c>
      <c r="F352" s="387">
        <f t="shared" si="128"/>
        <v>15.957241279151608</v>
      </c>
      <c r="G352" s="110">
        <f t="shared" si="126"/>
        <v>0.83213496152114097</v>
      </c>
      <c r="H352" s="416" t="b">
        <f>Wh_hp&gt;='2021'!Maxi_hp</f>
        <v>1</v>
      </c>
      <c r="I352" s="382">
        <f>IF(H352,Wh_hp,'2021'!Maxi_hp)</f>
        <v>15.957241279151608</v>
      </c>
      <c r="J352" s="85">
        <f>IF(H352,An,'2021'!An_max)</f>
        <v>2022</v>
      </c>
      <c r="K352" s="199">
        <f t="shared" si="129"/>
        <v>44899</v>
      </c>
      <c r="L352" s="147">
        <f>IF(t&lt;Tvie,1-EXP((T0-t)*PertePVj)+'2021'!Pspv,1-EXP((T0-t)*PertePVj)+Pspv)</f>
        <v>3.6236133809047888E-2</v>
      </c>
      <c r="M352" s="872"/>
      <c r="N352" s="872"/>
      <c r="O352" s="48">
        <f>IF(t&lt;Tnet,'2021'!Resal+('2021'!Salim-'2021'!Resal)*(1-EXP(('2021'!Tnet-t)/('2021'!Tau_j))),Resal+(Salim-Resal)*(1-EXP((Tnet-t)/(Tau_j))))*Salcycl</f>
        <v>3.1722028785940097E-2</v>
      </c>
      <c r="P352" s="341">
        <f>(INDEX(Models!$BJ352:$BT352,,T352)*(1-R352)+INDEX(Models!$BJ352:$BT352,,T352+1)*R352-ERP_i)*Q352*Ramure*Pc/MaxiM</f>
        <v>9.8474372182422221E-2</v>
      </c>
      <c r="Q352" s="307">
        <f t="shared" si="130"/>
        <v>0.9</v>
      </c>
      <c r="R352" s="179">
        <f t="shared" si="131"/>
        <v>0.50000644612919654</v>
      </c>
      <c r="S352" s="839">
        <f t="shared" si="132"/>
        <v>0</v>
      </c>
      <c r="T352" s="178">
        <f t="shared" si="133"/>
        <v>6</v>
      </c>
      <c r="U352" s="253">
        <f t="shared" si="134"/>
        <v>0.50000644612919654</v>
      </c>
      <c r="V352" s="385">
        <f t="shared" si="135"/>
        <v>16.132913710436156</v>
      </c>
      <c r="W352" s="404">
        <f t="shared" si="136"/>
        <v>0</v>
      </c>
      <c r="X352" s="157">
        <f t="shared" si="137"/>
        <v>44899</v>
      </c>
      <c r="Y352" s="387">
        <f t="shared" si="138"/>
        <v>12.164148922459061</v>
      </c>
      <c r="Z352" s="387">
        <f t="shared" si="139"/>
        <v>12.621503408853636</v>
      </c>
      <c r="AA352" s="388">
        <f t="shared" si="140"/>
        <v>14.719382499220529</v>
      </c>
      <c r="AB352" s="199">
        <f t="shared" si="141"/>
        <v>44899</v>
      </c>
      <c r="AC352" s="119">
        <f>IF(OR(t&lt;Tnet,NoTnet),'2021'!Resal_s+('2021'!Salim-'2021'!Resal_s)*(1-EXP(('2021'!Tnet_s-t)/'2021'!Tau_j)),Resal_s+(Salim-Resal_s)*(1-EXP((Tnet_s-t)/Tau_j)))*Salcycl</f>
        <v>0.1425249388334047</v>
      </c>
      <c r="AD352" s="233">
        <f>(INDEX(Models!$BJ352:$BT352,,AH352)*(1-AF352)+INDEX(Models!$BJ352:$BT352,,AH352+1)*AF352-ERP_i)*AE352*Ramure*Pc/MaxiM</f>
        <v>9.8474372182422221E-2</v>
      </c>
      <c r="AE352" s="307">
        <f t="shared" si="142"/>
        <v>0.9</v>
      </c>
      <c r="AF352" s="179">
        <f t="shared" si="143"/>
        <v>0.50000644612919654</v>
      </c>
      <c r="AG352" s="839">
        <f t="shared" si="149"/>
        <v>0</v>
      </c>
      <c r="AH352" s="178">
        <f t="shared" si="144"/>
        <v>6</v>
      </c>
      <c r="AI352" s="227">
        <f t="shared" si="145"/>
        <v>0.50000644612919654</v>
      </c>
      <c r="AJ352" s="267" t="b">
        <f t="shared" si="146"/>
        <v>0</v>
      </c>
      <c r="AK352" s="267" t="b">
        <f t="shared" si="147"/>
        <v>0</v>
      </c>
      <c r="AL352" s="267"/>
      <c r="AM352" s="267"/>
      <c r="AN352" s="75"/>
    </row>
    <row r="353" spans="1:40" s="6" customFormat="1" ht="11.25" x14ac:dyDescent="0.2">
      <c r="A353" s="56">
        <f t="shared" si="148"/>
        <v>44900</v>
      </c>
      <c r="B353" s="1141">
        <v>16.091000000000001</v>
      </c>
      <c r="C353" s="868"/>
      <c r="D353" s="395">
        <f t="shared" si="127"/>
        <v>16.696386982621828</v>
      </c>
      <c r="E353" s="387">
        <f t="shared" si="125"/>
        <v>17.246846348231543</v>
      </c>
      <c r="F353" s="387">
        <f t="shared" si="128"/>
        <v>19.163900067358469</v>
      </c>
      <c r="G353" s="110">
        <f t="shared" si="126"/>
        <v>1.0072377932128669</v>
      </c>
      <c r="H353" s="416" t="b">
        <f>Wh_hp&gt;='2021'!Maxi_hp</f>
        <v>1</v>
      </c>
      <c r="I353" s="382">
        <f>IF(H353,Wh_hp,'2021'!Maxi_hp)</f>
        <v>19.163900067358469</v>
      </c>
      <c r="J353" s="85">
        <f>IF(H353,An,'2021'!An_max)</f>
        <v>2022</v>
      </c>
      <c r="K353" s="199">
        <f t="shared" si="129"/>
        <v>44900</v>
      </c>
      <c r="L353" s="147">
        <f>IF(t&lt;Tvie,1-EXP((T0-t)*PertePVj)+'2021'!Pspv,1-EXP((T0-t)*PertePVj)+Pspv)</f>
        <v>3.6258562002182582E-2</v>
      </c>
      <c r="M353" s="872"/>
      <c r="N353" s="872"/>
      <c r="O353" s="48">
        <f>IF(t&lt;Tnet,'2021'!Resal+('2021'!Salim-'2021'!Resal)*(1-EXP(('2021'!Tnet-t)/('2021'!Tau_j))),Resal+(Salim-Resal)*(1-EXP((Tnet-t)/(Tau_j))))*Salcycl</f>
        <v>3.1916522852663921E-2</v>
      </c>
      <c r="P353" s="341">
        <f>(INDEX(Models!$BJ353:$BT353,,T353)*(1-R353)+INDEX(Models!$BJ353:$BT353,,T353+1)*R353-ERP_i)*Q353*Ramure*Pc/MaxiM</f>
        <v>0.10003463347172269</v>
      </c>
      <c r="Q353" s="307">
        <f t="shared" si="130"/>
        <v>0.9</v>
      </c>
      <c r="R353" s="179">
        <f t="shared" si="131"/>
        <v>0.50002320831021074</v>
      </c>
      <c r="S353" s="839">
        <f t="shared" si="132"/>
        <v>0</v>
      </c>
      <c r="T353" s="178">
        <f t="shared" si="133"/>
        <v>6</v>
      </c>
      <c r="U353" s="253">
        <f t="shared" si="134"/>
        <v>0.50002320831021074</v>
      </c>
      <c r="V353" s="385">
        <f t="shared" si="135"/>
        <v>15.975373549748612</v>
      </c>
      <c r="W353" s="404">
        <f t="shared" si="136"/>
        <v>0</v>
      </c>
      <c r="X353" s="157">
        <f t="shared" si="137"/>
        <v>44900</v>
      </c>
      <c r="Y353" s="387">
        <f t="shared" si="138"/>
        <v>14.252067789186823</v>
      </c>
      <c r="Z353" s="387">
        <f t="shared" si="139"/>
        <v>14.788269163558679</v>
      </c>
      <c r="AA353" s="388">
        <f t="shared" si="140"/>
        <v>17.246846348231543</v>
      </c>
      <c r="AB353" s="199">
        <f t="shared" si="141"/>
        <v>44900</v>
      </c>
      <c r="AC353" s="119">
        <f>IF(OR(t&lt;Tnet,NoTnet),'2021'!Resal_s+('2021'!Salim-'2021'!Resal_s)*(1-EXP(('2021'!Tnet_s-t)/'2021'!Tau_j)),Resal_s+(Salim-Resal_s)*(1-EXP((Tnet_s-t)/Tau_j)))*Salcycl</f>
        <v>0.14255227506708551</v>
      </c>
      <c r="AD353" s="233">
        <f>(INDEX(Models!$BJ353:$BT353,,AH353)*(1-AF353)+INDEX(Models!$BJ353:$BT353,,AH353+1)*AF353-ERP_i)*AE353*Ramure*Pc/MaxiM</f>
        <v>0.10003463347172269</v>
      </c>
      <c r="AE353" s="307">
        <f t="shared" si="142"/>
        <v>0.9</v>
      </c>
      <c r="AF353" s="179">
        <f t="shared" si="143"/>
        <v>0.50002320831021074</v>
      </c>
      <c r="AG353" s="839">
        <f t="shared" si="149"/>
        <v>0</v>
      </c>
      <c r="AH353" s="178">
        <f t="shared" si="144"/>
        <v>6</v>
      </c>
      <c r="AI353" s="227">
        <f t="shared" si="145"/>
        <v>0.50002320831021074</v>
      </c>
      <c r="AJ353" s="267" t="b">
        <f t="shared" si="146"/>
        <v>0</v>
      </c>
      <c r="AK353" s="267" t="b">
        <f t="shared" si="147"/>
        <v>0</v>
      </c>
      <c r="AL353" s="267"/>
      <c r="AM353" s="267"/>
      <c r="AN353" s="75"/>
    </row>
    <row r="354" spans="1:40" s="6" customFormat="1" ht="11.25" x14ac:dyDescent="0.2">
      <c r="A354" s="56">
        <f t="shared" si="148"/>
        <v>44901</v>
      </c>
      <c r="B354" s="1141">
        <v>11.532999999999999</v>
      </c>
      <c r="C354" s="868"/>
      <c r="D354" s="395">
        <f t="shared" si="127"/>
        <v>11.967181176690998</v>
      </c>
      <c r="E354" s="387">
        <f t="shared" si="125"/>
        <v>12.364212895252241</v>
      </c>
      <c r="F354" s="387">
        <f t="shared" si="128"/>
        <v>13.18382162294777</v>
      </c>
      <c r="G354" s="110">
        <f t="shared" si="126"/>
        <v>0.69810383676362986</v>
      </c>
      <c r="H354" s="416" t="b">
        <f>Wh_hp&gt;='2021'!Maxi_hp</f>
        <v>0</v>
      </c>
      <c r="I354" s="382">
        <f>IF(H354,Wh_hp,'2021'!Maxi_hp)</f>
        <v>16.199835950430391</v>
      </c>
      <c r="J354" s="85">
        <f>IF(H354,An,'2021'!An_max)</f>
        <v>2020</v>
      </c>
      <c r="K354" s="199">
        <f t="shared" si="129"/>
        <v>44901</v>
      </c>
      <c r="L354" s="147">
        <f>IF(t&lt;Tvie,1-EXP((T0-t)*PertePVj)+'2021'!Pspv,1-EXP((T0-t)*PertePVj)+Pspv)</f>
        <v>3.6280989673380448E-2</v>
      </c>
      <c r="M354" s="872"/>
      <c r="N354" s="872"/>
      <c r="O354" s="48">
        <f>IF(t&lt;Tnet,'2021'!Resal+('2021'!Salim-'2021'!Resal)*(1-EXP(('2021'!Tnet-t)/('2021'!Tau_j))),Resal+(Salim-Resal)*(1-EXP((Tnet-t)/(Tau_j))))*Salcycl</f>
        <v>3.2111362197079232E-2</v>
      </c>
      <c r="P354" s="341">
        <f>(INDEX(Models!$BJ354:$BT354,,T354)*(1-R354)+INDEX(Models!$BJ354:$BT354,,T354+1)*R354-ERP_i)*Q354*Ramure*Pc/MaxiM</f>
        <v>0.10151580478940038</v>
      </c>
      <c r="Q354" s="307">
        <f t="shared" si="130"/>
        <v>0.9</v>
      </c>
      <c r="R354" s="179">
        <f t="shared" si="131"/>
        <v>0.50003929647669265</v>
      </c>
      <c r="S354" s="839">
        <f t="shared" si="132"/>
        <v>0</v>
      </c>
      <c r="T354" s="178">
        <f t="shared" si="133"/>
        <v>6</v>
      </c>
      <c r="U354" s="253">
        <f t="shared" si="134"/>
        <v>0.50003929647669265</v>
      </c>
      <c r="V354" s="385">
        <f t="shared" si="135"/>
        <v>15.827326197455051</v>
      </c>
      <c r="W354" s="404">
        <f t="shared" si="136"/>
        <v>0</v>
      </c>
      <c r="X354" s="157">
        <f t="shared" si="137"/>
        <v>44901</v>
      </c>
      <c r="Y354" s="387">
        <f t="shared" si="138"/>
        <v>10.216664135224946</v>
      </c>
      <c r="Z354" s="387">
        <f t="shared" si="139"/>
        <v>10.601289406714471</v>
      </c>
      <c r="AA354" s="388">
        <f t="shared" si="140"/>
        <v>12.364212895252241</v>
      </c>
      <c r="AB354" s="199">
        <f t="shared" si="141"/>
        <v>44901</v>
      </c>
      <c r="AC354" s="119">
        <f>IF(OR(t&lt;Tnet,NoTnet),'2021'!Resal_s+('2021'!Salim-'2021'!Resal_s)*(1-EXP(('2021'!Tnet_s-t)/'2021'!Tau_j)),Resal_s+(Salim-Resal_s)*(1-EXP((Tnet_s-t)/Tau_j)))*Salcycl</f>
        <v>0.14258275099862749</v>
      </c>
      <c r="AD354" s="233">
        <f>(INDEX(Models!$BJ354:$BT354,,AH354)*(1-AF354)+INDEX(Models!$BJ354:$BT354,,AH354+1)*AF354-ERP_i)*AE354*Ramure*Pc/MaxiM</f>
        <v>0.10151580478940038</v>
      </c>
      <c r="AE354" s="307">
        <f t="shared" si="142"/>
        <v>0.9</v>
      </c>
      <c r="AF354" s="179">
        <f t="shared" si="143"/>
        <v>0.50003929647669265</v>
      </c>
      <c r="AG354" s="839">
        <f t="shared" si="149"/>
        <v>0</v>
      </c>
      <c r="AH354" s="178">
        <f t="shared" si="144"/>
        <v>6</v>
      </c>
      <c r="AI354" s="227">
        <f t="shared" si="145"/>
        <v>0.50003929647669265</v>
      </c>
      <c r="AJ354" s="267" t="b">
        <f t="shared" si="146"/>
        <v>0</v>
      </c>
      <c r="AK354" s="267" t="b">
        <f t="shared" si="147"/>
        <v>0</v>
      </c>
      <c r="AL354" s="267"/>
      <c r="AM354" s="267"/>
      <c r="AN354" s="75"/>
    </row>
    <row r="355" spans="1:40" s="6" customFormat="1" ht="11.25" x14ac:dyDescent="0.2">
      <c r="A355" s="56">
        <f t="shared" si="148"/>
        <v>44902</v>
      </c>
      <c r="B355" s="1141">
        <v>14.173999999999999</v>
      </c>
      <c r="C355" s="868"/>
      <c r="D355" s="395">
        <f t="shared" si="127"/>
        <v>14.707948795737918</v>
      </c>
      <c r="E355" s="387">
        <f t="shared" si="125"/>
        <v>15.198975134999683</v>
      </c>
      <c r="F355" s="387">
        <f t="shared" si="128"/>
        <v>16.678463487438538</v>
      </c>
      <c r="G355" s="110">
        <f t="shared" si="126"/>
        <v>0.88931610789847604</v>
      </c>
      <c r="H355" s="416" t="b">
        <f>Wh_hp&gt;='2021'!Maxi_hp</f>
        <v>1</v>
      </c>
      <c r="I355" s="382">
        <f>IF(H355,Wh_hp,'2021'!Maxi_hp)</f>
        <v>16.678463487438538</v>
      </c>
      <c r="J355" s="85">
        <f>IF(H355,An,'2021'!An_max)</f>
        <v>2022</v>
      </c>
      <c r="K355" s="199">
        <f t="shared" si="129"/>
        <v>44902</v>
      </c>
      <c r="L355" s="147">
        <f>IF(t&lt;Tvie,1-EXP((T0-t)*PertePVj)+'2021'!Pspv,1-EXP((T0-t)*PertePVj)+Pspv)</f>
        <v>3.6303416822653589E-2</v>
      </c>
      <c r="M355" s="872"/>
      <c r="N355" s="872"/>
      <c r="O355" s="48">
        <f>IF(t&lt;Tnet,'2021'!Resal+('2021'!Salim-'2021'!Resal)*(1-EXP(('2021'!Tnet-t)/('2021'!Tau_j))),Resal+(Salim-Resal)*(1-EXP((Tnet-t)/(Tau_j))))*Salcycl</f>
        <v>3.2306542704385766E-2</v>
      </c>
      <c r="P355" s="341">
        <f>(INDEX(Models!$BJ355:$BT355,,T355)*(1-R355)+INDEX(Models!$BJ355:$BT355,,T355+1)*R355-ERP_i)*Q355*Ramure*Pc/MaxiM</f>
        <v>0.10290862060592083</v>
      </c>
      <c r="Q355" s="307">
        <f t="shared" si="130"/>
        <v>0.9</v>
      </c>
      <c r="R355" s="179">
        <f t="shared" si="131"/>
        <v>0.50005473769708875</v>
      </c>
      <c r="S355" s="839">
        <f t="shared" si="132"/>
        <v>0</v>
      </c>
      <c r="T355" s="178">
        <f t="shared" si="133"/>
        <v>6</v>
      </c>
      <c r="U355" s="253">
        <f t="shared" si="134"/>
        <v>0.50005473769708875</v>
      </c>
      <c r="V355" s="385">
        <f t="shared" si="135"/>
        <v>15.689701718282111</v>
      </c>
      <c r="W355" s="404">
        <f t="shared" si="136"/>
        <v>0</v>
      </c>
      <c r="X355" s="157">
        <f t="shared" si="137"/>
        <v>44902</v>
      </c>
      <c r="Y355" s="387">
        <f t="shared" si="138"/>
        <v>12.558271043086604</v>
      </c>
      <c r="Z355" s="387">
        <f t="shared" si="139"/>
        <v>13.031353708530832</v>
      </c>
      <c r="AA355" s="388">
        <f t="shared" si="140"/>
        <v>15.198975134999682</v>
      </c>
      <c r="AB355" s="199">
        <f t="shared" si="141"/>
        <v>44902</v>
      </c>
      <c r="AC355" s="119">
        <f>IF(OR(t&lt;Tnet,NoTnet),'2021'!Resal_s+('2021'!Salim-'2021'!Resal_s)*(1-EXP(('2021'!Tnet_s-t)/'2021'!Tau_j)),Resal_s+(Salim-Resal_s)*(1-EXP((Tnet_s-t)/Tau_j)))*Salcycl</f>
        <v>0.14261628874418811</v>
      </c>
      <c r="AD355" s="233">
        <f>(INDEX(Models!$BJ355:$BT355,,AH355)*(1-AF355)+INDEX(Models!$BJ355:$BT355,,AH355+1)*AF355-ERP_i)*AE355*Ramure*Pc/MaxiM</f>
        <v>0.10290862060592083</v>
      </c>
      <c r="AE355" s="307">
        <f t="shared" si="142"/>
        <v>0.9</v>
      </c>
      <c r="AF355" s="179">
        <f t="shared" si="143"/>
        <v>0.50005473769708875</v>
      </c>
      <c r="AG355" s="839">
        <f t="shared" si="149"/>
        <v>0</v>
      </c>
      <c r="AH355" s="178">
        <f t="shared" si="144"/>
        <v>6</v>
      </c>
      <c r="AI355" s="227">
        <f t="shared" si="145"/>
        <v>0.50005473769708875</v>
      </c>
      <c r="AJ355" s="267" t="b">
        <f t="shared" si="146"/>
        <v>0</v>
      </c>
      <c r="AK355" s="267" t="b">
        <f t="shared" si="147"/>
        <v>0</v>
      </c>
      <c r="AL355" s="267"/>
      <c r="AM355" s="267"/>
      <c r="AN355" s="75"/>
    </row>
    <row r="356" spans="1:40" s="6" customFormat="1" ht="11.25" x14ac:dyDescent="0.2">
      <c r="A356" s="56">
        <f t="shared" si="148"/>
        <v>44903</v>
      </c>
      <c r="B356" s="1141">
        <v>4.2270000000000003</v>
      </c>
      <c r="C356" s="868"/>
      <c r="D356" s="395">
        <f t="shared" si="127"/>
        <v>4.3863374059266329</v>
      </c>
      <c r="E356" s="387">
        <f t="shared" si="125"/>
        <v>4.5336917168950457</v>
      </c>
      <c r="F356" s="387">
        <f t="shared" si="128"/>
        <v>4.5336917168950457</v>
      </c>
      <c r="G356" s="110">
        <f t="shared" si="126"/>
        <v>0.24329674578769733</v>
      </c>
      <c r="H356" s="416" t="b">
        <f>Wh_hp&gt;='2021'!Maxi_hp</f>
        <v>0</v>
      </c>
      <c r="I356" s="382">
        <f>IF(H356,Wh_hp,'2021'!Maxi_hp)</f>
        <v>15.165312115790208</v>
      </c>
      <c r="J356" s="85">
        <f>IF(H356,An,'2021'!An_max)</f>
        <v>2019</v>
      </c>
      <c r="K356" s="199">
        <f t="shared" si="129"/>
        <v>44903</v>
      </c>
      <c r="L356" s="147">
        <f>IF(t&lt;Tvie,1-EXP((T0-t)*PertePVj)+'2021'!Pspv,1-EXP((T0-t)*PertePVj)+Pspv)</f>
        <v>3.6325843450014217E-2</v>
      </c>
      <c r="M356" s="872"/>
      <c r="N356" s="872"/>
      <c r="O356" s="48">
        <f>IF(t&lt;Tnet,'2021'!Resal+('2021'!Salim-'2021'!Resal)*(1-EXP(('2021'!Tnet-t)/('2021'!Tau_j))),Resal+(Salim-Resal)*(1-EXP((Tnet-t)/(Tau_j))))*Salcycl</f>
        <v>3.2502057962893488E-2</v>
      </c>
      <c r="P356" s="341">
        <f>(INDEX(Models!$BJ356:$BT356,,T356)*(1-R356)+INDEX(Models!$BJ356:$BT356,,T356+1)*R356-ERP_i)*Q356*Ramure*Pc/MaxiM</f>
        <v>0.10420352881833664</v>
      </c>
      <c r="Q356" s="307">
        <f t="shared" si="130"/>
        <v>0.9</v>
      </c>
      <c r="R356" s="179">
        <f t="shared" si="131"/>
        <v>0.50006955795545527</v>
      </c>
      <c r="S356" s="839">
        <f t="shared" si="132"/>
        <v>0</v>
      </c>
      <c r="T356" s="178">
        <f t="shared" si="133"/>
        <v>6</v>
      </c>
      <c r="U356" s="253">
        <f t="shared" si="134"/>
        <v>0.50006955795545527</v>
      </c>
      <c r="V356" s="385">
        <f t="shared" si="135"/>
        <v>15.563429224774955</v>
      </c>
      <c r="W356" s="404">
        <f t="shared" si="136"/>
        <v>0</v>
      </c>
      <c r="X356" s="157">
        <f t="shared" si="137"/>
        <v>44903</v>
      </c>
      <c r="Y356" s="387">
        <f t="shared" si="138"/>
        <v>3.7457512277544489</v>
      </c>
      <c r="Z356" s="387">
        <f t="shared" si="139"/>
        <v>3.8869478882410569</v>
      </c>
      <c r="AA356" s="388">
        <f t="shared" si="140"/>
        <v>4.5336917168950457</v>
      </c>
      <c r="AB356" s="199">
        <f t="shared" si="141"/>
        <v>44903</v>
      </c>
      <c r="AC356" s="119">
        <f>IF(OR(t&lt;Tnet,NoTnet),'2021'!Resal_s+('2021'!Salim-'2021'!Resal_s)*(1-EXP(('2021'!Tnet_s-t)/'2021'!Tau_j)),Resal_s+(Salim-Resal_s)*(1-EXP((Tnet_s-t)/Tau_j)))*Salcycl</f>
        <v>0.14265280240468564</v>
      </c>
      <c r="AD356" s="233">
        <f>(INDEX(Models!$BJ356:$BT356,,AH356)*(1-AF356)+INDEX(Models!$BJ356:$BT356,,AH356+1)*AF356-ERP_i)*AE356*Ramure*Pc/MaxiM</f>
        <v>0.10420352881833664</v>
      </c>
      <c r="AE356" s="307">
        <f t="shared" si="142"/>
        <v>0.9</v>
      </c>
      <c r="AF356" s="179">
        <f t="shared" si="143"/>
        <v>0.50006955795545527</v>
      </c>
      <c r="AG356" s="839">
        <f t="shared" si="149"/>
        <v>0</v>
      </c>
      <c r="AH356" s="178">
        <f t="shared" si="144"/>
        <v>6</v>
      </c>
      <c r="AI356" s="227">
        <f t="shared" si="145"/>
        <v>0.50006955795545527</v>
      </c>
      <c r="AJ356" s="267" t="b">
        <f t="shared" si="146"/>
        <v>0</v>
      </c>
      <c r="AK356" s="267" t="b">
        <f t="shared" si="147"/>
        <v>0</v>
      </c>
      <c r="AL356" s="267"/>
      <c r="AM356" s="267"/>
      <c r="AN356" s="75"/>
    </row>
    <row r="357" spans="1:40" s="6" customFormat="1" ht="11.25" x14ac:dyDescent="0.2">
      <c r="A357" s="56">
        <f t="shared" si="148"/>
        <v>44904</v>
      </c>
      <c r="B357" s="1141">
        <v>8.0500000000000007</v>
      </c>
      <c r="C357" s="868"/>
      <c r="D357" s="395">
        <f t="shared" si="127"/>
        <v>8.3536403720113643</v>
      </c>
      <c r="E357" s="387">
        <f t="shared" si="125"/>
        <v>8.6360200879170819</v>
      </c>
      <c r="F357" s="387">
        <f t="shared" si="128"/>
        <v>8.9333357522442363</v>
      </c>
      <c r="G357" s="110">
        <f t="shared" si="126"/>
        <v>0.48218823093884966</v>
      </c>
      <c r="H357" s="416" t="b">
        <f>Wh_hp&gt;='2021'!Maxi_hp</f>
        <v>0</v>
      </c>
      <c r="I357" s="382">
        <f>IF(H357,Wh_hp,'2021'!Maxi_hp)</f>
        <v>9.1704580125425537</v>
      </c>
      <c r="J357" s="85">
        <f>IF(H357,An,'2021'!An_max)</f>
        <v>2020</v>
      </c>
      <c r="K357" s="199">
        <f t="shared" si="129"/>
        <v>44904</v>
      </c>
      <c r="L357" s="147">
        <f>IF(t&lt;Tvie,1-EXP((T0-t)*PertePVj)+'2021'!Pspv,1-EXP((T0-t)*PertePVj)+Pspv)</f>
        <v>3.6348269555474433E-2</v>
      </c>
      <c r="M357" s="872"/>
      <c r="N357" s="872"/>
      <c r="O357" s="48">
        <f>IF(t&lt;Tnet,'2021'!Resal+('2021'!Salim-'2021'!Resal)*(1-EXP(('2021'!Tnet-t)/('2021'!Tau_j))),Resal+(Salim-Resal)*(1-EXP((Tnet-t)/(Tau_j))))*Salcycl</f>
        <v>3.2697899383166633E-2</v>
      </c>
      <c r="P357" s="341">
        <f>(INDEX(Models!$BJ357:$BT357,,T357)*(1-R357)+INDEX(Models!$BJ357:$BT357,,T357+1)*R357-ERP_i)*Q357*Ramure*Pc/MaxiM</f>
        <v>0.10539078468497914</v>
      </c>
      <c r="Q357" s="307">
        <f t="shared" si="130"/>
        <v>0.9</v>
      </c>
      <c r="R357" s="179">
        <f t="shared" si="131"/>
        <v>0.50008378219468708</v>
      </c>
      <c r="S357" s="839">
        <f t="shared" si="132"/>
        <v>0</v>
      </c>
      <c r="T357" s="178">
        <f t="shared" si="133"/>
        <v>6</v>
      </c>
      <c r="U357" s="253">
        <f t="shared" si="134"/>
        <v>0.50008378219468708</v>
      </c>
      <c r="V357" s="385">
        <f t="shared" si="135"/>
        <v>15.449436897088871</v>
      </c>
      <c r="W357" s="404">
        <f t="shared" si="136"/>
        <v>0</v>
      </c>
      <c r="X357" s="157">
        <f t="shared" si="137"/>
        <v>44904</v>
      </c>
      <c r="Y357" s="387">
        <f t="shared" si="138"/>
        <v>7.1346147136807172</v>
      </c>
      <c r="Z357" s="387">
        <f t="shared" si="139"/>
        <v>7.4037273926645382</v>
      </c>
      <c r="AA357" s="388">
        <f t="shared" si="140"/>
        <v>8.6360200879170819</v>
      </c>
      <c r="AB357" s="199">
        <f t="shared" si="141"/>
        <v>44904</v>
      </c>
      <c r="AC357" s="119">
        <f>IF(OR(t&lt;Tnet,NoTnet),'2021'!Resal_s+('2021'!Salim-'2021'!Resal_s)*(1-EXP(('2021'!Tnet_s-t)/'2021'!Tau_j)),Resal_s+(Salim-Resal_s)*(1-EXP((Tnet_s-t)/Tau_j)))*Salcycl</f>
        <v>0.14269219880309006</v>
      </c>
      <c r="AD357" s="233">
        <f>(INDEX(Models!$BJ357:$BT357,,AH357)*(1-AF357)+INDEX(Models!$BJ357:$BT357,,AH357+1)*AF357-ERP_i)*AE357*Ramure*Pc/MaxiM</f>
        <v>0.10539078468497914</v>
      </c>
      <c r="AE357" s="307">
        <f t="shared" si="142"/>
        <v>0.9</v>
      </c>
      <c r="AF357" s="179">
        <f t="shared" si="143"/>
        <v>0.50008378219468708</v>
      </c>
      <c r="AG357" s="839">
        <f t="shared" si="149"/>
        <v>0</v>
      </c>
      <c r="AH357" s="178">
        <f t="shared" si="144"/>
        <v>6</v>
      </c>
      <c r="AI357" s="227">
        <f t="shared" si="145"/>
        <v>0.50008378219468708</v>
      </c>
      <c r="AJ357" s="267" t="b">
        <f t="shared" si="146"/>
        <v>0</v>
      </c>
      <c r="AK357" s="267" t="b">
        <f t="shared" si="147"/>
        <v>0</v>
      </c>
      <c r="AL357" s="267"/>
      <c r="AM357" s="267"/>
      <c r="AN357" s="75"/>
    </row>
    <row r="358" spans="1:40" s="6" customFormat="1" ht="11.25" x14ac:dyDescent="0.2">
      <c r="A358" s="56">
        <f t="shared" si="148"/>
        <v>44905</v>
      </c>
      <c r="B358" s="1141">
        <v>11.782</v>
      </c>
      <c r="C358" s="868"/>
      <c r="D358" s="395">
        <f t="shared" si="127"/>
        <v>12.226693335877822</v>
      </c>
      <c r="E358" s="387">
        <f t="shared" si="125"/>
        <v>12.642558362820496</v>
      </c>
      <c r="F358" s="387">
        <f t="shared" si="128"/>
        <v>13.61053070232704</v>
      </c>
      <c r="G358" s="110">
        <f t="shared" si="126"/>
        <v>0.73841854935736051</v>
      </c>
      <c r="H358" s="416" t="b">
        <f>Wh_hp&gt;='2021'!Maxi_hp</f>
        <v>0</v>
      </c>
      <c r="I358" s="382">
        <f>IF(H358,Wh_hp,'2021'!Maxi_hp)</f>
        <v>16.668106879337483</v>
      </c>
      <c r="J358" s="85">
        <f>IF(H358,An,'2021'!An_max)</f>
        <v>2019</v>
      </c>
      <c r="K358" s="199">
        <f t="shared" si="129"/>
        <v>44905</v>
      </c>
      <c r="L358" s="147">
        <f>IF(t&lt;Tvie,1-EXP((T0-t)*PertePVj)+'2021'!Pspv,1-EXP((T0-t)*PertePVj)+Pspv)</f>
        <v>3.6370695139046449E-2</v>
      </c>
      <c r="M358" s="872"/>
      <c r="N358" s="872"/>
      <c r="O358" s="48">
        <f>IF(t&lt;Tnet,'2021'!Resal+('2021'!Salim-'2021'!Resal)*(1-EXP(('2021'!Tnet-t)/('2021'!Tau_j))),Resal+(Salim-Resal)*(1-EXP((Tnet-t)/(Tau_j))))*Salcycl</f>
        <v>3.2894056330058791E-2</v>
      </c>
      <c r="P358" s="341">
        <f>(INDEX(Models!$BJ358:$BT358,,T358)*(1-R358)+INDEX(Models!$BJ358:$BT358,,T358+1)*R358-ERP_i)*Q358*Ramure*Pc/MaxiM</f>
        <v>0.10646056091946693</v>
      </c>
      <c r="Q358" s="307">
        <f t="shared" si="130"/>
        <v>0.9</v>
      </c>
      <c r="R358" s="179">
        <f t="shared" si="131"/>
        <v>0.50009743435804321</v>
      </c>
      <c r="S358" s="839">
        <f t="shared" si="132"/>
        <v>0</v>
      </c>
      <c r="T358" s="178">
        <f t="shared" si="133"/>
        <v>6</v>
      </c>
      <c r="U358" s="253">
        <f t="shared" si="134"/>
        <v>0.50009743435804321</v>
      </c>
      <c r="V358" s="385">
        <f t="shared" si="135"/>
        <v>15.348651989872122</v>
      </c>
      <c r="W358" s="404">
        <f t="shared" si="136"/>
        <v>0</v>
      </c>
      <c r="X358" s="157">
        <f t="shared" si="137"/>
        <v>44905</v>
      </c>
      <c r="Y358" s="387">
        <f t="shared" si="138"/>
        <v>10.443843946525151</v>
      </c>
      <c r="Z358" s="387">
        <f t="shared" si="139"/>
        <v>10.838030655400358</v>
      </c>
      <c r="AA358" s="388">
        <f t="shared" si="140"/>
        <v>12.642558362820496</v>
      </c>
      <c r="AB358" s="199">
        <f t="shared" si="141"/>
        <v>44905</v>
      </c>
      <c r="AC358" s="119">
        <f>IF(OR(t&lt;Tnet,NoTnet),'2021'!Resal_s+('2021'!Salim-'2021'!Resal_s)*(1-EXP(('2021'!Tnet_s-t)/'2021'!Tau_j)),Resal_s+(Salim-Resal_s)*(1-EXP((Tnet_s-t)/Tau_j)))*Salcycl</f>
        <v>0.14273437825107715</v>
      </c>
      <c r="AD358" s="233">
        <f>(INDEX(Models!$BJ358:$BT358,,AH358)*(1-AF358)+INDEX(Models!$BJ358:$BT358,,AH358+1)*AF358-ERP_i)*AE358*Ramure*Pc/MaxiM</f>
        <v>0.10646056091946693</v>
      </c>
      <c r="AE358" s="307">
        <f t="shared" si="142"/>
        <v>0.9</v>
      </c>
      <c r="AF358" s="179">
        <f t="shared" si="143"/>
        <v>0.50009743435804321</v>
      </c>
      <c r="AG358" s="839">
        <f t="shared" si="149"/>
        <v>0</v>
      </c>
      <c r="AH358" s="178">
        <f t="shared" si="144"/>
        <v>6</v>
      </c>
      <c r="AI358" s="227">
        <f t="shared" si="145"/>
        <v>0.50009743435804321</v>
      </c>
      <c r="AJ358" s="267" t="b">
        <f t="shared" si="146"/>
        <v>0</v>
      </c>
      <c r="AK358" s="267" t="b">
        <f t="shared" si="147"/>
        <v>0</v>
      </c>
      <c r="AL358" s="267"/>
      <c r="AM358" s="267"/>
      <c r="AN358" s="75"/>
    </row>
    <row r="359" spans="1:40" s="6" customFormat="1" ht="11.25" x14ac:dyDescent="0.2">
      <c r="A359" s="56">
        <f t="shared" si="148"/>
        <v>44906</v>
      </c>
      <c r="B359" s="1141">
        <v>12.332000000000001</v>
      </c>
      <c r="C359" s="868"/>
      <c r="D359" s="395">
        <f t="shared" si="127"/>
        <v>12.797750056090354</v>
      </c>
      <c r="E359" s="387">
        <f t="shared" si="125"/>
        <v>13.235727098956158</v>
      </c>
      <c r="F359" s="387">
        <f t="shared" si="128"/>
        <v>14.355140506217897</v>
      </c>
      <c r="G359" s="110">
        <f t="shared" si="126"/>
        <v>0.78235363306723427</v>
      </c>
      <c r="H359" s="416" t="b">
        <f>Wh_hp&gt;='2021'!Maxi_hp</f>
        <v>0</v>
      </c>
      <c r="I359" s="382">
        <f>IF(H359,Wh_hp,'2021'!Maxi_hp)</f>
        <v>15.154011286324524</v>
      </c>
      <c r="J359" s="85">
        <f>IF(H359,An,'2021'!An_max)</f>
        <v>2018</v>
      </c>
      <c r="K359" s="199">
        <f t="shared" si="129"/>
        <v>44906</v>
      </c>
      <c r="L359" s="147">
        <f>IF(t&lt;Tvie,1-EXP((T0-t)*PertePVj)+'2021'!Pspv,1-EXP((T0-t)*PertePVj)+Pspv)</f>
        <v>3.6393120200742368E-2</v>
      </c>
      <c r="M359" s="872"/>
      <c r="N359" s="872"/>
      <c r="O359" s="48">
        <f>IF(t&lt;Tnet,'2021'!Resal+('2021'!Salim-'2021'!Resal)*(1-EXP(('2021'!Tnet-t)/('2021'!Tau_j))),Resal+(Salim-Resal)*(1-EXP((Tnet-t)/(Tau_j))))*Salcycl</f>
        <v>3.3090516266412365E-2</v>
      </c>
      <c r="P359" s="341">
        <f>(INDEX(Models!$BJ359:$BT359,,T359)*(1-R359)+INDEX(Models!$BJ359:$BT359,,T359+1)*R359-ERP_i)*Q359*Ramure*Pc/MaxiM</f>
        <v>0.1074194041681297</v>
      </c>
      <c r="Q359" s="307">
        <f t="shared" si="130"/>
        <v>0.9</v>
      </c>
      <c r="R359" s="179">
        <f t="shared" si="131"/>
        <v>0.50011053742902867</v>
      </c>
      <c r="S359" s="839">
        <f t="shared" si="132"/>
        <v>0</v>
      </c>
      <c r="T359" s="178">
        <f t="shared" si="133"/>
        <v>6</v>
      </c>
      <c r="U359" s="253">
        <f t="shared" si="134"/>
        <v>0.50011053742902867</v>
      </c>
      <c r="V359" s="385">
        <f t="shared" si="135"/>
        <v>15.259401398637459</v>
      </c>
      <c r="W359" s="404">
        <f t="shared" si="136"/>
        <v>0</v>
      </c>
      <c r="X359" s="157">
        <f t="shared" si="137"/>
        <v>44906</v>
      </c>
      <c r="Y359" s="387">
        <f t="shared" si="138"/>
        <v>10.933025942596426</v>
      </c>
      <c r="Z359" s="387">
        <f t="shared" si="139"/>
        <v>11.345940104614069</v>
      </c>
      <c r="AA359" s="388">
        <f t="shared" si="140"/>
        <v>13.235727098956158</v>
      </c>
      <c r="AB359" s="199">
        <f t="shared" si="141"/>
        <v>44906</v>
      </c>
      <c r="AC359" s="119">
        <f>IF(OR(t&lt;Tnet,NoTnet),'2021'!Resal_s+('2021'!Salim-'2021'!Resal_s)*(1-EXP(('2021'!Tnet_s-t)/'2021'!Tau_j)),Resal_s+(Salim-Resal_s)*(1-EXP((Tnet_s-t)/Tau_j)))*Salcycl</f>
        <v>0.14277923533880713</v>
      </c>
      <c r="AD359" s="233">
        <f>(INDEX(Models!$BJ359:$BT359,,AH359)*(1-AF359)+INDEX(Models!$BJ359:$BT359,,AH359+1)*AF359-ERP_i)*AE359*Ramure*Pc/MaxiM</f>
        <v>0.1074194041681297</v>
      </c>
      <c r="AE359" s="307">
        <f t="shared" si="142"/>
        <v>0.9</v>
      </c>
      <c r="AF359" s="179">
        <f t="shared" si="143"/>
        <v>0.50011053742902867</v>
      </c>
      <c r="AG359" s="839">
        <f t="shared" si="149"/>
        <v>0</v>
      </c>
      <c r="AH359" s="178">
        <f t="shared" si="144"/>
        <v>6</v>
      </c>
      <c r="AI359" s="227">
        <f t="shared" si="145"/>
        <v>0.50011053742902867</v>
      </c>
      <c r="AJ359" s="267" t="b">
        <f t="shared" si="146"/>
        <v>0</v>
      </c>
      <c r="AK359" s="267" t="b">
        <f t="shared" si="147"/>
        <v>0</v>
      </c>
      <c r="AL359" s="267"/>
      <c r="AM359" s="267"/>
      <c r="AN359" s="75"/>
    </row>
    <row r="360" spans="1:40" s="6" customFormat="1" ht="11.25" x14ac:dyDescent="0.2">
      <c r="A360" s="56">
        <f t="shared" si="148"/>
        <v>44907</v>
      </c>
      <c r="B360" s="1141">
        <v>4.28</v>
      </c>
      <c r="C360" s="868"/>
      <c r="D360" s="395">
        <f t="shared" si="127"/>
        <v>4.4417486984549752</v>
      </c>
      <c r="E360" s="387">
        <f t="shared" si="125"/>
        <v>4.5946934774042676</v>
      </c>
      <c r="F360" s="387">
        <f t="shared" si="128"/>
        <v>4.5946934774042676</v>
      </c>
      <c r="G360" s="110">
        <f t="shared" si="126"/>
        <v>0.25142973243511291</v>
      </c>
      <c r="H360" s="416" t="b">
        <f>Wh_hp&gt;='2021'!Maxi_hp</f>
        <v>0</v>
      </c>
      <c r="I360" s="382">
        <f>IF(H360,Wh_hp,'2021'!Maxi_hp)</f>
        <v>17.813849297428309</v>
      </c>
      <c r="J360" s="85">
        <f>IF(H360,An,'2021'!An_max)</f>
        <v>2021</v>
      </c>
      <c r="K360" s="199">
        <f t="shared" si="129"/>
        <v>44907</v>
      </c>
      <c r="L360" s="147">
        <f>IF(t&lt;Tvie,1-EXP((T0-t)*PertePVj)+'2021'!Pspv,1-EXP((T0-t)*PertePVj)+Pspv)</f>
        <v>3.6415544740574401E-2</v>
      </c>
      <c r="M360" s="872"/>
      <c r="N360" s="872"/>
      <c r="O360" s="48">
        <f>IF(t&lt;Tnet,'2021'!Resal+('2021'!Salim-'2021'!Resal)*(1-EXP(('2021'!Tnet-t)/('2021'!Tau_j))),Resal+(Salim-Resal)*(1-EXP((Tnet-t)/(Tau_j))))*Salcycl</f>
        <v>3.3287264907102529E-2</v>
      </c>
      <c r="P360" s="341">
        <f>(INDEX(Models!$BJ360:$BT360,,T360)*(1-R360)+INDEX(Models!$BJ360:$BT360,,T360+1)*R360-ERP_i)*Q360*Ramure*Pc/MaxiM</f>
        <v>0.10827828595453982</v>
      </c>
      <c r="Q360" s="307">
        <f t="shared" si="130"/>
        <v>0.9</v>
      </c>
      <c r="R360" s="179">
        <f t="shared" si="131"/>
        <v>0.5001231134697014</v>
      </c>
      <c r="S360" s="839">
        <f t="shared" si="132"/>
        <v>0</v>
      </c>
      <c r="T360" s="178">
        <f t="shared" si="133"/>
        <v>6</v>
      </c>
      <c r="U360" s="253">
        <f t="shared" si="134"/>
        <v>0.5001231134697014</v>
      </c>
      <c r="V360" s="385">
        <f t="shared" si="135"/>
        <v>15.179465448063191</v>
      </c>
      <c r="W360" s="404">
        <f t="shared" si="136"/>
        <v>0</v>
      </c>
      <c r="X360" s="157">
        <f t="shared" si="137"/>
        <v>44907</v>
      </c>
      <c r="Y360" s="387">
        <f t="shared" si="138"/>
        <v>3.7950279986266353</v>
      </c>
      <c r="Z360" s="387">
        <f t="shared" si="139"/>
        <v>3.9384487554906653</v>
      </c>
      <c r="AA360" s="388">
        <f t="shared" si="140"/>
        <v>4.5946934774042676</v>
      </c>
      <c r="AB360" s="199">
        <f t="shared" si="141"/>
        <v>44907</v>
      </c>
      <c r="AC360" s="119">
        <f>IF(OR(t&lt;Tnet,NoTnet),'2021'!Resal_s+('2021'!Salim-'2021'!Resal_s)*(1-EXP(('2021'!Tnet_s-t)/'2021'!Tau_j)),Resal_s+(Salim-Resal_s)*(1-EXP((Tnet_s-t)/Tau_j)))*Salcycl</f>
        <v>0.14282665974147679</v>
      </c>
      <c r="AD360" s="233">
        <f>(INDEX(Models!$BJ360:$BT360,,AH360)*(1-AF360)+INDEX(Models!$BJ360:$BT360,,AH360+1)*AF360-ERP_i)*AE360*Ramure*Pc/MaxiM</f>
        <v>0.10827828595453982</v>
      </c>
      <c r="AE360" s="307">
        <f t="shared" si="142"/>
        <v>0.9</v>
      </c>
      <c r="AF360" s="179">
        <f t="shared" si="143"/>
        <v>0.5001231134697014</v>
      </c>
      <c r="AG360" s="839">
        <f t="shared" si="149"/>
        <v>0</v>
      </c>
      <c r="AH360" s="178">
        <f t="shared" si="144"/>
        <v>6</v>
      </c>
      <c r="AI360" s="227">
        <f t="shared" si="145"/>
        <v>0.5001231134697014</v>
      </c>
      <c r="AJ360" s="267" t="b">
        <f t="shared" si="146"/>
        <v>0</v>
      </c>
      <c r="AK360" s="267" t="b">
        <f t="shared" si="147"/>
        <v>0</v>
      </c>
      <c r="AL360" s="267"/>
      <c r="AM360" s="267"/>
      <c r="AN360" s="75"/>
    </row>
    <row r="361" spans="1:40" s="6" customFormat="1" ht="11.25" x14ac:dyDescent="0.2">
      <c r="A361" s="56">
        <f t="shared" si="148"/>
        <v>44908</v>
      </c>
      <c r="B361" s="1141">
        <v>5.149</v>
      </c>
      <c r="C361" s="868"/>
      <c r="D361" s="395">
        <f t="shared" si="127"/>
        <v>5.3437140869551181</v>
      </c>
      <c r="E361" s="387">
        <f t="shared" ref="E361:E379" si="150">Wh_pvt/(1-Psa)</f>
        <v>5.5288434648950497</v>
      </c>
      <c r="F361" s="387">
        <f t="shared" si="128"/>
        <v>5.5642000176160842</v>
      </c>
      <c r="G361" s="110">
        <f t="shared" ref="G361:G379" si="151">+Wh_hp/MaxiM</f>
        <v>0.3055751697891394</v>
      </c>
      <c r="H361" s="416" t="b">
        <f>Wh_hp&gt;='2021'!Maxi_hp</f>
        <v>0</v>
      </c>
      <c r="I361" s="382">
        <f>IF(H361,Wh_hp,'2021'!Maxi_hp)</f>
        <v>18.138305430753984</v>
      </c>
      <c r="J361" s="85">
        <f>IF(H361,An,'2021'!An_max)</f>
        <v>2021</v>
      </c>
      <c r="K361" s="199">
        <f t="shared" si="129"/>
        <v>44908</v>
      </c>
      <c r="L361" s="147">
        <f>IF(t&lt;Tvie,1-EXP((T0-t)*PertePVj)+'2021'!Pspv,1-EXP((T0-t)*PertePVj)+Pspv)</f>
        <v>3.643796875855454E-2</v>
      </c>
      <c r="M361" s="872"/>
      <c r="N361" s="872"/>
      <c r="O361" s="48">
        <f>IF(t&lt;Tnet,'2021'!Resal+('2021'!Salim-'2021'!Resal)*(1-EXP(('2021'!Tnet-t)/('2021'!Tau_j))),Resal+(Salim-Resal)*(1-EXP((Tnet-t)/(Tau_j))))*Salcycl</f>
        <v>3.3484286382024733E-2</v>
      </c>
      <c r="P361" s="341">
        <f>(INDEX(Models!$BJ361:$BT361,,T361)*(1-R361)+INDEX(Models!$BJ361:$BT361,,T361+1)*R361-ERP_i)*Q361*Ramure*Pc/MaxiM</f>
        <v>0.10903844379060194</v>
      </c>
      <c r="Q361" s="307">
        <f t="shared" si="130"/>
        <v>0.9</v>
      </c>
      <c r="R361" s="179">
        <f t="shared" si="131"/>
        <v>0.50013518365746168</v>
      </c>
      <c r="S361" s="839">
        <f t="shared" si="132"/>
        <v>0</v>
      </c>
      <c r="T361" s="178">
        <f t="shared" si="133"/>
        <v>6</v>
      </c>
      <c r="U361" s="253">
        <f t="shared" si="134"/>
        <v>0.50013518365746168</v>
      </c>
      <c r="V361" s="385">
        <f t="shared" si="135"/>
        <v>15.108878696246451</v>
      </c>
      <c r="W361" s="404">
        <f t="shared" si="136"/>
        <v>0</v>
      </c>
      <c r="X361" s="157">
        <f t="shared" si="137"/>
        <v>44908</v>
      </c>
      <c r="Y361" s="387">
        <f t="shared" si="138"/>
        <v>4.5662255135820962</v>
      </c>
      <c r="Z361" s="387">
        <f t="shared" si="139"/>
        <v>4.7389014568154044</v>
      </c>
      <c r="AA361" s="388">
        <f t="shared" si="140"/>
        <v>5.5288434648950497</v>
      </c>
      <c r="AB361" s="199">
        <f t="shared" si="141"/>
        <v>44908</v>
      </c>
      <c r="AC361" s="119">
        <f>IF(OR(t&lt;Tnet,NoTnet),'2021'!Resal_s+('2021'!Salim-'2021'!Resal_s)*(1-EXP(('2021'!Tnet_s-t)/'2021'!Tau_j)),Resal_s+(Salim-Resal_s)*(1-EXP((Tnet_s-t)/Tau_j)))*Salcycl</f>
        <v>0.14287653703623901</v>
      </c>
      <c r="AD361" s="233">
        <f>(INDEX(Models!$BJ361:$BT361,,AH361)*(1-AF361)+INDEX(Models!$BJ361:$BT361,,AH361+1)*AF361-ERP_i)*AE361*Ramure*Pc/MaxiM</f>
        <v>0.10903844379060194</v>
      </c>
      <c r="AE361" s="307">
        <f t="shared" si="142"/>
        <v>0.9</v>
      </c>
      <c r="AF361" s="179">
        <f t="shared" si="143"/>
        <v>0.50013518365746168</v>
      </c>
      <c r="AG361" s="839">
        <f t="shared" si="149"/>
        <v>0</v>
      </c>
      <c r="AH361" s="178">
        <f t="shared" si="144"/>
        <v>6</v>
      </c>
      <c r="AI361" s="227">
        <f t="shared" si="145"/>
        <v>0.50013518365746168</v>
      </c>
      <c r="AJ361" s="267" t="b">
        <f t="shared" si="146"/>
        <v>0</v>
      </c>
      <c r="AK361" s="267" t="b">
        <f t="shared" si="147"/>
        <v>0</v>
      </c>
      <c r="AL361" s="267"/>
      <c r="AM361" s="267"/>
      <c r="AN361" s="75"/>
    </row>
    <row r="362" spans="1:40" s="6" customFormat="1" ht="11.25" x14ac:dyDescent="0.2">
      <c r="A362" s="56">
        <f t="shared" si="148"/>
        <v>44909</v>
      </c>
      <c r="B362" s="1141">
        <v>12.117000000000001</v>
      </c>
      <c r="C362" s="868"/>
      <c r="D362" s="395">
        <f t="shared" si="127"/>
        <v>12.575507952759656</v>
      </c>
      <c r="E362" s="387">
        <f t="shared" si="150"/>
        <v>13.01383423573294</v>
      </c>
      <c r="F362" s="387">
        <f t="shared" si="128"/>
        <v>14.132810262210887</v>
      </c>
      <c r="G362" s="110">
        <f t="shared" si="151"/>
        <v>0.77854663230644516</v>
      </c>
      <c r="H362" s="416" t="b">
        <f>Wh_hp&gt;='2021'!Maxi_hp</f>
        <v>0</v>
      </c>
      <c r="I362" s="382">
        <f>IF(H362,Wh_hp,'2021'!Maxi_hp)</f>
        <v>18.109392366943464</v>
      </c>
      <c r="J362" s="85">
        <f>IF(H362,An,'2021'!An_max)</f>
        <v>2021</v>
      </c>
      <c r="K362" s="199">
        <f t="shared" si="129"/>
        <v>44909</v>
      </c>
      <c r="L362" s="147">
        <f>IF(t&lt;Tvie,1-EXP((T0-t)*PertePVj)+'2021'!Pspv,1-EXP((T0-t)*PertePVj)+Pspv)</f>
        <v>3.6460392254695106E-2</v>
      </c>
      <c r="M362" s="872"/>
      <c r="N362" s="872"/>
      <c r="O362" s="48">
        <f>IF(t&lt;Tnet,'2021'!Resal+('2021'!Salim-'2021'!Resal)*(1-EXP(('2021'!Tnet-t)/('2021'!Tau_j))),Resal+(Salim-Resal)*(1-EXP((Tnet-t)/(Tau_j))))*Salcycl</f>
        <v>3.3681563406558701E-2</v>
      </c>
      <c r="P362" s="341">
        <f>(INDEX(Models!$BJ362:$BT362,,T362)*(1-R362)+INDEX(Models!$BJ362:$BT362,,T362+1)*R362-ERP_i)*Q362*Ramure*Pc/MaxiM</f>
        <v>0.10969714616767072</v>
      </c>
      <c r="Q362" s="307">
        <f t="shared" si="130"/>
        <v>0.9</v>
      </c>
      <c r="R362" s="179">
        <f t="shared" si="131"/>
        <v>0.50014676832038618</v>
      </c>
      <c r="S362" s="839">
        <f t="shared" si="132"/>
        <v>0</v>
      </c>
      <c r="T362" s="178">
        <f t="shared" si="133"/>
        <v>6</v>
      </c>
      <c r="U362" s="253">
        <f t="shared" si="134"/>
        <v>0.50014676832038618</v>
      </c>
      <c r="V362" s="385">
        <f t="shared" si="135"/>
        <v>15.047747694422062</v>
      </c>
      <c r="W362" s="404">
        <f t="shared" si="136"/>
        <v>0</v>
      </c>
      <c r="X362" s="157">
        <f t="shared" si="137"/>
        <v>44909</v>
      </c>
      <c r="Y362" s="387">
        <f t="shared" si="138"/>
        <v>10.747111871982364</v>
      </c>
      <c r="Z362" s="387">
        <f t="shared" si="139"/>
        <v>11.15378318191895</v>
      </c>
      <c r="AA362" s="388">
        <f t="shared" si="140"/>
        <v>13.01383423573294</v>
      </c>
      <c r="AB362" s="199">
        <f t="shared" si="141"/>
        <v>44909</v>
      </c>
      <c r="AC362" s="119">
        <f>IF(OR(t&lt;Tnet,NoTnet),'2021'!Resal_s+('2021'!Salim-'2021'!Resal_s)*(1-EXP(('2021'!Tnet_s-t)/'2021'!Tau_j)),Resal_s+(Salim-Resal_s)*(1-EXP((Tnet_s-t)/Tau_j)))*Salcycl</f>
        <v>0.14292874952308252</v>
      </c>
      <c r="AD362" s="233">
        <f>(INDEX(Models!$BJ362:$BT362,,AH362)*(1-AF362)+INDEX(Models!$BJ362:$BT362,,AH362+1)*AF362-ERP_i)*AE362*Ramure*Pc/MaxiM</f>
        <v>0.10969714616767072</v>
      </c>
      <c r="AE362" s="307">
        <f t="shared" si="142"/>
        <v>0.9</v>
      </c>
      <c r="AF362" s="179">
        <f t="shared" si="143"/>
        <v>0.50014676832038618</v>
      </c>
      <c r="AG362" s="839">
        <f t="shared" si="149"/>
        <v>0</v>
      </c>
      <c r="AH362" s="178">
        <f t="shared" si="144"/>
        <v>6</v>
      </c>
      <c r="AI362" s="227">
        <f t="shared" si="145"/>
        <v>0.50014676832038618</v>
      </c>
      <c r="AJ362" s="267" t="b">
        <f t="shared" si="146"/>
        <v>0</v>
      </c>
      <c r="AK362" s="267" t="b">
        <f t="shared" si="147"/>
        <v>0</v>
      </c>
      <c r="AL362" s="267"/>
      <c r="AM362" s="267"/>
      <c r="AN362" s="75"/>
    </row>
    <row r="363" spans="1:40" s="6" customFormat="1" ht="11.25" x14ac:dyDescent="0.2">
      <c r="A363" s="56">
        <f t="shared" si="148"/>
        <v>44910</v>
      </c>
      <c r="B363" s="1141">
        <v>5.9379999999999997</v>
      </c>
      <c r="C363" s="868"/>
      <c r="D363" s="395">
        <f t="shared" si="127"/>
        <v>6.162837667925289</v>
      </c>
      <c r="E363" s="387">
        <f t="shared" si="150"/>
        <v>6.3789506304344528</v>
      </c>
      <c r="F363" s="387">
        <f t="shared" si="128"/>
        <v>6.4768491716256165</v>
      </c>
      <c r="G363" s="110">
        <f t="shared" si="151"/>
        <v>0.35771832256498437</v>
      </c>
      <c r="H363" s="416" t="b">
        <f>Wh_hp&gt;='2021'!Maxi_hp</f>
        <v>0</v>
      </c>
      <c r="I363" s="382">
        <f>IF(H363,Wh_hp,'2021'!Maxi_hp)</f>
        <v>17.774835996132822</v>
      </c>
      <c r="J363" s="85">
        <f>IF(H363,An,'2021'!An_max)</f>
        <v>2019</v>
      </c>
      <c r="K363" s="199">
        <f t="shared" si="129"/>
        <v>44910</v>
      </c>
      <c r="L363" s="147">
        <f>IF(t&lt;Tvie,1-EXP((T0-t)*PertePVj)+'2021'!Pspv,1-EXP((T0-t)*PertePVj)+Pspv)</f>
        <v>3.6482815229008092E-2</v>
      </c>
      <c r="M363" s="872"/>
      <c r="N363" s="872"/>
      <c r="O363" s="48">
        <f>IF(t&lt;Tnet,'2021'!Resal+('2021'!Salim-'2021'!Resal)*(1-EXP(('2021'!Tnet-t)/('2021'!Tau_j))),Resal+(Salim-Resal)*(1-EXP((Tnet-t)/(Tau_j))))*Salcycl</f>
        <v>3.3879077457987038E-2</v>
      </c>
      <c r="P363" s="341">
        <f>(INDEX(Models!$BJ363:$BT363,,T363)*(1-R363)+INDEX(Models!$BJ363:$BT363,,T363+1)*R363-ERP_i)*Q363*Ramure*Pc/MaxiM</f>
        <v>0.11025191355347101</v>
      </c>
      <c r="Q363" s="307">
        <f t="shared" si="130"/>
        <v>0.9</v>
      </c>
      <c r="R363" s="179">
        <f t="shared" si="131"/>
        <v>0.50015788697116026</v>
      </c>
      <c r="S363" s="839">
        <f t="shared" si="132"/>
        <v>0</v>
      </c>
      <c r="T363" s="178">
        <f t="shared" si="133"/>
        <v>6</v>
      </c>
      <c r="U363" s="253">
        <f t="shared" si="134"/>
        <v>0.50015788697116026</v>
      </c>
      <c r="V363" s="385">
        <f t="shared" si="135"/>
        <v>14.996178907689847</v>
      </c>
      <c r="W363" s="404">
        <f t="shared" si="136"/>
        <v>0</v>
      </c>
      <c r="X363" s="157">
        <f t="shared" si="137"/>
        <v>44910</v>
      </c>
      <c r="Y363" s="387">
        <f t="shared" si="138"/>
        <v>5.2674212678542363</v>
      </c>
      <c r="Z363" s="387">
        <f t="shared" si="139"/>
        <v>5.4668680030924337</v>
      </c>
      <c r="AA363" s="388">
        <f t="shared" si="140"/>
        <v>6.3789506304344528</v>
      </c>
      <c r="AB363" s="199">
        <f t="shared" si="141"/>
        <v>44910</v>
      </c>
      <c r="AC363" s="119">
        <f>IF(OR(t&lt;Tnet,NoTnet),'2021'!Resal_s+('2021'!Salim-'2021'!Resal_s)*(1-EXP(('2021'!Tnet_s-t)/'2021'!Tau_j)),Resal_s+(Salim-Resal_s)*(1-EXP((Tnet_s-t)/Tau_j)))*Salcycl</f>
        <v>0.14298317704332184</v>
      </c>
      <c r="AD363" s="233">
        <f>(INDEX(Models!$BJ363:$BT363,,AH363)*(1-AF363)+INDEX(Models!$BJ363:$BT363,,AH363+1)*AF363-ERP_i)*AE363*Ramure*Pc/MaxiM</f>
        <v>0.11025191355347101</v>
      </c>
      <c r="AE363" s="307">
        <f t="shared" si="142"/>
        <v>0.9</v>
      </c>
      <c r="AF363" s="179">
        <f t="shared" si="143"/>
        <v>0.50015788697116026</v>
      </c>
      <c r="AG363" s="839">
        <f t="shared" si="149"/>
        <v>0</v>
      </c>
      <c r="AH363" s="178">
        <f t="shared" si="144"/>
        <v>6</v>
      </c>
      <c r="AI363" s="227">
        <f t="shared" si="145"/>
        <v>0.50015788697116026</v>
      </c>
      <c r="AJ363" s="267" t="b">
        <f t="shared" si="146"/>
        <v>0</v>
      </c>
      <c r="AK363" s="267" t="b">
        <f t="shared" si="147"/>
        <v>0</v>
      </c>
      <c r="AL363" s="267"/>
      <c r="AM363" s="267"/>
      <c r="AN363" s="75"/>
    </row>
    <row r="364" spans="1:40" s="6" customFormat="1" ht="11.25" x14ac:dyDescent="0.2">
      <c r="A364" s="56">
        <f t="shared" si="148"/>
        <v>44911</v>
      </c>
      <c r="B364" s="1141">
        <v>5.2410000000000005</v>
      </c>
      <c r="C364" s="868"/>
      <c r="D364" s="395">
        <f t="shared" si="127"/>
        <v>5.4395729016610135</v>
      </c>
      <c r="E364" s="387">
        <f t="shared" si="150"/>
        <v>5.6314756205237142</v>
      </c>
      <c r="F364" s="387">
        <f t="shared" si="128"/>
        <v>5.6767833530081768</v>
      </c>
      <c r="G364" s="110">
        <f t="shared" si="151"/>
        <v>0.31417876519811733</v>
      </c>
      <c r="H364" s="416" t="b">
        <f>Wh_hp&gt;='2021'!Maxi_hp</f>
        <v>0</v>
      </c>
      <c r="I364" s="382">
        <f>IF(H364,Wh_hp,'2021'!Maxi_hp)</f>
        <v>17.653857308333976</v>
      </c>
      <c r="J364" s="85">
        <f>IF(H364,An,'2021'!An_max)</f>
        <v>2021</v>
      </c>
      <c r="K364" s="199">
        <f t="shared" si="129"/>
        <v>44911</v>
      </c>
      <c r="L364" s="147">
        <f>IF(t&lt;Tvie,1-EXP((T0-t)*PertePVj)+'2021'!Pspv,1-EXP((T0-t)*PertePVj)+Pspv)</f>
        <v>3.6505237681505709E-2</v>
      </c>
      <c r="M364" s="872"/>
      <c r="N364" s="872"/>
      <c r="O364" s="48">
        <f>IF(t&lt;Tnet,'2021'!Resal+('2021'!Salim-'2021'!Resal)*(1-EXP(('2021'!Tnet-t)/('2021'!Tau_j))),Resal+(Salim-Resal)*(1-EXP((Tnet-t)/(Tau_j))))*Salcycl</f>
        <v>3.4076808956309337E-2</v>
      </c>
      <c r="P364" s="341">
        <f>(INDEX(Models!$BJ364:$BT364,,T364)*(1-R364)+INDEX(Models!$BJ364:$BT364,,T364+1)*R364-ERP_i)*Q364*Ramure*Pc/MaxiM</f>
        <v>0.11070054097593852</v>
      </c>
      <c r="Q364" s="307">
        <f t="shared" si="130"/>
        <v>0.9</v>
      </c>
      <c r="R364" s="179">
        <f t="shared" si="131"/>
        <v>0.50016855833966622</v>
      </c>
      <c r="S364" s="839">
        <f t="shared" si="132"/>
        <v>0</v>
      </c>
      <c r="T364" s="178">
        <f t="shared" si="133"/>
        <v>6</v>
      </c>
      <c r="U364" s="253">
        <f t="shared" si="134"/>
        <v>0.50016855833966622</v>
      </c>
      <c r="V364" s="385">
        <f t="shared" si="135"/>
        <v>14.954278735627787</v>
      </c>
      <c r="W364" s="404">
        <f t="shared" si="136"/>
        <v>0</v>
      </c>
      <c r="X364" s="157">
        <f t="shared" si="137"/>
        <v>44911</v>
      </c>
      <c r="Y364" s="387">
        <f t="shared" si="138"/>
        <v>4.6497785595483201</v>
      </c>
      <c r="Z364" s="387">
        <f t="shared" si="139"/>
        <v>4.8259510496552984</v>
      </c>
      <c r="AA364" s="388">
        <f t="shared" si="140"/>
        <v>5.6314756205237142</v>
      </c>
      <c r="AB364" s="199">
        <f t="shared" si="141"/>
        <v>44911</v>
      </c>
      <c r="AC364" s="119">
        <f>IF(OR(t&lt;Tnet,NoTnet),'2021'!Resal_s+('2021'!Salim-'2021'!Resal_s)*(1-EXP(('2021'!Tnet_s-t)/'2021'!Tau_j)),Resal_s+(Salim-Resal_s)*(1-EXP((Tnet_s-t)/Tau_j)))*Salcycl</f>
        <v>0.14303969778945852</v>
      </c>
      <c r="AD364" s="233">
        <f>(INDEX(Models!$BJ364:$BT364,,AH364)*(1-AF364)+INDEX(Models!$BJ364:$BT364,,AH364+1)*AF364-ERP_i)*AE364*Ramure*Pc/MaxiM</f>
        <v>0.11070054097593852</v>
      </c>
      <c r="AE364" s="307">
        <f t="shared" si="142"/>
        <v>0.9</v>
      </c>
      <c r="AF364" s="179">
        <f t="shared" si="143"/>
        <v>0.50016855833966622</v>
      </c>
      <c r="AG364" s="839">
        <f t="shared" si="149"/>
        <v>0</v>
      </c>
      <c r="AH364" s="178">
        <f t="shared" si="144"/>
        <v>6</v>
      </c>
      <c r="AI364" s="227">
        <f t="shared" si="145"/>
        <v>0.50016855833966622</v>
      </c>
      <c r="AJ364" s="267" t="b">
        <f t="shared" si="146"/>
        <v>0</v>
      </c>
      <c r="AK364" s="267" t="b">
        <f t="shared" si="147"/>
        <v>0</v>
      </c>
      <c r="AL364" s="267"/>
      <c r="AM364" s="267"/>
      <c r="AN364" s="75"/>
    </row>
    <row r="365" spans="1:40" s="6" customFormat="1" ht="11.25" x14ac:dyDescent="0.2">
      <c r="A365" s="56">
        <f t="shared" si="148"/>
        <v>44912</v>
      </c>
      <c r="B365" s="1141">
        <v>3.2469999999999999</v>
      </c>
      <c r="C365" s="868"/>
      <c r="D365" s="395">
        <f t="shared" si="127"/>
        <v>3.3701019363909035</v>
      </c>
      <c r="E365" s="387">
        <f t="shared" si="150"/>
        <v>3.4897108598823414</v>
      </c>
      <c r="F365" s="387">
        <f t="shared" si="128"/>
        <v>3.4897108598823414</v>
      </c>
      <c r="G365" s="110">
        <f t="shared" si="151"/>
        <v>0.19343384188135612</v>
      </c>
      <c r="H365" s="416" t="b">
        <f>Wh_hp&gt;='2021'!Maxi_hp</f>
        <v>0</v>
      </c>
      <c r="I365" s="382">
        <f>IF(H365,Wh_hp,'2021'!Maxi_hp)</f>
        <v>17.652836359239622</v>
      </c>
      <c r="J365" s="85">
        <f>IF(H365,An,'2021'!An_max)</f>
        <v>2021</v>
      </c>
      <c r="K365" s="199">
        <f t="shared" si="129"/>
        <v>44912</v>
      </c>
      <c r="L365" s="147">
        <f>IF(t&lt;Tvie,1-EXP((T0-t)*PertePVj)+'2021'!Pspv,1-EXP((T0-t)*PertePVj)+Pspv)</f>
        <v>3.652765961220017E-2</v>
      </c>
      <c r="M365" s="872"/>
      <c r="N365" s="872"/>
      <c r="O365" s="48">
        <f>IF(t&lt;Tnet,'2021'!Resal+('2021'!Salim-'2021'!Resal)*(1-EXP(('2021'!Tnet-t)/('2021'!Tau_j))),Resal+(Salim-Resal)*(1-EXP((Tnet-t)/(Tau_j))))*Salcycl</f>
        <v>3.4274737447867146E-2</v>
      </c>
      <c r="P365" s="341">
        <f>(INDEX(Models!$BJ365:$BT365,,T365)*(1-R365)+INDEX(Models!$BJ365:$BT365,,T365+1)*R365-ERP_i)*Q365*Ramure*Pc/MaxiM</f>
        <v>0.11104111923270871</v>
      </c>
      <c r="Q365" s="307">
        <f t="shared" si="130"/>
        <v>0.9</v>
      </c>
      <c r="R365" s="179">
        <f t="shared" si="131"/>
        <v>0.50017880040427776</v>
      </c>
      <c r="S365" s="839">
        <f t="shared" si="132"/>
        <v>0</v>
      </c>
      <c r="T365" s="178">
        <f t="shared" si="133"/>
        <v>6</v>
      </c>
      <c r="U365" s="253">
        <f t="shared" si="134"/>
        <v>0.50017880040427776</v>
      </c>
      <c r="V365" s="385">
        <f t="shared" si="135"/>
        <v>14.922153526898448</v>
      </c>
      <c r="W365" s="404">
        <f t="shared" si="136"/>
        <v>0</v>
      </c>
      <c r="X365" s="157">
        <f t="shared" si="137"/>
        <v>44912</v>
      </c>
      <c r="Y365" s="387">
        <f t="shared" si="138"/>
        <v>2.8811094499466878</v>
      </c>
      <c r="Z365" s="387">
        <f t="shared" si="139"/>
        <v>2.9903395553493883</v>
      </c>
      <c r="AA365" s="388">
        <f t="shared" si="140"/>
        <v>3.4897108598823414</v>
      </c>
      <c r="AB365" s="199">
        <f t="shared" si="141"/>
        <v>44912</v>
      </c>
      <c r="AC365" s="119">
        <f>IF(OR(t&lt;Tnet,NoTnet),'2021'!Resal_s+('2021'!Salim-'2021'!Resal_s)*(1-EXP(('2021'!Tnet_s-t)/'2021'!Tau_j)),Resal_s+(Salim-Resal_s)*(1-EXP((Tnet_s-t)/Tau_j)))*Salcycl</f>
        <v>0.14309818910033986</v>
      </c>
      <c r="AD365" s="233">
        <f>(INDEX(Models!$BJ365:$BT365,,AH365)*(1-AF365)+INDEX(Models!$BJ365:$BT365,,AH365+1)*AF365-ERP_i)*AE365*Ramure*Pc/MaxiM</f>
        <v>0.11104111923270871</v>
      </c>
      <c r="AE365" s="307">
        <f t="shared" si="142"/>
        <v>0.9</v>
      </c>
      <c r="AF365" s="179">
        <f t="shared" si="143"/>
        <v>0.50017880040427776</v>
      </c>
      <c r="AG365" s="839">
        <f t="shared" si="149"/>
        <v>0</v>
      </c>
      <c r="AH365" s="178">
        <f t="shared" si="144"/>
        <v>6</v>
      </c>
      <c r="AI365" s="227">
        <f t="shared" si="145"/>
        <v>0.50017880040427776</v>
      </c>
      <c r="AJ365" s="267" t="b">
        <f t="shared" si="146"/>
        <v>0</v>
      </c>
      <c r="AK365" s="267" t="b">
        <f t="shared" si="147"/>
        <v>0</v>
      </c>
      <c r="AL365" s="267"/>
      <c r="AM365" s="267"/>
      <c r="AN365" s="75"/>
    </row>
    <row r="366" spans="1:40" s="6" customFormat="1" ht="11.25" x14ac:dyDescent="0.2">
      <c r="A366" s="56">
        <f t="shared" si="148"/>
        <v>44913</v>
      </c>
      <c r="B366" s="1141">
        <v>12.638</v>
      </c>
      <c r="C366" s="868"/>
      <c r="D366" s="395">
        <f t="shared" si="127"/>
        <v>13.117443627370136</v>
      </c>
      <c r="E366" s="387">
        <f t="shared" si="150"/>
        <v>13.585784217288346</v>
      </c>
      <c r="F366" s="387">
        <f t="shared" si="128"/>
        <v>14.882496859879229</v>
      </c>
      <c r="G366" s="110">
        <f t="shared" si="151"/>
        <v>0.82576152058403141</v>
      </c>
      <c r="H366" s="416" t="b">
        <f>Wh_hp&gt;='2021'!Maxi_hp</f>
        <v>0</v>
      </c>
      <c r="I366" s="382">
        <f>IF(H366,Wh_hp,'2021'!Maxi_hp)</f>
        <v>18.053067103991125</v>
      </c>
      <c r="J366" s="85">
        <f>IF(H366,An,'2021'!An_max)</f>
        <v>2021</v>
      </c>
      <c r="K366" s="199">
        <f t="shared" si="129"/>
        <v>44913</v>
      </c>
      <c r="L366" s="147">
        <f>IF(t&lt;Tvie,1-EXP((T0-t)*PertePVj)+'2021'!Pspv,1-EXP((T0-t)*PertePVj)+Pspv)</f>
        <v>3.6550081021103464E-2</v>
      </c>
      <c r="M366" s="872"/>
      <c r="N366" s="872"/>
      <c r="O366" s="48">
        <f>IF(t&lt;Tnet,'2021'!Resal+('2021'!Salim-'2021'!Resal)*(1-EXP(('2021'!Tnet-t)/('2021'!Tau_j))),Resal+(Salim-Resal)*(1-EXP((Tnet-t)/(Tau_j))))*Salcycl</f>
        <v>3.4472841790187565E-2</v>
      </c>
      <c r="P366" s="341">
        <f>(INDEX(Models!$BJ366:$BT366,,T366)*(1-R366)+INDEX(Models!$BJ366:$BT366,,T366+1)*R366-ERP_i)*Q366*Ramure*Pc/MaxiM</f>
        <v>0.11126053789663151</v>
      </c>
      <c r="Q366" s="307">
        <f t="shared" si="130"/>
        <v>0.9</v>
      </c>
      <c r="R366" s="179">
        <f t="shared" si="131"/>
        <v>0.50018863042191242</v>
      </c>
      <c r="S366" s="839">
        <f t="shared" si="132"/>
        <v>0</v>
      </c>
      <c r="T366" s="178">
        <f t="shared" si="133"/>
        <v>6</v>
      </c>
      <c r="U366" s="253">
        <f t="shared" si="134"/>
        <v>0.50018863042191242</v>
      </c>
      <c r="V366" s="385">
        <f t="shared" si="135"/>
        <v>14.900102672678795</v>
      </c>
      <c r="W366" s="404">
        <f t="shared" si="136"/>
        <v>0</v>
      </c>
      <c r="X366" s="157">
        <f t="shared" si="137"/>
        <v>44913</v>
      </c>
      <c r="Y366" s="387">
        <f t="shared" si="138"/>
        <v>11.215388845440811</v>
      </c>
      <c r="Z366" s="387">
        <f t="shared" si="139"/>
        <v>11.640863343812761</v>
      </c>
      <c r="AA366" s="388">
        <f t="shared" si="140"/>
        <v>13.585784217288346</v>
      </c>
      <c r="AB366" s="199">
        <f t="shared" si="141"/>
        <v>44913</v>
      </c>
      <c r="AC366" s="119">
        <f>IF(OR(t&lt;Tnet,NoTnet),'2021'!Resal_s+('2021'!Salim-'2021'!Resal_s)*(1-EXP(('2021'!Tnet_s-t)/'2021'!Tau_j)),Resal_s+(Salim-Resal_s)*(1-EXP((Tnet_s-t)/Tau_j)))*Salcycl</f>
        <v>0.14315852823575773</v>
      </c>
      <c r="AD366" s="233">
        <f>(INDEX(Models!$BJ366:$BT366,,AH366)*(1-AF366)+INDEX(Models!$BJ366:$BT366,,AH366+1)*AF366-ERP_i)*AE366*Ramure*Pc/MaxiM</f>
        <v>0.11126053789663151</v>
      </c>
      <c r="AE366" s="307">
        <f t="shared" si="142"/>
        <v>0.9</v>
      </c>
      <c r="AF366" s="179">
        <f t="shared" si="143"/>
        <v>0.50018863042191242</v>
      </c>
      <c r="AG366" s="839">
        <f t="shared" si="149"/>
        <v>0</v>
      </c>
      <c r="AH366" s="178">
        <f t="shared" si="144"/>
        <v>6</v>
      </c>
      <c r="AI366" s="227">
        <f t="shared" si="145"/>
        <v>0.50018863042191242</v>
      </c>
      <c r="AJ366" s="267" t="b">
        <f t="shared" si="146"/>
        <v>0</v>
      </c>
      <c r="AK366" s="267" t="b">
        <f t="shared" si="147"/>
        <v>0</v>
      </c>
      <c r="AL366" s="267"/>
      <c r="AM366" s="267"/>
      <c r="AN366" s="75"/>
    </row>
    <row r="367" spans="1:40" s="6" customFormat="1" ht="11.25" x14ac:dyDescent="0.2">
      <c r="A367" s="56">
        <f t="shared" si="148"/>
        <v>44914</v>
      </c>
      <c r="B367" s="1141">
        <v>12.391999999999999</v>
      </c>
      <c r="C367" s="868"/>
      <c r="D367" s="395">
        <f t="shared" si="127"/>
        <v>12.862410533791499</v>
      </c>
      <c r="E367" s="387">
        <f t="shared" si="150"/>
        <v>13.324381501760275</v>
      </c>
      <c r="F367" s="387">
        <f t="shared" si="128"/>
        <v>14.557756569862592</v>
      </c>
      <c r="G367" s="110">
        <f t="shared" si="151"/>
        <v>0.8081141877667084</v>
      </c>
      <c r="H367" s="416" t="b">
        <f>Wh_hp&gt;='2021'!Maxi_hp</f>
        <v>0</v>
      </c>
      <c r="I367" s="382">
        <f>IF(H367,Wh_hp,'2021'!Maxi_hp)</f>
        <v>17.589332525794376</v>
      </c>
      <c r="J367" s="85">
        <f>IF(H367,An,'2021'!An_max)</f>
        <v>2021</v>
      </c>
      <c r="K367" s="199">
        <f t="shared" si="129"/>
        <v>44914</v>
      </c>
      <c r="L367" s="147">
        <f>IF(t&lt;Tvie,1-EXP((T0-t)*PertePVj)+'2021'!Pspv,1-EXP((T0-t)*PertePVj)+Pspv)</f>
        <v>3.6572501908227806E-2</v>
      </c>
      <c r="M367" s="872"/>
      <c r="N367" s="872"/>
      <c r="O367" s="48">
        <f>IF(t&lt;Tnet,'2021'!Resal+('2021'!Salim-'2021'!Resal)*(1-EXP(('2021'!Tnet-t)/('2021'!Tau_j))),Resal+(Salim-Resal)*(1-EXP((Tnet-t)/(Tau_j))))*Salcycl</f>
        <v>3.4671100336458004E-2</v>
      </c>
      <c r="P367" s="341">
        <f>(INDEX(Models!$BJ367:$BT367,,T367)*(1-R367)+INDEX(Models!$BJ367:$BT367,,T367+1)*R367-ERP_i)*Q367*Ramure*Pc/MaxiM</f>
        <v>0.11139912223930612</v>
      </c>
      <c r="Q367" s="307">
        <f t="shared" si="130"/>
        <v>0.9</v>
      </c>
      <c r="R367" s="179">
        <f t="shared" si="131"/>
        <v>0.50019806495688923</v>
      </c>
      <c r="S367" s="839">
        <f t="shared" si="132"/>
        <v>0</v>
      </c>
      <c r="T367" s="178">
        <f t="shared" si="133"/>
        <v>6</v>
      </c>
      <c r="U367" s="253">
        <f t="shared" si="134"/>
        <v>0.50019806495688923</v>
      </c>
      <c r="V367" s="385">
        <f t="shared" si="135"/>
        <v>14.88753533205117</v>
      </c>
      <c r="W367" s="404">
        <f t="shared" si="136"/>
        <v>0</v>
      </c>
      <c r="X367" s="157">
        <f t="shared" si="137"/>
        <v>44914</v>
      </c>
      <c r="Y367" s="387">
        <f t="shared" si="138"/>
        <v>10.998541961912501</v>
      </c>
      <c r="Z367" s="387">
        <f t="shared" si="139"/>
        <v>11.416055680055775</v>
      </c>
      <c r="AA367" s="388">
        <f t="shared" si="140"/>
        <v>13.324381501760275</v>
      </c>
      <c r="AB367" s="199">
        <f t="shared" si="141"/>
        <v>44914</v>
      </c>
      <c r="AC367" s="119">
        <f>IF(OR(t&lt;Tnet,NoTnet),'2021'!Resal_s+('2021'!Salim-'2021'!Resal_s)*(1-EXP(('2021'!Tnet_s-t)/'2021'!Tau_j)),Resal_s+(Salim-Resal_s)*(1-EXP((Tnet_s-t)/Tau_j)))*Salcycl</f>
        <v>0.14322059312489599</v>
      </c>
      <c r="AD367" s="233">
        <f>(INDEX(Models!$BJ367:$BT367,,AH367)*(1-AF367)+INDEX(Models!$BJ367:$BT367,,AH367+1)*AF367-ERP_i)*AE367*Ramure*Pc/MaxiM</f>
        <v>0.11139912223930612</v>
      </c>
      <c r="AE367" s="307">
        <f t="shared" si="142"/>
        <v>0.9</v>
      </c>
      <c r="AF367" s="179">
        <f t="shared" si="143"/>
        <v>0.50019806495688923</v>
      </c>
      <c r="AG367" s="839">
        <f t="shared" si="149"/>
        <v>0</v>
      </c>
      <c r="AH367" s="178">
        <f t="shared" si="144"/>
        <v>6</v>
      </c>
      <c r="AI367" s="227">
        <f t="shared" si="145"/>
        <v>0.50019806495688923</v>
      </c>
      <c r="AJ367" s="267" t="b">
        <f t="shared" si="146"/>
        <v>0</v>
      </c>
      <c r="AK367" s="267" t="b">
        <f t="shared" si="147"/>
        <v>0</v>
      </c>
      <c r="AL367" s="267"/>
      <c r="AM367" s="267"/>
      <c r="AN367" s="75"/>
    </row>
    <row r="368" spans="1:40" s="6" customFormat="1" ht="11.25" x14ac:dyDescent="0.2">
      <c r="A368" s="56">
        <f t="shared" si="148"/>
        <v>44915</v>
      </c>
      <c r="B368" s="1141">
        <v>3.9380000000000002</v>
      </c>
      <c r="C368" s="868"/>
      <c r="D368" s="395">
        <f t="shared" si="127"/>
        <v>4.0875848498675902</v>
      </c>
      <c r="E368" s="387">
        <f t="shared" si="150"/>
        <v>4.2352664352128917</v>
      </c>
      <c r="F368" s="387">
        <f t="shared" si="128"/>
        <v>4.2352664352128917</v>
      </c>
      <c r="G368" s="110">
        <f t="shared" si="151"/>
        <v>0.2350816435592131</v>
      </c>
      <c r="H368" s="416" t="b">
        <f>Wh_hp&gt;='2021'!Maxi_hp</f>
        <v>0</v>
      </c>
      <c r="I368" s="382">
        <f>IF(H368,Wh_hp,'2021'!Maxi_hp)</f>
        <v>18.435000096108368</v>
      </c>
      <c r="J368" s="85">
        <f>IF(H368,An,'2021'!An_max)</f>
        <v>2021</v>
      </c>
      <c r="K368" s="199">
        <f t="shared" si="129"/>
        <v>44915</v>
      </c>
      <c r="L368" s="147">
        <f>IF(t&lt;Tvie,1-EXP((T0-t)*PertePVj)+'2021'!Pspv,1-EXP((T0-t)*PertePVj)+Pspv)</f>
        <v>3.6594922273585406E-2</v>
      </c>
      <c r="M368" s="872"/>
      <c r="N368" s="872"/>
      <c r="O368" s="48">
        <f>IF(t&lt;Tnet,'2021'!Resal+('2021'!Salim-'2021'!Resal)*(1-EXP(('2021'!Tnet-t)/('2021'!Tau_j))),Resal+(Salim-Resal)*(1-EXP((Tnet-t)/(Tau_j))))*Salcycl</f>
        <v>3.4869491118066559E-2</v>
      </c>
      <c r="P368" s="341">
        <f>(INDEX(Models!$BJ368:$BT368,,T368)*(1-R368)+INDEX(Models!$BJ368:$BT368,,T368+1)*R368-ERP_i)*Q368*Ramure*Pc/MaxiM</f>
        <v>0.11145598622156835</v>
      </c>
      <c r="Q368" s="307">
        <f t="shared" si="130"/>
        <v>0.9</v>
      </c>
      <c r="R368" s="179">
        <f t="shared" si="131"/>
        <v>0.50020711990864086</v>
      </c>
      <c r="S368" s="839">
        <f t="shared" si="132"/>
        <v>0</v>
      </c>
      <c r="T368" s="178">
        <f t="shared" si="133"/>
        <v>6</v>
      </c>
      <c r="U368" s="253">
        <f t="shared" si="134"/>
        <v>0.50020711990864086</v>
      </c>
      <c r="V368" s="385">
        <f t="shared" si="135"/>
        <v>14.884557863736832</v>
      </c>
      <c r="W368" s="404">
        <f t="shared" si="136"/>
        <v>0</v>
      </c>
      <c r="X368" s="157">
        <f t="shared" si="137"/>
        <v>44915</v>
      </c>
      <c r="Y368" s="387">
        <f t="shared" si="138"/>
        <v>3.4956376789768364</v>
      </c>
      <c r="Z368" s="387">
        <f t="shared" si="139"/>
        <v>3.6284194050817731</v>
      </c>
      <c r="AA368" s="388">
        <f t="shared" si="140"/>
        <v>4.2352664352128917</v>
      </c>
      <c r="AB368" s="199">
        <f t="shared" si="141"/>
        <v>44915</v>
      </c>
      <c r="AC368" s="119">
        <f>IF(OR(t&lt;Tnet,NoTnet),'2021'!Resal_s+('2021'!Salim-'2021'!Resal_s)*(1-EXP(('2021'!Tnet_s-t)/'2021'!Tau_j)),Resal_s+(Salim-Resal_s)*(1-EXP((Tnet_s-t)/Tau_j)))*Salcycl</f>
        <v>0.14328426308334827</v>
      </c>
      <c r="AD368" s="233">
        <f>(INDEX(Models!$BJ368:$BT368,,AH368)*(1-AF368)+INDEX(Models!$BJ368:$BT368,,AH368+1)*AF368-ERP_i)*AE368*Ramure*Pc/MaxiM</f>
        <v>0.11145598622156835</v>
      </c>
      <c r="AE368" s="307">
        <f t="shared" si="142"/>
        <v>0.9</v>
      </c>
      <c r="AF368" s="179">
        <f t="shared" si="143"/>
        <v>0.50020711990864086</v>
      </c>
      <c r="AG368" s="839">
        <f t="shared" si="149"/>
        <v>0</v>
      </c>
      <c r="AH368" s="178">
        <f t="shared" si="144"/>
        <v>6</v>
      </c>
      <c r="AI368" s="227">
        <f t="shared" si="145"/>
        <v>0.50020711990864086</v>
      </c>
      <c r="AJ368" s="267" t="b">
        <f t="shared" si="146"/>
        <v>0</v>
      </c>
      <c r="AK368" s="267" t="b">
        <f t="shared" si="147"/>
        <v>0</v>
      </c>
      <c r="AL368" s="267"/>
      <c r="AM368" s="267"/>
      <c r="AN368" s="75"/>
    </row>
    <row r="369" spans="1:40" s="18" customFormat="1" ht="11.25" x14ac:dyDescent="0.2">
      <c r="A369" s="56">
        <f t="shared" si="148"/>
        <v>44916</v>
      </c>
      <c r="B369" s="1141">
        <v>14.356</v>
      </c>
      <c r="C369" s="868"/>
      <c r="D369" s="395">
        <f t="shared" si="127"/>
        <v>14.901659151255243</v>
      </c>
      <c r="E369" s="387">
        <f t="shared" si="150"/>
        <v>15.443221934887768</v>
      </c>
      <c r="F369" s="387">
        <f t="shared" si="128"/>
        <v>17.268665801811821</v>
      </c>
      <c r="G369" s="110">
        <f t="shared" si="151"/>
        <v>0.95788592096314751</v>
      </c>
      <c r="H369" s="416" t="b">
        <f>Wh_hp&gt;='2021'!Maxi_hp</f>
        <v>1</v>
      </c>
      <c r="I369" s="382">
        <f>IF(H369,Wh_hp,'2021'!Maxi_hp)</f>
        <v>17.268665801811821</v>
      </c>
      <c r="J369" s="85">
        <f>IF(H369,An,'2021'!An_max)</f>
        <v>2022</v>
      </c>
      <c r="K369" s="199">
        <f t="shared" si="129"/>
        <v>44916</v>
      </c>
      <c r="L369" s="147">
        <f>IF(t&lt;Tvie,1-EXP((T0-t)*PertePVj)+'2021'!Pspv,1-EXP((T0-t)*PertePVj)+Pspv)</f>
        <v>3.6617342117188367E-2</v>
      </c>
      <c r="M369" s="872"/>
      <c r="N369" s="872"/>
      <c r="O369" s="48">
        <f>IF(t&lt;Tnet,'2021'!Resal+('2021'!Salim-'2021'!Resal)*(1-EXP(('2021'!Tnet-t)/('2021'!Tau_j))),Resal+(Salim-Resal)*(1-EXP((Tnet-t)/(Tau_j))))*Salcycl</f>
        <v>3.5067992023677448E-2</v>
      </c>
      <c r="P369" s="341">
        <f>(INDEX(Models!$BJ369:$BT369,,T369)*(1-R369)+INDEX(Models!$BJ369:$BT369,,T369+1)*R369-ERP_i)*Q369*Ramure*Pc/MaxiM</f>
        <v>0.11143050795639303</v>
      </c>
      <c r="Q369" s="307">
        <f t="shared" si="130"/>
        <v>0.9</v>
      </c>
      <c r="R369" s="179">
        <f t="shared" si="131"/>
        <v>0.5002158105383232</v>
      </c>
      <c r="S369" s="839">
        <f t="shared" si="132"/>
        <v>0</v>
      </c>
      <c r="T369" s="178">
        <f t="shared" si="133"/>
        <v>6</v>
      </c>
      <c r="U369" s="253">
        <f t="shared" si="134"/>
        <v>0.5002158105383232</v>
      </c>
      <c r="V369" s="385">
        <f t="shared" si="135"/>
        <v>14.891276574172661</v>
      </c>
      <c r="W369" s="404">
        <f t="shared" si="136"/>
        <v>0</v>
      </c>
      <c r="X369" s="157">
        <f t="shared" si="137"/>
        <v>44916</v>
      </c>
      <c r="Y369" s="387">
        <f t="shared" si="138"/>
        <v>12.745017920525893</v>
      </c>
      <c r="Z369" s="387">
        <f t="shared" si="139"/>
        <v>13.229445035407965</v>
      </c>
      <c r="AA369" s="388">
        <f t="shared" si="140"/>
        <v>15.443221934887767</v>
      </c>
      <c r="AB369" s="199">
        <f t="shared" si="141"/>
        <v>44916</v>
      </c>
      <c r="AC369" s="119">
        <f>IF(OR(t&lt;Tnet,NoTnet),'2021'!Resal_s+('2021'!Salim-'2021'!Resal_s)*(1-EXP(('2021'!Tnet_s-t)/'2021'!Tau_j)),Resal_s+(Salim-Resal_s)*(1-EXP((Tnet_s-t)/Tau_j)))*Salcycl</f>
        <v>0.14334941949378199</v>
      </c>
      <c r="AD369" s="233">
        <f>(INDEX(Models!$BJ369:$BT369,,AH369)*(1-AF369)+INDEX(Models!$BJ369:$BT369,,AH369+1)*AF369-ERP_i)*AE369*Ramure*Pc/MaxiM</f>
        <v>0.11143050795639303</v>
      </c>
      <c r="AE369" s="307">
        <f t="shared" si="142"/>
        <v>0.9</v>
      </c>
      <c r="AF369" s="179">
        <f t="shared" si="143"/>
        <v>0.5002158105383232</v>
      </c>
      <c r="AG369" s="839">
        <f t="shared" si="149"/>
        <v>0</v>
      </c>
      <c r="AH369" s="178">
        <f t="shared" si="144"/>
        <v>6</v>
      </c>
      <c r="AI369" s="227">
        <f t="shared" si="145"/>
        <v>0.5002158105383232</v>
      </c>
      <c r="AJ369" s="267" t="b">
        <f t="shared" si="146"/>
        <v>0</v>
      </c>
      <c r="AK369" s="267" t="b">
        <f t="shared" si="147"/>
        <v>0</v>
      </c>
      <c r="AL369" s="267"/>
      <c r="AM369" s="267"/>
      <c r="AN369" s="267"/>
    </row>
    <row r="370" spans="1:40" s="18" customFormat="1" ht="11.25" x14ac:dyDescent="0.2">
      <c r="A370" s="56">
        <f t="shared" si="148"/>
        <v>44917</v>
      </c>
      <c r="B370" s="1141">
        <v>12.734</v>
      </c>
      <c r="C370" s="868"/>
      <c r="D370" s="395">
        <f t="shared" si="127"/>
        <v>13.218315942769033</v>
      </c>
      <c r="E370" s="387">
        <f t="shared" si="150"/>
        <v>13.701521769719115</v>
      </c>
      <c r="F370" s="387">
        <f t="shared" si="128"/>
        <v>15.025788321948438</v>
      </c>
      <c r="G370" s="110">
        <f t="shared" si="151"/>
        <v>0.83246135111029818</v>
      </c>
      <c r="H370" s="416" t="b">
        <f>Wh_hp&gt;='2021'!Maxi_hp</f>
        <v>0</v>
      </c>
      <c r="I370" s="382">
        <f>IF(H370,Wh_hp,'2021'!Maxi_hp)</f>
        <v>17.399805301490186</v>
      </c>
      <c r="J370" s="85">
        <f>IF(H370,An,'2021'!An_max)</f>
        <v>2021</v>
      </c>
      <c r="K370" s="199">
        <f t="shared" si="129"/>
        <v>44917</v>
      </c>
      <c r="L370" s="147">
        <f>IF(t&lt;Tvie,1-EXP((T0-t)*PertePVj)+'2021'!Pspv,1-EXP((T0-t)*PertePVj)+Pspv)</f>
        <v>3.663976143904879E-2</v>
      </c>
      <c r="M370" s="872"/>
      <c r="N370" s="872"/>
      <c r="O370" s="48">
        <f>IF(t&lt;Tnet,'2021'!Resal+('2021'!Salim-'2021'!Resal)*(1-EXP(('2021'!Tnet-t)/('2021'!Tau_j))),Resal+(Salim-Resal)*(1-EXP((Tnet-t)/(Tau_j))))*Salcycl</f>
        <v>3.5266580973361945E-2</v>
      </c>
      <c r="P370" s="341">
        <f>(INDEX(Models!$BJ370:$BT370,,T370)*(1-R370)+INDEX(Models!$BJ370:$BT370,,T370+1)*R370-ERP_i)*Q370*Ramure*Pc/MaxiM</f>
        <v>0.11132233835571718</v>
      </c>
      <c r="Q370" s="307">
        <f t="shared" si="130"/>
        <v>0.9</v>
      </c>
      <c r="R370" s="179">
        <f t="shared" si="131"/>
        <v>0.50022415149436517</v>
      </c>
      <c r="S370" s="839">
        <f t="shared" si="132"/>
        <v>0</v>
      </c>
      <c r="T370" s="178">
        <f t="shared" si="133"/>
        <v>6</v>
      </c>
      <c r="U370" s="253">
        <f t="shared" si="134"/>
        <v>0.50022415149436517</v>
      </c>
      <c r="V370" s="385">
        <f t="shared" si="135"/>
        <v>14.907797705468676</v>
      </c>
      <c r="W370" s="404">
        <f t="shared" si="136"/>
        <v>0</v>
      </c>
      <c r="X370" s="157">
        <f t="shared" si="137"/>
        <v>44917</v>
      </c>
      <c r="Y370" s="387">
        <f t="shared" si="138"/>
        <v>11.306482311938039</v>
      </c>
      <c r="Z370" s="387">
        <f t="shared" si="139"/>
        <v>11.7365050573682</v>
      </c>
      <c r="AA370" s="388">
        <f t="shared" si="140"/>
        <v>13.701521769719115</v>
      </c>
      <c r="AB370" s="199">
        <f t="shared" si="141"/>
        <v>44917</v>
      </c>
      <c r="AC370" s="119">
        <f>IF(OR(t&lt;Tnet,NoTnet),'2021'!Resal_s+('2021'!Salim-'2021'!Resal_s)*(1-EXP(('2021'!Tnet_s-t)/'2021'!Tau_j)),Resal_s+(Salim-Resal_s)*(1-EXP((Tnet_s-t)/Tau_j)))*Salcycl</f>
        <v>0.14341594644572089</v>
      </c>
      <c r="AD370" s="233">
        <f>(INDEX(Models!$BJ370:$BT370,,AH370)*(1-AF370)+INDEX(Models!$BJ370:$BT370,,AH370+1)*AF370-ERP_i)*AE370*Ramure*Pc/MaxiM</f>
        <v>0.11132233835571718</v>
      </c>
      <c r="AE370" s="307">
        <f t="shared" si="142"/>
        <v>0.9</v>
      </c>
      <c r="AF370" s="179">
        <f t="shared" si="143"/>
        <v>0.50022415149436517</v>
      </c>
      <c r="AG370" s="839">
        <f t="shared" si="149"/>
        <v>0</v>
      </c>
      <c r="AH370" s="178">
        <f t="shared" si="144"/>
        <v>6</v>
      </c>
      <c r="AI370" s="227">
        <f t="shared" si="145"/>
        <v>0.50022415149436517</v>
      </c>
      <c r="AJ370" s="267" t="b">
        <f t="shared" si="146"/>
        <v>0</v>
      </c>
      <c r="AK370" s="267" t="b">
        <f t="shared" si="147"/>
        <v>0</v>
      </c>
      <c r="AL370" s="267"/>
      <c r="AM370" s="267"/>
      <c r="AN370" s="267"/>
    </row>
    <row r="371" spans="1:40" s="6" customFormat="1" ht="11.25" x14ac:dyDescent="0.2">
      <c r="A371" s="56">
        <f t="shared" si="148"/>
        <v>44918</v>
      </c>
      <c r="B371" s="1141">
        <v>13.343</v>
      </c>
      <c r="C371" s="868"/>
      <c r="D371" s="395">
        <f t="shared" si="127"/>
        <v>13.850800546077197</v>
      </c>
      <c r="E371" s="387">
        <f t="shared" si="150"/>
        <v>14.360084326952718</v>
      </c>
      <c r="F371" s="387">
        <f t="shared" si="128"/>
        <v>15.853751605360451</v>
      </c>
      <c r="G371" s="110">
        <f t="shared" si="151"/>
        <v>0.87676528194566938</v>
      </c>
      <c r="H371" s="416" t="b">
        <f>Wh_hp&gt;='2021'!Maxi_hp</f>
        <v>0</v>
      </c>
      <c r="I371" s="382">
        <f>IF(H371,Wh_hp,'2021'!Maxi_hp)</f>
        <v>16.064164889067985</v>
      </c>
      <c r="J371" s="85">
        <f>IF(H371,An,'2021'!An_max)</f>
        <v>2020</v>
      </c>
      <c r="K371" s="199">
        <f t="shared" si="129"/>
        <v>44918</v>
      </c>
      <c r="L371" s="147">
        <f>IF(t&lt;Tvie,1-EXP((T0-t)*PertePVj)+'2021'!Pspv,1-EXP((T0-t)*PertePVj)+Pspv)</f>
        <v>3.6662180239178777E-2</v>
      </c>
      <c r="M371" s="872"/>
      <c r="N371" s="872"/>
      <c r="O371" s="48">
        <f>IF(t&lt;Tnet,'2021'!Resal+('2021'!Salim-'2021'!Resal)*(1-EXP(('2021'!Tnet-t)/('2021'!Tau_j))),Resal+(Salim-Resal)*(1-EXP((Tnet-t)/(Tau_j))))*Salcycl</f>
        <v>3.5465236086367341E-2</v>
      </c>
      <c r="P371" s="341">
        <f>(INDEX(Models!$BJ371:$BT371,,T371)*(1-R371)+INDEX(Models!$BJ371:$BT371,,T371+1)*R371-ERP_i)*Q371*Ramure*Pc/MaxiM</f>
        <v>0.11113101978349901</v>
      </c>
      <c r="Q371" s="307">
        <f t="shared" si="130"/>
        <v>0.9</v>
      </c>
      <c r="R371" s="179">
        <f t="shared" si="131"/>
        <v>0.50022415149436517</v>
      </c>
      <c r="S371" s="839">
        <f t="shared" si="132"/>
        <v>0</v>
      </c>
      <c r="T371" s="178">
        <f t="shared" si="133"/>
        <v>6</v>
      </c>
      <c r="U371" s="253">
        <f t="shared" si="134"/>
        <v>0.50022415149436517</v>
      </c>
      <c r="V371" s="385">
        <f t="shared" si="135"/>
        <v>14.934233981522974</v>
      </c>
      <c r="W371" s="404">
        <f t="shared" si="136"/>
        <v>0</v>
      </c>
      <c r="X371" s="157">
        <f t="shared" si="137"/>
        <v>44918</v>
      </c>
      <c r="Y371" s="387">
        <f t="shared" si="138"/>
        <v>11.848714012637195</v>
      </c>
      <c r="Z371" s="387">
        <f t="shared" si="139"/>
        <v>12.299645845503097</v>
      </c>
      <c r="AA371" s="388">
        <f t="shared" si="140"/>
        <v>14.360084326952718</v>
      </c>
      <c r="AB371" s="199">
        <f t="shared" si="141"/>
        <v>44918</v>
      </c>
      <c r="AC371" s="119">
        <f>IF(OR(t&lt;Tnet,NoTnet),'2021'!Resal_s+('2021'!Salim-'2021'!Resal_s)*(1-EXP(('2021'!Tnet_s-t)/'2021'!Tau_j)),Resal_s+(Salim-Resal_s)*(1-EXP((Tnet_s-t)/Tau_j)))*Salcycl</f>
        <v>0.14348373133034775</v>
      </c>
      <c r="AD371" s="233">
        <f>(INDEX(Models!$BJ371:$BT371,,AH371)*(1-AF371)+INDEX(Models!$BJ371:$BT371,,AH371+1)*AF371-ERP_i)*AE371*Ramure*Pc/MaxiM</f>
        <v>0.11113101978349901</v>
      </c>
      <c r="AE371" s="307">
        <f t="shared" si="142"/>
        <v>0.9</v>
      </c>
      <c r="AF371" s="179">
        <f t="shared" si="143"/>
        <v>0.50022415149436517</v>
      </c>
      <c r="AG371" s="839">
        <f t="shared" si="149"/>
        <v>0</v>
      </c>
      <c r="AH371" s="178">
        <f t="shared" si="144"/>
        <v>6</v>
      </c>
      <c r="AI371" s="227">
        <f t="shared" si="145"/>
        <v>0.50022415149436517</v>
      </c>
      <c r="AJ371" s="267" t="b">
        <f t="shared" si="146"/>
        <v>0</v>
      </c>
      <c r="AK371" s="267" t="b">
        <f t="shared" si="147"/>
        <v>0</v>
      </c>
      <c r="AL371" s="267"/>
      <c r="AM371" s="267"/>
      <c r="AN371" s="75"/>
    </row>
    <row r="372" spans="1:40" s="6" customFormat="1" ht="11.25" x14ac:dyDescent="0.2">
      <c r="A372" s="56">
        <f t="shared" si="148"/>
        <v>44919</v>
      </c>
      <c r="B372" s="1141">
        <v>15.194000000000001</v>
      </c>
      <c r="C372" s="868"/>
      <c r="D372" s="395">
        <f t="shared" si="127"/>
        <v>15.7726119364629</v>
      </c>
      <c r="E372" s="387">
        <f t="shared" si="150"/>
        <v>16.355928729287204</v>
      </c>
      <c r="F372" s="387">
        <f t="shared" si="128"/>
        <v>18.395161157636586</v>
      </c>
      <c r="G372" s="110">
        <f t="shared" si="151"/>
        <v>1.0149166420325142</v>
      </c>
      <c r="H372" s="416" t="b">
        <f>Wh_hp&gt;='2021'!Maxi_hp</f>
        <v>1</v>
      </c>
      <c r="I372" s="382">
        <f>IF(H372,Wh_hp,'2021'!Maxi_hp)</f>
        <v>18.395161157636586</v>
      </c>
      <c r="J372" s="85">
        <f>IF(H372,An,'2021'!An_max)</f>
        <v>2022</v>
      </c>
      <c r="K372" s="199">
        <f t="shared" si="129"/>
        <v>44919</v>
      </c>
      <c r="L372" s="147">
        <f>IF(t&lt;Tvie,1-EXP((T0-t)*PertePVj)+'2021'!Pspv,1-EXP((T0-t)*PertePVj)+Pspv)</f>
        <v>3.668459851759065E-2</v>
      </c>
      <c r="M372" s="872"/>
      <c r="N372" s="872"/>
      <c r="O372" s="48">
        <f>IF(t&lt;Tnet,'2021'!Resal+('2021'!Salim-'2021'!Resal)*(1-EXP(('2021'!Tnet-t)/('2021'!Tau_j))),Resal+(Salim-Resal)*(1-EXP((Tnet-t)/(Tau_j))))*Salcycl</f>
        <v>3.5663935841185539E-2</v>
      </c>
      <c r="P372" s="341">
        <f>(INDEX(Models!$BJ372:$BT372,,T372)*(1-R372)+INDEX(Models!$BJ372:$BT372,,T372+1)*R372-ERP_i)*Q372*Ramure*Pc/MaxiM</f>
        <v>0.11085700260379679</v>
      </c>
      <c r="Q372" s="307">
        <f t="shared" si="130"/>
        <v>0.9</v>
      </c>
      <c r="R372" s="179">
        <f t="shared" si="131"/>
        <v>0.50022415149436517</v>
      </c>
      <c r="S372" s="839">
        <f t="shared" si="132"/>
        <v>0</v>
      </c>
      <c r="T372" s="178">
        <f t="shared" si="133"/>
        <v>6</v>
      </c>
      <c r="U372" s="253">
        <f t="shared" si="134"/>
        <v>0.50022415149436517</v>
      </c>
      <c r="V372" s="385">
        <f t="shared" si="135"/>
        <v>14.97068761191251</v>
      </c>
      <c r="W372" s="404">
        <f t="shared" si="136"/>
        <v>0</v>
      </c>
      <c r="X372" s="157">
        <f t="shared" si="137"/>
        <v>44919</v>
      </c>
      <c r="Y372" s="387">
        <f t="shared" si="138"/>
        <v>13.494114018711574</v>
      </c>
      <c r="Z372" s="387">
        <f t="shared" si="139"/>
        <v>14.007991565323254</v>
      </c>
      <c r="AA372" s="388">
        <f t="shared" si="140"/>
        <v>16.355928729287204</v>
      </c>
      <c r="AB372" s="199">
        <f t="shared" si="141"/>
        <v>44919</v>
      </c>
      <c r="AC372" s="119">
        <f>IF(OR(t&lt;Tnet,NoTnet),'2021'!Resal_s+('2021'!Salim-'2021'!Resal_s)*(1-EXP(('2021'!Tnet_s-t)/'2021'!Tau_j)),Resal_s+(Salim-Resal_s)*(1-EXP((Tnet_s-t)/Tau_j)))*Salcycl</f>
        <v>0.14355266538669209</v>
      </c>
      <c r="AD372" s="233">
        <f>(INDEX(Models!$BJ372:$BT372,,AH372)*(1-AF372)+INDEX(Models!$BJ372:$BT372,,AH372+1)*AF372-ERP_i)*AE372*Ramure*Pc/MaxiM</f>
        <v>0.11085700260379679</v>
      </c>
      <c r="AE372" s="307">
        <f t="shared" si="142"/>
        <v>0.9</v>
      </c>
      <c r="AF372" s="179">
        <f t="shared" si="143"/>
        <v>0.50022415149436517</v>
      </c>
      <c r="AG372" s="839">
        <f t="shared" si="149"/>
        <v>0</v>
      </c>
      <c r="AH372" s="178">
        <f t="shared" si="144"/>
        <v>6</v>
      </c>
      <c r="AI372" s="227">
        <f t="shared" si="145"/>
        <v>0.50022415149436517</v>
      </c>
      <c r="AJ372" s="267" t="b">
        <f t="shared" si="146"/>
        <v>0</v>
      </c>
      <c r="AK372" s="267" t="b">
        <f t="shared" si="147"/>
        <v>0</v>
      </c>
      <c r="AL372" s="267"/>
      <c r="AM372" s="267"/>
      <c r="AN372" s="75"/>
    </row>
    <row r="373" spans="1:40" s="6" customFormat="1" ht="11.25" x14ac:dyDescent="0.2">
      <c r="A373" s="56">
        <f t="shared" si="148"/>
        <v>44920</v>
      </c>
      <c r="B373" s="1141">
        <v>8.59</v>
      </c>
      <c r="C373" s="868"/>
      <c r="D373" s="395">
        <f t="shared" si="127"/>
        <v>8.9173285232252759</v>
      </c>
      <c r="E373" s="387">
        <f t="shared" si="150"/>
        <v>9.2490230863506699</v>
      </c>
      <c r="F373" s="387">
        <f t="shared" si="128"/>
        <v>9.6639559349947142</v>
      </c>
      <c r="G373" s="110">
        <f t="shared" si="151"/>
        <v>0.53161817663495359</v>
      </c>
      <c r="H373" s="416" t="b">
        <f>Wh_hp&gt;='2021'!Maxi_hp</f>
        <v>0</v>
      </c>
      <c r="I373" s="382">
        <f>IF(H373,Wh_hp,'2021'!Maxi_hp)</f>
        <v>13.899256266993024</v>
      </c>
      <c r="J373" s="85">
        <f>IF(H373,An,'2021'!An_max)</f>
        <v>2018</v>
      </c>
      <c r="K373" s="199">
        <f t="shared" si="129"/>
        <v>44920</v>
      </c>
      <c r="L373" s="147">
        <f>IF(t&lt;Tvie,1-EXP((T0-t)*PertePVj)+'2021'!Pspv,1-EXP((T0-t)*PertePVj)+Pspv)</f>
        <v>3.6707016274296289E-2</v>
      </c>
      <c r="M373" s="872"/>
      <c r="N373" s="872"/>
      <c r="O373" s="48">
        <f>IF(t&lt;Tnet,'2021'!Resal+('2021'!Salim-'2021'!Resal)*(1-EXP(('2021'!Tnet-t)/('2021'!Tau_j))),Resal+(Salim-Resal)*(1-EXP((Tnet-t)/(Tau_j))))*Salcycl</f>
        <v>3.5862659226669535E-2</v>
      </c>
      <c r="P373" s="341">
        <f>(INDEX(Models!$BJ373:$BT373,,T373)*(1-R373)+INDEX(Models!$BJ373:$BT373,,T373+1)*R373-ERP_i)*Q373*Ramure*Pc/MaxiM</f>
        <v>0.11049845398273141</v>
      </c>
      <c r="Q373" s="307">
        <f t="shared" si="130"/>
        <v>0.9</v>
      </c>
      <c r="R373" s="179">
        <f t="shared" si="131"/>
        <v>0.50022415149436517</v>
      </c>
      <c r="S373" s="839">
        <f t="shared" si="132"/>
        <v>0</v>
      </c>
      <c r="T373" s="178">
        <f t="shared" si="133"/>
        <v>6</v>
      </c>
      <c r="U373" s="253">
        <f t="shared" si="134"/>
        <v>0.50022415149436517</v>
      </c>
      <c r="V373" s="385">
        <f t="shared" si="135"/>
        <v>15.017551400148765</v>
      </c>
      <c r="W373" s="404">
        <f t="shared" si="136"/>
        <v>0</v>
      </c>
      <c r="X373" s="157">
        <f t="shared" si="137"/>
        <v>44920</v>
      </c>
      <c r="Y373" s="387">
        <f t="shared" si="138"/>
        <v>7.6299103615834039</v>
      </c>
      <c r="Z373" s="387">
        <f t="shared" si="139"/>
        <v>7.9206539344586462</v>
      </c>
      <c r="AA373" s="388">
        <f t="shared" si="140"/>
        <v>9.2490230863506699</v>
      </c>
      <c r="AB373" s="199">
        <f t="shared" si="141"/>
        <v>44920</v>
      </c>
      <c r="AC373" s="119">
        <f>IF(OR(t&lt;Tnet,NoTnet),'2021'!Resal_s+('2021'!Salim-'2021'!Resal_s)*(1-EXP(('2021'!Tnet_s-t)/'2021'!Tau_j)),Resal_s+(Salim-Resal_s)*(1-EXP((Tnet_s-t)/Tau_j)))*Salcycl</f>
        <v>0.14362264419605317</v>
      </c>
      <c r="AD373" s="233">
        <f>(INDEX(Models!$BJ373:$BT373,,AH373)*(1-AF373)+INDEX(Models!$BJ373:$BT373,,AH373+1)*AF373-ERP_i)*AE373*Ramure*Pc/MaxiM</f>
        <v>0.11049845398273141</v>
      </c>
      <c r="AE373" s="307">
        <f t="shared" si="142"/>
        <v>0.9</v>
      </c>
      <c r="AF373" s="179">
        <f t="shared" si="143"/>
        <v>0.50022415149436517</v>
      </c>
      <c r="AG373" s="839">
        <f t="shared" si="149"/>
        <v>0</v>
      </c>
      <c r="AH373" s="178">
        <f t="shared" si="144"/>
        <v>6</v>
      </c>
      <c r="AI373" s="227">
        <f t="shared" si="145"/>
        <v>0.50022415149436517</v>
      </c>
      <c r="AJ373" s="267" t="b">
        <f t="shared" si="146"/>
        <v>0</v>
      </c>
      <c r="AK373" s="267" t="b">
        <f t="shared" si="147"/>
        <v>0</v>
      </c>
      <c r="AL373" s="267"/>
      <c r="AM373" s="267"/>
      <c r="AN373" s="75"/>
    </row>
    <row r="374" spans="1:40" s="6" customFormat="1" ht="11.25" x14ac:dyDescent="0.2">
      <c r="A374" s="56">
        <f t="shared" si="148"/>
        <v>44921</v>
      </c>
      <c r="B374" s="1141">
        <v>13.361000000000001</v>
      </c>
      <c r="C374" s="868"/>
      <c r="D374" s="395">
        <f t="shared" si="127"/>
        <v>13.870453914807859</v>
      </c>
      <c r="E374" s="387">
        <f t="shared" si="150"/>
        <v>14.389353960588414</v>
      </c>
      <c r="F374" s="387">
        <f t="shared" si="128"/>
        <v>15.85044457091179</v>
      </c>
      <c r="G374" s="110">
        <f t="shared" si="151"/>
        <v>0.86885114318988133</v>
      </c>
      <c r="H374" s="416" t="b">
        <f>Wh_hp&gt;='2021'!Maxi_hp</f>
        <v>0</v>
      </c>
      <c r="I374" s="382">
        <f>IF(H374,Wh_hp,'2021'!Maxi_hp)</f>
        <v>17.569018811526597</v>
      </c>
      <c r="J374" s="85">
        <f>IF(H374,An,'2021'!An_max)</f>
        <v>2018</v>
      </c>
      <c r="K374" s="199">
        <f t="shared" si="129"/>
        <v>44921</v>
      </c>
      <c r="L374" s="147">
        <f>IF(t&lt;Tvie,1-EXP((T0-t)*PertePVj)+'2021'!Pspv,1-EXP((T0-t)*PertePVj)+Pspv)</f>
        <v>3.6729433509308129E-2</v>
      </c>
      <c r="M374" s="872"/>
      <c r="N374" s="872"/>
      <c r="O374" s="48">
        <f>IF(t&lt;Tnet,'2021'!Resal+('2021'!Salim-'2021'!Resal)*(1-EXP(('2021'!Tnet-t)/('2021'!Tau_j))),Resal+(Salim-Resal)*(1-EXP((Tnet-t)/(Tau_j))))*Salcycl</f>
        <v>3.6061385883048781E-2</v>
      </c>
      <c r="P374" s="341">
        <f>(INDEX(Models!$BJ374:$BT374,,T374)*(1-R374)+INDEX(Models!$BJ374:$BT374,,T374+1)*R374-ERP_i)*Q374*Ramure*Pc/MaxiM</f>
        <v>0.11005544665007709</v>
      </c>
      <c r="Q374" s="307">
        <f t="shared" si="130"/>
        <v>0.9</v>
      </c>
      <c r="R374" s="179">
        <f t="shared" si="131"/>
        <v>0.50022415149436517</v>
      </c>
      <c r="S374" s="839">
        <f t="shared" si="132"/>
        <v>0</v>
      </c>
      <c r="T374" s="178">
        <f t="shared" si="133"/>
        <v>6</v>
      </c>
      <c r="U374" s="253">
        <f t="shared" si="134"/>
        <v>0.50022415149436517</v>
      </c>
      <c r="V374" s="385">
        <f t="shared" si="135"/>
        <v>15.074978050149104</v>
      </c>
      <c r="W374" s="404">
        <f t="shared" si="136"/>
        <v>0</v>
      </c>
      <c r="X374" s="157">
        <f t="shared" si="137"/>
        <v>44921</v>
      </c>
      <c r="Y374" s="387">
        <f t="shared" si="138"/>
        <v>11.869127420320927</v>
      </c>
      <c r="Z374" s="387">
        <f t="shared" si="139"/>
        <v>12.321696347020708</v>
      </c>
      <c r="AA374" s="388">
        <f t="shared" si="140"/>
        <v>14.389353960588414</v>
      </c>
      <c r="AB374" s="199">
        <f t="shared" si="141"/>
        <v>44921</v>
      </c>
      <c r="AC374" s="119">
        <f>IF(OR(t&lt;Tnet,NoTnet),'2021'!Resal_s+('2021'!Salim-'2021'!Resal_s)*(1-EXP(('2021'!Tnet_s-t)/'2021'!Tau_j)),Resal_s+(Salim-Resal_s)*(1-EXP((Tnet_s-t)/Tau_j)))*Salcycl</f>
        <v>0.1436935681220225</v>
      </c>
      <c r="AD374" s="233">
        <f>(INDEX(Models!$BJ374:$BT374,,AH374)*(1-AF374)+INDEX(Models!$BJ374:$BT374,,AH374+1)*AF374-ERP_i)*AE374*Ramure*Pc/MaxiM</f>
        <v>0.11005544665007709</v>
      </c>
      <c r="AE374" s="307">
        <f t="shared" si="142"/>
        <v>0.9</v>
      </c>
      <c r="AF374" s="179">
        <f t="shared" si="143"/>
        <v>0.50022415149436517</v>
      </c>
      <c r="AG374" s="839">
        <f t="shared" si="149"/>
        <v>0</v>
      </c>
      <c r="AH374" s="178">
        <f t="shared" si="144"/>
        <v>6</v>
      </c>
      <c r="AI374" s="227">
        <f t="shared" si="145"/>
        <v>0.50022415149436517</v>
      </c>
      <c r="AJ374" s="267" t="b">
        <f t="shared" si="146"/>
        <v>0</v>
      </c>
      <c r="AK374" s="267" t="b">
        <f t="shared" si="147"/>
        <v>0</v>
      </c>
      <c r="AL374" s="267"/>
      <c r="AM374" s="267"/>
      <c r="AN374" s="75"/>
    </row>
    <row r="375" spans="1:40" s="6" customFormat="1" ht="11.25" x14ac:dyDescent="0.2">
      <c r="A375" s="56">
        <f t="shared" si="148"/>
        <v>44922</v>
      </c>
      <c r="B375" s="1141">
        <v>6.367</v>
      </c>
      <c r="C375" s="868"/>
      <c r="D375" s="395">
        <f t="shared" si="127"/>
        <v>6.6099270488831161</v>
      </c>
      <c r="E375" s="387">
        <f t="shared" si="150"/>
        <v>6.8586213178872031</v>
      </c>
      <c r="F375" s="387">
        <f t="shared" si="128"/>
        <v>6.9903158012963553</v>
      </c>
      <c r="G375" s="110">
        <f t="shared" si="151"/>
        <v>0.3816011714346968</v>
      </c>
      <c r="H375" s="416" t="b">
        <f>Wh_hp&gt;='2021'!Maxi_hp</f>
        <v>0</v>
      </c>
      <c r="I375" s="382">
        <f>IF(H375,Wh_hp,'2021'!Maxi_hp)</f>
        <v>17.805021501401317</v>
      </c>
      <c r="J375" s="85">
        <f>IF(H375,An,'2021'!An_max)</f>
        <v>2018</v>
      </c>
      <c r="K375" s="199">
        <f t="shared" si="129"/>
        <v>44922</v>
      </c>
      <c r="L375" s="147">
        <f>IF(t&lt;Tvie,1-EXP((T0-t)*PertePVj)+'2021'!Pspv,1-EXP((T0-t)*PertePVj)+Pspv)</f>
        <v>3.6751850222638049E-2</v>
      </c>
      <c r="M375" s="872"/>
      <c r="N375" s="872"/>
      <c r="O375" s="48">
        <f>IF(t&lt;Tnet,'2021'!Resal+('2021'!Salim-'2021'!Resal)*(1-EXP(('2021'!Tnet-t)/('2021'!Tau_j))),Resal+(Salim-Resal)*(1-EXP((Tnet-t)/(Tau_j))))*Salcycl</f>
        <v>3.626009623180327E-2</v>
      </c>
      <c r="P375" s="341">
        <f>(INDEX(Models!$BJ375:$BT375,,T375)*(1-R375)+INDEX(Models!$BJ375:$BT375,,T375+1)*R375-ERP_i)*Q375*Ramure*Pc/MaxiM</f>
        <v>0.10948991858107338</v>
      </c>
      <c r="Q375" s="307">
        <f t="shared" si="130"/>
        <v>0.9</v>
      </c>
      <c r="R375" s="179">
        <f t="shared" si="131"/>
        <v>0.50022415149436517</v>
      </c>
      <c r="S375" s="839">
        <f t="shared" si="132"/>
        <v>0</v>
      </c>
      <c r="T375" s="178">
        <f t="shared" si="133"/>
        <v>6</v>
      </c>
      <c r="U375" s="253">
        <f t="shared" si="134"/>
        <v>0.50022415149436517</v>
      </c>
      <c r="V375" s="385">
        <f t="shared" si="135"/>
        <v>15.143419818277122</v>
      </c>
      <c r="W375" s="404">
        <f t="shared" si="136"/>
        <v>0</v>
      </c>
      <c r="X375" s="157">
        <f t="shared" si="137"/>
        <v>44922</v>
      </c>
      <c r="Y375" s="387">
        <f t="shared" si="138"/>
        <v>5.6567607523062637</v>
      </c>
      <c r="Z375" s="387">
        <f t="shared" si="139"/>
        <v>5.872589273712828</v>
      </c>
      <c r="AA375" s="388">
        <f t="shared" si="140"/>
        <v>6.8586213178872031</v>
      </c>
      <c r="AB375" s="199">
        <f t="shared" si="141"/>
        <v>44922</v>
      </c>
      <c r="AC375" s="119">
        <f>IF(OR(t&lt;Tnet,NoTnet),'2021'!Resal_s+('2021'!Salim-'2021'!Resal_s)*(1-EXP(('2021'!Tnet_s-t)/'2021'!Tau_j)),Resal_s+(Salim-Resal_s)*(1-EXP((Tnet_s-t)/Tau_j)))*Salcycl</f>
        <v>0.14376534269399235</v>
      </c>
      <c r="AD375" s="233">
        <f>(INDEX(Models!$BJ375:$BT375,,AH375)*(1-AF375)+INDEX(Models!$BJ375:$BT375,,AH375+1)*AF375-ERP_i)*AE375*Ramure*Pc/MaxiM</f>
        <v>0.10948991858107338</v>
      </c>
      <c r="AE375" s="307">
        <f t="shared" si="142"/>
        <v>0.9</v>
      </c>
      <c r="AF375" s="179">
        <f t="shared" si="143"/>
        <v>0.50022415149436517</v>
      </c>
      <c r="AG375" s="839">
        <f t="shared" si="149"/>
        <v>0</v>
      </c>
      <c r="AH375" s="178">
        <f t="shared" si="144"/>
        <v>6</v>
      </c>
      <c r="AI375" s="227">
        <f t="shared" si="145"/>
        <v>0.50022415149436517</v>
      </c>
      <c r="AJ375" s="267" t="b">
        <f t="shared" si="146"/>
        <v>0</v>
      </c>
      <c r="AK375" s="267" t="b">
        <f t="shared" si="147"/>
        <v>0</v>
      </c>
      <c r="AL375" s="267"/>
      <c r="AM375" s="267"/>
      <c r="AN375" s="75"/>
    </row>
    <row r="376" spans="1:40" s="6" customFormat="1" ht="11.25" x14ac:dyDescent="0.2">
      <c r="A376" s="56">
        <f t="shared" si="148"/>
        <v>44923</v>
      </c>
      <c r="B376" s="1141">
        <v>14.171000000000001</v>
      </c>
      <c r="C376" s="868"/>
      <c r="D376" s="395">
        <f t="shared" si="127"/>
        <v>14.712023885872602</v>
      </c>
      <c r="E376" s="387">
        <f t="shared" si="150"/>
        <v>15.268702004794264</v>
      </c>
      <c r="F376" s="387">
        <f t="shared" si="128"/>
        <v>16.929099541079747</v>
      </c>
      <c r="G376" s="110">
        <f t="shared" si="151"/>
        <v>0.91984564049738082</v>
      </c>
      <c r="H376" s="416" t="b">
        <f>Wh_hp&gt;='2021'!Maxi_hp</f>
        <v>1</v>
      </c>
      <c r="I376" s="382">
        <f>IF(H376,Wh_hp,'2021'!Maxi_hp)</f>
        <v>16.929099541079747</v>
      </c>
      <c r="J376" s="85">
        <f>IF(H376,An,'2021'!An_max)</f>
        <v>2022</v>
      </c>
      <c r="K376" s="199">
        <f t="shared" si="129"/>
        <v>44923</v>
      </c>
      <c r="L376" s="147">
        <f>IF(t&lt;Tvie,1-EXP((T0-t)*PertePVj)+'2021'!Pspv,1-EXP((T0-t)*PertePVj)+Pspv)</f>
        <v>3.6774266414298373E-2</v>
      </c>
      <c r="M376" s="872"/>
      <c r="N376" s="872"/>
      <c r="O376" s="48">
        <f>IF(t&lt;Tnet,'2021'!Resal+('2021'!Salim-'2021'!Resal)*(1-EXP(('2021'!Tnet-t)/('2021'!Tau_j))),Resal+(Salim-Resal)*(1-EXP((Tnet-t)/(Tau_j))))*Salcycl</f>
        <v>3.6458771593477261E-2</v>
      </c>
      <c r="P376" s="341">
        <f>(INDEX(Models!$BJ376:$BT376,,T376)*(1-R376)+INDEX(Models!$BJ376:$BT376,,T376+1)*R376-ERP_i)*Q376*Ramure*Pc/MaxiM</f>
        <v>0.10881686719221478</v>
      </c>
      <c r="Q376" s="307">
        <f t="shared" si="130"/>
        <v>0.9</v>
      </c>
      <c r="R376" s="179">
        <f t="shared" si="131"/>
        <v>0.50022415149436517</v>
      </c>
      <c r="S376" s="839">
        <f t="shared" si="132"/>
        <v>0</v>
      </c>
      <c r="T376" s="178">
        <f t="shared" si="133"/>
        <v>6</v>
      </c>
      <c r="U376" s="253">
        <f t="shared" si="134"/>
        <v>0.50022415149436517</v>
      </c>
      <c r="V376" s="385">
        <f t="shared" si="135"/>
        <v>15.222438957150963</v>
      </c>
      <c r="W376" s="404">
        <f t="shared" si="136"/>
        <v>0</v>
      </c>
      <c r="X376" s="157">
        <f t="shared" si="137"/>
        <v>44923</v>
      </c>
      <c r="Y376" s="387">
        <f t="shared" si="138"/>
        <v>12.591753274233104</v>
      </c>
      <c r="Z376" s="387">
        <f t="shared" si="139"/>
        <v>13.072484294371037</v>
      </c>
      <c r="AA376" s="388">
        <f t="shared" si="140"/>
        <v>15.268702004794264</v>
      </c>
      <c r="AB376" s="199">
        <f t="shared" si="141"/>
        <v>44923</v>
      </c>
      <c r="AC376" s="119">
        <f>IF(OR(t&lt;Tnet,NoTnet),'2021'!Resal_s+('2021'!Salim-'2021'!Resal_s)*(1-EXP(('2021'!Tnet_s-t)/'2021'!Tau_j)),Resal_s+(Salim-Resal_s)*(1-EXP((Tnet_s-t)/Tau_j)))*Salcycl</f>
        <v>0.14383787893257913</v>
      </c>
      <c r="AD376" s="233">
        <f>(INDEX(Models!$BJ376:$BT376,,AH376)*(1-AF376)+INDEX(Models!$BJ376:$BT376,,AH376+1)*AF376-ERP_i)*AE376*Ramure*Pc/MaxiM</f>
        <v>0.10881686719221478</v>
      </c>
      <c r="AE376" s="307">
        <f t="shared" si="142"/>
        <v>0.9</v>
      </c>
      <c r="AF376" s="179">
        <f t="shared" si="143"/>
        <v>0.50022415149436517</v>
      </c>
      <c r="AG376" s="839">
        <f t="shared" si="149"/>
        <v>0</v>
      </c>
      <c r="AH376" s="178">
        <f t="shared" si="144"/>
        <v>6</v>
      </c>
      <c r="AI376" s="227">
        <f t="shared" si="145"/>
        <v>0.50022415149436517</v>
      </c>
      <c r="AJ376" s="267" t="b">
        <f t="shared" si="146"/>
        <v>0</v>
      </c>
      <c r="AK376" s="267" t="b">
        <f t="shared" si="147"/>
        <v>0</v>
      </c>
      <c r="AL376" s="267"/>
      <c r="AM376" s="267"/>
      <c r="AN376" s="75"/>
    </row>
    <row r="377" spans="1:40" s="6" customFormat="1" ht="11.25" x14ac:dyDescent="0.2">
      <c r="A377" s="56">
        <f t="shared" si="148"/>
        <v>44924</v>
      </c>
      <c r="B377" s="1141">
        <v>9.5250000000000004</v>
      </c>
      <c r="C377" s="868"/>
      <c r="D377" s="395">
        <f t="shared" si="127"/>
        <v>9.8888778961137707</v>
      </c>
      <c r="E377" s="387">
        <f t="shared" si="150"/>
        <v>10.26517236705482</v>
      </c>
      <c r="F377" s="387">
        <f t="shared" si="128"/>
        <v>10.802137987506546</v>
      </c>
      <c r="G377" s="110">
        <f t="shared" si="151"/>
        <v>0.58388562739414374</v>
      </c>
      <c r="H377" s="416" t="b">
        <f>Wh_hp&gt;='2021'!Maxi_hp</f>
        <v>0</v>
      </c>
      <c r="I377" s="382">
        <f>IF(H377,Wh_hp,'2021'!Maxi_hp)</f>
        <v>18.983624487934243</v>
      </c>
      <c r="J377" s="85">
        <f>IF(H377,An,'2021'!An_max)</f>
        <v>2019</v>
      </c>
      <c r="K377" s="199">
        <f t="shared" si="129"/>
        <v>44924</v>
      </c>
      <c r="L377" s="147">
        <f>IF(t&lt;Tvie,1-EXP((T0-t)*PertePVj)+'2021'!Pspv,1-EXP((T0-t)*PertePVj)+Pspv)</f>
        <v>3.6796682084301091E-2</v>
      </c>
      <c r="M377" s="872"/>
      <c r="N377" s="872"/>
      <c r="O377" s="48">
        <f>IF(t&lt;Tnet,'2021'!Resal+('2021'!Salim-'2021'!Resal)*(1-EXP(('2021'!Tnet-t)/('2021'!Tau_j))),Resal+(Salim-Resal)*(1-EXP((Tnet-t)/(Tau_j))))*Salcycl</f>
        <v>3.6657394292640762E-2</v>
      </c>
      <c r="P377" s="341">
        <f>(INDEX(Models!$BJ377:$BT377,,T377)*(1-R377)+INDEX(Models!$BJ377:$BT377,,T377+1)*R377-ERP_i)*Q377*Ramure*Pc/MaxiM</f>
        <v>0.10804011703336559</v>
      </c>
      <c r="Q377" s="307">
        <f t="shared" si="130"/>
        <v>0.9</v>
      </c>
      <c r="R377" s="179">
        <f t="shared" si="131"/>
        <v>0.50022415149436517</v>
      </c>
      <c r="S377" s="839">
        <f t="shared" si="132"/>
        <v>0</v>
      </c>
      <c r="T377" s="178">
        <f t="shared" si="133"/>
        <v>6</v>
      </c>
      <c r="U377" s="253">
        <f t="shared" si="134"/>
        <v>0.50022415149436517</v>
      </c>
      <c r="V377" s="385">
        <f t="shared" si="135"/>
        <v>15.311791111487869</v>
      </c>
      <c r="W377" s="404">
        <f t="shared" si="136"/>
        <v>0</v>
      </c>
      <c r="X377" s="157">
        <f t="shared" si="137"/>
        <v>44924</v>
      </c>
      <c r="Y377" s="387">
        <f t="shared" si="138"/>
        <v>8.4645346162394421</v>
      </c>
      <c r="Z377" s="387">
        <f t="shared" si="139"/>
        <v>8.7879001855559142</v>
      </c>
      <c r="AA377" s="388">
        <f t="shared" si="140"/>
        <v>10.26517236705482</v>
      </c>
      <c r="AB377" s="199">
        <f t="shared" si="141"/>
        <v>44924</v>
      </c>
      <c r="AC377" s="119">
        <f>IF(OR(t&lt;Tnet,NoTnet),'2021'!Resal_s+('2021'!Salim-'2021'!Resal_s)*(1-EXP(('2021'!Tnet_s-t)/'2021'!Tau_j)),Resal_s+(Salim-Resal_s)*(1-EXP((Tnet_s-t)/Tau_j)))*Salcycl</f>
        <v>0.14391109361593213</v>
      </c>
      <c r="AD377" s="233">
        <f>(INDEX(Models!$BJ377:$BT377,,AH377)*(1-AF377)+INDEX(Models!$BJ377:$BT377,,AH377+1)*AF377-ERP_i)*AE377*Ramure*Pc/MaxiM</f>
        <v>0.10804011703336559</v>
      </c>
      <c r="AE377" s="307">
        <f t="shared" si="142"/>
        <v>0.9</v>
      </c>
      <c r="AF377" s="179">
        <f t="shared" si="143"/>
        <v>0.50022415149436517</v>
      </c>
      <c r="AG377" s="839">
        <f t="shared" si="149"/>
        <v>0</v>
      </c>
      <c r="AH377" s="178">
        <f t="shared" si="144"/>
        <v>6</v>
      </c>
      <c r="AI377" s="227">
        <f t="shared" si="145"/>
        <v>0.50022415149436517</v>
      </c>
      <c r="AJ377" s="267" t="b">
        <f t="shared" si="146"/>
        <v>0</v>
      </c>
      <c r="AK377" s="267" t="b">
        <f t="shared" si="147"/>
        <v>0</v>
      </c>
      <c r="AL377" s="267"/>
      <c r="AM377" s="267"/>
      <c r="AN377" s="75"/>
    </row>
    <row r="378" spans="1:40" s="6" customFormat="1" ht="11.25" x14ac:dyDescent="0.2">
      <c r="A378" s="56">
        <f t="shared" si="148"/>
        <v>44925</v>
      </c>
      <c r="B378" s="1141">
        <v>12.11</v>
      </c>
      <c r="C378" s="868"/>
      <c r="D378" s="395">
        <f t="shared" si="127"/>
        <v>12.572923700217089</v>
      </c>
      <c r="E378" s="387">
        <f t="shared" si="150"/>
        <v>13.054042820320483</v>
      </c>
      <c r="F378" s="387">
        <f t="shared" si="128"/>
        <v>14.10287605688846</v>
      </c>
      <c r="G378" s="110">
        <f t="shared" si="151"/>
        <v>0.75795123780135421</v>
      </c>
      <c r="H378" s="416" t="b">
        <f>Wh_hp&gt;='2021'!Maxi_hp</f>
        <v>0</v>
      </c>
      <c r="I378" s="382">
        <f>IF(H378,Wh_hp,'2021'!Maxi_hp)</f>
        <v>18.10568803478461</v>
      </c>
      <c r="J378" s="85">
        <f>IF(H378,An,'2021'!An_max)</f>
        <v>2019</v>
      </c>
      <c r="K378" s="199">
        <f t="shared" si="129"/>
        <v>44925</v>
      </c>
      <c r="L378" s="147">
        <f>IF(t&lt;Tvie,1-EXP((T0-t)*PertePVj)+'2021'!Pspv,1-EXP((T0-t)*PertePVj)+Pspv)</f>
        <v>3.6819097232658526E-2</v>
      </c>
      <c r="M378" s="872"/>
      <c r="N378" s="872"/>
      <c r="O378" s="48">
        <f>IF(t&lt;Tnet,'2021'!Resal+('2021'!Salim-'2021'!Resal)*(1-EXP(('2021'!Tnet-t)/('2021'!Tau_j))),Resal+(Salim-Resal)*(1-EXP((Tnet-t)/(Tau_j))))*Salcycl</f>
        <v>3.6855947749341096E-2</v>
      </c>
      <c r="P378" s="341">
        <f>(INDEX(Models!$BJ378:$BT378,,T378)*(1-R378)+INDEX(Models!$BJ378:$BT378,,T378+1)*R378-ERP_i)*Q378*Ramure*Pc/MaxiM</f>
        <v>0.10716371632742187</v>
      </c>
      <c r="Q378" s="307">
        <f t="shared" si="130"/>
        <v>0.9</v>
      </c>
      <c r="R378" s="179">
        <f t="shared" si="131"/>
        <v>0.50022415149436517</v>
      </c>
      <c r="S378" s="839">
        <f t="shared" si="132"/>
        <v>0</v>
      </c>
      <c r="T378" s="178">
        <f t="shared" si="133"/>
        <v>6</v>
      </c>
      <c r="U378" s="253">
        <f t="shared" si="134"/>
        <v>0.50022415149436517</v>
      </c>
      <c r="V378" s="385">
        <f t="shared" si="135"/>
        <v>15.411232196643088</v>
      </c>
      <c r="W378" s="404">
        <f t="shared" si="136"/>
        <v>0</v>
      </c>
      <c r="X378" s="157">
        <f t="shared" si="137"/>
        <v>44925</v>
      </c>
      <c r="Y378" s="387">
        <f t="shared" si="138"/>
        <v>10.76302420379924</v>
      </c>
      <c r="Z378" s="387">
        <f t="shared" si="139"/>
        <v>11.174457646404429</v>
      </c>
      <c r="AA378" s="388">
        <f t="shared" si="140"/>
        <v>13.054042820320483</v>
      </c>
      <c r="AB378" s="199">
        <f t="shared" si="141"/>
        <v>44925</v>
      </c>
      <c r="AC378" s="119">
        <f>IF(OR(t&lt;Tnet,NoTnet),'2021'!Resal_s+('2021'!Salim-'2021'!Resal_s)*(1-EXP(('2021'!Tnet_s-t)/'2021'!Tau_j)),Resal_s+(Salim-Resal_s)*(1-EXP((Tnet_s-t)/Tau_j)))*Salcycl</f>
        <v>0.1439849094864474</v>
      </c>
      <c r="AD378" s="233">
        <f>(INDEX(Models!$BJ378:$BT378,,AH378)*(1-AF378)+INDEX(Models!$BJ378:$BT378,,AH378+1)*AF378-ERP_i)*AE378*Ramure*Pc/MaxiM</f>
        <v>0.10716371632742187</v>
      </c>
      <c r="AE378" s="307">
        <f t="shared" si="142"/>
        <v>0.9</v>
      </c>
      <c r="AF378" s="179">
        <f t="shared" si="143"/>
        <v>0.50022415149436517</v>
      </c>
      <c r="AG378" s="839">
        <f t="shared" si="149"/>
        <v>0</v>
      </c>
      <c r="AH378" s="178">
        <f t="shared" si="144"/>
        <v>6</v>
      </c>
      <c r="AI378" s="227">
        <f t="shared" si="145"/>
        <v>0.50022415149436517</v>
      </c>
      <c r="AJ378" s="267" t="b">
        <f t="shared" si="146"/>
        <v>0</v>
      </c>
      <c r="AK378" s="267" t="b">
        <f t="shared" si="147"/>
        <v>0</v>
      </c>
      <c r="AL378" s="267"/>
      <c r="AM378" s="267"/>
      <c r="AN378" s="75"/>
    </row>
    <row r="379" spans="1:40" s="18" customFormat="1" ht="12.75" x14ac:dyDescent="0.2">
      <c r="A379" s="56">
        <f t="shared" si="148"/>
        <v>44926</v>
      </c>
      <c r="B379" s="1141">
        <v>9.4570000000000007</v>
      </c>
      <c r="C379" s="868"/>
      <c r="D379" s="395">
        <f t="shared" si="127"/>
        <v>9.8187371200525781</v>
      </c>
      <c r="E379" s="387">
        <f t="shared" si="150"/>
        <v>10.196564882660329</v>
      </c>
      <c r="F379" s="387">
        <f t="shared" si="128"/>
        <v>10.698597096270204</v>
      </c>
      <c r="G379" s="110">
        <f t="shared" si="151"/>
        <v>0.57143179328979032</v>
      </c>
      <c r="H379" s="416" t="b">
        <f>Wh_hp&gt;='2021'!Maxi_hp</f>
        <v>0</v>
      </c>
      <c r="I379" s="382">
        <f>IF(H379,Wh_hp,'2021'!Maxi_hp)</f>
        <v>17.949916308915405</v>
      </c>
      <c r="J379" s="85">
        <f>IF(H379,An,'2021'!An_max)</f>
        <v>2021</v>
      </c>
      <c r="K379" s="199">
        <f t="shared" si="129"/>
        <v>44926</v>
      </c>
      <c r="L379" s="147">
        <f>IF(t&lt;Tvie,1-EXP((T0-t)*PertePVj)+'2021'!Pspv,1-EXP((T0-t)*PertePVj)+Pspv)</f>
        <v>3.684151185938267E-2</v>
      </c>
      <c r="M379" s="872"/>
      <c r="N379" s="872"/>
      <c r="O379" s="48">
        <f>IF(t&lt;Tnet,'2021'!Resal+('2021'!Salim-'2021'!Resal)*(1-EXP(('2021'!Tnet-t)/('2021'!Tau_j))),Resal+(Salim-Resal)*(1-EXP((Tnet-t)/(Tau_j))))*Salcycl</f>
        <v>3.7054416556526928E-2</v>
      </c>
      <c r="P379" s="341">
        <f>(INDEX(Models!$BJ379:$BT379,,T379)*(1-R379)+INDEX(Models!$BJ379:$BT379,,T379+1)*R379-ERP_i)*Q379*Ramure*Pc/MaxiM</f>
        <v>0.10619189643574961</v>
      </c>
      <c r="Q379" s="308">
        <f t="shared" si="130"/>
        <v>0.9</v>
      </c>
      <c r="R379" s="179">
        <f t="shared" si="131"/>
        <v>0.50022415149436517</v>
      </c>
      <c r="S379" s="839">
        <f t="shared" si="132"/>
        <v>0</v>
      </c>
      <c r="T379" s="178">
        <f t="shared" si="133"/>
        <v>6</v>
      </c>
      <c r="U379" s="309">
        <f t="shared" si="134"/>
        <v>0.50022415149436517</v>
      </c>
      <c r="V379" s="385">
        <f t="shared" si="135"/>
        <v>15.520518374818712</v>
      </c>
      <c r="W379" s="404">
        <f t="shared" si="136"/>
        <v>0</v>
      </c>
      <c r="X379" s="157">
        <f t="shared" si="137"/>
        <v>44926</v>
      </c>
      <c r="Y379" s="387">
        <f t="shared" si="138"/>
        <v>8.4061153204061618</v>
      </c>
      <c r="Z379" s="387">
        <f t="shared" si="139"/>
        <v>8.7276553380474411</v>
      </c>
      <c r="AA379" s="388">
        <f t="shared" si="140"/>
        <v>10.196564882660329</v>
      </c>
      <c r="AB379" s="199">
        <f t="shared" si="141"/>
        <v>44926</v>
      </c>
      <c r="AC379" s="119">
        <f>IF(OR(t&lt;Tnet,NoTnet),'2021'!Resal_s+('2021'!Salim-'2021'!Resal_s)*(1-EXP(('2021'!Tnet_s-t)/'2021'!Tau_j)),Resal_s+(Salim-Resal_s)*(1-EXP((Tnet_s-t)/Tau_j)))*Salcycl</f>
        <v>0.14405925539794562</v>
      </c>
      <c r="AD379" s="233">
        <f>(INDEX(Models!$BJ379:$BT379,,AH379)*(1-AF379)+INDEX(Models!$BJ379:$BT379,,AH379+1)*AF379-ERP_i)*AE379*Ramure*Pc/MaxiM</f>
        <v>0.10619189643574961</v>
      </c>
      <c r="AE379" s="308">
        <f t="shared" si="142"/>
        <v>0.9</v>
      </c>
      <c r="AF379" s="179">
        <f t="shared" si="143"/>
        <v>0.50022415149436517</v>
      </c>
      <c r="AG379" s="839">
        <f t="shared" si="149"/>
        <v>0</v>
      </c>
      <c r="AH379" s="178">
        <f t="shared" si="144"/>
        <v>6</v>
      </c>
      <c r="AI379" s="224">
        <f t="shared" si="145"/>
        <v>0.50022415149436517</v>
      </c>
      <c r="AJ379" s="267" t="b">
        <f t="shared" si="146"/>
        <v>0</v>
      </c>
      <c r="AK379" s="267" t="b">
        <f t="shared" si="147"/>
        <v>0</v>
      </c>
      <c r="AL379" s="267"/>
      <c r="AM379" s="267"/>
      <c r="AN379" s="267"/>
    </row>
    <row r="380" spans="1:40" s="18" customFormat="1" ht="12" thickBot="1" x14ac:dyDescent="0.25">
      <c r="A380" s="121"/>
      <c r="B380" s="1143">
        <f>(33.44+39.46)*0.05</f>
        <v>3.6450000000000005</v>
      </c>
      <c r="C380" s="876"/>
      <c r="D380" s="403"/>
      <c r="E380" s="389"/>
      <c r="F380" s="389"/>
      <c r="G380" s="122"/>
      <c r="H380" s="416" t="b">
        <f>Wh_hp&gt;='2021'!Maxi_hp</f>
        <v>0</v>
      </c>
      <c r="I380" s="382">
        <f>IF(H380,Wh_hp,'2021'!Maxi_hp)</f>
        <v>13.024115631411625</v>
      </c>
      <c r="J380" s="85">
        <f>IF(H380,An,'2021'!An_max)</f>
        <v>2020</v>
      </c>
      <c r="K380" s="236"/>
      <c r="L380" s="216"/>
      <c r="M380" s="877"/>
      <c r="N380" s="877"/>
      <c r="O380" s="153"/>
      <c r="P380" s="342"/>
      <c r="Q380" s="231"/>
      <c r="R380" s="231"/>
      <c r="S380" s="231"/>
      <c r="T380" s="231"/>
      <c r="U380" s="325"/>
      <c r="V380" s="399"/>
      <c r="W380" s="404"/>
      <c r="X380" s="121"/>
      <c r="Y380" s="389"/>
      <c r="Z380" s="389"/>
      <c r="AA380" s="390"/>
      <c r="AB380" s="201"/>
      <c r="AC380" s="152"/>
      <c r="AD380" s="152"/>
      <c r="AE380" s="231"/>
      <c r="AF380" s="231"/>
      <c r="AG380" s="231"/>
      <c r="AH380" s="231"/>
      <c r="AI380" s="311"/>
      <c r="AJ380" s="267" t="b">
        <f t="shared" si="146"/>
        <v>1</v>
      </c>
      <c r="AK380" s="267" t="b">
        <f t="shared" si="147"/>
        <v>1</v>
      </c>
      <c r="AL380" s="267"/>
      <c r="AM380" s="267"/>
      <c r="AN380" s="267"/>
    </row>
    <row r="381" spans="1:40" s="104" customFormat="1" ht="11.25" customHeight="1" x14ac:dyDescent="0.2">
      <c r="A381" s="112" t="s">
        <v>7</v>
      </c>
      <c r="B381" s="377">
        <f>MIN(B15:B380)</f>
        <v>0.77600000000000002</v>
      </c>
      <c r="C381" s="377"/>
      <c r="D381" s="375">
        <f>MIN(D15:D380)</f>
        <v>0.80117655103874807</v>
      </c>
      <c r="E381" s="375">
        <f>MIN(E15:E380)</f>
        <v>0.91131975831140011</v>
      </c>
      <c r="F381" s="376">
        <f>MIN(F15:F380)</f>
        <v>0.91131975831140011</v>
      </c>
      <c r="G381" s="125">
        <f>+MIN(G15:G380)</f>
        <v>1.4739286571115593E-2</v>
      </c>
      <c r="H381" s="94"/>
      <c r="I381" s="376">
        <f>MIN(I15:I380)</f>
        <v>8.2113391342416708</v>
      </c>
      <c r="J381" s="57">
        <f>MIN(J15:J380)</f>
        <v>2018</v>
      </c>
      <c r="K381" s="202" t="s">
        <v>7</v>
      </c>
      <c r="L381" s="146">
        <f t="shared" ref="L381:T381" si="152">MIN(L15:L380)</f>
        <v>2.8648028530731451E-2</v>
      </c>
      <c r="M381" s="874"/>
      <c r="N381" s="874"/>
      <c r="O381" s="47">
        <f t="shared" si="152"/>
        <v>2.296904252885569E-2</v>
      </c>
      <c r="P381" s="343">
        <f t="shared" si="152"/>
        <v>1.4646657048046337E-4</v>
      </c>
      <c r="Q381" s="312">
        <f t="shared" si="152"/>
        <v>0.9</v>
      </c>
      <c r="R381" s="313">
        <f t="shared" si="152"/>
        <v>3.4289976296038166E-3</v>
      </c>
      <c r="S381" s="839">
        <f t="shared" si="152"/>
        <v>-1</v>
      </c>
      <c r="T381" s="178">
        <f t="shared" si="152"/>
        <v>5</v>
      </c>
      <c r="U381" s="254">
        <f>+MIN(U15:U380)</f>
        <v>-9.9998657946053518E-2</v>
      </c>
      <c r="V381" s="375">
        <f>MIN(V15:V380)</f>
        <v>14.884557863736832</v>
      </c>
      <c r="W381" s="394"/>
      <c r="X381" s="112" t="s">
        <v>7</v>
      </c>
      <c r="Y381" s="375">
        <f>MIN(Y15:Y380)</f>
        <v>0.74364495751803783</v>
      </c>
      <c r="Z381" s="375">
        <f>MIN(Z15:Z380)</f>
        <v>0.76777178126502299</v>
      </c>
      <c r="AA381" s="375">
        <f>MIN(AA15:AA380)</f>
        <v>0.91131975831140011</v>
      </c>
      <c r="AB381" s="202" t="s">
        <v>7</v>
      </c>
      <c r="AC381" s="47">
        <f t="shared" ref="AC381:AH381" si="153">MIN(AC15:AC380)</f>
        <v>0.14242546563553179</v>
      </c>
      <c r="AD381" s="170">
        <f t="shared" si="153"/>
        <v>1.4646657048046337E-4</v>
      </c>
      <c r="AE381" s="312">
        <f t="shared" si="153"/>
        <v>0.9</v>
      </c>
      <c r="AF381" s="313">
        <f t="shared" si="153"/>
        <v>3.4289976296038166E-3</v>
      </c>
      <c r="AG381" s="839">
        <f t="shared" si="153"/>
        <v>-1</v>
      </c>
      <c r="AH381" s="178">
        <f t="shared" si="153"/>
        <v>5</v>
      </c>
      <c r="AI381" s="228">
        <f>MIN(AI15:AI380)</f>
        <v>-9.9998657946053518E-2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26.671483606557395</v>
      </c>
      <c r="C382" s="377"/>
      <c r="D382" s="377">
        <f>AVERAGE(D15:D380)</f>
        <v>27.636108953318537</v>
      </c>
      <c r="E382" s="377">
        <f>AVERAGE(E15:E380)</f>
        <v>31.408532037286733</v>
      </c>
      <c r="F382" s="378">
        <f>AVERAGE(F15:F380)</f>
        <v>31.70106726511257</v>
      </c>
      <c r="G382" s="126">
        <f>AVERAGE(G15:G380)</f>
        <v>0.7095268059722083</v>
      </c>
      <c r="H382" s="94"/>
      <c r="I382" s="378">
        <f>AVERAGE(I15:I380)</f>
        <v>40.680751519242577</v>
      </c>
      <c r="J382" s="59">
        <f>AVERAGE(J15:J380)</f>
        <v>2020.3743169398906</v>
      </c>
      <c r="K382" s="202" t="s">
        <v>8</v>
      </c>
      <c r="L382" s="147">
        <f t="shared" ref="L382:V382" si="154">AVERAGE(L15:L380)</f>
        <v>3.2750538153664355E-2</v>
      </c>
      <c r="M382" s="872"/>
      <c r="N382" s="872"/>
      <c r="O382" s="48">
        <f t="shared" si="154"/>
        <v>0.1059205573413993</v>
      </c>
      <c r="P382" s="171">
        <f t="shared" si="154"/>
        <v>2.6706699070022585E-2</v>
      </c>
      <c r="Q382" s="314">
        <f t="shared" si="154"/>
        <v>0.89999999999999813</v>
      </c>
      <c r="R382" s="179">
        <f t="shared" si="154"/>
        <v>0.57023381065503498</v>
      </c>
      <c r="S382" s="839">
        <f t="shared" si="154"/>
        <v>-0.33424657534246577</v>
      </c>
      <c r="T382" s="178">
        <f t="shared" si="154"/>
        <v>5.6657534246575345</v>
      </c>
      <c r="U382" s="253">
        <f t="shared" si="154"/>
        <v>0.23598723531256868</v>
      </c>
      <c r="V382" s="377">
        <f t="shared" si="154"/>
        <v>36.487298335870321</v>
      </c>
      <c r="W382" s="394"/>
      <c r="X382" s="112" t="s">
        <v>8</v>
      </c>
      <c r="Y382" s="377">
        <f>AVERAGE(Y15:Y380)</f>
        <v>25.494591520865072</v>
      </c>
      <c r="Z382" s="377">
        <f>AVERAGE(Z15:Z380)</f>
        <v>26.353903392541195</v>
      </c>
      <c r="AA382" s="377">
        <f>AVERAGE(AA15:AA380)</f>
        <v>31.408532037286733</v>
      </c>
      <c r="AB382" s="202" t="s">
        <v>8</v>
      </c>
      <c r="AC382" s="48">
        <f t="shared" ref="AC382:AH382" si="155">AVERAGE(AC15:AC380)</f>
        <v>0.1571106547381263</v>
      </c>
      <c r="AD382" s="171">
        <f t="shared" si="155"/>
        <v>2.6706699070022585E-2</v>
      </c>
      <c r="AE382" s="314">
        <f t="shared" si="155"/>
        <v>0.89999999999999813</v>
      </c>
      <c r="AF382" s="179">
        <f t="shared" si="155"/>
        <v>0.57023381065503498</v>
      </c>
      <c r="AG382" s="839">
        <f t="shared" si="155"/>
        <v>-0.33424657534246577</v>
      </c>
      <c r="AH382" s="178">
        <f t="shared" si="155"/>
        <v>5.6657534246575345</v>
      </c>
      <c r="AI382" s="227">
        <f>AVERAGE(AI15:AI380)</f>
        <v>0.23598723531256868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55.283000000000001</v>
      </c>
      <c r="C383" s="379"/>
      <c r="D383" s="379">
        <f>MAX(D15:D380)</f>
        <v>57.149703851964986</v>
      </c>
      <c r="E383" s="379">
        <f>MAX(E15:E380)</f>
        <v>65.994278574688366</v>
      </c>
      <c r="F383" s="380">
        <f>MAX(F15:F380)</f>
        <v>66.004608536540786</v>
      </c>
      <c r="G383" s="127">
        <f>+MAX(G15:G380)</f>
        <v>1.0377981106491905</v>
      </c>
      <c r="H383" s="94"/>
      <c r="I383" s="380">
        <f>MAX(I15:I380)</f>
        <v>66.004608536540786</v>
      </c>
      <c r="J383" s="60">
        <f>MAX(J15:J380)</f>
        <v>2022</v>
      </c>
      <c r="K383" s="202" t="s">
        <v>9</v>
      </c>
      <c r="L383" s="148">
        <f t="shared" ref="L383:T383" si="156">MAX(L15:L380)</f>
        <v>3.684151185938267E-2</v>
      </c>
      <c r="M383" s="875"/>
      <c r="N383" s="875"/>
      <c r="O383" s="49">
        <f t="shared" si="156"/>
        <v>0.14394488585441903</v>
      </c>
      <c r="P383" s="172">
        <f t="shared" si="156"/>
        <v>0.11145598622156835</v>
      </c>
      <c r="Q383" s="315">
        <f t="shared" si="156"/>
        <v>0.9</v>
      </c>
      <c r="R383" s="316">
        <f t="shared" si="156"/>
        <v>0.99993457404793928</v>
      </c>
      <c r="S383" s="840">
        <f t="shared" si="156"/>
        <v>0</v>
      </c>
      <c r="T383" s="235">
        <f t="shared" si="156"/>
        <v>6</v>
      </c>
      <c r="U383" s="255">
        <f>+MAX(U15:U380)</f>
        <v>0.50022415149436517</v>
      </c>
      <c r="V383" s="379">
        <f>MAX(V15:V380)</f>
        <v>54.363758352974848</v>
      </c>
      <c r="W383" s="394"/>
      <c r="X383" s="112" t="s">
        <v>9</v>
      </c>
      <c r="Y383" s="379">
        <f>MAX(Y15:Y380)</f>
        <v>53.178507317055029</v>
      </c>
      <c r="Z383" s="379">
        <f>MAX(Z15:Z380)</f>
        <v>54.974150181054718</v>
      </c>
      <c r="AA383" s="379">
        <f>MAX(AA15:AA380)</f>
        <v>65.994278574688366</v>
      </c>
      <c r="AB383" s="202" t="s">
        <v>9</v>
      </c>
      <c r="AC383" s="49">
        <f t="shared" ref="AC383:AH383" si="157">MAX(AC15:AC380)</f>
        <v>0.16970392427503081</v>
      </c>
      <c r="AD383" s="172">
        <f t="shared" si="157"/>
        <v>0.11145598622156835</v>
      </c>
      <c r="AE383" s="315">
        <f t="shared" si="157"/>
        <v>0.9</v>
      </c>
      <c r="AF383" s="316">
        <f t="shared" si="157"/>
        <v>0.99993457404793928</v>
      </c>
      <c r="AG383" s="840">
        <f t="shared" si="157"/>
        <v>0</v>
      </c>
      <c r="AH383" s="235">
        <f t="shared" si="157"/>
        <v>6</v>
      </c>
      <c r="AI383" s="229">
        <f>MAX(AI15:AI380)</f>
        <v>0.50022415149436517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86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7"/>
      <c r="AK384" s="857"/>
      <c r="AL384" s="857"/>
      <c r="AM384" s="857"/>
      <c r="AN384" s="406"/>
    </row>
  </sheetData>
  <sheetProtection sheet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1" priority="3" stopIfTrue="1" operator="lessThan">
      <formula>0.01</formula>
    </cfRule>
    <cfRule type="cellIs" dxfId="10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793</vt:i4>
      </vt:variant>
    </vt:vector>
  </HeadingPairs>
  <TitlesOfParts>
    <vt:vector size="807" baseType="lpstr">
      <vt:lpstr>Recap</vt:lpstr>
      <vt:lpstr>Masques</vt:lpstr>
      <vt:lpstr>Models</vt:lpstr>
      <vt:lpstr>Réglage perte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a.ld</vt:lpstr>
      <vt:lpstr>a.lg</vt:lpstr>
      <vt:lpstr>Models!a.m</vt:lpstr>
      <vt:lpstr>'2018'!Acti_net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'2018'!Acti_tai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Ajust_M</vt:lpstr>
      <vt:lpstr>Amaj</vt:lpstr>
      <vt:lpstr>'2018'!An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'2018'!An_max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'2018'!An_Tnet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'2018'!Croi_tai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'2018'!Dd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'2018'!Dd_s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'2018'!Dens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Dens_2018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'2019'!Dens_s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'2018'!Dépas_env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'2018'!Df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'2018'!Df_s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Echel_vg</vt:lpstr>
      <vt:lpstr>Echelev_ch</vt:lpstr>
      <vt:lpstr>'2018'!Env_an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ERP_i</vt:lpstr>
      <vt:lpstr>GainD</vt:lpstr>
      <vt:lpstr>H_i</vt:lpstr>
      <vt:lpstr>H_pv</vt:lpstr>
      <vt:lpstr>'2018'!Hdd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'2018'!Hdd_s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'2018'!Hdf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'2018'!Hdf_s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'2018'!Hdtai_s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'2018'!Hdtf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Hobs1</vt:lpstr>
      <vt:lpstr>Hobs2</vt:lpstr>
      <vt:lpstr>Hobs3</vt:lpstr>
      <vt:lpstr>'2018'!Hp_vg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'2018'!Hp_vg_s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Hrm</vt:lpstr>
      <vt:lpstr>Htf_2018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'2018'!Inflex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Inter_net</vt:lpstr>
      <vt:lpstr>Inter_tai</vt:lpstr>
      <vt:lpstr>Models!Jour</vt:lpstr>
      <vt:lpstr>Ksac</vt:lpstr>
      <vt:lpstr>'2018'!Maxi_hp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MaxiM</vt:lpstr>
      <vt:lpstr>'2018'!Notai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'2018'!NoTnet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Pc</vt:lpstr>
      <vt:lpstr>Persistant</vt:lpstr>
      <vt:lpstr>PertePVan</vt:lpstr>
      <vt:lpstr>PertePVj</vt:lpstr>
      <vt:lpstr>'2018'!PousD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'2018'!PousH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PousHi</vt:lpstr>
      <vt:lpstr>'2018'!Ppv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'2018'!Prod_an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'2018'!Prod_an_s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'2018'!Psa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'2018'!Psa_s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'2018'!Pspv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Pspv_2018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'2018'!Pvg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'2018'!Pvg_s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'2018'!R\Max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Ram_pv</vt:lpstr>
      <vt:lpstr>Ramure</vt:lpstr>
      <vt:lpstr>Rata1</vt:lpstr>
      <vt:lpstr>Rata2</vt:lpstr>
      <vt:lpstr>Rata3</vt:lpstr>
      <vt:lpstr>Models!Ratini</vt:lpstr>
      <vt:lpstr>'2018'!Resal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Resal_2018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'2018'!Resal_s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Salcycl</vt:lpstr>
      <vt:lpstr>'2018'!Salim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Salim_2018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Salim_i</vt:lpstr>
      <vt:lpstr>Sdif</vt:lpstr>
      <vt:lpstr>Station</vt:lpstr>
      <vt:lpstr>'2018'!t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T0</vt:lpstr>
      <vt:lpstr>Tau_2018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Tau_i</vt:lpstr>
      <vt:lpstr>Tau_ij</vt:lpstr>
      <vt:lpstr>'2018'!Tau_j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Tmaj</vt:lpstr>
      <vt:lpstr>'2018'!Tnet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Tnet_2018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'2018'!Tnet_s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Tservice</vt:lpstr>
      <vt:lpstr>'2018'!Ttai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Ttai_2018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'2018'!Tvie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Tvie_2018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'2018'!Wh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'2018'!Wh_gain_sa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'2018'!Wh_gain_vg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'2018'!Wh_hp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'2018'!Wh_Ppv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'2018'!Wh_Psa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'2018'!Wh_Psa_s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'2018'!Wh_Pvg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'2018'!Wh_Pvg_s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'2018'!Wh_pvt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'2018'!Wh_pvt_s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'2018'!Wh_s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'2018'!Wh_sa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'2018'!Wh_sa_s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2023-01-15T14:43:38Z</dcterms:modified>
</cp:coreProperties>
</file>